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3.xml" ContentType="application/vnd.openxmlformats-officedocument.drawingml.chartshapes+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ml.chartshapes+xml"/>
  <Override PartName="/xl/charts/chart25.xml" ContentType="application/vnd.openxmlformats-officedocument.drawingml.chart+xml"/>
  <Override PartName="/xl/drawings/drawing3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ml.chartshapes+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drawings/drawing41.xml" ContentType="application/vnd.openxmlformats-officedocument.drawingml.chartshapes+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8.xml" ContentType="application/vnd.openxmlformats-officedocument.drawing+xml"/>
  <Override PartName="/xl/charts/chart49.xml" ContentType="application/vnd.openxmlformats-officedocument.drawingml.chart+xml"/>
  <Override PartName="/xl/drawings/drawing49.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50.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52.xml" ContentType="application/vnd.openxmlformats-officedocument.drawing+xml"/>
  <Override PartName="/xl/charts/chart5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57.xml" ContentType="application/vnd.openxmlformats-officedocument.drawingml.chart+xml"/>
  <Override PartName="/xl/drawings/drawing55.xml" ContentType="application/vnd.openxmlformats-officedocument.drawingml.chartshapes+xml"/>
  <Override PartName="/xl/charts/chart58.xml" ContentType="application/vnd.openxmlformats-officedocument.drawingml.chart+xml"/>
  <Override PartName="/xl/drawings/drawing5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6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6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2.xml" ContentType="application/vnd.openxmlformats-officedocument.drawing+xml"/>
  <Override PartName="/xl/charts/chart7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76.xml" ContentType="application/vnd.openxmlformats-officedocument.drawingml.chart+xml"/>
  <Override PartName="/xl/drawings/drawing65.xml" ContentType="application/vnd.openxmlformats-officedocument.drawingml.chartshapes+xml"/>
  <Override PartName="/xl/charts/chart77.xml" ContentType="application/vnd.openxmlformats-officedocument.drawingml.chart+xml"/>
  <Override PartName="/xl/drawings/drawing66.xml" ContentType="application/vnd.openxmlformats-officedocument.drawing+xml"/>
  <Override PartName="/xl/charts/chart78.xml" ContentType="application/vnd.openxmlformats-officedocument.drawingml.chart+xml"/>
  <Override PartName="/xl/drawings/drawing67.xml" ContentType="application/vnd.openxmlformats-officedocument.drawingml.chartshapes+xml"/>
  <Override PartName="/xl/charts/chart79.xml" ContentType="application/vnd.openxmlformats-officedocument.drawingml.chart+xml"/>
  <Override PartName="/xl/drawings/drawing6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C:\Users\ggodsman\Desktop\"/>
    </mc:Choice>
  </mc:AlternateContent>
  <xr:revisionPtr revIDLastSave="0" documentId="8_{2B91A53F-D774-4ACD-A83D-567231436C55}" xr6:coauthVersionLast="47" xr6:coauthVersionMax="47" xr10:uidLastSave="{00000000-0000-0000-0000-000000000000}"/>
  <bookViews>
    <workbookView xWindow="-120" yWindow="-120" windowWidth="29040" windowHeight="15840" tabRatio="1000" xr2:uid="{FD613526-DDC5-4028-8D08-57DE26549780}"/>
  </bookViews>
  <sheets>
    <sheet name="Index" sheetId="1" r:id="rId1"/>
    <sheet name="Sources" sheetId="8" r:id="rId2"/>
    <sheet name="How To Use" sheetId="72" r:id="rId3"/>
    <sheet name="Commodity Prices Comparison" sheetId="84" r:id="rId4"/>
    <sheet name="Q&amp;V 2-years" sheetId="49" r:id="rId5"/>
    <sheet name="Commodity Prices" sheetId="6" r:id="rId6"/>
    <sheet name="Q&amp;V CY 1886 to 2003" sheetId="90" r:id="rId7"/>
    <sheet name="Q&amp;V CY 2004 to Now" sheetId="51" r:id="rId8"/>
    <sheet name="Q&amp;V FY 1984-85 to 2002-03" sheetId="91" r:id="rId9"/>
    <sheet name="Q&amp;V FY 2003-04 to Now" sheetId="62" r:id="rId10"/>
    <sheet name="WA vs Australia vs the World" sheetId="85" r:id="rId11"/>
    <sheet name="Alumina and Bauxite - Prices" sheetId="11" r:id="rId12"/>
    <sheet name="Alumina and Bauxite - Q&amp;V" sheetId="2" r:id="rId13"/>
    <sheet name="Alumina and Bauxite - Exports" sheetId="4" r:id="rId14"/>
    <sheet name="Alumina and Bauxite - WA vs Aus" sheetId="5" r:id="rId15"/>
    <sheet name="Copper-Lead-Zinc - Prices" sheetId="53" r:id="rId16"/>
    <sheet name="Copper-Lead-Zinc - Q&amp;V" sheetId="54" r:id="rId17"/>
    <sheet name="Copper-Lead-Zinc - Exports" sheetId="78" r:id="rId18"/>
    <sheet name="Copper-Lead-Zinc - WA vs Aus" sheetId="56" r:id="rId19"/>
    <sheet name="Gold - Prices" sheetId="18" r:id="rId20"/>
    <sheet name="Gold - Q&amp;V" sheetId="17" r:id="rId21"/>
    <sheet name="Gold - Exports" sheetId="75" r:id="rId22"/>
    <sheet name="Gold - WA vs Aus" sheetId="21" r:id="rId23"/>
    <sheet name="Iron Ore - Prices" sheetId="30" r:id="rId24"/>
    <sheet name="Iron Ore - Q&amp;V" sheetId="28" r:id="rId25"/>
    <sheet name="Iron Ore - Exports" sheetId="76" r:id="rId26"/>
    <sheet name="Iron Ore - WA vs Aus" sheetId="32" r:id="rId27"/>
    <sheet name="Lithium - Prices" sheetId="80" r:id="rId28"/>
    <sheet name="Lithium - Q&amp;V" sheetId="79" r:id="rId29"/>
    <sheet name="Lithium - Exports" sheetId="81" r:id="rId30"/>
    <sheet name="Mineral Sands - Prices" sheetId="59" r:id="rId31"/>
    <sheet name="Mineral Sands - Q&amp;V" sheetId="22" r:id="rId32"/>
    <sheet name="Mineral Sands - Exports" sheetId="74" r:id="rId33"/>
    <sheet name="Mineral Sands - WA vs Aus" sheetId="27" r:id="rId34"/>
    <sheet name="Nickel - Prices" sheetId="13" r:id="rId35"/>
    <sheet name="Nickel - Q&amp;V" sheetId="12" r:id="rId36"/>
    <sheet name="Nickel - Exports" sheetId="73" r:id="rId37"/>
    <sheet name="Nickel - WA vs Aus" sheetId="16" r:id="rId38"/>
    <sheet name="Other Minerals - Q&amp;V" sheetId="61" r:id="rId39"/>
    <sheet name="Petroleum - Oil - Prices" sheetId="37" r:id="rId40"/>
    <sheet name="Petroleum - LNG - Prices" sheetId="88" r:id="rId41"/>
    <sheet name="Petroleum - Dom. Gas - Prices" sheetId="89" r:id="rId42"/>
    <sheet name="Petroleum - Q&amp;V 1" sheetId="36" r:id="rId43"/>
    <sheet name="Petroleum - Q&amp;V 2" sheetId="52" r:id="rId44"/>
    <sheet name="Petroleum - Exports" sheetId="77" r:id="rId45"/>
    <sheet name="Petroleum - WA vs Aus 1" sheetId="40" r:id="rId46"/>
    <sheet name="Petroleum - WA vs Aus 2" sheetId="83" r:id="rId47"/>
    <sheet name="Uranium - Prices" sheetId="35" state="hidden" r:id="rId48"/>
  </sheets>
  <definedNames>
    <definedName name="_xlnm._FilterDatabase" localSheetId="5" hidden="1">'Commodity Prices'!$BA$8:$BF$1425</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83" l="1"/>
  <c r="B65" i="40" l="1"/>
  <c r="I10" i="85" l="1"/>
  <c r="AJ14" i="62" l="1"/>
  <c r="AD101" i="62"/>
  <c r="Z101" i="62"/>
  <c r="Z67" i="51" l="1"/>
  <c r="Z20" i="51"/>
  <c r="Z19" i="51"/>
  <c r="Z18" i="51"/>
  <c r="Z17" i="51"/>
  <c r="Y19" i="51"/>
  <c r="Y18" i="51"/>
  <c r="Y17" i="51"/>
  <c r="B63" i="16" l="1"/>
  <c r="B73" i="27"/>
  <c r="B80" i="32"/>
  <c r="B140" i="21"/>
  <c r="F51" i="56"/>
  <c r="D51" i="56"/>
  <c r="B51" i="56"/>
  <c r="C69" i="5"/>
  <c r="C70" i="5"/>
  <c r="B70" i="5"/>
  <c r="F11" i="89"/>
  <c r="E11" i="89"/>
  <c r="E12" i="89" s="1"/>
  <c r="F10" i="89"/>
  <c r="F9" i="89"/>
  <c r="E10" i="89"/>
  <c r="F16" i="88"/>
  <c r="E16" i="88"/>
  <c r="F40" i="37"/>
  <c r="E40" i="37"/>
  <c r="E45" i="13"/>
  <c r="F46" i="59"/>
  <c r="E46" i="59"/>
  <c r="F22" i="30"/>
  <c r="E22" i="30"/>
  <c r="F60" i="18"/>
  <c r="E60" i="18"/>
  <c r="G46" i="53"/>
  <c r="F46" i="53"/>
  <c r="F46" i="11"/>
  <c r="E46" i="11"/>
  <c r="AD56" i="52"/>
  <c r="AD55" i="52" s="1"/>
  <c r="AD54" i="52" s="1"/>
  <c r="AD53" i="52" s="1"/>
  <c r="AD52" i="52" s="1"/>
  <c r="AD51" i="52" s="1"/>
  <c r="AD50" i="52" s="1"/>
  <c r="AD49" i="52" s="1"/>
  <c r="AD48" i="52" s="1"/>
  <c r="AD47" i="52" s="1"/>
  <c r="AD46" i="52" s="1"/>
  <c r="AD45" i="52" s="1"/>
  <c r="AD44" i="52" s="1"/>
  <c r="AD43" i="52" s="1"/>
  <c r="AD42" i="52" s="1"/>
  <c r="AD41" i="52" s="1"/>
  <c r="AD40" i="52" s="1"/>
  <c r="AD39" i="52" s="1"/>
  <c r="AD38" i="52" s="1"/>
  <c r="AD37" i="52" s="1"/>
  <c r="T55" i="36"/>
  <c r="T54" i="36" s="1"/>
  <c r="T53" i="36" s="1"/>
  <c r="T52" i="36" s="1"/>
  <c r="T51" i="36" s="1"/>
  <c r="T50" i="36" s="1"/>
  <c r="T49" i="36" s="1"/>
  <c r="T48" i="36" s="1"/>
  <c r="T47" i="36" s="1"/>
  <c r="T46" i="36" s="1"/>
  <c r="T45" i="36" s="1"/>
  <c r="T44" i="36" s="1"/>
  <c r="T43" i="36" s="1"/>
  <c r="T42" i="36" s="1"/>
  <c r="T41" i="36" s="1"/>
  <c r="T40" i="36" s="1"/>
  <c r="T39" i="36" s="1"/>
  <c r="T38" i="36" s="1"/>
  <c r="T37" i="36" s="1"/>
  <c r="T36" i="36" s="1"/>
  <c r="Q54" i="61"/>
  <c r="Q53" i="61" s="1"/>
  <c r="Q52" i="61" s="1"/>
  <c r="Q51" i="61" s="1"/>
  <c r="Q50" i="61" s="1"/>
  <c r="Q49" i="61" s="1"/>
  <c r="Q48" i="61" s="1"/>
  <c r="Q47" i="61" s="1"/>
  <c r="Q46" i="61" s="1"/>
  <c r="Q45" i="61" s="1"/>
  <c r="Q44" i="61" s="1"/>
  <c r="Q43" i="61" s="1"/>
  <c r="Q42" i="61" s="1"/>
  <c r="Q41" i="61" s="1"/>
  <c r="Q40" i="61" s="1"/>
  <c r="Q39" i="61" s="1"/>
  <c r="Q38" i="61" s="1"/>
  <c r="Q37" i="61" s="1"/>
  <c r="Q36" i="61" s="1"/>
  <c r="Q35" i="61" s="1"/>
  <c r="AP69" i="51"/>
  <c r="AO69" i="51"/>
  <c r="Z36" i="51"/>
  <c r="X36" i="51"/>
  <c r="V36" i="51"/>
  <c r="T36" i="51"/>
  <c r="R36" i="51"/>
  <c r="P36" i="51"/>
  <c r="N36" i="51"/>
  <c r="L36" i="51"/>
  <c r="J36" i="51"/>
  <c r="H36" i="51"/>
  <c r="F36" i="51"/>
  <c r="D36" i="51"/>
  <c r="AR36" i="51" s="1"/>
  <c r="AB36" i="51"/>
  <c r="AD36" i="51"/>
  <c r="AF36" i="51"/>
  <c r="AP36" i="51"/>
  <c r="AN36" i="51"/>
  <c r="AL36" i="51"/>
  <c r="AH36" i="51"/>
  <c r="AJ36" i="51"/>
  <c r="AQ12" i="51"/>
  <c r="AQ93" i="51"/>
  <c r="AQ92" i="51"/>
  <c r="AQ87" i="51"/>
  <c r="AQ83" i="51"/>
  <c r="AQ81" i="51"/>
  <c r="AQ76" i="51"/>
  <c r="AQ75" i="51"/>
  <c r="AQ74" i="51"/>
  <c r="AQ69" i="51"/>
  <c r="AQ57" i="51"/>
  <c r="AQ54" i="51"/>
  <c r="AQ50" i="51"/>
  <c r="AQ48" i="51"/>
  <c r="AQ46" i="51"/>
  <c r="AQ44" i="51"/>
  <c r="AQ42" i="51"/>
  <c r="AQ40" i="51"/>
  <c r="AQ35" i="51"/>
  <c r="AQ34" i="51"/>
  <c r="AQ33" i="51"/>
  <c r="AQ32" i="51"/>
  <c r="AQ31" i="51"/>
  <c r="AQ24" i="51"/>
  <c r="AQ22" i="51"/>
  <c r="AQ19" i="51"/>
  <c r="AQ18" i="51"/>
  <c r="AQ17" i="51"/>
  <c r="AQ13" i="51"/>
  <c r="AR96" i="51"/>
  <c r="AR94" i="51"/>
  <c r="AR87" i="51"/>
  <c r="AR76" i="51"/>
  <c r="AR75" i="51"/>
  <c r="AR74" i="51"/>
  <c r="AR69" i="51"/>
  <c r="AR54" i="51"/>
  <c r="AR50" i="51"/>
  <c r="AR48" i="51"/>
  <c r="AR46" i="51"/>
  <c r="AR44" i="51"/>
  <c r="AR42" i="51"/>
  <c r="AR40" i="51"/>
  <c r="AR35" i="51"/>
  <c r="AR34" i="51"/>
  <c r="AR33" i="51"/>
  <c r="AR32" i="51"/>
  <c r="AR31" i="51"/>
  <c r="AR24" i="51"/>
  <c r="AR22" i="51"/>
  <c r="AR20" i="51"/>
  <c r="AR19" i="51"/>
  <c r="AR18" i="51"/>
  <c r="AR17" i="51"/>
  <c r="AR14" i="51"/>
  <c r="AR13" i="51"/>
  <c r="AR12" i="51"/>
  <c r="E13" i="89" l="1"/>
  <c r="F12" i="89"/>
  <c r="AE55" i="52"/>
  <c r="AP76" i="51"/>
  <c r="AO76" i="51"/>
  <c r="AP75" i="51"/>
  <c r="AO75" i="51"/>
  <c r="AP74" i="51"/>
  <c r="AO74" i="51"/>
  <c r="AP73" i="51"/>
  <c r="AO73" i="51"/>
  <c r="AP72" i="51"/>
  <c r="AO72" i="51"/>
  <c r="AP53" i="51"/>
  <c r="AP55" i="51" s="1"/>
  <c r="AO53" i="51"/>
  <c r="AP48" i="51"/>
  <c r="AO48" i="51"/>
  <c r="AP44" i="51"/>
  <c r="AO44" i="51"/>
  <c r="AP19" i="51"/>
  <c r="AO19" i="51"/>
  <c r="AP18" i="51"/>
  <c r="AO18" i="51"/>
  <c r="AP17" i="51"/>
  <c r="AP20" i="51" s="1"/>
  <c r="AO17" i="51"/>
  <c r="AP13" i="51"/>
  <c r="AO13" i="51"/>
  <c r="AP12" i="51"/>
  <c r="AP14" i="51" s="1"/>
  <c r="AO12" i="51"/>
  <c r="AO8" i="51"/>
  <c r="AP8" i="51"/>
  <c r="U12" i="51"/>
  <c r="V12" i="51"/>
  <c r="W12" i="51"/>
  <c r="X12" i="51"/>
  <c r="AA12" i="51"/>
  <c r="AB12" i="51"/>
  <c r="AC12" i="51"/>
  <c r="AD12" i="51"/>
  <c r="AE12" i="51"/>
  <c r="AF12" i="51"/>
  <c r="AG12" i="51"/>
  <c r="AH12" i="51"/>
  <c r="AI12" i="51"/>
  <c r="AJ12" i="51"/>
  <c r="AK12" i="51"/>
  <c r="AL12" i="51"/>
  <c r="AM12" i="51"/>
  <c r="AN12" i="51"/>
  <c r="AP77" i="51" l="1"/>
  <c r="E14" i="89"/>
  <c r="F13" i="89"/>
  <c r="R47" i="12"/>
  <c r="R46" i="12" s="1"/>
  <c r="R45" i="12" s="1"/>
  <c r="R44" i="12" s="1"/>
  <c r="R43" i="12" s="1"/>
  <c r="R42" i="12" s="1"/>
  <c r="R41" i="12" s="1"/>
  <c r="R40" i="12" s="1"/>
  <c r="R39" i="12" s="1"/>
  <c r="R38" i="12" s="1"/>
  <c r="R37" i="12" s="1"/>
  <c r="R36" i="12" s="1"/>
  <c r="R35" i="12" s="1"/>
  <c r="R34" i="12" s="1"/>
  <c r="R33" i="12" s="1"/>
  <c r="R32" i="12" s="1"/>
  <c r="R31" i="12" s="1"/>
  <c r="R30" i="12" s="1"/>
  <c r="R29" i="12" s="1"/>
  <c r="R28" i="12" s="1"/>
  <c r="Q54" i="22"/>
  <c r="Q53" i="22" s="1"/>
  <c r="Q52" i="22" s="1"/>
  <c r="Q51" i="22" s="1"/>
  <c r="Q50" i="22" s="1"/>
  <c r="Q49" i="22" s="1"/>
  <c r="Q48" i="22" s="1"/>
  <c r="Q47" i="22" s="1"/>
  <c r="Q46" i="22" s="1"/>
  <c r="Q45" i="22" s="1"/>
  <c r="Q44" i="22" s="1"/>
  <c r="Q43" i="22" s="1"/>
  <c r="Q42" i="22" s="1"/>
  <c r="Q41" i="22" s="1"/>
  <c r="Q40" i="22" s="1"/>
  <c r="Q39" i="22" s="1"/>
  <c r="Q38" i="22" s="1"/>
  <c r="Q37" i="22" s="1"/>
  <c r="Q36" i="22" s="1"/>
  <c r="Q35" i="22" s="1"/>
  <c r="P45" i="79"/>
  <c r="P44" i="79" s="1"/>
  <c r="P43" i="79" s="1"/>
  <c r="P42" i="79" s="1"/>
  <c r="P41" i="79" s="1"/>
  <c r="P40" i="79" s="1"/>
  <c r="P39" i="79" s="1"/>
  <c r="P38" i="79" s="1"/>
  <c r="P37" i="79" s="1"/>
  <c r="P36" i="79" s="1"/>
  <c r="P35" i="79" s="1"/>
  <c r="P34" i="79" s="1"/>
  <c r="P33" i="79" s="1"/>
  <c r="P32" i="79" s="1"/>
  <c r="P31" i="79" s="1"/>
  <c r="P30" i="79" s="1"/>
  <c r="P29" i="79" s="1"/>
  <c r="P28" i="79" s="1"/>
  <c r="P27" i="79" s="1"/>
  <c r="P26" i="79" s="1"/>
  <c r="Q54" i="28"/>
  <c r="Q53" i="28" s="1"/>
  <c r="Q52" i="28" s="1"/>
  <c r="Q51" i="28" s="1"/>
  <c r="Q50" i="28" s="1"/>
  <c r="Q49" i="28" s="1"/>
  <c r="Q48" i="28" s="1"/>
  <c r="Q47" i="28" s="1"/>
  <c r="Q46" i="28" s="1"/>
  <c r="Q45" i="28" s="1"/>
  <c r="Q44" i="28" s="1"/>
  <c r="Q43" i="28" s="1"/>
  <c r="Q42" i="28" s="1"/>
  <c r="Q41" i="28" s="1"/>
  <c r="Q40" i="28" s="1"/>
  <c r="Q39" i="28" s="1"/>
  <c r="Q38" i="28" s="1"/>
  <c r="Q37" i="28" s="1"/>
  <c r="Q36" i="28" s="1"/>
  <c r="Q35" i="28" s="1"/>
  <c r="N54" i="17"/>
  <c r="N53" i="17" s="1"/>
  <c r="N52" i="17" s="1"/>
  <c r="N51" i="17" s="1"/>
  <c r="N50" i="17" s="1"/>
  <c r="N49" i="17" s="1"/>
  <c r="N48" i="17" s="1"/>
  <c r="N47" i="17" s="1"/>
  <c r="N46" i="17" s="1"/>
  <c r="N45" i="17" s="1"/>
  <c r="N44" i="17" s="1"/>
  <c r="N43" i="17" s="1"/>
  <c r="N42" i="17" s="1"/>
  <c r="N41" i="17" s="1"/>
  <c r="N40" i="17" s="1"/>
  <c r="N39" i="17" s="1"/>
  <c r="N38" i="17" s="1"/>
  <c r="N37" i="17" s="1"/>
  <c r="N36" i="17" s="1"/>
  <c r="N35" i="17" s="1"/>
  <c r="K45" i="54"/>
  <c r="M45" i="54" s="1"/>
  <c r="S54" i="2"/>
  <c r="S53" i="2" s="1"/>
  <c r="S52" i="2" s="1"/>
  <c r="S51" i="2" s="1"/>
  <c r="S50" i="2" s="1"/>
  <c r="S49" i="2" s="1"/>
  <c r="S48" i="2" s="1"/>
  <c r="S47" i="2" s="1"/>
  <c r="S46" i="2" s="1"/>
  <c r="S45" i="2" s="1"/>
  <c r="S44" i="2" s="1"/>
  <c r="S43" i="2" s="1"/>
  <c r="S42" i="2" s="1"/>
  <c r="S41" i="2" s="1"/>
  <c r="S40" i="2" s="1"/>
  <c r="S39" i="2" s="1"/>
  <c r="S38" i="2" s="1"/>
  <c r="S37" i="2" s="1"/>
  <c r="S36" i="2" s="1"/>
  <c r="S35" i="2" s="1"/>
  <c r="F16" i="84"/>
  <c r="D16" i="84"/>
  <c r="F14" i="89" l="1"/>
  <c r="E15" i="89"/>
  <c r="L45" i="54"/>
  <c r="K44" i="54"/>
  <c r="K43" i="54" s="1"/>
  <c r="K42" i="54" s="1"/>
  <c r="K41" i="54" s="1"/>
  <c r="K40" i="54" s="1"/>
  <c r="K39" i="54" s="1"/>
  <c r="K38" i="54" s="1"/>
  <c r="K37" i="54" s="1"/>
  <c r="K36" i="54" s="1"/>
  <c r="K35" i="54" s="1"/>
  <c r="K34" i="54" s="1"/>
  <c r="K33" i="54" s="1"/>
  <c r="K32" i="54" s="1"/>
  <c r="K31" i="54" s="1"/>
  <c r="K30" i="54" s="1"/>
  <c r="K29" i="54" s="1"/>
  <c r="K28" i="54" s="1"/>
  <c r="K27" i="54" s="1"/>
  <c r="K26" i="54" s="1"/>
  <c r="T54" i="2"/>
  <c r="D76" i="17"/>
  <c r="E76" i="17"/>
  <c r="D77" i="17"/>
  <c r="E77" i="17"/>
  <c r="G111" i="2"/>
  <c r="F111" i="2"/>
  <c r="G110" i="2"/>
  <c r="F110" i="2"/>
  <c r="D8" i="84"/>
  <c r="A6" i="84" s="1"/>
  <c r="C11" i="84"/>
  <c r="H16" i="84"/>
  <c r="G16" i="84"/>
  <c r="E16" i="89" l="1"/>
  <c r="F15" i="89"/>
  <c r="E11" i="84"/>
  <c r="E17" i="89" l="1"/>
  <c r="F16" i="89"/>
  <c r="E18" i="89" l="1"/>
  <c r="F17" i="89"/>
  <c r="B53" i="89"/>
  <c r="B52" i="89" s="1"/>
  <c r="F18" i="89" l="1"/>
  <c r="E19" i="89"/>
  <c r="B51" i="89"/>
  <c r="A52" i="89"/>
  <c r="A53" i="89"/>
  <c r="A51" i="89"/>
  <c r="E20" i="89" l="1"/>
  <c r="F19" i="89"/>
  <c r="B50" i="89"/>
  <c r="C50" i="89" s="1"/>
  <c r="E21" i="89" l="1"/>
  <c r="F20" i="89"/>
  <c r="B49" i="89"/>
  <c r="A50" i="89"/>
  <c r="A49" i="89"/>
  <c r="B48" i="89"/>
  <c r="E22" i="89" l="1"/>
  <c r="F21" i="89"/>
  <c r="A48" i="89"/>
  <c r="B47" i="89"/>
  <c r="F22" i="89" l="1"/>
  <c r="E23" i="89"/>
  <c r="B46" i="89"/>
  <c r="A47" i="89"/>
  <c r="F23" i="89" l="1"/>
  <c r="E24" i="89"/>
  <c r="A46" i="89"/>
  <c r="B45" i="89"/>
  <c r="E25" i="89" l="1"/>
  <c r="F24" i="89"/>
  <c r="A45" i="89"/>
  <c r="B44" i="89"/>
  <c r="E26" i="89" l="1"/>
  <c r="F25" i="89"/>
  <c r="B43" i="89"/>
  <c r="A44" i="89"/>
  <c r="F26" i="89" l="1"/>
  <c r="E27" i="89"/>
  <c r="A43" i="89"/>
  <c r="B42" i="89"/>
  <c r="F27" i="89" l="1"/>
  <c r="E28" i="89"/>
  <c r="A42" i="89"/>
  <c r="B41" i="89"/>
  <c r="E29" i="89" l="1"/>
  <c r="F28" i="89"/>
  <c r="A41" i="89"/>
  <c r="B40" i="89"/>
  <c r="E30" i="89" l="1"/>
  <c r="F29" i="89"/>
  <c r="B39" i="89"/>
  <c r="A40" i="89"/>
  <c r="C40" i="89"/>
  <c r="F30" i="89" l="1"/>
  <c r="E31" i="89"/>
  <c r="B38" i="89"/>
  <c r="C39" i="89"/>
  <c r="A39" i="89"/>
  <c r="F31" i="89" l="1"/>
  <c r="E32" i="89"/>
  <c r="B37" i="89"/>
  <c r="A38" i="89"/>
  <c r="C38" i="89"/>
  <c r="E33" i="89" l="1"/>
  <c r="F32" i="89"/>
  <c r="C37" i="89"/>
  <c r="A37" i="89"/>
  <c r="B36" i="89"/>
  <c r="E34" i="89" l="1"/>
  <c r="F33" i="89"/>
  <c r="B35" i="89"/>
  <c r="C36" i="89"/>
  <c r="A36" i="89"/>
  <c r="F34" i="89" l="1"/>
  <c r="E35" i="89"/>
  <c r="C35" i="89"/>
  <c r="A35" i="89"/>
  <c r="B34" i="89"/>
  <c r="F35" i="89" l="1"/>
  <c r="E36" i="89"/>
  <c r="C34" i="89"/>
  <c r="A34" i="89"/>
  <c r="B33" i="89"/>
  <c r="E37" i="89" l="1"/>
  <c r="F36" i="89"/>
  <c r="A33" i="89"/>
  <c r="B32" i="89"/>
  <c r="C33" i="89"/>
  <c r="E38" i="89" l="1"/>
  <c r="F37" i="89"/>
  <c r="C32" i="89"/>
  <c r="A32" i="89"/>
  <c r="B31" i="89"/>
  <c r="F38" i="89" l="1"/>
  <c r="E39" i="89"/>
  <c r="B30" i="89"/>
  <c r="C31" i="89"/>
  <c r="A31" i="89"/>
  <c r="F39" i="89" l="1"/>
  <c r="E40" i="89"/>
  <c r="B29" i="89"/>
  <c r="C30" i="89"/>
  <c r="A30" i="89"/>
  <c r="E41" i="89" l="1"/>
  <c r="F40" i="89"/>
  <c r="C29" i="89"/>
  <c r="A29" i="89"/>
  <c r="B28" i="89"/>
  <c r="E42" i="89" l="1"/>
  <c r="F41" i="89"/>
  <c r="C28" i="89"/>
  <c r="B27" i="89"/>
  <c r="A28" i="89"/>
  <c r="F42" i="89" l="1"/>
  <c r="G42" i="89"/>
  <c r="H42" i="89" s="1"/>
  <c r="C27" i="89"/>
  <c r="A27" i="89"/>
  <c r="B26" i="89"/>
  <c r="A26" i="89" l="1"/>
  <c r="C26" i="89"/>
  <c r="B25" i="89"/>
  <c r="A25" i="89" l="1"/>
  <c r="B24" i="89"/>
  <c r="C25" i="89"/>
  <c r="C24" i="89" l="1"/>
  <c r="A24" i="89"/>
  <c r="B23" i="89"/>
  <c r="B22" i="89" l="1"/>
  <c r="C23" i="89"/>
  <c r="A23" i="89"/>
  <c r="B21" i="89" l="1"/>
  <c r="C22" i="89"/>
  <c r="A22" i="89"/>
  <c r="C21" i="89" l="1"/>
  <c r="A21" i="89"/>
  <c r="B20" i="89"/>
  <c r="B19" i="89" l="1"/>
  <c r="A20" i="89"/>
  <c r="C20" i="89"/>
  <c r="C19" i="89" l="1"/>
  <c r="A19" i="89"/>
  <c r="B18" i="89"/>
  <c r="C18" i="89" l="1"/>
  <c r="A18" i="89"/>
  <c r="B17" i="89"/>
  <c r="A17" i="89" l="1"/>
  <c r="B16" i="89"/>
  <c r="C17" i="89"/>
  <c r="A16" i="89" l="1"/>
  <c r="B15" i="89"/>
  <c r="C16" i="89"/>
  <c r="B14" i="89" l="1"/>
  <c r="C15" i="89"/>
  <c r="A15" i="89"/>
  <c r="B13" i="89" l="1"/>
  <c r="C14" i="89"/>
  <c r="A14" i="89"/>
  <c r="C13" i="89" l="1"/>
  <c r="A13" i="89"/>
  <c r="B12" i="89"/>
  <c r="B11" i="89" l="1"/>
  <c r="C12" i="89"/>
  <c r="A12" i="89"/>
  <c r="C11" i="89" l="1"/>
  <c r="A11" i="89"/>
  <c r="B10" i="89"/>
  <c r="A10" i="89" l="1"/>
  <c r="C10" i="89"/>
  <c r="B9" i="89"/>
  <c r="A9" i="89" l="1"/>
  <c r="C9" i="89"/>
  <c r="AR93" i="62" l="1"/>
  <c r="AR92" i="62"/>
  <c r="AR83" i="62"/>
  <c r="AR81" i="62"/>
  <c r="AR57" i="62"/>
  <c r="AR22" i="62"/>
  <c r="AP36" i="62" l="1"/>
  <c r="AN36" i="62"/>
  <c r="AL36" i="62"/>
  <c r="AJ36" i="62"/>
  <c r="AH36" i="62"/>
  <c r="AF36" i="62"/>
  <c r="AD36" i="62"/>
  <c r="AB36" i="62"/>
  <c r="Z36" i="62"/>
  <c r="X36" i="62"/>
  <c r="V36" i="62"/>
  <c r="T36" i="62"/>
  <c r="R36" i="62"/>
  <c r="P36" i="62"/>
  <c r="N36" i="62"/>
  <c r="L36" i="62"/>
  <c r="J36" i="62"/>
  <c r="H36" i="62"/>
  <c r="F36" i="62"/>
  <c r="AP8" i="62"/>
  <c r="AP9" i="62" s="1"/>
  <c r="AO8" i="62"/>
  <c r="AO9" i="62" s="1"/>
  <c r="G109" i="2"/>
  <c r="F109" i="2"/>
  <c r="G108" i="2"/>
  <c r="F108" i="2"/>
  <c r="AM8" i="51" l="1"/>
  <c r="AM9" i="51" s="1"/>
  <c r="AN8" i="51"/>
  <c r="AN9" i="51" s="1"/>
  <c r="G106" i="2" l="1"/>
  <c r="G107" i="2"/>
  <c r="F105" i="2"/>
  <c r="F106" i="2"/>
  <c r="F107" i="2"/>
  <c r="G41" i="89" l="1"/>
  <c r="A69" i="88"/>
  <c r="B69" i="88" s="1"/>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40" i="88"/>
  <c r="A39" i="88"/>
  <c r="A38" i="88"/>
  <c r="A37" i="88"/>
  <c r="A36" i="88"/>
  <c r="A35" i="88"/>
  <c r="A34" i="88"/>
  <c r="A33" i="88"/>
  <c r="A32" i="88"/>
  <c r="A31" i="88"/>
  <c r="A30" i="88"/>
  <c r="A29" i="88"/>
  <c r="A28" i="88"/>
  <c r="A27" i="88"/>
  <c r="A26" i="88"/>
  <c r="A25" i="88"/>
  <c r="A24" i="88"/>
  <c r="A23" i="88"/>
  <c r="A22" i="88"/>
  <c r="A21" i="88"/>
  <c r="A20" i="88"/>
  <c r="A19" i="88"/>
  <c r="A18" i="88"/>
  <c r="A17" i="88"/>
  <c r="A16" i="88"/>
  <c r="A15" i="88"/>
  <c r="A14" i="88"/>
  <c r="A13" i="88"/>
  <c r="A12" i="88"/>
  <c r="A11" i="88"/>
  <c r="A10" i="88"/>
  <c r="A9" i="88"/>
  <c r="A69" i="37"/>
  <c r="B69" i="37" s="1"/>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68" i="13"/>
  <c r="C68" i="13" s="1"/>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69" i="59"/>
  <c r="B69" i="59" s="1"/>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70" i="80"/>
  <c r="B70" i="80" s="1"/>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C21" i="80" s="1"/>
  <c r="A20" i="80"/>
  <c r="C20" i="80" s="1"/>
  <c r="A19" i="80"/>
  <c r="C19" i="80" s="1"/>
  <c r="A18" i="80"/>
  <c r="C18" i="80" s="1"/>
  <c r="A17" i="80"/>
  <c r="C17" i="80" s="1"/>
  <c r="A16" i="80"/>
  <c r="C16" i="80" s="1"/>
  <c r="A15" i="80"/>
  <c r="C15" i="80" s="1"/>
  <c r="A14" i="80"/>
  <c r="C14" i="80" s="1"/>
  <c r="A13" i="80"/>
  <c r="C13" i="80" s="1"/>
  <c r="A12" i="80"/>
  <c r="C12" i="80" s="1"/>
  <c r="A11" i="80"/>
  <c r="C11" i="80" s="1"/>
  <c r="A10" i="80"/>
  <c r="C10" i="80" s="1"/>
  <c r="A70" i="30"/>
  <c r="B70" i="30" s="1"/>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68" i="18"/>
  <c r="C68" i="18" s="1"/>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69" i="53"/>
  <c r="B69" i="53" s="1"/>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69" i="11"/>
  <c r="C69" i="11" s="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B69" i="11" l="1"/>
  <c r="B68" i="18"/>
  <c r="C70" i="30"/>
  <c r="B68" i="13"/>
  <c r="C70" i="80"/>
  <c r="C69" i="37"/>
  <c r="C69" i="88"/>
  <c r="C69" i="59"/>
  <c r="C69" i="53"/>
  <c r="D69" i="53"/>
  <c r="AM8" i="62" l="1"/>
  <c r="AM9" i="62" l="1"/>
  <c r="G104" i="2" l="1"/>
  <c r="G105" i="2"/>
  <c r="F104" i="2"/>
  <c r="AN8" i="62" l="1"/>
  <c r="AN9" i="62" s="1"/>
  <c r="L169" i="91" l="1"/>
  <c r="N169" i="91"/>
  <c r="T169" i="91"/>
  <c r="V169" i="91"/>
  <c r="X169" i="91"/>
  <c r="Z169" i="91"/>
  <c r="AB169" i="91"/>
  <c r="AD169" i="91"/>
  <c r="AF169" i="91"/>
  <c r="AH169" i="91"/>
  <c r="R171" i="91"/>
  <c r="R169" i="91" s="1"/>
  <c r="P163" i="91"/>
  <c r="J163" i="91"/>
  <c r="H163" i="91"/>
  <c r="F163" i="91"/>
  <c r="D163" i="91"/>
  <c r="H157" i="91"/>
  <c r="AL151" i="91"/>
  <c r="P151" i="91"/>
  <c r="J151" i="91"/>
  <c r="H151" i="91"/>
  <c r="F151" i="91"/>
  <c r="D151" i="91"/>
  <c r="AN143" i="91"/>
  <c r="AL143" i="91"/>
  <c r="AJ143" i="91"/>
  <c r="AH143" i="91"/>
  <c r="AF143" i="91"/>
  <c r="AD143" i="91"/>
  <c r="AB143" i="91"/>
  <c r="Z143" i="91"/>
  <c r="X143" i="91"/>
  <c r="V143" i="91"/>
  <c r="T143" i="91"/>
  <c r="R143" i="91"/>
  <c r="P143" i="91"/>
  <c r="N143" i="91"/>
  <c r="L143" i="91"/>
  <c r="J143" i="91"/>
  <c r="H143" i="91"/>
  <c r="F143" i="91"/>
  <c r="D143" i="91"/>
  <c r="AN138" i="91"/>
  <c r="AN169" i="91" s="1"/>
  <c r="AL138" i="91"/>
  <c r="AL169" i="91" s="1"/>
  <c r="AJ138" i="91"/>
  <c r="AJ169" i="91" s="1"/>
  <c r="P138" i="91"/>
  <c r="J138" i="91"/>
  <c r="J169" i="91" s="1"/>
  <c r="H138" i="91"/>
  <c r="H169" i="91" s="1"/>
  <c r="F138" i="91"/>
  <c r="F169" i="91" s="1"/>
  <c r="D138" i="91"/>
  <c r="D169" i="91" s="1"/>
  <c r="C132" i="91"/>
  <c r="T127" i="91"/>
  <c r="R127" i="91"/>
  <c r="P127" i="91"/>
  <c r="N127" i="91"/>
  <c r="L127" i="91"/>
  <c r="T122" i="91"/>
  <c r="S122" i="91"/>
  <c r="AN121" i="91"/>
  <c r="AN127" i="91" s="1"/>
  <c r="AL121" i="91"/>
  <c r="AL127" i="91" s="1"/>
  <c r="AJ121" i="91"/>
  <c r="AJ127" i="91" s="1"/>
  <c r="J121" i="91"/>
  <c r="J127" i="91" s="1"/>
  <c r="I121" i="91"/>
  <c r="H121" i="91"/>
  <c r="H127" i="91" s="1"/>
  <c r="G121" i="91"/>
  <c r="F121" i="91"/>
  <c r="F127" i="91" s="1"/>
  <c r="E121" i="91"/>
  <c r="D121" i="91"/>
  <c r="D127" i="91" s="1"/>
  <c r="C121" i="91"/>
  <c r="AN111" i="91"/>
  <c r="AL111" i="91"/>
  <c r="AJ111" i="91"/>
  <c r="P111" i="91"/>
  <c r="J111" i="91"/>
  <c r="H111" i="91"/>
  <c r="F111" i="91"/>
  <c r="D111" i="91"/>
  <c r="AN106" i="91"/>
  <c r="AM106" i="91"/>
  <c r="AL106" i="91"/>
  <c r="AK106" i="91"/>
  <c r="AJ106" i="91"/>
  <c r="P106" i="91"/>
  <c r="O106" i="91"/>
  <c r="J106" i="91"/>
  <c r="I106" i="91"/>
  <c r="H106" i="91"/>
  <c r="G106" i="91"/>
  <c r="F106" i="91"/>
  <c r="E106" i="91"/>
  <c r="D106" i="91"/>
  <c r="C106" i="91"/>
  <c r="AN100" i="91"/>
  <c r="AL100" i="91"/>
  <c r="AJ100" i="91"/>
  <c r="AH100" i="91"/>
  <c r="AF100" i="91"/>
  <c r="AD100" i="91"/>
  <c r="AB100" i="91"/>
  <c r="Z100" i="91"/>
  <c r="X100" i="91"/>
  <c r="V100" i="91"/>
  <c r="T100" i="91"/>
  <c r="P100" i="91"/>
  <c r="J100" i="91"/>
  <c r="H100" i="91"/>
  <c r="F100" i="91"/>
  <c r="D100" i="91"/>
  <c r="AN95" i="91"/>
  <c r="AL95" i="91"/>
  <c r="AJ95" i="91"/>
  <c r="P95" i="91"/>
  <c r="J95" i="91"/>
  <c r="H95" i="91"/>
  <c r="F95" i="91"/>
  <c r="D95" i="91"/>
  <c r="AB75" i="91"/>
  <c r="P75" i="91"/>
  <c r="N75" i="91"/>
  <c r="L75" i="91"/>
  <c r="J75" i="91"/>
  <c r="H75" i="91"/>
  <c r="F75" i="91"/>
  <c r="D75" i="91"/>
  <c r="K66" i="91"/>
  <c r="G66" i="91"/>
  <c r="AN59" i="91"/>
  <c r="AL59" i="91"/>
  <c r="AJ59" i="91"/>
  <c r="AD59" i="91"/>
  <c r="T59" i="91"/>
  <c r="R59" i="91"/>
  <c r="P59" i="91"/>
  <c r="N59" i="91"/>
  <c r="J59" i="91"/>
  <c r="H59" i="91"/>
  <c r="F59" i="91"/>
  <c r="D59" i="91"/>
  <c r="AN44" i="91"/>
  <c r="AL44" i="91"/>
  <c r="AJ44" i="91"/>
  <c r="P44" i="91"/>
  <c r="N44" i="91"/>
  <c r="J44" i="91"/>
  <c r="H44" i="91"/>
  <c r="F44" i="91"/>
  <c r="D44" i="91"/>
  <c r="AL34" i="91"/>
  <c r="AJ34" i="91"/>
  <c r="P34" i="91"/>
  <c r="J34" i="91"/>
  <c r="F34" i="91"/>
  <c r="D34" i="91"/>
  <c r="H27" i="91"/>
  <c r="H34" i="91" s="1"/>
  <c r="AN21" i="91"/>
  <c r="AL21" i="91"/>
  <c r="AJ21" i="91"/>
  <c r="P21" i="91"/>
  <c r="J21" i="91"/>
  <c r="H21" i="91"/>
  <c r="F18" i="91"/>
  <c r="F21" i="91" s="1"/>
  <c r="E18" i="91"/>
  <c r="D18" i="91"/>
  <c r="D21" i="91" s="1"/>
  <c r="C18" i="91"/>
  <c r="AN13" i="91"/>
  <c r="AM13" i="91"/>
  <c r="AL13" i="91"/>
  <c r="AK13" i="91"/>
  <c r="P13" i="91"/>
  <c r="N13" i="91"/>
  <c r="L13" i="91"/>
  <c r="J13" i="91"/>
  <c r="H13" i="91"/>
  <c r="F13" i="91"/>
  <c r="D13" i="91"/>
  <c r="AN8" i="91"/>
  <c r="AM8" i="91"/>
  <c r="AL8" i="91"/>
  <c r="AK8" i="91"/>
  <c r="AJ8" i="91"/>
  <c r="AI8" i="91"/>
  <c r="AH8" i="91"/>
  <c r="AG8" i="91"/>
  <c r="AF8" i="91"/>
  <c r="AE8" i="91"/>
  <c r="AD8" i="91"/>
  <c r="AC8" i="91"/>
  <c r="AB8" i="91"/>
  <c r="AA8" i="91"/>
  <c r="Z8" i="91"/>
  <c r="Y8" i="91"/>
  <c r="X8" i="91"/>
  <c r="W8" i="91"/>
  <c r="V8" i="91"/>
  <c r="U8" i="91"/>
  <c r="T8" i="91"/>
  <c r="S8" i="91"/>
  <c r="R8" i="91"/>
  <c r="Q8" i="91"/>
  <c r="P8" i="91"/>
  <c r="O8" i="91"/>
  <c r="N8" i="91"/>
  <c r="M8" i="91"/>
  <c r="L8" i="91"/>
  <c r="K8" i="91"/>
  <c r="J8" i="91"/>
  <c r="I8" i="91"/>
  <c r="H8" i="91"/>
  <c r="G8" i="91"/>
  <c r="F8" i="91"/>
  <c r="E8" i="91"/>
  <c r="D8" i="91"/>
  <c r="C8" i="91"/>
  <c r="P171" i="91" l="1"/>
  <c r="P169" i="91" s="1"/>
  <c r="AV217" i="90" l="1"/>
  <c r="AU217" i="90"/>
  <c r="AT217" i="90"/>
  <c r="AS217" i="90"/>
  <c r="AR217" i="90"/>
  <c r="AQ217" i="90"/>
  <c r="AP217" i="90"/>
  <c r="AO217" i="90"/>
  <c r="AN217" i="90"/>
  <c r="AM217" i="90"/>
  <c r="AL217" i="90"/>
  <c r="AK217" i="90"/>
  <c r="AJ217" i="90"/>
  <c r="AI217" i="90"/>
  <c r="AH217" i="90"/>
  <c r="AG217" i="90"/>
  <c r="AF217" i="90"/>
  <c r="AE217" i="90"/>
  <c r="AD217" i="90"/>
  <c r="AC217" i="90"/>
  <c r="AB217" i="90"/>
  <c r="AA217" i="90"/>
  <c r="Z217" i="90"/>
  <c r="Y217" i="90"/>
  <c r="X217" i="90"/>
  <c r="W217" i="90"/>
  <c r="V217" i="90"/>
  <c r="U217" i="90"/>
  <c r="T217" i="90"/>
  <c r="S217" i="90"/>
  <c r="R217" i="90"/>
  <c r="Q217" i="90"/>
  <c r="P217" i="90"/>
  <c r="O217" i="90"/>
  <c r="N217" i="90"/>
  <c r="M217" i="90"/>
  <c r="L217" i="90"/>
  <c r="K217" i="90"/>
  <c r="J217" i="90"/>
  <c r="I217" i="90"/>
  <c r="H217" i="90"/>
  <c r="G217" i="90"/>
  <c r="F217" i="90"/>
  <c r="E217" i="90"/>
  <c r="D217" i="90"/>
  <c r="C217" i="90"/>
  <c r="AT212" i="90"/>
  <c r="AR212" i="90"/>
  <c r="AJ212" i="90"/>
  <c r="AH212" i="90"/>
  <c r="AF212" i="90"/>
  <c r="AD212" i="90"/>
  <c r="AB212" i="90"/>
  <c r="X212" i="90"/>
  <c r="V212" i="90"/>
  <c r="T212" i="90"/>
  <c r="R212" i="90"/>
  <c r="P212" i="90"/>
  <c r="N212" i="90"/>
  <c r="L212" i="90"/>
  <c r="J212" i="90"/>
  <c r="H212" i="90"/>
  <c r="F212" i="90"/>
  <c r="D212" i="90"/>
  <c r="L199" i="90"/>
  <c r="AZ197" i="90"/>
  <c r="AX197" i="90"/>
  <c r="AV197" i="90"/>
  <c r="AT197" i="90"/>
  <c r="AJ197" i="90"/>
  <c r="AH197" i="90"/>
  <c r="AF197" i="90"/>
  <c r="AD197" i="90"/>
  <c r="AB197" i="90"/>
  <c r="Z197" i="90"/>
  <c r="X197" i="90"/>
  <c r="V197" i="90"/>
  <c r="T197" i="90"/>
  <c r="R197" i="90"/>
  <c r="P197" i="90"/>
  <c r="N197" i="90"/>
  <c r="L197" i="90"/>
  <c r="J197" i="90"/>
  <c r="H197" i="90"/>
  <c r="F197" i="90"/>
  <c r="D197" i="90"/>
  <c r="AZ187" i="90"/>
  <c r="AX187" i="90"/>
  <c r="AV187" i="90"/>
  <c r="AU187" i="90"/>
  <c r="AT187" i="90"/>
  <c r="AS187" i="90"/>
  <c r="AR187" i="90"/>
  <c r="AQ187" i="90"/>
  <c r="AP187" i="90"/>
  <c r="AO187" i="90"/>
  <c r="AN187" i="90"/>
  <c r="AM187" i="90"/>
  <c r="AL187" i="90"/>
  <c r="AK187" i="90"/>
  <c r="AJ187" i="90"/>
  <c r="AI187" i="90"/>
  <c r="AH187" i="90"/>
  <c r="AG187" i="90"/>
  <c r="AF187" i="90"/>
  <c r="AE187" i="90"/>
  <c r="AD187" i="90"/>
  <c r="AC187" i="90"/>
  <c r="AB187" i="90"/>
  <c r="AA187" i="90"/>
  <c r="Z187" i="90"/>
  <c r="Y187" i="90"/>
  <c r="X187" i="90"/>
  <c r="W187" i="90"/>
  <c r="V187" i="90"/>
  <c r="U187" i="90"/>
  <c r="T187" i="90"/>
  <c r="S187" i="90"/>
  <c r="R187" i="90"/>
  <c r="Q187" i="90"/>
  <c r="P187" i="90"/>
  <c r="O187" i="90"/>
  <c r="N187" i="90"/>
  <c r="M187" i="90"/>
  <c r="L187" i="90"/>
  <c r="K187" i="90"/>
  <c r="J187" i="90"/>
  <c r="I187" i="90"/>
  <c r="H187" i="90"/>
  <c r="G187" i="90"/>
  <c r="F187" i="90"/>
  <c r="E187" i="90"/>
  <c r="D187" i="90"/>
  <c r="D185" i="90"/>
  <c r="C185" i="90"/>
  <c r="C187" i="90" s="1"/>
  <c r="AZ180" i="90"/>
  <c r="AV180" i="90"/>
  <c r="AT180" i="90"/>
  <c r="AR180" i="90"/>
  <c r="AL180" i="90"/>
  <c r="AJ180" i="90"/>
  <c r="AH180" i="90"/>
  <c r="AF180" i="90"/>
  <c r="AD180" i="90"/>
  <c r="AB180" i="90"/>
  <c r="Z180" i="90"/>
  <c r="X180" i="90"/>
  <c r="V180" i="90"/>
  <c r="T180" i="90"/>
  <c r="R180" i="90"/>
  <c r="P180" i="90"/>
  <c r="P223" i="90" s="1"/>
  <c r="N180" i="90"/>
  <c r="N223" i="90" s="1"/>
  <c r="L180" i="90"/>
  <c r="L223" i="90" s="1"/>
  <c r="J180" i="90"/>
  <c r="J223" i="90" s="1"/>
  <c r="H180" i="90"/>
  <c r="H223" i="90" s="1"/>
  <c r="F180" i="90"/>
  <c r="F223" i="90" s="1"/>
  <c r="D180" i="90"/>
  <c r="Q174" i="90"/>
  <c r="O174" i="90"/>
  <c r="M174" i="90"/>
  <c r="K174" i="90"/>
  <c r="I174" i="90"/>
  <c r="AZ160" i="90"/>
  <c r="AZ167" i="90" s="1"/>
  <c r="AX160" i="90"/>
  <c r="AX167" i="90" s="1"/>
  <c r="AV160" i="90"/>
  <c r="AV167" i="90" s="1"/>
  <c r="AU160" i="90"/>
  <c r="AT160" i="90"/>
  <c r="AT167" i="90" s="1"/>
  <c r="AS160" i="90"/>
  <c r="AR160" i="90"/>
  <c r="AR167" i="90" s="1"/>
  <c r="AQ160" i="90"/>
  <c r="AP160" i="90"/>
  <c r="AP167" i="90" s="1"/>
  <c r="AO160" i="90"/>
  <c r="AN160" i="90"/>
  <c r="AN167" i="90" s="1"/>
  <c r="AM160" i="90"/>
  <c r="AL160" i="90"/>
  <c r="AL167" i="90" s="1"/>
  <c r="AK160" i="90"/>
  <c r="AJ160" i="90"/>
  <c r="AJ167" i="90" s="1"/>
  <c r="AI160" i="90"/>
  <c r="AH160" i="90"/>
  <c r="AH167" i="90" s="1"/>
  <c r="AG160" i="90"/>
  <c r="AF160" i="90"/>
  <c r="AF167" i="90" s="1"/>
  <c r="AE160" i="90"/>
  <c r="AD160" i="90"/>
  <c r="AD167" i="90" s="1"/>
  <c r="AC160" i="90"/>
  <c r="AB160" i="90"/>
  <c r="AB167" i="90" s="1"/>
  <c r="AA160" i="90"/>
  <c r="Z160" i="90"/>
  <c r="Z167" i="90" s="1"/>
  <c r="Y160" i="90"/>
  <c r="X160" i="90"/>
  <c r="X167" i="90" s="1"/>
  <c r="W160" i="90"/>
  <c r="V160" i="90"/>
  <c r="V167" i="90" s="1"/>
  <c r="T160" i="90"/>
  <c r="T167" i="90" s="1"/>
  <c r="R160" i="90"/>
  <c r="R167" i="90" s="1"/>
  <c r="Q160" i="90"/>
  <c r="P160" i="90"/>
  <c r="P167" i="90" s="1"/>
  <c r="O160" i="90"/>
  <c r="N160" i="90"/>
  <c r="N167" i="90" s="1"/>
  <c r="M160" i="90"/>
  <c r="L160" i="90"/>
  <c r="L167" i="90" s="1"/>
  <c r="K160" i="90"/>
  <c r="J160" i="90"/>
  <c r="J167" i="90" s="1"/>
  <c r="I160" i="90"/>
  <c r="H160" i="90"/>
  <c r="H167" i="90" s="1"/>
  <c r="G160" i="90"/>
  <c r="F160" i="90"/>
  <c r="F167" i="90" s="1"/>
  <c r="E160" i="90"/>
  <c r="D160" i="90"/>
  <c r="D167" i="90" s="1"/>
  <c r="C160" i="90"/>
  <c r="D152" i="90"/>
  <c r="C152" i="90"/>
  <c r="AZ148" i="90"/>
  <c r="AX148" i="90"/>
  <c r="AV148" i="90"/>
  <c r="AT148" i="90"/>
  <c r="AJ148" i="90"/>
  <c r="AH148" i="90"/>
  <c r="AF148" i="90"/>
  <c r="AD148" i="90"/>
  <c r="AB148" i="90"/>
  <c r="Z148" i="90"/>
  <c r="X148" i="90"/>
  <c r="V148" i="90"/>
  <c r="T148" i="90"/>
  <c r="R148" i="90"/>
  <c r="P148" i="90"/>
  <c r="N148" i="90"/>
  <c r="L148" i="90"/>
  <c r="J148" i="90"/>
  <c r="H148" i="90"/>
  <c r="F148" i="90"/>
  <c r="D148" i="90"/>
  <c r="AZ143" i="90"/>
  <c r="AY143" i="90"/>
  <c r="AX143" i="90"/>
  <c r="AW143" i="90"/>
  <c r="AV143" i="90"/>
  <c r="AU143" i="90"/>
  <c r="AT143" i="90"/>
  <c r="AS143" i="90"/>
  <c r="AR143" i="90"/>
  <c r="AQ143" i="90"/>
  <c r="AP143" i="90"/>
  <c r="AO143" i="90"/>
  <c r="AN143" i="90"/>
  <c r="AM143" i="90"/>
  <c r="AJ143" i="90"/>
  <c r="AI143" i="90"/>
  <c r="AH143" i="90"/>
  <c r="AG143" i="90"/>
  <c r="AF143" i="90"/>
  <c r="AE143" i="90"/>
  <c r="AD143" i="90"/>
  <c r="AC143" i="90"/>
  <c r="AB143" i="90"/>
  <c r="AA143" i="90"/>
  <c r="Z143" i="90"/>
  <c r="Y143" i="90"/>
  <c r="X143" i="90"/>
  <c r="W143" i="90"/>
  <c r="V143" i="90"/>
  <c r="U143" i="90"/>
  <c r="T143" i="90"/>
  <c r="S143" i="90"/>
  <c r="R143" i="90"/>
  <c r="Q143" i="90"/>
  <c r="P143" i="90"/>
  <c r="O143" i="90"/>
  <c r="C143" i="90"/>
  <c r="K140" i="90"/>
  <c r="K143" i="90" s="1"/>
  <c r="N139" i="90"/>
  <c r="N140" i="90" s="1"/>
  <c r="M139" i="90"/>
  <c r="M140" i="90" s="1"/>
  <c r="L139" i="90"/>
  <c r="L140" i="90" s="1"/>
  <c r="J139" i="90"/>
  <c r="I139" i="90"/>
  <c r="I140" i="90" s="1"/>
  <c r="H139" i="90"/>
  <c r="H140" i="90" s="1"/>
  <c r="G139" i="90"/>
  <c r="F139" i="90"/>
  <c r="F143" i="90" s="1"/>
  <c r="E139" i="90"/>
  <c r="E143" i="90" s="1"/>
  <c r="D139" i="90"/>
  <c r="D143" i="90" s="1"/>
  <c r="C139" i="90"/>
  <c r="AZ136" i="90"/>
  <c r="AX136" i="90"/>
  <c r="AV136" i="90"/>
  <c r="AT136" i="90"/>
  <c r="AR136" i="90"/>
  <c r="AP136" i="90"/>
  <c r="AN136" i="90"/>
  <c r="AL136" i="90"/>
  <c r="AJ136" i="90"/>
  <c r="AH136" i="90"/>
  <c r="AF136" i="90"/>
  <c r="AD136" i="90"/>
  <c r="AB136" i="90"/>
  <c r="Z136" i="90"/>
  <c r="X136" i="90"/>
  <c r="V136" i="90"/>
  <c r="T136" i="90"/>
  <c r="R136" i="90"/>
  <c r="P136" i="90"/>
  <c r="N136" i="90"/>
  <c r="L136" i="90"/>
  <c r="J136" i="90"/>
  <c r="H136" i="90"/>
  <c r="F136" i="90"/>
  <c r="D136" i="90"/>
  <c r="AZ131" i="90"/>
  <c r="AX131" i="90"/>
  <c r="AV131" i="90"/>
  <c r="AT131" i="90"/>
  <c r="AR131" i="90"/>
  <c r="AP131" i="90"/>
  <c r="AN131" i="90"/>
  <c r="AJ131" i="90"/>
  <c r="AH131" i="90"/>
  <c r="AF131" i="90"/>
  <c r="AD131" i="90"/>
  <c r="AB131" i="90"/>
  <c r="Z131" i="90"/>
  <c r="X131" i="90"/>
  <c r="V131" i="90"/>
  <c r="T131" i="90"/>
  <c r="R131" i="90"/>
  <c r="P131" i="90"/>
  <c r="N131" i="90"/>
  <c r="L131" i="90"/>
  <c r="J131" i="90"/>
  <c r="H131" i="90"/>
  <c r="F131" i="90"/>
  <c r="D120" i="90"/>
  <c r="C120" i="90"/>
  <c r="AB112" i="90"/>
  <c r="Z112" i="90"/>
  <c r="X112" i="90"/>
  <c r="V112" i="90"/>
  <c r="T112" i="90"/>
  <c r="AV108" i="90"/>
  <c r="AT108" i="90"/>
  <c r="AR108" i="90"/>
  <c r="AP108" i="90"/>
  <c r="AN108" i="90"/>
  <c r="AL108" i="90"/>
  <c r="AJ108" i="90"/>
  <c r="AH108" i="90"/>
  <c r="AF108" i="90"/>
  <c r="AD108" i="90"/>
  <c r="AB108" i="90"/>
  <c r="Z108" i="90"/>
  <c r="X108" i="90"/>
  <c r="V108" i="90"/>
  <c r="T108" i="90"/>
  <c r="R108" i="90"/>
  <c r="P108" i="90"/>
  <c r="N108" i="90"/>
  <c r="L108" i="90"/>
  <c r="J108" i="90"/>
  <c r="H108" i="90"/>
  <c r="F108" i="90"/>
  <c r="D108" i="90"/>
  <c r="AZ84" i="90"/>
  <c r="AX84" i="90"/>
  <c r="AV84" i="90"/>
  <c r="AT84" i="90"/>
  <c r="AR84" i="90"/>
  <c r="AP84" i="90"/>
  <c r="AN84" i="90"/>
  <c r="AJ84" i="90"/>
  <c r="AH84" i="90"/>
  <c r="AF84" i="90"/>
  <c r="AD84" i="90"/>
  <c r="AB84" i="90"/>
  <c r="Z84" i="90"/>
  <c r="X84" i="90"/>
  <c r="V84" i="90"/>
  <c r="T84" i="90"/>
  <c r="R84" i="90"/>
  <c r="P84" i="90"/>
  <c r="N84" i="90"/>
  <c r="L84" i="90"/>
  <c r="F84" i="90"/>
  <c r="D84" i="90"/>
  <c r="J81" i="90"/>
  <c r="J84" i="90" s="1"/>
  <c r="I81" i="90"/>
  <c r="H81" i="90"/>
  <c r="G81" i="90"/>
  <c r="D81" i="90"/>
  <c r="C81" i="90"/>
  <c r="AX67" i="90"/>
  <c r="AT67" i="90"/>
  <c r="AP67" i="90"/>
  <c r="AN67" i="90"/>
  <c r="AJ67" i="90"/>
  <c r="AH67" i="90"/>
  <c r="AF67" i="90"/>
  <c r="AD67" i="90"/>
  <c r="AB67" i="90"/>
  <c r="Z67" i="90"/>
  <c r="X67" i="90"/>
  <c r="V67" i="90"/>
  <c r="T67" i="90"/>
  <c r="R67" i="90"/>
  <c r="P67" i="90"/>
  <c r="N67" i="90"/>
  <c r="L67" i="90"/>
  <c r="J67" i="90"/>
  <c r="F67" i="90"/>
  <c r="D66" i="90"/>
  <c r="D67" i="90" s="1"/>
  <c r="C66" i="90"/>
  <c r="AZ57" i="90"/>
  <c r="AX57" i="90"/>
  <c r="AV57" i="90"/>
  <c r="AT57" i="90"/>
  <c r="AR57" i="90"/>
  <c r="AP57" i="90"/>
  <c r="AN57" i="90"/>
  <c r="AJ57" i="90"/>
  <c r="AH57" i="90"/>
  <c r="AF57" i="90"/>
  <c r="AD57" i="90"/>
  <c r="AB57" i="90"/>
  <c r="Z57" i="90"/>
  <c r="X57" i="90"/>
  <c r="V57" i="90"/>
  <c r="T57" i="90"/>
  <c r="L56" i="90"/>
  <c r="K56" i="90"/>
  <c r="H56" i="90"/>
  <c r="G56" i="90"/>
  <c r="L52" i="90"/>
  <c r="K52" i="90"/>
  <c r="J52" i="90"/>
  <c r="J57" i="90" s="1"/>
  <c r="I52" i="90"/>
  <c r="H52" i="90"/>
  <c r="G52" i="90"/>
  <c r="D52" i="90"/>
  <c r="D57" i="90" s="1"/>
  <c r="C52" i="90"/>
  <c r="R48" i="90"/>
  <c r="R57" i="90" s="1"/>
  <c r="P48" i="90"/>
  <c r="P57" i="90" s="1"/>
  <c r="N48" i="90"/>
  <c r="N57" i="90" s="1"/>
  <c r="L48" i="90"/>
  <c r="H48" i="90"/>
  <c r="H57" i="90" s="1"/>
  <c r="F48" i="90"/>
  <c r="F57" i="90" s="1"/>
  <c r="AZ40" i="90"/>
  <c r="AX40" i="90"/>
  <c r="AV40" i="90"/>
  <c r="AT40" i="90"/>
  <c r="AR40" i="90"/>
  <c r="AP40" i="90"/>
  <c r="AN40" i="90"/>
  <c r="AL40" i="90"/>
  <c r="AJ40" i="90"/>
  <c r="AH40" i="90"/>
  <c r="AF40" i="90"/>
  <c r="AD40" i="90"/>
  <c r="AB40" i="90"/>
  <c r="X40" i="90"/>
  <c r="T40" i="90"/>
  <c r="R40" i="90"/>
  <c r="J40" i="90"/>
  <c r="F40" i="90"/>
  <c r="AC34" i="90"/>
  <c r="Z34" i="90"/>
  <c r="Z40" i="90" s="1"/>
  <c r="Y34" i="90"/>
  <c r="V34" i="90"/>
  <c r="V40" i="90" s="1"/>
  <c r="U34" i="90"/>
  <c r="Q32" i="90"/>
  <c r="P32" i="90"/>
  <c r="P40" i="90" s="1"/>
  <c r="O32" i="90"/>
  <c r="N32" i="90"/>
  <c r="N40" i="90" s="1"/>
  <c r="M32" i="90"/>
  <c r="L32" i="90"/>
  <c r="L40" i="90" s="1"/>
  <c r="K32" i="90"/>
  <c r="H32" i="90"/>
  <c r="H40" i="90" s="1"/>
  <c r="G32" i="90"/>
  <c r="D32" i="90"/>
  <c r="C32" i="90"/>
  <c r="D27" i="90"/>
  <c r="C27" i="90"/>
  <c r="AZ14" i="90"/>
  <c r="AY14" i="90"/>
  <c r="AX14" i="90"/>
  <c r="AV14" i="90"/>
  <c r="AT14" i="90"/>
  <c r="AR14" i="90"/>
  <c r="AP14" i="90"/>
  <c r="AN14" i="90"/>
  <c r="AJ14" i="90"/>
  <c r="AH14" i="90"/>
  <c r="AF14" i="90"/>
  <c r="AD14" i="90"/>
  <c r="AB14" i="90"/>
  <c r="Z14" i="90"/>
  <c r="X14" i="90"/>
  <c r="V14" i="90"/>
  <c r="T14" i="90"/>
  <c r="R14" i="90"/>
  <c r="P14" i="90"/>
  <c r="N14" i="90"/>
  <c r="L14" i="90"/>
  <c r="J14" i="90"/>
  <c r="H14" i="90"/>
  <c r="F14" i="90"/>
  <c r="D14" i="90"/>
  <c r="C14" i="90"/>
  <c r="AZ8" i="90"/>
  <c r="AY8" i="90"/>
  <c r="AX8" i="90"/>
  <c r="AW8" i="90"/>
  <c r="AV8" i="90"/>
  <c r="AU8" i="90"/>
  <c r="AT8" i="90"/>
  <c r="AS8" i="90"/>
  <c r="AR8" i="90"/>
  <c r="AQ8" i="90"/>
  <c r="AP8" i="90"/>
  <c r="AO8" i="90"/>
  <c r="AN8" i="90"/>
  <c r="AM8" i="90"/>
  <c r="AL8" i="90"/>
  <c r="AK8" i="90"/>
  <c r="AJ8" i="90"/>
  <c r="AI8" i="90"/>
  <c r="AH8" i="90"/>
  <c r="AG8" i="90"/>
  <c r="AF8" i="90"/>
  <c r="AE8" i="90"/>
  <c r="AD8" i="90"/>
  <c r="AC8" i="90"/>
  <c r="AB8" i="90"/>
  <c r="AA8" i="90"/>
  <c r="Z8" i="90"/>
  <c r="Y8" i="90"/>
  <c r="X8" i="90"/>
  <c r="W8" i="90"/>
  <c r="V8" i="90"/>
  <c r="U8" i="90"/>
  <c r="T8" i="90"/>
  <c r="S8" i="90"/>
  <c r="R8" i="90"/>
  <c r="Q8" i="90"/>
  <c r="P8" i="90"/>
  <c r="O8" i="90"/>
  <c r="N8" i="90"/>
  <c r="M8" i="90"/>
  <c r="L8" i="90"/>
  <c r="K8" i="90"/>
  <c r="J8" i="90"/>
  <c r="I8" i="90"/>
  <c r="H8" i="90"/>
  <c r="G8" i="90"/>
  <c r="F8" i="90"/>
  <c r="E8" i="90"/>
  <c r="D8" i="90"/>
  <c r="C8" i="90"/>
  <c r="AV225" i="90" l="1"/>
  <c r="AV223" i="90" s="1"/>
  <c r="AX225" i="90"/>
  <c r="AX223" i="90" s="1"/>
  <c r="T225" i="90"/>
  <c r="T223" i="90" s="1"/>
  <c r="AJ225" i="90"/>
  <c r="AJ223" i="90" s="1"/>
  <c r="V225" i="90"/>
  <c r="V223" i="90" s="1"/>
  <c r="G140" i="90"/>
  <c r="G143" i="90" s="1"/>
  <c r="AN225" i="90"/>
  <c r="AN223" i="90" s="1"/>
  <c r="L57" i="90"/>
  <c r="X225" i="90"/>
  <c r="X223" i="90" s="1"/>
  <c r="H143" i="90"/>
  <c r="AD225" i="90"/>
  <c r="AD223" i="90" s="1"/>
  <c r="AZ225" i="90"/>
  <c r="AZ223" i="90" s="1"/>
  <c r="AP225" i="90"/>
  <c r="AP223" i="90" s="1"/>
  <c r="R225" i="90"/>
  <c r="R223" i="90" s="1"/>
  <c r="AH225" i="90"/>
  <c r="AH223" i="90" s="1"/>
  <c r="L143" i="90"/>
  <c r="Z225" i="90"/>
  <c r="Z223" i="90" s="1"/>
  <c r="AR225" i="90"/>
  <c r="AR223" i="90" s="1"/>
  <c r="AB225" i="90"/>
  <c r="AB223" i="90" s="1"/>
  <c r="AT225" i="90"/>
  <c r="AT223" i="90" s="1"/>
  <c r="AF225" i="90"/>
  <c r="AF223" i="90" s="1"/>
  <c r="AL225" i="90"/>
  <c r="AL223" i="90" s="1"/>
  <c r="J140" i="90"/>
  <c r="J143" i="90" s="1"/>
  <c r="D40" i="90"/>
  <c r="H84" i="90"/>
  <c r="D131" i="90"/>
  <c r="I143" i="90"/>
  <c r="D225" i="90"/>
  <c r="D223" i="90" s="1"/>
  <c r="G40" i="89" l="1"/>
  <c r="Z2" i="78" l="1" a="1"/>
  <c r="Z2" i="78" s="1"/>
  <c r="F102" i="2" l="1"/>
  <c r="G102" i="2"/>
  <c r="F103" i="2"/>
  <c r="G103" i="2"/>
  <c r="AL8" i="51" l="1"/>
  <c r="AL9" i="51" s="1"/>
  <c r="AK8" i="51"/>
  <c r="AK9" i="51" s="1"/>
  <c r="G6" i="89" l="1"/>
  <c r="G36" i="89" l="1"/>
  <c r="G37" i="89"/>
  <c r="G38" i="89"/>
  <c r="G39" i="89"/>
  <c r="G35" i="89"/>
  <c r="G34" i="89"/>
  <c r="G33" i="89"/>
  <c r="G32" i="89"/>
  <c r="G31" i="89"/>
  <c r="G30" i="89"/>
  <c r="G29" i="89"/>
  <c r="G28" i="89"/>
  <c r="G27" i="89"/>
  <c r="G26" i="89"/>
  <c r="G25" i="89"/>
  <c r="G24" i="89"/>
  <c r="G23" i="89"/>
  <c r="G22" i="89"/>
  <c r="G21" i="89"/>
  <c r="G20" i="89"/>
  <c r="G19" i="89"/>
  <c r="G18" i="89"/>
  <c r="G17" i="89"/>
  <c r="H17" i="89" s="1"/>
  <c r="G16" i="89"/>
  <c r="H16" i="89" s="1"/>
  <c r="G15" i="89"/>
  <c r="H15" i="89" s="1"/>
  <c r="G14" i="89"/>
  <c r="H14" i="89" s="1"/>
  <c r="G13" i="89"/>
  <c r="G12" i="89"/>
  <c r="H12" i="89" s="1"/>
  <c r="G11" i="89"/>
  <c r="H11" i="89" s="1"/>
  <c r="G10" i="89"/>
  <c r="H10" i="89" s="1"/>
  <c r="G9" i="89"/>
  <c r="H9" i="89" s="1"/>
  <c r="H13" i="89" l="1"/>
  <c r="A8" i="77"/>
  <c r="N99" i="52"/>
  <c r="C44" i="89" s="1"/>
  <c r="N100" i="52"/>
  <c r="C45" i="89" s="1"/>
  <c r="N101" i="52"/>
  <c r="C46" i="89" s="1"/>
  <c r="N102" i="52"/>
  <c r="C47" i="89" s="1"/>
  <c r="N103" i="52"/>
  <c r="C48" i="89" s="1"/>
  <c r="N104" i="52"/>
  <c r="N105" i="52"/>
  <c r="C52" i="89" s="1"/>
  <c r="N106" i="52"/>
  <c r="C53" i="89" s="1"/>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F9" i="88"/>
  <c r="A8" i="73"/>
  <c r="A8" i="74"/>
  <c r="A8" i="81"/>
  <c r="C51" i="89" l="1"/>
  <c r="C49" i="89"/>
  <c r="A8" i="76"/>
  <c r="A8" i="4"/>
  <c r="A9" i="78"/>
  <c r="A8" i="75"/>
  <c r="J28" i="49" l="1"/>
  <c r="J80" i="49"/>
  <c r="J20" i="49"/>
  <c r="J22" i="49"/>
  <c r="J24" i="49"/>
  <c r="J26" i="49"/>
  <c r="J31" i="49"/>
  <c r="J32" i="49"/>
  <c r="J33" i="49"/>
  <c r="J34" i="49"/>
  <c r="J35" i="49"/>
  <c r="J37" i="49"/>
  <c r="J39" i="49"/>
  <c r="J43" i="49"/>
  <c r="J45" i="49"/>
  <c r="J59" i="49"/>
  <c r="J60" i="49"/>
  <c r="J61" i="49"/>
  <c r="J62" i="49"/>
  <c r="J63" i="49"/>
  <c r="J64" i="49"/>
  <c r="J66" i="49"/>
  <c r="J47" i="49"/>
  <c r="J49" i="49"/>
  <c r="J52" i="49"/>
  <c r="J53" i="49"/>
  <c r="J54" i="49"/>
  <c r="J56" i="49"/>
  <c r="J68" i="49"/>
  <c r="J71" i="49"/>
  <c r="J72" i="49"/>
  <c r="J73" i="49"/>
  <c r="J74" i="49"/>
  <c r="J75" i="49"/>
  <c r="J82" i="49"/>
  <c r="J84" i="49"/>
  <c r="J86" i="49"/>
  <c r="J88" i="49"/>
  <c r="J91" i="49"/>
  <c r="J92" i="49"/>
  <c r="J100" i="49"/>
  <c r="J17" i="49" l="1"/>
  <c r="J18" i="49"/>
  <c r="J19" i="49"/>
  <c r="F10" i="88"/>
  <c r="F11" i="88" s="1"/>
  <c r="F12" i="88" s="1"/>
  <c r="F13" i="88" s="1"/>
  <c r="F14" i="88" s="1"/>
  <c r="F15" i="88" s="1"/>
  <c r="G6" i="88"/>
  <c r="G9" i="88" l="1"/>
  <c r="B16" i="88"/>
  <c r="C16" i="88"/>
  <c r="B24" i="88"/>
  <c r="C24" i="88"/>
  <c r="B32" i="88"/>
  <c r="C32" i="88"/>
  <c r="B40" i="88"/>
  <c r="C40" i="88"/>
  <c r="B48" i="88"/>
  <c r="C48" i="88"/>
  <c r="B56" i="88"/>
  <c r="C56" i="88"/>
  <c r="B64" i="88"/>
  <c r="C64" i="88"/>
  <c r="B10" i="88"/>
  <c r="C10" i="88"/>
  <c r="B17" i="88"/>
  <c r="C17" i="88"/>
  <c r="B25" i="88"/>
  <c r="C25" i="88"/>
  <c r="B33" i="88"/>
  <c r="C33" i="88"/>
  <c r="B41" i="88"/>
  <c r="C41" i="88"/>
  <c r="B49" i="88"/>
  <c r="C49" i="88"/>
  <c r="B57" i="88"/>
  <c r="C57" i="88"/>
  <c r="B65" i="88"/>
  <c r="C65" i="88"/>
  <c r="B9" i="88"/>
  <c r="C9" i="88"/>
  <c r="B18" i="88"/>
  <c r="C18" i="88"/>
  <c r="B26" i="88"/>
  <c r="C26" i="88"/>
  <c r="B34" i="88"/>
  <c r="C34" i="88"/>
  <c r="B42" i="88"/>
  <c r="C42" i="88"/>
  <c r="B50" i="88"/>
  <c r="C50" i="88"/>
  <c r="B58" i="88"/>
  <c r="C58" i="88"/>
  <c r="B66" i="88"/>
  <c r="C66" i="88"/>
  <c r="B19" i="88"/>
  <c r="C19" i="88"/>
  <c r="B27" i="88"/>
  <c r="C27" i="88"/>
  <c r="B35" i="88"/>
  <c r="C35" i="88"/>
  <c r="B43" i="88"/>
  <c r="C43" i="88"/>
  <c r="B51" i="88"/>
  <c r="C51" i="88"/>
  <c r="B59" i="88"/>
  <c r="C59" i="88"/>
  <c r="B67" i="88"/>
  <c r="C67" i="88"/>
  <c r="B12" i="88"/>
  <c r="C12" i="88"/>
  <c r="B20" i="88"/>
  <c r="C20" i="88"/>
  <c r="B28" i="88"/>
  <c r="C28" i="88"/>
  <c r="B36" i="88"/>
  <c r="C36" i="88"/>
  <c r="B44" i="88"/>
  <c r="C44" i="88"/>
  <c r="B52" i="88"/>
  <c r="C52" i="88"/>
  <c r="B60" i="88"/>
  <c r="C60" i="88"/>
  <c r="B68" i="88"/>
  <c r="C68" i="88"/>
  <c r="B13" i="88"/>
  <c r="C13" i="88"/>
  <c r="B21" i="88"/>
  <c r="C21" i="88"/>
  <c r="B29" i="88"/>
  <c r="C29" i="88"/>
  <c r="B37" i="88"/>
  <c r="C37" i="88"/>
  <c r="B45" i="88"/>
  <c r="C45" i="88"/>
  <c r="B53" i="88"/>
  <c r="C53" i="88"/>
  <c r="B61" i="88"/>
  <c r="C61" i="88"/>
  <c r="B11" i="88"/>
  <c r="C11" i="88"/>
  <c r="B14" i="88"/>
  <c r="C14" i="88"/>
  <c r="B22" i="88"/>
  <c r="C22" i="88"/>
  <c r="B30" i="88"/>
  <c r="C30" i="88"/>
  <c r="B38" i="88"/>
  <c r="C38" i="88"/>
  <c r="B46" i="88"/>
  <c r="C46" i="88"/>
  <c r="B54" i="88"/>
  <c r="C54" i="88"/>
  <c r="B62" i="88"/>
  <c r="C62" i="88"/>
  <c r="B15" i="88"/>
  <c r="C15" i="88"/>
  <c r="B23" i="88"/>
  <c r="C23" i="88"/>
  <c r="B31" i="88"/>
  <c r="C31" i="88"/>
  <c r="B39" i="88"/>
  <c r="C39" i="88"/>
  <c r="B47" i="88"/>
  <c r="C47" i="88"/>
  <c r="B55" i="88"/>
  <c r="C55" i="88"/>
  <c r="B63" i="88"/>
  <c r="C63" i="88"/>
  <c r="E10" i="88" l="1"/>
  <c r="E11" i="88" s="1"/>
  <c r="E12" i="88" s="1"/>
  <c r="E13" i="88" s="1"/>
  <c r="E14" i="88" s="1"/>
  <c r="E15" i="88" s="1"/>
  <c r="G10" i="88" l="1"/>
  <c r="G11" i="88" s="1"/>
  <c r="G12" i="88" s="1"/>
  <c r="G13" i="88" s="1"/>
  <c r="G14" i="88" s="1"/>
  <c r="G15" i="88" s="1"/>
  <c r="G16" i="88" s="1"/>
  <c r="I16" i="88" l="1" a="1"/>
  <c r="I16" i="88" s="1"/>
  <c r="H16" i="88" a="1"/>
  <c r="H16" i="88" s="1"/>
  <c r="T1" i="84"/>
  <c r="U1" i="84" s="1"/>
  <c r="T2" i="84"/>
  <c r="U2" i="84" s="1"/>
  <c r="T3" i="84"/>
  <c r="AA9" i="84"/>
  <c r="N38" i="84"/>
  <c r="P17" i="83" l="1"/>
  <c r="P16" i="83"/>
  <c r="P15" i="83"/>
  <c r="R15" i="83" s="1"/>
  <c r="P14" i="83"/>
  <c r="R14" i="83" s="1"/>
  <c r="P13" i="83"/>
  <c r="R13" i="83" s="1"/>
  <c r="P12" i="83"/>
  <c r="R12" i="83" s="1"/>
  <c r="P11" i="83"/>
  <c r="R11" i="83" s="1"/>
  <c r="P10" i="83"/>
  <c r="P9" i="83"/>
  <c r="R9" i="83" s="1"/>
  <c r="R7" i="83"/>
  <c r="Q7" i="83"/>
  <c r="P8" i="83"/>
  <c r="R8" i="83" s="1"/>
  <c r="P8" i="40"/>
  <c r="R10" i="83" l="1"/>
  <c r="R17" i="83"/>
  <c r="R16" i="83"/>
  <c r="J68" i="52" l="1"/>
  <c r="N68" i="52" s="1"/>
  <c r="J69" i="52"/>
  <c r="N69" i="52" s="1"/>
  <c r="J70" i="52"/>
  <c r="N70" i="52" s="1"/>
  <c r="J71" i="52"/>
  <c r="N71" i="52" s="1"/>
  <c r="J72" i="52"/>
  <c r="N72" i="52" s="1"/>
  <c r="J73" i="52"/>
  <c r="N73" i="52" s="1"/>
  <c r="J74" i="52"/>
  <c r="N74" i="52" s="1"/>
  <c r="J75" i="52"/>
  <c r="N75" i="52" s="1"/>
  <c r="J76" i="52"/>
  <c r="N76" i="52" s="1"/>
  <c r="N77" i="52"/>
  <c r="N78" i="52"/>
  <c r="N79" i="52"/>
  <c r="N80" i="52"/>
  <c r="N81" i="52"/>
  <c r="N82" i="52"/>
  <c r="N83" i="52"/>
  <c r="N84" i="52"/>
  <c r="N85" i="52"/>
  <c r="N86" i="52"/>
  <c r="N87" i="52"/>
  <c r="N88" i="52"/>
  <c r="N89" i="52"/>
  <c r="N90" i="52"/>
  <c r="N91" i="52"/>
  <c r="N92" i="52"/>
  <c r="N93" i="52"/>
  <c r="N94" i="52"/>
  <c r="N95" i="52"/>
  <c r="N96" i="52"/>
  <c r="C41" i="89" s="1"/>
  <c r="N97" i="52"/>
  <c r="C42" i="89" s="1"/>
  <c r="N98" i="52"/>
  <c r="C43" i="89" s="1"/>
  <c r="W2" i="81" l="1" a="1"/>
  <c r="W2" i="81" s="1"/>
  <c r="C14" i="81" l="1" a="1"/>
  <c r="C14" i="81" s="1"/>
  <c r="A10" i="81" a="1"/>
  <c r="A10" i="81" s="1"/>
  <c r="A18" i="81" s="1"/>
  <c r="A11" i="81" a="1"/>
  <c r="A11" i="81" s="1"/>
  <c r="A14" i="81" a="1"/>
  <c r="A14" i="81" s="1"/>
  <c r="A13" i="81" a="1"/>
  <c r="A13" i="81" s="1"/>
  <c r="A12" i="81" a="1"/>
  <c r="A12" i="81" s="1"/>
  <c r="A15" i="81"/>
  <c r="C12" i="81" a="1"/>
  <c r="C12" i="81" s="1"/>
  <c r="C13" i="81" a="1"/>
  <c r="C13" i="81" s="1"/>
  <c r="C11" i="81" a="1"/>
  <c r="C11" i="81" s="1"/>
  <c r="C16" i="81"/>
  <c r="W1" i="81" s="1"/>
  <c r="C10" i="81" a="1"/>
  <c r="C10" i="81" s="1"/>
  <c r="Z1" i="81" a="1"/>
  <c r="Z1" i="81" s="1"/>
  <c r="A20" i="81" l="1"/>
  <c r="C15" i="81" a="1"/>
  <c r="C15" i="81" s="1"/>
  <c r="D15" i="81" s="1" a="1"/>
  <c r="D15" i="81" s="1"/>
  <c r="D14" i="81" a="1"/>
  <c r="D14" i="81" s="1"/>
  <c r="A16" i="81"/>
  <c r="D11" i="81" l="1" a="1"/>
  <c r="D11" i="81" s="1"/>
  <c r="D13" i="81" a="1"/>
  <c r="D13" i="81" s="1"/>
  <c r="D10" i="81" a="1"/>
  <c r="D10" i="81" s="1"/>
  <c r="D12" i="81" a="1"/>
  <c r="D12" i="81" s="1"/>
  <c r="AJ8" i="51" l="1"/>
  <c r="AJ9" i="51" s="1"/>
  <c r="AI8" i="51"/>
  <c r="AI9" i="51" s="1"/>
  <c r="O10" i="61" l="1"/>
  <c r="O11" i="61"/>
  <c r="O12" i="61"/>
  <c r="O13" i="61"/>
  <c r="O14" i="61"/>
  <c r="O15" i="61"/>
  <c r="O16" i="61"/>
  <c r="O17" i="61"/>
  <c r="O18" i="61"/>
  <c r="O19" i="61"/>
  <c r="O20" i="61"/>
  <c r="O21" i="61"/>
  <c r="O22" i="61"/>
  <c r="O23" i="61"/>
  <c r="O24" i="61"/>
  <c r="O25" i="61"/>
  <c r="O26" i="61"/>
  <c r="O27" i="61"/>
  <c r="O28" i="61"/>
  <c r="O29" i="61"/>
  <c r="O92" i="61" l="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2" i="61"/>
  <c r="O123" i="61"/>
  <c r="O124" i="61"/>
  <c r="O125" i="61"/>
  <c r="O126"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51" i="61"/>
  <c r="O152" i="61"/>
  <c r="O153" i="61"/>
  <c r="O154" i="61"/>
  <c r="O155" i="61"/>
  <c r="O156" i="61"/>
  <c r="O157" i="61"/>
  <c r="O158" i="61"/>
  <c r="O159" i="61"/>
  <c r="O160" i="61"/>
  <c r="O161" i="61"/>
  <c r="O162" i="61"/>
  <c r="O163" i="61"/>
  <c r="O164" i="61"/>
  <c r="O165" i="61"/>
  <c r="O166" i="61"/>
  <c r="O167" i="61"/>
  <c r="O168" i="61"/>
  <c r="O169" i="61"/>
  <c r="O170" i="61"/>
  <c r="O171" i="61"/>
  <c r="O172" i="61"/>
  <c r="O173" i="61"/>
  <c r="O174" i="61"/>
  <c r="O175" i="61"/>
  <c r="O176" i="61"/>
  <c r="O177" i="61"/>
  <c r="O178" i="61"/>
  <c r="O179" i="61"/>
  <c r="O180" i="61"/>
  <c r="O181" i="61"/>
  <c r="O182" i="61"/>
  <c r="O183" i="61"/>
  <c r="O184" i="61"/>
  <c r="O185" i="61"/>
  <c r="O186" i="61"/>
  <c r="O187" i="61"/>
  <c r="O188" i="61"/>
  <c r="O189" i="61"/>
  <c r="O190" i="61"/>
  <c r="O191" i="61"/>
  <c r="O192" i="61"/>
  <c r="O193" i="61"/>
  <c r="O194" i="61"/>
  <c r="O195" i="61"/>
  <c r="O196" i="61"/>
  <c r="O197" i="61"/>
  <c r="O198" i="61"/>
  <c r="O199" i="61"/>
  <c r="O200" i="61"/>
  <c r="O201" i="61"/>
  <c r="O202" i="61"/>
  <c r="O203" i="61"/>
  <c r="O204" i="61"/>
  <c r="O205" i="61"/>
  <c r="O206" i="61"/>
  <c r="O207" i="61"/>
  <c r="O208" i="61"/>
  <c r="O209" i="61"/>
  <c r="O210" i="61"/>
  <c r="O211" i="61"/>
  <c r="O212" i="61"/>
  <c r="O213" i="61"/>
  <c r="O214" i="61"/>
  <c r="O215" i="61"/>
  <c r="O216" i="61"/>
  <c r="O217" i="61"/>
  <c r="O218" i="61"/>
  <c r="O219" i="61"/>
  <c r="O220" i="61"/>
  <c r="O221" i="61"/>
  <c r="O222" i="61"/>
  <c r="O223" i="61"/>
  <c r="O224" i="61"/>
  <c r="O225" i="61"/>
  <c r="O226" i="61"/>
  <c r="O227" i="61"/>
  <c r="O228" i="61"/>
  <c r="O229" i="61"/>
  <c r="O230" i="61"/>
  <c r="O231" i="61"/>
  <c r="O232" i="61"/>
  <c r="O233" i="61"/>
  <c r="O234" i="61"/>
  <c r="O235" i="61"/>
  <c r="O236" i="61"/>
  <c r="O237" i="61"/>
  <c r="O238" i="61"/>
  <c r="O239" i="61"/>
  <c r="O240" i="61"/>
  <c r="O241" i="61"/>
  <c r="O242" i="61"/>
  <c r="O243" i="61"/>
  <c r="O244" i="61"/>
  <c r="O245" i="61"/>
  <c r="O246" i="61"/>
  <c r="O247" i="61"/>
  <c r="O248" i="61"/>
  <c r="O249" i="61"/>
  <c r="O250" i="61"/>
  <c r="O251"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AL8" i="62" l="1"/>
  <c r="AL9" i="62" s="1"/>
  <c r="AK8" i="62"/>
  <c r="AK9" i="62" s="1"/>
  <c r="G100" i="2" l="1"/>
  <c r="G101" i="2"/>
  <c r="F100" i="2"/>
  <c r="F101" i="2"/>
  <c r="C65" i="11" l="1"/>
  <c r="C66" i="11"/>
  <c r="B67" i="11" l="1"/>
  <c r="C67" i="11"/>
  <c r="B68" i="11"/>
  <c r="C68" i="11"/>
  <c r="B65" i="18"/>
  <c r="C65" i="18"/>
  <c r="B66" i="18"/>
  <c r="C66" i="18"/>
  <c r="C67" i="18"/>
  <c r="B67" i="18"/>
  <c r="R16" i="12"/>
  <c r="R17" i="12"/>
  <c r="R18" i="12"/>
  <c r="B603" i="6" l="1"/>
  <c r="B604" i="6"/>
  <c r="B605" i="6"/>
  <c r="A603" i="6"/>
  <c r="A604" i="6"/>
  <c r="A605" i="6"/>
  <c r="G99" i="2" l="1"/>
  <c r="F99" i="2"/>
  <c r="G98" i="2"/>
  <c r="F98" i="2"/>
  <c r="K19" i="54" l="1"/>
  <c r="BN1166" i="6" l="1"/>
  <c r="BN1167" i="6"/>
  <c r="BN1168" i="6"/>
  <c r="BN1170" i="6"/>
  <c r="BN1214" i="6" l="1"/>
  <c r="BN1215" i="6"/>
  <c r="BN1216" i="6"/>
  <c r="BN1217" i="6"/>
  <c r="BN1218" i="6"/>
  <c r="BN1219" i="6"/>
  <c r="BN1220" i="6"/>
  <c r="BN1221" i="6"/>
  <c r="BN1222" i="6"/>
  <c r="BN1223" i="6"/>
  <c r="BN1224" i="6"/>
  <c r="BN1225" i="6"/>
  <c r="BN1195" i="6" l="1"/>
  <c r="BN1196" i="6"/>
  <c r="BN1197" i="6"/>
  <c r="BN1198" i="6"/>
  <c r="BN1199" i="6"/>
  <c r="BN1200" i="6"/>
  <c r="BN1201" i="6"/>
  <c r="BN1202" i="6"/>
  <c r="BN1203" i="6"/>
  <c r="BN1204" i="6"/>
  <c r="BN1205" i="6"/>
  <c r="BN1206" i="6"/>
  <c r="BN1207" i="6"/>
  <c r="BN1208" i="6"/>
  <c r="BN1209" i="6"/>
  <c r="BN1210" i="6"/>
  <c r="BN1211" i="6"/>
  <c r="BN1212" i="6"/>
  <c r="BN1213" i="6"/>
  <c r="BN1183" i="6"/>
  <c r="BN1184" i="6"/>
  <c r="BN1185" i="6"/>
  <c r="BN1186" i="6"/>
  <c r="BN1187" i="6"/>
  <c r="BN1188" i="6"/>
  <c r="BN1189" i="6"/>
  <c r="BN1190" i="6"/>
  <c r="BN1191" i="6"/>
  <c r="BN1192" i="6"/>
  <c r="BN1193" i="6"/>
  <c r="BN1194" i="6"/>
  <c r="BN1172" i="6"/>
  <c r="BN1173" i="6"/>
  <c r="BN1174" i="6"/>
  <c r="BN1175" i="6"/>
  <c r="BN1176" i="6"/>
  <c r="BN1177" i="6"/>
  <c r="BN1178" i="6"/>
  <c r="BN1179" i="6"/>
  <c r="BN1180" i="6"/>
  <c r="BN1181" i="6"/>
  <c r="BN1182" i="6"/>
  <c r="BN1171" i="6"/>
  <c r="BN1154" i="6"/>
  <c r="BN1155" i="6"/>
  <c r="BN1156" i="6"/>
  <c r="BN1157" i="6"/>
  <c r="BN1158" i="6"/>
  <c r="BN1159" i="6"/>
  <c r="BN1160" i="6"/>
  <c r="BN1161" i="6"/>
  <c r="BN1162" i="6"/>
  <c r="BN1163" i="6"/>
  <c r="BN1164" i="6"/>
  <c r="BN1165" i="6"/>
  <c r="BN1169" i="6"/>
  <c r="BN1147" i="6"/>
  <c r="BN1148" i="6"/>
  <c r="BN1149" i="6"/>
  <c r="BN1150" i="6"/>
  <c r="BN1151" i="6"/>
  <c r="BN1152" i="6"/>
  <c r="BN1153" i="6"/>
  <c r="AD34" i="52" l="1"/>
  <c r="T33" i="36"/>
  <c r="R26" i="12"/>
  <c r="Q7" i="61"/>
  <c r="Q33" i="22"/>
  <c r="P24" i="79"/>
  <c r="P7" i="79"/>
  <c r="Q33" i="28"/>
  <c r="N33" i="17"/>
  <c r="K23" i="54"/>
  <c r="E8" i="51" l="1"/>
  <c r="F8" i="51"/>
  <c r="G8" i="51"/>
  <c r="H8" i="51"/>
  <c r="I8" i="51"/>
  <c r="J8" i="51"/>
  <c r="K8" i="51"/>
  <c r="L8" i="51"/>
  <c r="M8" i="51"/>
  <c r="N8" i="51"/>
  <c r="O8" i="51"/>
  <c r="P8" i="51"/>
  <c r="Q8" i="51"/>
  <c r="R8" i="51"/>
  <c r="S8" i="51"/>
  <c r="T8" i="51"/>
  <c r="U8" i="51"/>
  <c r="V8" i="51"/>
  <c r="W8" i="51"/>
  <c r="X8" i="51"/>
  <c r="Y8" i="51"/>
  <c r="Z8" i="51"/>
  <c r="AA8" i="51"/>
  <c r="AB8" i="51"/>
  <c r="AC8" i="51"/>
  <c r="AD8" i="51"/>
  <c r="AE8" i="51"/>
  <c r="AF8" i="51"/>
  <c r="AG8" i="51"/>
  <c r="AH8" i="51"/>
  <c r="D8" i="51"/>
  <c r="E8" i="62"/>
  <c r="F8"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D8" i="62"/>
  <c r="AH9" i="51" l="1"/>
  <c r="AG9" i="51"/>
  <c r="AH9" i="62"/>
  <c r="AG9" i="62"/>
  <c r="G16" i="79" l="1"/>
  <c r="S33" i="2" l="1"/>
  <c r="G97" i="2" l="1"/>
  <c r="G96" i="2"/>
  <c r="F97" i="2"/>
  <c r="F96" i="2"/>
  <c r="G93" i="2" l="1"/>
  <c r="F95" i="2"/>
  <c r="J56" i="52" l="1"/>
  <c r="N56" i="52" s="1"/>
  <c r="Z66" i="51" l="1"/>
  <c r="G7" i="80" l="1"/>
  <c r="G10" i="80" l="1"/>
  <c r="E89" i="12"/>
  <c r="D66" i="79" l="1"/>
  <c r="E66" i="79"/>
  <c r="D67" i="79"/>
  <c r="E67" i="79"/>
  <c r="F94" i="2" l="1"/>
  <c r="G94" i="2"/>
  <c r="G95" i="2"/>
  <c r="F93" i="2"/>
  <c r="M44" i="79" l="1"/>
  <c r="D73" i="79" l="1"/>
  <c r="E73" i="79"/>
  <c r="D74" i="79"/>
  <c r="E74" i="79"/>
  <c r="D72" i="79"/>
  <c r="E72" i="79"/>
  <c r="BN1135" i="6" l="1"/>
  <c r="BN1136" i="6"/>
  <c r="BN1137" i="6"/>
  <c r="BN1138" i="6"/>
  <c r="BN1139" i="6"/>
  <c r="BN1140" i="6"/>
  <c r="BN1141" i="6"/>
  <c r="BN1142" i="6"/>
  <c r="BN1143" i="6"/>
  <c r="BN1144" i="6"/>
  <c r="BN1145" i="6"/>
  <c r="BN1146" i="6"/>
  <c r="AJ9" i="62" l="1"/>
  <c r="AI9" i="62" l="1"/>
  <c r="BN1128" i="6"/>
  <c r="BN1129" i="6"/>
  <c r="BN1130" i="6"/>
  <c r="BN1131" i="6"/>
  <c r="BN1132" i="6"/>
  <c r="BN1133" i="6"/>
  <c r="BN1134" i="6"/>
  <c r="BN1116" i="6"/>
  <c r="BN1117" i="6"/>
  <c r="BN1118" i="6"/>
  <c r="BN1119" i="6"/>
  <c r="BN1120" i="6"/>
  <c r="BN1121" i="6"/>
  <c r="BN1122" i="6"/>
  <c r="BN1123" i="6"/>
  <c r="BN1124" i="6"/>
  <c r="BN1125" i="6"/>
  <c r="BN1126" i="6"/>
  <c r="BN1127" i="6"/>
  <c r="BN1104" i="6"/>
  <c r="BN1105" i="6"/>
  <c r="BN1106" i="6"/>
  <c r="BN1107" i="6"/>
  <c r="BN1108" i="6"/>
  <c r="BN1109" i="6"/>
  <c r="BN1110" i="6"/>
  <c r="BN1111" i="6"/>
  <c r="BN1112" i="6"/>
  <c r="BN1113" i="6"/>
  <c r="BN1114" i="6"/>
  <c r="BN1115" i="6"/>
  <c r="BN1092" i="6"/>
  <c r="BN1093" i="6"/>
  <c r="BN1094" i="6"/>
  <c r="BN1095" i="6"/>
  <c r="BN1096" i="6"/>
  <c r="BN1097" i="6"/>
  <c r="BN1098" i="6"/>
  <c r="BN1099" i="6"/>
  <c r="BN1100" i="6"/>
  <c r="BN1101" i="6"/>
  <c r="BN1102" i="6"/>
  <c r="BN1103" i="6"/>
  <c r="BN1079" i="6"/>
  <c r="BN1080" i="6"/>
  <c r="BN1081" i="6"/>
  <c r="BN1082" i="6"/>
  <c r="BN1083" i="6"/>
  <c r="BN1084" i="6"/>
  <c r="BN1085" i="6"/>
  <c r="BN1086" i="6"/>
  <c r="BN1087" i="6"/>
  <c r="BN1088" i="6"/>
  <c r="BN1089" i="6"/>
  <c r="BN1090" i="6"/>
  <c r="BN1091" i="6"/>
  <c r="BN1067" i="6" l="1"/>
  <c r="BN1068" i="6"/>
  <c r="BN1069" i="6"/>
  <c r="BN1070" i="6"/>
  <c r="BN1071" i="6"/>
  <c r="BN1072" i="6"/>
  <c r="BN1073" i="6"/>
  <c r="BN1074" i="6"/>
  <c r="BN1075" i="6"/>
  <c r="BN1076" i="6"/>
  <c r="BN1077" i="6"/>
  <c r="BN1078" i="6"/>
  <c r="F92" i="2"/>
  <c r="G92" i="2"/>
  <c r="AF9" i="51" l="1"/>
  <c r="AE9" i="51"/>
  <c r="F90" i="2" l="1"/>
  <c r="G90" i="2"/>
  <c r="F91" i="2"/>
  <c r="G91" i="2"/>
  <c r="F88" i="2"/>
  <c r="F89" i="2"/>
  <c r="AB1" i="61" l="1"/>
  <c r="AB2" i="61" l="1"/>
  <c r="BN1055" i="6"/>
  <c r="BN1056" i="6"/>
  <c r="BN1057" i="6"/>
  <c r="BN1058" i="6"/>
  <c r="BN1059" i="6"/>
  <c r="BN1060" i="6"/>
  <c r="BN1061" i="6"/>
  <c r="BN1062" i="6"/>
  <c r="BN1063" i="6"/>
  <c r="BN1064" i="6"/>
  <c r="BN1065" i="6"/>
  <c r="BN1066" i="6"/>
  <c r="BN1054" i="6" l="1"/>
  <c r="BN1042" i="6"/>
  <c r="BN1043" i="6"/>
  <c r="BN1044" i="6"/>
  <c r="BN1045" i="6"/>
  <c r="BN1046" i="6"/>
  <c r="BN1047" i="6"/>
  <c r="BN1048" i="6"/>
  <c r="BN1049" i="6"/>
  <c r="BN1050" i="6"/>
  <c r="BN1051" i="6"/>
  <c r="BN1052" i="6"/>
  <c r="BN1053" i="6"/>
  <c r="BN1030" i="6" l="1"/>
  <c r="BN1031" i="6"/>
  <c r="BN1032" i="6"/>
  <c r="BN1033" i="6"/>
  <c r="BN1034" i="6"/>
  <c r="BN1035" i="6"/>
  <c r="BN1036" i="6"/>
  <c r="BN1037" i="6"/>
  <c r="BN1038" i="6"/>
  <c r="BN1039" i="6"/>
  <c r="BN1040" i="6"/>
  <c r="BN1041" i="6"/>
  <c r="BN1023" i="6" l="1"/>
  <c r="BN1024" i="6"/>
  <c r="BN1025" i="6"/>
  <c r="BN1026" i="6"/>
  <c r="BN1027" i="6"/>
  <c r="BN1028" i="6"/>
  <c r="BN1029" i="6"/>
  <c r="G88" i="2" l="1"/>
  <c r="G89" i="2"/>
  <c r="BN1011" i="6" l="1"/>
  <c r="BN1012" i="6"/>
  <c r="BN1013" i="6"/>
  <c r="BN1014" i="6"/>
  <c r="BN1015" i="6"/>
  <c r="BN1016" i="6"/>
  <c r="BN1017" i="6"/>
  <c r="BN1018" i="6"/>
  <c r="BN1019" i="6"/>
  <c r="BN1020" i="6"/>
  <c r="BN1021" i="6"/>
  <c r="BN1022" i="6"/>
  <c r="BN999" i="6" l="1"/>
  <c r="BN1000" i="6"/>
  <c r="BN1001" i="6"/>
  <c r="BN1002" i="6"/>
  <c r="BN1003" i="6"/>
  <c r="BN1004" i="6"/>
  <c r="BN1005" i="6"/>
  <c r="BN1006" i="6"/>
  <c r="BN1007" i="6"/>
  <c r="BN1008" i="6"/>
  <c r="BN1009" i="6"/>
  <c r="BN1010" i="6"/>
  <c r="BN988" i="6" l="1"/>
  <c r="BN989" i="6"/>
  <c r="BN990" i="6"/>
  <c r="BN991" i="6"/>
  <c r="BN992" i="6"/>
  <c r="BN993" i="6"/>
  <c r="BN994" i="6"/>
  <c r="BN995" i="6"/>
  <c r="BN996" i="6"/>
  <c r="BN997" i="6"/>
  <c r="BN998" i="6"/>
  <c r="BN987" i="6"/>
  <c r="Y1" i="78" l="1"/>
  <c r="Y1" i="81" a="1"/>
  <c r="Y1" i="81" s="1"/>
  <c r="Y2" i="81" s="1" a="1"/>
  <c r="Y2" i="81" s="1"/>
  <c r="Y3" i="81" s="1" a="1"/>
  <c r="Y3" i="81" s="1"/>
  <c r="Y4" i="81" s="1" a="1"/>
  <c r="Y4" i="81" s="1"/>
  <c r="Y5" i="81" s="1"/>
  <c r="Y6" i="81" s="1"/>
  <c r="Y7" i="81" s="1"/>
  <c r="Y8" i="81" s="1"/>
  <c r="Y9" i="81" s="1"/>
  <c r="Y10" i="81" s="1"/>
  <c r="Y11" i="81" s="1"/>
  <c r="Y12" i="81" s="1"/>
  <c r="Y13" i="81" s="1"/>
  <c r="Y14" i="81" s="1"/>
  <c r="Y15" i="81" s="1"/>
  <c r="Y16" i="81" s="1"/>
  <c r="Y17" i="81" s="1"/>
  <c r="Y18" i="81" s="1"/>
  <c r="Y19" i="81" s="1"/>
  <c r="Y20" i="81" s="1"/>
  <c r="Y21" i="81" s="1"/>
  <c r="Y22" i="81" s="1"/>
  <c r="Y23" i="81" s="1"/>
  <c r="Y24" i="81" s="1"/>
  <c r="Y25" i="81" s="1"/>
  <c r="AP2" i="56"/>
  <c r="AF9" i="62" l="1"/>
  <c r="AE9" i="62"/>
  <c r="AD9" i="62"/>
  <c r="G87" i="2" l="1"/>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D63" i="79"/>
  <c r="E63" i="79"/>
  <c r="AD9" i="51" l="1"/>
  <c r="AC9" i="51"/>
  <c r="AB9" i="51"/>
  <c r="AA9" i="51"/>
  <c r="N80" i="61"/>
  <c r="O80" i="61"/>
  <c r="N81" i="61"/>
  <c r="O81" i="61"/>
  <c r="Y1" i="74" l="1"/>
  <c r="D79" i="22"/>
  <c r="E79" i="22"/>
  <c r="D80" i="22"/>
  <c r="E80" i="2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BP68" i="6" l="1"/>
  <c r="F10" i="35"/>
  <c r="N72" i="61"/>
  <c r="O72" i="61"/>
  <c r="N73" i="61"/>
  <c r="O73" i="61"/>
  <c r="N74" i="61"/>
  <c r="O74" i="61"/>
  <c r="N75" i="61"/>
  <c r="O75" i="61"/>
  <c r="F11" i="35" l="1"/>
  <c r="N82" i="61"/>
  <c r="O82" i="61"/>
  <c r="F12" i="35" l="1"/>
  <c r="F13" i="35" l="1"/>
  <c r="F14" i="35" l="1"/>
  <c r="F15" i="35" l="1"/>
  <c r="F16" i="35" l="1"/>
  <c r="F17" i="35" l="1"/>
  <c r="F18" i="35" l="1"/>
  <c r="F19" i="35" l="1"/>
  <c r="F20" i="35" l="1"/>
  <c r="F21" i="35" l="1"/>
  <c r="F22" i="35" l="1"/>
  <c r="F23" i="35" l="1"/>
  <c r="F24" i="35" l="1"/>
  <c r="F25" i="35" l="1"/>
  <c r="F26" i="35" l="1"/>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F11" i="80"/>
  <c r="F12" i="80" s="1"/>
  <c r="F13" i="80" s="1"/>
  <c r="F14" i="80" s="1"/>
  <c r="F15" i="80" s="1"/>
  <c r="F16" i="80" s="1"/>
  <c r="F17" i="80" s="1"/>
  <c r="B11" i="80"/>
  <c r="B10"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R9" i="79"/>
  <c r="R25" i="79" s="1"/>
  <c r="Q9" i="79"/>
  <c r="Q25" i="79" s="1"/>
  <c r="P18" i="79"/>
  <c r="P17" i="79"/>
  <c r="P16" i="79"/>
  <c r="P15" i="79"/>
  <c r="P14" i="79"/>
  <c r="P13" i="79"/>
  <c r="P12" i="79"/>
  <c r="P11" i="79"/>
  <c r="P10" i="79"/>
  <c r="AO53" i="62" l="1"/>
  <c r="AP53" i="62"/>
  <c r="AP55" i="62" s="1"/>
  <c r="AM53" i="51"/>
  <c r="AN53" i="51"/>
  <c r="AN55" i="51" s="1"/>
  <c r="AJ53" i="62"/>
  <c r="AJ55" i="62" s="1"/>
  <c r="AJ101" i="62" s="1"/>
  <c r="AM53" i="62"/>
  <c r="AN53" i="62"/>
  <c r="AN55" i="62" s="1"/>
  <c r="AL53" i="51"/>
  <c r="AL55" i="51" s="1"/>
  <c r="AK53" i="51"/>
  <c r="C53" i="62"/>
  <c r="AK53" i="62"/>
  <c r="AL53" i="62"/>
  <c r="AL55" i="62" s="1"/>
  <c r="C24" i="80"/>
  <c r="C32" i="80"/>
  <c r="C40" i="80"/>
  <c r="C48" i="80"/>
  <c r="C56" i="80"/>
  <c r="C64" i="80"/>
  <c r="C25" i="80"/>
  <c r="C33" i="80"/>
  <c r="C41" i="80"/>
  <c r="C49" i="80"/>
  <c r="C57" i="80"/>
  <c r="C65" i="80"/>
  <c r="C26" i="80"/>
  <c r="C34" i="80"/>
  <c r="C42" i="80"/>
  <c r="C50" i="80"/>
  <c r="C58" i="80"/>
  <c r="C66" i="80"/>
  <c r="C27" i="80"/>
  <c r="C35" i="80"/>
  <c r="C43" i="80"/>
  <c r="C51" i="80"/>
  <c r="C59" i="80"/>
  <c r="C67" i="80"/>
  <c r="C28" i="80"/>
  <c r="C36" i="80"/>
  <c r="C44" i="80"/>
  <c r="C52" i="80"/>
  <c r="C60" i="80"/>
  <c r="C68" i="80"/>
  <c r="C29" i="80"/>
  <c r="C37" i="80"/>
  <c r="C45" i="80"/>
  <c r="C53" i="80"/>
  <c r="C61" i="80"/>
  <c r="C69" i="80"/>
  <c r="C22" i="80"/>
  <c r="C30" i="80"/>
  <c r="C38" i="80"/>
  <c r="C46" i="80"/>
  <c r="C54" i="80"/>
  <c r="C62" i="80"/>
  <c r="C23" i="80"/>
  <c r="C31" i="80"/>
  <c r="C39" i="80"/>
  <c r="C47" i="80"/>
  <c r="C55" i="80"/>
  <c r="C63" i="80"/>
  <c r="AJ53" i="51"/>
  <c r="AJ55" i="51" s="1"/>
  <c r="AI53" i="51"/>
  <c r="AH53" i="51"/>
  <c r="AH55" i="51" s="1"/>
  <c r="AI53" i="62"/>
  <c r="AG53" i="51"/>
  <c r="AH53" i="62"/>
  <c r="AH55" i="62" s="1"/>
  <c r="AH101" i="62" s="1"/>
  <c r="AG53" i="62"/>
  <c r="R26" i="79"/>
  <c r="Q26" i="79"/>
  <c r="R27" i="79"/>
  <c r="Q27" i="79"/>
  <c r="Q28" i="79"/>
  <c r="R28" i="79"/>
  <c r="R29" i="79"/>
  <c r="Q29" i="79"/>
  <c r="Q30" i="79"/>
  <c r="R30" i="79"/>
  <c r="R31" i="79"/>
  <c r="Q31" i="79"/>
  <c r="Q32" i="79"/>
  <c r="R32" i="79"/>
  <c r="R33" i="79"/>
  <c r="Q33" i="79"/>
  <c r="R34" i="79"/>
  <c r="Q34" i="79"/>
  <c r="R35" i="79"/>
  <c r="Q35" i="79"/>
  <c r="R36" i="79"/>
  <c r="Q36" i="79"/>
  <c r="Q17" i="79"/>
  <c r="R17" i="79"/>
  <c r="R10" i="79"/>
  <c r="Q10" i="79"/>
  <c r="Q11" i="79"/>
  <c r="R11" i="79"/>
  <c r="R12" i="79"/>
  <c r="Q12" i="79"/>
  <c r="R13" i="79"/>
  <c r="Q13" i="79"/>
  <c r="R14" i="79"/>
  <c r="Q14" i="79"/>
  <c r="R15" i="79"/>
  <c r="Q15" i="79"/>
  <c r="R18" i="79"/>
  <c r="Q18" i="79"/>
  <c r="R16" i="79"/>
  <c r="Q16" i="79"/>
  <c r="AR55" i="51" l="1"/>
  <c r="AE53" i="51"/>
  <c r="AF53" i="51"/>
  <c r="AF53" i="62"/>
  <c r="AE53" i="62"/>
  <c r="AB53" i="51"/>
  <c r="T53" i="51"/>
  <c r="L53" i="51"/>
  <c r="D53" i="51"/>
  <c r="AA53" i="51"/>
  <c r="S53" i="51"/>
  <c r="K53" i="51"/>
  <c r="C53" i="51"/>
  <c r="Z53" i="51"/>
  <c r="R53" i="51"/>
  <c r="J53" i="51"/>
  <c r="AD53" i="51"/>
  <c r="Y53" i="51"/>
  <c r="Q53" i="51"/>
  <c r="I53" i="51"/>
  <c r="AC53" i="51"/>
  <c r="X53" i="51"/>
  <c r="P53" i="51"/>
  <c r="H53" i="51"/>
  <c r="W53" i="51"/>
  <c r="O53" i="51"/>
  <c r="G53" i="51"/>
  <c r="V53" i="51"/>
  <c r="N53" i="51"/>
  <c r="F53" i="51"/>
  <c r="U53" i="51"/>
  <c r="M53" i="51"/>
  <c r="E53" i="51"/>
  <c r="D53" i="62"/>
  <c r="R53" i="62"/>
  <c r="Z53" i="62"/>
  <c r="O53" i="62"/>
  <c r="Q53" i="62"/>
  <c r="Y53" i="62"/>
  <c r="T53" i="62"/>
  <c r="P53" i="62"/>
  <c r="J53" i="62"/>
  <c r="L53" i="62"/>
  <c r="AB53" i="62"/>
  <c r="E53" i="62"/>
  <c r="I53" i="62"/>
  <c r="K53" i="62"/>
  <c r="S53" i="62"/>
  <c r="AA53" i="62"/>
  <c r="F53" i="62"/>
  <c r="H53" i="62"/>
  <c r="N53" i="62"/>
  <c r="V53" i="62"/>
  <c r="W53" i="62"/>
  <c r="G53" i="62"/>
  <c r="M53" i="62"/>
  <c r="U53" i="62"/>
  <c r="X53" i="62"/>
  <c r="F27" i="35"/>
  <c r="AD53" i="62"/>
  <c r="AC53" i="62"/>
  <c r="C2" i="79"/>
  <c r="P19" i="80"/>
  <c r="AR53" i="51" l="1"/>
  <c r="AQ53" i="51"/>
  <c r="Q37" i="79"/>
  <c r="R37" i="79"/>
  <c r="F28" i="35"/>
  <c r="Q38" i="79" l="1"/>
  <c r="R38" i="79"/>
  <c r="F29" i="35"/>
  <c r="R42" i="79" l="1"/>
  <c r="Q42" i="79"/>
  <c r="R39" i="79"/>
  <c r="Q39" i="79"/>
  <c r="F30" i="35"/>
  <c r="Q45" i="79" l="1"/>
  <c r="R45" i="79"/>
  <c r="P46" i="79"/>
  <c r="Q44" i="79"/>
  <c r="R44" i="79"/>
  <c r="Q43" i="79"/>
  <c r="R43" i="79"/>
  <c r="Q40" i="79"/>
  <c r="R40" i="79"/>
  <c r="F31" i="35"/>
  <c r="R46" i="79" l="1"/>
  <c r="Q46" i="79"/>
  <c r="R41" i="79"/>
  <c r="Q41" i="79"/>
  <c r="F32" i="35"/>
  <c r="F33" i="35" l="1"/>
  <c r="F34" i="35" l="1"/>
  <c r="P47" i="79" l="1"/>
  <c r="F35" i="35"/>
  <c r="Q47" i="79" l="1"/>
  <c r="R47" i="79"/>
  <c r="P48" i="79"/>
  <c r="F36" i="35"/>
  <c r="R48" i="79" l="1"/>
  <c r="Q48" i="79"/>
  <c r="P49" i="79"/>
  <c r="F37" i="35"/>
  <c r="Q49" i="79" l="1"/>
  <c r="R49" i="79"/>
  <c r="P50" i="79"/>
  <c r="F38" i="35"/>
  <c r="E11" i="80"/>
  <c r="G11" i="80" s="1"/>
  <c r="R50" i="79" l="1"/>
  <c r="Q50" i="79"/>
  <c r="P51" i="79"/>
  <c r="F39" i="35"/>
  <c r="E12" i="80"/>
  <c r="G12" i="80" s="1"/>
  <c r="R51" i="79" l="1"/>
  <c r="Q51" i="79"/>
  <c r="F40" i="35"/>
  <c r="E13" i="80"/>
  <c r="G13" i="80" s="1"/>
  <c r="F41" i="35" l="1"/>
  <c r="E14" i="80"/>
  <c r="G14" i="80" s="1"/>
  <c r="F42" i="35" l="1"/>
  <c r="E15" i="80"/>
  <c r="E16" i="80" s="1"/>
  <c r="E17" i="80" s="1"/>
  <c r="G15" i="80" l="1"/>
  <c r="G16" i="80" s="1"/>
  <c r="G17" i="80" s="1"/>
  <c r="AC9" i="62"/>
  <c r="AB9" i="62"/>
  <c r="I17" i="80" l="1" a="1"/>
  <c r="I17" i="80" s="1"/>
  <c r="H17" i="80" a="1"/>
  <c r="H17" i="80" s="1"/>
  <c r="AP3" i="56"/>
  <c r="AP1" i="56"/>
  <c r="W3" i="78" l="1"/>
  <c r="Y2" i="78"/>
  <c r="C22" i="78" l="1"/>
  <c r="A22" i="78"/>
  <c r="C21" i="78" a="1"/>
  <c r="C21" i="78" s="1"/>
  <c r="D21" i="78" a="1"/>
  <c r="D21" i="78" s="1"/>
  <c r="C11" i="78" a="1"/>
  <c r="C11" i="78" s="1"/>
  <c r="D18" i="78" a="1"/>
  <c r="D18" i="78" s="1"/>
  <c r="D20" i="78" a="1"/>
  <c r="D20" i="78" s="1"/>
  <c r="D13" i="78" a="1"/>
  <c r="D13" i="78" s="1"/>
  <c r="D14" i="78" a="1"/>
  <c r="D14" i="78" s="1"/>
  <c r="D16" i="78" a="1"/>
  <c r="D16" i="78" s="1"/>
  <c r="D19" i="78" a="1"/>
  <c r="D19" i="78" s="1"/>
  <c r="C12" i="78" a="1"/>
  <c r="C12" i="78" s="1"/>
  <c r="D17" i="78" a="1"/>
  <c r="D17" i="78" s="1"/>
  <c r="D12" i="78" a="1"/>
  <c r="D12" i="78" s="1"/>
  <c r="D15" i="78" a="1"/>
  <c r="D15" i="78" s="1"/>
  <c r="D11" i="78" a="1"/>
  <c r="D11" i="78" s="1"/>
  <c r="A11" i="78" a="1"/>
  <c r="A11" i="78" s="1"/>
  <c r="A24" i="78" s="1"/>
  <c r="A18" i="78" a="1"/>
  <c r="A18" i="78" s="1"/>
  <c r="A12" i="78" a="1"/>
  <c r="A12" i="78" s="1"/>
  <c r="A17" i="78" a="1"/>
  <c r="A17" i="78" s="1"/>
  <c r="A13" i="78" a="1"/>
  <c r="A13" i="78" s="1"/>
  <c r="A16" i="78" a="1"/>
  <c r="A16" i="78" s="1"/>
  <c r="A19" i="78" a="1"/>
  <c r="A19" i="78" s="1"/>
  <c r="A15" i="78" a="1"/>
  <c r="A15" i="78" s="1"/>
  <c r="A14" i="78" a="1"/>
  <c r="A14" i="78" s="1"/>
  <c r="A20" i="78" a="1"/>
  <c r="A20" i="78" s="1"/>
  <c r="C23" i="78"/>
  <c r="A21" i="78"/>
  <c r="C14" i="78" a="1"/>
  <c r="C14" i="78" s="1"/>
  <c r="C17" i="78" a="1"/>
  <c r="C17" i="78" s="1"/>
  <c r="C20" i="78" a="1"/>
  <c r="C20" i="78" s="1"/>
  <c r="C13" i="78" a="1"/>
  <c r="C13" i="78" s="1"/>
  <c r="C15" i="78" a="1"/>
  <c r="C15" i="78" s="1"/>
  <c r="C16" i="78" a="1"/>
  <c r="C16" i="78" s="1"/>
  <c r="C18" i="78" a="1"/>
  <c r="C18" i="78" s="1"/>
  <c r="C19" i="78" a="1"/>
  <c r="C19" i="78" s="1"/>
  <c r="A30" i="78" l="1"/>
  <c r="A26" i="78"/>
  <c r="W2" i="77" l="1"/>
  <c r="C10" i="77" l="1" a="1"/>
  <c r="C10" i="77" s="1"/>
  <c r="A10" i="77" a="1"/>
  <c r="A10" i="77" s="1"/>
  <c r="C21" i="77" a="1"/>
  <c r="C21" i="77" s="1"/>
  <c r="D17" i="77" a="1"/>
  <c r="D17" i="77" s="1"/>
  <c r="D18" i="77" a="1"/>
  <c r="D18" i="77" s="1"/>
  <c r="D19" i="77" a="1"/>
  <c r="D19" i="77" s="1"/>
  <c r="D15" i="77" a="1"/>
  <c r="D15" i="77" s="1"/>
  <c r="C20" i="77" a="1"/>
  <c r="C20" i="77" s="1"/>
  <c r="D11" i="77" a="1"/>
  <c r="D11" i="77" s="1"/>
  <c r="D12" i="77" a="1"/>
  <c r="D12" i="77" s="1"/>
  <c r="D20" i="77" a="1"/>
  <c r="D20" i="77" s="1"/>
  <c r="D13" i="77" a="1"/>
  <c r="D13" i="77" s="1"/>
  <c r="D10" i="77" a="1"/>
  <c r="D10" i="77" s="1"/>
  <c r="D14" i="77" a="1"/>
  <c r="D14" i="77" s="1"/>
  <c r="D16" i="77" a="1"/>
  <c r="D16" i="77" s="1"/>
  <c r="Z9" i="51"/>
  <c r="Y1" i="73" l="1"/>
  <c r="Z1" i="73" a="1"/>
  <c r="Z1" i="73" s="1"/>
  <c r="W2" i="73"/>
  <c r="Z1" i="4" a="1"/>
  <c r="Z1" i="4" s="1"/>
  <c r="C21" i="73" l="1"/>
  <c r="W1" i="73" s="1"/>
  <c r="D20" i="73" a="1"/>
  <c r="D20" i="73" s="1"/>
  <c r="D12" i="73" a="1"/>
  <c r="D12" i="73" s="1"/>
  <c r="D15" i="73" a="1"/>
  <c r="D15" i="73" s="1"/>
  <c r="D13" i="73" a="1"/>
  <c r="D13" i="73" s="1"/>
  <c r="D19" i="73" a="1"/>
  <c r="D19" i="73" s="1"/>
  <c r="D11" i="73" a="1"/>
  <c r="D11" i="73" s="1"/>
  <c r="D14" i="73" a="1"/>
  <c r="D14" i="73" s="1"/>
  <c r="D18" i="73" a="1"/>
  <c r="D18" i="73" s="1"/>
  <c r="D10" i="73" a="1"/>
  <c r="D10" i="73" s="1"/>
  <c r="D16" i="73" a="1"/>
  <c r="D16" i="73" s="1"/>
  <c r="D17" i="73" a="1"/>
  <c r="D17" i="73" s="1"/>
  <c r="C20" i="73" a="1"/>
  <c r="C20" i="73" s="1"/>
  <c r="Y2" i="73"/>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C18" i="77" l="1" a="1"/>
  <c r="C18" i="77" s="1"/>
  <c r="A12" i="77" a="1"/>
  <c r="A12" i="77" s="1"/>
  <c r="A16" i="77" a="1"/>
  <c r="A16" i="77" s="1"/>
  <c r="A19" i="77" a="1"/>
  <c r="A19"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4" i="77" a="1"/>
  <c r="A14" i="77" s="1"/>
  <c r="C17" i="77" a="1"/>
  <c r="C17" i="77" s="1"/>
  <c r="W1" i="77"/>
  <c r="A20" i="77"/>
  <c r="A25" i="77" l="1"/>
  <c r="A23" i="77"/>
  <c r="W2" i="76" l="1"/>
  <c r="A16" i="76" s="1"/>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W1" i="75" s="1"/>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D12" i="76" l="1"/>
  <c r="D13" i="76"/>
  <c r="D16" i="75"/>
  <c r="D11" i="76"/>
  <c r="D14" i="76"/>
  <c r="D10" i="75"/>
  <c r="D13" i="75"/>
  <c r="D17" i="75"/>
  <c r="D14" i="75"/>
  <c r="C15" i="76"/>
  <c r="D15" i="76" s="1"/>
  <c r="D18" i="75"/>
  <c r="D12" i="75"/>
  <c r="D19" i="75"/>
  <c r="D15" i="75"/>
  <c r="D11" i="75"/>
  <c r="A18" i="76"/>
  <c r="A20" i="76"/>
  <c r="D10" i="76"/>
  <c r="C20" i="75"/>
  <c r="D20" i="75" s="1"/>
  <c r="A25" i="75"/>
  <c r="A23" i="75"/>
  <c r="W2" i="74"/>
  <c r="A10" i="74" s="1" a="1"/>
  <c r="A10" i="74" s="1"/>
  <c r="A21" i="74" l="1"/>
  <c r="C12" i="74" a="1"/>
  <c r="C12" i="74" s="1"/>
  <c r="C16" i="74" a="1"/>
  <c r="C16" i="74" s="1"/>
  <c r="C13" i="74" a="1"/>
  <c r="C13" i="74" s="1"/>
  <c r="C17" i="74" a="1"/>
  <c r="C17" i="74" s="1"/>
  <c r="A17" i="74" a="1"/>
  <c r="A17"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3" i="78"/>
  <c r="Y4" i="78" s="1"/>
  <c r="Y5" i="78" s="1"/>
  <c r="Y6" i="78" s="1"/>
  <c r="Y7" i="78" s="1"/>
  <c r="Y8" i="78" s="1"/>
  <c r="Y9"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A25" i="4" l="1"/>
  <c r="Y10" i="78"/>
  <c r="Y11" i="78" s="1"/>
  <c r="Y12" i="78" s="1"/>
  <c r="Y13" i="78" s="1"/>
  <c r="Y14" i="78" s="1"/>
  <c r="Y15" i="78" s="1"/>
  <c r="Y16" i="78" s="1"/>
  <c r="Y17" i="78" s="1"/>
  <c r="Y18" i="78" s="1"/>
  <c r="Y19" i="78" s="1"/>
  <c r="Y20" i="78" s="1"/>
  <c r="Y21" i="78" s="1"/>
  <c r="Y22" i="78" s="1"/>
  <c r="Y23" i="78" s="1"/>
  <c r="Y24" i="78" s="1"/>
  <c r="Y25" i="78" s="1"/>
  <c r="Y26" i="78" s="1"/>
  <c r="C20" i="4"/>
  <c r="D20" i="4" s="1"/>
  <c r="D10" i="4"/>
  <c r="A25" i="73"/>
  <c r="A23" i="73"/>
  <c r="A23" i="4"/>
  <c r="D19" i="4"/>
  <c r="D16" i="4"/>
  <c r="D14" i="4"/>
  <c r="D18" i="4"/>
  <c r="D13" i="4"/>
  <c r="D15" i="4"/>
  <c r="D17" i="4"/>
  <c r="D12" i="4"/>
  <c r="D11" i="4"/>
  <c r="H65" i="54" l="1"/>
  <c r="H66" i="54"/>
  <c r="H67" i="54"/>
  <c r="H68" i="54"/>
  <c r="L79" i="52" l="1"/>
  <c r="M79" i="52"/>
  <c r="M80" i="52"/>
  <c r="M81" i="52"/>
  <c r="M82" i="52"/>
  <c r="L83" i="52"/>
  <c r="M83" i="52"/>
  <c r="L84" i="52"/>
  <c r="M84" i="52"/>
  <c r="L85" i="52"/>
  <c r="M85" i="52"/>
  <c r="L86" i="52"/>
  <c r="M86" i="52"/>
  <c r="L88" i="52"/>
  <c r="M88" i="52"/>
  <c r="L89" i="52"/>
  <c r="M89" i="52"/>
  <c r="L90" i="52"/>
  <c r="M90" i="52"/>
  <c r="L91" i="52"/>
  <c r="M91" i="52"/>
  <c r="L92" i="52"/>
  <c r="M92" i="52"/>
  <c r="L93" i="52"/>
  <c r="M93" i="52"/>
  <c r="L94" i="52"/>
  <c r="M94" i="52"/>
  <c r="L95" i="52"/>
  <c r="M95" i="52"/>
  <c r="L96" i="52"/>
  <c r="M96" i="52"/>
  <c r="L97" i="52"/>
  <c r="M97" i="52"/>
  <c r="L98" i="52"/>
  <c r="M98" i="52"/>
  <c r="L99" i="52"/>
  <c r="M99" i="52"/>
  <c r="L100" i="52"/>
  <c r="M100" i="52"/>
  <c r="A99" i="52" l="1"/>
  <c r="A91" i="52"/>
  <c r="A86" i="52"/>
  <c r="A93" i="52"/>
  <c r="A94" i="52"/>
  <c r="A95" i="52"/>
  <c r="A96" i="52"/>
  <c r="A98" i="52"/>
  <c r="A90" i="52"/>
  <c r="A97" i="52"/>
  <c r="A89" i="52"/>
  <c r="A100" i="52"/>
  <c r="A92" i="52"/>
  <c r="A88" i="52"/>
  <c r="A85" i="52"/>
  <c r="A84" i="52"/>
  <c r="A83" i="52"/>
  <c r="A82" i="52"/>
  <c r="A81" i="52"/>
  <c r="A80" i="52"/>
  <c r="A79" i="52"/>
  <c r="G6" i="11" l="1"/>
  <c r="H6" i="53"/>
  <c r="G6" i="13"/>
  <c r="G6" i="18"/>
  <c r="G6" i="59"/>
  <c r="G7" i="30"/>
  <c r="G6" i="37"/>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G9" i="37" l="1"/>
  <c r="G8" i="13"/>
  <c r="G9" i="59"/>
  <c r="G10" i="30"/>
  <c r="G8" i="18"/>
  <c r="H9" i="53"/>
  <c r="G9" i="11"/>
  <c r="H77" i="36" l="1"/>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T60" i="36" l="1"/>
  <c r="T61" i="36" s="1"/>
  <c r="R52" i="12" l="1"/>
  <c r="R53" i="12" s="1"/>
  <c r="N59" i="17"/>
  <c r="N60" i="17" s="1"/>
  <c r="K49" i="54"/>
  <c r="K50" i="54" s="1"/>
  <c r="K51" i="54" s="1"/>
  <c r="D36" i="62" l="1"/>
  <c r="Q59" i="22" l="1"/>
  <c r="Q60" i="22" s="1"/>
  <c r="Q59" i="28"/>
  <c r="Q60" i="28" s="1"/>
  <c r="AA9" i="62" l="1"/>
  <c r="Z9" i="62"/>
  <c r="Y9" i="62"/>
  <c r="D9" i="62"/>
  <c r="C8" i="62" l="1"/>
  <c r="C9" i="62" l="1"/>
  <c r="F9" i="62"/>
  <c r="G9" i="62"/>
  <c r="H9" i="62"/>
  <c r="E9" i="62" l="1"/>
  <c r="J9" i="62"/>
  <c r="I9" i="62" l="1"/>
  <c r="L9" i="62"/>
  <c r="K9" i="62" l="1"/>
  <c r="N9" i="62"/>
  <c r="M9" i="62" l="1"/>
  <c r="P9" i="62"/>
  <c r="O9" i="62" l="1"/>
  <c r="R9" i="62"/>
  <c r="Q9" i="62" l="1"/>
  <c r="T9" i="62"/>
  <c r="S9" i="62" l="1"/>
  <c r="V9" i="62"/>
  <c r="U9" i="62" l="1"/>
  <c r="W9" i="62" l="1"/>
  <c r="X9" i="62"/>
  <c r="F10" i="37"/>
  <c r="F11" i="37" s="1"/>
  <c r="F12" i="37" s="1"/>
  <c r="F13" i="37" s="1"/>
  <c r="F14" i="37" s="1"/>
  <c r="F15" i="37" s="1"/>
  <c r="F16" i="37" s="1"/>
  <c r="F17" i="37" s="1"/>
  <c r="F18" i="37" s="1"/>
  <c r="F19" i="37" s="1"/>
  <c r="F20" i="37" s="1"/>
  <c r="F21" i="37" s="1"/>
  <c r="F22" i="37" s="1"/>
  <c r="F23" i="37" s="1"/>
  <c r="F24" i="37" s="1"/>
  <c r="F25" i="37" s="1"/>
  <c r="F26" i="37" s="1"/>
  <c r="F27" i="37" s="1"/>
  <c r="F28" i="37" s="1"/>
  <c r="F29" i="37" s="1"/>
  <c r="F30" i="37" s="1"/>
  <c r="F31" i="37" s="1"/>
  <c r="F32" i="37" s="1"/>
  <c r="F33" i="37" s="1"/>
  <c r="F34" i="37" s="1"/>
  <c r="F35" i="37" s="1"/>
  <c r="F36" i="37" s="1"/>
  <c r="F37" i="37" s="1"/>
  <c r="F38" i="37" s="1"/>
  <c r="F39" i="37" s="1"/>
  <c r="E10" i="37"/>
  <c r="G10" i="37" s="1"/>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G44" i="53" s="1"/>
  <c r="G45" i="53" s="1"/>
  <c r="F10" i="53"/>
  <c r="H10" i="53" s="1"/>
  <c r="AR36" i="62" l="1"/>
  <c r="AR62" i="62"/>
  <c r="AQ62" i="62"/>
  <c r="AR96" i="62"/>
  <c r="AQ46" i="62"/>
  <c r="AQ63" i="62"/>
  <c r="AQ64" i="62"/>
  <c r="AQ31" i="62"/>
  <c r="AQ65" i="62"/>
  <c r="AR42" i="62"/>
  <c r="AQ54" i="62"/>
  <c r="AQ60" i="62"/>
  <c r="AR64" i="62"/>
  <c r="AQ92" i="62"/>
  <c r="AQ57" i="62"/>
  <c r="AQ33" i="62"/>
  <c r="AR53" i="62"/>
  <c r="AQ61" i="62"/>
  <c r="AR61" i="62"/>
  <c r="AR87" i="62"/>
  <c r="AQ40" i="62"/>
  <c r="AQ34" i="62"/>
  <c r="AR34" i="62"/>
  <c r="AQ24" i="62"/>
  <c r="AR40" i="62"/>
  <c r="AR33" i="62"/>
  <c r="AR50" i="62"/>
  <c r="AQ50" i="62"/>
  <c r="AR63" i="62"/>
  <c r="AQ83" i="62"/>
  <c r="AQ22" i="62"/>
  <c r="AQ32" i="62"/>
  <c r="AQ93" i="62"/>
  <c r="AQ81" i="62"/>
  <c r="AR65" i="62"/>
  <c r="AR55" i="62"/>
  <c r="AQ35" i="62"/>
  <c r="AR32" i="62"/>
  <c r="AQ53" i="62"/>
  <c r="AR54" i="62"/>
  <c r="AQ87" i="62"/>
  <c r="AR31" i="62"/>
  <c r="AR60" i="62"/>
  <c r="AR24" i="62"/>
  <c r="AR46" i="62"/>
  <c r="AR94" i="62"/>
  <c r="AQ42" i="62"/>
  <c r="AR35" i="62"/>
  <c r="F11" i="53"/>
  <c r="H11" i="53" s="1"/>
  <c r="E11" i="37"/>
  <c r="G11" i="37" s="1"/>
  <c r="F12" i="53" l="1"/>
  <c r="H12" i="53" s="1"/>
  <c r="E12" i="37"/>
  <c r="G12" i="37"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44" i="59" s="1"/>
  <c r="F45"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F58" i="18" s="1"/>
  <c r="F59" i="18" s="1"/>
  <c r="E9" i="18"/>
  <c r="G9" i="18" s="1"/>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F10" i="1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E10"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6" i="6"/>
  <c r="B607" i="6"/>
  <c r="B608" i="6"/>
  <c r="B609" i="6"/>
  <c r="B610" i="6"/>
  <c r="B611" i="6"/>
  <c r="B612" i="6"/>
  <c r="B613" i="6"/>
  <c r="B614" i="6"/>
  <c r="B615" i="6"/>
  <c r="B616" i="6"/>
  <c r="B617" i="6"/>
  <c r="B618" i="6"/>
  <c r="B619" i="6"/>
  <c r="B620" i="6"/>
  <c r="B621" i="6"/>
  <c r="B622" i="6"/>
  <c r="B623" i="6"/>
  <c r="B624" i="6"/>
  <c r="B625" i="6"/>
  <c r="B626"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D18" i="84" l="1"/>
  <c r="C9" i="84"/>
  <c r="D23" i="84"/>
  <c r="D19" i="84"/>
  <c r="D13" i="84"/>
  <c r="D22" i="84"/>
  <c r="C21" i="84"/>
  <c r="D9" i="84"/>
  <c r="D17" i="84"/>
  <c r="F18" i="84"/>
  <c r="H18" i="84" s="1"/>
  <c r="C19" i="84"/>
  <c r="C14" i="84"/>
  <c r="C22" i="84"/>
  <c r="D21" i="84"/>
  <c r="F13" i="84"/>
  <c r="H13" i="84" s="1"/>
  <c r="C13" i="84"/>
  <c r="C15" i="84"/>
  <c r="D15" i="84"/>
  <c r="D20" i="84"/>
  <c r="C18" i="84"/>
  <c r="C23" i="84"/>
  <c r="D14" i="84"/>
  <c r="C20" i="84"/>
  <c r="C17" i="84"/>
  <c r="E20" i="84"/>
  <c r="F14" i="84"/>
  <c r="E15" i="84"/>
  <c r="E21" i="84"/>
  <c r="E23" i="84"/>
  <c r="G23" i="84" s="1"/>
  <c r="F20" i="84"/>
  <c r="F22" i="84"/>
  <c r="H22" i="84" s="1"/>
  <c r="E13" i="84"/>
  <c r="E17" i="84"/>
  <c r="F15" i="84"/>
  <c r="F21" i="84"/>
  <c r="H21" i="84" s="1"/>
  <c r="F19" i="84"/>
  <c r="H19" i="84" s="1"/>
  <c r="E22" i="84"/>
  <c r="G22" i="84" s="1"/>
  <c r="E19" i="84"/>
  <c r="G19" i="84" s="1"/>
  <c r="F17" i="84"/>
  <c r="E18" i="84"/>
  <c r="E14" i="84"/>
  <c r="F23" i="84"/>
  <c r="H23" i="84" s="1"/>
  <c r="G9" i="13"/>
  <c r="G10" i="59"/>
  <c r="G10" i="11"/>
  <c r="J15" i="88"/>
  <c r="H15" i="88" s="1" a="1"/>
  <c r="H15" i="88" s="1"/>
  <c r="K15" i="88"/>
  <c r="I15" i="88" s="1" a="1"/>
  <c r="I15" i="88" s="1"/>
  <c r="J16" i="80"/>
  <c r="H16" i="80" s="1" a="1"/>
  <c r="H16" i="80" s="1"/>
  <c r="K16" i="80"/>
  <c r="I16" i="80" s="1" a="1"/>
  <c r="I16" i="80" s="1"/>
  <c r="J14" i="88"/>
  <c r="H14" i="88" s="1" a="1"/>
  <c r="H14" i="88" s="1"/>
  <c r="K14" i="88"/>
  <c r="I14" i="88" s="1" a="1"/>
  <c r="I14" i="88" s="1"/>
  <c r="J15" i="80"/>
  <c r="H15" i="80" s="1" a="1"/>
  <c r="H15" i="80" s="1"/>
  <c r="K15" i="80"/>
  <c r="I15" i="80" s="1" a="1"/>
  <c r="I15" i="80" s="1"/>
  <c r="L11" i="53"/>
  <c r="I11" i="53" s="1" a="1"/>
  <c r="I11" i="53" s="1"/>
  <c r="N11" i="53"/>
  <c r="K11" i="53" s="1" a="1"/>
  <c r="K11" i="53" s="1"/>
  <c r="M11" i="53"/>
  <c r="J11" i="53" s="1" a="1"/>
  <c r="J11" i="53" s="1"/>
  <c r="K9" i="37"/>
  <c r="I9" i="37" s="1" a="1"/>
  <c r="I9" i="37" s="1"/>
  <c r="J9" i="37"/>
  <c r="H9" i="37" s="1" a="1"/>
  <c r="H9" i="37" s="1"/>
  <c r="L9" i="53"/>
  <c r="I9" i="53" s="1" a="1"/>
  <c r="I9" i="53" s="1"/>
  <c r="N9" i="53"/>
  <c r="K9" i="53" s="1" a="1"/>
  <c r="K9" i="53" s="1"/>
  <c r="J10" i="30"/>
  <c r="H10" i="30" s="1" a="1"/>
  <c r="H10" i="30" s="1"/>
  <c r="M9" i="53"/>
  <c r="J9" i="53" s="1" a="1"/>
  <c r="J9" i="53" s="1"/>
  <c r="J4" i="8"/>
  <c r="J10" i="80"/>
  <c r="H10" i="80" s="1" a="1"/>
  <c r="H10" i="80" s="1"/>
  <c r="J11" i="80"/>
  <c r="H11" i="80" s="1" a="1"/>
  <c r="H11" i="80" s="1"/>
  <c r="J12" i="80"/>
  <c r="H12" i="80" s="1" a="1"/>
  <c r="H12" i="80" s="1"/>
  <c r="J13" i="80"/>
  <c r="H13" i="80" s="1" a="1"/>
  <c r="H13" i="80" s="1"/>
  <c r="J14" i="80"/>
  <c r="H14" i="80" s="1" a="1"/>
  <c r="H14" i="80" s="1"/>
  <c r="K10" i="37"/>
  <c r="I10" i="37" s="1" a="1"/>
  <c r="I10" i="37" s="1"/>
  <c r="J10" i="37"/>
  <c r="H10" i="37" s="1" a="1"/>
  <c r="H10" i="37" s="1"/>
  <c r="L10" i="53"/>
  <c r="I10" i="53" s="1" a="1"/>
  <c r="I10" i="53" s="1"/>
  <c r="M10" i="53"/>
  <c r="J10" i="53" s="1" a="1"/>
  <c r="J10" i="53" s="1"/>
  <c r="N10" i="53"/>
  <c r="K10" i="53" s="1" a="1"/>
  <c r="K10" i="53" s="1"/>
  <c r="K11" i="37"/>
  <c r="I11" i="37" s="1" a="1"/>
  <c r="I11" i="37" s="1"/>
  <c r="J11" i="37"/>
  <c r="H11" i="37" s="1" a="1"/>
  <c r="H11" i="37" s="1"/>
  <c r="J12" i="37"/>
  <c r="H12" i="37" s="1" a="1"/>
  <c r="H12" i="37" s="1"/>
  <c r="K12" i="37"/>
  <c r="I12" i="37" s="1" a="1"/>
  <c r="I12" i="37" s="1"/>
  <c r="F11" i="30"/>
  <c r="F12" i="30" s="1"/>
  <c r="F13" i="30" s="1"/>
  <c r="F14" i="30" s="1"/>
  <c r="F15" i="30" s="1"/>
  <c r="F16" i="30" s="1"/>
  <c r="F17" i="30" s="1"/>
  <c r="F18" i="30" s="1"/>
  <c r="F19" i="30" s="1"/>
  <c r="F20" i="30" s="1"/>
  <c r="F21" i="30" s="1"/>
  <c r="F13" i="53"/>
  <c r="H13" i="53" s="1"/>
  <c r="M12" i="53"/>
  <c r="N12" i="53"/>
  <c r="L12" i="53"/>
  <c r="K9" i="88"/>
  <c r="I9" i="88" s="1" a="1"/>
  <c r="I9" i="88" s="1"/>
  <c r="K10" i="88"/>
  <c r="I10" i="88" s="1" a="1"/>
  <c r="I10" i="88" s="1"/>
  <c r="K11" i="88"/>
  <c r="I11" i="88" s="1" a="1"/>
  <c r="I11" i="88" s="1"/>
  <c r="K12" i="88"/>
  <c r="I12" i="88" s="1" a="1"/>
  <c r="I12" i="88" s="1"/>
  <c r="K13" i="88"/>
  <c r="I13" i="88" s="1" a="1"/>
  <c r="I13" i="88" s="1"/>
  <c r="J13" i="88"/>
  <c r="H13" i="88" s="1" a="1"/>
  <c r="H13" i="88" s="1"/>
  <c r="K9" i="11"/>
  <c r="K10" i="11"/>
  <c r="J9" i="88"/>
  <c r="H9" i="88" s="1" a="1"/>
  <c r="H9" i="88" s="1"/>
  <c r="J10" i="88"/>
  <c r="H10" i="88" s="1" a="1"/>
  <c r="H10" i="88" s="1"/>
  <c r="J11" i="88"/>
  <c r="H11" i="88" s="1" a="1"/>
  <c r="H11" i="88" s="1"/>
  <c r="J12" i="88"/>
  <c r="H12" i="88" s="1" a="1"/>
  <c r="H12" i="88" s="1"/>
  <c r="J9" i="11"/>
  <c r="H9" i="11" s="1" a="1"/>
  <c r="H9" i="11" s="1"/>
  <c r="K12" i="80"/>
  <c r="I12" i="80" s="1" a="1"/>
  <c r="I12" i="80" s="1"/>
  <c r="K14" i="80"/>
  <c r="I14" i="80" s="1" a="1"/>
  <c r="I14" i="80" s="1"/>
  <c r="K13" i="80"/>
  <c r="I13" i="80" s="1" a="1"/>
  <c r="I13" i="80" s="1"/>
  <c r="K9" i="13"/>
  <c r="J9" i="13"/>
  <c r="K8" i="13"/>
  <c r="H8" i="13" s="1" a="1"/>
  <c r="H8" i="13" s="1"/>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J42" i="18" s="1"/>
  <c r="E11" i="59"/>
  <c r="K11" i="59" s="1"/>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G8" i="49" s="1"/>
  <c r="E13" i="37"/>
  <c r="G13" i="37" s="1"/>
  <c r="J10" i="59"/>
  <c r="J9" i="59"/>
  <c r="H9" i="59" s="1" a="1"/>
  <c r="H9" i="59" s="1"/>
  <c r="J11" i="18"/>
  <c r="K8" i="18"/>
  <c r="H8" i="18" s="1" a="1"/>
  <c r="H8" i="18" s="1"/>
  <c r="J8" i="18"/>
  <c r="I8" i="18" s="1" a="1"/>
  <c r="I8" i="18" s="1"/>
  <c r="J10" i="11"/>
  <c r="K10" i="18"/>
  <c r="K30" i="18"/>
  <c r="J8" i="13"/>
  <c r="I8" i="13" s="1" a="1"/>
  <c r="I8" i="13" s="1"/>
  <c r="J15" i="18"/>
  <c r="K9" i="18"/>
  <c r="J9" i="18"/>
  <c r="J17" i="18"/>
  <c r="K34" i="18"/>
  <c r="E11" i="11"/>
  <c r="G11" i="11" s="1"/>
  <c r="E10" i="13"/>
  <c r="G10" i="13" s="1"/>
  <c r="H17" i="84" l="1"/>
  <c r="H15" i="84"/>
  <c r="H14" i="84"/>
  <c r="H20" i="84"/>
  <c r="G21" i="84"/>
  <c r="G13" i="84"/>
  <c r="G15" i="84"/>
  <c r="G17" i="84"/>
  <c r="G18" i="84"/>
  <c r="G14" i="84"/>
  <c r="G20" i="84"/>
  <c r="E9" i="84"/>
  <c r="K25" i="18"/>
  <c r="K15" i="18"/>
  <c r="J36" i="18"/>
  <c r="J18" i="18"/>
  <c r="G11" i="59"/>
  <c r="G10" i="18"/>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J13" i="37"/>
  <c r="H13" i="37" s="1" a="1"/>
  <c r="H13" i="37" s="1"/>
  <c r="K13" i="37"/>
  <c r="I13" i="37" s="1" a="1"/>
  <c r="I13" i="37" s="1"/>
  <c r="J28" i="18"/>
  <c r="K20" i="18"/>
  <c r="H20" i="18" s="1" a="1"/>
  <c r="H20" i="18" s="1"/>
  <c r="K16" i="18"/>
  <c r="J12" i="18"/>
  <c r="K22" i="18"/>
  <c r="J31" i="18"/>
  <c r="I31" i="18" s="1" a="1"/>
  <c r="I31" i="18" s="1"/>
  <c r="K26" i="18"/>
  <c r="J26" i="18"/>
  <c r="I26" i="18" s="1" a="1"/>
  <c r="I26" i="18" s="1"/>
  <c r="J16" i="18"/>
  <c r="J27" i="18"/>
  <c r="I27" i="18" s="1" a="1"/>
  <c r="I27" i="18" s="1"/>
  <c r="K41" i="18"/>
  <c r="K23" i="18"/>
  <c r="K12" i="18"/>
  <c r="H12" i="18" s="1" a="1"/>
  <c r="H12" i="18" s="1"/>
  <c r="K28" i="18"/>
  <c r="H28" i="18" s="1" a="1"/>
  <c r="H28" i="18" s="1"/>
  <c r="K17" i="18"/>
  <c r="H17" i="18" s="1" a="1"/>
  <c r="H17" i="18" s="1"/>
  <c r="K36" i="18"/>
  <c r="H36" i="18" s="1" a="1"/>
  <c r="H36" i="18" s="1"/>
  <c r="J37" i="18"/>
  <c r="K31" i="18"/>
  <c r="H31" i="18" s="1" a="1"/>
  <c r="H31" i="18" s="1"/>
  <c r="J24" i="18"/>
  <c r="J39" i="18"/>
  <c r="J33" i="18"/>
  <c r="K42" i="18"/>
  <c r="H42" i="18" s="1" a="1"/>
  <c r="H42" i="18" s="1"/>
  <c r="K39" i="18"/>
  <c r="H39" i="18" s="1" a="1"/>
  <c r="H39" i="18" s="1"/>
  <c r="K29" i="18"/>
  <c r="H29" i="18" s="1" a="1"/>
  <c r="H29" i="18" s="1"/>
  <c r="E43" i="18"/>
  <c r="K43" i="18" s="1"/>
  <c r="K18" i="18"/>
  <c r="H18" i="18" s="1" a="1"/>
  <c r="H18" i="18" s="1"/>
  <c r="J25" i="18"/>
  <c r="K14" i="18"/>
  <c r="J32" i="18"/>
  <c r="K19" i="18"/>
  <c r="H19" i="18" s="1" a="1"/>
  <c r="H19" i="18" s="1"/>
  <c r="K38" i="18"/>
  <c r="H38" i="18" s="1" a="1"/>
  <c r="H38" i="18" s="1"/>
  <c r="J21" i="18"/>
  <c r="I21" i="18" s="1" a="1"/>
  <c r="I21" i="18" s="1"/>
  <c r="K13" i="18"/>
  <c r="J13" i="18"/>
  <c r="I13" i="18" s="1" a="1"/>
  <c r="I13" i="18" s="1"/>
  <c r="J29" i="18"/>
  <c r="J20" i="18"/>
  <c r="J41" i="18"/>
  <c r="J23" i="18"/>
  <c r="I23" i="18" s="1" a="1"/>
  <c r="I23" i="18" s="1"/>
  <c r="J10" i="18"/>
  <c r="I10" i="18" s="1" a="1"/>
  <c r="I10" i="18" s="1"/>
  <c r="K12" i="53" a="1"/>
  <c r="K12" i="53" s="1"/>
  <c r="J12" i="53" a="1"/>
  <c r="J12" i="53" s="1"/>
  <c r="F14" i="53"/>
  <c r="H14" i="53" s="1"/>
  <c r="L13" i="53"/>
  <c r="M13" i="53"/>
  <c r="N13" i="53"/>
  <c r="I12" i="53" a="1"/>
  <c r="I12" i="53" s="1"/>
  <c r="K11" i="11"/>
  <c r="K32" i="18"/>
  <c r="H32" i="18" s="1" a="1"/>
  <c r="H32" i="18" s="1"/>
  <c r="J22" i="18"/>
  <c r="K33" i="18"/>
  <c r="H33" i="18" s="1" a="1"/>
  <c r="H33" i="18" s="1"/>
  <c r="J34" i="18"/>
  <c r="K21" i="18"/>
  <c r="J35" i="18"/>
  <c r="K37" i="18"/>
  <c r="H37" i="18" s="1" a="1"/>
  <c r="H37" i="18" s="1"/>
  <c r="J19" i="18"/>
  <c r="I19" i="18" s="1" a="1"/>
  <c r="I19" i="18" s="1"/>
  <c r="K11" i="18"/>
  <c r="H11" i="18" s="1" a="1"/>
  <c r="H11" i="18" s="1"/>
  <c r="J40" i="18"/>
  <c r="K24" i="18"/>
  <c r="H24" i="18" s="1" a="1"/>
  <c r="H24" i="18" s="1"/>
  <c r="J14" i="18"/>
  <c r="J11" i="59"/>
  <c r="J30" i="18"/>
  <c r="I30" i="18" s="1" a="1"/>
  <c r="I30" i="18" s="1"/>
  <c r="K35" i="18"/>
  <c r="H35" i="18" s="1" a="1"/>
  <c r="H35" i="18" s="1"/>
  <c r="J38" i="18"/>
  <c r="I38" i="18" s="1" a="1"/>
  <c r="I38" i="18" s="1"/>
  <c r="K40" i="18"/>
  <c r="H40" i="18" s="1" a="1"/>
  <c r="H40" i="18" s="1"/>
  <c r="K27" i="18"/>
  <c r="V2" i="49"/>
  <c r="H10" i="18" a="1"/>
  <c r="H10" i="18" s="1"/>
  <c r="I16" i="18" a="1"/>
  <c r="I16" i="18" s="1"/>
  <c r="I15" i="18" a="1"/>
  <c r="I15" i="18" s="1"/>
  <c r="I42" i="18" a="1"/>
  <c r="I42" i="18" s="1"/>
  <c r="I11" i="18" a="1"/>
  <c r="I11" i="18" s="1"/>
  <c r="H9" i="13" a="1"/>
  <c r="H9" i="13" s="1"/>
  <c r="I9" i="13" a="1"/>
  <c r="I9" i="13" s="1"/>
  <c r="J10" i="13"/>
  <c r="K10" i="13"/>
  <c r="H10" i="11" a="1"/>
  <c r="H10" i="11" s="1"/>
  <c r="I28" i="18" a="1"/>
  <c r="I28" i="18" s="1"/>
  <c r="H25" i="18" a="1"/>
  <c r="H25" i="18" s="1"/>
  <c r="I37" i="18" a="1"/>
  <c r="I37" i="18" s="1"/>
  <c r="J43" i="18"/>
  <c r="J11" i="11"/>
  <c r="E12" i="59"/>
  <c r="I11" i="59" a="1"/>
  <c r="I11" i="59" s="1"/>
  <c r="W1" i="49"/>
  <c r="E14" i="37"/>
  <c r="G14" i="37" s="1"/>
  <c r="H13" i="18" a="1"/>
  <c r="H13" i="18" s="1"/>
  <c r="H15" i="18" a="1"/>
  <c r="H15" i="18" s="1"/>
  <c r="I9" i="18" a="1"/>
  <c r="I9" i="18" s="1"/>
  <c r="I17" i="18" a="1"/>
  <c r="I17" i="18" s="1"/>
  <c r="E12" i="11"/>
  <c r="K12" i="11" s="1"/>
  <c r="E11" i="13"/>
  <c r="K11" i="13" s="1"/>
  <c r="I24" i="18" a="1"/>
  <c r="I24" i="18" s="1"/>
  <c r="H9" i="18" a="1"/>
  <c r="H9" i="18" s="1"/>
  <c r="I36" i="18" a="1"/>
  <c r="I36" i="18" s="1"/>
  <c r="H16" i="18" a="1"/>
  <c r="H16" i="18" s="1"/>
  <c r="H30" i="18" a="1"/>
  <c r="H30" i="18" s="1"/>
  <c r="H10" i="59" a="1"/>
  <c r="H10" i="59" s="1"/>
  <c r="E44" i="18"/>
  <c r="H26" i="18" l="1" a="1"/>
  <c r="H26" i="18" s="1"/>
  <c r="H22" i="18" a="1"/>
  <c r="H22" i="18" s="1"/>
  <c r="I35" i="18" a="1"/>
  <c r="I35" i="18" s="1"/>
  <c r="I41" i="18" a="1"/>
  <c r="I41" i="18" s="1"/>
  <c r="I32" i="18" a="1"/>
  <c r="I32" i="18" s="1"/>
  <c r="I33" i="18" a="1"/>
  <c r="I33" i="18" s="1"/>
  <c r="H34" i="18" a="1"/>
  <c r="H34" i="18" s="1"/>
  <c r="H21" i="18" a="1"/>
  <c r="H21" i="18" s="1"/>
  <c r="I20" i="18" a="1"/>
  <c r="I20" i="18" s="1"/>
  <c r="H14" i="18" a="1"/>
  <c r="H14" i="18" s="1"/>
  <c r="I39" i="18" a="1"/>
  <c r="I39" i="18" s="1"/>
  <c r="H23" i="18" a="1"/>
  <c r="H23" i="18" s="1"/>
  <c r="I12" i="18" a="1"/>
  <c r="I12" i="18" s="1"/>
  <c r="I18" i="18" a="1"/>
  <c r="I18" i="18" s="1"/>
  <c r="I14" i="18" a="1"/>
  <c r="I14" i="18" s="1"/>
  <c r="I34" i="18" a="1"/>
  <c r="I34" i="18" s="1"/>
  <c r="I29" i="18" a="1"/>
  <c r="I29" i="18" s="1"/>
  <c r="I25" i="18" a="1"/>
  <c r="I25" i="18" s="1"/>
  <c r="H41" i="18" a="1"/>
  <c r="H41" i="18" s="1"/>
  <c r="H27" i="18" a="1"/>
  <c r="H27" i="18" s="1"/>
  <c r="I40" i="18" a="1"/>
  <c r="I40" i="18" s="1"/>
  <c r="I22" i="18" a="1"/>
  <c r="I22" i="18" s="1"/>
  <c r="C8" i="49"/>
  <c r="O12" i="49" s="1"/>
  <c r="G43" i="18"/>
  <c r="G44" i="18" s="1"/>
  <c r="G12" i="59"/>
  <c r="G12" i="11"/>
  <c r="G11" i="13"/>
  <c r="K14" i="37"/>
  <c r="I14" i="37" s="1" a="1"/>
  <c r="I14" i="37" s="1"/>
  <c r="J14" i="37"/>
  <c r="H14" i="37" s="1" a="1"/>
  <c r="H14" i="37" s="1"/>
  <c r="J13" i="53" a="1"/>
  <c r="J13" i="53" s="1"/>
  <c r="K13" i="53" a="1"/>
  <c r="K13" i="53" s="1"/>
  <c r="I13" i="53" a="1"/>
  <c r="I13" i="53" s="1"/>
  <c r="F15" i="53"/>
  <c r="H15" i="53" s="1"/>
  <c r="L14" i="53"/>
  <c r="N14" i="53"/>
  <c r="M14" i="53"/>
  <c r="I93" i="49"/>
  <c r="I80" i="49"/>
  <c r="G80" i="49"/>
  <c r="G53" i="49"/>
  <c r="I53" i="49"/>
  <c r="H11" i="59" a="1"/>
  <c r="H11" i="59" s="1"/>
  <c r="K12" i="59"/>
  <c r="I62" i="49"/>
  <c r="G82" i="49"/>
  <c r="I95" i="49"/>
  <c r="G52" i="49"/>
  <c r="I54" i="49"/>
  <c r="G92" i="49"/>
  <c r="I86" i="49"/>
  <c r="I92" i="49"/>
  <c r="G91" i="49"/>
  <c r="G86" i="49"/>
  <c r="I91" i="49"/>
  <c r="I52" i="49"/>
  <c r="Q16" i="49" s="1"/>
  <c r="I82" i="49"/>
  <c r="G64" i="49"/>
  <c r="I64" i="49"/>
  <c r="G63" i="49"/>
  <c r="I63" i="49"/>
  <c r="I56" i="49"/>
  <c r="G62" i="49"/>
  <c r="G41" i="49"/>
  <c r="G34" i="49"/>
  <c r="G56" i="49"/>
  <c r="I39" i="49"/>
  <c r="G60" i="49"/>
  <c r="G33" i="49"/>
  <c r="G32" i="49"/>
  <c r="I49" i="49"/>
  <c r="G59" i="49"/>
  <c r="G39" i="49"/>
  <c r="G49" i="49"/>
  <c r="I61" i="49"/>
  <c r="I45" i="49"/>
  <c r="G31" i="49"/>
  <c r="G24" i="49"/>
  <c r="I60" i="49"/>
  <c r="G45" i="49"/>
  <c r="I34" i="49"/>
  <c r="I24" i="49"/>
  <c r="I41" i="49"/>
  <c r="I59" i="49"/>
  <c r="I33" i="49"/>
  <c r="I31" i="49"/>
  <c r="I32" i="49"/>
  <c r="G61" i="49"/>
  <c r="Q12" i="49"/>
  <c r="AM1" i="49" s="1"/>
  <c r="I10" i="13" a="1"/>
  <c r="I10" i="13" s="1"/>
  <c r="H11" i="11" a="1"/>
  <c r="H11" i="11" s="1"/>
  <c r="I43" i="18" a="1"/>
  <c r="I43" i="18" s="1"/>
  <c r="H10" i="13" a="1"/>
  <c r="H10" i="13" s="1"/>
  <c r="J44" i="18"/>
  <c r="K44" i="18"/>
  <c r="E13" i="59"/>
  <c r="J12" i="59"/>
  <c r="J11" i="13"/>
  <c r="J12" i="11"/>
  <c r="W2" i="49"/>
  <c r="E15" i="37"/>
  <c r="G15" i="37" s="1"/>
  <c r="E13" i="11"/>
  <c r="K13" i="11" s="1"/>
  <c r="E12" i="13"/>
  <c r="K12" i="13" s="1"/>
  <c r="E45" i="18"/>
  <c r="H43" i="18" l="1" a="1"/>
  <c r="H43" i="18" s="1"/>
  <c r="AM2" i="49"/>
  <c r="AJ1" i="49"/>
  <c r="G12" i="13"/>
  <c r="G13" i="11"/>
  <c r="G13" i="59"/>
  <c r="G14" i="59" s="1"/>
  <c r="G45" i="18"/>
  <c r="J15" i="37"/>
  <c r="H15" i="37" s="1" a="1"/>
  <c r="H15" i="37" s="1"/>
  <c r="K15" i="37"/>
  <c r="I15" i="37" s="1" a="1"/>
  <c r="I15" i="37" s="1"/>
  <c r="J14" i="53" a="1"/>
  <c r="J14" i="53" s="1"/>
  <c r="K14" i="53" a="1"/>
  <c r="K14" i="53" s="1"/>
  <c r="I14" i="53" a="1"/>
  <c r="I14" i="53" s="1"/>
  <c r="F16" i="53"/>
  <c r="H16" i="53" s="1"/>
  <c r="M15" i="53"/>
  <c r="N15" i="53"/>
  <c r="L15" i="53"/>
  <c r="H12" i="11" a="1"/>
  <c r="H12" i="11" s="1"/>
  <c r="E93" i="49"/>
  <c r="E80" i="49"/>
  <c r="C80" i="49"/>
  <c r="E22" i="49"/>
  <c r="I22" i="49"/>
  <c r="G22" i="49"/>
  <c r="C22" i="49"/>
  <c r="C53" i="49"/>
  <c r="E53" i="49"/>
  <c r="I12" i="59" a="1"/>
  <c r="I12" i="59" s="1"/>
  <c r="K13" i="59"/>
  <c r="H12" i="59" a="1"/>
  <c r="H12" i="59" s="1"/>
  <c r="E95" i="49"/>
  <c r="E92" i="49"/>
  <c r="E91" i="49"/>
  <c r="E52" i="49"/>
  <c r="O16" i="49" s="1"/>
  <c r="E82" i="49"/>
  <c r="C92" i="49"/>
  <c r="C52" i="49"/>
  <c r="E86" i="49"/>
  <c r="C91" i="49"/>
  <c r="E54" i="49"/>
  <c r="C86" i="49"/>
  <c r="C64" i="49"/>
  <c r="E64" i="49"/>
  <c r="I11" i="13" a="1"/>
  <c r="I11" i="13" s="1"/>
  <c r="I35" i="49"/>
  <c r="AJ2" i="49"/>
  <c r="E56" i="49"/>
  <c r="C56" i="49"/>
  <c r="E49" i="49"/>
  <c r="C62" i="49"/>
  <c r="E63" i="49"/>
  <c r="E62" i="49"/>
  <c r="C63" i="49"/>
  <c r="E61" i="49"/>
  <c r="C34" i="49"/>
  <c r="E24" i="49"/>
  <c r="C61" i="49"/>
  <c r="E33" i="49"/>
  <c r="C24" i="49"/>
  <c r="E60" i="49"/>
  <c r="E41" i="49"/>
  <c r="C33" i="49"/>
  <c r="C60" i="49"/>
  <c r="C41" i="49"/>
  <c r="E32" i="49"/>
  <c r="E59" i="49"/>
  <c r="E39" i="49"/>
  <c r="C32" i="49"/>
  <c r="C59" i="49"/>
  <c r="C39" i="49"/>
  <c r="E31" i="49"/>
  <c r="E45" i="49"/>
  <c r="E34" i="49"/>
  <c r="C31" i="49"/>
  <c r="H44" i="18" a="1"/>
  <c r="H44" i="18" s="1"/>
  <c r="I44" i="18" a="1"/>
  <c r="I44" i="18" s="1"/>
  <c r="H11" i="13" a="1"/>
  <c r="H11" i="13" s="1"/>
  <c r="J13" i="11"/>
  <c r="J12" i="13"/>
  <c r="K45" i="18"/>
  <c r="J45" i="18"/>
  <c r="H12" i="13" a="1"/>
  <c r="H12" i="13" s="1"/>
  <c r="E14" i="59"/>
  <c r="J13" i="59"/>
  <c r="E16" i="37"/>
  <c r="G16" i="37" s="1"/>
  <c r="E14" i="11"/>
  <c r="K14" i="11" s="1"/>
  <c r="E13" i="13"/>
  <c r="K13" i="13" s="1"/>
  <c r="E46" i="18"/>
  <c r="G46" i="18" l="1"/>
  <c r="G14" i="11"/>
  <c r="G13" i="13"/>
  <c r="K16" i="37"/>
  <c r="I16" i="37" s="1" a="1"/>
  <c r="I16" i="37" s="1"/>
  <c r="J16" i="37"/>
  <c r="H16" i="37" s="1" a="1"/>
  <c r="H16" i="37" s="1"/>
  <c r="J15" i="53" a="1"/>
  <c r="J15" i="53" s="1"/>
  <c r="K15" i="53" a="1"/>
  <c r="K15" i="53" s="1"/>
  <c r="I15" i="53" a="1"/>
  <c r="I15" i="53" s="1"/>
  <c r="F17" i="53"/>
  <c r="H17" i="53" s="1"/>
  <c r="L16" i="53"/>
  <c r="M16" i="53"/>
  <c r="N16" i="53"/>
  <c r="H13" i="59" a="1"/>
  <c r="H13" i="59" s="1"/>
  <c r="I13" i="59" a="1"/>
  <c r="I13" i="59" s="1"/>
  <c r="K14" i="59"/>
  <c r="E35" i="49"/>
  <c r="I12" i="13" a="1"/>
  <c r="I12" i="13" s="1"/>
  <c r="H13" i="11" a="1"/>
  <c r="H13" i="11" s="1"/>
  <c r="J14" i="11"/>
  <c r="K46" i="18"/>
  <c r="H46" i="18" s="1" a="1"/>
  <c r="H46" i="18" s="1"/>
  <c r="J46" i="18"/>
  <c r="I46" i="18" s="1" a="1"/>
  <c r="I46" i="18" s="1"/>
  <c r="E15" i="59"/>
  <c r="G15" i="59" s="1"/>
  <c r="J14" i="59"/>
  <c r="J13" i="13"/>
  <c r="E17" i="37"/>
  <c r="G17" i="37" s="1"/>
  <c r="H45" i="18" a="1"/>
  <c r="H45" i="18" s="1"/>
  <c r="I45" i="18" a="1"/>
  <c r="I45" i="18" s="1"/>
  <c r="E14" i="13"/>
  <c r="K14" i="13" s="1"/>
  <c r="E15" i="11"/>
  <c r="K15" i="11" s="1"/>
  <c r="E47" i="18"/>
  <c r="G15" i="11" l="1"/>
  <c r="G47" i="18"/>
  <c r="G14" i="13"/>
  <c r="K17" i="37"/>
  <c r="I17" i="37" s="1" a="1"/>
  <c r="I17" i="37" s="1"/>
  <c r="J17" i="37"/>
  <c r="H17" i="37" s="1" a="1"/>
  <c r="H17" i="37" s="1"/>
  <c r="K16" i="53" a="1"/>
  <c r="K16" i="53" s="1"/>
  <c r="J16" i="53" a="1"/>
  <c r="J16" i="53" s="1"/>
  <c r="I16" i="53" a="1"/>
  <c r="I16" i="53" s="1"/>
  <c r="F18" i="53"/>
  <c r="H18" i="53" s="1"/>
  <c r="N17" i="53"/>
  <c r="L17" i="53"/>
  <c r="M17" i="53"/>
  <c r="I14" i="59" a="1"/>
  <c r="I14" i="59" s="1"/>
  <c r="H14" i="59" a="1"/>
  <c r="H14" i="59" s="1"/>
  <c r="K15" i="59"/>
  <c r="H14" i="11" a="1"/>
  <c r="H14" i="11" s="1"/>
  <c r="H13" i="13" a="1"/>
  <c r="H13" i="13" s="1"/>
  <c r="I13" i="13" a="1"/>
  <c r="I13" i="13" s="1"/>
  <c r="J15" i="11"/>
  <c r="K47" i="18"/>
  <c r="J47" i="18"/>
  <c r="J14" i="13"/>
  <c r="I14" i="13" s="1" a="1"/>
  <c r="I14" i="13" s="1"/>
  <c r="H14" i="13" a="1"/>
  <c r="H14" i="13" s="1"/>
  <c r="E16" i="59"/>
  <c r="G16" i="59" s="1"/>
  <c r="J15" i="59"/>
  <c r="E18" i="37"/>
  <c r="G18" i="37" s="1"/>
  <c r="E16" i="11"/>
  <c r="K16" i="11" s="1"/>
  <c r="E15" i="13"/>
  <c r="K15" i="13" s="1"/>
  <c r="E48" i="18"/>
  <c r="G15" i="13" l="1"/>
  <c r="G48" i="18"/>
  <c r="G16" i="11"/>
  <c r="K18" i="37"/>
  <c r="I18" i="37" s="1" a="1"/>
  <c r="I18" i="37" s="1"/>
  <c r="J18" i="37"/>
  <c r="H18" i="37" s="1" a="1"/>
  <c r="H18" i="37" s="1"/>
  <c r="K17" i="53" a="1"/>
  <c r="K17" i="53" s="1"/>
  <c r="J17" i="53" a="1"/>
  <c r="J17" i="53" s="1"/>
  <c r="F19" i="53"/>
  <c r="H19" i="53" s="1"/>
  <c r="L18" i="53"/>
  <c r="M18" i="53"/>
  <c r="N18" i="53"/>
  <c r="I17" i="53" a="1"/>
  <c r="I17" i="53" s="1"/>
  <c r="I15" i="59" a="1"/>
  <c r="I15" i="59" s="1"/>
  <c r="K16" i="59"/>
  <c r="H15" i="59" a="1"/>
  <c r="H15" i="59" s="1"/>
  <c r="H15" i="11" a="1"/>
  <c r="H15" i="11" s="1"/>
  <c r="J15" i="13"/>
  <c r="E17" i="59"/>
  <c r="G17" i="59" s="1"/>
  <c r="J16" i="59"/>
  <c r="J48" i="18"/>
  <c r="I48" i="18" s="1" a="1"/>
  <c r="I48" i="18" s="1"/>
  <c r="K48" i="18"/>
  <c r="H48" i="18" s="1" a="1"/>
  <c r="H48" i="18" s="1"/>
  <c r="J16" i="11"/>
  <c r="E19" i="37"/>
  <c r="G19" i="37" s="1"/>
  <c r="I47" i="18" a="1"/>
  <c r="I47" i="18" s="1"/>
  <c r="H47" i="18" a="1"/>
  <c r="H47" i="18" s="1"/>
  <c r="E16" i="13"/>
  <c r="K16" i="13" s="1"/>
  <c r="E17" i="11"/>
  <c r="K17" i="11" s="1"/>
  <c r="E49" i="18"/>
  <c r="G17" i="11" l="1"/>
  <c r="G49" i="18"/>
  <c r="G16" i="13"/>
  <c r="J19" i="37"/>
  <c r="H19" i="37" s="1" a="1"/>
  <c r="H19" i="37" s="1"/>
  <c r="K19" i="37"/>
  <c r="I19" i="37" s="1" a="1"/>
  <c r="I19" i="37" s="1"/>
  <c r="J18" i="53" a="1"/>
  <c r="J18" i="53" s="1"/>
  <c r="K18" i="53" a="1"/>
  <c r="K18" i="53" s="1"/>
  <c r="F20" i="53"/>
  <c r="H20" i="53" s="1"/>
  <c r="L19" i="53"/>
  <c r="M19" i="53"/>
  <c r="N19" i="53"/>
  <c r="I18" i="53" a="1"/>
  <c r="I18" i="53" s="1"/>
  <c r="I16" i="59" a="1"/>
  <c r="I16" i="59" s="1"/>
  <c r="K17" i="59"/>
  <c r="H16" i="59" a="1"/>
  <c r="H16" i="59" s="1"/>
  <c r="H16" i="11" a="1"/>
  <c r="H16" i="11" s="1"/>
  <c r="I15" i="13" a="1"/>
  <c r="I15" i="13" s="1"/>
  <c r="H15" i="13" a="1"/>
  <c r="H15" i="13" s="1"/>
  <c r="J16" i="13"/>
  <c r="E18" i="59"/>
  <c r="G18" i="59" s="1"/>
  <c r="J17" i="59"/>
  <c r="K49" i="18"/>
  <c r="J49" i="18"/>
  <c r="J17" i="11"/>
  <c r="E20" i="37"/>
  <c r="G20" i="37" s="1"/>
  <c r="E18" i="11"/>
  <c r="K18" i="11" s="1"/>
  <c r="E17" i="13"/>
  <c r="K17" i="13" s="1"/>
  <c r="E50" i="18"/>
  <c r="G17" i="13" l="1"/>
  <c r="G50" i="18"/>
  <c r="G18" i="11"/>
  <c r="J20" i="37"/>
  <c r="H20" i="37" s="1" a="1"/>
  <c r="H20" i="37" s="1"/>
  <c r="K20" i="37"/>
  <c r="I20" i="37" s="1" a="1"/>
  <c r="I20" i="37" s="1"/>
  <c r="K19" i="53" a="1"/>
  <c r="K19" i="53" s="1"/>
  <c r="J19" i="53" a="1"/>
  <c r="J19" i="53" s="1"/>
  <c r="F21" i="53"/>
  <c r="H21" i="53" s="1"/>
  <c r="N20" i="53"/>
  <c r="L20" i="53"/>
  <c r="M20" i="53"/>
  <c r="I19" i="53" a="1"/>
  <c r="I19" i="53" s="1"/>
  <c r="I17" i="59" a="1"/>
  <c r="I17" i="59" s="1"/>
  <c r="K18" i="59"/>
  <c r="H17" i="59" a="1"/>
  <c r="H17" i="59" s="1"/>
  <c r="H49" i="18" a="1"/>
  <c r="H49" i="18" s="1"/>
  <c r="I49" i="18" a="1"/>
  <c r="I49" i="18" s="1"/>
  <c r="H16" i="13" a="1"/>
  <c r="H16" i="13" s="1"/>
  <c r="I16" i="13" a="1"/>
  <c r="I16" i="13" s="1"/>
  <c r="H17" i="11" a="1"/>
  <c r="H17" i="11" s="1"/>
  <c r="J17" i="13"/>
  <c r="K50" i="18"/>
  <c r="J50" i="18"/>
  <c r="J18" i="11"/>
  <c r="H18" i="11" s="1" a="1"/>
  <c r="H18" i="11" s="1"/>
  <c r="E19" i="59"/>
  <c r="G19" i="59" s="1"/>
  <c r="J18" i="59"/>
  <c r="E21" i="37"/>
  <c r="G21" i="37" s="1"/>
  <c r="E19" i="11"/>
  <c r="K19" i="11" s="1"/>
  <c r="E18" i="13"/>
  <c r="K18" i="13" s="1"/>
  <c r="E51" i="18"/>
  <c r="G51" i="18" l="1"/>
  <c r="G18" i="13"/>
  <c r="G19" i="11"/>
  <c r="J21" i="37"/>
  <c r="H21" i="37" s="1" a="1"/>
  <c r="H21" i="37" s="1"/>
  <c r="K21" i="37"/>
  <c r="I21" i="37" s="1" a="1"/>
  <c r="I21" i="37" s="1"/>
  <c r="K20" i="53" a="1"/>
  <c r="K20" i="53" s="1"/>
  <c r="J20" i="53" a="1"/>
  <c r="J20" i="53" s="1"/>
  <c r="F22" i="53"/>
  <c r="H22" i="53" s="1"/>
  <c r="L21" i="53"/>
  <c r="M21" i="53"/>
  <c r="N21" i="53"/>
  <c r="I20" i="53" a="1"/>
  <c r="I20" i="53" s="1"/>
  <c r="I18" i="59" a="1"/>
  <c r="I18" i="59" s="1"/>
  <c r="K19" i="59"/>
  <c r="H18" i="59" a="1"/>
  <c r="H18" i="59" s="1"/>
  <c r="I17" i="13" a="1"/>
  <c r="I17" i="13" s="1"/>
  <c r="H17" i="13" a="1"/>
  <c r="H17" i="13" s="1"/>
  <c r="H18" i="13" a="1"/>
  <c r="H18" i="13" s="1"/>
  <c r="J18" i="13"/>
  <c r="K51" i="18"/>
  <c r="J51" i="18"/>
  <c r="J19" i="11"/>
  <c r="E20" i="59"/>
  <c r="G20" i="59" s="1"/>
  <c r="J19" i="59"/>
  <c r="E22" i="37"/>
  <c r="G22" i="37" s="1"/>
  <c r="H50" i="18" a="1"/>
  <c r="H50" i="18" s="1"/>
  <c r="I50" i="18" a="1"/>
  <c r="I50" i="18" s="1"/>
  <c r="E19" i="13"/>
  <c r="K19" i="13" s="1"/>
  <c r="E20" i="11"/>
  <c r="K20" i="11" s="1"/>
  <c r="E52" i="18"/>
  <c r="G19" i="13" l="1"/>
  <c r="G52" i="18"/>
  <c r="G20" i="11"/>
  <c r="K22" i="37"/>
  <c r="I22" i="37" s="1" a="1"/>
  <c r="I22" i="37" s="1"/>
  <c r="J22" i="37"/>
  <c r="H22" i="37" s="1" a="1"/>
  <c r="H22" i="37" s="1"/>
  <c r="K21" i="53" a="1"/>
  <c r="K21" i="53" s="1"/>
  <c r="J21" i="53" a="1"/>
  <c r="J21" i="53" s="1"/>
  <c r="F23" i="53"/>
  <c r="H23" i="53" s="1"/>
  <c r="N22" i="53"/>
  <c r="L22" i="53"/>
  <c r="M22" i="53"/>
  <c r="I21" i="53" a="1"/>
  <c r="I21" i="53" s="1"/>
  <c r="I19" i="59" a="1"/>
  <c r="I19" i="59" s="1"/>
  <c r="K20" i="59"/>
  <c r="H19" i="59" a="1"/>
  <c r="H19" i="59" s="1"/>
  <c r="K10" i="30"/>
  <c r="I10" i="30" s="1" a="1"/>
  <c r="I10" i="30" s="1"/>
  <c r="I51" i="18" a="1"/>
  <c r="I51" i="18" s="1"/>
  <c r="I18" i="13" a="1"/>
  <c r="I18" i="13" s="1"/>
  <c r="H19" i="11" a="1"/>
  <c r="H19" i="11" s="1"/>
  <c r="H51" i="18" a="1"/>
  <c r="H51" i="18" s="1"/>
  <c r="J20" i="11"/>
  <c r="K52" i="18"/>
  <c r="H52" i="18" s="1" a="1"/>
  <c r="H52" i="18" s="1"/>
  <c r="J52" i="18"/>
  <c r="I52" i="18" s="1" a="1"/>
  <c r="I52" i="18" s="1"/>
  <c r="J19" i="13"/>
  <c r="E21" i="59"/>
  <c r="G21" i="59" s="1"/>
  <c r="J20" i="59"/>
  <c r="E23" i="37"/>
  <c r="G23" i="37" s="1"/>
  <c r="E21" i="11"/>
  <c r="K21" i="11" s="1"/>
  <c r="E20" i="13"/>
  <c r="K20" i="13" s="1"/>
  <c r="E53" i="18"/>
  <c r="G21" i="11" l="1"/>
  <c r="G53" i="18"/>
  <c r="G20" i="13"/>
  <c r="H20" i="13" s="1" a="1"/>
  <c r="H20" i="13" s="1"/>
  <c r="J23" i="37"/>
  <c r="H23" i="37" s="1" a="1"/>
  <c r="H23" i="37" s="1"/>
  <c r="K23" i="37"/>
  <c r="I23" i="37" s="1" a="1"/>
  <c r="I23" i="37" s="1"/>
  <c r="E11" i="30"/>
  <c r="J22" i="53" a="1"/>
  <c r="J22" i="53" s="1"/>
  <c r="K22" i="53" a="1"/>
  <c r="K22" i="53" s="1"/>
  <c r="F24" i="53"/>
  <c r="H24" i="53" s="1"/>
  <c r="M23" i="53"/>
  <c r="N23" i="53"/>
  <c r="L23" i="53"/>
  <c r="I22" i="53" a="1"/>
  <c r="I22" i="53" s="1"/>
  <c r="I20" i="59" a="1"/>
  <c r="I20" i="59" s="1"/>
  <c r="K21" i="59"/>
  <c r="H20" i="59" a="1"/>
  <c r="H20" i="59" s="1"/>
  <c r="I19" i="13" a="1"/>
  <c r="I19" i="13" s="1"/>
  <c r="H19" i="13" a="1"/>
  <c r="H19" i="13" s="1"/>
  <c r="H20" i="11" a="1"/>
  <c r="H20" i="11" s="1"/>
  <c r="E22" i="59"/>
  <c r="G22" i="59" s="1"/>
  <c r="J21" i="59"/>
  <c r="J21" i="11"/>
  <c r="K53" i="18"/>
  <c r="H53" i="18" s="1" a="1"/>
  <c r="H53" i="18" s="1"/>
  <c r="J53" i="18"/>
  <c r="J20" i="13"/>
  <c r="E24" i="37"/>
  <c r="G24" i="37" s="1"/>
  <c r="E21" i="13"/>
  <c r="K21" i="13" s="1"/>
  <c r="E22" i="11"/>
  <c r="K22" i="11" s="1"/>
  <c r="E54" i="18"/>
  <c r="I53" i="18" l="1" a="1"/>
  <c r="I53" i="18" s="1"/>
  <c r="G54" i="18"/>
  <c r="G21" i="13"/>
  <c r="G22" i="11"/>
  <c r="J11" i="30"/>
  <c r="G11" i="30"/>
  <c r="G12" i="30" s="1"/>
  <c r="G13" i="30" s="1"/>
  <c r="K24" i="37"/>
  <c r="I24" i="37" s="1" a="1"/>
  <c r="I24" i="37" s="1"/>
  <c r="J24" i="37"/>
  <c r="H24" i="37" s="1" a="1"/>
  <c r="H24" i="37" s="1"/>
  <c r="K11" i="30"/>
  <c r="E12" i="30"/>
  <c r="K23" i="53" a="1"/>
  <c r="K23" i="53" s="1"/>
  <c r="J23" i="53" a="1"/>
  <c r="J23" i="53" s="1"/>
  <c r="F25" i="53"/>
  <c r="H25" i="53" s="1"/>
  <c r="L24" i="53"/>
  <c r="M24" i="53"/>
  <c r="N24" i="53"/>
  <c r="I23" i="53" a="1"/>
  <c r="I23" i="53" s="1"/>
  <c r="I21" i="59" a="1"/>
  <c r="I21" i="59" s="1"/>
  <c r="H21" i="59" a="1"/>
  <c r="H21" i="59" s="1"/>
  <c r="K22" i="59"/>
  <c r="I20" i="13" a="1"/>
  <c r="I20" i="13" s="1"/>
  <c r="H21" i="11" a="1"/>
  <c r="H21" i="11" s="1"/>
  <c r="K12" i="30"/>
  <c r="J22" i="11"/>
  <c r="J21" i="13"/>
  <c r="E23" i="59"/>
  <c r="G23" i="59" s="1"/>
  <c r="J22" i="59"/>
  <c r="J54" i="18"/>
  <c r="I54" i="18" s="1" a="1"/>
  <c r="I54" i="18" s="1"/>
  <c r="K54" i="18"/>
  <c r="H54" i="18" s="1" a="1"/>
  <c r="H54" i="18" s="1"/>
  <c r="E25" i="37"/>
  <c r="G25" i="37" s="1"/>
  <c r="E23" i="11"/>
  <c r="K23" i="11" s="1"/>
  <c r="E22" i="13"/>
  <c r="K22" i="13" s="1"/>
  <c r="E55" i="18"/>
  <c r="E13" i="30"/>
  <c r="H11" i="30" l="1" a="1"/>
  <c r="H11" i="30" s="1"/>
  <c r="I11" i="30" a="1"/>
  <c r="I11" i="30" s="1"/>
  <c r="G23" i="11"/>
  <c r="G22" i="13"/>
  <c r="G23" i="13" s="1"/>
  <c r="G55" i="18"/>
  <c r="J25" i="37"/>
  <c r="H25" i="37" s="1" a="1"/>
  <c r="H25" i="37" s="1"/>
  <c r="K25" i="37"/>
  <c r="I25" i="37" s="1" a="1"/>
  <c r="I25" i="37" s="1"/>
  <c r="I22" i="59" a="1"/>
  <c r="I22" i="59" s="1"/>
  <c r="I12" i="30" a="1"/>
  <c r="I12" i="30" s="1"/>
  <c r="J13" i="30"/>
  <c r="J12" i="30"/>
  <c r="H12" i="30" s="1" a="1"/>
  <c r="H12" i="30" s="1"/>
  <c r="K24" i="53" a="1"/>
  <c r="K24" i="53" s="1"/>
  <c r="J24" i="53" a="1"/>
  <c r="J24" i="53" s="1"/>
  <c r="I24" i="53" a="1"/>
  <c r="I24" i="53" s="1"/>
  <c r="F26" i="53"/>
  <c r="H26" i="53" s="1"/>
  <c r="M25" i="53"/>
  <c r="N25" i="53"/>
  <c r="L25" i="53"/>
  <c r="H22" i="59" a="1"/>
  <c r="H22" i="59" s="1"/>
  <c r="K23" i="59"/>
  <c r="H21" i="13" a="1"/>
  <c r="H21" i="13" s="1"/>
  <c r="I21" i="13" a="1"/>
  <c r="I21" i="13" s="1"/>
  <c r="H22" i="11" a="1"/>
  <c r="H22" i="11" s="1"/>
  <c r="K13" i="30"/>
  <c r="K55" i="18"/>
  <c r="H55" i="18" s="1" a="1"/>
  <c r="H55" i="18" s="1"/>
  <c r="J55" i="18"/>
  <c r="I55" i="18" s="1" a="1"/>
  <c r="I55" i="18" s="1"/>
  <c r="J23" i="11"/>
  <c r="J22" i="13"/>
  <c r="I22" i="13" s="1" a="1"/>
  <c r="I22" i="13" s="1"/>
  <c r="H22" i="13" a="1"/>
  <c r="H22" i="13" s="1"/>
  <c r="E24" i="59"/>
  <c r="G24" i="59" s="1"/>
  <c r="J23" i="59"/>
  <c r="E26" i="37"/>
  <c r="G26" i="37" s="1"/>
  <c r="E23" i="13"/>
  <c r="K23" i="13" s="1"/>
  <c r="E24" i="11"/>
  <c r="K24" i="11" s="1"/>
  <c r="E56" i="18"/>
  <c r="E14" i="30"/>
  <c r="G14" i="30" s="1"/>
  <c r="G56" i="18" l="1"/>
  <c r="G24" i="11"/>
  <c r="K26" i="37"/>
  <c r="I26" i="37" s="1" a="1"/>
  <c r="I26" i="37" s="1"/>
  <c r="J26" i="37"/>
  <c r="H26" i="37" s="1" a="1"/>
  <c r="H26" i="37" s="1"/>
  <c r="H13" i="30" a="1"/>
  <c r="H13" i="30" s="1"/>
  <c r="I13" i="30" a="1"/>
  <c r="I13" i="30" s="1"/>
  <c r="J14" i="30"/>
  <c r="K25" i="53" a="1"/>
  <c r="K25" i="53" s="1"/>
  <c r="J25" i="53" a="1"/>
  <c r="J25" i="53" s="1"/>
  <c r="I25" i="53" a="1"/>
  <c r="I25" i="53" s="1"/>
  <c r="F27" i="53"/>
  <c r="H27" i="53" s="1"/>
  <c r="L26" i="53"/>
  <c r="M26" i="53"/>
  <c r="N26" i="53"/>
  <c r="I23" i="59" a="1"/>
  <c r="I23" i="59" s="1"/>
  <c r="H23" i="59" a="1"/>
  <c r="H23" i="59" s="1"/>
  <c r="K24" i="59"/>
  <c r="H23" i="11" a="1"/>
  <c r="H23" i="11" s="1"/>
  <c r="K14" i="30"/>
  <c r="J24" i="11"/>
  <c r="J23" i="13"/>
  <c r="E25" i="59"/>
  <c r="G25" i="59" s="1"/>
  <c r="J24" i="59"/>
  <c r="J56" i="18"/>
  <c r="K56" i="18"/>
  <c r="H56" i="18" s="1" a="1"/>
  <c r="H56" i="18" s="1"/>
  <c r="E27" i="37"/>
  <c r="G27" i="37" s="1"/>
  <c r="E25" i="11"/>
  <c r="K25" i="11" s="1"/>
  <c r="E24" i="13"/>
  <c r="K24" i="13" s="1"/>
  <c r="E57" i="18"/>
  <c r="E58" i="18" s="1"/>
  <c r="E15" i="30"/>
  <c r="G15" i="30" s="1"/>
  <c r="I56" i="18" l="1" a="1"/>
  <c r="I56" i="18" s="1"/>
  <c r="G24" i="13"/>
  <c r="G57" i="18"/>
  <c r="G58" i="18" s="1"/>
  <c r="G59" i="18" s="1"/>
  <c r="G60" i="18" s="1"/>
  <c r="G25" i="11"/>
  <c r="E59" i="18"/>
  <c r="J58" i="18"/>
  <c r="I58" i="18" s="1" a="1"/>
  <c r="I58" i="18" s="1"/>
  <c r="K58" i="18"/>
  <c r="H58" i="18" s="1" a="1"/>
  <c r="H58" i="18" s="1"/>
  <c r="J27" i="37"/>
  <c r="H27" i="37" s="1" a="1"/>
  <c r="H27" i="37" s="1"/>
  <c r="K27" i="37"/>
  <c r="I27" i="37" s="1" a="1"/>
  <c r="I27" i="37" s="1"/>
  <c r="I14" i="30" a="1"/>
  <c r="I14" i="30" s="1"/>
  <c r="H14" i="30" a="1"/>
  <c r="H14" i="30" s="1"/>
  <c r="J15" i="30"/>
  <c r="K26" i="53" a="1"/>
  <c r="K26" i="53" s="1"/>
  <c r="J26" i="53" a="1"/>
  <c r="J26" i="53" s="1"/>
  <c r="I26" i="53" a="1"/>
  <c r="I26" i="53" s="1"/>
  <c r="F28" i="53"/>
  <c r="H28" i="53" s="1"/>
  <c r="L27" i="53"/>
  <c r="M27" i="53"/>
  <c r="N27" i="53"/>
  <c r="I24" i="59" a="1"/>
  <c r="I24" i="59" s="1"/>
  <c r="K25" i="59"/>
  <c r="H24" i="59" a="1"/>
  <c r="H24" i="59" s="1"/>
  <c r="I23" i="13" a="1"/>
  <c r="I23" i="13" s="1"/>
  <c r="H23" i="13" a="1"/>
  <c r="H23" i="13" s="1"/>
  <c r="H24" i="11" a="1"/>
  <c r="H24" i="11" s="1"/>
  <c r="J25" i="11"/>
  <c r="K57" i="18"/>
  <c r="H57" i="18" s="1" a="1"/>
  <c r="H57" i="18" s="1"/>
  <c r="J57" i="18"/>
  <c r="I57" i="18" s="1" a="1"/>
  <c r="I57" i="18" s="1"/>
  <c r="K15" i="30"/>
  <c r="J24" i="13"/>
  <c r="E26" i="59"/>
  <c r="G26" i="59" s="1"/>
  <c r="J25" i="59"/>
  <c r="E28" i="37"/>
  <c r="G28" i="37" s="1"/>
  <c r="E25" i="13"/>
  <c r="K25" i="13" s="1"/>
  <c r="E26" i="11"/>
  <c r="K26" i="11" s="1"/>
  <c r="E16" i="30"/>
  <c r="J16" i="30" s="1"/>
  <c r="I60" i="18" l="1" a="1"/>
  <c r="I60" i="18" s="1"/>
  <c r="H60" i="18" a="1"/>
  <c r="H60" i="18" s="1"/>
  <c r="J59" i="18"/>
  <c r="I59" i="18" s="1" a="1"/>
  <c r="I59" i="18" s="1"/>
  <c r="K59" i="18"/>
  <c r="H59" i="18" s="1" a="1"/>
  <c r="H59" i="18" s="1"/>
  <c r="G26" i="11"/>
  <c r="G27" i="11" s="1"/>
  <c r="G25" i="13"/>
  <c r="G16" i="30"/>
  <c r="J28" i="37"/>
  <c r="H28" i="37" s="1" a="1"/>
  <c r="H28" i="37" s="1"/>
  <c r="K28" i="37"/>
  <c r="I28" i="37" s="1" a="1"/>
  <c r="I28" i="37" s="1"/>
  <c r="I15" i="30" a="1"/>
  <c r="I15" i="30" s="1"/>
  <c r="H15" i="30" a="1"/>
  <c r="H15" i="30" s="1"/>
  <c r="K27" i="53" a="1"/>
  <c r="K27" i="53" s="1"/>
  <c r="J27" i="53" a="1"/>
  <c r="J27" i="53" s="1"/>
  <c r="I27" i="53" a="1"/>
  <c r="I27" i="53" s="1"/>
  <c r="F29" i="53"/>
  <c r="H29" i="53" s="1"/>
  <c r="N28" i="53"/>
  <c r="M28" i="53"/>
  <c r="L28" i="53"/>
  <c r="I25" i="59" a="1"/>
  <c r="I25" i="59" s="1"/>
  <c r="K26" i="59"/>
  <c r="H25" i="59" a="1"/>
  <c r="H25" i="59" s="1"/>
  <c r="H25" i="11" a="1"/>
  <c r="H25" i="11" s="1"/>
  <c r="I24" i="13" a="1"/>
  <c r="I24" i="13" s="1"/>
  <c r="H24" i="13" a="1"/>
  <c r="H24" i="13" s="1"/>
  <c r="K16" i="30"/>
  <c r="J26" i="11"/>
  <c r="E27" i="59"/>
  <c r="G27" i="59" s="1"/>
  <c r="J26" i="59"/>
  <c r="J25" i="13"/>
  <c r="E29" i="37"/>
  <c r="G29" i="37" s="1"/>
  <c r="E27" i="11"/>
  <c r="K27" i="11" s="1"/>
  <c r="E26" i="13"/>
  <c r="K26" i="13" s="1"/>
  <c r="E17" i="30"/>
  <c r="J17" i="30" s="1"/>
  <c r="G17" i="30" l="1"/>
  <c r="G26" i="13"/>
  <c r="K29" i="37"/>
  <c r="I29" i="37" s="1" a="1"/>
  <c r="I29" i="37" s="1"/>
  <c r="J29" i="37"/>
  <c r="H29" i="37" s="1" a="1"/>
  <c r="H29" i="37" s="1"/>
  <c r="I16" i="30" a="1"/>
  <c r="I16" i="30" s="1"/>
  <c r="H16" i="30" a="1"/>
  <c r="H16" i="30" s="1"/>
  <c r="K28" i="53" a="1"/>
  <c r="K28" i="53" s="1"/>
  <c r="J28" i="53" a="1"/>
  <c r="J28" i="53" s="1"/>
  <c r="I28" i="53" a="1"/>
  <c r="I28" i="53" s="1"/>
  <c r="F30" i="53"/>
  <c r="H30" i="53" s="1"/>
  <c r="L29" i="53"/>
  <c r="M29" i="53"/>
  <c r="N29" i="53"/>
  <c r="H26" i="59" a="1"/>
  <c r="H26" i="59" s="1"/>
  <c r="I26" i="59" a="1"/>
  <c r="I26" i="59" s="1"/>
  <c r="K27" i="59"/>
  <c r="I25" i="13" a="1"/>
  <c r="I25" i="13" s="1"/>
  <c r="H25" i="13" a="1"/>
  <c r="H25" i="13" s="1"/>
  <c r="H26" i="11" a="1"/>
  <c r="H26" i="11" s="1"/>
  <c r="H26" i="13" a="1"/>
  <c r="H26" i="13" s="1"/>
  <c r="J26" i="13"/>
  <c r="I26" i="13" s="1" a="1"/>
  <c r="I26" i="13" s="1"/>
  <c r="E28" i="59"/>
  <c r="G28" i="59" s="1"/>
  <c r="J27" i="59"/>
  <c r="J27" i="11"/>
  <c r="K17" i="30"/>
  <c r="E30" i="37"/>
  <c r="G30" i="37" s="1"/>
  <c r="E27" i="13"/>
  <c r="E28" i="11"/>
  <c r="K28" i="11" s="1"/>
  <c r="E18" i="30"/>
  <c r="G28" i="11" l="1"/>
  <c r="G27" i="13"/>
  <c r="G18" i="30"/>
  <c r="G19" i="30" s="1"/>
  <c r="G20" i="30" s="1"/>
  <c r="K30" i="37"/>
  <c r="I30" i="37" s="1" a="1"/>
  <c r="I30" i="37" s="1"/>
  <c r="J30" i="37"/>
  <c r="H30" i="37" s="1" a="1"/>
  <c r="H30" i="37" s="1"/>
  <c r="I17" i="30" a="1"/>
  <c r="I17" i="30" s="1"/>
  <c r="H17" i="30" a="1"/>
  <c r="H17" i="30" s="1"/>
  <c r="J18" i="30"/>
  <c r="E19" i="30"/>
  <c r="E20" i="30" s="1"/>
  <c r="J29" i="53" a="1"/>
  <c r="J29" i="53" s="1"/>
  <c r="K29" i="53" a="1"/>
  <c r="K29" i="53" s="1"/>
  <c r="I29" i="53" a="1"/>
  <c r="I29" i="53" s="1"/>
  <c r="F31" i="53"/>
  <c r="H31" i="53" s="1"/>
  <c r="L30" i="53"/>
  <c r="M30" i="53"/>
  <c r="N30" i="53"/>
  <c r="I27" i="59" a="1"/>
  <c r="I27" i="59" s="1"/>
  <c r="K28" i="59"/>
  <c r="H27" i="59" a="1"/>
  <c r="H27" i="59" s="1"/>
  <c r="H27" i="11" a="1"/>
  <c r="H27" i="11" s="1"/>
  <c r="K27" i="13"/>
  <c r="K18" i="30"/>
  <c r="J27" i="13"/>
  <c r="J28" i="11"/>
  <c r="E29" i="59"/>
  <c r="G29" i="59" s="1"/>
  <c r="J28" i="59"/>
  <c r="E31" i="37"/>
  <c r="G31" i="37" s="1"/>
  <c r="E29" i="11"/>
  <c r="K29" i="11" s="1"/>
  <c r="E28" i="13"/>
  <c r="K28" i="13" s="1"/>
  <c r="G28" i="13" l="1"/>
  <c r="E21" i="30"/>
  <c r="J20" i="30"/>
  <c r="H20" i="30" s="1" a="1"/>
  <c r="H20" i="30" s="1"/>
  <c r="K20" i="30"/>
  <c r="I20" i="30" s="1" a="1"/>
  <c r="I20" i="30" s="1"/>
  <c r="G29" i="11"/>
  <c r="J31" i="37"/>
  <c r="H31" i="37" s="1" a="1"/>
  <c r="H31" i="37" s="1"/>
  <c r="K31" i="37"/>
  <c r="I31" i="37" s="1" a="1"/>
  <c r="I31" i="37" s="1"/>
  <c r="I28" i="59" a="1"/>
  <c r="I28" i="59" s="1"/>
  <c r="H18" i="30" a="1"/>
  <c r="H18" i="30" s="1"/>
  <c r="I18" i="30" a="1"/>
  <c r="I18" i="30" s="1"/>
  <c r="J19" i="30"/>
  <c r="K19" i="30"/>
  <c r="J30" i="53" a="1"/>
  <c r="J30" i="53" s="1"/>
  <c r="K30" i="53" a="1"/>
  <c r="K30" i="53" s="1"/>
  <c r="I30" i="53" a="1"/>
  <c r="I30" i="53" s="1"/>
  <c r="F32" i="53"/>
  <c r="H32" i="53" s="1"/>
  <c r="M31" i="53"/>
  <c r="N31" i="53"/>
  <c r="L31" i="53"/>
  <c r="H28" i="59" a="1"/>
  <c r="H28" i="59" s="1"/>
  <c r="H28" i="11" a="1"/>
  <c r="H28" i="11" s="1"/>
  <c r="K29" i="59"/>
  <c r="H27" i="13" a="1"/>
  <c r="H27" i="13" s="1"/>
  <c r="I27" i="13" a="1"/>
  <c r="I27" i="13" s="1"/>
  <c r="J29" i="11"/>
  <c r="E30" i="59"/>
  <c r="G30" i="59" s="1"/>
  <c r="J29" i="59"/>
  <c r="J28" i="13"/>
  <c r="E32" i="37"/>
  <c r="G32" i="37" s="1"/>
  <c r="E29" i="13"/>
  <c r="K29" i="13" s="1"/>
  <c r="E30" i="11"/>
  <c r="K30" i="11" s="1"/>
  <c r="G30" i="11" l="1"/>
  <c r="J21" i="30"/>
  <c r="K21" i="30"/>
  <c r="G21" i="30"/>
  <c r="G22" i="30" s="1"/>
  <c r="G29" i="13"/>
  <c r="H29" i="13" s="1" a="1"/>
  <c r="H29" i="13" s="1"/>
  <c r="K32" i="37"/>
  <c r="I32" i="37" s="1" a="1"/>
  <c r="I32" i="37" s="1"/>
  <c r="J32" i="37"/>
  <c r="H32" i="37" s="1" a="1"/>
  <c r="H32" i="37" s="1"/>
  <c r="I19" i="30" a="1"/>
  <c r="I19" i="30" s="1"/>
  <c r="H19" i="30" a="1"/>
  <c r="H19" i="30" s="1"/>
  <c r="K31" i="53" a="1"/>
  <c r="K31" i="53" s="1"/>
  <c r="J31" i="53" a="1"/>
  <c r="J31" i="53" s="1"/>
  <c r="I31" i="53" a="1"/>
  <c r="I31" i="53" s="1"/>
  <c r="F33" i="53"/>
  <c r="H33" i="53" s="1"/>
  <c r="L32" i="53"/>
  <c r="M32" i="53"/>
  <c r="N32" i="53"/>
  <c r="I29" i="59" a="1"/>
  <c r="I29" i="59" s="1"/>
  <c r="H29" i="59" a="1"/>
  <c r="H29" i="59" s="1"/>
  <c r="K30" i="59"/>
  <c r="H28" i="13" a="1"/>
  <c r="H28" i="13" s="1"/>
  <c r="I28" i="13" a="1"/>
  <c r="I28" i="13" s="1"/>
  <c r="H29" i="11" a="1"/>
  <c r="H29" i="11" s="1"/>
  <c r="J30" i="11"/>
  <c r="J29" i="13"/>
  <c r="E31" i="59"/>
  <c r="G31" i="59" s="1"/>
  <c r="J30" i="59"/>
  <c r="E33" i="37"/>
  <c r="G33" i="37" s="1"/>
  <c r="E31" i="11"/>
  <c r="K31" i="11" s="1"/>
  <c r="E30" i="13"/>
  <c r="K30" i="13" s="1"/>
  <c r="I22" i="30" l="1" a="1"/>
  <c r="I22" i="30" s="1"/>
  <c r="H22" i="30" a="1"/>
  <c r="H22" i="30" s="1"/>
  <c r="H21" i="30" a="1"/>
  <c r="H21" i="30" s="1"/>
  <c r="G30" i="13"/>
  <c r="G31" i="13" s="1"/>
  <c r="I21" i="30" a="1"/>
  <c r="I21" i="30" s="1"/>
  <c r="G31" i="11"/>
  <c r="K33" i="37"/>
  <c r="I33" i="37" s="1" a="1"/>
  <c r="I33" i="37" s="1"/>
  <c r="J33" i="37"/>
  <c r="H33" i="37" s="1" a="1"/>
  <c r="H33" i="37" s="1"/>
  <c r="K32" i="53" a="1"/>
  <c r="K32" i="53" s="1"/>
  <c r="J32" i="53" a="1"/>
  <c r="J32" i="53" s="1"/>
  <c r="I32" i="53" a="1"/>
  <c r="I32" i="53" s="1"/>
  <c r="F34" i="53"/>
  <c r="H34" i="53" s="1"/>
  <c r="M33" i="53"/>
  <c r="N33" i="53"/>
  <c r="L33" i="53"/>
  <c r="I30" i="59" a="1"/>
  <c r="I30" i="59" s="1"/>
  <c r="H30" i="59" a="1"/>
  <c r="H30" i="59" s="1"/>
  <c r="K31" i="59"/>
  <c r="I29" i="13" a="1"/>
  <c r="I29" i="13" s="1"/>
  <c r="H30" i="11" a="1"/>
  <c r="H30" i="11" s="1"/>
  <c r="J31" i="11"/>
  <c r="E32" i="59"/>
  <c r="G32" i="59" s="1"/>
  <c r="J31" i="59"/>
  <c r="J30" i="13"/>
  <c r="E34" i="37"/>
  <c r="G34" i="37" s="1"/>
  <c r="E31" i="13"/>
  <c r="K31" i="13" s="1"/>
  <c r="E32" i="11"/>
  <c r="K32" i="11" s="1"/>
  <c r="H30" i="13" l="1" a="1"/>
  <c r="H30" i="13" s="1"/>
  <c r="G32" i="11"/>
  <c r="G33" i="11" s="1"/>
  <c r="K34" i="37"/>
  <c r="I34" i="37" s="1" a="1"/>
  <c r="I34" i="37" s="1"/>
  <c r="J34" i="37"/>
  <c r="H34" i="37" s="1" a="1"/>
  <c r="H34" i="37" s="1"/>
  <c r="J33" i="53" a="1"/>
  <c r="J33" i="53" s="1"/>
  <c r="K33" i="53" a="1"/>
  <c r="K33" i="53" s="1"/>
  <c r="I33" i="53" a="1"/>
  <c r="I33" i="53" s="1"/>
  <c r="F35" i="53"/>
  <c r="H35" i="53" s="1"/>
  <c r="L34" i="53"/>
  <c r="M34" i="53"/>
  <c r="N34" i="53"/>
  <c r="I31" i="59" a="1"/>
  <c r="I31" i="59" s="1"/>
  <c r="K32" i="59"/>
  <c r="H31" i="59" a="1"/>
  <c r="H31" i="59" s="1"/>
  <c r="I30" i="13" a="1"/>
  <c r="I30" i="13" s="1"/>
  <c r="H31" i="11" a="1"/>
  <c r="H31" i="11" s="1"/>
  <c r="J31" i="13"/>
  <c r="E33" i="59"/>
  <c r="G33" i="59" s="1"/>
  <c r="J32" i="59"/>
  <c r="J32" i="11"/>
  <c r="E35" i="37"/>
  <c r="G35" i="37" s="1"/>
  <c r="E33" i="11"/>
  <c r="K33" i="11" s="1"/>
  <c r="E32" i="13"/>
  <c r="K32" i="13" s="1"/>
  <c r="G32" i="13" l="1"/>
  <c r="G33" i="13" s="1"/>
  <c r="J35" i="37"/>
  <c r="H35" i="37" s="1" a="1"/>
  <c r="H35" i="37" s="1"/>
  <c r="K35" i="37"/>
  <c r="I35" i="37" s="1" a="1"/>
  <c r="I35" i="37" s="1"/>
  <c r="K34" i="53" a="1"/>
  <c r="K34" i="53" s="1"/>
  <c r="J34" i="53" a="1"/>
  <c r="J34" i="53" s="1"/>
  <c r="I34" i="53" a="1"/>
  <c r="I34" i="53" s="1"/>
  <c r="F36" i="53"/>
  <c r="H36" i="53" s="1"/>
  <c r="L35" i="53"/>
  <c r="M35" i="53"/>
  <c r="N35" i="53"/>
  <c r="I32" i="59" a="1"/>
  <c r="I32" i="59" s="1"/>
  <c r="K33" i="59"/>
  <c r="H32" i="11" a="1"/>
  <c r="H32" i="11" s="1"/>
  <c r="H32" i="59" a="1"/>
  <c r="H32" i="59" s="1"/>
  <c r="I31" i="13" a="1"/>
  <c r="I31" i="13" s="1"/>
  <c r="H31" i="13" a="1"/>
  <c r="H31" i="13" s="1"/>
  <c r="J33" i="11"/>
  <c r="J32" i="13"/>
  <c r="E34" i="59"/>
  <c r="G34" i="59" s="1"/>
  <c r="J33" i="59"/>
  <c r="E36" i="37"/>
  <c r="G36" i="37" s="1"/>
  <c r="E33" i="13"/>
  <c r="K33" i="13" s="1"/>
  <c r="E34" i="11"/>
  <c r="K34" i="11" s="1"/>
  <c r="G34" i="11" l="1"/>
  <c r="J36" i="37"/>
  <c r="H36" i="37" s="1" a="1"/>
  <c r="H36" i="37" s="1"/>
  <c r="K36" i="37"/>
  <c r="I36" i="37" s="1" a="1"/>
  <c r="I36" i="37" s="1"/>
  <c r="K35" i="53" a="1"/>
  <c r="K35" i="53" s="1"/>
  <c r="J35" i="53" a="1"/>
  <c r="J35" i="53" s="1"/>
  <c r="F37" i="53"/>
  <c r="H37" i="53" s="1"/>
  <c r="N36" i="53"/>
  <c r="L36" i="53"/>
  <c r="M36" i="53"/>
  <c r="I35" i="53" a="1"/>
  <c r="I35" i="53" s="1"/>
  <c r="I33" i="59" a="1"/>
  <c r="I33" i="59" s="1"/>
  <c r="H33" i="59" a="1"/>
  <c r="H33" i="59" s="1"/>
  <c r="K34" i="59"/>
  <c r="I32" i="13" a="1"/>
  <c r="I32" i="13" s="1"/>
  <c r="H32" i="13" a="1"/>
  <c r="H32" i="13" s="1"/>
  <c r="H33" i="11" a="1"/>
  <c r="H33" i="11" s="1"/>
  <c r="J33" i="13"/>
  <c r="E35" i="59"/>
  <c r="G35" i="59" s="1"/>
  <c r="J34" i="59"/>
  <c r="H34" i="59" s="1" a="1"/>
  <c r="H34" i="59" s="1"/>
  <c r="J34" i="11"/>
  <c r="E37" i="37"/>
  <c r="E35" i="11"/>
  <c r="K35" i="11" s="1"/>
  <c r="E34" i="13"/>
  <c r="K34" i="13" s="1"/>
  <c r="E38" i="37" l="1"/>
  <c r="G37" i="37"/>
  <c r="G34" i="13"/>
  <c r="G35" i="13" s="1"/>
  <c r="G35" i="11"/>
  <c r="J37" i="37"/>
  <c r="H37" i="37" s="1" a="1"/>
  <c r="H37" i="37" s="1"/>
  <c r="K37" i="37"/>
  <c r="I37" i="37" s="1" a="1"/>
  <c r="I37" i="37" s="1"/>
  <c r="K36" i="53" a="1"/>
  <c r="K36" i="53" s="1"/>
  <c r="J36" i="53" a="1"/>
  <c r="J36" i="53" s="1"/>
  <c r="I36" i="53" a="1"/>
  <c r="I36" i="53" s="1"/>
  <c r="F38" i="53"/>
  <c r="H38" i="53" s="1"/>
  <c r="L37" i="53"/>
  <c r="M37" i="53"/>
  <c r="N37" i="53"/>
  <c r="I34" i="59" a="1"/>
  <c r="I34" i="59" s="1"/>
  <c r="K35" i="59"/>
  <c r="H33" i="13" a="1"/>
  <c r="H33" i="13" s="1"/>
  <c r="I33" i="13" a="1"/>
  <c r="I33" i="13" s="1"/>
  <c r="H34" i="11" a="1"/>
  <c r="H34" i="11" s="1"/>
  <c r="H34" i="13" a="1"/>
  <c r="H34" i="13" s="1"/>
  <c r="J35" i="11"/>
  <c r="J34" i="13"/>
  <c r="E36" i="59"/>
  <c r="G36" i="59" s="1"/>
  <c r="J35" i="59"/>
  <c r="E35" i="13"/>
  <c r="K35" i="13" s="1"/>
  <c r="E36" i="11"/>
  <c r="K36" i="11" s="1"/>
  <c r="G36" i="11" l="1"/>
  <c r="E39" i="37"/>
  <c r="G38" i="37"/>
  <c r="G39" i="37" s="1"/>
  <c r="G40" i="37" s="1"/>
  <c r="J38" i="37"/>
  <c r="H38" i="37" s="1" a="1"/>
  <c r="H38" i="37" s="1"/>
  <c r="K38" i="37"/>
  <c r="I38" i="37" s="1" a="1"/>
  <c r="I38" i="37" s="1"/>
  <c r="J37" i="53" a="1"/>
  <c r="J37" i="53" s="1"/>
  <c r="K37" i="53" a="1"/>
  <c r="K37" i="53" s="1"/>
  <c r="I37" i="53" a="1"/>
  <c r="I37" i="53" s="1"/>
  <c r="F39" i="53"/>
  <c r="H39" i="53" s="1"/>
  <c r="L38" i="53"/>
  <c r="N38" i="53"/>
  <c r="M38" i="53"/>
  <c r="I35" i="59" a="1"/>
  <c r="I35" i="59" s="1"/>
  <c r="K36" i="59"/>
  <c r="H35" i="59" a="1"/>
  <c r="H35" i="59" s="1"/>
  <c r="I34" i="13" a="1"/>
  <c r="I34" i="13" s="1"/>
  <c r="H35" i="11" a="1"/>
  <c r="H35" i="11" s="1"/>
  <c r="J36" i="11"/>
  <c r="J35" i="13"/>
  <c r="E37" i="59"/>
  <c r="G37" i="59" s="1"/>
  <c r="J36" i="59"/>
  <c r="E37" i="11"/>
  <c r="K37" i="11" s="1"/>
  <c r="E36" i="13"/>
  <c r="K36" i="13" s="1"/>
  <c r="I40" i="37" l="1" a="1"/>
  <c r="I40" i="37" s="1"/>
  <c r="H40" i="37" a="1"/>
  <c r="H40" i="37" s="1"/>
  <c r="J39" i="37"/>
  <c r="H39" i="37" s="1" a="1"/>
  <c r="H39" i="37" s="1"/>
  <c r="K39" i="37"/>
  <c r="I39" i="37" s="1" a="1"/>
  <c r="I39" i="37" s="1"/>
  <c r="G36" i="13"/>
  <c r="G37" i="11"/>
  <c r="G38" i="11" s="1"/>
  <c r="K38" i="53" a="1"/>
  <c r="K38" i="53" s="1"/>
  <c r="J38" i="53" a="1"/>
  <c r="J38" i="53" s="1"/>
  <c r="I38" i="53" a="1"/>
  <c r="I38" i="53" s="1"/>
  <c r="F40" i="53"/>
  <c r="H40" i="53" s="1"/>
  <c r="M39" i="53"/>
  <c r="N39" i="53"/>
  <c r="L39" i="53"/>
  <c r="I36" i="59" a="1"/>
  <c r="I36" i="59" s="1"/>
  <c r="K37" i="59"/>
  <c r="H36" i="59" a="1"/>
  <c r="H36" i="59" s="1"/>
  <c r="H36" i="13" a="1"/>
  <c r="H36" i="13" s="1"/>
  <c r="H35" i="13" a="1"/>
  <c r="H35" i="13" s="1"/>
  <c r="I35" i="13" a="1"/>
  <c r="I35" i="13" s="1"/>
  <c r="H36" i="11" a="1"/>
  <c r="H36" i="11" s="1"/>
  <c r="E38" i="59"/>
  <c r="G38" i="59" s="1"/>
  <c r="J37" i="59"/>
  <c r="J36" i="13"/>
  <c r="J37" i="11"/>
  <c r="E37" i="13"/>
  <c r="K37" i="13" s="1"/>
  <c r="E38" i="11"/>
  <c r="K38" i="11" s="1"/>
  <c r="G37" i="13" l="1"/>
  <c r="K39" i="53" a="1"/>
  <c r="K39" i="53" s="1"/>
  <c r="J39" i="53" a="1"/>
  <c r="J39" i="53" s="1"/>
  <c r="F41" i="53"/>
  <c r="H41" i="53" s="1"/>
  <c r="L40" i="53"/>
  <c r="M40" i="53"/>
  <c r="N40" i="53"/>
  <c r="I39" i="53" a="1"/>
  <c r="I39" i="53" s="1"/>
  <c r="I37" i="59" a="1"/>
  <c r="I37" i="59" s="1"/>
  <c r="H37" i="59" a="1"/>
  <c r="H37" i="59" s="1"/>
  <c r="K38" i="59"/>
  <c r="I36" i="13" a="1"/>
  <c r="I36" i="13" s="1"/>
  <c r="H37" i="11" a="1"/>
  <c r="H37" i="11" s="1"/>
  <c r="J38" i="11"/>
  <c r="J37" i="13"/>
  <c r="E39" i="59"/>
  <c r="G39" i="59" s="1"/>
  <c r="J38" i="59"/>
  <c r="E39" i="11"/>
  <c r="G39" i="11" s="1"/>
  <c r="E38" i="13"/>
  <c r="K38" i="13" s="1"/>
  <c r="G38" i="13" l="1"/>
  <c r="K40" i="53" a="1"/>
  <c r="K40" i="53" s="1"/>
  <c r="J40" i="53" a="1"/>
  <c r="J40" i="53" s="1"/>
  <c r="I40" i="53" a="1"/>
  <c r="I40" i="53" s="1"/>
  <c r="F42" i="53"/>
  <c r="H42" i="53" s="1"/>
  <c r="M41" i="53"/>
  <c r="N41" i="53"/>
  <c r="L41" i="53"/>
  <c r="H38" i="11" a="1"/>
  <c r="H38" i="11" s="1"/>
  <c r="K39" i="11"/>
  <c r="I38" i="59" a="1"/>
  <c r="I38" i="59" s="1"/>
  <c r="H37" i="13" a="1"/>
  <c r="H37" i="13" s="1"/>
  <c r="H38" i="59" a="1"/>
  <c r="H38" i="59" s="1"/>
  <c r="K39" i="59"/>
  <c r="I37" i="13" a="1"/>
  <c r="I37" i="13" s="1"/>
  <c r="J39" i="11"/>
  <c r="J38" i="13"/>
  <c r="J39" i="59"/>
  <c r="E40" i="59"/>
  <c r="G40" i="59" s="1"/>
  <c r="E39" i="13"/>
  <c r="K39" i="13" s="1"/>
  <c r="E40" i="11"/>
  <c r="G40" i="11" s="1"/>
  <c r="G39" i="13" l="1"/>
  <c r="I39" i="59" a="1"/>
  <c r="I39" i="59" s="1"/>
  <c r="J41" i="53" a="1"/>
  <c r="J41" i="53" s="1"/>
  <c r="K41" i="53" a="1"/>
  <c r="K41" i="53" s="1"/>
  <c r="I41" i="53" a="1"/>
  <c r="I41" i="53" s="1"/>
  <c r="F43" i="53"/>
  <c r="F44" i="53" s="1"/>
  <c r="L42" i="53"/>
  <c r="M42" i="53"/>
  <c r="N42" i="53"/>
  <c r="H39" i="11" a="1"/>
  <c r="H39" i="11" s="1"/>
  <c r="K40" i="11"/>
  <c r="I39" i="11" a="1"/>
  <c r="I39" i="11" s="1"/>
  <c r="H39" i="13" a="1"/>
  <c r="H39" i="13" s="1"/>
  <c r="H39" i="59" a="1"/>
  <c r="H39" i="59" s="1"/>
  <c r="K40" i="59"/>
  <c r="I38" i="13" a="1"/>
  <c r="I38" i="13" s="1"/>
  <c r="H38" i="13" a="1"/>
  <c r="H38" i="13" s="1"/>
  <c r="J40" i="11"/>
  <c r="H40" i="11" s="1" a="1"/>
  <c r="H40" i="11" s="1"/>
  <c r="J39" i="13"/>
  <c r="I39" i="13" s="1" a="1"/>
  <c r="I39" i="13" s="1"/>
  <c r="J40" i="59"/>
  <c r="E41" i="59"/>
  <c r="G41" i="59" s="1"/>
  <c r="E41" i="11"/>
  <c r="G41" i="11" s="1"/>
  <c r="E40" i="13"/>
  <c r="H43" i="53" l="1"/>
  <c r="H44" i="53" s="1"/>
  <c r="G40" i="13"/>
  <c r="G41" i="13" s="1"/>
  <c r="F45" i="53"/>
  <c r="M44" i="53"/>
  <c r="J44" i="53" s="1" a="1"/>
  <c r="J44" i="53" s="1"/>
  <c r="L44" i="53"/>
  <c r="I44" i="53" s="1" a="1"/>
  <c r="I44" i="53" s="1"/>
  <c r="N44" i="53"/>
  <c r="K44" i="53" s="1" a="1"/>
  <c r="K44" i="53" s="1"/>
  <c r="I40" i="59" a="1"/>
  <c r="I40" i="59" s="1"/>
  <c r="K42" i="53" a="1"/>
  <c r="K42" i="53" s="1"/>
  <c r="J42" i="53" a="1"/>
  <c r="J42" i="53" s="1"/>
  <c r="L43" i="53"/>
  <c r="M43" i="53"/>
  <c r="N43" i="53"/>
  <c r="I42" i="53" a="1"/>
  <c r="I42" i="53" s="1"/>
  <c r="K41" i="11"/>
  <c r="I40" i="11" a="1"/>
  <c r="I40" i="11" s="1"/>
  <c r="H40" i="59" a="1"/>
  <c r="H40" i="59" s="1"/>
  <c r="K41" i="59"/>
  <c r="J40" i="13"/>
  <c r="I40" i="13" s="1" a="1"/>
  <c r="I40" i="13" s="1"/>
  <c r="K40" i="13"/>
  <c r="H40" i="13" s="1" a="1"/>
  <c r="H40" i="13" s="1"/>
  <c r="J41" i="11"/>
  <c r="J41" i="59"/>
  <c r="E42" i="59"/>
  <c r="G42" i="59" s="1"/>
  <c r="E41" i="13"/>
  <c r="K41" i="13" s="1"/>
  <c r="E42" i="11"/>
  <c r="G42" i="11" s="1"/>
  <c r="N45" i="53" l="1"/>
  <c r="M45" i="53"/>
  <c r="L45" i="53"/>
  <c r="H45" i="53"/>
  <c r="H46" i="53" s="1"/>
  <c r="H41" i="11" a="1"/>
  <c r="H41" i="11" s="1"/>
  <c r="K43" i="53" a="1"/>
  <c r="K43" i="53" s="1"/>
  <c r="J43" i="53" a="1"/>
  <c r="J43" i="53" s="1"/>
  <c r="I43" i="53" a="1"/>
  <c r="I43" i="53" s="1"/>
  <c r="K42" i="11"/>
  <c r="I41" i="11" a="1"/>
  <c r="I41" i="11" s="1"/>
  <c r="I41" i="59" a="1"/>
  <c r="I41" i="59" s="1"/>
  <c r="H41" i="13" a="1"/>
  <c r="H41" i="13" s="1"/>
  <c r="H41" i="59" a="1"/>
  <c r="H41" i="59" s="1"/>
  <c r="K42" i="59"/>
  <c r="I42" i="59" s="1" a="1"/>
  <c r="I42" i="59" s="1"/>
  <c r="J42" i="11"/>
  <c r="J41" i="13"/>
  <c r="I41" i="13" s="1" a="1"/>
  <c r="I41" i="13" s="1"/>
  <c r="J42" i="59"/>
  <c r="E43" i="59"/>
  <c r="G43" i="59" s="1"/>
  <c r="E43" i="11"/>
  <c r="E44" i="11" s="1"/>
  <c r="E42" i="13"/>
  <c r="K46" i="53" l="1" a="1"/>
  <c r="K46" i="53" s="1"/>
  <c r="J46" i="53" a="1"/>
  <c r="J46" i="53" s="1"/>
  <c r="I46" i="53" a="1"/>
  <c r="I46" i="53" s="1"/>
  <c r="I45" i="53" a="1"/>
  <c r="I45" i="53" s="1"/>
  <c r="J45" i="53" a="1"/>
  <c r="J45" i="53" s="1"/>
  <c r="K45" i="53" a="1"/>
  <c r="K45" i="53" s="1"/>
  <c r="K42" i="13"/>
  <c r="H42" i="13" s="1" a="1"/>
  <c r="H42" i="13" s="1"/>
  <c r="E43" i="13"/>
  <c r="G42" i="13"/>
  <c r="G43" i="13" s="1"/>
  <c r="G44" i="13" s="1"/>
  <c r="E45" i="11"/>
  <c r="J44" i="11"/>
  <c r="K44" i="11"/>
  <c r="G43" i="11"/>
  <c r="G44" i="11" s="1"/>
  <c r="G45" i="11" s="1"/>
  <c r="G46" i="11" s="1"/>
  <c r="K43" i="59"/>
  <c r="E44" i="59"/>
  <c r="E45" i="59" s="1"/>
  <c r="H42" i="11" a="1"/>
  <c r="H42" i="11" s="1"/>
  <c r="I42" i="11" a="1"/>
  <c r="I42" i="11" s="1"/>
  <c r="K43" i="11"/>
  <c r="H42" i="59" a="1"/>
  <c r="H42" i="59" s="1"/>
  <c r="J42" i="13"/>
  <c r="I42" i="13" s="1" a="1"/>
  <c r="I42" i="13" s="1"/>
  <c r="J43" i="11"/>
  <c r="J43" i="59"/>
  <c r="I44" i="13" l="1" a="1"/>
  <c r="I44" i="13" s="1"/>
  <c r="H44" i="13" a="1"/>
  <c r="H44" i="13" s="1"/>
  <c r="G45" i="13"/>
  <c r="H46" i="11" a="1"/>
  <c r="H46" i="11" s="1"/>
  <c r="I46" i="11" a="1"/>
  <c r="I46" i="11" s="1"/>
  <c r="I44" i="11" a="1"/>
  <c r="I44" i="11" s="1"/>
  <c r="H44" i="11" a="1"/>
  <c r="H44" i="11" s="1"/>
  <c r="K45" i="59"/>
  <c r="J45" i="59"/>
  <c r="J45" i="11"/>
  <c r="H45" i="11" s="1" a="1"/>
  <c r="H45" i="11" s="1"/>
  <c r="K45" i="11"/>
  <c r="I45" i="11" s="1" a="1"/>
  <c r="I45" i="11" s="1"/>
  <c r="E44" i="13"/>
  <c r="J43" i="13"/>
  <c r="I43" i="13" s="1" a="1"/>
  <c r="I43" i="13" s="1"/>
  <c r="K43" i="13"/>
  <c r="H43" i="13" s="1" a="1"/>
  <c r="H43" i="13" s="1"/>
  <c r="G44" i="59"/>
  <c r="G45" i="59" s="1"/>
  <c r="G46" i="59" s="1"/>
  <c r="J44" i="59"/>
  <c r="K44" i="59"/>
  <c r="I43" i="59" a="1"/>
  <c r="I43" i="59" s="1"/>
  <c r="I43" i="11" a="1"/>
  <c r="I43" i="11" s="1"/>
  <c r="H43" i="11" a="1"/>
  <c r="H43" i="11" s="1"/>
  <c r="H43" i="59" a="1"/>
  <c r="H43" i="59" s="1"/>
  <c r="I45" i="59" l="1" a="1"/>
  <c r="I45" i="59" s="1"/>
  <c r="H44" i="59" a="1"/>
  <c r="H44" i="59" s="1"/>
  <c r="I44" i="59" a="1"/>
  <c r="I44" i="59" s="1"/>
  <c r="H45" i="59" a="1"/>
  <c r="H45" i="59" s="1"/>
  <c r="I45" i="13" a="1"/>
  <c r="I45" i="13" s="1"/>
  <c r="H45" i="13" a="1"/>
  <c r="H45" i="13" s="1"/>
  <c r="I46" i="59" a="1"/>
  <c r="I46" i="59" s="1"/>
  <c r="H46" i="59" a="1"/>
  <c r="H46" i="59" s="1"/>
  <c r="J44" i="13"/>
  <c r="K44" i="13"/>
  <c r="Q33" i="61"/>
  <c r="N10" i="61"/>
  <c r="N11" i="61"/>
  <c r="N12" i="61"/>
  <c r="N13" i="61"/>
  <c r="N14" i="61"/>
  <c r="N15" i="61"/>
  <c r="N16" i="61"/>
  <c r="N17" i="61"/>
  <c r="N18" i="61"/>
  <c r="N19" i="61"/>
  <c r="N20" i="61"/>
  <c r="N21" i="61"/>
  <c r="N22" i="61"/>
  <c r="N23" i="61"/>
  <c r="N24" i="61"/>
  <c r="N25" i="61"/>
  <c r="N26" i="61"/>
  <c r="N27" i="61"/>
  <c r="S34" i="61"/>
  <c r="S9" i="61" l="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O36" i="61"/>
  <c r="N36" i="61"/>
  <c r="O35" i="61"/>
  <c r="N35" i="61"/>
  <c r="O34" i="61"/>
  <c r="N34" i="61"/>
  <c r="O33" i="61"/>
  <c r="N33" i="61"/>
  <c r="O32" i="61"/>
  <c r="N32" i="61"/>
  <c r="O31" i="61"/>
  <c r="N31" i="61"/>
  <c r="O30" i="61"/>
  <c r="N30" i="61"/>
  <c r="N29" i="61"/>
  <c r="N28" i="61"/>
  <c r="AP38" i="51" s="1"/>
  <c r="Q18" i="61"/>
  <c r="Q17" i="61"/>
  <c r="Q16" i="61"/>
  <c r="Q15" i="61"/>
  <c r="Q14" i="61"/>
  <c r="Q13" i="61"/>
  <c r="Q12" i="61"/>
  <c r="Q11" i="61"/>
  <c r="Q10" i="61"/>
  <c r="O9" i="61"/>
  <c r="N9" i="61"/>
  <c r="D9" i="51"/>
  <c r="C8" i="51"/>
  <c r="R53" i="61"/>
  <c r="R35" i="61"/>
  <c r="R52" i="61"/>
  <c r="AP79" i="51" l="1"/>
  <c r="AO79" i="51"/>
  <c r="AO89" i="51"/>
  <c r="AP85" i="51"/>
  <c r="AO85" i="51"/>
  <c r="AP28" i="51"/>
  <c r="AP89" i="51"/>
  <c r="AO28" i="51"/>
  <c r="AP26" i="51"/>
  <c r="AO26" i="51"/>
  <c r="AO79" i="62"/>
  <c r="AO89" i="62"/>
  <c r="AP38" i="62"/>
  <c r="AO38" i="62"/>
  <c r="AO85" i="62"/>
  <c r="AP28" i="62"/>
  <c r="AP79" i="62"/>
  <c r="AO28" i="62"/>
  <c r="AP26" i="62"/>
  <c r="AO26" i="62"/>
  <c r="AP89" i="62"/>
  <c r="AP85" i="62"/>
  <c r="AO38" i="51"/>
  <c r="AP101" i="51" l="1"/>
  <c r="AP99" i="51" s="1"/>
  <c r="AJ38" i="51"/>
  <c r="AK38" i="51"/>
  <c r="AL38" i="51"/>
  <c r="AM38" i="51"/>
  <c r="AN79" i="51"/>
  <c r="AN26" i="51"/>
  <c r="AM79" i="51"/>
  <c r="AM26" i="51"/>
  <c r="AN28" i="51"/>
  <c r="AM85" i="51"/>
  <c r="AN85" i="51"/>
  <c r="AN89" i="51"/>
  <c r="AM28" i="51"/>
  <c r="AM89" i="51"/>
  <c r="AM79" i="62"/>
  <c r="AN28" i="62"/>
  <c r="AK28" i="51"/>
  <c r="AN89" i="62"/>
  <c r="AM28" i="62"/>
  <c r="AL28" i="51"/>
  <c r="AK79" i="51"/>
  <c r="AJ79" i="62"/>
  <c r="AM89" i="62"/>
  <c r="AN26" i="62"/>
  <c r="AK89" i="51"/>
  <c r="AJ28" i="62"/>
  <c r="AN85" i="62"/>
  <c r="AM26" i="62"/>
  <c r="AN38" i="62"/>
  <c r="AM85" i="62"/>
  <c r="AL26" i="51"/>
  <c r="AL89" i="51"/>
  <c r="AM38" i="62"/>
  <c r="AN79" i="62"/>
  <c r="AK26" i="51"/>
  <c r="AL85" i="51"/>
  <c r="AK85" i="51"/>
  <c r="AL79" i="51"/>
  <c r="AN38" i="51"/>
  <c r="C79" i="62"/>
  <c r="D79" i="62"/>
  <c r="AJ26" i="51"/>
  <c r="AJ89" i="62"/>
  <c r="AL89" i="62"/>
  <c r="AC89" i="62"/>
  <c r="U89" i="62"/>
  <c r="M89" i="62"/>
  <c r="E89" i="62"/>
  <c r="AG85" i="62"/>
  <c r="Y85" i="62"/>
  <c r="Q85" i="62"/>
  <c r="I85" i="62"/>
  <c r="AK79" i="62"/>
  <c r="AB79" i="62"/>
  <c r="T79" i="62"/>
  <c r="L79" i="62"/>
  <c r="AL28" i="62"/>
  <c r="AC28" i="62"/>
  <c r="U28" i="62"/>
  <c r="M28" i="62"/>
  <c r="E28" i="62"/>
  <c r="AG26" i="62"/>
  <c r="Y26" i="62"/>
  <c r="Q26" i="62"/>
  <c r="I26" i="62"/>
  <c r="AK38" i="62"/>
  <c r="AC38" i="62"/>
  <c r="U38" i="62"/>
  <c r="M38" i="62"/>
  <c r="E38" i="62"/>
  <c r="N89" i="62"/>
  <c r="AL79" i="62"/>
  <c r="N28" i="62"/>
  <c r="AD38" i="62"/>
  <c r="AK89" i="62"/>
  <c r="AB89" i="62"/>
  <c r="T89" i="62"/>
  <c r="L89" i="62"/>
  <c r="D89" i="62"/>
  <c r="AF85" i="62"/>
  <c r="X85" i="62"/>
  <c r="P85" i="62"/>
  <c r="H85" i="62"/>
  <c r="AI79" i="62"/>
  <c r="AA79" i="62"/>
  <c r="S79" i="62"/>
  <c r="K79" i="62"/>
  <c r="AK28" i="62"/>
  <c r="AB28" i="62"/>
  <c r="T28" i="62"/>
  <c r="L28" i="62"/>
  <c r="D28" i="62"/>
  <c r="AF26" i="62"/>
  <c r="X26" i="62"/>
  <c r="P26" i="62"/>
  <c r="H26" i="62"/>
  <c r="AJ38" i="62"/>
  <c r="AB38" i="62"/>
  <c r="T38" i="62"/>
  <c r="L38" i="62"/>
  <c r="D38" i="62"/>
  <c r="F89" i="62"/>
  <c r="AC79" i="62"/>
  <c r="F28" i="62"/>
  <c r="V38" i="62"/>
  <c r="AI89" i="62"/>
  <c r="AA89" i="62"/>
  <c r="S89" i="62"/>
  <c r="K89" i="62"/>
  <c r="C89" i="62"/>
  <c r="AE85" i="62"/>
  <c r="W85" i="62"/>
  <c r="O85" i="62"/>
  <c r="G85" i="62"/>
  <c r="AH79" i="62"/>
  <c r="Z79" i="62"/>
  <c r="R79" i="62"/>
  <c r="J79" i="62"/>
  <c r="AI28" i="62"/>
  <c r="AA28" i="62"/>
  <c r="S28" i="62"/>
  <c r="K28" i="62"/>
  <c r="C28" i="62"/>
  <c r="AE26" i="62"/>
  <c r="W26" i="62"/>
  <c r="O26" i="62"/>
  <c r="G26" i="62"/>
  <c r="AI38" i="62"/>
  <c r="AA38" i="62"/>
  <c r="S38" i="62"/>
  <c r="K38" i="62"/>
  <c r="C38" i="62"/>
  <c r="J85" i="62"/>
  <c r="AD28" i="62"/>
  <c r="J26" i="62"/>
  <c r="AH89" i="62"/>
  <c r="Z89" i="62"/>
  <c r="R89" i="62"/>
  <c r="J89" i="62"/>
  <c r="AL85" i="62"/>
  <c r="AD85" i="62"/>
  <c r="V85" i="62"/>
  <c r="N85" i="62"/>
  <c r="F85" i="62"/>
  <c r="AG79" i="62"/>
  <c r="Y79" i="62"/>
  <c r="Q79" i="62"/>
  <c r="I79" i="62"/>
  <c r="AH28" i="62"/>
  <c r="Z28" i="62"/>
  <c r="R28" i="62"/>
  <c r="J28" i="62"/>
  <c r="AL26" i="62"/>
  <c r="AD26" i="62"/>
  <c r="V26" i="62"/>
  <c r="N26" i="62"/>
  <c r="F26" i="62"/>
  <c r="AH38" i="62"/>
  <c r="Z38" i="62"/>
  <c r="R38" i="62"/>
  <c r="J38" i="62"/>
  <c r="R85" i="62"/>
  <c r="V28" i="62"/>
  <c r="AL38" i="62"/>
  <c r="AG89" i="62"/>
  <c r="Y89" i="62"/>
  <c r="Q89" i="62"/>
  <c r="I89" i="62"/>
  <c r="AK85" i="62"/>
  <c r="AC85" i="62"/>
  <c r="U85" i="62"/>
  <c r="M85" i="62"/>
  <c r="E85" i="62"/>
  <c r="AF79" i="62"/>
  <c r="X79" i="62"/>
  <c r="P79" i="62"/>
  <c r="H79" i="62"/>
  <c r="AG28" i="62"/>
  <c r="Y28" i="62"/>
  <c r="Q28" i="62"/>
  <c r="I28" i="62"/>
  <c r="AK26" i="62"/>
  <c r="AC26" i="62"/>
  <c r="U26" i="62"/>
  <c r="M26" i="62"/>
  <c r="E26" i="62"/>
  <c r="AG38" i="62"/>
  <c r="Y38" i="62"/>
  <c r="Q38" i="62"/>
  <c r="I38" i="62"/>
  <c r="V89" i="62"/>
  <c r="U79" i="62"/>
  <c r="AH26" i="62"/>
  <c r="N38" i="62"/>
  <c r="AF89" i="62"/>
  <c r="X89" i="62"/>
  <c r="P89" i="62"/>
  <c r="H89" i="62"/>
  <c r="AJ85" i="62"/>
  <c r="AB85" i="62"/>
  <c r="T85" i="62"/>
  <c r="L85" i="62"/>
  <c r="D85" i="62"/>
  <c r="AE79" i="62"/>
  <c r="W79" i="62"/>
  <c r="O79" i="62"/>
  <c r="G79" i="62"/>
  <c r="AF28" i="62"/>
  <c r="X28" i="62"/>
  <c r="P28" i="62"/>
  <c r="H28" i="62"/>
  <c r="AJ26" i="62"/>
  <c r="AB26" i="62"/>
  <c r="T26" i="62"/>
  <c r="L26" i="62"/>
  <c r="D26" i="62"/>
  <c r="AF38" i="62"/>
  <c r="X38" i="62"/>
  <c r="P38" i="62"/>
  <c r="H38" i="62"/>
  <c r="AH85" i="62"/>
  <c r="M79" i="62"/>
  <c r="Z26" i="62"/>
  <c r="F38" i="62"/>
  <c r="AE89" i="62"/>
  <c r="W89" i="62"/>
  <c r="O89" i="62"/>
  <c r="G89" i="62"/>
  <c r="AI85" i="62"/>
  <c r="AA85" i="62"/>
  <c r="S85" i="62"/>
  <c r="K85" i="62"/>
  <c r="C85" i="62"/>
  <c r="AD79" i="62"/>
  <c r="V79" i="62"/>
  <c r="N79" i="62"/>
  <c r="F79" i="62"/>
  <c r="AE28" i="62"/>
  <c r="W28" i="62"/>
  <c r="O28" i="62"/>
  <c r="G28" i="62"/>
  <c r="AI26" i="62"/>
  <c r="AA26" i="62"/>
  <c r="S26" i="62"/>
  <c r="K26" i="62"/>
  <c r="C26" i="62"/>
  <c r="AE38" i="62"/>
  <c r="W38" i="62"/>
  <c r="O38" i="62"/>
  <c r="G38" i="62"/>
  <c r="AD89" i="62"/>
  <c r="Z85" i="62"/>
  <c r="E79" i="62"/>
  <c r="R26" i="62"/>
  <c r="AI38" i="51"/>
  <c r="R34" i="61"/>
  <c r="S53" i="61"/>
  <c r="S35" i="61"/>
  <c r="R54" i="61"/>
  <c r="AR26" i="62" l="1"/>
  <c r="AQ26" i="62"/>
  <c r="AR79" i="62"/>
  <c r="AQ79" i="62"/>
  <c r="AR28" i="62"/>
  <c r="AQ28" i="62"/>
  <c r="AR85" i="62"/>
  <c r="AQ85" i="62"/>
  <c r="AR89" i="62"/>
  <c r="AQ89" i="62"/>
  <c r="AR38" i="62"/>
  <c r="AQ38" i="62"/>
  <c r="AI26" i="51"/>
  <c r="AI28" i="51"/>
  <c r="G28" i="49" s="1"/>
  <c r="AI89" i="51"/>
  <c r="AI79" i="51"/>
  <c r="AJ89" i="51"/>
  <c r="AJ28" i="51"/>
  <c r="I28" i="49" s="1"/>
  <c r="AG79" i="51"/>
  <c r="AJ79" i="51"/>
  <c r="AI85" i="51"/>
  <c r="AJ85" i="51"/>
  <c r="AH79" i="51"/>
  <c r="AH26" i="51"/>
  <c r="AH89" i="51"/>
  <c r="I88" i="49" s="1"/>
  <c r="AG26" i="51"/>
  <c r="AG89" i="51"/>
  <c r="G88" i="49" s="1"/>
  <c r="AH85" i="51"/>
  <c r="AH28" i="51"/>
  <c r="E28" i="49" s="1"/>
  <c r="AG85" i="51"/>
  <c r="AG28" i="51"/>
  <c r="AH38" i="51"/>
  <c r="AG38" i="51"/>
  <c r="C9" i="51"/>
  <c r="G78" i="49"/>
  <c r="AE28" i="51"/>
  <c r="AF28" i="51"/>
  <c r="AF79" i="51"/>
  <c r="AE38" i="51"/>
  <c r="AE89" i="51"/>
  <c r="AE79" i="51"/>
  <c r="AF38" i="51"/>
  <c r="AF89" i="51"/>
  <c r="E88" i="49" s="1"/>
  <c r="AE85" i="51"/>
  <c r="AF85" i="51"/>
  <c r="AE26" i="51"/>
  <c r="AF26" i="51"/>
  <c r="AC38" i="51"/>
  <c r="AD38" i="51"/>
  <c r="AA89" i="51"/>
  <c r="AD85" i="51"/>
  <c r="AD79" i="51"/>
  <c r="AC85" i="51"/>
  <c r="AC79" i="51"/>
  <c r="AD26" i="51"/>
  <c r="AB85" i="51"/>
  <c r="AA85" i="51"/>
  <c r="Z85" i="51"/>
  <c r="AD28" i="51"/>
  <c r="AC26" i="51"/>
  <c r="Y85" i="51"/>
  <c r="AC28" i="51"/>
  <c r="AD89" i="51"/>
  <c r="AC89" i="51"/>
  <c r="Z79" i="51"/>
  <c r="Y79" i="51"/>
  <c r="AB28" i="51"/>
  <c r="AB89" i="51"/>
  <c r="AB38" i="51"/>
  <c r="AA28" i="51"/>
  <c r="AB79" i="51"/>
  <c r="Z89" i="51"/>
  <c r="AA79" i="51"/>
  <c r="AA38" i="51"/>
  <c r="Y89" i="51"/>
  <c r="Z28" i="51"/>
  <c r="AB26" i="51"/>
  <c r="Y28" i="51"/>
  <c r="AA26" i="51"/>
  <c r="V79" i="51"/>
  <c r="N79" i="51"/>
  <c r="F79" i="51"/>
  <c r="M79" i="51"/>
  <c r="E79" i="51"/>
  <c r="S79" i="51"/>
  <c r="C79" i="51"/>
  <c r="O79" i="51"/>
  <c r="U79" i="51"/>
  <c r="T79" i="51"/>
  <c r="L79" i="51"/>
  <c r="D79" i="51"/>
  <c r="K79" i="51"/>
  <c r="R79" i="51"/>
  <c r="J79" i="51"/>
  <c r="Q79" i="51"/>
  <c r="I79" i="51"/>
  <c r="H79" i="51"/>
  <c r="G79" i="51"/>
  <c r="X79" i="51"/>
  <c r="P79" i="51"/>
  <c r="W79" i="51"/>
  <c r="H38" i="51"/>
  <c r="Z38" i="51"/>
  <c r="C28" i="51"/>
  <c r="S17" i="61"/>
  <c r="R17" i="61"/>
  <c r="I38" i="51"/>
  <c r="S10" i="61"/>
  <c r="R10" i="61"/>
  <c r="S18" i="61"/>
  <c r="R18" i="61"/>
  <c r="S13" i="61"/>
  <c r="R13" i="61"/>
  <c r="S11" i="61"/>
  <c r="R11" i="61"/>
  <c r="S14" i="61"/>
  <c r="R14" i="61"/>
  <c r="E28" i="51"/>
  <c r="M28" i="51"/>
  <c r="U28" i="51"/>
  <c r="F28" i="51"/>
  <c r="N28" i="51"/>
  <c r="V28" i="51"/>
  <c r="G28" i="51"/>
  <c r="O28" i="51"/>
  <c r="W28" i="51"/>
  <c r="H28" i="51"/>
  <c r="P28" i="51"/>
  <c r="X28" i="51"/>
  <c r="I28" i="51"/>
  <c r="J28" i="51"/>
  <c r="R28" i="51"/>
  <c r="K28" i="51"/>
  <c r="S28" i="51"/>
  <c r="D28" i="51"/>
  <c r="AR28" i="51" s="1"/>
  <c r="L28" i="51"/>
  <c r="T28" i="51"/>
  <c r="Q28" i="51"/>
  <c r="R15" i="61"/>
  <c r="S15" i="61"/>
  <c r="R12" i="61"/>
  <c r="S12" i="61"/>
  <c r="R16" i="61"/>
  <c r="S16" i="61"/>
  <c r="U38" i="51"/>
  <c r="R9" i="61"/>
  <c r="K38" i="51"/>
  <c r="F38" i="51"/>
  <c r="Q38" i="51"/>
  <c r="S38" i="51"/>
  <c r="N38" i="51"/>
  <c r="J38" i="51"/>
  <c r="L38" i="51"/>
  <c r="G38" i="51"/>
  <c r="R38" i="51"/>
  <c r="T38" i="51"/>
  <c r="O38" i="51"/>
  <c r="C38" i="51"/>
  <c r="E38" i="51"/>
  <c r="D38" i="51"/>
  <c r="V38" i="51"/>
  <c r="S85" i="51"/>
  <c r="K85" i="51"/>
  <c r="D85" i="51"/>
  <c r="L89" i="51"/>
  <c r="T89" i="51"/>
  <c r="C89" i="51"/>
  <c r="L26" i="51"/>
  <c r="T26" i="51"/>
  <c r="F26" i="51"/>
  <c r="R85" i="51"/>
  <c r="J85" i="51"/>
  <c r="E89" i="51"/>
  <c r="M89" i="51"/>
  <c r="U89" i="51"/>
  <c r="D26" i="51"/>
  <c r="M26" i="51"/>
  <c r="U26" i="51"/>
  <c r="Q85" i="51"/>
  <c r="I85" i="51"/>
  <c r="F89" i="51"/>
  <c r="N89" i="51"/>
  <c r="V89" i="51"/>
  <c r="C26" i="51"/>
  <c r="N26" i="51"/>
  <c r="V26" i="51"/>
  <c r="X85" i="51"/>
  <c r="P85" i="51"/>
  <c r="H85" i="51"/>
  <c r="G89" i="51"/>
  <c r="O89" i="51"/>
  <c r="W89" i="51"/>
  <c r="G26" i="51"/>
  <c r="O26" i="51"/>
  <c r="W26" i="51"/>
  <c r="O85" i="51"/>
  <c r="G85" i="51"/>
  <c r="H89" i="51"/>
  <c r="P89" i="51"/>
  <c r="X89" i="51"/>
  <c r="H26" i="51"/>
  <c r="P26" i="51"/>
  <c r="X26" i="51"/>
  <c r="V85" i="51"/>
  <c r="N85" i="51"/>
  <c r="F85" i="51"/>
  <c r="I89" i="51"/>
  <c r="Q89" i="51"/>
  <c r="I26" i="51"/>
  <c r="Q26" i="51"/>
  <c r="M85" i="51"/>
  <c r="E85" i="51"/>
  <c r="J89" i="51"/>
  <c r="R89" i="51"/>
  <c r="J26" i="51"/>
  <c r="R26" i="51"/>
  <c r="U85" i="51"/>
  <c r="T85" i="51"/>
  <c r="L85" i="51"/>
  <c r="C85" i="51"/>
  <c r="K89" i="51"/>
  <c r="S89" i="51"/>
  <c r="D89" i="51"/>
  <c r="K26" i="51"/>
  <c r="S26" i="51"/>
  <c r="E26" i="51"/>
  <c r="P38" i="51"/>
  <c r="M38" i="51"/>
  <c r="S52" i="61"/>
  <c r="S54" i="61"/>
  <c r="AH101" i="51" l="1"/>
  <c r="V101" i="51"/>
  <c r="Z101" i="51"/>
  <c r="X101" i="51"/>
  <c r="AR89" i="51"/>
  <c r="AQ28" i="51"/>
  <c r="AQ79" i="51"/>
  <c r="AR79" i="51"/>
  <c r="AQ89" i="51"/>
  <c r="AQ85" i="51"/>
  <c r="AQ26" i="51"/>
  <c r="AQ38" i="51"/>
  <c r="AR26" i="51"/>
  <c r="AR38" i="51"/>
  <c r="AR85" i="51"/>
  <c r="C28" i="49"/>
  <c r="G26" i="49"/>
  <c r="C88" i="49"/>
  <c r="I84" i="49"/>
  <c r="G84" i="49"/>
  <c r="E84" i="49"/>
  <c r="C84" i="49"/>
  <c r="C82" i="49"/>
  <c r="C78" i="49"/>
  <c r="I26" i="49"/>
  <c r="E26" i="49"/>
  <c r="C26" i="49"/>
  <c r="E78" i="49"/>
  <c r="I78" i="49"/>
  <c r="G37" i="49"/>
  <c r="I37" i="49"/>
  <c r="C37" i="49"/>
  <c r="E37" i="49"/>
  <c r="S40" i="61"/>
  <c r="S39" i="61"/>
  <c r="S42" i="61"/>
  <c r="R40" i="61"/>
  <c r="S38" i="61"/>
  <c r="S37" i="61"/>
  <c r="S36" i="61"/>
  <c r="R37" i="61"/>
  <c r="S41" i="61"/>
  <c r="R39" i="61"/>
  <c r="R38" i="61"/>
  <c r="R42" i="61"/>
  <c r="R36" i="61"/>
  <c r="AA58" i="52" l="1"/>
  <c r="AA34" i="52"/>
  <c r="AA10" i="52"/>
  <c r="AB58" i="52"/>
  <c r="AB34" i="52"/>
  <c r="AB10" i="52"/>
  <c r="C15" i="59"/>
  <c r="C19" i="59"/>
  <c r="C21" i="59"/>
  <c r="C23" i="59"/>
  <c r="C25" i="59"/>
  <c r="C29" i="59"/>
  <c r="C31" i="59"/>
  <c r="C33" i="59"/>
  <c r="C35" i="59"/>
  <c r="C37" i="59"/>
  <c r="C39" i="59"/>
  <c r="C41" i="59"/>
  <c r="C47" i="59"/>
  <c r="C51" i="59"/>
  <c r="C53" i="59"/>
  <c r="C55" i="59"/>
  <c r="C57" i="59"/>
  <c r="C62" i="59"/>
  <c r="C64" i="59"/>
  <c r="V8" i="56"/>
  <c r="W8" i="56"/>
  <c r="X8" i="56"/>
  <c r="Y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Z35" i="36"/>
  <c r="Y35" i="36"/>
  <c r="X35" i="36"/>
  <c r="W35" i="36"/>
  <c r="V35" i="36"/>
  <c r="U35" i="36"/>
  <c r="Y34" i="36"/>
  <c r="W34" i="36"/>
  <c r="U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L11"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9" i="52"/>
  <c r="L24" i="54"/>
  <c r="P24" i="54"/>
  <c r="N24" i="54"/>
  <c r="N25" i="54"/>
  <c r="O25" i="54"/>
  <c r="P25" i="54"/>
  <c r="Q25" i="54"/>
  <c r="M25" i="54"/>
  <c r="L25" i="54"/>
  <c r="S34" i="28"/>
  <c r="R34" i="28"/>
  <c r="D76" i="28"/>
  <c r="E76" i="28"/>
  <c r="D77" i="28"/>
  <c r="E77" i="28"/>
  <c r="D78" i="28"/>
  <c r="E78" i="28"/>
  <c r="D79" i="28"/>
  <c r="E79" i="28"/>
  <c r="D80" i="28"/>
  <c r="E80" i="28"/>
  <c r="D81" i="28"/>
  <c r="E81" i="28"/>
  <c r="D82" i="28"/>
  <c r="E82" i="28"/>
  <c r="D83" i="28"/>
  <c r="E83" i="28"/>
  <c r="D84" i="28"/>
  <c r="E84" i="28"/>
  <c r="D85" i="28"/>
  <c r="E85" i="28"/>
  <c r="D86" i="28"/>
  <c r="E86" i="28"/>
  <c r="D87" i="28"/>
  <c r="E87" i="28"/>
  <c r="D88" i="28"/>
  <c r="E88" i="28"/>
  <c r="D89" i="28"/>
  <c r="E89" i="28"/>
  <c r="D90" i="28"/>
  <c r="E90" i="28"/>
  <c r="D91" i="28"/>
  <c r="E91" i="28"/>
  <c r="D92" i="28"/>
  <c r="E92" i="28"/>
  <c r="D93" i="28"/>
  <c r="E93" i="28"/>
  <c r="D94" i="28"/>
  <c r="E94" i="28"/>
  <c r="D95" i="28"/>
  <c r="E95" i="28"/>
  <c r="D96" i="28"/>
  <c r="E96" i="28"/>
  <c r="D97" i="28"/>
  <c r="E97" i="28"/>
  <c r="D98" i="28"/>
  <c r="E98" i="28"/>
  <c r="D99" i="28"/>
  <c r="E99" i="28"/>
  <c r="D100" i="28"/>
  <c r="E100" i="28"/>
  <c r="D101" i="28"/>
  <c r="E101" i="28"/>
  <c r="D102" i="28"/>
  <c r="E102" i="28"/>
  <c r="D103" i="28"/>
  <c r="E103" i="28"/>
  <c r="D104" i="28"/>
  <c r="E104" i="28"/>
  <c r="D105" i="28"/>
  <c r="E105" i="28"/>
  <c r="D106" i="28"/>
  <c r="E106" i="28"/>
  <c r="D107" i="28"/>
  <c r="E107" i="28"/>
  <c r="D108" i="28"/>
  <c r="E108" i="28"/>
  <c r="D109" i="28"/>
  <c r="E109" i="28"/>
  <c r="D110" i="28"/>
  <c r="E110" i="28"/>
  <c r="D111" i="28"/>
  <c r="E111" i="28"/>
  <c r="D112" i="28"/>
  <c r="E112" i="28"/>
  <c r="D113" i="28"/>
  <c r="E113" i="28"/>
  <c r="D114" i="28"/>
  <c r="E114" i="28"/>
  <c r="D115" i="28"/>
  <c r="E115" i="28"/>
  <c r="D116" i="28"/>
  <c r="E116" i="28"/>
  <c r="D117" i="28"/>
  <c r="E117" i="28"/>
  <c r="D118" i="28"/>
  <c r="E118" i="28"/>
  <c r="D119" i="28"/>
  <c r="E119" i="28"/>
  <c r="D120" i="28"/>
  <c r="E120" i="28"/>
  <c r="D121" i="28"/>
  <c r="E121" i="28"/>
  <c r="D122" i="28"/>
  <c r="E122" i="28"/>
  <c r="D123" i="28"/>
  <c r="E123" i="28"/>
  <c r="D124" i="28"/>
  <c r="E124" i="28"/>
  <c r="D125" i="28"/>
  <c r="E125" i="28"/>
  <c r="D126" i="28"/>
  <c r="E126" i="28"/>
  <c r="D127" i="28"/>
  <c r="E127" i="28"/>
  <c r="D128" i="28"/>
  <c r="E128" i="28"/>
  <c r="D129" i="28"/>
  <c r="E129" i="28"/>
  <c r="D130" i="28"/>
  <c r="E130" i="28"/>
  <c r="D131" i="28"/>
  <c r="E131" i="28"/>
  <c r="D132" i="28"/>
  <c r="E132" i="28"/>
  <c r="D133" i="28"/>
  <c r="E133" i="28"/>
  <c r="D134" i="28"/>
  <c r="E134" i="28"/>
  <c r="D135" i="28"/>
  <c r="E135" i="28"/>
  <c r="D136" i="28"/>
  <c r="E136" i="28"/>
  <c r="D137" i="28"/>
  <c r="E137" i="28"/>
  <c r="D138" i="28"/>
  <c r="E138" i="28"/>
  <c r="D139" i="28"/>
  <c r="E139" i="28"/>
  <c r="D140" i="28"/>
  <c r="E140" i="28"/>
  <c r="D141" i="28"/>
  <c r="E141" i="28"/>
  <c r="D142" i="28"/>
  <c r="E142" i="28"/>
  <c r="D143" i="28"/>
  <c r="E143" i="28"/>
  <c r="D144" i="28"/>
  <c r="E144" i="28"/>
  <c r="D145" i="28"/>
  <c r="E145" i="28"/>
  <c r="D146" i="28"/>
  <c r="E146" i="28"/>
  <c r="D147" i="28"/>
  <c r="E147" i="28"/>
  <c r="D148" i="28"/>
  <c r="E148" i="28"/>
  <c r="D149" i="28"/>
  <c r="E149" i="28"/>
  <c r="D150" i="28"/>
  <c r="E150" i="28"/>
  <c r="D151" i="28"/>
  <c r="E151" i="28"/>
  <c r="D152" i="28"/>
  <c r="E152" i="28"/>
  <c r="D153" i="28"/>
  <c r="E153" i="28"/>
  <c r="D154" i="28"/>
  <c r="E154" i="28"/>
  <c r="D155" i="28"/>
  <c r="E155" i="28"/>
  <c r="D156" i="28"/>
  <c r="E156" i="28"/>
  <c r="D157" i="28"/>
  <c r="E157" i="28"/>
  <c r="D158" i="28"/>
  <c r="E158" i="28"/>
  <c r="D159" i="28"/>
  <c r="E159" i="28"/>
  <c r="D160" i="28"/>
  <c r="E160" i="28"/>
  <c r="D161" i="28"/>
  <c r="E161" i="28"/>
  <c r="D162" i="28"/>
  <c r="E162" i="28"/>
  <c r="D163" i="28"/>
  <c r="E163" i="28"/>
  <c r="D164" i="28"/>
  <c r="E164" i="28"/>
  <c r="D165" i="28"/>
  <c r="E165" i="28"/>
  <c r="D166" i="28"/>
  <c r="E166" i="28"/>
  <c r="D167" i="28"/>
  <c r="E167" i="28"/>
  <c r="D168" i="28"/>
  <c r="E168" i="28"/>
  <c r="D169" i="28"/>
  <c r="E169" i="28"/>
  <c r="D170" i="28"/>
  <c r="E170" i="28"/>
  <c r="D171" i="28"/>
  <c r="E171" i="28"/>
  <c r="D172" i="28"/>
  <c r="E172" i="28"/>
  <c r="D173" i="28"/>
  <c r="E173" i="28"/>
  <c r="D174" i="28"/>
  <c r="E174" i="28"/>
  <c r="D175" i="28"/>
  <c r="E175" i="28"/>
  <c r="D176" i="28"/>
  <c r="E176" i="28"/>
  <c r="D177" i="28"/>
  <c r="E177" i="28"/>
  <c r="D178" i="28"/>
  <c r="E178" i="28"/>
  <c r="D179" i="28"/>
  <c r="E179" i="28"/>
  <c r="D180" i="28"/>
  <c r="E180" i="28"/>
  <c r="D181" i="28"/>
  <c r="E181" i="28"/>
  <c r="D182" i="28"/>
  <c r="E182" i="28"/>
  <c r="D183" i="28"/>
  <c r="E183" i="28"/>
  <c r="D184" i="28"/>
  <c r="E184" i="28"/>
  <c r="D185" i="28"/>
  <c r="E185" i="28"/>
  <c r="D186" i="28"/>
  <c r="E186" i="28"/>
  <c r="D187" i="28"/>
  <c r="E187" i="28"/>
  <c r="D188" i="28"/>
  <c r="E188" i="28"/>
  <c r="D189" i="28"/>
  <c r="E189" i="28"/>
  <c r="D190" i="28"/>
  <c r="E190" i="28"/>
  <c r="D191" i="28"/>
  <c r="E191" i="28"/>
  <c r="D192" i="28"/>
  <c r="E192" i="28"/>
  <c r="D193" i="28"/>
  <c r="E193" i="28"/>
  <c r="D194" i="28"/>
  <c r="E194" i="28"/>
  <c r="D195" i="28"/>
  <c r="E195" i="28"/>
  <c r="D196" i="28"/>
  <c r="E196" i="28"/>
  <c r="D197" i="28"/>
  <c r="E197" i="28"/>
  <c r="D198" i="28"/>
  <c r="E198" i="28"/>
  <c r="D199" i="28"/>
  <c r="E199" i="28"/>
  <c r="D200" i="28"/>
  <c r="E200" i="28"/>
  <c r="D201" i="28"/>
  <c r="E201" i="28"/>
  <c r="D202" i="28"/>
  <c r="E202" i="28"/>
  <c r="D203" i="28"/>
  <c r="E203" i="28"/>
  <c r="D204" i="28"/>
  <c r="E204" i="28"/>
  <c r="D205" i="28"/>
  <c r="E205" i="28"/>
  <c r="D206" i="28"/>
  <c r="E206" i="28"/>
  <c r="D207" i="28"/>
  <c r="E207" i="28"/>
  <c r="D208" i="28"/>
  <c r="E208" i="28"/>
  <c r="D209" i="28"/>
  <c r="E209" i="28"/>
  <c r="D210" i="28"/>
  <c r="E210" i="28"/>
  <c r="D211" i="28"/>
  <c r="E211" i="28"/>
  <c r="D212" i="28"/>
  <c r="E212" i="28"/>
  <c r="D213" i="28"/>
  <c r="E213" i="28"/>
  <c r="D214" i="28"/>
  <c r="E214" i="28"/>
  <c r="D215" i="28"/>
  <c r="E215" i="28"/>
  <c r="D216" i="28"/>
  <c r="E216" i="28"/>
  <c r="D217" i="28"/>
  <c r="E217" i="28"/>
  <c r="D218" i="28"/>
  <c r="E218" i="28"/>
  <c r="D219" i="28"/>
  <c r="E219" i="28"/>
  <c r="D220" i="28"/>
  <c r="E220" i="28"/>
  <c r="D221" i="28"/>
  <c r="E221" i="28"/>
  <c r="D222" i="28"/>
  <c r="E222" i="28"/>
  <c r="D223" i="28"/>
  <c r="E223" i="28"/>
  <c r="D224" i="28"/>
  <c r="E224" i="28"/>
  <c r="D225" i="28"/>
  <c r="E225" i="28"/>
  <c r="D226" i="28"/>
  <c r="E226" i="28"/>
  <c r="D227" i="28"/>
  <c r="E227" i="28"/>
  <c r="D228" i="28"/>
  <c r="E228" i="28"/>
  <c r="D229" i="28"/>
  <c r="E229" i="28"/>
  <c r="D230" i="28"/>
  <c r="E230" i="28"/>
  <c r="D231" i="28"/>
  <c r="E231" i="28"/>
  <c r="D232" i="28"/>
  <c r="E232" i="28"/>
  <c r="D233" i="28"/>
  <c r="E233" i="28"/>
  <c r="D234" i="28"/>
  <c r="E234" i="28"/>
  <c r="D235" i="28"/>
  <c r="E235" i="28"/>
  <c r="D236" i="28"/>
  <c r="E236" i="28"/>
  <c r="D237" i="28"/>
  <c r="E237" i="28"/>
  <c r="D238" i="28"/>
  <c r="E238" i="28"/>
  <c r="D239" i="28"/>
  <c r="E239" i="28"/>
  <c r="D240" i="28"/>
  <c r="E240" i="28"/>
  <c r="D241" i="28"/>
  <c r="E241" i="28"/>
  <c r="D242" i="28"/>
  <c r="E242" i="28"/>
  <c r="D243" i="28"/>
  <c r="E243" i="28"/>
  <c r="D244" i="28"/>
  <c r="E244" i="28"/>
  <c r="D245" i="28"/>
  <c r="E245" i="28"/>
  <c r="D246" i="28"/>
  <c r="E246" i="28"/>
  <c r="D247" i="28"/>
  <c r="E247" i="28"/>
  <c r="D248" i="28"/>
  <c r="E248" i="28"/>
  <c r="D249" i="28"/>
  <c r="E249" i="28"/>
  <c r="D250" i="28"/>
  <c r="E250"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E71" i="28"/>
  <c r="E72" i="28"/>
  <c r="E73" i="28"/>
  <c r="E74" i="28"/>
  <c r="E75" i="28"/>
  <c r="E8" i="28"/>
  <c r="S34" i="22"/>
  <c r="R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P34" i="17"/>
  <c r="O34"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T27" i="12"/>
  <c r="S27"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U34" i="2"/>
  <c r="T34"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U8" i="56"/>
  <c r="T8" i="56"/>
  <c r="Q19" i="54"/>
  <c r="K18" i="54"/>
  <c r="L18" i="54" s="1"/>
  <c r="K17" i="54"/>
  <c r="Q17" i="54" s="1"/>
  <c r="K16" i="54"/>
  <c r="L16" i="54" s="1"/>
  <c r="K15" i="54"/>
  <c r="K14" i="54"/>
  <c r="K13" i="54"/>
  <c r="K12" i="54"/>
  <c r="K11" i="54"/>
  <c r="O11" i="54" s="1"/>
  <c r="Y9" i="51"/>
  <c r="X9" i="51"/>
  <c r="W9" i="51"/>
  <c r="V9" i="51"/>
  <c r="U9" i="51"/>
  <c r="T9" i="51"/>
  <c r="S9" i="51"/>
  <c r="R9" i="51"/>
  <c r="Q9" i="51"/>
  <c r="P9" i="51"/>
  <c r="O9" i="51"/>
  <c r="N9" i="51"/>
  <c r="M9" i="51"/>
  <c r="L9" i="51"/>
  <c r="K9" i="51"/>
  <c r="J9" i="51"/>
  <c r="I9" i="51"/>
  <c r="H9" i="51"/>
  <c r="G9" i="51"/>
  <c r="F9"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D64" i="52"/>
  <c r="D65" i="52"/>
  <c r="D66" i="52"/>
  <c r="D67" i="52"/>
  <c r="D68" i="52"/>
  <c r="S9" i="12"/>
  <c r="T9" i="12"/>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P12" i="21"/>
  <c r="P13" i="21"/>
  <c r="P14" i="21"/>
  <c r="P15" i="21"/>
  <c r="P16" i="21"/>
  <c r="P17" i="21"/>
  <c r="P17" i="40"/>
  <c r="W1" i="40" s="1"/>
  <c r="P16" i="40"/>
  <c r="P15" i="40"/>
  <c r="P14" i="40"/>
  <c r="P13" i="40"/>
  <c r="P12" i="40"/>
  <c r="P11" i="40"/>
  <c r="P10" i="40"/>
  <c r="P9" i="40"/>
  <c r="R7" i="40"/>
  <c r="Q7" i="40"/>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G9" i="36"/>
  <c r="F9" i="36"/>
  <c r="T19" i="36"/>
  <c r="T18" i="36"/>
  <c r="T17" i="36"/>
  <c r="T16" i="36"/>
  <c r="V16" i="36" s="1"/>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P18" i="32"/>
  <c r="R18" i="32" s="1"/>
  <c r="P17" i="32"/>
  <c r="P16" i="32"/>
  <c r="P15" i="32"/>
  <c r="P14" i="32"/>
  <c r="P13" i="32"/>
  <c r="P12" i="32"/>
  <c r="P11" i="32"/>
  <c r="P10" i="32"/>
  <c r="R10" i="32" s="1"/>
  <c r="P9" i="32"/>
  <c r="R8" i="32"/>
  <c r="Q8" i="32"/>
  <c r="B10" i="30"/>
  <c r="C56" i="30"/>
  <c r="C54" i="30"/>
  <c r="B53" i="30"/>
  <c r="C52" i="30"/>
  <c r="C49" i="30"/>
  <c r="C47" i="30"/>
  <c r="C46" i="30"/>
  <c r="C45" i="30"/>
  <c r="C43" i="30"/>
  <c r="B42" i="30"/>
  <c r="B39" i="30"/>
  <c r="B37" i="30"/>
  <c r="B36" i="30"/>
  <c r="C33" i="30"/>
  <c r="C32" i="30"/>
  <c r="C31" i="30"/>
  <c r="B29" i="30"/>
  <c r="C27" i="30"/>
  <c r="C25" i="30"/>
  <c r="C22" i="30"/>
  <c r="B21" i="30"/>
  <c r="C15" i="30"/>
  <c r="Q18" i="28"/>
  <c r="S18" i="28" s="1"/>
  <c r="Q17" i="28"/>
  <c r="S17" i="28" s="1"/>
  <c r="Q16" i="28"/>
  <c r="S16" i="28" s="1"/>
  <c r="Q15" i="28"/>
  <c r="Q14" i="28"/>
  <c r="Q13" i="28"/>
  <c r="R13" i="28" s="1"/>
  <c r="Q12" i="28"/>
  <c r="S12" i="28" s="1"/>
  <c r="Q11" i="28"/>
  <c r="R11" i="28" s="1"/>
  <c r="Q10" i="28"/>
  <c r="R10" i="28" s="1"/>
  <c r="P17" i="27"/>
  <c r="P16" i="27"/>
  <c r="P15" i="27"/>
  <c r="P14" i="27"/>
  <c r="P13" i="27"/>
  <c r="P12" i="27"/>
  <c r="P11" i="27"/>
  <c r="P10" i="27"/>
  <c r="P9" i="27"/>
  <c r="P8" i="27"/>
  <c r="R8" i="27" s="1"/>
  <c r="R7" i="27"/>
  <c r="Q7" i="27"/>
  <c r="Q18" i="22"/>
  <c r="S18" i="22" s="1"/>
  <c r="Q17" i="22"/>
  <c r="S17" i="22" s="1"/>
  <c r="Q16" i="22"/>
  <c r="S16" i="22" s="1"/>
  <c r="Q15" i="22"/>
  <c r="R15" i="22" s="1"/>
  <c r="Q14" i="22"/>
  <c r="S14" i="22" s="1"/>
  <c r="Q13" i="22"/>
  <c r="R13" i="22" s="1"/>
  <c r="Q12" i="22"/>
  <c r="S12" i="22" s="1"/>
  <c r="Q11" i="22"/>
  <c r="R11" i="22" s="1"/>
  <c r="Q10" i="22"/>
  <c r="S10" i="22" s="1"/>
  <c r="C64" i="18"/>
  <c r="C63" i="18"/>
  <c r="B62" i="18"/>
  <c r="C61" i="18"/>
  <c r="B59" i="18"/>
  <c r="B58" i="18"/>
  <c r="C57" i="18"/>
  <c r="C56" i="18"/>
  <c r="B55" i="18"/>
  <c r="B54" i="18"/>
  <c r="B53" i="18"/>
  <c r="B52" i="18"/>
  <c r="C51" i="18"/>
  <c r="B50" i="18"/>
  <c r="C47" i="18"/>
  <c r="C46" i="18"/>
  <c r="C45" i="18"/>
  <c r="B44" i="18"/>
  <c r="B43" i="18"/>
  <c r="B42" i="18"/>
  <c r="C41" i="18"/>
  <c r="B40" i="18"/>
  <c r="C39" i="18"/>
  <c r="B38" i="18"/>
  <c r="B37" i="18"/>
  <c r="B35" i="18"/>
  <c r="C34" i="18"/>
  <c r="C33" i="18"/>
  <c r="B31" i="18"/>
  <c r="B30" i="18"/>
  <c r="C29" i="18"/>
  <c r="B28" i="18"/>
  <c r="B27" i="18"/>
  <c r="B26" i="18"/>
  <c r="B25" i="18"/>
  <c r="B24" i="18"/>
  <c r="B23" i="18"/>
  <c r="B22" i="18"/>
  <c r="B21" i="18"/>
  <c r="B20" i="18"/>
  <c r="B19" i="18"/>
  <c r="C18" i="18"/>
  <c r="B16" i="18"/>
  <c r="C15" i="18"/>
  <c r="C14" i="18"/>
  <c r="B13" i="18"/>
  <c r="C12" i="18"/>
  <c r="C10" i="18"/>
  <c r="C9" i="18"/>
  <c r="B8" i="18"/>
  <c r="N18" i="17"/>
  <c r="P18" i="17" s="1"/>
  <c r="N17" i="17"/>
  <c r="P17" i="17" s="1"/>
  <c r="N16" i="17"/>
  <c r="O16" i="17" s="1"/>
  <c r="N15" i="17"/>
  <c r="O15" i="17" s="1"/>
  <c r="N14" i="17"/>
  <c r="P14" i="17" s="1"/>
  <c r="N13" i="17"/>
  <c r="O13" i="17" s="1"/>
  <c r="N12" i="17"/>
  <c r="P12" i="17" s="1"/>
  <c r="N11" i="17"/>
  <c r="O11" i="17" s="1"/>
  <c r="N10" i="17"/>
  <c r="O10" i="17" s="1"/>
  <c r="B67" i="13"/>
  <c r="B8" i="13"/>
  <c r="R7" i="16"/>
  <c r="P17" i="16"/>
  <c r="R17" i="16" s="1"/>
  <c r="P16" i="16"/>
  <c r="R16" i="16" s="1"/>
  <c r="P15" i="16"/>
  <c r="R15" i="16" s="1"/>
  <c r="P14" i="16"/>
  <c r="P13" i="16"/>
  <c r="R13" i="16" s="1"/>
  <c r="P12" i="16"/>
  <c r="R12" i="16" s="1"/>
  <c r="P11" i="16"/>
  <c r="R11" i="16" s="1"/>
  <c r="P10" i="16"/>
  <c r="P9" i="16"/>
  <c r="P8" i="16"/>
  <c r="Q7" i="16"/>
  <c r="T18" i="12"/>
  <c r="T17" i="12"/>
  <c r="T16" i="12"/>
  <c r="R15" i="12"/>
  <c r="S15" i="12" s="1"/>
  <c r="R14" i="12"/>
  <c r="S14" i="12" s="1"/>
  <c r="R13" i="12"/>
  <c r="T13" i="12" s="1"/>
  <c r="R12" i="12"/>
  <c r="S12" i="12" s="1"/>
  <c r="R11" i="12"/>
  <c r="S11" i="12" s="1"/>
  <c r="R10" i="12"/>
  <c r="S10" i="12" s="1"/>
  <c r="C60" i="11"/>
  <c r="B66" i="11"/>
  <c r="C64" i="11"/>
  <c r="C63" i="11"/>
  <c r="C62" i="11"/>
  <c r="C61"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U7" i="5"/>
  <c r="T7" i="5"/>
  <c r="S14" i="5"/>
  <c r="S17" i="5"/>
  <c r="S16" i="5"/>
  <c r="S15" i="5"/>
  <c r="S13" i="5"/>
  <c r="S12" i="5"/>
  <c r="S11" i="5"/>
  <c r="S10" i="5"/>
  <c r="S9" i="5"/>
  <c r="S8" i="5"/>
  <c r="S19" i="2"/>
  <c r="U19" i="2" s="1"/>
  <c r="S18" i="2"/>
  <c r="S17" i="2"/>
  <c r="S16" i="2"/>
  <c r="S15" i="2"/>
  <c r="S14" i="2"/>
  <c r="S13" i="2"/>
  <c r="S12" i="2"/>
  <c r="S11" i="2"/>
  <c r="S43" i="61"/>
  <c r="AO69" i="62" l="1"/>
  <c r="AP69" i="62"/>
  <c r="AH67" i="51"/>
  <c r="AP67" i="62"/>
  <c r="AP66" i="62" s="1"/>
  <c r="AP48" i="62"/>
  <c r="AO48" i="62"/>
  <c r="AP44" i="62"/>
  <c r="AO44" i="62"/>
  <c r="AP17" i="62"/>
  <c r="AO18" i="62"/>
  <c r="AP19" i="62"/>
  <c r="AO19" i="62"/>
  <c r="AP18" i="62"/>
  <c r="AO17" i="62"/>
  <c r="AO13" i="62"/>
  <c r="AP12" i="62"/>
  <c r="AO12" i="62"/>
  <c r="AP13" i="62"/>
  <c r="AM72" i="62"/>
  <c r="AN72" i="62"/>
  <c r="AO72" i="62"/>
  <c r="AP72" i="62"/>
  <c r="AP73" i="62"/>
  <c r="AM73" i="62"/>
  <c r="AN73" i="62"/>
  <c r="AO73" i="62"/>
  <c r="AM75" i="62"/>
  <c r="AP76" i="62"/>
  <c r="AN75" i="62"/>
  <c r="AP74" i="62"/>
  <c r="AO75" i="62"/>
  <c r="AP75" i="62"/>
  <c r="AM76" i="62"/>
  <c r="AM74" i="62"/>
  <c r="AN76" i="62"/>
  <c r="AN74" i="62"/>
  <c r="AO74" i="62"/>
  <c r="AO76" i="62"/>
  <c r="B62" i="16"/>
  <c r="AN69" i="51"/>
  <c r="AM69" i="51"/>
  <c r="P12" i="54"/>
  <c r="Q12" i="54"/>
  <c r="L12" i="54"/>
  <c r="M12" i="54"/>
  <c r="N12" i="54"/>
  <c r="O12" i="54"/>
  <c r="B139" i="21"/>
  <c r="AN44" i="51"/>
  <c r="AM44" i="51"/>
  <c r="L13" i="54"/>
  <c r="M13" i="54"/>
  <c r="N13" i="54"/>
  <c r="O13" i="54"/>
  <c r="P13" i="54"/>
  <c r="Q13" i="54"/>
  <c r="B72" i="27"/>
  <c r="AL67" i="51"/>
  <c r="AN67" i="62"/>
  <c r="AN66" i="62" s="1"/>
  <c r="AN67" i="51"/>
  <c r="N14" i="54"/>
  <c r="O14" i="54"/>
  <c r="P14" i="54"/>
  <c r="Q14" i="54"/>
  <c r="L14" i="54"/>
  <c r="M14" i="54"/>
  <c r="A250" i="52"/>
  <c r="A242" i="52"/>
  <c r="A234" i="52"/>
  <c r="A226" i="52"/>
  <c r="A218" i="52"/>
  <c r="A210" i="52"/>
  <c r="A202" i="52"/>
  <c r="A194" i="52"/>
  <c r="A186" i="52"/>
  <c r="A178" i="52"/>
  <c r="A170" i="52"/>
  <c r="A162" i="52"/>
  <c r="A154" i="52"/>
  <c r="A146" i="52"/>
  <c r="A138" i="52"/>
  <c r="A130" i="52"/>
  <c r="A122" i="52"/>
  <c r="A114" i="52"/>
  <c r="A106" i="52"/>
  <c r="A76" i="52"/>
  <c r="A68" i="52"/>
  <c r="A60" i="52"/>
  <c r="A52" i="52"/>
  <c r="A44" i="52"/>
  <c r="A36" i="52"/>
  <c r="A28" i="52"/>
  <c r="A20" i="52"/>
  <c r="A12" i="52"/>
  <c r="D50" i="56"/>
  <c r="F50" i="56"/>
  <c r="B50" i="56"/>
  <c r="AN17" i="51"/>
  <c r="AM17" i="51"/>
  <c r="AN19" i="51"/>
  <c r="AM19" i="51"/>
  <c r="AN18" i="51"/>
  <c r="AM18" i="51"/>
  <c r="B64" i="40"/>
  <c r="AN73" i="51"/>
  <c r="AM73" i="51"/>
  <c r="G72" i="49" s="1"/>
  <c r="AN72" i="51"/>
  <c r="AM72" i="51"/>
  <c r="AK73" i="51"/>
  <c r="AK72" i="51"/>
  <c r="B63" i="40"/>
  <c r="AL73" i="51"/>
  <c r="AL72" i="51"/>
  <c r="P15" i="54"/>
  <c r="Q15" i="54"/>
  <c r="O15" i="54"/>
  <c r="L15" i="54"/>
  <c r="N15" i="54"/>
  <c r="M15" i="54"/>
  <c r="B69" i="5"/>
  <c r="AM13" i="51"/>
  <c r="AN13" i="51"/>
  <c r="B79" i="32"/>
  <c r="AN48" i="51"/>
  <c r="AM48" i="51"/>
  <c r="AM48" i="62"/>
  <c r="AN48" i="62"/>
  <c r="AN18" i="62"/>
  <c r="AN19" i="62"/>
  <c r="AN17" i="62"/>
  <c r="AM19" i="62"/>
  <c r="AM18" i="62"/>
  <c r="AM17" i="62"/>
  <c r="AM13" i="62"/>
  <c r="AM12" i="62"/>
  <c r="AN13" i="62"/>
  <c r="AN12" i="62"/>
  <c r="A104" i="52"/>
  <c r="A103" i="52"/>
  <c r="D67" i="53"/>
  <c r="C67" i="53"/>
  <c r="B67" i="53"/>
  <c r="D68" i="53"/>
  <c r="C68" i="53"/>
  <c r="B68" i="53"/>
  <c r="AH67" i="62"/>
  <c r="AJ67" i="51"/>
  <c r="AL67" i="62"/>
  <c r="AJ67" i="62"/>
  <c r="B71" i="27"/>
  <c r="AM44" i="62"/>
  <c r="AN44" i="62"/>
  <c r="B138" i="21"/>
  <c r="AM69" i="62"/>
  <c r="AN69" i="62"/>
  <c r="B61" i="16"/>
  <c r="AK69" i="51"/>
  <c r="AL69" i="51"/>
  <c r="AL48" i="51"/>
  <c r="AK48" i="51"/>
  <c r="B78" i="32"/>
  <c r="D49" i="56"/>
  <c r="B49" i="56"/>
  <c r="F49" i="56"/>
  <c r="AL13" i="51"/>
  <c r="AK13" i="51"/>
  <c r="B68" i="5"/>
  <c r="C68" i="5" s="1"/>
  <c r="AL44" i="51"/>
  <c r="AK44" i="51"/>
  <c r="AK18" i="51"/>
  <c r="AL19" i="51"/>
  <c r="AL17" i="51"/>
  <c r="AK17" i="51"/>
  <c r="AK19" i="51"/>
  <c r="AL18" i="51"/>
  <c r="A248" i="52"/>
  <c r="A240" i="52"/>
  <c r="A232" i="52"/>
  <c r="A224" i="52"/>
  <c r="A216" i="52"/>
  <c r="A208" i="52"/>
  <c r="A200" i="52"/>
  <c r="A192" i="52"/>
  <c r="A184" i="52"/>
  <c r="A176" i="52"/>
  <c r="A168" i="52"/>
  <c r="A160" i="52"/>
  <c r="A152" i="52"/>
  <c r="A144" i="52"/>
  <c r="A136" i="52"/>
  <c r="A128" i="52"/>
  <c r="A120" i="52"/>
  <c r="A112" i="52"/>
  <c r="A74" i="52"/>
  <c r="A66" i="52"/>
  <c r="A58" i="52"/>
  <c r="A50" i="52"/>
  <c r="A42" i="52"/>
  <c r="A34" i="52"/>
  <c r="A26" i="52"/>
  <c r="A18" i="52"/>
  <c r="A10" i="52"/>
  <c r="A246" i="52"/>
  <c r="A238" i="52"/>
  <c r="A230" i="52"/>
  <c r="A222" i="52"/>
  <c r="A214" i="52"/>
  <c r="A206" i="52"/>
  <c r="A198" i="52"/>
  <c r="A190" i="52"/>
  <c r="A182" i="52"/>
  <c r="A174" i="52"/>
  <c r="A166" i="52"/>
  <c r="A158" i="52"/>
  <c r="A150" i="52"/>
  <c r="A142" i="52"/>
  <c r="A134" i="52"/>
  <c r="A126" i="52"/>
  <c r="A118" i="52"/>
  <c r="A110" i="52"/>
  <c r="A102" i="52"/>
  <c r="A72" i="52"/>
  <c r="A64" i="52"/>
  <c r="A56" i="52"/>
  <c r="A48" i="52"/>
  <c r="A40" i="52"/>
  <c r="A32" i="52"/>
  <c r="A24" i="52"/>
  <c r="A16" i="52"/>
  <c r="AL72" i="62"/>
  <c r="AK72" i="62"/>
  <c r="AL73" i="62"/>
  <c r="AK73" i="62"/>
  <c r="AI72" i="51"/>
  <c r="AJ73" i="51"/>
  <c r="AI73" i="51"/>
  <c r="B62" i="40"/>
  <c r="AJ72" i="51"/>
  <c r="AD69" i="62"/>
  <c r="V69" i="62"/>
  <c r="N69" i="62"/>
  <c r="F69" i="62"/>
  <c r="AF69" i="62"/>
  <c r="AC69" i="62"/>
  <c r="U69" i="62"/>
  <c r="M69" i="62"/>
  <c r="E69" i="62"/>
  <c r="X69" i="62"/>
  <c r="AJ69" i="62"/>
  <c r="AB69" i="62"/>
  <c r="T69" i="62"/>
  <c r="L69" i="62"/>
  <c r="D69" i="62"/>
  <c r="AI69" i="62"/>
  <c r="AA69" i="62"/>
  <c r="S69" i="62"/>
  <c r="K69" i="62"/>
  <c r="C69" i="62"/>
  <c r="AH69" i="62"/>
  <c r="Z69" i="62"/>
  <c r="R69" i="62"/>
  <c r="J69" i="62"/>
  <c r="AL69" i="62"/>
  <c r="AG69" i="62"/>
  <c r="Y69" i="62"/>
  <c r="Q69" i="62"/>
  <c r="I69" i="62"/>
  <c r="AK69" i="62"/>
  <c r="H69" i="62"/>
  <c r="AE69" i="62"/>
  <c r="W69" i="62"/>
  <c r="O69" i="62"/>
  <c r="G69" i="62"/>
  <c r="P69" i="62"/>
  <c r="AJ48" i="62"/>
  <c r="AL48" i="62"/>
  <c r="AK48" i="62"/>
  <c r="AJ44" i="62"/>
  <c r="AL44" i="62"/>
  <c r="AK44" i="62"/>
  <c r="AL19" i="62"/>
  <c r="AK19" i="62"/>
  <c r="AL18" i="62"/>
  <c r="AL17" i="62"/>
  <c r="AK18" i="62"/>
  <c r="AK17" i="62"/>
  <c r="B25" i="37"/>
  <c r="C25" i="37"/>
  <c r="B10" i="37"/>
  <c r="C10" i="37"/>
  <c r="C18" i="37"/>
  <c r="B18" i="37"/>
  <c r="B26" i="37"/>
  <c r="C26" i="37"/>
  <c r="C34" i="37"/>
  <c r="B34" i="37"/>
  <c r="C42" i="37"/>
  <c r="B42" i="37"/>
  <c r="B50" i="37"/>
  <c r="C50" i="37"/>
  <c r="B58" i="37"/>
  <c r="C58" i="37"/>
  <c r="C66" i="37"/>
  <c r="B66" i="37"/>
  <c r="C57" i="37"/>
  <c r="B57" i="37"/>
  <c r="C19" i="37"/>
  <c r="B19" i="37"/>
  <c r="B27" i="37"/>
  <c r="C27" i="37"/>
  <c r="C35" i="37"/>
  <c r="B35" i="37"/>
  <c r="B43" i="37"/>
  <c r="C43" i="37"/>
  <c r="B51" i="37"/>
  <c r="C51" i="37"/>
  <c r="B59" i="37"/>
  <c r="C59" i="37"/>
  <c r="B67" i="37"/>
  <c r="C67" i="37"/>
  <c r="C9" i="37"/>
  <c r="B9" i="37"/>
  <c r="B33" i="37"/>
  <c r="C33" i="37"/>
  <c r="B12" i="37"/>
  <c r="C12" i="37"/>
  <c r="B20" i="37"/>
  <c r="C20" i="37"/>
  <c r="B28" i="37"/>
  <c r="C28" i="37"/>
  <c r="B36" i="37"/>
  <c r="C36" i="37"/>
  <c r="B44" i="37"/>
  <c r="C44" i="37"/>
  <c r="B52" i="37"/>
  <c r="C52" i="37"/>
  <c r="B60" i="37"/>
  <c r="C60" i="37"/>
  <c r="B68" i="37"/>
  <c r="C68" i="37"/>
  <c r="C41" i="37"/>
  <c r="B41" i="37"/>
  <c r="C13" i="37"/>
  <c r="B13" i="37"/>
  <c r="C21" i="37"/>
  <c r="B21" i="37"/>
  <c r="C29" i="37"/>
  <c r="B29" i="37"/>
  <c r="C37" i="37"/>
  <c r="B37" i="37"/>
  <c r="B45" i="37"/>
  <c r="C45" i="37"/>
  <c r="B53" i="37"/>
  <c r="C53" i="37"/>
  <c r="B61" i="37"/>
  <c r="C61" i="37"/>
  <c r="B17" i="37"/>
  <c r="C17" i="37"/>
  <c r="B11" i="37"/>
  <c r="C11" i="37"/>
  <c r="C14" i="37"/>
  <c r="B14" i="37"/>
  <c r="C22" i="37"/>
  <c r="B22" i="37"/>
  <c r="C30" i="37"/>
  <c r="B30" i="37"/>
  <c r="B38" i="37"/>
  <c r="C38" i="37"/>
  <c r="C46" i="37"/>
  <c r="B46" i="37"/>
  <c r="C54" i="37"/>
  <c r="B54" i="37"/>
  <c r="C62" i="37"/>
  <c r="B62" i="37"/>
  <c r="C49" i="37"/>
  <c r="B49" i="37"/>
  <c r="C15" i="37"/>
  <c r="B15" i="37"/>
  <c r="B23" i="37"/>
  <c r="C23" i="37"/>
  <c r="B31" i="37"/>
  <c r="C31" i="37"/>
  <c r="B39" i="37"/>
  <c r="C39" i="37"/>
  <c r="C47" i="37"/>
  <c r="B47" i="37"/>
  <c r="B55" i="37"/>
  <c r="C55" i="37"/>
  <c r="C63" i="37"/>
  <c r="B63" i="37"/>
  <c r="C65" i="37"/>
  <c r="B65" i="37"/>
  <c r="B16" i="37"/>
  <c r="C16" i="37"/>
  <c r="B24" i="37"/>
  <c r="C24" i="37"/>
  <c r="B32" i="37"/>
  <c r="C32" i="37"/>
  <c r="B40" i="37"/>
  <c r="C40" i="37"/>
  <c r="B48" i="37"/>
  <c r="C48" i="37"/>
  <c r="B56" i="37"/>
  <c r="C56" i="37"/>
  <c r="B64" i="37"/>
  <c r="C64" i="37"/>
  <c r="C15" i="53"/>
  <c r="D15" i="53"/>
  <c r="B15" i="53"/>
  <c r="C23" i="53"/>
  <c r="D23" i="53"/>
  <c r="B23" i="53"/>
  <c r="C31" i="53"/>
  <c r="D31" i="53"/>
  <c r="B31" i="53"/>
  <c r="C39" i="53"/>
  <c r="D39" i="53"/>
  <c r="B39" i="53"/>
  <c r="C47" i="53"/>
  <c r="B47" i="53"/>
  <c r="D47" i="53"/>
  <c r="C55" i="53"/>
  <c r="B55" i="53"/>
  <c r="D55" i="53"/>
  <c r="C63" i="53"/>
  <c r="B63" i="53"/>
  <c r="D63" i="53"/>
  <c r="B16" i="53"/>
  <c r="C16" i="53"/>
  <c r="D16" i="53"/>
  <c r="B24" i="53"/>
  <c r="C24" i="53"/>
  <c r="D24" i="53"/>
  <c r="B32" i="53"/>
  <c r="C32" i="53"/>
  <c r="D32" i="53"/>
  <c r="B40" i="53"/>
  <c r="C40" i="53"/>
  <c r="D40" i="53"/>
  <c r="B48" i="53"/>
  <c r="C48" i="53"/>
  <c r="D48" i="53"/>
  <c r="B56" i="53"/>
  <c r="C56" i="53"/>
  <c r="D56" i="53"/>
  <c r="B64" i="53"/>
  <c r="C64" i="53"/>
  <c r="D64" i="53"/>
  <c r="D9" i="53"/>
  <c r="C9" i="53"/>
  <c r="B9" i="53"/>
  <c r="B17" i="53"/>
  <c r="C17" i="53"/>
  <c r="D17" i="53"/>
  <c r="B25" i="53"/>
  <c r="C25" i="53"/>
  <c r="D25" i="53"/>
  <c r="B33" i="53"/>
  <c r="C33" i="53"/>
  <c r="D33" i="53"/>
  <c r="B41" i="53"/>
  <c r="C41" i="53"/>
  <c r="D41" i="53"/>
  <c r="B49" i="53"/>
  <c r="C49" i="53"/>
  <c r="D49" i="53"/>
  <c r="B57" i="53"/>
  <c r="C57" i="53"/>
  <c r="D57" i="53"/>
  <c r="B65" i="53"/>
  <c r="C65" i="53"/>
  <c r="D65" i="53"/>
  <c r="B10" i="53"/>
  <c r="C10" i="53"/>
  <c r="D10" i="53"/>
  <c r="B18" i="53"/>
  <c r="C18" i="53"/>
  <c r="D18" i="53"/>
  <c r="B26" i="53"/>
  <c r="C26" i="53"/>
  <c r="D26" i="53"/>
  <c r="B34" i="53"/>
  <c r="C34" i="53"/>
  <c r="D34" i="53"/>
  <c r="B42" i="53"/>
  <c r="C42" i="53"/>
  <c r="D42" i="53"/>
  <c r="B50" i="53"/>
  <c r="C50" i="53"/>
  <c r="D50" i="53"/>
  <c r="B58" i="53"/>
  <c r="C58" i="53"/>
  <c r="D58" i="53"/>
  <c r="B66" i="53"/>
  <c r="C66" i="53"/>
  <c r="D66" i="53"/>
  <c r="D11" i="53"/>
  <c r="B11" i="53"/>
  <c r="C11" i="53"/>
  <c r="B19" i="53"/>
  <c r="D19" i="53"/>
  <c r="C19" i="53"/>
  <c r="D27" i="53"/>
  <c r="B27" i="53"/>
  <c r="C27" i="53"/>
  <c r="D35" i="53"/>
  <c r="B35" i="53"/>
  <c r="C35" i="53"/>
  <c r="D43" i="53"/>
  <c r="B43" i="53"/>
  <c r="C43" i="53"/>
  <c r="B51" i="53"/>
  <c r="D51" i="53"/>
  <c r="C51" i="53"/>
  <c r="B59" i="53"/>
  <c r="D59" i="53"/>
  <c r="C59" i="53"/>
  <c r="D12" i="53"/>
  <c r="C12" i="53"/>
  <c r="B12" i="53"/>
  <c r="D20" i="53"/>
  <c r="B20" i="53"/>
  <c r="C20" i="53"/>
  <c r="D28" i="53"/>
  <c r="B28" i="53"/>
  <c r="C28" i="53"/>
  <c r="D36" i="53"/>
  <c r="B36" i="53"/>
  <c r="C36" i="53"/>
  <c r="D44" i="53"/>
  <c r="B44" i="53"/>
  <c r="C44" i="53"/>
  <c r="D52" i="53"/>
  <c r="B52" i="53"/>
  <c r="C52" i="53"/>
  <c r="D60" i="53"/>
  <c r="B60" i="53"/>
  <c r="C60" i="53"/>
  <c r="B13" i="53"/>
  <c r="C13" i="53"/>
  <c r="D13" i="53"/>
  <c r="B21" i="53"/>
  <c r="C21" i="53"/>
  <c r="D21" i="53"/>
  <c r="B29" i="53"/>
  <c r="C29" i="53"/>
  <c r="D29" i="53"/>
  <c r="B37" i="53"/>
  <c r="C37" i="53"/>
  <c r="D37" i="53"/>
  <c r="B45" i="53"/>
  <c r="C45" i="53"/>
  <c r="D45" i="53"/>
  <c r="B53" i="53"/>
  <c r="C53" i="53"/>
  <c r="D53" i="53"/>
  <c r="B61" i="53"/>
  <c r="C61" i="53"/>
  <c r="D61" i="53"/>
  <c r="D14" i="53"/>
  <c r="C14" i="53"/>
  <c r="B14" i="53"/>
  <c r="C22" i="53"/>
  <c r="D22" i="53"/>
  <c r="B22" i="53"/>
  <c r="C30" i="53"/>
  <c r="D30" i="53"/>
  <c r="B30" i="53"/>
  <c r="C38" i="53"/>
  <c r="D38" i="53"/>
  <c r="B38" i="53"/>
  <c r="C46" i="53"/>
  <c r="D46" i="53"/>
  <c r="B46" i="53"/>
  <c r="C54" i="53"/>
  <c r="D54" i="53"/>
  <c r="B54" i="53"/>
  <c r="C62" i="53"/>
  <c r="D62" i="53"/>
  <c r="B62" i="53"/>
  <c r="B22" i="11"/>
  <c r="B30" i="11"/>
  <c r="B38" i="11"/>
  <c r="B46" i="11"/>
  <c r="B54" i="11"/>
  <c r="B63" i="11"/>
  <c r="B13" i="11"/>
  <c r="B15" i="11"/>
  <c r="B23" i="11"/>
  <c r="B31" i="11"/>
  <c r="B39" i="11"/>
  <c r="B47" i="11"/>
  <c r="B55" i="11"/>
  <c r="B64" i="11"/>
  <c r="B10" i="11"/>
  <c r="B16" i="11"/>
  <c r="B24" i="11"/>
  <c r="B32" i="11"/>
  <c r="B40" i="11"/>
  <c r="B48" i="11"/>
  <c r="B9" i="11"/>
  <c r="B17" i="11"/>
  <c r="B25" i="11"/>
  <c r="B33" i="11"/>
  <c r="B41" i="11"/>
  <c r="B49" i="11"/>
  <c r="B57" i="11"/>
  <c r="B18" i="11"/>
  <c r="B26" i="11"/>
  <c r="B34" i="11"/>
  <c r="B42" i="11"/>
  <c r="B58" i="11"/>
  <c r="B60" i="11"/>
  <c r="B19" i="11"/>
  <c r="B27" i="11"/>
  <c r="B35" i="11"/>
  <c r="B43" i="11"/>
  <c r="B51" i="11"/>
  <c r="B12" i="11"/>
  <c r="B20" i="11"/>
  <c r="B28" i="11"/>
  <c r="B36" i="11"/>
  <c r="B44" i="11"/>
  <c r="B52" i="11"/>
  <c r="B61" i="11"/>
  <c r="B21" i="11"/>
  <c r="B29" i="11"/>
  <c r="B37" i="11"/>
  <c r="B45" i="11"/>
  <c r="C65" i="59"/>
  <c r="B49" i="59"/>
  <c r="C49" i="59"/>
  <c r="B17" i="59"/>
  <c r="C17" i="59"/>
  <c r="C9" i="59"/>
  <c r="B56" i="59"/>
  <c r="C56" i="59"/>
  <c r="B48" i="59"/>
  <c r="C48" i="59"/>
  <c r="B40" i="59"/>
  <c r="C40" i="59"/>
  <c r="B32" i="59"/>
  <c r="C32" i="59"/>
  <c r="B24" i="59"/>
  <c r="C24" i="59"/>
  <c r="B16" i="59"/>
  <c r="C16" i="59"/>
  <c r="C63" i="59"/>
  <c r="B54" i="59"/>
  <c r="C54" i="59"/>
  <c r="B46" i="59"/>
  <c r="C46" i="59"/>
  <c r="B38" i="59"/>
  <c r="C38" i="59"/>
  <c r="B30" i="59"/>
  <c r="C30" i="59"/>
  <c r="B22" i="59"/>
  <c r="C22" i="59"/>
  <c r="B14" i="59"/>
  <c r="C14" i="59"/>
  <c r="C61" i="59"/>
  <c r="C45" i="59"/>
  <c r="C13" i="59"/>
  <c r="C68" i="59"/>
  <c r="C60" i="59"/>
  <c r="C52" i="59"/>
  <c r="C44" i="59"/>
  <c r="B36" i="59"/>
  <c r="C36" i="59"/>
  <c r="C28" i="59"/>
  <c r="C20" i="59"/>
  <c r="B12" i="59"/>
  <c r="C12" i="59"/>
  <c r="C67" i="59"/>
  <c r="B59" i="59"/>
  <c r="C59" i="59"/>
  <c r="C43" i="59"/>
  <c r="C27" i="59"/>
  <c r="C11" i="59"/>
  <c r="C66" i="59"/>
  <c r="C58" i="59"/>
  <c r="C50" i="59"/>
  <c r="B42" i="59"/>
  <c r="C42" i="59"/>
  <c r="B34" i="59"/>
  <c r="C34" i="59"/>
  <c r="C26" i="59"/>
  <c r="B18" i="59"/>
  <c r="C18" i="59"/>
  <c r="C10" i="59"/>
  <c r="AL13" i="62"/>
  <c r="AL12" i="62"/>
  <c r="AK13" i="62"/>
  <c r="AK12" i="62"/>
  <c r="B64" i="59"/>
  <c r="B62" i="59"/>
  <c r="R52" i="22"/>
  <c r="S52" i="22"/>
  <c r="R53" i="22"/>
  <c r="S53" i="22"/>
  <c r="S54" i="22"/>
  <c r="R54" i="22"/>
  <c r="R52" i="28"/>
  <c r="S52" i="28"/>
  <c r="S53" i="28"/>
  <c r="R53" i="28"/>
  <c r="R54" i="28"/>
  <c r="S54" i="28"/>
  <c r="Z44" i="51"/>
  <c r="Y44" i="51"/>
  <c r="AJ44" i="51"/>
  <c r="AI44" i="51"/>
  <c r="O54" i="17"/>
  <c r="P54" i="17"/>
  <c r="M44" i="54"/>
  <c r="N44" i="54"/>
  <c r="Q44" i="54"/>
  <c r="L44" i="54"/>
  <c r="O44" i="54"/>
  <c r="P44" i="54"/>
  <c r="P45" i="54"/>
  <c r="Q45" i="54"/>
  <c r="N45" i="54"/>
  <c r="O45" i="54"/>
  <c r="AJ13" i="62"/>
  <c r="AI13" i="62"/>
  <c r="AJ12" i="62"/>
  <c r="AI12" i="62"/>
  <c r="AI13" i="51"/>
  <c r="AJ13" i="51"/>
  <c r="AJ69" i="51"/>
  <c r="AI69" i="51"/>
  <c r="S47" i="12"/>
  <c r="T47" i="12"/>
  <c r="B68" i="59"/>
  <c r="B70" i="27"/>
  <c r="AJ48" i="51"/>
  <c r="AI48" i="51"/>
  <c r="B77" i="32"/>
  <c r="B137" i="21"/>
  <c r="AJ18" i="51"/>
  <c r="AJ17" i="51"/>
  <c r="AI19" i="51"/>
  <c r="AI18" i="51"/>
  <c r="AI17" i="51"/>
  <c r="AJ19" i="51"/>
  <c r="AI72" i="62"/>
  <c r="AH72" i="62"/>
  <c r="AH73" i="51"/>
  <c r="AG73" i="51"/>
  <c r="AJ72" i="62"/>
  <c r="AI73" i="62"/>
  <c r="AJ73" i="62"/>
  <c r="AH72" i="51"/>
  <c r="AG72" i="62"/>
  <c r="AG72" i="51"/>
  <c r="AH73" i="62"/>
  <c r="AG73" i="62"/>
  <c r="B60" i="16"/>
  <c r="AH69" i="51"/>
  <c r="AG69" i="51"/>
  <c r="AH48" i="62"/>
  <c r="AG48" i="62"/>
  <c r="AH48" i="51"/>
  <c r="AI48" i="62"/>
  <c r="C49" i="49" s="1"/>
  <c r="AG48" i="51"/>
  <c r="AG44" i="62"/>
  <c r="AI44" i="62"/>
  <c r="C45" i="49" s="1"/>
  <c r="AG44" i="51"/>
  <c r="AH44" i="51"/>
  <c r="AH44" i="62"/>
  <c r="B48" i="56"/>
  <c r="D48" i="56"/>
  <c r="F48" i="56"/>
  <c r="AJ19" i="62"/>
  <c r="AI19" i="62"/>
  <c r="AJ18" i="62"/>
  <c r="AI18" i="62"/>
  <c r="AJ17" i="62"/>
  <c r="AI17" i="62"/>
  <c r="AH19" i="51"/>
  <c r="AG18" i="62"/>
  <c r="AG18" i="51"/>
  <c r="AG17" i="51"/>
  <c r="AG19" i="51"/>
  <c r="AH17" i="62"/>
  <c r="AH19" i="62"/>
  <c r="AH18" i="62"/>
  <c r="AH18" i="51"/>
  <c r="I18" i="49" s="1"/>
  <c r="AG17" i="62"/>
  <c r="AH17" i="51"/>
  <c r="AG19" i="62"/>
  <c r="B67" i="5"/>
  <c r="C67" i="5" s="1"/>
  <c r="AG13" i="62"/>
  <c r="AH12" i="62"/>
  <c r="AH13" i="51"/>
  <c r="AG12" i="62"/>
  <c r="AH13" i="62"/>
  <c r="AG13" i="51"/>
  <c r="B57" i="16"/>
  <c r="B58" i="16"/>
  <c r="B59" i="16"/>
  <c r="AB17" i="51"/>
  <c r="F47" i="56"/>
  <c r="B47" i="56"/>
  <c r="D47" i="56"/>
  <c r="B69" i="27"/>
  <c r="B136" i="21"/>
  <c r="A244" i="52"/>
  <c r="A236" i="52"/>
  <c r="A228" i="52"/>
  <c r="A220" i="52"/>
  <c r="A212" i="52"/>
  <c r="A204" i="52"/>
  <c r="A196" i="52"/>
  <c r="A188" i="52"/>
  <c r="A180" i="52"/>
  <c r="A172" i="52"/>
  <c r="A164" i="52"/>
  <c r="A156" i="52"/>
  <c r="A148" i="52"/>
  <c r="A140" i="52"/>
  <c r="A132" i="52"/>
  <c r="A124" i="52"/>
  <c r="A116" i="52"/>
  <c r="A108" i="52"/>
  <c r="A70" i="52"/>
  <c r="A62" i="52"/>
  <c r="A54" i="52"/>
  <c r="A46" i="52"/>
  <c r="A38" i="52"/>
  <c r="A30" i="52"/>
  <c r="A22" i="52"/>
  <c r="A14" i="52"/>
  <c r="B66" i="5"/>
  <c r="C66" i="5" s="1"/>
  <c r="B76" i="32"/>
  <c r="B61" i="40"/>
  <c r="B60" i="40"/>
  <c r="AE72" i="51"/>
  <c r="AF73" i="51"/>
  <c r="AF72" i="51"/>
  <c r="AE73" i="51"/>
  <c r="G71" i="49"/>
  <c r="AD67" i="51"/>
  <c r="AE12" i="62"/>
  <c r="B75" i="32"/>
  <c r="R17" i="32" s="1"/>
  <c r="AE48" i="51"/>
  <c r="AF48" i="51"/>
  <c r="B68" i="27"/>
  <c r="AF67" i="51"/>
  <c r="B135" i="21"/>
  <c r="AF44" i="51"/>
  <c r="AE44" i="51"/>
  <c r="AE69" i="51"/>
  <c r="AF69" i="51"/>
  <c r="B46" i="56"/>
  <c r="D46" i="56"/>
  <c r="F46" i="56"/>
  <c r="AF17" i="51"/>
  <c r="AE18" i="51"/>
  <c r="AF19" i="51"/>
  <c r="AF18" i="51"/>
  <c r="AE19" i="51"/>
  <c r="AE17" i="51"/>
  <c r="B65" i="5"/>
  <c r="AE13" i="51"/>
  <c r="AF13" i="51"/>
  <c r="E9" i="51"/>
  <c r="U35" i="2"/>
  <c r="U36" i="2"/>
  <c r="U37" i="2"/>
  <c r="U38" i="2"/>
  <c r="U39" i="2"/>
  <c r="U40" i="2"/>
  <c r="U41" i="2"/>
  <c r="U42" i="2"/>
  <c r="U43" i="2"/>
  <c r="U44" i="2"/>
  <c r="U45" i="2"/>
  <c r="U46" i="2"/>
  <c r="U47" i="2"/>
  <c r="U48" i="2"/>
  <c r="U49" i="2"/>
  <c r="U50" i="2"/>
  <c r="U51" i="2"/>
  <c r="U52" i="2"/>
  <c r="U53" i="2"/>
  <c r="U54" i="2"/>
  <c r="B59" i="40"/>
  <c r="AC73" i="51"/>
  <c r="AD72" i="51"/>
  <c r="AD73" i="51"/>
  <c r="AF72" i="62"/>
  <c r="AE72" i="62"/>
  <c r="AC72" i="51"/>
  <c r="AE73" i="62"/>
  <c r="AF73" i="62"/>
  <c r="BP50" i="6"/>
  <c r="B50" i="11"/>
  <c r="BP53" i="6"/>
  <c r="B53" i="11"/>
  <c r="BP56" i="6"/>
  <c r="B56" i="11"/>
  <c r="BP59" i="6"/>
  <c r="B59" i="11"/>
  <c r="BP62" i="6"/>
  <c r="B62" i="11"/>
  <c r="BP65" i="6"/>
  <c r="B65" i="11"/>
  <c r="AC48" i="62"/>
  <c r="AF48" i="62"/>
  <c r="AE48" i="62"/>
  <c r="AD48" i="51"/>
  <c r="AC48" i="51"/>
  <c r="B74" i="32"/>
  <c r="R16" i="32" s="1"/>
  <c r="AF67" i="62"/>
  <c r="B60" i="27"/>
  <c r="B66" i="27"/>
  <c r="B61" i="27"/>
  <c r="B62" i="27"/>
  <c r="B63" i="27"/>
  <c r="B67" i="27"/>
  <c r="B64" i="27"/>
  <c r="B65" i="27"/>
  <c r="AC44" i="62"/>
  <c r="AF44" i="62"/>
  <c r="AE44" i="62"/>
  <c r="AC69" i="51"/>
  <c r="AD69" i="51"/>
  <c r="AC17" i="62"/>
  <c r="AC18" i="62"/>
  <c r="AC19" i="62"/>
  <c r="AE19" i="62"/>
  <c r="AE17" i="62"/>
  <c r="AF18" i="62"/>
  <c r="AE18" i="62"/>
  <c r="AF17" i="62"/>
  <c r="AF19" i="62"/>
  <c r="AC18" i="51"/>
  <c r="AC17" i="51"/>
  <c r="AD17" i="51"/>
  <c r="D45" i="56"/>
  <c r="B45" i="56"/>
  <c r="AC19" i="51"/>
  <c r="AD18" i="51"/>
  <c r="AD19" i="51"/>
  <c r="F45" i="56"/>
  <c r="T11" i="2"/>
  <c r="U11" i="2"/>
  <c r="T19" i="2"/>
  <c r="T12" i="2"/>
  <c r="U12" i="2"/>
  <c r="U14" i="2"/>
  <c r="T14" i="2"/>
  <c r="AC12" i="62"/>
  <c r="AC13" i="62"/>
  <c r="AE13" i="62"/>
  <c r="AF13" i="62"/>
  <c r="AF12" i="62"/>
  <c r="Z13" i="51"/>
  <c r="Z14" i="51" s="1"/>
  <c r="R13" i="51"/>
  <c r="J13" i="51"/>
  <c r="E13" i="62"/>
  <c r="M13" i="62"/>
  <c r="U13" i="62"/>
  <c r="Y13" i="5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T35" i="2"/>
  <c r="T36" i="2"/>
  <c r="T37" i="2"/>
  <c r="T38" i="2"/>
  <c r="T39" i="2"/>
  <c r="T40" i="2"/>
  <c r="T41" i="2"/>
  <c r="T42" i="2"/>
  <c r="T43" i="2"/>
  <c r="T44" i="2"/>
  <c r="T45" i="2"/>
  <c r="T46" i="2"/>
  <c r="T47" i="2"/>
  <c r="T48" i="2"/>
  <c r="T49" i="2"/>
  <c r="T50" i="2"/>
  <c r="T51" i="2"/>
  <c r="T52" i="2"/>
  <c r="T53" i="2"/>
  <c r="U13" i="2"/>
  <c r="T13" i="2"/>
  <c r="T15" i="2"/>
  <c r="U15" i="2"/>
  <c r="T16" i="2"/>
  <c r="U16" i="2"/>
  <c r="U17" i="2"/>
  <c r="T17" i="2"/>
  <c r="U18" i="2"/>
  <c r="T18" i="2"/>
  <c r="C57" i="30"/>
  <c r="B57" i="30"/>
  <c r="C65" i="30"/>
  <c r="B65" i="30"/>
  <c r="B58" i="30"/>
  <c r="C58" i="30"/>
  <c r="C66" i="30"/>
  <c r="B66" i="30"/>
  <c r="B59" i="30"/>
  <c r="C59" i="30"/>
  <c r="B67" i="30"/>
  <c r="C67" i="30"/>
  <c r="C60" i="30"/>
  <c r="B60" i="30"/>
  <c r="C68" i="30"/>
  <c r="B68" i="30"/>
  <c r="B61" i="30"/>
  <c r="C61" i="30"/>
  <c r="B69" i="30"/>
  <c r="C69" i="30"/>
  <c r="B62" i="30"/>
  <c r="C62" i="30"/>
  <c r="B63" i="30"/>
  <c r="C63" i="30"/>
  <c r="B64" i="30"/>
  <c r="C64" i="30"/>
  <c r="B64" i="5"/>
  <c r="C64" i="5" s="1"/>
  <c r="AD44" i="51"/>
  <c r="AC44" i="51"/>
  <c r="B134" i="21"/>
  <c r="BP29" i="6"/>
  <c r="BP47" i="6"/>
  <c r="BP32" i="6"/>
  <c r="BP23" i="6"/>
  <c r="BP17" i="6"/>
  <c r="BP41" i="6"/>
  <c r="BP26" i="6"/>
  <c r="B11" i="11"/>
  <c r="BP11" i="6"/>
  <c r="BP35" i="6"/>
  <c r="BP44" i="6"/>
  <c r="BP20" i="6"/>
  <c r="B14" i="11"/>
  <c r="BP14" i="6"/>
  <c r="BP38" i="6"/>
  <c r="A247" i="52"/>
  <c r="A239" i="52"/>
  <c r="A231" i="52"/>
  <c r="A223" i="52"/>
  <c r="A215" i="52"/>
  <c r="A207" i="52"/>
  <c r="A199" i="52"/>
  <c r="A191" i="52"/>
  <c r="A183" i="52"/>
  <c r="A175" i="52"/>
  <c r="A167" i="52"/>
  <c r="A159" i="52"/>
  <c r="A151" i="52"/>
  <c r="A143" i="52"/>
  <c r="A135" i="52"/>
  <c r="A127" i="52"/>
  <c r="A119" i="52"/>
  <c r="A111"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72" i="62"/>
  <c r="AD73" i="62"/>
  <c r="AC73" i="62"/>
  <c r="AD72"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67" i="62"/>
  <c r="AB67" i="51"/>
  <c r="AD44" i="62"/>
  <c r="Y44" i="62"/>
  <c r="Z44" i="62"/>
  <c r="B56" i="16"/>
  <c r="AA69" i="51"/>
  <c r="AD19" i="62"/>
  <c r="AD18" i="62"/>
  <c r="AD12" i="62"/>
  <c r="B63" i="5"/>
  <c r="C63" i="5" s="1"/>
  <c r="AD48" i="62"/>
  <c r="R18" i="28"/>
  <c r="B57" i="40"/>
  <c r="C57" i="40" s="1"/>
  <c r="AB72" i="51"/>
  <c r="B52" i="40"/>
  <c r="B56" i="40"/>
  <c r="C56" i="40" s="1"/>
  <c r="B58" i="40"/>
  <c r="C58" i="40" s="1"/>
  <c r="AA72" i="51"/>
  <c r="B41" i="40"/>
  <c r="B44" i="40"/>
  <c r="B47" i="40"/>
  <c r="B55" i="40"/>
  <c r="B48" i="40"/>
  <c r="Z73" i="51"/>
  <c r="B49" i="40"/>
  <c r="B45" i="40"/>
  <c r="B43" i="40"/>
  <c r="B51" i="40"/>
  <c r="B53" i="40"/>
  <c r="Y73" i="51"/>
  <c r="B42" i="40"/>
  <c r="B46" i="40"/>
  <c r="Y72" i="51"/>
  <c r="B50" i="40"/>
  <c r="B54" i="40"/>
  <c r="Z72" i="51"/>
  <c r="AB73" i="51"/>
  <c r="AA73" i="51"/>
  <c r="B56" i="27"/>
  <c r="B51" i="27"/>
  <c r="B49" i="27"/>
  <c r="B55" i="27"/>
  <c r="B50" i="27"/>
  <c r="B54" i="27"/>
  <c r="B53" i="27"/>
  <c r="B58" i="27"/>
  <c r="B52" i="27"/>
  <c r="B59" i="27"/>
  <c r="B57" i="27"/>
  <c r="D67" i="51"/>
  <c r="T67" i="51"/>
  <c r="T66" i="51" s="1"/>
  <c r="J67" i="51"/>
  <c r="J66" i="51" s="1"/>
  <c r="F67" i="51"/>
  <c r="F66" i="51" s="1"/>
  <c r="V67" i="51"/>
  <c r="V66" i="51" s="1"/>
  <c r="P67" i="51"/>
  <c r="P66" i="51" s="1"/>
  <c r="H67" i="51"/>
  <c r="H66" i="51" s="1"/>
  <c r="X67" i="51"/>
  <c r="R67" i="51"/>
  <c r="R66" i="51" s="1"/>
  <c r="L67" i="51"/>
  <c r="L66" i="51" s="1"/>
  <c r="N67" i="51"/>
  <c r="N66" i="51" s="1"/>
  <c r="B73" i="32"/>
  <c r="R15" i="32" s="1"/>
  <c r="AA48" i="51"/>
  <c r="AB48" i="51"/>
  <c r="B64" i="32"/>
  <c r="B56" i="32"/>
  <c r="B62" i="32"/>
  <c r="B59" i="32"/>
  <c r="B65" i="32"/>
  <c r="B71" i="32"/>
  <c r="B63" i="32"/>
  <c r="B70" i="32"/>
  <c r="B67" i="32"/>
  <c r="B58" i="32"/>
  <c r="B69" i="32"/>
  <c r="B61" i="32"/>
  <c r="B68" i="32"/>
  <c r="B60" i="32"/>
  <c r="B66" i="32"/>
  <c r="B57" i="32"/>
  <c r="P11" i="54"/>
  <c r="B44" i="56"/>
  <c r="D44" i="56"/>
  <c r="F44" i="56"/>
  <c r="AA17" i="51"/>
  <c r="AB19" i="51"/>
  <c r="AA18" i="51"/>
  <c r="AA19" i="51"/>
  <c r="AB18"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8" i="54"/>
  <c r="Z69" i="51"/>
  <c r="Y69" i="51"/>
  <c r="AB69" i="51"/>
  <c r="B133" i="21"/>
  <c r="AA44" i="51"/>
  <c r="AB44" i="51"/>
  <c r="B116" i="21"/>
  <c r="B124" i="21"/>
  <c r="B120" i="21"/>
  <c r="B121" i="21"/>
  <c r="B130" i="21"/>
  <c r="R11" i="21" s="1"/>
  <c r="B117" i="21"/>
  <c r="B125" i="21"/>
  <c r="B119" i="21"/>
  <c r="B128" i="21"/>
  <c r="B122" i="21"/>
  <c r="B131" i="21"/>
  <c r="B118" i="21"/>
  <c r="B126" i="21"/>
  <c r="B127" i="21"/>
  <c r="B129" i="21"/>
  <c r="B123" i="21"/>
  <c r="A78" i="52"/>
  <c r="B45" i="5"/>
  <c r="B53" i="5"/>
  <c r="B61" i="5"/>
  <c r="C61" i="5" s="1"/>
  <c r="B55" i="5"/>
  <c r="B56" i="5"/>
  <c r="B50" i="5"/>
  <c r="B46" i="5"/>
  <c r="B54" i="5"/>
  <c r="B47" i="5"/>
  <c r="B48" i="5"/>
  <c r="B57" i="5"/>
  <c r="B58" i="5"/>
  <c r="B51" i="5"/>
  <c r="B59" i="5"/>
  <c r="B52" i="5"/>
  <c r="B60" i="5"/>
  <c r="B49" i="5"/>
  <c r="C17" i="13"/>
  <c r="B17" i="13"/>
  <c r="C15" i="13"/>
  <c r="B15" i="13"/>
  <c r="C23" i="13"/>
  <c r="B23" i="13"/>
  <c r="C31" i="13"/>
  <c r="B31" i="13"/>
  <c r="C39" i="13"/>
  <c r="B39" i="13"/>
  <c r="C47" i="13"/>
  <c r="B47" i="13"/>
  <c r="C55" i="13"/>
  <c r="B55" i="13"/>
  <c r="C63" i="13"/>
  <c r="B63" i="13"/>
  <c r="C8" i="13"/>
  <c r="C16" i="13"/>
  <c r="B16" i="13"/>
  <c r="C24" i="13"/>
  <c r="B24" i="13"/>
  <c r="C32" i="13"/>
  <c r="B32" i="13"/>
  <c r="C40" i="13"/>
  <c r="B40" i="13"/>
  <c r="C48" i="13"/>
  <c r="B48" i="13"/>
  <c r="C56" i="13"/>
  <c r="B56" i="13"/>
  <c r="C64" i="13"/>
  <c r="B64" i="13"/>
  <c r="C33" i="13"/>
  <c r="B33" i="13"/>
  <c r="C65" i="13"/>
  <c r="B65" i="13"/>
  <c r="C10" i="13"/>
  <c r="B10" i="13"/>
  <c r="C34" i="13"/>
  <c r="B34" i="13"/>
  <c r="C58" i="13"/>
  <c r="B58" i="13"/>
  <c r="C19" i="13"/>
  <c r="B19" i="13"/>
  <c r="C43" i="13"/>
  <c r="B43" i="13"/>
  <c r="C67" i="13"/>
  <c r="C12" i="13"/>
  <c r="B12" i="13"/>
  <c r="C20" i="13"/>
  <c r="B20" i="13"/>
  <c r="C28" i="13"/>
  <c r="B28" i="13"/>
  <c r="C36" i="13"/>
  <c r="B36" i="13"/>
  <c r="C44" i="13"/>
  <c r="B44" i="13"/>
  <c r="C52" i="13"/>
  <c r="B52" i="13"/>
  <c r="C60" i="13"/>
  <c r="B60" i="13"/>
  <c r="C25" i="13"/>
  <c r="B25" i="13"/>
  <c r="C57" i="13"/>
  <c r="B57" i="13"/>
  <c r="C26" i="13"/>
  <c r="B26" i="13"/>
  <c r="C50" i="13"/>
  <c r="B50" i="13"/>
  <c r="C35" i="13"/>
  <c r="B35" i="13"/>
  <c r="C59" i="13"/>
  <c r="B59" i="13"/>
  <c r="C13" i="13"/>
  <c r="B13" i="13"/>
  <c r="C21" i="13"/>
  <c r="B21" i="13"/>
  <c r="C29" i="13"/>
  <c r="B29" i="13"/>
  <c r="C37" i="13"/>
  <c r="B37" i="13"/>
  <c r="C45" i="13"/>
  <c r="B45" i="13"/>
  <c r="C53" i="13"/>
  <c r="B53" i="13"/>
  <c r="C61" i="13"/>
  <c r="B61" i="13"/>
  <c r="C9" i="13"/>
  <c r="B9" i="13"/>
  <c r="C41" i="13"/>
  <c r="B41" i="13"/>
  <c r="C49" i="13"/>
  <c r="B49" i="13"/>
  <c r="C18" i="13"/>
  <c r="B18" i="13"/>
  <c r="C42" i="13"/>
  <c r="B42" i="13"/>
  <c r="C66" i="13"/>
  <c r="B66" i="13"/>
  <c r="C11" i="13"/>
  <c r="B11" i="13"/>
  <c r="C27" i="13"/>
  <c r="B27" i="13"/>
  <c r="C51" i="13"/>
  <c r="B51" i="13"/>
  <c r="C14" i="13"/>
  <c r="B14" i="13"/>
  <c r="C22" i="13"/>
  <c r="B22" i="13"/>
  <c r="C30" i="13"/>
  <c r="B30" i="13"/>
  <c r="C38" i="13"/>
  <c r="B38" i="13"/>
  <c r="C46" i="13"/>
  <c r="B46" i="13"/>
  <c r="C54" i="13"/>
  <c r="B54" i="13"/>
  <c r="C62" i="13"/>
  <c r="B62" i="13"/>
  <c r="R10" i="22"/>
  <c r="S10" i="28"/>
  <c r="AA44" i="62"/>
  <c r="S44" i="62"/>
  <c r="K44" i="62"/>
  <c r="C44" i="62"/>
  <c r="R44" i="62"/>
  <c r="J44" i="62"/>
  <c r="Q44" i="62"/>
  <c r="I44" i="62"/>
  <c r="X44" i="62"/>
  <c r="P44" i="62"/>
  <c r="H44" i="62"/>
  <c r="W44" i="62"/>
  <c r="O44" i="62"/>
  <c r="G44" i="62"/>
  <c r="V44" i="62"/>
  <c r="N44" i="62"/>
  <c r="F44" i="62"/>
  <c r="U44" i="62"/>
  <c r="M44" i="62"/>
  <c r="E44" i="62"/>
  <c r="AB44" i="62"/>
  <c r="T44" i="62"/>
  <c r="L44" i="62"/>
  <c r="D44" i="62"/>
  <c r="U48" i="51"/>
  <c r="M48" i="51"/>
  <c r="T48" i="51"/>
  <c r="L48" i="51"/>
  <c r="S48" i="51"/>
  <c r="K48" i="51"/>
  <c r="Z48" i="51"/>
  <c r="R48" i="51"/>
  <c r="J48" i="51"/>
  <c r="Y48" i="51"/>
  <c r="Q48" i="51"/>
  <c r="I48" i="51"/>
  <c r="X48" i="51"/>
  <c r="P48" i="51"/>
  <c r="H48" i="51"/>
  <c r="W48" i="51"/>
  <c r="O48" i="51"/>
  <c r="G48" i="51"/>
  <c r="V48" i="51"/>
  <c r="N48" i="51"/>
  <c r="AA48" i="62"/>
  <c r="K48" i="62"/>
  <c r="I48" i="62"/>
  <c r="Y48" i="62"/>
  <c r="W48" i="62"/>
  <c r="G48" i="62"/>
  <c r="U48" i="62"/>
  <c r="E48" i="62"/>
  <c r="S48" i="62"/>
  <c r="C48" i="62"/>
  <c r="Q48" i="62"/>
  <c r="O48" i="62"/>
  <c r="M48" i="62"/>
  <c r="R17" i="22"/>
  <c r="S11" i="22"/>
  <c r="O12" i="17"/>
  <c r="X67" i="62"/>
  <c r="P67" i="62"/>
  <c r="H67" i="62"/>
  <c r="V67" i="62"/>
  <c r="N67" i="62"/>
  <c r="F67" i="62"/>
  <c r="AB67" i="62"/>
  <c r="T67" i="62"/>
  <c r="L67" i="62"/>
  <c r="D67" i="62"/>
  <c r="Z67" i="62"/>
  <c r="R67" i="62"/>
  <c r="J67" i="62"/>
  <c r="L11" i="54"/>
  <c r="Z12" i="62"/>
  <c r="Y12" i="62"/>
  <c r="Q12" i="62"/>
  <c r="I12" i="62"/>
  <c r="W12" i="62"/>
  <c r="G12" i="62"/>
  <c r="AB12" i="62"/>
  <c r="X12" i="62"/>
  <c r="P12" i="62"/>
  <c r="H12" i="62"/>
  <c r="O12" i="62"/>
  <c r="M12" i="62"/>
  <c r="T12" i="62"/>
  <c r="V12" i="62"/>
  <c r="N12" i="62"/>
  <c r="F12" i="62"/>
  <c r="U12" i="62"/>
  <c r="D12" i="62"/>
  <c r="AA12" i="62"/>
  <c r="S12" i="62"/>
  <c r="K12" i="62"/>
  <c r="C12" i="62"/>
  <c r="R12" i="62"/>
  <c r="R14" i="62" s="1"/>
  <c r="J12" i="62"/>
  <c r="E12" i="62"/>
  <c r="L12" i="62"/>
  <c r="T69" i="51"/>
  <c r="S69" i="51"/>
  <c r="Q69" i="51"/>
  <c r="I69" i="51"/>
  <c r="X69" i="51"/>
  <c r="P69" i="51"/>
  <c r="H69" i="51"/>
  <c r="U69" i="51"/>
  <c r="L69" i="51"/>
  <c r="J69" i="51"/>
  <c r="W69" i="51"/>
  <c r="O69" i="51"/>
  <c r="G69" i="51"/>
  <c r="V69" i="51"/>
  <c r="N69" i="51"/>
  <c r="F69" i="51"/>
  <c r="M69" i="51"/>
  <c r="E69" i="51"/>
  <c r="K69" i="51"/>
  <c r="R69" i="51"/>
  <c r="D69" i="51"/>
  <c r="C69" i="51"/>
  <c r="F73" i="62"/>
  <c r="Z72" i="62"/>
  <c r="X73" i="62"/>
  <c r="R72" i="62"/>
  <c r="P73" i="62"/>
  <c r="J72" i="62"/>
  <c r="D72" i="62"/>
  <c r="V72" i="62"/>
  <c r="AB72" i="62"/>
  <c r="R73" i="62"/>
  <c r="Y73" i="62"/>
  <c r="G72" i="62"/>
  <c r="E73" i="62"/>
  <c r="Y72" i="62"/>
  <c r="W73" i="62"/>
  <c r="Q72" i="62"/>
  <c r="O73" i="62"/>
  <c r="I72" i="62"/>
  <c r="M73" i="62"/>
  <c r="T73" i="62"/>
  <c r="H72" i="62"/>
  <c r="T72" i="62"/>
  <c r="AA72" i="62"/>
  <c r="I73" i="62"/>
  <c r="F72" i="62"/>
  <c r="D73" i="62"/>
  <c r="X72" i="62"/>
  <c r="V73" i="62"/>
  <c r="P72" i="62"/>
  <c r="N73" i="62"/>
  <c r="G73" i="62"/>
  <c r="AB73" i="62"/>
  <c r="L73" i="62"/>
  <c r="Z73" i="62"/>
  <c r="H73" i="62"/>
  <c r="S72" i="62"/>
  <c r="E72" i="62"/>
  <c r="C73" i="62"/>
  <c r="W72" i="62"/>
  <c r="U73" i="62"/>
  <c r="O72" i="62"/>
  <c r="N72" i="62"/>
  <c r="J73" i="62"/>
  <c r="K72" i="62"/>
  <c r="C72" i="62"/>
  <c r="AA73" i="62"/>
  <c r="U72" i="62"/>
  <c r="S73" i="62"/>
  <c r="M72" i="62"/>
  <c r="K73" i="62"/>
  <c r="L72" i="62"/>
  <c r="Q73" i="62"/>
  <c r="R14" i="21"/>
  <c r="R17" i="28"/>
  <c r="B28" i="30"/>
  <c r="C20" i="30"/>
  <c r="C12" i="30"/>
  <c r="C36" i="30"/>
  <c r="B44" i="30"/>
  <c r="R14" i="22"/>
  <c r="R18" i="22"/>
  <c r="R12" i="22"/>
  <c r="O18" i="17"/>
  <c r="U12" i="36"/>
  <c r="R12" i="21"/>
  <c r="S13" i="28"/>
  <c r="V13" i="36"/>
  <c r="R15" i="40"/>
  <c r="Z48" i="62"/>
  <c r="P48" i="62"/>
  <c r="R48" i="62"/>
  <c r="T48" i="62"/>
  <c r="V48" i="62"/>
  <c r="N48" i="62"/>
  <c r="X48" i="62"/>
  <c r="F48" i="62"/>
  <c r="D48" i="62"/>
  <c r="H48" i="62"/>
  <c r="L48" i="62"/>
  <c r="AB48" i="62"/>
  <c r="J48" i="62"/>
  <c r="S15" i="22"/>
  <c r="R16" i="28"/>
  <c r="P15" i="17"/>
  <c r="R16" i="40"/>
  <c r="R35"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B16" i="30"/>
  <c r="C37" i="30"/>
  <c r="C53" i="30"/>
  <c r="C16" i="30"/>
  <c r="C14" i="30"/>
  <c r="B14" i="30"/>
  <c r="B12" i="30"/>
  <c r="B57" i="18"/>
  <c r="B51" i="18"/>
  <c r="C34" i="30"/>
  <c r="C20" i="18"/>
  <c r="B48" i="30"/>
  <c r="C21" i="30"/>
  <c r="B47" i="18"/>
  <c r="B15" i="18"/>
  <c r="B34" i="18"/>
  <c r="B20" i="59"/>
  <c r="B11" i="59"/>
  <c r="C24" i="30"/>
  <c r="B9" i="18"/>
  <c r="C31" i="18"/>
  <c r="B24" i="30"/>
  <c r="C53" i="18"/>
  <c r="B63" i="18"/>
  <c r="B32" i="30"/>
  <c r="B64" i="18"/>
  <c r="B56" i="30"/>
  <c r="C13" i="18"/>
  <c r="T15" i="12"/>
  <c r="S18" i="12"/>
  <c r="T11" i="12"/>
  <c r="C58" i="18"/>
  <c r="R16" i="22"/>
  <c r="R13" i="32"/>
  <c r="C27" i="18"/>
  <c r="O14" i="17"/>
  <c r="P13" i="17"/>
  <c r="C21" i="18"/>
  <c r="R13" i="40"/>
  <c r="V12" i="36"/>
  <c r="Q11" i="54"/>
  <c r="C52" i="18"/>
  <c r="R12" i="28"/>
  <c r="U16" i="36"/>
  <c r="R9" i="21"/>
  <c r="P17" i="54"/>
  <c r="Z36" i="36"/>
  <c r="S11" i="28"/>
  <c r="N11" i="54"/>
  <c r="C48" i="30"/>
  <c r="B54" i="30"/>
  <c r="C25" i="18"/>
  <c r="B14" i="18"/>
  <c r="C19" i="30"/>
  <c r="P10" i="17"/>
  <c r="B18" i="18"/>
  <c r="C38" i="18"/>
  <c r="B18" i="30"/>
  <c r="U14" i="36"/>
  <c r="Y36" i="36"/>
  <c r="X36" i="36"/>
  <c r="K44" i="51"/>
  <c r="S44" i="51"/>
  <c r="F44" i="51"/>
  <c r="L44" i="51"/>
  <c r="V44" i="51"/>
  <c r="O44" i="51"/>
  <c r="X44" i="51"/>
  <c r="E44" i="51"/>
  <c r="N44" i="51"/>
  <c r="H44" i="51"/>
  <c r="M44" i="51"/>
  <c r="U44" i="51"/>
  <c r="G44" i="51"/>
  <c r="W44" i="51"/>
  <c r="I44" i="51"/>
  <c r="Q44" i="51"/>
  <c r="J44" i="51"/>
  <c r="R44" i="51"/>
  <c r="T44" i="51"/>
  <c r="P44" i="51"/>
  <c r="D72" i="51"/>
  <c r="C72" i="51"/>
  <c r="D73" i="51"/>
  <c r="C73" i="51"/>
  <c r="N72" i="51"/>
  <c r="V72" i="51"/>
  <c r="J73" i="51"/>
  <c r="R73" i="51"/>
  <c r="Q72" i="51"/>
  <c r="J72" i="51"/>
  <c r="N73" i="51"/>
  <c r="F72" i="51"/>
  <c r="G72" i="51"/>
  <c r="O72" i="51"/>
  <c r="W72" i="51"/>
  <c r="K73" i="51"/>
  <c r="S73" i="51"/>
  <c r="K72" i="51"/>
  <c r="S72" i="51"/>
  <c r="G73" i="51"/>
  <c r="O73" i="51"/>
  <c r="W73" i="51"/>
  <c r="E72" i="51"/>
  <c r="H72" i="51"/>
  <c r="P72" i="51"/>
  <c r="X72" i="51"/>
  <c r="L73" i="51"/>
  <c r="T73" i="51"/>
  <c r="R72" i="51"/>
  <c r="V73" i="51"/>
  <c r="L72" i="51"/>
  <c r="T72" i="51"/>
  <c r="H73" i="51"/>
  <c r="P73" i="51"/>
  <c r="X73" i="51"/>
  <c r="F73" i="51"/>
  <c r="M72" i="51"/>
  <c r="U72" i="51"/>
  <c r="I73" i="51"/>
  <c r="Q73" i="51"/>
  <c r="E73" i="51"/>
  <c r="I72" i="51"/>
  <c r="M73" i="51"/>
  <c r="U73" i="51"/>
  <c r="S17" i="12"/>
  <c r="S13" i="12"/>
  <c r="R8" i="16"/>
  <c r="C44" i="18"/>
  <c r="C26" i="30"/>
  <c r="V14" i="36"/>
  <c r="W36" i="36"/>
  <c r="R14" i="28"/>
  <c r="S14" i="28"/>
  <c r="U11" i="36"/>
  <c r="V11" i="36"/>
  <c r="R12" i="40"/>
  <c r="R9" i="16"/>
  <c r="O17" i="17"/>
  <c r="C23" i="18"/>
  <c r="C30" i="18"/>
  <c r="R9" i="32"/>
  <c r="P16" i="54"/>
  <c r="N16" i="54"/>
  <c r="O16" i="54"/>
  <c r="Q16" i="54"/>
  <c r="U15" i="36"/>
  <c r="D12" i="51"/>
  <c r="C12" i="51"/>
  <c r="N12" i="51"/>
  <c r="Q12" i="51"/>
  <c r="I12" i="51"/>
  <c r="R12" i="51"/>
  <c r="G12" i="51"/>
  <c r="O12" i="51"/>
  <c r="H12" i="51"/>
  <c r="J12" i="51"/>
  <c r="K12" i="51"/>
  <c r="S12" i="51"/>
  <c r="F12" i="51"/>
  <c r="L12" i="51"/>
  <c r="T12" i="51"/>
  <c r="E12" i="51"/>
  <c r="M12" i="51"/>
  <c r="P12" i="51"/>
  <c r="B62" i="5"/>
  <c r="B53" i="16"/>
  <c r="B54" i="16"/>
  <c r="B47" i="16"/>
  <c r="B46" i="16"/>
  <c r="B44" i="16"/>
  <c r="B52" i="16"/>
  <c r="B55" i="16"/>
  <c r="B40" i="16"/>
  <c r="B48" i="16"/>
  <c r="B39" i="16"/>
  <c r="B41" i="16"/>
  <c r="B49" i="16"/>
  <c r="B42" i="16"/>
  <c r="B50" i="16"/>
  <c r="B43" i="16"/>
  <c r="B51" i="16"/>
  <c r="B45" i="16"/>
  <c r="S16" i="12"/>
  <c r="T10" i="12"/>
  <c r="C62" i="18"/>
  <c r="C43" i="18"/>
  <c r="C42" i="18"/>
  <c r="B31" i="30"/>
  <c r="B46" i="18"/>
  <c r="V15" i="36"/>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B50" i="30"/>
  <c r="B60" i="59"/>
  <c r="U36" i="36"/>
  <c r="B52" i="59"/>
  <c r="D48" i="51"/>
  <c r="C48" i="51"/>
  <c r="F48" i="51"/>
  <c r="E48" i="51"/>
  <c r="L17" i="54"/>
  <c r="B44" i="59"/>
  <c r="B50" i="59"/>
  <c r="B41" i="30"/>
  <c r="B12" i="18"/>
  <c r="B19" i="30"/>
  <c r="C28" i="30"/>
  <c r="B52" i="30"/>
  <c r="B33" i="18"/>
  <c r="B34" i="30"/>
  <c r="B58" i="59"/>
  <c r="B28" i="59"/>
  <c r="B10" i="59"/>
  <c r="C54" i="18"/>
  <c r="B39" i="18"/>
  <c r="B45" i="18"/>
  <c r="B40" i="30"/>
  <c r="B20" i="30"/>
  <c r="B10" i="18"/>
  <c r="C22" i="18"/>
  <c r="B27" i="59"/>
  <c r="B26" i="59"/>
  <c r="B9" i="59"/>
  <c r="C19" i="18"/>
  <c r="C44" i="30"/>
  <c r="C40" i="30"/>
  <c r="C41" i="30"/>
  <c r="B41" i="18"/>
  <c r="B43" i="59"/>
  <c r="B47" i="30"/>
  <c r="B66" i="59"/>
  <c r="B13" i="59"/>
  <c r="C35" i="30"/>
  <c r="C35" i="18"/>
  <c r="C26" i="18"/>
  <c r="B15" i="30"/>
  <c r="B61" i="59"/>
  <c r="M27" i="54"/>
  <c r="M11" i="54"/>
  <c r="N17" i="54"/>
  <c r="O17" i="54"/>
  <c r="M16" i="54"/>
  <c r="M17" i="54"/>
  <c r="B17" i="30"/>
  <c r="C17" i="30"/>
  <c r="B23" i="30"/>
  <c r="C23" i="30"/>
  <c r="R11" i="32"/>
  <c r="B36" i="18"/>
  <c r="C36" i="18"/>
  <c r="U17" i="36"/>
  <c r="V17" i="36"/>
  <c r="T14" i="12"/>
  <c r="C37" i="18"/>
  <c r="S13" i="22"/>
  <c r="B43" i="30"/>
  <c r="C10" i="30"/>
  <c r="U18" i="36"/>
  <c r="V18" i="36"/>
  <c r="R14" i="16"/>
  <c r="C11" i="30"/>
  <c r="B11" i="30"/>
  <c r="S15" i="28"/>
  <c r="R15" i="28"/>
  <c r="B56" i="18"/>
  <c r="C50" i="18"/>
  <c r="C16" i="18"/>
  <c r="B32" i="18"/>
  <c r="C32" i="18"/>
  <c r="B49" i="30"/>
  <c r="U19" i="36"/>
  <c r="V19" i="36"/>
  <c r="C11" i="18"/>
  <c r="B11" i="18"/>
  <c r="B61" i="18"/>
  <c r="B22" i="30"/>
  <c r="C8" i="18"/>
  <c r="B60" i="18"/>
  <c r="C60" i="18"/>
  <c r="B27" i="30"/>
  <c r="B33" i="30"/>
  <c r="C38" i="30"/>
  <c r="B38" i="30"/>
  <c r="C55" i="30"/>
  <c r="B55" i="30"/>
  <c r="R10" i="16"/>
  <c r="B17" i="18"/>
  <c r="C17" i="18"/>
  <c r="C55" i="18"/>
  <c r="C39" i="30"/>
  <c r="C13" i="30"/>
  <c r="B13" i="30"/>
  <c r="B45" i="30"/>
  <c r="R8" i="21"/>
  <c r="T12" i="12"/>
  <c r="B29" i="18"/>
  <c r="C50" i="30"/>
  <c r="C29" i="30"/>
  <c r="P16" i="17"/>
  <c r="B35" i="30"/>
  <c r="C51" i="30"/>
  <c r="B51" i="30"/>
  <c r="U13" i="36"/>
  <c r="C28" i="18"/>
  <c r="C48" i="18"/>
  <c r="B48" i="18"/>
  <c r="B25" i="30"/>
  <c r="B30" i="30"/>
  <c r="C30" i="30"/>
  <c r="B46" i="30"/>
  <c r="P11" i="17"/>
  <c r="C59" i="18"/>
  <c r="C24" i="18"/>
  <c r="C40" i="18"/>
  <c r="C18" i="30"/>
  <c r="B49" i="18"/>
  <c r="C49" i="18"/>
  <c r="B26" i="30"/>
  <c r="R17" i="21"/>
  <c r="C42" i="30"/>
  <c r="R13" i="21"/>
  <c r="T29" i="12"/>
  <c r="R12" i="32"/>
  <c r="R16" i="21"/>
  <c r="R15" i="21"/>
  <c r="B72" i="32"/>
  <c r="R14" i="32" s="1"/>
  <c r="R17" i="40"/>
  <c r="R10" i="21"/>
  <c r="N19" i="54"/>
  <c r="M19" i="54"/>
  <c r="P19" i="54"/>
  <c r="O19" i="54"/>
  <c r="L19" i="54"/>
  <c r="S28" i="12"/>
  <c r="T28" i="12"/>
  <c r="B132" i="21"/>
  <c r="O35" i="17"/>
  <c r="V36" i="36"/>
  <c r="R35" i="22"/>
  <c r="S35" i="22"/>
  <c r="O36" i="17"/>
  <c r="S36" i="22"/>
  <c r="R36" i="22"/>
  <c r="B45" i="59"/>
  <c r="B53" i="59"/>
  <c r="B37" i="59"/>
  <c r="B29" i="59"/>
  <c r="B21" i="59"/>
  <c r="P18" i="54"/>
  <c r="N18" i="54"/>
  <c r="M18" i="54"/>
  <c r="O18" i="54"/>
  <c r="L26" i="54"/>
  <c r="P36" i="17"/>
  <c r="B63" i="59"/>
  <c r="B55" i="59"/>
  <c r="B47" i="59"/>
  <c r="B39" i="59"/>
  <c r="B31" i="59"/>
  <c r="B23" i="59"/>
  <c r="B15" i="59"/>
  <c r="M28" i="54"/>
  <c r="N27" i="54"/>
  <c r="P35" i="17"/>
  <c r="B67" i="59"/>
  <c r="B51" i="59"/>
  <c r="B35" i="59"/>
  <c r="B19" i="59"/>
  <c r="B65" i="59"/>
  <c r="B57" i="59"/>
  <c r="B41" i="59"/>
  <c r="B33" i="59"/>
  <c r="B25" i="59"/>
  <c r="S35" i="28"/>
  <c r="S29" i="12"/>
  <c r="M26" i="54"/>
  <c r="L27" i="54"/>
  <c r="Q27" i="54"/>
  <c r="P26" i="54"/>
  <c r="P27" i="54"/>
  <c r="O27" i="54"/>
  <c r="Q26" i="54"/>
  <c r="O26" i="54"/>
  <c r="N26" i="54"/>
  <c r="R43" i="61"/>
  <c r="R41" i="61"/>
  <c r="AQ72" i="51" l="1"/>
  <c r="AR72" i="51"/>
  <c r="AR73" i="51"/>
  <c r="AQ73" i="51"/>
  <c r="C68" i="49"/>
  <c r="AR69" i="62"/>
  <c r="AQ69" i="62"/>
  <c r="AR48" i="62"/>
  <c r="AQ48" i="62"/>
  <c r="AR44" i="62"/>
  <c r="AQ44" i="62"/>
  <c r="AP20" i="62"/>
  <c r="AR18" i="62"/>
  <c r="AQ18" i="62"/>
  <c r="AR17" i="62"/>
  <c r="AQ17" i="62"/>
  <c r="AR19" i="62"/>
  <c r="AQ19" i="62"/>
  <c r="H14" i="62"/>
  <c r="AP14" i="62"/>
  <c r="AR13" i="62"/>
  <c r="AQ13" i="62"/>
  <c r="AR12" i="62"/>
  <c r="AQ12" i="62"/>
  <c r="AR67" i="62"/>
  <c r="AR73" i="62"/>
  <c r="AQ73" i="62"/>
  <c r="AR72" i="62"/>
  <c r="AQ72" i="62"/>
  <c r="AP77" i="62"/>
  <c r="AN77" i="62"/>
  <c r="AQ62" i="51"/>
  <c r="AQ64" i="51"/>
  <c r="AR61" i="51"/>
  <c r="AQ63" i="51"/>
  <c r="AQ60" i="51"/>
  <c r="AR64" i="51"/>
  <c r="AQ65" i="51"/>
  <c r="AQ61" i="51"/>
  <c r="AR62" i="51"/>
  <c r="AR63" i="51"/>
  <c r="AN14" i="51"/>
  <c r="AN20" i="51"/>
  <c r="V14" i="51"/>
  <c r="AN20" i="62"/>
  <c r="AL14" i="51"/>
  <c r="L14" i="62"/>
  <c r="AN14" i="62"/>
  <c r="H14" i="51"/>
  <c r="J14" i="51"/>
  <c r="L14" i="51"/>
  <c r="Q11" i="27"/>
  <c r="AR67" i="51"/>
  <c r="P14" i="62"/>
  <c r="Z14" i="62"/>
  <c r="AL20" i="51"/>
  <c r="I13" i="49"/>
  <c r="C12" i="49"/>
  <c r="E12" i="49"/>
  <c r="C13" i="49"/>
  <c r="G12" i="49"/>
  <c r="E13" i="49"/>
  <c r="G13" i="49"/>
  <c r="AL20" i="62"/>
  <c r="D66" i="51"/>
  <c r="N14" i="51"/>
  <c r="T14" i="51"/>
  <c r="X14" i="51"/>
  <c r="R14" i="51"/>
  <c r="AB14" i="62"/>
  <c r="V14" i="62"/>
  <c r="N14" i="62"/>
  <c r="C19" i="49"/>
  <c r="AL14" i="62"/>
  <c r="I12" i="49"/>
  <c r="Q17" i="27"/>
  <c r="F14" i="62"/>
  <c r="X14" i="62"/>
  <c r="AD14" i="62"/>
  <c r="AB14" i="51"/>
  <c r="D14" i="62"/>
  <c r="AJ20" i="51"/>
  <c r="AJ14" i="51"/>
  <c r="F14" i="51"/>
  <c r="J14" i="62"/>
  <c r="AF14" i="62"/>
  <c r="P14" i="51"/>
  <c r="T14" i="62"/>
  <c r="AD14" i="51"/>
  <c r="AF14" i="51"/>
  <c r="AH20" i="51"/>
  <c r="AJ20" i="62"/>
  <c r="AH20" i="62"/>
  <c r="AH14" i="62"/>
  <c r="AH14" i="51"/>
  <c r="AD66" i="62"/>
  <c r="AB66" i="62"/>
  <c r="AF66" i="62"/>
  <c r="Z66" i="62"/>
  <c r="AB66" i="51"/>
  <c r="AD66" i="51"/>
  <c r="I72" i="49"/>
  <c r="Q21" i="49" s="1"/>
  <c r="C43" i="49"/>
  <c r="C55" i="40"/>
  <c r="R11" i="40" s="1"/>
  <c r="C54" i="40"/>
  <c r="I71" i="49"/>
  <c r="E18" i="49"/>
  <c r="I19" i="49"/>
  <c r="E19" i="49"/>
  <c r="C18" i="49"/>
  <c r="G43" i="49"/>
  <c r="E17" i="49"/>
  <c r="O23" i="49" s="1"/>
  <c r="G17" i="49"/>
  <c r="G47" i="49"/>
  <c r="C17" i="49"/>
  <c r="G68" i="49"/>
  <c r="G18" i="49"/>
  <c r="C60" i="5"/>
  <c r="C62" i="5"/>
  <c r="C59" i="5"/>
  <c r="U16" i="5"/>
  <c r="C65" i="5"/>
  <c r="U15" i="5" s="1"/>
  <c r="Q17" i="40"/>
  <c r="R14" i="40"/>
  <c r="U17" i="5"/>
  <c r="I66" i="49"/>
  <c r="I47" i="49"/>
  <c r="Q14" i="49" s="1"/>
  <c r="I43" i="49"/>
  <c r="Q17" i="49" s="1"/>
  <c r="I17" i="49"/>
  <c r="Q23" i="49" s="1"/>
  <c r="G19" i="49"/>
  <c r="E66" i="49"/>
  <c r="E43" i="49"/>
  <c r="O17" i="49" s="1"/>
  <c r="C47" i="49"/>
  <c r="E47" i="49"/>
  <c r="O14" i="49" s="1"/>
  <c r="Q9" i="40"/>
  <c r="AF20" i="51"/>
  <c r="Q17" i="16"/>
  <c r="Q15" i="40"/>
  <c r="Q12" i="40"/>
  <c r="Q13" i="40"/>
  <c r="Q8" i="40"/>
  <c r="Q11" i="40"/>
  <c r="Q11" i="32"/>
  <c r="Q14" i="32"/>
  <c r="Q12" i="32"/>
  <c r="Q9" i="32"/>
  <c r="Q15" i="32"/>
  <c r="Q8" i="27"/>
  <c r="AF20" i="62"/>
  <c r="AD20" i="51"/>
  <c r="AD20" i="62"/>
  <c r="D14" i="51"/>
  <c r="S44" i="61"/>
  <c r="AP101" i="62" l="1"/>
  <c r="AP99" i="62" s="1"/>
  <c r="R8" i="40"/>
  <c r="AR66" i="62"/>
  <c r="AR14" i="62"/>
  <c r="U8" i="5"/>
  <c r="U13" i="5"/>
  <c r="U11" i="5"/>
  <c r="E14" i="49"/>
  <c r="Q18" i="49"/>
  <c r="AR66" i="51"/>
  <c r="U14" i="5"/>
  <c r="I14" i="49"/>
  <c r="R10" i="40"/>
  <c r="R9" i="40"/>
  <c r="U10" i="5"/>
  <c r="U9" i="5"/>
  <c r="U12" i="5"/>
  <c r="E65" i="49"/>
  <c r="I65" i="49"/>
  <c r="E20" i="49"/>
  <c r="I20" i="49"/>
  <c r="Q14" i="40"/>
  <c r="Q16" i="40"/>
  <c r="Q10" i="40"/>
  <c r="Q13" i="32"/>
  <c r="Q13" i="21"/>
  <c r="Q9" i="27"/>
  <c r="Q8" i="21"/>
  <c r="Q12" i="21"/>
  <c r="Q10" i="21"/>
  <c r="Q15" i="21"/>
  <c r="Q9" i="21"/>
  <c r="Q11" i="21"/>
  <c r="Q14" i="21"/>
  <c r="Q16" i="32"/>
  <c r="Q10" i="32"/>
  <c r="T15" i="5"/>
  <c r="T17" i="5"/>
  <c r="T9" i="5"/>
  <c r="T11" i="5"/>
  <c r="Q13" i="16"/>
  <c r="Q13" i="27"/>
  <c r="Q12" i="27"/>
  <c r="T14" i="5"/>
  <c r="T13" i="5"/>
  <c r="T10" i="5"/>
  <c r="T12" i="5"/>
  <c r="T16" i="5"/>
  <c r="T8" i="5"/>
  <c r="Q10" i="27"/>
  <c r="Q15" i="27"/>
  <c r="Q14" i="27"/>
  <c r="Q16" i="27"/>
  <c r="Q16" i="16"/>
  <c r="Q17" i="21"/>
  <c r="Q10" i="16"/>
  <c r="Q18" i="32"/>
  <c r="Q17" i="32"/>
  <c r="AB20" i="51"/>
  <c r="Q8" i="16"/>
  <c r="Q12" i="16"/>
  <c r="Q14" i="16"/>
  <c r="Q15" i="16"/>
  <c r="Q11" i="16"/>
  <c r="Q9" i="16"/>
  <c r="Q16" i="21"/>
  <c r="P20" i="62"/>
  <c r="X20" i="62"/>
  <c r="J20" i="62"/>
  <c r="V20" i="62"/>
  <c r="L20" i="62"/>
  <c r="Z20" i="62"/>
  <c r="F20" i="62"/>
  <c r="T20" i="62"/>
  <c r="D20" i="62"/>
  <c r="H20" i="62"/>
  <c r="R20" i="62"/>
  <c r="AB20" i="62"/>
  <c r="N20" i="62"/>
  <c r="H20" i="51"/>
  <c r="V20" i="51"/>
  <c r="J20" i="51"/>
  <c r="R36" i="28"/>
  <c r="R20" i="51"/>
  <c r="X20" i="51"/>
  <c r="N20" i="51"/>
  <c r="D20" i="51"/>
  <c r="L20" i="51"/>
  <c r="F20" i="51"/>
  <c r="T20" i="51"/>
  <c r="P20" i="51"/>
  <c r="S36" i="28"/>
  <c r="P28" i="54"/>
  <c r="L28" i="54"/>
  <c r="O28" i="54"/>
  <c r="N28" i="54"/>
  <c r="P29" i="54"/>
  <c r="Q28" i="54"/>
  <c r="P37" i="17"/>
  <c r="O37" i="17"/>
  <c r="R37" i="22"/>
  <c r="S37" i="22"/>
  <c r="X37" i="36"/>
  <c r="W37" i="36"/>
  <c r="Y37" i="36"/>
  <c r="V37" i="36"/>
  <c r="Z37" i="36"/>
  <c r="U37" i="36"/>
  <c r="S30" i="12"/>
  <c r="T30" i="12"/>
  <c r="S45" i="61"/>
  <c r="R44" i="61"/>
  <c r="R45" i="61"/>
  <c r="AR20" i="62" l="1"/>
  <c r="I57" i="32"/>
  <c r="K57" i="32" s="1"/>
  <c r="R37" i="28"/>
  <c r="S37" i="28"/>
  <c r="L29" i="54"/>
  <c r="N29" i="54"/>
  <c r="P30" i="54"/>
  <c r="M29" i="54"/>
  <c r="Q29" i="54"/>
  <c r="O29" i="54"/>
  <c r="P38" i="17"/>
  <c r="O38" i="17"/>
  <c r="U38" i="36"/>
  <c r="X38" i="36"/>
  <c r="W38" i="36"/>
  <c r="Z38" i="36"/>
  <c r="Y38" i="36"/>
  <c r="V38" i="36"/>
  <c r="R38" i="22"/>
  <c r="S38" i="22"/>
  <c r="S31" i="12"/>
  <c r="T31" i="12"/>
  <c r="R38" i="28"/>
  <c r="S38" i="28"/>
  <c r="R46" i="61"/>
  <c r="N30" i="54" l="1"/>
  <c r="O30" i="54"/>
  <c r="M30" i="54"/>
  <c r="Q31" i="54"/>
  <c r="L30" i="54"/>
  <c r="Q30" i="54"/>
  <c r="R39" i="22"/>
  <c r="S39" i="22"/>
  <c r="V39" i="36"/>
  <c r="W39" i="36"/>
  <c r="X39" i="36"/>
  <c r="Y39" i="36"/>
  <c r="Z39" i="36"/>
  <c r="U39" i="36"/>
  <c r="P39" i="17"/>
  <c r="O39" i="17"/>
  <c r="T32" i="12"/>
  <c r="S32" i="12"/>
  <c r="S39" i="28"/>
  <c r="R39" i="28"/>
  <c r="S46" i="61"/>
  <c r="S47" i="61"/>
  <c r="R47" i="61"/>
  <c r="L31" i="54" l="1"/>
  <c r="M31" i="54"/>
  <c r="N31" i="54"/>
  <c r="L32" i="54"/>
  <c r="P31" i="54"/>
  <c r="O31" i="54"/>
  <c r="P40" i="17"/>
  <c r="O40" i="17"/>
  <c r="X40" i="36"/>
  <c r="W40" i="36"/>
  <c r="U40" i="36"/>
  <c r="V40" i="36"/>
  <c r="Z40" i="36"/>
  <c r="Y40" i="36"/>
  <c r="R40" i="22"/>
  <c r="S40" i="22"/>
  <c r="T33" i="12"/>
  <c r="S33" i="12"/>
  <c r="S40" i="28"/>
  <c r="R40" i="28"/>
  <c r="S48" i="61"/>
  <c r="R48" i="61"/>
  <c r="P32" i="54" l="1"/>
  <c r="O32" i="54"/>
  <c r="N32" i="54"/>
  <c r="P33" i="54"/>
  <c r="Q32" i="54"/>
  <c r="M32" i="54"/>
  <c r="P41" i="17"/>
  <c r="O41" i="17"/>
  <c r="U41" i="36"/>
  <c r="W41" i="36"/>
  <c r="V41" i="36"/>
  <c r="X41" i="36"/>
  <c r="Z41" i="36"/>
  <c r="Y41" i="36"/>
  <c r="S41" i="22"/>
  <c r="R41" i="22"/>
  <c r="S34" i="12"/>
  <c r="T34" i="12"/>
  <c r="S41" i="28"/>
  <c r="R41" i="28"/>
  <c r="R49" i="61"/>
  <c r="S49" i="61"/>
  <c r="O33" i="54" l="1"/>
  <c r="N33" i="54"/>
  <c r="M33" i="54"/>
  <c r="N34" i="54"/>
  <c r="L33" i="54"/>
  <c r="Q33" i="54"/>
  <c r="P42" i="17"/>
  <c r="O42" i="17"/>
  <c r="S42" i="22"/>
  <c r="R42" i="22"/>
  <c r="X42" i="36"/>
  <c r="W42" i="36"/>
  <c r="Y42" i="36"/>
  <c r="V42" i="36"/>
  <c r="U42" i="36"/>
  <c r="Z42" i="36"/>
  <c r="T35" i="12"/>
  <c r="S35" i="12"/>
  <c r="R42" i="28"/>
  <c r="S42" i="28"/>
  <c r="R50" i="61"/>
  <c r="S50" i="61"/>
  <c r="P34" i="54" l="1"/>
  <c r="M34" i="54"/>
  <c r="L34" i="54"/>
  <c r="Q34" i="54"/>
  <c r="M35" i="54"/>
  <c r="O34" i="54"/>
  <c r="U43" i="36"/>
  <c r="W43" i="36"/>
  <c r="V43" i="36"/>
  <c r="X43" i="36"/>
  <c r="Z43" i="36"/>
  <c r="Y43" i="36"/>
  <c r="P43" i="17"/>
  <c r="O43" i="17"/>
  <c r="S43" i="22"/>
  <c r="R43" i="22"/>
  <c r="T36" i="12"/>
  <c r="S36" i="12"/>
  <c r="S43" i="28"/>
  <c r="R43" i="28"/>
  <c r="R51" i="61"/>
  <c r="S51" i="61"/>
  <c r="L35" i="54" l="1"/>
  <c r="N35" i="54"/>
  <c r="L36" i="54"/>
  <c r="O35" i="54"/>
  <c r="Q35" i="54"/>
  <c r="P35" i="54"/>
  <c r="S44" i="22"/>
  <c r="R44" i="22"/>
  <c r="O44" i="17"/>
  <c r="P44" i="17"/>
  <c r="X44" i="36"/>
  <c r="V44" i="36"/>
  <c r="U44" i="36"/>
  <c r="Z44" i="36"/>
  <c r="Y44" i="36"/>
  <c r="W44" i="36"/>
  <c r="T37" i="12"/>
  <c r="S37" i="12"/>
  <c r="S44" i="28"/>
  <c r="R44" i="28"/>
  <c r="Q36" i="54" l="1"/>
  <c r="P36" i="54"/>
  <c r="O36" i="54"/>
  <c r="M36" i="54"/>
  <c r="N36" i="54"/>
  <c r="Q37" i="54"/>
  <c r="W45" i="36"/>
  <c r="X45" i="36"/>
  <c r="Y45" i="36"/>
  <c r="Z45" i="36"/>
  <c r="V45" i="36"/>
  <c r="U45" i="36"/>
  <c r="P45" i="17"/>
  <c r="O45" i="17"/>
  <c r="R45" i="22"/>
  <c r="S45" i="22"/>
  <c r="S38" i="12"/>
  <c r="T38" i="12"/>
  <c r="R45" i="28"/>
  <c r="S45" i="28"/>
  <c r="M37" i="54" l="1"/>
  <c r="O37" i="54"/>
  <c r="L37" i="54"/>
  <c r="P37" i="54"/>
  <c r="N37" i="54"/>
  <c r="O46" i="17"/>
  <c r="P46" i="17"/>
  <c r="S46" i="22"/>
  <c r="R46" i="22"/>
  <c r="V46" i="36"/>
  <c r="X46" i="36"/>
  <c r="W46" i="36"/>
  <c r="U46" i="36"/>
  <c r="Z46" i="36"/>
  <c r="Y46" i="36"/>
  <c r="T39" i="12"/>
  <c r="S39" i="12"/>
  <c r="M38" i="54"/>
  <c r="N38" i="54"/>
  <c r="P38" i="54"/>
  <c r="O38" i="54"/>
  <c r="Q38" i="54"/>
  <c r="L38" i="54"/>
  <c r="S46" i="28"/>
  <c r="R46" i="28"/>
  <c r="S47" i="22" l="1"/>
  <c r="R47" i="22"/>
  <c r="O47" i="17"/>
  <c r="P47" i="17"/>
  <c r="X47" i="36"/>
  <c r="W47" i="36"/>
  <c r="Z47" i="36"/>
  <c r="U47" i="36"/>
  <c r="V47" i="36"/>
  <c r="Y47" i="36"/>
  <c r="T40" i="12"/>
  <c r="S40" i="12"/>
  <c r="P39" i="54"/>
  <c r="M39" i="54"/>
  <c r="N39" i="54"/>
  <c r="O39" i="54"/>
  <c r="L39" i="54"/>
  <c r="Q39" i="54"/>
  <c r="S47" i="28"/>
  <c r="R47" i="28"/>
  <c r="U48" i="36" l="1"/>
  <c r="X48" i="36"/>
  <c r="W48" i="36"/>
  <c r="V48" i="36"/>
  <c r="Z48" i="36"/>
  <c r="Y48" i="36"/>
  <c r="O48" i="17"/>
  <c r="P48" i="17"/>
  <c r="R48" i="22"/>
  <c r="S48" i="22"/>
  <c r="T41" i="12"/>
  <c r="S41" i="12"/>
  <c r="Q40" i="54"/>
  <c r="L40" i="54"/>
  <c r="M40" i="54"/>
  <c r="N40" i="54"/>
  <c r="O40" i="54"/>
  <c r="P40" i="54"/>
  <c r="S48" i="28"/>
  <c r="R48" i="28"/>
  <c r="S49" i="22" l="1"/>
  <c r="R49" i="22"/>
  <c r="W49" i="36"/>
  <c r="V49" i="36"/>
  <c r="U49" i="36"/>
  <c r="Z49" i="36"/>
  <c r="Y49" i="36"/>
  <c r="X49" i="36"/>
  <c r="O49" i="17"/>
  <c r="P49" i="17"/>
  <c r="S42" i="12"/>
  <c r="T42" i="12"/>
  <c r="M41" i="54"/>
  <c r="N41" i="54"/>
  <c r="O41" i="54"/>
  <c r="Q41" i="54"/>
  <c r="P41" i="54"/>
  <c r="L41" i="54"/>
  <c r="S49" i="28"/>
  <c r="R49" i="28"/>
  <c r="O50" i="17" l="1"/>
  <c r="P50" i="17"/>
  <c r="U50" i="36"/>
  <c r="V50" i="36"/>
  <c r="Z50" i="36"/>
  <c r="X50" i="36"/>
  <c r="W50" i="36"/>
  <c r="Y50" i="36"/>
  <c r="R50" i="22"/>
  <c r="S50" i="22"/>
  <c r="T43" i="12"/>
  <c r="S43" i="12"/>
  <c r="L42" i="54"/>
  <c r="M42" i="54"/>
  <c r="O42" i="54"/>
  <c r="N42" i="54"/>
  <c r="P42" i="54"/>
  <c r="Q42" i="54"/>
  <c r="S50" i="28"/>
  <c r="R50" i="28"/>
  <c r="V51" i="36" l="1"/>
  <c r="U51" i="36"/>
  <c r="Z51" i="36"/>
  <c r="Y51" i="36"/>
  <c r="W51" i="36"/>
  <c r="X51" i="36"/>
  <c r="S51" i="22"/>
  <c r="R51" i="22"/>
  <c r="P51" i="17"/>
  <c r="O51" i="17"/>
  <c r="S44" i="12"/>
  <c r="T44" i="12"/>
  <c r="L43" i="54"/>
  <c r="N43" i="54"/>
  <c r="O43" i="54"/>
  <c r="M43" i="54"/>
  <c r="Q43" i="54"/>
  <c r="P43" i="54"/>
  <c r="R51" i="28"/>
  <c r="S51" i="28"/>
  <c r="P52" i="17" l="1"/>
  <c r="O52" i="17"/>
  <c r="Z52" i="36"/>
  <c r="U52" i="36"/>
  <c r="Y52" i="36"/>
  <c r="X52" i="36"/>
  <c r="W52" i="36"/>
  <c r="V52" i="36"/>
  <c r="T45" i="12"/>
  <c r="S45" i="12"/>
  <c r="P53" i="17" l="1"/>
  <c r="O53" i="17"/>
  <c r="Z53" i="36"/>
  <c r="V53" i="36"/>
  <c r="U53" i="36"/>
  <c r="X53" i="36"/>
  <c r="Y53" i="36"/>
  <c r="W53" i="36"/>
  <c r="T46" i="12"/>
  <c r="S46" i="12"/>
  <c r="U54" i="36" l="1"/>
  <c r="Y54" i="36"/>
  <c r="V54" i="36"/>
  <c r="Z54" i="36"/>
  <c r="X54" i="36"/>
  <c r="W54" i="36"/>
  <c r="U55" i="36" l="1"/>
  <c r="V55" i="36"/>
  <c r="Y55" i="36"/>
  <c r="X55" i="36"/>
  <c r="W55" i="36"/>
  <c r="Z55" i="36"/>
  <c r="P49" i="54" l="1"/>
  <c r="L49" i="54"/>
  <c r="O49" i="54"/>
  <c r="N49" i="54"/>
  <c r="M49" i="54"/>
  <c r="Q49" i="54"/>
  <c r="Q50" i="54" l="1"/>
  <c r="L50" i="54"/>
  <c r="N50" i="54"/>
  <c r="M50" i="54"/>
  <c r="O50" i="54"/>
  <c r="P50" i="54"/>
  <c r="S59" i="22" l="1"/>
  <c r="R59" i="22"/>
  <c r="O59" i="17"/>
  <c r="P59" i="17"/>
  <c r="S52" i="12"/>
  <c r="T52" i="12"/>
  <c r="Q51" i="54"/>
  <c r="L51" i="54"/>
  <c r="N51" i="54"/>
  <c r="O51" i="54"/>
  <c r="M51" i="54"/>
  <c r="P51" i="54"/>
  <c r="S59" i="28"/>
  <c r="R59" i="28"/>
  <c r="P60" i="17" l="1"/>
  <c r="O60" i="17"/>
  <c r="R60" i="22"/>
  <c r="S60" i="22"/>
  <c r="Y60" i="36"/>
  <c r="V60" i="36"/>
  <c r="U60" i="36"/>
  <c r="X60" i="36"/>
  <c r="W60" i="36"/>
  <c r="Z60" i="36"/>
  <c r="S53" i="12"/>
  <c r="T53" i="12"/>
  <c r="R60" i="28"/>
  <c r="S60" i="28"/>
  <c r="Y61" i="36" l="1"/>
  <c r="X61" i="36"/>
  <c r="U61" i="36"/>
  <c r="V61" i="36"/>
  <c r="W61" i="36"/>
  <c r="Z61" i="36"/>
  <c r="S12" i="56"/>
  <c r="W12" i="56" s="1"/>
  <c r="S18" i="56"/>
  <c r="V18" i="56" s="1"/>
  <c r="S15" i="56"/>
  <c r="Y15" i="56" s="1"/>
  <c r="S11" i="56"/>
  <c r="T11" i="56" s="1"/>
  <c r="S17" i="56"/>
  <c r="U17" i="56" s="1"/>
  <c r="S16" i="56"/>
  <c r="V16" i="56" s="1"/>
  <c r="S14" i="56"/>
  <c r="T14" i="56" s="1"/>
  <c r="S13" i="56"/>
  <c r="X13" i="56" s="1"/>
  <c r="S9" i="56"/>
  <c r="Y9" i="56" s="1"/>
  <c r="S10" i="56"/>
  <c r="U10" i="56" s="1"/>
  <c r="X14" i="56" l="1"/>
  <c r="Y10" i="56"/>
  <c r="W17" i="56"/>
  <c r="W13" i="56"/>
  <c r="Y17" i="56"/>
  <c r="Y18" i="56"/>
  <c r="T13" i="56"/>
  <c r="X17" i="56"/>
  <c r="Y13" i="56"/>
  <c r="V17" i="56"/>
  <c r="X12" i="56"/>
  <c r="T17" i="56"/>
  <c r="U18" i="56"/>
  <c r="Y11" i="56"/>
  <c r="W9" i="56"/>
  <c r="U11" i="56"/>
  <c r="W18" i="56"/>
  <c r="W15" i="56"/>
  <c r="T12" i="56"/>
  <c r="X10" i="56"/>
  <c r="Y12" i="56"/>
  <c r="V10" i="56"/>
  <c r="V14" i="56"/>
  <c r="V11" i="56"/>
  <c r="X18" i="56"/>
  <c r="U12" i="56"/>
  <c r="W10" i="56"/>
  <c r="T18" i="56"/>
  <c r="U9" i="56"/>
  <c r="Y16" i="56"/>
  <c r="W14" i="56"/>
  <c r="T15" i="56"/>
  <c r="T9" i="56"/>
  <c r="T10" i="56"/>
  <c r="V13" i="56"/>
  <c r="U16" i="56"/>
  <c r="W11" i="56"/>
  <c r="X15" i="56"/>
  <c r="V12" i="56"/>
  <c r="X9" i="56"/>
  <c r="X11" i="56"/>
  <c r="V9" i="56"/>
  <c r="T16" i="56"/>
  <c r="V15" i="56"/>
  <c r="U14" i="56"/>
  <c r="W16" i="56"/>
  <c r="U15" i="56"/>
  <c r="U13" i="56"/>
  <c r="Y14" i="56"/>
  <c r="X16" i="56"/>
  <c r="M87" i="52" l="1"/>
  <c r="Z38" i="52"/>
  <c r="AA38" i="52" s="1"/>
  <c r="Z11" i="52"/>
  <c r="AA11" i="52" s="1"/>
  <c r="Z19" i="52"/>
  <c r="AB19" i="52" s="1"/>
  <c r="Z14" i="52"/>
  <c r="AB14" i="52" s="1"/>
  <c r="Z35" i="52"/>
  <c r="AB35" i="52" s="1"/>
  <c r="Z61" i="52"/>
  <c r="AA61" i="52" s="1"/>
  <c r="Z12" i="52"/>
  <c r="AA12" i="52" s="1"/>
  <c r="Z67" i="52"/>
  <c r="AA67" i="52" s="1"/>
  <c r="Z37" i="52"/>
  <c r="AA37" i="52" s="1"/>
  <c r="Z59" i="52"/>
  <c r="AA59" i="52" s="1"/>
  <c r="Z36" i="52"/>
  <c r="AA36" i="52" s="1"/>
  <c r="Z17" i="52"/>
  <c r="AB17" i="52" s="1"/>
  <c r="Z60" i="52"/>
  <c r="AA60" i="52" s="1"/>
  <c r="Z18" i="52"/>
  <c r="AB18" i="52" s="1"/>
  <c r="Z63" i="52"/>
  <c r="AA63" i="52" s="1"/>
  <c r="Z43" i="52"/>
  <c r="AB43" i="52" s="1"/>
  <c r="Z42" i="52"/>
  <c r="AA42" i="52" s="1"/>
  <c r="Z62" i="52"/>
  <c r="AA62" i="52" s="1"/>
  <c r="Z66" i="52"/>
  <c r="AB66" i="52" s="1"/>
  <c r="Z40" i="52"/>
  <c r="AB40" i="52" s="1"/>
  <c r="Z13" i="52"/>
  <c r="AB13" i="52" s="1"/>
  <c r="Z15" i="52"/>
  <c r="AA15" i="52" s="1"/>
  <c r="Z16" i="52"/>
  <c r="AB16" i="52" s="1"/>
  <c r="Z64" i="52"/>
  <c r="AB64" i="52" s="1"/>
  <c r="Z41" i="52"/>
  <c r="AB41" i="52" s="1"/>
  <c r="Z65" i="52"/>
  <c r="AA65" i="52" s="1"/>
  <c r="Z39" i="52"/>
  <c r="AA39" i="52" s="1"/>
  <c r="AB67" i="52" l="1"/>
  <c r="AA18" i="52"/>
  <c r="AA41" i="52"/>
  <c r="AB15" i="52"/>
  <c r="AB62" i="52"/>
  <c r="AB42" i="52"/>
  <c r="AA43" i="52"/>
  <c r="AA19" i="52"/>
  <c r="AA17" i="52"/>
  <c r="AA66" i="52"/>
  <c r="AB37" i="52"/>
  <c r="AB12" i="52"/>
  <c r="AA40" i="52"/>
  <c r="AA35" i="52"/>
  <c r="AB39" i="52"/>
  <c r="AB65" i="52"/>
  <c r="AA64" i="52"/>
  <c r="AA16" i="52"/>
  <c r="AA13" i="52"/>
  <c r="AB63" i="52"/>
  <c r="AB60" i="52"/>
  <c r="AB36" i="52"/>
  <c r="AB61" i="52"/>
  <c r="AA14" i="52"/>
  <c r="AB38" i="52"/>
  <c r="AB59" i="52"/>
  <c r="AB11" i="52"/>
  <c r="L87" i="52"/>
  <c r="AN74" i="51" l="1"/>
  <c r="AK74" i="51"/>
  <c r="H37" i="89"/>
  <c r="H31" i="89"/>
  <c r="H38" i="89"/>
  <c r="AM76" i="51"/>
  <c r="H40" i="89"/>
  <c r="H19" i="89"/>
  <c r="H36" i="89"/>
  <c r="AL76" i="51"/>
  <c r="AM74" i="51"/>
  <c r="B39" i="83"/>
  <c r="H25" i="89"/>
  <c r="H26" i="89"/>
  <c r="AL75" i="51"/>
  <c r="AN75" i="51"/>
  <c r="H24" i="89"/>
  <c r="H29" i="89"/>
  <c r="H23" i="89"/>
  <c r="AL74" i="51"/>
  <c r="AM75" i="51"/>
  <c r="H22" i="89"/>
  <c r="H32" i="89"/>
  <c r="H28" i="89"/>
  <c r="H41" i="89"/>
  <c r="H27" i="89"/>
  <c r="H39" i="89"/>
  <c r="H18" i="89"/>
  <c r="B40" i="83"/>
  <c r="AK76" i="51"/>
  <c r="H20" i="89"/>
  <c r="H21" i="89"/>
  <c r="H30" i="89"/>
  <c r="AN76" i="51"/>
  <c r="AK75" i="51"/>
  <c r="H33" i="89"/>
  <c r="H34" i="89"/>
  <c r="H35" i="89"/>
  <c r="B17" i="83"/>
  <c r="B27" i="83"/>
  <c r="B38" i="83"/>
  <c r="Q17" i="83" s="1"/>
  <c r="AL74" i="62"/>
  <c r="B33" i="83"/>
  <c r="B24" i="83"/>
  <c r="B35" i="83"/>
  <c r="B20" i="83"/>
  <c r="AK74" i="62"/>
  <c r="B19" i="83"/>
  <c r="B32" i="83"/>
  <c r="Q11" i="83" s="1"/>
  <c r="B37" i="83"/>
  <c r="Q16" i="83" s="1"/>
  <c r="B21" i="83"/>
  <c r="AJ76" i="51"/>
  <c r="B34" i="83"/>
  <c r="B18" i="83"/>
  <c r="B29" i="83"/>
  <c r="AI76" i="51"/>
  <c r="B31" i="83"/>
  <c r="AK75" i="62"/>
  <c r="B36" i="83"/>
  <c r="B26" i="83"/>
  <c r="AL76" i="62"/>
  <c r="AJ75" i="51"/>
  <c r="AI74" i="51"/>
  <c r="B22" i="83"/>
  <c r="B28" i="83"/>
  <c r="AK76" i="62"/>
  <c r="G75" i="49" s="1"/>
  <c r="AI75" i="51"/>
  <c r="G74" i="49" s="1"/>
  <c r="AJ74" i="51"/>
  <c r="B23" i="83"/>
  <c r="B25" i="83"/>
  <c r="B30" i="83"/>
  <c r="AL75" i="62"/>
  <c r="AG74" i="51"/>
  <c r="AH75" i="51"/>
  <c r="AI74" i="62"/>
  <c r="C71" i="49" s="1"/>
  <c r="AJ75" i="62"/>
  <c r="AJ76" i="62"/>
  <c r="AG76" i="51"/>
  <c r="AI76" i="62"/>
  <c r="AH74" i="51"/>
  <c r="AH74" i="62"/>
  <c r="AH75" i="62"/>
  <c r="AG75" i="51"/>
  <c r="AJ74" i="62"/>
  <c r="E71" i="49" s="1"/>
  <c r="O18" i="49" s="1"/>
  <c r="AG74" i="62"/>
  <c r="AH76" i="51"/>
  <c r="AG76" i="62"/>
  <c r="AG75" i="62"/>
  <c r="AH76" i="62"/>
  <c r="AI75" i="62"/>
  <c r="AF76" i="51"/>
  <c r="AE74" i="51"/>
  <c r="AE75" i="51"/>
  <c r="AE76" i="51"/>
  <c r="AF74" i="51"/>
  <c r="AF75" i="51"/>
  <c r="AC76" i="51"/>
  <c r="AE75" i="62"/>
  <c r="AD75" i="51"/>
  <c r="AC74" i="51"/>
  <c r="AF74" i="62"/>
  <c r="AD76" i="51"/>
  <c r="AC75" i="51"/>
  <c r="AE76" i="62"/>
  <c r="AE74" i="62"/>
  <c r="AD74" i="51"/>
  <c r="AF76" i="62"/>
  <c r="AF75" i="62"/>
  <c r="AJ37" i="52"/>
  <c r="AI37" i="52"/>
  <c r="AK37" i="52"/>
  <c r="AH37" i="52"/>
  <c r="AF37" i="52"/>
  <c r="AG37" i="52"/>
  <c r="AM37" i="52"/>
  <c r="AE37" i="52"/>
  <c r="AL37" i="52"/>
  <c r="A87" i="52"/>
  <c r="AD76" i="62"/>
  <c r="Y74" i="51"/>
  <c r="AC76" i="62"/>
  <c r="AB76" i="51"/>
  <c r="AD74" i="62"/>
  <c r="AB75" i="51"/>
  <c r="AD75" i="62"/>
  <c r="AA74" i="51"/>
  <c r="Z74" i="51"/>
  <c r="AA75" i="51"/>
  <c r="AA76" i="51"/>
  <c r="Y76" i="51"/>
  <c r="AC74" i="62"/>
  <c r="Z76" i="51"/>
  <c r="AB74" i="51"/>
  <c r="AC75" i="62"/>
  <c r="Y75" i="51"/>
  <c r="Z75" i="51"/>
  <c r="X76" i="51"/>
  <c r="G75" i="51"/>
  <c r="J75" i="51"/>
  <c r="E75" i="62"/>
  <c r="Q74" i="51"/>
  <c r="D76" i="51"/>
  <c r="I74" i="62"/>
  <c r="S76" i="51"/>
  <c r="H75" i="62"/>
  <c r="V75" i="62"/>
  <c r="N75" i="62"/>
  <c r="T76" i="51"/>
  <c r="L75" i="62"/>
  <c r="Z75" i="62"/>
  <c r="G74" i="51"/>
  <c r="AA76" i="62"/>
  <c r="T75" i="62"/>
  <c r="O74" i="62"/>
  <c r="P76" i="51"/>
  <c r="I75" i="51"/>
  <c r="Q76" i="62"/>
  <c r="S74" i="51"/>
  <c r="O76" i="51"/>
  <c r="V76" i="51"/>
  <c r="K74" i="51"/>
  <c r="R75" i="62"/>
  <c r="S75" i="62"/>
  <c r="I74" i="51"/>
  <c r="S75" i="51"/>
  <c r="M75" i="62"/>
  <c r="Q75" i="51"/>
  <c r="H76" i="51"/>
  <c r="N75" i="51"/>
  <c r="K75" i="62"/>
  <c r="U75" i="51"/>
  <c r="J75" i="62"/>
  <c r="U76" i="51"/>
  <c r="Q76" i="51"/>
  <c r="K74" i="62"/>
  <c r="U75" i="62"/>
  <c r="P75" i="62"/>
  <c r="U74" i="62"/>
  <c r="O74" i="51"/>
  <c r="I76" i="62"/>
  <c r="Y74" i="62"/>
  <c r="O75" i="51"/>
  <c r="C76" i="51"/>
  <c r="W75" i="51"/>
  <c r="W74" i="51"/>
  <c r="W75" i="62"/>
  <c r="X75" i="62"/>
  <c r="W74" i="62"/>
  <c r="C74" i="51"/>
  <c r="N76" i="51"/>
  <c r="W76" i="51"/>
  <c r="Y76" i="62"/>
  <c r="T75" i="51"/>
  <c r="Q74" i="62"/>
  <c r="R76" i="51"/>
  <c r="G76" i="62"/>
  <c r="Q75" i="62"/>
  <c r="F76" i="62"/>
  <c r="K76" i="62"/>
  <c r="E74" i="62"/>
  <c r="U74" i="51"/>
  <c r="AA74" i="62"/>
  <c r="M74" i="51"/>
  <c r="S74" i="62"/>
  <c r="K75" i="51"/>
  <c r="AA75" i="62"/>
  <c r="M76" i="51"/>
  <c r="E76" i="62"/>
  <c r="R75" i="51"/>
  <c r="M76" i="62"/>
  <c r="O76" i="62"/>
  <c r="G74" i="62"/>
  <c r="G75" i="62"/>
  <c r="W76" i="62"/>
  <c r="P75" i="51"/>
  <c r="G76" i="51"/>
  <c r="D75" i="51"/>
  <c r="AB75" i="62"/>
  <c r="I76" i="51"/>
  <c r="L75" i="51"/>
  <c r="K76" i="51"/>
  <c r="U76" i="62"/>
  <c r="Y75" i="62"/>
  <c r="F75" i="62"/>
  <c r="C75" i="51"/>
  <c r="I75" i="62"/>
  <c r="L76" i="51"/>
  <c r="X75" i="51"/>
  <c r="H75" i="51"/>
  <c r="M74" i="62"/>
  <c r="V75" i="51"/>
  <c r="S76" i="62"/>
  <c r="O75" i="62"/>
  <c r="J76" i="51"/>
  <c r="M75" i="51"/>
  <c r="D76" i="62"/>
  <c r="H76" i="62"/>
  <c r="Z76" i="62"/>
  <c r="V74" i="51"/>
  <c r="C76" i="62"/>
  <c r="E76" i="51"/>
  <c r="L74" i="51"/>
  <c r="D74" i="51"/>
  <c r="C74" i="62"/>
  <c r="X74" i="51"/>
  <c r="X76" i="62"/>
  <c r="E75" i="51"/>
  <c r="R74" i="51"/>
  <c r="F76" i="51"/>
  <c r="J74" i="51"/>
  <c r="AB76" i="62"/>
  <c r="N74" i="51"/>
  <c r="F75" i="51"/>
  <c r="E74" i="51"/>
  <c r="C75" i="62"/>
  <c r="H74" i="51"/>
  <c r="V76" i="62"/>
  <c r="P74" i="51"/>
  <c r="T74" i="51"/>
  <c r="D75" i="62"/>
  <c r="F74" i="51"/>
  <c r="F74" i="62"/>
  <c r="V74" i="62"/>
  <c r="AB74" i="62"/>
  <c r="Z74" i="62"/>
  <c r="H74" i="62"/>
  <c r="X74" i="62"/>
  <c r="D74" i="62"/>
  <c r="T74" i="62"/>
  <c r="T76" i="62"/>
  <c r="R76" i="62"/>
  <c r="R74" i="62"/>
  <c r="P74" i="62"/>
  <c r="P76" i="62"/>
  <c r="N74" i="62"/>
  <c r="N76" i="62"/>
  <c r="L76" i="62"/>
  <c r="L74" i="62"/>
  <c r="J76" i="62"/>
  <c r="J74" i="62"/>
  <c r="AL77" i="51" l="1"/>
  <c r="AL101" i="51" s="1"/>
  <c r="AL99" i="51" s="1"/>
  <c r="Q10" i="83"/>
  <c r="Q13" i="83"/>
  <c r="AR75" i="62"/>
  <c r="AQ75" i="62"/>
  <c r="AR76" i="62"/>
  <c r="AQ76" i="62"/>
  <c r="AR74" i="62"/>
  <c r="AQ74" i="62"/>
  <c r="Q9" i="83"/>
  <c r="AN101" i="62"/>
  <c r="AN99" i="62" s="1"/>
  <c r="AN77" i="51"/>
  <c r="AJ77" i="51"/>
  <c r="AJ101" i="51" s="1"/>
  <c r="Q14" i="83"/>
  <c r="Q15" i="83"/>
  <c r="Q12" i="83"/>
  <c r="Q8" i="83"/>
  <c r="I74" i="49"/>
  <c r="G73" i="49"/>
  <c r="AL77" i="62"/>
  <c r="AL101" i="62" s="1"/>
  <c r="C74" i="49"/>
  <c r="E72" i="49"/>
  <c r="O21" i="49" s="1"/>
  <c r="C72" i="49"/>
  <c r="C75" i="49"/>
  <c r="AH77" i="51"/>
  <c r="AH99" i="51" s="1"/>
  <c r="AJ77" i="62"/>
  <c r="AH77" i="62"/>
  <c r="E75" i="49"/>
  <c r="O22" i="49" s="1"/>
  <c r="C73" i="49"/>
  <c r="E73" i="49"/>
  <c r="AF77" i="51"/>
  <c r="AF101" i="51" s="1"/>
  <c r="AF99" i="51" s="1"/>
  <c r="I73" i="49"/>
  <c r="I75" i="49"/>
  <c r="Q22" i="49" s="1"/>
  <c r="AF77" i="62"/>
  <c r="AF101" i="62" s="1"/>
  <c r="AF99" i="62" s="1"/>
  <c r="AD77" i="51"/>
  <c r="AD101" i="51" s="1"/>
  <c r="AD99" i="51" s="1"/>
  <c r="AD77" i="62"/>
  <c r="AD99" i="62" s="1"/>
  <c r="AJ38" i="52"/>
  <c r="AM38" i="52"/>
  <c r="AK38" i="52"/>
  <c r="AF38" i="52"/>
  <c r="AE38" i="52"/>
  <c r="AL38" i="52"/>
  <c r="AI38" i="52"/>
  <c r="AH38" i="52"/>
  <c r="AG38" i="52"/>
  <c r="AB77" i="51"/>
  <c r="AB101" i="51" s="1"/>
  <c r="AB99" i="51" s="1"/>
  <c r="P77" i="51"/>
  <c r="P101" i="51" s="1"/>
  <c r="P99" i="51" s="1"/>
  <c r="Z77" i="51"/>
  <c r="Z99" i="51" s="1"/>
  <c r="T77" i="51"/>
  <c r="T101" i="51" s="1"/>
  <c r="T99" i="51" s="1"/>
  <c r="J77" i="51"/>
  <c r="J101" i="51" s="1"/>
  <c r="J99" i="51" s="1"/>
  <c r="X77" i="51"/>
  <c r="X99" i="51" s="1"/>
  <c r="H77" i="51"/>
  <c r="H101" i="51" s="1"/>
  <c r="H99" i="51" s="1"/>
  <c r="R77" i="51"/>
  <c r="R101" i="51" s="1"/>
  <c r="R99" i="51" s="1"/>
  <c r="L77" i="62"/>
  <c r="L101" i="62" s="1"/>
  <c r="L99" i="62" s="1"/>
  <c r="V77" i="62"/>
  <c r="V101" i="62" s="1"/>
  <c r="V99" i="62" s="1"/>
  <c r="V77" i="51"/>
  <c r="V99" i="51" s="1"/>
  <c r="H77" i="62"/>
  <c r="H101" i="62" s="1"/>
  <c r="H99" i="62" s="1"/>
  <c r="R77" i="62"/>
  <c r="R101" i="62" s="1"/>
  <c r="R99" i="62" s="1"/>
  <c r="AB77" i="62"/>
  <c r="AB101" i="62" s="1"/>
  <c r="AB99" i="62" s="1"/>
  <c r="T77" i="62"/>
  <c r="T101" i="62" s="1"/>
  <c r="T99" i="62" s="1"/>
  <c r="N77" i="51"/>
  <c r="N101" i="51" s="1"/>
  <c r="N99" i="51" s="1"/>
  <c r="L77" i="51"/>
  <c r="L101" i="51" s="1"/>
  <c r="L99" i="51" s="1"/>
  <c r="P77" i="62"/>
  <c r="P101" i="62" s="1"/>
  <c r="P99" i="62" s="1"/>
  <c r="F77" i="51"/>
  <c r="F101" i="51" s="1"/>
  <c r="F99" i="51" s="1"/>
  <c r="J77" i="62"/>
  <c r="J101" i="62" s="1"/>
  <c r="J99" i="62" s="1"/>
  <c r="D77" i="51"/>
  <c r="N77" i="62"/>
  <c r="N101" i="62" s="1"/>
  <c r="N99" i="62" s="1"/>
  <c r="D77" i="62"/>
  <c r="Z77" i="62"/>
  <c r="Z99" i="62" s="1"/>
  <c r="F77" i="62"/>
  <c r="F101" i="62" s="1"/>
  <c r="X77" i="62"/>
  <c r="X101" i="62" s="1"/>
  <c r="X99" i="62" s="1"/>
  <c r="AR77" i="51" l="1"/>
  <c r="AN101" i="51"/>
  <c r="AN99" i="51" s="1"/>
  <c r="AR77" i="62"/>
  <c r="F99" i="62"/>
  <c r="AH99" i="62"/>
  <c r="D101" i="62"/>
  <c r="D101" i="51"/>
  <c r="E74" i="49"/>
  <c r="E76" i="49" s="1"/>
  <c r="O25" i="49" s="1"/>
  <c r="AJ99" i="62"/>
  <c r="Q15" i="49"/>
  <c r="O15" i="49"/>
  <c r="I76" i="49"/>
  <c r="Q25" i="49" s="1"/>
  <c r="AH39" i="52"/>
  <c r="AK39" i="52"/>
  <c r="AI39" i="52"/>
  <c r="AJ39" i="52"/>
  <c r="AE39" i="52"/>
  <c r="AL39" i="52"/>
  <c r="AG39" i="52"/>
  <c r="AM39" i="52"/>
  <c r="AF39" i="52"/>
  <c r="AR101" i="51" l="1"/>
  <c r="AR101" i="62"/>
  <c r="D99" i="62"/>
  <c r="D99" i="51"/>
  <c r="AF40" i="52"/>
  <c r="AG40" i="52"/>
  <c r="AJ40" i="52"/>
  <c r="AI40" i="52"/>
  <c r="AM40" i="52"/>
  <c r="AE40" i="52"/>
  <c r="AH40" i="52"/>
  <c r="AL40" i="52"/>
  <c r="AK40" i="52"/>
  <c r="AL41" i="52" l="1"/>
  <c r="AM41" i="52"/>
  <c r="AE41" i="52"/>
  <c r="AG41" i="52"/>
  <c r="AJ41" i="52"/>
  <c r="AK41" i="52"/>
  <c r="AI41" i="52"/>
  <c r="AH41" i="52"/>
  <c r="AF41" i="52"/>
  <c r="AJ42" i="52" l="1"/>
  <c r="AL42" i="52"/>
  <c r="AM42" i="52"/>
  <c r="AI42" i="52"/>
  <c r="AH42" i="52"/>
  <c r="AE42" i="52"/>
  <c r="AG42" i="52"/>
  <c r="AK42" i="52"/>
  <c r="AF42" i="52"/>
  <c r="AH43" i="52" l="1"/>
  <c r="AJ43" i="52"/>
  <c r="AK43" i="52"/>
  <c r="AG43" i="52"/>
  <c r="AI43" i="52"/>
  <c r="AF43" i="52"/>
  <c r="AM43" i="52"/>
  <c r="AE43" i="52"/>
  <c r="AL43" i="52"/>
  <c r="AF44" i="52" l="1"/>
  <c r="AG44" i="52"/>
  <c r="AM44" i="52"/>
  <c r="AE44" i="52"/>
  <c r="AL44" i="52"/>
  <c r="AI44" i="52"/>
  <c r="AK44" i="52"/>
  <c r="AJ44" i="52"/>
  <c r="AH44" i="52"/>
  <c r="AL45" i="52" l="1"/>
  <c r="AM45" i="52"/>
  <c r="AE45" i="52"/>
  <c r="AK45" i="52"/>
  <c r="AI45" i="52"/>
  <c r="AF45" i="52"/>
  <c r="AG45" i="52"/>
  <c r="AJ45" i="52"/>
  <c r="AH45" i="52"/>
  <c r="AJ46" i="52" l="1"/>
  <c r="AL46" i="52"/>
  <c r="AI46" i="52"/>
  <c r="AK46" i="52"/>
  <c r="AM46" i="52"/>
  <c r="AH46" i="52"/>
  <c r="AG46" i="52"/>
  <c r="AE46" i="52"/>
  <c r="AF46" i="52"/>
  <c r="AH47" i="52" l="1"/>
  <c r="AJ47" i="52"/>
  <c r="AK47" i="52"/>
  <c r="AG47" i="52"/>
  <c r="AI47" i="52"/>
  <c r="AF47" i="52"/>
  <c r="AM47" i="52"/>
  <c r="AE47" i="52"/>
  <c r="AL47" i="52"/>
  <c r="AF48" i="52" l="1"/>
  <c r="AG48" i="52"/>
  <c r="AM48" i="52"/>
  <c r="AE48" i="52"/>
  <c r="AL48" i="52"/>
  <c r="AK48" i="52"/>
  <c r="AJ48" i="52"/>
  <c r="AH48" i="52"/>
  <c r="AI48" i="52"/>
  <c r="AL49" i="52" l="1"/>
  <c r="AM49" i="52"/>
  <c r="AE49" i="52"/>
  <c r="AK49" i="52"/>
  <c r="AJ49" i="52"/>
  <c r="AI49" i="52"/>
  <c r="AH49" i="52"/>
  <c r="AF49" i="52"/>
  <c r="AG49" i="52"/>
  <c r="AJ50" i="52" l="1"/>
  <c r="AL50" i="52"/>
  <c r="AM50" i="52"/>
  <c r="AK50" i="52"/>
  <c r="AI50" i="52"/>
  <c r="AH50" i="52"/>
  <c r="AG50" i="52"/>
  <c r="AE50" i="52"/>
  <c r="AF50" i="52"/>
  <c r="AH51" i="52" l="1"/>
  <c r="AJ51" i="52"/>
  <c r="AG51" i="52"/>
  <c r="AI51" i="52"/>
  <c r="AF51" i="52"/>
  <c r="AK51" i="52"/>
  <c r="AM51" i="52"/>
  <c r="AE51" i="52"/>
  <c r="AL51" i="52"/>
  <c r="AF52" i="52" l="1"/>
  <c r="AG52" i="52"/>
  <c r="AM52" i="52"/>
  <c r="AE52" i="52"/>
  <c r="AL52" i="52"/>
  <c r="AI52" i="52"/>
  <c r="AJ52" i="52"/>
  <c r="AH52" i="52"/>
  <c r="AK52" i="52"/>
  <c r="AL53" i="52" l="1"/>
  <c r="AM53" i="52"/>
  <c r="AK53" i="52"/>
  <c r="AE53" i="52"/>
  <c r="AJ53" i="52"/>
  <c r="AG53" i="52"/>
  <c r="AI53" i="52"/>
  <c r="AH53" i="52"/>
  <c r="AF53" i="52"/>
  <c r="AJ54" i="52" l="1"/>
  <c r="AL54" i="52"/>
  <c r="AE54" i="52"/>
  <c r="AK54" i="52"/>
  <c r="AI54" i="52"/>
  <c r="AH54" i="52"/>
  <c r="AM54" i="52"/>
  <c r="AG54" i="52"/>
  <c r="AF54" i="52"/>
  <c r="AH55" i="52" l="1"/>
  <c r="AJ55" i="52"/>
  <c r="AI55" i="52"/>
  <c r="AG55" i="52"/>
  <c r="AF55" i="52"/>
  <c r="AK55" i="52"/>
  <c r="AM55" i="52"/>
  <c r="AL55" i="52"/>
  <c r="AF56" i="52" l="1"/>
  <c r="AG56" i="52"/>
  <c r="AM56" i="52"/>
  <c r="AE56" i="52"/>
  <c r="AL56" i="52"/>
  <c r="AI56" i="52"/>
  <c r="AK56" i="52"/>
  <c r="AH56" i="52"/>
  <c r="AJ56" i="52"/>
  <c r="AD61" i="52" l="1"/>
  <c r="AD62" i="52" l="1"/>
  <c r="AF61" i="52"/>
  <c r="AG61" i="52"/>
  <c r="AI61" i="52"/>
  <c r="AM61" i="52"/>
  <c r="AE61" i="52"/>
  <c r="AL61" i="52"/>
  <c r="AK61" i="52"/>
  <c r="AJ61" i="52"/>
  <c r="AH61" i="52"/>
  <c r="AL62" i="52" l="1"/>
  <c r="AG62" i="52"/>
  <c r="AK62" i="52"/>
  <c r="AJ62" i="52"/>
  <c r="AI62" i="52"/>
  <c r="AF62" i="52"/>
  <c r="AE62" i="52"/>
  <c r="AH62" i="52"/>
  <c r="AM62" i="52"/>
  <c r="I68" i="49" l="1"/>
  <c r="E68" i="49"/>
  <c r="E100" i="49"/>
  <c r="AL99" i="62"/>
  <c r="I100" i="49" l="1"/>
  <c r="I98" i="49" s="1"/>
  <c r="AR99" i="62"/>
  <c r="O19" i="49"/>
  <c r="O20" i="49"/>
  <c r="Q19" i="49"/>
  <c r="Q20" i="49"/>
  <c r="E98" i="49"/>
  <c r="O26" i="49"/>
  <c r="Q26" i="49" l="1"/>
  <c r="Q24" i="49" s="1"/>
  <c r="P21" i="49"/>
  <c r="P17" i="49"/>
  <c r="P16" i="49"/>
  <c r="P23" i="49"/>
  <c r="P20" i="49"/>
  <c r="P19" i="49"/>
  <c r="P18" i="49"/>
  <c r="P15" i="49"/>
  <c r="O24" i="49"/>
  <c r="P14" i="49"/>
  <c r="P22" i="49"/>
  <c r="P25" i="49"/>
  <c r="R23" i="49" l="1"/>
  <c r="R16" i="49"/>
  <c r="R17" i="49"/>
  <c r="R21" i="49"/>
  <c r="R25" i="49"/>
  <c r="R18" i="49"/>
  <c r="R19" i="49"/>
  <c r="R15" i="49"/>
  <c r="R14" i="49"/>
  <c r="R20" i="49"/>
  <c r="R22" i="49"/>
  <c r="R24" i="49"/>
  <c r="P24" i="49"/>
  <c r="AJ99" i="51"/>
  <c r="AR99" i="51" l="1"/>
  <c r="W2" i="78" l="1"/>
  <c r="Q59" i="61" l="1"/>
  <c r="R59" i="61" s="1"/>
  <c r="S59" i="61" l="1"/>
  <c r="Q60" i="61"/>
  <c r="S60" i="61" l="1"/>
  <c r="R60"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Jill GREGORY</author>
    <author>SAMSON, Elliot</author>
    <author>Dept of Minerals and Energy</author>
    <author>Gregory</author>
  </authors>
  <commentList>
    <comment ref="BF7" authorId="0" shapeId="0" xr:uid="{00000000-0006-0000-0600-000001000000}">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1" shapeId="0" xr:uid="{00000000-0006-0000-0600-000002000000}">
      <text>
        <r>
          <rPr>
            <b/>
            <sz val="9"/>
            <color indexed="81"/>
            <rFont val="Tahoma"/>
            <family val="2"/>
          </rPr>
          <t>Incomplete</t>
        </r>
      </text>
    </comment>
    <comment ref="B34" authorId="2" shapeId="0" xr:uid="{00000000-0006-0000-0600-000003000000}">
      <text>
        <r>
          <rPr>
            <b/>
            <sz val="8"/>
            <color indexed="81"/>
            <rFont val="Tahoma"/>
            <family val="2"/>
          </rPr>
          <t>Contained metal</t>
        </r>
      </text>
    </comment>
    <comment ref="A169" authorId="2" shapeId="0" xr:uid="{00000000-0006-0000-0600-000004000000}">
      <text>
        <r>
          <rPr>
            <sz val="8"/>
            <color indexed="81"/>
            <rFont val="Tahoma"/>
            <family val="2"/>
          </rPr>
          <t xml:space="preserve">Minor minerals of low value
</t>
        </r>
      </text>
    </comment>
    <comment ref="D225" authorId="3" shapeId="0" xr:uid="{00000000-0006-0000-0600-000005000000}">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<sst xmlns="http://schemas.openxmlformats.org/spreadsheetml/2006/main" count="9900" uniqueCount="661">
  <si>
    <t>Alumina</t>
  </si>
  <si>
    <t>Gold</t>
  </si>
  <si>
    <t>Iron Ore</t>
  </si>
  <si>
    <t>Nickel</t>
  </si>
  <si>
    <t>Petroleum</t>
  </si>
  <si>
    <t>Quarter</t>
  </si>
  <si>
    <t>Quantity (Mt)</t>
  </si>
  <si>
    <t>:</t>
  </si>
  <si>
    <t>62% Fines Spot</t>
  </si>
  <si>
    <t>CFR China</t>
  </si>
  <si>
    <t>Tapis Crude Oil</t>
  </si>
  <si>
    <t>Sources</t>
  </si>
  <si>
    <t>Source</t>
  </si>
  <si>
    <t>Argentina</t>
  </si>
  <si>
    <t>Bahrain</t>
  </si>
  <si>
    <t>China</t>
  </si>
  <si>
    <t>Egypt</t>
  </si>
  <si>
    <t>France</t>
  </si>
  <si>
    <t>India</t>
  </si>
  <si>
    <t>Indonesia</t>
  </si>
  <si>
    <t>Japan</t>
  </si>
  <si>
    <t>Malaysia</t>
  </si>
  <si>
    <t>Mozambique</t>
  </si>
  <si>
    <t>Netherlands</t>
  </si>
  <si>
    <t>New Zealand</t>
  </si>
  <si>
    <t>Qatar</t>
  </si>
  <si>
    <t>Saudi Arabia</t>
  </si>
  <si>
    <t>South Africa</t>
  </si>
  <si>
    <t>Thailand</t>
  </si>
  <si>
    <t>United Arab Emirates</t>
  </si>
  <si>
    <t>Nation</t>
  </si>
  <si>
    <t>Rank</t>
  </si>
  <si>
    <t>Other</t>
  </si>
  <si>
    <t>% Of Total</t>
  </si>
  <si>
    <t>Year</t>
  </si>
  <si>
    <t>Period</t>
  </si>
  <si>
    <t>Last 5 years</t>
  </si>
  <si>
    <t>Quantity (Kt)</t>
  </si>
  <si>
    <t>Western Australia (Mt)</t>
  </si>
  <si>
    <t>Rest of Australia (Mt)</t>
  </si>
  <si>
    <t>Western Australia (Kt)</t>
  </si>
  <si>
    <t>Rest of Australia (Kt)</t>
  </si>
  <si>
    <t>Belgium</t>
  </si>
  <si>
    <t>Brazil</t>
  </si>
  <si>
    <t>Canada</t>
  </si>
  <si>
    <t>Finland</t>
  </si>
  <si>
    <t>Germany</t>
  </si>
  <si>
    <t>Italy</t>
  </si>
  <si>
    <t>Norway</t>
  </si>
  <si>
    <t>Singapore</t>
  </si>
  <si>
    <t>Sweden</t>
  </si>
  <si>
    <t>United Kingdom</t>
  </si>
  <si>
    <t>Mexico</t>
  </si>
  <si>
    <t>Philippines</t>
  </si>
  <si>
    <t>Spain</t>
  </si>
  <si>
    <t>Turkey</t>
  </si>
  <si>
    <t>62% Fines Spot CFR China</t>
  </si>
  <si>
    <t>Uranium Monthly Price</t>
  </si>
  <si>
    <t>Uranium Average Annual Price</t>
  </si>
  <si>
    <t>Avg. Price (US$/lb)</t>
  </si>
  <si>
    <t>Price (US$/lb)</t>
  </si>
  <si>
    <t>Crude Oil</t>
  </si>
  <si>
    <t>Condensate</t>
  </si>
  <si>
    <t>Combined Total</t>
  </si>
  <si>
    <t>Quantity (GL)</t>
  </si>
  <si>
    <t>Western Australia (GL)</t>
  </si>
  <si>
    <t>Rest of Australia (GL)</t>
  </si>
  <si>
    <t>t</t>
  </si>
  <si>
    <t>TOTAL PETROLEUM</t>
  </si>
  <si>
    <t>Cumulative Total</t>
  </si>
  <si>
    <t>Total</t>
  </si>
  <si>
    <t>oz</t>
  </si>
  <si>
    <t>Natural Gas</t>
  </si>
  <si>
    <t>Papua New Guinea</t>
  </si>
  <si>
    <t>Russia</t>
  </si>
  <si>
    <t>Mauritania</t>
  </si>
  <si>
    <t>Laos</t>
  </si>
  <si>
    <t>Vietnam</t>
  </si>
  <si>
    <t>Nickel - Quantity and Value</t>
  </si>
  <si>
    <t>Nickel - Prices</t>
  </si>
  <si>
    <t>Nickel - Exports</t>
  </si>
  <si>
    <t>Gold - Quantity and Value</t>
  </si>
  <si>
    <t>Gold - Prices</t>
  </si>
  <si>
    <t>Gold - Exports</t>
  </si>
  <si>
    <t>Iron Ore - Quantity and Value</t>
  </si>
  <si>
    <t>Iron Ore - Prices</t>
  </si>
  <si>
    <t>Iron Ore - Exports</t>
  </si>
  <si>
    <t>1886 to 1980</t>
  </si>
  <si>
    <t>COMMODITY</t>
  </si>
  <si>
    <t>UNIT</t>
  </si>
  <si>
    <t>QUANTITY</t>
  </si>
  <si>
    <t>Bauxite (Crude Ore) (b)</t>
  </si>
  <si>
    <t>Gallium</t>
  </si>
  <si>
    <t>kg</t>
  </si>
  <si>
    <t>ALUNITE</t>
  </si>
  <si>
    <t>ARSENIC</t>
  </si>
  <si>
    <t>ANTIMONY</t>
  </si>
  <si>
    <t>ASBESTOS</t>
  </si>
  <si>
    <t>Anthophyllite</t>
  </si>
  <si>
    <t>Chrysotile</t>
  </si>
  <si>
    <t>Crocidolite</t>
  </si>
  <si>
    <t>Tremolite</t>
  </si>
  <si>
    <t>TOTAL ASBESTOS</t>
  </si>
  <si>
    <t>BARYTES</t>
  </si>
  <si>
    <t>Copper By-Product</t>
  </si>
  <si>
    <t>Copper Cathode</t>
  </si>
  <si>
    <t>Copper Ore &amp; Concentrates</t>
  </si>
  <si>
    <t>Copper (contained)</t>
  </si>
  <si>
    <t>Cupreous Ore &amp; Concentrates</t>
  </si>
  <si>
    <t>Zinc Ore (Fertiliser)</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</si>
  <si>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</si>
  <si>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</si>
  <si>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</si>
  <si>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</si>
  <si>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</si>
  <si>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</si>
  <si>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</si>
  <si>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</si>
  <si>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</si>
  <si>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</si>
  <si>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</si>
  <si>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</si>
  <si>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</si>
  <si>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</si>
  <si>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</si>
  <si>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</si>
  <si>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</si>
  <si>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</si>
  <si>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</si>
  <si>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</si>
  <si>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</si>
  <si>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</si>
  <si>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</si>
  <si>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</si>
  <si>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</si>
  <si>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</si>
  <si>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</si>
  <si>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</si>
  <si>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</si>
  <si>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</si>
  <si>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</si>
  <si>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</si>
  <si>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</si>
  <si>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</si>
  <si>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</si>
  <si>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</si>
  <si>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</si>
  <si>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</si>
  <si>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</si>
  <si>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</si>
  <si>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</si>
  <si>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</si>
  <si>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</si>
  <si>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</si>
  <si>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</si>
  <si>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</si>
  <si>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</si>
  <si>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</si>
  <si>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</si>
  <si>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</si>
  <si>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</si>
  <si>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</si>
  <si>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</si>
  <si>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</si>
  <si>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</si>
  <si>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</si>
  <si>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</si>
  <si>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</si>
  <si>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</si>
  <si>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</si>
  <si>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</si>
  <si>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</si>
  <si>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</si>
  <si>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</si>
  <si>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</si>
  <si>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</si>
  <si>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</si>
  <si>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</si>
  <si>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</si>
  <si>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</si>
  <si>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</si>
  <si>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</si>
  <si>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</si>
  <si>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TOTAL LIMESAND-LIMESTONE-DOLOMITE</t>
  </si>
  <si>
    <t>MAGNESITE</t>
  </si>
  <si>
    <t>MOLYBDENITE</t>
  </si>
  <si>
    <t>TOTAL COBALT</t>
  </si>
  <si>
    <t>Nickel Ore</t>
  </si>
  <si>
    <t>OTHER</t>
  </si>
  <si>
    <t>PEAT</t>
  </si>
  <si>
    <t xml:space="preserve"> </t>
  </si>
  <si>
    <t xml:space="preserve">PETROLEUM </t>
  </si>
  <si>
    <t>kl</t>
  </si>
  <si>
    <t xml:space="preserve">TOTAL PETROLEUM </t>
  </si>
  <si>
    <t>PHOSPHATE</t>
  </si>
  <si>
    <t>PIGMENTS</t>
  </si>
  <si>
    <t>Ochre</t>
  </si>
  <si>
    <t>TOTAL PIGMENTS</t>
  </si>
  <si>
    <t>PYRITES (Gold By-Product)</t>
  </si>
  <si>
    <t>SALT</t>
  </si>
  <si>
    <t>Glass Sand</t>
  </si>
  <si>
    <t>SILVER</t>
  </si>
  <si>
    <t>SOAPSTONE</t>
  </si>
  <si>
    <t>SPONGOLITE</t>
  </si>
  <si>
    <t>TALC</t>
  </si>
  <si>
    <t>Petalite</t>
  </si>
  <si>
    <t>TUNGSTEN</t>
  </si>
  <si>
    <t>Scheelite</t>
  </si>
  <si>
    <t>Wolfram</t>
  </si>
  <si>
    <t>TOTAL TUNGSTEN</t>
  </si>
  <si>
    <t>VANADIUM</t>
  </si>
  <si>
    <t>VERMICULITE</t>
  </si>
  <si>
    <t>VALUE</t>
  </si>
  <si>
    <t>Copper Metal</t>
  </si>
  <si>
    <t>Lead Metal</t>
  </si>
  <si>
    <t>Zinc Metal</t>
  </si>
  <si>
    <t>Aggregate</t>
  </si>
  <si>
    <t>Gravel</t>
  </si>
  <si>
    <t>Rock</t>
  </si>
  <si>
    <t>Sand</t>
  </si>
  <si>
    <t>Garnet</t>
  </si>
  <si>
    <t>Ilmenite</t>
  </si>
  <si>
    <t>Leucoxene</t>
  </si>
  <si>
    <t>Zircon</t>
  </si>
  <si>
    <t>LNG</t>
  </si>
  <si>
    <t>LPG - Butane and Propane</t>
  </si>
  <si>
    <t>'000m3</t>
  </si>
  <si>
    <t>Coal</t>
  </si>
  <si>
    <t>Base Metals</t>
  </si>
  <si>
    <t>Rutile</t>
  </si>
  <si>
    <t>Spodumene</t>
  </si>
  <si>
    <t>Tantalite</t>
  </si>
  <si>
    <t>Tin Metal</t>
  </si>
  <si>
    <t>Petroleum - Exports</t>
  </si>
  <si>
    <t>Quantity (t)</t>
  </si>
  <si>
    <t>Quantity (PJ)</t>
  </si>
  <si>
    <t>Iron ore</t>
  </si>
  <si>
    <t>Total Petroleum</t>
  </si>
  <si>
    <t>Other Minerals</t>
  </si>
  <si>
    <t>Sources for data used in this document.</t>
  </si>
  <si>
    <t>Calendar Year</t>
  </si>
  <si>
    <t>Switzerland</t>
  </si>
  <si>
    <t>Lead</t>
  </si>
  <si>
    <t>Copper</t>
  </si>
  <si>
    <t>Zinc</t>
  </si>
  <si>
    <t>Bulgaria</t>
  </si>
  <si>
    <t>Financial Year</t>
  </si>
  <si>
    <t>Select:</t>
  </si>
  <si>
    <t>Commodity</t>
  </si>
  <si>
    <t>TOTAL</t>
  </si>
  <si>
    <t>Iceland</t>
  </si>
  <si>
    <t>Europe</t>
  </si>
  <si>
    <t>Asia</t>
  </si>
  <si>
    <t>North America</t>
  </si>
  <si>
    <t>Middle East</t>
  </si>
  <si>
    <t>Montenegro</t>
  </si>
  <si>
    <t>Morocco</t>
  </si>
  <si>
    <t>http://www.energyquest.com.au/</t>
  </si>
  <si>
    <t>Western Australia</t>
  </si>
  <si>
    <t>Rest of Australia</t>
  </si>
  <si>
    <t>US Exchange Rate</t>
  </si>
  <si>
    <t>Red Oxide</t>
  </si>
  <si>
    <t>LPG - Butane</t>
  </si>
  <si>
    <t>LPG - Propane</t>
  </si>
  <si>
    <t>Nickel Metal</t>
  </si>
  <si>
    <t>Cobalt By-Product</t>
  </si>
  <si>
    <t>Cobalt Metal</t>
  </si>
  <si>
    <t>Cobalt Sulphide</t>
  </si>
  <si>
    <t>Silica</t>
  </si>
  <si>
    <t>Silica Sand</t>
  </si>
  <si>
    <t>Tin</t>
  </si>
  <si>
    <t xml:space="preserve">Upgraded Ilmenite (a) </t>
  </si>
  <si>
    <t xml:space="preserve">Lead </t>
  </si>
  <si>
    <r>
      <t>'000m</t>
    </r>
    <r>
      <rPr>
        <vertAlign val="superscript"/>
        <sz val="11"/>
        <rFont val="Calibri"/>
        <family val="2"/>
        <scheme val="minor"/>
      </rPr>
      <t>3</t>
    </r>
  </si>
  <si>
    <t>Silver</t>
  </si>
  <si>
    <t>Salt</t>
  </si>
  <si>
    <t>Diamonds</t>
  </si>
  <si>
    <t>Cobalt</t>
  </si>
  <si>
    <t>Quantity (kg)</t>
  </si>
  <si>
    <t>Select Commodity:</t>
  </si>
  <si>
    <t>Mineral Sands</t>
  </si>
  <si>
    <t>MINERAL SANDS</t>
  </si>
  <si>
    <t>Historic Calendar Year</t>
  </si>
  <si>
    <t>Historic Financial Year</t>
  </si>
  <si>
    <t>TOTAL MINERAL SANDS</t>
  </si>
  <si>
    <t>n.a.</t>
  </si>
  <si>
    <t>n.a</t>
  </si>
  <si>
    <t>ALUMINA AND BAUXITE</t>
  </si>
  <si>
    <t>Alumina and Bauxite</t>
  </si>
  <si>
    <t>2004-05</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</si>
  <si>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</si>
  <si>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</si>
  <si>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</si>
  <si>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</si>
  <si>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</si>
  <si>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</si>
  <si>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</si>
  <si>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</si>
  <si>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</si>
  <si>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</si>
  <si>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</si>
  <si>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</si>
  <si>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</si>
  <si>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</si>
  <si>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</si>
  <si>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</si>
  <si>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</si>
  <si>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</si>
  <si>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</si>
  <si>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</si>
  <si>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</si>
  <si>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</si>
  <si>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</si>
  <si>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</si>
  <si>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</si>
  <si>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</si>
  <si>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</si>
  <si>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</si>
  <si>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</si>
  <si>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</si>
  <si>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</si>
  <si>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</si>
  <si>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</si>
  <si>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</si>
  <si>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</si>
  <si>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</si>
  <si>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</si>
  <si>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</si>
  <si>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</si>
  <si>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</si>
  <si>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</si>
  <si>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</si>
  <si>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Fin. Year</t>
  </si>
  <si>
    <t>FY H1</t>
  </si>
  <si>
    <t>Export Data (Calendar Year)</t>
  </si>
  <si>
    <t>Export Value</t>
  </si>
  <si>
    <t xml:space="preserve">Australian $ </t>
  </si>
  <si>
    <t>Export Data (Financial Year)</t>
  </si>
  <si>
    <t>Sri Lanka</t>
  </si>
  <si>
    <t>Nepal</t>
  </si>
  <si>
    <t>Macao</t>
  </si>
  <si>
    <t>Slovenia</t>
  </si>
  <si>
    <t>Base Metals Contained Gold/Silver</t>
  </si>
  <si>
    <t xml:space="preserve"> n/a </t>
  </si>
  <si>
    <t>2016-17</t>
  </si>
  <si>
    <t>Spodumene Concentrate</t>
  </si>
  <si>
    <t>.</t>
  </si>
  <si>
    <t>https://metals.argusmedia.com/</t>
  </si>
  <si>
    <t/>
  </si>
  <si>
    <t>Alumina and Bauxite - Quantity and Value</t>
  </si>
  <si>
    <t>Alumina and Bauxite - Prices</t>
  </si>
  <si>
    <t>Alumina and Bauxite - Exports</t>
  </si>
  <si>
    <t>Bauxite</t>
  </si>
  <si>
    <t>2017-18</t>
  </si>
  <si>
    <t xml:space="preserve">  Thailand</t>
  </si>
  <si>
    <t xml:space="preserve">  Singapore</t>
  </si>
  <si>
    <t xml:space="preserve">  India</t>
  </si>
  <si>
    <t xml:space="preserve">  Turkey</t>
  </si>
  <si>
    <t xml:space="preserve">  Japan</t>
  </si>
  <si>
    <t>2018-19</t>
  </si>
  <si>
    <t>Lithium</t>
  </si>
  <si>
    <t>Lithium Hydroxide</t>
  </si>
  <si>
    <t>Nickel Concentrate</t>
  </si>
  <si>
    <t>Agate</t>
  </si>
  <si>
    <t>Lithium Hydroxide - Asian Metal</t>
  </si>
  <si>
    <t>http://www.asianmetal.com/</t>
  </si>
  <si>
    <t>ABS</t>
  </si>
  <si>
    <t>Prices</t>
  </si>
  <si>
    <t>https://www.abs.gov.au/</t>
  </si>
  <si>
    <t>Link</t>
  </si>
  <si>
    <t>WA alumina and bauxite exports</t>
  </si>
  <si>
    <t>WA gold exports</t>
  </si>
  <si>
    <t>WA nickel exports</t>
  </si>
  <si>
    <t>WA iron ore exports</t>
  </si>
  <si>
    <t>WA petroleum exports</t>
  </si>
  <si>
    <t>Resources and Energy Quarterly</t>
  </si>
  <si>
    <t>ABS.Stat</t>
  </si>
  <si>
    <t>BP Statistical Review of World Energy</t>
  </si>
  <si>
    <t>Copper - London Metal Exchange average monthly cash official via Argus Metals</t>
  </si>
  <si>
    <t>Lead - London Metal Exchange average monthly cash official via Argus Metals</t>
  </si>
  <si>
    <t>Zinc - London Metal Exchange average monthly cash official via Argus Metals</t>
  </si>
  <si>
    <t>London Metal Exchange average monthly cash official via Argus Metals</t>
  </si>
  <si>
    <t>Value ($ Million)</t>
  </si>
  <si>
    <t>Western Australia ($)</t>
  </si>
  <si>
    <t>Rest of Australia ($)</t>
  </si>
  <si>
    <t>Quantity (000 cubic metres)</t>
  </si>
  <si>
    <t>Mineral Sands - Quantity and Value</t>
  </si>
  <si>
    <t>Mineral Sands - Prices</t>
  </si>
  <si>
    <t>Mineral Sands - Exports</t>
  </si>
  <si>
    <t>Lithium - Prices</t>
  </si>
  <si>
    <t>Lithium - Quantity &amp; Value</t>
  </si>
  <si>
    <t>WA mineral sands exports</t>
  </si>
  <si>
    <t>Synthetic Rutile</t>
  </si>
  <si>
    <t>(May include Rare Earths, Manganese, Spongolite, Talc, and Cesium)</t>
  </si>
  <si>
    <t>RARE EARTHS</t>
  </si>
  <si>
    <t>2019-20</t>
  </si>
  <si>
    <t>Commodity Prices</t>
  </si>
  <si>
    <t>Total Minerals</t>
  </si>
  <si>
    <t>$ Millions</t>
  </si>
  <si>
    <t>Share</t>
  </si>
  <si>
    <t>$</t>
  </si>
  <si>
    <t>Month</t>
  </si>
  <si>
    <t>Value ($)</t>
  </si>
  <si>
    <t>Western Australia (t)</t>
  </si>
  <si>
    <t>Rest of Australia (t)</t>
  </si>
  <si>
    <t>US$ per tonne</t>
  </si>
  <si>
    <t>A$ per tonne</t>
  </si>
  <si>
    <t>Quantity (Million ct)</t>
  </si>
  <si>
    <t>US$ per oz</t>
  </si>
  <si>
    <t>A$ per oz</t>
  </si>
  <si>
    <t>Last 5 Years</t>
  </si>
  <si>
    <t>Last 10 Years</t>
  </si>
  <si>
    <t>LNG Quantity and Value</t>
  </si>
  <si>
    <t>A$ per GJ</t>
  </si>
  <si>
    <t>US$ vs A$</t>
  </si>
  <si>
    <t>US$ per barrel</t>
  </si>
  <si>
    <t>Cumulative Value $</t>
  </si>
  <si>
    <t>Cumulative Quantity</t>
  </si>
  <si>
    <t>TOTAL ALUMINA AND BAUXITE</t>
  </si>
  <si>
    <t>Historic Quantity And Value Of Minerals And Petroleum Calendar Year</t>
  </si>
  <si>
    <t>Historic Quantity And Value Of Minerals And Petroleum Financial Year</t>
  </si>
  <si>
    <t>Quantity And Value Of Minerals And Petroleum Financial Year</t>
  </si>
  <si>
    <t>Quantity And Value Of Minerals And Petroleum Calendar Year</t>
  </si>
  <si>
    <t>Quantity And Value By Quarter</t>
  </si>
  <si>
    <t>Alumina And Bauxite Quantity And Value</t>
  </si>
  <si>
    <t>Gold Quantity And Value</t>
  </si>
  <si>
    <t>Iron Ore Quantity And Value</t>
  </si>
  <si>
    <t>Crude Oil And Condensate</t>
  </si>
  <si>
    <t>Crude Oil And Condensate Quantity And Value</t>
  </si>
  <si>
    <t>LPG - Butane And Propane</t>
  </si>
  <si>
    <t>Total Contained Gold/Silver</t>
  </si>
  <si>
    <t>United States Of America</t>
  </si>
  <si>
    <t>Australia iron ore production</t>
  </si>
  <si>
    <t>Australia alumina production</t>
  </si>
  <si>
    <t>Australia nickel production</t>
  </si>
  <si>
    <t>Australia gold production</t>
  </si>
  <si>
    <t>TOTAL MINERALS</t>
  </si>
  <si>
    <t>TOTAL MINERALS AND PETROLEUM</t>
  </si>
  <si>
    <t>Total Minerals and Petroleum</t>
  </si>
  <si>
    <t>nfp</t>
  </si>
  <si>
    <t>n/a is not available</t>
  </si>
  <si>
    <t>nfp is not for publication due to confidentiality</t>
  </si>
  <si>
    <t>Dolomite</t>
  </si>
  <si>
    <t>Limesand-Limestone</t>
  </si>
  <si>
    <t xml:space="preserve">Nickel </t>
  </si>
  <si>
    <t>Quantity And Value Of Minerals And Petroleum</t>
  </si>
  <si>
    <t>Brunei Darussalam</t>
  </si>
  <si>
    <t>United States of America</t>
  </si>
  <si>
    <t>2020-21</t>
  </si>
  <si>
    <t>Lithium - Exports</t>
  </si>
  <si>
    <t>bbl</t>
  </si>
  <si>
    <t>A$</t>
  </si>
  <si>
    <t>US$</t>
  </si>
  <si>
    <t>Unit</t>
  </si>
  <si>
    <t>% Difference</t>
  </si>
  <si>
    <t>% difference</t>
  </si>
  <si>
    <t>Manganese</t>
  </si>
  <si>
    <t>Global Ranking</t>
  </si>
  <si>
    <t>Rest of World</t>
  </si>
  <si>
    <t>Copper-Lead-Zinc</t>
  </si>
  <si>
    <t>Commodity Prices Comparison</t>
  </si>
  <si>
    <t>Q&amp;V 2-years</t>
  </si>
  <si>
    <t>Q&amp;V Calendar Year 1886 to 2003</t>
  </si>
  <si>
    <t>Q&amp;V Calendar Year 2004 to Now</t>
  </si>
  <si>
    <t>Q&amp;V Financial Year 1984-85 to 2002-03</t>
  </si>
  <si>
    <t>Q&amp;V Financial Year 2003-04 to Now</t>
  </si>
  <si>
    <t>All Commodities</t>
  </si>
  <si>
    <t>Mineral Commodity Summaries</t>
  </si>
  <si>
    <t>Australia cobalt, garnet, lithium, manganese, and rare earth oxides production</t>
  </si>
  <si>
    <t>Australia crude oil and condensate and LNG production</t>
  </si>
  <si>
    <t>World crude oil and LNG production</t>
  </si>
  <si>
    <t>Australia mineral sands value</t>
  </si>
  <si>
    <t>Australia diamonds production</t>
  </si>
  <si>
    <t>World alumina production</t>
  </si>
  <si>
    <t>World gold production</t>
  </si>
  <si>
    <t>World iron ore production</t>
  </si>
  <si>
    <t>Australia salt production</t>
  </si>
  <si>
    <t>World lithium production</t>
  </si>
  <si>
    <t>World garnet ilmenite, rutile, and zircon production</t>
  </si>
  <si>
    <t>Australia garnet, ilmenite, rutile, and zircon production</t>
  </si>
  <si>
    <t>World nickel production</t>
  </si>
  <si>
    <t>World cobalt, diamonds, manganese, rare earth oxides, and salt production</t>
  </si>
  <si>
    <t>USGS</t>
  </si>
  <si>
    <t>Quantity, Value and Exports</t>
  </si>
  <si>
    <t>Petroleum - Crude Oil and Condensate - Quantity and Value</t>
  </si>
  <si>
    <t>Pre Oct 2014, The Steel Index spot prices for CFR China. From Oct 2014, Argus Metals CFR China.</t>
  </si>
  <si>
    <t>WA vs Rest of Australia vs Rest of the World</t>
  </si>
  <si>
    <t>Copper-Lead-Zinc - Prices</t>
  </si>
  <si>
    <t>Copper-Lead-Zinc - Quantity and Value</t>
  </si>
  <si>
    <t>Copper-Lead-Zinc - Exports</t>
  </si>
  <si>
    <t>WA copper-lead-zinc exports</t>
  </si>
  <si>
    <t>Australia copper-lead-zinc production</t>
  </si>
  <si>
    <t>World copper-lead-zinc production</t>
  </si>
  <si>
    <t>COPPER-LEAD-ZINC</t>
  </si>
  <si>
    <t>TOTAL COPPER-LEAD-ZINC</t>
  </si>
  <si>
    <t>Monthly Prices</t>
  </si>
  <si>
    <t>Quantity And Value</t>
  </si>
  <si>
    <t>Quantity</t>
  </si>
  <si>
    <t>Value</t>
  </si>
  <si>
    <t>Quarterly Price</t>
  </si>
  <si>
    <t>Domestic Gas</t>
  </si>
  <si>
    <t>Domestic Gas Quantity And Value</t>
  </si>
  <si>
    <t>Liquified Natural Gas, Liquified Petroleum Gas - Butane and Propane, and Domestic Gas</t>
  </si>
  <si>
    <t>LITHIUM</t>
  </si>
  <si>
    <t>NICKEL</t>
  </si>
  <si>
    <t>TOTAL LITHIUM</t>
  </si>
  <si>
    <t>MANGANESE</t>
  </si>
  <si>
    <t>COBALT</t>
  </si>
  <si>
    <t>GEMS &amp; SEMI-PRECIOUS STONES</t>
  </si>
  <si>
    <t>TOTAL TIN AND TANTALUM</t>
  </si>
  <si>
    <t>TIN AND TANTALUM</t>
  </si>
  <si>
    <t>POTASH</t>
  </si>
  <si>
    <t>Palladium</t>
  </si>
  <si>
    <t>Platinum</t>
  </si>
  <si>
    <t>PLATINUM GROUP ELEMENTS</t>
  </si>
  <si>
    <t>SILICA SANDS</t>
  </si>
  <si>
    <t>A$ per barrel</t>
  </si>
  <si>
    <t>Brent Crude Oil</t>
  </si>
  <si>
    <t>US$ per mmbtu</t>
  </si>
  <si>
    <t>A$ per mmbtu</t>
  </si>
  <si>
    <t>Exchange Rate</t>
  </si>
  <si>
    <t>Platinum Group Elements</t>
  </si>
  <si>
    <t>Other Minerals - Quantity and Value</t>
  </si>
  <si>
    <t>Calendar year alumina production in Western Australia compared to the rest of Australia.</t>
  </si>
  <si>
    <t>Historic average annual and monthly copper, lead and zinc prices.</t>
  </si>
  <si>
    <t>Historic average annual and monthly gold prices.</t>
  </si>
  <si>
    <t>Historic average annual and monthly  lithium hydroxide and spodumene concentrate prices.</t>
  </si>
  <si>
    <t>Historic average annual and monthly iron ore prices.</t>
  </si>
  <si>
    <t>Historic average annual and monthly nickel prices.</t>
  </si>
  <si>
    <t>Historic average annual and monthly Brent and Tapis crude oil prices.</t>
  </si>
  <si>
    <t>Historic average annual and monthly LNG prices.</t>
  </si>
  <si>
    <t>Historic average annual and quarterly domestic gas prices.</t>
  </si>
  <si>
    <t>Historic quantity and sales value of mineral and petroleum sales - calendar year (1886 to 2003).</t>
  </si>
  <si>
    <t>Historic quantity and sales value of mineral and petroleum sales - calendar year (post 2003).</t>
  </si>
  <si>
    <t>Historic quantity and sales value of mineral and petroleum sales - financial year (post 2003-04)</t>
  </si>
  <si>
    <t>Historic quantity and sales value of mineral and petroleum sales - financial year (1984-85 to 2002-03).</t>
  </si>
  <si>
    <t>Calendar year gold production in Western Australia compared to the rest of Australia.</t>
  </si>
  <si>
    <t>Calendar year iron ore production in Western Australia compared to the rest of Australia.</t>
  </si>
  <si>
    <t>Annual historic mineral sands production in Western Australia compared to the rest of Australia.</t>
  </si>
  <si>
    <t>Calendar year nickel production in Western Australia compared to the rest of Australia.</t>
  </si>
  <si>
    <t>Calendar year LNG production in Western Australia compared to the rest of Australia.</t>
  </si>
  <si>
    <t>Calendar year crude oil and condensate production in Western Australia to the rest of Australia.</t>
  </si>
  <si>
    <t>Annual and quarterly quantity and values for alumina sales in Western Australia.</t>
  </si>
  <si>
    <t>Annual and quarterly quantity and values for copper-lead-zinc sales in Western Australia.</t>
  </si>
  <si>
    <t>Annual and quarterly quantity and values for gold sales in Western Australia.</t>
  </si>
  <si>
    <t>Annual and quarterly quantity and values for iron ore sales in Western Australia.</t>
  </si>
  <si>
    <t>Annual and quarterly quantity and values for spodumene concentrate sales in Western Australia.</t>
  </si>
  <si>
    <t>Annual and quarterly quantity and values for mineral sands sales in Western Australia.</t>
  </si>
  <si>
    <t>Annual and quarterly quantity and values for nickel sales in Western Australia.</t>
  </si>
  <si>
    <t>Annual and quarterly quantity and values for crude oil and condensate sales in Western Australia.</t>
  </si>
  <si>
    <t>Annual and quarterly quantity and values for LNG, LPG - butane and propane, and domestic gas sales in Western Australia.</t>
  </si>
  <si>
    <t>Annual value of exports of petroleum products from Western Australia by destination.</t>
  </si>
  <si>
    <t>Annual and quarterly quantity and values for coal, silver, salt, diamonds, cobalt, and platinum group elements sales in Western Australia.</t>
  </si>
  <si>
    <t>Annual value of nickel exports from Western Australia by destination.</t>
  </si>
  <si>
    <t>Annual value of mineral sands exports from Western Australia by destination.</t>
  </si>
  <si>
    <t>Annual value of spodumene concentrate exports from Western Australia by destination.</t>
  </si>
  <si>
    <t>Annual value of iron ore exports from Western Australia by destination.</t>
  </si>
  <si>
    <t>Annual value of gold exports from Western Australia by destination.</t>
  </si>
  <si>
    <t>Annual value of copper-lead-zinc exports from Western Australia by destination.</t>
  </si>
  <si>
    <t>Annual value of alumina exports from Western Australia by destination.</t>
  </si>
  <si>
    <t>Average monthly prices for key Western Australian commodities.</t>
  </si>
  <si>
    <t>WA quantity and value of all mineral sales</t>
  </si>
  <si>
    <t>WA quantity and value of all petroleum production</t>
  </si>
  <si>
    <t>Calendar year commodity production in Western Australia compared to the rest of Australia and the rest of the world.</t>
  </si>
  <si>
    <t>Alumina - Pre Jun 99, ABARE, Report #39. From Jun 99, Australian Bureau of Statistics (ABS).</t>
  </si>
  <si>
    <t>Bauxite - ABS</t>
  </si>
  <si>
    <t>AU$ - Perth mint selling price</t>
  </si>
  <si>
    <t>Calendar year copper-lead-zinc production in Western Australia compared to the rest of Australia.</t>
  </si>
  <si>
    <t>Historic average annual and monthly alumina and bauxite prices.</t>
  </si>
  <si>
    <t>Snapshot</t>
  </si>
  <si>
    <t>Petroleum - Oil - Prices</t>
  </si>
  <si>
    <t>Petroleum - LNG - Prices</t>
  </si>
  <si>
    <t>Petroleum - Domestic Gas - Prices</t>
  </si>
  <si>
    <t>Monthly Prices Last 5 Years</t>
  </si>
  <si>
    <t>Tapis Crude</t>
  </si>
  <si>
    <t>Brent and Tapis Crude Oil - WA Treasury Corporation</t>
  </si>
  <si>
    <t>Brent Crude</t>
  </si>
  <si>
    <t>LPG - Butane and Propane Quantity And Value</t>
  </si>
  <si>
    <t>Quantity By Year</t>
  </si>
  <si>
    <t>Petroleum - LNG, LPG - Butane and Propane, and Domestic Gas - Quantity and Value</t>
  </si>
  <si>
    <t>Last 2 Years By Quarter</t>
  </si>
  <si>
    <t>Korea, Republic of (South)</t>
  </si>
  <si>
    <t xml:space="preserve">TOTAL </t>
  </si>
  <si>
    <t>Taiwan</t>
  </si>
  <si>
    <t>US$ v A$</t>
  </si>
  <si>
    <t>GJ</t>
  </si>
  <si>
    <t>Iron Ore 62% Fines CFR China</t>
  </si>
  <si>
    <t>Mmbtu</t>
  </si>
  <si>
    <t>Spodumene Concentrate - Asian Metal</t>
  </si>
  <si>
    <t>Titanium Dioxide Pigment</t>
  </si>
  <si>
    <t>n/a, nfp</t>
  </si>
  <si>
    <t>Destination</t>
  </si>
  <si>
    <t>Hong Kong</t>
  </si>
  <si>
    <t>Alumina and Bauxite - WA vs Rest of Australia</t>
  </si>
  <si>
    <t>Copper-Lead-Zinc - WA vs Rest of Australia</t>
  </si>
  <si>
    <t>Gold - WA vs Rest of Australia</t>
  </si>
  <si>
    <t>Iron Ore - WA vs Rest of Australia</t>
  </si>
  <si>
    <t>Nickel - WA vs Rest of Australia</t>
  </si>
  <si>
    <t>Petroleum - Crude Oil and Condensate - WA vs Rest of Australia</t>
  </si>
  <si>
    <t>Petroleum - LNG - WA vs Rest of Australia</t>
  </si>
  <si>
    <t>HEAVY MINERAL SANDS</t>
  </si>
  <si>
    <t xml:space="preserve"> Dolomite</t>
  </si>
  <si>
    <t xml:space="preserve"> Limesand-Limestone</t>
  </si>
  <si>
    <t>MANGANESE ORE</t>
  </si>
  <si>
    <t>NICKEL INDUSTRY</t>
  </si>
  <si>
    <t>Palladium By-Product</t>
  </si>
  <si>
    <t>Platinum By-Product</t>
  </si>
  <si>
    <t>Ruthenium By-Product</t>
  </si>
  <si>
    <t>TOTAL NICKEL INDUSTRY</t>
  </si>
  <si>
    <t>SILICA-SILICA SAND</t>
  </si>
  <si>
    <t>TOTAL SILICA-SILICA SAND</t>
  </si>
  <si>
    <t>TIN-TANTALUM-LITHIUM</t>
  </si>
  <si>
    <t>TOTAL TIN-TANTALUM-LITHIUM</t>
  </si>
  <si>
    <t>&gt;11</t>
  </si>
  <si>
    <t>&gt;13</t>
  </si>
  <si>
    <t>2021-22</t>
  </si>
  <si>
    <t>Russian Federation</t>
  </si>
  <si>
    <t>Other (may include Garnet, Monazite, Rutile, Staurolite and Synthetic Rutile)</t>
  </si>
  <si>
    <t>WA spodumene concentrate exports</t>
  </si>
  <si>
    <t>Liquified Natural Gas - ABS</t>
  </si>
  <si>
    <t>Annual Prices</t>
  </si>
  <si>
    <t>US$ per ounce</t>
  </si>
  <si>
    <t>A$ per ounce</t>
  </si>
  <si>
    <t>Annual Price</t>
  </si>
  <si>
    <t>Comparison of average prices for key Western Australian commodities over the last two years.</t>
  </si>
  <si>
    <t>Comparison of the value of mineral and petroleum sales over the last two years</t>
  </si>
  <si>
    <t>Liquified Natural Gas</t>
  </si>
  <si>
    <t>Korea, Republic Of (South)</t>
  </si>
  <si>
    <t>Tantalum</t>
  </si>
  <si>
    <t>Other (may include Garnet, Monazite, Rutile, Staurolite, and Synthetic Rutile)</t>
  </si>
  <si>
    <t>Mineral Sands - WA vs Rest of Australia</t>
  </si>
  <si>
    <t>Historic average annual and monthly mineral sands (zircon and titanium dioxide pigment) prices.</t>
  </si>
  <si>
    <t>2022-23</t>
  </si>
  <si>
    <t>Taiwan, Province Of China</t>
  </si>
  <si>
    <t>Rare Earth Oxides</t>
  </si>
  <si>
    <t>Reserve Bank of Australia</t>
  </si>
  <si>
    <t>https://www.rba.gov.au/</t>
  </si>
  <si>
    <t>https://www.perthmint.com/</t>
  </si>
  <si>
    <t>US$ - London Bullion Market Association via Argus Metals</t>
  </si>
  <si>
    <t>AU$ - Pre May 2022, Perth mint selling price. From May 2022, London Bullion Market Association via Argus Metals</t>
  </si>
  <si>
    <t xml:space="preserve">nfp </t>
  </si>
  <si>
    <t>WA Domestic Gas - DEMIRS, Woodside, Santos</t>
  </si>
  <si>
    <t>DEMIRS</t>
  </si>
  <si>
    <t>Pre 2016, DEMIRS and National Offshore Petroleum Titles Administrator. From 2016, DEMIRS, EnergyQuest, Woodside, and Santos</t>
  </si>
  <si>
    <t>DEMIRS and Office of the Chief Economist (OoCE), Department of Industry, Science and Resources (DISR)</t>
  </si>
  <si>
    <t>DEMIRS and United States Geological Survey (USGS)</t>
  </si>
  <si>
    <t>Pre 2019-20, DEMIRS. From 2019-20, ABS</t>
  </si>
  <si>
    <t>DEMIRS and OoCE, DISR</t>
  </si>
  <si>
    <t>DEMIRS and USGS</t>
  </si>
  <si>
    <t>DEMIRS and International Trade Statistics</t>
  </si>
  <si>
    <t>DEMIRS and EnergyQuest</t>
  </si>
  <si>
    <t>DEMIRS, EnergyQuest and BP</t>
  </si>
  <si>
    <t>&gt;12</t>
  </si>
  <si>
    <t>Oman</t>
  </si>
  <si>
    <t>United States</t>
  </si>
  <si>
    <t>Brunei</t>
  </si>
  <si>
    <t>(May include Manganese, Potash, Rare Earths, Spongolite, Talc, Vanadium, Magnesite, Chromite, Cesium and Feldspar)</t>
  </si>
  <si>
    <t>(May include Manganese, Rare Earths, Potash, Spongolite, Talc, Vanadium, Magnesite, Chromite, Cesium and Feldspar)</t>
  </si>
  <si>
    <t>Western Australia Global Production Share And Ranking 2022 and 2023</t>
  </si>
  <si>
    <t>Korea, Republic Of</t>
  </si>
  <si>
    <t>Mineral Sands (Zircon and Titanium Dioxide Pigment)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</si>
</sst>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_(&quot;$&quot;* #,##0.00_);_(&quot;$&quot;* \(#,##0.00\);_(&quot;$&quot;* &quot;-&quot;??_);_(@_)"/>
    <numFmt numFmtId="165" formatCode="&quot;$&quot;#,##0_);[Red]\(&quot;$&quot;#,##0\)"/>
    <numFmt numFmtId="166" formatCode="&quot;$&quot;#,##0.00_);[Red]\(&quot;$&quot;#,##0.00\)"/>
    <numFmt numFmtId="167" formatCode="_(* #,##0.00_);_(* \(#,##0.00\);_(* &quot;-&quot;??_);_(@_)"/>
    <numFmt numFmtId="168" formatCode="0.000"/>
    <numFmt numFmtId="169" formatCode="_-* #,##0_-;\-* #,##0_-;_-* &quot;-&quot;??_-;_-@_-"/>
    <numFmt numFmtId="170" formatCode="0.0%"/>
    <numFmt numFmtId="171" formatCode="yyyy"/>
    <numFmt numFmtId="172" formatCode="&quot;$&quot;#,##0.00"/>
    <numFmt numFmtId="173" formatCode="&quot;$&quot;#,##0"/>
    <numFmt numFmtId="174" formatCode="#,##0.000"/>
    <numFmt numFmtId="175" formatCode="#,##0.0000"/>
    <numFmt numFmtId="176" formatCode="#,##0.0%;[Red]\-#,##0.0%"/>
    <numFmt numFmtId="177" formatCode="#,##0\ \(\r\)"/>
    <numFmt numFmtId="178" formatCode="0.0"/>
    <numFmt numFmtId="179" formatCode="0.0000"/>
    <numFmt numFmtId="180" formatCode="_-&quot;$&quot;* #,##0_-;\-&quot;$&quot;* #,##0_-;_-&quot;$&quot;* &quot;-&quot;??_-;_-@_-"/>
    <numFmt numFmtId="181" formatCode="0.0000%"/>
    <numFmt numFmtId="182" formatCode="[$-C09]dd\-mmm\-yy;@"/>
    <numFmt numFmtId="183" formatCode="mmm\ dd\,\ yyyy"/>
    <numFmt numFmtId="184" formatCode="&quot;$&quot;#,##0.000"/>
    <numFmt numFmtId="185" formatCode="0_ ;[Red]\-0\ "/>
    <numFmt numFmtId="186" formatCode="0_ ;\-0\ "/>
    <numFmt numFmtId="187" formatCode="#,##0.0"/>
    <numFmt numFmtId="188" formatCode="#,##0.00_);\-#,##0.00_);\-_)"/>
    <numFmt numFmtId="189" formatCode="#,##0.0_);\-#,##0.0_);\-_)"/>
    <numFmt numFmtId="190" formatCode="#,##0_);\-#,##0_);\-_)"/>
    <numFmt numFmtId="191" formatCode="#,##0_ ;[Red]\(#,##0\)\ "/>
    <numFmt numFmtId="192" formatCode="#,##0_ ;[Red]\-#,##0\ "/>
    <numFmt numFmtId="193" formatCode="0.0_ ;[Red]\-0.0\ "/>
    <numFmt numFmtId="194" formatCode="0.000000000000000000"/>
    <numFmt numFmtId="195" formatCode="0.0000000000000000000000000000"/>
    <numFmt numFmtId="196" formatCode="[$-C09]d\ mmmm\ yyyy;@"/>
    <numFmt numFmtId="197" formatCode="_-[$$-C09]* #,##0_-;\-[$$-C09]* #,##0_-;_-[$$-C09]* &quot;-&quot;_-;_-@_-"/>
  </numFmts>
  <fonts count="187">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11"/>
      <color theme="1"/>
      <name val="Calibri"/>
      <family val="2"/>
      <scheme val="minor"/>
    </font>
    <font>
      <sz val="10"/>
      <name val="MS Sans Serif"/>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0"/>
      <color theme="0"/>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sz val="10"/>
      <name val="Arial"/>
      <family val="2"/>
    </font>
    <font>
      <b/>
      <sz val="9"/>
      <color indexed="81"/>
      <name val="Tahoma"/>
      <family val="2"/>
    </font>
    <font>
      <sz val="8"/>
      <name val="Arial"/>
      <family val="2"/>
    </font>
    <font>
      <sz val="8"/>
      <name val="Arial"/>
      <family val="2"/>
    </font>
    <font>
      <sz val="9"/>
      <name val="Geneva"/>
    </font>
    <font>
      <sz val="7"/>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8"/>
      <name val="Arial"/>
      <family val="2"/>
    </font>
    <font>
      <u/>
      <sz val="8"/>
      <color indexed="12"/>
      <name val="Arial"/>
      <family val="2"/>
    </font>
    <font>
      <sz val="10"/>
      <name val="Arial"/>
      <family val="2"/>
    </font>
    <font>
      <sz val="11"/>
      <color rgb="FF00B050"/>
      <name val="Calibri"/>
      <family val="2"/>
      <scheme val="minor"/>
    </font>
    <font>
      <b/>
      <sz val="11"/>
      <color rgb="FF00B050"/>
      <name val="Calibri"/>
      <family val="2"/>
      <scheme val="minor"/>
    </font>
    <font>
      <b/>
      <sz val="11"/>
      <color theme="9" tint="-0.249977111117893"/>
      <name val="Calibri"/>
      <family val="2"/>
      <scheme val="minor"/>
    </font>
    <font>
      <u/>
      <sz val="11"/>
      <color theme="3" tint="0.39997558519241921"/>
      <name val="Calibri"/>
      <family val="2"/>
      <scheme val="minor"/>
    </font>
    <font>
      <sz val="11"/>
      <color theme="3" tint="0.39997558519241921"/>
      <name val="Calibri"/>
      <family val="2"/>
      <scheme val="minor"/>
    </font>
    <font>
      <sz val="11"/>
      <color rgb="FFFFFF00"/>
      <name val="Calibri"/>
      <family val="2"/>
      <scheme val="minor"/>
    </font>
    <font>
      <sz val="18"/>
      <color theme="3"/>
      <name val="Cambria"/>
      <family val="2"/>
      <scheme val="major"/>
    </font>
    <font>
      <u/>
      <sz val="11"/>
      <color theme="10"/>
      <name val="Calibri"/>
      <family val="2"/>
      <scheme val="minor"/>
    </font>
    <font>
      <b/>
      <sz val="12"/>
      <name val="Arial"/>
      <family val="2"/>
    </font>
    <font>
      <sz val="10"/>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10"/>
      <name val="Arial"/>
      <family val="2"/>
    </font>
    <font>
      <sz val="12"/>
      <name val="Arial"/>
      <family val="2"/>
    </font>
    <font>
      <sz val="8"/>
      <color theme="0"/>
      <name val="Calibri"/>
      <family val="2"/>
      <scheme val="minor"/>
    </font>
    <font>
      <sz val="12"/>
      <name val="Calibri"/>
      <family val="2"/>
      <scheme val="minor"/>
    </font>
    <font>
      <sz val="11"/>
      <color theme="2" tint="-0.499984740745262"/>
      <name val="Calibri"/>
      <family val="2"/>
      <scheme val="minor"/>
    </font>
    <font>
      <b/>
      <sz val="11"/>
      <color theme="2" tint="-0.499984740745262"/>
      <name val="Calibri"/>
      <family val="2"/>
      <scheme val="minor"/>
    </font>
    <font>
      <sz val="16"/>
      <name val="Calibri"/>
      <family val="2"/>
      <scheme val="minor"/>
    </font>
    <font>
      <sz val="8"/>
      <color rgb="FFFF0000"/>
      <name val="Calibri"/>
      <family val="2"/>
      <scheme val="minor"/>
    </font>
    <font>
      <sz val="18"/>
      <color rgb="FFFF0000"/>
      <name val="Calibri"/>
      <family val="2"/>
      <scheme val="minor"/>
    </font>
    <font>
      <sz val="12"/>
      <color theme="0"/>
      <name val="Calibri"/>
      <family val="2"/>
      <scheme val="minor"/>
    </font>
    <font>
      <b/>
      <sz val="11"/>
      <color rgb="FF0070C0"/>
      <name val="Calibri"/>
      <family val="2"/>
      <scheme val="minor"/>
    </font>
    <font>
      <sz val="11"/>
      <color rgb="FF0070C0"/>
      <name val="Calibri"/>
      <family val="2"/>
      <scheme val="minor"/>
    </font>
    <font>
      <sz val="3"/>
      <color rgb="FFFF0000"/>
      <name val="Calibri"/>
      <family val="2"/>
      <scheme val="minor"/>
    </font>
    <font>
      <sz val="10"/>
      <color rgb="FFFF0000"/>
      <name val="Calibri"/>
      <family val="2"/>
      <scheme val="minor"/>
    </font>
    <font>
      <i/>
      <sz val="10"/>
      <color rgb="FFFF0000"/>
      <name val="Calibri"/>
      <family val="2"/>
      <scheme val="minor"/>
    </font>
    <font>
      <sz val="11"/>
      <color rgb="FF33CC33"/>
      <name val="Calibri"/>
      <family val="2"/>
      <scheme val="minor"/>
    </font>
    <font>
      <sz val="9"/>
      <color theme="1"/>
      <name val="Calibri"/>
      <family val="2"/>
      <scheme val="minor"/>
    </font>
    <font>
      <sz val="2"/>
      <color theme="0"/>
      <name val="Arial"/>
      <family val="2"/>
    </font>
    <font>
      <sz val="10"/>
      <color rgb="FFFF0000"/>
      <name val="Arial"/>
      <family val="2"/>
    </font>
    <font>
      <sz val="2"/>
      <name val="Arial"/>
      <family val="2"/>
    </font>
    <font>
      <b/>
      <sz val="10"/>
      <color rgb="FFFF0000"/>
      <name val="Arial"/>
      <family val="2"/>
    </font>
    <font>
      <sz val="2"/>
      <color theme="1"/>
      <name val="Calibri"/>
      <family val="2"/>
      <scheme val="minor"/>
    </font>
    <font>
      <sz val="11"/>
      <color rgb="FF0000FF"/>
      <name val="Calibri"/>
      <family val="2"/>
      <scheme val="minor"/>
    </font>
    <font>
      <sz val="11"/>
      <color rgb="FF002060"/>
      <name val="Calibri"/>
      <family val="2"/>
      <scheme val="minor"/>
    </font>
    <font>
      <sz val="10"/>
      <color rgb="FF002060"/>
      <name val="Calibri"/>
      <family val="2"/>
      <scheme val="minor"/>
    </font>
    <font>
      <b/>
      <i/>
      <sz val="11"/>
      <color rgb="FFFF0000"/>
      <name val="Calibri"/>
      <family val="2"/>
      <scheme val="minor"/>
    </font>
    <font>
      <b/>
      <sz val="11"/>
      <color rgb="FFFFFF00"/>
      <name val="Calibri"/>
      <family val="2"/>
      <scheme val="minor"/>
    </font>
    <font>
      <sz val="11"/>
      <color theme="0" tint="-4.9989318521683403E-2"/>
      <name val="Calibri"/>
      <family val="2"/>
      <scheme val="minor"/>
    </font>
    <font>
      <b/>
      <sz val="11"/>
      <color theme="0" tint="-4.9989318521683403E-2"/>
      <name val="Calibri"/>
      <family val="2"/>
      <scheme val="minor"/>
    </font>
    <font>
      <sz val="9"/>
      <color rgb="FFFF0000"/>
      <name val="Calibri"/>
      <family val="2"/>
      <scheme val="minor"/>
    </font>
    <font>
      <sz val="6"/>
      <color theme="0"/>
      <name val="Calibri"/>
      <family val="2"/>
      <scheme val="minor"/>
    </font>
    <font>
      <sz val="2"/>
      <color rgb="FFFF0000"/>
      <name val="Calibri"/>
      <family val="2"/>
      <scheme val="minor"/>
    </font>
    <font>
      <sz val="10"/>
      <color theme="1"/>
      <name val="Arial"/>
      <family val="2"/>
    </font>
    <font>
      <b/>
      <i/>
      <sz val="11"/>
      <color theme="0"/>
      <name val="Calibri"/>
      <family val="2"/>
      <scheme val="minor"/>
    </font>
    <font>
      <sz val="18"/>
      <color theme="0"/>
      <name val="Calibri"/>
      <family val="2"/>
      <scheme val="minor"/>
    </font>
    <font>
      <sz val="11"/>
      <color theme="3"/>
      <name val="Calibri"/>
      <family val="2"/>
      <scheme val="minor"/>
    </font>
    <font>
      <b/>
      <i/>
      <sz val="8"/>
      <color theme="0"/>
      <name val="Calibri"/>
      <family val="2"/>
      <scheme val="minor"/>
    </font>
    <font>
      <b/>
      <sz val="8"/>
      <color theme="0"/>
      <name val="Calibri"/>
      <family val="2"/>
      <scheme val="minor"/>
    </font>
    <font>
      <sz val="11"/>
      <color rgb="FFFF8734"/>
      <name val="Calibri"/>
      <family val="2"/>
      <scheme val="minor"/>
    </font>
    <font>
      <sz val="8"/>
      <color rgb="FFFF66FF"/>
      <name val="Calibri"/>
      <family val="2"/>
      <scheme val="minor"/>
    </font>
    <font>
      <sz val="11"/>
      <color rgb="FFFF66FF"/>
      <name val="Calibri"/>
      <family val="2"/>
      <scheme val="minor"/>
    </font>
    <font>
      <sz val="16"/>
      <color rgb="FFFF66FF"/>
      <name val="Calibri"/>
      <family val="2"/>
      <scheme val="minor"/>
    </font>
    <font>
      <sz val="12"/>
      <color theme="1"/>
      <name val="Calibri"/>
      <family val="2"/>
      <scheme val="minor"/>
    </font>
  </fonts>
  <fills count="137">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
      <patternFill patternType="solid">
        <fgColor rgb="FFC5D9F1"/>
        <bgColor indexed="64"/>
      </patternFill>
    </fill>
    <fill>
      <patternFill patternType="solid">
        <fgColor theme="0" tint="-0.14996795556505021"/>
        <bgColor indexed="64"/>
      </patternFill>
    </fill>
    <fill>
      <patternFill patternType="solid">
        <fgColor rgb="FFFF870F"/>
        <bgColor theme="6" tint="0.79998168889431442"/>
      </patternFill>
    </fill>
    <fill>
      <patternFill patternType="solid">
        <fgColor rgb="FFC89600"/>
        <bgColor theme="6" tint="0.79998168889431442"/>
      </patternFill>
    </fill>
    <fill>
      <patternFill patternType="solid">
        <fgColor rgb="FFFF66CC"/>
        <bgColor theme="6" tint="0.79998168889431442"/>
      </patternFill>
    </fill>
    <fill>
      <patternFill patternType="solid">
        <fgColor rgb="FF9BBB59"/>
        <bgColor theme="6"/>
      </patternFill>
    </fill>
    <fill>
      <patternFill patternType="solid">
        <fgColor rgb="FF9BBB59"/>
        <bgColor theme="6" tint="0.79998168889431442"/>
      </patternFill>
    </fill>
    <fill>
      <patternFill patternType="solid">
        <fgColor rgb="FF9BBB59"/>
        <bgColor indexed="64"/>
      </patternFill>
    </fill>
    <fill>
      <patternFill patternType="solid">
        <fgColor rgb="FFC0504D"/>
        <bgColor indexed="64"/>
      </patternFill>
    </fill>
    <fill>
      <patternFill patternType="solid">
        <fgColor rgb="FFC0504D"/>
        <bgColor theme="6" tint="0.79998168889431442"/>
      </patternFill>
    </fill>
    <fill>
      <patternFill patternType="solid">
        <fgColor rgb="FF8064A2"/>
        <bgColor theme="6"/>
      </patternFill>
    </fill>
    <fill>
      <patternFill patternType="solid">
        <fgColor rgb="FF8064A2"/>
        <bgColor theme="6" tint="0.79998168889431442"/>
      </patternFill>
    </fill>
    <fill>
      <patternFill patternType="solid">
        <fgColor rgb="FF8064A2"/>
        <bgColor indexed="64"/>
      </patternFill>
    </fill>
    <fill>
      <patternFill patternType="solid">
        <fgColor rgb="FF4F81BD"/>
        <bgColor theme="6"/>
      </patternFill>
    </fill>
    <fill>
      <patternFill patternType="solid">
        <fgColor rgb="FF4F81BD"/>
        <bgColor theme="6" tint="0.79998168889431442"/>
      </patternFill>
    </fill>
    <fill>
      <patternFill patternType="solid">
        <fgColor rgb="FF4F81BD"/>
        <bgColor indexed="64"/>
      </patternFill>
    </fill>
    <fill>
      <patternFill patternType="solid">
        <fgColor rgb="FF4BACC6"/>
        <bgColor theme="6"/>
      </patternFill>
    </fill>
    <fill>
      <patternFill patternType="solid">
        <fgColor rgb="FF4BACC6"/>
        <bgColor theme="6" tint="0.79998168889431442"/>
      </patternFill>
    </fill>
    <fill>
      <patternFill patternType="solid">
        <fgColor rgb="FF4BACC6"/>
        <bgColor indexed="64"/>
      </patternFill>
    </fill>
    <fill>
      <patternFill patternType="solid">
        <fgColor rgb="FF948A54"/>
        <bgColor theme="6"/>
      </patternFill>
    </fill>
    <fill>
      <patternFill patternType="solid">
        <fgColor rgb="FF948A54"/>
        <bgColor theme="6" tint="0.79998168889431442"/>
      </patternFill>
    </fill>
    <fill>
      <patternFill patternType="solid">
        <fgColor rgb="FF948A54"/>
        <bgColor indexed="64"/>
      </patternFill>
    </fill>
    <fill>
      <patternFill patternType="solid">
        <fgColor theme="8" tint="0.39997558519241921"/>
        <bgColor indexed="64"/>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theme="0"/>
        <bgColor theme="6" tint="0.79998168889431442"/>
      </patternFill>
    </fill>
    <fill>
      <patternFill patternType="solid">
        <fgColor theme="9"/>
        <bgColor indexed="64"/>
      </patternFill>
    </fill>
    <fill>
      <patternFill patternType="solid">
        <fgColor rgb="FFF2DCDB"/>
        <bgColor indexed="64"/>
      </patternFill>
    </fill>
  </fills>
  <borders count="91">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diagonal/>
    </border>
    <border>
      <left/>
      <right/>
      <top/>
      <bottom style="thin">
        <color indexed="50"/>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bottom style="medium">
        <color auto="1"/>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613">
    <xf numFmtId="0" fontId="0" fillId="0" borderId="0"/>
    <xf numFmtId="0" fontId="4" fillId="0" borderId="0" applyNumberFormat="0" applyFill="0" applyBorder="0" applyAlignment="0" applyProtection="0"/>
    <xf numFmtId="0" fontId="19" fillId="0" borderId="0" applyNumberFormat="0" applyFill="0" applyBorder="0" applyAlignment="0" applyProtection="0"/>
    <xf numFmtId="0" fontId="20" fillId="0" borderId="37" applyNumberFormat="0" applyFill="0" applyAlignment="0" applyProtection="0"/>
    <xf numFmtId="0" fontId="21" fillId="0" borderId="38" applyNumberFormat="0" applyFill="0" applyAlignment="0" applyProtection="0"/>
    <xf numFmtId="0" fontId="22" fillId="0" borderId="39" applyNumberFormat="0" applyFill="0" applyAlignment="0" applyProtection="0"/>
    <xf numFmtId="0" fontId="22" fillId="0" borderId="0" applyNumberFormat="0" applyFill="0" applyBorder="0" applyAlignment="0" applyProtection="0"/>
    <xf numFmtId="0" fontId="23" fillId="29"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6" fillId="32" borderId="40" applyNumberFormat="0" applyAlignment="0" applyProtection="0"/>
    <xf numFmtId="0" fontId="27" fillId="33" borderId="41" applyNumberFormat="0" applyAlignment="0" applyProtection="0"/>
    <xf numFmtId="0" fontId="28" fillId="33" borderId="40" applyNumberFormat="0" applyAlignment="0" applyProtection="0"/>
    <xf numFmtId="0" fontId="29" fillId="0" borderId="42" applyNumberFormat="0" applyFill="0" applyAlignment="0" applyProtection="0"/>
    <xf numFmtId="0" fontId="7" fillId="34" borderId="43" applyNumberFormat="0" applyAlignment="0" applyProtection="0"/>
    <xf numFmtId="0" fontId="8" fillId="0" borderId="0" applyNumberFormat="0" applyFill="0" applyBorder="0" applyAlignment="0" applyProtection="0"/>
    <xf numFmtId="0" fontId="30" fillId="0" borderId="0" applyNumberFormat="0" applyFill="0" applyBorder="0" applyAlignment="0" applyProtection="0"/>
    <xf numFmtId="0" fontId="5" fillId="0" borderId="44" applyNumberFormat="0" applyFill="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1" fillId="0" borderId="0" applyFont="0" applyFill="0" applyBorder="0" applyAlignment="0" applyProtection="0"/>
    <xf numFmtId="0" fontId="2" fillId="0" borderId="0"/>
    <xf numFmtId="0" fontId="2" fillId="0" borderId="0"/>
    <xf numFmtId="0" fontId="52" fillId="0" borderId="0"/>
    <xf numFmtId="0" fontId="52" fillId="0" borderId="0"/>
    <xf numFmtId="0" fontId="52" fillId="0" borderId="0"/>
    <xf numFmtId="0" fontId="52" fillId="0" borderId="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0" fontId="53" fillId="75" borderId="0" applyNumberFormat="0" applyBorder="0" applyAlignment="0" applyProtection="0"/>
    <xf numFmtId="0" fontId="53" fillId="81" borderId="0" applyNumberFormat="0" applyBorder="0" applyAlignment="0" applyProtection="0"/>
    <xf numFmtId="182" fontId="1" fillId="62" borderId="0" applyNumberFormat="0" applyBorder="0" applyAlignment="0" applyProtection="0"/>
    <xf numFmtId="0" fontId="53" fillId="76" borderId="0" applyNumberFormat="0" applyBorder="0" applyAlignment="0" applyProtection="0"/>
    <xf numFmtId="0" fontId="53" fillId="82" borderId="0" applyNumberFormat="0" applyBorder="0" applyAlignment="0" applyProtection="0"/>
    <xf numFmtId="182" fontId="1" fillId="64" borderId="0" applyNumberFormat="0" applyBorder="0" applyAlignment="0" applyProtection="0"/>
    <xf numFmtId="0" fontId="53" fillId="77" borderId="0" applyNumberFormat="0" applyBorder="0" applyAlignment="0" applyProtection="0"/>
    <xf numFmtId="0" fontId="53" fillId="85" borderId="0" applyNumberFormat="0" applyBorder="0" applyAlignment="0" applyProtection="0"/>
    <xf numFmtId="182" fontId="1" fillId="66" borderId="0" applyNumberFormat="0" applyBorder="0" applyAlignment="0" applyProtection="0"/>
    <xf numFmtId="0" fontId="53" fillId="78" borderId="0" applyNumberFormat="0" applyBorder="0" applyAlignment="0" applyProtection="0"/>
    <xf numFmtId="0" fontId="53" fillId="80" borderId="0" applyNumberFormat="0" applyBorder="0" applyAlignment="0" applyProtection="0"/>
    <xf numFmtId="182" fontId="1" fillId="68" borderId="0" applyNumberFormat="0" applyBorder="0" applyAlignment="0" applyProtection="0"/>
    <xf numFmtId="0" fontId="53" fillId="79" borderId="0" applyNumberFormat="0" applyBorder="0" applyAlignment="0" applyProtection="0"/>
    <xf numFmtId="182" fontId="1" fillId="70" borderId="0" applyNumberFormat="0" applyBorder="0" applyAlignment="0" applyProtection="0"/>
    <xf numFmtId="0" fontId="53" fillId="80" borderId="0" applyNumberFormat="0" applyBorder="0" applyAlignment="0" applyProtection="0"/>
    <xf numFmtId="0" fontId="53" fillId="85" borderId="0" applyNumberFormat="0" applyBorder="0" applyAlignment="0" applyProtection="0"/>
    <xf numFmtId="182" fontId="1" fillId="72" borderId="0" applyNumberFormat="0" applyBorder="0" applyAlignment="0" applyProtection="0"/>
    <xf numFmtId="0" fontId="53" fillId="81" borderId="0" applyNumberFormat="0" applyBorder="0" applyAlignment="0" applyProtection="0"/>
    <xf numFmtId="0" fontId="53" fillId="79" borderId="0" applyNumberFormat="0" applyBorder="0" applyAlignment="0" applyProtection="0"/>
    <xf numFmtId="182" fontId="1" fillId="63" borderId="0" applyNumberFormat="0" applyBorder="0" applyAlignment="0" applyProtection="0"/>
    <xf numFmtId="0" fontId="53" fillId="82" borderId="0" applyNumberFormat="0" applyBorder="0" applyAlignment="0" applyProtection="0"/>
    <xf numFmtId="182" fontId="1" fillId="65" borderId="0" applyNumberFormat="0" applyBorder="0" applyAlignment="0" applyProtection="0"/>
    <xf numFmtId="0" fontId="53" fillId="83" borderId="0" applyNumberFormat="0" applyBorder="0" applyAlignment="0" applyProtection="0"/>
    <xf numFmtId="0" fontId="53" fillId="86" borderId="0" applyNumberFormat="0" applyBorder="0" applyAlignment="0" applyProtection="0"/>
    <xf numFmtId="182" fontId="1" fillId="67" borderId="0" applyNumberFormat="0" applyBorder="0" applyAlignment="0" applyProtection="0"/>
    <xf numFmtId="0" fontId="53" fillId="78" borderId="0" applyNumberFormat="0" applyBorder="0" applyAlignment="0" applyProtection="0"/>
    <xf numFmtId="0" fontId="53" fillId="76" borderId="0" applyNumberFormat="0" applyBorder="0" applyAlignment="0" applyProtection="0"/>
    <xf numFmtId="182" fontId="1" fillId="69" borderId="0" applyNumberFormat="0" applyBorder="0" applyAlignment="0" applyProtection="0"/>
    <xf numFmtId="0" fontId="53" fillId="81" borderId="0" applyNumberFormat="0" applyBorder="0" applyAlignment="0" applyProtection="0"/>
    <xf numFmtId="0" fontId="53" fillId="79" borderId="0" applyNumberFormat="0" applyBorder="0" applyAlignment="0" applyProtection="0"/>
    <xf numFmtId="182" fontId="1" fillId="71" borderId="0" applyNumberFormat="0" applyBorder="0" applyAlignment="0" applyProtection="0"/>
    <xf numFmtId="0" fontId="53" fillId="84" borderId="0" applyNumberFormat="0" applyBorder="0" applyAlignment="0" applyProtection="0"/>
    <xf numFmtId="0" fontId="53" fillId="85" borderId="0" applyNumberFormat="0" applyBorder="0" applyAlignment="0" applyProtection="0"/>
    <xf numFmtId="182" fontId="1" fillId="73" borderId="0" applyNumberFormat="0" applyBorder="0" applyAlignment="0" applyProtection="0"/>
    <xf numFmtId="182" fontId="1" fillId="74" borderId="47" applyNumberFormat="0" applyFont="0" applyAlignment="0" applyProtection="0"/>
    <xf numFmtId="0" fontId="53" fillId="79" borderId="0" applyNumberFormat="0" applyBorder="0" applyAlignment="0" applyProtection="0"/>
    <xf numFmtId="0" fontId="53" fillId="82" borderId="0" applyNumberFormat="0" applyBorder="0" applyAlignment="0" applyProtection="0"/>
    <xf numFmtId="164" fontId="51" fillId="0" borderId="0" applyFont="0" applyFill="0" applyBorder="0" applyAlignment="0" applyProtection="0"/>
    <xf numFmtId="9" fontId="2" fillId="0" borderId="0" applyFont="0" applyFill="0" applyBorder="0" applyAlignment="0" applyProtection="0"/>
    <xf numFmtId="4" fontId="61" fillId="0" borderId="0" applyFont="0" applyFill="0" applyBorder="0" applyAlignment="0" applyProtection="0"/>
    <xf numFmtId="166" fontId="61" fillId="0" borderId="0" applyFont="0" applyFill="0" applyBorder="0" applyAlignment="0" applyProtection="0"/>
    <xf numFmtId="9" fontId="61"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1" fillId="0" borderId="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51" fillId="0" borderId="0" applyFont="0" applyFill="0" applyBorder="0" applyAlignment="0" applyProtection="0"/>
    <xf numFmtId="4" fontId="61" fillId="0" borderId="0" applyFont="0" applyFill="0" applyBorder="0" applyAlignment="0" applyProtection="0"/>
    <xf numFmtId="166" fontId="61" fillId="0" borderId="0" applyFont="0" applyFill="0" applyBorder="0" applyAlignment="0" applyProtection="0"/>
    <xf numFmtId="0" fontId="4" fillId="0" borderId="0" applyNumberFormat="0" applyFill="0" applyBorder="0" applyAlignment="0" applyProtection="0"/>
    <xf numFmtId="0" fontId="2" fillId="0" borderId="0"/>
    <xf numFmtId="9" fontId="61" fillId="0" borderId="0" applyFont="0" applyFill="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62" fillId="81" borderId="0" applyNumberFormat="0" applyBorder="0" applyAlignment="0" applyProtection="0"/>
    <xf numFmtId="167" fontId="1" fillId="0" borderId="0" applyFont="0" applyFill="0" applyBorder="0" applyAlignment="0" applyProtection="0"/>
    <xf numFmtId="4" fontId="61" fillId="0" borderId="0" applyFont="0" applyFill="0" applyBorder="0" applyAlignment="0" applyProtection="0"/>
    <xf numFmtId="0" fontId="62" fillId="78" borderId="0" applyNumberFormat="0" applyBorder="0" applyAlignment="0" applyProtection="0"/>
    <xf numFmtId="167" fontId="1" fillId="0" borderId="0" applyFont="0" applyFill="0" applyBorder="0" applyAlignment="0" applyProtection="0"/>
    <xf numFmtId="0" fontId="64" fillId="90"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4" fillId="88" borderId="0" applyNumberFormat="0" applyBorder="0" applyAlignment="0" applyProtection="0"/>
    <xf numFmtId="0" fontId="64" fillId="88" borderId="0" applyNumberFormat="0" applyBorder="0" applyAlignment="0" applyProtection="0"/>
    <xf numFmtId="167" fontId="1" fillId="0" borderId="0" applyFont="0" applyFill="0" applyBorder="0" applyAlignment="0" applyProtection="0"/>
    <xf numFmtId="0" fontId="66" fillId="0" borderId="50" applyNumberFormat="0" applyFill="0" applyAlignment="0" applyProtection="0"/>
    <xf numFmtId="0" fontId="62" fillId="79" borderId="0" applyNumberFormat="0" applyBorder="0" applyAlignment="0" applyProtection="0"/>
    <xf numFmtId="167" fontId="67" fillId="0" borderId="0" applyFont="0" applyFill="0" applyBorder="0" applyAlignment="0" applyProtection="0"/>
    <xf numFmtId="0" fontId="64" fillId="93" borderId="0" applyNumberFormat="0" applyBorder="0" applyAlignment="0" applyProtection="0"/>
    <xf numFmtId="0" fontId="63" fillId="0" borderId="0" applyNumberFormat="0" applyFill="0" applyBorder="0" applyAlignment="0" applyProtection="0"/>
    <xf numFmtId="167" fontId="1" fillId="0" borderId="0" applyFont="0" applyFill="0" applyBorder="0" applyAlignment="0" applyProtection="0"/>
    <xf numFmtId="0" fontId="62" fillId="83" borderId="0" applyNumberFormat="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2" fillId="77"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2" fillId="78"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5" fillId="95" borderId="49"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4" fillId="89" borderId="0" applyNumberFormat="0" applyBorder="0" applyAlignment="0" applyProtection="0"/>
    <xf numFmtId="0" fontId="62" fillId="81" borderId="0" applyNumberFormat="0" applyBorder="0" applyAlignment="0" applyProtection="0"/>
    <xf numFmtId="167" fontId="1" fillId="0" borderId="0" applyFont="0" applyFill="0" applyBorder="0" applyAlignment="0" applyProtection="0"/>
    <xf numFmtId="0" fontId="64" fillId="89"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 fillId="0" borderId="0" applyNumberFormat="0" applyFill="0" applyBorder="0">
      <alignment horizontal="center" wrapText="1"/>
    </xf>
    <xf numFmtId="167" fontId="1" fillId="0" borderId="0" applyFont="0" applyFill="0" applyBorder="0" applyAlignment="0" applyProtection="0"/>
    <xf numFmtId="167" fontId="1" fillId="0" borderId="0" applyFont="0" applyFill="0" applyBorder="0" applyAlignment="0" applyProtection="0"/>
    <xf numFmtId="0" fontId="3" fillId="0" borderId="0" applyNumberFormat="0" applyFill="0" applyBorder="0">
      <alignment horizontal="center" wrapText="1"/>
    </xf>
    <xf numFmtId="167" fontId="1" fillId="0" borderId="0" applyFont="0" applyFill="0" applyBorder="0" applyAlignment="0" applyProtection="0"/>
    <xf numFmtId="0" fontId="62" fillId="82" borderId="0" applyNumberFormat="0" applyBorder="0" applyAlignment="0" applyProtection="0"/>
    <xf numFmtId="0" fontId="62" fillId="84" borderId="0" applyNumberFormat="0" applyBorder="0" applyAlignment="0" applyProtection="0"/>
    <xf numFmtId="167" fontId="1" fillId="0" borderId="0" applyFont="0" applyFill="0" applyBorder="0" applyAlignment="0" applyProtection="0"/>
    <xf numFmtId="0" fontId="64" fillId="91"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83" fontId="2" fillId="0" borderId="0" applyFill="0" applyBorder="0" applyAlignment="0" applyProtection="0">
      <alignment wrapText="1"/>
    </xf>
    <xf numFmtId="167" fontId="1" fillId="0" borderId="0" applyFont="0" applyFill="0" applyBorder="0" applyAlignment="0" applyProtection="0"/>
    <xf numFmtId="167" fontId="1" fillId="0" borderId="0" applyFont="0" applyFill="0" applyBorder="0" applyAlignment="0" applyProtection="0"/>
    <xf numFmtId="0" fontId="62" fillId="76"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2" fillId="80" borderId="0" applyNumberFormat="0" applyBorder="0" applyAlignment="0" applyProtection="0"/>
    <xf numFmtId="0" fontId="64" fillId="94" borderId="0" applyNumberFormat="0" applyBorder="0" applyAlignment="0" applyProtection="0"/>
    <xf numFmtId="0" fontId="64" fillId="87" borderId="0" applyNumberFormat="0" applyBorder="0" applyAlignment="0" applyProtection="0"/>
    <xf numFmtId="167" fontId="1" fillId="0" borderId="0" applyFont="0" applyFill="0" applyBorder="0" applyAlignment="0" applyProtection="0"/>
    <xf numFmtId="0" fontId="64" fillId="92"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4" fillId="83" borderId="0" applyNumberFormat="0" applyBorder="0" applyAlignment="0" applyProtection="0"/>
    <xf numFmtId="0" fontId="64" fillId="82"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2" fillId="75"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0" fontId="62" fillId="85" borderId="51" applyNumberFormat="0" applyFont="0" applyAlignment="0" applyProtection="0"/>
    <xf numFmtId="164" fontId="2" fillId="0" borderId="0" applyFont="0" applyFill="0" applyBorder="0" applyAlignment="0" applyProtection="0"/>
    <xf numFmtId="0" fontId="68" fillId="80" borderId="49" applyNumberFormat="0" applyAlignment="0" applyProtection="0"/>
    <xf numFmtId="0" fontId="69" fillId="76" borderId="0" applyNumberFormat="0" applyBorder="0" applyAlignment="0" applyProtection="0"/>
    <xf numFmtId="0" fontId="70" fillId="8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2" fillId="0" borderId="0"/>
    <xf numFmtId="0" fontId="2" fillId="0" borderId="0"/>
    <xf numFmtId="0" fontId="61" fillId="0" borderId="0"/>
    <xf numFmtId="0" fontId="2" fillId="0" borderId="0"/>
    <xf numFmtId="0" fontId="67" fillId="0" borderId="0"/>
    <xf numFmtId="0" fontId="61" fillId="0" borderId="0"/>
    <xf numFmtId="4" fontId="61" fillId="0" borderId="0" applyFont="0" applyFill="0" applyBorder="0" applyAlignment="0" applyProtection="0"/>
    <xf numFmtId="0" fontId="2" fillId="0" borderId="0"/>
    <xf numFmtId="0" fontId="61" fillId="0" borderId="0"/>
    <xf numFmtId="0" fontId="2" fillId="0" borderId="0"/>
    <xf numFmtId="0" fontId="2" fillId="0" borderId="0"/>
    <xf numFmtId="0" fontId="61" fillId="0" borderId="0"/>
    <xf numFmtId="0" fontId="2" fillId="0" borderId="0"/>
    <xf numFmtId="0" fontId="2" fillId="0" borderId="0"/>
    <xf numFmtId="0" fontId="67"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1" fillId="77" borderId="0" applyNumberFormat="0" applyBorder="0" applyAlignment="0" applyProtection="0"/>
    <xf numFmtId="0" fontId="72" fillId="95" borderId="52" applyNumberFormat="0" applyAlignment="0" applyProtection="0"/>
    <xf numFmtId="183"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73" fillId="0" borderId="0" applyNumberFormat="0" applyFill="0" applyBorder="0" applyAlignment="0" applyProtection="0"/>
    <xf numFmtId="0" fontId="74" fillId="0" borderId="0" applyNumberFormat="0" applyFill="0" applyBorder="0" applyAlignment="0" applyProtection="0"/>
    <xf numFmtId="0" fontId="75" fillId="0" borderId="53" applyNumberFormat="0" applyFill="0" applyAlignment="0" applyProtection="0"/>
    <xf numFmtId="0" fontId="76" fillId="0" borderId="54" applyNumberFormat="0" applyFill="0" applyAlignment="0" applyProtection="0"/>
    <xf numFmtId="0" fontId="77" fillId="0" borderId="55" applyNumberFormat="0" applyFill="0" applyAlignment="0" applyProtection="0"/>
    <xf numFmtId="0" fontId="77" fillId="0" borderId="0" applyNumberFormat="0" applyFill="0" applyBorder="0" applyAlignment="0" applyProtection="0"/>
    <xf numFmtId="0" fontId="78" fillId="0" borderId="56" applyNumberFormat="0" applyFill="0" applyAlignment="0" applyProtection="0"/>
    <xf numFmtId="0" fontId="79" fillId="96" borderId="57"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1" fillId="0" borderId="0" applyFont="0" applyFill="0" applyBorder="0" applyAlignment="0" applyProtection="0"/>
    <xf numFmtId="167" fontId="1" fillId="0" borderId="0" applyFont="0" applyFill="0" applyBorder="0" applyAlignment="0" applyProtection="0"/>
    <xf numFmtId="4" fontId="6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4" fontId="6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1"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2" fillId="0" borderId="0"/>
    <xf numFmtId="0" fontId="2" fillId="0" borderId="0"/>
    <xf numFmtId="0" fontId="6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2" fillId="0" borderId="0"/>
    <xf numFmtId="0" fontId="67" fillId="0" borderId="0"/>
    <xf numFmtId="0" fontId="61" fillId="0" borderId="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2" fillId="0" borderId="0"/>
    <xf numFmtId="0" fontId="67" fillId="0" borderId="0"/>
    <xf numFmtId="0" fontId="61" fillId="0" borderId="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67" fillId="0" borderId="0"/>
    <xf numFmtId="0" fontId="6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5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67" fillId="0" borderId="0"/>
    <xf numFmtId="0" fontId="1" fillId="0" borderId="0"/>
    <xf numFmtId="0" fontId="1" fillId="0" borderId="0"/>
    <xf numFmtId="0" fontId="67"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2" fillId="0" borderId="0"/>
    <xf numFmtId="0" fontId="2" fillId="0" borderId="0"/>
    <xf numFmtId="0" fontId="2" fillId="0" borderId="0"/>
    <xf numFmtId="0" fontId="2" fillId="0" borderId="0" applyNumberFormat="0" applyFill="0" applyBorder="0" applyAlignment="0" applyProtection="0"/>
    <xf numFmtId="0" fontId="52" fillId="0" borderId="0"/>
    <xf numFmtId="0" fontId="2" fillId="0" borderId="0"/>
    <xf numFmtId="0" fontId="2" fillId="0" borderId="0"/>
    <xf numFmtId="0" fontId="2" fillId="0" borderId="0" applyNumberFormat="0" applyFill="0" applyBorder="0" applyAlignment="0" applyProtection="0"/>
    <xf numFmtId="0" fontId="52" fillId="0" borderId="0"/>
    <xf numFmtId="0" fontId="2" fillId="0" borderId="0"/>
    <xf numFmtId="0" fontId="2" fillId="0" borderId="0"/>
    <xf numFmtId="0" fontId="2" fillId="0" borderId="0" applyNumberFormat="0" applyFill="0" applyBorder="0" applyAlignment="0" applyProtection="0"/>
    <xf numFmtId="0" fontId="52" fillId="0" borderId="0"/>
    <xf numFmtId="0" fontId="2" fillId="0" borderId="0"/>
    <xf numFmtId="0" fontId="2" fillId="0" borderId="0"/>
    <xf numFmtId="0" fontId="2" fillId="0" borderId="0" applyNumberFormat="0" applyFill="0" applyBorder="0" applyAlignment="0" applyProtection="0"/>
    <xf numFmtId="0" fontId="52" fillId="0" borderId="0"/>
    <xf numFmtId="0" fontId="2" fillId="0" borderId="0"/>
    <xf numFmtId="0" fontId="2" fillId="0" borderId="0"/>
    <xf numFmtId="0" fontId="2" fillId="0" borderId="0"/>
    <xf numFmtId="0" fontId="52" fillId="0" borderId="0"/>
    <xf numFmtId="0" fontId="2" fillId="0" borderId="0"/>
    <xf numFmtId="0" fontId="2" fillId="0" borderId="0"/>
    <xf numFmtId="0" fontId="2" fillId="0" borderId="0"/>
    <xf numFmtId="0" fontId="2" fillId="0" borderId="0"/>
    <xf numFmtId="0" fontId="52" fillId="0" borderId="0"/>
    <xf numFmtId="0" fontId="2" fillId="0" borderId="0"/>
    <xf numFmtId="0" fontId="67" fillId="0" borderId="0"/>
    <xf numFmtId="0" fontId="67"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2" fillId="0" borderId="0" applyNumberFormat="0" applyFill="0" applyBorder="0" applyAlignment="0" applyProtection="0"/>
    <xf numFmtId="0" fontId="5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67" fillId="0" borderId="0"/>
    <xf numFmtId="0" fontId="2" fillId="0" borderId="0"/>
    <xf numFmtId="0" fontId="2" fillId="0" borderId="0"/>
    <xf numFmtId="0" fontId="2" fillId="0" borderId="0"/>
    <xf numFmtId="0" fontId="2"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xf numFmtId="0" fontId="2" fillId="0" borderId="0"/>
    <xf numFmtId="0" fontId="52" fillId="0" borderId="0"/>
    <xf numFmtId="0" fontId="2" fillId="0" borderId="0"/>
    <xf numFmtId="0" fontId="2" fillId="0" borderId="0"/>
    <xf numFmtId="0" fontId="1" fillId="0" borderId="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67"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67"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1" fillId="0" borderId="0" applyFont="0" applyFill="0" applyBorder="0" applyAlignment="0" applyProtection="0"/>
    <xf numFmtId="9" fontId="2" fillId="0" borderId="0" applyFont="0" applyFill="0" applyBorder="0" applyAlignment="0" applyProtection="0"/>
    <xf numFmtId="9" fontId="61" fillId="0" borderId="0" applyFont="0" applyFill="0" applyBorder="0" applyAlignment="0" applyProtection="0"/>
    <xf numFmtId="183"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62" borderId="0" applyNumberFormat="0" applyBorder="0" applyAlignment="0" applyProtection="0"/>
    <xf numFmtId="0" fontId="1" fillId="6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4" fontId="61" fillId="0" borderId="0" applyFont="0" applyFill="0" applyBorder="0" applyAlignment="0" applyProtection="0"/>
    <xf numFmtId="0" fontId="1" fillId="0" borderId="0"/>
    <xf numFmtId="0" fontId="1" fillId="74" borderId="47" applyNumberFormat="0" applyFont="0" applyAlignment="0" applyProtection="0"/>
    <xf numFmtId="0" fontId="1" fillId="74" borderId="4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66" borderId="0" applyNumberFormat="0" applyBorder="0" applyAlignment="0" applyProtection="0"/>
    <xf numFmtId="0" fontId="1" fillId="7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2" borderId="0" applyNumberFormat="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0" borderId="0" applyNumberFormat="0" applyBorder="0" applyAlignment="0" applyProtection="0"/>
    <xf numFmtId="0" fontId="1" fillId="73" borderId="0" applyNumberFormat="0" applyBorder="0" applyAlignment="0" applyProtection="0"/>
    <xf numFmtId="0" fontId="1" fillId="71" borderId="0" applyNumberFormat="0" applyBorder="0" applyAlignment="0" applyProtection="0"/>
    <xf numFmtId="0" fontId="1" fillId="69"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52" fillId="0" borderId="0"/>
    <xf numFmtId="0" fontId="52" fillId="0" borderId="0"/>
    <xf numFmtId="167" fontId="1" fillId="0" borderId="0" applyFont="0" applyFill="0" applyBorder="0" applyAlignment="0" applyProtection="0"/>
    <xf numFmtId="0" fontId="52" fillId="0" borderId="0"/>
    <xf numFmtId="0" fontId="52" fillId="0" borderId="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52" fillId="0" borderId="0"/>
    <xf numFmtId="0" fontId="2" fillId="0" borderId="0"/>
    <xf numFmtId="0" fontId="5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1" fillId="68"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4" borderId="0" applyNumberFormat="0" applyBorder="0" applyAlignment="0" applyProtection="0"/>
    <xf numFmtId="0" fontId="1" fillId="67" borderId="0" applyNumberFormat="0" applyBorder="0" applyAlignment="0" applyProtection="0"/>
    <xf numFmtId="0" fontId="1" fillId="72" borderId="0" applyNumberFormat="0" applyBorder="0" applyAlignment="0" applyProtection="0"/>
    <xf numFmtId="0" fontId="1" fillId="70"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166" fontId="61" fillId="0" borderId="0" applyFont="0" applyFill="0" applyBorder="0" applyAlignment="0" applyProtection="0"/>
    <xf numFmtId="0" fontId="2" fillId="0" borderId="0"/>
    <xf numFmtId="167" fontId="51" fillId="0" borderId="0" applyFont="0" applyFill="0" applyBorder="0" applyAlignment="0" applyProtection="0"/>
    <xf numFmtId="166" fontId="61" fillId="0" borderId="0" applyFont="0" applyFill="0" applyBorder="0" applyAlignment="0" applyProtection="0"/>
    <xf numFmtId="0" fontId="1" fillId="0" borderId="0"/>
    <xf numFmtId="167"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52" fillId="0" borderId="0"/>
    <xf numFmtId="182" fontId="1" fillId="62" borderId="0" applyNumberFormat="0" applyBorder="0" applyAlignment="0" applyProtection="0"/>
    <xf numFmtId="182" fontId="1" fillId="64" borderId="0" applyNumberFormat="0" applyBorder="0" applyAlignment="0" applyProtection="0"/>
    <xf numFmtId="182" fontId="1" fillId="66" borderId="0" applyNumberFormat="0" applyBorder="0" applyAlignment="0" applyProtection="0"/>
    <xf numFmtId="182" fontId="1" fillId="68" borderId="0" applyNumberFormat="0" applyBorder="0" applyAlignment="0" applyProtection="0"/>
    <xf numFmtId="182" fontId="1" fillId="72" borderId="0" applyNumberFormat="0" applyBorder="0" applyAlignment="0" applyProtection="0"/>
    <xf numFmtId="182" fontId="1" fillId="63"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3" borderId="0" applyNumberFormat="0" applyBorder="0" applyAlignment="0" applyProtection="0"/>
    <xf numFmtId="0" fontId="53" fillId="79" borderId="0" applyNumberFormat="0" applyBorder="0" applyAlignment="0" applyProtection="0"/>
    <xf numFmtId="0" fontId="53" fillId="82"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167" fontId="1" fillId="0" borderId="0" applyFont="0" applyFill="0" applyBorder="0" applyAlignment="0" applyProtection="0"/>
    <xf numFmtId="167" fontId="1" fillId="0" borderId="0" applyFont="0" applyFill="0" applyBorder="0" applyAlignment="0" applyProtection="0"/>
    <xf numFmtId="0" fontId="52" fillId="0" borderId="0"/>
    <xf numFmtId="0" fontId="1" fillId="0" borderId="0"/>
    <xf numFmtId="0" fontId="1" fillId="0" borderId="0"/>
    <xf numFmtId="0" fontId="1" fillId="0" borderId="0"/>
    <xf numFmtId="0" fontId="1" fillId="0" borderId="0"/>
    <xf numFmtId="0" fontId="1" fillId="0" borderId="0"/>
    <xf numFmtId="0" fontId="2" fillId="0" borderId="0"/>
    <xf numFmtId="167" fontId="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6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 fillId="0" borderId="0"/>
    <xf numFmtId="0" fontId="2"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9"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82" fontId="1" fillId="62" borderId="0" applyNumberFormat="0" applyBorder="0" applyAlignment="0" applyProtection="0"/>
    <xf numFmtId="182" fontId="1" fillId="64" borderId="0" applyNumberFormat="0" applyBorder="0" applyAlignment="0" applyProtection="0"/>
    <xf numFmtId="182" fontId="1" fillId="66" borderId="0" applyNumberFormat="0" applyBorder="0" applyAlignment="0" applyProtection="0"/>
    <xf numFmtId="182" fontId="1" fillId="68" borderId="0" applyNumberFormat="0" applyBorder="0" applyAlignment="0" applyProtection="0"/>
    <xf numFmtId="182" fontId="1" fillId="72" borderId="0" applyNumberFormat="0" applyBorder="0" applyAlignment="0" applyProtection="0"/>
    <xf numFmtId="182" fontId="1" fillId="63"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 fillId="0" borderId="0"/>
    <xf numFmtId="166" fontId="61" fillId="0" borderId="0" applyFont="0" applyFill="0" applyBorder="0" applyAlignment="0" applyProtection="0"/>
    <xf numFmtId="9" fontId="61"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51" fillId="0" borderId="0" applyFont="0" applyFill="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74" borderId="47" applyNumberFormat="0" applyFont="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51" fillId="0" borderId="0" applyFont="0" applyFill="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9" fontId="1" fillId="0" borderId="0" applyFont="0" applyFill="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82" fontId="1" fillId="62" borderId="0" applyNumberFormat="0" applyBorder="0" applyAlignment="0" applyProtection="0"/>
    <xf numFmtId="182" fontId="1" fillId="64" borderId="0" applyNumberFormat="0" applyBorder="0" applyAlignment="0" applyProtection="0"/>
    <xf numFmtId="182" fontId="1" fillId="66" borderId="0" applyNumberFormat="0" applyBorder="0" applyAlignment="0" applyProtection="0"/>
    <xf numFmtId="182" fontId="1" fillId="68" borderId="0" applyNumberFormat="0" applyBorder="0" applyAlignment="0" applyProtection="0"/>
    <xf numFmtId="182" fontId="1" fillId="72" borderId="0" applyNumberFormat="0" applyBorder="0" applyAlignment="0" applyProtection="0"/>
    <xf numFmtId="182" fontId="1" fillId="63"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1" fillId="74" borderId="47" applyNumberFormat="0" applyFont="0" applyAlignment="0" applyProtection="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9" fontId="2" fillId="0" borderId="0" applyFont="0" applyFill="0" applyBorder="0" applyAlignment="0" applyProtection="0"/>
    <xf numFmtId="167" fontId="2" fillId="0" borderId="0" applyFont="0" applyFill="0" applyBorder="0" applyAlignment="0" applyProtection="0"/>
    <xf numFmtId="0" fontId="5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2" fillId="0" borderId="0"/>
    <xf numFmtId="0" fontId="52" fillId="0" borderId="0"/>
    <xf numFmtId="0" fontId="52" fillId="0" borderId="0"/>
    <xf numFmtId="0" fontId="90" fillId="0" borderId="0"/>
    <xf numFmtId="167" fontId="2" fillId="0" borderId="0" applyFont="0" applyFill="0" applyBorder="0" applyAlignment="0" applyProtection="0"/>
    <xf numFmtId="164" fontId="2" fillId="0" borderId="0" applyFont="0" applyFill="0" applyBorder="0" applyAlignment="0" applyProtection="0"/>
    <xf numFmtId="0" fontId="90" fillId="0" borderId="0"/>
    <xf numFmtId="167"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5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0" fillId="0" borderId="0"/>
    <xf numFmtId="167" fontId="2" fillId="0" borderId="0" applyFont="0" applyFill="0" applyBorder="0" applyAlignment="0" applyProtection="0"/>
    <xf numFmtId="164" fontId="2" fillId="0" borderId="0" applyFont="0" applyFill="0" applyBorder="0" applyAlignment="0" applyProtection="0"/>
    <xf numFmtId="0" fontId="52" fillId="0" borderId="0"/>
    <xf numFmtId="167" fontId="2" fillId="0" borderId="0" applyFont="0" applyFill="0" applyBorder="0" applyAlignment="0" applyProtection="0"/>
    <xf numFmtId="0" fontId="51" fillId="0" borderId="0"/>
    <xf numFmtId="0" fontId="51" fillId="0" borderId="0"/>
    <xf numFmtId="0" fontId="1" fillId="0" borderId="0"/>
    <xf numFmtId="0" fontId="52" fillId="0" borderId="0"/>
    <xf numFmtId="0" fontId="95" fillId="0" borderId="0"/>
    <xf numFmtId="167" fontId="2" fillId="0" borderId="0" applyFont="0" applyFill="0" applyBorder="0" applyAlignment="0" applyProtection="0"/>
    <xf numFmtId="164" fontId="2" fillId="0" borderId="0" applyFont="0" applyFill="0" applyBorder="0" applyAlignment="0" applyProtection="0"/>
    <xf numFmtId="0" fontId="95" fillId="0" borderId="0"/>
    <xf numFmtId="167"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5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 fillId="0" borderId="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52" fillId="0" borderId="0"/>
    <xf numFmtId="0" fontId="52" fillId="0" borderId="0"/>
    <xf numFmtId="167" fontId="2"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0" fontId="52" fillId="0" borderId="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0" fontId="1" fillId="0" borderId="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98" fillId="0" borderId="0" applyFill="0" applyBorder="0"/>
    <xf numFmtId="0" fontId="108" fillId="0" borderId="0"/>
    <xf numFmtId="0" fontId="102" fillId="0" borderId="0">
      <alignment horizontal="right"/>
    </xf>
    <xf numFmtId="0" fontId="106" fillId="0" borderId="0"/>
    <xf numFmtId="0" fontId="101" fillId="0" borderId="0"/>
    <xf numFmtId="0" fontId="104" fillId="0" borderId="0"/>
    <xf numFmtId="0" fontId="107" fillId="0" borderId="59" applyNumberFormat="0" applyAlignment="0"/>
    <xf numFmtId="0" fontId="100" fillId="0" borderId="0" applyAlignment="0">
      <alignment horizontal="left"/>
    </xf>
    <xf numFmtId="0" fontId="100" fillId="0" borderId="0">
      <alignment horizontal="right"/>
    </xf>
    <xf numFmtId="170" fontId="100" fillId="0" borderId="0">
      <alignment horizontal="right"/>
    </xf>
    <xf numFmtId="178" fontId="103" fillId="0" borderId="0">
      <alignment horizontal="right"/>
    </xf>
    <xf numFmtId="0" fontId="105" fillId="0" borderId="0"/>
    <xf numFmtId="167" fontId="99" fillId="0" borderId="0" applyFont="0" applyFill="0" applyBorder="0" applyAlignment="0" applyProtection="0"/>
    <xf numFmtId="170" fontId="99" fillId="0" borderId="0" applyFont="0" applyFill="0" applyBorder="0" applyAlignment="0" applyProtection="0"/>
    <xf numFmtId="167" fontId="53" fillId="0" borderId="0" applyFont="0" applyFill="0" applyBorder="0" applyAlignment="0" applyProtection="0"/>
    <xf numFmtId="167" fontId="1" fillId="0" borderId="0" applyFont="0" applyFill="0" applyBorder="0" applyAlignment="0" applyProtection="0"/>
    <xf numFmtId="0" fontId="97" fillId="0" borderId="0" applyFill="0" applyBorder="0"/>
    <xf numFmtId="170" fontId="99" fillId="0" borderId="0" applyFont="0" applyFill="0" applyBorder="0" applyAlignment="0" applyProtection="0"/>
    <xf numFmtId="0" fontId="97" fillId="0" borderId="0" applyFill="0" applyBorder="0"/>
    <xf numFmtId="170" fontId="99" fillId="0" borderId="0" applyFont="0" applyFill="0" applyBorder="0" applyAlignment="0" applyProtection="0"/>
    <xf numFmtId="0" fontId="97" fillId="0" borderId="0" applyFill="0" applyBorder="0"/>
    <xf numFmtId="170" fontId="99" fillId="0" borderId="0" applyFont="0" applyFill="0" applyBorder="0" applyAlignment="0" applyProtection="0"/>
    <xf numFmtId="0" fontId="97" fillId="0" borderId="0" applyFill="0" applyBorder="0"/>
    <xf numFmtId="0" fontId="3" fillId="0" borderId="0"/>
    <xf numFmtId="0" fontId="97" fillId="0" borderId="0" applyFill="0" applyBorder="0"/>
    <xf numFmtId="0" fontId="97" fillId="0" borderId="0" applyFill="0" applyBorder="0"/>
    <xf numFmtId="0" fontId="109" fillId="0" borderId="0" applyFill="0" applyBorder="0"/>
    <xf numFmtId="0" fontId="110" fillId="0" borderId="0" applyNumberFormat="0" applyFill="0" applyBorder="0" applyAlignment="0" applyProtection="0">
      <alignment vertical="top"/>
      <protection locked="0"/>
    </xf>
    <xf numFmtId="167" fontId="53" fillId="0" borderId="0" applyFont="0" applyFill="0" applyBorder="0" applyAlignment="0" applyProtection="0"/>
    <xf numFmtId="0" fontId="111" fillId="0" borderId="0"/>
    <xf numFmtId="0" fontId="1" fillId="0" borderId="0"/>
    <xf numFmtId="0" fontId="2" fillId="0" borderId="0"/>
    <xf numFmtId="167"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52" fillId="0" borderId="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18" fillId="0" borderId="0" applyNumberFormat="0" applyFill="0" applyBorder="0" applyAlignment="0" applyProtection="0"/>
    <xf numFmtId="0" fontId="1" fillId="0" borderId="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19" fillId="0" borderId="0" applyNumberFormat="0" applyFill="0" applyBorder="0" applyAlignment="0" applyProtection="0"/>
    <xf numFmtId="0" fontId="1" fillId="0" borderId="0"/>
    <xf numFmtId="0" fontId="1" fillId="0" borderId="0"/>
    <xf numFmtId="0" fontId="1" fillId="74" borderId="47"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189" fontId="97" fillId="0" borderId="0"/>
    <xf numFmtId="1" fontId="123" fillId="0" borderId="35">
      <alignment vertical="top"/>
    </xf>
    <xf numFmtId="167" fontId="128" fillId="0" borderId="0" applyFont="0" applyFill="0" applyBorder="0" applyAlignment="0" applyProtection="0"/>
    <xf numFmtId="167" fontId="128" fillId="0" borderId="0" applyFont="0" applyFill="0" applyBorder="0" applyAlignment="0" applyProtection="0"/>
    <xf numFmtId="167" fontId="2" fillId="0" borderId="0" applyFont="0" applyFill="0" applyBorder="0" applyAlignment="0" applyProtection="0"/>
    <xf numFmtId="187" fontId="126" fillId="0" borderId="0"/>
    <xf numFmtId="187" fontId="97" fillId="0" borderId="0"/>
    <xf numFmtId="189" fontId="142" fillId="0" borderId="0" applyNumberFormat="0" applyFill="0" applyBorder="0" applyAlignment="0" applyProtection="0"/>
    <xf numFmtId="190" fontId="97" fillId="0" borderId="0"/>
    <xf numFmtId="188" fontId="97" fillId="0" borderId="0"/>
    <xf numFmtId="189" fontId="97" fillId="0" borderId="0"/>
    <xf numFmtId="0" fontId="143" fillId="0" borderId="0"/>
    <xf numFmtId="0" fontId="1" fillId="0" borderId="0"/>
    <xf numFmtId="0" fontId="129" fillId="0" borderId="0"/>
    <xf numFmtId="0" fontId="128" fillId="0" borderId="0"/>
    <xf numFmtId="0" fontId="97" fillId="0" borderId="0"/>
    <xf numFmtId="0" fontId="97" fillId="0" borderId="0"/>
    <xf numFmtId="0" fontId="97" fillId="0" borderId="0"/>
    <xf numFmtId="0" fontId="97" fillId="0" borderId="0"/>
    <xf numFmtId="9" fontId="129" fillId="0" borderId="0" applyFont="0" applyFill="0" applyBorder="0" applyAlignment="0" applyProtection="0"/>
    <xf numFmtId="9" fontId="97" fillId="0" borderId="0" applyFont="0" applyFill="0" applyBorder="0" applyAlignment="0" applyProtection="0"/>
    <xf numFmtId="189" fontId="124" fillId="0" borderId="0"/>
    <xf numFmtId="49" fontId="130" fillId="127" borderId="72">
      <alignment horizontal="center"/>
    </xf>
    <xf numFmtId="0" fontId="131" fillId="126" borderId="0"/>
    <xf numFmtId="49" fontId="132" fillId="128" borderId="72">
      <alignment horizontal="center"/>
    </xf>
    <xf numFmtId="49" fontId="133" fillId="127" borderId="72">
      <alignment horizontal="center"/>
    </xf>
    <xf numFmtId="0" fontId="134" fillId="126" borderId="0"/>
    <xf numFmtId="49" fontId="128" fillId="128" borderId="72">
      <alignment horizontal="center"/>
    </xf>
    <xf numFmtId="49" fontId="135" fillId="0" borderId="0"/>
    <xf numFmtId="0" fontId="136" fillId="129" borderId="73"/>
    <xf numFmtId="0" fontId="136" fillId="130" borderId="73"/>
    <xf numFmtId="38" fontId="137" fillId="131" borderId="73"/>
    <xf numFmtId="191" fontId="138" fillId="131" borderId="73"/>
    <xf numFmtId="0" fontId="136" fillId="131" borderId="73"/>
    <xf numFmtId="49" fontId="139" fillId="127" borderId="72">
      <alignment vertical="center"/>
    </xf>
    <xf numFmtId="49" fontId="140" fillId="132" borderId="72">
      <alignment horizontal="left" vertical="center"/>
    </xf>
    <xf numFmtId="49" fontId="132" fillId="128" borderId="72">
      <alignment vertical="center"/>
    </xf>
    <xf numFmtId="49" fontId="137" fillId="127" borderId="72">
      <alignment vertical="center"/>
    </xf>
    <xf numFmtId="49" fontId="141" fillId="132" borderId="72">
      <alignment horizontal="left" vertical="center"/>
    </xf>
    <xf numFmtId="49" fontId="128" fillId="128" borderId="72">
      <alignment vertical="center"/>
    </xf>
    <xf numFmtId="49" fontId="137" fillId="0" borderId="0">
      <alignment horizontal="right"/>
    </xf>
    <xf numFmtId="49" fontId="129" fillId="0" borderId="72">
      <alignment horizontal="right" vertical="center"/>
    </xf>
    <xf numFmtId="49" fontId="128" fillId="0" borderId="0">
      <alignment horizontal="right"/>
    </xf>
    <xf numFmtId="0" fontId="136" fillId="133" borderId="73"/>
    <xf numFmtId="0" fontId="2" fillId="0" borderId="0"/>
    <xf numFmtId="189" fontId="125" fillId="0" borderId="0"/>
    <xf numFmtId="187" fontId="120" fillId="0" borderId="0"/>
    <xf numFmtId="187" fontId="127" fillId="0" borderId="0"/>
    <xf numFmtId="189" fontId="123" fillId="0" borderId="13" applyAlignment="0">
      <alignment horizontal="right"/>
    </xf>
    <xf numFmtId="190" fontId="123" fillId="0" borderId="13" applyAlignment="0"/>
    <xf numFmtId="188" fontId="123" fillId="0" borderId="13" applyAlignment="0"/>
    <xf numFmtId="0" fontId="122" fillId="0" borderId="13" applyFont="0" applyFill="0" applyBorder="0" applyAlignment="0" applyProtection="0"/>
    <xf numFmtId="0" fontId="2" fillId="0" borderId="0"/>
    <xf numFmtId="167"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52" fillId="0" borderId="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52" fillId="0" borderId="0"/>
    <xf numFmtId="0" fontId="2" fillId="0" borderId="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0" fontId="144" fillId="0" borderId="0"/>
    <xf numFmtId="0" fontId="144" fillId="0" borderId="0"/>
    <xf numFmtId="0" fontId="144" fillId="0" borderId="0"/>
    <xf numFmtId="167" fontId="128" fillId="0" borderId="0" applyFont="0" applyFill="0" applyBorder="0" applyAlignment="0" applyProtection="0"/>
    <xf numFmtId="167" fontId="128" fillId="0" borderId="0" applyFont="0" applyFill="0" applyBorder="0" applyAlignment="0" applyProtection="0"/>
    <xf numFmtId="167" fontId="2" fillId="0" borderId="0" applyFont="0" applyFill="0" applyBorder="0" applyAlignment="0" applyProtection="0"/>
    <xf numFmtId="0" fontId="52" fillId="0" borderId="0"/>
    <xf numFmtId="0" fontId="2" fillId="0" borderId="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0" fontId="52" fillId="0" borderId="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2" fillId="0" borderId="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145" fillId="0" borderId="0"/>
    <xf numFmtId="0" fontId="145" fillId="0" borderId="0"/>
    <xf numFmtId="0" fontId="145" fillId="0" borderId="0"/>
    <xf numFmtId="0" fontId="2" fillId="0" borderId="0"/>
    <xf numFmtId="0" fontId="145" fillId="0" borderId="0"/>
    <xf numFmtId="0" fontId="62" fillId="0" borderId="0">
      <alignment vertical="top"/>
    </xf>
    <xf numFmtId="0" fontId="145" fillId="0" borderId="0"/>
    <xf numFmtId="0" fontId="145" fillId="0" borderId="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51" fillId="0" borderId="0" applyFont="0" applyFill="0" applyBorder="0" applyAlignment="0" applyProtection="0"/>
    <xf numFmtId="166" fontId="6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61"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61" fillId="0" borderId="0" applyFont="0" applyFill="0" applyBorder="0" applyAlignment="0" applyProtection="0"/>
    <xf numFmtId="0" fontId="2" fillId="0" borderId="0"/>
    <xf numFmtId="0" fontId="2" fillId="0" borderId="0"/>
    <xf numFmtId="167" fontId="1" fillId="0" borderId="0" applyFont="0" applyFill="0" applyBorder="0" applyAlignment="0" applyProtection="0"/>
  </cellStyleXfs>
  <cellXfs count="2096">
    <xf numFmtId="0" fontId="0" fillId="0" borderId="0" xfId="0"/>
    <xf numFmtId="17" fontId="0" fillId="0" borderId="0" xfId="0" applyNumberFormat="1"/>
    <xf numFmtId="0" fontId="0" fillId="0" borderId="0" xfId="0"/>
    <xf numFmtId="0" fontId="0" fillId="0" borderId="0" xfId="0"/>
    <xf numFmtId="0" fontId="5" fillId="0" borderId="0" xfId="0" applyFont="1"/>
    <xf numFmtId="3" fontId="0" fillId="0" borderId="0" xfId="0" applyNumberFormat="1"/>
    <xf numFmtId="17" fontId="0" fillId="0" borderId="0" xfId="0" applyNumberFormat="1" applyFill="1"/>
    <xf numFmtId="0" fontId="7" fillId="8" borderId="15" xfId="0" applyFont="1" applyFill="1" applyBorder="1"/>
    <xf numFmtId="0" fontId="0" fillId="0" borderId="0" xfId="0" applyFont="1"/>
    <xf numFmtId="172" fontId="0" fillId="0" borderId="21" xfId="0" applyNumberFormat="1" applyFont="1" applyFill="1" applyBorder="1"/>
    <xf numFmtId="172" fontId="0" fillId="0" borderId="20" xfId="0" applyNumberFormat="1" applyFont="1" applyFill="1" applyBorder="1"/>
    <xf numFmtId="0" fontId="1" fillId="0" borderId="0" xfId="0" applyFont="1"/>
    <xf numFmtId="0" fontId="0" fillId="0" borderId="0" xfId="0"/>
    <xf numFmtId="0" fontId="0" fillId="0" borderId="0" xfId="0"/>
    <xf numFmtId="172" fontId="0" fillId="0" borderId="0" xfId="0" applyNumberFormat="1"/>
    <xf numFmtId="172" fontId="0" fillId="0" borderId="0" xfId="0" applyNumberFormat="1" applyFont="1" applyFill="1" applyBorder="1"/>
    <xf numFmtId="0" fontId="0" fillId="0" borderId="0" xfId="0"/>
    <xf numFmtId="0" fontId="0" fillId="0" borderId="0" xfId="0"/>
    <xf numFmtId="0" fontId="0" fillId="0" borderId="0" xfId="0"/>
    <xf numFmtId="0" fontId="0" fillId="0" borderId="0" xfId="0" applyFill="1"/>
    <xf numFmtId="0" fontId="7" fillId="19" borderId="15" xfId="0" applyFont="1" applyFill="1" applyBorder="1"/>
    <xf numFmtId="0" fontId="7" fillId="19" borderId="18" xfId="0" applyFont="1" applyFill="1" applyBorder="1"/>
    <xf numFmtId="169" fontId="2" fillId="0" borderId="0" xfId="0" applyNumberFormat="1" applyFont="1" applyFill="1"/>
    <xf numFmtId="169" fontId="0" fillId="0" borderId="0" xfId="0" applyNumberFormat="1" applyFill="1"/>
    <xf numFmtId="172" fontId="0" fillId="22" borderId="20" xfId="0" applyNumberFormat="1" applyFont="1" applyFill="1" applyBorder="1"/>
    <xf numFmtId="0" fontId="0" fillId="0" borderId="0" xfId="0"/>
    <xf numFmtId="0" fontId="0" fillId="0" borderId="0" xfId="0"/>
    <xf numFmtId="0" fontId="0" fillId="0" borderId="0" xfId="0"/>
    <xf numFmtId="0" fontId="6" fillId="14" borderId="0" xfId="0" applyFont="1" applyFill="1" applyBorder="1"/>
    <xf numFmtId="0" fontId="0" fillId="13" borderId="27" xfId="0" applyFill="1" applyBorder="1"/>
    <xf numFmtId="0" fontId="0" fillId="7" borderId="27" xfId="0"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179" fontId="0" fillId="0" borderId="0" xfId="0" applyNumberFormat="1"/>
    <xf numFmtId="172" fontId="5" fillId="0" borderId="0" xfId="0" applyNumberFormat="1" applyFont="1"/>
    <xf numFmtId="0" fontId="7" fillId="0" borderId="0" xfId="0" applyFont="1" applyFill="1" applyBorder="1"/>
    <xf numFmtId="0" fontId="7" fillId="0" borderId="0" xfId="0" applyFont="1" applyFill="1" applyBorder="1" applyAlignment="1">
      <alignment horizontal="center"/>
    </xf>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72" fontId="0" fillId="0" borderId="0" xfId="0" applyNumberFormat="1" applyFill="1"/>
    <xf numFmtId="0" fontId="9" fillId="0" borderId="0" xfId="0" applyFont="1" applyFill="1" applyAlignment="1">
      <alignment horizontal="center"/>
    </xf>
    <xf numFmtId="0" fontId="9" fillId="0" borderId="0" xfId="0" applyFont="1" applyFill="1" applyBorder="1" applyAlignment="1">
      <alignment horizontal="center"/>
    </xf>
    <xf numFmtId="0" fontId="0" fillId="0" borderId="1" xfId="0" applyBorder="1"/>
    <xf numFmtId="0" fontId="0" fillId="0" borderId="0" xfId="0" applyAlignment="1"/>
    <xf numFmtId="0" fontId="0" fillId="0" borderId="0" xfId="0"/>
    <xf numFmtId="3" fontId="0" fillId="0" borderId="0" xfId="0" applyNumberFormat="1"/>
    <xf numFmtId="0" fontId="7" fillId="50" borderId="14" xfId="0" applyFont="1" applyFill="1" applyBorder="1" applyAlignment="1">
      <alignment horizontal="center"/>
    </xf>
    <xf numFmtId="0" fontId="5" fillId="50" borderId="19" xfId="0" applyFont="1" applyFill="1" applyBorder="1" applyAlignment="1">
      <alignment horizontal="center"/>
    </xf>
    <xf numFmtId="0" fontId="7" fillId="50" borderId="24" xfId="0" applyFont="1" applyFill="1" applyBorder="1" applyAlignment="1">
      <alignment horizontal="center"/>
    </xf>
    <xf numFmtId="168" fontId="0" fillId="0" borderId="0" xfId="0" applyNumberFormat="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11" fillId="0" borderId="0" xfId="0" applyFont="1"/>
    <xf numFmtId="49" fontId="0" fillId="0" borderId="0" xfId="0" applyNumberFormat="1"/>
    <xf numFmtId="2" fontId="0" fillId="0" borderId="0" xfId="0" applyNumberFormat="1"/>
    <xf numFmtId="0" fontId="0" fillId="0" borderId="0" xfId="0"/>
    <xf numFmtId="0" fontId="0" fillId="0" borderId="0" xfId="0" applyFont="1"/>
    <xf numFmtId="0" fontId="0" fillId="0" borderId="0" xfId="0"/>
    <xf numFmtId="0" fontId="0" fillId="0" borderId="0" xfId="0" applyFont="1" applyFill="1"/>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6" fillId="0" borderId="0" xfId="0" applyFont="1" applyAlignment="1">
      <alignment horizontal="right"/>
    </xf>
    <xf numFmtId="0" fontId="6" fillId="0" borderId="0" xfId="0" applyFont="1" applyBorder="1"/>
    <xf numFmtId="0" fontId="6" fillId="0" borderId="0" xfId="0" applyFont="1" applyFill="1" applyBorder="1"/>
    <xf numFmtId="0" fontId="11" fillId="0" borderId="0" xfId="0" applyFont="1"/>
    <xf numFmtId="0" fontId="0" fillId="6" borderId="0" xfId="0" applyFont="1" applyFill="1"/>
    <xf numFmtId="0" fontId="0" fillId="49" borderId="0" xfId="0" applyFont="1" applyFill="1"/>
    <xf numFmtId="0" fontId="0" fillId="10" borderId="0" xfId="0" applyFont="1" applyFill="1"/>
    <xf numFmtId="0" fontId="0" fillId="26" borderId="0" xfId="0" applyFont="1" applyFill="1"/>
    <xf numFmtId="0" fontId="0" fillId="3" borderId="0" xfId="0" applyFont="1" applyFill="1"/>
    <xf numFmtId="0" fontId="0" fillId="13" borderId="0" xfId="0" applyFont="1" applyFill="1"/>
    <xf numFmtId="0" fontId="0" fillId="2" borderId="0" xfId="0" applyFont="1" applyFill="1"/>
    <xf numFmtId="0" fontId="31" fillId="0" borderId="0" xfId="0" applyFont="1"/>
    <xf numFmtId="0" fontId="6" fillId="0" borderId="0" xfId="0" applyFont="1" applyBorder="1"/>
    <xf numFmtId="0" fontId="0" fillId="0" borderId="0" xfId="0"/>
    <xf numFmtId="169" fontId="8" fillId="0" borderId="0" xfId="0" applyNumberFormat="1" applyFont="1" applyFill="1"/>
    <xf numFmtId="0" fontId="8" fillId="0" borderId="0" xfId="0" applyFont="1"/>
    <xf numFmtId="2" fontId="0" fillId="0" borderId="0" xfId="0" applyNumberFormat="1" applyFont="1" applyFill="1" applyBorder="1"/>
    <xf numFmtId="2" fontId="0" fillId="0" borderId="0" xfId="0" applyNumberFormat="1" applyFill="1"/>
    <xf numFmtId="0" fontId="8" fillId="0" borderId="0" xfId="0" applyFont="1"/>
    <xf numFmtId="0" fontId="6" fillId="0" borderId="0" xfId="0" applyFont="1" applyFill="1"/>
    <xf numFmtId="0" fontId="6" fillId="2" borderId="0" xfId="0" applyFont="1" applyFill="1"/>
    <xf numFmtId="0" fontId="6" fillId="0" borderId="0" xfId="0" applyFont="1" applyFill="1"/>
    <xf numFmtId="0" fontId="6" fillId="26" borderId="0" xfId="0" applyFont="1" applyFill="1"/>
    <xf numFmtId="0" fontId="0" fillId="28" borderId="0" xfId="0" applyFont="1" applyFill="1"/>
    <xf numFmtId="0" fontId="6" fillId="49" borderId="0" xfId="0" applyFont="1" applyFill="1"/>
    <xf numFmtId="0" fontId="6" fillId="52" borderId="0" xfId="0" applyFont="1" applyFill="1"/>
    <xf numFmtId="0" fontId="0" fillId="54" borderId="0" xfId="0" applyFont="1" applyFill="1"/>
    <xf numFmtId="0" fontId="6" fillId="28" borderId="0" xfId="0" applyFont="1" applyFill="1"/>
    <xf numFmtId="0" fontId="6" fillId="6" borderId="0" xfId="0" applyFont="1" applyFill="1"/>
    <xf numFmtId="0" fontId="0" fillId="52" borderId="0" xfId="0" applyFont="1" applyFill="1"/>
    <xf numFmtId="0" fontId="6" fillId="54" borderId="0" xfId="0" applyFont="1" applyFill="1"/>
    <xf numFmtId="0" fontId="6" fillId="13" borderId="0" xfId="0" applyFont="1" applyFill="1"/>
    <xf numFmtId="0" fontId="6" fillId="0" borderId="0" xfId="0" applyFont="1"/>
    <xf numFmtId="0" fontId="6" fillId="3" borderId="0" xfId="0" applyFont="1" applyFill="1"/>
    <xf numFmtId="0" fontId="9" fillId="0" borderId="0" xfId="0" applyFont="1"/>
    <xf numFmtId="0" fontId="6" fillId="0" borderId="0" xfId="0" applyFont="1" applyAlignment="1">
      <alignment horizontal="center"/>
    </xf>
    <xf numFmtId="169"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34"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applyAlignment="1">
      <alignment horizontal="center"/>
    </xf>
    <xf numFmtId="22" fontId="35" fillId="0" borderId="0" xfId="0" applyNumberFormat="1"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34"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36"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37" fillId="0" borderId="0" xfId="0" applyFont="1" applyFill="1" applyBorder="1" applyAlignment="1" applyProtection="1">
      <alignment horizontal="left"/>
      <protection locked="0"/>
    </xf>
    <xf numFmtId="3" fontId="8" fillId="0" borderId="0" xfId="0" applyNumberFormat="1" applyFont="1" applyFill="1" applyBorder="1"/>
    <xf numFmtId="0" fontId="38" fillId="0" borderId="0" xfId="0" applyFont="1" applyFill="1" applyBorder="1" applyAlignment="1" applyProtection="1">
      <alignment horizontal="left"/>
      <protection locked="0"/>
    </xf>
    <xf numFmtId="0" fontId="6" fillId="2" borderId="0" xfId="0" applyFont="1" applyFill="1" applyBorder="1" applyAlignment="1">
      <alignment horizontal="center"/>
    </xf>
    <xf numFmtId="0" fontId="38"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169" fontId="6" fillId="0" borderId="0" xfId="0" applyNumberFormat="1" applyFont="1" applyFill="1" applyBorder="1"/>
    <xf numFmtId="169" fontId="8" fillId="0" borderId="0" xfId="0" applyNumberFormat="1" applyFont="1" applyFill="1" applyBorder="1"/>
    <xf numFmtId="0" fontId="37"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36" fillId="2" borderId="0"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9" fontId="6" fillId="0" borderId="0" xfId="0" applyNumberFormat="1" applyFont="1" applyAlignment="1">
      <alignment horizontal="right"/>
    </xf>
    <xf numFmtId="3" fontId="6" fillId="0" borderId="0" xfId="0" applyNumberFormat="1" applyFont="1" applyAlignment="1">
      <alignment horizontal="right"/>
    </xf>
    <xf numFmtId="0" fontId="39" fillId="0" borderId="0" xfId="0" applyFont="1" applyAlignment="1">
      <alignment horizontal="right"/>
    </xf>
    <xf numFmtId="0" fontId="6" fillId="0" borderId="0" xfId="0" applyFont="1"/>
    <xf numFmtId="3" fontId="6" fillId="0" borderId="0" xfId="0" applyNumberFormat="1" applyFont="1"/>
    <xf numFmtId="169" fontId="6" fillId="0" borderId="0" xfId="0" applyNumberFormat="1" applyFont="1"/>
    <xf numFmtId="169" fontId="6" fillId="0" borderId="0" xfId="0" applyNumberFormat="1" applyFont="1" applyFill="1" applyAlignment="1">
      <alignment horizontal="right"/>
    </xf>
    <xf numFmtId="169" fontId="6" fillId="0" borderId="0" xfId="0" applyNumberFormat="1" applyFont="1" applyFill="1"/>
    <xf numFmtId="3" fontId="6" fillId="0" borderId="0" xfId="0" applyNumberFormat="1" applyFont="1" applyFill="1" applyAlignment="1">
      <alignment horizontal="right"/>
    </xf>
    <xf numFmtId="0" fontId="39" fillId="0" borderId="0" xfId="0" applyFont="1" applyFill="1" applyAlignment="1">
      <alignment horizontal="right"/>
    </xf>
    <xf numFmtId="0" fontId="6" fillId="0" borderId="0" xfId="0" applyFont="1" applyFill="1" applyBorder="1" applyAlignment="1">
      <alignment horizontal="center"/>
    </xf>
    <xf numFmtId="169"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lignment horizontal="center"/>
    </xf>
    <xf numFmtId="3" fontId="40" fillId="0" borderId="0" xfId="0" applyNumberFormat="1" applyFont="1" applyFill="1" applyBorder="1" applyAlignment="1">
      <alignment horizontal="right"/>
    </xf>
    <xf numFmtId="3" fontId="9" fillId="0" borderId="0" xfId="0" applyNumberFormat="1" applyFont="1" applyFill="1" applyBorder="1" applyAlignment="1">
      <alignment horizontal="right"/>
    </xf>
    <xf numFmtId="169"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0"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14"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39" fillId="2" borderId="0" xfId="0" applyNumberFormat="1" applyFont="1" applyFill="1"/>
    <xf numFmtId="3" fontId="39"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32" fillId="2" borderId="0" xfId="0" applyNumberFormat="1" applyFont="1" applyFill="1" applyBorder="1"/>
    <xf numFmtId="3"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quotePrefix="1" applyNumberFormat="1" applyFont="1" applyFill="1" applyBorder="1" applyAlignment="1">
      <alignment horizontal="left"/>
    </xf>
    <xf numFmtId="3" fontId="32" fillId="0" borderId="0" xfId="0" applyNumberFormat="1" applyFont="1" applyFill="1" applyBorder="1"/>
    <xf numFmtId="3" fontId="14" fillId="0" borderId="0" xfId="0" applyNumberFormat="1" applyFont="1" applyFill="1" applyBorder="1"/>
    <xf numFmtId="3" fontId="39" fillId="0" borderId="0" xfId="0" applyNumberFormat="1" applyFont="1" applyFill="1" applyBorder="1" applyAlignment="1" applyProtection="1">
      <alignment horizontal="right"/>
    </xf>
    <xf numFmtId="0" fontId="39"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39"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7"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0" fillId="0" borderId="0" xfId="0" applyNumberFormat="1" applyFont="1" applyFill="1" applyBorder="1" applyAlignment="1" applyProtection="1">
      <alignment horizontal="right"/>
    </xf>
    <xf numFmtId="3" fontId="6" fillId="2" borderId="0" xfId="0" applyNumberFormat="1" applyFont="1" applyFill="1"/>
    <xf numFmtId="3" fontId="39" fillId="0" borderId="0" xfId="0" quotePrefix="1" applyNumberFormat="1" applyFont="1" applyFill="1" applyBorder="1" applyAlignment="1">
      <alignment horizontal="right"/>
    </xf>
    <xf numFmtId="3" fontId="39"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0" borderId="0" xfId="0" applyNumberFormat="1" applyFont="1" applyFill="1" applyBorder="1" applyProtection="1"/>
    <xf numFmtId="3" fontId="6" fillId="2" borderId="0" xfId="0" applyNumberFormat="1" applyFont="1" applyFill="1" applyBorder="1" applyProtection="1"/>
    <xf numFmtId="3" fontId="39" fillId="2" borderId="0" xfId="0" quotePrefix="1" applyNumberFormat="1" applyFont="1" applyFill="1" applyBorder="1" applyAlignment="1">
      <alignment horizontal="right"/>
    </xf>
    <xf numFmtId="3" fontId="39" fillId="0" borderId="0" xfId="0" applyNumberFormat="1" applyFont="1" applyAlignment="1">
      <alignment horizontal="right"/>
    </xf>
    <xf numFmtId="0" fontId="6" fillId="0" borderId="0" xfId="0" quotePrefix="1" applyFont="1" applyFill="1" applyBorder="1" applyAlignment="1" applyProtection="1">
      <alignment horizontal="center"/>
    </xf>
    <xf numFmtId="0" fontId="39" fillId="0" borderId="0" xfId="0" applyFont="1" applyFill="1" applyBorder="1" applyAlignment="1">
      <alignment horizontal="right"/>
    </xf>
    <xf numFmtId="3" fontId="6" fillId="0" borderId="0" xfId="0" applyNumberFormat="1" applyFont="1" applyBorder="1" applyAlignment="1">
      <alignment horizontal="right"/>
    </xf>
    <xf numFmtId="0" fontId="39"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0" borderId="0" xfId="0" applyFont="1" applyAlignment="1">
      <alignment horizontal="center"/>
    </xf>
    <xf numFmtId="0" fontId="7" fillId="55" borderId="10" xfId="0" applyFont="1" applyFill="1" applyBorder="1"/>
    <xf numFmtId="0" fontId="11" fillId="0" borderId="0" xfId="0" applyFont="1" applyBorder="1" applyAlignment="1"/>
    <xf numFmtId="0" fontId="11" fillId="0" borderId="0" xfId="0" applyFont="1" applyFill="1" applyBorder="1" applyAlignment="1"/>
    <xf numFmtId="0" fontId="0" fillId="7" borderId="0" xfId="0" applyFill="1"/>
    <xf numFmtId="169" fontId="6" fillId="2" borderId="0" xfId="0" applyNumberFormat="1" applyFont="1" applyFill="1" applyBorder="1" applyAlignment="1" applyProtection="1">
      <alignment horizontal="center"/>
    </xf>
    <xf numFmtId="169" fontId="6" fillId="0" borderId="0" xfId="0" applyNumberFormat="1" applyFont="1" applyAlignment="1">
      <alignment horizontal="center"/>
    </xf>
    <xf numFmtId="0" fontId="6" fillId="0" borderId="0" xfId="0" applyFont="1" applyFill="1" applyBorder="1"/>
    <xf numFmtId="0" fontId="0" fillId="58" borderId="0" xfId="0" applyFont="1" applyFill="1"/>
    <xf numFmtId="0" fontId="0" fillId="0" borderId="0" xfId="0" applyNumberFormat="1" applyFill="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166" fontId="0" fillId="0" borderId="0" xfId="0" applyNumberFormat="1" applyFont="1"/>
    <xf numFmtId="172" fontId="0" fillId="0" borderId="0" xfId="0" applyNumberFormat="1" applyFont="1"/>
    <xf numFmtId="172" fontId="0" fillId="0" borderId="0" xfId="0" applyNumberFormat="1" applyFont="1" applyFill="1"/>
    <xf numFmtId="0" fontId="44" fillId="0" borderId="0" xfId="0" applyFont="1" applyAlignment="1"/>
    <xf numFmtId="0" fontId="45" fillId="0" borderId="0" xfId="0" applyFont="1" applyAlignment="1"/>
    <xf numFmtId="0" fontId="46" fillId="0" borderId="0" xfId="0" applyFont="1"/>
    <xf numFmtId="0" fontId="6" fillId="0" borderId="0" xfId="0" applyFont="1" applyAlignment="1">
      <alignment horizontal="center"/>
    </xf>
    <xf numFmtId="169" fontId="0" fillId="0" borderId="0" xfId="0" applyNumberFormat="1" applyFont="1"/>
    <xf numFmtId="3" fontId="0" fillId="0" borderId="0" xfId="0" applyNumberFormat="1" applyFont="1" applyFill="1" applyBorder="1"/>
    <xf numFmtId="0" fontId="0" fillId="0" borderId="0" xfId="0" applyFont="1" applyBorder="1"/>
    <xf numFmtId="3" fontId="0" fillId="0" borderId="0" xfId="0" applyNumberFormat="1" applyFont="1" applyBorder="1"/>
    <xf numFmtId="0" fontId="6" fillId="61" borderId="0" xfId="0" applyFont="1" applyFill="1" applyBorder="1"/>
    <xf numFmtId="0" fontId="6" fillId="61" borderId="0" xfId="0" applyFont="1" applyFill="1" applyBorder="1" applyAlignment="1" applyProtection="1">
      <alignment horizontal="center"/>
    </xf>
    <xf numFmtId="0" fontId="6" fillId="26" borderId="0" xfId="0" applyFont="1" applyFill="1" applyBorder="1"/>
    <xf numFmtId="0" fontId="34" fillId="26" borderId="0" xfId="0" applyFont="1" applyFill="1" applyBorder="1" applyAlignment="1" applyProtection="1">
      <alignment horizontal="left"/>
      <protection locked="0"/>
    </xf>
    <xf numFmtId="0" fontId="6" fillId="26" borderId="0" xfId="0" applyFont="1" applyFill="1" applyBorder="1" applyAlignment="1" applyProtection="1">
      <alignment horizontal="center"/>
    </xf>
    <xf numFmtId="0" fontId="9" fillId="26" borderId="0" xfId="0" applyFont="1" applyFill="1" applyBorder="1" applyAlignment="1" applyProtection="1">
      <alignment horizontal="center"/>
    </xf>
    <xf numFmtId="0" fontId="37" fillId="26" borderId="0" xfId="0" applyFont="1" applyFill="1" applyBorder="1" applyAlignment="1" applyProtection="1">
      <alignment horizontal="left"/>
      <protection locked="0"/>
    </xf>
    <xf numFmtId="0" fontId="6" fillId="0" borderId="0" xfId="0" applyFont="1" applyBorder="1"/>
    <xf numFmtId="3" fontId="6" fillId="0" borderId="0" xfId="0" applyNumberFormat="1" applyFont="1" applyBorder="1"/>
    <xf numFmtId="0" fontId="0" fillId="26" borderId="0" xfId="0" applyFont="1" applyFill="1" applyBorder="1"/>
    <xf numFmtId="0" fontId="0" fillId="0" borderId="0" xfId="0" applyFont="1" applyFill="1" applyBorder="1"/>
    <xf numFmtId="0" fontId="9" fillId="26" borderId="0" xfId="0" applyFont="1" applyFill="1" applyBorder="1" applyAlignment="1" applyProtection="1">
      <alignment horizontal="left"/>
    </xf>
    <xf numFmtId="0" fontId="6" fillId="26" borderId="0" xfId="0" applyFont="1" applyFill="1" applyBorder="1" applyAlignment="1">
      <alignment horizontal="center"/>
    </xf>
    <xf numFmtId="0" fontId="38" fillId="26" borderId="0" xfId="0" applyFont="1" applyFill="1" applyBorder="1" applyAlignment="1" applyProtection="1">
      <alignment horizontal="left"/>
      <protection locked="0"/>
    </xf>
    <xf numFmtId="0" fontId="6" fillId="26" borderId="0" xfId="0" quotePrefix="1" applyFont="1" applyFill="1" applyBorder="1" applyAlignment="1" applyProtection="1">
      <alignment horizontal="center"/>
    </xf>
    <xf numFmtId="0" fontId="6" fillId="26" borderId="0" xfId="0" applyFont="1" applyFill="1" applyBorder="1" applyAlignment="1" applyProtection="1">
      <alignment horizontal="left"/>
    </xf>
    <xf numFmtId="0" fontId="47" fillId="26" borderId="0" xfId="0"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0" fontId="48" fillId="0" borderId="0" xfId="0" applyFont="1" applyFill="1" applyBorder="1" applyAlignment="1" applyProtection="1">
      <alignment horizontal="left"/>
    </xf>
    <xf numFmtId="0" fontId="48" fillId="26" borderId="0" xfId="0" applyFont="1" applyFill="1" applyBorder="1" applyAlignment="1" applyProtection="1">
      <alignment horizontal="left"/>
    </xf>
    <xf numFmtId="0" fontId="49" fillId="26" borderId="0" xfId="0" applyFont="1" applyFill="1" applyBorder="1" applyAlignment="1" applyProtection="1">
      <alignment horizontal="left"/>
      <protection locked="0"/>
    </xf>
    <xf numFmtId="0" fontId="49" fillId="0" borderId="0" xfId="0" applyFont="1" applyFill="1" applyBorder="1" applyAlignment="1" applyProtection="1">
      <alignment horizontal="left"/>
      <protection locked="0"/>
    </xf>
    <xf numFmtId="0" fontId="9" fillId="0" borderId="0" xfId="0" applyFont="1" applyFill="1" applyBorder="1" applyAlignment="1">
      <alignment horizontal="center"/>
    </xf>
    <xf numFmtId="0" fontId="9" fillId="0" borderId="0" xfId="0" applyFont="1" applyFill="1" applyAlignment="1">
      <alignment horizontal="center"/>
    </xf>
    <xf numFmtId="0" fontId="0" fillId="0" borderId="0" xfId="0" applyFont="1"/>
    <xf numFmtId="171" fontId="0" fillId="49" borderId="1" xfId="0" applyNumberFormat="1" applyFont="1" applyFill="1" applyBorder="1"/>
    <xf numFmtId="0" fontId="35" fillId="0" borderId="0" xfId="0" applyFont="1" applyFill="1" applyBorder="1" applyAlignment="1">
      <alignment horizontal="center"/>
    </xf>
    <xf numFmtId="169" fontId="43" fillId="0" borderId="0" xfId="0" applyNumberFormat="1" applyFont="1" applyFill="1" applyBorder="1" applyAlignment="1">
      <alignment horizontal="center"/>
    </xf>
    <xf numFmtId="173" fontId="6" fillId="0" borderId="0" xfId="0" applyNumberFormat="1" applyFont="1" applyFill="1" applyBorder="1" applyAlignment="1">
      <alignment horizontal="right"/>
    </xf>
    <xf numFmtId="173" fontId="6" fillId="0" borderId="0" xfId="0" applyNumberFormat="1" applyFont="1" applyBorder="1" applyAlignment="1">
      <alignment horizontal="right"/>
    </xf>
    <xf numFmtId="173" fontId="6" fillId="0" borderId="0" xfId="0" applyNumberFormat="1" applyFont="1" applyAlignment="1">
      <alignment horizontal="right"/>
    </xf>
    <xf numFmtId="165" fontId="6" fillId="0" borderId="0" xfId="0" applyNumberFormat="1" applyFont="1"/>
    <xf numFmtId="3" fontId="6" fillId="0" borderId="0" xfId="0" applyNumberFormat="1" applyFont="1" applyAlignment="1">
      <alignment horizontal="center"/>
    </xf>
    <xf numFmtId="0" fontId="1" fillId="0" borderId="0" xfId="0" applyFont="1" applyFill="1"/>
    <xf numFmtId="0" fontId="0" fillId="0" borderId="0" xfId="0"/>
    <xf numFmtId="0" fontId="0" fillId="0" borderId="0" xfId="0" applyFill="1"/>
    <xf numFmtId="9" fontId="0" fillId="0" borderId="0" xfId="90" applyFont="1"/>
    <xf numFmtId="0" fontId="58" fillId="0" borderId="1" xfId="0" applyFont="1" applyFill="1" applyBorder="1" applyAlignment="1" applyProtection="1">
      <alignment horizontal="left"/>
      <protection locked="0"/>
    </xf>
    <xf numFmtId="0" fontId="58" fillId="0" borderId="1" xfId="0" applyFont="1" applyFill="1" applyBorder="1" applyAlignment="1" applyProtection="1">
      <alignment horizontal="left"/>
    </xf>
    <xf numFmtId="0" fontId="57" fillId="0" borderId="1" xfId="0" applyFont="1" applyFill="1" applyBorder="1" applyAlignment="1" applyProtection="1">
      <alignment horizontal="left"/>
      <protection locked="0"/>
    </xf>
    <xf numFmtId="3" fontId="13" fillId="0" borderId="0" xfId="0" applyNumberFormat="1" applyFont="1" applyFill="1" applyBorder="1"/>
    <xf numFmtId="3" fontId="13" fillId="0" borderId="0" xfId="0" applyNumberFormat="1" applyFont="1" applyFill="1" applyBorder="1" applyAlignment="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7" fillId="57" borderId="19" xfId="0" applyFont="1" applyFill="1" applyBorder="1"/>
    <xf numFmtId="166" fontId="0" fillId="0" borderId="0" xfId="0" applyNumberFormat="1"/>
    <xf numFmtId="181" fontId="0" fillId="0" borderId="0" xfId="90" applyNumberFormat="1" applyFont="1"/>
    <xf numFmtId="172" fontId="2" fillId="0" borderId="0" xfId="43" applyNumberFormat="1" applyFont="1"/>
    <xf numFmtId="0" fontId="6" fillId="0" borderId="0" xfId="0" quotePrefix="1" applyFont="1"/>
    <xf numFmtId="1" fontId="0" fillId="0" borderId="0" xfId="0" applyNumberFormat="1"/>
    <xf numFmtId="0" fontId="45" fillId="0" borderId="0" xfId="0" applyFont="1"/>
    <xf numFmtId="166" fontId="2" fillId="0" borderId="0" xfId="137" applyFont="1"/>
    <xf numFmtId="0" fontId="60" fillId="0" borderId="0" xfId="0" applyFont="1" applyFill="1" applyBorder="1" applyAlignment="1"/>
    <xf numFmtId="0" fontId="45" fillId="0" borderId="0" xfId="0" applyFont="1" applyFill="1"/>
    <xf numFmtId="0" fontId="0" fillId="0" borderId="0" xfId="0"/>
    <xf numFmtId="3" fontId="0" fillId="0" borderId="0" xfId="0" applyNumberFormat="1"/>
    <xf numFmtId="0" fontId="0" fillId="0" borderId="0" xfId="0"/>
    <xf numFmtId="3" fontId="0" fillId="0" borderId="0" xfId="0" applyNumberFormat="1"/>
    <xf numFmtId="0" fontId="0" fillId="0" borderId="0" xfId="0" applyFill="1"/>
    <xf numFmtId="0" fontId="0" fillId="0" borderId="0" xfId="0"/>
    <xf numFmtId="165" fontId="0" fillId="0" borderId="0" xfId="0" applyNumberFormat="1"/>
    <xf numFmtId="0" fontId="0" fillId="0" borderId="0" xfId="0"/>
    <xf numFmtId="0" fontId="0" fillId="0" borderId="0" xfId="0" applyFont="1" applyAlignment="1">
      <alignment horizontal="center" vertical="center"/>
    </xf>
    <xf numFmtId="0" fontId="5" fillId="0" borderId="0" xfId="0" applyFont="1" applyFill="1" applyBorder="1"/>
    <xf numFmtId="0" fontId="8" fillId="0" borderId="0" xfId="0" applyFont="1" applyFill="1"/>
    <xf numFmtId="0" fontId="84" fillId="0" borderId="0" xfId="0" applyFont="1"/>
    <xf numFmtId="10" fontId="0" fillId="0" borderId="0" xfId="90" applyNumberFormat="1" applyFont="1"/>
    <xf numFmtId="170" fontId="0" fillId="0" borderId="0" xfId="90" applyNumberFormat="1" applyFont="1"/>
    <xf numFmtId="9" fontId="6" fillId="0" borderId="0" xfId="90" applyFont="1" applyFill="1" applyBorder="1"/>
    <xf numFmtId="170" fontId="6" fillId="0" borderId="0" xfId="90" applyNumberFormat="1" applyFont="1" applyFill="1" applyBorder="1"/>
    <xf numFmtId="0" fontId="0" fillId="0" borderId="0" xfId="0" applyFill="1" applyBorder="1"/>
    <xf numFmtId="173" fontId="0" fillId="0" borderId="0" xfId="0" applyNumberFormat="1"/>
    <xf numFmtId="0" fontId="0" fillId="0" borderId="0" xfId="0"/>
    <xf numFmtId="3" fontId="0" fillId="0" borderId="0" xfId="0" applyNumberFormat="1"/>
    <xf numFmtId="0" fontId="0" fillId="0" borderId="0" xfId="0" applyBorder="1"/>
    <xf numFmtId="171" fontId="0" fillId="0" borderId="1" xfId="0" applyNumberFormat="1" applyFont="1" applyFill="1" applyBorder="1"/>
    <xf numFmtId="169" fontId="6" fillId="0" borderId="0" xfId="42" applyNumberFormat="1" applyFont="1" applyFill="1" applyBorder="1" applyAlignment="1" applyProtection="1">
      <alignment horizontal="right"/>
    </xf>
    <xf numFmtId="9" fontId="0" fillId="0" borderId="0" xfId="90" applyNumberFormat="1" applyFont="1"/>
    <xf numFmtId="170" fontId="6" fillId="0" borderId="0" xfId="90" applyNumberFormat="1" applyFont="1"/>
    <xf numFmtId="0" fontId="0" fillId="0" borderId="0" xfId="0"/>
    <xf numFmtId="172" fontId="0" fillId="0" borderId="0" xfId="0" applyNumberFormat="1"/>
    <xf numFmtId="166" fontId="12" fillId="0" borderId="0" xfId="137" applyFont="1"/>
    <xf numFmtId="0" fontId="56" fillId="27" borderId="19" xfId="0" applyFont="1" applyFill="1" applyBorder="1" applyAlignment="1" applyProtection="1">
      <alignment horizontal="left"/>
    </xf>
    <xf numFmtId="0" fontId="56" fillId="27" borderId="1" xfId="0" applyFont="1" applyFill="1" applyBorder="1" applyAlignment="1" applyProtection="1">
      <alignment horizontal="left"/>
    </xf>
    <xf numFmtId="0" fontId="56" fillId="27" borderId="0" xfId="0" applyFont="1" applyFill="1" applyBorder="1" applyAlignment="1" applyProtection="1">
      <alignment horizontal="right"/>
    </xf>
    <xf numFmtId="0" fontId="56" fillId="27" borderId="3" xfId="0" applyFont="1" applyFill="1" applyBorder="1" applyAlignment="1" applyProtection="1">
      <alignment horizontal="left"/>
    </xf>
    <xf numFmtId="0" fontId="56" fillId="27" borderId="3" xfId="0" applyFont="1" applyFill="1" applyBorder="1" applyAlignment="1" applyProtection="1">
      <alignment horizontal="center"/>
    </xf>
    <xf numFmtId="0" fontId="56" fillId="27" borderId="4" xfId="0" applyFont="1" applyFill="1" applyBorder="1" applyAlignment="1" applyProtection="1">
      <alignment horizontal="center"/>
    </xf>
    <xf numFmtId="0" fontId="56" fillId="27" borderId="5" xfId="0" applyFont="1" applyFill="1" applyBorder="1" applyAlignment="1" applyProtection="1">
      <alignment horizontal="center"/>
    </xf>
    <xf numFmtId="0" fontId="57" fillId="2" borderId="1" xfId="0" applyFont="1" applyFill="1" applyBorder="1" applyAlignment="1" applyProtection="1">
      <alignment horizontal="left"/>
      <protection locked="0"/>
    </xf>
    <xf numFmtId="3" fontId="13" fillId="2" borderId="0" xfId="0" applyNumberFormat="1" applyFont="1" applyFill="1" applyBorder="1"/>
    <xf numFmtId="0" fontId="54" fillId="2" borderId="1" xfId="0" applyFont="1" applyFill="1" applyBorder="1" applyAlignment="1" applyProtection="1">
      <alignment horizontal="left"/>
      <protection locked="0"/>
    </xf>
    <xf numFmtId="0" fontId="55" fillId="2" borderId="1" xfId="0" applyFont="1" applyFill="1" applyBorder="1" applyAlignment="1" applyProtection="1">
      <alignment horizontal="left"/>
      <protection locked="0"/>
    </xf>
    <xf numFmtId="0" fontId="58" fillId="2" borderId="1" xfId="0" applyFont="1" applyFill="1" applyBorder="1" applyAlignment="1" applyProtection="1">
      <alignment horizontal="left"/>
    </xf>
    <xf numFmtId="0" fontId="57" fillId="27" borderId="1" xfId="0" applyFont="1" applyFill="1" applyBorder="1" applyAlignment="1" applyProtection="1">
      <alignment horizontal="left"/>
      <protection locked="0"/>
    </xf>
    <xf numFmtId="0" fontId="0" fillId="27" borderId="3" xfId="0" applyFill="1" applyBorder="1"/>
    <xf numFmtId="0" fontId="0" fillId="98" borderId="15" xfId="0" applyFill="1" applyBorder="1"/>
    <xf numFmtId="0" fontId="0" fillId="99" borderId="0" xfId="0" applyFont="1" applyFill="1"/>
    <xf numFmtId="0" fontId="5" fillId="100" borderId="19" xfId="0" applyFont="1" applyFill="1" applyBorder="1" applyAlignment="1">
      <alignment horizontal="center"/>
    </xf>
    <xf numFmtId="0" fontId="7" fillId="100" borderId="14" xfId="0" applyFont="1" applyFill="1" applyBorder="1" applyAlignment="1">
      <alignment horizontal="center"/>
    </xf>
    <xf numFmtId="0" fontId="0" fillId="0" borderId="0" xfId="0" applyNumberFormat="1"/>
    <xf numFmtId="37" fontId="56" fillId="27" borderId="0" xfId="0" applyNumberFormat="1" applyFont="1" applyFill="1" applyBorder="1" applyAlignment="1" applyProtection="1">
      <alignment horizontal="center"/>
    </xf>
    <xf numFmtId="0" fontId="56" fillId="27" borderId="0" xfId="0" applyFont="1" applyFill="1" applyBorder="1" applyAlignment="1" applyProtection="1">
      <alignment horizontal="center"/>
    </xf>
    <xf numFmtId="0" fontId="7" fillId="20" borderId="14" xfId="0" applyFont="1" applyFill="1" applyBorder="1" applyAlignment="1">
      <alignment horizontal="center" vertical="center"/>
    </xf>
    <xf numFmtId="0" fontId="0" fillId="0" borderId="0" xfId="0" applyBorder="1"/>
    <xf numFmtId="0" fontId="0" fillId="0" borderId="0" xfId="0"/>
    <xf numFmtId="164" fontId="0" fillId="0" borderId="0" xfId="89" applyFont="1"/>
    <xf numFmtId="164" fontId="0" fillId="0" borderId="0" xfId="0" applyNumberFormat="1"/>
    <xf numFmtId="168" fontId="6" fillId="0" borderId="0" xfId="0" applyNumberFormat="1" applyFont="1" applyFill="1" applyBorder="1"/>
    <xf numFmtId="9" fontId="11" fillId="0" borderId="0" xfId="90" applyFont="1"/>
    <xf numFmtId="2" fontId="11" fillId="0" borderId="0" xfId="0" applyNumberFormat="1" applyFont="1"/>
    <xf numFmtId="173" fontId="0" fillId="0" borderId="0" xfId="90" applyNumberFormat="1" applyFont="1"/>
    <xf numFmtId="0" fontId="6" fillId="0" borderId="0" xfId="1" applyFont="1" applyFill="1"/>
    <xf numFmtId="0" fontId="6" fillId="10" borderId="0" xfId="1" applyFont="1" applyFill="1"/>
    <xf numFmtId="0" fontId="6" fillId="3" borderId="0" xfId="1" applyFont="1" applyFill="1"/>
    <xf numFmtId="0" fontId="6" fillId="13" borderId="0" xfId="1" applyFont="1" applyFill="1"/>
    <xf numFmtId="0" fontId="6" fillId="58" borderId="0" xfId="1" applyFont="1" applyFill="1"/>
    <xf numFmtId="0" fontId="6" fillId="51" borderId="0" xfId="1" applyFont="1" applyFill="1"/>
    <xf numFmtId="0" fontId="6" fillId="2" borderId="0" xfId="1" applyFont="1" applyFill="1"/>
    <xf numFmtId="0" fontId="9" fillId="0" borderId="0" xfId="0" applyFont="1" applyAlignment="1" applyProtection="1"/>
    <xf numFmtId="0" fontId="9" fillId="8" borderId="0" xfId="0" applyFont="1" applyFill="1" applyBorder="1" applyAlignment="1">
      <alignment horizontal="center"/>
    </xf>
    <xf numFmtId="0" fontId="7" fillId="8" borderId="0" xfId="0" applyFont="1" applyFill="1" applyBorder="1"/>
    <xf numFmtId="0" fontId="9" fillId="0" borderId="0" xfId="0" applyFont="1" applyBorder="1" applyAlignment="1" applyProtection="1"/>
    <xf numFmtId="0" fontId="9" fillId="26" borderId="0" xfId="0" applyFont="1" applyFill="1" applyBorder="1" applyAlignment="1" applyProtection="1">
      <alignment horizontal="center"/>
    </xf>
    <xf numFmtId="169" fontId="0" fillId="0" borderId="0" xfId="42" applyNumberFormat="1" applyFont="1"/>
    <xf numFmtId="0" fontId="56" fillId="27" borderId="58" xfId="0" applyFont="1" applyFill="1" applyBorder="1" applyAlignment="1" applyProtection="1">
      <alignment horizontal="center"/>
    </xf>
    <xf numFmtId="0" fontId="56" fillId="27" borderId="28" xfId="0" applyFont="1" applyFill="1" applyBorder="1" applyAlignment="1" applyProtection="1">
      <alignment horizontal="center"/>
    </xf>
    <xf numFmtId="0" fontId="13" fillId="2" borderId="27" xfId="0" applyFont="1" applyFill="1" applyBorder="1" applyAlignment="1" applyProtection="1">
      <alignment horizontal="center"/>
    </xf>
    <xf numFmtId="0" fontId="13" fillId="0" borderId="27" xfId="0" applyFont="1" applyFill="1" applyBorder="1" applyAlignment="1" applyProtection="1">
      <alignment horizontal="center"/>
    </xf>
    <xf numFmtId="0" fontId="91" fillId="0" borderId="0" xfId="0" applyFont="1"/>
    <xf numFmtId="0" fontId="92" fillId="0" borderId="0" xfId="0" applyFont="1"/>
    <xf numFmtId="0" fontId="93" fillId="0" borderId="0" xfId="0" applyFont="1"/>
    <xf numFmtId="0" fontId="94" fillId="0" borderId="0" xfId="0" applyFont="1"/>
    <xf numFmtId="0" fontId="6" fillId="0" borderId="0" xfId="0" applyFont="1" applyBorder="1" applyAlignment="1"/>
    <xf numFmtId="178" fontId="0" fillId="0" borderId="0" xfId="0" applyNumberFormat="1"/>
    <xf numFmtId="0" fontId="89" fillId="7" borderId="0" xfId="0" applyFont="1" applyFill="1"/>
    <xf numFmtId="180" fontId="0" fillId="7" borderId="0" xfId="0" applyNumberFormat="1" applyFill="1"/>
    <xf numFmtId="0" fontId="0" fillId="0" borderId="0" xfId="0"/>
    <xf numFmtId="0" fontId="0" fillId="0" borderId="0" xfId="0" applyBorder="1"/>
    <xf numFmtId="0" fontId="33" fillId="0" borderId="0" xfId="0" applyFont="1"/>
    <xf numFmtId="0" fontId="6" fillId="99" borderId="0" xfId="0" applyFont="1" applyFill="1"/>
    <xf numFmtId="0" fontId="0" fillId="103" borderId="0" xfId="0" applyFont="1" applyFill="1"/>
    <xf numFmtId="0" fontId="42" fillId="0" borderId="0" xfId="0" applyFont="1" applyFill="1"/>
    <xf numFmtId="0" fontId="47" fillId="61" borderId="0" xfId="0" applyFont="1" applyFill="1" applyBorder="1" applyAlignment="1" applyProtection="1">
      <alignment horizontal="left"/>
      <protection locked="0"/>
    </xf>
    <xf numFmtId="0" fontId="48" fillId="61" borderId="0" xfId="0" applyFont="1" applyFill="1" applyBorder="1" applyAlignment="1" applyProtection="1">
      <alignment horizontal="left"/>
    </xf>
    <xf numFmtId="0" fontId="49" fillId="61" borderId="0" xfId="0" applyFont="1" applyFill="1" applyBorder="1" applyAlignment="1" applyProtection="1">
      <alignment horizontal="left"/>
      <protection locked="0"/>
    </xf>
    <xf numFmtId="0" fontId="7" fillId="0" borderId="0" xfId="0" applyFont="1" applyFill="1" applyBorder="1" applyAlignment="1">
      <alignment wrapText="1"/>
    </xf>
    <xf numFmtId="0" fontId="0" fillId="0" borderId="0" xfId="0" applyAlignment="1">
      <alignment wrapText="1"/>
    </xf>
    <xf numFmtId="0" fontId="7" fillId="0" borderId="4" xfId="0" applyFont="1" applyFill="1" applyBorder="1"/>
    <xf numFmtId="0" fontId="60" fillId="0" borderId="4" xfId="0" applyFont="1" applyFill="1" applyBorder="1" applyAlignment="1"/>
    <xf numFmtId="0" fontId="6" fillId="104" borderId="0" xfId="0" applyFont="1" applyFill="1"/>
    <xf numFmtId="22" fontId="85" fillId="2" borderId="1" xfId="0" applyNumberFormat="1" applyFont="1" applyFill="1" applyBorder="1"/>
    <xf numFmtId="17" fontId="7" fillId="50" borderId="1" xfId="0" applyNumberFormat="1" applyFont="1" applyFill="1" applyBorder="1"/>
    <xf numFmtId="185" fontId="0" fillId="0" borderId="0" xfId="0" applyNumberFormat="1" applyFill="1"/>
    <xf numFmtId="4" fontId="6" fillId="0" borderId="0" xfId="0" applyNumberFormat="1" applyFont="1" applyFill="1" applyBorder="1"/>
    <xf numFmtId="2" fontId="0" fillId="0" borderId="0" xfId="0" applyNumberFormat="1" applyFill="1" applyBorder="1"/>
    <xf numFmtId="1" fontId="0" fillId="0" borderId="0" xfId="0" applyNumberFormat="1" applyFill="1" applyBorder="1"/>
    <xf numFmtId="2" fontId="6" fillId="0" borderId="0" xfId="0" applyNumberFormat="1" applyFont="1" applyFill="1" applyBorder="1"/>
    <xf numFmtId="0" fontId="7" fillId="0" borderId="0" xfId="0" applyNumberFormat="1" applyFont="1" applyFill="1" applyBorder="1"/>
    <xf numFmtId="0" fontId="0" fillId="0" borderId="1" xfId="0" applyFill="1" applyBorder="1"/>
    <xf numFmtId="17" fontId="7" fillId="0" borderId="0" xfId="0" applyNumberFormat="1" applyFont="1" applyFill="1" applyBorder="1"/>
    <xf numFmtId="0" fontId="0" fillId="0" borderId="0" xfId="0" applyFill="1"/>
    <xf numFmtId="0" fontId="7" fillId="47" borderId="26" xfId="0" applyFont="1" applyFill="1" applyBorder="1"/>
    <xf numFmtId="0" fontId="8" fillId="0" borderId="0" xfId="0" applyFont="1" applyAlignment="1">
      <alignment vertical="top"/>
    </xf>
    <xf numFmtId="0" fontId="0" fillId="6" borderId="27" xfId="0" applyFill="1" applyBorder="1"/>
    <xf numFmtId="0" fontId="5" fillId="0" borderId="0" xfId="0" applyFont="1" applyFill="1" applyAlignment="1">
      <alignment horizontal="center"/>
    </xf>
    <xf numFmtId="0" fontId="5" fillId="0" borderId="0" xfId="0" applyFont="1" applyFill="1" applyBorder="1" applyAlignment="1">
      <alignment horizontal="center"/>
    </xf>
    <xf numFmtId="0" fontId="13" fillId="2" borderId="27" xfId="0" applyFont="1" applyFill="1" applyBorder="1" applyAlignment="1">
      <alignment horizontal="center"/>
    </xf>
    <xf numFmtId="0" fontId="5" fillId="0" borderId="0" xfId="0" applyFont="1" applyAlignment="1"/>
    <xf numFmtId="0" fontId="5" fillId="0" borderId="0" xfId="0" applyFont="1" applyBorder="1" applyAlignment="1"/>
    <xf numFmtId="17" fontId="7" fillId="9" borderId="27" xfId="0" applyNumberFormat="1" applyFont="1" applyFill="1" applyBorder="1"/>
    <xf numFmtId="0" fontId="7" fillId="9" borderId="28" xfId="0" applyNumberFormat="1" applyFont="1" applyFill="1" applyBorder="1"/>
    <xf numFmtId="0" fontId="7" fillId="55" borderId="27" xfId="0" applyNumberFormat="1" applyFont="1" applyFill="1" applyBorder="1"/>
    <xf numFmtId="0" fontId="7" fillId="55" borderId="28" xfId="0" applyNumberFormat="1" applyFont="1" applyFill="1" applyBorder="1"/>
    <xf numFmtId="17" fontId="7" fillId="107" borderId="1" xfId="0" applyNumberFormat="1" applyFont="1" applyFill="1" applyBorder="1"/>
    <xf numFmtId="0" fontId="7" fillId="8" borderId="27" xfId="0" applyNumberFormat="1" applyFont="1" applyFill="1" applyBorder="1"/>
    <xf numFmtId="0" fontId="7" fillId="8" borderId="28" xfId="0" applyNumberFormat="1" applyFont="1" applyFill="1" applyBorder="1"/>
    <xf numFmtId="17" fontId="7" fillId="109" borderId="1" xfId="0" applyNumberFormat="1" applyFont="1" applyFill="1" applyBorder="1"/>
    <xf numFmtId="17" fontId="7" fillId="110" borderId="1" xfId="0" applyNumberFormat="1" applyFont="1" applyFill="1" applyBorder="1"/>
    <xf numFmtId="17" fontId="7" fillId="55" borderId="27" xfId="0" applyNumberFormat="1" applyFont="1" applyFill="1" applyBorder="1"/>
    <xf numFmtId="17" fontId="7" fillId="55" borderId="28" xfId="0" applyNumberFormat="1" applyFont="1" applyFill="1" applyBorder="1"/>
    <xf numFmtId="17" fontId="7" fillId="20" borderId="27" xfId="0" applyNumberFormat="1" applyFont="1" applyFill="1" applyBorder="1"/>
    <xf numFmtId="17" fontId="7" fillId="20" borderId="28" xfId="0" applyNumberFormat="1" applyFont="1" applyFill="1" applyBorder="1"/>
    <xf numFmtId="17" fontId="7" fillId="114" borderId="1" xfId="0" applyNumberFormat="1" applyFont="1" applyFill="1" applyBorder="1"/>
    <xf numFmtId="17" fontId="7" fillId="115" borderId="1" xfId="0" applyNumberFormat="1" applyFont="1" applyFill="1" applyBorder="1"/>
    <xf numFmtId="17" fontId="7" fillId="57" borderId="28" xfId="0" applyNumberFormat="1" applyFont="1" applyFill="1" applyBorder="1"/>
    <xf numFmtId="17" fontId="7" fillId="120" borderId="1" xfId="0" applyNumberFormat="1" applyFont="1" applyFill="1" applyBorder="1"/>
    <xf numFmtId="17" fontId="7" fillId="121" borderId="1" xfId="0" applyNumberFormat="1" applyFont="1" applyFill="1" applyBorder="1"/>
    <xf numFmtId="0" fontId="7" fillId="122" borderId="15" xfId="0" applyFont="1" applyFill="1" applyBorder="1"/>
    <xf numFmtId="17" fontId="7" fillId="123" borderId="1" xfId="0" applyNumberFormat="1" applyFont="1" applyFill="1" applyBorder="1"/>
    <xf numFmtId="17" fontId="7" fillId="124" borderId="1" xfId="0" applyNumberFormat="1" applyFont="1" applyFill="1" applyBorder="1"/>
    <xf numFmtId="17" fontId="7" fillId="124" borderId="3" xfId="0" applyNumberFormat="1" applyFont="1" applyFill="1" applyBorder="1"/>
    <xf numFmtId="0" fontId="7" fillId="124" borderId="1" xfId="0" applyNumberFormat="1" applyFont="1" applyFill="1" applyBorder="1"/>
    <xf numFmtId="0" fontId="7" fillId="123" borderId="1" xfId="0" applyNumberFormat="1" applyFont="1" applyFill="1" applyBorder="1"/>
    <xf numFmtId="0" fontId="7" fillId="124" borderId="3" xfId="0" applyNumberFormat="1" applyFont="1" applyFill="1" applyBorder="1"/>
    <xf numFmtId="0" fontId="13" fillId="2" borderId="1" xfId="0" applyFont="1" applyFill="1" applyBorder="1" applyAlignment="1" applyProtection="1">
      <alignment horizontal="left"/>
    </xf>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172" fontId="0" fillId="0" borderId="0" xfId="0" applyNumberFormat="1" applyAlignment="1">
      <alignment horizontal="center"/>
    </xf>
    <xf numFmtId="3" fontId="0" fillId="0" borderId="0" xfId="0" applyNumberFormat="1" applyAlignment="1">
      <alignment horizontal="center"/>
    </xf>
    <xf numFmtId="172" fontId="0" fillId="0" borderId="0" xfId="0" applyNumberFormat="1" applyFill="1" applyBorder="1" applyAlignment="1">
      <alignment horizontal="center"/>
    </xf>
    <xf numFmtId="167" fontId="0" fillId="0" borderId="0" xfId="42" applyFont="1" applyAlignment="1">
      <alignment horizontal="center"/>
    </xf>
    <xf numFmtId="172" fontId="0" fillId="0" borderId="0" xfId="89" applyNumberFormat="1" applyFont="1" applyAlignment="1">
      <alignment horizontal="center"/>
    </xf>
    <xf numFmtId="176" fontId="1" fillId="0" borderId="0" xfId="0" applyNumberFormat="1" applyFont="1" applyBorder="1" applyAlignment="1">
      <alignment horizontal="center"/>
    </xf>
    <xf numFmtId="172" fontId="6" fillId="0" borderId="0" xfId="89" applyNumberFormat="1" applyFont="1" applyFill="1" applyBorder="1" applyAlignment="1">
      <alignment horizontal="center"/>
    </xf>
    <xf numFmtId="0" fontId="0" fillId="0" borderId="0" xfId="0" applyAlignment="1">
      <alignment horizontal="center"/>
    </xf>
    <xf numFmtId="0" fontId="11" fillId="0" borderId="0" xfId="0" applyFont="1" applyFill="1" applyBorder="1"/>
    <xf numFmtId="49" fontId="7" fillId="0" borderId="0" xfId="0" applyNumberFormat="1" applyFont="1" applyFill="1" applyBorder="1" applyAlignment="1">
      <alignment horizontal="center"/>
    </xf>
    <xf numFmtId="168" fontId="0" fillId="0" borderId="0" xfId="0" applyNumberFormat="1" applyFont="1" applyFill="1" applyBorder="1"/>
    <xf numFmtId="0" fontId="7" fillId="0" borderId="0" xfId="0" applyNumberFormat="1" applyFont="1" applyFill="1" applyBorder="1" applyAlignment="1">
      <alignment horizontal="center"/>
    </xf>
    <xf numFmtId="2" fontId="0" fillId="6" borderId="0" xfId="0" applyNumberFormat="1" applyFont="1" applyFill="1" applyBorder="1" applyAlignment="1">
      <alignment horizontal="center"/>
    </xf>
    <xf numFmtId="2" fontId="0" fillId="0" borderId="0" xfId="0" applyNumberFormat="1" applyFont="1" applyBorder="1" applyAlignment="1">
      <alignment horizontal="center"/>
    </xf>
    <xf numFmtId="17" fontId="7" fillId="109" borderId="1" xfId="0" applyNumberFormat="1" applyFont="1" applyFill="1" applyBorder="1" applyAlignment="1">
      <alignment horizontal="right"/>
    </xf>
    <xf numFmtId="17" fontId="7" fillId="110" borderId="1" xfId="0" applyNumberFormat="1" applyFont="1" applyFill="1" applyBorder="1" applyAlignment="1">
      <alignment horizontal="right"/>
    </xf>
    <xf numFmtId="170" fontId="2" fillId="0" borderId="2" xfId="0" applyNumberFormat="1" applyFont="1" applyBorder="1" applyAlignment="1">
      <alignment horizontal="center"/>
    </xf>
    <xf numFmtId="170" fontId="2" fillId="0" borderId="2" xfId="0" applyNumberFormat="1" applyFont="1" applyFill="1" applyBorder="1" applyAlignment="1">
      <alignment horizontal="center"/>
    </xf>
    <xf numFmtId="170" fontId="2" fillId="98" borderId="16" xfId="0" applyNumberFormat="1" applyFont="1" applyFill="1" applyBorder="1" applyAlignment="1">
      <alignment horizontal="center"/>
    </xf>
    <xf numFmtId="0" fontId="0" fillId="27" borderId="5" xfId="0" applyFill="1" applyBorder="1" applyAlignment="1">
      <alignment horizontal="center"/>
    </xf>
    <xf numFmtId="0" fontId="0" fillId="27" borderId="33" xfId="0" applyFill="1" applyBorder="1"/>
    <xf numFmtId="186" fontId="3" fillId="27" borderId="3" xfId="0" applyNumberFormat="1" applyFont="1" applyFill="1" applyBorder="1" applyAlignment="1">
      <alignment horizontal="center"/>
    </xf>
    <xf numFmtId="186" fontId="3" fillId="27" borderId="5" xfId="0" applyNumberFormat="1" applyFont="1" applyFill="1" applyBorder="1" applyAlignment="1">
      <alignment horizontal="center"/>
    </xf>
    <xf numFmtId="0" fontId="56" fillId="27" borderId="2" xfId="0" applyFont="1" applyFill="1" applyBorder="1" applyAlignment="1" applyProtection="1">
      <alignment horizontal="center"/>
    </xf>
    <xf numFmtId="0" fontId="56" fillId="27" borderId="1" xfId="0" applyFont="1" applyFill="1" applyBorder="1" applyAlignment="1" applyProtection="1">
      <alignment horizontal="center"/>
    </xf>
    <xf numFmtId="3" fontId="13" fillId="2" borderId="0" xfId="0" applyNumberFormat="1" applyFont="1" applyFill="1" applyBorder="1" applyAlignment="1">
      <alignment horizontal="center"/>
    </xf>
    <xf numFmtId="3" fontId="13" fillId="2" borderId="1" xfId="0" applyNumberFormat="1" applyFont="1" applyFill="1" applyBorder="1" applyAlignment="1">
      <alignment horizontal="center"/>
    </xf>
    <xf numFmtId="3" fontId="13" fillId="2" borderId="2" xfId="0" applyNumberFormat="1" applyFont="1" applyFill="1" applyBorder="1" applyAlignment="1">
      <alignment horizontal="center"/>
    </xf>
    <xf numFmtId="0" fontId="13" fillId="0" borderId="27" xfId="0" applyFont="1" applyFill="1" applyBorder="1" applyAlignment="1">
      <alignment horizontal="center"/>
    </xf>
    <xf numFmtId="3" fontId="13" fillId="0" borderId="0" xfId="0" applyNumberFormat="1" applyFont="1" applyFill="1" applyBorder="1" applyAlignment="1">
      <alignment horizontal="center"/>
    </xf>
    <xf numFmtId="3" fontId="59" fillId="2" borderId="0" xfId="0" applyNumberFormat="1" applyFont="1" applyFill="1" applyBorder="1" applyAlignment="1">
      <alignment horizontal="center"/>
    </xf>
    <xf numFmtId="0" fontId="13" fillId="27" borderId="27" xfId="0" applyFont="1" applyFill="1" applyBorder="1" applyAlignment="1">
      <alignment horizontal="center"/>
    </xf>
    <xf numFmtId="186" fontId="56" fillId="27" borderId="36" xfId="0" applyNumberFormat="1" applyFont="1" applyFill="1" applyBorder="1" applyAlignment="1" applyProtection="1"/>
    <xf numFmtId="0" fontId="7" fillId="109" borderId="1" xfId="0" applyNumberFormat="1" applyFont="1" applyFill="1" applyBorder="1" applyAlignment="1">
      <alignment horizontal="right"/>
    </xf>
    <xf numFmtId="0" fontId="7" fillId="110" borderId="1" xfId="0" applyNumberFormat="1" applyFont="1" applyFill="1" applyBorder="1" applyAlignment="1">
      <alignment horizontal="right"/>
    </xf>
    <xf numFmtId="4" fontId="6" fillId="0" borderId="2" xfId="0" applyNumberFormat="1" applyFont="1" applyFill="1" applyBorder="1" applyAlignment="1" applyProtection="1">
      <alignment horizontal="center"/>
    </xf>
    <xf numFmtId="4" fontId="6" fillId="0" borderId="7" xfId="0" applyNumberFormat="1" applyFont="1" applyFill="1" applyBorder="1" applyAlignment="1" applyProtection="1">
      <alignment horizontal="center"/>
    </xf>
    <xf numFmtId="4" fontId="6" fillId="6" borderId="2" xfId="0" applyNumberFormat="1" applyFont="1" applyFill="1" applyBorder="1" applyAlignment="1" applyProtection="1">
      <alignment horizontal="center"/>
    </xf>
    <xf numFmtId="4" fontId="6" fillId="6" borderId="7" xfId="0" applyNumberFormat="1" applyFont="1" applyFill="1" applyBorder="1" applyAlignment="1" applyProtection="1">
      <alignment horizontal="center"/>
    </xf>
    <xf numFmtId="4" fontId="6" fillId="0" borderId="2" xfId="0" applyNumberFormat="1" applyFont="1" applyFill="1" applyBorder="1" applyAlignment="1">
      <alignment horizontal="center"/>
    </xf>
    <xf numFmtId="4" fontId="6" fillId="0" borderId="7" xfId="0" applyNumberFormat="1" applyFont="1" applyFill="1" applyBorder="1" applyAlignment="1">
      <alignment horizontal="center"/>
    </xf>
    <xf numFmtId="0" fontId="7" fillId="4" borderId="62" xfId="0" applyFont="1" applyFill="1" applyBorder="1" applyAlignment="1" applyProtection="1">
      <alignment horizontal="center"/>
    </xf>
    <xf numFmtId="0" fontId="7" fillId="4" borderId="63" xfId="0" applyFont="1" applyFill="1" applyBorder="1" applyAlignment="1" applyProtection="1">
      <alignment horizontal="right"/>
    </xf>
    <xf numFmtId="0" fontId="7" fillId="4" borderId="64" xfId="0" applyFont="1" applyFill="1" applyBorder="1" applyAlignment="1" applyProtection="1">
      <alignment horizontal="center"/>
    </xf>
    <xf numFmtId="4" fontId="0" fillId="5" borderId="20" xfId="0" applyNumberFormat="1" applyFont="1" applyFill="1" applyBorder="1" applyAlignment="1">
      <alignment horizontal="center"/>
    </xf>
    <xf numFmtId="4" fontId="0" fillId="0" borderId="20" xfId="0" applyNumberFormat="1" applyFont="1" applyFill="1" applyBorder="1" applyAlignment="1">
      <alignment horizontal="center"/>
    </xf>
    <xf numFmtId="4" fontId="0" fillId="0" borderId="21" xfId="0" applyNumberFormat="1" applyFont="1" applyFill="1" applyBorder="1" applyAlignment="1">
      <alignment horizontal="center"/>
    </xf>
    <xf numFmtId="2" fontId="6" fillId="0" borderId="7" xfId="0" applyNumberFormat="1" applyFont="1" applyFill="1" applyBorder="1" applyAlignment="1">
      <alignment horizontal="center"/>
    </xf>
    <xf numFmtId="2" fontId="6" fillId="0" borderId="2" xfId="0" applyNumberFormat="1" applyFont="1" applyFill="1" applyBorder="1" applyAlignment="1">
      <alignment horizontal="center"/>
    </xf>
    <xf numFmtId="2" fontId="6" fillId="6" borderId="7" xfId="0" applyNumberFormat="1" applyFont="1" applyFill="1" applyBorder="1" applyAlignment="1">
      <alignment horizontal="center"/>
    </xf>
    <xf numFmtId="2" fontId="6" fillId="6" borderId="2"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20" xfId="0" applyNumberFormat="1" applyFont="1" applyFill="1" applyBorder="1" applyAlignment="1">
      <alignment horizontal="center"/>
    </xf>
    <xf numFmtId="2" fontId="6" fillId="7" borderId="0" xfId="0" applyNumberFormat="1" applyFont="1" applyFill="1" applyBorder="1" applyAlignment="1">
      <alignment horizontal="center"/>
    </xf>
    <xf numFmtId="2" fontId="6" fillId="7" borderId="20" xfId="0" applyNumberFormat="1" applyFont="1" applyFill="1" applyBorder="1" applyAlignment="1">
      <alignment horizontal="center"/>
    </xf>
    <xf numFmtId="2" fontId="0" fillId="0" borderId="9" xfId="0" applyNumberFormat="1" applyFont="1" applyBorder="1" applyAlignment="1">
      <alignment horizontal="center"/>
    </xf>
    <xf numFmtId="2" fontId="0" fillId="5" borderId="9" xfId="0" applyNumberFormat="1" applyFont="1" applyFill="1" applyBorder="1" applyAlignment="1">
      <alignment horizontal="center"/>
    </xf>
    <xf numFmtId="2" fontId="0" fillId="5" borderId="2" xfId="0" applyNumberFormat="1" applyFont="1" applyFill="1" applyBorder="1" applyAlignment="1">
      <alignment horizontal="center"/>
    </xf>
    <xf numFmtId="2" fontId="0" fillId="0" borderId="8" xfId="0" applyNumberFormat="1" applyFont="1" applyBorder="1" applyAlignment="1">
      <alignment horizontal="center"/>
    </xf>
    <xf numFmtId="2" fontId="0" fillId="7" borderId="0" xfId="0" applyNumberFormat="1" applyFont="1" applyFill="1" applyBorder="1" applyAlignment="1">
      <alignment horizontal="center"/>
    </xf>
    <xf numFmtId="168" fontId="11" fillId="0" borderId="0" xfId="0" applyNumberFormat="1" applyFont="1" applyFill="1" applyBorder="1"/>
    <xf numFmtId="4" fontId="0" fillId="7" borderId="0" xfId="0" applyNumberFormat="1" applyFont="1" applyFill="1" applyBorder="1" applyAlignment="1">
      <alignment horizontal="center"/>
    </xf>
    <xf numFmtId="4" fontId="0" fillId="7" borderId="2" xfId="0" applyNumberFormat="1" applyFont="1" applyFill="1" applyBorder="1" applyAlignment="1">
      <alignment horizontal="center"/>
    </xf>
    <xf numFmtId="4" fontId="0" fillId="0" borderId="7" xfId="0" applyNumberFormat="1" applyFont="1" applyBorder="1" applyAlignment="1" applyProtection="1">
      <alignment horizontal="center"/>
    </xf>
    <xf numFmtId="4" fontId="0" fillId="0" borderId="20" xfId="0" applyNumberFormat="1" applyFont="1" applyBorder="1" applyAlignment="1" applyProtection="1">
      <alignment horizontal="center"/>
    </xf>
    <xf numFmtId="4" fontId="0" fillId="48" borderId="7" xfId="0" applyNumberFormat="1" applyFont="1" applyFill="1" applyBorder="1" applyAlignment="1" applyProtection="1">
      <alignment horizontal="center"/>
    </xf>
    <xf numFmtId="4" fontId="0" fillId="48" borderId="20" xfId="0" applyNumberFormat="1" applyFont="1" applyFill="1" applyBorder="1" applyAlignment="1" applyProtection="1">
      <alignment horizontal="center"/>
    </xf>
    <xf numFmtId="4" fontId="0" fillId="0" borderId="6" xfId="0" applyNumberFormat="1" applyFont="1" applyBorder="1" applyAlignment="1" applyProtection="1">
      <alignment horizontal="center"/>
    </xf>
    <xf numFmtId="4" fontId="0" fillId="0" borderId="21" xfId="0" applyNumberFormat="1" applyFont="1" applyBorder="1" applyAlignment="1" applyProtection="1">
      <alignment horizontal="center"/>
    </xf>
    <xf numFmtId="4" fontId="6" fillId="49" borderId="20" xfId="0" applyNumberFormat="1" applyFont="1" applyFill="1" applyBorder="1" applyAlignment="1" applyProtection="1">
      <alignment horizontal="center"/>
    </xf>
    <xf numFmtId="4" fontId="6" fillId="0" borderId="20" xfId="0" applyNumberFormat="1" applyFont="1" applyFill="1" applyBorder="1" applyAlignment="1" applyProtection="1">
      <alignment horizontal="center"/>
    </xf>
    <xf numFmtId="4" fontId="0" fillId="49" borderId="7" xfId="0" applyNumberFormat="1" applyFont="1" applyFill="1" applyBorder="1" applyAlignment="1">
      <alignment horizontal="center"/>
    </xf>
    <xf numFmtId="4" fontId="0" fillId="49" borderId="20" xfId="0" applyNumberFormat="1" applyFont="1" applyFill="1" applyBorder="1" applyAlignment="1">
      <alignment horizontal="center"/>
    </xf>
    <xf numFmtId="4" fontId="0" fillId="7" borderId="7" xfId="0" applyNumberFormat="1" applyFont="1" applyFill="1" applyBorder="1" applyAlignment="1">
      <alignment horizontal="center"/>
    </xf>
    <xf numFmtId="4" fontId="0" fillId="7" borderId="20" xfId="0" applyNumberFormat="1" applyFont="1" applyFill="1" applyBorder="1" applyAlignment="1">
      <alignment horizontal="center"/>
    </xf>
    <xf numFmtId="0" fontId="7" fillId="107" borderId="1" xfId="0" applyNumberFormat="1" applyFont="1" applyFill="1" applyBorder="1" applyAlignment="1">
      <alignment horizontal="right"/>
    </xf>
    <xf numFmtId="0" fontId="7" fillId="50" borderId="1" xfId="0" applyNumberFormat="1" applyFont="1" applyFill="1" applyBorder="1" applyAlignment="1">
      <alignment horizontal="right"/>
    </xf>
    <xf numFmtId="0" fontId="0" fillId="0" borderId="0" xfId="0" applyFont="1" applyAlignment="1">
      <alignment horizontal="right"/>
    </xf>
    <xf numFmtId="0" fontId="0" fillId="0" borderId="0" xfId="0" applyAlignment="1">
      <alignment horizontal="right"/>
    </xf>
    <xf numFmtId="4" fontId="0" fillId="48" borderId="12" xfId="0" applyNumberFormat="1" applyFont="1" applyFill="1" applyBorder="1" applyAlignment="1">
      <alignment horizontal="center"/>
    </xf>
    <xf numFmtId="4" fontId="0" fillId="0" borderId="12" xfId="0" applyNumberFormat="1" applyFont="1" applyFill="1" applyBorder="1" applyAlignment="1">
      <alignment horizontal="center"/>
    </xf>
    <xf numFmtId="4" fontId="0" fillId="48" borderId="20" xfId="0" applyNumberFormat="1" applyFont="1" applyFill="1" applyBorder="1" applyAlignment="1">
      <alignment horizontal="center"/>
    </xf>
    <xf numFmtId="0" fontId="0" fillId="0" borderId="27" xfId="0" applyFill="1" applyBorder="1"/>
    <xf numFmtId="0" fontId="0" fillId="0" borderId="9" xfId="0" applyFill="1" applyBorder="1" applyAlignment="1">
      <alignment horizontal="center"/>
    </xf>
    <xf numFmtId="170" fontId="0" fillId="0" borderId="20" xfId="0" applyNumberFormat="1" applyFill="1" applyBorder="1" applyAlignment="1">
      <alignment horizontal="center"/>
    </xf>
    <xf numFmtId="0" fontId="0" fillId="6" borderId="9" xfId="0" applyFill="1" applyBorder="1" applyAlignment="1">
      <alignment horizontal="center"/>
    </xf>
    <xf numFmtId="170" fontId="0" fillId="6" borderId="20" xfId="0" applyNumberFormat="1" applyFill="1" applyBorder="1" applyAlignment="1">
      <alignment horizontal="center"/>
    </xf>
    <xf numFmtId="4" fontId="6" fillId="49" borderId="7" xfId="0" applyNumberFormat="1" applyFont="1" applyFill="1" applyBorder="1" applyAlignment="1">
      <alignment horizontal="center"/>
    </xf>
    <xf numFmtId="4" fontId="6" fillId="49" borderId="2" xfId="0" applyNumberFormat="1" applyFont="1" applyFill="1" applyBorder="1" applyAlignment="1">
      <alignment horizontal="center"/>
    </xf>
    <xf numFmtId="4" fontId="6" fillId="7" borderId="2" xfId="0" applyNumberFormat="1" applyFont="1" applyFill="1" applyBorder="1" applyAlignment="1">
      <alignment horizontal="center"/>
    </xf>
    <xf numFmtId="4" fontId="6" fillId="7" borderId="7" xfId="0" applyNumberFormat="1" applyFont="1" applyFill="1" applyBorder="1" applyAlignment="1">
      <alignment horizontal="center"/>
    </xf>
    <xf numFmtId="4" fontId="6" fillId="49" borderId="6" xfId="0" applyNumberFormat="1" applyFont="1" applyFill="1" applyBorder="1" applyAlignment="1">
      <alignment horizontal="center"/>
    </xf>
    <xf numFmtId="4" fontId="6" fillId="49" borderId="5" xfId="0" applyNumberFormat="1" applyFont="1" applyFill="1" applyBorder="1" applyAlignment="1">
      <alignment horizontal="center"/>
    </xf>
    <xf numFmtId="4" fontId="6" fillId="14" borderId="7" xfId="0" applyNumberFormat="1" applyFont="1" applyFill="1" applyBorder="1" applyAlignment="1">
      <alignment horizontal="center"/>
    </xf>
    <xf numFmtId="4" fontId="6" fillId="14" borderId="2" xfId="0" applyNumberFormat="1" applyFont="1" applyFill="1" applyBorder="1" applyAlignment="1">
      <alignment horizontal="center"/>
    </xf>
    <xf numFmtId="4" fontId="6" fillId="0" borderId="20" xfId="0" applyNumberFormat="1" applyFont="1" applyFill="1" applyBorder="1" applyAlignment="1">
      <alignment horizontal="center"/>
    </xf>
    <xf numFmtId="49" fontId="5" fillId="0" borderId="0" xfId="0" applyNumberFormat="1" applyFont="1" applyFill="1" applyBorder="1" applyAlignment="1">
      <alignment horizontal="center"/>
    </xf>
    <xf numFmtId="2" fontId="0" fillId="14" borderId="9" xfId="0" applyNumberFormat="1" applyFont="1" applyFill="1" applyBorder="1" applyAlignment="1">
      <alignment horizontal="center"/>
    </xf>
    <xf numFmtId="2" fontId="0" fillId="0" borderId="20" xfId="0" applyNumberFormat="1" applyFont="1" applyBorder="1" applyAlignment="1">
      <alignment horizontal="center"/>
    </xf>
    <xf numFmtId="4" fontId="0" fillId="14" borderId="0" xfId="0" applyNumberFormat="1" applyFont="1" applyFill="1" applyBorder="1" applyAlignment="1">
      <alignment horizontal="center"/>
    </xf>
    <xf numFmtId="4" fontId="0" fillId="14" borderId="2" xfId="0" applyNumberFormat="1" applyFont="1" applyFill="1" applyBorder="1" applyAlignment="1">
      <alignment horizontal="center"/>
    </xf>
    <xf numFmtId="4" fontId="0" fillId="0" borderId="0" xfId="0" applyNumberFormat="1" applyFont="1" applyBorder="1" applyAlignment="1">
      <alignment horizontal="center"/>
    </xf>
    <xf numFmtId="4" fontId="0" fillId="0" borderId="2" xfId="0" applyNumberFormat="1" applyFont="1" applyBorder="1" applyAlignment="1">
      <alignment horizontal="center"/>
    </xf>
    <xf numFmtId="4" fontId="0" fillId="0" borderId="0" xfId="0" applyNumberFormat="1" applyFont="1" applyFill="1" applyBorder="1" applyAlignment="1">
      <alignment horizontal="center"/>
    </xf>
    <xf numFmtId="4" fontId="0" fillId="0" borderId="2" xfId="0" applyNumberFormat="1" applyFont="1" applyFill="1" applyBorder="1" applyAlignment="1">
      <alignment horizontal="center"/>
    </xf>
    <xf numFmtId="0" fontId="0" fillId="14" borderId="9" xfId="0" applyFill="1" applyBorder="1" applyAlignment="1">
      <alignment horizontal="left"/>
    </xf>
    <xf numFmtId="0" fontId="0" fillId="7" borderId="9" xfId="0" applyFill="1" applyBorder="1" applyAlignment="1">
      <alignment horizontal="left"/>
    </xf>
    <xf numFmtId="0" fontId="7" fillId="0" borderId="0" xfId="0" applyFont="1"/>
    <xf numFmtId="0" fontId="0" fillId="14" borderId="7" xfId="0" applyFill="1" applyBorder="1" applyAlignment="1">
      <alignment horizontal="center"/>
    </xf>
    <xf numFmtId="170" fontId="0" fillId="14" borderId="20" xfId="0" applyNumberFormat="1" applyFill="1" applyBorder="1" applyAlignment="1">
      <alignment horizontal="center"/>
    </xf>
    <xf numFmtId="0" fontId="0" fillId="7" borderId="7" xfId="0" applyFill="1" applyBorder="1" applyAlignment="1">
      <alignment horizontal="center"/>
    </xf>
    <xf numFmtId="170" fontId="0" fillId="7" borderId="20" xfId="0" applyNumberFormat="1" applyFill="1" applyBorder="1" applyAlignment="1">
      <alignment horizontal="center"/>
    </xf>
    <xf numFmtId="4" fontId="0" fillId="0" borderId="9" xfId="0" applyNumberFormat="1" applyFont="1" applyBorder="1" applyAlignment="1">
      <alignment horizontal="center"/>
    </xf>
    <xf numFmtId="4" fontId="0" fillId="15" borderId="9" xfId="0" applyNumberFormat="1" applyFont="1" applyFill="1" applyBorder="1" applyAlignment="1">
      <alignment horizontal="center"/>
    </xf>
    <xf numFmtId="4" fontId="0" fillId="15" borderId="2" xfId="0" applyNumberFormat="1" applyFont="1" applyFill="1" applyBorder="1" applyAlignment="1">
      <alignment horizontal="center"/>
    </xf>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4" fontId="6" fillId="13" borderId="7" xfId="0" applyNumberFormat="1" applyFont="1" applyFill="1" applyBorder="1" applyAlignment="1">
      <alignment horizontal="center"/>
    </xf>
    <xf numFmtId="4" fontId="6" fillId="13" borderId="2" xfId="0" applyNumberFormat="1" applyFont="1" applyFill="1" applyBorder="1" applyAlignment="1">
      <alignment horizontal="center"/>
    </xf>
    <xf numFmtId="4" fontId="0" fillId="13" borderId="0" xfId="0" applyNumberFormat="1" applyFont="1" applyFill="1" applyBorder="1" applyAlignment="1">
      <alignment horizontal="center"/>
    </xf>
    <xf numFmtId="172" fontId="11" fillId="0" borderId="0" xfId="0" applyNumberFormat="1" applyFont="1" applyFill="1" applyBorder="1"/>
    <xf numFmtId="4" fontId="0" fillId="0" borderId="9" xfId="0" applyNumberFormat="1" applyFont="1" applyFill="1" applyBorder="1" applyAlignment="1">
      <alignment horizontal="center"/>
    </xf>
    <xf numFmtId="4" fontId="0" fillId="0" borderId="8" xfId="0" applyNumberFormat="1" applyFont="1" applyFill="1" applyBorder="1" applyAlignment="1">
      <alignment horizontal="center"/>
    </xf>
    <xf numFmtId="0" fontId="0" fillId="13" borderId="7" xfId="0" applyFill="1" applyBorder="1" applyAlignment="1">
      <alignment horizontal="center"/>
    </xf>
    <xf numFmtId="170" fontId="0" fillId="13" borderId="2" xfId="0" applyNumberFormat="1" applyFill="1" applyBorder="1" applyAlignment="1">
      <alignment horizontal="center"/>
    </xf>
    <xf numFmtId="0" fontId="0" fillId="0" borderId="7" xfId="0" applyFill="1" applyBorder="1" applyAlignment="1">
      <alignment horizontal="center"/>
    </xf>
    <xf numFmtId="170" fontId="0" fillId="0" borderId="2" xfId="0" applyNumberFormat="1" applyFill="1" applyBorder="1" applyAlignment="1">
      <alignment horizontal="center"/>
    </xf>
    <xf numFmtId="2" fontId="6" fillId="13" borderId="7" xfId="0" applyNumberFormat="1" applyFont="1" applyFill="1" applyBorder="1" applyAlignment="1">
      <alignment horizontal="center"/>
    </xf>
    <xf numFmtId="2" fontId="6" fillId="13" borderId="2" xfId="0" applyNumberFormat="1" applyFont="1" applyFill="1" applyBorder="1" applyAlignment="1">
      <alignment horizontal="center"/>
    </xf>
    <xf numFmtId="2" fontId="6" fillId="13" borderId="6" xfId="0" applyNumberFormat="1" applyFont="1" applyFill="1" applyBorder="1" applyAlignment="1">
      <alignment horizontal="center"/>
    </xf>
    <xf numFmtId="2" fontId="6" fillId="13" borderId="5" xfId="0" applyNumberFormat="1" applyFont="1" applyFill="1" applyBorder="1" applyAlignment="1">
      <alignment horizontal="center"/>
    </xf>
    <xf numFmtId="0" fontId="7" fillId="20" borderId="28" xfId="0" applyNumberFormat="1" applyFont="1" applyFill="1" applyBorder="1" applyAlignment="1">
      <alignment horizontal="right"/>
    </xf>
    <xf numFmtId="3" fontId="6" fillId="0" borderId="2" xfId="0" applyNumberFormat="1" applyFont="1" applyFill="1" applyBorder="1" applyAlignment="1">
      <alignment horizontal="center"/>
    </xf>
    <xf numFmtId="4" fontId="6" fillId="0" borderId="0" xfId="0" applyNumberFormat="1" applyFont="1" applyFill="1" applyBorder="1" applyAlignment="1">
      <alignment horizontal="center"/>
    </xf>
    <xf numFmtId="4" fontId="6" fillId="13" borderId="0" xfId="0" applyNumberFormat="1" applyFont="1" applyFill="1" applyBorder="1" applyAlignment="1">
      <alignment horizontal="center"/>
    </xf>
    <xf numFmtId="4" fontId="6" fillId="7" borderId="0" xfId="0" applyNumberFormat="1" applyFont="1" applyFill="1" applyBorder="1" applyAlignment="1">
      <alignment horizontal="center"/>
    </xf>
    <xf numFmtId="4" fontId="6" fillId="13" borderId="20" xfId="0" applyNumberFormat="1" applyFont="1" applyFill="1" applyBorder="1" applyAlignment="1">
      <alignment horizontal="center"/>
    </xf>
    <xf numFmtId="4" fontId="6" fillId="99" borderId="7" xfId="0" applyNumberFormat="1" applyFont="1" applyFill="1" applyBorder="1" applyAlignment="1">
      <alignment horizontal="center"/>
    </xf>
    <xf numFmtId="4" fontId="6" fillId="99" borderId="2" xfId="0" applyNumberFormat="1" applyFont="1" applyFill="1" applyBorder="1" applyAlignment="1">
      <alignment horizontal="center"/>
    </xf>
    <xf numFmtId="4" fontId="0" fillId="99" borderId="7" xfId="0" applyNumberFormat="1" applyFont="1" applyFill="1" applyBorder="1" applyAlignment="1">
      <alignment horizontal="center"/>
    </xf>
    <xf numFmtId="4" fontId="0" fillId="99" borderId="2" xfId="0" applyNumberFormat="1" applyFont="1" applyFill="1" applyBorder="1" applyAlignment="1">
      <alignment horizontal="center"/>
    </xf>
    <xf numFmtId="4" fontId="0" fillId="0" borderId="7" xfId="0" applyNumberFormat="1" applyFont="1" applyFill="1" applyBorder="1" applyAlignment="1">
      <alignment horizontal="center"/>
    </xf>
    <xf numFmtId="4" fontId="6" fillId="99" borderId="0" xfId="0" applyNumberFormat="1" applyFont="1" applyFill="1" applyBorder="1" applyAlignment="1">
      <alignment horizontal="center"/>
    </xf>
    <xf numFmtId="4" fontId="6" fillId="99" borderId="20" xfId="0" applyNumberFormat="1" applyFont="1" applyFill="1" applyBorder="1" applyAlignment="1">
      <alignment horizontal="center"/>
    </xf>
    <xf numFmtId="4" fontId="6" fillId="3" borderId="7" xfId="0" applyNumberFormat="1" applyFont="1" applyFill="1" applyBorder="1" applyAlignment="1">
      <alignment horizontal="center"/>
    </xf>
    <xf numFmtId="4" fontId="6" fillId="3" borderId="2" xfId="0" applyNumberFormat="1" applyFont="1" applyFill="1" applyBorder="1" applyAlignment="1">
      <alignment horizontal="center"/>
    </xf>
    <xf numFmtId="2" fontId="11" fillId="0" borderId="0" xfId="0" applyNumberFormat="1" applyFont="1" applyFill="1" applyBorder="1"/>
    <xf numFmtId="4" fontId="0" fillId="3" borderId="0" xfId="0" applyNumberFormat="1" applyFont="1" applyFill="1" applyBorder="1" applyAlignment="1">
      <alignment horizontal="center"/>
    </xf>
    <xf numFmtId="4" fontId="0" fillId="3" borderId="2" xfId="0" applyNumberFormat="1" applyFont="1" applyFill="1" applyBorder="1" applyAlignment="1">
      <alignment horizontal="center"/>
    </xf>
    <xf numFmtId="4" fontId="0" fillId="18" borderId="20" xfId="0" applyNumberFormat="1" applyFont="1" applyFill="1" applyBorder="1" applyAlignment="1">
      <alignment horizontal="center"/>
    </xf>
    <xf numFmtId="4" fontId="0" fillId="18" borderId="2" xfId="0" applyNumberFormat="1" applyFont="1" applyFill="1" applyBorder="1" applyAlignment="1">
      <alignment horizontal="center"/>
    </xf>
    <xf numFmtId="0" fontId="7" fillId="113" borderId="19" xfId="0" applyFont="1" applyFill="1" applyBorder="1" applyAlignment="1">
      <alignment horizontal="center"/>
    </xf>
    <xf numFmtId="0" fontId="7" fillId="17" borderId="17" xfId="0" applyFont="1" applyFill="1" applyBorder="1" applyAlignment="1">
      <alignment horizontal="center"/>
    </xf>
    <xf numFmtId="4" fontId="0" fillId="18" borderId="9" xfId="0" applyNumberFormat="1" applyFont="1" applyFill="1" applyBorder="1" applyAlignment="1">
      <alignment horizontal="center"/>
    </xf>
    <xf numFmtId="0" fontId="7" fillId="114" borderId="1" xfId="0" applyNumberFormat="1" applyFont="1" applyFill="1" applyBorder="1" applyAlignment="1">
      <alignment horizontal="right"/>
    </xf>
    <xf numFmtId="0" fontId="7" fillId="115" borderId="1" xfId="0" applyNumberFormat="1" applyFont="1" applyFill="1" applyBorder="1" applyAlignment="1">
      <alignment horizontal="right"/>
    </xf>
    <xf numFmtId="0" fontId="7" fillId="17" borderId="26" xfId="0" applyFont="1" applyFill="1" applyBorder="1" applyAlignment="1">
      <alignment horizontal="right"/>
    </xf>
    <xf numFmtId="0" fontId="0" fillId="3" borderId="7" xfId="0" applyFill="1" applyBorder="1" applyAlignment="1">
      <alignment horizontal="center"/>
    </xf>
    <xf numFmtId="173" fontId="6" fillId="0" borderId="2" xfId="0" applyNumberFormat="1" applyFont="1" applyFill="1" applyBorder="1" applyAlignment="1">
      <alignment horizontal="center"/>
    </xf>
    <xf numFmtId="173" fontId="6" fillId="3" borderId="2" xfId="0" applyNumberFormat="1" applyFont="1" applyFill="1" applyBorder="1" applyAlignment="1">
      <alignment horizontal="center"/>
    </xf>
    <xf numFmtId="4" fontId="6" fillId="0" borderId="6" xfId="0" applyNumberFormat="1" applyFont="1" applyFill="1" applyBorder="1" applyAlignment="1">
      <alignment horizontal="center"/>
    </xf>
    <xf numFmtId="0" fontId="7" fillId="16" borderId="1" xfId="0" applyNumberFormat="1" applyFont="1" applyFill="1" applyBorder="1" applyAlignment="1">
      <alignment horizontal="right"/>
    </xf>
    <xf numFmtId="0" fontId="7" fillId="16" borderId="28" xfId="0" applyNumberFormat="1" applyFont="1" applyFill="1" applyBorder="1" applyAlignment="1">
      <alignment horizontal="right"/>
    </xf>
    <xf numFmtId="0" fontId="0" fillId="0" borderId="0" xfId="0" applyAlignment="1">
      <alignment vertical="center"/>
    </xf>
    <xf numFmtId="2" fontId="0" fillId="60" borderId="9" xfId="0" applyNumberFormat="1" applyFont="1" applyFill="1" applyBorder="1" applyAlignment="1">
      <alignment horizontal="center"/>
    </xf>
    <xf numFmtId="17" fontId="7" fillId="57" borderId="27" xfId="0" applyNumberFormat="1" applyFont="1" applyFill="1" applyBorder="1"/>
    <xf numFmtId="2" fontId="0" fillId="60" borderId="20" xfId="0" applyNumberFormat="1" applyFont="1" applyFill="1" applyBorder="1" applyAlignment="1">
      <alignment horizontal="center"/>
    </xf>
    <xf numFmtId="2" fontId="0" fillId="0" borderId="21" xfId="0" applyNumberFormat="1" applyFont="1" applyBorder="1" applyAlignment="1">
      <alignment horizontal="center"/>
    </xf>
    <xf numFmtId="0" fontId="5" fillId="0" borderId="0" xfId="0" applyFont="1" applyFill="1" applyBorder="1" applyAlignment="1"/>
    <xf numFmtId="0" fontId="0" fillId="0" borderId="0" xfId="0" applyFill="1" applyAlignment="1"/>
    <xf numFmtId="4" fontId="0" fillId="58" borderId="0" xfId="0" applyNumberFormat="1" applyFont="1" applyFill="1" applyBorder="1" applyAlignment="1">
      <alignment horizontal="center"/>
    </xf>
    <xf numFmtId="4" fontId="6" fillId="10" borderId="7" xfId="0" applyNumberFormat="1" applyFont="1" applyFill="1" applyBorder="1" applyAlignment="1">
      <alignment horizontal="center"/>
    </xf>
    <xf numFmtId="4" fontId="6" fillId="10" borderId="2" xfId="0" applyNumberFormat="1" applyFont="1" applyFill="1" applyBorder="1" applyAlignment="1">
      <alignment horizontal="center"/>
    </xf>
    <xf numFmtId="4" fontId="6" fillId="0" borderId="9" xfId="0" applyNumberFormat="1" applyFont="1" applyFill="1" applyBorder="1" applyAlignment="1">
      <alignment horizontal="center"/>
    </xf>
    <xf numFmtId="4" fontId="6" fillId="10" borderId="9" xfId="0" applyNumberFormat="1" applyFont="1" applyFill="1" applyBorder="1" applyAlignment="1">
      <alignment horizontal="center"/>
    </xf>
    <xf numFmtId="4" fontId="6" fillId="10" borderId="20" xfId="0" applyNumberFormat="1" applyFont="1" applyFill="1" applyBorder="1" applyAlignment="1">
      <alignment horizontal="center"/>
    </xf>
    <xf numFmtId="2" fontId="0" fillId="10" borderId="0" xfId="0" applyNumberFormat="1" applyFont="1" applyFill="1" applyBorder="1" applyAlignment="1">
      <alignment horizontal="center"/>
    </xf>
    <xf numFmtId="4" fontId="0" fillId="11" borderId="20" xfId="0" applyNumberFormat="1" applyFont="1" applyFill="1" applyBorder="1" applyAlignment="1">
      <alignment horizontal="center"/>
    </xf>
    <xf numFmtId="17" fontId="7" fillId="117" borderId="27" xfId="0" applyNumberFormat="1" applyFont="1" applyFill="1" applyBorder="1"/>
    <xf numFmtId="4" fontId="0" fillId="11" borderId="9" xfId="0" applyNumberFormat="1" applyFont="1" applyFill="1" applyBorder="1" applyAlignment="1">
      <alignment horizontal="center"/>
    </xf>
    <xf numFmtId="17" fontId="7" fillId="118" borderId="27" xfId="0" applyNumberFormat="1" applyFont="1" applyFill="1" applyBorder="1"/>
    <xf numFmtId="17" fontId="7" fillId="100" borderId="27" xfId="0" applyNumberFormat="1" applyFont="1" applyFill="1" applyBorder="1"/>
    <xf numFmtId="17" fontId="7" fillId="100" borderId="28" xfId="0" applyNumberFormat="1" applyFont="1" applyFill="1" applyBorder="1"/>
    <xf numFmtId="0" fontId="7" fillId="20" borderId="17" xfId="0" applyFont="1" applyFill="1" applyBorder="1" applyAlignment="1">
      <alignment horizontal="center" vertical="center"/>
    </xf>
    <xf numFmtId="0" fontId="7" fillId="117" borderId="1" xfId="0" applyNumberFormat="1" applyFont="1" applyFill="1" applyBorder="1" applyAlignment="1">
      <alignment horizontal="right"/>
    </xf>
    <xf numFmtId="0" fontId="7" fillId="118" borderId="1" xfId="0" applyNumberFormat="1" applyFont="1" applyFill="1" applyBorder="1" applyAlignment="1">
      <alignment horizontal="right"/>
    </xf>
    <xf numFmtId="0" fontId="0" fillId="10" borderId="7" xfId="0" applyFill="1" applyBorder="1" applyAlignment="1">
      <alignment horizontal="center"/>
    </xf>
    <xf numFmtId="0" fontId="0" fillId="10" borderId="27" xfId="0" applyFill="1" applyBorder="1"/>
    <xf numFmtId="0" fontId="0" fillId="3" borderId="27" xfId="0" applyFill="1" applyBorder="1"/>
    <xf numFmtId="170" fontId="0" fillId="3" borderId="2" xfId="0" applyNumberFormat="1" applyFill="1" applyBorder="1" applyAlignment="1">
      <alignment horizontal="center"/>
    </xf>
    <xf numFmtId="2" fontId="0" fillId="11" borderId="9" xfId="0" applyNumberFormat="1" applyFont="1" applyFill="1" applyBorder="1" applyAlignment="1">
      <alignment horizontal="center"/>
    </xf>
    <xf numFmtId="0" fontId="7" fillId="9" borderId="27" xfId="0" applyNumberFormat="1" applyFont="1" applyFill="1" applyBorder="1"/>
    <xf numFmtId="173" fontId="0" fillId="0" borderId="2" xfId="0" applyNumberFormat="1" applyFont="1" applyBorder="1" applyAlignment="1">
      <alignment horizontal="center"/>
    </xf>
    <xf numFmtId="173" fontId="0" fillId="18" borderId="2" xfId="0" applyNumberFormat="1" applyFont="1" applyFill="1" applyBorder="1" applyAlignment="1">
      <alignment horizontal="center"/>
    </xf>
    <xf numFmtId="173" fontId="0" fillId="0" borderId="5" xfId="0" applyNumberFormat="1" applyFont="1" applyBorder="1" applyAlignment="1">
      <alignment horizontal="center"/>
    </xf>
    <xf numFmtId="4" fontId="6" fillId="2" borderId="7" xfId="0" applyNumberFormat="1" applyFont="1" applyFill="1" applyBorder="1" applyAlignment="1">
      <alignment horizontal="center"/>
    </xf>
    <xf numFmtId="4" fontId="6" fillId="2" borderId="2" xfId="0" applyNumberFormat="1" applyFont="1" applyFill="1" applyBorder="1" applyAlignment="1">
      <alignment horizontal="center"/>
    </xf>
    <xf numFmtId="17" fontId="7" fillId="23" borderId="27" xfId="0" applyNumberFormat="1" applyFont="1" applyFill="1" applyBorder="1"/>
    <xf numFmtId="17" fontId="7" fillId="23" borderId="28" xfId="0" applyNumberFormat="1" applyFont="1" applyFill="1" applyBorder="1"/>
    <xf numFmtId="0" fontId="9" fillId="23" borderId="26" xfId="0" applyFont="1" applyFill="1" applyBorder="1" applyAlignment="1">
      <alignment horizontal="center"/>
    </xf>
    <xf numFmtId="0" fontId="7" fillId="23" borderId="65" xfId="0" applyFont="1" applyFill="1" applyBorder="1" applyAlignment="1">
      <alignment horizontal="right"/>
    </xf>
    <xf numFmtId="17" fontId="7" fillId="121" borderId="27" xfId="0" applyNumberFormat="1" applyFont="1" applyFill="1" applyBorder="1"/>
    <xf numFmtId="17" fontId="7" fillId="120" borderId="27" xfId="0" applyNumberFormat="1" applyFont="1" applyFill="1" applyBorder="1"/>
    <xf numFmtId="17" fontId="7" fillId="121" borderId="28" xfId="0" applyNumberFormat="1" applyFont="1" applyFill="1" applyBorder="1"/>
    <xf numFmtId="4" fontId="0" fillId="2" borderId="0" xfId="0" applyNumberFormat="1" applyFont="1" applyFill="1" applyBorder="1" applyAlignment="1">
      <alignment horizontal="center"/>
    </xf>
    <xf numFmtId="4" fontId="0" fillId="2" borderId="2" xfId="0" applyNumberFormat="1" applyFont="1" applyFill="1" applyBorder="1" applyAlignment="1">
      <alignment horizontal="center"/>
    </xf>
    <xf numFmtId="169" fontId="11" fillId="0" borderId="0" xfId="0" applyNumberFormat="1" applyFont="1" applyFill="1" applyBorder="1"/>
    <xf numFmtId="4" fontId="0" fillId="24" borderId="20" xfId="0" applyNumberFormat="1" applyFont="1" applyFill="1" applyBorder="1" applyAlignment="1">
      <alignment horizontal="center"/>
    </xf>
    <xf numFmtId="0" fontId="7" fillId="121" borderId="1" xfId="0" applyNumberFormat="1" applyFont="1" applyFill="1" applyBorder="1" applyAlignment="1">
      <alignment horizontal="right"/>
    </xf>
    <xf numFmtId="0" fontId="7" fillId="120" borderId="1" xfId="0" applyNumberFormat="1" applyFont="1" applyFill="1" applyBorder="1" applyAlignment="1">
      <alignment horizontal="right"/>
    </xf>
    <xf numFmtId="0" fontId="0" fillId="2" borderId="7" xfId="0" applyFill="1" applyBorder="1" applyAlignment="1">
      <alignment horizontal="center"/>
    </xf>
    <xf numFmtId="0" fontId="0" fillId="2" borderId="27" xfId="0" applyFill="1" applyBorder="1"/>
    <xf numFmtId="0" fontId="7" fillId="121" borderId="1" xfId="0" applyNumberFormat="1" applyFont="1" applyFill="1" applyBorder="1"/>
    <xf numFmtId="0" fontId="7" fillId="120" borderId="1" xfId="0" applyNumberFormat="1" applyFont="1" applyFill="1" applyBorder="1"/>
    <xf numFmtId="0" fontId="7" fillId="121" borderId="3" xfId="0" applyNumberFormat="1" applyFont="1" applyFill="1" applyBorder="1"/>
    <xf numFmtId="4" fontId="0" fillId="2" borderId="7" xfId="0" applyNumberFormat="1" applyFont="1" applyFill="1" applyBorder="1" applyAlignment="1">
      <alignment horizontal="center"/>
    </xf>
    <xf numFmtId="0" fontId="114" fillId="0" borderId="0" xfId="0" applyFont="1"/>
    <xf numFmtId="0" fontId="113" fillId="0" borderId="0" xfId="0" applyFont="1"/>
    <xf numFmtId="0" fontId="9" fillId="0" borderId="0" xfId="0" applyFont="1" applyAlignment="1">
      <alignment horizontal="center"/>
    </xf>
    <xf numFmtId="0" fontId="9" fillId="2" borderId="0" xfId="0" applyFont="1" applyFill="1" applyBorder="1" applyAlignment="1" applyProtection="1">
      <alignment horizontal="center"/>
    </xf>
    <xf numFmtId="0" fontId="9" fillId="26" borderId="0" xfId="0" applyFont="1" applyFill="1" applyBorder="1" applyAlignment="1" applyProtection="1">
      <alignment horizontal="center"/>
    </xf>
    <xf numFmtId="0" fontId="5" fillId="0" borderId="0" xfId="0" applyFont="1" applyAlignment="1">
      <alignment horizontal="center" vertical="center"/>
    </xf>
    <xf numFmtId="17" fontId="9" fillId="0" borderId="0" xfId="0" applyNumberFormat="1" applyFont="1" applyFill="1" applyAlignment="1">
      <alignment horizontal="right" vertical="center"/>
    </xf>
    <xf numFmtId="3" fontId="9" fillId="26" borderId="0" xfId="0" applyNumberFormat="1" applyFont="1" applyFill="1" applyBorder="1" applyAlignment="1" applyProtection="1">
      <alignment horizontal="center"/>
    </xf>
    <xf numFmtId="3" fontId="9" fillId="26" borderId="0" xfId="0" applyNumberFormat="1" applyFont="1" applyFill="1" applyBorder="1" applyAlignment="1" applyProtection="1">
      <alignment horizontal="right"/>
    </xf>
    <xf numFmtId="0" fontId="36" fillId="26" borderId="0" xfId="0" applyFont="1" applyFill="1" applyBorder="1" applyAlignment="1" applyProtection="1">
      <alignment horizontal="left"/>
    </xf>
    <xf numFmtId="0" fontId="112" fillId="0" borderId="0" xfId="0" applyFont="1" applyFill="1"/>
    <xf numFmtId="3" fontId="87" fillId="2" borderId="0" xfId="0" applyNumberFormat="1" applyFont="1" applyFill="1" applyBorder="1" applyAlignment="1" applyProtection="1">
      <alignment horizontal="center"/>
    </xf>
    <xf numFmtId="169" fontId="9" fillId="2" borderId="0" xfId="0" applyNumberFormat="1" applyFont="1" applyFill="1" applyAlignment="1">
      <alignment horizontal="right"/>
    </xf>
    <xf numFmtId="169" fontId="9" fillId="2" borderId="0" xfId="0" applyNumberFormat="1" applyFont="1" applyFill="1" applyBorder="1" applyAlignment="1" applyProtection="1">
      <alignment horizontal="right"/>
    </xf>
    <xf numFmtId="0" fontId="39" fillId="2" borderId="0" xfId="0" applyFont="1" applyFill="1" applyBorder="1" applyAlignment="1" applyProtection="1">
      <alignment horizontal="right"/>
    </xf>
    <xf numFmtId="3" fontId="40" fillId="2" borderId="0" xfId="0" applyNumberFormat="1" applyFont="1" applyFill="1" applyBorder="1" applyAlignment="1" applyProtection="1">
      <alignment horizontal="right"/>
    </xf>
    <xf numFmtId="3" fontId="6" fillId="2" borderId="0" xfId="0" applyNumberFormat="1" applyFont="1" applyFill="1" applyAlignment="1">
      <alignment horizontal="right"/>
    </xf>
    <xf numFmtId="169" fontId="39" fillId="2" borderId="0" xfId="0" applyNumberFormat="1" applyFont="1" applyFill="1" applyBorder="1" applyAlignment="1" applyProtection="1">
      <alignment horizontal="right"/>
    </xf>
    <xf numFmtId="4" fontId="2" fillId="0" borderId="1" xfId="0" applyNumberFormat="1" applyFont="1" applyBorder="1" applyAlignment="1">
      <alignment horizontal="center"/>
    </xf>
    <xf numFmtId="4" fontId="2" fillId="0" borderId="1" xfId="0" applyNumberFormat="1" applyFont="1" applyFill="1" applyBorder="1" applyAlignment="1">
      <alignment horizontal="center"/>
    </xf>
    <xf numFmtId="4" fontId="2" fillId="98" borderId="15" xfId="0" applyNumberFormat="1" applyFont="1" applyFill="1" applyBorder="1" applyAlignment="1">
      <alignment horizontal="center"/>
    </xf>
    <xf numFmtId="4" fontId="2" fillId="27" borderId="3" xfId="0" applyNumberFormat="1" applyFont="1" applyFill="1" applyBorder="1" applyAlignment="1">
      <alignment horizontal="center"/>
    </xf>
    <xf numFmtId="4" fontId="2" fillId="0" borderId="0" xfId="0" applyNumberFormat="1" applyFont="1" applyBorder="1" applyAlignment="1">
      <alignment horizontal="center"/>
    </xf>
    <xf numFmtId="4" fontId="2" fillId="0" borderId="0" xfId="0" applyNumberFormat="1" applyFont="1" applyFill="1" applyBorder="1" applyAlignment="1">
      <alignment horizontal="center"/>
    </xf>
    <xf numFmtId="4" fontId="2" fillId="98" borderId="22" xfId="0" applyNumberFormat="1" applyFont="1" applyFill="1" applyBorder="1" applyAlignment="1">
      <alignment horizontal="center"/>
    </xf>
    <xf numFmtId="4" fontId="2" fillId="27" borderId="4" xfId="0" applyNumberFormat="1" applyFont="1" applyFill="1" applyBorder="1" applyAlignment="1">
      <alignment horizontal="center"/>
    </xf>
    <xf numFmtId="2" fontId="0" fillId="24" borderId="9" xfId="0" applyNumberFormat="1" applyFont="1" applyFill="1" applyBorder="1" applyAlignment="1">
      <alignment horizontal="center"/>
    </xf>
    <xf numFmtId="2" fontId="0" fillId="24" borderId="2" xfId="0" applyNumberFormat="1" applyFont="1" applyFill="1" applyBorder="1" applyAlignment="1">
      <alignment horizontal="center"/>
    </xf>
    <xf numFmtId="171" fontId="0" fillId="0" borderId="1" xfId="0" applyNumberFormat="1" applyFont="1" applyFill="1" applyBorder="1" applyAlignment="1">
      <alignment horizontal="left"/>
    </xf>
    <xf numFmtId="171" fontId="0" fillId="49" borderId="1" xfId="0" applyNumberFormat="1" applyFont="1" applyFill="1" applyBorder="1" applyAlignment="1">
      <alignment horizontal="left"/>
    </xf>
    <xf numFmtId="0" fontId="115" fillId="6" borderId="0" xfId="1" applyFont="1" applyFill="1"/>
    <xf numFmtId="0" fontId="115" fillId="49" borderId="0" xfId="1" applyFont="1" applyFill="1"/>
    <xf numFmtId="0" fontId="115" fillId="0" borderId="0" xfId="1" applyFont="1"/>
    <xf numFmtId="0" fontId="115" fillId="26" borderId="0" xfId="1" applyFont="1" applyFill="1"/>
    <xf numFmtId="0" fontId="115" fillId="13" borderId="0" xfId="1" applyFont="1" applyFill="1"/>
    <xf numFmtId="0" fontId="115" fillId="99" borderId="0" xfId="1" applyFont="1" applyFill="1"/>
    <xf numFmtId="0" fontId="115" fillId="3" borderId="0" xfId="1" applyFont="1" applyFill="1"/>
    <xf numFmtId="0" fontId="115" fillId="28" borderId="0" xfId="1" applyFont="1" applyFill="1"/>
    <xf numFmtId="0" fontId="115" fillId="2" borderId="0" xfId="1" applyFont="1" applyFill="1"/>
    <xf numFmtId="0" fontId="116" fillId="2" borderId="0" xfId="0" applyFont="1" applyFill="1"/>
    <xf numFmtId="0" fontId="116" fillId="0" borderId="0" xfId="0" applyFont="1"/>
    <xf numFmtId="3" fontId="13" fillId="2" borderId="0" xfId="0" applyNumberFormat="1" applyFont="1" applyFill="1" applyBorder="1" applyAlignment="1">
      <alignment horizontal="right"/>
    </xf>
    <xf numFmtId="3" fontId="13" fillId="27" borderId="0" xfId="0" applyNumberFormat="1" applyFont="1" applyFill="1" applyBorder="1" applyAlignment="1">
      <alignment horizontal="right"/>
    </xf>
    <xf numFmtId="3" fontId="13" fillId="2" borderId="1" xfId="0" applyNumberFormat="1" applyFont="1" applyFill="1" applyBorder="1" applyAlignment="1">
      <alignment horizontal="right"/>
    </xf>
    <xf numFmtId="3" fontId="13" fillId="27" borderId="1" xfId="0" applyNumberFormat="1" applyFont="1" applyFill="1" applyBorder="1" applyAlignment="1">
      <alignment horizontal="right"/>
    </xf>
    <xf numFmtId="3" fontId="13" fillId="2" borderId="2" xfId="0" applyNumberFormat="1" applyFont="1" applyFill="1" applyBorder="1" applyAlignment="1">
      <alignment horizontal="right"/>
    </xf>
    <xf numFmtId="3" fontId="13" fillId="0" borderId="2" xfId="0" applyNumberFormat="1" applyFont="1" applyFill="1" applyBorder="1" applyAlignment="1">
      <alignment horizontal="right"/>
    </xf>
    <xf numFmtId="3" fontId="59" fillId="2" borderId="2" xfId="0" applyNumberFormat="1" applyFont="1" applyFill="1" applyBorder="1" applyAlignment="1">
      <alignment horizontal="right"/>
    </xf>
    <xf numFmtId="3" fontId="43" fillId="0" borderId="0" xfId="0" applyNumberFormat="1" applyFont="1" applyFill="1" applyBorder="1" applyAlignment="1">
      <alignment horizontal="right"/>
    </xf>
    <xf numFmtId="3" fontId="6" fillId="2" borderId="0" xfId="42" applyNumberFormat="1" applyFont="1" applyFill="1" applyBorder="1" applyAlignment="1">
      <alignment horizontal="right"/>
    </xf>
    <xf numFmtId="3" fontId="35" fillId="0" borderId="0" xfId="0" applyNumberFormat="1" applyFont="1" applyFill="1" applyBorder="1" applyAlignment="1">
      <alignment horizontal="right"/>
    </xf>
    <xf numFmtId="169" fontId="1" fillId="0" borderId="0" xfId="0" applyNumberFormat="1" applyFont="1" applyFill="1" applyAlignment="1">
      <alignment horizontal="right"/>
    </xf>
    <xf numFmtId="3" fontId="6" fillId="0" borderId="0" xfId="42" applyNumberFormat="1" applyFont="1" applyFill="1" applyBorder="1" applyAlignment="1">
      <alignment horizontal="right"/>
    </xf>
    <xf numFmtId="0" fontId="6" fillId="0" borderId="0" xfId="0" applyFont="1" applyFill="1" applyAlignment="1">
      <alignment horizontal="right"/>
    </xf>
    <xf numFmtId="3" fontId="6" fillId="0" borderId="0" xfId="49" applyNumberFormat="1" applyFont="1" applyFill="1" applyBorder="1" applyAlignment="1" applyProtection="1">
      <alignment horizontal="right"/>
    </xf>
    <xf numFmtId="3" fontId="6" fillId="0" borderId="0" xfId="42" applyNumberFormat="1" applyFont="1" applyFill="1" applyBorder="1" applyAlignment="1" applyProtection="1">
      <alignment horizontal="right"/>
    </xf>
    <xf numFmtId="3" fontId="6" fillId="0" borderId="0" xfId="6534" applyNumberFormat="1" applyFont="1" applyFill="1" applyBorder="1" applyAlignment="1" applyProtection="1">
      <alignment horizontal="right"/>
    </xf>
    <xf numFmtId="3" fontId="0" fillId="0" borderId="0" xfId="0" applyNumberFormat="1" applyFont="1" applyFill="1" applyAlignment="1">
      <alignment horizontal="right"/>
    </xf>
    <xf numFmtId="3" fontId="6" fillId="2" borderId="0" xfId="49" applyNumberFormat="1" applyFont="1" applyFill="1" applyBorder="1" applyAlignment="1" applyProtection="1">
      <alignment horizontal="right"/>
    </xf>
    <xf numFmtId="3" fontId="6" fillId="2" borderId="0" xfId="42" applyNumberFormat="1" applyFont="1" applyFill="1" applyBorder="1" applyAlignment="1" applyProtection="1">
      <alignment horizontal="right"/>
    </xf>
    <xf numFmtId="3" fontId="0" fillId="0" borderId="0" xfId="0" applyNumberFormat="1" applyFont="1" applyFill="1" applyBorder="1" applyAlignment="1">
      <alignment horizontal="right"/>
    </xf>
    <xf numFmtId="3" fontId="8" fillId="2" borderId="0" xfId="0" applyNumberFormat="1" applyFont="1" applyFill="1" applyBorder="1" applyAlignment="1">
      <alignment horizontal="right"/>
    </xf>
    <xf numFmtId="3" fontId="6" fillId="2" borderId="0" xfId="6534" applyNumberFormat="1" applyFont="1" applyFill="1" applyBorder="1" applyAlignment="1" applyProtection="1">
      <alignment horizontal="right"/>
    </xf>
    <xf numFmtId="3" fontId="6" fillId="26" borderId="0" xfId="0" applyNumberFormat="1" applyFont="1" applyFill="1" applyBorder="1" applyAlignment="1" applyProtection="1">
      <alignment horizontal="right"/>
    </xf>
    <xf numFmtId="3" fontId="6" fillId="26" borderId="0" xfId="0" applyNumberFormat="1" applyFont="1" applyFill="1" applyBorder="1" applyAlignment="1">
      <alignment horizontal="right"/>
    </xf>
    <xf numFmtId="3" fontId="9" fillId="26" borderId="0" xfId="0" applyNumberFormat="1" applyFont="1" applyFill="1" applyBorder="1" applyAlignment="1">
      <alignment horizontal="right"/>
    </xf>
    <xf numFmtId="3" fontId="0" fillId="26" borderId="0" xfId="0" applyNumberFormat="1" applyFont="1" applyFill="1" applyBorder="1" applyAlignment="1">
      <alignment horizontal="right"/>
    </xf>
    <xf numFmtId="3" fontId="6" fillId="0" borderId="0" xfId="0" applyNumberFormat="1" applyFont="1" applyBorder="1" applyAlignment="1" applyProtection="1">
      <alignment horizontal="right"/>
    </xf>
    <xf numFmtId="3" fontId="6" fillId="61" borderId="0" xfId="0" applyNumberFormat="1" applyFont="1" applyFill="1" applyBorder="1" applyAlignment="1">
      <alignment horizontal="right"/>
    </xf>
    <xf numFmtId="3" fontId="9" fillId="61" borderId="0" xfId="0" applyNumberFormat="1" applyFont="1" applyFill="1" applyBorder="1" applyAlignment="1">
      <alignment horizontal="right"/>
    </xf>
    <xf numFmtId="3" fontId="6" fillId="61" borderId="0" xfId="0" applyNumberFormat="1" applyFont="1" applyFill="1" applyBorder="1" applyAlignment="1" applyProtection="1">
      <alignment horizontal="right"/>
    </xf>
    <xf numFmtId="3" fontId="88" fillId="26" borderId="0" xfId="0" applyNumberFormat="1" applyFont="1" applyFill="1" applyBorder="1" applyAlignment="1" applyProtection="1">
      <alignment horizontal="right"/>
    </xf>
    <xf numFmtId="3" fontId="0" fillId="26" borderId="0" xfId="0" applyNumberFormat="1" applyFill="1" applyAlignment="1">
      <alignment horizontal="right"/>
    </xf>
    <xf numFmtId="3" fontId="0" fillId="26" borderId="0" xfId="42" applyNumberFormat="1" applyFont="1" applyFill="1" applyAlignment="1">
      <alignment horizontal="right"/>
    </xf>
    <xf numFmtId="3" fontId="6" fillId="26" borderId="0" xfId="42" applyNumberFormat="1" applyFont="1" applyFill="1" applyBorder="1" applyAlignment="1" applyProtection="1">
      <alignment horizontal="right"/>
    </xf>
    <xf numFmtId="3" fontId="1" fillId="26" borderId="0" xfId="0" applyNumberFormat="1" applyFont="1" applyFill="1" applyBorder="1" applyAlignment="1" applyProtection="1">
      <alignment horizontal="right"/>
    </xf>
    <xf numFmtId="3" fontId="9" fillId="26" borderId="0" xfId="42" applyNumberFormat="1" applyFont="1" applyFill="1" applyBorder="1" applyAlignment="1" applyProtection="1">
      <alignment horizontal="right"/>
    </xf>
    <xf numFmtId="3" fontId="0" fillId="0" borderId="0" xfId="0" applyNumberFormat="1" applyFont="1" applyAlignment="1">
      <alignment horizontal="right"/>
    </xf>
    <xf numFmtId="3" fontId="0" fillId="0" borderId="0" xfId="0" applyNumberFormat="1" applyAlignment="1">
      <alignment horizontal="right"/>
    </xf>
    <xf numFmtId="3" fontId="0" fillId="0" borderId="0" xfId="42" applyNumberFormat="1" applyFont="1" applyAlignment="1">
      <alignment horizontal="right"/>
    </xf>
    <xf numFmtId="3" fontId="0" fillId="0" borderId="0" xfId="42" applyNumberFormat="1" applyFont="1" applyFill="1" applyAlignment="1">
      <alignment horizontal="right"/>
    </xf>
    <xf numFmtId="3" fontId="0" fillId="0" borderId="0" xfId="0" applyNumberFormat="1" applyFill="1" applyAlignment="1">
      <alignment horizontal="right"/>
    </xf>
    <xf numFmtId="3" fontId="0" fillId="26" borderId="0" xfId="0" applyNumberFormat="1" applyFont="1" applyFill="1" applyAlignment="1">
      <alignment horizontal="right"/>
    </xf>
    <xf numFmtId="3" fontId="6" fillId="26" borderId="0" xfId="0" applyNumberFormat="1" applyFont="1" applyFill="1" applyAlignment="1">
      <alignment horizontal="right"/>
    </xf>
    <xf numFmtId="3" fontId="6" fillId="26" borderId="0" xfId="42" applyNumberFormat="1" applyFont="1" applyFill="1" applyAlignment="1">
      <alignment horizontal="right"/>
    </xf>
    <xf numFmtId="17" fontId="7" fillId="8" borderId="27" xfId="0" applyNumberFormat="1" applyFont="1" applyFill="1" applyBorder="1" applyProtection="1"/>
    <xf numFmtId="17" fontId="7" fillId="8" borderId="27" xfId="0" applyNumberFormat="1" applyFont="1" applyFill="1" applyBorder="1"/>
    <xf numFmtId="17" fontId="7" fillId="8" borderId="27" xfId="21900" applyNumberFormat="1" applyFont="1" applyFill="1" applyBorder="1"/>
    <xf numFmtId="17" fontId="7" fillId="8" borderId="28" xfId="0" applyNumberFormat="1" applyFont="1" applyFill="1" applyBorder="1" applyProtection="1"/>
    <xf numFmtId="0" fontId="7" fillId="8" borderId="27" xfId="0" applyNumberFormat="1" applyFont="1" applyFill="1" applyBorder="1" applyAlignment="1">
      <alignment horizontal="right"/>
    </xf>
    <xf numFmtId="1" fontId="7" fillId="8" borderId="27" xfId="0" applyNumberFormat="1" applyFont="1" applyFill="1" applyBorder="1" applyAlignment="1">
      <alignment horizontal="right"/>
    </xf>
    <xf numFmtId="0" fontId="7" fillId="8" borderId="7" xfId="0" applyNumberFormat="1" applyFont="1" applyFill="1" applyBorder="1"/>
    <xf numFmtId="17" fontId="7" fillId="50" borderId="27" xfId="0" applyNumberFormat="1" applyFont="1" applyFill="1" applyBorder="1" applyProtection="1"/>
    <xf numFmtId="17" fontId="7" fillId="50" borderId="28" xfId="0" applyNumberFormat="1" applyFont="1" applyFill="1" applyBorder="1" applyProtection="1"/>
    <xf numFmtId="17" fontId="7" fillId="50" borderId="27" xfId="0" applyNumberFormat="1" applyFont="1" applyFill="1" applyBorder="1"/>
    <xf numFmtId="0" fontId="7" fillId="50" borderId="27" xfId="0" applyNumberFormat="1" applyFont="1" applyFill="1" applyBorder="1"/>
    <xf numFmtId="0" fontId="7" fillId="50" borderId="28" xfId="0" applyNumberFormat="1" applyFont="1" applyFill="1" applyBorder="1"/>
    <xf numFmtId="0" fontId="7" fillId="55" borderId="27" xfId="0" applyNumberFormat="1" applyFont="1" applyFill="1" applyBorder="1" applyAlignment="1">
      <alignment horizontal="right"/>
    </xf>
    <xf numFmtId="0" fontId="7" fillId="106" borderId="27" xfId="0" applyNumberFormat="1" applyFont="1" applyFill="1" applyBorder="1" applyAlignment="1">
      <alignment horizontal="right"/>
    </xf>
    <xf numFmtId="0" fontId="7" fillId="111" borderId="27" xfId="0" applyNumberFormat="1" applyFont="1" applyFill="1" applyBorder="1" applyAlignment="1">
      <alignment horizontal="right"/>
    </xf>
    <xf numFmtId="0" fontId="7" fillId="112" borderId="27" xfId="0" applyNumberFormat="1" applyFont="1" applyFill="1" applyBorder="1" applyAlignment="1">
      <alignment horizontal="right"/>
    </xf>
    <xf numFmtId="17" fontId="7" fillId="111" borderId="27" xfId="0" applyNumberFormat="1" applyFont="1" applyFill="1" applyBorder="1"/>
    <xf numFmtId="17" fontId="7" fillId="112" borderId="27" xfId="0" applyNumberFormat="1" applyFont="1" applyFill="1" applyBorder="1"/>
    <xf numFmtId="0" fontId="7" fillId="20" borderId="27" xfId="0" applyFont="1" applyFill="1" applyBorder="1"/>
    <xf numFmtId="0" fontId="7" fillId="20" borderId="27" xfId="0" applyNumberFormat="1" applyFont="1" applyFill="1" applyBorder="1"/>
    <xf numFmtId="0" fontId="7" fillId="20" borderId="27" xfId="0" applyNumberFormat="1" applyFont="1" applyFill="1" applyBorder="1" applyAlignment="1">
      <alignment horizontal="right"/>
    </xf>
    <xf numFmtId="17" fontId="7" fillId="100" borderId="7" xfId="0" applyNumberFormat="1" applyFont="1" applyFill="1" applyBorder="1"/>
    <xf numFmtId="0" fontId="7" fillId="100" borderId="27" xfId="0" applyNumberFormat="1" applyFont="1" applyFill="1" applyBorder="1" applyAlignment="1">
      <alignment horizontal="right"/>
    </xf>
    <xf numFmtId="17" fontId="7" fillId="16" borderId="27" xfId="0" applyNumberFormat="1" applyFont="1" applyFill="1" applyBorder="1"/>
    <xf numFmtId="17" fontId="7" fillId="16" borderId="28" xfId="0" applyNumberFormat="1" applyFont="1" applyFill="1" applyBorder="1"/>
    <xf numFmtId="0" fontId="7" fillId="16" borderId="27" xfId="0" applyNumberFormat="1" applyFont="1" applyFill="1" applyBorder="1"/>
    <xf numFmtId="17" fontId="7" fillId="23" borderId="7" xfId="0" applyNumberFormat="1" applyFont="1" applyFill="1" applyBorder="1"/>
    <xf numFmtId="17" fontId="7" fillId="23" borderId="58" xfId="0" applyNumberFormat="1" applyFont="1" applyFill="1" applyBorder="1"/>
    <xf numFmtId="0" fontId="7" fillId="23" borderId="27" xfId="0" applyNumberFormat="1" applyFont="1" applyFill="1" applyBorder="1"/>
    <xf numFmtId="0" fontId="7" fillId="25" borderId="64" xfId="0" applyFont="1" applyFill="1" applyBorder="1" applyAlignment="1">
      <alignment horizontal="center"/>
    </xf>
    <xf numFmtId="0" fontId="7" fillId="25" borderId="62" xfId="0" applyFont="1" applyFill="1" applyBorder="1" applyAlignment="1">
      <alignment horizontal="center"/>
    </xf>
    <xf numFmtId="0" fontId="7" fillId="9" borderId="63" xfId="0" applyFont="1" applyFill="1" applyBorder="1" applyAlignment="1">
      <alignment horizontal="right"/>
    </xf>
    <xf numFmtId="0" fontId="7" fillId="12" borderId="63" xfId="0" applyFont="1" applyFill="1" applyBorder="1" applyAlignment="1">
      <alignment horizontal="right"/>
    </xf>
    <xf numFmtId="0" fontId="7" fillId="116" borderId="63" xfId="0" applyFont="1" applyFill="1" applyBorder="1" applyAlignment="1">
      <alignment horizontal="right"/>
    </xf>
    <xf numFmtId="0" fontId="7" fillId="9" borderId="64" xfId="0" applyFont="1" applyFill="1" applyBorder="1"/>
    <xf numFmtId="0" fontId="7" fillId="9" borderId="36" xfId="0" applyFont="1" applyFill="1" applyBorder="1"/>
    <xf numFmtId="0" fontId="7" fillId="59" borderId="63" xfId="0" applyFont="1" applyFill="1" applyBorder="1" applyAlignment="1">
      <alignment horizontal="right"/>
    </xf>
    <xf numFmtId="0" fontId="7" fillId="16" borderId="63" xfId="0" applyFont="1" applyFill="1" applyBorder="1" applyAlignment="1">
      <alignment horizontal="right"/>
    </xf>
    <xf numFmtId="0" fontId="7" fillId="17" borderId="65" xfId="0" applyFont="1" applyFill="1" applyBorder="1" applyAlignment="1">
      <alignment horizontal="right"/>
    </xf>
    <xf numFmtId="0" fontId="7" fillId="17" borderId="63" xfId="0" applyFont="1" applyFill="1" applyBorder="1" applyAlignment="1">
      <alignment horizontal="right"/>
    </xf>
    <xf numFmtId="0" fontId="7" fillId="100" borderId="63" xfId="0" applyFont="1" applyFill="1" applyBorder="1" applyAlignment="1">
      <alignment horizontal="right"/>
    </xf>
    <xf numFmtId="0" fontId="7" fillId="100" borderId="64" xfId="0" applyFont="1" applyFill="1" applyBorder="1" applyAlignment="1">
      <alignment horizontal="center"/>
    </xf>
    <xf numFmtId="0" fontId="7" fillId="100" borderId="62" xfId="0" applyFont="1" applyFill="1" applyBorder="1" applyAlignment="1">
      <alignment horizontal="center"/>
    </xf>
    <xf numFmtId="0" fontId="7" fillId="101" borderId="46" xfId="0" applyFont="1" applyFill="1" applyBorder="1" applyAlignment="1">
      <alignment horizontal="center"/>
    </xf>
    <xf numFmtId="0" fontId="7" fillId="101" borderId="61" xfId="0" applyFont="1" applyFill="1" applyBorder="1" applyAlignment="1">
      <alignment horizontal="center"/>
    </xf>
    <xf numFmtId="0" fontId="7" fillId="20" borderId="64" xfId="0" applyFont="1" applyFill="1" applyBorder="1" applyAlignment="1">
      <alignment horizontal="center"/>
    </xf>
    <xf numFmtId="0" fontId="7" fillId="20" borderId="36" xfId="0" applyFont="1" applyFill="1" applyBorder="1" applyAlignment="1">
      <alignment horizontal="center"/>
    </xf>
    <xf numFmtId="0" fontId="7" fillId="20" borderId="64" xfId="0" applyFont="1" applyFill="1" applyBorder="1" applyAlignment="1">
      <alignment horizontal="right"/>
    </xf>
    <xf numFmtId="0" fontId="7" fillId="21" borderId="63" xfId="0" applyFont="1" applyFill="1" applyBorder="1" applyAlignment="1">
      <alignment horizontal="right" vertical="center"/>
    </xf>
    <xf numFmtId="0" fontId="7" fillId="111" borderId="26" xfId="0" applyFont="1" applyFill="1" applyBorder="1" applyAlignment="1">
      <alignment horizontal="center"/>
    </xf>
    <xf numFmtId="0" fontId="7" fillId="21" borderId="65" xfId="0" applyFont="1" applyFill="1" applyBorder="1" applyAlignment="1">
      <alignment horizontal="right"/>
    </xf>
    <xf numFmtId="0" fontId="7" fillId="21" borderId="63" xfId="0" applyFont="1" applyFill="1" applyBorder="1" applyAlignment="1">
      <alignment horizontal="right"/>
    </xf>
    <xf numFmtId="0" fontId="7" fillId="20" borderId="46" xfId="0" applyFont="1" applyFill="1" applyBorder="1" applyAlignment="1">
      <alignment horizontal="center" vertical="center"/>
    </xf>
    <xf numFmtId="0" fontId="7" fillId="20" borderId="61" xfId="0" applyFont="1" applyFill="1" applyBorder="1" applyAlignment="1">
      <alignment horizontal="center" vertical="center"/>
    </xf>
    <xf numFmtId="4" fontId="7" fillId="20" borderId="64" xfId="0" applyNumberFormat="1" applyFont="1" applyFill="1" applyBorder="1" applyAlignment="1">
      <alignment horizontal="center"/>
    </xf>
    <xf numFmtId="4" fontId="7" fillId="20" borderId="36" xfId="0" applyNumberFormat="1" applyFont="1" applyFill="1" applyBorder="1" applyAlignment="1">
      <alignment horizontal="center"/>
    </xf>
    <xf numFmtId="0" fontId="7" fillId="21" borderId="64" xfId="0" applyFont="1" applyFill="1" applyBorder="1" applyAlignment="1">
      <alignment horizontal="center"/>
    </xf>
    <xf numFmtId="0" fontId="7" fillId="21" borderId="36" xfId="0" applyFont="1" applyFill="1" applyBorder="1" applyAlignment="1">
      <alignment horizontal="center"/>
    </xf>
    <xf numFmtId="0" fontId="7" fillId="55" borderId="34" xfId="0" applyFont="1" applyFill="1" applyBorder="1" applyAlignment="1">
      <alignment horizontal="right"/>
    </xf>
    <xf numFmtId="0" fontId="7" fillId="55" borderId="64" xfId="0" applyFont="1" applyFill="1" applyBorder="1" applyAlignment="1">
      <alignment horizontal="center"/>
    </xf>
    <xf numFmtId="0" fontId="7" fillId="55" borderId="36" xfId="0" applyFont="1" applyFill="1" applyBorder="1" applyAlignment="1">
      <alignment horizontal="center"/>
    </xf>
    <xf numFmtId="0" fontId="7" fillId="56" borderId="63" xfId="0" applyFont="1" applyFill="1" applyBorder="1" applyAlignment="1">
      <alignment horizontal="right"/>
    </xf>
    <xf numFmtId="0" fontId="7" fillId="56" borderId="64" xfId="0" applyFont="1" applyFill="1" applyBorder="1" applyAlignment="1">
      <alignment horizontal="center"/>
    </xf>
    <xf numFmtId="0" fontId="7" fillId="56" borderId="62" xfId="0" applyFont="1" applyFill="1" applyBorder="1" applyAlignment="1">
      <alignment horizontal="center"/>
    </xf>
    <xf numFmtId="4" fontId="7" fillId="55" borderId="64" xfId="0" applyNumberFormat="1" applyFont="1" applyFill="1" applyBorder="1" applyAlignment="1">
      <alignment horizontal="center"/>
    </xf>
    <xf numFmtId="4" fontId="7" fillId="55" borderId="36" xfId="0" applyNumberFormat="1" applyFont="1" applyFill="1" applyBorder="1" applyAlignment="1">
      <alignment horizontal="center"/>
    </xf>
    <xf numFmtId="0" fontId="7" fillId="56" borderId="36" xfId="0" applyFont="1" applyFill="1" applyBorder="1" applyAlignment="1">
      <alignment horizontal="center"/>
    </xf>
    <xf numFmtId="0" fontId="7" fillId="50" borderId="67" xfId="0" applyFont="1" applyFill="1" applyBorder="1" applyAlignment="1">
      <alignment horizontal="center"/>
    </xf>
    <xf numFmtId="0" fontId="7" fillId="50" borderId="70" xfId="0" applyFont="1" applyFill="1" applyBorder="1" applyAlignment="1">
      <alignment horizontal="center"/>
    </xf>
    <xf numFmtId="0" fontId="7" fillId="47" borderId="65" xfId="0" applyFont="1" applyFill="1" applyBorder="1" applyAlignment="1">
      <alignment horizontal="right"/>
    </xf>
    <xf numFmtId="0" fontId="7" fillId="50" borderId="69" xfId="0" applyFont="1" applyFill="1" applyBorder="1" applyAlignment="1">
      <alignment horizontal="center"/>
    </xf>
    <xf numFmtId="0" fontId="7" fillId="47" borderId="65" xfId="0" applyFont="1" applyFill="1" applyBorder="1" applyAlignment="1">
      <alignment horizontal="right" vertical="center"/>
    </xf>
    <xf numFmtId="0" fontId="7" fillId="8" borderId="34" xfId="0" applyFont="1" applyFill="1" applyBorder="1" applyAlignment="1">
      <alignment horizontal="right"/>
    </xf>
    <xf numFmtId="0" fontId="7" fillId="8" borderId="64" xfId="0" applyFont="1" applyFill="1" applyBorder="1" applyAlignment="1">
      <alignment horizontal="center"/>
    </xf>
    <xf numFmtId="0" fontId="7" fillId="8" borderId="36" xfId="0" applyFont="1" applyFill="1" applyBorder="1" applyAlignment="1">
      <alignment horizontal="center"/>
    </xf>
    <xf numFmtId="0" fontId="56" fillId="27" borderId="63" xfId="0" applyFont="1" applyFill="1" applyBorder="1" applyAlignment="1" applyProtection="1">
      <alignment horizontal="left"/>
    </xf>
    <xf numFmtId="3" fontId="13" fillId="0" borderId="1" xfId="0" applyNumberFormat="1" applyFont="1" applyFill="1" applyBorder="1" applyAlignment="1">
      <alignment horizontal="right"/>
    </xf>
    <xf numFmtId="3" fontId="59" fillId="2" borderId="1" xfId="0" applyNumberFormat="1" applyFont="1" applyFill="1" applyBorder="1" applyAlignment="1">
      <alignment horizontal="right"/>
    </xf>
    <xf numFmtId="2" fontId="0" fillId="0" borderId="0" xfId="0" applyNumberFormat="1" applyFont="1" applyFill="1" applyBorder="1" applyAlignment="1">
      <alignment horizontal="center"/>
    </xf>
    <xf numFmtId="3" fontId="9" fillId="7" borderId="0" xfId="0" applyNumberFormat="1" applyFont="1" applyFill="1" applyBorder="1" applyAlignment="1" applyProtection="1">
      <alignment horizontal="right"/>
    </xf>
    <xf numFmtId="0" fontId="47" fillId="14" borderId="0" xfId="0" applyFont="1" applyFill="1" applyBorder="1" applyAlignment="1" applyProtection="1">
      <alignment horizontal="left"/>
      <protection locked="0"/>
    </xf>
    <xf numFmtId="0" fontId="6" fillId="14" borderId="0" xfId="0" applyFont="1" applyFill="1" applyBorder="1" applyAlignment="1">
      <alignment horizontal="center"/>
    </xf>
    <xf numFmtId="3" fontId="6" fillId="14" borderId="0" xfId="0" applyNumberFormat="1" applyFont="1" applyFill="1" applyBorder="1" applyAlignment="1">
      <alignment horizontal="right"/>
    </xf>
    <xf numFmtId="3" fontId="6" fillId="14" borderId="0" xfId="0" applyNumberFormat="1" applyFont="1" applyFill="1" applyBorder="1" applyAlignment="1" applyProtection="1">
      <alignment horizontal="right"/>
    </xf>
    <xf numFmtId="3" fontId="0" fillId="14" borderId="0" xfId="0" applyNumberFormat="1" applyFont="1" applyFill="1" applyBorder="1" applyAlignment="1">
      <alignment horizontal="right"/>
    </xf>
    <xf numFmtId="0" fontId="34" fillId="14" borderId="0" xfId="0" applyFont="1" applyFill="1" applyBorder="1" applyAlignment="1" applyProtection="1">
      <alignment horizontal="left"/>
      <protection locked="0"/>
    </xf>
    <xf numFmtId="0" fontId="47" fillId="7" borderId="0" xfId="0" applyFont="1" applyFill="1" applyBorder="1" applyAlignment="1" applyProtection="1">
      <alignment horizontal="left"/>
      <protection locked="0"/>
    </xf>
    <xf numFmtId="0" fontId="6" fillId="7" borderId="0" xfId="0" applyFont="1" applyFill="1" applyBorder="1" applyAlignment="1">
      <alignment horizontal="center"/>
    </xf>
    <xf numFmtId="3" fontId="9" fillId="7" borderId="0" xfId="42" applyNumberFormat="1" applyFont="1" applyFill="1" applyBorder="1" applyAlignment="1" applyProtection="1">
      <alignment horizontal="right"/>
    </xf>
    <xf numFmtId="3" fontId="6" fillId="7" borderId="0" xfId="42" applyNumberFormat="1" applyFont="1" applyFill="1" applyBorder="1" applyAlignment="1" applyProtection="1">
      <alignment horizontal="right"/>
    </xf>
    <xf numFmtId="3" fontId="13" fillId="27" borderId="0" xfId="0" applyNumberFormat="1" applyFont="1" applyFill="1" applyBorder="1" applyAlignment="1">
      <alignment horizontal="center"/>
    </xf>
    <xf numFmtId="3" fontId="13" fillId="27" borderId="2" xfId="0" applyNumberFormat="1" applyFont="1" applyFill="1" applyBorder="1" applyAlignment="1">
      <alignment horizontal="center"/>
    </xf>
    <xf numFmtId="3" fontId="13" fillId="27" borderId="2" xfId="0" applyNumberFormat="1" applyFont="1" applyFill="1" applyBorder="1" applyAlignment="1">
      <alignment horizontal="right"/>
    </xf>
    <xf numFmtId="0" fontId="57" fillId="27" borderId="3" xfId="0" applyFont="1" applyFill="1" applyBorder="1" applyAlignment="1" applyProtection="1">
      <alignment horizontal="left"/>
      <protection locked="0"/>
    </xf>
    <xf numFmtId="0" fontId="13" fillId="27" borderId="28" xfId="0" applyFont="1" applyFill="1" applyBorder="1" applyAlignment="1">
      <alignment horizontal="center"/>
    </xf>
    <xf numFmtId="3" fontId="13" fillId="27" borderId="4" xfId="0" quotePrefix="1" applyNumberFormat="1" applyFont="1" applyFill="1" applyBorder="1" applyAlignment="1">
      <alignment horizontal="center"/>
    </xf>
    <xf numFmtId="3" fontId="13" fillId="27" borderId="4" xfId="0" applyNumberFormat="1" applyFont="1" applyFill="1" applyBorder="1" applyAlignment="1">
      <alignment horizontal="right"/>
    </xf>
    <xf numFmtId="3" fontId="13" fillId="27" borderId="5" xfId="0" quotePrefix="1" applyNumberFormat="1" applyFont="1" applyFill="1" applyBorder="1" applyAlignment="1">
      <alignment horizontal="center"/>
    </xf>
    <xf numFmtId="3" fontId="13" fillId="27" borderId="3" xfId="0" applyNumberFormat="1" applyFont="1" applyFill="1" applyBorder="1" applyAlignment="1">
      <alignment horizontal="right"/>
    </xf>
    <xf numFmtId="3" fontId="13" fillId="27" borderId="5" xfId="0" applyNumberFormat="1" applyFont="1" applyFill="1" applyBorder="1" applyAlignment="1" applyProtection="1">
      <alignment horizontal="right"/>
    </xf>
    <xf numFmtId="3" fontId="6" fillId="7" borderId="0" xfId="0" applyNumberFormat="1" applyFont="1" applyFill="1" applyBorder="1" applyAlignment="1" applyProtection="1">
      <alignment horizontal="right"/>
    </xf>
    <xf numFmtId="0" fontId="38" fillId="7" borderId="0" xfId="0" applyFont="1" applyFill="1" applyBorder="1" applyAlignment="1" applyProtection="1">
      <alignment horizontal="left"/>
      <protection locked="0"/>
    </xf>
    <xf numFmtId="0" fontId="34" fillId="125" borderId="0" xfId="0" applyFont="1" applyFill="1" applyBorder="1" applyAlignment="1" applyProtection="1">
      <alignment horizontal="left"/>
      <protection locked="0"/>
    </xf>
    <xf numFmtId="0" fontId="6" fillId="125" borderId="0" xfId="0" applyFont="1" applyFill="1" applyBorder="1" applyAlignment="1">
      <alignment horizontal="center"/>
    </xf>
    <xf numFmtId="3" fontId="6" fillId="125" borderId="0" xfId="0" applyNumberFormat="1" applyFont="1" applyFill="1" applyBorder="1" applyAlignment="1">
      <alignment horizontal="right"/>
    </xf>
    <xf numFmtId="3" fontId="9" fillId="125" borderId="0" xfId="0" applyNumberFormat="1" applyFont="1" applyFill="1" applyBorder="1" applyAlignment="1">
      <alignment horizontal="right"/>
    </xf>
    <xf numFmtId="3" fontId="5" fillId="125" borderId="0" xfId="0" applyNumberFormat="1" applyFont="1" applyFill="1" applyBorder="1" applyAlignment="1">
      <alignment horizontal="right"/>
    </xf>
    <xf numFmtId="3" fontId="6" fillId="125" borderId="0" xfId="0" applyNumberFormat="1" applyFont="1" applyFill="1" applyBorder="1"/>
    <xf numFmtId="3" fontId="5" fillId="125" borderId="0" xfId="0" applyNumberFormat="1" applyFont="1" applyFill="1" applyBorder="1"/>
    <xf numFmtId="3" fontId="6" fillId="125" borderId="0" xfId="0" applyNumberFormat="1" applyFont="1" applyFill="1" applyBorder="1" applyProtection="1"/>
    <xf numFmtId="3" fontId="5" fillId="125" borderId="0" xfId="0" applyNumberFormat="1" applyFont="1" applyFill="1" applyBorder="1" applyProtection="1"/>
    <xf numFmtId="3" fontId="6" fillId="125" borderId="0" xfId="0" quotePrefix="1" applyNumberFormat="1" applyFont="1" applyFill="1" applyBorder="1" applyAlignment="1">
      <alignment horizontal="right"/>
    </xf>
    <xf numFmtId="3" fontId="5" fillId="125" borderId="0" xfId="0" quotePrefix="1" applyNumberFormat="1" applyFont="1" applyFill="1" applyBorder="1" applyAlignment="1">
      <alignment horizontal="right"/>
    </xf>
    <xf numFmtId="3" fontId="39" fillId="125" borderId="0" xfId="0" quotePrefix="1" applyNumberFormat="1" applyFont="1" applyFill="1" applyBorder="1" applyAlignment="1">
      <alignment horizontal="right"/>
    </xf>
    <xf numFmtId="3" fontId="6" fillId="125" borderId="0" xfId="0" quotePrefix="1" applyNumberFormat="1" applyFont="1" applyFill="1" applyBorder="1" applyAlignment="1">
      <alignment horizontal="left"/>
    </xf>
    <xf numFmtId="0" fontId="6" fillId="125" borderId="0" xfId="0" applyFont="1" applyFill="1" applyBorder="1"/>
    <xf numFmtId="3" fontId="9" fillId="125" borderId="0" xfId="0" applyNumberFormat="1" applyFont="1" applyFill="1" applyBorder="1"/>
    <xf numFmtId="3" fontId="9" fillId="125" borderId="0" xfId="0" quotePrefix="1" applyNumberFormat="1" applyFont="1" applyFill="1" applyBorder="1" applyAlignment="1" applyProtection="1">
      <alignment horizontal="center"/>
    </xf>
    <xf numFmtId="3" fontId="9" fillId="125" borderId="0" xfId="0" applyNumberFormat="1" applyFont="1" applyFill="1" applyBorder="1" applyAlignment="1" applyProtection="1">
      <alignment horizontal="right"/>
    </xf>
    <xf numFmtId="3" fontId="9" fillId="125" borderId="0" xfId="0" applyNumberFormat="1" applyFont="1" applyFill="1" applyBorder="1" applyProtection="1"/>
    <xf numFmtId="3" fontId="9" fillId="125" borderId="0" xfId="0" quotePrefix="1" applyNumberFormat="1" applyFont="1" applyFill="1" applyBorder="1" applyAlignment="1">
      <alignment horizontal="left"/>
    </xf>
    <xf numFmtId="3" fontId="9" fillId="125" borderId="0" xfId="0" quotePrefix="1" applyNumberFormat="1" applyFont="1" applyFill="1" applyBorder="1" applyAlignment="1">
      <alignment horizontal="right"/>
    </xf>
    <xf numFmtId="3" fontId="40" fillId="125" borderId="0" xfId="0" quotePrefix="1" applyNumberFormat="1" applyFont="1" applyFill="1" applyBorder="1" applyAlignment="1">
      <alignment horizontal="right"/>
    </xf>
    <xf numFmtId="3" fontId="9" fillId="125" borderId="0" xfId="0" applyNumberFormat="1" applyFont="1" applyFill="1" applyBorder="1" applyAlignment="1" applyProtection="1">
      <alignment horizontal="left"/>
    </xf>
    <xf numFmtId="0" fontId="6" fillId="125" borderId="0" xfId="0" applyFont="1" applyFill="1"/>
    <xf numFmtId="3" fontId="6" fillId="125" borderId="0" xfId="0" applyNumberFormat="1" applyFont="1" applyFill="1"/>
    <xf numFmtId="3" fontId="6" fillId="125" borderId="0" xfId="0" applyNumberFormat="1" applyFont="1" applyFill="1" applyAlignment="1">
      <alignment horizontal="right"/>
    </xf>
    <xf numFmtId="0" fontId="39" fillId="125" borderId="0" xfId="0" applyFont="1" applyFill="1" applyAlignment="1">
      <alignment horizontal="right"/>
    </xf>
    <xf numFmtId="3" fontId="6" fillId="125" borderId="0" xfId="0" applyNumberFormat="1" applyFont="1" applyFill="1" applyBorder="1" applyAlignment="1" applyProtection="1">
      <alignment horizontal="right"/>
    </xf>
    <xf numFmtId="0" fontId="6" fillId="125" borderId="0" xfId="0" applyFont="1" applyFill="1" applyAlignment="1">
      <alignment horizontal="right"/>
    </xf>
    <xf numFmtId="0" fontId="34" fillId="27" borderId="0" xfId="0" applyFont="1" applyFill="1" applyBorder="1" applyAlignment="1" applyProtection="1">
      <alignment horizontal="left"/>
      <protection locked="0"/>
    </xf>
    <xf numFmtId="0" fontId="6" fillId="27" borderId="0" xfId="0" applyFont="1" applyFill="1" applyBorder="1" applyAlignment="1">
      <alignment horizontal="center"/>
    </xf>
    <xf numFmtId="3" fontId="6" fillId="27" borderId="0" xfId="0" applyNumberFormat="1" applyFont="1" applyFill="1" applyBorder="1" applyAlignment="1">
      <alignment horizontal="right"/>
    </xf>
    <xf numFmtId="3" fontId="9" fillId="27" borderId="0" xfId="0" applyNumberFormat="1" applyFont="1" applyFill="1" applyBorder="1" applyAlignment="1">
      <alignment horizontal="right"/>
    </xf>
    <xf numFmtId="3" fontId="6" fillId="27" borderId="0" xfId="0" quotePrefix="1" applyNumberFormat="1" applyFont="1" applyFill="1" applyBorder="1" applyAlignment="1">
      <alignment horizontal="left"/>
    </xf>
    <xf numFmtId="0" fontId="6" fillId="27" borderId="0" xfId="0" applyFont="1" applyFill="1" applyBorder="1"/>
    <xf numFmtId="0" fontId="6" fillId="27" borderId="0" xfId="0" applyFont="1" applyFill="1" applyBorder="1" applyAlignment="1">
      <alignment horizontal="right"/>
    </xf>
    <xf numFmtId="173" fontId="6" fillId="27" borderId="0" xfId="0" applyNumberFormat="1" applyFont="1" applyFill="1" applyBorder="1" applyAlignment="1">
      <alignment horizontal="right"/>
    </xf>
    <xf numFmtId="3" fontId="9" fillId="14" borderId="0" xfId="0" applyNumberFormat="1" applyFont="1" applyFill="1" applyBorder="1" applyAlignment="1">
      <alignment horizontal="right"/>
    </xf>
    <xf numFmtId="3" fontId="9" fillId="14" borderId="0" xfId="0" applyNumberFormat="1" applyFont="1" applyFill="1" applyBorder="1" applyAlignment="1" applyProtection="1">
      <alignment horizontal="right"/>
    </xf>
    <xf numFmtId="3" fontId="5" fillId="14" borderId="0" xfId="0" applyNumberFormat="1" applyFont="1" applyFill="1" applyBorder="1" applyAlignment="1">
      <alignment horizontal="right"/>
    </xf>
    <xf numFmtId="3" fontId="9" fillId="14" borderId="0" xfId="42" applyNumberFormat="1" applyFont="1" applyFill="1" applyBorder="1" applyAlignment="1" applyProtection="1">
      <alignment horizontal="right"/>
    </xf>
    <xf numFmtId="169" fontId="9" fillId="14" borderId="0" xfId="0" applyNumberFormat="1" applyFont="1" applyFill="1" applyBorder="1" applyAlignment="1" applyProtection="1">
      <alignment horizontal="right"/>
    </xf>
    <xf numFmtId="173" fontId="9" fillId="14" borderId="0" xfId="0" applyNumberFormat="1" applyFont="1" applyFill="1" applyBorder="1" applyAlignment="1" applyProtection="1">
      <alignment horizontal="right"/>
    </xf>
    <xf numFmtId="169" fontId="9" fillId="14" borderId="0" xfId="42" applyNumberFormat="1" applyFont="1" applyFill="1" applyBorder="1" applyAlignment="1" applyProtection="1">
      <alignment horizontal="right"/>
    </xf>
    <xf numFmtId="0" fontId="5" fillId="27" borderId="31" xfId="0" applyFont="1" applyFill="1" applyBorder="1"/>
    <xf numFmtId="4" fontId="0" fillId="0" borderId="0" xfId="0" applyNumberFormat="1" applyFont="1" applyBorder="1" applyAlignment="1" applyProtection="1">
      <alignment horizontal="center"/>
    </xf>
    <xf numFmtId="17" fontId="7" fillId="0" borderId="0" xfId="0" applyNumberFormat="1" applyFont="1" applyFill="1" applyBorder="1" applyProtection="1"/>
    <xf numFmtId="0" fontId="7" fillId="0" borderId="0" xfId="0" applyNumberFormat="1" applyFont="1" applyFill="1" applyBorder="1" applyAlignment="1">
      <alignment horizontal="right"/>
    </xf>
    <xf numFmtId="2" fontId="6" fillId="0" borderId="0" xfId="0" applyNumberFormat="1" applyFont="1" applyFill="1" applyBorder="1" applyAlignment="1">
      <alignment horizontal="center"/>
    </xf>
    <xf numFmtId="0" fontId="5" fillId="0" borderId="0" xfId="0" applyFont="1" applyAlignment="1">
      <alignment horizontal="center"/>
    </xf>
    <xf numFmtId="0" fontId="9" fillId="0" borderId="0" xfId="0" applyFont="1" applyFill="1" applyAlignment="1">
      <alignment horizontal="center"/>
    </xf>
    <xf numFmtId="0" fontId="7" fillId="8" borderId="6" xfId="0" applyNumberFormat="1" applyFont="1" applyFill="1" applyBorder="1"/>
    <xf numFmtId="4" fontId="6" fillId="0" borderId="8" xfId="0" applyNumberFormat="1" applyFont="1" applyFill="1" applyBorder="1" applyAlignment="1">
      <alignment horizontal="center"/>
    </xf>
    <xf numFmtId="0" fontId="7" fillId="16" borderId="28" xfId="0" applyNumberFormat="1" applyFont="1" applyFill="1" applyBorder="1"/>
    <xf numFmtId="169" fontId="0" fillId="0" borderId="0" xfId="0" applyNumberFormat="1" applyFont="1" applyFill="1" applyAlignment="1">
      <alignment horizontal="right"/>
    </xf>
    <xf numFmtId="0" fontId="60" fillId="0" borderId="0" xfId="0" applyFont="1" applyBorder="1" applyAlignment="1">
      <alignment horizontal="center"/>
    </xf>
    <xf numFmtId="0" fontId="7" fillId="17" borderId="23" xfId="0" applyFont="1" applyFill="1" applyBorder="1" applyAlignment="1">
      <alignment horizontal="center"/>
    </xf>
    <xf numFmtId="4" fontId="0" fillId="18" borderId="12" xfId="0" applyNumberFormat="1" applyFont="1" applyFill="1" applyBorder="1" applyAlignment="1">
      <alignment horizontal="center"/>
    </xf>
    <xf numFmtId="0" fontId="117" fillId="0" borderId="0" xfId="0" applyFont="1" applyFill="1"/>
    <xf numFmtId="0" fontId="7" fillId="23" borderId="28" xfId="0" applyNumberFormat="1" applyFont="1" applyFill="1" applyBorder="1"/>
    <xf numFmtId="178" fontId="6" fillId="0" borderId="0" xfId="90" applyNumberFormat="1" applyFont="1"/>
    <xf numFmtId="192" fontId="6" fillId="0" borderId="0" xfId="0" applyNumberFormat="1" applyFont="1"/>
    <xf numFmtId="0" fontId="12" fillId="0" borderId="0" xfId="0" applyFont="1"/>
    <xf numFmtId="0" fontId="5" fillId="26" borderId="0" xfId="0" applyFont="1" applyFill="1" applyBorder="1" applyAlignment="1" applyProtection="1">
      <alignment horizontal="center"/>
    </xf>
    <xf numFmtId="3" fontId="5" fillId="26" borderId="0" xfId="0" applyNumberFormat="1" applyFont="1" applyFill="1" applyBorder="1" applyAlignment="1" applyProtection="1">
      <alignment horizontal="right"/>
    </xf>
    <xf numFmtId="0" fontId="11" fillId="0" borderId="0" xfId="0" applyFont="1"/>
    <xf numFmtId="0" fontId="146" fillId="0" borderId="0" xfId="0" applyFont="1" applyFill="1"/>
    <xf numFmtId="0" fontId="146" fillId="0" borderId="0" xfId="0" applyFont="1"/>
    <xf numFmtId="17" fontId="7" fillId="0" borderId="1" xfId="0" applyNumberFormat="1" applyFont="1" applyFill="1" applyBorder="1"/>
    <xf numFmtId="0" fontId="0" fillId="0" borderId="0" xfId="0" applyAlignment="1">
      <alignment horizontal="center" vertical="center"/>
    </xf>
    <xf numFmtId="4" fontId="0" fillId="11" borderId="0" xfId="0" applyNumberFormat="1" applyFont="1" applyFill="1" applyBorder="1" applyAlignment="1">
      <alignment horizontal="center" vertical="center"/>
    </xf>
    <xf numFmtId="4" fontId="0" fillId="0" borderId="0" xfId="0" applyNumberFormat="1" applyFont="1" applyFill="1" applyBorder="1" applyAlignment="1">
      <alignment horizontal="center" vertical="center"/>
    </xf>
    <xf numFmtId="4" fontId="0" fillId="0" borderId="0" xfId="0" applyNumberFormat="1" applyAlignment="1">
      <alignment horizontal="center" vertical="center"/>
    </xf>
    <xf numFmtId="4" fontId="0" fillId="2" borderId="0" xfId="0" applyNumberFormat="1" applyFont="1" applyFill="1" applyAlignment="1">
      <alignment horizontal="center" vertical="center"/>
    </xf>
    <xf numFmtId="4" fontId="0" fillId="0" borderId="0" xfId="0" applyNumberFormat="1" applyFont="1" applyFill="1" applyAlignment="1">
      <alignment horizontal="center" vertical="center"/>
    </xf>
    <xf numFmtId="3" fontId="0" fillId="0" borderId="0" xfId="0" applyNumberFormat="1" applyAlignment="1">
      <alignment horizontal="center" vertical="center"/>
    </xf>
    <xf numFmtId="4" fontId="6" fillId="0" borderId="12" xfId="0" applyNumberFormat="1" applyFont="1" applyFill="1" applyBorder="1" applyAlignment="1">
      <alignment horizontal="center"/>
    </xf>
    <xf numFmtId="0" fontId="147" fillId="0" borderId="0" xfId="0" applyFont="1"/>
    <xf numFmtId="0" fontId="9" fillId="26" borderId="0" xfId="0" applyFont="1" applyFill="1" applyBorder="1" applyAlignment="1" applyProtection="1">
      <alignment horizontal="center"/>
    </xf>
    <xf numFmtId="0" fontId="112" fillId="0" borderId="0" xfId="0" applyFont="1"/>
    <xf numFmtId="3" fontId="112" fillId="26" borderId="0" xfId="0" applyNumberFormat="1" applyFont="1" applyFill="1" applyAlignment="1">
      <alignment horizontal="right"/>
    </xf>
    <xf numFmtId="173" fontId="113" fillId="14" borderId="0" xfId="0" applyNumberFormat="1" applyFont="1" applyFill="1" applyBorder="1" applyAlignment="1" applyProtection="1">
      <alignment horizontal="right"/>
    </xf>
    <xf numFmtId="173" fontId="112" fillId="0" borderId="0" xfId="0" applyNumberFormat="1" applyFont="1"/>
    <xf numFmtId="3" fontId="6" fillId="0" borderId="0" xfId="42" applyNumberFormat="1" applyFont="1" applyAlignment="1">
      <alignment horizontal="right"/>
    </xf>
    <xf numFmtId="3" fontId="6" fillId="0" borderId="0" xfId="42" applyNumberFormat="1" applyFont="1" applyFill="1" applyAlignment="1">
      <alignment horizontal="right"/>
    </xf>
    <xf numFmtId="173" fontId="6" fillId="0" borderId="0" xfId="0" applyNumberFormat="1" applyFont="1"/>
    <xf numFmtId="2" fontId="6" fillId="0" borderId="0" xfId="0" applyNumberFormat="1" applyFont="1"/>
    <xf numFmtId="3" fontId="6" fillId="0" borderId="0" xfId="42" applyNumberFormat="1" applyFont="1" applyBorder="1" applyAlignment="1">
      <alignment horizontal="right"/>
    </xf>
    <xf numFmtId="3" fontId="6" fillId="26" borderId="0" xfId="42" applyNumberFormat="1" applyFont="1" applyFill="1" applyBorder="1" applyAlignment="1">
      <alignment horizontal="right"/>
    </xf>
    <xf numFmtId="0" fontId="9" fillId="26" borderId="0" xfId="0" applyFont="1" applyFill="1" applyBorder="1" applyAlignment="1" applyProtection="1">
      <alignment horizontal="center"/>
    </xf>
    <xf numFmtId="167" fontId="6" fillId="14" borderId="0" xfId="42" applyFont="1" applyFill="1" applyBorder="1" applyAlignment="1" applyProtection="1">
      <alignment horizontal="right"/>
    </xf>
    <xf numFmtId="0" fontId="9" fillId="14" borderId="0" xfId="0" applyFont="1" applyFill="1" applyBorder="1" applyAlignment="1" applyProtection="1">
      <alignment horizontal="right"/>
    </xf>
    <xf numFmtId="2" fontId="6" fillId="0" borderId="0" xfId="0" applyNumberFormat="1" applyFont="1" applyAlignment="1">
      <alignment horizontal="center"/>
    </xf>
    <xf numFmtId="172" fontId="117" fillId="0" borderId="0" xfId="89" applyNumberFormat="1" applyFont="1" applyFill="1" applyBorder="1" applyAlignment="1">
      <alignment horizontal="center"/>
    </xf>
    <xf numFmtId="0" fontId="9" fillId="26" borderId="0" xfId="0" applyFont="1" applyFill="1" applyBorder="1" applyAlignment="1" applyProtection="1">
      <alignment horizontal="center"/>
    </xf>
    <xf numFmtId="3" fontId="148" fillId="26" borderId="0" xfId="0" applyNumberFormat="1" applyFont="1" applyFill="1" applyAlignment="1">
      <alignment horizontal="right"/>
    </xf>
    <xf numFmtId="4" fontId="0" fillId="0" borderId="0" xfId="0" applyNumberFormat="1"/>
    <xf numFmtId="173" fontId="149" fillId="14" borderId="0" xfId="0" applyNumberFormat="1" applyFont="1" applyFill="1" applyBorder="1" applyAlignment="1" applyProtection="1">
      <alignment horizontal="right"/>
    </xf>
    <xf numFmtId="173" fontId="6" fillId="0" borderId="0" xfId="0" applyNumberFormat="1" applyFont="1" applyBorder="1"/>
    <xf numFmtId="0" fontId="150" fillId="0" borderId="0" xfId="0" applyFont="1"/>
    <xf numFmtId="0" fontId="11" fillId="0" borderId="0" xfId="0" applyFont="1" applyFill="1"/>
    <xf numFmtId="4" fontId="6" fillId="13" borderId="21" xfId="0" applyNumberFormat="1" applyFont="1" applyFill="1" applyBorder="1" applyAlignment="1">
      <alignment horizontal="center"/>
    </xf>
    <xf numFmtId="0" fontId="7" fillId="0" borderId="0" xfId="0" applyFont="1" applyFill="1" applyAlignment="1">
      <alignment horizontal="center"/>
    </xf>
    <xf numFmtId="0" fontId="11" fillId="0" borderId="0" xfId="0" applyNumberFormat="1" applyFont="1" applyFill="1" applyBorder="1" applyAlignment="1">
      <alignment horizontal="center" vertical="center"/>
    </xf>
    <xf numFmtId="0" fontId="11" fillId="0" borderId="0" xfId="0" applyNumberFormat="1" applyFont="1" applyFill="1" applyBorder="1"/>
    <xf numFmtId="0" fontId="11" fillId="0" borderId="0" xfId="0" applyNumberFormat="1" applyFont="1" applyFill="1" applyBorder="1" applyAlignment="1">
      <alignment vertical="center"/>
    </xf>
    <xf numFmtId="172" fontId="11" fillId="0" borderId="0" xfId="0" applyNumberFormat="1" applyFont="1" applyFill="1"/>
    <xf numFmtId="4" fontId="6" fillId="0" borderId="0" xfId="0" applyNumberFormat="1" applyFont="1" applyFill="1" applyBorder="1" applyAlignment="1">
      <alignment horizontal="center" vertical="center"/>
    </xf>
    <xf numFmtId="4" fontId="6" fillId="0" borderId="0" xfId="0" applyNumberFormat="1" applyFont="1" applyFill="1" applyAlignment="1">
      <alignment horizontal="center" vertical="center"/>
    </xf>
    <xf numFmtId="4" fontId="6" fillId="11" borderId="0" xfId="0" applyNumberFormat="1" applyFont="1" applyFill="1" applyBorder="1" applyAlignment="1">
      <alignment horizontal="center" vertical="center"/>
    </xf>
    <xf numFmtId="4" fontId="6" fillId="2" borderId="0" xfId="0" applyNumberFormat="1" applyFont="1" applyFill="1" applyAlignment="1">
      <alignment horizontal="center" vertical="center"/>
    </xf>
    <xf numFmtId="4" fontId="6" fillId="0" borderId="0" xfId="0" applyNumberFormat="1" applyFont="1" applyAlignment="1">
      <alignment horizontal="center" vertical="center"/>
    </xf>
    <xf numFmtId="4" fontId="6" fillId="6" borderId="0" xfId="0" applyNumberFormat="1" applyFont="1" applyFill="1" applyAlignment="1">
      <alignment horizontal="center" vertical="center"/>
    </xf>
    <xf numFmtId="4" fontId="6" fillId="26" borderId="0" xfId="0" applyNumberFormat="1" applyFont="1" applyFill="1" applyAlignment="1">
      <alignment horizontal="center" vertical="center"/>
    </xf>
    <xf numFmtId="4" fontId="6" fillId="13" borderId="0" xfId="0" applyNumberFormat="1" applyFont="1" applyFill="1" applyAlignment="1">
      <alignment horizontal="center" vertical="center"/>
    </xf>
    <xf numFmtId="4" fontId="6" fillId="99" borderId="0" xfId="0" applyNumberFormat="1" applyFont="1" applyFill="1" applyAlignment="1">
      <alignment horizontal="center" vertical="center"/>
    </xf>
    <xf numFmtId="0" fontId="151" fillId="0" borderId="0" xfId="0" applyFont="1"/>
    <xf numFmtId="0" fontId="151" fillId="0" borderId="0" xfId="0" applyFont="1" applyFill="1"/>
    <xf numFmtId="0" fontId="152" fillId="0" borderId="0" xfId="0" applyFont="1"/>
    <xf numFmtId="3" fontId="152" fillId="0" borderId="0" xfId="0" applyNumberFormat="1" applyFont="1"/>
    <xf numFmtId="172" fontId="152" fillId="0" borderId="0" xfId="0" applyNumberFormat="1" applyFont="1"/>
    <xf numFmtId="167" fontId="152" fillId="0" borderId="0" xfId="42" applyFont="1"/>
    <xf numFmtId="172" fontId="151" fillId="0" borderId="0" xfId="0" applyNumberFormat="1" applyFont="1"/>
    <xf numFmtId="3" fontId="151" fillId="0" borderId="0" xfId="0" applyNumberFormat="1" applyFont="1"/>
    <xf numFmtId="170" fontId="151" fillId="0" borderId="0" xfId="90" applyNumberFormat="1" applyFont="1"/>
    <xf numFmtId="0" fontId="153" fillId="0" borderId="0" xfId="0" applyFont="1"/>
    <xf numFmtId="0" fontId="153" fillId="0" borderId="0" xfId="0" applyFont="1" applyFill="1"/>
    <xf numFmtId="4" fontId="0" fillId="10" borderId="2" xfId="0" applyNumberFormat="1" applyFont="1" applyFill="1" applyBorder="1" applyAlignment="1">
      <alignment horizontal="center"/>
    </xf>
    <xf numFmtId="4" fontId="0" fillId="0" borderId="20" xfId="0" applyNumberFormat="1" applyFont="1" applyBorder="1" applyAlignment="1">
      <alignment horizontal="center"/>
    </xf>
    <xf numFmtId="4" fontId="0" fillId="0" borderId="21" xfId="0" applyNumberFormat="1" applyFont="1" applyBorder="1" applyAlignment="1">
      <alignment horizontal="center"/>
    </xf>
    <xf numFmtId="0" fontId="33" fillId="26" borderId="0" xfId="0" applyFont="1" applyFill="1" applyBorder="1" applyAlignment="1" applyProtection="1">
      <alignment horizontal="center"/>
    </xf>
    <xf numFmtId="0" fontId="154" fillId="26" borderId="0" xfId="0" applyFont="1" applyFill="1" applyBorder="1" applyAlignment="1" applyProtection="1">
      <alignment horizontal="center"/>
    </xf>
    <xf numFmtId="0" fontId="8" fillId="0" borderId="0" xfId="0" applyFont="1" applyAlignment="1">
      <alignment horizontal="center"/>
    </xf>
    <xf numFmtId="0" fontId="33" fillId="0" borderId="0" xfId="0" applyFont="1" applyAlignment="1">
      <alignment horizontal="center"/>
    </xf>
    <xf numFmtId="0" fontId="7" fillId="0" borderId="0" xfId="0" applyFont="1" applyFill="1" applyBorder="1" applyAlignment="1"/>
    <xf numFmtId="0" fontId="156" fillId="0" borderId="0" xfId="0" applyFont="1"/>
    <xf numFmtId="166" fontId="8" fillId="0" borderId="0" xfId="0" applyNumberFormat="1" applyFont="1"/>
    <xf numFmtId="0" fontId="89" fillId="0" borderId="0" xfId="0" applyFont="1"/>
    <xf numFmtId="0" fontId="89" fillId="0" borderId="0" xfId="0" applyFont="1" applyFill="1"/>
    <xf numFmtId="0" fontId="157" fillId="0" borderId="0" xfId="0" applyFont="1"/>
    <xf numFmtId="0" fontId="157" fillId="0" borderId="0" xfId="0" applyFont="1" applyFill="1"/>
    <xf numFmtId="0" fontId="86" fillId="0" borderId="0" xfId="0" applyFont="1"/>
    <xf numFmtId="0" fontId="158" fillId="0" borderId="0" xfId="0" applyFont="1" applyFill="1" applyBorder="1" applyAlignment="1"/>
    <xf numFmtId="3" fontId="157" fillId="0" borderId="0" xfId="0" applyNumberFormat="1" applyFont="1"/>
    <xf numFmtId="165" fontId="8" fillId="0" borderId="0" xfId="0" applyNumberFormat="1" applyFont="1"/>
    <xf numFmtId="10" fontId="8" fillId="0" borderId="0" xfId="90" applyNumberFormat="1" applyFont="1"/>
    <xf numFmtId="165" fontId="89" fillId="0" borderId="0" xfId="0" applyNumberFormat="1" applyFont="1"/>
    <xf numFmtId="10" fontId="89" fillId="0" borderId="0" xfId="90" applyNumberFormat="1" applyFont="1"/>
    <xf numFmtId="0" fontId="8" fillId="0" borderId="0" xfId="0" applyFont="1" applyBorder="1"/>
    <xf numFmtId="3" fontId="8" fillId="0" borderId="0" xfId="0" applyNumberFormat="1" applyFont="1" applyBorder="1"/>
    <xf numFmtId="0" fontId="159" fillId="0" borderId="0" xfId="0" applyFont="1"/>
    <xf numFmtId="0" fontId="0" fillId="51" borderId="27" xfId="0" applyFill="1" applyBorder="1"/>
    <xf numFmtId="0" fontId="0" fillId="51" borderId="7" xfId="0" applyFill="1" applyBorder="1" applyAlignment="1">
      <alignment horizontal="center"/>
    </xf>
    <xf numFmtId="170" fontId="0" fillId="51" borderId="2" xfId="0" applyNumberFormat="1" applyFill="1" applyBorder="1" applyAlignment="1">
      <alignment horizontal="center"/>
    </xf>
    <xf numFmtId="184" fontId="89" fillId="0" borderId="0" xfId="0" applyNumberFormat="1" applyFont="1" applyFill="1" applyBorder="1"/>
    <xf numFmtId="9" fontId="89" fillId="0" borderId="0" xfId="90" applyFont="1"/>
    <xf numFmtId="166" fontId="153" fillId="0" borderId="0" xfId="0" applyNumberFormat="1" applyFont="1"/>
    <xf numFmtId="3" fontId="0" fillId="0" borderId="9" xfId="0" applyNumberFormat="1" applyFill="1" applyBorder="1" applyAlignment="1">
      <alignment horizontal="left"/>
    </xf>
    <xf numFmtId="0" fontId="86" fillId="0" borderId="0" xfId="0" applyFont="1" applyFill="1"/>
    <xf numFmtId="0" fontId="6" fillId="51" borderId="0" xfId="0" applyFont="1" applyFill="1"/>
    <xf numFmtId="0" fontId="115" fillId="51" borderId="0" xfId="1" applyFont="1" applyFill="1"/>
    <xf numFmtId="0" fontId="2" fillId="0" borderId="0" xfId="2711"/>
    <xf numFmtId="0" fontId="2" fillId="0" borderId="0" xfId="2711" applyFont="1"/>
    <xf numFmtId="0" fontId="12" fillId="0" borderId="0" xfId="2711" applyFont="1"/>
    <xf numFmtId="0" fontId="161" fillId="0" borderId="0" xfId="2711" applyFont="1"/>
    <xf numFmtId="0" fontId="63" fillId="0" borderId="0" xfId="2711" applyFont="1"/>
    <xf numFmtId="0" fontId="162" fillId="0" borderId="0" xfId="2711" applyFont="1"/>
    <xf numFmtId="170" fontId="2" fillId="0" borderId="0" xfId="6353" applyNumberFormat="1" applyFont="1" applyFill="1" applyBorder="1"/>
    <xf numFmtId="0" fontId="2" fillId="0" borderId="0" xfId="2711" applyBorder="1"/>
    <xf numFmtId="193" fontId="2" fillId="0" borderId="0" xfId="0" applyNumberFormat="1" applyFont="1" applyFill="1" applyBorder="1"/>
    <xf numFmtId="0" fontId="80" fillId="0" borderId="0" xfId="0" applyFont="1" applyFill="1" applyBorder="1"/>
    <xf numFmtId="170" fontId="2" fillId="51" borderId="2" xfId="45609" applyNumberFormat="1" applyFont="1" applyFill="1" applyBorder="1" applyAlignment="1">
      <alignment horizontal="center"/>
    </xf>
    <xf numFmtId="170" fontId="2" fillId="51" borderId="0" xfId="45609" applyNumberFormat="1" applyFont="1" applyFill="1" applyBorder="1" applyAlignment="1">
      <alignment horizontal="center"/>
    </xf>
    <xf numFmtId="10" fontId="2" fillId="0" borderId="0" xfId="8942" applyNumberFormat="1" applyFont="1" applyBorder="1"/>
    <xf numFmtId="178" fontId="2" fillId="0" borderId="0" xfId="0" applyNumberFormat="1" applyFont="1"/>
    <xf numFmtId="0" fontId="80" fillId="0" borderId="0" xfId="0" applyFont="1" applyFill="1" applyBorder="1" applyAlignment="1">
      <alignment horizontal="center"/>
    </xf>
    <xf numFmtId="0" fontId="80" fillId="135" borderId="9" xfId="0" applyFont="1" applyFill="1" applyBorder="1" applyAlignment="1">
      <alignment horizontal="center"/>
    </xf>
    <xf numFmtId="0" fontId="80" fillId="135" borderId="1" xfId="0" applyFont="1" applyFill="1" applyBorder="1"/>
    <xf numFmtId="179" fontId="3" fillId="0" borderId="0" xfId="2711" applyNumberFormat="1" applyFont="1"/>
    <xf numFmtId="0" fontId="3" fillId="0" borderId="0" xfId="0" applyFont="1"/>
    <xf numFmtId="0" fontId="80" fillId="135" borderId="14" xfId="0" applyFont="1" applyFill="1" applyBorder="1"/>
    <xf numFmtId="0" fontId="80" fillId="135" borderId="19" xfId="0" applyFont="1" applyFill="1" applyBorder="1"/>
    <xf numFmtId="0" fontId="3" fillId="0" borderId="0" xfId="0" applyFont="1" applyAlignment="1">
      <alignment horizontal="right"/>
    </xf>
    <xf numFmtId="0" fontId="163" fillId="0" borderId="0" xfId="2711" applyFont="1" applyFill="1"/>
    <xf numFmtId="0" fontId="164" fillId="0" borderId="0" xfId="0" applyFont="1"/>
    <xf numFmtId="0" fontId="161" fillId="0" borderId="0" xfId="2711" applyFont="1" applyFill="1"/>
    <xf numFmtId="0" fontId="12" fillId="0" borderId="0" xfId="2711" applyFont="1" applyFill="1" applyBorder="1"/>
    <xf numFmtId="0" fontId="161" fillId="0" borderId="0" xfId="0" applyFont="1" applyFill="1"/>
    <xf numFmtId="0" fontId="165" fillId="0" borderId="0" xfId="0" applyFont="1" applyFill="1"/>
    <xf numFmtId="0" fontId="12" fillId="0" borderId="0" xfId="45611" applyFont="1" applyBorder="1"/>
    <xf numFmtId="0" fontId="164" fillId="0" borderId="0" xfId="2711" applyFont="1"/>
    <xf numFmtId="3" fontId="6" fillId="0" borderId="5" xfId="0" applyNumberFormat="1" applyFont="1" applyFill="1" applyBorder="1" applyAlignment="1">
      <alignment horizontal="center"/>
    </xf>
    <xf numFmtId="10" fontId="6" fillId="0" borderId="8" xfId="8942" applyNumberFormat="1" applyFont="1" applyFill="1" applyBorder="1" applyAlignment="1">
      <alignment horizontal="center"/>
    </xf>
    <xf numFmtId="10" fontId="6" fillId="0" borderId="74" xfId="8942" applyNumberFormat="1" applyFont="1" applyFill="1" applyBorder="1" applyAlignment="1">
      <alignment horizontal="center"/>
    </xf>
    <xf numFmtId="0" fontId="7" fillId="8" borderId="28" xfId="0" applyFont="1" applyFill="1" applyBorder="1"/>
    <xf numFmtId="3" fontId="6" fillId="6" borderId="2" xfId="0" applyNumberFormat="1" applyFont="1" applyFill="1" applyBorder="1" applyAlignment="1">
      <alignment horizontal="center"/>
    </xf>
    <xf numFmtId="10" fontId="6" fillId="6" borderId="9" xfId="8942" applyNumberFormat="1" applyFont="1" applyFill="1" applyBorder="1" applyAlignment="1">
      <alignment horizontal="center"/>
    </xf>
    <xf numFmtId="10" fontId="6" fillId="6" borderId="0" xfId="8942" applyNumberFormat="1" applyFont="1" applyFill="1" applyBorder="1" applyAlignment="1">
      <alignment horizontal="center"/>
    </xf>
    <xf numFmtId="0" fontId="7" fillId="8" borderId="27" xfId="0" applyFont="1" applyFill="1" applyBorder="1"/>
    <xf numFmtId="10" fontId="6" fillId="0" borderId="9" xfId="8942" applyNumberFormat="1" applyFont="1" applyFill="1" applyBorder="1" applyAlignment="1">
      <alignment horizontal="center"/>
    </xf>
    <xf numFmtId="10" fontId="6" fillId="0" borderId="0" xfId="8942" applyNumberFormat="1" applyFont="1" applyFill="1" applyBorder="1" applyAlignment="1">
      <alignment horizontal="center"/>
    </xf>
    <xf numFmtId="0" fontId="7" fillId="8" borderId="27" xfId="0" applyFont="1" applyFill="1" applyBorder="1" applyAlignment="1">
      <alignment wrapText="1"/>
    </xf>
    <xf numFmtId="0" fontId="7" fillId="8" borderId="62" xfId="0" applyFont="1" applyFill="1" applyBorder="1" applyAlignment="1">
      <alignment horizontal="center" vertical="center" wrapText="1"/>
    </xf>
    <xf numFmtId="0" fontId="7" fillId="8" borderId="64" xfId="0" applyFont="1" applyFill="1" applyBorder="1" applyAlignment="1">
      <alignment horizontal="center" vertical="center" wrapText="1"/>
    </xf>
    <xf numFmtId="3" fontId="7" fillId="8" borderId="64" xfId="0" applyNumberFormat="1" applyFont="1" applyFill="1" applyBorder="1" applyAlignment="1">
      <alignment horizontal="center" vertical="center" wrapText="1"/>
    </xf>
    <xf numFmtId="0" fontId="7" fillId="8" borderId="63" xfId="0" applyFont="1" applyFill="1" applyBorder="1"/>
    <xf numFmtId="0" fontId="4" fillId="0" borderId="0" xfId="1" applyFill="1"/>
    <xf numFmtId="0" fontId="115" fillId="52" borderId="0" xfId="1" applyFont="1" applyFill="1"/>
    <xf numFmtId="0" fontId="166" fillId="54" borderId="0" xfId="0" applyFont="1" applyFill="1"/>
    <xf numFmtId="0" fontId="115" fillId="54" borderId="0" xfId="1" applyFont="1" applyFill="1" applyBorder="1" applyAlignment="1" applyProtection="1">
      <alignment horizontal="left"/>
    </xf>
    <xf numFmtId="0" fontId="116" fillId="49" borderId="0" xfId="0" applyFont="1" applyFill="1"/>
    <xf numFmtId="0" fontId="115" fillId="26" borderId="0" xfId="1" applyFont="1" applyFill="1" applyBorder="1" applyAlignment="1" applyProtection="1">
      <alignment horizontal="left"/>
    </xf>
    <xf numFmtId="0" fontId="115" fillId="13" borderId="0" xfId="1" applyFont="1" applyFill="1" applyBorder="1" applyAlignment="1" applyProtection="1">
      <alignment horizontal="left"/>
    </xf>
    <xf numFmtId="0" fontId="115" fillId="52" borderId="0" xfId="1" applyFont="1" applyFill="1" applyBorder="1" applyAlignment="1" applyProtection="1">
      <alignment horizontal="left"/>
    </xf>
    <xf numFmtId="0" fontId="115" fillId="103" borderId="0" xfId="1" applyFont="1" applyFill="1"/>
    <xf numFmtId="0" fontId="115" fillId="103" borderId="0" xfId="1" applyFont="1" applyFill="1" applyBorder="1" applyAlignment="1" applyProtection="1">
      <alignment horizontal="left"/>
    </xf>
    <xf numFmtId="0" fontId="115" fillId="58" borderId="0" xfId="1" applyFont="1" applyFill="1"/>
    <xf numFmtId="0" fontId="115" fillId="54" borderId="0" xfId="1" applyFont="1" applyFill="1"/>
    <xf numFmtId="0" fontId="58" fillId="2" borderId="1" xfId="0" applyFont="1" applyFill="1" applyBorder="1" applyAlignment="1" applyProtection="1">
      <alignment horizontal="left"/>
      <protection locked="0"/>
    </xf>
    <xf numFmtId="0" fontId="167" fillId="0" borderId="0" xfId="0" applyFont="1"/>
    <xf numFmtId="0" fontId="168" fillId="0" borderId="0" xfId="0" applyFont="1"/>
    <xf numFmtId="0" fontId="167" fillId="0" borderId="0" xfId="0" applyFont="1" applyFill="1" applyBorder="1"/>
    <xf numFmtId="3" fontId="6" fillId="26" borderId="0" xfId="6534" applyNumberFormat="1" applyFont="1" applyFill="1" applyBorder="1" applyAlignment="1" applyProtection="1">
      <alignment horizontal="right"/>
    </xf>
    <xf numFmtId="3" fontId="0" fillId="26" borderId="0" xfId="0" applyNumberFormat="1" applyFont="1" applyFill="1" applyBorder="1" applyAlignment="1" applyProtection="1">
      <alignment horizontal="right"/>
    </xf>
    <xf numFmtId="3" fontId="9" fillId="0" borderId="0" xfId="42" applyNumberFormat="1" applyFont="1" applyFill="1" applyBorder="1" applyAlignment="1" applyProtection="1">
      <alignment horizontal="right"/>
    </xf>
    <xf numFmtId="3" fontId="8" fillId="26" borderId="0" xfId="42" applyNumberFormat="1" applyFont="1" applyFill="1" applyAlignment="1">
      <alignment horizontal="right"/>
    </xf>
    <xf numFmtId="0" fontId="6" fillId="0" borderId="0" xfId="0" applyFont="1" applyFill="1" applyBorder="1" applyAlignment="1" applyProtection="1">
      <alignment horizontal="left"/>
    </xf>
    <xf numFmtId="0" fontId="47" fillId="0" borderId="0" xfId="0" applyFont="1" applyFill="1" applyBorder="1" applyAlignment="1" applyProtection="1">
      <alignment horizontal="left"/>
    </xf>
    <xf numFmtId="0" fontId="54" fillId="0" borderId="1" xfId="0" applyFont="1" applyFill="1" applyBorder="1" applyAlignment="1" applyProtection="1">
      <alignment horizontal="left"/>
      <protection locked="0"/>
    </xf>
    <xf numFmtId="3" fontId="13" fillId="0" borderId="1" xfId="0" applyNumberFormat="1" applyFont="1" applyFill="1" applyBorder="1" applyAlignment="1">
      <alignment horizontal="center"/>
    </xf>
    <xf numFmtId="3" fontId="13" fillId="0" borderId="2" xfId="0" applyNumberFormat="1" applyFont="1" applyFill="1" applyBorder="1" applyAlignment="1">
      <alignment horizontal="center"/>
    </xf>
    <xf numFmtId="0" fontId="13" fillId="0" borderId="1" xfId="0" applyFont="1" applyFill="1" applyBorder="1" applyAlignment="1" applyProtection="1">
      <alignment horizontal="left"/>
    </xf>
    <xf numFmtId="0" fontId="0" fillId="0" borderId="0" xfId="0" applyAlignment="1">
      <alignment horizontal="center"/>
    </xf>
    <xf numFmtId="0" fontId="5" fillId="0" borderId="0" xfId="0" applyFont="1" applyAlignment="1">
      <alignment horizontal="center"/>
    </xf>
    <xf numFmtId="0" fontId="9" fillId="0" borderId="0" xfId="0" applyFont="1" applyAlignment="1">
      <alignment horizontal="center"/>
    </xf>
    <xf numFmtId="169" fontId="6" fillId="2" borderId="0" xfId="0" applyNumberFormat="1" applyFont="1" applyFill="1" applyBorder="1" applyAlignment="1">
      <alignment horizontal="center"/>
    </xf>
    <xf numFmtId="3" fontId="2" fillId="2" borderId="0" xfId="0" applyNumberFormat="1" applyFont="1" applyFill="1" applyAlignment="1">
      <alignment horizontal="right"/>
    </xf>
    <xf numFmtId="3" fontId="2" fillId="2" borderId="0" xfId="42" applyNumberFormat="1" applyFont="1" applyFill="1" applyAlignment="1">
      <alignment horizontal="right"/>
    </xf>
    <xf numFmtId="3" fontId="33" fillId="2" borderId="0" xfId="0" applyNumberFormat="1" applyFont="1" applyFill="1" applyBorder="1" applyAlignment="1">
      <alignment horizontal="right"/>
    </xf>
    <xf numFmtId="3" fontId="33" fillId="2" borderId="0" xfId="42" applyNumberFormat="1" applyFont="1" applyFill="1" applyBorder="1" applyAlignment="1">
      <alignment horizontal="right"/>
    </xf>
    <xf numFmtId="3" fontId="8" fillId="2" borderId="0" xfId="42" applyNumberFormat="1" applyFont="1" applyFill="1" applyBorder="1" applyAlignment="1">
      <alignment horizontal="right"/>
    </xf>
    <xf numFmtId="0" fontId="6" fillId="2" borderId="0" xfId="0" quotePrefix="1" applyFont="1" applyFill="1" applyBorder="1" applyAlignment="1" applyProtection="1">
      <alignment horizontal="center"/>
    </xf>
    <xf numFmtId="3" fontId="1" fillId="26" borderId="0" xfId="42" applyNumberFormat="1" applyFont="1" applyFill="1" applyBorder="1" applyAlignment="1">
      <alignment horizontal="right"/>
    </xf>
    <xf numFmtId="3" fontId="6" fillId="0" borderId="0" xfId="0" quotePrefix="1" applyNumberFormat="1" applyFont="1" applyFill="1" applyBorder="1" applyAlignment="1" applyProtection="1">
      <alignment horizontal="right"/>
    </xf>
    <xf numFmtId="169" fontId="6" fillId="0" borderId="0" xfId="0" applyNumberFormat="1" applyFont="1" applyFill="1" applyBorder="1" applyAlignment="1" applyProtection="1">
      <alignment horizontal="right"/>
    </xf>
    <xf numFmtId="0" fontId="0" fillId="2" borderId="0" xfId="1" applyFont="1" applyFill="1"/>
    <xf numFmtId="0" fontId="13" fillId="2" borderId="27" xfId="0" quotePrefix="1" applyFont="1" applyFill="1" applyBorder="1" applyAlignment="1" applyProtection="1">
      <alignment horizontal="center"/>
    </xf>
    <xf numFmtId="3" fontId="2" fillId="0" borderId="0" xfId="0" applyNumberFormat="1" applyFont="1" applyFill="1" applyAlignment="1">
      <alignment horizontal="right"/>
    </xf>
    <xf numFmtId="3" fontId="2" fillId="0" borderId="0" xfId="42" applyNumberFormat="1" applyFont="1" applyFill="1" applyAlignment="1">
      <alignment horizontal="right"/>
    </xf>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0" fillId="0" borderId="0" xfId="0" applyAlignment="1">
      <alignment horizontal="center"/>
    </xf>
    <xf numFmtId="0" fontId="155" fillId="0" borderId="0" xfId="0" applyFont="1" applyAlignment="1">
      <alignment horizontal="center"/>
    </xf>
    <xf numFmtId="0" fontId="154" fillId="0" borderId="0" xfId="0" applyFont="1" applyAlignment="1">
      <alignment horizontal="center"/>
    </xf>
    <xf numFmtId="0" fontId="33" fillId="0" borderId="0" xfId="0" applyFont="1" applyAlignment="1">
      <alignment horizontal="center"/>
    </xf>
    <xf numFmtId="0" fontId="0" fillId="0" borderId="0" xfId="0" applyFont="1" applyAlignment="1">
      <alignment horizontal="left" wrapText="1"/>
    </xf>
    <xf numFmtId="2" fontId="5" fillId="0" borderId="0" xfId="0" applyNumberFormat="1" applyFont="1" applyAlignment="1">
      <alignment horizontal="center" vertical="center"/>
    </xf>
    <xf numFmtId="0" fontId="169" fillId="0" borderId="0" xfId="0" applyFont="1" applyAlignment="1">
      <alignment horizontal="center" vertical="center"/>
    </xf>
    <xf numFmtId="4" fontId="169" fillId="2" borderId="0" xfId="0" applyNumberFormat="1" applyFont="1" applyFill="1" applyAlignment="1">
      <alignment horizontal="center" vertical="center"/>
    </xf>
    <xf numFmtId="4" fontId="169" fillId="0" borderId="0" xfId="0" applyNumberFormat="1" applyFont="1" applyFill="1" applyAlignment="1">
      <alignment horizontal="center" vertical="center"/>
    </xf>
    <xf numFmtId="3" fontId="169" fillId="0" borderId="0" xfId="0" applyNumberFormat="1" applyFont="1" applyAlignment="1">
      <alignment horizontal="center" vertical="center"/>
    </xf>
    <xf numFmtId="2" fontId="5" fillId="0" borderId="0" xfId="0" applyNumberFormat="1" applyFont="1" applyFill="1" applyAlignment="1">
      <alignment horizontal="center" vertical="center"/>
    </xf>
    <xf numFmtId="0" fontId="7" fillId="108" borderId="75" xfId="0" applyFont="1" applyFill="1" applyBorder="1" applyAlignment="1">
      <alignment horizontal="right"/>
    </xf>
    <xf numFmtId="0" fontId="7" fillId="4" borderId="61" xfId="0" applyFont="1" applyFill="1" applyBorder="1" applyAlignment="1">
      <alignment horizontal="center"/>
    </xf>
    <xf numFmtId="0" fontId="7" fillId="108" borderId="19" xfId="0" applyFont="1" applyFill="1" applyBorder="1" applyAlignment="1">
      <alignment horizontal="right"/>
    </xf>
    <xf numFmtId="0" fontId="7" fillId="4" borderId="75" xfId="0" applyFont="1" applyFill="1" applyBorder="1" applyAlignment="1">
      <alignment horizontal="right"/>
    </xf>
    <xf numFmtId="0" fontId="7" fillId="4" borderId="19" xfId="0" applyFont="1" applyFill="1" applyBorder="1" applyAlignment="1">
      <alignment horizontal="right"/>
    </xf>
    <xf numFmtId="0" fontId="7" fillId="4" borderId="17" xfId="0" applyFont="1" applyFill="1" applyBorder="1" applyAlignment="1">
      <alignment horizontal="center"/>
    </xf>
    <xf numFmtId="0" fontId="7" fillId="25" borderId="17" xfId="0" applyFont="1" applyFill="1" applyBorder="1" applyAlignment="1">
      <alignment horizontal="center"/>
    </xf>
    <xf numFmtId="0" fontId="7" fillId="25" borderId="26" xfId="0" applyFont="1" applyFill="1" applyBorder="1" applyAlignment="1">
      <alignment horizontal="right"/>
    </xf>
    <xf numFmtId="0" fontId="154" fillId="0" borderId="0" xfId="0" applyFont="1"/>
    <xf numFmtId="4" fontId="0" fillId="6" borderId="0" xfId="0" applyNumberFormat="1" applyFont="1" applyFill="1" applyAlignment="1">
      <alignment horizontal="center" vertical="center"/>
    </xf>
    <xf numFmtId="4" fontId="6" fillId="51" borderId="0" xfId="0" applyNumberFormat="1" applyFont="1" applyFill="1" applyAlignment="1">
      <alignment horizontal="center" vertical="center"/>
    </xf>
    <xf numFmtId="4" fontId="0" fillId="99" borderId="0" xfId="0" applyNumberFormat="1" applyFont="1" applyFill="1" applyAlignment="1">
      <alignment horizontal="center" vertical="center"/>
    </xf>
    <xf numFmtId="4" fontId="0" fillId="3" borderId="0" xfId="0" applyNumberFormat="1" applyFont="1" applyFill="1" applyAlignment="1">
      <alignment horizontal="center" vertical="center"/>
    </xf>
    <xf numFmtId="4" fontId="0" fillId="13" borderId="0" xfId="0" applyNumberFormat="1" applyFont="1" applyFill="1" applyAlignment="1">
      <alignment horizontal="center" vertical="center"/>
    </xf>
    <xf numFmtId="172" fontId="8" fillId="0" borderId="0" xfId="0" applyNumberFormat="1" applyFont="1" applyFill="1" applyBorder="1" applyAlignment="1">
      <alignment horizontal="center"/>
    </xf>
    <xf numFmtId="4" fontId="8" fillId="0" borderId="0" xfId="0" applyNumberFormat="1" applyFont="1" applyFill="1" applyBorder="1" applyAlignment="1">
      <alignment horizontal="center"/>
    </xf>
    <xf numFmtId="0" fontId="7" fillId="0" borderId="0" xfId="0" applyFont="1" applyFill="1" applyBorder="1" applyAlignment="1">
      <alignment horizontal="right"/>
    </xf>
    <xf numFmtId="0" fontId="33" fillId="0" borderId="0" xfId="0" applyFont="1" applyFill="1" applyBorder="1" applyAlignment="1">
      <alignment horizontal="center"/>
    </xf>
    <xf numFmtId="0" fontId="170" fillId="0" borderId="0" xfId="0" applyFont="1" applyFill="1" applyBorder="1" applyAlignment="1">
      <alignment horizontal="center"/>
    </xf>
    <xf numFmtId="4" fontId="6" fillId="0" borderId="0" xfId="89" applyNumberFormat="1" applyFont="1" applyFill="1" applyBorder="1" applyAlignment="1">
      <alignment horizontal="center"/>
    </xf>
    <xf numFmtId="0" fontId="11" fillId="0" borderId="0" xfId="0" applyFont="1" applyFill="1" applyBorder="1" applyAlignment="1">
      <alignment horizontal="center" wrapText="1"/>
    </xf>
    <xf numFmtId="0" fontId="33" fillId="0" borderId="0" xfId="0" applyFont="1" applyFill="1" applyAlignment="1">
      <alignment horizontal="center"/>
    </xf>
    <xf numFmtId="0" fontId="8" fillId="0" borderId="0" xfId="0" applyNumberFormat="1" applyFont="1" applyFill="1" applyBorder="1"/>
    <xf numFmtId="172" fontId="8" fillId="0" borderId="0" xfId="0" applyNumberFormat="1" applyFont="1" applyFill="1"/>
    <xf numFmtId="0" fontId="9" fillId="0" borderId="0" xfId="0" applyFont="1" applyFill="1" applyBorder="1" applyAlignment="1"/>
    <xf numFmtId="0" fontId="6" fillId="0" borderId="0" xfId="0" applyFont="1" applyFill="1" applyBorder="1" applyAlignment="1"/>
    <xf numFmtId="0" fontId="6" fillId="0" borderId="0" xfId="0" applyFont="1" applyAlignment="1">
      <alignment horizontal="left"/>
    </xf>
    <xf numFmtId="0" fontId="7" fillId="0" borderId="0" xfId="0" applyFont="1" applyFill="1" applyBorder="1" applyAlignment="1">
      <alignment horizontal="center" vertical="center"/>
    </xf>
    <xf numFmtId="0" fontId="7" fillId="120" borderId="3" xfId="0" applyNumberFormat="1" applyFont="1" applyFill="1" applyBorder="1" applyAlignment="1">
      <alignment horizontal="right"/>
    </xf>
    <xf numFmtId="0" fontId="7"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0" fillId="0" borderId="0" xfId="0" applyFont="1" applyAlignment="1"/>
    <xf numFmtId="0" fontId="8" fillId="0" borderId="0" xfId="0" applyFont="1" applyAlignment="1"/>
    <xf numFmtId="0" fontId="8" fillId="7" borderId="0" xfId="0" applyFont="1" applyFill="1" applyAlignment="1"/>
    <xf numFmtId="0" fontId="8" fillId="0" borderId="0" xfId="0" applyFont="1" applyFill="1" applyAlignment="1"/>
    <xf numFmtId="0" fontId="7" fillId="100" borderId="17" xfId="0" applyFont="1" applyFill="1" applyBorder="1" applyAlignment="1">
      <alignment horizontal="center" wrapText="1"/>
    </xf>
    <xf numFmtId="0" fontId="7" fillId="100" borderId="26" xfId="0" applyFont="1" applyFill="1" applyBorder="1" applyAlignment="1"/>
    <xf numFmtId="4" fontId="0" fillId="102" borderId="9" xfId="0" applyNumberFormat="1" applyFont="1" applyFill="1" applyBorder="1" applyAlignment="1">
      <alignment horizontal="center" vertical="center"/>
    </xf>
    <xf numFmtId="4" fontId="0" fillId="102" borderId="20" xfId="0" applyNumberFormat="1" applyFont="1" applyFill="1" applyBorder="1" applyAlignment="1">
      <alignment horizontal="center" vertical="center"/>
    </xf>
    <xf numFmtId="4" fontId="0" fillId="0" borderId="9" xfId="0" applyNumberFormat="1" applyFont="1" applyFill="1" applyBorder="1" applyAlignment="1">
      <alignment horizontal="center" vertical="center"/>
    </xf>
    <xf numFmtId="4" fontId="0" fillId="0" borderId="20" xfId="0" applyNumberFormat="1" applyFont="1" applyFill="1" applyBorder="1" applyAlignment="1">
      <alignment horizontal="center" vertical="center"/>
    </xf>
    <xf numFmtId="17" fontId="7" fillId="100" borderId="27" xfId="0" applyNumberFormat="1" applyFont="1" applyFill="1" applyBorder="1" applyAlignment="1">
      <alignment vertical="center"/>
    </xf>
    <xf numFmtId="0" fontId="171" fillId="0" borderId="0" xfId="0" applyFont="1" applyFill="1"/>
    <xf numFmtId="0" fontId="171" fillId="0" borderId="0" xfId="0" applyFont="1"/>
    <xf numFmtId="0" fontId="172" fillId="0" borderId="0" xfId="0" applyFont="1" applyBorder="1" applyAlignment="1">
      <alignment horizontal="center"/>
    </xf>
    <xf numFmtId="0" fontId="171" fillId="0" borderId="1" xfId="0" applyFont="1" applyBorder="1"/>
    <xf numFmtId="0" fontId="171" fillId="0" borderId="0" xfId="0" applyFont="1" applyBorder="1"/>
    <xf numFmtId="0" fontId="171" fillId="0" borderId="0" xfId="0" applyNumberFormat="1" applyFont="1" applyFill="1" applyBorder="1" applyAlignment="1">
      <alignment horizontal="center" vertical="center"/>
    </xf>
    <xf numFmtId="0" fontId="171" fillId="0" borderId="0" xfId="0" applyNumberFormat="1" applyFont="1" applyFill="1" applyBorder="1"/>
    <xf numFmtId="0" fontId="171" fillId="0" borderId="0" xfId="0" applyNumberFormat="1" applyFont="1" applyFill="1" applyBorder="1" applyAlignment="1">
      <alignment vertical="center"/>
    </xf>
    <xf numFmtId="0" fontId="33" fillId="0" borderId="0" xfId="0" applyFont="1" applyFill="1" applyAlignment="1"/>
    <xf numFmtId="0" fontId="5" fillId="0" borderId="0" xfId="0" applyFont="1" applyAlignment="1">
      <alignment horizontal="center"/>
    </xf>
    <xf numFmtId="0" fontId="9" fillId="0" borderId="0" xfId="0" applyFont="1" applyAlignment="1">
      <alignment horizontal="center"/>
    </xf>
    <xf numFmtId="0" fontId="7" fillId="50" borderId="17" xfId="0" applyFont="1" applyFill="1" applyBorder="1" applyAlignment="1">
      <alignment horizontal="center"/>
    </xf>
    <xf numFmtId="0" fontId="5" fillId="0" borderId="0" xfId="0" applyFont="1" applyFill="1" applyAlignment="1">
      <alignment horizontal="center"/>
    </xf>
    <xf numFmtId="0" fontId="7" fillId="23" borderId="17" xfId="0" applyFont="1" applyFill="1" applyBorder="1" applyAlignment="1">
      <alignment horizontal="center" vertical="center" wrapText="1"/>
    </xf>
    <xf numFmtId="4" fontId="5" fillId="0" borderId="0" xfId="0" applyNumberFormat="1" applyFont="1" applyFill="1" applyAlignment="1">
      <alignment horizontal="center"/>
    </xf>
    <xf numFmtId="4" fontId="0" fillId="26" borderId="0" xfId="0" applyNumberFormat="1" applyFont="1" applyFill="1" applyAlignment="1">
      <alignment horizontal="center" vertical="center"/>
    </xf>
    <xf numFmtId="4" fontId="0" fillId="0" borderId="0" xfId="0" applyNumberFormat="1" applyFont="1" applyAlignment="1">
      <alignment horizontal="center" vertical="center"/>
    </xf>
    <xf numFmtId="0" fontId="152" fillId="0" borderId="0" xfId="0" applyFont="1" applyAlignment="1">
      <alignment vertical="center"/>
    </xf>
    <xf numFmtId="0" fontId="151" fillId="0" borderId="0" xfId="0" applyFont="1" applyAlignment="1">
      <alignment vertical="center"/>
    </xf>
    <xf numFmtId="0" fontId="89" fillId="0" borderId="0" xfId="0" applyFont="1" applyAlignment="1">
      <alignment vertical="center"/>
    </xf>
    <xf numFmtId="0" fontId="146" fillId="0" borderId="0" xfId="0" applyFont="1" applyAlignment="1">
      <alignment vertical="center"/>
    </xf>
    <xf numFmtId="0" fontId="8" fillId="0" borderId="0" xfId="0" applyFont="1" applyAlignment="1">
      <alignment vertical="center"/>
    </xf>
    <xf numFmtId="4" fontId="0" fillId="10" borderId="0" xfId="0" applyNumberFormat="1" applyFont="1" applyFill="1" applyBorder="1" applyAlignment="1">
      <alignment horizontal="center" vertical="center"/>
    </xf>
    <xf numFmtId="17" fontId="5" fillId="0" borderId="0" xfId="0" applyNumberFormat="1" applyFont="1" applyFill="1" applyAlignment="1">
      <alignment horizontal="right" vertical="center"/>
    </xf>
    <xf numFmtId="4" fontId="0" fillId="49" borderId="0"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xf>
    <xf numFmtId="4" fontId="0" fillId="49" borderId="0" xfId="0" applyNumberFormat="1" applyFont="1" applyFill="1" applyAlignment="1">
      <alignment horizontal="center" vertical="center"/>
    </xf>
    <xf numFmtId="4" fontId="0" fillId="51" borderId="0" xfId="0" applyNumberFormat="1" applyFont="1" applyFill="1" applyAlignment="1">
      <alignment horizontal="center" vertical="center"/>
    </xf>
    <xf numFmtId="4" fontId="0" fillId="58" borderId="0" xfId="0" applyNumberFormat="1" applyFont="1" applyFill="1" applyAlignment="1">
      <alignment horizontal="center" vertical="center"/>
    </xf>
    <xf numFmtId="0" fontId="5" fillId="0" borderId="0" xfId="0" applyFont="1" applyFill="1" applyAlignment="1">
      <alignment horizontal="center" vertical="center"/>
    </xf>
    <xf numFmtId="1" fontId="7" fillId="8" borderId="28" xfId="0" applyNumberFormat="1" applyFont="1" applyFill="1" applyBorder="1" applyAlignment="1">
      <alignment horizontal="right"/>
    </xf>
    <xf numFmtId="4" fontId="0" fillId="48" borderId="9" xfId="0" applyNumberFormat="1" applyFont="1" applyFill="1" applyBorder="1" applyAlignment="1">
      <alignment horizontal="center"/>
    </xf>
    <xf numFmtId="0" fontId="7" fillId="4" borderId="14" xfId="0" applyFont="1" applyFill="1" applyBorder="1" applyAlignment="1">
      <alignment horizontal="center"/>
    </xf>
    <xf numFmtId="0" fontId="7" fillId="4" borderId="46" xfId="0" applyFont="1" applyFill="1" applyBorder="1" applyAlignment="1">
      <alignment horizontal="center"/>
    </xf>
    <xf numFmtId="4" fontId="0" fillId="5" borderId="9" xfId="0" applyNumberFormat="1" applyFont="1" applyFill="1" applyBorder="1" applyAlignment="1">
      <alignment horizontal="center"/>
    </xf>
    <xf numFmtId="0" fontId="7" fillId="4" borderId="14" xfId="0" applyFont="1" applyFill="1" applyBorder="1" applyAlignment="1">
      <alignment horizontal="center" wrapText="1"/>
    </xf>
    <xf numFmtId="0" fontId="7" fillId="47" borderId="46" xfId="0" applyFont="1" applyFill="1" applyBorder="1" applyAlignment="1">
      <alignment horizontal="center"/>
    </xf>
    <xf numFmtId="0" fontId="7" fillId="47" borderId="61" xfId="0" applyFont="1" applyFill="1" applyBorder="1" applyAlignment="1">
      <alignment horizontal="center"/>
    </xf>
    <xf numFmtId="4" fontId="6" fillId="0" borderId="5" xfId="0" applyNumberFormat="1" applyFont="1" applyFill="1" applyBorder="1" applyAlignment="1">
      <alignment horizontal="center"/>
    </xf>
    <xf numFmtId="0" fontId="7" fillId="21" borderId="14" xfId="0" applyFont="1" applyFill="1" applyBorder="1" applyAlignment="1">
      <alignment horizontal="center"/>
    </xf>
    <xf numFmtId="0" fontId="7" fillId="21" borderId="17" xfId="0" applyFont="1" applyFill="1" applyBorder="1" applyAlignment="1">
      <alignment horizontal="center"/>
    </xf>
    <xf numFmtId="0" fontId="7" fillId="21" borderId="26" xfId="0" applyFont="1" applyFill="1" applyBorder="1" applyAlignment="1">
      <alignment horizontal="right"/>
    </xf>
    <xf numFmtId="0" fontId="7" fillId="21" borderId="46" xfId="0" applyFont="1" applyFill="1" applyBorder="1" applyAlignment="1">
      <alignment horizontal="center"/>
    </xf>
    <xf numFmtId="0" fontId="7" fillId="21" borderId="61" xfId="0" applyFont="1" applyFill="1" applyBorder="1" applyAlignment="1">
      <alignment horizontal="center"/>
    </xf>
    <xf numFmtId="0" fontId="7" fillId="100" borderId="17" xfId="0" applyFont="1" applyFill="1" applyBorder="1" applyAlignment="1">
      <alignment horizontal="center"/>
    </xf>
    <xf numFmtId="0" fontId="7" fillId="105" borderId="27" xfId="0" applyNumberFormat="1" applyFont="1" applyFill="1" applyBorder="1" applyAlignment="1">
      <alignment horizontal="right" vertical="center"/>
    </xf>
    <xf numFmtId="0" fontId="7" fillId="105" borderId="28" xfId="0" applyNumberFormat="1" applyFont="1" applyFill="1" applyBorder="1" applyAlignment="1">
      <alignment horizontal="right" vertical="center"/>
    </xf>
    <xf numFmtId="0" fontId="7" fillId="12" borderId="64" xfId="0" applyFont="1" applyFill="1" applyBorder="1" applyAlignment="1">
      <alignment horizontal="center"/>
    </xf>
    <xf numFmtId="0" fontId="7" fillId="12" borderId="62" xfId="0" applyFont="1" applyFill="1" applyBorder="1" applyAlignment="1">
      <alignment horizontal="center"/>
    </xf>
    <xf numFmtId="0" fontId="7" fillId="115" borderId="76" xfId="0" applyNumberFormat="1" applyFont="1" applyFill="1" applyBorder="1" applyAlignment="1">
      <alignment horizontal="right"/>
    </xf>
    <xf numFmtId="4" fontId="0" fillId="0" borderId="78" xfId="0" applyNumberFormat="1" applyFont="1" applyFill="1" applyBorder="1" applyAlignment="1">
      <alignment horizontal="center"/>
    </xf>
    <xf numFmtId="0" fontId="7" fillId="17" borderId="11" xfId="0" applyFont="1" applyFill="1" applyBorder="1" applyAlignment="1">
      <alignment horizontal="center"/>
    </xf>
    <xf numFmtId="0" fontId="7" fillId="17" borderId="61" xfId="0" applyFont="1" applyFill="1" applyBorder="1" applyAlignment="1">
      <alignment horizontal="center"/>
    </xf>
    <xf numFmtId="0" fontId="7" fillId="17" borderId="27" xfId="0" applyFont="1" applyFill="1" applyBorder="1" applyAlignment="1">
      <alignment horizontal="right"/>
    </xf>
    <xf numFmtId="0" fontId="7" fillId="17" borderId="12" xfId="0" applyFont="1" applyFill="1" applyBorder="1" applyAlignment="1">
      <alignment horizontal="center"/>
    </xf>
    <xf numFmtId="0" fontId="7" fillId="17" borderId="20" xfId="0" applyFont="1" applyFill="1" applyBorder="1" applyAlignment="1">
      <alignment horizontal="center"/>
    </xf>
    <xf numFmtId="17" fontId="7" fillId="114" borderId="76" xfId="0" applyNumberFormat="1" applyFont="1" applyFill="1" applyBorder="1"/>
    <xf numFmtId="4" fontId="0" fillId="18" borderId="60" xfId="0" applyNumberFormat="1" applyFont="1" applyFill="1" applyBorder="1" applyAlignment="1">
      <alignment horizontal="center"/>
    </xf>
    <xf numFmtId="4" fontId="0" fillId="18" borderId="78" xfId="0" applyNumberFormat="1" applyFont="1" applyFill="1" applyBorder="1" applyAlignment="1">
      <alignment horizontal="center"/>
    </xf>
    <xf numFmtId="4" fontId="0" fillId="2" borderId="20" xfId="0" applyNumberFormat="1" applyFont="1" applyFill="1" applyBorder="1" applyAlignment="1">
      <alignment horizontal="center"/>
    </xf>
    <xf numFmtId="0" fontId="7" fillId="25" borderId="14" xfId="0" applyFont="1" applyFill="1" applyBorder="1" applyAlignment="1">
      <alignment horizontal="center"/>
    </xf>
    <xf numFmtId="0" fontId="7" fillId="25" borderId="65" xfId="0" applyFont="1" applyFill="1" applyBorder="1" applyAlignment="1">
      <alignment horizontal="right"/>
    </xf>
    <xf numFmtId="0" fontId="7" fillId="25" borderId="46" xfId="0" applyFont="1" applyFill="1" applyBorder="1" applyAlignment="1">
      <alignment horizontal="center"/>
    </xf>
    <xf numFmtId="0" fontId="7" fillId="25" borderId="46" xfId="0" applyFont="1" applyFill="1" applyBorder="1" applyAlignment="1">
      <alignment horizontal="center" vertical="center"/>
    </xf>
    <xf numFmtId="0" fontId="7" fillId="25" borderId="61" xfId="0" applyFont="1" applyFill="1" applyBorder="1" applyAlignment="1">
      <alignment horizontal="center" vertical="center"/>
    </xf>
    <xf numFmtId="0" fontId="7" fillId="25" borderId="17" xfId="0" applyFont="1" applyFill="1" applyBorder="1" applyAlignment="1">
      <alignment horizontal="center" vertical="center"/>
    </xf>
    <xf numFmtId="4" fontId="6" fillId="24" borderId="12" xfId="0" applyNumberFormat="1" applyFont="1" applyFill="1" applyBorder="1" applyAlignment="1">
      <alignment horizontal="center"/>
    </xf>
    <xf numFmtId="4" fontId="0" fillId="2" borderId="21" xfId="0" applyNumberFormat="1" applyFont="1" applyFill="1" applyBorder="1" applyAlignment="1">
      <alignment horizontal="center"/>
    </xf>
    <xf numFmtId="17" fontId="7" fillId="121" borderId="3" xfId="0" applyNumberFormat="1" applyFont="1" applyFill="1" applyBorder="1"/>
    <xf numFmtId="17" fontId="7" fillId="0" borderId="0" xfId="0" applyNumberFormat="1" applyFont="1" applyFill="1" applyBorder="1" applyAlignment="1">
      <alignment horizontal="center"/>
    </xf>
    <xf numFmtId="4" fontId="0" fillId="0" borderId="25" xfId="0" applyNumberFormat="1" applyFont="1" applyFill="1" applyBorder="1" applyAlignment="1">
      <alignment horizontal="center"/>
    </xf>
    <xf numFmtId="0" fontId="7" fillId="23" borderId="14" xfId="0" applyFont="1" applyFill="1" applyBorder="1" applyAlignment="1">
      <alignment horizontal="center" wrapText="1"/>
    </xf>
    <xf numFmtId="0" fontId="89" fillId="0" borderId="0" xfId="0" applyFont="1" applyFill="1" applyAlignment="1">
      <alignment horizontal="center"/>
    </xf>
    <xf numFmtId="0" fontId="60" fillId="0" borderId="0" xfId="0" applyFont="1" applyBorder="1" applyAlignment="1"/>
    <xf numFmtId="0" fontId="8" fillId="0" borderId="0" xfId="0" applyFont="1" applyFill="1" applyBorder="1"/>
    <xf numFmtId="0" fontId="33" fillId="0" borderId="0" xfId="0" applyFont="1" applyFill="1" applyBorder="1" applyAlignment="1">
      <alignment horizontal="center" vertical="center" wrapText="1"/>
    </xf>
    <xf numFmtId="14" fontId="8" fillId="0" borderId="0" xfId="0" applyNumberFormat="1" applyFont="1" applyFill="1" applyBorder="1"/>
    <xf numFmtId="4" fontId="8" fillId="0" borderId="0" xfId="89" applyNumberFormat="1" applyFont="1" applyFill="1" applyBorder="1" applyAlignment="1">
      <alignment horizontal="center"/>
    </xf>
    <xf numFmtId="0" fontId="5" fillId="0" borderId="22" xfId="0" applyFont="1" applyFill="1" applyBorder="1" applyAlignment="1"/>
    <xf numFmtId="0" fontId="5" fillId="0" borderId="16" xfId="0" applyFont="1" applyFill="1" applyBorder="1" applyAlignment="1"/>
    <xf numFmtId="0" fontId="5" fillId="0" borderId="22" xfId="0" applyFont="1" applyFill="1" applyBorder="1"/>
    <xf numFmtId="0" fontId="5" fillId="0" borderId="16" xfId="0" applyFont="1" applyFill="1" applyBorder="1"/>
    <xf numFmtId="0" fontId="0" fillId="0" borderId="0" xfId="0" applyNumberFormat="1" applyFont="1" applyFill="1" applyBorder="1"/>
    <xf numFmtId="172" fontId="0" fillId="0" borderId="2" xfId="0" applyNumberFormat="1" applyFont="1" applyFill="1" applyBorder="1"/>
    <xf numFmtId="172" fontId="0" fillId="0" borderId="5" xfId="0" applyNumberFormat="1" applyFont="1" applyFill="1" applyBorder="1"/>
    <xf numFmtId="4" fontId="6" fillId="0" borderId="6" xfId="0" applyNumberFormat="1" applyFont="1" applyFill="1" applyBorder="1" applyAlignment="1" applyProtection="1">
      <alignment horizontal="center"/>
    </xf>
    <xf numFmtId="4" fontId="6" fillId="0" borderId="5" xfId="0" applyNumberFormat="1" applyFont="1" applyFill="1" applyBorder="1" applyAlignment="1" applyProtection="1">
      <alignment horizontal="center"/>
    </xf>
    <xf numFmtId="2" fontId="0" fillId="0" borderId="9" xfId="0" applyNumberFormat="1" applyFont="1" applyFill="1" applyBorder="1" applyAlignment="1">
      <alignment horizontal="center"/>
    </xf>
    <xf numFmtId="2" fontId="0" fillId="0" borderId="8" xfId="0" applyNumberFormat="1" applyFont="1" applyFill="1" applyBorder="1" applyAlignment="1">
      <alignment horizontal="center"/>
    </xf>
    <xf numFmtId="0" fontId="7" fillId="17" borderId="64" xfId="0" applyFont="1" applyFill="1" applyBorder="1" applyAlignment="1">
      <alignment horizontal="center"/>
    </xf>
    <xf numFmtId="0" fontId="7" fillId="17" borderId="62" xfId="0" applyFont="1" applyFill="1" applyBorder="1" applyAlignment="1">
      <alignment horizontal="center"/>
    </xf>
    <xf numFmtId="0" fontId="7" fillId="23" borderId="46" xfId="0" applyFont="1" applyFill="1" applyBorder="1" applyAlignment="1">
      <alignment horizontal="center" wrapText="1"/>
    </xf>
    <xf numFmtId="0" fontId="7" fillId="23" borderId="61" xfId="0" applyFont="1" applyFill="1" applyBorder="1" applyAlignment="1">
      <alignment horizontal="center" vertical="center" wrapText="1"/>
    </xf>
    <xf numFmtId="0" fontId="7" fillId="23" borderId="17" xfId="0" applyFont="1" applyFill="1" applyBorder="1" applyAlignment="1">
      <alignment horizontal="center" wrapText="1"/>
    </xf>
    <xf numFmtId="0" fontId="7" fillId="23" borderId="61" xfId="0" applyFont="1" applyFill="1" applyBorder="1" applyAlignment="1">
      <alignment horizontal="center" wrapText="1"/>
    </xf>
    <xf numFmtId="0" fontId="7" fillId="25" borderId="63" xfId="0" applyFont="1" applyFill="1" applyBorder="1" applyAlignment="1">
      <alignment horizontal="right"/>
    </xf>
    <xf numFmtId="0" fontId="7" fillId="119" borderId="63" xfId="0" applyFont="1" applyFill="1" applyBorder="1" applyAlignment="1">
      <alignment horizontal="right"/>
    </xf>
    <xf numFmtId="0" fontId="7" fillId="25" borderId="64" xfId="0" applyFont="1" applyFill="1" applyBorder="1"/>
    <xf numFmtId="0" fontId="7" fillId="25" borderId="62" xfId="0" applyFont="1" applyFill="1" applyBorder="1"/>
    <xf numFmtId="4" fontId="6" fillId="0" borderId="77" xfId="0" applyNumberFormat="1" applyFont="1" applyFill="1" applyBorder="1" applyAlignment="1">
      <alignment horizontal="center"/>
    </xf>
    <xf numFmtId="4" fontId="6" fillId="2" borderId="9" xfId="0" applyNumberFormat="1" applyFont="1" applyFill="1" applyBorder="1" applyAlignment="1">
      <alignment horizontal="center"/>
    </xf>
    <xf numFmtId="0" fontId="7" fillId="23" borderId="63" xfId="0" applyFont="1" applyFill="1" applyBorder="1" applyAlignment="1">
      <alignment horizontal="center" vertical="center"/>
    </xf>
    <xf numFmtId="0" fontId="7" fillId="23" borderId="64" xfId="0" applyFont="1" applyFill="1" applyBorder="1" applyAlignment="1">
      <alignment horizontal="center" vertical="center"/>
    </xf>
    <xf numFmtId="0" fontId="7" fillId="23" borderId="62" xfId="0" applyFont="1" applyFill="1" applyBorder="1" applyAlignment="1">
      <alignment horizontal="center" vertical="center"/>
    </xf>
    <xf numFmtId="0" fontId="7" fillId="23" borderId="58" xfId="0" applyNumberFormat="1" applyFont="1" applyFill="1" applyBorder="1"/>
    <xf numFmtId="4" fontId="0" fillId="2" borderId="9" xfId="0" applyNumberFormat="1" applyFont="1" applyFill="1" applyBorder="1" applyAlignment="1">
      <alignment horizontal="center"/>
    </xf>
    <xf numFmtId="0" fontId="7" fillId="121" borderId="27" xfId="0" applyNumberFormat="1" applyFont="1" applyFill="1" applyBorder="1"/>
    <xf numFmtId="0" fontId="7" fillId="120" borderId="27" xfId="0" applyNumberFormat="1" applyFont="1" applyFill="1" applyBorder="1"/>
    <xf numFmtId="4" fontId="0" fillId="24" borderId="9" xfId="0" applyNumberFormat="1" applyFont="1" applyFill="1" applyBorder="1" applyAlignment="1">
      <alignment horizontal="center"/>
    </xf>
    <xf numFmtId="0" fontId="7" fillId="121" borderId="28" xfId="0" applyNumberFormat="1" applyFont="1" applyFill="1" applyBorder="1"/>
    <xf numFmtId="0" fontId="7" fillId="25" borderId="64" xfId="0" applyFont="1" applyFill="1" applyBorder="1" applyAlignment="1">
      <alignment horizontal="center" vertical="center"/>
    </xf>
    <xf numFmtId="0" fontId="7" fillId="25" borderId="62" xfId="0" applyFont="1" applyFill="1" applyBorder="1" applyAlignment="1">
      <alignment horizontal="center" vertical="center"/>
    </xf>
    <xf numFmtId="0" fontId="7" fillId="23" borderId="81" xfId="0" applyFont="1" applyFill="1" applyBorder="1" applyAlignment="1">
      <alignment horizontal="center"/>
    </xf>
    <xf numFmtId="2" fontId="0" fillId="0" borderId="2" xfId="0" applyNumberFormat="1" applyFont="1" applyFill="1" applyBorder="1" applyAlignment="1">
      <alignment horizontal="center"/>
    </xf>
    <xf numFmtId="2" fontId="0" fillId="24" borderId="8" xfId="0" applyNumberFormat="1" applyFont="1" applyFill="1" applyBorder="1" applyAlignment="1">
      <alignment horizontal="center"/>
    </xf>
    <xf numFmtId="2" fontId="0" fillId="24" borderId="5" xfId="0" applyNumberFormat="1" applyFont="1" applyFill="1" applyBorder="1" applyAlignment="1">
      <alignment horizontal="center"/>
    </xf>
    <xf numFmtId="0" fontId="7" fillId="23" borderId="34" xfId="0" applyFont="1" applyFill="1" applyBorder="1" applyAlignment="1">
      <alignment horizontal="right"/>
    </xf>
    <xf numFmtId="0" fontId="7" fillId="23" borderId="64" xfId="0" applyFont="1" applyFill="1" applyBorder="1" applyAlignment="1">
      <alignment horizontal="center"/>
    </xf>
    <xf numFmtId="0" fontId="7" fillId="23" borderId="36" xfId="0" applyFont="1" applyFill="1" applyBorder="1" applyAlignment="1">
      <alignment horizontal="center"/>
    </xf>
    <xf numFmtId="0" fontId="7" fillId="23" borderId="11" xfId="0" applyFont="1" applyFill="1" applyBorder="1" applyAlignment="1">
      <alignment horizontal="center"/>
    </xf>
    <xf numFmtId="0" fontId="7" fillId="23" borderId="82" xfId="0" applyFont="1" applyFill="1" applyBorder="1" applyAlignment="1">
      <alignment horizontal="center"/>
    </xf>
    <xf numFmtId="0" fontId="7" fillId="25" borderId="75" xfId="0" applyFont="1" applyFill="1" applyBorder="1" applyAlignment="1">
      <alignment horizontal="right"/>
    </xf>
    <xf numFmtId="0" fontId="7" fillId="25" borderId="61" xfId="0" applyFont="1" applyFill="1" applyBorder="1" applyAlignment="1">
      <alignment horizontal="center"/>
    </xf>
    <xf numFmtId="0" fontId="7" fillId="9" borderId="64" xfId="0" applyFont="1" applyFill="1" applyBorder="1" applyAlignment="1">
      <alignment horizontal="center"/>
    </xf>
    <xf numFmtId="0" fontId="7" fillId="9" borderId="36" xfId="0" applyFont="1" applyFill="1" applyBorder="1" applyAlignment="1">
      <alignment horizontal="center"/>
    </xf>
    <xf numFmtId="0" fontId="7" fillId="16" borderId="34" xfId="0" applyFont="1" applyFill="1" applyBorder="1" applyAlignment="1">
      <alignment horizontal="right"/>
    </xf>
    <xf numFmtId="0" fontId="7" fillId="16" borderId="64" xfId="0" applyFont="1" applyFill="1" applyBorder="1" applyAlignment="1">
      <alignment horizontal="center"/>
    </xf>
    <xf numFmtId="0" fontId="7" fillId="16" borderId="62" xfId="0" applyFont="1" applyFill="1" applyBorder="1" applyAlignment="1">
      <alignment horizontal="center"/>
    </xf>
    <xf numFmtId="0" fontId="7" fillId="16" borderId="64" xfId="0" applyFont="1" applyFill="1" applyBorder="1"/>
    <xf numFmtId="0" fontId="7" fillId="16" borderId="36" xfId="0" applyFont="1" applyFill="1" applyBorder="1"/>
    <xf numFmtId="0" fontId="7" fillId="101" borderId="65" xfId="0" applyFont="1" applyFill="1" applyBorder="1" applyAlignment="1">
      <alignment horizontal="right"/>
    </xf>
    <xf numFmtId="0" fontId="7" fillId="21" borderId="83" xfId="0" applyFont="1" applyFill="1" applyBorder="1" applyAlignment="1">
      <alignment horizontal="center"/>
    </xf>
    <xf numFmtId="0" fontId="7" fillId="21" borderId="62" xfId="0" applyFont="1" applyFill="1" applyBorder="1" applyAlignment="1">
      <alignment horizontal="center"/>
    </xf>
    <xf numFmtId="0" fontId="7" fillId="50" borderId="19" xfId="0" applyFont="1" applyFill="1" applyBorder="1" applyAlignment="1" applyProtection="1">
      <alignment horizontal="center"/>
    </xf>
    <xf numFmtId="0" fontId="7" fillId="47" borderId="75" xfId="0" applyFont="1" applyFill="1" applyBorder="1" applyAlignment="1" applyProtection="1">
      <alignment horizontal="right"/>
    </xf>
    <xf numFmtId="0" fontId="7" fillId="4" borderId="63" xfId="0" applyFont="1" applyFill="1" applyBorder="1" applyAlignment="1">
      <alignment horizontal="right" vertical="center"/>
    </xf>
    <xf numFmtId="0" fontId="7" fillId="4" borderId="64" xfId="0" applyFont="1" applyFill="1" applyBorder="1" applyAlignment="1">
      <alignment horizontal="center"/>
    </xf>
    <xf numFmtId="0" fontId="7" fillId="4" borderId="62" xfId="0" applyFont="1" applyFill="1" applyBorder="1" applyAlignment="1">
      <alignment horizontal="center"/>
    </xf>
    <xf numFmtId="172" fontId="0" fillId="0" borderId="20" xfId="0" applyNumberFormat="1" applyFont="1" applyBorder="1" applyAlignment="1">
      <alignment horizontal="center"/>
    </xf>
    <xf numFmtId="172" fontId="0" fillId="6" borderId="20" xfId="0" applyNumberFormat="1" applyFont="1" applyFill="1" applyBorder="1" applyAlignment="1">
      <alignment horizontal="center"/>
    </xf>
    <xf numFmtId="0" fontId="173" fillId="0" borderId="0" xfId="0" applyFont="1"/>
    <xf numFmtId="0" fontId="173" fillId="7" borderId="0" xfId="0" applyFont="1" applyFill="1"/>
    <xf numFmtId="0" fontId="174" fillId="7" borderId="0" xfId="0" applyFont="1" applyFill="1"/>
    <xf numFmtId="174" fontId="6" fillId="0" borderId="0" xfId="0" applyNumberFormat="1" applyFont="1" applyFill="1" applyBorder="1" applyAlignment="1">
      <alignment horizontal="center"/>
    </xf>
    <xf numFmtId="0" fontId="42" fillId="0" borderId="0" xfId="0" applyFont="1" applyBorder="1" applyAlignment="1"/>
    <xf numFmtId="0" fontId="175" fillId="0" borderId="0" xfId="0" applyFont="1" applyFill="1"/>
    <xf numFmtId="4" fontId="8" fillId="0" borderId="0" xfId="0" applyNumberFormat="1" applyFont="1"/>
    <xf numFmtId="0" fontId="0" fillId="0" borderId="12" xfId="0" applyNumberFormat="1" applyFont="1" applyFill="1" applyBorder="1" applyAlignment="1">
      <alignment horizontal="center"/>
    </xf>
    <xf numFmtId="0" fontId="0" fillId="49" borderId="12" xfId="0" applyNumberFormat="1" applyFont="1" applyFill="1" applyBorder="1" applyAlignment="1">
      <alignment horizontal="center"/>
    </xf>
    <xf numFmtId="4" fontId="0" fillId="49" borderId="9" xfId="0" applyNumberFormat="1" applyFont="1" applyFill="1" applyBorder="1" applyAlignment="1">
      <alignment horizontal="center"/>
    </xf>
    <xf numFmtId="170" fontId="0" fillId="0" borderId="2" xfId="90" applyNumberFormat="1" applyFont="1" applyFill="1" applyBorder="1" applyAlignment="1">
      <alignment horizontal="center"/>
    </xf>
    <xf numFmtId="170" fontId="0" fillId="49" borderId="2" xfId="90" applyNumberFormat="1" applyFont="1" applyFill="1" applyBorder="1" applyAlignment="1">
      <alignment horizontal="center"/>
    </xf>
    <xf numFmtId="170" fontId="0" fillId="10" borderId="20" xfId="90" applyNumberFormat="1" applyFont="1" applyFill="1" applyBorder="1" applyAlignment="1">
      <alignment horizontal="center"/>
    </xf>
    <xf numFmtId="170" fontId="0" fillId="0" borderId="20" xfId="90" applyNumberFormat="1" applyFont="1" applyFill="1" applyBorder="1" applyAlignment="1">
      <alignment horizontal="center"/>
    </xf>
    <xf numFmtId="2" fontId="6" fillId="0" borderId="12" xfId="0" applyNumberFormat="1" applyFont="1" applyFill="1" applyBorder="1" applyAlignment="1">
      <alignment horizontal="center"/>
    </xf>
    <xf numFmtId="2" fontId="6" fillId="0" borderId="20" xfId="0" applyNumberFormat="1" applyFont="1" applyFill="1" applyBorder="1" applyAlignment="1">
      <alignment horizontal="center"/>
    </xf>
    <xf numFmtId="4" fontId="6" fillId="13" borderId="6" xfId="0" applyNumberFormat="1" applyFont="1" applyFill="1" applyBorder="1" applyAlignment="1">
      <alignment horizontal="center"/>
    </xf>
    <xf numFmtId="4" fontId="6" fillId="49" borderId="8" xfId="0" applyNumberFormat="1" applyFont="1" applyFill="1" applyBorder="1" applyAlignment="1">
      <alignment horizontal="center"/>
    </xf>
    <xf numFmtId="4" fontId="0" fillId="10" borderId="7" xfId="0" applyNumberFormat="1" applyFont="1" applyFill="1" applyBorder="1" applyAlignment="1">
      <alignment horizontal="center"/>
    </xf>
    <xf numFmtId="4" fontId="0" fillId="2" borderId="8" xfId="0" applyNumberFormat="1" applyFont="1" applyFill="1" applyBorder="1" applyAlignment="1">
      <alignment horizontal="center"/>
    </xf>
    <xf numFmtId="0" fontId="80" fillId="0" borderId="0" xfId="0" applyFont="1" applyFill="1" applyBorder="1" applyAlignment="1">
      <alignment horizontal="center"/>
    </xf>
    <xf numFmtId="0" fontId="80" fillId="0" borderId="29" xfId="0" applyFont="1" applyFill="1" applyBorder="1"/>
    <xf numFmtId="0" fontId="80" fillId="0" borderId="29" xfId="0" applyFont="1" applyFill="1" applyBorder="1" applyAlignment="1">
      <alignment horizontal="center"/>
    </xf>
    <xf numFmtId="4" fontId="2" fillId="0" borderId="29" xfId="45610" applyNumberFormat="1" applyFont="1" applyFill="1" applyBorder="1" applyAlignment="1">
      <alignment horizontal="center"/>
    </xf>
    <xf numFmtId="170" fontId="2" fillId="0" borderId="29" xfId="45609" applyNumberFormat="1" applyFont="1" applyFill="1" applyBorder="1" applyAlignment="1">
      <alignment horizontal="center"/>
    </xf>
    <xf numFmtId="4" fontId="2" fillId="0" borderId="0" xfId="45610" applyNumberFormat="1" applyFont="1" applyFill="1" applyBorder="1" applyAlignment="1">
      <alignment horizontal="center"/>
    </xf>
    <xf numFmtId="170" fontId="2" fillId="0" borderId="0" xfId="45609" applyNumberFormat="1" applyFont="1" applyFill="1" applyBorder="1" applyAlignment="1">
      <alignment horizontal="center"/>
    </xf>
    <xf numFmtId="0" fontId="7" fillId="25" borderId="24" xfId="0" applyFont="1" applyFill="1" applyBorder="1" applyAlignment="1">
      <alignment horizontal="center"/>
    </xf>
    <xf numFmtId="0" fontId="11" fillId="23" borderId="19" xfId="0" applyFont="1" applyFill="1" applyBorder="1" applyAlignment="1">
      <alignment horizontal="center" wrapText="1"/>
    </xf>
    <xf numFmtId="0" fontId="7" fillId="23" borderId="75" xfId="0" applyFont="1" applyFill="1" applyBorder="1" applyAlignment="1">
      <alignment horizontal="center" wrapText="1"/>
    </xf>
    <xf numFmtId="0" fontId="7" fillId="23" borderId="76" xfId="0" applyFont="1" applyFill="1" applyBorder="1" applyAlignment="1">
      <alignment horizontal="center"/>
    </xf>
    <xf numFmtId="0" fontId="7" fillId="23" borderId="1" xfId="0" applyFont="1" applyFill="1" applyBorder="1" applyAlignment="1">
      <alignment horizontal="center"/>
    </xf>
    <xf numFmtId="0" fontId="7" fillId="23" borderId="3" xfId="0" applyFont="1" applyFill="1" applyBorder="1" applyAlignment="1">
      <alignment horizontal="center"/>
    </xf>
    <xf numFmtId="0" fontId="7" fillId="23" borderId="26" xfId="0" applyFont="1" applyFill="1" applyBorder="1" applyAlignment="1">
      <alignment horizontal="center" vertical="center" wrapText="1"/>
    </xf>
    <xf numFmtId="0" fontId="7" fillId="23" borderId="65" xfId="0" applyFont="1" applyFill="1" applyBorder="1" applyAlignment="1">
      <alignment horizontal="center" vertical="center" wrapText="1"/>
    </xf>
    <xf numFmtId="4" fontId="6" fillId="49" borderId="9" xfId="0" applyNumberFormat="1" applyFont="1" applyFill="1" applyBorder="1" applyAlignment="1" applyProtection="1">
      <alignment horizontal="center"/>
    </xf>
    <xf numFmtId="172" fontId="8" fillId="0" borderId="0" xfId="0" applyNumberFormat="1" applyFont="1" applyFill="1" applyBorder="1"/>
    <xf numFmtId="0" fontId="80" fillId="135" borderId="3" xfId="0" applyFont="1" applyFill="1" applyBorder="1"/>
    <xf numFmtId="0" fontId="80" fillId="135" borderId="8" xfId="0" applyFont="1" applyFill="1" applyBorder="1" applyAlignment="1">
      <alignment horizontal="center"/>
    </xf>
    <xf numFmtId="0" fontId="80" fillId="135" borderId="75" xfId="0" applyFont="1" applyFill="1" applyBorder="1"/>
    <xf numFmtId="0" fontId="80" fillId="135" borderId="46" xfId="0" applyFont="1" applyFill="1" applyBorder="1" applyAlignment="1">
      <alignment horizontal="center"/>
    </xf>
    <xf numFmtId="0" fontId="8" fillId="0" borderId="0" xfId="0" applyFont="1" applyFill="1" applyAlignment="1">
      <alignment vertical="center"/>
    </xf>
    <xf numFmtId="4" fontId="6" fillId="49" borderId="0" xfId="0" applyNumberFormat="1" applyFont="1" applyFill="1" applyBorder="1" applyAlignment="1" applyProtection="1">
      <alignment horizontal="center" vertical="center"/>
    </xf>
    <xf numFmtId="0" fontId="150" fillId="0" borderId="0" xfId="0" applyFont="1" applyAlignment="1">
      <alignment vertical="center"/>
    </xf>
    <xf numFmtId="4" fontId="6" fillId="0" borderId="0" xfId="0" applyNumberFormat="1" applyFont="1" applyFill="1" applyBorder="1" applyAlignment="1" applyProtection="1">
      <alignment horizontal="center" vertical="center"/>
    </xf>
    <xf numFmtId="172" fontId="0" fillId="0" borderId="0" xfId="0" applyNumberFormat="1" applyAlignment="1">
      <alignment vertical="center"/>
    </xf>
    <xf numFmtId="4" fontId="154" fillId="0" borderId="0" xfId="0" applyNumberFormat="1" applyFont="1" applyFill="1" applyAlignment="1">
      <alignment horizontal="center" vertical="center"/>
    </xf>
    <xf numFmtId="4" fontId="154" fillId="6" borderId="0" xfId="0" applyNumberFormat="1" applyFont="1" applyFill="1" applyAlignment="1">
      <alignment horizontal="center" vertical="center"/>
    </xf>
    <xf numFmtId="172" fontId="0" fillId="0" borderId="0" xfId="0" applyNumberFormat="1" applyFont="1" applyFill="1" applyAlignment="1">
      <alignment vertical="center"/>
    </xf>
    <xf numFmtId="4" fontId="0" fillId="0" borderId="0" xfId="0" applyNumberFormat="1" applyFill="1" applyBorder="1" applyAlignment="1">
      <alignment horizontal="center" vertical="center"/>
    </xf>
    <xf numFmtId="4" fontId="0" fillId="0" borderId="0" xfId="0" applyNumberFormat="1" applyFill="1" applyAlignment="1">
      <alignment horizontal="center" vertical="center"/>
    </xf>
    <xf numFmtId="0" fontId="0" fillId="0" borderId="0" xfId="0" applyFill="1" applyAlignment="1">
      <alignment vertical="center"/>
    </xf>
    <xf numFmtId="0" fontId="152" fillId="0" borderId="0" xfId="0" applyFont="1" applyFill="1" applyAlignment="1">
      <alignment vertical="center"/>
    </xf>
    <xf numFmtId="0" fontId="151" fillId="0" borderId="0" xfId="0" applyFont="1" applyFill="1" applyAlignment="1">
      <alignment vertical="center"/>
    </xf>
    <xf numFmtId="0" fontId="146" fillId="0" borderId="0" xfId="0" applyFont="1" applyFill="1" applyAlignment="1">
      <alignment vertical="center"/>
    </xf>
    <xf numFmtId="0" fontId="89"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3" fontId="176" fillId="2" borderId="0" xfId="42" applyNumberFormat="1" applyFont="1" applyFill="1" applyAlignment="1">
      <alignment horizontal="right"/>
    </xf>
    <xf numFmtId="3" fontId="5" fillId="2" borderId="0" xfId="42" applyNumberFormat="1" applyFont="1" applyFill="1" applyBorder="1" applyAlignment="1">
      <alignment horizontal="right"/>
    </xf>
    <xf numFmtId="3" fontId="176" fillId="0" borderId="0" xfId="42" applyNumberFormat="1" applyFont="1" applyFill="1" applyAlignment="1">
      <alignment horizontal="right"/>
    </xf>
    <xf numFmtId="3" fontId="1" fillId="0" borderId="0" xfId="0" applyNumberFormat="1" applyFont="1" applyFill="1" applyBorder="1" applyAlignment="1">
      <alignment horizontal="right"/>
    </xf>
    <xf numFmtId="3" fontId="5" fillId="26" borderId="0" xfId="42" applyNumberFormat="1" applyFont="1" applyFill="1" applyBorder="1" applyAlignment="1" applyProtection="1">
      <alignment horizontal="right"/>
    </xf>
    <xf numFmtId="3" fontId="0" fillId="0" borderId="0" xfId="42" applyNumberFormat="1" applyFont="1" applyFill="1" applyBorder="1" applyAlignment="1" applyProtection="1">
      <alignment horizontal="right"/>
    </xf>
    <xf numFmtId="3" fontId="0" fillId="0" borderId="0" xfId="0" applyNumberFormat="1" applyFont="1" applyFill="1" applyBorder="1" applyAlignment="1" applyProtection="1">
      <alignment horizontal="right"/>
    </xf>
    <xf numFmtId="3" fontId="0" fillId="26" borderId="0" xfId="42" applyNumberFormat="1" applyFont="1" applyFill="1" applyBorder="1" applyAlignment="1" applyProtection="1">
      <alignment horizontal="right"/>
    </xf>
    <xf numFmtId="3" fontId="0" fillId="26" borderId="0" xfId="42" applyNumberFormat="1" applyFont="1" applyFill="1" applyBorder="1" applyAlignment="1">
      <alignment horizontal="right"/>
    </xf>
    <xf numFmtId="3" fontId="0" fillId="26" borderId="0" xfId="6534" applyNumberFormat="1" applyFont="1" applyFill="1" applyBorder="1" applyAlignment="1" applyProtection="1">
      <alignment horizontal="right"/>
    </xf>
    <xf numFmtId="3" fontId="0" fillId="7" borderId="0" xfId="0" applyNumberFormat="1" applyFont="1" applyFill="1" applyBorder="1" applyAlignment="1" applyProtection="1">
      <alignment horizontal="right"/>
    </xf>
    <xf numFmtId="3" fontId="5" fillId="7" borderId="0" xfId="42" applyNumberFormat="1" applyFont="1" applyFill="1" applyBorder="1" applyAlignment="1" applyProtection="1">
      <alignment horizontal="right"/>
    </xf>
    <xf numFmtId="3" fontId="5" fillId="7" borderId="0" xfId="0" applyNumberFormat="1" applyFont="1" applyFill="1" applyBorder="1" applyAlignment="1" applyProtection="1">
      <alignment horizontal="right"/>
    </xf>
    <xf numFmtId="3" fontId="5" fillId="0" borderId="0" xfId="42" applyNumberFormat="1" applyFont="1" applyFill="1" applyBorder="1" applyAlignment="1" applyProtection="1">
      <alignment horizontal="right"/>
    </xf>
    <xf numFmtId="3" fontId="5" fillId="0" borderId="0" xfId="0" applyNumberFormat="1" applyFont="1" applyFill="1" applyBorder="1" applyAlignment="1" applyProtection="1">
      <alignment horizontal="right"/>
    </xf>
    <xf numFmtId="3" fontId="5" fillId="0" borderId="0" xfId="42" applyNumberFormat="1" applyFont="1" applyFill="1" applyAlignment="1">
      <alignment horizontal="right"/>
    </xf>
    <xf numFmtId="3" fontId="5" fillId="0" borderId="0" xfId="0" applyNumberFormat="1" applyFont="1" applyFill="1" applyAlignment="1">
      <alignment horizontal="right"/>
    </xf>
    <xf numFmtId="3" fontId="5" fillId="26" borderId="0" xfId="42" applyNumberFormat="1" applyFont="1" applyFill="1" applyAlignment="1">
      <alignment horizontal="right"/>
    </xf>
    <xf numFmtId="3" fontId="5" fillId="26" borderId="0" xfId="0" applyNumberFormat="1" applyFont="1" applyFill="1" applyAlignment="1">
      <alignment horizontal="right"/>
    </xf>
    <xf numFmtId="0" fontId="0" fillId="0" borderId="0" xfId="0" applyFont="1" applyFill="1" applyBorder="1" applyAlignment="1" applyProtection="1">
      <alignment horizontal="center"/>
    </xf>
    <xf numFmtId="0" fontId="7" fillId="8" borderId="26" xfId="0" quotePrefix="1" applyFont="1" applyFill="1" applyBorder="1" applyAlignment="1" applyProtection="1">
      <alignment horizontal="center"/>
    </xf>
    <xf numFmtId="4" fontId="6" fillId="0" borderId="9" xfId="0" applyNumberFormat="1" applyFont="1" applyFill="1" applyBorder="1" applyAlignment="1" applyProtection="1">
      <alignment horizontal="center"/>
    </xf>
    <xf numFmtId="4" fontId="6" fillId="6" borderId="9" xfId="0" applyNumberFormat="1" applyFont="1" applyFill="1" applyBorder="1" applyAlignment="1" applyProtection="1">
      <alignment horizontal="center"/>
    </xf>
    <xf numFmtId="4" fontId="6" fillId="6" borderId="20" xfId="0" applyNumberFormat="1" applyFont="1" applyFill="1" applyBorder="1" applyAlignment="1" applyProtection="1">
      <alignment horizontal="center"/>
    </xf>
    <xf numFmtId="4" fontId="6" fillId="0" borderId="9" xfId="0" applyNumberFormat="1" applyFont="1" applyFill="1" applyBorder="1" applyAlignment="1" applyProtection="1">
      <alignment horizontal="center" vertical="center"/>
    </xf>
    <xf numFmtId="4" fontId="6" fillId="6" borderId="9" xfId="0" applyNumberFormat="1" applyFont="1" applyFill="1" applyBorder="1" applyAlignment="1" applyProtection="1">
      <alignment horizontal="center" vertical="center"/>
    </xf>
    <xf numFmtId="4" fontId="6" fillId="6" borderId="9" xfId="0" applyNumberFormat="1" applyFont="1" applyFill="1" applyBorder="1" applyAlignment="1">
      <alignment horizontal="center"/>
    </xf>
    <xf numFmtId="4" fontId="6" fillId="6" borderId="9" xfId="0" applyNumberFormat="1" applyFont="1" applyFill="1" applyBorder="1" applyAlignment="1">
      <alignment horizontal="center" vertical="center"/>
    </xf>
    <xf numFmtId="4" fontId="6" fillId="6" borderId="20" xfId="0" applyNumberFormat="1" applyFont="1" applyFill="1" applyBorder="1" applyAlignment="1">
      <alignment horizontal="center"/>
    </xf>
    <xf numFmtId="4" fontId="6" fillId="0" borderId="9" xfId="0" applyNumberFormat="1" applyFont="1" applyFill="1" applyBorder="1" applyAlignment="1">
      <alignment horizontal="center" vertical="center"/>
    </xf>
    <xf numFmtId="4" fontId="6" fillId="6" borderId="9" xfId="21900" applyNumberFormat="1" applyFont="1" applyFill="1" applyBorder="1" applyAlignment="1">
      <alignment horizontal="center"/>
    </xf>
    <xf numFmtId="4" fontId="6" fillId="6" borderId="9" xfId="21900" applyNumberFormat="1" applyFont="1" applyFill="1" applyBorder="1" applyAlignment="1">
      <alignment horizontal="center" vertical="center"/>
    </xf>
    <xf numFmtId="4" fontId="6" fillId="6" borderId="9" xfId="22882" applyNumberFormat="1" applyFont="1" applyFill="1" applyBorder="1" applyAlignment="1">
      <alignment horizontal="center"/>
    </xf>
    <xf numFmtId="4" fontId="6" fillId="0" borderId="9" xfId="21900" applyNumberFormat="1" applyFont="1" applyFill="1" applyBorder="1" applyAlignment="1">
      <alignment horizontal="center"/>
    </xf>
    <xf numFmtId="4" fontId="6" fillId="0" borderId="9" xfId="21900" applyNumberFormat="1" applyFont="1" applyFill="1" applyBorder="1" applyAlignment="1">
      <alignment horizontal="center" vertical="center"/>
    </xf>
    <xf numFmtId="4" fontId="6" fillId="0" borderId="9" xfId="22882" applyNumberFormat="1" applyFont="1" applyFill="1" applyBorder="1" applyAlignment="1">
      <alignment horizontal="center"/>
    </xf>
    <xf numFmtId="0" fontId="7" fillId="47" borderId="11" xfId="0" applyFont="1" applyFill="1" applyBorder="1" applyAlignment="1" applyProtection="1">
      <alignment horizontal="center"/>
    </xf>
    <xf numFmtId="0" fontId="7" fillId="47" borderId="81" xfId="0" applyFont="1" applyFill="1" applyBorder="1" applyAlignment="1" applyProtection="1">
      <alignment horizontal="center"/>
    </xf>
    <xf numFmtId="0" fontId="7" fillId="47" borderId="84" xfId="0" applyFont="1" applyFill="1" applyBorder="1" applyAlignment="1" applyProtection="1">
      <alignment horizontal="center"/>
    </xf>
    <xf numFmtId="0" fontId="7" fillId="47" borderId="82" xfId="0" applyFont="1" applyFill="1" applyBorder="1" applyAlignment="1" applyProtection="1">
      <alignment horizontal="center"/>
    </xf>
    <xf numFmtId="4" fontId="0" fillId="7" borderId="12" xfId="0" applyNumberFormat="1" applyFont="1" applyFill="1" applyBorder="1" applyAlignment="1">
      <alignment horizontal="center"/>
    </xf>
    <xf numFmtId="4" fontId="0" fillId="49" borderId="12" xfId="0" applyNumberFormat="1" applyFont="1" applyFill="1" applyBorder="1" applyAlignment="1">
      <alignment horizontal="center"/>
    </xf>
    <xf numFmtId="4" fontId="0" fillId="7" borderId="9" xfId="0" applyNumberFormat="1" applyFont="1" applyFill="1" applyBorder="1" applyAlignment="1">
      <alignment horizontal="center"/>
    </xf>
    <xf numFmtId="0" fontId="7" fillId="50" borderId="80" xfId="0" applyFont="1" applyFill="1" applyBorder="1" applyAlignment="1">
      <alignment horizontal="center"/>
    </xf>
    <xf numFmtId="4" fontId="6" fillId="49" borderId="0" xfId="0" applyNumberFormat="1" applyFont="1" applyFill="1" applyBorder="1" applyAlignment="1">
      <alignment horizontal="center"/>
    </xf>
    <xf numFmtId="4" fontId="6" fillId="49" borderId="12" xfId="0" applyNumberFormat="1" applyFont="1" applyFill="1" applyBorder="1" applyAlignment="1">
      <alignment horizontal="center"/>
    </xf>
    <xf numFmtId="4" fontId="6" fillId="49" borderId="9" xfId="0" applyNumberFormat="1" applyFont="1" applyFill="1" applyBorder="1" applyAlignment="1">
      <alignment horizontal="center"/>
    </xf>
    <xf numFmtId="4" fontId="6" fillId="7" borderId="9" xfId="0" applyNumberFormat="1" applyFont="1" applyFill="1" applyBorder="1" applyAlignment="1">
      <alignment horizontal="center"/>
    </xf>
    <xf numFmtId="0" fontId="7" fillId="50" borderId="11" xfId="0" applyFont="1" applyFill="1" applyBorder="1" applyAlignment="1">
      <alignment horizontal="center"/>
    </xf>
    <xf numFmtId="0" fontId="7" fillId="50" borderId="84" xfId="0" applyFont="1" applyFill="1" applyBorder="1" applyAlignment="1">
      <alignment horizontal="center"/>
    </xf>
    <xf numFmtId="0" fontId="7" fillId="50" borderId="81" xfId="0" applyFont="1" applyFill="1" applyBorder="1" applyAlignment="1">
      <alignment horizontal="center"/>
    </xf>
    <xf numFmtId="4" fontId="6" fillId="49" borderId="4" xfId="0" applyNumberFormat="1" applyFont="1" applyFill="1" applyBorder="1" applyAlignment="1">
      <alignment horizontal="center"/>
    </xf>
    <xf numFmtId="4" fontId="0" fillId="0" borderId="12" xfId="0" applyNumberFormat="1" applyFont="1" applyBorder="1" applyAlignment="1" applyProtection="1">
      <alignment horizontal="center"/>
    </xf>
    <xf numFmtId="4" fontId="0" fillId="48" borderId="12" xfId="0" applyNumberFormat="1" applyFont="1" applyFill="1" applyBorder="1" applyAlignment="1" applyProtection="1">
      <alignment horizontal="center"/>
    </xf>
    <xf numFmtId="4" fontId="0" fillId="0" borderId="25" xfId="0" applyNumberFormat="1" applyFont="1" applyBorder="1" applyAlignment="1" applyProtection="1">
      <alignment horizontal="center"/>
    </xf>
    <xf numFmtId="4" fontId="0" fillId="0" borderId="9" xfId="0" applyNumberFormat="1" applyFont="1" applyBorder="1" applyAlignment="1" applyProtection="1">
      <alignment horizontal="center"/>
    </xf>
    <xf numFmtId="4" fontId="0" fillId="48" borderId="9" xfId="0" applyNumberFormat="1" applyFont="1" applyFill="1" applyBorder="1" applyAlignment="1" applyProtection="1">
      <alignment horizontal="center"/>
    </xf>
    <xf numFmtId="4" fontId="0" fillId="0" borderId="8" xfId="0" applyNumberFormat="1" applyFont="1" applyBorder="1" applyAlignment="1" applyProtection="1">
      <alignment horizontal="center"/>
    </xf>
    <xf numFmtId="4" fontId="0" fillId="13" borderId="20" xfId="0" applyNumberFormat="1" applyFont="1" applyFill="1" applyBorder="1" applyAlignment="1">
      <alignment horizontal="center"/>
    </xf>
    <xf numFmtId="0" fontId="7" fillId="20" borderId="34" xfId="0" applyFont="1" applyFill="1" applyBorder="1" applyAlignment="1">
      <alignment horizontal="right"/>
    </xf>
    <xf numFmtId="0" fontId="7" fillId="20" borderId="63" xfId="0" applyFont="1" applyFill="1" applyBorder="1"/>
    <xf numFmtId="0" fontId="7" fillId="20" borderId="85" xfId="0" applyFont="1" applyFill="1" applyBorder="1" applyAlignment="1">
      <alignment horizontal="center"/>
    </xf>
    <xf numFmtId="0" fontId="7" fillId="55" borderId="63" xfId="0" applyFont="1" applyFill="1" applyBorder="1"/>
    <xf numFmtId="0" fontId="7" fillId="55" borderId="85" xfId="0" applyFont="1" applyFill="1" applyBorder="1" applyAlignment="1">
      <alignment horizontal="center"/>
    </xf>
    <xf numFmtId="0" fontId="7" fillId="55" borderId="62" xfId="0" applyFont="1" applyFill="1" applyBorder="1" applyAlignment="1">
      <alignment horizontal="center"/>
    </xf>
    <xf numFmtId="0" fontId="7" fillId="47" borderId="34" xfId="0" applyFont="1" applyFill="1" applyBorder="1"/>
    <xf numFmtId="0" fontId="7" fillId="47" borderId="64" xfId="0" applyFont="1" applyFill="1" applyBorder="1" applyAlignment="1">
      <alignment horizontal="center"/>
    </xf>
    <xf numFmtId="0" fontId="7" fillId="47" borderId="62" xfId="0" applyFont="1" applyFill="1" applyBorder="1" applyAlignment="1">
      <alignment horizontal="center"/>
    </xf>
    <xf numFmtId="170" fontId="0" fillId="49" borderId="20" xfId="90" applyNumberFormat="1" applyFont="1" applyFill="1" applyBorder="1" applyAlignment="1">
      <alignment horizontal="center"/>
    </xf>
    <xf numFmtId="0" fontId="5" fillId="7" borderId="71" xfId="0" applyFont="1" applyFill="1" applyBorder="1"/>
    <xf numFmtId="0" fontId="5" fillId="7" borderId="80" xfId="0" applyFont="1" applyFill="1" applyBorder="1"/>
    <xf numFmtId="0" fontId="5" fillId="7" borderId="70" xfId="0" applyFont="1" applyFill="1" applyBorder="1"/>
    <xf numFmtId="4" fontId="0" fillId="0" borderId="48" xfId="0" applyNumberFormat="1" applyFont="1" applyBorder="1" applyAlignment="1"/>
    <xf numFmtId="0" fontId="7" fillId="8" borderId="62" xfId="0" applyFont="1" applyFill="1" applyBorder="1" applyAlignment="1">
      <alignment horizontal="center"/>
    </xf>
    <xf numFmtId="0" fontId="5" fillId="7" borderId="45" xfId="0" applyFont="1" applyFill="1" applyBorder="1"/>
    <xf numFmtId="0" fontId="5" fillId="7" borderId="13" xfId="0" applyFont="1" applyFill="1" applyBorder="1" applyAlignment="1">
      <alignment horizontal="center"/>
    </xf>
    <xf numFmtId="0" fontId="5" fillId="7" borderId="48" xfId="0" applyFont="1" applyFill="1" applyBorder="1" applyAlignment="1">
      <alignment horizontal="center"/>
    </xf>
    <xf numFmtId="0" fontId="7" fillId="55" borderId="83" xfId="0" applyFont="1" applyFill="1" applyBorder="1" applyAlignment="1">
      <alignment horizontal="center"/>
    </xf>
    <xf numFmtId="0" fontId="7" fillId="20" borderId="28" xfId="0" applyNumberFormat="1" applyFont="1" applyFill="1" applyBorder="1"/>
    <xf numFmtId="0" fontId="7" fillId="100" borderId="28" xfId="0" applyNumberFormat="1" applyFont="1" applyFill="1" applyBorder="1" applyAlignment="1">
      <alignment horizontal="right"/>
    </xf>
    <xf numFmtId="0" fontId="7" fillId="100" borderId="63" xfId="0" applyFont="1" applyFill="1" applyBorder="1"/>
    <xf numFmtId="0" fontId="7" fillId="100" borderId="85" xfId="0" applyFont="1" applyFill="1" applyBorder="1" applyAlignment="1">
      <alignment horizontal="center"/>
    </xf>
    <xf numFmtId="0" fontId="7" fillId="100" borderId="36" xfId="0" applyFont="1" applyFill="1" applyBorder="1" applyAlignment="1">
      <alignment horizontal="center"/>
    </xf>
    <xf numFmtId="0" fontId="7" fillId="16" borderId="66" xfId="0" applyFont="1" applyFill="1" applyBorder="1" applyAlignment="1" applyProtection="1">
      <alignment horizontal="right"/>
    </xf>
    <xf numFmtId="0" fontId="7" fillId="16" borderId="67" xfId="0" applyFont="1" applyFill="1" applyBorder="1" applyAlignment="1" applyProtection="1">
      <alignment horizontal="center"/>
    </xf>
    <xf numFmtId="0" fontId="7" fillId="16" borderId="70" xfId="0" applyFont="1" applyFill="1" applyBorder="1" applyAlignment="1" applyProtection="1">
      <alignment horizontal="center"/>
    </xf>
    <xf numFmtId="4" fontId="0" fillId="3" borderId="7" xfId="0" applyNumberFormat="1" applyFont="1" applyFill="1" applyBorder="1" applyAlignment="1">
      <alignment horizontal="center"/>
    </xf>
    <xf numFmtId="0" fontId="7" fillId="16" borderId="26" xfId="0" applyFont="1" applyFill="1" applyBorder="1"/>
    <xf numFmtId="0" fontId="7" fillId="100" borderId="19" xfId="0" applyFont="1" applyFill="1" applyBorder="1"/>
    <xf numFmtId="0" fontId="7" fillId="100" borderId="65" xfId="0" applyFont="1" applyFill="1" applyBorder="1" applyAlignment="1">
      <alignment horizontal="right"/>
    </xf>
    <xf numFmtId="0" fontId="7" fillId="100" borderId="46" xfId="0" applyFont="1" applyFill="1" applyBorder="1" applyAlignment="1">
      <alignment horizontal="center"/>
    </xf>
    <xf numFmtId="0" fontId="7" fillId="100" borderId="61" xfId="0" applyFont="1" applyFill="1" applyBorder="1" applyAlignment="1">
      <alignment horizontal="center"/>
    </xf>
    <xf numFmtId="0" fontId="7" fillId="20" borderId="75" xfId="0" applyFont="1" applyFill="1" applyBorder="1" applyAlignment="1" applyProtection="1">
      <alignment horizontal="right"/>
    </xf>
    <xf numFmtId="0" fontId="7" fillId="20" borderId="11" xfId="0" applyFont="1" applyFill="1" applyBorder="1" applyAlignment="1" applyProtection="1">
      <alignment horizontal="center"/>
    </xf>
    <xf numFmtId="0" fontId="7" fillId="20" borderId="61" xfId="0" applyFont="1" applyFill="1" applyBorder="1" applyAlignment="1" applyProtection="1">
      <alignment horizontal="center"/>
    </xf>
    <xf numFmtId="0" fontId="7" fillId="20" borderId="19" xfId="0" applyFont="1" applyFill="1" applyBorder="1"/>
    <xf numFmtId="4" fontId="7" fillId="55" borderId="46" xfId="0" applyNumberFormat="1" applyFont="1" applyFill="1" applyBorder="1" applyAlignment="1" applyProtection="1">
      <alignment horizontal="center"/>
    </xf>
    <xf numFmtId="4" fontId="7" fillId="55" borderId="81" xfId="0" applyNumberFormat="1" applyFont="1" applyFill="1" applyBorder="1" applyAlignment="1" applyProtection="1">
      <alignment horizontal="center"/>
    </xf>
    <xf numFmtId="0" fontId="7" fillId="50" borderId="1" xfId="0" applyFont="1" applyFill="1" applyBorder="1" applyAlignment="1" applyProtection="1">
      <alignment horizontal="center"/>
    </xf>
    <xf numFmtId="0" fontId="7" fillId="50" borderId="19" xfId="0" applyFont="1" applyFill="1" applyBorder="1"/>
    <xf numFmtId="0" fontId="7" fillId="8" borderId="26" xfId="0" applyFont="1" applyFill="1" applyBorder="1"/>
    <xf numFmtId="0" fontId="7" fillId="8" borderId="75" xfId="0" applyFont="1" applyFill="1" applyBorder="1" applyAlignment="1" applyProtection="1">
      <alignment horizontal="right"/>
    </xf>
    <xf numFmtId="0" fontId="7" fillId="8" borderId="11" xfId="0" applyFont="1" applyFill="1" applyBorder="1" applyAlignment="1" applyProtection="1">
      <alignment horizontal="center"/>
    </xf>
    <xf numFmtId="0" fontId="7" fillId="8" borderId="61" xfId="0" applyFont="1" applyFill="1" applyBorder="1" applyAlignment="1" applyProtection="1">
      <alignment horizontal="center"/>
    </xf>
    <xf numFmtId="0" fontId="7" fillId="9" borderId="26" xfId="0" applyFont="1" applyFill="1" applyBorder="1" applyAlignment="1">
      <alignment horizontal="left"/>
    </xf>
    <xf numFmtId="0" fontId="7" fillId="9" borderId="65" xfId="0" applyFont="1" applyFill="1" applyBorder="1" applyAlignment="1" applyProtection="1">
      <alignment horizontal="right"/>
    </xf>
    <xf numFmtId="0" fontId="7" fillId="9" borderId="46" xfId="0" applyFont="1" applyFill="1" applyBorder="1" applyAlignment="1" applyProtection="1">
      <alignment horizontal="center"/>
    </xf>
    <xf numFmtId="0" fontId="7" fillId="9" borderId="81" xfId="0" applyFont="1" applyFill="1" applyBorder="1" applyAlignment="1" applyProtection="1">
      <alignment horizontal="center"/>
    </xf>
    <xf numFmtId="0" fontId="7" fillId="57" borderId="1" xfId="0" applyFont="1" applyFill="1" applyBorder="1"/>
    <xf numFmtId="0" fontId="7" fillId="57" borderId="65" xfId="0" applyFont="1" applyFill="1" applyBorder="1" applyAlignment="1" applyProtection="1">
      <alignment horizontal="right"/>
    </xf>
    <xf numFmtId="0" fontId="7" fillId="57" borderId="11" xfId="0" applyFont="1" applyFill="1" applyBorder="1" applyAlignment="1" applyProtection="1">
      <alignment horizontal="center"/>
    </xf>
    <xf numFmtId="0" fontId="7" fillId="57" borderId="68" xfId="0" applyFont="1" applyFill="1" applyBorder="1" applyAlignment="1" applyProtection="1">
      <alignment horizontal="center"/>
    </xf>
    <xf numFmtId="4" fontId="0" fillId="58" borderId="20" xfId="0" applyNumberFormat="1" applyFont="1" applyFill="1" applyBorder="1" applyAlignment="1">
      <alignment horizontal="center"/>
    </xf>
    <xf numFmtId="0" fontId="7" fillId="57" borderId="67" xfId="0" applyFont="1" applyFill="1" applyBorder="1" applyAlignment="1">
      <alignment horizontal="center" vertical="center" wrapText="1"/>
    </xf>
    <xf numFmtId="0" fontId="7" fillId="57" borderId="68" xfId="0" applyFont="1" applyFill="1" applyBorder="1" applyAlignment="1">
      <alignment horizontal="center" vertical="center" wrapText="1"/>
    </xf>
    <xf numFmtId="0" fontId="7" fillId="57" borderId="26" xfId="0" applyFont="1" applyFill="1" applyBorder="1" applyAlignment="1">
      <alignment horizontal="center" vertical="center"/>
    </xf>
    <xf numFmtId="0" fontId="7" fillId="57" borderId="65" xfId="0" applyFont="1" applyFill="1" applyBorder="1" applyAlignment="1">
      <alignment horizontal="center" vertical="center"/>
    </xf>
    <xf numFmtId="4" fontId="6" fillId="58" borderId="9" xfId="0" applyNumberFormat="1" applyFont="1" applyFill="1" applyBorder="1" applyAlignment="1">
      <alignment horizontal="center"/>
    </xf>
    <xf numFmtId="4" fontId="6" fillId="58" borderId="20" xfId="0" applyNumberFormat="1" applyFont="1" applyFill="1" applyBorder="1" applyAlignment="1">
      <alignment horizontal="center"/>
    </xf>
    <xf numFmtId="17" fontId="7" fillId="57" borderId="27" xfId="0" applyNumberFormat="1" applyFont="1" applyFill="1" applyBorder="1" applyAlignment="1">
      <alignment vertical="center"/>
    </xf>
    <xf numFmtId="4" fontId="6" fillId="58" borderId="9" xfId="0" applyNumberFormat="1" applyFont="1" applyFill="1" applyBorder="1" applyAlignment="1">
      <alignment horizontal="center" vertical="center"/>
    </xf>
    <xf numFmtId="4" fontId="6" fillId="58" borderId="20" xfId="0" applyNumberFormat="1" applyFont="1" applyFill="1" applyBorder="1" applyAlignment="1">
      <alignment horizontal="center" vertical="center"/>
    </xf>
    <xf numFmtId="0" fontId="7" fillId="59" borderId="64" xfId="0" applyFont="1" applyFill="1" applyBorder="1" applyAlignment="1">
      <alignment horizontal="center"/>
    </xf>
    <xf numFmtId="0" fontId="7" fillId="59" borderId="62" xfId="0" applyFont="1" applyFill="1" applyBorder="1" applyAlignment="1">
      <alignment horizontal="center"/>
    </xf>
    <xf numFmtId="0" fontId="7" fillId="25" borderId="81" xfId="0" applyFont="1" applyFill="1" applyBorder="1" applyAlignment="1">
      <alignment horizontal="center"/>
    </xf>
    <xf numFmtId="4" fontId="0" fillId="24" borderId="2" xfId="0" applyNumberFormat="1" applyFont="1" applyFill="1" applyBorder="1" applyAlignment="1">
      <alignment horizontal="center"/>
    </xf>
    <xf numFmtId="4" fontId="0" fillId="134" borderId="2" xfId="0" applyNumberFormat="1" applyFont="1" applyFill="1" applyBorder="1" applyAlignment="1">
      <alignment horizontal="center"/>
    </xf>
    <xf numFmtId="4" fontId="0" fillId="134" borderId="9" xfId="0" applyNumberFormat="1" applyFont="1" applyFill="1" applyBorder="1" applyAlignment="1">
      <alignment horizontal="center"/>
    </xf>
    <xf numFmtId="4" fontId="6" fillId="2" borderId="0" xfId="0" applyNumberFormat="1" applyFont="1" applyFill="1" applyBorder="1" applyAlignment="1">
      <alignment horizontal="center"/>
    </xf>
    <xf numFmtId="0" fontId="7" fillId="23" borderId="84" xfId="0" applyFont="1" applyFill="1" applyBorder="1" applyAlignment="1">
      <alignment horizontal="center"/>
    </xf>
    <xf numFmtId="4" fontId="0" fillId="2" borderId="12" xfId="0" applyNumberFormat="1" applyFont="1" applyFill="1" applyBorder="1" applyAlignment="1">
      <alignment horizontal="center"/>
    </xf>
    <xf numFmtId="4" fontId="0" fillId="0" borderId="12" xfId="0" applyNumberFormat="1" applyFont="1" applyBorder="1" applyAlignment="1">
      <alignment horizontal="center"/>
    </xf>
    <xf numFmtId="4" fontId="0" fillId="0" borderId="7" xfId="0" applyNumberFormat="1" applyFont="1" applyBorder="1" applyAlignment="1">
      <alignment horizontal="center"/>
    </xf>
    <xf numFmtId="0" fontId="7" fillId="25" borderId="65" xfId="0" applyFont="1" applyFill="1" applyBorder="1" applyAlignment="1" applyProtection="1">
      <alignment horizontal="right"/>
    </xf>
    <xf numFmtId="0" fontId="7" fillId="25" borderId="11" xfId="0" applyFont="1" applyFill="1" applyBorder="1" applyAlignment="1" applyProtection="1">
      <alignment horizontal="center"/>
    </xf>
    <xf numFmtId="0" fontId="7" fillId="25" borderId="84" xfId="0" applyFont="1" applyFill="1" applyBorder="1" applyAlignment="1" applyProtection="1">
      <alignment horizontal="center"/>
    </xf>
    <xf numFmtId="0" fontId="7" fillId="25" borderId="82" xfId="0" applyFont="1" applyFill="1" applyBorder="1" applyAlignment="1" applyProtection="1">
      <alignment horizontal="center"/>
    </xf>
    <xf numFmtId="0" fontId="7" fillId="25" borderId="81" xfId="0" applyFont="1" applyFill="1" applyBorder="1" applyAlignment="1" applyProtection="1">
      <alignment horizontal="center"/>
    </xf>
    <xf numFmtId="0" fontId="7" fillId="23" borderId="58" xfId="0" applyFont="1" applyFill="1" applyBorder="1" applyAlignment="1" applyProtection="1">
      <alignment horizontal="center"/>
    </xf>
    <xf numFmtId="0" fontId="7" fillId="23" borderId="19" xfId="0" applyFont="1" applyFill="1" applyBorder="1" applyAlignment="1">
      <alignment horizontal="right"/>
    </xf>
    <xf numFmtId="0" fontId="7" fillId="23" borderId="1" xfId="0" applyFont="1" applyFill="1" applyBorder="1" applyAlignment="1" applyProtection="1">
      <alignment horizontal="center"/>
    </xf>
    <xf numFmtId="0" fontId="7" fillId="25" borderId="75" xfId="0" applyFont="1" applyFill="1" applyBorder="1" applyAlignment="1" applyProtection="1">
      <alignment horizontal="right"/>
    </xf>
    <xf numFmtId="4" fontId="0" fillId="0" borderId="77" xfId="0" applyNumberFormat="1" applyFont="1" applyBorder="1" applyAlignment="1">
      <alignment horizontal="center"/>
    </xf>
    <xf numFmtId="4" fontId="0" fillId="0" borderId="78" xfId="0" applyNumberFormat="1" applyFont="1" applyBorder="1" applyAlignment="1">
      <alignment horizontal="center"/>
    </xf>
    <xf numFmtId="0" fontId="9" fillId="2" borderId="0" xfId="0" applyFont="1" applyFill="1" applyBorder="1" applyAlignment="1" applyProtection="1">
      <alignment horizontal="center"/>
    </xf>
    <xf numFmtId="0" fontId="9" fillId="2" borderId="0" xfId="0" applyFont="1" applyFill="1" applyAlignment="1">
      <alignment horizontal="center"/>
    </xf>
    <xf numFmtId="3" fontId="9" fillId="26" borderId="0" xfId="0" applyNumberFormat="1" applyFont="1" applyFill="1" applyBorder="1" applyAlignment="1">
      <alignment horizontal="center"/>
    </xf>
    <xf numFmtId="0" fontId="9" fillId="26" borderId="0" xfId="0" applyFont="1" applyFill="1" applyBorder="1" applyAlignment="1" applyProtection="1">
      <alignment horizontal="center"/>
    </xf>
    <xf numFmtId="174" fontId="6" fillId="0" borderId="0" xfId="0" applyNumberFormat="1" applyFont="1" applyFill="1" applyBorder="1" applyAlignment="1" applyProtection="1">
      <alignment horizontal="right"/>
    </xf>
    <xf numFmtId="174" fontId="6" fillId="0" borderId="0" xfId="0" applyNumberFormat="1" applyFont="1" applyFill="1" applyBorder="1" applyAlignment="1">
      <alignment horizontal="right"/>
    </xf>
    <xf numFmtId="175" fontId="6" fillId="0" borderId="0" xfId="0" applyNumberFormat="1" applyFont="1" applyFill="1" applyBorder="1"/>
    <xf numFmtId="174" fontId="6" fillId="0" borderId="0" xfId="0" applyNumberFormat="1" applyFont="1" applyFill="1" applyBorder="1" applyProtection="1"/>
    <xf numFmtId="0" fontId="36" fillId="2" borderId="0" xfId="0" quotePrefix="1" applyFont="1" applyFill="1" applyBorder="1" applyAlignment="1" applyProtection="1">
      <alignment horizontal="left"/>
    </xf>
    <xf numFmtId="3" fontId="9" fillId="0" borderId="0" xfId="0" applyNumberFormat="1" applyFont="1" applyFill="1" applyBorder="1" applyProtection="1"/>
    <xf numFmtId="0" fontId="0" fillId="0" borderId="0" xfId="0" applyFont="1" applyFill="1" applyBorder="1" applyAlignment="1" applyProtection="1">
      <alignment horizontal="right"/>
    </xf>
    <xf numFmtId="3" fontId="0" fillId="0" borderId="0" xfId="0" quotePrefix="1" applyNumberFormat="1" applyFont="1" applyFill="1" applyBorder="1" applyAlignment="1">
      <alignment horizontal="right"/>
    </xf>
    <xf numFmtId="0" fontId="9" fillId="26" borderId="0" xfId="0" applyFont="1" applyFill="1" applyBorder="1" applyAlignment="1">
      <alignment horizontal="center"/>
    </xf>
    <xf numFmtId="0" fontId="9" fillId="26" borderId="0" xfId="0" applyFont="1" applyFill="1" applyBorder="1" applyAlignment="1" applyProtection="1">
      <alignment horizontal="centerContinuous"/>
    </xf>
    <xf numFmtId="3" fontId="0" fillId="26" borderId="0" xfId="0" applyNumberFormat="1" applyFont="1" applyFill="1" applyBorder="1"/>
    <xf numFmtId="0" fontId="48" fillId="26" borderId="0" xfId="0" quotePrefix="1" applyFont="1" applyFill="1" applyBorder="1" applyAlignment="1" applyProtection="1">
      <alignment horizontal="left"/>
    </xf>
    <xf numFmtId="3" fontId="6" fillId="26" borderId="0" xfId="0" quotePrefix="1" applyNumberFormat="1" applyFont="1" applyFill="1" applyBorder="1" applyAlignment="1" applyProtection="1">
      <alignment horizontal="right"/>
    </xf>
    <xf numFmtId="2" fontId="8" fillId="0" borderId="0" xfId="0" applyNumberFormat="1" applyFont="1" applyFill="1" applyBorder="1"/>
    <xf numFmtId="4" fontId="6" fillId="49" borderId="20" xfId="0" applyNumberFormat="1" applyFont="1" applyFill="1" applyBorder="1" applyAlignment="1">
      <alignment horizontal="center"/>
    </xf>
    <xf numFmtId="4" fontId="6" fillId="7" borderId="20" xfId="0" applyNumberFormat="1" applyFont="1" applyFill="1" applyBorder="1" applyAlignment="1">
      <alignment horizontal="center"/>
    </xf>
    <xf numFmtId="0" fontId="7" fillId="20" borderId="89" xfId="0" applyFont="1" applyFill="1" applyBorder="1"/>
    <xf numFmtId="0" fontId="7" fillId="50" borderId="63" xfId="0" applyFont="1" applyFill="1" applyBorder="1"/>
    <xf numFmtId="0" fontId="7" fillId="50" borderId="89" xfId="0" applyFont="1" applyFill="1" applyBorder="1"/>
    <xf numFmtId="0" fontId="7" fillId="8" borderId="89" xfId="0" applyFont="1" applyFill="1" applyBorder="1"/>
    <xf numFmtId="0" fontId="7" fillId="100" borderId="89" xfId="0" applyFont="1" applyFill="1" applyBorder="1"/>
    <xf numFmtId="0" fontId="7" fillId="9" borderId="63" xfId="0" applyFont="1" applyFill="1" applyBorder="1"/>
    <xf numFmtId="0" fontId="7" fillId="9" borderId="89" xfId="0" applyFont="1" applyFill="1" applyBorder="1"/>
    <xf numFmtId="0" fontId="7" fillId="23" borderId="63" xfId="0" applyFont="1" applyFill="1" applyBorder="1"/>
    <xf numFmtId="0" fontId="7" fillId="23" borderId="89" xfId="0" applyFont="1" applyFill="1" applyBorder="1"/>
    <xf numFmtId="0" fontId="7" fillId="16" borderId="63" xfId="0" applyFont="1" applyFill="1" applyBorder="1"/>
    <xf numFmtId="0" fontId="7" fillId="16" borderId="89" xfId="0" applyFont="1" applyFill="1" applyBorder="1"/>
    <xf numFmtId="0" fontId="7" fillId="16" borderId="85" xfId="0" applyFont="1" applyFill="1" applyBorder="1" applyAlignment="1">
      <alignment horizontal="center"/>
    </xf>
    <xf numFmtId="4" fontId="7" fillId="16" borderId="64" xfId="0" applyNumberFormat="1" applyFont="1" applyFill="1" applyBorder="1" applyAlignment="1">
      <alignment horizontal="center"/>
    </xf>
    <xf numFmtId="0" fontId="7" fillId="16" borderId="36" xfId="0" applyFont="1" applyFill="1" applyBorder="1" applyAlignment="1">
      <alignment horizontal="center"/>
    </xf>
    <xf numFmtId="0" fontId="7" fillId="9" borderId="85" xfId="0" applyFont="1" applyFill="1" applyBorder="1" applyAlignment="1">
      <alignment horizontal="center"/>
    </xf>
    <xf numFmtId="0" fontId="7" fillId="23" borderId="85" xfId="0" applyFont="1" applyFill="1" applyBorder="1" applyAlignment="1">
      <alignment horizontal="center"/>
    </xf>
    <xf numFmtId="0" fontId="0" fillId="7" borderId="48" xfId="0" applyFill="1" applyBorder="1" applyAlignment="1">
      <alignment horizontal="center"/>
    </xf>
    <xf numFmtId="0" fontId="80" fillId="135" borderId="11" xfId="0" applyFont="1" applyFill="1" applyBorder="1" applyAlignment="1">
      <alignment horizontal="center"/>
    </xf>
    <xf numFmtId="0" fontId="80" fillId="135" borderId="84" xfId="0" applyFont="1" applyFill="1" applyBorder="1" applyAlignment="1">
      <alignment horizontal="center"/>
    </xf>
    <xf numFmtId="0" fontId="80" fillId="135" borderId="82" xfId="0" applyFont="1" applyFill="1" applyBorder="1" applyAlignment="1">
      <alignment horizontal="center"/>
    </xf>
    <xf numFmtId="0" fontId="80" fillId="135" borderId="81" xfId="0" applyFont="1" applyFill="1" applyBorder="1" applyAlignment="1">
      <alignment horizontal="center"/>
    </xf>
    <xf numFmtId="17" fontId="5" fillId="0" borderId="0" xfId="0" applyNumberFormat="1" applyFont="1"/>
    <xf numFmtId="0" fontId="8" fillId="0" borderId="0" xfId="0" applyFont="1" applyFill="1" applyAlignment="1">
      <alignment horizontal="center"/>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Fill="1" applyAlignment="1">
      <alignment horizontal="center"/>
    </xf>
    <xf numFmtId="0" fontId="177" fillId="0" borderId="0" xfId="0" applyFont="1" applyAlignment="1">
      <alignment horizontal="center" vertical="center"/>
    </xf>
    <xf numFmtId="2" fontId="7" fillId="0" borderId="0" xfId="0" applyNumberFormat="1" applyFont="1" applyAlignment="1">
      <alignment horizontal="center" vertical="center"/>
    </xf>
    <xf numFmtId="0" fontId="11" fillId="0" borderId="0" xfId="0" applyFont="1" applyFill="1" applyAlignment="1">
      <alignment horizontal="center" vertical="center"/>
    </xf>
    <xf numFmtId="0" fontId="178" fillId="0" borderId="0" xfId="0" applyFont="1"/>
    <xf numFmtId="0" fontId="179" fillId="0" borderId="0" xfId="0" applyFont="1" applyAlignment="1">
      <alignment horizontal="center" vertical="center"/>
    </xf>
    <xf numFmtId="0" fontId="22" fillId="0" borderId="0" xfId="0" applyFont="1" applyAlignment="1">
      <alignment horizontal="center" vertical="center"/>
    </xf>
    <xf numFmtId="0" fontId="177" fillId="0" borderId="0" xfId="0" applyFont="1" applyFill="1" applyAlignment="1">
      <alignment vertical="center"/>
    </xf>
    <xf numFmtId="0" fontId="11" fillId="0" borderId="0" xfId="0" applyFont="1" applyFill="1" applyAlignment="1">
      <alignment horizontal="right"/>
    </xf>
    <xf numFmtId="2" fontId="177" fillId="0" borderId="0" xfId="0" applyNumberFormat="1" applyFont="1" applyAlignment="1">
      <alignment horizontal="center" vertical="center"/>
    </xf>
    <xf numFmtId="0" fontId="146" fillId="0" borderId="0" xfId="0" applyFont="1" applyAlignment="1">
      <alignment horizontal="center"/>
    </xf>
    <xf numFmtId="0" fontId="146" fillId="0" borderId="0" xfId="0" applyFont="1" applyAlignment="1">
      <alignment horizontal="center" vertical="center"/>
    </xf>
    <xf numFmtId="0" fontId="146" fillId="0" borderId="0" xfId="0" applyFont="1" applyFill="1" applyAlignment="1">
      <alignment horizontal="center"/>
    </xf>
    <xf numFmtId="0" fontId="180" fillId="0" borderId="0" xfId="0" applyFont="1" applyAlignment="1">
      <alignment horizontal="center" vertical="center"/>
    </xf>
    <xf numFmtId="2" fontId="181" fillId="0" borderId="0" xfId="0" applyNumberFormat="1" applyFont="1" applyAlignment="1">
      <alignment horizontal="center" vertical="center"/>
    </xf>
    <xf numFmtId="0" fontId="146" fillId="0" borderId="0" xfId="0" applyFont="1" applyFill="1" applyAlignment="1">
      <alignment horizontal="center" vertical="center"/>
    </xf>
    <xf numFmtId="17" fontId="7" fillId="109" borderId="28" xfId="0" applyNumberFormat="1" applyFont="1" applyFill="1" applyBorder="1"/>
    <xf numFmtId="0" fontId="7" fillId="110" borderId="28" xfId="0" applyNumberFormat="1" applyFont="1" applyFill="1" applyBorder="1" applyAlignment="1">
      <alignment horizontal="right"/>
    </xf>
    <xf numFmtId="0" fontId="7" fillId="107" borderId="3" xfId="0" applyNumberFormat="1" applyFont="1" applyFill="1" applyBorder="1" applyAlignment="1">
      <alignment horizontal="right"/>
    </xf>
    <xf numFmtId="17" fontId="7" fillId="50" borderId="28" xfId="0" applyNumberFormat="1" applyFont="1" applyFill="1" applyBorder="1"/>
    <xf numFmtId="17" fontId="7" fillId="111" borderId="28" xfId="0" applyNumberFormat="1" applyFont="1" applyFill="1" applyBorder="1"/>
    <xf numFmtId="17" fontId="7" fillId="100" borderId="28" xfId="0" applyNumberFormat="1" applyFont="1" applyFill="1" applyBorder="1" applyAlignment="1">
      <alignment vertical="center"/>
    </xf>
    <xf numFmtId="4" fontId="0" fillId="0" borderId="8" xfId="0" applyNumberFormat="1" applyFont="1" applyFill="1" applyBorder="1" applyAlignment="1">
      <alignment horizontal="center" vertical="center"/>
    </xf>
    <xf numFmtId="4" fontId="0" fillId="0" borderId="21" xfId="0" applyNumberFormat="1" applyFont="1" applyFill="1" applyBorder="1" applyAlignment="1">
      <alignment horizontal="center" vertical="center"/>
    </xf>
    <xf numFmtId="17" fontId="7" fillId="118" borderId="28" xfId="0" applyNumberFormat="1" applyFont="1" applyFill="1" applyBorder="1"/>
    <xf numFmtId="17" fontId="7" fillId="9" borderId="28" xfId="0" applyNumberFormat="1" applyFont="1" applyFill="1" applyBorder="1"/>
    <xf numFmtId="4" fontId="6" fillId="0" borderId="21" xfId="0" applyNumberFormat="1" applyFont="1" applyFill="1" applyBorder="1" applyAlignment="1">
      <alignment horizontal="center"/>
    </xf>
    <xf numFmtId="0" fontId="89" fillId="0" borderId="0" xfId="0" applyFont="1" applyBorder="1"/>
    <xf numFmtId="0" fontId="5" fillId="26" borderId="0" xfId="0" applyFont="1" applyFill="1" applyBorder="1" applyAlignment="1" applyProtection="1">
      <alignment horizontal="center"/>
    </xf>
    <xf numFmtId="4" fontId="6" fillId="14" borderId="5" xfId="0" applyNumberFormat="1" applyFont="1" applyFill="1" applyBorder="1" applyAlignment="1">
      <alignment horizontal="center"/>
    </xf>
    <xf numFmtId="4" fontId="6" fillId="6" borderId="8" xfId="22882" applyNumberFormat="1" applyFont="1" applyFill="1" applyBorder="1" applyAlignment="1">
      <alignment horizontal="center"/>
    </xf>
    <xf numFmtId="4" fontId="6" fillId="99" borderId="5" xfId="0" applyNumberFormat="1" applyFont="1" applyFill="1" applyBorder="1" applyAlignment="1">
      <alignment horizontal="center"/>
    </xf>
    <xf numFmtId="0" fontId="148" fillId="0" borderId="0" xfId="0" applyFont="1" applyFill="1"/>
    <xf numFmtId="0" fontId="182" fillId="0" borderId="0" xfId="0" applyFont="1"/>
    <xf numFmtId="4" fontId="6" fillId="104" borderId="9" xfId="0" applyNumberFormat="1" applyFont="1" applyFill="1" applyBorder="1" applyAlignment="1">
      <alignment horizontal="center"/>
    </xf>
    <xf numFmtId="4" fontId="6" fillId="104" borderId="20" xfId="0" applyNumberFormat="1" applyFont="1" applyFill="1" applyBorder="1" applyAlignment="1">
      <alignment horizontal="center"/>
    </xf>
    <xf numFmtId="0" fontId="60" fillId="0" borderId="0" xfId="0" applyFont="1"/>
    <xf numFmtId="0" fontId="5" fillId="2" borderId="0" xfId="0" applyFont="1" applyFill="1" applyBorder="1" applyAlignment="1" applyProtection="1">
      <alignment horizontal="center"/>
    </xf>
    <xf numFmtId="3" fontId="5" fillId="2" borderId="0" xfId="0" applyNumberFormat="1" applyFont="1" applyFill="1" applyBorder="1" applyAlignment="1" applyProtection="1">
      <alignment horizontal="center"/>
    </xf>
    <xf numFmtId="3" fontId="0" fillId="2" borderId="0" xfId="0" applyNumberFormat="1" applyFont="1" applyFill="1" applyAlignment="1">
      <alignment horizontal="right"/>
    </xf>
    <xf numFmtId="3" fontId="0" fillId="2" borderId="0" xfId="42" applyNumberFormat="1" applyFont="1" applyFill="1" applyBorder="1" applyAlignment="1">
      <alignment horizontal="right"/>
    </xf>
    <xf numFmtId="3" fontId="0" fillId="2" borderId="0" xfId="0" applyNumberFormat="1" applyFont="1" applyFill="1" applyBorder="1" applyAlignment="1">
      <alignment horizontal="right"/>
    </xf>
    <xf numFmtId="3" fontId="0" fillId="2" borderId="0" xfId="0" applyNumberFormat="1" applyFont="1" applyFill="1" applyBorder="1" applyAlignment="1">
      <alignment horizontal="right" vertical="center"/>
    </xf>
    <xf numFmtId="3" fontId="0" fillId="0" borderId="0" xfId="42" applyNumberFormat="1" applyFont="1" applyFill="1" applyBorder="1" applyAlignment="1">
      <alignment horizontal="right"/>
    </xf>
    <xf numFmtId="3" fontId="0" fillId="0" borderId="0" xfId="6534" applyNumberFormat="1" applyFont="1" applyFill="1" applyBorder="1" applyAlignment="1" applyProtection="1">
      <alignment horizontal="right"/>
    </xf>
    <xf numFmtId="3" fontId="0" fillId="2" borderId="0" xfId="6534" applyNumberFormat="1" applyFont="1" applyFill="1" applyBorder="1" applyAlignment="1" applyProtection="1">
      <alignment horizontal="right"/>
    </xf>
    <xf numFmtId="3" fontId="0" fillId="2" borderId="0" xfId="42" applyNumberFormat="1" applyFont="1" applyFill="1" applyBorder="1" applyAlignment="1" applyProtection="1">
      <alignment horizontal="right"/>
    </xf>
    <xf numFmtId="3" fontId="0" fillId="2" borderId="0" xfId="49" applyNumberFormat="1" applyFont="1" applyFill="1" applyBorder="1" applyAlignment="1" applyProtection="1">
      <alignment horizontal="right"/>
    </xf>
    <xf numFmtId="3" fontId="0" fillId="2" borderId="0" xfId="0" applyNumberFormat="1" applyFont="1" applyFill="1"/>
    <xf numFmtId="3" fontId="0" fillId="2" borderId="0" xfId="0" applyNumberFormat="1" applyFont="1" applyFill="1" applyBorder="1" applyAlignment="1" applyProtection="1">
      <alignment horizontal="right"/>
    </xf>
    <xf numFmtId="3" fontId="0" fillId="0" borderId="0" xfId="49" applyNumberFormat="1" applyFont="1" applyFill="1" applyBorder="1" applyAlignment="1" applyProtection="1">
      <alignment horizontal="right"/>
    </xf>
    <xf numFmtId="3" fontId="0" fillId="27" borderId="0" xfId="0" applyNumberFormat="1" applyFont="1" applyFill="1" applyBorder="1" applyAlignment="1">
      <alignment horizontal="right"/>
    </xf>
    <xf numFmtId="3" fontId="5" fillId="27" borderId="0" xfId="0" applyNumberFormat="1" applyFont="1" applyFill="1" applyBorder="1" applyAlignment="1">
      <alignment horizontal="right"/>
    </xf>
    <xf numFmtId="3" fontId="0" fillId="27" borderId="0" xfId="0" quotePrefix="1" applyNumberFormat="1" applyFont="1" applyFill="1" applyBorder="1" applyAlignment="1">
      <alignment horizontal="left"/>
    </xf>
    <xf numFmtId="3" fontId="0" fillId="0" borderId="0" xfId="0" quotePrefix="1" applyNumberFormat="1" applyFont="1" applyFill="1" applyBorder="1" applyAlignment="1">
      <alignment horizontal="left"/>
    </xf>
    <xf numFmtId="3" fontId="0" fillId="0" borderId="0" xfId="0" applyNumberFormat="1" applyFont="1"/>
    <xf numFmtId="3" fontId="0" fillId="0" borderId="0" xfId="0" applyNumberFormat="1" applyFont="1" applyFill="1"/>
    <xf numFmtId="165" fontId="0" fillId="0" borderId="0" xfId="0" applyNumberFormat="1" applyFont="1"/>
    <xf numFmtId="165" fontId="0" fillId="0" borderId="0" xfId="0" applyNumberFormat="1" applyFont="1" applyFill="1"/>
    <xf numFmtId="173" fontId="5" fillId="14" borderId="0" xfId="0" applyNumberFormat="1" applyFont="1" applyFill="1" applyBorder="1" applyAlignment="1" applyProtection="1">
      <alignment horizontal="right"/>
    </xf>
    <xf numFmtId="173" fontId="0" fillId="0" borderId="0" xfId="0" applyNumberFormat="1" applyFont="1"/>
    <xf numFmtId="3" fontId="1" fillId="0" borderId="0" xfId="42" applyNumberFormat="1" applyFont="1" applyFill="1" applyBorder="1" applyAlignment="1" applyProtection="1">
      <alignment horizontal="right"/>
    </xf>
    <xf numFmtId="3" fontId="1" fillId="26" borderId="0" xfId="42" applyNumberFormat="1" applyFont="1" applyFill="1" applyAlignment="1">
      <alignment horizontal="right"/>
    </xf>
    <xf numFmtId="4" fontId="0" fillId="14" borderId="20" xfId="0" applyNumberFormat="1" applyFont="1" applyFill="1" applyBorder="1" applyAlignment="1">
      <alignment horizontal="center"/>
    </xf>
    <xf numFmtId="3" fontId="5" fillId="14" borderId="0" xfId="0" applyNumberFormat="1" applyFont="1" applyFill="1" applyBorder="1" applyAlignment="1" applyProtection="1">
      <alignment horizontal="right"/>
    </xf>
    <xf numFmtId="194" fontId="0" fillId="0" borderId="0" xfId="0" applyNumberFormat="1"/>
    <xf numFmtId="195" fontId="0" fillId="0" borderId="0" xfId="0" applyNumberFormat="1"/>
    <xf numFmtId="196" fontId="0" fillId="0" borderId="0" xfId="0" applyNumberFormat="1"/>
    <xf numFmtId="0" fontId="183" fillId="0" borderId="0" xfId="0" applyFont="1"/>
    <xf numFmtId="0" fontId="184" fillId="0" borderId="0" xfId="0" applyFont="1"/>
    <xf numFmtId="0" fontId="184" fillId="0" borderId="0" xfId="0" applyFont="1" applyFill="1"/>
    <xf numFmtId="0" fontId="185" fillId="0" borderId="0" xfId="0" applyFont="1"/>
    <xf numFmtId="0" fontId="183" fillId="0" borderId="0" xfId="0" applyFont="1" applyAlignment="1">
      <alignment vertical="center"/>
    </xf>
    <xf numFmtId="0" fontId="185" fillId="0" borderId="0" xfId="0" applyFont="1" applyAlignment="1">
      <alignment vertical="center"/>
    </xf>
    <xf numFmtId="0" fontId="7" fillId="117" borderId="3" xfId="0" applyNumberFormat="1" applyFont="1" applyFill="1" applyBorder="1" applyAlignment="1">
      <alignment horizontal="right"/>
    </xf>
    <xf numFmtId="0" fontId="7" fillId="110" borderId="27" xfId="0" applyNumberFormat="1" applyFont="1" applyFill="1" applyBorder="1" applyAlignment="1">
      <alignment horizontal="right"/>
    </xf>
    <xf numFmtId="0" fontId="7" fillId="106" borderId="28" xfId="0" applyNumberFormat="1" applyFont="1" applyFill="1" applyBorder="1" applyAlignment="1">
      <alignment horizontal="right"/>
    </xf>
    <xf numFmtId="4" fontId="6" fillId="2" borderId="12" xfId="0" applyNumberFormat="1" applyFont="1" applyFill="1" applyBorder="1" applyAlignment="1">
      <alignment horizontal="center"/>
    </xf>
    <xf numFmtId="0" fontId="7" fillId="120" borderId="28" xfId="0" applyNumberFormat="1" applyFont="1" applyFill="1" applyBorder="1" applyAlignment="1">
      <alignment horizontal="right"/>
    </xf>
    <xf numFmtId="0" fontId="7" fillId="4" borderId="75" xfId="0" applyFont="1" applyFill="1" applyBorder="1" applyAlignment="1" applyProtection="1">
      <alignment horizontal="right"/>
    </xf>
    <xf numFmtId="0" fontId="7" fillId="4" borderId="11" xfId="0" applyFont="1" applyFill="1" applyBorder="1" applyAlignment="1" applyProtection="1">
      <alignment horizontal="center"/>
    </xf>
    <xf numFmtId="0" fontId="7" fillId="4" borderId="82" xfId="0" applyFont="1" applyFill="1" applyBorder="1" applyAlignment="1" applyProtection="1">
      <alignment horizontal="center"/>
    </xf>
    <xf numFmtId="0" fontId="7" fillId="4" borderId="81" xfId="0" applyFont="1" applyFill="1" applyBorder="1" applyAlignment="1" applyProtection="1">
      <alignment horizontal="center"/>
    </xf>
    <xf numFmtId="17" fontId="7" fillId="109" borderId="27" xfId="0" applyNumberFormat="1" applyFont="1" applyFill="1" applyBorder="1"/>
    <xf numFmtId="0" fontId="7" fillId="112" borderId="28" xfId="0" applyNumberFormat="1" applyFont="1" applyFill="1" applyBorder="1" applyAlignment="1">
      <alignment horizontal="right"/>
    </xf>
    <xf numFmtId="4" fontId="0" fillId="0" borderId="60" xfId="0" applyNumberFormat="1" applyFont="1" applyFill="1" applyBorder="1" applyAlignment="1">
      <alignment horizontal="center"/>
    </xf>
    <xf numFmtId="17" fontId="7" fillId="114" borderId="3" xfId="0" applyNumberFormat="1" applyFont="1" applyFill="1" applyBorder="1"/>
    <xf numFmtId="17" fontId="7" fillId="114" borderId="27" xfId="0" applyNumberFormat="1" applyFont="1" applyFill="1" applyBorder="1"/>
    <xf numFmtId="0" fontId="7" fillId="114" borderId="28" xfId="0" applyNumberFormat="1" applyFont="1" applyFill="1" applyBorder="1" applyAlignment="1">
      <alignment horizontal="right"/>
    </xf>
    <xf numFmtId="4" fontId="0" fillId="24" borderId="12" xfId="0" applyNumberFormat="1" applyFont="1" applyFill="1" applyBorder="1" applyAlignment="1">
      <alignment horizontal="center"/>
    </xf>
    <xf numFmtId="166" fontId="6" fillId="0" borderId="0" xfId="0" applyNumberFormat="1" applyFont="1" applyFill="1" applyBorder="1" applyAlignment="1">
      <alignment horizontal="center"/>
    </xf>
    <xf numFmtId="170" fontId="2" fillId="0" borderId="2" xfId="45609" applyNumberFormat="1" applyFont="1" applyFill="1" applyBorder="1" applyAlignment="1">
      <alignment horizontal="center"/>
    </xf>
    <xf numFmtId="170" fontId="0" fillId="2" borderId="78" xfId="0" applyNumberFormat="1" applyFill="1" applyBorder="1" applyAlignment="1">
      <alignment horizontal="center"/>
    </xf>
    <xf numFmtId="170" fontId="0" fillId="2" borderId="20" xfId="0" applyNumberFormat="1" applyFill="1" applyBorder="1" applyAlignment="1">
      <alignment horizontal="center"/>
    </xf>
    <xf numFmtId="170" fontId="0" fillId="2" borderId="61" xfId="0" applyNumberFormat="1" applyFill="1" applyBorder="1" applyAlignment="1">
      <alignment horizontal="center"/>
    </xf>
    <xf numFmtId="10" fontId="0" fillId="51" borderId="2" xfId="0" applyNumberFormat="1" applyFill="1" applyBorder="1" applyAlignment="1">
      <alignment horizontal="center"/>
    </xf>
    <xf numFmtId="10" fontId="0" fillId="0" borderId="2" xfId="0" applyNumberFormat="1" applyFill="1" applyBorder="1" applyAlignment="1">
      <alignment horizontal="center"/>
    </xf>
    <xf numFmtId="10" fontId="0" fillId="14" borderId="20" xfId="0" applyNumberFormat="1" applyFill="1" applyBorder="1" applyAlignment="1">
      <alignment horizontal="center"/>
    </xf>
    <xf numFmtId="0" fontId="0" fillId="0" borderId="0" xfId="0" applyAlignment="1">
      <alignment horizontal="center"/>
    </xf>
    <xf numFmtId="4" fontId="0" fillId="14" borderId="5" xfId="0" applyNumberFormat="1" applyFont="1" applyFill="1" applyBorder="1" applyAlignment="1">
      <alignment horizontal="center"/>
    </xf>
    <xf numFmtId="0" fontId="7" fillId="56" borderId="34" xfId="0" applyFont="1" applyFill="1" applyBorder="1" applyAlignment="1">
      <alignment horizontal="center"/>
    </xf>
    <xf numFmtId="17" fontId="7" fillId="55" borderId="27" xfId="0" applyNumberFormat="1" applyFont="1" applyFill="1" applyBorder="1" applyAlignment="1">
      <alignment horizontal="center"/>
    </xf>
    <xf numFmtId="17" fontId="7" fillId="55" borderId="28" xfId="0" applyNumberFormat="1" applyFont="1" applyFill="1" applyBorder="1" applyAlignment="1">
      <alignment horizontal="center"/>
    </xf>
    <xf numFmtId="17" fontId="0" fillId="0" borderId="0" xfId="0" applyNumberFormat="1" applyAlignment="1">
      <alignment horizontal="center"/>
    </xf>
    <xf numFmtId="0" fontId="7" fillId="55" borderId="19" xfId="0" applyFont="1" applyFill="1" applyBorder="1" applyAlignment="1">
      <alignment horizontal="center"/>
    </xf>
    <xf numFmtId="0" fontId="7" fillId="55" borderId="75" xfId="0" applyFont="1" applyFill="1" applyBorder="1" applyAlignment="1" applyProtection="1">
      <alignment horizontal="center"/>
    </xf>
    <xf numFmtId="4" fontId="0" fillId="13" borderId="21" xfId="0" applyNumberFormat="1" applyFont="1" applyFill="1" applyBorder="1" applyAlignment="1">
      <alignment horizontal="center"/>
    </xf>
    <xf numFmtId="4" fontId="6" fillId="99" borderId="8" xfId="0" applyNumberFormat="1" applyFont="1" applyFill="1" applyBorder="1" applyAlignment="1">
      <alignment horizontal="center"/>
    </xf>
    <xf numFmtId="4" fontId="0" fillId="3" borderId="5" xfId="0" applyNumberFormat="1" applyFont="1" applyFill="1" applyBorder="1" applyAlignment="1">
      <alignment horizontal="center"/>
    </xf>
    <xf numFmtId="4" fontId="0" fillId="10" borderId="5" xfId="0" applyNumberFormat="1" applyFont="1" applyFill="1" applyBorder="1" applyAlignment="1">
      <alignment horizontal="center"/>
    </xf>
    <xf numFmtId="4" fontId="0" fillId="58" borderId="21" xfId="0" applyNumberFormat="1" applyFont="1" applyFill="1" applyBorder="1" applyAlignment="1">
      <alignment horizontal="center"/>
    </xf>
    <xf numFmtId="4" fontId="0" fillId="2" borderId="4" xfId="0" applyNumberFormat="1" applyFont="1" applyFill="1" applyBorder="1" applyAlignment="1">
      <alignment horizontal="center"/>
    </xf>
    <xf numFmtId="4" fontId="0" fillId="2" borderId="25" xfId="0" applyNumberFormat="1" applyFont="1" applyFill="1" applyBorder="1" applyAlignment="1">
      <alignment horizontal="center"/>
    </xf>
    <xf numFmtId="4" fontId="0" fillId="2" borderId="6" xfId="0" applyNumberFormat="1" applyFont="1" applyFill="1" applyBorder="1" applyAlignment="1">
      <alignment horizontal="center"/>
    </xf>
    <xf numFmtId="4" fontId="0" fillId="2" borderId="5" xfId="0" applyNumberFormat="1" applyFont="1" applyFill="1" applyBorder="1" applyAlignment="1">
      <alignment horizontal="center"/>
    </xf>
    <xf numFmtId="4" fontId="6" fillId="2" borderId="6" xfId="0" applyNumberFormat="1" applyFont="1" applyFill="1" applyBorder="1" applyAlignment="1">
      <alignment horizontal="center"/>
    </xf>
    <xf numFmtId="4" fontId="6" fillId="2" borderId="4" xfId="0" applyNumberFormat="1" applyFont="1" applyFill="1" applyBorder="1" applyAlignment="1">
      <alignment horizontal="center"/>
    </xf>
    <xf numFmtId="4" fontId="6" fillId="2" borderId="8" xfId="0" applyNumberFormat="1" applyFont="1" applyFill="1" applyBorder="1" applyAlignment="1">
      <alignment horizontal="center"/>
    </xf>
    <xf numFmtId="4" fontId="6" fillId="2" borderId="5" xfId="0" applyNumberFormat="1" applyFont="1" applyFill="1" applyBorder="1" applyAlignment="1">
      <alignment horizontal="center"/>
    </xf>
    <xf numFmtId="4" fontId="6" fillId="104" borderId="8" xfId="0" applyNumberFormat="1" applyFont="1" applyFill="1" applyBorder="1" applyAlignment="1">
      <alignment horizontal="center"/>
    </xf>
    <xf numFmtId="4" fontId="6" fillId="104" borderId="21" xfId="0" applyNumberFormat="1" applyFont="1" applyFill="1" applyBorder="1" applyAlignment="1">
      <alignment horizontal="center"/>
    </xf>
    <xf numFmtId="4" fontId="6" fillId="10" borderId="6" xfId="0" applyNumberFormat="1" applyFont="1" applyFill="1" applyBorder="1" applyAlignment="1">
      <alignment horizontal="center"/>
    </xf>
    <xf numFmtId="4" fontId="6" fillId="10" borderId="21" xfId="0" applyNumberFormat="1" applyFont="1" applyFill="1" applyBorder="1" applyAlignment="1">
      <alignment horizontal="center"/>
    </xf>
    <xf numFmtId="4" fontId="6" fillId="3" borderId="6" xfId="0" applyNumberFormat="1" applyFont="1" applyFill="1" applyBorder="1" applyAlignment="1">
      <alignment horizontal="center"/>
    </xf>
    <xf numFmtId="4" fontId="6" fillId="3" borderId="5" xfId="0" applyNumberFormat="1" applyFont="1" applyFill="1" applyBorder="1" applyAlignment="1">
      <alignment horizontal="center"/>
    </xf>
    <xf numFmtId="4" fontId="6" fillId="99" borderId="6" xfId="0" applyNumberFormat="1" applyFont="1" applyFill="1" applyBorder="1" applyAlignment="1">
      <alignment horizontal="center"/>
    </xf>
    <xf numFmtId="4" fontId="6" fillId="14" borderId="6" xfId="0" applyNumberFormat="1" applyFont="1" applyFill="1" applyBorder="1" applyAlignment="1">
      <alignment horizontal="center"/>
    </xf>
    <xf numFmtId="4" fontId="6" fillId="49" borderId="8" xfId="0" applyNumberFormat="1" applyFont="1" applyFill="1" applyBorder="1" applyAlignment="1" applyProtection="1">
      <alignment horizontal="center"/>
    </xf>
    <xf numFmtId="4" fontId="6" fillId="49" borderId="21" xfId="0" applyNumberFormat="1" applyFont="1" applyFill="1" applyBorder="1" applyAlignment="1" applyProtection="1">
      <alignment horizontal="center"/>
    </xf>
    <xf numFmtId="4" fontId="6" fillId="6" borderId="8" xfId="21900" applyNumberFormat="1" applyFont="1" applyFill="1" applyBorder="1" applyAlignment="1">
      <alignment horizontal="center"/>
    </xf>
    <xf numFmtId="4" fontId="6" fillId="6" borderId="8" xfId="21900" applyNumberFormat="1" applyFont="1" applyFill="1" applyBorder="1" applyAlignment="1">
      <alignment horizontal="center" vertical="center"/>
    </xf>
    <xf numFmtId="0" fontId="5" fillId="2" borderId="0" xfId="0" applyFont="1" applyFill="1" applyBorder="1" applyAlignment="1" applyProtection="1">
      <alignment horizontal="center"/>
    </xf>
    <xf numFmtId="0" fontId="177" fillId="0" borderId="0" xfId="0" applyFont="1"/>
    <xf numFmtId="0" fontId="7" fillId="2" borderId="0" xfId="0" applyFont="1" applyFill="1" applyBorder="1" applyAlignment="1" applyProtection="1">
      <alignment horizontal="left"/>
    </xf>
    <xf numFmtId="3" fontId="7" fillId="2" borderId="0" xfId="0" applyNumberFormat="1" applyFont="1" applyFill="1" applyBorder="1" applyAlignment="1" applyProtection="1">
      <alignment horizontal="center"/>
    </xf>
    <xf numFmtId="3" fontId="11" fillId="0" borderId="0" xfId="0" applyNumberFormat="1" applyFont="1" applyFill="1"/>
    <xf numFmtId="169" fontId="11" fillId="0" borderId="0" xfId="0" applyNumberFormat="1" applyFont="1" applyFill="1"/>
    <xf numFmtId="3" fontId="9" fillId="2" borderId="0" xfId="42" applyNumberFormat="1" applyFont="1" applyFill="1" applyBorder="1" applyAlignment="1">
      <alignment horizontal="right"/>
    </xf>
    <xf numFmtId="3" fontId="1" fillId="26" borderId="0" xfId="0" applyNumberFormat="1" applyFont="1" applyFill="1" applyAlignment="1">
      <alignment horizontal="right"/>
    </xf>
    <xf numFmtId="4" fontId="6" fillId="6" borderId="20" xfId="22882" applyNumberFormat="1" applyFont="1" applyFill="1" applyBorder="1" applyAlignment="1">
      <alignment horizontal="center"/>
    </xf>
    <xf numFmtId="4" fontId="6" fillId="0" borderId="20" xfId="22882" applyNumberFormat="1" applyFont="1" applyFill="1" applyBorder="1" applyAlignment="1">
      <alignment horizontal="center"/>
    </xf>
    <xf numFmtId="4" fontId="6" fillId="6" borderId="21" xfId="22882" applyNumberFormat="1" applyFont="1" applyFill="1" applyBorder="1" applyAlignment="1">
      <alignment horizontal="center"/>
    </xf>
    <xf numFmtId="17" fontId="7" fillId="23" borderId="6" xfId="0" applyNumberFormat="1" applyFont="1" applyFill="1" applyBorder="1"/>
    <xf numFmtId="2" fontId="6" fillId="6" borderId="12" xfId="0" applyNumberFormat="1" applyFont="1" applyFill="1" applyBorder="1" applyAlignment="1">
      <alignment horizontal="center"/>
    </xf>
    <xf numFmtId="2" fontId="0" fillId="11" borderId="20" xfId="0" applyNumberFormat="1" applyFont="1" applyFill="1" applyBorder="1" applyAlignment="1">
      <alignment horizontal="center"/>
    </xf>
    <xf numFmtId="0" fontId="115" fillId="0" borderId="0" xfId="1" applyFont="1" applyFill="1"/>
    <xf numFmtId="0" fontId="186" fillId="0" borderId="0" xfId="0" applyFont="1"/>
    <xf numFmtId="0" fontId="186" fillId="0" borderId="0" xfId="0" applyFont="1" applyAlignment="1">
      <alignment vertical="center"/>
    </xf>
    <xf numFmtId="0" fontId="186" fillId="0" borderId="0" xfId="0" applyFont="1" applyBorder="1" applyAlignment="1">
      <alignment vertical="center"/>
    </xf>
    <xf numFmtId="0" fontId="186" fillId="0" borderId="0" xfId="0" applyFont="1" applyFill="1" applyAlignment="1">
      <alignment vertical="center"/>
    </xf>
    <xf numFmtId="173" fontId="186" fillId="0" borderId="0" xfId="0" applyNumberFormat="1" applyFont="1"/>
    <xf numFmtId="179" fontId="2" fillId="0" borderId="0" xfId="2711" applyNumberFormat="1" applyFont="1"/>
    <xf numFmtId="170" fontId="2" fillId="0" borderId="0" xfId="6353" applyNumberFormat="1" applyFont="1"/>
    <xf numFmtId="0" fontId="5" fillId="26" borderId="0" xfId="0" applyFont="1" applyFill="1" applyBorder="1" applyAlignment="1" applyProtection="1">
      <alignment horizontal="center"/>
    </xf>
    <xf numFmtId="17" fontId="7" fillId="8" borderId="28" xfId="0" applyNumberFormat="1" applyFont="1" applyFill="1" applyBorder="1"/>
    <xf numFmtId="1" fontId="7" fillId="23" borderId="27" xfId="0" applyNumberFormat="1" applyFont="1" applyFill="1" applyBorder="1" applyAlignment="1">
      <alignment horizontal="center"/>
    </xf>
    <xf numFmtId="1" fontId="7" fillId="23" borderId="28" xfId="0" applyNumberFormat="1" applyFont="1" applyFill="1" applyBorder="1" applyAlignment="1">
      <alignment horizontal="center"/>
    </xf>
    <xf numFmtId="171" fontId="7" fillId="23" borderId="9" xfId="0" applyNumberFormat="1" applyFont="1" applyFill="1" applyBorder="1" applyAlignment="1">
      <alignment horizontal="center"/>
    </xf>
    <xf numFmtId="171" fontId="7" fillId="23" borderId="8" xfId="0" applyNumberFormat="1" applyFont="1" applyFill="1" applyBorder="1" applyAlignment="1">
      <alignment horizontal="center"/>
    </xf>
    <xf numFmtId="0" fontId="45" fillId="0" borderId="0" xfId="0" applyFont="1" applyFill="1" applyAlignment="1">
      <alignment vertical="center"/>
    </xf>
    <xf numFmtId="17" fontId="45" fillId="0" borderId="0" xfId="0" applyNumberFormat="1" applyFont="1" applyFill="1" applyAlignment="1">
      <alignment vertical="center"/>
    </xf>
    <xf numFmtId="165" fontId="45" fillId="0" borderId="0" xfId="0" applyNumberFormat="1" applyFont="1" applyFill="1"/>
    <xf numFmtId="0" fontId="5" fillId="0" borderId="0" xfId="0" applyFont="1" applyAlignment="1">
      <alignment horizontal="center"/>
    </xf>
    <xf numFmtId="0" fontId="5" fillId="0" borderId="0" xfId="0" applyFont="1" applyFill="1" applyAlignment="1">
      <alignment horizontal="center"/>
    </xf>
    <xf numFmtId="0" fontId="179" fillId="0" borderId="0" xfId="0" applyFont="1" applyAlignment="1"/>
    <xf numFmtId="0" fontId="152" fillId="0" borderId="0" xfId="0" applyFont="1" applyAlignment="1"/>
    <xf numFmtId="0" fontId="151" fillId="0" borderId="0" xfId="0" applyFont="1" applyAlignment="1"/>
    <xf numFmtId="0" fontId="89" fillId="0" borderId="0" xfId="0" applyFont="1" applyAlignment="1"/>
    <xf numFmtId="0" fontId="186" fillId="0" borderId="0" xfId="0" applyFont="1" applyAlignment="1"/>
    <xf numFmtId="0" fontId="45" fillId="0" borderId="0" xfId="0" applyFont="1" applyFill="1" applyAlignment="1"/>
    <xf numFmtId="0" fontId="183" fillId="0" borderId="0" xfId="0" applyFont="1" applyAlignment="1"/>
    <xf numFmtId="0" fontId="184" fillId="0" borderId="0" xfId="0" applyFont="1" applyAlignment="1"/>
    <xf numFmtId="4" fontId="6" fillId="53" borderId="0" xfId="0" applyNumberFormat="1" applyFont="1" applyFill="1" applyAlignment="1">
      <alignment horizontal="center" vertical="center"/>
    </xf>
    <xf numFmtId="4" fontId="5" fillId="2" borderId="0" xfId="0" applyNumberFormat="1" applyFont="1" applyFill="1" applyAlignment="1">
      <alignment horizontal="center" vertical="center"/>
    </xf>
    <xf numFmtId="4" fontId="5" fillId="0" borderId="0" xfId="0" applyNumberFormat="1" applyFont="1" applyFill="1" applyAlignment="1">
      <alignment horizontal="center" vertical="center"/>
    </xf>
    <xf numFmtId="4" fontId="0" fillId="53" borderId="0" xfId="0" applyNumberFormat="1" applyFont="1" applyFill="1" applyAlignment="1">
      <alignment horizontal="center" vertical="center"/>
    </xf>
    <xf numFmtId="4" fontId="0" fillId="2" borderId="0" xfId="0" applyNumberFormat="1" applyFill="1" applyAlignment="1">
      <alignment horizontal="center" vertical="center"/>
    </xf>
    <xf numFmtId="164" fontId="2" fillId="0" borderId="0" xfId="45610" applyNumberFormat="1" applyFont="1" applyFill="1" applyBorder="1" applyAlignment="1">
      <alignment horizontal="center"/>
    </xf>
    <xf numFmtId="164" fontId="2" fillId="0" borderId="7" xfId="45610" applyNumberFormat="1" applyFont="1" applyFill="1" applyBorder="1" applyAlignment="1">
      <alignment horizontal="center"/>
    </xf>
    <xf numFmtId="164" fontId="2" fillId="0" borderId="12" xfId="45610" applyNumberFormat="1" applyFont="1" applyFill="1" applyBorder="1" applyAlignment="1">
      <alignment horizontal="center"/>
    </xf>
    <xf numFmtId="164" fontId="2" fillId="51" borderId="0" xfId="45610" applyNumberFormat="1" applyFont="1" applyFill="1" applyBorder="1" applyAlignment="1">
      <alignment horizontal="center"/>
    </xf>
    <xf numFmtId="164" fontId="2" fillId="51" borderId="7" xfId="45610" applyNumberFormat="1" applyFont="1" applyFill="1" applyBorder="1" applyAlignment="1">
      <alignment horizontal="center"/>
    </xf>
    <xf numFmtId="164" fontId="2" fillId="51" borderId="12" xfId="45610" applyNumberFormat="1" applyFont="1" applyFill="1" applyBorder="1" applyAlignment="1">
      <alignment horizontal="center"/>
    </xf>
    <xf numFmtId="2" fontId="0" fillId="6" borderId="74" xfId="0" applyNumberFormat="1" applyFont="1" applyFill="1" applyBorder="1" applyAlignment="1">
      <alignment horizontal="center"/>
    </xf>
    <xf numFmtId="172" fontId="0" fillId="6" borderId="21" xfId="0" applyNumberFormat="1" applyFont="1" applyFill="1" applyBorder="1" applyAlignment="1">
      <alignment horizontal="center"/>
    </xf>
    <xf numFmtId="1" fontId="7" fillId="0" borderId="0" xfId="0" applyNumberFormat="1" applyFont="1" applyFill="1" applyBorder="1" applyAlignment="1">
      <alignment horizontal="right"/>
    </xf>
    <xf numFmtId="172" fontId="0" fillId="0" borderId="0" xfId="0" applyNumberFormat="1" applyFont="1" applyFill="1" applyBorder="1" applyAlignment="1">
      <alignment horizontal="center"/>
    </xf>
    <xf numFmtId="49" fontId="7" fillId="0" borderId="0" xfId="0" applyNumberFormat="1" applyFont="1" applyFill="1" applyBorder="1" applyAlignment="1">
      <alignment horizontal="right"/>
    </xf>
    <xf numFmtId="4" fontId="0" fillId="49" borderId="6" xfId="0" applyNumberFormat="1" applyFont="1" applyFill="1" applyBorder="1" applyAlignment="1">
      <alignment horizontal="center"/>
    </xf>
    <xf numFmtId="4" fontId="0" fillId="49" borderId="25" xfId="0" applyNumberFormat="1" applyFont="1" applyFill="1" applyBorder="1" applyAlignment="1">
      <alignment horizontal="center"/>
    </xf>
    <xf numFmtId="4" fontId="0" fillId="49" borderId="8" xfId="0" applyNumberFormat="1" applyFont="1" applyFill="1" applyBorder="1" applyAlignment="1">
      <alignment horizontal="center"/>
    </xf>
    <xf numFmtId="4" fontId="0" fillId="49" borderId="21" xfId="0" applyNumberFormat="1" applyFont="1" applyFill="1" applyBorder="1" applyAlignment="1">
      <alignment horizontal="center"/>
    </xf>
    <xf numFmtId="0" fontId="7" fillId="50" borderId="27" xfId="0" applyNumberFormat="1" applyFont="1" applyFill="1" applyBorder="1" applyAlignment="1">
      <alignment horizontal="right"/>
    </xf>
    <xf numFmtId="0" fontId="7" fillId="50" borderId="28" xfId="0" applyNumberFormat="1" applyFont="1" applyFill="1" applyBorder="1" applyAlignment="1">
      <alignment horizontal="right"/>
    </xf>
    <xf numFmtId="4" fontId="0" fillId="14" borderId="74" xfId="0" applyNumberFormat="1" applyFont="1" applyFill="1" applyBorder="1" applyAlignment="1">
      <alignment horizontal="center"/>
    </xf>
    <xf numFmtId="0" fontId="7" fillId="55" borderId="58" xfId="0" applyNumberFormat="1" applyFont="1" applyFill="1" applyBorder="1" applyAlignment="1">
      <alignment horizontal="center"/>
    </xf>
    <xf numFmtId="0" fontId="7" fillId="55" borderId="27" xfId="0" applyNumberFormat="1" applyFont="1" applyFill="1" applyBorder="1" applyAlignment="1">
      <alignment horizontal="center"/>
    </xf>
    <xf numFmtId="0" fontId="7" fillId="55" borderId="28" xfId="0" applyNumberFormat="1" applyFont="1" applyFill="1" applyBorder="1" applyAlignment="1">
      <alignment horizontal="center" wrapText="1"/>
    </xf>
    <xf numFmtId="4" fontId="0" fillId="13" borderId="74" xfId="0" applyNumberFormat="1" applyFont="1" applyFill="1" applyBorder="1" applyAlignment="1">
      <alignment horizontal="center"/>
    </xf>
    <xf numFmtId="4" fontId="0" fillId="3" borderId="74" xfId="0" applyNumberFormat="1" applyFont="1" applyFill="1" applyBorder="1" applyAlignment="1">
      <alignment horizontal="center"/>
    </xf>
    <xf numFmtId="0" fontId="7" fillId="16" borderId="27" xfId="0" applyNumberFormat="1" applyFont="1" applyFill="1" applyBorder="1" applyAlignment="1">
      <alignment horizontal="right"/>
    </xf>
    <xf numFmtId="2" fontId="0" fillId="10" borderId="74" xfId="0" applyNumberFormat="1" applyFont="1" applyFill="1" applyBorder="1" applyAlignment="1">
      <alignment horizontal="center"/>
    </xf>
    <xf numFmtId="0" fontId="7" fillId="9" borderId="27" xfId="0" applyNumberFormat="1" applyFont="1" applyFill="1" applyBorder="1" applyAlignment="1">
      <alignment horizontal="right"/>
    </xf>
    <xf numFmtId="0" fontId="7" fillId="9" borderId="28" xfId="0" applyNumberFormat="1" applyFont="1" applyFill="1" applyBorder="1" applyAlignment="1">
      <alignment horizontal="right"/>
    </xf>
    <xf numFmtId="0" fontId="9" fillId="2" borderId="0" xfId="0" applyFont="1" applyFill="1" applyBorder="1" applyAlignment="1" applyProtection="1">
      <alignment horizontal="center"/>
    </xf>
    <xf numFmtId="0" fontId="5" fillId="2" borderId="0" xfId="0" applyFont="1" applyFill="1" applyBorder="1" applyAlignment="1" applyProtection="1">
      <alignment horizontal="center"/>
    </xf>
    <xf numFmtId="3" fontId="8" fillId="0" borderId="0" xfId="0" applyNumberFormat="1" applyFont="1" applyFill="1" applyBorder="1" applyAlignment="1">
      <alignment horizontal="right"/>
    </xf>
    <xf numFmtId="0" fontId="7" fillId="57" borderId="27" xfId="0" applyNumberFormat="1" applyFont="1" applyFill="1" applyBorder="1" applyAlignment="1">
      <alignment horizontal="right"/>
    </xf>
    <xf numFmtId="0" fontId="7" fillId="57" borderId="28" xfId="0" applyNumberFormat="1" applyFont="1" applyFill="1" applyBorder="1" applyAlignment="1">
      <alignment horizontal="right"/>
    </xf>
    <xf numFmtId="4" fontId="0" fillId="58" borderId="74" xfId="0" applyNumberFormat="1" applyFont="1" applyFill="1" applyBorder="1" applyAlignment="1">
      <alignment horizontal="center"/>
    </xf>
    <xf numFmtId="4" fontId="0" fillId="2" borderId="74" xfId="0" applyNumberFormat="1" applyFont="1" applyFill="1" applyBorder="1" applyAlignment="1">
      <alignment horizontal="center"/>
    </xf>
    <xf numFmtId="0" fontId="7" fillId="23" borderId="27" xfId="0" applyNumberFormat="1" applyFont="1" applyFill="1" applyBorder="1" applyAlignment="1">
      <alignment horizontal="right"/>
    </xf>
    <xf numFmtId="0" fontId="7" fillId="23" borderId="28" xfId="0" applyNumberFormat="1" applyFont="1" applyFill="1" applyBorder="1" applyAlignment="1">
      <alignment horizontal="right"/>
    </xf>
    <xf numFmtId="0" fontId="7" fillId="23" borderId="1" xfId="0" applyNumberFormat="1" applyFont="1" applyFill="1" applyBorder="1" applyAlignment="1">
      <alignment horizontal="right"/>
    </xf>
    <xf numFmtId="0" fontId="7" fillId="23" borderId="3" xfId="0" applyNumberFormat="1" applyFont="1" applyFill="1" applyBorder="1" applyAlignment="1">
      <alignment horizontal="right"/>
    </xf>
    <xf numFmtId="0" fontId="0" fillId="0" borderId="0" xfId="0" applyFont="1" applyAlignment="1">
      <alignment vertical="top"/>
    </xf>
    <xf numFmtId="4" fontId="0" fillId="6" borderId="8" xfId="0" applyNumberFormat="1" applyFont="1" applyFill="1" applyBorder="1" applyAlignment="1">
      <alignment horizontal="center"/>
    </xf>
    <xf numFmtId="4" fontId="0" fillId="6" borderId="21" xfId="0" applyNumberFormat="1" applyFont="1" applyFill="1" applyBorder="1" applyAlignment="1">
      <alignment horizontal="center"/>
    </xf>
    <xf numFmtId="4" fontId="6" fillId="136" borderId="7" xfId="0" applyNumberFormat="1" applyFont="1" applyFill="1" applyBorder="1" applyAlignment="1">
      <alignment horizontal="center"/>
    </xf>
    <xf numFmtId="4" fontId="6" fillId="136" borderId="2" xfId="0" applyNumberFormat="1" applyFont="1" applyFill="1" applyBorder="1" applyAlignment="1">
      <alignment horizontal="center"/>
    </xf>
    <xf numFmtId="4" fontId="0" fillId="3" borderId="12" xfId="0" applyNumberFormat="1" applyFont="1" applyFill="1" applyBorder="1" applyAlignment="1">
      <alignment horizontal="center"/>
    </xf>
    <xf numFmtId="4" fontId="0" fillId="3" borderId="20" xfId="0" applyNumberFormat="1" applyFont="1" applyFill="1" applyBorder="1" applyAlignment="1">
      <alignment horizontal="center"/>
    </xf>
    <xf numFmtId="4" fontId="0" fillId="10" borderId="8" xfId="0" applyNumberFormat="1" applyFont="1" applyFill="1" applyBorder="1" applyAlignment="1">
      <alignment horizontal="center"/>
    </xf>
    <xf numFmtId="4" fontId="0" fillId="10" borderId="21" xfId="0" applyNumberFormat="1" applyFont="1" applyFill="1" applyBorder="1" applyAlignment="1">
      <alignment horizontal="center"/>
    </xf>
    <xf numFmtId="4" fontId="6" fillId="2" borderId="25" xfId="0" applyNumberFormat="1" applyFont="1" applyFill="1" applyBorder="1" applyAlignment="1">
      <alignment horizontal="center"/>
    </xf>
    <xf numFmtId="0" fontId="160" fillId="0" borderId="0" xfId="0" applyFont="1" applyAlignment="1">
      <alignment vertical="center"/>
    </xf>
    <xf numFmtId="2" fontId="6" fillId="6" borderId="25" xfId="0" applyNumberFormat="1" applyFont="1" applyFill="1" applyBorder="1" applyAlignment="1">
      <alignment horizontal="center"/>
    </xf>
    <xf numFmtId="2" fontId="6" fillId="6" borderId="21" xfId="0" applyNumberFormat="1" applyFont="1" applyFill="1" applyBorder="1" applyAlignment="1">
      <alignment horizontal="center"/>
    </xf>
    <xf numFmtId="4" fontId="6" fillId="49" borderId="25" xfId="0" applyNumberFormat="1" applyFont="1" applyFill="1" applyBorder="1" applyAlignment="1">
      <alignment horizontal="center"/>
    </xf>
    <xf numFmtId="4" fontId="6" fillId="49" borderId="21" xfId="0" applyNumberFormat="1" applyFont="1" applyFill="1" applyBorder="1" applyAlignment="1">
      <alignment horizontal="center"/>
    </xf>
    <xf numFmtId="4" fontId="0" fillId="14" borderId="9" xfId="0" applyNumberFormat="1" applyFont="1" applyFill="1" applyBorder="1" applyAlignment="1">
      <alignment horizontal="center"/>
    </xf>
    <xf numFmtId="4" fontId="0" fillId="0" borderId="5" xfId="0" applyNumberFormat="1" applyFont="1" applyFill="1" applyBorder="1" applyAlignment="1">
      <alignment horizontal="center"/>
    </xf>
    <xf numFmtId="173" fontId="6" fillId="0" borderId="5" xfId="0" applyNumberFormat="1" applyFont="1" applyFill="1" applyBorder="1" applyAlignment="1">
      <alignment horizontal="center"/>
    </xf>
    <xf numFmtId="4" fontId="0" fillId="10" borderId="20" xfId="0" applyNumberFormat="1" applyFont="1" applyFill="1" applyBorder="1" applyAlignment="1">
      <alignment horizontal="center"/>
    </xf>
    <xf numFmtId="4" fontId="0" fillId="0" borderId="6" xfId="0" applyNumberFormat="1" applyFont="1" applyFill="1" applyBorder="1" applyAlignment="1">
      <alignment horizontal="center"/>
    </xf>
    <xf numFmtId="0" fontId="83" fillId="0" borderId="0" xfId="0" applyFont="1" applyAlignment="1">
      <alignment vertical="center"/>
    </xf>
    <xf numFmtId="3" fontId="0" fillId="14" borderId="9" xfId="0" applyNumberFormat="1" applyFill="1" applyBorder="1" applyAlignment="1">
      <alignment horizontal="center"/>
    </xf>
    <xf numFmtId="3" fontId="0" fillId="7" borderId="9" xfId="0" applyNumberFormat="1" applyFill="1" applyBorder="1" applyAlignment="1">
      <alignment horizontal="center"/>
    </xf>
    <xf numFmtId="3" fontId="0" fillId="0" borderId="9" xfId="0" applyNumberFormat="1" applyFill="1" applyBorder="1" applyAlignment="1">
      <alignment horizontal="center"/>
    </xf>
    <xf numFmtId="3" fontId="0" fillId="6" borderId="9" xfId="0" applyNumberFormat="1" applyFill="1" applyBorder="1" applyAlignment="1">
      <alignment horizontal="center"/>
    </xf>
    <xf numFmtId="3" fontId="0" fillId="49" borderId="9" xfId="0" applyNumberFormat="1" applyFont="1" applyFill="1" applyBorder="1" applyAlignment="1">
      <alignment horizontal="center"/>
    </xf>
    <xf numFmtId="3" fontId="0" fillId="0" borderId="9" xfId="0" applyNumberFormat="1" applyFont="1" applyFill="1" applyBorder="1" applyAlignment="1">
      <alignment horizontal="center"/>
    </xf>
    <xf numFmtId="3" fontId="0" fillId="49" borderId="12" xfId="0" applyNumberFormat="1" applyFont="1" applyFill="1" applyBorder="1" applyAlignment="1">
      <alignment horizontal="center"/>
    </xf>
    <xf numFmtId="3" fontId="0" fillId="13" borderId="9" xfId="0" applyNumberFormat="1" applyFill="1" applyBorder="1" applyAlignment="1">
      <alignment horizontal="center"/>
    </xf>
    <xf numFmtId="3" fontId="5" fillId="7" borderId="13" xfId="0" applyNumberFormat="1" applyFont="1" applyFill="1" applyBorder="1" applyAlignment="1">
      <alignment horizontal="center"/>
    </xf>
    <xf numFmtId="3" fontId="5" fillId="7" borderId="80" xfId="0" applyNumberFormat="1" applyFont="1" applyFill="1" applyBorder="1" applyAlignment="1">
      <alignment horizontal="center"/>
    </xf>
    <xf numFmtId="3" fontId="0" fillId="0" borderId="13" xfId="0" applyNumberFormat="1" applyFont="1" applyBorder="1" applyAlignment="1">
      <alignment horizontal="center"/>
    </xf>
    <xf numFmtId="3" fontId="0" fillId="51" borderId="9" xfId="0" applyNumberFormat="1" applyFill="1" applyBorder="1" applyAlignment="1">
      <alignment horizontal="center"/>
    </xf>
    <xf numFmtId="3" fontId="0" fillId="3" borderId="9" xfId="0" applyNumberFormat="1" applyFill="1" applyBorder="1" applyAlignment="1">
      <alignment horizontal="center"/>
    </xf>
    <xf numFmtId="3" fontId="0" fillId="10" borderId="9" xfId="0" applyNumberFormat="1" applyFill="1" applyBorder="1" applyAlignment="1">
      <alignment horizontal="center"/>
    </xf>
    <xf numFmtId="3" fontId="0" fillId="2" borderId="9" xfId="0" applyNumberFormat="1" applyFill="1" applyBorder="1" applyAlignment="1">
      <alignment horizontal="center"/>
    </xf>
    <xf numFmtId="3" fontId="0" fillId="2" borderId="77" xfId="0" applyNumberFormat="1" applyFont="1" applyFill="1" applyBorder="1" applyAlignment="1">
      <alignment horizontal="center"/>
    </xf>
    <xf numFmtId="3" fontId="0" fillId="2" borderId="78" xfId="0" applyNumberFormat="1" applyFont="1" applyFill="1" applyBorder="1" applyAlignment="1">
      <alignment horizontal="center"/>
    </xf>
    <xf numFmtId="3" fontId="0" fillId="0" borderId="20" xfId="0" applyNumberFormat="1" applyFont="1" applyFill="1" applyBorder="1" applyAlignment="1">
      <alignment horizontal="center"/>
    </xf>
    <xf numFmtId="3" fontId="0" fillId="2" borderId="9" xfId="0" applyNumberFormat="1" applyFont="1" applyFill="1" applyBorder="1" applyAlignment="1">
      <alignment horizontal="center"/>
    </xf>
    <xf numFmtId="3" fontId="0" fillId="2" borderId="20" xfId="0" applyNumberFormat="1" applyFont="1" applyFill="1" applyBorder="1" applyAlignment="1">
      <alignment horizontal="center"/>
    </xf>
    <xf numFmtId="3" fontId="0" fillId="24" borderId="9" xfId="0" applyNumberFormat="1" applyFont="1" applyFill="1" applyBorder="1" applyAlignment="1">
      <alignment horizontal="center"/>
    </xf>
    <xf numFmtId="3" fontId="0" fillId="24" borderId="20" xfId="0" applyNumberFormat="1" applyFont="1" applyFill="1" applyBorder="1" applyAlignment="1">
      <alignment horizontal="center"/>
    </xf>
    <xf numFmtId="3" fontId="0" fillId="0" borderId="9" xfId="0" applyNumberFormat="1" applyFont="1" applyBorder="1" applyAlignment="1">
      <alignment horizontal="center"/>
    </xf>
    <xf numFmtId="3" fontId="0" fillId="0" borderId="20" xfId="0" applyNumberFormat="1" applyFont="1" applyBorder="1" applyAlignment="1">
      <alignment horizontal="center"/>
    </xf>
    <xf numFmtId="3" fontId="0" fillId="0" borderId="8" xfId="0" applyNumberFormat="1" applyFont="1" applyBorder="1" applyAlignment="1">
      <alignment horizontal="center"/>
    </xf>
    <xf numFmtId="3" fontId="0" fillId="0" borderId="21" xfId="0" applyNumberFormat="1" applyFont="1" applyBorder="1" applyAlignment="1">
      <alignment horizontal="center"/>
    </xf>
    <xf numFmtId="0" fontId="11" fillId="0" borderId="0" xfId="0" applyFont="1" applyFill="1" applyBorder="1" applyAlignment="1">
      <alignment vertical="center"/>
    </xf>
    <xf numFmtId="180" fontId="11" fillId="0" borderId="0" xfId="0" applyNumberFormat="1" applyFont="1" applyFill="1" applyBorder="1" applyAlignment="1">
      <alignment vertical="center"/>
    </xf>
    <xf numFmtId="9" fontId="11" fillId="0" borderId="0" xfId="90" applyFont="1" applyFill="1" applyBorder="1" applyAlignment="1">
      <alignment vertical="center"/>
    </xf>
    <xf numFmtId="0" fontId="11" fillId="0" borderId="0" xfId="0" applyFont="1" applyFill="1" applyBorder="1" applyAlignment="1">
      <alignment horizontal="right" vertical="center"/>
    </xf>
    <xf numFmtId="0" fontId="11" fillId="0" borderId="0" xfId="6422" applyFont="1" applyFill="1" applyBorder="1" applyAlignment="1">
      <alignment vertical="center"/>
    </xf>
    <xf numFmtId="0" fontId="11" fillId="0" borderId="0" xfId="6422" applyFont="1" applyFill="1" applyBorder="1" applyAlignment="1">
      <alignment horizontal="right" vertical="center"/>
    </xf>
    <xf numFmtId="0" fontId="11" fillId="0" borderId="0" xfId="6416" applyFont="1" applyFill="1" applyBorder="1" applyAlignment="1">
      <alignment vertical="center"/>
    </xf>
    <xf numFmtId="180" fontId="11" fillId="0" borderId="0" xfId="6416" applyNumberFormat="1" applyFont="1" applyFill="1" applyBorder="1" applyAlignment="1">
      <alignment vertical="center"/>
    </xf>
    <xf numFmtId="0" fontId="11" fillId="0" borderId="0" xfId="6414" applyFont="1" applyFill="1" applyBorder="1" applyAlignment="1">
      <alignment vertical="center"/>
    </xf>
    <xf numFmtId="180" fontId="11" fillId="0" borderId="0" xfId="6414" applyNumberFormat="1" applyFont="1" applyFill="1" applyBorder="1" applyAlignment="1">
      <alignment vertical="center"/>
    </xf>
    <xf numFmtId="0" fontId="11" fillId="0" borderId="0" xfId="6407" applyFont="1" applyFill="1" applyBorder="1" applyAlignment="1">
      <alignment vertical="center"/>
    </xf>
    <xf numFmtId="180" fontId="11" fillId="0" borderId="0" xfId="6407" applyNumberFormat="1" applyFont="1" applyFill="1" applyBorder="1" applyAlignment="1">
      <alignment vertical="center"/>
    </xf>
    <xf numFmtId="0" fontId="11" fillId="0" borderId="0" xfId="6408" applyFont="1" applyFill="1" applyBorder="1" applyAlignment="1">
      <alignment vertical="center"/>
    </xf>
    <xf numFmtId="180" fontId="11" fillId="0" borderId="0" xfId="6408" applyNumberFormat="1" applyFont="1" applyFill="1" applyBorder="1" applyAlignment="1">
      <alignment vertical="center"/>
    </xf>
    <xf numFmtId="0" fontId="11" fillId="0" borderId="0" xfId="6405" applyFont="1" applyFill="1" applyBorder="1" applyAlignment="1">
      <alignment vertical="center"/>
    </xf>
    <xf numFmtId="180" fontId="11" fillId="0" borderId="0" xfId="6405" applyNumberFormat="1" applyFont="1" applyFill="1" applyBorder="1" applyAlignment="1">
      <alignment vertical="center"/>
    </xf>
    <xf numFmtId="0" fontId="11" fillId="0" borderId="0" xfId="6419" applyFont="1" applyFill="1" applyBorder="1" applyAlignment="1">
      <alignment vertical="center"/>
    </xf>
    <xf numFmtId="180" fontId="11" fillId="0" borderId="0" xfId="6419" applyNumberFormat="1" applyFont="1" applyFill="1" applyBorder="1" applyAlignment="1">
      <alignment vertical="center"/>
    </xf>
    <xf numFmtId="0" fontId="11" fillId="0" borderId="0" xfId="6422" applyFont="1" applyFill="1" applyBorder="1"/>
    <xf numFmtId="0" fontId="11" fillId="0" borderId="0" xfId="0" applyFont="1" applyFill="1" applyBorder="1" applyAlignment="1">
      <alignment horizontal="right"/>
    </xf>
    <xf numFmtId="180" fontId="11" fillId="0" borderId="0" xfId="0" applyNumberFormat="1" applyFont="1" applyFill="1" applyBorder="1"/>
    <xf numFmtId="9" fontId="11" fillId="0" borderId="0" xfId="90" applyFont="1" applyFill="1" applyBorder="1"/>
    <xf numFmtId="0" fontId="11" fillId="0" borderId="0" xfId="6419" applyFont="1" applyFill="1" applyBorder="1"/>
    <xf numFmtId="173" fontId="11" fillId="0" borderId="0" xfId="0" applyNumberFormat="1" applyFont="1" applyFill="1" applyBorder="1"/>
    <xf numFmtId="180" fontId="11" fillId="0" borderId="0" xfId="42" applyNumberFormat="1" applyFont="1" applyFill="1" applyBorder="1"/>
    <xf numFmtId="180" fontId="11" fillId="0" borderId="0" xfId="0" applyNumberFormat="1" applyFont="1" applyFill="1" applyBorder="1" applyAlignment="1">
      <alignment horizontal="right"/>
    </xf>
    <xf numFmtId="164" fontId="2" fillId="51" borderId="0" xfId="45610" applyNumberFormat="1" applyFont="1" applyFill="1" applyBorder="1" applyAlignment="1">
      <alignment horizontal="right"/>
    </xf>
    <xf numFmtId="164" fontId="2" fillId="51" borderId="7" xfId="45610" applyNumberFormat="1" applyFont="1" applyFill="1" applyBorder="1" applyAlignment="1">
      <alignment horizontal="right"/>
    </xf>
    <xf numFmtId="164" fontId="2" fillId="51" borderId="12" xfId="45610" applyNumberFormat="1" applyFont="1" applyFill="1" applyBorder="1" applyAlignment="1">
      <alignment horizontal="right"/>
    </xf>
    <xf numFmtId="3" fontId="0" fillId="0" borderId="0" xfId="0" applyNumberFormat="1" applyFill="1" applyBorder="1"/>
    <xf numFmtId="180" fontId="11" fillId="0" borderId="0" xfId="0" applyNumberFormat="1" applyFont="1" applyFill="1"/>
    <xf numFmtId="9" fontId="11" fillId="0" borderId="0" xfId="90" applyFont="1" applyFill="1"/>
    <xf numFmtId="0" fontId="11" fillId="0" borderId="0" xfId="0" applyFont="1" applyFill="1" applyAlignment="1"/>
    <xf numFmtId="0" fontId="7" fillId="0" borderId="0" xfId="0" applyFont="1" applyFill="1"/>
    <xf numFmtId="180" fontId="7" fillId="0" borderId="0" xfId="0" applyNumberFormat="1" applyFont="1" applyFill="1"/>
    <xf numFmtId="0" fontId="7" fillId="0" borderId="0" xfId="0" applyFont="1" applyFill="1" applyAlignment="1">
      <alignment horizontal="right" vertical="center"/>
    </xf>
    <xf numFmtId="0" fontId="7" fillId="0" borderId="0" xfId="0" applyFont="1" applyFill="1" applyAlignment="1">
      <alignment horizontal="right"/>
    </xf>
    <xf numFmtId="180" fontId="7" fillId="0" borderId="0" xfId="0" applyNumberFormat="1" applyFont="1" applyFill="1" applyAlignment="1">
      <alignment horizontal="center"/>
    </xf>
    <xf numFmtId="9" fontId="7" fillId="0" borderId="0" xfId="90" applyFont="1" applyFill="1"/>
    <xf numFmtId="0" fontId="11" fillId="0" borderId="0" xfId="0" applyFont="1" applyFill="1" applyAlignment="1">
      <alignment vertical="center"/>
    </xf>
    <xf numFmtId="0" fontId="11" fillId="0" borderId="0" xfId="0" applyFont="1" applyFill="1" applyAlignment="1">
      <alignment horizontal="right" vertical="center"/>
    </xf>
    <xf numFmtId="0" fontId="11" fillId="0" borderId="0" xfId="6400" applyFont="1" applyFill="1" applyBorder="1" applyAlignment="1">
      <alignment vertical="center"/>
    </xf>
    <xf numFmtId="0" fontId="11" fillId="0" borderId="0" xfId="6400" applyFont="1" applyFill="1" applyBorder="1" applyAlignment="1">
      <alignment horizontal="right" vertical="center"/>
    </xf>
    <xf numFmtId="180" fontId="11" fillId="0" borderId="0" xfId="6400" applyNumberFormat="1" applyFont="1" applyFill="1" applyBorder="1" applyAlignment="1">
      <alignment vertical="center"/>
    </xf>
    <xf numFmtId="0" fontId="11" fillId="0" borderId="0" xfId="6397" applyFont="1" applyFill="1" applyBorder="1" applyAlignment="1">
      <alignment vertical="center"/>
    </xf>
    <xf numFmtId="0" fontId="11" fillId="0" borderId="0" xfId="6397" applyFont="1" applyFill="1" applyBorder="1" applyAlignment="1">
      <alignment horizontal="right" vertical="center"/>
    </xf>
    <xf numFmtId="180" fontId="11" fillId="0" borderId="0" xfId="6397" applyNumberFormat="1" applyFont="1" applyFill="1" applyBorder="1" applyAlignment="1">
      <alignment vertical="center"/>
    </xf>
    <xf numFmtId="0" fontId="11" fillId="0" borderId="0" xfId="6398" applyFont="1" applyFill="1" applyBorder="1" applyAlignment="1">
      <alignment vertical="center"/>
    </xf>
    <xf numFmtId="0" fontId="11" fillId="0" borderId="0" xfId="6398" applyFont="1" applyFill="1" applyBorder="1" applyAlignment="1">
      <alignment horizontal="right" vertical="center"/>
    </xf>
    <xf numFmtId="180" fontId="11" fillId="0" borderId="0" xfId="6398" applyNumberFormat="1" applyFont="1" applyFill="1" applyBorder="1" applyAlignment="1">
      <alignment vertical="center"/>
    </xf>
    <xf numFmtId="0" fontId="11" fillId="0" borderId="0" xfId="6399" applyFont="1" applyFill="1" applyBorder="1" applyAlignment="1">
      <alignment vertical="center"/>
    </xf>
    <xf numFmtId="0" fontId="11" fillId="0" borderId="0" xfId="6399" applyFont="1" applyFill="1" applyBorder="1" applyAlignment="1">
      <alignment horizontal="right" vertical="center"/>
    </xf>
    <xf numFmtId="180" fontId="11" fillId="0" borderId="0" xfId="6399" applyNumberFormat="1" applyFont="1" applyFill="1" applyBorder="1" applyAlignment="1">
      <alignment vertical="center"/>
    </xf>
    <xf numFmtId="0" fontId="11" fillId="0" borderId="0" xfId="6395" applyFont="1" applyFill="1" applyBorder="1" applyAlignment="1">
      <alignment vertical="center"/>
    </xf>
    <xf numFmtId="0" fontId="11" fillId="0" borderId="0" xfId="6395" applyFont="1" applyFill="1" applyBorder="1" applyAlignment="1">
      <alignment horizontal="right" vertical="center"/>
    </xf>
    <xf numFmtId="180" fontId="11" fillId="0" borderId="0" xfId="6395" applyNumberFormat="1" applyFont="1" applyFill="1" applyBorder="1" applyAlignment="1">
      <alignment vertical="center"/>
    </xf>
    <xf numFmtId="0" fontId="11" fillId="0" borderId="0" xfId="6411" applyFont="1" applyFill="1" applyBorder="1" applyAlignment="1">
      <alignment vertical="center"/>
    </xf>
    <xf numFmtId="0" fontId="11" fillId="0" borderId="0" xfId="6411" applyFont="1" applyFill="1" applyBorder="1" applyAlignment="1">
      <alignment horizontal="right" vertical="center"/>
    </xf>
    <xf numFmtId="180" fontId="11" fillId="0" borderId="0" xfId="6411" applyNumberFormat="1" applyFont="1" applyFill="1" applyBorder="1" applyAlignment="1">
      <alignment vertical="center"/>
    </xf>
    <xf numFmtId="0" fontId="11" fillId="0" borderId="0" xfId="6418" applyFont="1" applyFill="1" applyBorder="1" applyAlignment="1">
      <alignment vertical="center"/>
    </xf>
    <xf numFmtId="0" fontId="11" fillId="0" borderId="0" xfId="6418" applyFont="1" applyFill="1" applyBorder="1" applyAlignment="1">
      <alignment horizontal="right" vertical="center"/>
    </xf>
    <xf numFmtId="180" fontId="11" fillId="0" borderId="0" xfId="6418" applyNumberFormat="1" applyFont="1" applyFill="1" applyBorder="1" applyAlignment="1">
      <alignment vertical="center"/>
    </xf>
    <xf numFmtId="0" fontId="11" fillId="0" borderId="0" xfId="6410" applyFont="1" applyFill="1" applyBorder="1" applyAlignment="1">
      <alignment vertical="center"/>
    </xf>
    <xf numFmtId="0" fontId="11" fillId="0" borderId="0" xfId="6410" applyFont="1" applyFill="1" applyBorder="1" applyAlignment="1">
      <alignment horizontal="right" vertical="center"/>
    </xf>
    <xf numFmtId="180" fontId="11" fillId="0" borderId="0" xfId="6410" applyNumberFormat="1" applyFont="1" applyFill="1" applyBorder="1" applyAlignment="1">
      <alignment vertical="center"/>
    </xf>
    <xf numFmtId="0" fontId="11" fillId="0" borderId="0" xfId="6417" applyFont="1" applyFill="1" applyBorder="1" applyAlignment="1">
      <alignment vertical="center"/>
    </xf>
    <xf numFmtId="0" fontId="11" fillId="0" borderId="0" xfId="6417" applyFont="1" applyFill="1" applyBorder="1" applyAlignment="1">
      <alignment horizontal="right" vertical="center"/>
    </xf>
    <xf numFmtId="180" fontId="11" fillId="0" borderId="0" xfId="6417" applyNumberFormat="1" applyFont="1" applyFill="1" applyBorder="1" applyAlignment="1">
      <alignment vertical="center"/>
    </xf>
    <xf numFmtId="0" fontId="11" fillId="0" borderId="0" xfId="6409" applyFont="1" applyFill="1" applyBorder="1" applyAlignment="1">
      <alignment vertical="center"/>
    </xf>
    <xf numFmtId="0" fontId="11" fillId="0" borderId="0" xfId="6409" applyFont="1" applyFill="1" applyBorder="1" applyAlignment="1">
      <alignment horizontal="right" vertical="center"/>
    </xf>
    <xf numFmtId="180" fontId="11" fillId="0" borderId="0" xfId="6409" applyNumberFormat="1" applyFont="1" applyFill="1" applyBorder="1" applyAlignment="1">
      <alignment vertical="center"/>
    </xf>
    <xf numFmtId="0" fontId="11" fillId="0" borderId="0" xfId="6412" applyFont="1" applyFill="1" applyBorder="1" applyAlignment="1">
      <alignment vertical="center"/>
    </xf>
    <xf numFmtId="0" fontId="11" fillId="0" borderId="0" xfId="6412" applyFont="1" applyFill="1" applyBorder="1" applyAlignment="1">
      <alignment horizontal="right" vertical="center"/>
    </xf>
    <xf numFmtId="180" fontId="11" fillId="0" borderId="0" xfId="6412" applyNumberFormat="1" applyFont="1" applyFill="1" applyBorder="1" applyAlignment="1">
      <alignment vertical="center"/>
    </xf>
    <xf numFmtId="0" fontId="11" fillId="0" borderId="0" xfId="6394" applyFont="1" applyFill="1" applyBorder="1" applyAlignment="1">
      <alignment vertical="center"/>
    </xf>
    <xf numFmtId="0" fontId="11" fillId="0" borderId="0" xfId="6394" applyFont="1" applyFill="1" applyBorder="1" applyAlignment="1">
      <alignment horizontal="right" vertical="center"/>
    </xf>
    <xf numFmtId="180" fontId="11" fillId="0" borderId="0" xfId="6394" applyNumberFormat="1" applyFont="1" applyFill="1" applyBorder="1" applyAlignment="1">
      <alignment vertical="center"/>
    </xf>
    <xf numFmtId="0" fontId="11" fillId="0" borderId="0" xfId="6392" applyFont="1" applyFill="1" applyBorder="1" applyAlignment="1">
      <alignment vertical="center"/>
    </xf>
    <xf numFmtId="180" fontId="11" fillId="0" borderId="0" xfId="6392" applyNumberFormat="1" applyFont="1" applyFill="1" applyBorder="1" applyAlignment="1">
      <alignment vertical="center"/>
    </xf>
    <xf numFmtId="0" fontId="11" fillId="0" borderId="0" xfId="6415" applyFont="1" applyFill="1" applyBorder="1" applyAlignment="1">
      <alignment vertical="center"/>
    </xf>
    <xf numFmtId="0" fontId="11" fillId="0" borderId="0" xfId="6415" applyFont="1" applyFill="1" applyBorder="1" applyAlignment="1">
      <alignment horizontal="right" vertical="center"/>
    </xf>
    <xf numFmtId="180" fontId="11" fillId="0" borderId="0" xfId="6415" applyNumberFormat="1" applyFont="1" applyFill="1" applyBorder="1" applyAlignment="1">
      <alignment vertical="center"/>
    </xf>
    <xf numFmtId="0" fontId="11" fillId="0" borderId="0" xfId="6403" applyFont="1" applyFill="1" applyBorder="1" applyAlignment="1">
      <alignment vertical="center"/>
    </xf>
    <xf numFmtId="180" fontId="11" fillId="0" borderId="0" xfId="6403" applyNumberFormat="1" applyFont="1" applyFill="1" applyBorder="1" applyAlignment="1">
      <alignment vertical="center"/>
    </xf>
    <xf numFmtId="180" fontId="11" fillId="0" borderId="0" xfId="6422" applyNumberFormat="1" applyFont="1" applyFill="1" applyBorder="1" applyAlignment="1">
      <alignment vertical="center"/>
    </xf>
    <xf numFmtId="0" fontId="11" fillId="0" borderId="0" xfId="6396" applyFont="1" applyFill="1" applyBorder="1" applyAlignment="1">
      <alignment vertical="center"/>
    </xf>
    <xf numFmtId="180" fontId="11" fillId="0" borderId="0" xfId="6396" applyNumberFormat="1" applyFont="1" applyFill="1" applyBorder="1" applyAlignment="1">
      <alignment vertical="center"/>
    </xf>
    <xf numFmtId="0" fontId="11" fillId="0" borderId="0" xfId="6402" applyFont="1" applyFill="1" applyBorder="1" applyAlignment="1">
      <alignment vertical="center"/>
    </xf>
    <xf numFmtId="180" fontId="11" fillId="0" borderId="0" xfId="6402" applyNumberFormat="1" applyFont="1" applyFill="1" applyBorder="1" applyAlignment="1">
      <alignment vertical="center"/>
    </xf>
    <xf numFmtId="0" fontId="11" fillId="0" borderId="0" xfId="6393" applyFont="1" applyFill="1" applyBorder="1" applyAlignment="1">
      <alignment vertical="center"/>
    </xf>
    <xf numFmtId="180" fontId="11" fillId="0" borderId="0" xfId="6393" applyNumberFormat="1" applyFont="1" applyFill="1" applyBorder="1" applyAlignment="1">
      <alignment vertical="center"/>
    </xf>
    <xf numFmtId="0" fontId="11" fillId="0" borderId="0" xfId="6413" applyFont="1" applyFill="1" applyBorder="1" applyAlignment="1">
      <alignment vertical="center"/>
    </xf>
    <xf numFmtId="180" fontId="11" fillId="0" borderId="0" xfId="6413" applyNumberFormat="1" applyFont="1" applyFill="1" applyBorder="1" applyAlignment="1">
      <alignment vertical="center"/>
    </xf>
    <xf numFmtId="0" fontId="11" fillId="0" borderId="0" xfId="6421" applyFont="1" applyFill="1" applyBorder="1" applyAlignment="1">
      <alignment vertical="center"/>
    </xf>
    <xf numFmtId="180" fontId="11" fillId="0" borderId="0" xfId="6421" applyNumberFormat="1" applyFont="1" applyFill="1" applyBorder="1" applyAlignment="1">
      <alignment vertical="center"/>
    </xf>
    <xf numFmtId="0" fontId="11" fillId="0" borderId="0" xfId="6420" applyFont="1" applyFill="1" applyBorder="1" applyAlignment="1">
      <alignment vertical="center"/>
    </xf>
    <xf numFmtId="180" fontId="11" fillId="0" borderId="0" xfId="6420" applyNumberFormat="1" applyFont="1" applyFill="1" applyBorder="1" applyAlignment="1">
      <alignment vertical="center"/>
    </xf>
    <xf numFmtId="165" fontId="11" fillId="0" borderId="0" xfId="0" applyNumberFormat="1" applyFont="1" applyFill="1" applyBorder="1"/>
    <xf numFmtId="180" fontId="11" fillId="0" borderId="0" xfId="90" applyNumberFormat="1" applyFont="1" applyFill="1" applyBorder="1"/>
    <xf numFmtId="9" fontId="11" fillId="0" borderId="0" xfId="90" applyFont="1" applyFill="1" applyBorder="1" applyAlignment="1">
      <alignment horizontal="right"/>
    </xf>
    <xf numFmtId="0" fontId="11" fillId="0" borderId="0" xfId="0" applyFont="1" applyFill="1" applyBorder="1" applyAlignment="1">
      <alignment horizontal="left" vertical="center"/>
    </xf>
    <xf numFmtId="170" fontId="11" fillId="0" borderId="0" xfId="90" applyNumberFormat="1" applyFont="1" applyFill="1" applyBorder="1"/>
    <xf numFmtId="4" fontId="0" fillId="102" borderId="8" xfId="0" applyNumberFormat="1" applyFont="1" applyFill="1" applyBorder="1" applyAlignment="1">
      <alignment horizontal="center" vertical="center"/>
    </xf>
    <xf numFmtId="4" fontId="0" fillId="102" borderId="21" xfId="0" applyNumberFormat="1" applyFont="1" applyFill="1" applyBorder="1" applyAlignment="1">
      <alignment horizontal="center" vertical="center"/>
    </xf>
    <xf numFmtId="2" fontId="0" fillId="5" borderId="8" xfId="0" applyNumberFormat="1" applyFont="1" applyFill="1" applyBorder="1" applyAlignment="1">
      <alignment horizontal="center"/>
    </xf>
    <xf numFmtId="2" fontId="0" fillId="5" borderId="5" xfId="0" applyNumberFormat="1" applyFont="1" applyFill="1" applyBorder="1" applyAlignment="1">
      <alignment horizontal="center"/>
    </xf>
    <xf numFmtId="3" fontId="0" fillId="2" borderId="8" xfId="0" applyNumberFormat="1" applyFont="1" applyFill="1" applyBorder="1" applyAlignment="1">
      <alignment horizontal="center"/>
    </xf>
    <xf numFmtId="3" fontId="0" fillId="2" borderId="21" xfId="0" applyNumberFormat="1" applyFont="1" applyFill="1" applyBorder="1" applyAlignment="1">
      <alignment horizontal="center"/>
    </xf>
    <xf numFmtId="0" fontId="115" fillId="10" borderId="0" xfId="1" applyFont="1" applyFill="1"/>
    <xf numFmtId="0" fontId="80" fillId="20" borderId="15" xfId="0" applyFont="1" applyFill="1" applyBorder="1" applyAlignment="1">
      <alignment horizontal="center"/>
    </xf>
    <xf numFmtId="0" fontId="80" fillId="20" borderId="22" xfId="0" applyFont="1" applyFill="1" applyBorder="1" applyAlignment="1">
      <alignment horizontal="center"/>
    </xf>
    <xf numFmtId="0" fontId="80" fillId="20" borderId="16" xfId="0" applyFont="1" applyFill="1" applyBorder="1" applyAlignment="1">
      <alignment horizontal="center"/>
    </xf>
    <xf numFmtId="0" fontId="2" fillId="0" borderId="15" xfId="0" applyFont="1" applyFill="1" applyBorder="1" applyAlignment="1">
      <alignment horizontal="center"/>
    </xf>
    <xf numFmtId="0" fontId="2" fillId="0" borderId="22" xfId="0" applyFont="1" applyFill="1" applyBorder="1" applyAlignment="1">
      <alignment horizontal="center"/>
    </xf>
    <xf numFmtId="0" fontId="2" fillId="0" borderId="16" xfId="0" applyFont="1" applyFill="1" applyBorder="1" applyAlignment="1">
      <alignment horizontal="center"/>
    </xf>
    <xf numFmtId="0" fontId="60" fillId="0" borderId="0" xfId="0" applyFont="1" applyBorder="1" applyAlignment="1">
      <alignment horizontal="center" vertical="top"/>
    </xf>
    <xf numFmtId="0" fontId="60" fillId="6" borderId="22" xfId="0" applyFont="1" applyFill="1" applyBorder="1" applyAlignment="1">
      <alignment horizontal="center"/>
    </xf>
    <xf numFmtId="0" fontId="60" fillId="6" borderId="16" xfId="0" applyFont="1" applyFill="1" applyBorder="1" applyAlignment="1">
      <alignment horizontal="center"/>
    </xf>
    <xf numFmtId="0" fontId="81" fillId="97" borderId="1" xfId="0" applyFont="1" applyFill="1" applyBorder="1" applyAlignment="1">
      <alignment horizontal="left"/>
    </xf>
    <xf numFmtId="0" fontId="81" fillId="97" borderId="0" xfId="0" applyFont="1" applyFill="1" applyBorder="1" applyAlignment="1">
      <alignment horizontal="left"/>
    </xf>
    <xf numFmtId="0" fontId="80" fillId="0" borderId="0" xfId="0" applyFont="1" applyFill="1" applyBorder="1" applyAlignment="1">
      <alignment horizontal="center"/>
    </xf>
    <xf numFmtId="0" fontId="3" fillId="0" borderId="0" xfId="0" applyFont="1" applyAlignment="1">
      <alignment horizontal="center"/>
    </xf>
    <xf numFmtId="0" fontId="0" fillId="0" borderId="0" xfId="0" applyAlignment="1">
      <alignment horizontal="center"/>
    </xf>
    <xf numFmtId="0" fontId="80" fillId="0" borderId="0" xfId="0" applyFont="1" applyFill="1" applyBorder="1" applyAlignment="1">
      <alignment horizontal="center" vertical="center"/>
    </xf>
    <xf numFmtId="9" fontId="80" fillId="135" borderId="23" xfId="45609" applyFont="1" applyFill="1" applyBorder="1" applyAlignment="1">
      <alignment horizontal="center"/>
    </xf>
    <xf numFmtId="9" fontId="80" fillId="135" borderId="24" xfId="45609" applyFont="1" applyFill="1" applyBorder="1" applyAlignment="1">
      <alignment horizontal="center"/>
    </xf>
    <xf numFmtId="0" fontId="80" fillId="135" borderId="23" xfId="0" applyFont="1" applyFill="1" applyBorder="1" applyAlignment="1">
      <alignment horizontal="center"/>
    </xf>
    <xf numFmtId="0" fontId="80" fillId="135" borderId="30" xfId="0" applyFont="1" applyFill="1" applyBorder="1" applyAlignment="1">
      <alignment horizontal="center"/>
    </xf>
    <xf numFmtId="0" fontId="60" fillId="2" borderId="32" xfId="0" applyFont="1" applyFill="1" applyBorder="1" applyAlignment="1">
      <alignment horizontal="center"/>
    </xf>
    <xf numFmtId="0" fontId="60" fillId="2" borderId="22" xfId="0" applyFont="1" applyFill="1" applyBorder="1" applyAlignment="1">
      <alignment horizontal="center"/>
    </xf>
    <xf numFmtId="0" fontId="60" fillId="2" borderId="16" xfId="0" applyFont="1" applyFill="1" applyBorder="1" applyAlignment="1">
      <alignment horizontal="center"/>
    </xf>
    <xf numFmtId="0" fontId="2" fillId="0" borderId="0" xfId="0" applyFont="1" applyFill="1" applyBorder="1" applyAlignment="1">
      <alignment horizontal="left" wrapText="1"/>
    </xf>
    <xf numFmtId="186" fontId="3" fillId="27" borderId="19" xfId="0" applyNumberFormat="1" applyFont="1" applyFill="1" applyBorder="1" applyAlignment="1">
      <alignment horizontal="center"/>
    </xf>
    <xf numFmtId="186" fontId="3" fillId="27" borderId="24" xfId="0" applyNumberFormat="1" applyFont="1" applyFill="1" applyBorder="1" applyAlignment="1">
      <alignment horizontal="center"/>
    </xf>
    <xf numFmtId="186" fontId="56" fillId="27" borderId="34" xfId="0" applyNumberFormat="1" applyFont="1" applyFill="1" applyBorder="1" applyAlignment="1" applyProtection="1">
      <alignment horizontal="center"/>
    </xf>
    <xf numFmtId="186" fontId="56" fillId="27" borderId="35" xfId="0" applyNumberFormat="1" applyFont="1" applyFill="1" applyBorder="1" applyAlignment="1" applyProtection="1">
      <alignment horizontal="center"/>
    </xf>
    <xf numFmtId="186" fontId="56" fillId="27" borderId="36" xfId="0" applyNumberFormat="1" applyFont="1" applyFill="1" applyBorder="1" applyAlignment="1" applyProtection="1">
      <alignment horizontal="center"/>
    </xf>
    <xf numFmtId="0" fontId="7" fillId="0" borderId="0" xfId="0" applyFont="1" applyFill="1" applyAlignment="1">
      <alignment horizontal="center"/>
    </xf>
    <xf numFmtId="197" fontId="7" fillId="0" borderId="0" xfId="0" applyNumberFormat="1" applyFont="1" applyFill="1" applyAlignment="1">
      <alignment horizontal="center"/>
    </xf>
    <xf numFmtId="1" fontId="9" fillId="2" borderId="0" xfId="0" applyNumberFormat="1" applyFont="1" applyFill="1" applyBorder="1" applyAlignment="1">
      <alignment horizontal="center"/>
    </xf>
    <xf numFmtId="169" fontId="9" fillId="2" borderId="0" xfId="0" applyNumberFormat="1" applyFont="1" applyFill="1" applyBorder="1" applyAlignment="1">
      <alignment horizontal="center"/>
    </xf>
    <xf numFmtId="0" fontId="9" fillId="2" borderId="0" xfId="0" applyFont="1" applyFill="1" applyBorder="1" applyAlignment="1">
      <alignment horizontal="center"/>
    </xf>
    <xf numFmtId="0" fontId="9" fillId="2" borderId="0" xfId="0" applyFont="1" applyFill="1" applyAlignment="1">
      <alignment horizontal="center"/>
    </xf>
    <xf numFmtId="0" fontId="9" fillId="2" borderId="0" xfId="0" applyFont="1" applyFill="1" applyBorder="1" applyAlignment="1" applyProtection="1">
      <alignment horizontal="center"/>
    </xf>
    <xf numFmtId="0" fontId="5" fillId="2" borderId="0" xfId="0" applyFont="1" applyFill="1" applyBorder="1" applyAlignment="1" applyProtection="1">
      <alignment horizontal="center"/>
    </xf>
    <xf numFmtId="3" fontId="9" fillId="26" borderId="0" xfId="0" applyNumberFormat="1" applyFont="1" applyFill="1" applyBorder="1" applyAlignment="1">
      <alignment horizontal="center"/>
    </xf>
    <xf numFmtId="0" fontId="9" fillId="26" borderId="0" xfId="0" applyFont="1" applyFill="1" applyBorder="1" applyAlignment="1" applyProtection="1">
      <alignment horizontal="center"/>
    </xf>
    <xf numFmtId="0" fontId="5" fillId="26" borderId="0" xfId="0" applyFont="1" applyFill="1" applyBorder="1" applyAlignment="1" applyProtection="1">
      <alignment horizontal="center"/>
    </xf>
    <xf numFmtId="0" fontId="0" fillId="0" borderId="0" xfId="0" applyFont="1" applyAlignment="1">
      <alignment horizontal="center"/>
    </xf>
    <xf numFmtId="0" fontId="5" fillId="0" borderId="0" xfId="0" applyFont="1" applyAlignment="1">
      <alignment horizontal="center"/>
    </xf>
    <xf numFmtId="0" fontId="60" fillId="0" borderId="0" xfId="0" applyFont="1" applyBorder="1" applyAlignment="1">
      <alignment horizontal="center"/>
    </xf>
    <xf numFmtId="0" fontId="5" fillId="0" borderId="74" xfId="0" applyFont="1" applyBorder="1" applyAlignment="1">
      <alignment horizontal="center"/>
    </xf>
    <xf numFmtId="0" fontId="0" fillId="0" borderId="74" xfId="0" applyBorder="1" applyAlignment="1">
      <alignment horizontal="center"/>
    </xf>
    <xf numFmtId="0" fontId="7" fillId="4" borderId="19" xfId="0" applyFont="1" applyFill="1" applyBorder="1" applyAlignment="1">
      <alignment horizontal="center"/>
    </xf>
    <xf numFmtId="0" fontId="7" fillId="4" borderId="29" xfId="0" applyFont="1" applyFill="1" applyBorder="1" applyAlignment="1">
      <alignment horizontal="center"/>
    </xf>
    <xf numFmtId="0" fontId="7" fillId="4" borderId="24" xfId="0" applyFont="1" applyFill="1" applyBorder="1" applyAlignment="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5" fillId="0" borderId="0" xfId="0" applyFont="1" applyAlignment="1" applyProtection="1">
      <alignment horizontal="center"/>
    </xf>
    <xf numFmtId="0" fontId="5" fillId="0" borderId="74" xfId="0" applyFont="1" applyBorder="1" applyAlignment="1" applyProtection="1">
      <alignment horizontal="center"/>
    </xf>
    <xf numFmtId="0" fontId="5" fillId="0" borderId="79" xfId="0" applyFont="1" applyBorder="1" applyAlignment="1">
      <alignment horizontal="center"/>
    </xf>
    <xf numFmtId="0" fontId="5" fillId="0" borderId="80" xfId="0" applyFont="1" applyBorder="1" applyAlignment="1">
      <alignment horizontal="center"/>
    </xf>
    <xf numFmtId="0" fontId="5" fillId="0" borderId="70" xfId="0" applyFont="1" applyBorder="1" applyAlignment="1">
      <alignment horizontal="center"/>
    </xf>
    <xf numFmtId="0" fontId="60" fillId="6" borderId="29" xfId="0" applyFont="1" applyFill="1" applyBorder="1" applyAlignment="1">
      <alignment horizontal="center"/>
    </xf>
    <xf numFmtId="0" fontId="60" fillId="6" borderId="24" xfId="0" applyFont="1" applyFill="1" applyBorder="1" applyAlignment="1">
      <alignment horizontal="center"/>
    </xf>
    <xf numFmtId="0" fontId="7" fillId="8" borderId="14" xfId="0" applyFont="1" applyFill="1" applyBorder="1" applyAlignment="1" applyProtection="1">
      <alignment horizontal="center"/>
    </xf>
    <xf numFmtId="0" fontId="7" fillId="8" borderId="17" xfId="0" applyFont="1" applyFill="1" applyBorder="1" applyAlignment="1" applyProtection="1">
      <alignment horizontal="center"/>
    </xf>
    <xf numFmtId="0" fontId="60" fillId="6" borderId="64" xfId="0" applyFont="1" applyFill="1" applyBorder="1" applyAlignment="1">
      <alignment horizontal="center"/>
    </xf>
    <xf numFmtId="0" fontId="60" fillId="6" borderId="62" xfId="0" applyFont="1" applyFill="1" applyBorder="1" applyAlignment="1">
      <alignment horizontal="center"/>
    </xf>
    <xf numFmtId="0" fontId="60" fillId="6" borderId="10" xfId="0" applyFont="1" applyFill="1" applyBorder="1" applyAlignment="1">
      <alignment horizontal="center"/>
    </xf>
    <xf numFmtId="0" fontId="60" fillId="6" borderId="90" xfId="0" applyFont="1" applyFill="1" applyBorder="1" applyAlignment="1">
      <alignment horizontal="center"/>
    </xf>
    <xf numFmtId="0" fontId="9" fillId="0" borderId="0" xfId="0" applyFont="1" applyAlignment="1">
      <alignment horizontal="center"/>
    </xf>
    <xf numFmtId="0" fontId="5" fillId="0" borderId="0" xfId="0" applyFont="1" applyBorder="1" applyAlignment="1">
      <alignment horizontal="center"/>
    </xf>
    <xf numFmtId="0" fontId="7" fillId="47" borderId="19" xfId="0" applyFont="1" applyFill="1" applyBorder="1" applyAlignment="1">
      <alignment horizontal="center"/>
    </xf>
    <xf numFmtId="0" fontId="7" fillId="47" borderId="29" xfId="0" applyFont="1" applyFill="1" applyBorder="1" applyAlignment="1">
      <alignment horizontal="center"/>
    </xf>
    <xf numFmtId="0" fontId="7" fillId="47" borderId="24" xfId="0" applyFont="1" applyFill="1" applyBorder="1" applyAlignment="1">
      <alignment horizontal="center"/>
    </xf>
    <xf numFmtId="0" fontId="5" fillId="0" borderId="4" xfId="0" applyFont="1" applyBorder="1" applyAlignment="1">
      <alignment horizontal="center"/>
    </xf>
    <xf numFmtId="0" fontId="60" fillId="0" borderId="29" xfId="0" applyFont="1" applyBorder="1" applyAlignment="1">
      <alignment horizontal="center"/>
    </xf>
    <xf numFmtId="0" fontId="7" fillId="50" borderId="12" xfId="0" applyFont="1" applyFill="1" applyBorder="1" applyAlignment="1" applyProtection="1">
      <alignment horizontal="center"/>
    </xf>
    <xf numFmtId="0" fontId="7" fillId="50" borderId="0" xfId="0" applyFont="1" applyFill="1" applyBorder="1" applyAlignment="1" applyProtection="1">
      <alignment horizontal="center"/>
    </xf>
    <xf numFmtId="0" fontId="7" fillId="50" borderId="7" xfId="0" applyFont="1" applyFill="1" applyBorder="1" applyAlignment="1" applyProtection="1">
      <alignment horizontal="center"/>
    </xf>
    <xf numFmtId="0" fontId="7" fillId="50" borderId="2" xfId="0" applyFont="1" applyFill="1" applyBorder="1" applyAlignment="1" applyProtection="1">
      <alignment horizontal="center"/>
    </xf>
    <xf numFmtId="0" fontId="7" fillId="50" borderId="23" xfId="0" applyFont="1" applyFill="1" applyBorder="1" applyAlignment="1" applyProtection="1">
      <alignment horizontal="center"/>
    </xf>
    <xf numFmtId="0" fontId="7" fillId="50" borderId="29" xfId="0" applyFont="1" applyFill="1" applyBorder="1" applyAlignment="1" applyProtection="1">
      <alignment horizontal="center"/>
    </xf>
    <xf numFmtId="0" fontId="7" fillId="50" borderId="23" xfId="0" applyFont="1" applyFill="1" applyBorder="1" applyAlignment="1">
      <alignment horizontal="center"/>
    </xf>
    <xf numFmtId="0" fontId="7" fillId="50" borderId="30" xfId="0" applyFont="1" applyFill="1" applyBorder="1" applyAlignment="1">
      <alignment horizontal="center"/>
    </xf>
    <xf numFmtId="0" fontId="7" fillId="50" borderId="24" xfId="0" applyFont="1" applyFill="1" applyBorder="1" applyAlignment="1" applyProtection="1">
      <alignment horizontal="center"/>
    </xf>
    <xf numFmtId="0" fontId="60" fillId="49" borderId="83" xfId="0" applyFont="1" applyFill="1" applyBorder="1" applyAlignment="1">
      <alignment horizontal="center"/>
    </xf>
    <xf numFmtId="0" fontId="60" fillId="49" borderId="35" xfId="0" applyFont="1" applyFill="1" applyBorder="1" applyAlignment="1">
      <alignment horizontal="center"/>
    </xf>
    <xf numFmtId="0" fontId="60" fillId="49" borderId="36" xfId="0" applyFont="1" applyFill="1" applyBorder="1" applyAlignment="1">
      <alignment horizontal="center"/>
    </xf>
    <xf numFmtId="0" fontId="5" fillId="0" borderId="4" xfId="0" applyFont="1" applyBorder="1" applyAlignment="1" applyProtection="1">
      <alignment horizontal="center"/>
    </xf>
    <xf numFmtId="0" fontId="7" fillId="50" borderId="30" xfId="0" applyFont="1" applyFill="1" applyBorder="1" applyAlignment="1" applyProtection="1">
      <alignment horizontal="center"/>
    </xf>
    <xf numFmtId="0" fontId="60" fillId="49" borderId="64" xfId="0" applyFont="1" applyFill="1" applyBorder="1" applyAlignment="1">
      <alignment horizontal="center"/>
    </xf>
    <xf numFmtId="0" fontId="60" fillId="49" borderId="62" xfId="0" applyFont="1" applyFill="1" applyBorder="1" applyAlignment="1">
      <alignment horizontal="center"/>
    </xf>
    <xf numFmtId="0" fontId="60" fillId="49" borderId="10" xfId="0" applyFont="1" applyFill="1" applyBorder="1" applyAlignment="1">
      <alignment horizontal="center"/>
    </xf>
    <xf numFmtId="0" fontId="60" fillId="49" borderId="90" xfId="0" applyFont="1" applyFill="1" applyBorder="1" applyAlignment="1">
      <alignment horizontal="center"/>
    </xf>
    <xf numFmtId="0" fontId="60" fillId="7" borderId="45" xfId="0" applyFont="1" applyFill="1" applyBorder="1" applyAlignment="1">
      <alignment horizontal="left"/>
    </xf>
    <xf numFmtId="0" fontId="60" fillId="7" borderId="13" xfId="0" applyFont="1" applyFill="1" applyBorder="1" applyAlignment="1">
      <alignment horizontal="left"/>
    </xf>
    <xf numFmtId="0" fontId="7" fillId="50" borderId="24" xfId="0" applyFont="1" applyFill="1" applyBorder="1" applyAlignment="1">
      <alignment horizontal="center"/>
    </xf>
    <xf numFmtId="0" fontId="7" fillId="50" borderId="19" xfId="0" applyFont="1" applyFill="1" applyBorder="1" applyAlignment="1">
      <alignment horizontal="center"/>
    </xf>
    <xf numFmtId="0" fontId="7" fillId="50" borderId="17" xfId="0" applyFont="1" applyFill="1" applyBorder="1" applyAlignment="1">
      <alignment horizontal="center"/>
    </xf>
    <xf numFmtId="0" fontId="7" fillId="50" borderId="26" xfId="0" applyFont="1" applyFill="1" applyBorder="1" applyAlignment="1">
      <alignment horizontal="center"/>
    </xf>
    <xf numFmtId="0" fontId="7" fillId="50" borderId="33"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left" vertical="top" wrapText="1"/>
    </xf>
    <xf numFmtId="0" fontId="7" fillId="56" borderId="19" xfId="0" applyFont="1" applyFill="1" applyBorder="1" applyAlignment="1">
      <alignment horizontal="center"/>
    </xf>
    <xf numFmtId="0" fontId="7" fillId="56" borderId="29" xfId="0" applyFont="1" applyFill="1" applyBorder="1" applyAlignment="1">
      <alignment horizontal="center"/>
    </xf>
    <xf numFmtId="0" fontId="7" fillId="56" borderId="24" xfId="0" applyFont="1" applyFill="1" applyBorder="1" applyAlignment="1">
      <alignment horizontal="center"/>
    </xf>
    <xf numFmtId="0" fontId="60" fillId="26" borderId="29" xfId="0" applyFont="1" applyFill="1" applyBorder="1" applyAlignment="1">
      <alignment horizontal="center"/>
    </xf>
    <xf numFmtId="0" fontId="60" fillId="26" borderId="24" xfId="0" applyFont="1" applyFill="1" applyBorder="1" applyAlignment="1">
      <alignment horizontal="center"/>
    </xf>
    <xf numFmtId="0" fontId="60" fillId="14" borderId="64" xfId="0" applyFont="1" applyFill="1" applyBorder="1" applyAlignment="1">
      <alignment horizontal="center"/>
    </xf>
    <xf numFmtId="0" fontId="60" fillId="14" borderId="62" xfId="0" applyFont="1" applyFill="1" applyBorder="1" applyAlignment="1">
      <alignment horizontal="center"/>
    </xf>
    <xf numFmtId="0" fontId="60" fillId="14" borderId="10" xfId="0" applyFont="1" applyFill="1" applyBorder="1" applyAlignment="1">
      <alignment horizontal="center"/>
    </xf>
    <xf numFmtId="0" fontId="60" fillId="14" borderId="90" xfId="0" applyFont="1" applyFill="1" applyBorder="1" applyAlignment="1">
      <alignment horizontal="center"/>
    </xf>
    <xf numFmtId="0" fontId="0" fillId="0" borderId="0" xfId="0" applyFont="1" applyAlignment="1">
      <alignment horizontal="left" wrapText="1"/>
    </xf>
    <xf numFmtId="0" fontId="7" fillId="21" borderId="19" xfId="0" applyFont="1" applyFill="1" applyBorder="1" applyAlignment="1">
      <alignment horizontal="center"/>
    </xf>
    <xf numFmtId="0" fontId="7" fillId="21" borderId="29" xfId="0" applyFont="1" applyFill="1" applyBorder="1" applyAlignment="1">
      <alignment horizontal="center"/>
    </xf>
    <xf numFmtId="0" fontId="7" fillId="21" borderId="24" xfId="0" applyFont="1" applyFill="1" applyBorder="1" applyAlignment="1">
      <alignment horizontal="center"/>
    </xf>
    <xf numFmtId="0" fontId="60" fillId="13" borderId="83" xfId="0" applyFont="1" applyFill="1" applyBorder="1" applyAlignment="1">
      <alignment horizontal="center"/>
    </xf>
    <xf numFmtId="0" fontId="60" fillId="13" borderId="36" xfId="0" applyFont="1" applyFill="1" applyBorder="1" applyAlignment="1">
      <alignment horizontal="center"/>
    </xf>
    <xf numFmtId="0" fontId="60" fillId="13" borderId="64" xfId="0" applyFont="1" applyFill="1" applyBorder="1" applyAlignment="1">
      <alignment horizontal="center"/>
    </xf>
    <xf numFmtId="0" fontId="60" fillId="13" borderId="62" xfId="0" applyFont="1" applyFill="1" applyBorder="1" applyAlignment="1">
      <alignment horizontal="center"/>
    </xf>
    <xf numFmtId="0" fontId="60" fillId="13" borderId="10" xfId="0" applyFont="1" applyFill="1" applyBorder="1" applyAlignment="1">
      <alignment horizontal="center"/>
    </xf>
    <xf numFmtId="0" fontId="60" fillId="13" borderId="90" xfId="0" applyFont="1" applyFill="1" applyBorder="1" applyAlignment="1">
      <alignment horizontal="center"/>
    </xf>
    <xf numFmtId="0" fontId="7" fillId="101" borderId="15" xfId="0" applyFont="1" applyFill="1" applyBorder="1" applyAlignment="1">
      <alignment horizontal="center"/>
    </xf>
    <xf numFmtId="0" fontId="7" fillId="101" borderId="22" xfId="0" applyFont="1" applyFill="1" applyBorder="1" applyAlignment="1">
      <alignment horizontal="center"/>
    </xf>
    <xf numFmtId="0" fontId="7" fillId="101" borderId="16" xfId="0" applyFont="1" applyFill="1" applyBorder="1" applyAlignment="1">
      <alignment horizontal="center"/>
    </xf>
    <xf numFmtId="0" fontId="5" fillId="0" borderId="15" xfId="0" applyFont="1" applyBorder="1" applyAlignment="1">
      <alignment horizontal="center"/>
    </xf>
    <xf numFmtId="0" fontId="5" fillId="0" borderId="22" xfId="0" applyFont="1" applyBorder="1" applyAlignment="1">
      <alignment horizontal="center"/>
    </xf>
    <xf numFmtId="0" fontId="5" fillId="0" borderId="16" xfId="0" applyFont="1" applyBorder="1" applyAlignment="1">
      <alignment horizontal="center"/>
    </xf>
    <xf numFmtId="0" fontId="9" fillId="0" borderId="0" xfId="0" applyFont="1" applyBorder="1" applyAlignment="1">
      <alignment horizontal="center"/>
    </xf>
    <xf numFmtId="0" fontId="5" fillId="0" borderId="0" xfId="0" applyFont="1" applyAlignment="1">
      <alignment horizontal="center" wrapText="1"/>
    </xf>
    <xf numFmtId="0" fontId="60" fillId="51" borderId="29" xfId="0" applyFont="1" applyFill="1" applyBorder="1" applyAlignment="1">
      <alignment horizontal="center"/>
    </xf>
    <xf numFmtId="0" fontId="60" fillId="51" borderId="24" xfId="0" applyFont="1" applyFill="1" applyBorder="1" applyAlignment="1">
      <alignment horizontal="center"/>
    </xf>
    <xf numFmtId="0" fontId="60" fillId="51" borderId="64" xfId="0" applyFont="1" applyFill="1" applyBorder="1" applyAlignment="1">
      <alignment horizontal="center"/>
    </xf>
    <xf numFmtId="0" fontId="60" fillId="51" borderId="62" xfId="0" applyFont="1" applyFill="1" applyBorder="1" applyAlignment="1">
      <alignment horizontal="center"/>
    </xf>
    <xf numFmtId="0" fontId="60" fillId="51" borderId="10" xfId="0" applyFont="1" applyFill="1" applyBorder="1" applyAlignment="1">
      <alignment horizontal="center"/>
    </xf>
    <xf numFmtId="0" fontId="60" fillId="51" borderId="90" xfId="0" applyFont="1" applyFill="1" applyBorder="1" applyAlignment="1">
      <alignment horizontal="center"/>
    </xf>
    <xf numFmtId="0" fontId="7" fillId="17" borderId="19" xfId="0" applyFont="1" applyFill="1" applyBorder="1" applyAlignment="1">
      <alignment horizontal="center"/>
    </xf>
    <xf numFmtId="0" fontId="7" fillId="17" borderId="29" xfId="0" applyFont="1" applyFill="1" applyBorder="1" applyAlignment="1">
      <alignment horizontal="center"/>
    </xf>
    <xf numFmtId="0" fontId="7" fillId="17" borderId="24" xfId="0" applyFont="1" applyFill="1" applyBorder="1" applyAlignment="1">
      <alignment horizontal="center"/>
    </xf>
    <xf numFmtId="0" fontId="60" fillId="3" borderId="29" xfId="0" applyFont="1" applyFill="1" applyBorder="1" applyAlignment="1">
      <alignment horizontal="center"/>
    </xf>
    <xf numFmtId="0" fontId="60" fillId="3" borderId="24" xfId="0" applyFont="1" applyFill="1" applyBorder="1" applyAlignment="1">
      <alignment horizontal="center"/>
    </xf>
    <xf numFmtId="0" fontId="60" fillId="3" borderId="64" xfId="0" applyFont="1" applyFill="1" applyBorder="1" applyAlignment="1">
      <alignment horizontal="center"/>
    </xf>
    <xf numFmtId="0" fontId="60" fillId="3" borderId="62" xfId="0" applyFont="1" applyFill="1" applyBorder="1" applyAlignment="1">
      <alignment horizontal="center"/>
    </xf>
    <xf numFmtId="0" fontId="60" fillId="3" borderId="10" xfId="0" applyFont="1" applyFill="1" applyBorder="1" applyAlignment="1">
      <alignment horizontal="center"/>
    </xf>
    <xf numFmtId="0" fontId="60" fillId="3" borderId="90" xfId="0" applyFont="1" applyFill="1" applyBorder="1" applyAlignment="1">
      <alignment horizontal="center"/>
    </xf>
    <xf numFmtId="0" fontId="9" fillId="0" borderId="4" xfId="0" applyFont="1" applyBorder="1" applyAlignment="1">
      <alignment horizontal="center" wrapText="1"/>
    </xf>
    <xf numFmtId="0" fontId="7" fillId="12" borderId="19" xfId="0" applyFont="1" applyFill="1" applyBorder="1" applyAlignment="1">
      <alignment horizontal="center"/>
    </xf>
    <xf numFmtId="0" fontId="7" fillId="12" borderId="29" xfId="0" applyFont="1" applyFill="1" applyBorder="1" applyAlignment="1">
      <alignment horizontal="center"/>
    </xf>
    <xf numFmtId="0" fontId="7" fillId="12" borderId="24" xfId="0" applyFont="1" applyFill="1" applyBorder="1" applyAlignment="1">
      <alignment horizontal="center"/>
    </xf>
    <xf numFmtId="0" fontId="6" fillId="10" borderId="29" xfId="0" applyFont="1" applyFill="1" applyBorder="1" applyAlignment="1">
      <alignment horizontal="center"/>
    </xf>
    <xf numFmtId="0" fontId="6" fillId="10" borderId="24" xfId="0" applyFont="1" applyFill="1" applyBorder="1" applyAlignment="1">
      <alignment horizontal="center"/>
    </xf>
    <xf numFmtId="0" fontId="60" fillId="10" borderId="64" xfId="0" applyFont="1" applyFill="1" applyBorder="1" applyAlignment="1">
      <alignment horizontal="center"/>
    </xf>
    <xf numFmtId="0" fontId="60" fillId="10" borderId="62" xfId="0" applyFont="1" applyFill="1" applyBorder="1" applyAlignment="1">
      <alignment horizontal="center"/>
    </xf>
    <xf numFmtId="0" fontId="60" fillId="10" borderId="10" xfId="0" applyFont="1" applyFill="1" applyBorder="1" applyAlignment="1">
      <alignment horizontal="center"/>
    </xf>
    <xf numFmtId="0" fontId="60" fillId="10" borderId="90" xfId="0" applyFont="1" applyFill="1" applyBorder="1" applyAlignment="1">
      <alignment horizontal="center"/>
    </xf>
    <xf numFmtId="0" fontId="7" fillId="57" borderId="64" xfId="0" applyFont="1" applyFill="1" applyBorder="1" applyAlignment="1">
      <alignment horizontal="center" vertical="center"/>
    </xf>
    <xf numFmtId="0" fontId="5" fillId="0" borderId="4" xfId="0" applyFont="1" applyBorder="1" applyAlignment="1">
      <alignment horizontal="center" vertical="center"/>
    </xf>
    <xf numFmtId="0" fontId="60" fillId="58" borderId="35" xfId="0" applyFont="1" applyFill="1" applyBorder="1" applyAlignment="1">
      <alignment horizontal="center"/>
    </xf>
    <xf numFmtId="0" fontId="60" fillId="58" borderId="36" xfId="0" applyFont="1" applyFill="1" applyBorder="1" applyAlignment="1">
      <alignment horizontal="center"/>
    </xf>
    <xf numFmtId="0" fontId="60" fillId="58" borderId="86" xfId="0" applyFont="1" applyFill="1" applyBorder="1" applyAlignment="1">
      <alignment horizontal="center"/>
    </xf>
    <xf numFmtId="0" fontId="60" fillId="58" borderId="87" xfId="0" applyFont="1" applyFill="1" applyBorder="1" applyAlignment="1">
      <alignment horizontal="center"/>
    </xf>
    <xf numFmtId="0" fontId="7" fillId="57" borderId="62" xfId="0" applyFont="1" applyFill="1" applyBorder="1" applyAlignment="1">
      <alignment horizontal="center" vertical="center"/>
    </xf>
    <xf numFmtId="0" fontId="5" fillId="0" borderId="0" xfId="0" applyFont="1" applyBorder="1" applyAlignment="1">
      <alignment horizontal="center" vertical="center"/>
    </xf>
    <xf numFmtId="0" fontId="7" fillId="25" borderId="19" xfId="0" applyFont="1" applyFill="1" applyBorder="1" applyAlignment="1">
      <alignment horizontal="center"/>
    </xf>
    <xf numFmtId="0" fontId="7" fillId="25" borderId="29" xfId="0" applyFont="1" applyFill="1" applyBorder="1" applyAlignment="1">
      <alignment horizontal="center"/>
    </xf>
    <xf numFmtId="0" fontId="7" fillId="25" borderId="24" xfId="0" applyFont="1" applyFill="1" applyBorder="1" applyAlignment="1">
      <alignment horizontal="center"/>
    </xf>
    <xf numFmtId="0" fontId="0" fillId="0" borderId="4" xfId="0" applyBorder="1" applyAlignment="1">
      <alignment horizontal="center"/>
    </xf>
    <xf numFmtId="0" fontId="5" fillId="0" borderId="0" xfId="0" applyFont="1" applyFill="1" applyAlignment="1">
      <alignment horizontal="center"/>
    </xf>
    <xf numFmtId="0" fontId="0" fillId="0" borderId="0" xfId="0" applyFill="1" applyAlignment="1">
      <alignment horizontal="center"/>
    </xf>
    <xf numFmtId="0" fontId="5" fillId="0" borderId="74" xfId="0" applyFont="1" applyFill="1" applyBorder="1" applyAlignment="1">
      <alignment horizontal="center"/>
    </xf>
    <xf numFmtId="0" fontId="5" fillId="0" borderId="76" xfId="0" applyFont="1" applyBorder="1" applyAlignment="1">
      <alignment horizontal="center"/>
    </xf>
    <xf numFmtId="0" fontId="5" fillId="0" borderId="86" xfId="0" applyFont="1" applyBorder="1" applyAlignment="1">
      <alignment horizontal="center"/>
    </xf>
    <xf numFmtId="0" fontId="5" fillId="0" borderId="87" xfId="0" applyFont="1" applyBorder="1" applyAlignment="1">
      <alignment horizontal="center"/>
    </xf>
    <xf numFmtId="0" fontId="7" fillId="23" borderId="60" xfId="0" applyFont="1" applyFill="1" applyBorder="1" applyAlignment="1" applyProtection="1">
      <alignment horizontal="center"/>
    </xf>
    <xf numFmtId="0" fontId="7" fillId="23" borderId="88" xfId="0" applyFont="1" applyFill="1" applyBorder="1" applyAlignment="1" applyProtection="1">
      <alignment horizontal="center"/>
    </xf>
    <xf numFmtId="0" fontId="7" fillId="23" borderId="86" xfId="0" applyFont="1" applyFill="1" applyBorder="1" applyAlignment="1" applyProtection="1">
      <alignment horizontal="center"/>
    </xf>
    <xf numFmtId="0" fontId="7" fillId="23" borderId="87" xfId="0" applyFont="1" applyFill="1" applyBorder="1" applyAlignment="1" applyProtection="1">
      <alignment horizontal="center"/>
    </xf>
    <xf numFmtId="0" fontId="7" fillId="23" borderId="23" xfId="0" applyFont="1" applyFill="1" applyBorder="1" applyAlignment="1">
      <alignment horizontal="center"/>
    </xf>
    <xf numFmtId="0" fontId="7" fillId="23" borderId="29" xfId="0" applyFont="1" applyFill="1" applyBorder="1" applyAlignment="1">
      <alignment horizontal="center"/>
    </xf>
    <xf numFmtId="0" fontId="7" fillId="23" borderId="30" xfId="0" applyFont="1" applyFill="1" applyBorder="1" applyAlignment="1">
      <alignment horizontal="center"/>
    </xf>
    <xf numFmtId="0" fontId="7" fillId="23" borderId="24" xfId="0" applyFont="1" applyFill="1" applyBorder="1" applyAlignment="1">
      <alignment horizontal="center"/>
    </xf>
    <xf numFmtId="0" fontId="60" fillId="2" borderId="35" xfId="0" applyFont="1" applyFill="1" applyBorder="1" applyAlignment="1">
      <alignment horizontal="center"/>
    </xf>
    <xf numFmtId="0" fontId="60" fillId="2" borderId="36" xfId="0" applyFont="1" applyFill="1" applyBorder="1" applyAlignment="1">
      <alignment horizontal="center"/>
    </xf>
    <xf numFmtId="0" fontId="60" fillId="2" borderId="29" xfId="0" applyFont="1" applyFill="1" applyBorder="1" applyAlignment="1">
      <alignment horizontal="center"/>
    </xf>
    <xf numFmtId="0" fontId="60" fillId="2" borderId="24" xfId="0" applyFont="1" applyFill="1" applyBorder="1" applyAlignment="1">
      <alignment horizontal="center"/>
    </xf>
    <xf numFmtId="0" fontId="60" fillId="2" borderId="64" xfId="0" applyFont="1" applyFill="1" applyBorder="1" applyAlignment="1">
      <alignment horizontal="center"/>
    </xf>
    <xf numFmtId="0" fontId="60" fillId="2" borderId="62" xfId="0" applyFont="1" applyFill="1" applyBorder="1" applyAlignment="1">
      <alignment horizontal="center"/>
    </xf>
    <xf numFmtId="0" fontId="60" fillId="2" borderId="10" xfId="0" applyFont="1" applyFill="1" applyBorder="1" applyAlignment="1">
      <alignment horizontal="center"/>
    </xf>
    <xf numFmtId="0" fontId="60" fillId="2" borderId="90" xfId="0" applyFont="1" applyFill="1" applyBorder="1" applyAlignment="1">
      <alignment horizontal="center"/>
    </xf>
    <xf numFmtId="0" fontId="9" fillId="0" borderId="0" xfId="0" applyFont="1" applyAlignment="1">
      <alignment horizontal="center" vertical="center"/>
    </xf>
    <xf numFmtId="0" fontId="50" fillId="0" borderId="29" xfId="0" applyFont="1" applyBorder="1" applyAlignment="1">
      <alignment horizontal="center"/>
    </xf>
    <xf numFmtId="0" fontId="7" fillId="19" borderId="15" xfId="0" applyFont="1" applyFill="1" applyBorder="1" applyAlignment="1">
      <alignment horizontal="center"/>
    </xf>
    <xf numFmtId="0" fontId="7" fillId="19" borderId="16" xfId="0" applyFont="1" applyFill="1" applyBorder="1" applyAlignment="1">
      <alignment horizontal="center"/>
    </xf>
  </cellXfs>
  <cellStyles count="45613">
    <cellStyle name="20 % - Accent1" xfId="269" xr:uid="{00000000-0005-0000-0000-000000000000}"/>
    <cellStyle name="20 % - Accent2" xfId="235" xr:uid="{00000000-0005-0000-0000-000001000000}"/>
    <cellStyle name="20 % - Accent3" xfId="195" xr:uid="{00000000-0005-0000-0000-000002000000}"/>
    <cellStyle name="20 % - Accent4" xfId="199" xr:uid="{00000000-0005-0000-0000-000003000000}"/>
    <cellStyle name="20 % - Accent5" xfId="185" xr:uid="{00000000-0005-0000-0000-000004000000}"/>
    <cellStyle name="20 % - Accent6" xfId="243" xr:uid="{00000000-0005-0000-0000-000005000000}"/>
    <cellStyle name="20% - Accent1" xfId="30" xr:uid="{00000000-0005-0000-0000-000006000000}"/>
    <cellStyle name="20% - Accent1 10" xfId="6489" xr:uid="{00000000-0005-0000-0000-000007000000}"/>
    <cellStyle name="20% - Accent1 10 2" xfId="14826" xr:uid="{00000000-0005-0000-0000-000008000000}"/>
    <cellStyle name="20% - Accent1 10 3" xfId="20747" xr:uid="{00000000-0005-0000-0000-000009000000}"/>
    <cellStyle name="20% - Accent1 11" xfId="6502" xr:uid="{00000000-0005-0000-0000-00000A000000}"/>
    <cellStyle name="20% - Accent1 11 2" xfId="14839" xr:uid="{00000000-0005-0000-0000-00000B000000}"/>
    <cellStyle name="20% - Accent1 11 3" xfId="20760" xr:uid="{00000000-0005-0000-0000-00000C000000}"/>
    <cellStyle name="20% - Accent1 12" xfId="6522" xr:uid="{00000000-0005-0000-0000-00000D000000}"/>
    <cellStyle name="20% - Accent1 12 2" xfId="20774" xr:uid="{00000000-0005-0000-0000-00000E000000}"/>
    <cellStyle name="20% - Accent1 13" xfId="6559" xr:uid="{00000000-0005-0000-0000-00000F000000}"/>
    <cellStyle name="20% - Accent1 13 2" xfId="20791" xr:uid="{00000000-0005-0000-0000-000010000000}"/>
    <cellStyle name="20% - Accent1 14" xfId="8912" xr:uid="{00000000-0005-0000-0000-000011000000}"/>
    <cellStyle name="20% - Accent1 15" xfId="8930" xr:uid="{00000000-0005-0000-0000-000012000000}"/>
    <cellStyle name="20% - Accent1 16" xfId="14856" xr:uid="{00000000-0005-0000-0000-000013000000}"/>
    <cellStyle name="20% - Accent1 17" xfId="29429" xr:uid="{00000000-0005-0000-0000-000014000000}"/>
    <cellStyle name="20% - Accent1 18" xfId="29472" xr:uid="{00000000-0005-0000-0000-000015000000}"/>
    <cellStyle name="20% - Accent1 2" xfId="52" xr:uid="{00000000-0005-0000-0000-000016000000}"/>
    <cellStyle name="20% - Accent1 2 2" xfId="109" xr:uid="{00000000-0005-0000-0000-000017000000}"/>
    <cellStyle name="20% - Accent1 2 2 2" xfId="9001" xr:uid="{00000000-0005-0000-0000-000018000000}"/>
    <cellStyle name="20% - Accent1 2 2 3" xfId="14973" xr:uid="{00000000-0005-0000-0000-000019000000}"/>
    <cellStyle name="20% - Accent1 2 3" xfId="8947" xr:uid="{00000000-0005-0000-0000-00001A000000}"/>
    <cellStyle name="20% - Accent1 2 4" xfId="14870" xr:uid="{00000000-0005-0000-0000-00001B000000}"/>
    <cellStyle name="20% - Accent1 2_Data - Monthly Commodity Prices" xfId="6364" xr:uid="{00000000-0005-0000-0000-00001C000000}"/>
    <cellStyle name="20% - Accent1 3" xfId="53" xr:uid="{00000000-0005-0000-0000-00001D000000}"/>
    <cellStyle name="20% - Accent1 3 2" xfId="123" xr:uid="{00000000-0005-0000-0000-00001E000000}"/>
    <cellStyle name="20% - Accent1 3 2 2" xfId="9015" xr:uid="{00000000-0005-0000-0000-00001F000000}"/>
    <cellStyle name="20% - Accent1 3 2 3" xfId="14987" xr:uid="{00000000-0005-0000-0000-000020000000}"/>
    <cellStyle name="20% - Accent1 3 3" xfId="8961" xr:uid="{00000000-0005-0000-0000-000021000000}"/>
    <cellStyle name="20% - Accent1 3 4" xfId="14884" xr:uid="{00000000-0005-0000-0000-000022000000}"/>
    <cellStyle name="20% - Accent1 3_Data - Monthly Commodity Prices" xfId="6365" xr:uid="{00000000-0005-0000-0000-000023000000}"/>
    <cellStyle name="20% - Accent1 4" xfId="54" xr:uid="{00000000-0005-0000-0000-000024000000}"/>
    <cellStyle name="20% - Accent1 4 2" xfId="143" xr:uid="{00000000-0005-0000-0000-000025000000}"/>
    <cellStyle name="20% - Accent1 4 2 2" xfId="9030" xr:uid="{00000000-0005-0000-0000-000026000000}"/>
    <cellStyle name="20% - Accent1 4 2 3" xfId="14999" xr:uid="{00000000-0005-0000-0000-000027000000}"/>
    <cellStyle name="20% - Accent1 4 2 4" xfId="7812" xr:uid="{00000000-0005-0000-0000-000028000000}"/>
    <cellStyle name="20% - Accent1 4 3" xfId="8973" xr:uid="{00000000-0005-0000-0000-000029000000}"/>
    <cellStyle name="20% - Accent1 4 4" xfId="14899" xr:uid="{00000000-0005-0000-0000-00002A000000}"/>
    <cellStyle name="20% - Accent1 4_LNG &amp; LPG rework" xfId="6538" xr:uid="{00000000-0005-0000-0000-00002B000000}"/>
    <cellStyle name="20% - Accent1 5" xfId="157" xr:uid="{00000000-0005-0000-0000-00002C000000}"/>
    <cellStyle name="20% - Accent1 5 2" xfId="9044" xr:uid="{00000000-0005-0000-0000-00002D000000}"/>
    <cellStyle name="20% - Accent1 5 3" xfId="14913" xr:uid="{00000000-0005-0000-0000-00002E000000}"/>
    <cellStyle name="20% - Accent1 6" xfId="94" xr:uid="{00000000-0005-0000-0000-00002F000000}"/>
    <cellStyle name="20% - Accent1 6 2" xfId="8988" xr:uid="{00000000-0005-0000-0000-000030000000}"/>
    <cellStyle name="20% - Accent1 6 3" xfId="14927" xr:uid="{00000000-0005-0000-0000-000031000000}"/>
    <cellStyle name="20% - Accent1 7" xfId="6429" xr:uid="{00000000-0005-0000-0000-000032000000}"/>
    <cellStyle name="20% - Accent1 7 2" xfId="14779" xr:uid="{00000000-0005-0000-0000-000033000000}"/>
    <cellStyle name="20% - Accent1 7 3" xfId="14941" xr:uid="{00000000-0005-0000-0000-000034000000}"/>
    <cellStyle name="20% - Accent1 8" xfId="6442" xr:uid="{00000000-0005-0000-0000-000035000000}"/>
    <cellStyle name="20% - Accent1 8 2" xfId="14792" xr:uid="{00000000-0005-0000-0000-000036000000}"/>
    <cellStyle name="20% - Accent1 8 3" xfId="14958" xr:uid="{00000000-0005-0000-0000-000037000000}"/>
    <cellStyle name="20% - Accent1 9" xfId="6456" xr:uid="{00000000-0005-0000-0000-000038000000}"/>
    <cellStyle name="20% - Accent1 9 2" xfId="14806" xr:uid="{00000000-0005-0000-0000-000039000000}"/>
    <cellStyle name="20% - Accent1 9 3" xfId="15013" xr:uid="{00000000-0005-0000-0000-00003A000000}"/>
    <cellStyle name="20% - Accent1_LNG &amp; LPG rework" xfId="6427" xr:uid="{00000000-0005-0000-0000-00003B000000}"/>
    <cellStyle name="20% - Accent2" xfId="32" xr:uid="{00000000-0005-0000-0000-00003C000000}"/>
    <cellStyle name="20% - Accent2 10" xfId="6491" xr:uid="{00000000-0005-0000-0000-00003D000000}"/>
    <cellStyle name="20% - Accent2 10 2" xfId="14828" xr:uid="{00000000-0005-0000-0000-00003E000000}"/>
    <cellStyle name="20% - Accent2 10 3" xfId="20749" xr:uid="{00000000-0005-0000-0000-00003F000000}"/>
    <cellStyle name="20% - Accent2 11" xfId="6504" xr:uid="{00000000-0005-0000-0000-000040000000}"/>
    <cellStyle name="20% - Accent2 11 2" xfId="14841" xr:uid="{00000000-0005-0000-0000-000041000000}"/>
    <cellStyle name="20% - Accent2 11 3" xfId="20762" xr:uid="{00000000-0005-0000-0000-000042000000}"/>
    <cellStyle name="20% - Accent2 12" xfId="6524" xr:uid="{00000000-0005-0000-0000-000043000000}"/>
    <cellStyle name="20% - Accent2 12 2" xfId="20776" xr:uid="{00000000-0005-0000-0000-000044000000}"/>
    <cellStyle name="20% - Accent2 13" xfId="6561" xr:uid="{00000000-0005-0000-0000-000045000000}"/>
    <cellStyle name="20% - Accent2 13 2" xfId="20793" xr:uid="{00000000-0005-0000-0000-000046000000}"/>
    <cellStyle name="20% - Accent2 14" xfId="8914" xr:uid="{00000000-0005-0000-0000-000047000000}"/>
    <cellStyle name="20% - Accent2 15" xfId="8932" xr:uid="{00000000-0005-0000-0000-000048000000}"/>
    <cellStyle name="20% - Accent2 16" xfId="14858" xr:uid="{00000000-0005-0000-0000-000049000000}"/>
    <cellStyle name="20% - Accent2 17" xfId="29431" xr:uid="{00000000-0005-0000-0000-00004A000000}"/>
    <cellStyle name="20% - Accent2 18" xfId="29474" xr:uid="{00000000-0005-0000-0000-00004B000000}"/>
    <cellStyle name="20% - Accent2 2" xfId="55" xr:uid="{00000000-0005-0000-0000-00004C000000}"/>
    <cellStyle name="20% - Accent2 2 2" xfId="111" xr:uid="{00000000-0005-0000-0000-00004D000000}"/>
    <cellStyle name="20% - Accent2 2 2 2" xfId="9003" xr:uid="{00000000-0005-0000-0000-00004E000000}"/>
    <cellStyle name="20% - Accent2 2 2 3" xfId="14975" xr:uid="{00000000-0005-0000-0000-00004F000000}"/>
    <cellStyle name="20% - Accent2 2 3" xfId="8949" xr:uid="{00000000-0005-0000-0000-000050000000}"/>
    <cellStyle name="20% - Accent2 2 4" xfId="14872" xr:uid="{00000000-0005-0000-0000-000051000000}"/>
    <cellStyle name="20% - Accent2 2_Data - Monthly Commodity Prices" xfId="6366" xr:uid="{00000000-0005-0000-0000-000052000000}"/>
    <cellStyle name="20% - Accent2 3" xfId="56" xr:uid="{00000000-0005-0000-0000-000053000000}"/>
    <cellStyle name="20% - Accent2 3 2" xfId="125" xr:uid="{00000000-0005-0000-0000-000054000000}"/>
    <cellStyle name="20% - Accent2 3 2 2" xfId="9017" xr:uid="{00000000-0005-0000-0000-000055000000}"/>
    <cellStyle name="20% - Accent2 3 2 3" xfId="14989" xr:uid="{00000000-0005-0000-0000-000056000000}"/>
    <cellStyle name="20% - Accent2 3 3" xfId="8963" xr:uid="{00000000-0005-0000-0000-000057000000}"/>
    <cellStyle name="20% - Accent2 3 4" xfId="14886" xr:uid="{00000000-0005-0000-0000-000058000000}"/>
    <cellStyle name="20% - Accent2 3_Data - Monthly Commodity Prices" xfId="6367" xr:uid="{00000000-0005-0000-0000-000059000000}"/>
    <cellStyle name="20% - Accent2 4" xfId="57" xr:uid="{00000000-0005-0000-0000-00005A000000}"/>
    <cellStyle name="20% - Accent2 4 2" xfId="145" xr:uid="{00000000-0005-0000-0000-00005B000000}"/>
    <cellStyle name="20% - Accent2 4 2 2" xfId="9032" xr:uid="{00000000-0005-0000-0000-00005C000000}"/>
    <cellStyle name="20% - Accent2 4 2 3" xfId="15000" xr:uid="{00000000-0005-0000-0000-00005D000000}"/>
    <cellStyle name="20% - Accent2 4 2 4" xfId="7813" xr:uid="{00000000-0005-0000-0000-00005E000000}"/>
    <cellStyle name="20% - Accent2 4 3" xfId="8974" xr:uid="{00000000-0005-0000-0000-00005F000000}"/>
    <cellStyle name="20% - Accent2 4 4" xfId="14901" xr:uid="{00000000-0005-0000-0000-000060000000}"/>
    <cellStyle name="20% - Accent2 4_LNG &amp; LPG rework" xfId="6540" xr:uid="{00000000-0005-0000-0000-000061000000}"/>
    <cellStyle name="20% - Accent2 5" xfId="159" xr:uid="{00000000-0005-0000-0000-000062000000}"/>
    <cellStyle name="20% - Accent2 5 2" xfId="9046" xr:uid="{00000000-0005-0000-0000-000063000000}"/>
    <cellStyle name="20% - Accent2 5 3" xfId="14915" xr:uid="{00000000-0005-0000-0000-000064000000}"/>
    <cellStyle name="20% - Accent2 6" xfId="96" xr:uid="{00000000-0005-0000-0000-000065000000}"/>
    <cellStyle name="20% - Accent2 6 2" xfId="8990" xr:uid="{00000000-0005-0000-0000-000066000000}"/>
    <cellStyle name="20% - Accent2 6 3" xfId="14929" xr:uid="{00000000-0005-0000-0000-000067000000}"/>
    <cellStyle name="20% - Accent2 7" xfId="6431" xr:uid="{00000000-0005-0000-0000-000068000000}"/>
    <cellStyle name="20% - Accent2 7 2" xfId="14781" xr:uid="{00000000-0005-0000-0000-000069000000}"/>
    <cellStyle name="20% - Accent2 7 3" xfId="14943" xr:uid="{00000000-0005-0000-0000-00006A000000}"/>
    <cellStyle name="20% - Accent2 8" xfId="6444" xr:uid="{00000000-0005-0000-0000-00006B000000}"/>
    <cellStyle name="20% - Accent2 8 2" xfId="14794" xr:uid="{00000000-0005-0000-0000-00006C000000}"/>
    <cellStyle name="20% - Accent2 8 3" xfId="14960" xr:uid="{00000000-0005-0000-0000-00006D000000}"/>
    <cellStyle name="20% - Accent2 9" xfId="6458" xr:uid="{00000000-0005-0000-0000-00006E000000}"/>
    <cellStyle name="20% - Accent2 9 2" xfId="14808" xr:uid="{00000000-0005-0000-0000-00006F000000}"/>
    <cellStyle name="20% - Accent2 9 3" xfId="15015" xr:uid="{00000000-0005-0000-0000-000070000000}"/>
    <cellStyle name="20% - Accent2_LNG &amp; LPG rework" xfId="6426" xr:uid="{00000000-0005-0000-0000-000071000000}"/>
    <cellStyle name="20% - Accent3" xfId="34" xr:uid="{00000000-0005-0000-0000-000072000000}"/>
    <cellStyle name="20% - Accent3 10" xfId="6493" xr:uid="{00000000-0005-0000-0000-000073000000}"/>
    <cellStyle name="20% - Accent3 10 2" xfId="14830" xr:uid="{00000000-0005-0000-0000-000074000000}"/>
    <cellStyle name="20% - Accent3 10 3" xfId="20751" xr:uid="{00000000-0005-0000-0000-000075000000}"/>
    <cellStyle name="20% - Accent3 11" xfId="6506" xr:uid="{00000000-0005-0000-0000-000076000000}"/>
    <cellStyle name="20% - Accent3 11 2" xfId="14843" xr:uid="{00000000-0005-0000-0000-000077000000}"/>
    <cellStyle name="20% - Accent3 11 3" xfId="20764" xr:uid="{00000000-0005-0000-0000-000078000000}"/>
    <cellStyle name="20% - Accent3 12" xfId="6526" xr:uid="{00000000-0005-0000-0000-000079000000}"/>
    <cellStyle name="20% - Accent3 12 2" xfId="20778" xr:uid="{00000000-0005-0000-0000-00007A000000}"/>
    <cellStyle name="20% - Accent3 13" xfId="6563" xr:uid="{00000000-0005-0000-0000-00007B000000}"/>
    <cellStyle name="20% - Accent3 13 2" xfId="20795" xr:uid="{00000000-0005-0000-0000-00007C000000}"/>
    <cellStyle name="20% - Accent3 14" xfId="8916" xr:uid="{00000000-0005-0000-0000-00007D000000}"/>
    <cellStyle name="20% - Accent3 15" xfId="8934" xr:uid="{00000000-0005-0000-0000-00007E000000}"/>
    <cellStyle name="20% - Accent3 16" xfId="14860" xr:uid="{00000000-0005-0000-0000-00007F000000}"/>
    <cellStyle name="20% - Accent3 17" xfId="29433" xr:uid="{00000000-0005-0000-0000-000080000000}"/>
    <cellStyle name="20% - Accent3 18" xfId="29476" xr:uid="{00000000-0005-0000-0000-000081000000}"/>
    <cellStyle name="20% - Accent3 2" xfId="58" xr:uid="{00000000-0005-0000-0000-000082000000}"/>
    <cellStyle name="20% - Accent3 2 2" xfId="113" xr:uid="{00000000-0005-0000-0000-000083000000}"/>
    <cellStyle name="20% - Accent3 2 2 2" xfId="9005" xr:uid="{00000000-0005-0000-0000-000084000000}"/>
    <cellStyle name="20% - Accent3 2 2 3" xfId="14977" xr:uid="{00000000-0005-0000-0000-000085000000}"/>
    <cellStyle name="20% - Accent3 2 3" xfId="8951" xr:uid="{00000000-0005-0000-0000-000086000000}"/>
    <cellStyle name="20% - Accent3 2 4" xfId="14874" xr:uid="{00000000-0005-0000-0000-000087000000}"/>
    <cellStyle name="20% - Accent3 2_Data - Monthly Commodity Prices" xfId="6368" xr:uid="{00000000-0005-0000-0000-000088000000}"/>
    <cellStyle name="20% - Accent3 3" xfId="59" xr:uid="{00000000-0005-0000-0000-000089000000}"/>
    <cellStyle name="20% - Accent3 3 2" xfId="127" xr:uid="{00000000-0005-0000-0000-00008A000000}"/>
    <cellStyle name="20% - Accent3 3 2 2" xfId="9019" xr:uid="{00000000-0005-0000-0000-00008B000000}"/>
    <cellStyle name="20% - Accent3 3 2 3" xfId="14991" xr:uid="{00000000-0005-0000-0000-00008C000000}"/>
    <cellStyle name="20% - Accent3 3 3" xfId="8965" xr:uid="{00000000-0005-0000-0000-00008D000000}"/>
    <cellStyle name="20% - Accent3 3 4" xfId="14888" xr:uid="{00000000-0005-0000-0000-00008E000000}"/>
    <cellStyle name="20% - Accent3 3_Data - Monthly Commodity Prices" xfId="6369" xr:uid="{00000000-0005-0000-0000-00008F000000}"/>
    <cellStyle name="20% - Accent3 4" xfId="60" xr:uid="{00000000-0005-0000-0000-000090000000}"/>
    <cellStyle name="20% - Accent3 4 2" xfId="147" xr:uid="{00000000-0005-0000-0000-000091000000}"/>
    <cellStyle name="20% - Accent3 4 2 2" xfId="9034" xr:uid="{00000000-0005-0000-0000-000092000000}"/>
    <cellStyle name="20% - Accent3 4 2 3" xfId="15001" xr:uid="{00000000-0005-0000-0000-000093000000}"/>
    <cellStyle name="20% - Accent3 4 2 4" xfId="7814" xr:uid="{00000000-0005-0000-0000-000094000000}"/>
    <cellStyle name="20% - Accent3 4 3" xfId="8975" xr:uid="{00000000-0005-0000-0000-000095000000}"/>
    <cellStyle name="20% - Accent3 4 4" xfId="14903" xr:uid="{00000000-0005-0000-0000-000096000000}"/>
    <cellStyle name="20% - Accent3 4_LNG &amp; LPG rework" xfId="6539" xr:uid="{00000000-0005-0000-0000-000097000000}"/>
    <cellStyle name="20% - Accent3 5" xfId="161" xr:uid="{00000000-0005-0000-0000-000098000000}"/>
    <cellStyle name="20% - Accent3 5 2" xfId="9048" xr:uid="{00000000-0005-0000-0000-000099000000}"/>
    <cellStyle name="20% - Accent3 5 3" xfId="14917" xr:uid="{00000000-0005-0000-0000-00009A000000}"/>
    <cellStyle name="20% - Accent3 6" xfId="98" xr:uid="{00000000-0005-0000-0000-00009B000000}"/>
    <cellStyle name="20% - Accent3 6 2" xfId="8992" xr:uid="{00000000-0005-0000-0000-00009C000000}"/>
    <cellStyle name="20% - Accent3 6 3" xfId="14931" xr:uid="{00000000-0005-0000-0000-00009D000000}"/>
    <cellStyle name="20% - Accent3 7" xfId="6433" xr:uid="{00000000-0005-0000-0000-00009E000000}"/>
    <cellStyle name="20% - Accent3 7 2" xfId="14783" xr:uid="{00000000-0005-0000-0000-00009F000000}"/>
    <cellStyle name="20% - Accent3 7 3" xfId="14945" xr:uid="{00000000-0005-0000-0000-0000A0000000}"/>
    <cellStyle name="20% - Accent3 8" xfId="6446" xr:uid="{00000000-0005-0000-0000-0000A1000000}"/>
    <cellStyle name="20% - Accent3 8 2" xfId="14796" xr:uid="{00000000-0005-0000-0000-0000A2000000}"/>
    <cellStyle name="20% - Accent3 8 3" xfId="14962" xr:uid="{00000000-0005-0000-0000-0000A3000000}"/>
    <cellStyle name="20% - Accent3 9" xfId="6460" xr:uid="{00000000-0005-0000-0000-0000A4000000}"/>
    <cellStyle name="20% - Accent3 9 2" xfId="14810" xr:uid="{00000000-0005-0000-0000-0000A5000000}"/>
    <cellStyle name="20% - Accent3 9 3" xfId="15017" xr:uid="{00000000-0005-0000-0000-0000A6000000}"/>
    <cellStyle name="20% - Accent3_LNG &amp; LPG rework" xfId="6423" xr:uid="{00000000-0005-0000-0000-0000A7000000}"/>
    <cellStyle name="20% - Accent4" xfId="36" xr:uid="{00000000-0005-0000-0000-0000A8000000}"/>
    <cellStyle name="20% - Accent4 10" xfId="6495" xr:uid="{00000000-0005-0000-0000-0000A9000000}"/>
    <cellStyle name="20% - Accent4 10 2" xfId="14832" xr:uid="{00000000-0005-0000-0000-0000AA000000}"/>
    <cellStyle name="20% - Accent4 10 3" xfId="20753" xr:uid="{00000000-0005-0000-0000-0000AB000000}"/>
    <cellStyle name="20% - Accent4 11" xfId="6508" xr:uid="{00000000-0005-0000-0000-0000AC000000}"/>
    <cellStyle name="20% - Accent4 11 2" xfId="14845" xr:uid="{00000000-0005-0000-0000-0000AD000000}"/>
    <cellStyle name="20% - Accent4 11 3" xfId="20766" xr:uid="{00000000-0005-0000-0000-0000AE000000}"/>
    <cellStyle name="20% - Accent4 12" xfId="6528" xr:uid="{00000000-0005-0000-0000-0000AF000000}"/>
    <cellStyle name="20% - Accent4 12 2" xfId="20780" xr:uid="{00000000-0005-0000-0000-0000B0000000}"/>
    <cellStyle name="20% - Accent4 13" xfId="6565" xr:uid="{00000000-0005-0000-0000-0000B1000000}"/>
    <cellStyle name="20% - Accent4 13 2" xfId="20797" xr:uid="{00000000-0005-0000-0000-0000B2000000}"/>
    <cellStyle name="20% - Accent4 14" xfId="8918" xr:uid="{00000000-0005-0000-0000-0000B3000000}"/>
    <cellStyle name="20% - Accent4 15" xfId="8936" xr:uid="{00000000-0005-0000-0000-0000B4000000}"/>
    <cellStyle name="20% - Accent4 16" xfId="14862" xr:uid="{00000000-0005-0000-0000-0000B5000000}"/>
    <cellStyle name="20% - Accent4 17" xfId="29435" xr:uid="{00000000-0005-0000-0000-0000B6000000}"/>
    <cellStyle name="20% - Accent4 18" xfId="29478" xr:uid="{00000000-0005-0000-0000-0000B7000000}"/>
    <cellStyle name="20% - Accent4 2" xfId="61" xr:uid="{00000000-0005-0000-0000-0000B8000000}"/>
    <cellStyle name="20% - Accent4 2 2" xfId="115" xr:uid="{00000000-0005-0000-0000-0000B9000000}"/>
    <cellStyle name="20% - Accent4 2 2 2" xfId="9007" xr:uid="{00000000-0005-0000-0000-0000BA000000}"/>
    <cellStyle name="20% - Accent4 2 2 3" xfId="14979" xr:uid="{00000000-0005-0000-0000-0000BB000000}"/>
    <cellStyle name="20% - Accent4 2 3" xfId="8953" xr:uid="{00000000-0005-0000-0000-0000BC000000}"/>
    <cellStyle name="20% - Accent4 2 4" xfId="14876" xr:uid="{00000000-0005-0000-0000-0000BD000000}"/>
    <cellStyle name="20% - Accent4 2_Data - Monthly Commodity Prices" xfId="6370" xr:uid="{00000000-0005-0000-0000-0000BE000000}"/>
    <cellStyle name="20% - Accent4 3" xfId="62" xr:uid="{00000000-0005-0000-0000-0000BF000000}"/>
    <cellStyle name="20% - Accent4 3 2" xfId="129" xr:uid="{00000000-0005-0000-0000-0000C0000000}"/>
    <cellStyle name="20% - Accent4 3 2 2" xfId="9021" xr:uid="{00000000-0005-0000-0000-0000C1000000}"/>
    <cellStyle name="20% - Accent4 3 2 3" xfId="14993" xr:uid="{00000000-0005-0000-0000-0000C2000000}"/>
    <cellStyle name="20% - Accent4 3 3" xfId="8967" xr:uid="{00000000-0005-0000-0000-0000C3000000}"/>
    <cellStyle name="20% - Accent4 3 4" xfId="14890" xr:uid="{00000000-0005-0000-0000-0000C4000000}"/>
    <cellStyle name="20% - Accent4 3_Data - Monthly Commodity Prices" xfId="6371" xr:uid="{00000000-0005-0000-0000-0000C5000000}"/>
    <cellStyle name="20% - Accent4 4" xfId="63" xr:uid="{00000000-0005-0000-0000-0000C6000000}"/>
    <cellStyle name="20% - Accent4 4 2" xfId="149" xr:uid="{00000000-0005-0000-0000-0000C7000000}"/>
    <cellStyle name="20% - Accent4 4 2 2" xfId="9036" xr:uid="{00000000-0005-0000-0000-0000C8000000}"/>
    <cellStyle name="20% - Accent4 4 2 3" xfId="15002" xr:uid="{00000000-0005-0000-0000-0000C9000000}"/>
    <cellStyle name="20% - Accent4 4 2 4" xfId="7815" xr:uid="{00000000-0005-0000-0000-0000CA000000}"/>
    <cellStyle name="20% - Accent4 4 3" xfId="8976" xr:uid="{00000000-0005-0000-0000-0000CB000000}"/>
    <cellStyle name="20% - Accent4 4 4" xfId="14905" xr:uid="{00000000-0005-0000-0000-0000CC000000}"/>
    <cellStyle name="20% - Accent4 4_LNG &amp; LPG rework" xfId="6537" xr:uid="{00000000-0005-0000-0000-0000CD000000}"/>
    <cellStyle name="20% - Accent4 5" xfId="163" xr:uid="{00000000-0005-0000-0000-0000CE000000}"/>
    <cellStyle name="20% - Accent4 5 2" xfId="9050" xr:uid="{00000000-0005-0000-0000-0000CF000000}"/>
    <cellStyle name="20% - Accent4 5 3" xfId="14919" xr:uid="{00000000-0005-0000-0000-0000D0000000}"/>
    <cellStyle name="20% - Accent4 6" xfId="100" xr:uid="{00000000-0005-0000-0000-0000D1000000}"/>
    <cellStyle name="20% - Accent4 6 2" xfId="8994" xr:uid="{00000000-0005-0000-0000-0000D2000000}"/>
    <cellStyle name="20% - Accent4 6 3" xfId="14933" xr:uid="{00000000-0005-0000-0000-0000D3000000}"/>
    <cellStyle name="20% - Accent4 7" xfId="6435" xr:uid="{00000000-0005-0000-0000-0000D4000000}"/>
    <cellStyle name="20% - Accent4 7 2" xfId="14785" xr:uid="{00000000-0005-0000-0000-0000D5000000}"/>
    <cellStyle name="20% - Accent4 7 3" xfId="14947" xr:uid="{00000000-0005-0000-0000-0000D6000000}"/>
    <cellStyle name="20% - Accent4 8" xfId="6448" xr:uid="{00000000-0005-0000-0000-0000D7000000}"/>
    <cellStyle name="20% - Accent4 8 2" xfId="14798" xr:uid="{00000000-0005-0000-0000-0000D8000000}"/>
    <cellStyle name="20% - Accent4 8 3" xfId="14964" xr:uid="{00000000-0005-0000-0000-0000D9000000}"/>
    <cellStyle name="20% - Accent4 9" xfId="6462" xr:uid="{00000000-0005-0000-0000-0000DA000000}"/>
    <cellStyle name="20% - Accent4 9 2" xfId="14812" xr:uid="{00000000-0005-0000-0000-0000DB000000}"/>
    <cellStyle name="20% - Accent4 9 3" xfId="15019" xr:uid="{00000000-0005-0000-0000-0000DC000000}"/>
    <cellStyle name="20% - Accent4_LNG &amp; LPG rework" xfId="6473" xr:uid="{00000000-0005-0000-0000-0000DD000000}"/>
    <cellStyle name="20% - Accent5" xfId="38" xr:uid="{00000000-0005-0000-0000-0000DE000000}"/>
    <cellStyle name="20% - Accent5 10" xfId="6497" xr:uid="{00000000-0005-0000-0000-0000DF000000}"/>
    <cellStyle name="20% - Accent5 10 2" xfId="14834" xr:uid="{00000000-0005-0000-0000-0000E0000000}"/>
    <cellStyle name="20% - Accent5 10 3" xfId="20755" xr:uid="{00000000-0005-0000-0000-0000E1000000}"/>
    <cellStyle name="20% - Accent5 11" xfId="6510" xr:uid="{00000000-0005-0000-0000-0000E2000000}"/>
    <cellStyle name="20% - Accent5 11 2" xfId="14847" xr:uid="{00000000-0005-0000-0000-0000E3000000}"/>
    <cellStyle name="20% - Accent5 11 3" xfId="20768" xr:uid="{00000000-0005-0000-0000-0000E4000000}"/>
    <cellStyle name="20% - Accent5 12" xfId="6530" xr:uid="{00000000-0005-0000-0000-0000E5000000}"/>
    <cellStyle name="20% - Accent5 12 2" xfId="20782" xr:uid="{00000000-0005-0000-0000-0000E6000000}"/>
    <cellStyle name="20% - Accent5 13" xfId="6567" xr:uid="{00000000-0005-0000-0000-0000E7000000}"/>
    <cellStyle name="20% - Accent5 13 2" xfId="20799" xr:uid="{00000000-0005-0000-0000-0000E8000000}"/>
    <cellStyle name="20% - Accent5 14" xfId="8920" xr:uid="{00000000-0005-0000-0000-0000E9000000}"/>
    <cellStyle name="20% - Accent5 15" xfId="8938" xr:uid="{00000000-0005-0000-0000-0000EA000000}"/>
    <cellStyle name="20% - Accent5 16" xfId="14864" xr:uid="{00000000-0005-0000-0000-0000EB000000}"/>
    <cellStyle name="20% - Accent5 17" xfId="29437" xr:uid="{00000000-0005-0000-0000-0000EC000000}"/>
    <cellStyle name="20% - Accent5 18" xfId="29480" xr:uid="{00000000-0005-0000-0000-0000ED000000}"/>
    <cellStyle name="20% - Accent5 2" xfId="64" xr:uid="{00000000-0005-0000-0000-0000EE000000}"/>
    <cellStyle name="20% - Accent5 2 2" xfId="117" xr:uid="{00000000-0005-0000-0000-0000EF000000}"/>
    <cellStyle name="20% - Accent5 2 2 2" xfId="9009" xr:uid="{00000000-0005-0000-0000-0000F0000000}"/>
    <cellStyle name="20% - Accent5 2 2 3" xfId="14981" xr:uid="{00000000-0005-0000-0000-0000F1000000}"/>
    <cellStyle name="20% - Accent5 2 3" xfId="8955" xr:uid="{00000000-0005-0000-0000-0000F2000000}"/>
    <cellStyle name="20% - Accent5 2 4" xfId="14878" xr:uid="{00000000-0005-0000-0000-0000F3000000}"/>
    <cellStyle name="20% - Accent5 2_Data - Monthly Commodity Prices" xfId="6372" xr:uid="{00000000-0005-0000-0000-0000F4000000}"/>
    <cellStyle name="20% - Accent5 3" xfId="65" xr:uid="{00000000-0005-0000-0000-0000F5000000}"/>
    <cellStyle name="20% - Accent5 3 2" xfId="131" xr:uid="{00000000-0005-0000-0000-0000F6000000}"/>
    <cellStyle name="20% - Accent5 3 2 2" xfId="9023" xr:uid="{00000000-0005-0000-0000-0000F7000000}"/>
    <cellStyle name="20% - Accent5 3 2 3" xfId="14995" xr:uid="{00000000-0005-0000-0000-0000F8000000}"/>
    <cellStyle name="20% - Accent5 3 3" xfId="8969" xr:uid="{00000000-0005-0000-0000-0000F9000000}"/>
    <cellStyle name="20% - Accent5 3 4" xfId="14892" xr:uid="{00000000-0005-0000-0000-0000FA000000}"/>
    <cellStyle name="20% - Accent5 3_LNG &amp; LPG rework" xfId="6543" xr:uid="{00000000-0005-0000-0000-0000FB000000}"/>
    <cellStyle name="20% - Accent5 4" xfId="87" xr:uid="{00000000-0005-0000-0000-0000FC000000}"/>
    <cellStyle name="20% - Accent5 4 2" xfId="151" xr:uid="{00000000-0005-0000-0000-0000FD000000}"/>
    <cellStyle name="20% - Accent5 4 2 2" xfId="9038" xr:uid="{00000000-0005-0000-0000-0000FE000000}"/>
    <cellStyle name="20% - Accent5 4 2 3" xfId="7822" xr:uid="{00000000-0005-0000-0000-0000FF000000}"/>
    <cellStyle name="20% - Accent5 4 3" xfId="14907" xr:uid="{00000000-0005-0000-0000-000000010000}"/>
    <cellStyle name="20% - Accent5 4_Data - Monthly Commodity Prices" xfId="6373" xr:uid="{00000000-0005-0000-0000-000001010000}"/>
    <cellStyle name="20% - Accent5 5" xfId="165" xr:uid="{00000000-0005-0000-0000-000002010000}"/>
    <cellStyle name="20% - Accent5 5 2" xfId="9052" xr:uid="{00000000-0005-0000-0000-000003010000}"/>
    <cellStyle name="20% - Accent5 5 3" xfId="14921" xr:uid="{00000000-0005-0000-0000-000004010000}"/>
    <cellStyle name="20% - Accent5 6" xfId="102" xr:uid="{00000000-0005-0000-0000-000005010000}"/>
    <cellStyle name="20% - Accent5 6 2" xfId="8996" xr:uid="{00000000-0005-0000-0000-000006010000}"/>
    <cellStyle name="20% - Accent5 6 3" xfId="14935" xr:uid="{00000000-0005-0000-0000-000007010000}"/>
    <cellStyle name="20% - Accent5 7" xfId="6437" xr:uid="{00000000-0005-0000-0000-000008010000}"/>
    <cellStyle name="20% - Accent5 7 2" xfId="14787" xr:uid="{00000000-0005-0000-0000-000009010000}"/>
    <cellStyle name="20% - Accent5 7 3" xfId="14949" xr:uid="{00000000-0005-0000-0000-00000A010000}"/>
    <cellStyle name="20% - Accent5 8" xfId="6450" xr:uid="{00000000-0005-0000-0000-00000B010000}"/>
    <cellStyle name="20% - Accent5 8 2" xfId="14800" xr:uid="{00000000-0005-0000-0000-00000C010000}"/>
    <cellStyle name="20% - Accent5 8 3" xfId="14966" xr:uid="{00000000-0005-0000-0000-00000D010000}"/>
    <cellStyle name="20% - Accent5 9" xfId="6464" xr:uid="{00000000-0005-0000-0000-00000E010000}"/>
    <cellStyle name="20% - Accent5 9 2" xfId="14814" xr:uid="{00000000-0005-0000-0000-00000F010000}"/>
    <cellStyle name="20% - Accent5 9 3" xfId="15021" xr:uid="{00000000-0005-0000-0000-000010010000}"/>
    <cellStyle name="20% - Accent5_LNG &amp; LPG rework" xfId="6468" xr:uid="{00000000-0005-0000-0000-000011010000}"/>
    <cellStyle name="20% - Accent6" xfId="40" xr:uid="{00000000-0005-0000-0000-000012010000}"/>
    <cellStyle name="20% - Accent6 10" xfId="6499" xr:uid="{00000000-0005-0000-0000-000013010000}"/>
    <cellStyle name="20% - Accent6 10 2" xfId="14836" xr:uid="{00000000-0005-0000-0000-000014010000}"/>
    <cellStyle name="20% - Accent6 10 3" xfId="20757" xr:uid="{00000000-0005-0000-0000-000015010000}"/>
    <cellStyle name="20% - Accent6 11" xfId="6512" xr:uid="{00000000-0005-0000-0000-000016010000}"/>
    <cellStyle name="20% - Accent6 11 2" xfId="14849" xr:uid="{00000000-0005-0000-0000-000017010000}"/>
    <cellStyle name="20% - Accent6 11 3" xfId="20770" xr:uid="{00000000-0005-0000-0000-000018010000}"/>
    <cellStyle name="20% - Accent6 12" xfId="6532" xr:uid="{00000000-0005-0000-0000-000019010000}"/>
    <cellStyle name="20% - Accent6 12 2" xfId="20784" xr:uid="{00000000-0005-0000-0000-00001A010000}"/>
    <cellStyle name="20% - Accent6 13" xfId="6569" xr:uid="{00000000-0005-0000-0000-00001B010000}"/>
    <cellStyle name="20% - Accent6 13 2" xfId="20801" xr:uid="{00000000-0005-0000-0000-00001C010000}"/>
    <cellStyle name="20% - Accent6 14" xfId="8922" xr:uid="{00000000-0005-0000-0000-00001D010000}"/>
    <cellStyle name="20% - Accent6 15" xfId="8940" xr:uid="{00000000-0005-0000-0000-00001E010000}"/>
    <cellStyle name="20% - Accent6 16" xfId="14866" xr:uid="{00000000-0005-0000-0000-00001F010000}"/>
    <cellStyle name="20% - Accent6 17" xfId="29439" xr:uid="{00000000-0005-0000-0000-000020010000}"/>
    <cellStyle name="20% - Accent6 18" xfId="29482" xr:uid="{00000000-0005-0000-0000-000021010000}"/>
    <cellStyle name="20% - Accent6 2" xfId="66" xr:uid="{00000000-0005-0000-0000-000022010000}"/>
    <cellStyle name="20% - Accent6 2 2" xfId="119" xr:uid="{00000000-0005-0000-0000-000023010000}"/>
    <cellStyle name="20% - Accent6 2 2 2" xfId="9011" xr:uid="{00000000-0005-0000-0000-000024010000}"/>
    <cellStyle name="20% - Accent6 2 2 3" xfId="14983" xr:uid="{00000000-0005-0000-0000-000025010000}"/>
    <cellStyle name="20% - Accent6 2 3" xfId="8957" xr:uid="{00000000-0005-0000-0000-000026010000}"/>
    <cellStyle name="20% - Accent6 2 4" xfId="14880" xr:uid="{00000000-0005-0000-0000-000027010000}"/>
    <cellStyle name="20% - Accent6 2_Data - Monthly Commodity Prices" xfId="6374" xr:uid="{00000000-0005-0000-0000-000028010000}"/>
    <cellStyle name="20% - Accent6 3" xfId="67" xr:uid="{00000000-0005-0000-0000-000029010000}"/>
    <cellStyle name="20% - Accent6 3 2" xfId="133" xr:uid="{00000000-0005-0000-0000-00002A010000}"/>
    <cellStyle name="20% - Accent6 3 2 2" xfId="9025" xr:uid="{00000000-0005-0000-0000-00002B010000}"/>
    <cellStyle name="20% - Accent6 3 2 3" xfId="14997" xr:uid="{00000000-0005-0000-0000-00002C010000}"/>
    <cellStyle name="20% - Accent6 3 3" xfId="8971" xr:uid="{00000000-0005-0000-0000-00002D010000}"/>
    <cellStyle name="20% - Accent6 3 4" xfId="14894" xr:uid="{00000000-0005-0000-0000-00002E010000}"/>
    <cellStyle name="20% - Accent6 3_Data - Monthly Commodity Prices" xfId="6375" xr:uid="{00000000-0005-0000-0000-00002F010000}"/>
    <cellStyle name="20% - Accent6 4" xfId="68" xr:uid="{00000000-0005-0000-0000-000030010000}"/>
    <cellStyle name="20% - Accent6 4 2" xfId="153" xr:uid="{00000000-0005-0000-0000-000031010000}"/>
    <cellStyle name="20% - Accent6 4 2 2" xfId="9040" xr:uid="{00000000-0005-0000-0000-000032010000}"/>
    <cellStyle name="20% - Accent6 4 2 3" xfId="15003" xr:uid="{00000000-0005-0000-0000-000033010000}"/>
    <cellStyle name="20% - Accent6 4 2 4" xfId="7816" xr:uid="{00000000-0005-0000-0000-000034010000}"/>
    <cellStyle name="20% - Accent6 4 3" xfId="8977" xr:uid="{00000000-0005-0000-0000-000035010000}"/>
    <cellStyle name="20% - Accent6 4 4" xfId="14909" xr:uid="{00000000-0005-0000-0000-000036010000}"/>
    <cellStyle name="20% - Accent6 4_LNG &amp; LPG rework" xfId="6542" xr:uid="{00000000-0005-0000-0000-000037010000}"/>
    <cellStyle name="20% - Accent6 5" xfId="167" xr:uid="{00000000-0005-0000-0000-000038010000}"/>
    <cellStyle name="20% - Accent6 5 2" xfId="9054" xr:uid="{00000000-0005-0000-0000-000039010000}"/>
    <cellStyle name="20% - Accent6 5 3" xfId="14923" xr:uid="{00000000-0005-0000-0000-00003A010000}"/>
    <cellStyle name="20% - Accent6 6" xfId="104" xr:uid="{00000000-0005-0000-0000-00003B010000}"/>
    <cellStyle name="20% - Accent6 6 2" xfId="8998" xr:uid="{00000000-0005-0000-0000-00003C010000}"/>
    <cellStyle name="20% - Accent6 6 3" xfId="14937" xr:uid="{00000000-0005-0000-0000-00003D010000}"/>
    <cellStyle name="20% - Accent6 7" xfId="6439" xr:uid="{00000000-0005-0000-0000-00003E010000}"/>
    <cellStyle name="20% - Accent6 7 2" xfId="14789" xr:uid="{00000000-0005-0000-0000-00003F010000}"/>
    <cellStyle name="20% - Accent6 7 3" xfId="14951" xr:uid="{00000000-0005-0000-0000-000040010000}"/>
    <cellStyle name="20% - Accent6 8" xfId="6452" xr:uid="{00000000-0005-0000-0000-000041010000}"/>
    <cellStyle name="20% - Accent6 8 2" xfId="14802" xr:uid="{00000000-0005-0000-0000-000042010000}"/>
    <cellStyle name="20% - Accent6 8 3" xfId="14968" xr:uid="{00000000-0005-0000-0000-000043010000}"/>
    <cellStyle name="20% - Accent6 9" xfId="6466" xr:uid="{00000000-0005-0000-0000-000044010000}"/>
    <cellStyle name="20% - Accent6 9 2" xfId="14816" xr:uid="{00000000-0005-0000-0000-000045010000}"/>
    <cellStyle name="20% - Accent6 9 3" xfId="15023" xr:uid="{00000000-0005-0000-0000-000046010000}"/>
    <cellStyle name="20% - Accent6_LNG &amp; LPG rework" xfId="6424" xr:uid="{00000000-0005-0000-0000-000047010000}"/>
    <cellStyle name="40 % - Accent1" xfId="169" xr:uid="{00000000-0005-0000-0000-000048010000}"/>
    <cellStyle name="40 % - Accent2" xfId="226" xr:uid="{00000000-0005-0000-0000-000049010000}"/>
    <cellStyle name="40 % - Accent3" xfId="190" xr:uid="{00000000-0005-0000-0000-00004A010000}"/>
    <cellStyle name="40 % - Accent4" xfId="172" xr:uid="{00000000-0005-0000-0000-00004B010000}"/>
    <cellStyle name="40 % - Accent5" xfId="213" xr:uid="{00000000-0005-0000-0000-00004C010000}"/>
    <cellStyle name="40 % - Accent6" xfId="227" xr:uid="{00000000-0005-0000-0000-00004D010000}"/>
    <cellStyle name="40% - Accent1" xfId="31" xr:uid="{00000000-0005-0000-0000-00004E010000}"/>
    <cellStyle name="40% - Accent1 10" xfId="6490" xr:uid="{00000000-0005-0000-0000-00004F010000}"/>
    <cellStyle name="40% - Accent1 10 2" xfId="14827" xr:uid="{00000000-0005-0000-0000-000050010000}"/>
    <cellStyle name="40% - Accent1 10 3" xfId="20748" xr:uid="{00000000-0005-0000-0000-000051010000}"/>
    <cellStyle name="40% - Accent1 11" xfId="6503" xr:uid="{00000000-0005-0000-0000-000052010000}"/>
    <cellStyle name="40% - Accent1 11 2" xfId="14840" xr:uid="{00000000-0005-0000-0000-000053010000}"/>
    <cellStyle name="40% - Accent1 11 3" xfId="20761" xr:uid="{00000000-0005-0000-0000-000054010000}"/>
    <cellStyle name="40% - Accent1 12" xfId="6523" xr:uid="{00000000-0005-0000-0000-000055010000}"/>
    <cellStyle name="40% - Accent1 12 2" xfId="20775" xr:uid="{00000000-0005-0000-0000-000056010000}"/>
    <cellStyle name="40% - Accent1 13" xfId="6560" xr:uid="{00000000-0005-0000-0000-000057010000}"/>
    <cellStyle name="40% - Accent1 13 2" xfId="20792" xr:uid="{00000000-0005-0000-0000-000058010000}"/>
    <cellStyle name="40% - Accent1 14" xfId="8913" xr:uid="{00000000-0005-0000-0000-000059010000}"/>
    <cellStyle name="40% - Accent1 15" xfId="8931" xr:uid="{00000000-0005-0000-0000-00005A010000}"/>
    <cellStyle name="40% - Accent1 16" xfId="14857" xr:uid="{00000000-0005-0000-0000-00005B010000}"/>
    <cellStyle name="40% - Accent1 17" xfId="29430" xr:uid="{00000000-0005-0000-0000-00005C010000}"/>
    <cellStyle name="40% - Accent1 18" xfId="29473" xr:uid="{00000000-0005-0000-0000-00005D010000}"/>
    <cellStyle name="40% - Accent1 2" xfId="69" xr:uid="{00000000-0005-0000-0000-00005E010000}"/>
    <cellStyle name="40% - Accent1 2 2" xfId="110" xr:uid="{00000000-0005-0000-0000-00005F010000}"/>
    <cellStyle name="40% - Accent1 2 2 2" xfId="9002" xr:uid="{00000000-0005-0000-0000-000060010000}"/>
    <cellStyle name="40% - Accent1 2 2 3" xfId="14974" xr:uid="{00000000-0005-0000-0000-000061010000}"/>
    <cellStyle name="40% - Accent1 2 3" xfId="8948" xr:uid="{00000000-0005-0000-0000-000062010000}"/>
    <cellStyle name="40% - Accent1 2 4" xfId="14871" xr:uid="{00000000-0005-0000-0000-000063010000}"/>
    <cellStyle name="40% - Accent1 2_Data - Monthly Commodity Prices" xfId="6376" xr:uid="{00000000-0005-0000-0000-000064010000}"/>
    <cellStyle name="40% - Accent1 3" xfId="70" xr:uid="{00000000-0005-0000-0000-000065010000}"/>
    <cellStyle name="40% - Accent1 3 2" xfId="124" xr:uid="{00000000-0005-0000-0000-000066010000}"/>
    <cellStyle name="40% - Accent1 3 2 2" xfId="9016" xr:uid="{00000000-0005-0000-0000-000067010000}"/>
    <cellStyle name="40% - Accent1 3 2 3" xfId="14988" xr:uid="{00000000-0005-0000-0000-000068010000}"/>
    <cellStyle name="40% - Accent1 3 3" xfId="8962" xr:uid="{00000000-0005-0000-0000-000069010000}"/>
    <cellStyle name="40% - Accent1 3 4" xfId="14885" xr:uid="{00000000-0005-0000-0000-00006A010000}"/>
    <cellStyle name="40% - Accent1 3_Data - Monthly Commodity Prices" xfId="6377" xr:uid="{00000000-0005-0000-0000-00006B010000}"/>
    <cellStyle name="40% - Accent1 4" xfId="71" xr:uid="{00000000-0005-0000-0000-00006C010000}"/>
    <cellStyle name="40% - Accent1 4 2" xfId="144" xr:uid="{00000000-0005-0000-0000-00006D010000}"/>
    <cellStyle name="40% - Accent1 4 2 2" xfId="9031" xr:uid="{00000000-0005-0000-0000-00006E010000}"/>
    <cellStyle name="40% - Accent1 4 2 3" xfId="15004" xr:uid="{00000000-0005-0000-0000-00006F010000}"/>
    <cellStyle name="40% - Accent1 4 2 4" xfId="7817" xr:uid="{00000000-0005-0000-0000-000070010000}"/>
    <cellStyle name="40% - Accent1 4 3" xfId="8978" xr:uid="{00000000-0005-0000-0000-000071010000}"/>
    <cellStyle name="40% - Accent1 4 4" xfId="14900" xr:uid="{00000000-0005-0000-0000-000072010000}"/>
    <cellStyle name="40% - Accent1 4_LNG &amp; LPG rework" xfId="6544" xr:uid="{00000000-0005-0000-0000-000073010000}"/>
    <cellStyle name="40% - Accent1 5" xfId="158" xr:uid="{00000000-0005-0000-0000-000074010000}"/>
    <cellStyle name="40% - Accent1 5 2" xfId="9045" xr:uid="{00000000-0005-0000-0000-000075010000}"/>
    <cellStyle name="40% - Accent1 5 3" xfId="14914" xr:uid="{00000000-0005-0000-0000-000076010000}"/>
    <cellStyle name="40% - Accent1 6" xfId="95" xr:uid="{00000000-0005-0000-0000-000077010000}"/>
    <cellStyle name="40% - Accent1 6 2" xfId="8989" xr:uid="{00000000-0005-0000-0000-000078010000}"/>
    <cellStyle name="40% - Accent1 6 3" xfId="14928" xr:uid="{00000000-0005-0000-0000-000079010000}"/>
    <cellStyle name="40% - Accent1 7" xfId="6430" xr:uid="{00000000-0005-0000-0000-00007A010000}"/>
    <cellStyle name="40% - Accent1 7 2" xfId="14780" xr:uid="{00000000-0005-0000-0000-00007B010000}"/>
    <cellStyle name="40% - Accent1 7 3" xfId="14942" xr:uid="{00000000-0005-0000-0000-00007C010000}"/>
    <cellStyle name="40% - Accent1 8" xfId="6443" xr:uid="{00000000-0005-0000-0000-00007D010000}"/>
    <cellStyle name="40% - Accent1 8 2" xfId="14793" xr:uid="{00000000-0005-0000-0000-00007E010000}"/>
    <cellStyle name="40% - Accent1 8 3" xfId="14959" xr:uid="{00000000-0005-0000-0000-00007F010000}"/>
    <cellStyle name="40% - Accent1 9" xfId="6457" xr:uid="{00000000-0005-0000-0000-000080010000}"/>
    <cellStyle name="40% - Accent1 9 2" xfId="14807" xr:uid="{00000000-0005-0000-0000-000081010000}"/>
    <cellStyle name="40% - Accent1 9 3" xfId="15014" xr:uid="{00000000-0005-0000-0000-000082010000}"/>
    <cellStyle name="40% - Accent1_LNG &amp; LPG rework" xfId="6425" xr:uid="{00000000-0005-0000-0000-000083010000}"/>
    <cellStyle name="40% - Accent2" xfId="33" xr:uid="{00000000-0005-0000-0000-000084010000}"/>
    <cellStyle name="40% - Accent2 10" xfId="6492" xr:uid="{00000000-0005-0000-0000-000085010000}"/>
    <cellStyle name="40% - Accent2 10 2" xfId="14829" xr:uid="{00000000-0005-0000-0000-000086010000}"/>
    <cellStyle name="40% - Accent2 10 3" xfId="20750" xr:uid="{00000000-0005-0000-0000-000087010000}"/>
    <cellStyle name="40% - Accent2 11" xfId="6505" xr:uid="{00000000-0005-0000-0000-000088010000}"/>
    <cellStyle name="40% - Accent2 11 2" xfId="14842" xr:uid="{00000000-0005-0000-0000-000089010000}"/>
    <cellStyle name="40% - Accent2 11 3" xfId="20763" xr:uid="{00000000-0005-0000-0000-00008A010000}"/>
    <cellStyle name="40% - Accent2 12" xfId="6525" xr:uid="{00000000-0005-0000-0000-00008B010000}"/>
    <cellStyle name="40% - Accent2 12 2" xfId="20777" xr:uid="{00000000-0005-0000-0000-00008C010000}"/>
    <cellStyle name="40% - Accent2 13" xfId="6562" xr:uid="{00000000-0005-0000-0000-00008D010000}"/>
    <cellStyle name="40% - Accent2 13 2" xfId="20794" xr:uid="{00000000-0005-0000-0000-00008E010000}"/>
    <cellStyle name="40% - Accent2 14" xfId="8915" xr:uid="{00000000-0005-0000-0000-00008F010000}"/>
    <cellStyle name="40% - Accent2 15" xfId="8933" xr:uid="{00000000-0005-0000-0000-000090010000}"/>
    <cellStyle name="40% - Accent2 16" xfId="14859" xr:uid="{00000000-0005-0000-0000-000091010000}"/>
    <cellStyle name="40% - Accent2 17" xfId="29432" xr:uid="{00000000-0005-0000-0000-000092010000}"/>
    <cellStyle name="40% - Accent2 18" xfId="29475" xr:uid="{00000000-0005-0000-0000-000093010000}"/>
    <cellStyle name="40% - Accent2 2" xfId="72" xr:uid="{00000000-0005-0000-0000-000094010000}"/>
    <cellStyle name="40% - Accent2 2 2" xfId="112" xr:uid="{00000000-0005-0000-0000-000095010000}"/>
    <cellStyle name="40% - Accent2 2 2 2" xfId="9004" xr:uid="{00000000-0005-0000-0000-000096010000}"/>
    <cellStyle name="40% - Accent2 2 2 3" xfId="14976" xr:uid="{00000000-0005-0000-0000-000097010000}"/>
    <cellStyle name="40% - Accent2 2 3" xfId="8950" xr:uid="{00000000-0005-0000-0000-000098010000}"/>
    <cellStyle name="40% - Accent2 2 4" xfId="14873" xr:uid="{00000000-0005-0000-0000-000099010000}"/>
    <cellStyle name="40% - Accent2 2_Data - Monthly Commodity Prices" xfId="6378" xr:uid="{00000000-0005-0000-0000-00009A010000}"/>
    <cellStyle name="40% - Accent2 3" xfId="73" xr:uid="{00000000-0005-0000-0000-00009B010000}"/>
    <cellStyle name="40% - Accent2 3 2" xfId="126" xr:uid="{00000000-0005-0000-0000-00009C010000}"/>
    <cellStyle name="40% - Accent2 3 2 2" xfId="9018" xr:uid="{00000000-0005-0000-0000-00009D010000}"/>
    <cellStyle name="40% - Accent2 3 2 3" xfId="14990" xr:uid="{00000000-0005-0000-0000-00009E010000}"/>
    <cellStyle name="40% - Accent2 3 3" xfId="8964" xr:uid="{00000000-0005-0000-0000-00009F010000}"/>
    <cellStyle name="40% - Accent2 3 4" xfId="14887" xr:uid="{00000000-0005-0000-0000-0000A0010000}"/>
    <cellStyle name="40% - Accent2 3_LNG &amp; LPG rework" xfId="6545" xr:uid="{00000000-0005-0000-0000-0000A1010000}"/>
    <cellStyle name="40% - Accent2 4" xfId="88" xr:uid="{00000000-0005-0000-0000-0000A2010000}"/>
    <cellStyle name="40% - Accent2 4 2" xfId="146" xr:uid="{00000000-0005-0000-0000-0000A3010000}"/>
    <cellStyle name="40% - Accent2 4 2 2" xfId="9033" xr:uid="{00000000-0005-0000-0000-0000A4010000}"/>
    <cellStyle name="40% - Accent2 4 2 3" xfId="7823" xr:uid="{00000000-0005-0000-0000-0000A5010000}"/>
    <cellStyle name="40% - Accent2 4 3" xfId="14902" xr:uid="{00000000-0005-0000-0000-0000A6010000}"/>
    <cellStyle name="40% - Accent2 4_Data - Monthly Commodity Prices" xfId="6379" xr:uid="{00000000-0005-0000-0000-0000A7010000}"/>
    <cellStyle name="40% - Accent2 5" xfId="160" xr:uid="{00000000-0005-0000-0000-0000A8010000}"/>
    <cellStyle name="40% - Accent2 5 2" xfId="9047" xr:uid="{00000000-0005-0000-0000-0000A9010000}"/>
    <cellStyle name="40% - Accent2 5 3" xfId="14916" xr:uid="{00000000-0005-0000-0000-0000AA010000}"/>
    <cellStyle name="40% - Accent2 6" xfId="97" xr:uid="{00000000-0005-0000-0000-0000AB010000}"/>
    <cellStyle name="40% - Accent2 6 2" xfId="8991" xr:uid="{00000000-0005-0000-0000-0000AC010000}"/>
    <cellStyle name="40% - Accent2 6 3" xfId="14930" xr:uid="{00000000-0005-0000-0000-0000AD010000}"/>
    <cellStyle name="40% - Accent2 7" xfId="6432" xr:uid="{00000000-0005-0000-0000-0000AE010000}"/>
    <cellStyle name="40% - Accent2 7 2" xfId="14782" xr:uid="{00000000-0005-0000-0000-0000AF010000}"/>
    <cellStyle name="40% - Accent2 7 3" xfId="14944" xr:uid="{00000000-0005-0000-0000-0000B0010000}"/>
    <cellStyle name="40% - Accent2 8" xfId="6445" xr:uid="{00000000-0005-0000-0000-0000B1010000}"/>
    <cellStyle name="40% - Accent2 8 2" xfId="14795" xr:uid="{00000000-0005-0000-0000-0000B2010000}"/>
    <cellStyle name="40% - Accent2 8 3" xfId="14961" xr:uid="{00000000-0005-0000-0000-0000B3010000}"/>
    <cellStyle name="40% - Accent2 9" xfId="6459" xr:uid="{00000000-0005-0000-0000-0000B4010000}"/>
    <cellStyle name="40% - Accent2 9 2" xfId="14809" xr:uid="{00000000-0005-0000-0000-0000B5010000}"/>
    <cellStyle name="40% - Accent2 9 3" xfId="15016" xr:uid="{00000000-0005-0000-0000-0000B6010000}"/>
    <cellStyle name="40% - Accent2_LNG &amp; LPG rework" xfId="6474" xr:uid="{00000000-0005-0000-0000-0000B7010000}"/>
    <cellStyle name="40% - Accent3" xfId="35" xr:uid="{00000000-0005-0000-0000-0000B8010000}"/>
    <cellStyle name="40% - Accent3 10" xfId="6494" xr:uid="{00000000-0005-0000-0000-0000B9010000}"/>
    <cellStyle name="40% - Accent3 10 2" xfId="14831" xr:uid="{00000000-0005-0000-0000-0000BA010000}"/>
    <cellStyle name="40% - Accent3 10 3" xfId="20752" xr:uid="{00000000-0005-0000-0000-0000BB010000}"/>
    <cellStyle name="40% - Accent3 11" xfId="6507" xr:uid="{00000000-0005-0000-0000-0000BC010000}"/>
    <cellStyle name="40% - Accent3 11 2" xfId="14844" xr:uid="{00000000-0005-0000-0000-0000BD010000}"/>
    <cellStyle name="40% - Accent3 11 3" xfId="20765" xr:uid="{00000000-0005-0000-0000-0000BE010000}"/>
    <cellStyle name="40% - Accent3 12" xfId="6527" xr:uid="{00000000-0005-0000-0000-0000BF010000}"/>
    <cellStyle name="40% - Accent3 12 2" xfId="20779" xr:uid="{00000000-0005-0000-0000-0000C0010000}"/>
    <cellStyle name="40% - Accent3 13" xfId="6564" xr:uid="{00000000-0005-0000-0000-0000C1010000}"/>
    <cellStyle name="40% - Accent3 13 2" xfId="20796" xr:uid="{00000000-0005-0000-0000-0000C2010000}"/>
    <cellStyle name="40% - Accent3 14" xfId="8917" xr:uid="{00000000-0005-0000-0000-0000C3010000}"/>
    <cellStyle name="40% - Accent3 15" xfId="8935" xr:uid="{00000000-0005-0000-0000-0000C4010000}"/>
    <cellStyle name="40% - Accent3 16" xfId="14861" xr:uid="{00000000-0005-0000-0000-0000C5010000}"/>
    <cellStyle name="40% - Accent3 17" xfId="29434" xr:uid="{00000000-0005-0000-0000-0000C6010000}"/>
    <cellStyle name="40% - Accent3 18" xfId="29477" xr:uid="{00000000-0005-0000-0000-0000C7010000}"/>
    <cellStyle name="40% - Accent3 2" xfId="74" xr:uid="{00000000-0005-0000-0000-0000C8010000}"/>
    <cellStyle name="40% - Accent3 2 2" xfId="114" xr:uid="{00000000-0005-0000-0000-0000C9010000}"/>
    <cellStyle name="40% - Accent3 2 2 2" xfId="9006" xr:uid="{00000000-0005-0000-0000-0000CA010000}"/>
    <cellStyle name="40% - Accent3 2 2 3" xfId="14978" xr:uid="{00000000-0005-0000-0000-0000CB010000}"/>
    <cellStyle name="40% - Accent3 2 3" xfId="8952" xr:uid="{00000000-0005-0000-0000-0000CC010000}"/>
    <cellStyle name="40% - Accent3 2 4" xfId="14875" xr:uid="{00000000-0005-0000-0000-0000CD010000}"/>
    <cellStyle name="40% - Accent3 2_Data - Monthly Commodity Prices" xfId="6380" xr:uid="{00000000-0005-0000-0000-0000CE010000}"/>
    <cellStyle name="40% - Accent3 3" xfId="75" xr:uid="{00000000-0005-0000-0000-0000CF010000}"/>
    <cellStyle name="40% - Accent3 3 2" xfId="128" xr:uid="{00000000-0005-0000-0000-0000D0010000}"/>
    <cellStyle name="40% - Accent3 3 2 2" xfId="9020" xr:uid="{00000000-0005-0000-0000-0000D1010000}"/>
    <cellStyle name="40% - Accent3 3 2 3" xfId="14992" xr:uid="{00000000-0005-0000-0000-0000D2010000}"/>
    <cellStyle name="40% - Accent3 3 3" xfId="8966" xr:uid="{00000000-0005-0000-0000-0000D3010000}"/>
    <cellStyle name="40% - Accent3 3 4" xfId="14889" xr:uid="{00000000-0005-0000-0000-0000D4010000}"/>
    <cellStyle name="40% - Accent3 3_Data - Monthly Commodity Prices" xfId="6381" xr:uid="{00000000-0005-0000-0000-0000D5010000}"/>
    <cellStyle name="40% - Accent3 4" xfId="76" xr:uid="{00000000-0005-0000-0000-0000D6010000}"/>
    <cellStyle name="40% - Accent3 4 2" xfId="148" xr:uid="{00000000-0005-0000-0000-0000D7010000}"/>
    <cellStyle name="40% - Accent3 4 2 2" xfId="9035" xr:uid="{00000000-0005-0000-0000-0000D8010000}"/>
    <cellStyle name="40% - Accent3 4 2 3" xfId="15005" xr:uid="{00000000-0005-0000-0000-0000D9010000}"/>
    <cellStyle name="40% - Accent3 4 2 4" xfId="7818" xr:uid="{00000000-0005-0000-0000-0000DA010000}"/>
    <cellStyle name="40% - Accent3 4 3" xfId="8979" xr:uid="{00000000-0005-0000-0000-0000DB010000}"/>
    <cellStyle name="40% - Accent3 4 4" xfId="14904" xr:uid="{00000000-0005-0000-0000-0000DC010000}"/>
    <cellStyle name="40% - Accent3 4_LNG &amp; LPG rework" xfId="6541" xr:uid="{00000000-0005-0000-0000-0000DD010000}"/>
    <cellStyle name="40% - Accent3 5" xfId="162" xr:uid="{00000000-0005-0000-0000-0000DE010000}"/>
    <cellStyle name="40% - Accent3 5 2" xfId="9049" xr:uid="{00000000-0005-0000-0000-0000DF010000}"/>
    <cellStyle name="40% - Accent3 5 3" xfId="14918" xr:uid="{00000000-0005-0000-0000-0000E0010000}"/>
    <cellStyle name="40% - Accent3 6" xfId="99" xr:uid="{00000000-0005-0000-0000-0000E1010000}"/>
    <cellStyle name="40% - Accent3 6 2" xfId="8993" xr:uid="{00000000-0005-0000-0000-0000E2010000}"/>
    <cellStyle name="40% - Accent3 6 3" xfId="14932" xr:uid="{00000000-0005-0000-0000-0000E3010000}"/>
    <cellStyle name="40% - Accent3 7" xfId="6434" xr:uid="{00000000-0005-0000-0000-0000E4010000}"/>
    <cellStyle name="40% - Accent3 7 2" xfId="14784" xr:uid="{00000000-0005-0000-0000-0000E5010000}"/>
    <cellStyle name="40% - Accent3 7 3" xfId="14946" xr:uid="{00000000-0005-0000-0000-0000E6010000}"/>
    <cellStyle name="40% - Accent3 8" xfId="6447" xr:uid="{00000000-0005-0000-0000-0000E7010000}"/>
    <cellStyle name="40% - Accent3 8 2" xfId="14797" xr:uid="{00000000-0005-0000-0000-0000E8010000}"/>
    <cellStyle name="40% - Accent3 8 3" xfId="14963" xr:uid="{00000000-0005-0000-0000-0000E9010000}"/>
    <cellStyle name="40% - Accent3 9" xfId="6461" xr:uid="{00000000-0005-0000-0000-0000EA010000}"/>
    <cellStyle name="40% - Accent3 9 2" xfId="14811" xr:uid="{00000000-0005-0000-0000-0000EB010000}"/>
    <cellStyle name="40% - Accent3 9 3" xfId="15018" xr:uid="{00000000-0005-0000-0000-0000EC010000}"/>
    <cellStyle name="40% - Accent3_LNG &amp; LPG rework" xfId="6472" xr:uid="{00000000-0005-0000-0000-0000ED010000}"/>
    <cellStyle name="40% - Accent4" xfId="37" xr:uid="{00000000-0005-0000-0000-0000EE010000}"/>
    <cellStyle name="40% - Accent4 10" xfId="6496" xr:uid="{00000000-0005-0000-0000-0000EF010000}"/>
    <cellStyle name="40% - Accent4 10 2" xfId="14833" xr:uid="{00000000-0005-0000-0000-0000F0010000}"/>
    <cellStyle name="40% - Accent4 10 3" xfId="20754" xr:uid="{00000000-0005-0000-0000-0000F1010000}"/>
    <cellStyle name="40% - Accent4 11" xfId="6509" xr:uid="{00000000-0005-0000-0000-0000F2010000}"/>
    <cellStyle name="40% - Accent4 11 2" xfId="14846" xr:uid="{00000000-0005-0000-0000-0000F3010000}"/>
    <cellStyle name="40% - Accent4 11 3" xfId="20767" xr:uid="{00000000-0005-0000-0000-0000F4010000}"/>
    <cellStyle name="40% - Accent4 12" xfId="6529" xr:uid="{00000000-0005-0000-0000-0000F5010000}"/>
    <cellStyle name="40% - Accent4 12 2" xfId="20781" xr:uid="{00000000-0005-0000-0000-0000F6010000}"/>
    <cellStyle name="40% - Accent4 13" xfId="6566" xr:uid="{00000000-0005-0000-0000-0000F7010000}"/>
    <cellStyle name="40% - Accent4 13 2" xfId="20798" xr:uid="{00000000-0005-0000-0000-0000F8010000}"/>
    <cellStyle name="40% - Accent4 14" xfId="8919" xr:uid="{00000000-0005-0000-0000-0000F9010000}"/>
    <cellStyle name="40% - Accent4 15" xfId="8937" xr:uid="{00000000-0005-0000-0000-0000FA010000}"/>
    <cellStyle name="40% - Accent4 16" xfId="14863" xr:uid="{00000000-0005-0000-0000-0000FB010000}"/>
    <cellStyle name="40% - Accent4 17" xfId="29436" xr:uid="{00000000-0005-0000-0000-0000FC010000}"/>
    <cellStyle name="40% - Accent4 18" xfId="29479" xr:uid="{00000000-0005-0000-0000-0000FD010000}"/>
    <cellStyle name="40% - Accent4 2" xfId="77" xr:uid="{00000000-0005-0000-0000-0000FE010000}"/>
    <cellStyle name="40% - Accent4 2 2" xfId="116" xr:uid="{00000000-0005-0000-0000-0000FF010000}"/>
    <cellStyle name="40% - Accent4 2 2 2" xfId="9008" xr:uid="{00000000-0005-0000-0000-000000020000}"/>
    <cellStyle name="40% - Accent4 2 2 3" xfId="14980" xr:uid="{00000000-0005-0000-0000-000001020000}"/>
    <cellStyle name="40% - Accent4 2 3" xfId="8954" xr:uid="{00000000-0005-0000-0000-000002020000}"/>
    <cellStyle name="40% - Accent4 2 4" xfId="14877" xr:uid="{00000000-0005-0000-0000-000003020000}"/>
    <cellStyle name="40% - Accent4 2_Data - Monthly Commodity Prices" xfId="6382" xr:uid="{00000000-0005-0000-0000-000004020000}"/>
    <cellStyle name="40% - Accent4 3" xfId="78" xr:uid="{00000000-0005-0000-0000-000005020000}"/>
    <cellStyle name="40% - Accent4 3 2" xfId="130" xr:uid="{00000000-0005-0000-0000-000006020000}"/>
    <cellStyle name="40% - Accent4 3 2 2" xfId="9022" xr:uid="{00000000-0005-0000-0000-000007020000}"/>
    <cellStyle name="40% - Accent4 3 2 3" xfId="14994" xr:uid="{00000000-0005-0000-0000-000008020000}"/>
    <cellStyle name="40% - Accent4 3 3" xfId="8968" xr:uid="{00000000-0005-0000-0000-000009020000}"/>
    <cellStyle name="40% - Accent4 3 4" xfId="14891" xr:uid="{00000000-0005-0000-0000-00000A020000}"/>
    <cellStyle name="40% - Accent4 3_Data - Monthly Commodity Prices" xfId="6383" xr:uid="{00000000-0005-0000-0000-00000B020000}"/>
    <cellStyle name="40% - Accent4 4" xfId="79" xr:uid="{00000000-0005-0000-0000-00000C020000}"/>
    <cellStyle name="40% - Accent4 4 2" xfId="150" xr:uid="{00000000-0005-0000-0000-00000D020000}"/>
    <cellStyle name="40% - Accent4 4 2 2" xfId="9037" xr:uid="{00000000-0005-0000-0000-00000E020000}"/>
    <cellStyle name="40% - Accent4 4 2 3" xfId="15006" xr:uid="{00000000-0005-0000-0000-00000F020000}"/>
    <cellStyle name="40% - Accent4 4 2 4" xfId="7819" xr:uid="{00000000-0005-0000-0000-000010020000}"/>
    <cellStyle name="40% - Accent4 4 3" xfId="8980" xr:uid="{00000000-0005-0000-0000-000011020000}"/>
    <cellStyle name="40% - Accent4 4 4" xfId="14906" xr:uid="{00000000-0005-0000-0000-000012020000}"/>
    <cellStyle name="40% - Accent4 4_LNG &amp; LPG rework" xfId="6546" xr:uid="{00000000-0005-0000-0000-000013020000}"/>
    <cellStyle name="40% - Accent4 5" xfId="164" xr:uid="{00000000-0005-0000-0000-000014020000}"/>
    <cellStyle name="40% - Accent4 5 2" xfId="9051" xr:uid="{00000000-0005-0000-0000-000015020000}"/>
    <cellStyle name="40% - Accent4 5 3" xfId="14920" xr:uid="{00000000-0005-0000-0000-000016020000}"/>
    <cellStyle name="40% - Accent4 6" xfId="101" xr:uid="{00000000-0005-0000-0000-000017020000}"/>
    <cellStyle name="40% - Accent4 6 2" xfId="8995" xr:uid="{00000000-0005-0000-0000-000018020000}"/>
    <cellStyle name="40% - Accent4 6 3" xfId="14934" xr:uid="{00000000-0005-0000-0000-000019020000}"/>
    <cellStyle name="40% - Accent4 7" xfId="6436" xr:uid="{00000000-0005-0000-0000-00001A020000}"/>
    <cellStyle name="40% - Accent4 7 2" xfId="14786" xr:uid="{00000000-0005-0000-0000-00001B020000}"/>
    <cellStyle name="40% - Accent4 7 3" xfId="14948" xr:uid="{00000000-0005-0000-0000-00001C020000}"/>
    <cellStyle name="40% - Accent4 8" xfId="6449" xr:uid="{00000000-0005-0000-0000-00001D020000}"/>
    <cellStyle name="40% - Accent4 8 2" xfId="14799" xr:uid="{00000000-0005-0000-0000-00001E020000}"/>
    <cellStyle name="40% - Accent4 8 3" xfId="14965" xr:uid="{00000000-0005-0000-0000-00001F020000}"/>
    <cellStyle name="40% - Accent4 9" xfId="6463" xr:uid="{00000000-0005-0000-0000-000020020000}"/>
    <cellStyle name="40% - Accent4 9 2" xfId="14813" xr:uid="{00000000-0005-0000-0000-000021020000}"/>
    <cellStyle name="40% - Accent4 9 3" xfId="15020" xr:uid="{00000000-0005-0000-0000-000022020000}"/>
    <cellStyle name="40% - Accent4_LNG &amp; LPG rework" xfId="6471" xr:uid="{00000000-0005-0000-0000-000023020000}"/>
    <cellStyle name="40% - Accent5" xfId="39" xr:uid="{00000000-0005-0000-0000-000024020000}"/>
    <cellStyle name="40% - Accent5 10" xfId="6498" xr:uid="{00000000-0005-0000-0000-000025020000}"/>
    <cellStyle name="40% - Accent5 10 2" xfId="14835" xr:uid="{00000000-0005-0000-0000-000026020000}"/>
    <cellStyle name="40% - Accent5 10 3" xfId="20756" xr:uid="{00000000-0005-0000-0000-000027020000}"/>
    <cellStyle name="40% - Accent5 11" xfId="6511" xr:uid="{00000000-0005-0000-0000-000028020000}"/>
    <cellStyle name="40% - Accent5 11 2" xfId="14848" xr:uid="{00000000-0005-0000-0000-000029020000}"/>
    <cellStyle name="40% - Accent5 11 3" xfId="20769" xr:uid="{00000000-0005-0000-0000-00002A020000}"/>
    <cellStyle name="40% - Accent5 12" xfId="6531" xr:uid="{00000000-0005-0000-0000-00002B020000}"/>
    <cellStyle name="40% - Accent5 12 2" xfId="20783" xr:uid="{00000000-0005-0000-0000-00002C020000}"/>
    <cellStyle name="40% - Accent5 13" xfId="6568" xr:uid="{00000000-0005-0000-0000-00002D020000}"/>
    <cellStyle name="40% - Accent5 13 2" xfId="20800" xr:uid="{00000000-0005-0000-0000-00002E020000}"/>
    <cellStyle name="40% - Accent5 14" xfId="8921" xr:uid="{00000000-0005-0000-0000-00002F020000}"/>
    <cellStyle name="40% - Accent5 15" xfId="8939" xr:uid="{00000000-0005-0000-0000-000030020000}"/>
    <cellStyle name="40% - Accent5 16" xfId="14865" xr:uid="{00000000-0005-0000-0000-000031020000}"/>
    <cellStyle name="40% - Accent5 17" xfId="29438" xr:uid="{00000000-0005-0000-0000-000032020000}"/>
    <cellStyle name="40% - Accent5 18" xfId="29481" xr:uid="{00000000-0005-0000-0000-000033020000}"/>
    <cellStyle name="40% - Accent5 2" xfId="80" xr:uid="{00000000-0005-0000-0000-000034020000}"/>
    <cellStyle name="40% - Accent5 2 2" xfId="118" xr:uid="{00000000-0005-0000-0000-000035020000}"/>
    <cellStyle name="40% - Accent5 2 2 2" xfId="9010" xr:uid="{00000000-0005-0000-0000-000036020000}"/>
    <cellStyle name="40% - Accent5 2 2 3" xfId="14982" xr:uid="{00000000-0005-0000-0000-000037020000}"/>
    <cellStyle name="40% - Accent5 2 3" xfId="8956" xr:uid="{00000000-0005-0000-0000-000038020000}"/>
    <cellStyle name="40% - Accent5 2 4" xfId="14879" xr:uid="{00000000-0005-0000-0000-000039020000}"/>
    <cellStyle name="40% - Accent5 2_Data - Monthly Commodity Prices" xfId="6384" xr:uid="{00000000-0005-0000-0000-00003A020000}"/>
    <cellStyle name="40% - Accent5 3" xfId="81" xr:uid="{00000000-0005-0000-0000-00003B020000}"/>
    <cellStyle name="40% - Accent5 3 2" xfId="132" xr:uid="{00000000-0005-0000-0000-00003C020000}"/>
    <cellStyle name="40% - Accent5 3 2 2" xfId="9024" xr:uid="{00000000-0005-0000-0000-00003D020000}"/>
    <cellStyle name="40% - Accent5 3 2 3" xfId="14996" xr:uid="{00000000-0005-0000-0000-00003E020000}"/>
    <cellStyle name="40% - Accent5 3 3" xfId="8970" xr:uid="{00000000-0005-0000-0000-00003F020000}"/>
    <cellStyle name="40% - Accent5 3 4" xfId="14893" xr:uid="{00000000-0005-0000-0000-000040020000}"/>
    <cellStyle name="40% - Accent5 3_Data - Monthly Commodity Prices" xfId="6385" xr:uid="{00000000-0005-0000-0000-000041020000}"/>
    <cellStyle name="40% - Accent5 4" xfId="82" xr:uid="{00000000-0005-0000-0000-000042020000}"/>
    <cellStyle name="40% - Accent5 4 2" xfId="152" xr:uid="{00000000-0005-0000-0000-000043020000}"/>
    <cellStyle name="40% - Accent5 4 2 2" xfId="9039" xr:uid="{00000000-0005-0000-0000-000044020000}"/>
    <cellStyle name="40% - Accent5 4 2 3" xfId="15007" xr:uid="{00000000-0005-0000-0000-000045020000}"/>
    <cellStyle name="40% - Accent5 4 2 4" xfId="7820" xr:uid="{00000000-0005-0000-0000-000046020000}"/>
    <cellStyle name="40% - Accent5 4 3" xfId="8981" xr:uid="{00000000-0005-0000-0000-000047020000}"/>
    <cellStyle name="40% - Accent5 4 4" xfId="14908" xr:uid="{00000000-0005-0000-0000-000048020000}"/>
    <cellStyle name="40% - Accent5 4_LNG &amp; LPG rework" xfId="6547" xr:uid="{00000000-0005-0000-0000-000049020000}"/>
    <cellStyle name="40% - Accent5 5" xfId="166" xr:uid="{00000000-0005-0000-0000-00004A020000}"/>
    <cellStyle name="40% - Accent5 5 2" xfId="9053" xr:uid="{00000000-0005-0000-0000-00004B020000}"/>
    <cellStyle name="40% - Accent5 5 3" xfId="14922" xr:uid="{00000000-0005-0000-0000-00004C020000}"/>
    <cellStyle name="40% - Accent5 6" xfId="103" xr:uid="{00000000-0005-0000-0000-00004D020000}"/>
    <cellStyle name="40% - Accent5 6 2" xfId="8997" xr:uid="{00000000-0005-0000-0000-00004E020000}"/>
    <cellStyle name="40% - Accent5 6 3" xfId="14936" xr:uid="{00000000-0005-0000-0000-00004F020000}"/>
    <cellStyle name="40% - Accent5 7" xfId="6438" xr:uid="{00000000-0005-0000-0000-000050020000}"/>
    <cellStyle name="40% - Accent5 7 2" xfId="14788" xr:uid="{00000000-0005-0000-0000-000051020000}"/>
    <cellStyle name="40% - Accent5 7 3" xfId="14950" xr:uid="{00000000-0005-0000-0000-000052020000}"/>
    <cellStyle name="40% - Accent5 8" xfId="6451" xr:uid="{00000000-0005-0000-0000-000053020000}"/>
    <cellStyle name="40% - Accent5 8 2" xfId="14801" xr:uid="{00000000-0005-0000-0000-000054020000}"/>
    <cellStyle name="40% - Accent5 8 3" xfId="14967" xr:uid="{00000000-0005-0000-0000-000055020000}"/>
    <cellStyle name="40% - Accent5 9" xfId="6465" xr:uid="{00000000-0005-0000-0000-000056020000}"/>
    <cellStyle name="40% - Accent5 9 2" xfId="14815" xr:uid="{00000000-0005-0000-0000-000057020000}"/>
    <cellStyle name="40% - Accent5 9 3" xfId="15022" xr:uid="{00000000-0005-0000-0000-000058020000}"/>
    <cellStyle name="40% - Accent5_LNG &amp; LPG rework" xfId="6470" xr:uid="{00000000-0005-0000-0000-000059020000}"/>
    <cellStyle name="40% - Accent6" xfId="41" xr:uid="{00000000-0005-0000-0000-00005A020000}"/>
    <cellStyle name="40% - Accent6 10" xfId="6500" xr:uid="{00000000-0005-0000-0000-00005B020000}"/>
    <cellStyle name="40% - Accent6 10 2" xfId="14837" xr:uid="{00000000-0005-0000-0000-00005C020000}"/>
    <cellStyle name="40% - Accent6 10 3" xfId="20758" xr:uid="{00000000-0005-0000-0000-00005D020000}"/>
    <cellStyle name="40% - Accent6 11" xfId="6513" xr:uid="{00000000-0005-0000-0000-00005E020000}"/>
    <cellStyle name="40% - Accent6 11 2" xfId="14850" xr:uid="{00000000-0005-0000-0000-00005F020000}"/>
    <cellStyle name="40% - Accent6 11 3" xfId="20771" xr:uid="{00000000-0005-0000-0000-000060020000}"/>
    <cellStyle name="40% - Accent6 12" xfId="6533" xr:uid="{00000000-0005-0000-0000-000061020000}"/>
    <cellStyle name="40% - Accent6 12 2" xfId="20785" xr:uid="{00000000-0005-0000-0000-000062020000}"/>
    <cellStyle name="40% - Accent6 13" xfId="6570" xr:uid="{00000000-0005-0000-0000-000063020000}"/>
    <cellStyle name="40% - Accent6 13 2" xfId="20802" xr:uid="{00000000-0005-0000-0000-000064020000}"/>
    <cellStyle name="40% - Accent6 14" xfId="8923" xr:uid="{00000000-0005-0000-0000-000065020000}"/>
    <cellStyle name="40% - Accent6 15" xfId="8941" xr:uid="{00000000-0005-0000-0000-000066020000}"/>
    <cellStyle name="40% - Accent6 16" xfId="14867" xr:uid="{00000000-0005-0000-0000-000067020000}"/>
    <cellStyle name="40% - Accent6 17" xfId="29440" xr:uid="{00000000-0005-0000-0000-000068020000}"/>
    <cellStyle name="40% - Accent6 18" xfId="29483" xr:uid="{00000000-0005-0000-0000-000069020000}"/>
    <cellStyle name="40% - Accent6 2" xfId="83" xr:uid="{00000000-0005-0000-0000-00006A020000}"/>
    <cellStyle name="40% - Accent6 2 2" xfId="120" xr:uid="{00000000-0005-0000-0000-00006B020000}"/>
    <cellStyle name="40% - Accent6 2 2 2" xfId="9012" xr:uid="{00000000-0005-0000-0000-00006C020000}"/>
    <cellStyle name="40% - Accent6 2 2 3" xfId="14984" xr:uid="{00000000-0005-0000-0000-00006D020000}"/>
    <cellStyle name="40% - Accent6 2 3" xfId="8958" xr:uid="{00000000-0005-0000-0000-00006E020000}"/>
    <cellStyle name="40% - Accent6 2 4" xfId="14881" xr:uid="{00000000-0005-0000-0000-00006F020000}"/>
    <cellStyle name="40% - Accent6 2_Data - Monthly Commodity Prices" xfId="6386" xr:uid="{00000000-0005-0000-0000-000070020000}"/>
    <cellStyle name="40% - Accent6 3" xfId="84" xr:uid="{00000000-0005-0000-0000-000071020000}"/>
    <cellStyle name="40% - Accent6 3 2" xfId="134" xr:uid="{00000000-0005-0000-0000-000072020000}"/>
    <cellStyle name="40% - Accent6 3 2 2" xfId="9026" xr:uid="{00000000-0005-0000-0000-000073020000}"/>
    <cellStyle name="40% - Accent6 3 2 3" xfId="14998" xr:uid="{00000000-0005-0000-0000-000074020000}"/>
    <cellStyle name="40% - Accent6 3 3" xfId="8972" xr:uid="{00000000-0005-0000-0000-000075020000}"/>
    <cellStyle name="40% - Accent6 3 4" xfId="14895" xr:uid="{00000000-0005-0000-0000-000076020000}"/>
    <cellStyle name="40% - Accent6 3_Data - Monthly Commodity Prices" xfId="6387" xr:uid="{00000000-0005-0000-0000-000077020000}"/>
    <cellStyle name="40% - Accent6 4" xfId="85" xr:uid="{00000000-0005-0000-0000-000078020000}"/>
    <cellStyle name="40% - Accent6 4 2" xfId="154" xr:uid="{00000000-0005-0000-0000-000079020000}"/>
    <cellStyle name="40% - Accent6 4 2 2" xfId="9041" xr:uid="{00000000-0005-0000-0000-00007A020000}"/>
    <cellStyle name="40% - Accent6 4 2 3" xfId="15008" xr:uid="{00000000-0005-0000-0000-00007B020000}"/>
    <cellStyle name="40% - Accent6 4 2 4" xfId="7821" xr:uid="{00000000-0005-0000-0000-00007C020000}"/>
    <cellStyle name="40% - Accent6 4 3" xfId="8982" xr:uid="{00000000-0005-0000-0000-00007D020000}"/>
    <cellStyle name="40% - Accent6 4 4" xfId="14910" xr:uid="{00000000-0005-0000-0000-00007E020000}"/>
    <cellStyle name="40% - Accent6 4_LNG &amp; LPG rework" xfId="6548" xr:uid="{00000000-0005-0000-0000-00007F020000}"/>
    <cellStyle name="40% - Accent6 5" xfId="168" xr:uid="{00000000-0005-0000-0000-000080020000}"/>
    <cellStyle name="40% - Accent6 5 2" xfId="9055" xr:uid="{00000000-0005-0000-0000-000081020000}"/>
    <cellStyle name="40% - Accent6 5 3" xfId="14924" xr:uid="{00000000-0005-0000-0000-000082020000}"/>
    <cellStyle name="40% - Accent6 6" xfId="105" xr:uid="{00000000-0005-0000-0000-000083020000}"/>
    <cellStyle name="40% - Accent6 6 2" xfId="8999" xr:uid="{00000000-0005-0000-0000-000084020000}"/>
    <cellStyle name="40% - Accent6 6 3" xfId="14938" xr:uid="{00000000-0005-0000-0000-000085020000}"/>
    <cellStyle name="40% - Accent6 7" xfId="6440" xr:uid="{00000000-0005-0000-0000-000086020000}"/>
    <cellStyle name="40% - Accent6 7 2" xfId="14790" xr:uid="{00000000-0005-0000-0000-000087020000}"/>
    <cellStyle name="40% - Accent6 7 3" xfId="14952" xr:uid="{00000000-0005-0000-0000-000088020000}"/>
    <cellStyle name="40% - Accent6 8" xfId="6453" xr:uid="{00000000-0005-0000-0000-000089020000}"/>
    <cellStyle name="40% - Accent6 8 2" xfId="14803" xr:uid="{00000000-0005-0000-0000-00008A020000}"/>
    <cellStyle name="40% - Accent6 8 3" xfId="14969" xr:uid="{00000000-0005-0000-0000-00008B020000}"/>
    <cellStyle name="40% - Accent6 9" xfId="6467" xr:uid="{00000000-0005-0000-0000-00008C020000}"/>
    <cellStyle name="40% - Accent6 9 2" xfId="14817" xr:uid="{00000000-0005-0000-0000-00008D020000}"/>
    <cellStyle name="40% - Accent6 9 3" xfId="15024" xr:uid="{00000000-0005-0000-0000-00008E020000}"/>
    <cellStyle name="40% - Accent6_LNG &amp; LPG rework" xfId="6469" xr:uid="{00000000-0005-0000-0000-00008F020000}"/>
    <cellStyle name="60 % - Accent1" xfId="245" xr:uid="{00000000-0005-0000-0000-000090020000}"/>
    <cellStyle name="60 % - Accent2" xfId="258" xr:uid="{00000000-0005-0000-0000-000091020000}"/>
    <cellStyle name="60 % - Accent3" xfId="257" xr:uid="{00000000-0005-0000-0000-000092020000}"/>
    <cellStyle name="60 % - Accent4" xfId="182" xr:uid="{00000000-0005-0000-0000-000093020000}"/>
    <cellStyle name="60 % - Accent5" xfId="215" xr:uid="{00000000-0005-0000-0000-000094020000}"/>
    <cellStyle name="60 % - Accent6" xfId="174" xr:uid="{00000000-0005-0000-0000-000095020000}"/>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xr:uid="{00000000-0005-0000-0000-00009D020000}"/>
    <cellStyle name="Accent2" xfId="20" builtinId="33" customBuiltin="1"/>
    <cellStyle name="Accent2 2" xfId="247" xr:uid="{00000000-0005-0000-0000-00009F020000}"/>
    <cellStyle name="Accent3" xfId="22" builtinId="37" customBuiltin="1"/>
    <cellStyle name="Accent3 2" xfId="187" xr:uid="{00000000-0005-0000-0000-0000A1020000}"/>
    <cellStyle name="Accent4" xfId="24" builtinId="41" customBuiltin="1"/>
    <cellStyle name="Accent4 2" xfId="181" xr:uid="{00000000-0005-0000-0000-0000A3020000}"/>
    <cellStyle name="Accent5" xfId="26" builtinId="45" customBuiltin="1"/>
    <cellStyle name="Accent5 2" xfId="212" xr:uid="{00000000-0005-0000-0000-0000A5020000}"/>
    <cellStyle name="Accent6" xfId="28" builtinId="49" customBuiltin="1"/>
    <cellStyle name="Accent6 2" xfId="244" xr:uid="{00000000-0005-0000-0000-0000A7020000}"/>
    <cellStyle name="Avertissement" xfId="188" xr:uid="{00000000-0005-0000-0000-0000A8020000}"/>
    <cellStyle name="Bad" xfId="8" builtinId="27" customBuiltin="1"/>
    <cellStyle name="C01_Main head" xfId="26190" xr:uid="{00000000-0005-0000-0000-0000AA020000}"/>
    <cellStyle name="C02_Column heads" xfId="26191" xr:uid="{00000000-0005-0000-0000-0000AB020000}"/>
    <cellStyle name="C03_Sub head bold" xfId="26192" xr:uid="{00000000-0005-0000-0000-0000AC020000}"/>
    <cellStyle name="C03a_Sub head" xfId="26193" xr:uid="{00000000-0005-0000-0000-0000AD020000}"/>
    <cellStyle name="C04_Total text white bold" xfId="26194" xr:uid="{00000000-0005-0000-0000-0000AE020000}"/>
    <cellStyle name="C04a_Total text black with rule" xfId="26195" xr:uid="{00000000-0005-0000-0000-0000AF020000}"/>
    <cellStyle name="C05_Main text" xfId="26196" xr:uid="{00000000-0005-0000-0000-0000B0020000}"/>
    <cellStyle name="C06_Figs" xfId="26197" xr:uid="{00000000-0005-0000-0000-0000B1020000}"/>
    <cellStyle name="C07_Figs 1 dec percent" xfId="26198" xr:uid="{00000000-0005-0000-0000-0000B2020000}"/>
    <cellStyle name="C08_Figs 1 decimal" xfId="26199" xr:uid="{00000000-0005-0000-0000-0000B3020000}"/>
    <cellStyle name="C09_Notes" xfId="26200" xr:uid="{00000000-0005-0000-0000-0000B4020000}"/>
    <cellStyle name="Calcul" xfId="204" xr:uid="{00000000-0005-0000-0000-0000B5020000}"/>
    <cellStyle name="Calculation" xfId="12" builtinId="22" customBuiltin="1"/>
    <cellStyle name="Cellule liée" xfId="184" xr:uid="{00000000-0005-0000-0000-0000B7020000}"/>
    <cellStyle name="Check Cell" xfId="14" builtinId="23" customBuiltin="1"/>
    <cellStyle name="ColumnHeading" xfId="29502" xr:uid="{00000000-0005-0000-0000-0000B9020000}"/>
    <cellStyle name="Comma" xfId="42" builtinId="3"/>
    <cellStyle name="Comma 10" xfId="645" xr:uid="{00000000-0005-0000-0000-0000BB020000}"/>
    <cellStyle name="Comma 10 10" xfId="7840" xr:uid="{00000000-0005-0000-0000-0000BC020000}"/>
    <cellStyle name="Comma 10 10 2" xfId="42508" xr:uid="{00000000-0005-0000-0000-0000BD020000}"/>
    <cellStyle name="Comma 10 10 3" xfId="36084" xr:uid="{00000000-0005-0000-0000-0000BE020000}"/>
    <cellStyle name="Comma 10 11" xfId="20834" xr:uid="{00000000-0005-0000-0000-0000BF020000}"/>
    <cellStyle name="Comma 10 11 2" xfId="39301" xr:uid="{00000000-0005-0000-0000-0000C0020000}"/>
    <cellStyle name="Comma 10 12" xfId="21907" xr:uid="{00000000-0005-0000-0000-0000C1020000}"/>
    <cellStyle name="Comma 10 13" xfId="23079" xr:uid="{00000000-0005-0000-0000-0000C2020000}"/>
    <cellStyle name="Comma 10 14" xfId="26229" xr:uid="{00000000-0005-0000-0000-0000C3020000}"/>
    <cellStyle name="Comma 10 15" xfId="29562" xr:uid="{00000000-0005-0000-0000-0000C4020000}"/>
    <cellStyle name="Comma 10 16" xfId="32877" xr:uid="{00000000-0005-0000-0000-0000C5020000}"/>
    <cellStyle name="Comma 10 2" xfId="646" xr:uid="{00000000-0005-0000-0000-0000C6020000}"/>
    <cellStyle name="Comma 10 2 10" xfId="21908" xr:uid="{00000000-0005-0000-0000-0000C7020000}"/>
    <cellStyle name="Comma 10 2 11" xfId="23080" xr:uid="{00000000-0005-0000-0000-0000C8020000}"/>
    <cellStyle name="Comma 10 2 12" xfId="26230" xr:uid="{00000000-0005-0000-0000-0000C9020000}"/>
    <cellStyle name="Comma 10 2 13" xfId="29563" xr:uid="{00000000-0005-0000-0000-0000CA020000}"/>
    <cellStyle name="Comma 10 2 14" xfId="32878" xr:uid="{00000000-0005-0000-0000-0000CB020000}"/>
    <cellStyle name="Comma 10 2 2" xfId="647" xr:uid="{00000000-0005-0000-0000-0000CC020000}"/>
    <cellStyle name="Comma 10 2 2 10" xfId="32879" xr:uid="{00000000-0005-0000-0000-0000CD020000}"/>
    <cellStyle name="Comma 10 2 2 2" xfId="9421" xr:uid="{00000000-0005-0000-0000-0000CE020000}"/>
    <cellStyle name="Comma 10 2 2 2 2" xfId="25221" xr:uid="{00000000-0005-0000-0000-0000CF020000}"/>
    <cellStyle name="Comma 10 2 2 2 2 2" xfId="44648" xr:uid="{00000000-0005-0000-0000-0000D0020000}"/>
    <cellStyle name="Comma 10 2 2 2 2 3" xfId="38225" xr:uid="{00000000-0005-0000-0000-0000D1020000}"/>
    <cellStyle name="Comma 10 2 2 2 3" xfId="27399" xr:uid="{00000000-0005-0000-0000-0000D2020000}"/>
    <cellStyle name="Comma 10 2 2 2 3 2" xfId="41441" xr:uid="{00000000-0005-0000-0000-0000D3020000}"/>
    <cellStyle name="Comma 10 2 2 2 4" xfId="30734" xr:uid="{00000000-0005-0000-0000-0000D4020000}"/>
    <cellStyle name="Comma 10 2 2 2 5" xfId="35017" xr:uid="{00000000-0005-0000-0000-0000D5020000}"/>
    <cellStyle name="Comma 10 2 2 3" xfId="15027" xr:uid="{00000000-0005-0000-0000-0000D6020000}"/>
    <cellStyle name="Comma 10 2 2 3 2" xfId="24039" xr:uid="{00000000-0005-0000-0000-0000D7020000}"/>
    <cellStyle name="Comma 10 2 2 3 2 2" xfId="43468" xr:uid="{00000000-0005-0000-0000-0000D8020000}"/>
    <cellStyle name="Comma 10 2 2 3 2 3" xfId="37045" xr:uid="{00000000-0005-0000-0000-0000D9020000}"/>
    <cellStyle name="Comma 10 2 2 3 3" xfId="28363" xr:uid="{00000000-0005-0000-0000-0000DA020000}"/>
    <cellStyle name="Comma 10 2 2 3 3 2" xfId="40261" xr:uid="{00000000-0005-0000-0000-0000DB020000}"/>
    <cellStyle name="Comma 10 2 2 3 4" xfId="31698" xr:uid="{00000000-0005-0000-0000-0000DC020000}"/>
    <cellStyle name="Comma 10 2 2 3 5" xfId="33837" xr:uid="{00000000-0005-0000-0000-0000DD020000}"/>
    <cellStyle name="Comma 10 2 2 4" xfId="7842" xr:uid="{00000000-0005-0000-0000-0000DE020000}"/>
    <cellStyle name="Comma 10 2 2 4 2" xfId="42510" xr:uid="{00000000-0005-0000-0000-0000DF020000}"/>
    <cellStyle name="Comma 10 2 2 4 3" xfId="36086" xr:uid="{00000000-0005-0000-0000-0000E0020000}"/>
    <cellStyle name="Comma 10 2 2 5" xfId="20836" xr:uid="{00000000-0005-0000-0000-0000E1020000}"/>
    <cellStyle name="Comma 10 2 2 5 2" xfId="39303" xr:uid="{00000000-0005-0000-0000-0000E2020000}"/>
    <cellStyle name="Comma 10 2 2 6" xfId="21909" xr:uid="{00000000-0005-0000-0000-0000E3020000}"/>
    <cellStyle name="Comma 10 2 2 7" xfId="23081" xr:uid="{00000000-0005-0000-0000-0000E4020000}"/>
    <cellStyle name="Comma 10 2 2 8" xfId="26231" xr:uid="{00000000-0005-0000-0000-0000E5020000}"/>
    <cellStyle name="Comma 10 2 2 9" xfId="29564" xr:uid="{00000000-0005-0000-0000-0000E6020000}"/>
    <cellStyle name="Comma 10 2 3" xfId="648" xr:uid="{00000000-0005-0000-0000-0000E7020000}"/>
    <cellStyle name="Comma 10 2 3 10" xfId="32880" xr:uid="{00000000-0005-0000-0000-0000E8020000}"/>
    <cellStyle name="Comma 10 2 3 2" xfId="9422" xr:uid="{00000000-0005-0000-0000-0000E9020000}"/>
    <cellStyle name="Comma 10 2 3 2 2" xfId="25222" xr:uid="{00000000-0005-0000-0000-0000EA020000}"/>
    <cellStyle name="Comma 10 2 3 2 2 2" xfId="44649" xr:uid="{00000000-0005-0000-0000-0000EB020000}"/>
    <cellStyle name="Comma 10 2 3 2 2 3" xfId="38226" xr:uid="{00000000-0005-0000-0000-0000EC020000}"/>
    <cellStyle name="Comma 10 2 3 2 3" xfId="27400" xr:uid="{00000000-0005-0000-0000-0000ED020000}"/>
    <cellStyle name="Comma 10 2 3 2 3 2" xfId="41442" xr:uid="{00000000-0005-0000-0000-0000EE020000}"/>
    <cellStyle name="Comma 10 2 3 2 4" xfId="30735" xr:uid="{00000000-0005-0000-0000-0000EF020000}"/>
    <cellStyle name="Comma 10 2 3 2 5" xfId="35018" xr:uid="{00000000-0005-0000-0000-0000F0020000}"/>
    <cellStyle name="Comma 10 2 3 3" xfId="15028" xr:uid="{00000000-0005-0000-0000-0000F1020000}"/>
    <cellStyle name="Comma 10 2 3 3 2" xfId="24040" xr:uid="{00000000-0005-0000-0000-0000F2020000}"/>
    <cellStyle name="Comma 10 2 3 3 2 2" xfId="43469" xr:uid="{00000000-0005-0000-0000-0000F3020000}"/>
    <cellStyle name="Comma 10 2 3 3 2 3" xfId="37046" xr:uid="{00000000-0005-0000-0000-0000F4020000}"/>
    <cellStyle name="Comma 10 2 3 3 3" xfId="28364" xr:uid="{00000000-0005-0000-0000-0000F5020000}"/>
    <cellStyle name="Comma 10 2 3 3 3 2" xfId="40262" xr:uid="{00000000-0005-0000-0000-0000F6020000}"/>
    <cellStyle name="Comma 10 2 3 3 4" xfId="31699" xr:uid="{00000000-0005-0000-0000-0000F7020000}"/>
    <cellStyle name="Comma 10 2 3 3 5" xfId="33838" xr:uid="{00000000-0005-0000-0000-0000F8020000}"/>
    <cellStyle name="Comma 10 2 3 4" xfId="7843" xr:uid="{00000000-0005-0000-0000-0000F9020000}"/>
    <cellStyle name="Comma 10 2 3 4 2" xfId="42511" xr:uid="{00000000-0005-0000-0000-0000FA020000}"/>
    <cellStyle name="Comma 10 2 3 4 3" xfId="36087" xr:uid="{00000000-0005-0000-0000-0000FB020000}"/>
    <cellStyle name="Comma 10 2 3 5" xfId="20837" xr:uid="{00000000-0005-0000-0000-0000FC020000}"/>
    <cellStyle name="Comma 10 2 3 5 2" xfId="39304" xr:uid="{00000000-0005-0000-0000-0000FD020000}"/>
    <cellStyle name="Comma 10 2 3 6" xfId="21910" xr:uid="{00000000-0005-0000-0000-0000FE020000}"/>
    <cellStyle name="Comma 10 2 3 7" xfId="23082" xr:uid="{00000000-0005-0000-0000-0000FF020000}"/>
    <cellStyle name="Comma 10 2 3 8" xfId="26232" xr:uid="{00000000-0005-0000-0000-000000030000}"/>
    <cellStyle name="Comma 10 2 3 9" xfId="29565" xr:uid="{00000000-0005-0000-0000-000001030000}"/>
    <cellStyle name="Comma 10 2 4" xfId="649" xr:uid="{00000000-0005-0000-0000-000002030000}"/>
    <cellStyle name="Comma 10 2 4 10" xfId="32881" xr:uid="{00000000-0005-0000-0000-000003030000}"/>
    <cellStyle name="Comma 10 2 4 2" xfId="9423" xr:uid="{00000000-0005-0000-0000-000004030000}"/>
    <cellStyle name="Comma 10 2 4 2 2" xfId="25223" xr:uid="{00000000-0005-0000-0000-000005030000}"/>
    <cellStyle name="Comma 10 2 4 2 2 2" xfId="44650" xr:uid="{00000000-0005-0000-0000-000006030000}"/>
    <cellStyle name="Comma 10 2 4 2 2 3" xfId="38227" xr:uid="{00000000-0005-0000-0000-000007030000}"/>
    <cellStyle name="Comma 10 2 4 2 3" xfId="27401" xr:uid="{00000000-0005-0000-0000-000008030000}"/>
    <cellStyle name="Comma 10 2 4 2 3 2" xfId="41443" xr:uid="{00000000-0005-0000-0000-000009030000}"/>
    <cellStyle name="Comma 10 2 4 2 4" xfId="30736" xr:uid="{00000000-0005-0000-0000-00000A030000}"/>
    <cellStyle name="Comma 10 2 4 2 5" xfId="35019" xr:uid="{00000000-0005-0000-0000-00000B030000}"/>
    <cellStyle name="Comma 10 2 4 3" xfId="15029" xr:uid="{00000000-0005-0000-0000-00000C030000}"/>
    <cellStyle name="Comma 10 2 4 3 2" xfId="24041" xr:uid="{00000000-0005-0000-0000-00000D030000}"/>
    <cellStyle name="Comma 10 2 4 3 2 2" xfId="43470" xr:uid="{00000000-0005-0000-0000-00000E030000}"/>
    <cellStyle name="Comma 10 2 4 3 2 3" xfId="37047" xr:uid="{00000000-0005-0000-0000-00000F030000}"/>
    <cellStyle name="Comma 10 2 4 3 3" xfId="28365" xr:uid="{00000000-0005-0000-0000-000010030000}"/>
    <cellStyle name="Comma 10 2 4 3 3 2" xfId="40263" xr:uid="{00000000-0005-0000-0000-000011030000}"/>
    <cellStyle name="Comma 10 2 4 3 4" xfId="31700" xr:uid="{00000000-0005-0000-0000-000012030000}"/>
    <cellStyle name="Comma 10 2 4 3 5" xfId="33839" xr:uid="{00000000-0005-0000-0000-000013030000}"/>
    <cellStyle name="Comma 10 2 4 4" xfId="7844" xr:uid="{00000000-0005-0000-0000-000014030000}"/>
    <cellStyle name="Comma 10 2 4 4 2" xfId="42512" xr:uid="{00000000-0005-0000-0000-000015030000}"/>
    <cellStyle name="Comma 10 2 4 4 3" xfId="36088" xr:uid="{00000000-0005-0000-0000-000016030000}"/>
    <cellStyle name="Comma 10 2 4 5" xfId="20838" xr:uid="{00000000-0005-0000-0000-000017030000}"/>
    <cellStyle name="Comma 10 2 4 5 2" xfId="39305" xr:uid="{00000000-0005-0000-0000-000018030000}"/>
    <cellStyle name="Comma 10 2 4 6" xfId="21911" xr:uid="{00000000-0005-0000-0000-000019030000}"/>
    <cellStyle name="Comma 10 2 4 7" xfId="23083" xr:uid="{00000000-0005-0000-0000-00001A030000}"/>
    <cellStyle name="Comma 10 2 4 8" xfId="26233" xr:uid="{00000000-0005-0000-0000-00001B030000}"/>
    <cellStyle name="Comma 10 2 4 9" xfId="29566" xr:uid="{00000000-0005-0000-0000-00001C030000}"/>
    <cellStyle name="Comma 10 2 5" xfId="650" xr:uid="{00000000-0005-0000-0000-00001D030000}"/>
    <cellStyle name="Comma 10 2 5 10" xfId="32882" xr:uid="{00000000-0005-0000-0000-00001E030000}"/>
    <cellStyle name="Comma 10 2 5 2" xfId="9424" xr:uid="{00000000-0005-0000-0000-00001F030000}"/>
    <cellStyle name="Comma 10 2 5 2 2" xfId="25224" xr:uid="{00000000-0005-0000-0000-000020030000}"/>
    <cellStyle name="Comma 10 2 5 2 2 2" xfId="44651" xr:uid="{00000000-0005-0000-0000-000021030000}"/>
    <cellStyle name="Comma 10 2 5 2 2 3" xfId="38228" xr:uid="{00000000-0005-0000-0000-000022030000}"/>
    <cellStyle name="Comma 10 2 5 2 3" xfId="27402" xr:uid="{00000000-0005-0000-0000-000023030000}"/>
    <cellStyle name="Comma 10 2 5 2 3 2" xfId="41444" xr:uid="{00000000-0005-0000-0000-000024030000}"/>
    <cellStyle name="Comma 10 2 5 2 4" xfId="30737" xr:uid="{00000000-0005-0000-0000-000025030000}"/>
    <cellStyle name="Comma 10 2 5 2 5" xfId="35020" xr:uid="{00000000-0005-0000-0000-000026030000}"/>
    <cellStyle name="Comma 10 2 5 3" xfId="15030" xr:uid="{00000000-0005-0000-0000-000027030000}"/>
    <cellStyle name="Comma 10 2 5 3 2" xfId="24042" xr:uid="{00000000-0005-0000-0000-000028030000}"/>
    <cellStyle name="Comma 10 2 5 3 2 2" xfId="43471" xr:uid="{00000000-0005-0000-0000-000029030000}"/>
    <cellStyle name="Comma 10 2 5 3 2 3" xfId="37048" xr:uid="{00000000-0005-0000-0000-00002A030000}"/>
    <cellStyle name="Comma 10 2 5 3 3" xfId="28366" xr:uid="{00000000-0005-0000-0000-00002B030000}"/>
    <cellStyle name="Comma 10 2 5 3 3 2" xfId="40264" xr:uid="{00000000-0005-0000-0000-00002C030000}"/>
    <cellStyle name="Comma 10 2 5 3 4" xfId="31701" xr:uid="{00000000-0005-0000-0000-00002D030000}"/>
    <cellStyle name="Comma 10 2 5 3 5" xfId="33840" xr:uid="{00000000-0005-0000-0000-00002E030000}"/>
    <cellStyle name="Comma 10 2 5 4" xfId="7845" xr:uid="{00000000-0005-0000-0000-00002F030000}"/>
    <cellStyle name="Comma 10 2 5 4 2" xfId="42513" xr:uid="{00000000-0005-0000-0000-000030030000}"/>
    <cellStyle name="Comma 10 2 5 4 3" xfId="36089" xr:uid="{00000000-0005-0000-0000-000031030000}"/>
    <cellStyle name="Comma 10 2 5 5" xfId="20839" xr:uid="{00000000-0005-0000-0000-000032030000}"/>
    <cellStyle name="Comma 10 2 5 5 2" xfId="39306" xr:uid="{00000000-0005-0000-0000-000033030000}"/>
    <cellStyle name="Comma 10 2 5 6" xfId="21912" xr:uid="{00000000-0005-0000-0000-000034030000}"/>
    <cellStyle name="Comma 10 2 5 7" xfId="23084" xr:uid="{00000000-0005-0000-0000-000035030000}"/>
    <cellStyle name="Comma 10 2 5 8" xfId="26234" xr:uid="{00000000-0005-0000-0000-000036030000}"/>
    <cellStyle name="Comma 10 2 5 9" xfId="29567" xr:uid="{00000000-0005-0000-0000-000037030000}"/>
    <cellStyle name="Comma 10 2 6" xfId="9420" xr:uid="{00000000-0005-0000-0000-000038030000}"/>
    <cellStyle name="Comma 10 2 6 2" xfId="25220" xr:uid="{00000000-0005-0000-0000-000039030000}"/>
    <cellStyle name="Comma 10 2 6 2 2" xfId="44647" xr:uid="{00000000-0005-0000-0000-00003A030000}"/>
    <cellStyle name="Comma 10 2 6 2 3" xfId="38224" xr:uid="{00000000-0005-0000-0000-00003B030000}"/>
    <cellStyle name="Comma 10 2 6 3" xfId="27398" xr:uid="{00000000-0005-0000-0000-00003C030000}"/>
    <cellStyle name="Comma 10 2 6 3 2" xfId="41440" xr:uid="{00000000-0005-0000-0000-00003D030000}"/>
    <cellStyle name="Comma 10 2 6 4" xfId="30733" xr:uid="{00000000-0005-0000-0000-00003E030000}"/>
    <cellStyle name="Comma 10 2 6 5" xfId="35016" xr:uid="{00000000-0005-0000-0000-00003F030000}"/>
    <cellStyle name="Comma 10 2 7" xfId="15026" xr:uid="{00000000-0005-0000-0000-000040030000}"/>
    <cellStyle name="Comma 10 2 7 2" xfId="24038" xr:uid="{00000000-0005-0000-0000-000041030000}"/>
    <cellStyle name="Comma 10 2 7 2 2" xfId="43467" xr:uid="{00000000-0005-0000-0000-000042030000}"/>
    <cellStyle name="Comma 10 2 7 2 3" xfId="37044" xr:uid="{00000000-0005-0000-0000-000043030000}"/>
    <cellStyle name="Comma 10 2 7 3" xfId="28362" xr:uid="{00000000-0005-0000-0000-000044030000}"/>
    <cellStyle name="Comma 10 2 7 3 2" xfId="40260" xr:uid="{00000000-0005-0000-0000-000045030000}"/>
    <cellStyle name="Comma 10 2 7 4" xfId="31697" xr:uid="{00000000-0005-0000-0000-000046030000}"/>
    <cellStyle name="Comma 10 2 7 5" xfId="33836" xr:uid="{00000000-0005-0000-0000-000047030000}"/>
    <cellStyle name="Comma 10 2 8" xfId="7841" xr:uid="{00000000-0005-0000-0000-000048030000}"/>
    <cellStyle name="Comma 10 2 8 2" xfId="42509" xr:uid="{00000000-0005-0000-0000-000049030000}"/>
    <cellStyle name="Comma 10 2 8 3" xfId="36085" xr:uid="{00000000-0005-0000-0000-00004A030000}"/>
    <cellStyle name="Comma 10 2 9" xfId="20835" xr:uid="{00000000-0005-0000-0000-00004B030000}"/>
    <cellStyle name="Comma 10 2 9 2" xfId="39302" xr:uid="{00000000-0005-0000-0000-00004C030000}"/>
    <cellStyle name="Comma 10 3" xfId="651" xr:uid="{00000000-0005-0000-0000-00004D030000}"/>
    <cellStyle name="Comma 10 3 10" xfId="21913" xr:uid="{00000000-0005-0000-0000-00004E030000}"/>
    <cellStyle name="Comma 10 3 11" xfId="23085" xr:uid="{00000000-0005-0000-0000-00004F030000}"/>
    <cellStyle name="Comma 10 3 12" xfId="26235" xr:uid="{00000000-0005-0000-0000-000050030000}"/>
    <cellStyle name="Comma 10 3 13" xfId="29568" xr:uid="{00000000-0005-0000-0000-000051030000}"/>
    <cellStyle name="Comma 10 3 14" xfId="32883" xr:uid="{00000000-0005-0000-0000-000052030000}"/>
    <cellStyle name="Comma 10 3 2" xfId="652" xr:uid="{00000000-0005-0000-0000-000053030000}"/>
    <cellStyle name="Comma 10 3 2 10" xfId="32884" xr:uid="{00000000-0005-0000-0000-000054030000}"/>
    <cellStyle name="Comma 10 3 2 2" xfId="9426" xr:uid="{00000000-0005-0000-0000-000055030000}"/>
    <cellStyle name="Comma 10 3 2 2 2" xfId="25226" xr:uid="{00000000-0005-0000-0000-000056030000}"/>
    <cellStyle name="Comma 10 3 2 2 2 2" xfId="44653" xr:uid="{00000000-0005-0000-0000-000057030000}"/>
    <cellStyle name="Comma 10 3 2 2 2 3" xfId="38230" xr:uid="{00000000-0005-0000-0000-000058030000}"/>
    <cellStyle name="Comma 10 3 2 2 3" xfId="27404" xr:uid="{00000000-0005-0000-0000-000059030000}"/>
    <cellStyle name="Comma 10 3 2 2 3 2" xfId="41446" xr:uid="{00000000-0005-0000-0000-00005A030000}"/>
    <cellStyle name="Comma 10 3 2 2 4" xfId="30739" xr:uid="{00000000-0005-0000-0000-00005B030000}"/>
    <cellStyle name="Comma 10 3 2 2 5" xfId="35022" xr:uid="{00000000-0005-0000-0000-00005C030000}"/>
    <cellStyle name="Comma 10 3 2 3" xfId="15032" xr:uid="{00000000-0005-0000-0000-00005D030000}"/>
    <cellStyle name="Comma 10 3 2 3 2" xfId="24044" xr:uid="{00000000-0005-0000-0000-00005E030000}"/>
    <cellStyle name="Comma 10 3 2 3 2 2" xfId="43473" xr:uid="{00000000-0005-0000-0000-00005F030000}"/>
    <cellStyle name="Comma 10 3 2 3 2 3" xfId="37050" xr:uid="{00000000-0005-0000-0000-000060030000}"/>
    <cellStyle name="Comma 10 3 2 3 3" xfId="28368" xr:uid="{00000000-0005-0000-0000-000061030000}"/>
    <cellStyle name="Comma 10 3 2 3 3 2" xfId="40266" xr:uid="{00000000-0005-0000-0000-000062030000}"/>
    <cellStyle name="Comma 10 3 2 3 4" xfId="31703" xr:uid="{00000000-0005-0000-0000-000063030000}"/>
    <cellStyle name="Comma 10 3 2 3 5" xfId="33842" xr:uid="{00000000-0005-0000-0000-000064030000}"/>
    <cellStyle name="Comma 10 3 2 4" xfId="7847" xr:uid="{00000000-0005-0000-0000-000065030000}"/>
    <cellStyle name="Comma 10 3 2 4 2" xfId="42515" xr:uid="{00000000-0005-0000-0000-000066030000}"/>
    <cellStyle name="Comma 10 3 2 4 3" xfId="36091" xr:uid="{00000000-0005-0000-0000-000067030000}"/>
    <cellStyle name="Comma 10 3 2 5" xfId="20841" xr:uid="{00000000-0005-0000-0000-000068030000}"/>
    <cellStyle name="Comma 10 3 2 5 2" xfId="39308" xr:uid="{00000000-0005-0000-0000-000069030000}"/>
    <cellStyle name="Comma 10 3 2 6" xfId="21914" xr:uid="{00000000-0005-0000-0000-00006A030000}"/>
    <cellStyle name="Comma 10 3 2 7" xfId="23086" xr:uid="{00000000-0005-0000-0000-00006B030000}"/>
    <cellStyle name="Comma 10 3 2 8" xfId="26236" xr:uid="{00000000-0005-0000-0000-00006C030000}"/>
    <cellStyle name="Comma 10 3 2 9" xfId="29569" xr:uid="{00000000-0005-0000-0000-00006D030000}"/>
    <cellStyle name="Comma 10 3 3" xfId="653" xr:uid="{00000000-0005-0000-0000-00006E030000}"/>
    <cellStyle name="Comma 10 3 3 10" xfId="32885" xr:uid="{00000000-0005-0000-0000-00006F030000}"/>
    <cellStyle name="Comma 10 3 3 2" xfId="9427" xr:uid="{00000000-0005-0000-0000-000070030000}"/>
    <cellStyle name="Comma 10 3 3 2 2" xfId="25227" xr:uid="{00000000-0005-0000-0000-000071030000}"/>
    <cellStyle name="Comma 10 3 3 2 2 2" xfId="44654" xr:uid="{00000000-0005-0000-0000-000072030000}"/>
    <cellStyle name="Comma 10 3 3 2 2 3" xfId="38231" xr:uid="{00000000-0005-0000-0000-000073030000}"/>
    <cellStyle name="Comma 10 3 3 2 3" xfId="27405" xr:uid="{00000000-0005-0000-0000-000074030000}"/>
    <cellStyle name="Comma 10 3 3 2 3 2" xfId="41447" xr:uid="{00000000-0005-0000-0000-000075030000}"/>
    <cellStyle name="Comma 10 3 3 2 4" xfId="30740" xr:uid="{00000000-0005-0000-0000-000076030000}"/>
    <cellStyle name="Comma 10 3 3 2 5" xfId="35023" xr:uid="{00000000-0005-0000-0000-000077030000}"/>
    <cellStyle name="Comma 10 3 3 3" xfId="15033" xr:uid="{00000000-0005-0000-0000-000078030000}"/>
    <cellStyle name="Comma 10 3 3 3 2" xfId="24045" xr:uid="{00000000-0005-0000-0000-000079030000}"/>
    <cellStyle name="Comma 10 3 3 3 2 2" xfId="43474" xr:uid="{00000000-0005-0000-0000-00007A030000}"/>
    <cellStyle name="Comma 10 3 3 3 2 3" xfId="37051" xr:uid="{00000000-0005-0000-0000-00007B030000}"/>
    <cellStyle name="Comma 10 3 3 3 3" xfId="28369" xr:uid="{00000000-0005-0000-0000-00007C030000}"/>
    <cellStyle name="Comma 10 3 3 3 3 2" xfId="40267" xr:uid="{00000000-0005-0000-0000-00007D030000}"/>
    <cellStyle name="Comma 10 3 3 3 4" xfId="31704" xr:uid="{00000000-0005-0000-0000-00007E030000}"/>
    <cellStyle name="Comma 10 3 3 3 5" xfId="33843" xr:uid="{00000000-0005-0000-0000-00007F030000}"/>
    <cellStyle name="Comma 10 3 3 4" xfId="7848" xr:uid="{00000000-0005-0000-0000-000080030000}"/>
    <cellStyle name="Comma 10 3 3 4 2" xfId="42516" xr:uid="{00000000-0005-0000-0000-000081030000}"/>
    <cellStyle name="Comma 10 3 3 4 3" xfId="36092" xr:uid="{00000000-0005-0000-0000-000082030000}"/>
    <cellStyle name="Comma 10 3 3 5" xfId="20842" xr:uid="{00000000-0005-0000-0000-000083030000}"/>
    <cellStyle name="Comma 10 3 3 5 2" xfId="39309" xr:uid="{00000000-0005-0000-0000-000084030000}"/>
    <cellStyle name="Comma 10 3 3 6" xfId="21915" xr:uid="{00000000-0005-0000-0000-000085030000}"/>
    <cellStyle name="Comma 10 3 3 7" xfId="23087" xr:uid="{00000000-0005-0000-0000-000086030000}"/>
    <cellStyle name="Comma 10 3 3 8" xfId="26237" xr:uid="{00000000-0005-0000-0000-000087030000}"/>
    <cellStyle name="Comma 10 3 3 9" xfId="29570" xr:uid="{00000000-0005-0000-0000-000088030000}"/>
    <cellStyle name="Comma 10 3 4" xfId="654" xr:uid="{00000000-0005-0000-0000-000089030000}"/>
    <cellStyle name="Comma 10 3 4 10" xfId="32886" xr:uid="{00000000-0005-0000-0000-00008A030000}"/>
    <cellStyle name="Comma 10 3 4 2" xfId="9428" xr:uid="{00000000-0005-0000-0000-00008B030000}"/>
    <cellStyle name="Comma 10 3 4 2 2" xfId="25228" xr:uid="{00000000-0005-0000-0000-00008C030000}"/>
    <cellStyle name="Comma 10 3 4 2 2 2" xfId="44655" xr:uid="{00000000-0005-0000-0000-00008D030000}"/>
    <cellStyle name="Comma 10 3 4 2 2 3" xfId="38232" xr:uid="{00000000-0005-0000-0000-00008E030000}"/>
    <cellStyle name="Comma 10 3 4 2 3" xfId="27406" xr:uid="{00000000-0005-0000-0000-00008F030000}"/>
    <cellStyle name="Comma 10 3 4 2 3 2" xfId="41448" xr:uid="{00000000-0005-0000-0000-000090030000}"/>
    <cellStyle name="Comma 10 3 4 2 4" xfId="30741" xr:uid="{00000000-0005-0000-0000-000091030000}"/>
    <cellStyle name="Comma 10 3 4 2 5" xfId="35024" xr:uid="{00000000-0005-0000-0000-000092030000}"/>
    <cellStyle name="Comma 10 3 4 3" xfId="15034" xr:uid="{00000000-0005-0000-0000-000093030000}"/>
    <cellStyle name="Comma 10 3 4 3 2" xfId="24046" xr:uid="{00000000-0005-0000-0000-000094030000}"/>
    <cellStyle name="Comma 10 3 4 3 2 2" xfId="43475" xr:uid="{00000000-0005-0000-0000-000095030000}"/>
    <cellStyle name="Comma 10 3 4 3 2 3" xfId="37052" xr:uid="{00000000-0005-0000-0000-000096030000}"/>
    <cellStyle name="Comma 10 3 4 3 3" xfId="28370" xr:uid="{00000000-0005-0000-0000-000097030000}"/>
    <cellStyle name="Comma 10 3 4 3 3 2" xfId="40268" xr:uid="{00000000-0005-0000-0000-000098030000}"/>
    <cellStyle name="Comma 10 3 4 3 4" xfId="31705" xr:uid="{00000000-0005-0000-0000-000099030000}"/>
    <cellStyle name="Comma 10 3 4 3 5" xfId="33844" xr:uid="{00000000-0005-0000-0000-00009A030000}"/>
    <cellStyle name="Comma 10 3 4 4" xfId="7849" xr:uid="{00000000-0005-0000-0000-00009B030000}"/>
    <cellStyle name="Comma 10 3 4 4 2" xfId="42517" xr:uid="{00000000-0005-0000-0000-00009C030000}"/>
    <cellStyle name="Comma 10 3 4 4 3" xfId="36093" xr:uid="{00000000-0005-0000-0000-00009D030000}"/>
    <cellStyle name="Comma 10 3 4 5" xfId="20843" xr:uid="{00000000-0005-0000-0000-00009E030000}"/>
    <cellStyle name="Comma 10 3 4 5 2" xfId="39310" xr:uid="{00000000-0005-0000-0000-00009F030000}"/>
    <cellStyle name="Comma 10 3 4 6" xfId="21916" xr:uid="{00000000-0005-0000-0000-0000A0030000}"/>
    <cellStyle name="Comma 10 3 4 7" xfId="23088" xr:uid="{00000000-0005-0000-0000-0000A1030000}"/>
    <cellStyle name="Comma 10 3 4 8" xfId="26238" xr:uid="{00000000-0005-0000-0000-0000A2030000}"/>
    <cellStyle name="Comma 10 3 4 9" xfId="29571" xr:uid="{00000000-0005-0000-0000-0000A3030000}"/>
    <cellStyle name="Comma 10 3 5" xfId="655" xr:uid="{00000000-0005-0000-0000-0000A4030000}"/>
    <cellStyle name="Comma 10 3 5 10" xfId="32887" xr:uid="{00000000-0005-0000-0000-0000A5030000}"/>
    <cellStyle name="Comma 10 3 5 2" xfId="9429" xr:uid="{00000000-0005-0000-0000-0000A6030000}"/>
    <cellStyle name="Comma 10 3 5 2 2" xfId="25229" xr:uid="{00000000-0005-0000-0000-0000A7030000}"/>
    <cellStyle name="Comma 10 3 5 2 2 2" xfId="44656" xr:uid="{00000000-0005-0000-0000-0000A8030000}"/>
    <cellStyle name="Comma 10 3 5 2 2 3" xfId="38233" xr:uid="{00000000-0005-0000-0000-0000A9030000}"/>
    <cellStyle name="Comma 10 3 5 2 3" xfId="27407" xr:uid="{00000000-0005-0000-0000-0000AA030000}"/>
    <cellStyle name="Comma 10 3 5 2 3 2" xfId="41449" xr:uid="{00000000-0005-0000-0000-0000AB030000}"/>
    <cellStyle name="Comma 10 3 5 2 4" xfId="30742" xr:uid="{00000000-0005-0000-0000-0000AC030000}"/>
    <cellStyle name="Comma 10 3 5 2 5" xfId="35025" xr:uid="{00000000-0005-0000-0000-0000AD030000}"/>
    <cellStyle name="Comma 10 3 5 3" xfId="15035" xr:uid="{00000000-0005-0000-0000-0000AE030000}"/>
    <cellStyle name="Comma 10 3 5 3 2" xfId="24047" xr:uid="{00000000-0005-0000-0000-0000AF030000}"/>
    <cellStyle name="Comma 10 3 5 3 2 2" xfId="43476" xr:uid="{00000000-0005-0000-0000-0000B0030000}"/>
    <cellStyle name="Comma 10 3 5 3 2 3" xfId="37053" xr:uid="{00000000-0005-0000-0000-0000B1030000}"/>
    <cellStyle name="Comma 10 3 5 3 3" xfId="28371" xr:uid="{00000000-0005-0000-0000-0000B2030000}"/>
    <cellStyle name="Comma 10 3 5 3 3 2" xfId="40269" xr:uid="{00000000-0005-0000-0000-0000B3030000}"/>
    <cellStyle name="Comma 10 3 5 3 4" xfId="31706" xr:uid="{00000000-0005-0000-0000-0000B4030000}"/>
    <cellStyle name="Comma 10 3 5 3 5" xfId="33845" xr:uid="{00000000-0005-0000-0000-0000B5030000}"/>
    <cellStyle name="Comma 10 3 5 4" xfId="7850" xr:uid="{00000000-0005-0000-0000-0000B6030000}"/>
    <cellStyle name="Comma 10 3 5 4 2" xfId="42518" xr:uid="{00000000-0005-0000-0000-0000B7030000}"/>
    <cellStyle name="Comma 10 3 5 4 3" xfId="36094" xr:uid="{00000000-0005-0000-0000-0000B8030000}"/>
    <cellStyle name="Comma 10 3 5 5" xfId="20844" xr:uid="{00000000-0005-0000-0000-0000B9030000}"/>
    <cellStyle name="Comma 10 3 5 5 2" xfId="39311" xr:uid="{00000000-0005-0000-0000-0000BA030000}"/>
    <cellStyle name="Comma 10 3 5 6" xfId="21917" xr:uid="{00000000-0005-0000-0000-0000BB030000}"/>
    <cellStyle name="Comma 10 3 5 7" xfId="23089" xr:uid="{00000000-0005-0000-0000-0000BC030000}"/>
    <cellStyle name="Comma 10 3 5 8" xfId="26239" xr:uid="{00000000-0005-0000-0000-0000BD030000}"/>
    <cellStyle name="Comma 10 3 5 9" xfId="29572" xr:uid="{00000000-0005-0000-0000-0000BE030000}"/>
    <cellStyle name="Comma 10 3 6" xfId="9425" xr:uid="{00000000-0005-0000-0000-0000BF030000}"/>
    <cellStyle name="Comma 10 3 6 2" xfId="25225" xr:uid="{00000000-0005-0000-0000-0000C0030000}"/>
    <cellStyle name="Comma 10 3 6 2 2" xfId="44652" xr:uid="{00000000-0005-0000-0000-0000C1030000}"/>
    <cellStyle name="Comma 10 3 6 2 3" xfId="38229" xr:uid="{00000000-0005-0000-0000-0000C2030000}"/>
    <cellStyle name="Comma 10 3 6 3" xfId="27403" xr:uid="{00000000-0005-0000-0000-0000C3030000}"/>
    <cellStyle name="Comma 10 3 6 3 2" xfId="41445" xr:uid="{00000000-0005-0000-0000-0000C4030000}"/>
    <cellStyle name="Comma 10 3 6 4" xfId="30738" xr:uid="{00000000-0005-0000-0000-0000C5030000}"/>
    <cellStyle name="Comma 10 3 6 5" xfId="35021" xr:uid="{00000000-0005-0000-0000-0000C6030000}"/>
    <cellStyle name="Comma 10 3 7" xfId="15031" xr:uid="{00000000-0005-0000-0000-0000C7030000}"/>
    <cellStyle name="Comma 10 3 7 2" xfId="24043" xr:uid="{00000000-0005-0000-0000-0000C8030000}"/>
    <cellStyle name="Comma 10 3 7 2 2" xfId="43472" xr:uid="{00000000-0005-0000-0000-0000C9030000}"/>
    <cellStyle name="Comma 10 3 7 2 3" xfId="37049" xr:uid="{00000000-0005-0000-0000-0000CA030000}"/>
    <cellStyle name="Comma 10 3 7 3" xfId="28367" xr:uid="{00000000-0005-0000-0000-0000CB030000}"/>
    <cellStyle name="Comma 10 3 7 3 2" xfId="40265" xr:uid="{00000000-0005-0000-0000-0000CC030000}"/>
    <cellStyle name="Comma 10 3 7 4" xfId="31702" xr:uid="{00000000-0005-0000-0000-0000CD030000}"/>
    <cellStyle name="Comma 10 3 7 5" xfId="33841" xr:uid="{00000000-0005-0000-0000-0000CE030000}"/>
    <cellStyle name="Comma 10 3 8" xfId="7846" xr:uid="{00000000-0005-0000-0000-0000CF030000}"/>
    <cellStyle name="Comma 10 3 8 2" xfId="42514" xr:uid="{00000000-0005-0000-0000-0000D0030000}"/>
    <cellStyle name="Comma 10 3 8 3" xfId="36090" xr:uid="{00000000-0005-0000-0000-0000D1030000}"/>
    <cellStyle name="Comma 10 3 9" xfId="20840" xr:uid="{00000000-0005-0000-0000-0000D2030000}"/>
    <cellStyle name="Comma 10 3 9 2" xfId="39307" xr:uid="{00000000-0005-0000-0000-0000D3030000}"/>
    <cellStyle name="Comma 10 4" xfId="656" xr:uid="{00000000-0005-0000-0000-0000D4030000}"/>
    <cellStyle name="Comma 10 4 10" xfId="32888" xr:uid="{00000000-0005-0000-0000-0000D5030000}"/>
    <cellStyle name="Comma 10 4 2" xfId="9430" xr:uid="{00000000-0005-0000-0000-0000D6030000}"/>
    <cellStyle name="Comma 10 4 2 2" xfId="25230" xr:uid="{00000000-0005-0000-0000-0000D7030000}"/>
    <cellStyle name="Comma 10 4 2 2 2" xfId="44657" xr:uid="{00000000-0005-0000-0000-0000D8030000}"/>
    <cellStyle name="Comma 10 4 2 2 3" xfId="38234" xr:uid="{00000000-0005-0000-0000-0000D9030000}"/>
    <cellStyle name="Comma 10 4 2 3" xfId="27408" xr:uid="{00000000-0005-0000-0000-0000DA030000}"/>
    <cellStyle name="Comma 10 4 2 3 2" xfId="41450" xr:uid="{00000000-0005-0000-0000-0000DB030000}"/>
    <cellStyle name="Comma 10 4 2 4" xfId="30743" xr:uid="{00000000-0005-0000-0000-0000DC030000}"/>
    <cellStyle name="Comma 10 4 2 5" xfId="35026" xr:uid="{00000000-0005-0000-0000-0000DD030000}"/>
    <cellStyle name="Comma 10 4 3" xfId="15036" xr:uid="{00000000-0005-0000-0000-0000DE030000}"/>
    <cellStyle name="Comma 10 4 3 2" xfId="24048" xr:uid="{00000000-0005-0000-0000-0000DF030000}"/>
    <cellStyle name="Comma 10 4 3 2 2" xfId="43477" xr:uid="{00000000-0005-0000-0000-0000E0030000}"/>
    <cellStyle name="Comma 10 4 3 2 3" xfId="37054" xr:uid="{00000000-0005-0000-0000-0000E1030000}"/>
    <cellStyle name="Comma 10 4 3 3" xfId="28372" xr:uid="{00000000-0005-0000-0000-0000E2030000}"/>
    <cellStyle name="Comma 10 4 3 3 2" xfId="40270" xr:uid="{00000000-0005-0000-0000-0000E3030000}"/>
    <cellStyle name="Comma 10 4 3 4" xfId="31707" xr:uid="{00000000-0005-0000-0000-0000E4030000}"/>
    <cellStyle name="Comma 10 4 3 5" xfId="33846" xr:uid="{00000000-0005-0000-0000-0000E5030000}"/>
    <cellStyle name="Comma 10 4 4" xfId="7851" xr:uid="{00000000-0005-0000-0000-0000E6030000}"/>
    <cellStyle name="Comma 10 4 4 2" xfId="42519" xr:uid="{00000000-0005-0000-0000-0000E7030000}"/>
    <cellStyle name="Comma 10 4 4 3" xfId="36095" xr:uid="{00000000-0005-0000-0000-0000E8030000}"/>
    <cellStyle name="Comma 10 4 5" xfId="20845" xr:uid="{00000000-0005-0000-0000-0000E9030000}"/>
    <cellStyle name="Comma 10 4 5 2" xfId="39312" xr:uid="{00000000-0005-0000-0000-0000EA030000}"/>
    <cellStyle name="Comma 10 4 6" xfId="21918" xr:uid="{00000000-0005-0000-0000-0000EB030000}"/>
    <cellStyle name="Comma 10 4 7" xfId="23090" xr:uid="{00000000-0005-0000-0000-0000EC030000}"/>
    <cellStyle name="Comma 10 4 8" xfId="26240" xr:uid="{00000000-0005-0000-0000-0000ED030000}"/>
    <cellStyle name="Comma 10 4 9" xfId="29573" xr:uid="{00000000-0005-0000-0000-0000EE030000}"/>
    <cellStyle name="Comma 10 5" xfId="657" xr:uid="{00000000-0005-0000-0000-0000EF030000}"/>
    <cellStyle name="Comma 10 5 10" xfId="32889" xr:uid="{00000000-0005-0000-0000-0000F0030000}"/>
    <cellStyle name="Comma 10 5 2" xfId="9431" xr:uid="{00000000-0005-0000-0000-0000F1030000}"/>
    <cellStyle name="Comma 10 5 2 2" xfId="25231" xr:uid="{00000000-0005-0000-0000-0000F2030000}"/>
    <cellStyle name="Comma 10 5 2 2 2" xfId="44658" xr:uid="{00000000-0005-0000-0000-0000F3030000}"/>
    <cellStyle name="Comma 10 5 2 2 3" xfId="38235" xr:uid="{00000000-0005-0000-0000-0000F4030000}"/>
    <cellStyle name="Comma 10 5 2 3" xfId="27409" xr:uid="{00000000-0005-0000-0000-0000F5030000}"/>
    <cellStyle name="Comma 10 5 2 3 2" xfId="41451" xr:uid="{00000000-0005-0000-0000-0000F6030000}"/>
    <cellStyle name="Comma 10 5 2 4" xfId="30744" xr:uid="{00000000-0005-0000-0000-0000F7030000}"/>
    <cellStyle name="Comma 10 5 2 5" xfId="35027" xr:uid="{00000000-0005-0000-0000-0000F8030000}"/>
    <cellStyle name="Comma 10 5 3" xfId="15037" xr:uid="{00000000-0005-0000-0000-0000F9030000}"/>
    <cellStyle name="Comma 10 5 3 2" xfId="24049" xr:uid="{00000000-0005-0000-0000-0000FA030000}"/>
    <cellStyle name="Comma 10 5 3 2 2" xfId="43478" xr:uid="{00000000-0005-0000-0000-0000FB030000}"/>
    <cellStyle name="Comma 10 5 3 2 3" xfId="37055" xr:uid="{00000000-0005-0000-0000-0000FC030000}"/>
    <cellStyle name="Comma 10 5 3 3" xfId="28373" xr:uid="{00000000-0005-0000-0000-0000FD030000}"/>
    <cellStyle name="Comma 10 5 3 3 2" xfId="40271" xr:uid="{00000000-0005-0000-0000-0000FE030000}"/>
    <cellStyle name="Comma 10 5 3 4" xfId="31708" xr:uid="{00000000-0005-0000-0000-0000FF030000}"/>
    <cellStyle name="Comma 10 5 3 5" xfId="33847" xr:uid="{00000000-0005-0000-0000-000000040000}"/>
    <cellStyle name="Comma 10 5 4" xfId="7852" xr:uid="{00000000-0005-0000-0000-000001040000}"/>
    <cellStyle name="Comma 10 5 4 2" xfId="42520" xr:uid="{00000000-0005-0000-0000-000002040000}"/>
    <cellStyle name="Comma 10 5 4 3" xfId="36096" xr:uid="{00000000-0005-0000-0000-000003040000}"/>
    <cellStyle name="Comma 10 5 5" xfId="20846" xr:uid="{00000000-0005-0000-0000-000004040000}"/>
    <cellStyle name="Comma 10 5 5 2" xfId="39313" xr:uid="{00000000-0005-0000-0000-000005040000}"/>
    <cellStyle name="Comma 10 5 6" xfId="21919" xr:uid="{00000000-0005-0000-0000-000006040000}"/>
    <cellStyle name="Comma 10 5 7" xfId="23091" xr:uid="{00000000-0005-0000-0000-000007040000}"/>
    <cellStyle name="Comma 10 5 8" xfId="26241" xr:uid="{00000000-0005-0000-0000-000008040000}"/>
    <cellStyle name="Comma 10 5 9" xfId="29574" xr:uid="{00000000-0005-0000-0000-000009040000}"/>
    <cellStyle name="Comma 10 6" xfId="658" xr:uid="{00000000-0005-0000-0000-00000A040000}"/>
    <cellStyle name="Comma 10 6 10" xfId="32890" xr:uid="{00000000-0005-0000-0000-00000B040000}"/>
    <cellStyle name="Comma 10 6 2" xfId="9432" xr:uid="{00000000-0005-0000-0000-00000C040000}"/>
    <cellStyle name="Comma 10 6 2 2" xfId="25232" xr:uid="{00000000-0005-0000-0000-00000D040000}"/>
    <cellStyle name="Comma 10 6 2 2 2" xfId="44659" xr:uid="{00000000-0005-0000-0000-00000E040000}"/>
    <cellStyle name="Comma 10 6 2 2 3" xfId="38236" xr:uid="{00000000-0005-0000-0000-00000F040000}"/>
    <cellStyle name="Comma 10 6 2 3" xfId="27410" xr:uid="{00000000-0005-0000-0000-000010040000}"/>
    <cellStyle name="Comma 10 6 2 3 2" xfId="41452" xr:uid="{00000000-0005-0000-0000-000011040000}"/>
    <cellStyle name="Comma 10 6 2 4" xfId="30745" xr:uid="{00000000-0005-0000-0000-000012040000}"/>
    <cellStyle name="Comma 10 6 2 5" xfId="35028" xr:uid="{00000000-0005-0000-0000-000013040000}"/>
    <cellStyle name="Comma 10 6 3" xfId="15038" xr:uid="{00000000-0005-0000-0000-000014040000}"/>
    <cellStyle name="Comma 10 6 3 2" xfId="24050" xr:uid="{00000000-0005-0000-0000-000015040000}"/>
    <cellStyle name="Comma 10 6 3 2 2" xfId="43479" xr:uid="{00000000-0005-0000-0000-000016040000}"/>
    <cellStyle name="Comma 10 6 3 2 3" xfId="37056" xr:uid="{00000000-0005-0000-0000-000017040000}"/>
    <cellStyle name="Comma 10 6 3 3" xfId="28374" xr:uid="{00000000-0005-0000-0000-000018040000}"/>
    <cellStyle name="Comma 10 6 3 3 2" xfId="40272" xr:uid="{00000000-0005-0000-0000-000019040000}"/>
    <cellStyle name="Comma 10 6 3 4" xfId="31709" xr:uid="{00000000-0005-0000-0000-00001A040000}"/>
    <cellStyle name="Comma 10 6 3 5" xfId="33848" xr:uid="{00000000-0005-0000-0000-00001B040000}"/>
    <cellStyle name="Comma 10 6 4" xfId="7853" xr:uid="{00000000-0005-0000-0000-00001C040000}"/>
    <cellStyle name="Comma 10 6 4 2" xfId="42521" xr:uid="{00000000-0005-0000-0000-00001D040000}"/>
    <cellStyle name="Comma 10 6 4 3" xfId="36097" xr:uid="{00000000-0005-0000-0000-00001E040000}"/>
    <cellStyle name="Comma 10 6 5" xfId="20847" xr:uid="{00000000-0005-0000-0000-00001F040000}"/>
    <cellStyle name="Comma 10 6 5 2" xfId="39314" xr:uid="{00000000-0005-0000-0000-000020040000}"/>
    <cellStyle name="Comma 10 6 6" xfId="21920" xr:uid="{00000000-0005-0000-0000-000021040000}"/>
    <cellStyle name="Comma 10 6 7" xfId="23092" xr:uid="{00000000-0005-0000-0000-000022040000}"/>
    <cellStyle name="Comma 10 6 8" xfId="26242" xr:uid="{00000000-0005-0000-0000-000023040000}"/>
    <cellStyle name="Comma 10 6 9" xfId="29575" xr:uid="{00000000-0005-0000-0000-000024040000}"/>
    <cellStyle name="Comma 10 7" xfId="659" xr:uid="{00000000-0005-0000-0000-000025040000}"/>
    <cellStyle name="Comma 10 7 10" xfId="32891" xr:uid="{00000000-0005-0000-0000-000026040000}"/>
    <cellStyle name="Comma 10 7 2" xfId="9433" xr:uid="{00000000-0005-0000-0000-000027040000}"/>
    <cellStyle name="Comma 10 7 2 2" xfId="25233" xr:uid="{00000000-0005-0000-0000-000028040000}"/>
    <cellStyle name="Comma 10 7 2 2 2" xfId="44660" xr:uid="{00000000-0005-0000-0000-000029040000}"/>
    <cellStyle name="Comma 10 7 2 2 3" xfId="38237" xr:uid="{00000000-0005-0000-0000-00002A040000}"/>
    <cellStyle name="Comma 10 7 2 3" xfId="27411" xr:uid="{00000000-0005-0000-0000-00002B040000}"/>
    <cellStyle name="Comma 10 7 2 3 2" xfId="41453" xr:uid="{00000000-0005-0000-0000-00002C040000}"/>
    <cellStyle name="Comma 10 7 2 4" xfId="30746" xr:uid="{00000000-0005-0000-0000-00002D040000}"/>
    <cellStyle name="Comma 10 7 2 5" xfId="35029" xr:uid="{00000000-0005-0000-0000-00002E040000}"/>
    <cellStyle name="Comma 10 7 3" xfId="15039" xr:uid="{00000000-0005-0000-0000-00002F040000}"/>
    <cellStyle name="Comma 10 7 3 2" xfId="24051" xr:uid="{00000000-0005-0000-0000-000030040000}"/>
    <cellStyle name="Comma 10 7 3 2 2" xfId="43480" xr:uid="{00000000-0005-0000-0000-000031040000}"/>
    <cellStyle name="Comma 10 7 3 2 3" xfId="37057" xr:uid="{00000000-0005-0000-0000-000032040000}"/>
    <cellStyle name="Comma 10 7 3 3" xfId="28375" xr:uid="{00000000-0005-0000-0000-000033040000}"/>
    <cellStyle name="Comma 10 7 3 3 2" xfId="40273" xr:uid="{00000000-0005-0000-0000-000034040000}"/>
    <cellStyle name="Comma 10 7 3 4" xfId="31710" xr:uid="{00000000-0005-0000-0000-000035040000}"/>
    <cellStyle name="Comma 10 7 3 5" xfId="33849" xr:uid="{00000000-0005-0000-0000-000036040000}"/>
    <cellStyle name="Comma 10 7 4" xfId="7854" xr:uid="{00000000-0005-0000-0000-000037040000}"/>
    <cellStyle name="Comma 10 7 4 2" xfId="42522" xr:uid="{00000000-0005-0000-0000-000038040000}"/>
    <cellStyle name="Comma 10 7 4 3" xfId="36098" xr:uid="{00000000-0005-0000-0000-000039040000}"/>
    <cellStyle name="Comma 10 7 5" xfId="20848" xr:uid="{00000000-0005-0000-0000-00003A040000}"/>
    <cellStyle name="Comma 10 7 5 2" xfId="39315" xr:uid="{00000000-0005-0000-0000-00003B040000}"/>
    <cellStyle name="Comma 10 7 6" xfId="21921" xr:uid="{00000000-0005-0000-0000-00003C040000}"/>
    <cellStyle name="Comma 10 7 7" xfId="23093" xr:uid="{00000000-0005-0000-0000-00003D040000}"/>
    <cellStyle name="Comma 10 7 8" xfId="26243" xr:uid="{00000000-0005-0000-0000-00003E040000}"/>
    <cellStyle name="Comma 10 7 9" xfId="29576" xr:uid="{00000000-0005-0000-0000-00003F040000}"/>
    <cellStyle name="Comma 10 8" xfId="9419" xr:uid="{00000000-0005-0000-0000-000040040000}"/>
    <cellStyle name="Comma 10 8 2" xfId="25219" xr:uid="{00000000-0005-0000-0000-000041040000}"/>
    <cellStyle name="Comma 10 8 2 2" xfId="44646" xr:uid="{00000000-0005-0000-0000-000042040000}"/>
    <cellStyle name="Comma 10 8 2 3" xfId="38223" xr:uid="{00000000-0005-0000-0000-000043040000}"/>
    <cellStyle name="Comma 10 8 3" xfId="27397" xr:uid="{00000000-0005-0000-0000-000044040000}"/>
    <cellStyle name="Comma 10 8 3 2" xfId="41439" xr:uid="{00000000-0005-0000-0000-000045040000}"/>
    <cellStyle name="Comma 10 8 4" xfId="30732" xr:uid="{00000000-0005-0000-0000-000046040000}"/>
    <cellStyle name="Comma 10 8 5" xfId="35015" xr:uid="{00000000-0005-0000-0000-000047040000}"/>
    <cellStyle name="Comma 10 9" xfId="15025" xr:uid="{00000000-0005-0000-0000-000048040000}"/>
    <cellStyle name="Comma 10 9 2" xfId="24037" xr:uid="{00000000-0005-0000-0000-000049040000}"/>
    <cellStyle name="Comma 10 9 2 2" xfId="43466" xr:uid="{00000000-0005-0000-0000-00004A040000}"/>
    <cellStyle name="Comma 10 9 2 3" xfId="37043" xr:uid="{00000000-0005-0000-0000-00004B040000}"/>
    <cellStyle name="Comma 10 9 3" xfId="28361" xr:uid="{00000000-0005-0000-0000-00004C040000}"/>
    <cellStyle name="Comma 10 9 3 2" xfId="40259" xr:uid="{00000000-0005-0000-0000-00004D040000}"/>
    <cellStyle name="Comma 10 9 4" xfId="31696" xr:uid="{00000000-0005-0000-0000-00004E040000}"/>
    <cellStyle name="Comma 10 9 5" xfId="33835" xr:uid="{00000000-0005-0000-0000-00004F040000}"/>
    <cellStyle name="Comma 11" xfId="660" xr:uid="{00000000-0005-0000-0000-000050040000}"/>
    <cellStyle name="Comma 12" xfId="661" xr:uid="{00000000-0005-0000-0000-000051040000}"/>
    <cellStyle name="Comma 12 10" xfId="21922" xr:uid="{00000000-0005-0000-0000-000052040000}"/>
    <cellStyle name="Comma 12 11" xfId="23094" xr:uid="{00000000-0005-0000-0000-000053040000}"/>
    <cellStyle name="Comma 12 12" xfId="26244" xr:uid="{00000000-0005-0000-0000-000054040000}"/>
    <cellStyle name="Comma 12 13" xfId="29577" xr:uid="{00000000-0005-0000-0000-000055040000}"/>
    <cellStyle name="Comma 12 14" xfId="32892" xr:uid="{00000000-0005-0000-0000-000056040000}"/>
    <cellStyle name="Comma 12 2" xfId="662" xr:uid="{00000000-0005-0000-0000-000057040000}"/>
    <cellStyle name="Comma 12 2 10" xfId="32893" xr:uid="{00000000-0005-0000-0000-000058040000}"/>
    <cellStyle name="Comma 12 2 2" xfId="9435" xr:uid="{00000000-0005-0000-0000-000059040000}"/>
    <cellStyle name="Comma 12 2 2 2" xfId="25235" xr:uid="{00000000-0005-0000-0000-00005A040000}"/>
    <cellStyle name="Comma 12 2 2 2 2" xfId="44662" xr:uid="{00000000-0005-0000-0000-00005B040000}"/>
    <cellStyle name="Comma 12 2 2 2 3" xfId="38239" xr:uid="{00000000-0005-0000-0000-00005C040000}"/>
    <cellStyle name="Comma 12 2 2 3" xfId="27413" xr:uid="{00000000-0005-0000-0000-00005D040000}"/>
    <cellStyle name="Comma 12 2 2 3 2" xfId="41455" xr:uid="{00000000-0005-0000-0000-00005E040000}"/>
    <cellStyle name="Comma 12 2 2 4" xfId="30748" xr:uid="{00000000-0005-0000-0000-00005F040000}"/>
    <cellStyle name="Comma 12 2 2 5" xfId="35031" xr:uid="{00000000-0005-0000-0000-000060040000}"/>
    <cellStyle name="Comma 12 2 3" xfId="15041" xr:uid="{00000000-0005-0000-0000-000061040000}"/>
    <cellStyle name="Comma 12 2 3 2" xfId="24053" xr:uid="{00000000-0005-0000-0000-000062040000}"/>
    <cellStyle name="Comma 12 2 3 2 2" xfId="43482" xr:uid="{00000000-0005-0000-0000-000063040000}"/>
    <cellStyle name="Comma 12 2 3 2 3" xfId="37059" xr:uid="{00000000-0005-0000-0000-000064040000}"/>
    <cellStyle name="Comma 12 2 3 3" xfId="28377" xr:uid="{00000000-0005-0000-0000-000065040000}"/>
    <cellStyle name="Comma 12 2 3 3 2" xfId="40275" xr:uid="{00000000-0005-0000-0000-000066040000}"/>
    <cellStyle name="Comma 12 2 3 4" xfId="31712" xr:uid="{00000000-0005-0000-0000-000067040000}"/>
    <cellStyle name="Comma 12 2 3 5" xfId="33851" xr:uid="{00000000-0005-0000-0000-000068040000}"/>
    <cellStyle name="Comma 12 2 4" xfId="7856" xr:uid="{00000000-0005-0000-0000-000069040000}"/>
    <cellStyle name="Comma 12 2 4 2" xfId="42524" xr:uid="{00000000-0005-0000-0000-00006A040000}"/>
    <cellStyle name="Comma 12 2 4 3" xfId="36100" xr:uid="{00000000-0005-0000-0000-00006B040000}"/>
    <cellStyle name="Comma 12 2 5" xfId="20850" xr:uid="{00000000-0005-0000-0000-00006C040000}"/>
    <cellStyle name="Comma 12 2 5 2" xfId="39317" xr:uid="{00000000-0005-0000-0000-00006D040000}"/>
    <cellStyle name="Comma 12 2 6" xfId="21923" xr:uid="{00000000-0005-0000-0000-00006E040000}"/>
    <cellStyle name="Comma 12 2 7" xfId="23095" xr:uid="{00000000-0005-0000-0000-00006F040000}"/>
    <cellStyle name="Comma 12 2 8" xfId="26245" xr:uid="{00000000-0005-0000-0000-000070040000}"/>
    <cellStyle name="Comma 12 2 9" xfId="29578" xr:uid="{00000000-0005-0000-0000-000071040000}"/>
    <cellStyle name="Comma 12 3" xfId="663" xr:uid="{00000000-0005-0000-0000-000072040000}"/>
    <cellStyle name="Comma 12 3 10" xfId="32894" xr:uid="{00000000-0005-0000-0000-000073040000}"/>
    <cellStyle name="Comma 12 3 2" xfId="9436" xr:uid="{00000000-0005-0000-0000-000074040000}"/>
    <cellStyle name="Comma 12 3 2 2" xfId="25236" xr:uid="{00000000-0005-0000-0000-000075040000}"/>
    <cellStyle name="Comma 12 3 2 2 2" xfId="44663" xr:uid="{00000000-0005-0000-0000-000076040000}"/>
    <cellStyle name="Comma 12 3 2 2 3" xfId="38240" xr:uid="{00000000-0005-0000-0000-000077040000}"/>
    <cellStyle name="Comma 12 3 2 3" xfId="27414" xr:uid="{00000000-0005-0000-0000-000078040000}"/>
    <cellStyle name="Comma 12 3 2 3 2" xfId="41456" xr:uid="{00000000-0005-0000-0000-000079040000}"/>
    <cellStyle name="Comma 12 3 2 4" xfId="30749" xr:uid="{00000000-0005-0000-0000-00007A040000}"/>
    <cellStyle name="Comma 12 3 2 5" xfId="35032" xr:uid="{00000000-0005-0000-0000-00007B040000}"/>
    <cellStyle name="Comma 12 3 3" xfId="15042" xr:uid="{00000000-0005-0000-0000-00007C040000}"/>
    <cellStyle name="Comma 12 3 3 2" xfId="24054" xr:uid="{00000000-0005-0000-0000-00007D040000}"/>
    <cellStyle name="Comma 12 3 3 2 2" xfId="43483" xr:uid="{00000000-0005-0000-0000-00007E040000}"/>
    <cellStyle name="Comma 12 3 3 2 3" xfId="37060" xr:uid="{00000000-0005-0000-0000-00007F040000}"/>
    <cellStyle name="Comma 12 3 3 3" xfId="28378" xr:uid="{00000000-0005-0000-0000-000080040000}"/>
    <cellStyle name="Comma 12 3 3 3 2" xfId="40276" xr:uid="{00000000-0005-0000-0000-000081040000}"/>
    <cellStyle name="Comma 12 3 3 4" xfId="31713" xr:uid="{00000000-0005-0000-0000-000082040000}"/>
    <cellStyle name="Comma 12 3 3 5" xfId="33852" xr:uid="{00000000-0005-0000-0000-000083040000}"/>
    <cellStyle name="Comma 12 3 4" xfId="7857" xr:uid="{00000000-0005-0000-0000-000084040000}"/>
    <cellStyle name="Comma 12 3 4 2" xfId="42525" xr:uid="{00000000-0005-0000-0000-000085040000}"/>
    <cellStyle name="Comma 12 3 4 3" xfId="36101" xr:uid="{00000000-0005-0000-0000-000086040000}"/>
    <cellStyle name="Comma 12 3 5" xfId="20851" xr:uid="{00000000-0005-0000-0000-000087040000}"/>
    <cellStyle name="Comma 12 3 5 2" xfId="39318" xr:uid="{00000000-0005-0000-0000-000088040000}"/>
    <cellStyle name="Comma 12 3 6" xfId="21924" xr:uid="{00000000-0005-0000-0000-000089040000}"/>
    <cellStyle name="Comma 12 3 7" xfId="23096" xr:uid="{00000000-0005-0000-0000-00008A040000}"/>
    <cellStyle name="Comma 12 3 8" xfId="26246" xr:uid="{00000000-0005-0000-0000-00008B040000}"/>
    <cellStyle name="Comma 12 3 9" xfId="29579" xr:uid="{00000000-0005-0000-0000-00008C040000}"/>
    <cellStyle name="Comma 12 4" xfId="664" xr:uid="{00000000-0005-0000-0000-00008D040000}"/>
    <cellStyle name="Comma 12 4 10" xfId="32895" xr:uid="{00000000-0005-0000-0000-00008E040000}"/>
    <cellStyle name="Comma 12 4 2" xfId="9437" xr:uid="{00000000-0005-0000-0000-00008F040000}"/>
    <cellStyle name="Comma 12 4 2 2" xfId="25237" xr:uid="{00000000-0005-0000-0000-000090040000}"/>
    <cellStyle name="Comma 12 4 2 2 2" xfId="44664" xr:uid="{00000000-0005-0000-0000-000091040000}"/>
    <cellStyle name="Comma 12 4 2 2 3" xfId="38241" xr:uid="{00000000-0005-0000-0000-000092040000}"/>
    <cellStyle name="Comma 12 4 2 3" xfId="27415" xr:uid="{00000000-0005-0000-0000-000093040000}"/>
    <cellStyle name="Comma 12 4 2 3 2" xfId="41457" xr:uid="{00000000-0005-0000-0000-000094040000}"/>
    <cellStyle name="Comma 12 4 2 4" xfId="30750" xr:uid="{00000000-0005-0000-0000-000095040000}"/>
    <cellStyle name="Comma 12 4 2 5" xfId="35033" xr:uid="{00000000-0005-0000-0000-000096040000}"/>
    <cellStyle name="Comma 12 4 3" xfId="15043" xr:uid="{00000000-0005-0000-0000-000097040000}"/>
    <cellStyle name="Comma 12 4 3 2" xfId="24055" xr:uid="{00000000-0005-0000-0000-000098040000}"/>
    <cellStyle name="Comma 12 4 3 2 2" xfId="43484" xr:uid="{00000000-0005-0000-0000-000099040000}"/>
    <cellStyle name="Comma 12 4 3 2 3" xfId="37061" xr:uid="{00000000-0005-0000-0000-00009A040000}"/>
    <cellStyle name="Comma 12 4 3 3" xfId="28379" xr:uid="{00000000-0005-0000-0000-00009B040000}"/>
    <cellStyle name="Comma 12 4 3 3 2" xfId="40277" xr:uid="{00000000-0005-0000-0000-00009C040000}"/>
    <cellStyle name="Comma 12 4 3 4" xfId="31714" xr:uid="{00000000-0005-0000-0000-00009D040000}"/>
    <cellStyle name="Comma 12 4 3 5" xfId="33853" xr:uid="{00000000-0005-0000-0000-00009E040000}"/>
    <cellStyle name="Comma 12 4 4" xfId="7858" xr:uid="{00000000-0005-0000-0000-00009F040000}"/>
    <cellStyle name="Comma 12 4 4 2" xfId="42526" xr:uid="{00000000-0005-0000-0000-0000A0040000}"/>
    <cellStyle name="Comma 12 4 4 3" xfId="36102" xr:uid="{00000000-0005-0000-0000-0000A1040000}"/>
    <cellStyle name="Comma 12 4 5" xfId="20852" xr:uid="{00000000-0005-0000-0000-0000A2040000}"/>
    <cellStyle name="Comma 12 4 5 2" xfId="39319" xr:uid="{00000000-0005-0000-0000-0000A3040000}"/>
    <cellStyle name="Comma 12 4 6" xfId="21925" xr:uid="{00000000-0005-0000-0000-0000A4040000}"/>
    <cellStyle name="Comma 12 4 7" xfId="23097" xr:uid="{00000000-0005-0000-0000-0000A5040000}"/>
    <cellStyle name="Comma 12 4 8" xfId="26247" xr:uid="{00000000-0005-0000-0000-0000A6040000}"/>
    <cellStyle name="Comma 12 4 9" xfId="29580" xr:uid="{00000000-0005-0000-0000-0000A7040000}"/>
    <cellStyle name="Comma 12 5" xfId="665" xr:uid="{00000000-0005-0000-0000-0000A8040000}"/>
    <cellStyle name="Comma 12 5 10" xfId="32896" xr:uid="{00000000-0005-0000-0000-0000A9040000}"/>
    <cellStyle name="Comma 12 5 2" xfId="9438" xr:uid="{00000000-0005-0000-0000-0000AA040000}"/>
    <cellStyle name="Comma 12 5 2 2" xfId="25238" xr:uid="{00000000-0005-0000-0000-0000AB040000}"/>
    <cellStyle name="Comma 12 5 2 2 2" xfId="44665" xr:uid="{00000000-0005-0000-0000-0000AC040000}"/>
    <cellStyle name="Comma 12 5 2 2 3" xfId="38242" xr:uid="{00000000-0005-0000-0000-0000AD040000}"/>
    <cellStyle name="Comma 12 5 2 3" xfId="27416" xr:uid="{00000000-0005-0000-0000-0000AE040000}"/>
    <cellStyle name="Comma 12 5 2 3 2" xfId="41458" xr:uid="{00000000-0005-0000-0000-0000AF040000}"/>
    <cellStyle name="Comma 12 5 2 4" xfId="30751" xr:uid="{00000000-0005-0000-0000-0000B0040000}"/>
    <cellStyle name="Comma 12 5 2 5" xfId="35034" xr:uid="{00000000-0005-0000-0000-0000B1040000}"/>
    <cellStyle name="Comma 12 5 3" xfId="15044" xr:uid="{00000000-0005-0000-0000-0000B2040000}"/>
    <cellStyle name="Comma 12 5 3 2" xfId="24056" xr:uid="{00000000-0005-0000-0000-0000B3040000}"/>
    <cellStyle name="Comma 12 5 3 2 2" xfId="43485" xr:uid="{00000000-0005-0000-0000-0000B4040000}"/>
    <cellStyle name="Comma 12 5 3 2 3" xfId="37062" xr:uid="{00000000-0005-0000-0000-0000B5040000}"/>
    <cellStyle name="Comma 12 5 3 3" xfId="28380" xr:uid="{00000000-0005-0000-0000-0000B6040000}"/>
    <cellStyle name="Comma 12 5 3 3 2" xfId="40278" xr:uid="{00000000-0005-0000-0000-0000B7040000}"/>
    <cellStyle name="Comma 12 5 3 4" xfId="31715" xr:uid="{00000000-0005-0000-0000-0000B8040000}"/>
    <cellStyle name="Comma 12 5 3 5" xfId="33854" xr:uid="{00000000-0005-0000-0000-0000B9040000}"/>
    <cellStyle name="Comma 12 5 4" xfId="7859" xr:uid="{00000000-0005-0000-0000-0000BA040000}"/>
    <cellStyle name="Comma 12 5 4 2" xfId="42527" xr:uid="{00000000-0005-0000-0000-0000BB040000}"/>
    <cellStyle name="Comma 12 5 4 3" xfId="36103" xr:uid="{00000000-0005-0000-0000-0000BC040000}"/>
    <cellStyle name="Comma 12 5 5" xfId="20853" xr:uid="{00000000-0005-0000-0000-0000BD040000}"/>
    <cellStyle name="Comma 12 5 5 2" xfId="39320" xr:uid="{00000000-0005-0000-0000-0000BE040000}"/>
    <cellStyle name="Comma 12 5 6" xfId="21926" xr:uid="{00000000-0005-0000-0000-0000BF040000}"/>
    <cellStyle name="Comma 12 5 7" xfId="23098" xr:uid="{00000000-0005-0000-0000-0000C0040000}"/>
    <cellStyle name="Comma 12 5 8" xfId="26248" xr:uid="{00000000-0005-0000-0000-0000C1040000}"/>
    <cellStyle name="Comma 12 5 9" xfId="29581" xr:uid="{00000000-0005-0000-0000-0000C2040000}"/>
    <cellStyle name="Comma 12 6" xfId="9434" xr:uid="{00000000-0005-0000-0000-0000C3040000}"/>
    <cellStyle name="Comma 12 6 2" xfId="25234" xr:uid="{00000000-0005-0000-0000-0000C4040000}"/>
    <cellStyle name="Comma 12 6 2 2" xfId="44661" xr:uid="{00000000-0005-0000-0000-0000C5040000}"/>
    <cellStyle name="Comma 12 6 2 3" xfId="38238" xr:uid="{00000000-0005-0000-0000-0000C6040000}"/>
    <cellStyle name="Comma 12 6 3" xfId="27412" xr:uid="{00000000-0005-0000-0000-0000C7040000}"/>
    <cellStyle name="Comma 12 6 3 2" xfId="41454" xr:uid="{00000000-0005-0000-0000-0000C8040000}"/>
    <cellStyle name="Comma 12 6 4" xfId="30747" xr:uid="{00000000-0005-0000-0000-0000C9040000}"/>
    <cellStyle name="Comma 12 6 5" xfId="35030" xr:uid="{00000000-0005-0000-0000-0000CA040000}"/>
    <cellStyle name="Comma 12 7" xfId="15040" xr:uid="{00000000-0005-0000-0000-0000CB040000}"/>
    <cellStyle name="Comma 12 7 2" xfId="24052" xr:uid="{00000000-0005-0000-0000-0000CC040000}"/>
    <cellStyle name="Comma 12 7 2 2" xfId="43481" xr:uid="{00000000-0005-0000-0000-0000CD040000}"/>
    <cellStyle name="Comma 12 7 2 3" xfId="37058" xr:uid="{00000000-0005-0000-0000-0000CE040000}"/>
    <cellStyle name="Comma 12 7 3" xfId="28376" xr:uid="{00000000-0005-0000-0000-0000CF040000}"/>
    <cellStyle name="Comma 12 7 3 2" xfId="40274" xr:uid="{00000000-0005-0000-0000-0000D0040000}"/>
    <cellStyle name="Comma 12 7 4" xfId="31711" xr:uid="{00000000-0005-0000-0000-0000D1040000}"/>
    <cellStyle name="Comma 12 7 5" xfId="33850" xr:uid="{00000000-0005-0000-0000-0000D2040000}"/>
    <cellStyle name="Comma 12 8" xfId="7855" xr:uid="{00000000-0005-0000-0000-0000D3040000}"/>
    <cellStyle name="Comma 12 8 2" xfId="42523" xr:uid="{00000000-0005-0000-0000-0000D4040000}"/>
    <cellStyle name="Comma 12 8 3" xfId="36099" xr:uid="{00000000-0005-0000-0000-0000D5040000}"/>
    <cellStyle name="Comma 12 9" xfId="20849" xr:uid="{00000000-0005-0000-0000-0000D6040000}"/>
    <cellStyle name="Comma 12 9 2" xfId="39316" xr:uid="{00000000-0005-0000-0000-0000D7040000}"/>
    <cellStyle name="Comma 13" xfId="666" xr:uid="{00000000-0005-0000-0000-0000D8040000}"/>
    <cellStyle name="Comma 13 10" xfId="32897" xr:uid="{00000000-0005-0000-0000-0000D9040000}"/>
    <cellStyle name="Comma 13 2" xfId="9439" xr:uid="{00000000-0005-0000-0000-0000DA040000}"/>
    <cellStyle name="Comma 13 2 2" xfId="25239" xr:uid="{00000000-0005-0000-0000-0000DB040000}"/>
    <cellStyle name="Comma 13 2 2 2" xfId="44666" xr:uid="{00000000-0005-0000-0000-0000DC040000}"/>
    <cellStyle name="Comma 13 2 2 3" xfId="38243" xr:uid="{00000000-0005-0000-0000-0000DD040000}"/>
    <cellStyle name="Comma 13 2 3" xfId="27417" xr:uid="{00000000-0005-0000-0000-0000DE040000}"/>
    <cellStyle name="Comma 13 2 3 2" xfId="41459" xr:uid="{00000000-0005-0000-0000-0000DF040000}"/>
    <cellStyle name="Comma 13 2 4" xfId="30752" xr:uid="{00000000-0005-0000-0000-0000E0040000}"/>
    <cellStyle name="Comma 13 2 5" xfId="35035" xr:uid="{00000000-0005-0000-0000-0000E1040000}"/>
    <cellStyle name="Comma 13 3" xfId="15045" xr:uid="{00000000-0005-0000-0000-0000E2040000}"/>
    <cellStyle name="Comma 13 3 2" xfId="24057" xr:uid="{00000000-0005-0000-0000-0000E3040000}"/>
    <cellStyle name="Comma 13 3 2 2" xfId="43486" xr:uid="{00000000-0005-0000-0000-0000E4040000}"/>
    <cellStyle name="Comma 13 3 2 3" xfId="37063" xr:uid="{00000000-0005-0000-0000-0000E5040000}"/>
    <cellStyle name="Comma 13 3 3" xfId="28381" xr:uid="{00000000-0005-0000-0000-0000E6040000}"/>
    <cellStyle name="Comma 13 3 3 2" xfId="40279" xr:uid="{00000000-0005-0000-0000-0000E7040000}"/>
    <cellStyle name="Comma 13 3 4" xfId="31716" xr:uid="{00000000-0005-0000-0000-0000E8040000}"/>
    <cellStyle name="Comma 13 3 5" xfId="33855" xr:uid="{00000000-0005-0000-0000-0000E9040000}"/>
    <cellStyle name="Comma 13 4" xfId="7860" xr:uid="{00000000-0005-0000-0000-0000EA040000}"/>
    <cellStyle name="Comma 13 4 2" xfId="42528" xr:uid="{00000000-0005-0000-0000-0000EB040000}"/>
    <cellStyle name="Comma 13 4 3" xfId="36104" xr:uid="{00000000-0005-0000-0000-0000EC040000}"/>
    <cellStyle name="Comma 13 5" xfId="20854" xr:uid="{00000000-0005-0000-0000-0000ED040000}"/>
    <cellStyle name="Comma 13 5 2" xfId="39321" xr:uid="{00000000-0005-0000-0000-0000EE040000}"/>
    <cellStyle name="Comma 13 6" xfId="21927" xr:uid="{00000000-0005-0000-0000-0000EF040000}"/>
    <cellStyle name="Comma 13 7" xfId="23099" xr:uid="{00000000-0005-0000-0000-0000F0040000}"/>
    <cellStyle name="Comma 13 8" xfId="26249" xr:uid="{00000000-0005-0000-0000-0000F1040000}"/>
    <cellStyle name="Comma 13 9" xfId="29582" xr:uid="{00000000-0005-0000-0000-0000F2040000}"/>
    <cellStyle name="Comma 14" xfId="667" xr:uid="{00000000-0005-0000-0000-0000F3040000}"/>
    <cellStyle name="Comma 15" xfId="668" xr:uid="{00000000-0005-0000-0000-0000F4040000}"/>
    <cellStyle name="Comma 15 2" xfId="9440" xr:uid="{00000000-0005-0000-0000-0000F5040000}"/>
    <cellStyle name="Comma 15 2 2" xfId="25240" xr:uid="{00000000-0005-0000-0000-0000F6040000}"/>
    <cellStyle name="Comma 15 2 2 2" xfId="44667" xr:uid="{00000000-0005-0000-0000-0000F7040000}"/>
    <cellStyle name="Comma 15 2 2 3" xfId="38244" xr:uid="{00000000-0005-0000-0000-0000F8040000}"/>
    <cellStyle name="Comma 15 2 3" xfId="27418" xr:uid="{00000000-0005-0000-0000-0000F9040000}"/>
    <cellStyle name="Comma 15 2 3 2" xfId="41460" xr:uid="{00000000-0005-0000-0000-0000FA040000}"/>
    <cellStyle name="Comma 15 2 4" xfId="30753" xr:uid="{00000000-0005-0000-0000-0000FB040000}"/>
    <cellStyle name="Comma 15 2 5" xfId="35036" xr:uid="{00000000-0005-0000-0000-0000FC040000}"/>
    <cellStyle name="Comma 15 3" xfId="15046" xr:uid="{00000000-0005-0000-0000-0000FD040000}"/>
    <cellStyle name="Comma 15 3 2" xfId="24058" xr:uid="{00000000-0005-0000-0000-0000FE040000}"/>
    <cellStyle name="Comma 15 3 2 2" xfId="43487" xr:uid="{00000000-0005-0000-0000-0000FF040000}"/>
    <cellStyle name="Comma 15 3 2 3" xfId="37064" xr:uid="{00000000-0005-0000-0000-000000050000}"/>
    <cellStyle name="Comma 15 3 3" xfId="28382" xr:uid="{00000000-0005-0000-0000-000001050000}"/>
    <cellStyle name="Comma 15 3 3 2" xfId="40280" xr:uid="{00000000-0005-0000-0000-000002050000}"/>
    <cellStyle name="Comma 15 3 4" xfId="31717" xr:uid="{00000000-0005-0000-0000-000003050000}"/>
    <cellStyle name="Comma 15 3 5" xfId="33856" xr:uid="{00000000-0005-0000-0000-000004050000}"/>
    <cellStyle name="Comma 15 4" xfId="7861" xr:uid="{00000000-0005-0000-0000-000005050000}"/>
    <cellStyle name="Comma 16" xfId="6477" xr:uid="{00000000-0005-0000-0000-000006050000}"/>
    <cellStyle name="Comma 16 2" xfId="14820" xr:uid="{00000000-0005-0000-0000-000007050000}"/>
    <cellStyle name="Comma 16 2 2" xfId="26173" xr:uid="{00000000-0005-0000-0000-000008050000}"/>
    <cellStyle name="Comma 16 2 2 2" xfId="45600" xr:uid="{00000000-0005-0000-0000-000009050000}"/>
    <cellStyle name="Comma 16 2 2 3" xfId="39177" xr:uid="{00000000-0005-0000-0000-00000A050000}"/>
    <cellStyle name="Comma 16 2 3" xfId="28351" xr:uid="{00000000-0005-0000-0000-00000B050000}"/>
    <cellStyle name="Comma 16 2 3 2" xfId="42393" xr:uid="{00000000-0005-0000-0000-00000C050000}"/>
    <cellStyle name="Comma 16 2 4" xfId="31686" xr:uid="{00000000-0005-0000-0000-00000D050000}"/>
    <cellStyle name="Comma 16 2 5" xfId="35969" xr:uid="{00000000-0005-0000-0000-00000E050000}"/>
    <cellStyle name="Comma 16 3" xfId="20741" xr:uid="{00000000-0005-0000-0000-00000F050000}"/>
    <cellStyle name="Comma 16 3 2" xfId="25097" xr:uid="{00000000-0005-0000-0000-000010050000}"/>
    <cellStyle name="Comma 16 3 2 2" xfId="44526" xr:uid="{00000000-0005-0000-0000-000011050000}"/>
    <cellStyle name="Comma 16 3 2 3" xfId="38103" xr:uid="{00000000-0005-0000-0000-000012050000}"/>
    <cellStyle name="Comma 16 3 3" xfId="29417" xr:uid="{00000000-0005-0000-0000-000013050000}"/>
    <cellStyle name="Comma 16 3 3 2" xfId="41319" xr:uid="{00000000-0005-0000-0000-000014050000}"/>
    <cellStyle name="Comma 16 3 4" xfId="32752" xr:uid="{00000000-0005-0000-0000-000015050000}"/>
    <cellStyle name="Comma 16 3 5" xfId="34895" xr:uid="{00000000-0005-0000-0000-000016050000}"/>
    <cellStyle name="Comma 16 4" xfId="8907" xr:uid="{00000000-0005-0000-0000-000017050000}"/>
    <cellStyle name="Comma 17" xfId="6480" xr:uid="{00000000-0005-0000-0000-000018050000}"/>
    <cellStyle name="Comma 17 2" xfId="14823" xr:uid="{00000000-0005-0000-0000-000019050000}"/>
    <cellStyle name="Comma 17 2 2" xfId="26174" xr:uid="{00000000-0005-0000-0000-00001A050000}"/>
    <cellStyle name="Comma 17 2 2 2" xfId="45601" xr:uid="{00000000-0005-0000-0000-00001B050000}"/>
    <cellStyle name="Comma 17 2 2 3" xfId="39178" xr:uid="{00000000-0005-0000-0000-00001C050000}"/>
    <cellStyle name="Comma 17 2 3" xfId="28352" xr:uid="{00000000-0005-0000-0000-00001D050000}"/>
    <cellStyle name="Comma 17 2 3 2" xfId="42394" xr:uid="{00000000-0005-0000-0000-00001E050000}"/>
    <cellStyle name="Comma 17 2 4" xfId="31687" xr:uid="{00000000-0005-0000-0000-00001F050000}"/>
    <cellStyle name="Comma 17 2 5" xfId="35970" xr:uid="{00000000-0005-0000-0000-000020050000}"/>
    <cellStyle name="Comma 17 3" xfId="20744" xr:uid="{00000000-0005-0000-0000-000021050000}"/>
    <cellStyle name="Comma 17 3 2" xfId="25098" xr:uid="{00000000-0005-0000-0000-000022050000}"/>
    <cellStyle name="Comma 17 3 2 2" xfId="44527" xr:uid="{00000000-0005-0000-0000-000023050000}"/>
    <cellStyle name="Comma 17 3 2 3" xfId="38104" xr:uid="{00000000-0005-0000-0000-000024050000}"/>
    <cellStyle name="Comma 17 3 3" xfId="29418" xr:uid="{00000000-0005-0000-0000-000025050000}"/>
    <cellStyle name="Comma 17 3 3 2" xfId="41320" xr:uid="{00000000-0005-0000-0000-000026050000}"/>
    <cellStyle name="Comma 17 3 4" xfId="32753" xr:uid="{00000000-0005-0000-0000-000027050000}"/>
    <cellStyle name="Comma 17 3 5" xfId="34896" xr:uid="{00000000-0005-0000-0000-000028050000}"/>
    <cellStyle name="Comma 17 4" xfId="8908" xr:uid="{00000000-0005-0000-0000-000029050000}"/>
    <cellStyle name="Comma 18" xfId="6534" xr:uid="{00000000-0005-0000-0000-00002A050000}"/>
    <cellStyle name="Comma 18 2" xfId="20786" xr:uid="{00000000-0005-0000-0000-00002B050000}"/>
    <cellStyle name="Comma 18 2 2" xfId="29419" xr:uid="{00000000-0005-0000-0000-00002C050000}"/>
    <cellStyle name="Comma 18 2 2 2" xfId="44528" xr:uid="{00000000-0005-0000-0000-00002D050000}"/>
    <cellStyle name="Comma 18 2 3" xfId="32754" xr:uid="{00000000-0005-0000-0000-00002E050000}"/>
    <cellStyle name="Comma 18 2 4" xfId="38105" xr:uid="{00000000-0005-0000-0000-00002F050000}"/>
    <cellStyle name="Comma 18 3" xfId="7838" xr:uid="{00000000-0005-0000-0000-000030050000}"/>
    <cellStyle name="Comma 18 3 2" xfId="41321" xr:uid="{00000000-0005-0000-0000-000031050000}"/>
    <cellStyle name="Comma 18 4" xfId="21889" xr:uid="{00000000-0005-0000-0000-000032050000}"/>
    <cellStyle name="Comma 18 5" xfId="22962" xr:uid="{00000000-0005-0000-0000-000033050000}"/>
    <cellStyle name="Comma 18 6" xfId="25099" xr:uid="{00000000-0005-0000-0000-000034050000}"/>
    <cellStyle name="Comma 18 7" xfId="26227" xr:uid="{00000000-0005-0000-0000-000035050000}"/>
    <cellStyle name="Comma 18 8" xfId="29560" xr:uid="{00000000-0005-0000-0000-000036050000}"/>
    <cellStyle name="Comma 18 9" xfId="34897" xr:uid="{00000000-0005-0000-0000-000037050000}"/>
    <cellStyle name="Comma 19" xfId="8927" xr:uid="{00000000-0005-0000-0000-000038050000}"/>
    <cellStyle name="Comma 19 2" xfId="25104" xr:uid="{00000000-0005-0000-0000-000039050000}"/>
    <cellStyle name="Comma 19 2 2" xfId="44531" xr:uid="{00000000-0005-0000-0000-00003A050000}"/>
    <cellStyle name="Comma 19 2 3" xfId="38108" xr:uid="{00000000-0005-0000-0000-00003B050000}"/>
    <cellStyle name="Comma 19 3" xfId="27283" xr:uid="{00000000-0005-0000-0000-00003C050000}"/>
    <cellStyle name="Comma 19 3 2" xfId="41324" xr:uid="{00000000-0005-0000-0000-00003D050000}"/>
    <cellStyle name="Comma 19 4" xfId="30618" xr:uid="{00000000-0005-0000-0000-00003E050000}"/>
    <cellStyle name="Comma 19 5" xfId="34900" xr:uid="{00000000-0005-0000-0000-00003F050000}"/>
    <cellStyle name="Comma 2" xfId="49" xr:uid="{00000000-0005-0000-0000-000040050000}"/>
    <cellStyle name="Comma 2 10" xfId="669" xr:uid="{00000000-0005-0000-0000-000041050000}"/>
    <cellStyle name="Comma 2 11" xfId="670" xr:uid="{00000000-0005-0000-0000-000042050000}"/>
    <cellStyle name="Comma 2 11 10" xfId="32898" xr:uid="{00000000-0005-0000-0000-000043050000}"/>
    <cellStyle name="Comma 2 11 2" xfId="9441" xr:uid="{00000000-0005-0000-0000-000044050000}"/>
    <cellStyle name="Comma 2 11 2 2" xfId="25241" xr:uid="{00000000-0005-0000-0000-000045050000}"/>
    <cellStyle name="Comma 2 11 2 2 2" xfId="44668" xr:uid="{00000000-0005-0000-0000-000046050000}"/>
    <cellStyle name="Comma 2 11 2 2 3" xfId="38245" xr:uid="{00000000-0005-0000-0000-000047050000}"/>
    <cellStyle name="Comma 2 11 2 3" xfId="27419" xr:uid="{00000000-0005-0000-0000-000048050000}"/>
    <cellStyle name="Comma 2 11 2 3 2" xfId="41461" xr:uid="{00000000-0005-0000-0000-000049050000}"/>
    <cellStyle name="Comma 2 11 2 4" xfId="30754" xr:uid="{00000000-0005-0000-0000-00004A050000}"/>
    <cellStyle name="Comma 2 11 2 5" xfId="35037" xr:uid="{00000000-0005-0000-0000-00004B050000}"/>
    <cellStyle name="Comma 2 11 3" xfId="15047" xr:uid="{00000000-0005-0000-0000-00004C050000}"/>
    <cellStyle name="Comma 2 11 3 2" xfId="24059" xr:uid="{00000000-0005-0000-0000-00004D050000}"/>
    <cellStyle name="Comma 2 11 3 2 2" xfId="43488" xr:uid="{00000000-0005-0000-0000-00004E050000}"/>
    <cellStyle name="Comma 2 11 3 2 3" xfId="37065" xr:uid="{00000000-0005-0000-0000-00004F050000}"/>
    <cellStyle name="Comma 2 11 3 3" xfId="28383" xr:uid="{00000000-0005-0000-0000-000050050000}"/>
    <cellStyle name="Comma 2 11 3 3 2" xfId="40281" xr:uid="{00000000-0005-0000-0000-000051050000}"/>
    <cellStyle name="Comma 2 11 3 4" xfId="31718" xr:uid="{00000000-0005-0000-0000-000052050000}"/>
    <cellStyle name="Comma 2 11 3 5" xfId="33857" xr:uid="{00000000-0005-0000-0000-000053050000}"/>
    <cellStyle name="Comma 2 11 4" xfId="7862" xr:uid="{00000000-0005-0000-0000-000054050000}"/>
    <cellStyle name="Comma 2 11 4 2" xfId="42529" xr:uid="{00000000-0005-0000-0000-000055050000}"/>
    <cellStyle name="Comma 2 11 4 3" xfId="36105" xr:uid="{00000000-0005-0000-0000-000056050000}"/>
    <cellStyle name="Comma 2 11 5" xfId="20855" xr:uid="{00000000-0005-0000-0000-000057050000}"/>
    <cellStyle name="Comma 2 11 5 2" xfId="39322" xr:uid="{00000000-0005-0000-0000-000058050000}"/>
    <cellStyle name="Comma 2 11 6" xfId="21928" xr:uid="{00000000-0005-0000-0000-000059050000}"/>
    <cellStyle name="Comma 2 11 7" xfId="23100" xr:uid="{00000000-0005-0000-0000-00005A050000}"/>
    <cellStyle name="Comma 2 11 8" xfId="26250" xr:uid="{00000000-0005-0000-0000-00005B050000}"/>
    <cellStyle name="Comma 2 11 9" xfId="29583" xr:uid="{00000000-0005-0000-0000-00005C050000}"/>
    <cellStyle name="Comma 2 12" xfId="671" xr:uid="{00000000-0005-0000-0000-00005D050000}"/>
    <cellStyle name="Comma 2 12 2" xfId="9442" xr:uid="{00000000-0005-0000-0000-00005E050000}"/>
    <cellStyle name="Comma 2 12 2 2" xfId="25242" xr:uid="{00000000-0005-0000-0000-00005F050000}"/>
    <cellStyle name="Comma 2 12 2 2 2" xfId="44669" xr:uid="{00000000-0005-0000-0000-000060050000}"/>
    <cellStyle name="Comma 2 12 2 2 3" xfId="38246" xr:uid="{00000000-0005-0000-0000-000061050000}"/>
    <cellStyle name="Comma 2 12 2 3" xfId="27420" xr:uid="{00000000-0005-0000-0000-000062050000}"/>
    <cellStyle name="Comma 2 12 2 3 2" xfId="41462" xr:uid="{00000000-0005-0000-0000-000063050000}"/>
    <cellStyle name="Comma 2 12 2 4" xfId="30755" xr:uid="{00000000-0005-0000-0000-000064050000}"/>
    <cellStyle name="Comma 2 12 2 5" xfId="35038" xr:uid="{00000000-0005-0000-0000-000065050000}"/>
    <cellStyle name="Comma 2 12 3" xfId="7863" xr:uid="{00000000-0005-0000-0000-000066050000}"/>
    <cellStyle name="Comma 2 12 3 2" xfId="24060" xr:uid="{00000000-0005-0000-0000-000067050000}"/>
    <cellStyle name="Comma 2 12 3 2 2" xfId="43489" xr:uid="{00000000-0005-0000-0000-000068050000}"/>
    <cellStyle name="Comma 2 12 3 2 3" xfId="37066" xr:uid="{00000000-0005-0000-0000-000069050000}"/>
    <cellStyle name="Comma 2 12 3 3" xfId="40282" xr:uid="{00000000-0005-0000-0000-00006A050000}"/>
    <cellStyle name="Comma 2 12 3 4" xfId="33858" xr:uid="{00000000-0005-0000-0000-00006B050000}"/>
    <cellStyle name="Comma 2 13" xfId="672" xr:uid="{00000000-0005-0000-0000-00006C050000}"/>
    <cellStyle name="Comma 2 13 10" xfId="32899" xr:uid="{00000000-0005-0000-0000-00006D050000}"/>
    <cellStyle name="Comma 2 13 2" xfId="9443" xr:uid="{00000000-0005-0000-0000-00006E050000}"/>
    <cellStyle name="Comma 2 13 2 2" xfId="25243" xr:uid="{00000000-0005-0000-0000-00006F050000}"/>
    <cellStyle name="Comma 2 13 2 2 2" xfId="44670" xr:uid="{00000000-0005-0000-0000-000070050000}"/>
    <cellStyle name="Comma 2 13 2 2 3" xfId="38247" xr:uid="{00000000-0005-0000-0000-000071050000}"/>
    <cellStyle name="Comma 2 13 2 3" xfId="27421" xr:uid="{00000000-0005-0000-0000-000072050000}"/>
    <cellStyle name="Comma 2 13 2 3 2" xfId="41463" xr:uid="{00000000-0005-0000-0000-000073050000}"/>
    <cellStyle name="Comma 2 13 2 4" xfId="30756" xr:uid="{00000000-0005-0000-0000-000074050000}"/>
    <cellStyle name="Comma 2 13 2 5" xfId="35039" xr:uid="{00000000-0005-0000-0000-000075050000}"/>
    <cellStyle name="Comma 2 13 3" xfId="15048" xr:uid="{00000000-0005-0000-0000-000076050000}"/>
    <cellStyle name="Comma 2 13 3 2" xfId="24061" xr:uid="{00000000-0005-0000-0000-000077050000}"/>
    <cellStyle name="Comma 2 13 3 2 2" xfId="43490" xr:uid="{00000000-0005-0000-0000-000078050000}"/>
    <cellStyle name="Comma 2 13 3 2 3" xfId="37067" xr:uid="{00000000-0005-0000-0000-000079050000}"/>
    <cellStyle name="Comma 2 13 3 3" xfId="28384" xr:uid="{00000000-0005-0000-0000-00007A050000}"/>
    <cellStyle name="Comma 2 13 3 3 2" xfId="40283" xr:uid="{00000000-0005-0000-0000-00007B050000}"/>
    <cellStyle name="Comma 2 13 3 4" xfId="31719" xr:uid="{00000000-0005-0000-0000-00007C050000}"/>
    <cellStyle name="Comma 2 13 3 5" xfId="33859" xr:uid="{00000000-0005-0000-0000-00007D050000}"/>
    <cellStyle name="Comma 2 13 4" xfId="7864" xr:uid="{00000000-0005-0000-0000-00007E050000}"/>
    <cellStyle name="Comma 2 13 4 2" xfId="42530" xr:uid="{00000000-0005-0000-0000-00007F050000}"/>
    <cellStyle name="Comma 2 13 4 3" xfId="36106" xr:uid="{00000000-0005-0000-0000-000080050000}"/>
    <cellStyle name="Comma 2 13 5" xfId="20856" xr:uid="{00000000-0005-0000-0000-000081050000}"/>
    <cellStyle name="Comma 2 13 5 2" xfId="39323" xr:uid="{00000000-0005-0000-0000-000082050000}"/>
    <cellStyle name="Comma 2 13 6" xfId="21929" xr:uid="{00000000-0005-0000-0000-000083050000}"/>
    <cellStyle name="Comma 2 13 7" xfId="23101" xr:uid="{00000000-0005-0000-0000-000084050000}"/>
    <cellStyle name="Comma 2 13 8" xfId="26251" xr:uid="{00000000-0005-0000-0000-000085050000}"/>
    <cellStyle name="Comma 2 13 9" xfId="29584" xr:uid="{00000000-0005-0000-0000-000086050000}"/>
    <cellStyle name="Comma 2 14" xfId="673" xr:uid="{00000000-0005-0000-0000-000087050000}"/>
    <cellStyle name="Comma 2 14 2" xfId="9444" xr:uid="{00000000-0005-0000-0000-000088050000}"/>
    <cellStyle name="Comma 2 14 2 2" xfId="25244" xr:uid="{00000000-0005-0000-0000-000089050000}"/>
    <cellStyle name="Comma 2 14 2 2 2" xfId="44671" xr:uid="{00000000-0005-0000-0000-00008A050000}"/>
    <cellStyle name="Comma 2 14 2 2 3" xfId="38248" xr:uid="{00000000-0005-0000-0000-00008B050000}"/>
    <cellStyle name="Comma 2 14 2 3" xfId="27422" xr:uid="{00000000-0005-0000-0000-00008C050000}"/>
    <cellStyle name="Comma 2 14 2 3 2" xfId="41464" xr:uid="{00000000-0005-0000-0000-00008D050000}"/>
    <cellStyle name="Comma 2 14 2 4" xfId="30757" xr:uid="{00000000-0005-0000-0000-00008E050000}"/>
    <cellStyle name="Comma 2 14 2 5" xfId="35040" xr:uid="{00000000-0005-0000-0000-00008F050000}"/>
    <cellStyle name="Comma 2 14 3" xfId="15049" xr:uid="{00000000-0005-0000-0000-000090050000}"/>
    <cellStyle name="Comma 2 14 3 2" xfId="24062" xr:uid="{00000000-0005-0000-0000-000091050000}"/>
    <cellStyle name="Comma 2 14 3 2 2" xfId="43491" xr:uid="{00000000-0005-0000-0000-000092050000}"/>
    <cellStyle name="Comma 2 14 3 2 3" xfId="37068" xr:uid="{00000000-0005-0000-0000-000093050000}"/>
    <cellStyle name="Comma 2 14 3 3" xfId="28385" xr:uid="{00000000-0005-0000-0000-000094050000}"/>
    <cellStyle name="Comma 2 14 3 3 2" xfId="40284" xr:uid="{00000000-0005-0000-0000-000095050000}"/>
    <cellStyle name="Comma 2 14 3 4" xfId="31720" xr:uid="{00000000-0005-0000-0000-000096050000}"/>
    <cellStyle name="Comma 2 14 3 5" xfId="33860" xr:uid="{00000000-0005-0000-0000-000097050000}"/>
    <cellStyle name="Comma 2 14 4" xfId="7865" xr:uid="{00000000-0005-0000-0000-000098050000}"/>
    <cellStyle name="Comma 2 15" xfId="8943" xr:uid="{00000000-0005-0000-0000-000099050000}"/>
    <cellStyle name="Comma 2 15 2" xfId="20809" xr:uid="{00000000-0005-0000-0000-00009A050000}"/>
    <cellStyle name="Comma 2 15 2 2" xfId="29421" xr:uid="{00000000-0005-0000-0000-00009B050000}"/>
    <cellStyle name="Comma 2 15 2 2 2" xfId="44530" xr:uid="{00000000-0005-0000-0000-00009C050000}"/>
    <cellStyle name="Comma 2 15 2 3" xfId="32756" xr:uid="{00000000-0005-0000-0000-00009D050000}"/>
    <cellStyle name="Comma 2 15 2 4" xfId="38107" xr:uid="{00000000-0005-0000-0000-00009E050000}"/>
    <cellStyle name="Comma 2 15 3" xfId="21892" xr:uid="{00000000-0005-0000-0000-00009F050000}"/>
    <cellStyle name="Comma 2 15 3 2" xfId="41323" xr:uid="{00000000-0005-0000-0000-0000A0050000}"/>
    <cellStyle name="Comma 2 15 4" xfId="22966" xr:uid="{00000000-0005-0000-0000-0000A1050000}"/>
    <cellStyle name="Comma 2 15 5" xfId="25102" xr:uid="{00000000-0005-0000-0000-0000A2050000}"/>
    <cellStyle name="Comma 2 15 6" xfId="27285" xr:uid="{00000000-0005-0000-0000-0000A3050000}"/>
    <cellStyle name="Comma 2 15 7" xfId="30620" xr:uid="{00000000-0005-0000-0000-0000A4050000}"/>
    <cellStyle name="Comma 2 15 8" xfId="34899" xr:uid="{00000000-0005-0000-0000-0000A5050000}"/>
    <cellStyle name="Comma 2 16" xfId="14896" xr:uid="{00000000-0005-0000-0000-0000A6050000}"/>
    <cellStyle name="Comma 2 16 2" xfId="25106" xr:uid="{00000000-0005-0000-0000-0000A7050000}"/>
    <cellStyle name="Comma 2 16 2 2" xfId="44533" xr:uid="{00000000-0005-0000-0000-0000A8050000}"/>
    <cellStyle name="Comma 2 16 2 3" xfId="38110" xr:uid="{00000000-0005-0000-0000-0000A9050000}"/>
    <cellStyle name="Comma 2 16 3" xfId="28356" xr:uid="{00000000-0005-0000-0000-0000AA050000}"/>
    <cellStyle name="Comma 2 16 3 2" xfId="41326" xr:uid="{00000000-0005-0000-0000-0000AB050000}"/>
    <cellStyle name="Comma 2 16 4" xfId="31691" xr:uid="{00000000-0005-0000-0000-0000AC050000}"/>
    <cellStyle name="Comma 2 16 5" xfId="34902" xr:uid="{00000000-0005-0000-0000-0000AD050000}"/>
    <cellStyle name="Comma 2 17" xfId="7805" xr:uid="{00000000-0005-0000-0000-0000AE050000}"/>
    <cellStyle name="Comma 2 17 2" xfId="24031" xr:uid="{00000000-0005-0000-0000-0000AF050000}"/>
    <cellStyle name="Comma 2 17 2 2" xfId="43460" xr:uid="{00000000-0005-0000-0000-0000B0050000}"/>
    <cellStyle name="Comma 2 17 2 3" xfId="37037" xr:uid="{00000000-0005-0000-0000-0000B1050000}"/>
    <cellStyle name="Comma 2 17 3" xfId="29503" xr:uid="{00000000-0005-0000-0000-0000B2050000}"/>
    <cellStyle name="Comma 2 17 3 2" xfId="40253" xr:uid="{00000000-0005-0000-0000-0000B3050000}"/>
    <cellStyle name="Comma 2 17 4" xfId="32760" xr:uid="{00000000-0005-0000-0000-0000B4050000}"/>
    <cellStyle name="Comma 2 17 5" xfId="33829" xr:uid="{00000000-0005-0000-0000-0000B5050000}"/>
    <cellStyle name="Comma 2 18" xfId="20828" xr:uid="{00000000-0005-0000-0000-0000B6050000}"/>
    <cellStyle name="Comma 2 18 2" xfId="42399" xr:uid="{00000000-0005-0000-0000-0000B7050000}"/>
    <cellStyle name="Comma 2 18 3" xfId="35975" xr:uid="{00000000-0005-0000-0000-0000B8050000}"/>
    <cellStyle name="Comma 2 19" xfId="21901" xr:uid="{00000000-0005-0000-0000-0000B9050000}"/>
    <cellStyle name="Comma 2 19 2" xfId="39192" xr:uid="{00000000-0005-0000-0000-0000BA050000}"/>
    <cellStyle name="Comma 2 2" xfId="135" xr:uid="{00000000-0005-0000-0000-0000BB050000}"/>
    <cellStyle name="Comma 2 2 10" xfId="7866" xr:uid="{00000000-0005-0000-0000-0000BC050000}"/>
    <cellStyle name="Comma 2 2 10 2" xfId="29504" xr:uid="{00000000-0005-0000-0000-0000BD050000}"/>
    <cellStyle name="Comma 2 2 10 2 2" xfId="42402" xr:uid="{00000000-0005-0000-0000-0000BE050000}"/>
    <cellStyle name="Comma 2 2 10 3" xfId="32761" xr:uid="{00000000-0005-0000-0000-0000BF050000}"/>
    <cellStyle name="Comma 2 2 10 4" xfId="35978" xr:uid="{00000000-0005-0000-0000-0000C0050000}"/>
    <cellStyle name="Comma 2 2 11" xfId="20857" xr:uid="{00000000-0005-0000-0000-0000C1050000}"/>
    <cellStyle name="Comma 2 2 11 2" xfId="39195" xr:uid="{00000000-0005-0000-0000-0000C2050000}"/>
    <cellStyle name="Comma 2 2 12" xfId="21930" xr:uid="{00000000-0005-0000-0000-0000C3050000}"/>
    <cellStyle name="Comma 2 2 13" xfId="22973" xr:uid="{00000000-0005-0000-0000-0000C4050000}"/>
    <cellStyle name="Comma 2 2 14" xfId="26252" xr:uid="{00000000-0005-0000-0000-0000C5050000}"/>
    <cellStyle name="Comma 2 2 15" xfId="29585" xr:uid="{00000000-0005-0000-0000-0000C6050000}"/>
    <cellStyle name="Comma 2 2 16" xfId="32771" xr:uid="{00000000-0005-0000-0000-0000C7050000}"/>
    <cellStyle name="Comma 2 2 2" xfId="173" xr:uid="{00000000-0005-0000-0000-0000C8050000}"/>
    <cellStyle name="Comma 2 2 2 10" xfId="674" xr:uid="{00000000-0005-0000-0000-0000C9050000}"/>
    <cellStyle name="Comma 2 2 2 10 10" xfId="32900" xr:uid="{00000000-0005-0000-0000-0000CA050000}"/>
    <cellStyle name="Comma 2 2 2 10 2" xfId="9445" xr:uid="{00000000-0005-0000-0000-0000CB050000}"/>
    <cellStyle name="Comma 2 2 2 10 2 2" xfId="25245" xr:uid="{00000000-0005-0000-0000-0000CC050000}"/>
    <cellStyle name="Comma 2 2 2 10 2 2 2" xfId="44672" xr:uid="{00000000-0005-0000-0000-0000CD050000}"/>
    <cellStyle name="Comma 2 2 2 10 2 2 3" xfId="38249" xr:uid="{00000000-0005-0000-0000-0000CE050000}"/>
    <cellStyle name="Comma 2 2 2 10 2 3" xfId="27423" xr:uid="{00000000-0005-0000-0000-0000CF050000}"/>
    <cellStyle name="Comma 2 2 2 10 2 3 2" xfId="41465" xr:uid="{00000000-0005-0000-0000-0000D0050000}"/>
    <cellStyle name="Comma 2 2 2 10 2 4" xfId="30758" xr:uid="{00000000-0005-0000-0000-0000D1050000}"/>
    <cellStyle name="Comma 2 2 2 10 2 5" xfId="35041" xr:uid="{00000000-0005-0000-0000-0000D2050000}"/>
    <cellStyle name="Comma 2 2 2 10 3" xfId="15052" xr:uid="{00000000-0005-0000-0000-0000D3050000}"/>
    <cellStyle name="Comma 2 2 2 10 3 2" xfId="24065" xr:uid="{00000000-0005-0000-0000-0000D4050000}"/>
    <cellStyle name="Comma 2 2 2 10 3 2 2" xfId="43494" xr:uid="{00000000-0005-0000-0000-0000D5050000}"/>
    <cellStyle name="Comma 2 2 2 10 3 2 3" xfId="37071" xr:uid="{00000000-0005-0000-0000-0000D6050000}"/>
    <cellStyle name="Comma 2 2 2 10 3 3" xfId="28388" xr:uid="{00000000-0005-0000-0000-0000D7050000}"/>
    <cellStyle name="Comma 2 2 2 10 3 3 2" xfId="40287" xr:uid="{00000000-0005-0000-0000-0000D8050000}"/>
    <cellStyle name="Comma 2 2 2 10 3 4" xfId="31723" xr:uid="{00000000-0005-0000-0000-0000D9050000}"/>
    <cellStyle name="Comma 2 2 2 10 3 5" xfId="33863" xr:uid="{00000000-0005-0000-0000-0000DA050000}"/>
    <cellStyle name="Comma 2 2 2 10 4" xfId="7868" xr:uid="{00000000-0005-0000-0000-0000DB050000}"/>
    <cellStyle name="Comma 2 2 2 10 4 2" xfId="42531" xr:uid="{00000000-0005-0000-0000-0000DC050000}"/>
    <cellStyle name="Comma 2 2 2 10 4 3" xfId="36107" xr:uid="{00000000-0005-0000-0000-0000DD050000}"/>
    <cellStyle name="Comma 2 2 2 10 5" xfId="20859" xr:uid="{00000000-0005-0000-0000-0000DE050000}"/>
    <cellStyle name="Comma 2 2 2 10 5 2" xfId="39324" xr:uid="{00000000-0005-0000-0000-0000DF050000}"/>
    <cellStyle name="Comma 2 2 2 10 6" xfId="21932" xr:uid="{00000000-0005-0000-0000-0000E0050000}"/>
    <cellStyle name="Comma 2 2 2 10 7" xfId="23102" xr:uid="{00000000-0005-0000-0000-0000E1050000}"/>
    <cellStyle name="Comma 2 2 2 10 8" xfId="26254" xr:uid="{00000000-0005-0000-0000-0000E2050000}"/>
    <cellStyle name="Comma 2 2 2 10 9" xfId="29587" xr:uid="{00000000-0005-0000-0000-0000E3050000}"/>
    <cellStyle name="Comma 2 2 2 11" xfId="675" xr:uid="{00000000-0005-0000-0000-0000E4050000}"/>
    <cellStyle name="Comma 2 2 2 11 10" xfId="32901" xr:uid="{00000000-0005-0000-0000-0000E5050000}"/>
    <cellStyle name="Comma 2 2 2 11 2" xfId="9446" xr:uid="{00000000-0005-0000-0000-0000E6050000}"/>
    <cellStyle name="Comma 2 2 2 11 2 2" xfId="25246" xr:uid="{00000000-0005-0000-0000-0000E7050000}"/>
    <cellStyle name="Comma 2 2 2 11 2 2 2" xfId="44673" xr:uid="{00000000-0005-0000-0000-0000E8050000}"/>
    <cellStyle name="Comma 2 2 2 11 2 2 3" xfId="38250" xr:uid="{00000000-0005-0000-0000-0000E9050000}"/>
    <cellStyle name="Comma 2 2 2 11 2 3" xfId="27424" xr:uid="{00000000-0005-0000-0000-0000EA050000}"/>
    <cellStyle name="Comma 2 2 2 11 2 3 2" xfId="41466" xr:uid="{00000000-0005-0000-0000-0000EB050000}"/>
    <cellStyle name="Comma 2 2 2 11 2 4" xfId="30759" xr:uid="{00000000-0005-0000-0000-0000EC050000}"/>
    <cellStyle name="Comma 2 2 2 11 2 5" xfId="35042" xr:uid="{00000000-0005-0000-0000-0000ED050000}"/>
    <cellStyle name="Comma 2 2 2 11 3" xfId="15053" xr:uid="{00000000-0005-0000-0000-0000EE050000}"/>
    <cellStyle name="Comma 2 2 2 11 3 2" xfId="24066" xr:uid="{00000000-0005-0000-0000-0000EF050000}"/>
    <cellStyle name="Comma 2 2 2 11 3 2 2" xfId="43495" xr:uid="{00000000-0005-0000-0000-0000F0050000}"/>
    <cellStyle name="Comma 2 2 2 11 3 2 3" xfId="37072" xr:uid="{00000000-0005-0000-0000-0000F1050000}"/>
    <cellStyle name="Comma 2 2 2 11 3 3" xfId="28389" xr:uid="{00000000-0005-0000-0000-0000F2050000}"/>
    <cellStyle name="Comma 2 2 2 11 3 3 2" xfId="40288" xr:uid="{00000000-0005-0000-0000-0000F3050000}"/>
    <cellStyle name="Comma 2 2 2 11 3 4" xfId="31724" xr:uid="{00000000-0005-0000-0000-0000F4050000}"/>
    <cellStyle name="Comma 2 2 2 11 3 5" xfId="33864" xr:uid="{00000000-0005-0000-0000-0000F5050000}"/>
    <cellStyle name="Comma 2 2 2 11 4" xfId="7869" xr:uid="{00000000-0005-0000-0000-0000F6050000}"/>
    <cellStyle name="Comma 2 2 2 11 4 2" xfId="42532" xr:uid="{00000000-0005-0000-0000-0000F7050000}"/>
    <cellStyle name="Comma 2 2 2 11 4 3" xfId="36108" xr:uid="{00000000-0005-0000-0000-0000F8050000}"/>
    <cellStyle name="Comma 2 2 2 11 5" xfId="20860" xr:uid="{00000000-0005-0000-0000-0000F9050000}"/>
    <cellStyle name="Comma 2 2 2 11 5 2" xfId="39325" xr:uid="{00000000-0005-0000-0000-0000FA050000}"/>
    <cellStyle name="Comma 2 2 2 11 6" xfId="21933" xr:uid="{00000000-0005-0000-0000-0000FB050000}"/>
    <cellStyle name="Comma 2 2 2 11 7" xfId="23103" xr:uid="{00000000-0005-0000-0000-0000FC050000}"/>
    <cellStyle name="Comma 2 2 2 11 8" xfId="26255" xr:uid="{00000000-0005-0000-0000-0000FD050000}"/>
    <cellStyle name="Comma 2 2 2 11 9" xfId="29588" xr:uid="{00000000-0005-0000-0000-0000FE050000}"/>
    <cellStyle name="Comma 2 2 2 12" xfId="676" xr:uid="{00000000-0005-0000-0000-0000FF050000}"/>
    <cellStyle name="Comma 2 2 2 12 10" xfId="32902" xr:uid="{00000000-0005-0000-0000-000000060000}"/>
    <cellStyle name="Comma 2 2 2 12 2" xfId="9447" xr:uid="{00000000-0005-0000-0000-000001060000}"/>
    <cellStyle name="Comma 2 2 2 12 2 2" xfId="25247" xr:uid="{00000000-0005-0000-0000-000002060000}"/>
    <cellStyle name="Comma 2 2 2 12 2 2 2" xfId="44674" xr:uid="{00000000-0005-0000-0000-000003060000}"/>
    <cellStyle name="Comma 2 2 2 12 2 2 3" xfId="38251" xr:uid="{00000000-0005-0000-0000-000004060000}"/>
    <cellStyle name="Comma 2 2 2 12 2 3" xfId="27425" xr:uid="{00000000-0005-0000-0000-000005060000}"/>
    <cellStyle name="Comma 2 2 2 12 2 3 2" xfId="41467" xr:uid="{00000000-0005-0000-0000-000006060000}"/>
    <cellStyle name="Comma 2 2 2 12 2 4" xfId="30760" xr:uid="{00000000-0005-0000-0000-000007060000}"/>
    <cellStyle name="Comma 2 2 2 12 2 5" xfId="35043" xr:uid="{00000000-0005-0000-0000-000008060000}"/>
    <cellStyle name="Comma 2 2 2 12 3" xfId="15054" xr:uid="{00000000-0005-0000-0000-000009060000}"/>
    <cellStyle name="Comma 2 2 2 12 3 2" xfId="24067" xr:uid="{00000000-0005-0000-0000-00000A060000}"/>
    <cellStyle name="Comma 2 2 2 12 3 2 2" xfId="43496" xr:uid="{00000000-0005-0000-0000-00000B060000}"/>
    <cellStyle name="Comma 2 2 2 12 3 2 3" xfId="37073" xr:uid="{00000000-0005-0000-0000-00000C060000}"/>
    <cellStyle name="Comma 2 2 2 12 3 3" xfId="28390" xr:uid="{00000000-0005-0000-0000-00000D060000}"/>
    <cellStyle name="Comma 2 2 2 12 3 3 2" xfId="40289" xr:uid="{00000000-0005-0000-0000-00000E060000}"/>
    <cellStyle name="Comma 2 2 2 12 3 4" xfId="31725" xr:uid="{00000000-0005-0000-0000-00000F060000}"/>
    <cellStyle name="Comma 2 2 2 12 3 5" xfId="33865" xr:uid="{00000000-0005-0000-0000-000010060000}"/>
    <cellStyle name="Comma 2 2 2 12 4" xfId="7870" xr:uid="{00000000-0005-0000-0000-000011060000}"/>
    <cellStyle name="Comma 2 2 2 12 4 2" xfId="42533" xr:uid="{00000000-0005-0000-0000-000012060000}"/>
    <cellStyle name="Comma 2 2 2 12 4 3" xfId="36109" xr:uid="{00000000-0005-0000-0000-000013060000}"/>
    <cellStyle name="Comma 2 2 2 12 5" xfId="20861" xr:uid="{00000000-0005-0000-0000-000014060000}"/>
    <cellStyle name="Comma 2 2 2 12 5 2" xfId="39326" xr:uid="{00000000-0005-0000-0000-000015060000}"/>
    <cellStyle name="Comma 2 2 2 12 6" xfId="21934" xr:uid="{00000000-0005-0000-0000-000016060000}"/>
    <cellStyle name="Comma 2 2 2 12 7" xfId="23104" xr:uid="{00000000-0005-0000-0000-000017060000}"/>
    <cellStyle name="Comma 2 2 2 12 8" xfId="26256" xr:uid="{00000000-0005-0000-0000-000018060000}"/>
    <cellStyle name="Comma 2 2 2 12 9" xfId="29589" xr:uid="{00000000-0005-0000-0000-000019060000}"/>
    <cellStyle name="Comma 2 2 2 13" xfId="9057" xr:uid="{00000000-0005-0000-0000-00001A060000}"/>
    <cellStyle name="Comma 2 2 2 13 2" xfId="25113" xr:uid="{00000000-0005-0000-0000-00001B060000}"/>
    <cellStyle name="Comma 2 2 2 13 2 2" xfId="44540" xr:uid="{00000000-0005-0000-0000-00001C060000}"/>
    <cellStyle name="Comma 2 2 2 13 2 3" xfId="38117" xr:uid="{00000000-0005-0000-0000-00001D060000}"/>
    <cellStyle name="Comma 2 2 2 13 3" xfId="27292" xr:uid="{00000000-0005-0000-0000-00001E060000}"/>
    <cellStyle name="Comma 2 2 2 13 3 2" xfId="41333" xr:uid="{00000000-0005-0000-0000-00001F060000}"/>
    <cellStyle name="Comma 2 2 2 13 4" xfId="30627" xr:uid="{00000000-0005-0000-0000-000020060000}"/>
    <cellStyle name="Comma 2 2 2 13 5" xfId="34909" xr:uid="{00000000-0005-0000-0000-000021060000}"/>
    <cellStyle name="Comma 2 2 2 14" xfId="15051" xr:uid="{00000000-0005-0000-0000-000022060000}"/>
    <cellStyle name="Comma 2 2 2 14 2" xfId="24064" xr:uid="{00000000-0005-0000-0000-000023060000}"/>
    <cellStyle name="Comma 2 2 2 14 2 2" xfId="43493" xr:uid="{00000000-0005-0000-0000-000024060000}"/>
    <cellStyle name="Comma 2 2 2 14 2 3" xfId="37070" xr:uid="{00000000-0005-0000-0000-000025060000}"/>
    <cellStyle name="Comma 2 2 2 14 3" xfId="28387" xr:uid="{00000000-0005-0000-0000-000026060000}"/>
    <cellStyle name="Comma 2 2 2 14 3 2" xfId="40286" xr:uid="{00000000-0005-0000-0000-000027060000}"/>
    <cellStyle name="Comma 2 2 2 14 4" xfId="31722" xr:uid="{00000000-0005-0000-0000-000028060000}"/>
    <cellStyle name="Comma 2 2 2 14 5" xfId="33862" xr:uid="{00000000-0005-0000-0000-000029060000}"/>
    <cellStyle name="Comma 2 2 2 15" xfId="7867" xr:uid="{00000000-0005-0000-0000-00002A060000}"/>
    <cellStyle name="Comma 2 2 2 15 2" xfId="42404" xr:uid="{00000000-0005-0000-0000-00002B060000}"/>
    <cellStyle name="Comma 2 2 2 15 3" xfId="35980" xr:uid="{00000000-0005-0000-0000-00002C060000}"/>
    <cellStyle name="Comma 2 2 2 16" xfId="20858" xr:uid="{00000000-0005-0000-0000-00002D060000}"/>
    <cellStyle name="Comma 2 2 2 16 2" xfId="39197" xr:uid="{00000000-0005-0000-0000-00002E060000}"/>
    <cellStyle name="Comma 2 2 2 17" xfId="21931" xr:uid="{00000000-0005-0000-0000-00002F060000}"/>
    <cellStyle name="Comma 2 2 2 18" xfId="22975" xr:uid="{00000000-0005-0000-0000-000030060000}"/>
    <cellStyle name="Comma 2 2 2 19" xfId="26253" xr:uid="{00000000-0005-0000-0000-000031060000}"/>
    <cellStyle name="Comma 2 2 2 2" xfId="203" xr:uid="{00000000-0005-0000-0000-000032060000}"/>
    <cellStyle name="Comma 2 2 2 2 10" xfId="677" xr:uid="{00000000-0005-0000-0000-000033060000}"/>
    <cellStyle name="Comma 2 2 2 2 10 10" xfId="32903" xr:uid="{00000000-0005-0000-0000-000034060000}"/>
    <cellStyle name="Comma 2 2 2 2 10 2" xfId="9448" xr:uid="{00000000-0005-0000-0000-000035060000}"/>
    <cellStyle name="Comma 2 2 2 2 10 2 2" xfId="25248" xr:uid="{00000000-0005-0000-0000-000036060000}"/>
    <cellStyle name="Comma 2 2 2 2 10 2 2 2" xfId="44675" xr:uid="{00000000-0005-0000-0000-000037060000}"/>
    <cellStyle name="Comma 2 2 2 2 10 2 2 3" xfId="38252" xr:uid="{00000000-0005-0000-0000-000038060000}"/>
    <cellStyle name="Comma 2 2 2 2 10 2 3" xfId="27426" xr:uid="{00000000-0005-0000-0000-000039060000}"/>
    <cellStyle name="Comma 2 2 2 2 10 2 3 2" xfId="41468" xr:uid="{00000000-0005-0000-0000-00003A060000}"/>
    <cellStyle name="Comma 2 2 2 2 10 2 4" xfId="30761" xr:uid="{00000000-0005-0000-0000-00003B060000}"/>
    <cellStyle name="Comma 2 2 2 2 10 2 5" xfId="35044" xr:uid="{00000000-0005-0000-0000-00003C060000}"/>
    <cellStyle name="Comma 2 2 2 2 10 3" xfId="15056" xr:uid="{00000000-0005-0000-0000-00003D060000}"/>
    <cellStyle name="Comma 2 2 2 2 10 3 2" xfId="24069" xr:uid="{00000000-0005-0000-0000-00003E060000}"/>
    <cellStyle name="Comma 2 2 2 2 10 3 2 2" xfId="43498" xr:uid="{00000000-0005-0000-0000-00003F060000}"/>
    <cellStyle name="Comma 2 2 2 2 10 3 2 3" xfId="37075" xr:uid="{00000000-0005-0000-0000-000040060000}"/>
    <cellStyle name="Comma 2 2 2 2 10 3 3" xfId="28392" xr:uid="{00000000-0005-0000-0000-000041060000}"/>
    <cellStyle name="Comma 2 2 2 2 10 3 3 2" xfId="40291" xr:uid="{00000000-0005-0000-0000-000042060000}"/>
    <cellStyle name="Comma 2 2 2 2 10 3 4" xfId="31727" xr:uid="{00000000-0005-0000-0000-000043060000}"/>
    <cellStyle name="Comma 2 2 2 2 10 3 5" xfId="33867" xr:uid="{00000000-0005-0000-0000-000044060000}"/>
    <cellStyle name="Comma 2 2 2 2 10 4" xfId="7872" xr:uid="{00000000-0005-0000-0000-000045060000}"/>
    <cellStyle name="Comma 2 2 2 2 10 4 2" xfId="42534" xr:uid="{00000000-0005-0000-0000-000046060000}"/>
    <cellStyle name="Comma 2 2 2 2 10 4 3" xfId="36110" xr:uid="{00000000-0005-0000-0000-000047060000}"/>
    <cellStyle name="Comma 2 2 2 2 10 5" xfId="20863" xr:uid="{00000000-0005-0000-0000-000048060000}"/>
    <cellStyle name="Comma 2 2 2 2 10 5 2" xfId="39327" xr:uid="{00000000-0005-0000-0000-000049060000}"/>
    <cellStyle name="Comma 2 2 2 2 10 6" xfId="21936" xr:uid="{00000000-0005-0000-0000-00004A060000}"/>
    <cellStyle name="Comma 2 2 2 2 10 7" xfId="23105" xr:uid="{00000000-0005-0000-0000-00004B060000}"/>
    <cellStyle name="Comma 2 2 2 2 10 8" xfId="26258" xr:uid="{00000000-0005-0000-0000-00004C060000}"/>
    <cellStyle name="Comma 2 2 2 2 10 9" xfId="29591" xr:uid="{00000000-0005-0000-0000-00004D060000}"/>
    <cellStyle name="Comma 2 2 2 2 11" xfId="678" xr:uid="{00000000-0005-0000-0000-00004E060000}"/>
    <cellStyle name="Comma 2 2 2 2 11 10" xfId="32904" xr:uid="{00000000-0005-0000-0000-00004F060000}"/>
    <cellStyle name="Comma 2 2 2 2 11 2" xfId="9449" xr:uid="{00000000-0005-0000-0000-000050060000}"/>
    <cellStyle name="Comma 2 2 2 2 11 2 2" xfId="25249" xr:uid="{00000000-0005-0000-0000-000051060000}"/>
    <cellStyle name="Comma 2 2 2 2 11 2 2 2" xfId="44676" xr:uid="{00000000-0005-0000-0000-000052060000}"/>
    <cellStyle name="Comma 2 2 2 2 11 2 2 3" xfId="38253" xr:uid="{00000000-0005-0000-0000-000053060000}"/>
    <cellStyle name="Comma 2 2 2 2 11 2 3" xfId="27427" xr:uid="{00000000-0005-0000-0000-000054060000}"/>
    <cellStyle name="Comma 2 2 2 2 11 2 3 2" xfId="41469" xr:uid="{00000000-0005-0000-0000-000055060000}"/>
    <cellStyle name="Comma 2 2 2 2 11 2 4" xfId="30762" xr:uid="{00000000-0005-0000-0000-000056060000}"/>
    <cellStyle name="Comma 2 2 2 2 11 2 5" xfId="35045" xr:uid="{00000000-0005-0000-0000-000057060000}"/>
    <cellStyle name="Comma 2 2 2 2 11 3" xfId="15057" xr:uid="{00000000-0005-0000-0000-000058060000}"/>
    <cellStyle name="Comma 2 2 2 2 11 3 2" xfId="24070" xr:uid="{00000000-0005-0000-0000-000059060000}"/>
    <cellStyle name="Comma 2 2 2 2 11 3 2 2" xfId="43499" xr:uid="{00000000-0005-0000-0000-00005A060000}"/>
    <cellStyle name="Comma 2 2 2 2 11 3 2 3" xfId="37076" xr:uid="{00000000-0005-0000-0000-00005B060000}"/>
    <cellStyle name="Comma 2 2 2 2 11 3 3" xfId="28393" xr:uid="{00000000-0005-0000-0000-00005C060000}"/>
    <cellStyle name="Comma 2 2 2 2 11 3 3 2" xfId="40292" xr:uid="{00000000-0005-0000-0000-00005D060000}"/>
    <cellStyle name="Comma 2 2 2 2 11 3 4" xfId="31728" xr:uid="{00000000-0005-0000-0000-00005E060000}"/>
    <cellStyle name="Comma 2 2 2 2 11 3 5" xfId="33868" xr:uid="{00000000-0005-0000-0000-00005F060000}"/>
    <cellStyle name="Comma 2 2 2 2 11 4" xfId="7873" xr:uid="{00000000-0005-0000-0000-000060060000}"/>
    <cellStyle name="Comma 2 2 2 2 11 4 2" xfId="42535" xr:uid="{00000000-0005-0000-0000-000061060000}"/>
    <cellStyle name="Comma 2 2 2 2 11 4 3" xfId="36111" xr:uid="{00000000-0005-0000-0000-000062060000}"/>
    <cellStyle name="Comma 2 2 2 2 11 5" xfId="20864" xr:uid="{00000000-0005-0000-0000-000063060000}"/>
    <cellStyle name="Comma 2 2 2 2 11 5 2" xfId="39328" xr:uid="{00000000-0005-0000-0000-000064060000}"/>
    <cellStyle name="Comma 2 2 2 2 11 6" xfId="21937" xr:uid="{00000000-0005-0000-0000-000065060000}"/>
    <cellStyle name="Comma 2 2 2 2 11 7" xfId="23106" xr:uid="{00000000-0005-0000-0000-000066060000}"/>
    <cellStyle name="Comma 2 2 2 2 11 8" xfId="26259" xr:uid="{00000000-0005-0000-0000-000067060000}"/>
    <cellStyle name="Comma 2 2 2 2 11 9" xfId="29592" xr:uid="{00000000-0005-0000-0000-000068060000}"/>
    <cellStyle name="Comma 2 2 2 2 12" xfId="9077" xr:uid="{00000000-0005-0000-0000-000069060000}"/>
    <cellStyle name="Comma 2 2 2 2 12 2" xfId="25132" xr:uid="{00000000-0005-0000-0000-00006A060000}"/>
    <cellStyle name="Comma 2 2 2 2 12 2 2" xfId="44559" xr:uid="{00000000-0005-0000-0000-00006B060000}"/>
    <cellStyle name="Comma 2 2 2 2 12 2 3" xfId="38136" xr:uid="{00000000-0005-0000-0000-00006C060000}"/>
    <cellStyle name="Comma 2 2 2 2 12 3" xfId="27311" xr:uid="{00000000-0005-0000-0000-00006D060000}"/>
    <cellStyle name="Comma 2 2 2 2 12 3 2" xfId="41352" xr:uid="{00000000-0005-0000-0000-00006E060000}"/>
    <cellStyle name="Comma 2 2 2 2 12 4" xfId="30646" xr:uid="{00000000-0005-0000-0000-00006F060000}"/>
    <cellStyle name="Comma 2 2 2 2 12 5" xfId="34928" xr:uid="{00000000-0005-0000-0000-000070060000}"/>
    <cellStyle name="Comma 2 2 2 2 13" xfId="15055" xr:uid="{00000000-0005-0000-0000-000071060000}"/>
    <cellStyle name="Comma 2 2 2 2 13 2" xfId="24068" xr:uid="{00000000-0005-0000-0000-000072060000}"/>
    <cellStyle name="Comma 2 2 2 2 13 2 2" xfId="43497" xr:uid="{00000000-0005-0000-0000-000073060000}"/>
    <cellStyle name="Comma 2 2 2 2 13 2 3" xfId="37074" xr:uid="{00000000-0005-0000-0000-000074060000}"/>
    <cellStyle name="Comma 2 2 2 2 13 3" xfId="28391" xr:uid="{00000000-0005-0000-0000-000075060000}"/>
    <cellStyle name="Comma 2 2 2 2 13 3 2" xfId="40290" xr:uid="{00000000-0005-0000-0000-000076060000}"/>
    <cellStyle name="Comma 2 2 2 2 13 4" xfId="31726" xr:uid="{00000000-0005-0000-0000-000077060000}"/>
    <cellStyle name="Comma 2 2 2 2 13 5" xfId="33866" xr:uid="{00000000-0005-0000-0000-000078060000}"/>
    <cellStyle name="Comma 2 2 2 2 14" xfId="7871" xr:uid="{00000000-0005-0000-0000-000079060000}"/>
    <cellStyle name="Comma 2 2 2 2 14 2" xfId="42422" xr:uid="{00000000-0005-0000-0000-00007A060000}"/>
    <cellStyle name="Comma 2 2 2 2 14 3" xfId="35998" xr:uid="{00000000-0005-0000-0000-00007B060000}"/>
    <cellStyle name="Comma 2 2 2 2 15" xfId="20862" xr:uid="{00000000-0005-0000-0000-00007C060000}"/>
    <cellStyle name="Comma 2 2 2 2 15 2" xfId="39215" xr:uid="{00000000-0005-0000-0000-00007D060000}"/>
    <cellStyle name="Comma 2 2 2 2 16" xfId="21935" xr:uid="{00000000-0005-0000-0000-00007E060000}"/>
    <cellStyle name="Comma 2 2 2 2 17" xfId="22993" xr:uid="{00000000-0005-0000-0000-00007F060000}"/>
    <cellStyle name="Comma 2 2 2 2 18" xfId="26257" xr:uid="{00000000-0005-0000-0000-000080060000}"/>
    <cellStyle name="Comma 2 2 2 2 19" xfId="29590" xr:uid="{00000000-0005-0000-0000-000081060000}"/>
    <cellStyle name="Comma 2 2 2 2 2" xfId="192" xr:uid="{00000000-0005-0000-0000-000082060000}"/>
    <cellStyle name="Comma 2 2 2 2 2 10" xfId="679" xr:uid="{00000000-0005-0000-0000-000083060000}"/>
    <cellStyle name="Comma 2 2 2 2 2 10 10" xfId="32905" xr:uid="{00000000-0005-0000-0000-000084060000}"/>
    <cellStyle name="Comma 2 2 2 2 2 10 2" xfId="9450" xr:uid="{00000000-0005-0000-0000-000085060000}"/>
    <cellStyle name="Comma 2 2 2 2 2 10 2 2" xfId="25250" xr:uid="{00000000-0005-0000-0000-000086060000}"/>
    <cellStyle name="Comma 2 2 2 2 2 10 2 2 2" xfId="44677" xr:uid="{00000000-0005-0000-0000-000087060000}"/>
    <cellStyle name="Comma 2 2 2 2 2 10 2 2 3" xfId="38254" xr:uid="{00000000-0005-0000-0000-000088060000}"/>
    <cellStyle name="Comma 2 2 2 2 2 10 2 3" xfId="27428" xr:uid="{00000000-0005-0000-0000-000089060000}"/>
    <cellStyle name="Comma 2 2 2 2 2 10 2 3 2" xfId="41470" xr:uid="{00000000-0005-0000-0000-00008A060000}"/>
    <cellStyle name="Comma 2 2 2 2 2 10 2 4" xfId="30763" xr:uid="{00000000-0005-0000-0000-00008B060000}"/>
    <cellStyle name="Comma 2 2 2 2 2 10 2 5" xfId="35046" xr:uid="{00000000-0005-0000-0000-00008C060000}"/>
    <cellStyle name="Comma 2 2 2 2 2 10 3" xfId="15059" xr:uid="{00000000-0005-0000-0000-00008D060000}"/>
    <cellStyle name="Comma 2 2 2 2 2 10 3 2" xfId="24072" xr:uid="{00000000-0005-0000-0000-00008E060000}"/>
    <cellStyle name="Comma 2 2 2 2 2 10 3 2 2" xfId="43501" xr:uid="{00000000-0005-0000-0000-00008F060000}"/>
    <cellStyle name="Comma 2 2 2 2 2 10 3 2 3" xfId="37078" xr:uid="{00000000-0005-0000-0000-000090060000}"/>
    <cellStyle name="Comma 2 2 2 2 2 10 3 3" xfId="28395" xr:uid="{00000000-0005-0000-0000-000091060000}"/>
    <cellStyle name="Comma 2 2 2 2 2 10 3 3 2" xfId="40294" xr:uid="{00000000-0005-0000-0000-000092060000}"/>
    <cellStyle name="Comma 2 2 2 2 2 10 3 4" xfId="31730" xr:uid="{00000000-0005-0000-0000-000093060000}"/>
    <cellStyle name="Comma 2 2 2 2 2 10 3 5" xfId="33870" xr:uid="{00000000-0005-0000-0000-000094060000}"/>
    <cellStyle name="Comma 2 2 2 2 2 10 4" xfId="7875" xr:uid="{00000000-0005-0000-0000-000095060000}"/>
    <cellStyle name="Comma 2 2 2 2 2 10 4 2" xfId="42536" xr:uid="{00000000-0005-0000-0000-000096060000}"/>
    <cellStyle name="Comma 2 2 2 2 2 10 4 3" xfId="36112" xr:uid="{00000000-0005-0000-0000-000097060000}"/>
    <cellStyle name="Comma 2 2 2 2 2 10 5" xfId="20866" xr:uid="{00000000-0005-0000-0000-000098060000}"/>
    <cellStyle name="Comma 2 2 2 2 2 10 5 2" xfId="39329" xr:uid="{00000000-0005-0000-0000-000099060000}"/>
    <cellStyle name="Comma 2 2 2 2 2 10 6" xfId="21939" xr:uid="{00000000-0005-0000-0000-00009A060000}"/>
    <cellStyle name="Comma 2 2 2 2 2 10 7" xfId="23107" xr:uid="{00000000-0005-0000-0000-00009B060000}"/>
    <cellStyle name="Comma 2 2 2 2 2 10 8" xfId="26261" xr:uid="{00000000-0005-0000-0000-00009C060000}"/>
    <cellStyle name="Comma 2 2 2 2 2 10 9" xfId="29594" xr:uid="{00000000-0005-0000-0000-00009D060000}"/>
    <cellStyle name="Comma 2 2 2 2 2 11" xfId="9068" xr:uid="{00000000-0005-0000-0000-00009E060000}"/>
    <cellStyle name="Comma 2 2 2 2 2 11 2" xfId="25123" xr:uid="{00000000-0005-0000-0000-00009F060000}"/>
    <cellStyle name="Comma 2 2 2 2 2 11 2 2" xfId="44550" xr:uid="{00000000-0005-0000-0000-0000A0060000}"/>
    <cellStyle name="Comma 2 2 2 2 2 11 2 3" xfId="38127" xr:uid="{00000000-0005-0000-0000-0000A1060000}"/>
    <cellStyle name="Comma 2 2 2 2 2 11 3" xfId="27302" xr:uid="{00000000-0005-0000-0000-0000A2060000}"/>
    <cellStyle name="Comma 2 2 2 2 2 11 3 2" xfId="41343" xr:uid="{00000000-0005-0000-0000-0000A3060000}"/>
    <cellStyle name="Comma 2 2 2 2 2 11 4" xfId="30637" xr:uid="{00000000-0005-0000-0000-0000A4060000}"/>
    <cellStyle name="Comma 2 2 2 2 2 11 5" xfId="34919" xr:uid="{00000000-0005-0000-0000-0000A5060000}"/>
    <cellStyle name="Comma 2 2 2 2 2 12" xfId="15058" xr:uid="{00000000-0005-0000-0000-0000A6060000}"/>
    <cellStyle name="Comma 2 2 2 2 2 12 2" xfId="24071" xr:uid="{00000000-0005-0000-0000-0000A7060000}"/>
    <cellStyle name="Comma 2 2 2 2 2 12 2 2" xfId="43500" xr:uid="{00000000-0005-0000-0000-0000A8060000}"/>
    <cellStyle name="Comma 2 2 2 2 2 12 2 3" xfId="37077" xr:uid="{00000000-0005-0000-0000-0000A9060000}"/>
    <cellStyle name="Comma 2 2 2 2 2 12 3" xfId="28394" xr:uid="{00000000-0005-0000-0000-0000AA060000}"/>
    <cellStyle name="Comma 2 2 2 2 2 12 3 2" xfId="40293" xr:uid="{00000000-0005-0000-0000-0000AB060000}"/>
    <cellStyle name="Comma 2 2 2 2 2 12 4" xfId="31729" xr:uid="{00000000-0005-0000-0000-0000AC060000}"/>
    <cellStyle name="Comma 2 2 2 2 2 12 5" xfId="33869" xr:uid="{00000000-0005-0000-0000-0000AD060000}"/>
    <cellStyle name="Comma 2 2 2 2 2 13" xfId="7874" xr:uid="{00000000-0005-0000-0000-0000AE060000}"/>
    <cellStyle name="Comma 2 2 2 2 2 13 2" xfId="42413" xr:uid="{00000000-0005-0000-0000-0000AF060000}"/>
    <cellStyle name="Comma 2 2 2 2 2 13 3" xfId="35989" xr:uid="{00000000-0005-0000-0000-0000B0060000}"/>
    <cellStyle name="Comma 2 2 2 2 2 14" xfId="20865" xr:uid="{00000000-0005-0000-0000-0000B1060000}"/>
    <cellStyle name="Comma 2 2 2 2 2 14 2" xfId="39206" xr:uid="{00000000-0005-0000-0000-0000B2060000}"/>
    <cellStyle name="Comma 2 2 2 2 2 15" xfId="21938" xr:uid="{00000000-0005-0000-0000-0000B3060000}"/>
    <cellStyle name="Comma 2 2 2 2 2 16" xfId="22984" xr:uid="{00000000-0005-0000-0000-0000B4060000}"/>
    <cellStyle name="Comma 2 2 2 2 2 17" xfId="26260" xr:uid="{00000000-0005-0000-0000-0000B5060000}"/>
    <cellStyle name="Comma 2 2 2 2 2 18" xfId="29593" xr:uid="{00000000-0005-0000-0000-0000B6060000}"/>
    <cellStyle name="Comma 2 2 2 2 2 19" xfId="32782" xr:uid="{00000000-0005-0000-0000-0000B7060000}"/>
    <cellStyle name="Comma 2 2 2 2 2 2" xfId="208" xr:uid="{00000000-0005-0000-0000-0000B8060000}"/>
    <cellStyle name="Comma 2 2 2 2 2 2 10" xfId="15060" xr:uid="{00000000-0005-0000-0000-0000B9060000}"/>
    <cellStyle name="Comma 2 2 2 2 2 2 10 2" xfId="24073" xr:uid="{00000000-0005-0000-0000-0000BA060000}"/>
    <cellStyle name="Comma 2 2 2 2 2 2 10 2 2" xfId="43502" xr:uid="{00000000-0005-0000-0000-0000BB060000}"/>
    <cellStyle name="Comma 2 2 2 2 2 2 10 2 3" xfId="37079" xr:uid="{00000000-0005-0000-0000-0000BC060000}"/>
    <cellStyle name="Comma 2 2 2 2 2 2 10 3" xfId="28396" xr:uid="{00000000-0005-0000-0000-0000BD060000}"/>
    <cellStyle name="Comma 2 2 2 2 2 2 10 3 2" xfId="40295" xr:uid="{00000000-0005-0000-0000-0000BE060000}"/>
    <cellStyle name="Comma 2 2 2 2 2 2 10 4" xfId="31731" xr:uid="{00000000-0005-0000-0000-0000BF060000}"/>
    <cellStyle name="Comma 2 2 2 2 2 2 10 5" xfId="33871" xr:uid="{00000000-0005-0000-0000-0000C0060000}"/>
    <cellStyle name="Comma 2 2 2 2 2 2 11" xfId="7876" xr:uid="{00000000-0005-0000-0000-0000C1060000}"/>
    <cellStyle name="Comma 2 2 2 2 2 2 11 2" xfId="42426" xr:uid="{00000000-0005-0000-0000-0000C2060000}"/>
    <cellStyle name="Comma 2 2 2 2 2 2 11 3" xfId="36002" xr:uid="{00000000-0005-0000-0000-0000C3060000}"/>
    <cellStyle name="Comma 2 2 2 2 2 2 12" xfId="20867" xr:uid="{00000000-0005-0000-0000-0000C4060000}"/>
    <cellStyle name="Comma 2 2 2 2 2 2 12 2" xfId="39219" xr:uid="{00000000-0005-0000-0000-0000C5060000}"/>
    <cellStyle name="Comma 2 2 2 2 2 2 13" xfId="21940" xr:uid="{00000000-0005-0000-0000-0000C6060000}"/>
    <cellStyle name="Comma 2 2 2 2 2 2 14" xfId="22997" xr:uid="{00000000-0005-0000-0000-0000C7060000}"/>
    <cellStyle name="Comma 2 2 2 2 2 2 15" xfId="26262" xr:uid="{00000000-0005-0000-0000-0000C8060000}"/>
    <cellStyle name="Comma 2 2 2 2 2 2 16" xfId="29595" xr:uid="{00000000-0005-0000-0000-0000C9060000}"/>
    <cellStyle name="Comma 2 2 2 2 2 2 17" xfId="32795" xr:uid="{00000000-0005-0000-0000-0000CA060000}"/>
    <cellStyle name="Comma 2 2 2 2 2 2 2" xfId="170" xr:uid="{00000000-0005-0000-0000-0000CB060000}"/>
    <cellStyle name="Comma 2 2 2 2 2 2 2 10" xfId="20868" xr:uid="{00000000-0005-0000-0000-0000CC060000}"/>
    <cellStyle name="Comma 2 2 2 2 2 2 2 10 2" xfId="39196" xr:uid="{00000000-0005-0000-0000-0000CD060000}"/>
    <cellStyle name="Comma 2 2 2 2 2 2 2 11" xfId="21941" xr:uid="{00000000-0005-0000-0000-0000CE060000}"/>
    <cellStyle name="Comma 2 2 2 2 2 2 2 12" xfId="22974" xr:uid="{00000000-0005-0000-0000-0000CF060000}"/>
    <cellStyle name="Comma 2 2 2 2 2 2 2 13" xfId="26263" xr:uid="{00000000-0005-0000-0000-0000D0060000}"/>
    <cellStyle name="Comma 2 2 2 2 2 2 2 14" xfId="29596" xr:uid="{00000000-0005-0000-0000-0000D1060000}"/>
    <cellStyle name="Comma 2 2 2 2 2 2 2 15" xfId="32772" xr:uid="{00000000-0005-0000-0000-0000D2060000}"/>
    <cellStyle name="Comma 2 2 2 2 2 2 2 2" xfId="680" xr:uid="{00000000-0005-0000-0000-0000D3060000}"/>
    <cellStyle name="Comma 2 2 2 2 2 2 2 2 10" xfId="32906" xr:uid="{00000000-0005-0000-0000-0000D4060000}"/>
    <cellStyle name="Comma 2 2 2 2 2 2 2 2 2" xfId="9451" xr:uid="{00000000-0005-0000-0000-0000D5060000}"/>
    <cellStyle name="Comma 2 2 2 2 2 2 2 2 2 2" xfId="25251" xr:uid="{00000000-0005-0000-0000-0000D6060000}"/>
    <cellStyle name="Comma 2 2 2 2 2 2 2 2 2 2 2" xfId="44678" xr:uid="{00000000-0005-0000-0000-0000D7060000}"/>
    <cellStyle name="Comma 2 2 2 2 2 2 2 2 2 2 3" xfId="38255" xr:uid="{00000000-0005-0000-0000-0000D8060000}"/>
    <cellStyle name="Comma 2 2 2 2 2 2 2 2 2 3" xfId="27429" xr:uid="{00000000-0005-0000-0000-0000D9060000}"/>
    <cellStyle name="Comma 2 2 2 2 2 2 2 2 2 3 2" xfId="41471" xr:uid="{00000000-0005-0000-0000-0000DA060000}"/>
    <cellStyle name="Comma 2 2 2 2 2 2 2 2 2 4" xfId="30764" xr:uid="{00000000-0005-0000-0000-0000DB060000}"/>
    <cellStyle name="Comma 2 2 2 2 2 2 2 2 2 5" xfId="35047" xr:uid="{00000000-0005-0000-0000-0000DC060000}"/>
    <cellStyle name="Comma 2 2 2 2 2 2 2 2 3" xfId="15062" xr:uid="{00000000-0005-0000-0000-0000DD060000}"/>
    <cellStyle name="Comma 2 2 2 2 2 2 2 2 3 2" xfId="24075" xr:uid="{00000000-0005-0000-0000-0000DE060000}"/>
    <cellStyle name="Comma 2 2 2 2 2 2 2 2 3 2 2" xfId="43504" xr:uid="{00000000-0005-0000-0000-0000DF060000}"/>
    <cellStyle name="Comma 2 2 2 2 2 2 2 2 3 2 3" xfId="37081" xr:uid="{00000000-0005-0000-0000-0000E0060000}"/>
    <cellStyle name="Comma 2 2 2 2 2 2 2 2 3 3" xfId="28398" xr:uid="{00000000-0005-0000-0000-0000E1060000}"/>
    <cellStyle name="Comma 2 2 2 2 2 2 2 2 3 3 2" xfId="40297" xr:uid="{00000000-0005-0000-0000-0000E2060000}"/>
    <cellStyle name="Comma 2 2 2 2 2 2 2 2 3 4" xfId="31733" xr:uid="{00000000-0005-0000-0000-0000E3060000}"/>
    <cellStyle name="Comma 2 2 2 2 2 2 2 2 3 5" xfId="33873" xr:uid="{00000000-0005-0000-0000-0000E4060000}"/>
    <cellStyle name="Comma 2 2 2 2 2 2 2 2 4" xfId="7878" xr:uid="{00000000-0005-0000-0000-0000E5060000}"/>
    <cellStyle name="Comma 2 2 2 2 2 2 2 2 4 2" xfId="42537" xr:uid="{00000000-0005-0000-0000-0000E6060000}"/>
    <cellStyle name="Comma 2 2 2 2 2 2 2 2 4 3" xfId="36113" xr:uid="{00000000-0005-0000-0000-0000E7060000}"/>
    <cellStyle name="Comma 2 2 2 2 2 2 2 2 5" xfId="20869" xr:uid="{00000000-0005-0000-0000-0000E8060000}"/>
    <cellStyle name="Comma 2 2 2 2 2 2 2 2 5 2" xfId="39330" xr:uid="{00000000-0005-0000-0000-0000E9060000}"/>
    <cellStyle name="Comma 2 2 2 2 2 2 2 2 6" xfId="21942" xr:uid="{00000000-0005-0000-0000-0000EA060000}"/>
    <cellStyle name="Comma 2 2 2 2 2 2 2 2 7" xfId="23108" xr:uid="{00000000-0005-0000-0000-0000EB060000}"/>
    <cellStyle name="Comma 2 2 2 2 2 2 2 2 8" xfId="26264" xr:uid="{00000000-0005-0000-0000-0000EC060000}"/>
    <cellStyle name="Comma 2 2 2 2 2 2 2 2 9" xfId="29597" xr:uid="{00000000-0005-0000-0000-0000ED060000}"/>
    <cellStyle name="Comma 2 2 2 2 2 2 2 3" xfId="681" xr:uid="{00000000-0005-0000-0000-0000EE060000}"/>
    <cellStyle name="Comma 2 2 2 2 2 2 2 3 10" xfId="32907" xr:uid="{00000000-0005-0000-0000-0000EF060000}"/>
    <cellStyle name="Comma 2 2 2 2 2 2 2 3 2" xfId="9452" xr:uid="{00000000-0005-0000-0000-0000F0060000}"/>
    <cellStyle name="Comma 2 2 2 2 2 2 2 3 2 2" xfId="25252" xr:uid="{00000000-0005-0000-0000-0000F1060000}"/>
    <cellStyle name="Comma 2 2 2 2 2 2 2 3 2 2 2" xfId="44679" xr:uid="{00000000-0005-0000-0000-0000F2060000}"/>
    <cellStyle name="Comma 2 2 2 2 2 2 2 3 2 2 3" xfId="38256" xr:uid="{00000000-0005-0000-0000-0000F3060000}"/>
    <cellStyle name="Comma 2 2 2 2 2 2 2 3 2 3" xfId="27430" xr:uid="{00000000-0005-0000-0000-0000F4060000}"/>
    <cellStyle name="Comma 2 2 2 2 2 2 2 3 2 3 2" xfId="41472" xr:uid="{00000000-0005-0000-0000-0000F5060000}"/>
    <cellStyle name="Comma 2 2 2 2 2 2 2 3 2 4" xfId="30765" xr:uid="{00000000-0005-0000-0000-0000F6060000}"/>
    <cellStyle name="Comma 2 2 2 2 2 2 2 3 2 5" xfId="35048" xr:uid="{00000000-0005-0000-0000-0000F7060000}"/>
    <cellStyle name="Comma 2 2 2 2 2 2 2 3 3" xfId="15063" xr:uid="{00000000-0005-0000-0000-0000F8060000}"/>
    <cellStyle name="Comma 2 2 2 2 2 2 2 3 3 2" xfId="24076" xr:uid="{00000000-0005-0000-0000-0000F9060000}"/>
    <cellStyle name="Comma 2 2 2 2 2 2 2 3 3 2 2" xfId="43505" xr:uid="{00000000-0005-0000-0000-0000FA060000}"/>
    <cellStyle name="Comma 2 2 2 2 2 2 2 3 3 2 3" xfId="37082" xr:uid="{00000000-0005-0000-0000-0000FB060000}"/>
    <cellStyle name="Comma 2 2 2 2 2 2 2 3 3 3" xfId="28399" xr:uid="{00000000-0005-0000-0000-0000FC060000}"/>
    <cellStyle name="Comma 2 2 2 2 2 2 2 3 3 3 2" xfId="40298" xr:uid="{00000000-0005-0000-0000-0000FD060000}"/>
    <cellStyle name="Comma 2 2 2 2 2 2 2 3 3 4" xfId="31734" xr:uid="{00000000-0005-0000-0000-0000FE060000}"/>
    <cellStyle name="Comma 2 2 2 2 2 2 2 3 3 5" xfId="33874" xr:uid="{00000000-0005-0000-0000-0000FF060000}"/>
    <cellStyle name="Comma 2 2 2 2 2 2 2 3 4" xfId="7879" xr:uid="{00000000-0005-0000-0000-000000070000}"/>
    <cellStyle name="Comma 2 2 2 2 2 2 2 3 4 2" xfId="42538" xr:uid="{00000000-0005-0000-0000-000001070000}"/>
    <cellStyle name="Comma 2 2 2 2 2 2 2 3 4 3" xfId="36114" xr:uid="{00000000-0005-0000-0000-000002070000}"/>
    <cellStyle name="Comma 2 2 2 2 2 2 2 3 5" xfId="20870" xr:uid="{00000000-0005-0000-0000-000003070000}"/>
    <cellStyle name="Comma 2 2 2 2 2 2 2 3 5 2" xfId="39331" xr:uid="{00000000-0005-0000-0000-000004070000}"/>
    <cellStyle name="Comma 2 2 2 2 2 2 2 3 6" xfId="21943" xr:uid="{00000000-0005-0000-0000-000005070000}"/>
    <cellStyle name="Comma 2 2 2 2 2 2 2 3 7" xfId="23109" xr:uid="{00000000-0005-0000-0000-000006070000}"/>
    <cellStyle name="Comma 2 2 2 2 2 2 2 3 8" xfId="26265" xr:uid="{00000000-0005-0000-0000-000007070000}"/>
    <cellStyle name="Comma 2 2 2 2 2 2 2 3 9" xfId="29598" xr:uid="{00000000-0005-0000-0000-000008070000}"/>
    <cellStyle name="Comma 2 2 2 2 2 2 2 4" xfId="682" xr:uid="{00000000-0005-0000-0000-000009070000}"/>
    <cellStyle name="Comma 2 2 2 2 2 2 2 4 10" xfId="32908" xr:uid="{00000000-0005-0000-0000-00000A070000}"/>
    <cellStyle name="Comma 2 2 2 2 2 2 2 4 2" xfId="9453" xr:uid="{00000000-0005-0000-0000-00000B070000}"/>
    <cellStyle name="Comma 2 2 2 2 2 2 2 4 2 2" xfId="25253" xr:uid="{00000000-0005-0000-0000-00000C070000}"/>
    <cellStyle name="Comma 2 2 2 2 2 2 2 4 2 2 2" xfId="44680" xr:uid="{00000000-0005-0000-0000-00000D070000}"/>
    <cellStyle name="Comma 2 2 2 2 2 2 2 4 2 2 3" xfId="38257" xr:uid="{00000000-0005-0000-0000-00000E070000}"/>
    <cellStyle name="Comma 2 2 2 2 2 2 2 4 2 3" xfId="27431" xr:uid="{00000000-0005-0000-0000-00000F070000}"/>
    <cellStyle name="Comma 2 2 2 2 2 2 2 4 2 3 2" xfId="41473" xr:uid="{00000000-0005-0000-0000-000010070000}"/>
    <cellStyle name="Comma 2 2 2 2 2 2 2 4 2 4" xfId="30766" xr:uid="{00000000-0005-0000-0000-000011070000}"/>
    <cellStyle name="Comma 2 2 2 2 2 2 2 4 2 5" xfId="35049" xr:uid="{00000000-0005-0000-0000-000012070000}"/>
    <cellStyle name="Comma 2 2 2 2 2 2 2 4 3" xfId="15064" xr:uid="{00000000-0005-0000-0000-000013070000}"/>
    <cellStyle name="Comma 2 2 2 2 2 2 2 4 3 2" xfId="24077" xr:uid="{00000000-0005-0000-0000-000014070000}"/>
    <cellStyle name="Comma 2 2 2 2 2 2 2 4 3 2 2" xfId="43506" xr:uid="{00000000-0005-0000-0000-000015070000}"/>
    <cellStyle name="Comma 2 2 2 2 2 2 2 4 3 2 3" xfId="37083" xr:uid="{00000000-0005-0000-0000-000016070000}"/>
    <cellStyle name="Comma 2 2 2 2 2 2 2 4 3 3" xfId="28400" xr:uid="{00000000-0005-0000-0000-000017070000}"/>
    <cellStyle name="Comma 2 2 2 2 2 2 2 4 3 3 2" xfId="40299" xr:uid="{00000000-0005-0000-0000-000018070000}"/>
    <cellStyle name="Comma 2 2 2 2 2 2 2 4 3 4" xfId="31735" xr:uid="{00000000-0005-0000-0000-000019070000}"/>
    <cellStyle name="Comma 2 2 2 2 2 2 2 4 3 5" xfId="33875" xr:uid="{00000000-0005-0000-0000-00001A070000}"/>
    <cellStyle name="Comma 2 2 2 2 2 2 2 4 4" xfId="7880" xr:uid="{00000000-0005-0000-0000-00001B070000}"/>
    <cellStyle name="Comma 2 2 2 2 2 2 2 4 4 2" xfId="42539" xr:uid="{00000000-0005-0000-0000-00001C070000}"/>
    <cellStyle name="Comma 2 2 2 2 2 2 2 4 4 3" xfId="36115" xr:uid="{00000000-0005-0000-0000-00001D070000}"/>
    <cellStyle name="Comma 2 2 2 2 2 2 2 4 5" xfId="20871" xr:uid="{00000000-0005-0000-0000-00001E070000}"/>
    <cellStyle name="Comma 2 2 2 2 2 2 2 4 5 2" xfId="39332" xr:uid="{00000000-0005-0000-0000-00001F070000}"/>
    <cellStyle name="Comma 2 2 2 2 2 2 2 4 6" xfId="21944" xr:uid="{00000000-0005-0000-0000-000020070000}"/>
    <cellStyle name="Comma 2 2 2 2 2 2 2 4 7" xfId="23110" xr:uid="{00000000-0005-0000-0000-000021070000}"/>
    <cellStyle name="Comma 2 2 2 2 2 2 2 4 8" xfId="26266" xr:uid="{00000000-0005-0000-0000-000022070000}"/>
    <cellStyle name="Comma 2 2 2 2 2 2 2 4 9" xfId="29599" xr:uid="{00000000-0005-0000-0000-000023070000}"/>
    <cellStyle name="Comma 2 2 2 2 2 2 2 5" xfId="683" xr:uid="{00000000-0005-0000-0000-000024070000}"/>
    <cellStyle name="Comma 2 2 2 2 2 2 2 5 10" xfId="32909" xr:uid="{00000000-0005-0000-0000-000025070000}"/>
    <cellStyle name="Comma 2 2 2 2 2 2 2 5 2" xfId="9454" xr:uid="{00000000-0005-0000-0000-000026070000}"/>
    <cellStyle name="Comma 2 2 2 2 2 2 2 5 2 2" xfId="25254" xr:uid="{00000000-0005-0000-0000-000027070000}"/>
    <cellStyle name="Comma 2 2 2 2 2 2 2 5 2 2 2" xfId="44681" xr:uid="{00000000-0005-0000-0000-000028070000}"/>
    <cellStyle name="Comma 2 2 2 2 2 2 2 5 2 2 3" xfId="38258" xr:uid="{00000000-0005-0000-0000-000029070000}"/>
    <cellStyle name="Comma 2 2 2 2 2 2 2 5 2 3" xfId="27432" xr:uid="{00000000-0005-0000-0000-00002A070000}"/>
    <cellStyle name="Comma 2 2 2 2 2 2 2 5 2 3 2" xfId="41474" xr:uid="{00000000-0005-0000-0000-00002B070000}"/>
    <cellStyle name="Comma 2 2 2 2 2 2 2 5 2 4" xfId="30767" xr:uid="{00000000-0005-0000-0000-00002C070000}"/>
    <cellStyle name="Comma 2 2 2 2 2 2 2 5 2 5" xfId="35050" xr:uid="{00000000-0005-0000-0000-00002D070000}"/>
    <cellStyle name="Comma 2 2 2 2 2 2 2 5 3" xfId="15065" xr:uid="{00000000-0005-0000-0000-00002E070000}"/>
    <cellStyle name="Comma 2 2 2 2 2 2 2 5 3 2" xfId="24078" xr:uid="{00000000-0005-0000-0000-00002F070000}"/>
    <cellStyle name="Comma 2 2 2 2 2 2 2 5 3 2 2" xfId="43507" xr:uid="{00000000-0005-0000-0000-000030070000}"/>
    <cellStyle name="Comma 2 2 2 2 2 2 2 5 3 2 3" xfId="37084" xr:uid="{00000000-0005-0000-0000-000031070000}"/>
    <cellStyle name="Comma 2 2 2 2 2 2 2 5 3 3" xfId="28401" xr:uid="{00000000-0005-0000-0000-000032070000}"/>
    <cellStyle name="Comma 2 2 2 2 2 2 2 5 3 3 2" xfId="40300" xr:uid="{00000000-0005-0000-0000-000033070000}"/>
    <cellStyle name="Comma 2 2 2 2 2 2 2 5 3 4" xfId="31736" xr:uid="{00000000-0005-0000-0000-000034070000}"/>
    <cellStyle name="Comma 2 2 2 2 2 2 2 5 3 5" xfId="33876" xr:uid="{00000000-0005-0000-0000-000035070000}"/>
    <cellStyle name="Comma 2 2 2 2 2 2 2 5 4" xfId="7881" xr:uid="{00000000-0005-0000-0000-000036070000}"/>
    <cellStyle name="Comma 2 2 2 2 2 2 2 5 4 2" xfId="42540" xr:uid="{00000000-0005-0000-0000-000037070000}"/>
    <cellStyle name="Comma 2 2 2 2 2 2 2 5 4 3" xfId="36116" xr:uid="{00000000-0005-0000-0000-000038070000}"/>
    <cellStyle name="Comma 2 2 2 2 2 2 2 5 5" xfId="20872" xr:uid="{00000000-0005-0000-0000-000039070000}"/>
    <cellStyle name="Comma 2 2 2 2 2 2 2 5 5 2" xfId="39333" xr:uid="{00000000-0005-0000-0000-00003A070000}"/>
    <cellStyle name="Comma 2 2 2 2 2 2 2 5 6" xfId="21945" xr:uid="{00000000-0005-0000-0000-00003B070000}"/>
    <cellStyle name="Comma 2 2 2 2 2 2 2 5 7" xfId="23111" xr:uid="{00000000-0005-0000-0000-00003C070000}"/>
    <cellStyle name="Comma 2 2 2 2 2 2 2 5 8" xfId="26267" xr:uid="{00000000-0005-0000-0000-00003D070000}"/>
    <cellStyle name="Comma 2 2 2 2 2 2 2 5 9" xfId="29600" xr:uid="{00000000-0005-0000-0000-00003E070000}"/>
    <cellStyle name="Comma 2 2 2 2 2 2 2 6" xfId="684" xr:uid="{00000000-0005-0000-0000-00003F070000}"/>
    <cellStyle name="Comma 2 2 2 2 2 2 2 6 10" xfId="32910" xr:uid="{00000000-0005-0000-0000-000040070000}"/>
    <cellStyle name="Comma 2 2 2 2 2 2 2 6 2" xfId="9455" xr:uid="{00000000-0005-0000-0000-000041070000}"/>
    <cellStyle name="Comma 2 2 2 2 2 2 2 6 2 2" xfId="25255" xr:uid="{00000000-0005-0000-0000-000042070000}"/>
    <cellStyle name="Comma 2 2 2 2 2 2 2 6 2 2 2" xfId="44682" xr:uid="{00000000-0005-0000-0000-000043070000}"/>
    <cellStyle name="Comma 2 2 2 2 2 2 2 6 2 2 3" xfId="38259" xr:uid="{00000000-0005-0000-0000-000044070000}"/>
    <cellStyle name="Comma 2 2 2 2 2 2 2 6 2 3" xfId="27433" xr:uid="{00000000-0005-0000-0000-000045070000}"/>
    <cellStyle name="Comma 2 2 2 2 2 2 2 6 2 3 2" xfId="41475" xr:uid="{00000000-0005-0000-0000-000046070000}"/>
    <cellStyle name="Comma 2 2 2 2 2 2 2 6 2 4" xfId="30768" xr:uid="{00000000-0005-0000-0000-000047070000}"/>
    <cellStyle name="Comma 2 2 2 2 2 2 2 6 2 5" xfId="35051" xr:uid="{00000000-0005-0000-0000-000048070000}"/>
    <cellStyle name="Comma 2 2 2 2 2 2 2 6 3" xfId="15066" xr:uid="{00000000-0005-0000-0000-000049070000}"/>
    <cellStyle name="Comma 2 2 2 2 2 2 2 6 3 2" xfId="24079" xr:uid="{00000000-0005-0000-0000-00004A070000}"/>
    <cellStyle name="Comma 2 2 2 2 2 2 2 6 3 2 2" xfId="43508" xr:uid="{00000000-0005-0000-0000-00004B070000}"/>
    <cellStyle name="Comma 2 2 2 2 2 2 2 6 3 2 3" xfId="37085" xr:uid="{00000000-0005-0000-0000-00004C070000}"/>
    <cellStyle name="Comma 2 2 2 2 2 2 2 6 3 3" xfId="28402" xr:uid="{00000000-0005-0000-0000-00004D070000}"/>
    <cellStyle name="Comma 2 2 2 2 2 2 2 6 3 3 2" xfId="40301" xr:uid="{00000000-0005-0000-0000-00004E070000}"/>
    <cellStyle name="Comma 2 2 2 2 2 2 2 6 3 4" xfId="31737" xr:uid="{00000000-0005-0000-0000-00004F070000}"/>
    <cellStyle name="Comma 2 2 2 2 2 2 2 6 3 5" xfId="33877" xr:uid="{00000000-0005-0000-0000-000050070000}"/>
    <cellStyle name="Comma 2 2 2 2 2 2 2 6 4" xfId="7882" xr:uid="{00000000-0005-0000-0000-000051070000}"/>
    <cellStyle name="Comma 2 2 2 2 2 2 2 6 4 2" xfId="42541" xr:uid="{00000000-0005-0000-0000-000052070000}"/>
    <cellStyle name="Comma 2 2 2 2 2 2 2 6 4 3" xfId="36117" xr:uid="{00000000-0005-0000-0000-000053070000}"/>
    <cellStyle name="Comma 2 2 2 2 2 2 2 6 5" xfId="20873" xr:uid="{00000000-0005-0000-0000-000054070000}"/>
    <cellStyle name="Comma 2 2 2 2 2 2 2 6 5 2" xfId="39334" xr:uid="{00000000-0005-0000-0000-000055070000}"/>
    <cellStyle name="Comma 2 2 2 2 2 2 2 6 6" xfId="21946" xr:uid="{00000000-0005-0000-0000-000056070000}"/>
    <cellStyle name="Comma 2 2 2 2 2 2 2 6 7" xfId="23112" xr:uid="{00000000-0005-0000-0000-000057070000}"/>
    <cellStyle name="Comma 2 2 2 2 2 2 2 6 8" xfId="26268" xr:uid="{00000000-0005-0000-0000-000058070000}"/>
    <cellStyle name="Comma 2 2 2 2 2 2 2 6 9" xfId="29601" xr:uid="{00000000-0005-0000-0000-000059070000}"/>
    <cellStyle name="Comma 2 2 2 2 2 2 2 7" xfId="9056" xr:uid="{00000000-0005-0000-0000-00005A070000}"/>
    <cellStyle name="Comma 2 2 2 2 2 2 2 7 2" xfId="25112" xr:uid="{00000000-0005-0000-0000-00005B070000}"/>
    <cellStyle name="Comma 2 2 2 2 2 2 2 7 2 2" xfId="44539" xr:uid="{00000000-0005-0000-0000-00005C070000}"/>
    <cellStyle name="Comma 2 2 2 2 2 2 2 7 2 3" xfId="38116" xr:uid="{00000000-0005-0000-0000-00005D070000}"/>
    <cellStyle name="Comma 2 2 2 2 2 2 2 7 3" xfId="27291" xr:uid="{00000000-0005-0000-0000-00005E070000}"/>
    <cellStyle name="Comma 2 2 2 2 2 2 2 7 3 2" xfId="41332" xr:uid="{00000000-0005-0000-0000-00005F070000}"/>
    <cellStyle name="Comma 2 2 2 2 2 2 2 7 4" xfId="30626" xr:uid="{00000000-0005-0000-0000-000060070000}"/>
    <cellStyle name="Comma 2 2 2 2 2 2 2 7 5" xfId="34908" xr:uid="{00000000-0005-0000-0000-000061070000}"/>
    <cellStyle name="Comma 2 2 2 2 2 2 2 8" xfId="15061" xr:uid="{00000000-0005-0000-0000-000062070000}"/>
    <cellStyle name="Comma 2 2 2 2 2 2 2 8 2" xfId="24074" xr:uid="{00000000-0005-0000-0000-000063070000}"/>
    <cellStyle name="Comma 2 2 2 2 2 2 2 8 2 2" xfId="43503" xr:uid="{00000000-0005-0000-0000-000064070000}"/>
    <cellStyle name="Comma 2 2 2 2 2 2 2 8 2 3" xfId="37080" xr:uid="{00000000-0005-0000-0000-000065070000}"/>
    <cellStyle name="Comma 2 2 2 2 2 2 2 8 3" xfId="28397" xr:uid="{00000000-0005-0000-0000-000066070000}"/>
    <cellStyle name="Comma 2 2 2 2 2 2 2 8 3 2" xfId="40296" xr:uid="{00000000-0005-0000-0000-000067070000}"/>
    <cellStyle name="Comma 2 2 2 2 2 2 2 8 4" xfId="31732" xr:uid="{00000000-0005-0000-0000-000068070000}"/>
    <cellStyle name="Comma 2 2 2 2 2 2 2 8 5" xfId="33872" xr:uid="{00000000-0005-0000-0000-000069070000}"/>
    <cellStyle name="Comma 2 2 2 2 2 2 2 9" xfId="7877" xr:uid="{00000000-0005-0000-0000-00006A070000}"/>
    <cellStyle name="Comma 2 2 2 2 2 2 2 9 2" xfId="42403" xr:uid="{00000000-0005-0000-0000-00006B070000}"/>
    <cellStyle name="Comma 2 2 2 2 2 2 2 9 3" xfId="35979" xr:uid="{00000000-0005-0000-0000-00006C070000}"/>
    <cellStyle name="Comma 2 2 2 2 2 2 3" xfId="685" xr:uid="{00000000-0005-0000-0000-00006D070000}"/>
    <cellStyle name="Comma 2 2 2 2 2 2 3 10" xfId="21947" xr:uid="{00000000-0005-0000-0000-00006E070000}"/>
    <cellStyle name="Comma 2 2 2 2 2 2 3 11" xfId="23113" xr:uid="{00000000-0005-0000-0000-00006F070000}"/>
    <cellStyle name="Comma 2 2 2 2 2 2 3 12" xfId="26269" xr:uid="{00000000-0005-0000-0000-000070070000}"/>
    <cellStyle name="Comma 2 2 2 2 2 2 3 13" xfId="29602" xr:uid="{00000000-0005-0000-0000-000071070000}"/>
    <cellStyle name="Comma 2 2 2 2 2 2 3 14" xfId="32911" xr:uid="{00000000-0005-0000-0000-000072070000}"/>
    <cellStyle name="Comma 2 2 2 2 2 2 3 2" xfId="686" xr:uid="{00000000-0005-0000-0000-000073070000}"/>
    <cellStyle name="Comma 2 2 2 2 2 2 3 2 10" xfId="32912" xr:uid="{00000000-0005-0000-0000-000074070000}"/>
    <cellStyle name="Comma 2 2 2 2 2 2 3 2 2" xfId="9457" xr:uid="{00000000-0005-0000-0000-000075070000}"/>
    <cellStyle name="Comma 2 2 2 2 2 2 3 2 2 2" xfId="25257" xr:uid="{00000000-0005-0000-0000-000076070000}"/>
    <cellStyle name="Comma 2 2 2 2 2 2 3 2 2 2 2" xfId="44684" xr:uid="{00000000-0005-0000-0000-000077070000}"/>
    <cellStyle name="Comma 2 2 2 2 2 2 3 2 2 2 3" xfId="38261" xr:uid="{00000000-0005-0000-0000-000078070000}"/>
    <cellStyle name="Comma 2 2 2 2 2 2 3 2 2 3" xfId="27435" xr:uid="{00000000-0005-0000-0000-000079070000}"/>
    <cellStyle name="Comma 2 2 2 2 2 2 3 2 2 3 2" xfId="41477" xr:uid="{00000000-0005-0000-0000-00007A070000}"/>
    <cellStyle name="Comma 2 2 2 2 2 2 3 2 2 4" xfId="30770" xr:uid="{00000000-0005-0000-0000-00007B070000}"/>
    <cellStyle name="Comma 2 2 2 2 2 2 3 2 2 5" xfId="35053" xr:uid="{00000000-0005-0000-0000-00007C070000}"/>
    <cellStyle name="Comma 2 2 2 2 2 2 3 2 3" xfId="15068" xr:uid="{00000000-0005-0000-0000-00007D070000}"/>
    <cellStyle name="Comma 2 2 2 2 2 2 3 2 3 2" xfId="24081" xr:uid="{00000000-0005-0000-0000-00007E070000}"/>
    <cellStyle name="Comma 2 2 2 2 2 2 3 2 3 2 2" xfId="43510" xr:uid="{00000000-0005-0000-0000-00007F070000}"/>
    <cellStyle name="Comma 2 2 2 2 2 2 3 2 3 2 3" xfId="37087" xr:uid="{00000000-0005-0000-0000-000080070000}"/>
    <cellStyle name="Comma 2 2 2 2 2 2 3 2 3 3" xfId="28404" xr:uid="{00000000-0005-0000-0000-000081070000}"/>
    <cellStyle name="Comma 2 2 2 2 2 2 3 2 3 3 2" xfId="40303" xr:uid="{00000000-0005-0000-0000-000082070000}"/>
    <cellStyle name="Comma 2 2 2 2 2 2 3 2 3 4" xfId="31739" xr:uid="{00000000-0005-0000-0000-000083070000}"/>
    <cellStyle name="Comma 2 2 2 2 2 2 3 2 3 5" xfId="33879" xr:uid="{00000000-0005-0000-0000-000084070000}"/>
    <cellStyle name="Comma 2 2 2 2 2 2 3 2 4" xfId="7884" xr:uid="{00000000-0005-0000-0000-000085070000}"/>
    <cellStyle name="Comma 2 2 2 2 2 2 3 2 4 2" xfId="42543" xr:uid="{00000000-0005-0000-0000-000086070000}"/>
    <cellStyle name="Comma 2 2 2 2 2 2 3 2 4 3" xfId="36119" xr:uid="{00000000-0005-0000-0000-000087070000}"/>
    <cellStyle name="Comma 2 2 2 2 2 2 3 2 5" xfId="20875" xr:uid="{00000000-0005-0000-0000-000088070000}"/>
    <cellStyle name="Comma 2 2 2 2 2 2 3 2 5 2" xfId="39336" xr:uid="{00000000-0005-0000-0000-000089070000}"/>
    <cellStyle name="Comma 2 2 2 2 2 2 3 2 6" xfId="21948" xr:uid="{00000000-0005-0000-0000-00008A070000}"/>
    <cellStyle name="Comma 2 2 2 2 2 2 3 2 7" xfId="23114" xr:uid="{00000000-0005-0000-0000-00008B070000}"/>
    <cellStyle name="Comma 2 2 2 2 2 2 3 2 8" xfId="26270" xr:uid="{00000000-0005-0000-0000-00008C070000}"/>
    <cellStyle name="Comma 2 2 2 2 2 2 3 2 9" xfId="29603" xr:uid="{00000000-0005-0000-0000-00008D070000}"/>
    <cellStyle name="Comma 2 2 2 2 2 2 3 3" xfId="687" xr:uid="{00000000-0005-0000-0000-00008E070000}"/>
    <cellStyle name="Comma 2 2 2 2 2 2 3 3 10" xfId="32913" xr:uid="{00000000-0005-0000-0000-00008F070000}"/>
    <cellStyle name="Comma 2 2 2 2 2 2 3 3 2" xfId="9458" xr:uid="{00000000-0005-0000-0000-000090070000}"/>
    <cellStyle name="Comma 2 2 2 2 2 2 3 3 2 2" xfId="25258" xr:uid="{00000000-0005-0000-0000-000091070000}"/>
    <cellStyle name="Comma 2 2 2 2 2 2 3 3 2 2 2" xfId="44685" xr:uid="{00000000-0005-0000-0000-000092070000}"/>
    <cellStyle name="Comma 2 2 2 2 2 2 3 3 2 2 3" xfId="38262" xr:uid="{00000000-0005-0000-0000-000093070000}"/>
    <cellStyle name="Comma 2 2 2 2 2 2 3 3 2 3" xfId="27436" xr:uid="{00000000-0005-0000-0000-000094070000}"/>
    <cellStyle name="Comma 2 2 2 2 2 2 3 3 2 3 2" xfId="41478" xr:uid="{00000000-0005-0000-0000-000095070000}"/>
    <cellStyle name="Comma 2 2 2 2 2 2 3 3 2 4" xfId="30771" xr:uid="{00000000-0005-0000-0000-000096070000}"/>
    <cellStyle name="Comma 2 2 2 2 2 2 3 3 2 5" xfId="35054" xr:uid="{00000000-0005-0000-0000-000097070000}"/>
    <cellStyle name="Comma 2 2 2 2 2 2 3 3 3" xfId="15069" xr:uid="{00000000-0005-0000-0000-000098070000}"/>
    <cellStyle name="Comma 2 2 2 2 2 2 3 3 3 2" xfId="24082" xr:uid="{00000000-0005-0000-0000-000099070000}"/>
    <cellStyle name="Comma 2 2 2 2 2 2 3 3 3 2 2" xfId="43511" xr:uid="{00000000-0005-0000-0000-00009A070000}"/>
    <cellStyle name="Comma 2 2 2 2 2 2 3 3 3 2 3" xfId="37088" xr:uid="{00000000-0005-0000-0000-00009B070000}"/>
    <cellStyle name="Comma 2 2 2 2 2 2 3 3 3 3" xfId="28405" xr:uid="{00000000-0005-0000-0000-00009C070000}"/>
    <cellStyle name="Comma 2 2 2 2 2 2 3 3 3 3 2" xfId="40304" xr:uid="{00000000-0005-0000-0000-00009D070000}"/>
    <cellStyle name="Comma 2 2 2 2 2 2 3 3 3 4" xfId="31740" xr:uid="{00000000-0005-0000-0000-00009E070000}"/>
    <cellStyle name="Comma 2 2 2 2 2 2 3 3 3 5" xfId="33880" xr:uid="{00000000-0005-0000-0000-00009F070000}"/>
    <cellStyle name="Comma 2 2 2 2 2 2 3 3 4" xfId="7885" xr:uid="{00000000-0005-0000-0000-0000A0070000}"/>
    <cellStyle name="Comma 2 2 2 2 2 2 3 3 4 2" xfId="42544" xr:uid="{00000000-0005-0000-0000-0000A1070000}"/>
    <cellStyle name="Comma 2 2 2 2 2 2 3 3 4 3" xfId="36120" xr:uid="{00000000-0005-0000-0000-0000A2070000}"/>
    <cellStyle name="Comma 2 2 2 2 2 2 3 3 5" xfId="20876" xr:uid="{00000000-0005-0000-0000-0000A3070000}"/>
    <cellStyle name="Comma 2 2 2 2 2 2 3 3 5 2" xfId="39337" xr:uid="{00000000-0005-0000-0000-0000A4070000}"/>
    <cellStyle name="Comma 2 2 2 2 2 2 3 3 6" xfId="21949" xr:uid="{00000000-0005-0000-0000-0000A5070000}"/>
    <cellStyle name="Comma 2 2 2 2 2 2 3 3 7" xfId="23115" xr:uid="{00000000-0005-0000-0000-0000A6070000}"/>
    <cellStyle name="Comma 2 2 2 2 2 2 3 3 8" xfId="26271" xr:uid="{00000000-0005-0000-0000-0000A7070000}"/>
    <cellStyle name="Comma 2 2 2 2 2 2 3 3 9" xfId="29604" xr:uid="{00000000-0005-0000-0000-0000A8070000}"/>
    <cellStyle name="Comma 2 2 2 2 2 2 3 4" xfId="688" xr:uid="{00000000-0005-0000-0000-0000A9070000}"/>
    <cellStyle name="Comma 2 2 2 2 2 2 3 4 10" xfId="32914" xr:uid="{00000000-0005-0000-0000-0000AA070000}"/>
    <cellStyle name="Comma 2 2 2 2 2 2 3 4 2" xfId="9459" xr:uid="{00000000-0005-0000-0000-0000AB070000}"/>
    <cellStyle name="Comma 2 2 2 2 2 2 3 4 2 2" xfId="25259" xr:uid="{00000000-0005-0000-0000-0000AC070000}"/>
    <cellStyle name="Comma 2 2 2 2 2 2 3 4 2 2 2" xfId="44686" xr:uid="{00000000-0005-0000-0000-0000AD070000}"/>
    <cellStyle name="Comma 2 2 2 2 2 2 3 4 2 2 3" xfId="38263" xr:uid="{00000000-0005-0000-0000-0000AE070000}"/>
    <cellStyle name="Comma 2 2 2 2 2 2 3 4 2 3" xfId="27437" xr:uid="{00000000-0005-0000-0000-0000AF070000}"/>
    <cellStyle name="Comma 2 2 2 2 2 2 3 4 2 3 2" xfId="41479" xr:uid="{00000000-0005-0000-0000-0000B0070000}"/>
    <cellStyle name="Comma 2 2 2 2 2 2 3 4 2 4" xfId="30772" xr:uid="{00000000-0005-0000-0000-0000B1070000}"/>
    <cellStyle name="Comma 2 2 2 2 2 2 3 4 2 5" xfId="35055" xr:uid="{00000000-0005-0000-0000-0000B2070000}"/>
    <cellStyle name="Comma 2 2 2 2 2 2 3 4 3" xfId="15070" xr:uid="{00000000-0005-0000-0000-0000B3070000}"/>
    <cellStyle name="Comma 2 2 2 2 2 2 3 4 3 2" xfId="24083" xr:uid="{00000000-0005-0000-0000-0000B4070000}"/>
    <cellStyle name="Comma 2 2 2 2 2 2 3 4 3 2 2" xfId="43512" xr:uid="{00000000-0005-0000-0000-0000B5070000}"/>
    <cellStyle name="Comma 2 2 2 2 2 2 3 4 3 2 3" xfId="37089" xr:uid="{00000000-0005-0000-0000-0000B6070000}"/>
    <cellStyle name="Comma 2 2 2 2 2 2 3 4 3 3" xfId="28406" xr:uid="{00000000-0005-0000-0000-0000B7070000}"/>
    <cellStyle name="Comma 2 2 2 2 2 2 3 4 3 3 2" xfId="40305" xr:uid="{00000000-0005-0000-0000-0000B8070000}"/>
    <cellStyle name="Comma 2 2 2 2 2 2 3 4 3 4" xfId="31741" xr:uid="{00000000-0005-0000-0000-0000B9070000}"/>
    <cellStyle name="Comma 2 2 2 2 2 2 3 4 3 5" xfId="33881" xr:uid="{00000000-0005-0000-0000-0000BA070000}"/>
    <cellStyle name="Comma 2 2 2 2 2 2 3 4 4" xfId="7886" xr:uid="{00000000-0005-0000-0000-0000BB070000}"/>
    <cellStyle name="Comma 2 2 2 2 2 2 3 4 4 2" xfId="42545" xr:uid="{00000000-0005-0000-0000-0000BC070000}"/>
    <cellStyle name="Comma 2 2 2 2 2 2 3 4 4 3" xfId="36121" xr:uid="{00000000-0005-0000-0000-0000BD070000}"/>
    <cellStyle name="Comma 2 2 2 2 2 2 3 4 5" xfId="20877" xr:uid="{00000000-0005-0000-0000-0000BE070000}"/>
    <cellStyle name="Comma 2 2 2 2 2 2 3 4 5 2" xfId="39338" xr:uid="{00000000-0005-0000-0000-0000BF070000}"/>
    <cellStyle name="Comma 2 2 2 2 2 2 3 4 6" xfId="21950" xr:uid="{00000000-0005-0000-0000-0000C0070000}"/>
    <cellStyle name="Comma 2 2 2 2 2 2 3 4 7" xfId="23116" xr:uid="{00000000-0005-0000-0000-0000C1070000}"/>
    <cellStyle name="Comma 2 2 2 2 2 2 3 4 8" xfId="26272" xr:uid="{00000000-0005-0000-0000-0000C2070000}"/>
    <cellStyle name="Comma 2 2 2 2 2 2 3 4 9" xfId="29605" xr:uid="{00000000-0005-0000-0000-0000C3070000}"/>
    <cellStyle name="Comma 2 2 2 2 2 2 3 5" xfId="689" xr:uid="{00000000-0005-0000-0000-0000C4070000}"/>
    <cellStyle name="Comma 2 2 2 2 2 2 3 5 10" xfId="32915" xr:uid="{00000000-0005-0000-0000-0000C5070000}"/>
    <cellStyle name="Comma 2 2 2 2 2 2 3 5 2" xfId="9460" xr:uid="{00000000-0005-0000-0000-0000C6070000}"/>
    <cellStyle name="Comma 2 2 2 2 2 2 3 5 2 2" xfId="25260" xr:uid="{00000000-0005-0000-0000-0000C7070000}"/>
    <cellStyle name="Comma 2 2 2 2 2 2 3 5 2 2 2" xfId="44687" xr:uid="{00000000-0005-0000-0000-0000C8070000}"/>
    <cellStyle name="Comma 2 2 2 2 2 2 3 5 2 2 3" xfId="38264" xr:uid="{00000000-0005-0000-0000-0000C9070000}"/>
    <cellStyle name="Comma 2 2 2 2 2 2 3 5 2 3" xfId="27438" xr:uid="{00000000-0005-0000-0000-0000CA070000}"/>
    <cellStyle name="Comma 2 2 2 2 2 2 3 5 2 3 2" xfId="41480" xr:uid="{00000000-0005-0000-0000-0000CB070000}"/>
    <cellStyle name="Comma 2 2 2 2 2 2 3 5 2 4" xfId="30773" xr:uid="{00000000-0005-0000-0000-0000CC070000}"/>
    <cellStyle name="Comma 2 2 2 2 2 2 3 5 2 5" xfId="35056" xr:uid="{00000000-0005-0000-0000-0000CD070000}"/>
    <cellStyle name="Comma 2 2 2 2 2 2 3 5 3" xfId="15071" xr:uid="{00000000-0005-0000-0000-0000CE070000}"/>
    <cellStyle name="Comma 2 2 2 2 2 2 3 5 3 2" xfId="24084" xr:uid="{00000000-0005-0000-0000-0000CF070000}"/>
    <cellStyle name="Comma 2 2 2 2 2 2 3 5 3 2 2" xfId="43513" xr:uid="{00000000-0005-0000-0000-0000D0070000}"/>
    <cellStyle name="Comma 2 2 2 2 2 2 3 5 3 2 3" xfId="37090" xr:uid="{00000000-0005-0000-0000-0000D1070000}"/>
    <cellStyle name="Comma 2 2 2 2 2 2 3 5 3 3" xfId="28407" xr:uid="{00000000-0005-0000-0000-0000D2070000}"/>
    <cellStyle name="Comma 2 2 2 2 2 2 3 5 3 3 2" xfId="40306" xr:uid="{00000000-0005-0000-0000-0000D3070000}"/>
    <cellStyle name="Comma 2 2 2 2 2 2 3 5 3 4" xfId="31742" xr:uid="{00000000-0005-0000-0000-0000D4070000}"/>
    <cellStyle name="Comma 2 2 2 2 2 2 3 5 3 5" xfId="33882" xr:uid="{00000000-0005-0000-0000-0000D5070000}"/>
    <cellStyle name="Comma 2 2 2 2 2 2 3 5 4" xfId="7887" xr:uid="{00000000-0005-0000-0000-0000D6070000}"/>
    <cellStyle name="Comma 2 2 2 2 2 2 3 5 4 2" xfId="42546" xr:uid="{00000000-0005-0000-0000-0000D7070000}"/>
    <cellStyle name="Comma 2 2 2 2 2 2 3 5 4 3" xfId="36122" xr:uid="{00000000-0005-0000-0000-0000D8070000}"/>
    <cellStyle name="Comma 2 2 2 2 2 2 3 5 5" xfId="20878" xr:uid="{00000000-0005-0000-0000-0000D9070000}"/>
    <cellStyle name="Comma 2 2 2 2 2 2 3 5 5 2" xfId="39339" xr:uid="{00000000-0005-0000-0000-0000DA070000}"/>
    <cellStyle name="Comma 2 2 2 2 2 2 3 5 6" xfId="21951" xr:uid="{00000000-0005-0000-0000-0000DB070000}"/>
    <cellStyle name="Comma 2 2 2 2 2 2 3 5 7" xfId="23117" xr:uid="{00000000-0005-0000-0000-0000DC070000}"/>
    <cellStyle name="Comma 2 2 2 2 2 2 3 5 8" xfId="26273" xr:uid="{00000000-0005-0000-0000-0000DD070000}"/>
    <cellStyle name="Comma 2 2 2 2 2 2 3 5 9" xfId="29606" xr:uid="{00000000-0005-0000-0000-0000DE070000}"/>
    <cellStyle name="Comma 2 2 2 2 2 2 3 6" xfId="9456" xr:uid="{00000000-0005-0000-0000-0000DF070000}"/>
    <cellStyle name="Comma 2 2 2 2 2 2 3 6 2" xfId="25256" xr:uid="{00000000-0005-0000-0000-0000E0070000}"/>
    <cellStyle name="Comma 2 2 2 2 2 2 3 6 2 2" xfId="44683" xr:uid="{00000000-0005-0000-0000-0000E1070000}"/>
    <cellStyle name="Comma 2 2 2 2 2 2 3 6 2 3" xfId="38260" xr:uid="{00000000-0005-0000-0000-0000E2070000}"/>
    <cellStyle name="Comma 2 2 2 2 2 2 3 6 3" xfId="27434" xr:uid="{00000000-0005-0000-0000-0000E3070000}"/>
    <cellStyle name="Comma 2 2 2 2 2 2 3 6 3 2" xfId="41476" xr:uid="{00000000-0005-0000-0000-0000E4070000}"/>
    <cellStyle name="Comma 2 2 2 2 2 2 3 6 4" xfId="30769" xr:uid="{00000000-0005-0000-0000-0000E5070000}"/>
    <cellStyle name="Comma 2 2 2 2 2 2 3 6 5" xfId="35052" xr:uid="{00000000-0005-0000-0000-0000E6070000}"/>
    <cellStyle name="Comma 2 2 2 2 2 2 3 7" xfId="15067" xr:uid="{00000000-0005-0000-0000-0000E7070000}"/>
    <cellStyle name="Comma 2 2 2 2 2 2 3 7 2" xfId="24080" xr:uid="{00000000-0005-0000-0000-0000E8070000}"/>
    <cellStyle name="Comma 2 2 2 2 2 2 3 7 2 2" xfId="43509" xr:uid="{00000000-0005-0000-0000-0000E9070000}"/>
    <cellStyle name="Comma 2 2 2 2 2 2 3 7 2 3" xfId="37086" xr:uid="{00000000-0005-0000-0000-0000EA070000}"/>
    <cellStyle name="Comma 2 2 2 2 2 2 3 7 3" xfId="28403" xr:uid="{00000000-0005-0000-0000-0000EB070000}"/>
    <cellStyle name="Comma 2 2 2 2 2 2 3 7 3 2" xfId="40302" xr:uid="{00000000-0005-0000-0000-0000EC070000}"/>
    <cellStyle name="Comma 2 2 2 2 2 2 3 7 4" xfId="31738" xr:uid="{00000000-0005-0000-0000-0000ED070000}"/>
    <cellStyle name="Comma 2 2 2 2 2 2 3 7 5" xfId="33878" xr:uid="{00000000-0005-0000-0000-0000EE070000}"/>
    <cellStyle name="Comma 2 2 2 2 2 2 3 8" xfId="7883" xr:uid="{00000000-0005-0000-0000-0000EF070000}"/>
    <cellStyle name="Comma 2 2 2 2 2 2 3 8 2" xfId="42542" xr:uid="{00000000-0005-0000-0000-0000F0070000}"/>
    <cellStyle name="Comma 2 2 2 2 2 2 3 8 3" xfId="36118" xr:uid="{00000000-0005-0000-0000-0000F1070000}"/>
    <cellStyle name="Comma 2 2 2 2 2 2 3 9" xfId="20874" xr:uid="{00000000-0005-0000-0000-0000F2070000}"/>
    <cellStyle name="Comma 2 2 2 2 2 2 3 9 2" xfId="39335" xr:uid="{00000000-0005-0000-0000-0000F3070000}"/>
    <cellStyle name="Comma 2 2 2 2 2 2 4" xfId="690" xr:uid="{00000000-0005-0000-0000-0000F4070000}"/>
    <cellStyle name="Comma 2 2 2 2 2 2 4 10" xfId="32916" xr:uid="{00000000-0005-0000-0000-0000F5070000}"/>
    <cellStyle name="Comma 2 2 2 2 2 2 4 2" xfId="9461" xr:uid="{00000000-0005-0000-0000-0000F6070000}"/>
    <cellStyle name="Comma 2 2 2 2 2 2 4 2 2" xfId="25261" xr:uid="{00000000-0005-0000-0000-0000F7070000}"/>
    <cellStyle name="Comma 2 2 2 2 2 2 4 2 2 2" xfId="44688" xr:uid="{00000000-0005-0000-0000-0000F8070000}"/>
    <cellStyle name="Comma 2 2 2 2 2 2 4 2 2 3" xfId="38265" xr:uid="{00000000-0005-0000-0000-0000F9070000}"/>
    <cellStyle name="Comma 2 2 2 2 2 2 4 2 3" xfId="27439" xr:uid="{00000000-0005-0000-0000-0000FA070000}"/>
    <cellStyle name="Comma 2 2 2 2 2 2 4 2 3 2" xfId="41481" xr:uid="{00000000-0005-0000-0000-0000FB070000}"/>
    <cellStyle name="Comma 2 2 2 2 2 2 4 2 4" xfId="30774" xr:uid="{00000000-0005-0000-0000-0000FC070000}"/>
    <cellStyle name="Comma 2 2 2 2 2 2 4 2 5" xfId="35057" xr:uid="{00000000-0005-0000-0000-0000FD070000}"/>
    <cellStyle name="Comma 2 2 2 2 2 2 4 3" xfId="15072" xr:uid="{00000000-0005-0000-0000-0000FE070000}"/>
    <cellStyle name="Comma 2 2 2 2 2 2 4 3 2" xfId="24085" xr:uid="{00000000-0005-0000-0000-0000FF070000}"/>
    <cellStyle name="Comma 2 2 2 2 2 2 4 3 2 2" xfId="43514" xr:uid="{00000000-0005-0000-0000-000000080000}"/>
    <cellStyle name="Comma 2 2 2 2 2 2 4 3 2 3" xfId="37091" xr:uid="{00000000-0005-0000-0000-000001080000}"/>
    <cellStyle name="Comma 2 2 2 2 2 2 4 3 3" xfId="28408" xr:uid="{00000000-0005-0000-0000-000002080000}"/>
    <cellStyle name="Comma 2 2 2 2 2 2 4 3 3 2" xfId="40307" xr:uid="{00000000-0005-0000-0000-000003080000}"/>
    <cellStyle name="Comma 2 2 2 2 2 2 4 3 4" xfId="31743" xr:uid="{00000000-0005-0000-0000-000004080000}"/>
    <cellStyle name="Comma 2 2 2 2 2 2 4 3 5" xfId="33883" xr:uid="{00000000-0005-0000-0000-000005080000}"/>
    <cellStyle name="Comma 2 2 2 2 2 2 4 4" xfId="7888" xr:uid="{00000000-0005-0000-0000-000006080000}"/>
    <cellStyle name="Comma 2 2 2 2 2 2 4 4 2" xfId="42547" xr:uid="{00000000-0005-0000-0000-000007080000}"/>
    <cellStyle name="Comma 2 2 2 2 2 2 4 4 3" xfId="36123" xr:uid="{00000000-0005-0000-0000-000008080000}"/>
    <cellStyle name="Comma 2 2 2 2 2 2 4 5" xfId="20879" xr:uid="{00000000-0005-0000-0000-000009080000}"/>
    <cellStyle name="Comma 2 2 2 2 2 2 4 5 2" xfId="39340" xr:uid="{00000000-0005-0000-0000-00000A080000}"/>
    <cellStyle name="Comma 2 2 2 2 2 2 4 6" xfId="21952" xr:uid="{00000000-0005-0000-0000-00000B080000}"/>
    <cellStyle name="Comma 2 2 2 2 2 2 4 7" xfId="23118" xr:uid="{00000000-0005-0000-0000-00000C080000}"/>
    <cellStyle name="Comma 2 2 2 2 2 2 4 8" xfId="26274" xr:uid="{00000000-0005-0000-0000-00000D080000}"/>
    <cellStyle name="Comma 2 2 2 2 2 2 4 9" xfId="29607" xr:uid="{00000000-0005-0000-0000-00000E080000}"/>
    <cellStyle name="Comma 2 2 2 2 2 2 5" xfId="691" xr:uid="{00000000-0005-0000-0000-00000F080000}"/>
    <cellStyle name="Comma 2 2 2 2 2 2 5 10" xfId="32917" xr:uid="{00000000-0005-0000-0000-000010080000}"/>
    <cellStyle name="Comma 2 2 2 2 2 2 5 2" xfId="9462" xr:uid="{00000000-0005-0000-0000-000011080000}"/>
    <cellStyle name="Comma 2 2 2 2 2 2 5 2 2" xfId="25262" xr:uid="{00000000-0005-0000-0000-000012080000}"/>
    <cellStyle name="Comma 2 2 2 2 2 2 5 2 2 2" xfId="44689" xr:uid="{00000000-0005-0000-0000-000013080000}"/>
    <cellStyle name="Comma 2 2 2 2 2 2 5 2 2 3" xfId="38266" xr:uid="{00000000-0005-0000-0000-000014080000}"/>
    <cellStyle name="Comma 2 2 2 2 2 2 5 2 3" xfId="27440" xr:uid="{00000000-0005-0000-0000-000015080000}"/>
    <cellStyle name="Comma 2 2 2 2 2 2 5 2 3 2" xfId="41482" xr:uid="{00000000-0005-0000-0000-000016080000}"/>
    <cellStyle name="Comma 2 2 2 2 2 2 5 2 4" xfId="30775" xr:uid="{00000000-0005-0000-0000-000017080000}"/>
    <cellStyle name="Comma 2 2 2 2 2 2 5 2 5" xfId="35058" xr:uid="{00000000-0005-0000-0000-000018080000}"/>
    <cellStyle name="Comma 2 2 2 2 2 2 5 3" xfId="15073" xr:uid="{00000000-0005-0000-0000-000019080000}"/>
    <cellStyle name="Comma 2 2 2 2 2 2 5 3 2" xfId="24086" xr:uid="{00000000-0005-0000-0000-00001A080000}"/>
    <cellStyle name="Comma 2 2 2 2 2 2 5 3 2 2" xfId="43515" xr:uid="{00000000-0005-0000-0000-00001B080000}"/>
    <cellStyle name="Comma 2 2 2 2 2 2 5 3 2 3" xfId="37092" xr:uid="{00000000-0005-0000-0000-00001C080000}"/>
    <cellStyle name="Comma 2 2 2 2 2 2 5 3 3" xfId="28409" xr:uid="{00000000-0005-0000-0000-00001D080000}"/>
    <cellStyle name="Comma 2 2 2 2 2 2 5 3 3 2" xfId="40308" xr:uid="{00000000-0005-0000-0000-00001E080000}"/>
    <cellStyle name="Comma 2 2 2 2 2 2 5 3 4" xfId="31744" xr:uid="{00000000-0005-0000-0000-00001F080000}"/>
    <cellStyle name="Comma 2 2 2 2 2 2 5 3 5" xfId="33884" xr:uid="{00000000-0005-0000-0000-000020080000}"/>
    <cellStyle name="Comma 2 2 2 2 2 2 5 4" xfId="7889" xr:uid="{00000000-0005-0000-0000-000021080000}"/>
    <cellStyle name="Comma 2 2 2 2 2 2 5 4 2" xfId="42548" xr:uid="{00000000-0005-0000-0000-000022080000}"/>
    <cellStyle name="Comma 2 2 2 2 2 2 5 4 3" xfId="36124" xr:uid="{00000000-0005-0000-0000-000023080000}"/>
    <cellStyle name="Comma 2 2 2 2 2 2 5 5" xfId="20880" xr:uid="{00000000-0005-0000-0000-000024080000}"/>
    <cellStyle name="Comma 2 2 2 2 2 2 5 5 2" xfId="39341" xr:uid="{00000000-0005-0000-0000-000025080000}"/>
    <cellStyle name="Comma 2 2 2 2 2 2 5 6" xfId="21953" xr:uid="{00000000-0005-0000-0000-000026080000}"/>
    <cellStyle name="Comma 2 2 2 2 2 2 5 7" xfId="23119" xr:uid="{00000000-0005-0000-0000-000027080000}"/>
    <cellStyle name="Comma 2 2 2 2 2 2 5 8" xfId="26275" xr:uid="{00000000-0005-0000-0000-000028080000}"/>
    <cellStyle name="Comma 2 2 2 2 2 2 5 9" xfId="29608" xr:uid="{00000000-0005-0000-0000-000029080000}"/>
    <cellStyle name="Comma 2 2 2 2 2 2 6" xfId="692" xr:uid="{00000000-0005-0000-0000-00002A080000}"/>
    <cellStyle name="Comma 2 2 2 2 2 2 6 10" xfId="32918" xr:uid="{00000000-0005-0000-0000-00002B080000}"/>
    <cellStyle name="Comma 2 2 2 2 2 2 6 2" xfId="9463" xr:uid="{00000000-0005-0000-0000-00002C080000}"/>
    <cellStyle name="Comma 2 2 2 2 2 2 6 2 2" xfId="25263" xr:uid="{00000000-0005-0000-0000-00002D080000}"/>
    <cellStyle name="Comma 2 2 2 2 2 2 6 2 2 2" xfId="44690" xr:uid="{00000000-0005-0000-0000-00002E080000}"/>
    <cellStyle name="Comma 2 2 2 2 2 2 6 2 2 3" xfId="38267" xr:uid="{00000000-0005-0000-0000-00002F080000}"/>
    <cellStyle name="Comma 2 2 2 2 2 2 6 2 3" xfId="27441" xr:uid="{00000000-0005-0000-0000-000030080000}"/>
    <cellStyle name="Comma 2 2 2 2 2 2 6 2 3 2" xfId="41483" xr:uid="{00000000-0005-0000-0000-000031080000}"/>
    <cellStyle name="Comma 2 2 2 2 2 2 6 2 4" xfId="30776" xr:uid="{00000000-0005-0000-0000-000032080000}"/>
    <cellStyle name="Comma 2 2 2 2 2 2 6 2 5" xfId="35059" xr:uid="{00000000-0005-0000-0000-000033080000}"/>
    <cellStyle name="Comma 2 2 2 2 2 2 6 3" xfId="15074" xr:uid="{00000000-0005-0000-0000-000034080000}"/>
    <cellStyle name="Comma 2 2 2 2 2 2 6 3 2" xfId="24087" xr:uid="{00000000-0005-0000-0000-000035080000}"/>
    <cellStyle name="Comma 2 2 2 2 2 2 6 3 2 2" xfId="43516" xr:uid="{00000000-0005-0000-0000-000036080000}"/>
    <cellStyle name="Comma 2 2 2 2 2 2 6 3 2 3" xfId="37093" xr:uid="{00000000-0005-0000-0000-000037080000}"/>
    <cellStyle name="Comma 2 2 2 2 2 2 6 3 3" xfId="28410" xr:uid="{00000000-0005-0000-0000-000038080000}"/>
    <cellStyle name="Comma 2 2 2 2 2 2 6 3 3 2" xfId="40309" xr:uid="{00000000-0005-0000-0000-000039080000}"/>
    <cellStyle name="Comma 2 2 2 2 2 2 6 3 4" xfId="31745" xr:uid="{00000000-0005-0000-0000-00003A080000}"/>
    <cellStyle name="Comma 2 2 2 2 2 2 6 3 5" xfId="33885" xr:uid="{00000000-0005-0000-0000-00003B080000}"/>
    <cellStyle name="Comma 2 2 2 2 2 2 6 4" xfId="7890" xr:uid="{00000000-0005-0000-0000-00003C080000}"/>
    <cellStyle name="Comma 2 2 2 2 2 2 6 4 2" xfId="42549" xr:uid="{00000000-0005-0000-0000-00003D080000}"/>
    <cellStyle name="Comma 2 2 2 2 2 2 6 4 3" xfId="36125" xr:uid="{00000000-0005-0000-0000-00003E080000}"/>
    <cellStyle name="Comma 2 2 2 2 2 2 6 5" xfId="20881" xr:uid="{00000000-0005-0000-0000-00003F080000}"/>
    <cellStyle name="Comma 2 2 2 2 2 2 6 5 2" xfId="39342" xr:uid="{00000000-0005-0000-0000-000040080000}"/>
    <cellStyle name="Comma 2 2 2 2 2 2 6 6" xfId="21954" xr:uid="{00000000-0005-0000-0000-000041080000}"/>
    <cellStyle name="Comma 2 2 2 2 2 2 6 7" xfId="23120" xr:uid="{00000000-0005-0000-0000-000042080000}"/>
    <cellStyle name="Comma 2 2 2 2 2 2 6 8" xfId="26276" xr:uid="{00000000-0005-0000-0000-000043080000}"/>
    <cellStyle name="Comma 2 2 2 2 2 2 6 9" xfId="29609" xr:uid="{00000000-0005-0000-0000-000044080000}"/>
    <cellStyle name="Comma 2 2 2 2 2 2 7" xfId="693" xr:uid="{00000000-0005-0000-0000-000045080000}"/>
    <cellStyle name="Comma 2 2 2 2 2 2 7 10" xfId="32919" xr:uid="{00000000-0005-0000-0000-000046080000}"/>
    <cellStyle name="Comma 2 2 2 2 2 2 7 2" xfId="9464" xr:uid="{00000000-0005-0000-0000-000047080000}"/>
    <cellStyle name="Comma 2 2 2 2 2 2 7 2 2" xfId="25264" xr:uid="{00000000-0005-0000-0000-000048080000}"/>
    <cellStyle name="Comma 2 2 2 2 2 2 7 2 2 2" xfId="44691" xr:uid="{00000000-0005-0000-0000-000049080000}"/>
    <cellStyle name="Comma 2 2 2 2 2 2 7 2 2 3" xfId="38268" xr:uid="{00000000-0005-0000-0000-00004A080000}"/>
    <cellStyle name="Comma 2 2 2 2 2 2 7 2 3" xfId="27442" xr:uid="{00000000-0005-0000-0000-00004B080000}"/>
    <cellStyle name="Comma 2 2 2 2 2 2 7 2 3 2" xfId="41484" xr:uid="{00000000-0005-0000-0000-00004C080000}"/>
    <cellStyle name="Comma 2 2 2 2 2 2 7 2 4" xfId="30777" xr:uid="{00000000-0005-0000-0000-00004D080000}"/>
    <cellStyle name="Comma 2 2 2 2 2 2 7 2 5" xfId="35060" xr:uid="{00000000-0005-0000-0000-00004E080000}"/>
    <cellStyle name="Comma 2 2 2 2 2 2 7 3" xfId="15075" xr:uid="{00000000-0005-0000-0000-00004F080000}"/>
    <cellStyle name="Comma 2 2 2 2 2 2 7 3 2" xfId="24088" xr:uid="{00000000-0005-0000-0000-000050080000}"/>
    <cellStyle name="Comma 2 2 2 2 2 2 7 3 2 2" xfId="43517" xr:uid="{00000000-0005-0000-0000-000051080000}"/>
    <cellStyle name="Comma 2 2 2 2 2 2 7 3 2 3" xfId="37094" xr:uid="{00000000-0005-0000-0000-000052080000}"/>
    <cellStyle name="Comma 2 2 2 2 2 2 7 3 3" xfId="28411" xr:uid="{00000000-0005-0000-0000-000053080000}"/>
    <cellStyle name="Comma 2 2 2 2 2 2 7 3 3 2" xfId="40310" xr:uid="{00000000-0005-0000-0000-000054080000}"/>
    <cellStyle name="Comma 2 2 2 2 2 2 7 3 4" xfId="31746" xr:uid="{00000000-0005-0000-0000-000055080000}"/>
    <cellStyle name="Comma 2 2 2 2 2 2 7 3 5" xfId="33886" xr:uid="{00000000-0005-0000-0000-000056080000}"/>
    <cellStyle name="Comma 2 2 2 2 2 2 7 4" xfId="7891" xr:uid="{00000000-0005-0000-0000-000057080000}"/>
    <cellStyle name="Comma 2 2 2 2 2 2 7 4 2" xfId="42550" xr:uid="{00000000-0005-0000-0000-000058080000}"/>
    <cellStyle name="Comma 2 2 2 2 2 2 7 4 3" xfId="36126" xr:uid="{00000000-0005-0000-0000-000059080000}"/>
    <cellStyle name="Comma 2 2 2 2 2 2 7 5" xfId="20882" xr:uid="{00000000-0005-0000-0000-00005A080000}"/>
    <cellStyle name="Comma 2 2 2 2 2 2 7 5 2" xfId="39343" xr:uid="{00000000-0005-0000-0000-00005B080000}"/>
    <cellStyle name="Comma 2 2 2 2 2 2 7 6" xfId="21955" xr:uid="{00000000-0005-0000-0000-00005C080000}"/>
    <cellStyle name="Comma 2 2 2 2 2 2 7 7" xfId="23121" xr:uid="{00000000-0005-0000-0000-00005D080000}"/>
    <cellStyle name="Comma 2 2 2 2 2 2 7 8" xfId="26277" xr:uid="{00000000-0005-0000-0000-00005E080000}"/>
    <cellStyle name="Comma 2 2 2 2 2 2 7 9" xfId="29610" xr:uid="{00000000-0005-0000-0000-00005F080000}"/>
    <cellStyle name="Comma 2 2 2 2 2 2 8" xfId="694" xr:uid="{00000000-0005-0000-0000-000060080000}"/>
    <cellStyle name="Comma 2 2 2 2 2 2 8 10" xfId="32920" xr:uid="{00000000-0005-0000-0000-000061080000}"/>
    <cellStyle name="Comma 2 2 2 2 2 2 8 2" xfId="9465" xr:uid="{00000000-0005-0000-0000-000062080000}"/>
    <cellStyle name="Comma 2 2 2 2 2 2 8 2 2" xfId="25265" xr:uid="{00000000-0005-0000-0000-000063080000}"/>
    <cellStyle name="Comma 2 2 2 2 2 2 8 2 2 2" xfId="44692" xr:uid="{00000000-0005-0000-0000-000064080000}"/>
    <cellStyle name="Comma 2 2 2 2 2 2 8 2 2 3" xfId="38269" xr:uid="{00000000-0005-0000-0000-000065080000}"/>
    <cellStyle name="Comma 2 2 2 2 2 2 8 2 3" xfId="27443" xr:uid="{00000000-0005-0000-0000-000066080000}"/>
    <cellStyle name="Comma 2 2 2 2 2 2 8 2 3 2" xfId="41485" xr:uid="{00000000-0005-0000-0000-000067080000}"/>
    <cellStyle name="Comma 2 2 2 2 2 2 8 2 4" xfId="30778" xr:uid="{00000000-0005-0000-0000-000068080000}"/>
    <cellStyle name="Comma 2 2 2 2 2 2 8 2 5" xfId="35061" xr:uid="{00000000-0005-0000-0000-000069080000}"/>
    <cellStyle name="Comma 2 2 2 2 2 2 8 3" xfId="15076" xr:uid="{00000000-0005-0000-0000-00006A080000}"/>
    <cellStyle name="Comma 2 2 2 2 2 2 8 3 2" xfId="24089" xr:uid="{00000000-0005-0000-0000-00006B080000}"/>
    <cellStyle name="Comma 2 2 2 2 2 2 8 3 2 2" xfId="43518" xr:uid="{00000000-0005-0000-0000-00006C080000}"/>
    <cellStyle name="Comma 2 2 2 2 2 2 8 3 2 3" xfId="37095" xr:uid="{00000000-0005-0000-0000-00006D080000}"/>
    <cellStyle name="Comma 2 2 2 2 2 2 8 3 3" xfId="28412" xr:uid="{00000000-0005-0000-0000-00006E080000}"/>
    <cellStyle name="Comma 2 2 2 2 2 2 8 3 3 2" xfId="40311" xr:uid="{00000000-0005-0000-0000-00006F080000}"/>
    <cellStyle name="Comma 2 2 2 2 2 2 8 3 4" xfId="31747" xr:uid="{00000000-0005-0000-0000-000070080000}"/>
    <cellStyle name="Comma 2 2 2 2 2 2 8 3 5" xfId="33887" xr:uid="{00000000-0005-0000-0000-000071080000}"/>
    <cellStyle name="Comma 2 2 2 2 2 2 8 4" xfId="7892" xr:uid="{00000000-0005-0000-0000-000072080000}"/>
    <cellStyle name="Comma 2 2 2 2 2 2 8 4 2" xfId="42551" xr:uid="{00000000-0005-0000-0000-000073080000}"/>
    <cellStyle name="Comma 2 2 2 2 2 2 8 4 3" xfId="36127" xr:uid="{00000000-0005-0000-0000-000074080000}"/>
    <cellStyle name="Comma 2 2 2 2 2 2 8 5" xfId="20883" xr:uid="{00000000-0005-0000-0000-000075080000}"/>
    <cellStyle name="Comma 2 2 2 2 2 2 8 5 2" xfId="39344" xr:uid="{00000000-0005-0000-0000-000076080000}"/>
    <cellStyle name="Comma 2 2 2 2 2 2 8 6" xfId="21956" xr:uid="{00000000-0005-0000-0000-000077080000}"/>
    <cellStyle name="Comma 2 2 2 2 2 2 8 7" xfId="23122" xr:uid="{00000000-0005-0000-0000-000078080000}"/>
    <cellStyle name="Comma 2 2 2 2 2 2 8 8" xfId="26278" xr:uid="{00000000-0005-0000-0000-000079080000}"/>
    <cellStyle name="Comma 2 2 2 2 2 2 8 9" xfId="29611" xr:uid="{00000000-0005-0000-0000-00007A080000}"/>
    <cellStyle name="Comma 2 2 2 2 2 2 9" xfId="9081" xr:uid="{00000000-0005-0000-0000-00007B080000}"/>
    <cellStyle name="Comma 2 2 2 2 2 2 9 2" xfId="25136" xr:uid="{00000000-0005-0000-0000-00007C080000}"/>
    <cellStyle name="Comma 2 2 2 2 2 2 9 2 2" xfId="44563" xr:uid="{00000000-0005-0000-0000-00007D080000}"/>
    <cellStyle name="Comma 2 2 2 2 2 2 9 2 3" xfId="38140" xr:uid="{00000000-0005-0000-0000-00007E080000}"/>
    <cellStyle name="Comma 2 2 2 2 2 2 9 3" xfId="27315" xr:uid="{00000000-0005-0000-0000-00007F080000}"/>
    <cellStyle name="Comma 2 2 2 2 2 2 9 3 2" xfId="41356" xr:uid="{00000000-0005-0000-0000-000080080000}"/>
    <cellStyle name="Comma 2 2 2 2 2 2 9 4" xfId="30650" xr:uid="{00000000-0005-0000-0000-000081080000}"/>
    <cellStyle name="Comma 2 2 2 2 2 2 9 5" xfId="34932" xr:uid="{00000000-0005-0000-0000-000082080000}"/>
    <cellStyle name="Comma 2 2 2 2 2 3" xfId="242" xr:uid="{00000000-0005-0000-0000-000083080000}"/>
    <cellStyle name="Comma 2 2 2 2 2 3 10" xfId="20884" xr:uid="{00000000-0005-0000-0000-000084080000}"/>
    <cellStyle name="Comma 2 2 2 2 2 3 10 2" xfId="39242" xr:uid="{00000000-0005-0000-0000-000085080000}"/>
    <cellStyle name="Comma 2 2 2 2 2 3 11" xfId="21957" xr:uid="{00000000-0005-0000-0000-000086080000}"/>
    <cellStyle name="Comma 2 2 2 2 2 3 12" xfId="23020" xr:uid="{00000000-0005-0000-0000-000087080000}"/>
    <cellStyle name="Comma 2 2 2 2 2 3 13" xfId="26279" xr:uid="{00000000-0005-0000-0000-000088080000}"/>
    <cellStyle name="Comma 2 2 2 2 2 3 14" xfId="29612" xr:uid="{00000000-0005-0000-0000-000089080000}"/>
    <cellStyle name="Comma 2 2 2 2 2 3 15" xfId="32818" xr:uid="{00000000-0005-0000-0000-00008A080000}"/>
    <cellStyle name="Comma 2 2 2 2 2 3 2" xfId="695" xr:uid="{00000000-0005-0000-0000-00008B080000}"/>
    <cellStyle name="Comma 2 2 2 2 2 3 2 10" xfId="32921" xr:uid="{00000000-0005-0000-0000-00008C080000}"/>
    <cellStyle name="Comma 2 2 2 2 2 3 2 2" xfId="9466" xr:uid="{00000000-0005-0000-0000-00008D080000}"/>
    <cellStyle name="Comma 2 2 2 2 2 3 2 2 2" xfId="25266" xr:uid="{00000000-0005-0000-0000-00008E080000}"/>
    <cellStyle name="Comma 2 2 2 2 2 3 2 2 2 2" xfId="44693" xr:uid="{00000000-0005-0000-0000-00008F080000}"/>
    <cellStyle name="Comma 2 2 2 2 2 3 2 2 2 3" xfId="38270" xr:uid="{00000000-0005-0000-0000-000090080000}"/>
    <cellStyle name="Comma 2 2 2 2 2 3 2 2 3" xfId="27444" xr:uid="{00000000-0005-0000-0000-000091080000}"/>
    <cellStyle name="Comma 2 2 2 2 2 3 2 2 3 2" xfId="41486" xr:uid="{00000000-0005-0000-0000-000092080000}"/>
    <cellStyle name="Comma 2 2 2 2 2 3 2 2 4" xfId="30779" xr:uid="{00000000-0005-0000-0000-000093080000}"/>
    <cellStyle name="Comma 2 2 2 2 2 3 2 2 5" xfId="35062" xr:uid="{00000000-0005-0000-0000-000094080000}"/>
    <cellStyle name="Comma 2 2 2 2 2 3 2 3" xfId="15078" xr:uid="{00000000-0005-0000-0000-000095080000}"/>
    <cellStyle name="Comma 2 2 2 2 2 3 2 3 2" xfId="24091" xr:uid="{00000000-0005-0000-0000-000096080000}"/>
    <cellStyle name="Comma 2 2 2 2 2 3 2 3 2 2" xfId="43520" xr:uid="{00000000-0005-0000-0000-000097080000}"/>
    <cellStyle name="Comma 2 2 2 2 2 3 2 3 2 3" xfId="37097" xr:uid="{00000000-0005-0000-0000-000098080000}"/>
    <cellStyle name="Comma 2 2 2 2 2 3 2 3 3" xfId="28414" xr:uid="{00000000-0005-0000-0000-000099080000}"/>
    <cellStyle name="Comma 2 2 2 2 2 3 2 3 3 2" xfId="40313" xr:uid="{00000000-0005-0000-0000-00009A080000}"/>
    <cellStyle name="Comma 2 2 2 2 2 3 2 3 4" xfId="31749" xr:uid="{00000000-0005-0000-0000-00009B080000}"/>
    <cellStyle name="Comma 2 2 2 2 2 3 2 3 5" xfId="33889" xr:uid="{00000000-0005-0000-0000-00009C080000}"/>
    <cellStyle name="Comma 2 2 2 2 2 3 2 4" xfId="7894" xr:uid="{00000000-0005-0000-0000-00009D080000}"/>
    <cellStyle name="Comma 2 2 2 2 2 3 2 4 2" xfId="42552" xr:uid="{00000000-0005-0000-0000-00009E080000}"/>
    <cellStyle name="Comma 2 2 2 2 2 3 2 4 3" xfId="36128" xr:uid="{00000000-0005-0000-0000-00009F080000}"/>
    <cellStyle name="Comma 2 2 2 2 2 3 2 5" xfId="20885" xr:uid="{00000000-0005-0000-0000-0000A0080000}"/>
    <cellStyle name="Comma 2 2 2 2 2 3 2 5 2" xfId="39345" xr:uid="{00000000-0005-0000-0000-0000A1080000}"/>
    <cellStyle name="Comma 2 2 2 2 2 3 2 6" xfId="21958" xr:uid="{00000000-0005-0000-0000-0000A2080000}"/>
    <cellStyle name="Comma 2 2 2 2 2 3 2 7" xfId="23123" xr:uid="{00000000-0005-0000-0000-0000A3080000}"/>
    <cellStyle name="Comma 2 2 2 2 2 3 2 8" xfId="26280" xr:uid="{00000000-0005-0000-0000-0000A4080000}"/>
    <cellStyle name="Comma 2 2 2 2 2 3 2 9" xfId="29613" xr:uid="{00000000-0005-0000-0000-0000A5080000}"/>
    <cellStyle name="Comma 2 2 2 2 2 3 3" xfId="696" xr:uid="{00000000-0005-0000-0000-0000A6080000}"/>
    <cellStyle name="Comma 2 2 2 2 2 3 3 10" xfId="32922" xr:uid="{00000000-0005-0000-0000-0000A7080000}"/>
    <cellStyle name="Comma 2 2 2 2 2 3 3 2" xfId="9467" xr:uid="{00000000-0005-0000-0000-0000A8080000}"/>
    <cellStyle name="Comma 2 2 2 2 2 3 3 2 2" xfId="25267" xr:uid="{00000000-0005-0000-0000-0000A9080000}"/>
    <cellStyle name="Comma 2 2 2 2 2 3 3 2 2 2" xfId="44694" xr:uid="{00000000-0005-0000-0000-0000AA080000}"/>
    <cellStyle name="Comma 2 2 2 2 2 3 3 2 2 3" xfId="38271" xr:uid="{00000000-0005-0000-0000-0000AB080000}"/>
    <cellStyle name="Comma 2 2 2 2 2 3 3 2 3" xfId="27445" xr:uid="{00000000-0005-0000-0000-0000AC080000}"/>
    <cellStyle name="Comma 2 2 2 2 2 3 3 2 3 2" xfId="41487" xr:uid="{00000000-0005-0000-0000-0000AD080000}"/>
    <cellStyle name="Comma 2 2 2 2 2 3 3 2 4" xfId="30780" xr:uid="{00000000-0005-0000-0000-0000AE080000}"/>
    <cellStyle name="Comma 2 2 2 2 2 3 3 2 5" xfId="35063" xr:uid="{00000000-0005-0000-0000-0000AF080000}"/>
    <cellStyle name="Comma 2 2 2 2 2 3 3 3" xfId="15079" xr:uid="{00000000-0005-0000-0000-0000B0080000}"/>
    <cellStyle name="Comma 2 2 2 2 2 3 3 3 2" xfId="24092" xr:uid="{00000000-0005-0000-0000-0000B1080000}"/>
    <cellStyle name="Comma 2 2 2 2 2 3 3 3 2 2" xfId="43521" xr:uid="{00000000-0005-0000-0000-0000B2080000}"/>
    <cellStyle name="Comma 2 2 2 2 2 3 3 3 2 3" xfId="37098" xr:uid="{00000000-0005-0000-0000-0000B3080000}"/>
    <cellStyle name="Comma 2 2 2 2 2 3 3 3 3" xfId="28415" xr:uid="{00000000-0005-0000-0000-0000B4080000}"/>
    <cellStyle name="Comma 2 2 2 2 2 3 3 3 3 2" xfId="40314" xr:uid="{00000000-0005-0000-0000-0000B5080000}"/>
    <cellStyle name="Comma 2 2 2 2 2 3 3 3 4" xfId="31750" xr:uid="{00000000-0005-0000-0000-0000B6080000}"/>
    <cellStyle name="Comma 2 2 2 2 2 3 3 3 5" xfId="33890" xr:uid="{00000000-0005-0000-0000-0000B7080000}"/>
    <cellStyle name="Comma 2 2 2 2 2 3 3 4" xfId="7895" xr:uid="{00000000-0005-0000-0000-0000B8080000}"/>
    <cellStyle name="Comma 2 2 2 2 2 3 3 4 2" xfId="42553" xr:uid="{00000000-0005-0000-0000-0000B9080000}"/>
    <cellStyle name="Comma 2 2 2 2 2 3 3 4 3" xfId="36129" xr:uid="{00000000-0005-0000-0000-0000BA080000}"/>
    <cellStyle name="Comma 2 2 2 2 2 3 3 5" xfId="20886" xr:uid="{00000000-0005-0000-0000-0000BB080000}"/>
    <cellStyle name="Comma 2 2 2 2 2 3 3 5 2" xfId="39346" xr:uid="{00000000-0005-0000-0000-0000BC080000}"/>
    <cellStyle name="Comma 2 2 2 2 2 3 3 6" xfId="21959" xr:uid="{00000000-0005-0000-0000-0000BD080000}"/>
    <cellStyle name="Comma 2 2 2 2 2 3 3 7" xfId="23124" xr:uid="{00000000-0005-0000-0000-0000BE080000}"/>
    <cellStyle name="Comma 2 2 2 2 2 3 3 8" xfId="26281" xr:uid="{00000000-0005-0000-0000-0000BF080000}"/>
    <cellStyle name="Comma 2 2 2 2 2 3 3 9" xfId="29614" xr:uid="{00000000-0005-0000-0000-0000C0080000}"/>
    <cellStyle name="Comma 2 2 2 2 2 3 4" xfId="697" xr:uid="{00000000-0005-0000-0000-0000C1080000}"/>
    <cellStyle name="Comma 2 2 2 2 2 3 4 10" xfId="32923" xr:uid="{00000000-0005-0000-0000-0000C2080000}"/>
    <cellStyle name="Comma 2 2 2 2 2 3 4 2" xfId="9468" xr:uid="{00000000-0005-0000-0000-0000C3080000}"/>
    <cellStyle name="Comma 2 2 2 2 2 3 4 2 2" xfId="25268" xr:uid="{00000000-0005-0000-0000-0000C4080000}"/>
    <cellStyle name="Comma 2 2 2 2 2 3 4 2 2 2" xfId="44695" xr:uid="{00000000-0005-0000-0000-0000C5080000}"/>
    <cellStyle name="Comma 2 2 2 2 2 3 4 2 2 3" xfId="38272" xr:uid="{00000000-0005-0000-0000-0000C6080000}"/>
    <cellStyle name="Comma 2 2 2 2 2 3 4 2 3" xfId="27446" xr:uid="{00000000-0005-0000-0000-0000C7080000}"/>
    <cellStyle name="Comma 2 2 2 2 2 3 4 2 3 2" xfId="41488" xr:uid="{00000000-0005-0000-0000-0000C8080000}"/>
    <cellStyle name="Comma 2 2 2 2 2 3 4 2 4" xfId="30781" xr:uid="{00000000-0005-0000-0000-0000C9080000}"/>
    <cellStyle name="Comma 2 2 2 2 2 3 4 2 5" xfId="35064" xr:uid="{00000000-0005-0000-0000-0000CA080000}"/>
    <cellStyle name="Comma 2 2 2 2 2 3 4 3" xfId="15080" xr:uid="{00000000-0005-0000-0000-0000CB080000}"/>
    <cellStyle name="Comma 2 2 2 2 2 3 4 3 2" xfId="24093" xr:uid="{00000000-0005-0000-0000-0000CC080000}"/>
    <cellStyle name="Comma 2 2 2 2 2 3 4 3 2 2" xfId="43522" xr:uid="{00000000-0005-0000-0000-0000CD080000}"/>
    <cellStyle name="Comma 2 2 2 2 2 3 4 3 2 3" xfId="37099" xr:uid="{00000000-0005-0000-0000-0000CE080000}"/>
    <cellStyle name="Comma 2 2 2 2 2 3 4 3 3" xfId="28416" xr:uid="{00000000-0005-0000-0000-0000CF080000}"/>
    <cellStyle name="Comma 2 2 2 2 2 3 4 3 3 2" xfId="40315" xr:uid="{00000000-0005-0000-0000-0000D0080000}"/>
    <cellStyle name="Comma 2 2 2 2 2 3 4 3 4" xfId="31751" xr:uid="{00000000-0005-0000-0000-0000D1080000}"/>
    <cellStyle name="Comma 2 2 2 2 2 3 4 3 5" xfId="33891" xr:uid="{00000000-0005-0000-0000-0000D2080000}"/>
    <cellStyle name="Comma 2 2 2 2 2 3 4 4" xfId="7896" xr:uid="{00000000-0005-0000-0000-0000D3080000}"/>
    <cellStyle name="Comma 2 2 2 2 2 3 4 4 2" xfId="42554" xr:uid="{00000000-0005-0000-0000-0000D4080000}"/>
    <cellStyle name="Comma 2 2 2 2 2 3 4 4 3" xfId="36130" xr:uid="{00000000-0005-0000-0000-0000D5080000}"/>
    <cellStyle name="Comma 2 2 2 2 2 3 4 5" xfId="20887" xr:uid="{00000000-0005-0000-0000-0000D6080000}"/>
    <cellStyle name="Comma 2 2 2 2 2 3 4 5 2" xfId="39347" xr:uid="{00000000-0005-0000-0000-0000D7080000}"/>
    <cellStyle name="Comma 2 2 2 2 2 3 4 6" xfId="21960" xr:uid="{00000000-0005-0000-0000-0000D8080000}"/>
    <cellStyle name="Comma 2 2 2 2 2 3 4 7" xfId="23125" xr:uid="{00000000-0005-0000-0000-0000D9080000}"/>
    <cellStyle name="Comma 2 2 2 2 2 3 4 8" xfId="26282" xr:uid="{00000000-0005-0000-0000-0000DA080000}"/>
    <cellStyle name="Comma 2 2 2 2 2 3 4 9" xfId="29615" xr:uid="{00000000-0005-0000-0000-0000DB080000}"/>
    <cellStyle name="Comma 2 2 2 2 2 3 5" xfId="698" xr:uid="{00000000-0005-0000-0000-0000DC080000}"/>
    <cellStyle name="Comma 2 2 2 2 2 3 5 10" xfId="32924" xr:uid="{00000000-0005-0000-0000-0000DD080000}"/>
    <cellStyle name="Comma 2 2 2 2 2 3 5 2" xfId="9469" xr:uid="{00000000-0005-0000-0000-0000DE080000}"/>
    <cellStyle name="Comma 2 2 2 2 2 3 5 2 2" xfId="25269" xr:uid="{00000000-0005-0000-0000-0000DF080000}"/>
    <cellStyle name="Comma 2 2 2 2 2 3 5 2 2 2" xfId="44696" xr:uid="{00000000-0005-0000-0000-0000E0080000}"/>
    <cellStyle name="Comma 2 2 2 2 2 3 5 2 2 3" xfId="38273" xr:uid="{00000000-0005-0000-0000-0000E1080000}"/>
    <cellStyle name="Comma 2 2 2 2 2 3 5 2 3" xfId="27447" xr:uid="{00000000-0005-0000-0000-0000E2080000}"/>
    <cellStyle name="Comma 2 2 2 2 2 3 5 2 3 2" xfId="41489" xr:uid="{00000000-0005-0000-0000-0000E3080000}"/>
    <cellStyle name="Comma 2 2 2 2 2 3 5 2 4" xfId="30782" xr:uid="{00000000-0005-0000-0000-0000E4080000}"/>
    <cellStyle name="Comma 2 2 2 2 2 3 5 2 5" xfId="35065" xr:uid="{00000000-0005-0000-0000-0000E5080000}"/>
    <cellStyle name="Comma 2 2 2 2 2 3 5 3" xfId="15081" xr:uid="{00000000-0005-0000-0000-0000E6080000}"/>
    <cellStyle name="Comma 2 2 2 2 2 3 5 3 2" xfId="24094" xr:uid="{00000000-0005-0000-0000-0000E7080000}"/>
    <cellStyle name="Comma 2 2 2 2 2 3 5 3 2 2" xfId="43523" xr:uid="{00000000-0005-0000-0000-0000E8080000}"/>
    <cellStyle name="Comma 2 2 2 2 2 3 5 3 2 3" xfId="37100" xr:uid="{00000000-0005-0000-0000-0000E9080000}"/>
    <cellStyle name="Comma 2 2 2 2 2 3 5 3 3" xfId="28417" xr:uid="{00000000-0005-0000-0000-0000EA080000}"/>
    <cellStyle name="Comma 2 2 2 2 2 3 5 3 3 2" xfId="40316" xr:uid="{00000000-0005-0000-0000-0000EB080000}"/>
    <cellStyle name="Comma 2 2 2 2 2 3 5 3 4" xfId="31752" xr:uid="{00000000-0005-0000-0000-0000EC080000}"/>
    <cellStyle name="Comma 2 2 2 2 2 3 5 3 5" xfId="33892" xr:uid="{00000000-0005-0000-0000-0000ED080000}"/>
    <cellStyle name="Comma 2 2 2 2 2 3 5 4" xfId="7897" xr:uid="{00000000-0005-0000-0000-0000EE080000}"/>
    <cellStyle name="Comma 2 2 2 2 2 3 5 4 2" xfId="42555" xr:uid="{00000000-0005-0000-0000-0000EF080000}"/>
    <cellStyle name="Comma 2 2 2 2 2 3 5 4 3" xfId="36131" xr:uid="{00000000-0005-0000-0000-0000F0080000}"/>
    <cellStyle name="Comma 2 2 2 2 2 3 5 5" xfId="20888" xr:uid="{00000000-0005-0000-0000-0000F1080000}"/>
    <cellStyle name="Comma 2 2 2 2 2 3 5 5 2" xfId="39348" xr:uid="{00000000-0005-0000-0000-0000F2080000}"/>
    <cellStyle name="Comma 2 2 2 2 2 3 5 6" xfId="21961" xr:uid="{00000000-0005-0000-0000-0000F3080000}"/>
    <cellStyle name="Comma 2 2 2 2 2 3 5 7" xfId="23126" xr:uid="{00000000-0005-0000-0000-0000F4080000}"/>
    <cellStyle name="Comma 2 2 2 2 2 3 5 8" xfId="26283" xr:uid="{00000000-0005-0000-0000-0000F5080000}"/>
    <cellStyle name="Comma 2 2 2 2 2 3 5 9" xfId="29616" xr:uid="{00000000-0005-0000-0000-0000F6080000}"/>
    <cellStyle name="Comma 2 2 2 2 2 3 6" xfId="699" xr:uid="{00000000-0005-0000-0000-0000F7080000}"/>
    <cellStyle name="Comma 2 2 2 2 2 3 6 10" xfId="32925" xr:uid="{00000000-0005-0000-0000-0000F8080000}"/>
    <cellStyle name="Comma 2 2 2 2 2 3 6 2" xfId="9470" xr:uid="{00000000-0005-0000-0000-0000F9080000}"/>
    <cellStyle name="Comma 2 2 2 2 2 3 6 2 2" xfId="25270" xr:uid="{00000000-0005-0000-0000-0000FA080000}"/>
    <cellStyle name="Comma 2 2 2 2 2 3 6 2 2 2" xfId="44697" xr:uid="{00000000-0005-0000-0000-0000FB080000}"/>
    <cellStyle name="Comma 2 2 2 2 2 3 6 2 2 3" xfId="38274" xr:uid="{00000000-0005-0000-0000-0000FC080000}"/>
    <cellStyle name="Comma 2 2 2 2 2 3 6 2 3" xfId="27448" xr:uid="{00000000-0005-0000-0000-0000FD080000}"/>
    <cellStyle name="Comma 2 2 2 2 2 3 6 2 3 2" xfId="41490" xr:uid="{00000000-0005-0000-0000-0000FE080000}"/>
    <cellStyle name="Comma 2 2 2 2 2 3 6 2 4" xfId="30783" xr:uid="{00000000-0005-0000-0000-0000FF080000}"/>
    <cellStyle name="Comma 2 2 2 2 2 3 6 2 5" xfId="35066" xr:uid="{00000000-0005-0000-0000-000000090000}"/>
    <cellStyle name="Comma 2 2 2 2 2 3 6 3" xfId="15082" xr:uid="{00000000-0005-0000-0000-000001090000}"/>
    <cellStyle name="Comma 2 2 2 2 2 3 6 3 2" xfId="24095" xr:uid="{00000000-0005-0000-0000-000002090000}"/>
    <cellStyle name="Comma 2 2 2 2 2 3 6 3 2 2" xfId="43524" xr:uid="{00000000-0005-0000-0000-000003090000}"/>
    <cellStyle name="Comma 2 2 2 2 2 3 6 3 2 3" xfId="37101" xr:uid="{00000000-0005-0000-0000-000004090000}"/>
    <cellStyle name="Comma 2 2 2 2 2 3 6 3 3" xfId="28418" xr:uid="{00000000-0005-0000-0000-000005090000}"/>
    <cellStyle name="Comma 2 2 2 2 2 3 6 3 3 2" xfId="40317" xr:uid="{00000000-0005-0000-0000-000006090000}"/>
    <cellStyle name="Comma 2 2 2 2 2 3 6 3 4" xfId="31753" xr:uid="{00000000-0005-0000-0000-000007090000}"/>
    <cellStyle name="Comma 2 2 2 2 2 3 6 3 5" xfId="33893" xr:uid="{00000000-0005-0000-0000-000008090000}"/>
    <cellStyle name="Comma 2 2 2 2 2 3 6 4" xfId="7898" xr:uid="{00000000-0005-0000-0000-000009090000}"/>
    <cellStyle name="Comma 2 2 2 2 2 3 6 4 2" xfId="42556" xr:uid="{00000000-0005-0000-0000-00000A090000}"/>
    <cellStyle name="Comma 2 2 2 2 2 3 6 4 3" xfId="36132" xr:uid="{00000000-0005-0000-0000-00000B090000}"/>
    <cellStyle name="Comma 2 2 2 2 2 3 6 5" xfId="20889" xr:uid="{00000000-0005-0000-0000-00000C090000}"/>
    <cellStyle name="Comma 2 2 2 2 2 3 6 5 2" xfId="39349" xr:uid="{00000000-0005-0000-0000-00000D090000}"/>
    <cellStyle name="Comma 2 2 2 2 2 3 6 6" xfId="21962" xr:uid="{00000000-0005-0000-0000-00000E090000}"/>
    <cellStyle name="Comma 2 2 2 2 2 3 6 7" xfId="23127" xr:uid="{00000000-0005-0000-0000-00000F090000}"/>
    <cellStyle name="Comma 2 2 2 2 2 3 6 8" xfId="26284" xr:uid="{00000000-0005-0000-0000-000010090000}"/>
    <cellStyle name="Comma 2 2 2 2 2 3 6 9" xfId="29617" xr:uid="{00000000-0005-0000-0000-000011090000}"/>
    <cellStyle name="Comma 2 2 2 2 2 3 7" xfId="9105" xr:uid="{00000000-0005-0000-0000-000012090000}"/>
    <cellStyle name="Comma 2 2 2 2 2 3 7 2" xfId="25159" xr:uid="{00000000-0005-0000-0000-000013090000}"/>
    <cellStyle name="Comma 2 2 2 2 2 3 7 2 2" xfId="44586" xr:uid="{00000000-0005-0000-0000-000014090000}"/>
    <cellStyle name="Comma 2 2 2 2 2 3 7 2 3" xfId="38163" xr:uid="{00000000-0005-0000-0000-000015090000}"/>
    <cellStyle name="Comma 2 2 2 2 2 3 7 3" xfId="27338" xr:uid="{00000000-0005-0000-0000-000016090000}"/>
    <cellStyle name="Comma 2 2 2 2 2 3 7 3 2" xfId="41379" xr:uid="{00000000-0005-0000-0000-000017090000}"/>
    <cellStyle name="Comma 2 2 2 2 2 3 7 4" xfId="30673" xr:uid="{00000000-0005-0000-0000-000018090000}"/>
    <cellStyle name="Comma 2 2 2 2 2 3 7 5" xfId="34955" xr:uid="{00000000-0005-0000-0000-000019090000}"/>
    <cellStyle name="Comma 2 2 2 2 2 3 8" xfId="15077" xr:uid="{00000000-0005-0000-0000-00001A090000}"/>
    <cellStyle name="Comma 2 2 2 2 2 3 8 2" xfId="24090" xr:uid="{00000000-0005-0000-0000-00001B090000}"/>
    <cellStyle name="Comma 2 2 2 2 2 3 8 2 2" xfId="43519" xr:uid="{00000000-0005-0000-0000-00001C090000}"/>
    <cellStyle name="Comma 2 2 2 2 2 3 8 2 3" xfId="37096" xr:uid="{00000000-0005-0000-0000-00001D090000}"/>
    <cellStyle name="Comma 2 2 2 2 2 3 8 3" xfId="28413" xr:uid="{00000000-0005-0000-0000-00001E090000}"/>
    <cellStyle name="Comma 2 2 2 2 2 3 8 3 2" xfId="40312" xr:uid="{00000000-0005-0000-0000-00001F090000}"/>
    <cellStyle name="Comma 2 2 2 2 2 3 8 4" xfId="31748" xr:uid="{00000000-0005-0000-0000-000020090000}"/>
    <cellStyle name="Comma 2 2 2 2 2 3 8 5" xfId="33888" xr:uid="{00000000-0005-0000-0000-000021090000}"/>
    <cellStyle name="Comma 2 2 2 2 2 3 9" xfId="7893" xr:uid="{00000000-0005-0000-0000-000022090000}"/>
    <cellStyle name="Comma 2 2 2 2 2 3 9 2" xfId="42449" xr:uid="{00000000-0005-0000-0000-000023090000}"/>
    <cellStyle name="Comma 2 2 2 2 2 3 9 3" xfId="36025" xr:uid="{00000000-0005-0000-0000-000024090000}"/>
    <cellStyle name="Comma 2 2 2 2 2 4" xfId="700" xr:uid="{00000000-0005-0000-0000-000025090000}"/>
    <cellStyle name="Comma 2 2 2 2 2 4 10" xfId="21963" xr:uid="{00000000-0005-0000-0000-000026090000}"/>
    <cellStyle name="Comma 2 2 2 2 2 4 11" xfId="23128" xr:uid="{00000000-0005-0000-0000-000027090000}"/>
    <cellStyle name="Comma 2 2 2 2 2 4 12" xfId="26285" xr:uid="{00000000-0005-0000-0000-000028090000}"/>
    <cellStyle name="Comma 2 2 2 2 2 4 13" xfId="29618" xr:uid="{00000000-0005-0000-0000-000029090000}"/>
    <cellStyle name="Comma 2 2 2 2 2 4 14" xfId="32926" xr:uid="{00000000-0005-0000-0000-00002A090000}"/>
    <cellStyle name="Comma 2 2 2 2 2 4 2" xfId="701" xr:uid="{00000000-0005-0000-0000-00002B090000}"/>
    <cellStyle name="Comma 2 2 2 2 2 4 2 10" xfId="32927" xr:uid="{00000000-0005-0000-0000-00002C090000}"/>
    <cellStyle name="Comma 2 2 2 2 2 4 2 2" xfId="9472" xr:uid="{00000000-0005-0000-0000-00002D090000}"/>
    <cellStyle name="Comma 2 2 2 2 2 4 2 2 2" xfId="25272" xr:uid="{00000000-0005-0000-0000-00002E090000}"/>
    <cellStyle name="Comma 2 2 2 2 2 4 2 2 2 2" xfId="44699" xr:uid="{00000000-0005-0000-0000-00002F090000}"/>
    <cellStyle name="Comma 2 2 2 2 2 4 2 2 2 3" xfId="38276" xr:uid="{00000000-0005-0000-0000-000030090000}"/>
    <cellStyle name="Comma 2 2 2 2 2 4 2 2 3" xfId="27450" xr:uid="{00000000-0005-0000-0000-000031090000}"/>
    <cellStyle name="Comma 2 2 2 2 2 4 2 2 3 2" xfId="41492" xr:uid="{00000000-0005-0000-0000-000032090000}"/>
    <cellStyle name="Comma 2 2 2 2 2 4 2 2 4" xfId="30785" xr:uid="{00000000-0005-0000-0000-000033090000}"/>
    <cellStyle name="Comma 2 2 2 2 2 4 2 2 5" xfId="35068" xr:uid="{00000000-0005-0000-0000-000034090000}"/>
    <cellStyle name="Comma 2 2 2 2 2 4 2 3" xfId="15084" xr:uid="{00000000-0005-0000-0000-000035090000}"/>
    <cellStyle name="Comma 2 2 2 2 2 4 2 3 2" xfId="24097" xr:uid="{00000000-0005-0000-0000-000036090000}"/>
    <cellStyle name="Comma 2 2 2 2 2 4 2 3 2 2" xfId="43526" xr:uid="{00000000-0005-0000-0000-000037090000}"/>
    <cellStyle name="Comma 2 2 2 2 2 4 2 3 2 3" xfId="37103" xr:uid="{00000000-0005-0000-0000-000038090000}"/>
    <cellStyle name="Comma 2 2 2 2 2 4 2 3 3" xfId="28420" xr:uid="{00000000-0005-0000-0000-000039090000}"/>
    <cellStyle name="Comma 2 2 2 2 2 4 2 3 3 2" xfId="40319" xr:uid="{00000000-0005-0000-0000-00003A090000}"/>
    <cellStyle name="Comma 2 2 2 2 2 4 2 3 4" xfId="31755" xr:uid="{00000000-0005-0000-0000-00003B090000}"/>
    <cellStyle name="Comma 2 2 2 2 2 4 2 3 5" xfId="33895" xr:uid="{00000000-0005-0000-0000-00003C090000}"/>
    <cellStyle name="Comma 2 2 2 2 2 4 2 4" xfId="7900" xr:uid="{00000000-0005-0000-0000-00003D090000}"/>
    <cellStyle name="Comma 2 2 2 2 2 4 2 4 2" xfId="42558" xr:uid="{00000000-0005-0000-0000-00003E090000}"/>
    <cellStyle name="Comma 2 2 2 2 2 4 2 4 3" xfId="36134" xr:uid="{00000000-0005-0000-0000-00003F090000}"/>
    <cellStyle name="Comma 2 2 2 2 2 4 2 5" xfId="20891" xr:uid="{00000000-0005-0000-0000-000040090000}"/>
    <cellStyle name="Comma 2 2 2 2 2 4 2 5 2" xfId="39351" xr:uid="{00000000-0005-0000-0000-000041090000}"/>
    <cellStyle name="Comma 2 2 2 2 2 4 2 6" xfId="21964" xr:uid="{00000000-0005-0000-0000-000042090000}"/>
    <cellStyle name="Comma 2 2 2 2 2 4 2 7" xfId="23129" xr:uid="{00000000-0005-0000-0000-000043090000}"/>
    <cellStyle name="Comma 2 2 2 2 2 4 2 8" xfId="26286" xr:uid="{00000000-0005-0000-0000-000044090000}"/>
    <cellStyle name="Comma 2 2 2 2 2 4 2 9" xfId="29619" xr:uid="{00000000-0005-0000-0000-000045090000}"/>
    <cellStyle name="Comma 2 2 2 2 2 4 3" xfId="702" xr:uid="{00000000-0005-0000-0000-000046090000}"/>
    <cellStyle name="Comma 2 2 2 2 2 4 3 10" xfId="32928" xr:uid="{00000000-0005-0000-0000-000047090000}"/>
    <cellStyle name="Comma 2 2 2 2 2 4 3 2" xfId="9473" xr:uid="{00000000-0005-0000-0000-000048090000}"/>
    <cellStyle name="Comma 2 2 2 2 2 4 3 2 2" xfId="25273" xr:uid="{00000000-0005-0000-0000-000049090000}"/>
    <cellStyle name="Comma 2 2 2 2 2 4 3 2 2 2" xfId="44700" xr:uid="{00000000-0005-0000-0000-00004A090000}"/>
    <cellStyle name="Comma 2 2 2 2 2 4 3 2 2 3" xfId="38277" xr:uid="{00000000-0005-0000-0000-00004B090000}"/>
    <cellStyle name="Comma 2 2 2 2 2 4 3 2 3" xfId="27451" xr:uid="{00000000-0005-0000-0000-00004C090000}"/>
    <cellStyle name="Comma 2 2 2 2 2 4 3 2 3 2" xfId="41493" xr:uid="{00000000-0005-0000-0000-00004D090000}"/>
    <cellStyle name="Comma 2 2 2 2 2 4 3 2 4" xfId="30786" xr:uid="{00000000-0005-0000-0000-00004E090000}"/>
    <cellStyle name="Comma 2 2 2 2 2 4 3 2 5" xfId="35069" xr:uid="{00000000-0005-0000-0000-00004F090000}"/>
    <cellStyle name="Comma 2 2 2 2 2 4 3 3" xfId="15085" xr:uid="{00000000-0005-0000-0000-000050090000}"/>
    <cellStyle name="Comma 2 2 2 2 2 4 3 3 2" xfId="24098" xr:uid="{00000000-0005-0000-0000-000051090000}"/>
    <cellStyle name="Comma 2 2 2 2 2 4 3 3 2 2" xfId="43527" xr:uid="{00000000-0005-0000-0000-000052090000}"/>
    <cellStyle name="Comma 2 2 2 2 2 4 3 3 2 3" xfId="37104" xr:uid="{00000000-0005-0000-0000-000053090000}"/>
    <cellStyle name="Comma 2 2 2 2 2 4 3 3 3" xfId="28421" xr:uid="{00000000-0005-0000-0000-000054090000}"/>
    <cellStyle name="Comma 2 2 2 2 2 4 3 3 3 2" xfId="40320" xr:uid="{00000000-0005-0000-0000-000055090000}"/>
    <cellStyle name="Comma 2 2 2 2 2 4 3 3 4" xfId="31756" xr:uid="{00000000-0005-0000-0000-000056090000}"/>
    <cellStyle name="Comma 2 2 2 2 2 4 3 3 5" xfId="33896" xr:uid="{00000000-0005-0000-0000-000057090000}"/>
    <cellStyle name="Comma 2 2 2 2 2 4 3 4" xfId="7901" xr:uid="{00000000-0005-0000-0000-000058090000}"/>
    <cellStyle name="Comma 2 2 2 2 2 4 3 4 2" xfId="42559" xr:uid="{00000000-0005-0000-0000-000059090000}"/>
    <cellStyle name="Comma 2 2 2 2 2 4 3 4 3" xfId="36135" xr:uid="{00000000-0005-0000-0000-00005A090000}"/>
    <cellStyle name="Comma 2 2 2 2 2 4 3 5" xfId="20892" xr:uid="{00000000-0005-0000-0000-00005B090000}"/>
    <cellStyle name="Comma 2 2 2 2 2 4 3 5 2" xfId="39352" xr:uid="{00000000-0005-0000-0000-00005C090000}"/>
    <cellStyle name="Comma 2 2 2 2 2 4 3 6" xfId="21965" xr:uid="{00000000-0005-0000-0000-00005D090000}"/>
    <cellStyle name="Comma 2 2 2 2 2 4 3 7" xfId="23130" xr:uid="{00000000-0005-0000-0000-00005E090000}"/>
    <cellStyle name="Comma 2 2 2 2 2 4 3 8" xfId="26287" xr:uid="{00000000-0005-0000-0000-00005F090000}"/>
    <cellStyle name="Comma 2 2 2 2 2 4 3 9" xfId="29620" xr:uid="{00000000-0005-0000-0000-000060090000}"/>
    <cellStyle name="Comma 2 2 2 2 2 4 4" xfId="703" xr:uid="{00000000-0005-0000-0000-000061090000}"/>
    <cellStyle name="Comma 2 2 2 2 2 4 4 10" xfId="32929" xr:uid="{00000000-0005-0000-0000-000062090000}"/>
    <cellStyle name="Comma 2 2 2 2 2 4 4 2" xfId="9474" xr:uid="{00000000-0005-0000-0000-000063090000}"/>
    <cellStyle name="Comma 2 2 2 2 2 4 4 2 2" xfId="25274" xr:uid="{00000000-0005-0000-0000-000064090000}"/>
    <cellStyle name="Comma 2 2 2 2 2 4 4 2 2 2" xfId="44701" xr:uid="{00000000-0005-0000-0000-000065090000}"/>
    <cellStyle name="Comma 2 2 2 2 2 4 4 2 2 3" xfId="38278" xr:uid="{00000000-0005-0000-0000-000066090000}"/>
    <cellStyle name="Comma 2 2 2 2 2 4 4 2 3" xfId="27452" xr:uid="{00000000-0005-0000-0000-000067090000}"/>
    <cellStyle name="Comma 2 2 2 2 2 4 4 2 3 2" xfId="41494" xr:uid="{00000000-0005-0000-0000-000068090000}"/>
    <cellStyle name="Comma 2 2 2 2 2 4 4 2 4" xfId="30787" xr:uid="{00000000-0005-0000-0000-000069090000}"/>
    <cellStyle name="Comma 2 2 2 2 2 4 4 2 5" xfId="35070" xr:uid="{00000000-0005-0000-0000-00006A090000}"/>
    <cellStyle name="Comma 2 2 2 2 2 4 4 3" xfId="15086" xr:uid="{00000000-0005-0000-0000-00006B090000}"/>
    <cellStyle name="Comma 2 2 2 2 2 4 4 3 2" xfId="24099" xr:uid="{00000000-0005-0000-0000-00006C090000}"/>
    <cellStyle name="Comma 2 2 2 2 2 4 4 3 2 2" xfId="43528" xr:uid="{00000000-0005-0000-0000-00006D090000}"/>
    <cellStyle name="Comma 2 2 2 2 2 4 4 3 2 3" xfId="37105" xr:uid="{00000000-0005-0000-0000-00006E090000}"/>
    <cellStyle name="Comma 2 2 2 2 2 4 4 3 3" xfId="28422" xr:uid="{00000000-0005-0000-0000-00006F090000}"/>
    <cellStyle name="Comma 2 2 2 2 2 4 4 3 3 2" xfId="40321" xr:uid="{00000000-0005-0000-0000-000070090000}"/>
    <cellStyle name="Comma 2 2 2 2 2 4 4 3 4" xfId="31757" xr:uid="{00000000-0005-0000-0000-000071090000}"/>
    <cellStyle name="Comma 2 2 2 2 2 4 4 3 5" xfId="33897" xr:uid="{00000000-0005-0000-0000-000072090000}"/>
    <cellStyle name="Comma 2 2 2 2 2 4 4 4" xfId="7902" xr:uid="{00000000-0005-0000-0000-000073090000}"/>
    <cellStyle name="Comma 2 2 2 2 2 4 4 4 2" xfId="42560" xr:uid="{00000000-0005-0000-0000-000074090000}"/>
    <cellStyle name="Comma 2 2 2 2 2 4 4 4 3" xfId="36136" xr:uid="{00000000-0005-0000-0000-000075090000}"/>
    <cellStyle name="Comma 2 2 2 2 2 4 4 5" xfId="20893" xr:uid="{00000000-0005-0000-0000-000076090000}"/>
    <cellStyle name="Comma 2 2 2 2 2 4 4 5 2" xfId="39353" xr:uid="{00000000-0005-0000-0000-000077090000}"/>
    <cellStyle name="Comma 2 2 2 2 2 4 4 6" xfId="21966" xr:uid="{00000000-0005-0000-0000-000078090000}"/>
    <cellStyle name="Comma 2 2 2 2 2 4 4 7" xfId="23131" xr:uid="{00000000-0005-0000-0000-000079090000}"/>
    <cellStyle name="Comma 2 2 2 2 2 4 4 8" xfId="26288" xr:uid="{00000000-0005-0000-0000-00007A090000}"/>
    <cellStyle name="Comma 2 2 2 2 2 4 4 9" xfId="29621" xr:uid="{00000000-0005-0000-0000-00007B090000}"/>
    <cellStyle name="Comma 2 2 2 2 2 4 5" xfId="704" xr:uid="{00000000-0005-0000-0000-00007C090000}"/>
    <cellStyle name="Comma 2 2 2 2 2 4 5 10" xfId="32930" xr:uid="{00000000-0005-0000-0000-00007D090000}"/>
    <cellStyle name="Comma 2 2 2 2 2 4 5 2" xfId="9475" xr:uid="{00000000-0005-0000-0000-00007E090000}"/>
    <cellStyle name="Comma 2 2 2 2 2 4 5 2 2" xfId="25275" xr:uid="{00000000-0005-0000-0000-00007F090000}"/>
    <cellStyle name="Comma 2 2 2 2 2 4 5 2 2 2" xfId="44702" xr:uid="{00000000-0005-0000-0000-000080090000}"/>
    <cellStyle name="Comma 2 2 2 2 2 4 5 2 2 3" xfId="38279" xr:uid="{00000000-0005-0000-0000-000081090000}"/>
    <cellStyle name="Comma 2 2 2 2 2 4 5 2 3" xfId="27453" xr:uid="{00000000-0005-0000-0000-000082090000}"/>
    <cellStyle name="Comma 2 2 2 2 2 4 5 2 3 2" xfId="41495" xr:uid="{00000000-0005-0000-0000-000083090000}"/>
    <cellStyle name="Comma 2 2 2 2 2 4 5 2 4" xfId="30788" xr:uid="{00000000-0005-0000-0000-000084090000}"/>
    <cellStyle name="Comma 2 2 2 2 2 4 5 2 5" xfId="35071" xr:uid="{00000000-0005-0000-0000-000085090000}"/>
    <cellStyle name="Comma 2 2 2 2 2 4 5 3" xfId="15087" xr:uid="{00000000-0005-0000-0000-000086090000}"/>
    <cellStyle name="Comma 2 2 2 2 2 4 5 3 2" xfId="24100" xr:uid="{00000000-0005-0000-0000-000087090000}"/>
    <cellStyle name="Comma 2 2 2 2 2 4 5 3 2 2" xfId="43529" xr:uid="{00000000-0005-0000-0000-000088090000}"/>
    <cellStyle name="Comma 2 2 2 2 2 4 5 3 2 3" xfId="37106" xr:uid="{00000000-0005-0000-0000-000089090000}"/>
    <cellStyle name="Comma 2 2 2 2 2 4 5 3 3" xfId="28423" xr:uid="{00000000-0005-0000-0000-00008A090000}"/>
    <cellStyle name="Comma 2 2 2 2 2 4 5 3 3 2" xfId="40322" xr:uid="{00000000-0005-0000-0000-00008B090000}"/>
    <cellStyle name="Comma 2 2 2 2 2 4 5 3 4" xfId="31758" xr:uid="{00000000-0005-0000-0000-00008C090000}"/>
    <cellStyle name="Comma 2 2 2 2 2 4 5 3 5" xfId="33898" xr:uid="{00000000-0005-0000-0000-00008D090000}"/>
    <cellStyle name="Comma 2 2 2 2 2 4 5 4" xfId="7903" xr:uid="{00000000-0005-0000-0000-00008E090000}"/>
    <cellStyle name="Comma 2 2 2 2 2 4 5 4 2" xfId="42561" xr:uid="{00000000-0005-0000-0000-00008F090000}"/>
    <cellStyle name="Comma 2 2 2 2 2 4 5 4 3" xfId="36137" xr:uid="{00000000-0005-0000-0000-000090090000}"/>
    <cellStyle name="Comma 2 2 2 2 2 4 5 5" xfId="20894" xr:uid="{00000000-0005-0000-0000-000091090000}"/>
    <cellStyle name="Comma 2 2 2 2 2 4 5 5 2" xfId="39354" xr:uid="{00000000-0005-0000-0000-000092090000}"/>
    <cellStyle name="Comma 2 2 2 2 2 4 5 6" xfId="21967" xr:uid="{00000000-0005-0000-0000-000093090000}"/>
    <cellStyle name="Comma 2 2 2 2 2 4 5 7" xfId="23132" xr:uid="{00000000-0005-0000-0000-000094090000}"/>
    <cellStyle name="Comma 2 2 2 2 2 4 5 8" xfId="26289" xr:uid="{00000000-0005-0000-0000-000095090000}"/>
    <cellStyle name="Comma 2 2 2 2 2 4 5 9" xfId="29622" xr:uid="{00000000-0005-0000-0000-000096090000}"/>
    <cellStyle name="Comma 2 2 2 2 2 4 6" xfId="9471" xr:uid="{00000000-0005-0000-0000-000097090000}"/>
    <cellStyle name="Comma 2 2 2 2 2 4 6 2" xfId="25271" xr:uid="{00000000-0005-0000-0000-000098090000}"/>
    <cellStyle name="Comma 2 2 2 2 2 4 6 2 2" xfId="44698" xr:uid="{00000000-0005-0000-0000-000099090000}"/>
    <cellStyle name="Comma 2 2 2 2 2 4 6 2 3" xfId="38275" xr:uid="{00000000-0005-0000-0000-00009A090000}"/>
    <cellStyle name="Comma 2 2 2 2 2 4 6 3" xfId="27449" xr:uid="{00000000-0005-0000-0000-00009B090000}"/>
    <cellStyle name="Comma 2 2 2 2 2 4 6 3 2" xfId="41491" xr:uid="{00000000-0005-0000-0000-00009C090000}"/>
    <cellStyle name="Comma 2 2 2 2 2 4 6 4" xfId="30784" xr:uid="{00000000-0005-0000-0000-00009D090000}"/>
    <cellStyle name="Comma 2 2 2 2 2 4 6 5" xfId="35067" xr:uid="{00000000-0005-0000-0000-00009E090000}"/>
    <cellStyle name="Comma 2 2 2 2 2 4 7" xfId="15083" xr:uid="{00000000-0005-0000-0000-00009F090000}"/>
    <cellStyle name="Comma 2 2 2 2 2 4 7 2" xfId="24096" xr:uid="{00000000-0005-0000-0000-0000A0090000}"/>
    <cellStyle name="Comma 2 2 2 2 2 4 7 2 2" xfId="43525" xr:uid="{00000000-0005-0000-0000-0000A1090000}"/>
    <cellStyle name="Comma 2 2 2 2 2 4 7 2 3" xfId="37102" xr:uid="{00000000-0005-0000-0000-0000A2090000}"/>
    <cellStyle name="Comma 2 2 2 2 2 4 7 3" xfId="28419" xr:uid="{00000000-0005-0000-0000-0000A3090000}"/>
    <cellStyle name="Comma 2 2 2 2 2 4 7 3 2" xfId="40318" xr:uid="{00000000-0005-0000-0000-0000A4090000}"/>
    <cellStyle name="Comma 2 2 2 2 2 4 7 4" xfId="31754" xr:uid="{00000000-0005-0000-0000-0000A5090000}"/>
    <cellStyle name="Comma 2 2 2 2 2 4 7 5" xfId="33894" xr:uid="{00000000-0005-0000-0000-0000A6090000}"/>
    <cellStyle name="Comma 2 2 2 2 2 4 8" xfId="7899" xr:uid="{00000000-0005-0000-0000-0000A7090000}"/>
    <cellStyle name="Comma 2 2 2 2 2 4 8 2" xfId="42557" xr:uid="{00000000-0005-0000-0000-0000A8090000}"/>
    <cellStyle name="Comma 2 2 2 2 2 4 8 3" xfId="36133" xr:uid="{00000000-0005-0000-0000-0000A9090000}"/>
    <cellStyle name="Comma 2 2 2 2 2 4 9" xfId="20890" xr:uid="{00000000-0005-0000-0000-0000AA090000}"/>
    <cellStyle name="Comma 2 2 2 2 2 4 9 2" xfId="39350" xr:uid="{00000000-0005-0000-0000-0000AB090000}"/>
    <cellStyle name="Comma 2 2 2 2 2 5" xfId="705" xr:uid="{00000000-0005-0000-0000-0000AC090000}"/>
    <cellStyle name="Comma 2 2 2 2 2 5 10" xfId="21968" xr:uid="{00000000-0005-0000-0000-0000AD090000}"/>
    <cellStyle name="Comma 2 2 2 2 2 5 11" xfId="23133" xr:uid="{00000000-0005-0000-0000-0000AE090000}"/>
    <cellStyle name="Comma 2 2 2 2 2 5 12" xfId="26290" xr:uid="{00000000-0005-0000-0000-0000AF090000}"/>
    <cellStyle name="Comma 2 2 2 2 2 5 13" xfId="29623" xr:uid="{00000000-0005-0000-0000-0000B0090000}"/>
    <cellStyle name="Comma 2 2 2 2 2 5 14" xfId="32931" xr:uid="{00000000-0005-0000-0000-0000B1090000}"/>
    <cellStyle name="Comma 2 2 2 2 2 5 2" xfId="706" xr:uid="{00000000-0005-0000-0000-0000B2090000}"/>
    <cellStyle name="Comma 2 2 2 2 2 5 2 10" xfId="32932" xr:uid="{00000000-0005-0000-0000-0000B3090000}"/>
    <cellStyle name="Comma 2 2 2 2 2 5 2 2" xfId="9477" xr:uid="{00000000-0005-0000-0000-0000B4090000}"/>
    <cellStyle name="Comma 2 2 2 2 2 5 2 2 2" xfId="25277" xr:uid="{00000000-0005-0000-0000-0000B5090000}"/>
    <cellStyle name="Comma 2 2 2 2 2 5 2 2 2 2" xfId="44704" xr:uid="{00000000-0005-0000-0000-0000B6090000}"/>
    <cellStyle name="Comma 2 2 2 2 2 5 2 2 2 3" xfId="38281" xr:uid="{00000000-0005-0000-0000-0000B7090000}"/>
    <cellStyle name="Comma 2 2 2 2 2 5 2 2 3" xfId="27455" xr:uid="{00000000-0005-0000-0000-0000B8090000}"/>
    <cellStyle name="Comma 2 2 2 2 2 5 2 2 3 2" xfId="41497" xr:uid="{00000000-0005-0000-0000-0000B9090000}"/>
    <cellStyle name="Comma 2 2 2 2 2 5 2 2 4" xfId="30790" xr:uid="{00000000-0005-0000-0000-0000BA090000}"/>
    <cellStyle name="Comma 2 2 2 2 2 5 2 2 5" xfId="35073" xr:uid="{00000000-0005-0000-0000-0000BB090000}"/>
    <cellStyle name="Comma 2 2 2 2 2 5 2 3" xfId="15089" xr:uid="{00000000-0005-0000-0000-0000BC090000}"/>
    <cellStyle name="Comma 2 2 2 2 2 5 2 3 2" xfId="24102" xr:uid="{00000000-0005-0000-0000-0000BD090000}"/>
    <cellStyle name="Comma 2 2 2 2 2 5 2 3 2 2" xfId="43531" xr:uid="{00000000-0005-0000-0000-0000BE090000}"/>
    <cellStyle name="Comma 2 2 2 2 2 5 2 3 2 3" xfId="37108" xr:uid="{00000000-0005-0000-0000-0000BF090000}"/>
    <cellStyle name="Comma 2 2 2 2 2 5 2 3 3" xfId="28425" xr:uid="{00000000-0005-0000-0000-0000C0090000}"/>
    <cellStyle name="Comma 2 2 2 2 2 5 2 3 3 2" xfId="40324" xr:uid="{00000000-0005-0000-0000-0000C1090000}"/>
    <cellStyle name="Comma 2 2 2 2 2 5 2 3 4" xfId="31760" xr:uid="{00000000-0005-0000-0000-0000C2090000}"/>
    <cellStyle name="Comma 2 2 2 2 2 5 2 3 5" xfId="33900" xr:uid="{00000000-0005-0000-0000-0000C3090000}"/>
    <cellStyle name="Comma 2 2 2 2 2 5 2 4" xfId="7905" xr:uid="{00000000-0005-0000-0000-0000C4090000}"/>
    <cellStyle name="Comma 2 2 2 2 2 5 2 4 2" xfId="42563" xr:uid="{00000000-0005-0000-0000-0000C5090000}"/>
    <cellStyle name="Comma 2 2 2 2 2 5 2 4 3" xfId="36139" xr:uid="{00000000-0005-0000-0000-0000C6090000}"/>
    <cellStyle name="Comma 2 2 2 2 2 5 2 5" xfId="20896" xr:uid="{00000000-0005-0000-0000-0000C7090000}"/>
    <cellStyle name="Comma 2 2 2 2 2 5 2 5 2" xfId="39356" xr:uid="{00000000-0005-0000-0000-0000C8090000}"/>
    <cellStyle name="Comma 2 2 2 2 2 5 2 6" xfId="21969" xr:uid="{00000000-0005-0000-0000-0000C9090000}"/>
    <cellStyle name="Comma 2 2 2 2 2 5 2 7" xfId="23134" xr:uid="{00000000-0005-0000-0000-0000CA090000}"/>
    <cellStyle name="Comma 2 2 2 2 2 5 2 8" xfId="26291" xr:uid="{00000000-0005-0000-0000-0000CB090000}"/>
    <cellStyle name="Comma 2 2 2 2 2 5 2 9" xfId="29624" xr:uid="{00000000-0005-0000-0000-0000CC090000}"/>
    <cellStyle name="Comma 2 2 2 2 2 5 3" xfId="707" xr:uid="{00000000-0005-0000-0000-0000CD090000}"/>
    <cellStyle name="Comma 2 2 2 2 2 5 3 10" xfId="32933" xr:uid="{00000000-0005-0000-0000-0000CE090000}"/>
    <cellStyle name="Comma 2 2 2 2 2 5 3 2" xfId="9478" xr:uid="{00000000-0005-0000-0000-0000CF090000}"/>
    <cellStyle name="Comma 2 2 2 2 2 5 3 2 2" xfId="25278" xr:uid="{00000000-0005-0000-0000-0000D0090000}"/>
    <cellStyle name="Comma 2 2 2 2 2 5 3 2 2 2" xfId="44705" xr:uid="{00000000-0005-0000-0000-0000D1090000}"/>
    <cellStyle name="Comma 2 2 2 2 2 5 3 2 2 3" xfId="38282" xr:uid="{00000000-0005-0000-0000-0000D2090000}"/>
    <cellStyle name="Comma 2 2 2 2 2 5 3 2 3" xfId="27456" xr:uid="{00000000-0005-0000-0000-0000D3090000}"/>
    <cellStyle name="Comma 2 2 2 2 2 5 3 2 3 2" xfId="41498" xr:uid="{00000000-0005-0000-0000-0000D4090000}"/>
    <cellStyle name="Comma 2 2 2 2 2 5 3 2 4" xfId="30791" xr:uid="{00000000-0005-0000-0000-0000D5090000}"/>
    <cellStyle name="Comma 2 2 2 2 2 5 3 2 5" xfId="35074" xr:uid="{00000000-0005-0000-0000-0000D6090000}"/>
    <cellStyle name="Comma 2 2 2 2 2 5 3 3" xfId="15090" xr:uid="{00000000-0005-0000-0000-0000D7090000}"/>
    <cellStyle name="Comma 2 2 2 2 2 5 3 3 2" xfId="24103" xr:uid="{00000000-0005-0000-0000-0000D8090000}"/>
    <cellStyle name="Comma 2 2 2 2 2 5 3 3 2 2" xfId="43532" xr:uid="{00000000-0005-0000-0000-0000D9090000}"/>
    <cellStyle name="Comma 2 2 2 2 2 5 3 3 2 3" xfId="37109" xr:uid="{00000000-0005-0000-0000-0000DA090000}"/>
    <cellStyle name="Comma 2 2 2 2 2 5 3 3 3" xfId="28426" xr:uid="{00000000-0005-0000-0000-0000DB090000}"/>
    <cellStyle name="Comma 2 2 2 2 2 5 3 3 3 2" xfId="40325" xr:uid="{00000000-0005-0000-0000-0000DC090000}"/>
    <cellStyle name="Comma 2 2 2 2 2 5 3 3 4" xfId="31761" xr:uid="{00000000-0005-0000-0000-0000DD090000}"/>
    <cellStyle name="Comma 2 2 2 2 2 5 3 3 5" xfId="33901" xr:uid="{00000000-0005-0000-0000-0000DE090000}"/>
    <cellStyle name="Comma 2 2 2 2 2 5 3 4" xfId="7906" xr:uid="{00000000-0005-0000-0000-0000DF090000}"/>
    <cellStyle name="Comma 2 2 2 2 2 5 3 4 2" xfId="42564" xr:uid="{00000000-0005-0000-0000-0000E0090000}"/>
    <cellStyle name="Comma 2 2 2 2 2 5 3 4 3" xfId="36140" xr:uid="{00000000-0005-0000-0000-0000E1090000}"/>
    <cellStyle name="Comma 2 2 2 2 2 5 3 5" xfId="20897" xr:uid="{00000000-0005-0000-0000-0000E2090000}"/>
    <cellStyle name="Comma 2 2 2 2 2 5 3 5 2" xfId="39357" xr:uid="{00000000-0005-0000-0000-0000E3090000}"/>
    <cellStyle name="Comma 2 2 2 2 2 5 3 6" xfId="21970" xr:uid="{00000000-0005-0000-0000-0000E4090000}"/>
    <cellStyle name="Comma 2 2 2 2 2 5 3 7" xfId="23135" xr:uid="{00000000-0005-0000-0000-0000E5090000}"/>
    <cellStyle name="Comma 2 2 2 2 2 5 3 8" xfId="26292" xr:uid="{00000000-0005-0000-0000-0000E6090000}"/>
    <cellStyle name="Comma 2 2 2 2 2 5 3 9" xfId="29625" xr:uid="{00000000-0005-0000-0000-0000E7090000}"/>
    <cellStyle name="Comma 2 2 2 2 2 5 4" xfId="708" xr:uid="{00000000-0005-0000-0000-0000E8090000}"/>
    <cellStyle name="Comma 2 2 2 2 2 5 4 10" xfId="32934" xr:uid="{00000000-0005-0000-0000-0000E9090000}"/>
    <cellStyle name="Comma 2 2 2 2 2 5 4 2" xfId="9479" xr:uid="{00000000-0005-0000-0000-0000EA090000}"/>
    <cellStyle name="Comma 2 2 2 2 2 5 4 2 2" xfId="25279" xr:uid="{00000000-0005-0000-0000-0000EB090000}"/>
    <cellStyle name="Comma 2 2 2 2 2 5 4 2 2 2" xfId="44706" xr:uid="{00000000-0005-0000-0000-0000EC090000}"/>
    <cellStyle name="Comma 2 2 2 2 2 5 4 2 2 3" xfId="38283" xr:uid="{00000000-0005-0000-0000-0000ED090000}"/>
    <cellStyle name="Comma 2 2 2 2 2 5 4 2 3" xfId="27457" xr:uid="{00000000-0005-0000-0000-0000EE090000}"/>
    <cellStyle name="Comma 2 2 2 2 2 5 4 2 3 2" xfId="41499" xr:uid="{00000000-0005-0000-0000-0000EF090000}"/>
    <cellStyle name="Comma 2 2 2 2 2 5 4 2 4" xfId="30792" xr:uid="{00000000-0005-0000-0000-0000F0090000}"/>
    <cellStyle name="Comma 2 2 2 2 2 5 4 2 5" xfId="35075" xr:uid="{00000000-0005-0000-0000-0000F1090000}"/>
    <cellStyle name="Comma 2 2 2 2 2 5 4 3" xfId="15091" xr:uid="{00000000-0005-0000-0000-0000F2090000}"/>
    <cellStyle name="Comma 2 2 2 2 2 5 4 3 2" xfId="24104" xr:uid="{00000000-0005-0000-0000-0000F3090000}"/>
    <cellStyle name="Comma 2 2 2 2 2 5 4 3 2 2" xfId="43533" xr:uid="{00000000-0005-0000-0000-0000F4090000}"/>
    <cellStyle name="Comma 2 2 2 2 2 5 4 3 2 3" xfId="37110" xr:uid="{00000000-0005-0000-0000-0000F5090000}"/>
    <cellStyle name="Comma 2 2 2 2 2 5 4 3 3" xfId="28427" xr:uid="{00000000-0005-0000-0000-0000F6090000}"/>
    <cellStyle name="Comma 2 2 2 2 2 5 4 3 3 2" xfId="40326" xr:uid="{00000000-0005-0000-0000-0000F7090000}"/>
    <cellStyle name="Comma 2 2 2 2 2 5 4 3 4" xfId="31762" xr:uid="{00000000-0005-0000-0000-0000F8090000}"/>
    <cellStyle name="Comma 2 2 2 2 2 5 4 3 5" xfId="33902" xr:uid="{00000000-0005-0000-0000-0000F9090000}"/>
    <cellStyle name="Comma 2 2 2 2 2 5 4 4" xfId="7907" xr:uid="{00000000-0005-0000-0000-0000FA090000}"/>
    <cellStyle name="Comma 2 2 2 2 2 5 4 4 2" xfId="42565" xr:uid="{00000000-0005-0000-0000-0000FB090000}"/>
    <cellStyle name="Comma 2 2 2 2 2 5 4 4 3" xfId="36141" xr:uid="{00000000-0005-0000-0000-0000FC090000}"/>
    <cellStyle name="Comma 2 2 2 2 2 5 4 5" xfId="20898" xr:uid="{00000000-0005-0000-0000-0000FD090000}"/>
    <cellStyle name="Comma 2 2 2 2 2 5 4 5 2" xfId="39358" xr:uid="{00000000-0005-0000-0000-0000FE090000}"/>
    <cellStyle name="Comma 2 2 2 2 2 5 4 6" xfId="21971" xr:uid="{00000000-0005-0000-0000-0000FF090000}"/>
    <cellStyle name="Comma 2 2 2 2 2 5 4 7" xfId="23136" xr:uid="{00000000-0005-0000-0000-0000000A0000}"/>
    <cellStyle name="Comma 2 2 2 2 2 5 4 8" xfId="26293" xr:uid="{00000000-0005-0000-0000-0000010A0000}"/>
    <cellStyle name="Comma 2 2 2 2 2 5 4 9" xfId="29626" xr:uid="{00000000-0005-0000-0000-0000020A0000}"/>
    <cellStyle name="Comma 2 2 2 2 2 5 5" xfId="709" xr:uid="{00000000-0005-0000-0000-0000030A0000}"/>
    <cellStyle name="Comma 2 2 2 2 2 5 5 10" xfId="32935" xr:uid="{00000000-0005-0000-0000-0000040A0000}"/>
    <cellStyle name="Comma 2 2 2 2 2 5 5 2" xfId="9480" xr:uid="{00000000-0005-0000-0000-0000050A0000}"/>
    <cellStyle name="Comma 2 2 2 2 2 5 5 2 2" xfId="25280" xr:uid="{00000000-0005-0000-0000-0000060A0000}"/>
    <cellStyle name="Comma 2 2 2 2 2 5 5 2 2 2" xfId="44707" xr:uid="{00000000-0005-0000-0000-0000070A0000}"/>
    <cellStyle name="Comma 2 2 2 2 2 5 5 2 2 3" xfId="38284" xr:uid="{00000000-0005-0000-0000-0000080A0000}"/>
    <cellStyle name="Comma 2 2 2 2 2 5 5 2 3" xfId="27458" xr:uid="{00000000-0005-0000-0000-0000090A0000}"/>
    <cellStyle name="Comma 2 2 2 2 2 5 5 2 3 2" xfId="41500" xr:uid="{00000000-0005-0000-0000-00000A0A0000}"/>
    <cellStyle name="Comma 2 2 2 2 2 5 5 2 4" xfId="30793" xr:uid="{00000000-0005-0000-0000-00000B0A0000}"/>
    <cellStyle name="Comma 2 2 2 2 2 5 5 2 5" xfId="35076" xr:uid="{00000000-0005-0000-0000-00000C0A0000}"/>
    <cellStyle name="Comma 2 2 2 2 2 5 5 3" xfId="15092" xr:uid="{00000000-0005-0000-0000-00000D0A0000}"/>
    <cellStyle name="Comma 2 2 2 2 2 5 5 3 2" xfId="24105" xr:uid="{00000000-0005-0000-0000-00000E0A0000}"/>
    <cellStyle name="Comma 2 2 2 2 2 5 5 3 2 2" xfId="43534" xr:uid="{00000000-0005-0000-0000-00000F0A0000}"/>
    <cellStyle name="Comma 2 2 2 2 2 5 5 3 2 3" xfId="37111" xr:uid="{00000000-0005-0000-0000-0000100A0000}"/>
    <cellStyle name="Comma 2 2 2 2 2 5 5 3 3" xfId="28428" xr:uid="{00000000-0005-0000-0000-0000110A0000}"/>
    <cellStyle name="Comma 2 2 2 2 2 5 5 3 3 2" xfId="40327" xr:uid="{00000000-0005-0000-0000-0000120A0000}"/>
    <cellStyle name="Comma 2 2 2 2 2 5 5 3 4" xfId="31763" xr:uid="{00000000-0005-0000-0000-0000130A0000}"/>
    <cellStyle name="Comma 2 2 2 2 2 5 5 3 5" xfId="33903" xr:uid="{00000000-0005-0000-0000-0000140A0000}"/>
    <cellStyle name="Comma 2 2 2 2 2 5 5 4" xfId="7908" xr:uid="{00000000-0005-0000-0000-0000150A0000}"/>
    <cellStyle name="Comma 2 2 2 2 2 5 5 4 2" xfId="42566" xr:uid="{00000000-0005-0000-0000-0000160A0000}"/>
    <cellStyle name="Comma 2 2 2 2 2 5 5 4 3" xfId="36142" xr:uid="{00000000-0005-0000-0000-0000170A0000}"/>
    <cellStyle name="Comma 2 2 2 2 2 5 5 5" xfId="20899" xr:uid="{00000000-0005-0000-0000-0000180A0000}"/>
    <cellStyle name="Comma 2 2 2 2 2 5 5 5 2" xfId="39359" xr:uid="{00000000-0005-0000-0000-0000190A0000}"/>
    <cellStyle name="Comma 2 2 2 2 2 5 5 6" xfId="21972" xr:uid="{00000000-0005-0000-0000-00001A0A0000}"/>
    <cellStyle name="Comma 2 2 2 2 2 5 5 7" xfId="23137" xr:uid="{00000000-0005-0000-0000-00001B0A0000}"/>
    <cellStyle name="Comma 2 2 2 2 2 5 5 8" xfId="26294" xr:uid="{00000000-0005-0000-0000-00001C0A0000}"/>
    <cellStyle name="Comma 2 2 2 2 2 5 5 9" xfId="29627" xr:uid="{00000000-0005-0000-0000-00001D0A0000}"/>
    <cellStyle name="Comma 2 2 2 2 2 5 6" xfId="9476" xr:uid="{00000000-0005-0000-0000-00001E0A0000}"/>
    <cellStyle name="Comma 2 2 2 2 2 5 6 2" xfId="25276" xr:uid="{00000000-0005-0000-0000-00001F0A0000}"/>
    <cellStyle name="Comma 2 2 2 2 2 5 6 2 2" xfId="44703" xr:uid="{00000000-0005-0000-0000-0000200A0000}"/>
    <cellStyle name="Comma 2 2 2 2 2 5 6 2 3" xfId="38280" xr:uid="{00000000-0005-0000-0000-0000210A0000}"/>
    <cellStyle name="Comma 2 2 2 2 2 5 6 3" xfId="27454" xr:uid="{00000000-0005-0000-0000-0000220A0000}"/>
    <cellStyle name="Comma 2 2 2 2 2 5 6 3 2" xfId="41496" xr:uid="{00000000-0005-0000-0000-0000230A0000}"/>
    <cellStyle name="Comma 2 2 2 2 2 5 6 4" xfId="30789" xr:uid="{00000000-0005-0000-0000-0000240A0000}"/>
    <cellStyle name="Comma 2 2 2 2 2 5 6 5" xfId="35072" xr:uid="{00000000-0005-0000-0000-0000250A0000}"/>
    <cellStyle name="Comma 2 2 2 2 2 5 7" xfId="15088" xr:uid="{00000000-0005-0000-0000-0000260A0000}"/>
    <cellStyle name="Comma 2 2 2 2 2 5 7 2" xfId="24101" xr:uid="{00000000-0005-0000-0000-0000270A0000}"/>
    <cellStyle name="Comma 2 2 2 2 2 5 7 2 2" xfId="43530" xr:uid="{00000000-0005-0000-0000-0000280A0000}"/>
    <cellStyle name="Comma 2 2 2 2 2 5 7 2 3" xfId="37107" xr:uid="{00000000-0005-0000-0000-0000290A0000}"/>
    <cellStyle name="Comma 2 2 2 2 2 5 7 3" xfId="28424" xr:uid="{00000000-0005-0000-0000-00002A0A0000}"/>
    <cellStyle name="Comma 2 2 2 2 2 5 7 3 2" xfId="40323" xr:uid="{00000000-0005-0000-0000-00002B0A0000}"/>
    <cellStyle name="Comma 2 2 2 2 2 5 7 4" xfId="31759" xr:uid="{00000000-0005-0000-0000-00002C0A0000}"/>
    <cellStyle name="Comma 2 2 2 2 2 5 7 5" xfId="33899" xr:uid="{00000000-0005-0000-0000-00002D0A0000}"/>
    <cellStyle name="Comma 2 2 2 2 2 5 8" xfId="7904" xr:uid="{00000000-0005-0000-0000-00002E0A0000}"/>
    <cellStyle name="Comma 2 2 2 2 2 5 8 2" xfId="42562" xr:uid="{00000000-0005-0000-0000-00002F0A0000}"/>
    <cellStyle name="Comma 2 2 2 2 2 5 8 3" xfId="36138" xr:uid="{00000000-0005-0000-0000-0000300A0000}"/>
    <cellStyle name="Comma 2 2 2 2 2 5 9" xfId="20895" xr:uid="{00000000-0005-0000-0000-0000310A0000}"/>
    <cellStyle name="Comma 2 2 2 2 2 5 9 2" xfId="39355" xr:uid="{00000000-0005-0000-0000-0000320A0000}"/>
    <cellStyle name="Comma 2 2 2 2 2 6" xfId="710" xr:uid="{00000000-0005-0000-0000-0000330A0000}"/>
    <cellStyle name="Comma 2 2 2 2 2 6 10" xfId="32936" xr:uid="{00000000-0005-0000-0000-0000340A0000}"/>
    <cellStyle name="Comma 2 2 2 2 2 6 2" xfId="9481" xr:uid="{00000000-0005-0000-0000-0000350A0000}"/>
    <cellStyle name="Comma 2 2 2 2 2 6 2 2" xfId="25281" xr:uid="{00000000-0005-0000-0000-0000360A0000}"/>
    <cellStyle name="Comma 2 2 2 2 2 6 2 2 2" xfId="44708" xr:uid="{00000000-0005-0000-0000-0000370A0000}"/>
    <cellStyle name="Comma 2 2 2 2 2 6 2 2 3" xfId="38285" xr:uid="{00000000-0005-0000-0000-0000380A0000}"/>
    <cellStyle name="Comma 2 2 2 2 2 6 2 3" xfId="27459" xr:uid="{00000000-0005-0000-0000-0000390A0000}"/>
    <cellStyle name="Comma 2 2 2 2 2 6 2 3 2" xfId="41501" xr:uid="{00000000-0005-0000-0000-00003A0A0000}"/>
    <cellStyle name="Comma 2 2 2 2 2 6 2 4" xfId="30794" xr:uid="{00000000-0005-0000-0000-00003B0A0000}"/>
    <cellStyle name="Comma 2 2 2 2 2 6 2 5" xfId="35077" xr:uid="{00000000-0005-0000-0000-00003C0A0000}"/>
    <cellStyle name="Comma 2 2 2 2 2 6 3" xfId="15093" xr:uid="{00000000-0005-0000-0000-00003D0A0000}"/>
    <cellStyle name="Comma 2 2 2 2 2 6 3 2" xfId="24106" xr:uid="{00000000-0005-0000-0000-00003E0A0000}"/>
    <cellStyle name="Comma 2 2 2 2 2 6 3 2 2" xfId="43535" xr:uid="{00000000-0005-0000-0000-00003F0A0000}"/>
    <cellStyle name="Comma 2 2 2 2 2 6 3 2 3" xfId="37112" xr:uid="{00000000-0005-0000-0000-0000400A0000}"/>
    <cellStyle name="Comma 2 2 2 2 2 6 3 3" xfId="28429" xr:uid="{00000000-0005-0000-0000-0000410A0000}"/>
    <cellStyle name="Comma 2 2 2 2 2 6 3 3 2" xfId="40328" xr:uid="{00000000-0005-0000-0000-0000420A0000}"/>
    <cellStyle name="Comma 2 2 2 2 2 6 3 4" xfId="31764" xr:uid="{00000000-0005-0000-0000-0000430A0000}"/>
    <cellStyle name="Comma 2 2 2 2 2 6 3 5" xfId="33904" xr:uid="{00000000-0005-0000-0000-0000440A0000}"/>
    <cellStyle name="Comma 2 2 2 2 2 6 4" xfId="7909" xr:uid="{00000000-0005-0000-0000-0000450A0000}"/>
    <cellStyle name="Comma 2 2 2 2 2 6 4 2" xfId="42567" xr:uid="{00000000-0005-0000-0000-0000460A0000}"/>
    <cellStyle name="Comma 2 2 2 2 2 6 4 3" xfId="36143" xr:uid="{00000000-0005-0000-0000-0000470A0000}"/>
    <cellStyle name="Comma 2 2 2 2 2 6 5" xfId="20900" xr:uid="{00000000-0005-0000-0000-0000480A0000}"/>
    <cellStyle name="Comma 2 2 2 2 2 6 5 2" xfId="39360" xr:uid="{00000000-0005-0000-0000-0000490A0000}"/>
    <cellStyle name="Comma 2 2 2 2 2 6 6" xfId="21973" xr:uid="{00000000-0005-0000-0000-00004A0A0000}"/>
    <cellStyle name="Comma 2 2 2 2 2 6 7" xfId="23138" xr:uid="{00000000-0005-0000-0000-00004B0A0000}"/>
    <cellStyle name="Comma 2 2 2 2 2 6 8" xfId="26295" xr:uid="{00000000-0005-0000-0000-00004C0A0000}"/>
    <cellStyle name="Comma 2 2 2 2 2 6 9" xfId="29628" xr:uid="{00000000-0005-0000-0000-00004D0A0000}"/>
    <cellStyle name="Comma 2 2 2 2 2 7" xfId="711" xr:uid="{00000000-0005-0000-0000-00004E0A0000}"/>
    <cellStyle name="Comma 2 2 2 2 2 7 10" xfId="32937" xr:uid="{00000000-0005-0000-0000-00004F0A0000}"/>
    <cellStyle name="Comma 2 2 2 2 2 7 2" xfId="9482" xr:uid="{00000000-0005-0000-0000-0000500A0000}"/>
    <cellStyle name="Comma 2 2 2 2 2 7 2 2" xfId="25282" xr:uid="{00000000-0005-0000-0000-0000510A0000}"/>
    <cellStyle name="Comma 2 2 2 2 2 7 2 2 2" xfId="44709" xr:uid="{00000000-0005-0000-0000-0000520A0000}"/>
    <cellStyle name="Comma 2 2 2 2 2 7 2 2 3" xfId="38286" xr:uid="{00000000-0005-0000-0000-0000530A0000}"/>
    <cellStyle name="Comma 2 2 2 2 2 7 2 3" xfId="27460" xr:uid="{00000000-0005-0000-0000-0000540A0000}"/>
    <cellStyle name="Comma 2 2 2 2 2 7 2 3 2" xfId="41502" xr:uid="{00000000-0005-0000-0000-0000550A0000}"/>
    <cellStyle name="Comma 2 2 2 2 2 7 2 4" xfId="30795" xr:uid="{00000000-0005-0000-0000-0000560A0000}"/>
    <cellStyle name="Comma 2 2 2 2 2 7 2 5" xfId="35078" xr:uid="{00000000-0005-0000-0000-0000570A0000}"/>
    <cellStyle name="Comma 2 2 2 2 2 7 3" xfId="15094" xr:uid="{00000000-0005-0000-0000-0000580A0000}"/>
    <cellStyle name="Comma 2 2 2 2 2 7 3 2" xfId="24107" xr:uid="{00000000-0005-0000-0000-0000590A0000}"/>
    <cellStyle name="Comma 2 2 2 2 2 7 3 2 2" xfId="43536" xr:uid="{00000000-0005-0000-0000-00005A0A0000}"/>
    <cellStyle name="Comma 2 2 2 2 2 7 3 2 3" xfId="37113" xr:uid="{00000000-0005-0000-0000-00005B0A0000}"/>
    <cellStyle name="Comma 2 2 2 2 2 7 3 3" xfId="28430" xr:uid="{00000000-0005-0000-0000-00005C0A0000}"/>
    <cellStyle name="Comma 2 2 2 2 2 7 3 3 2" xfId="40329" xr:uid="{00000000-0005-0000-0000-00005D0A0000}"/>
    <cellStyle name="Comma 2 2 2 2 2 7 3 4" xfId="31765" xr:uid="{00000000-0005-0000-0000-00005E0A0000}"/>
    <cellStyle name="Comma 2 2 2 2 2 7 3 5" xfId="33905" xr:uid="{00000000-0005-0000-0000-00005F0A0000}"/>
    <cellStyle name="Comma 2 2 2 2 2 7 4" xfId="7910" xr:uid="{00000000-0005-0000-0000-0000600A0000}"/>
    <cellStyle name="Comma 2 2 2 2 2 7 4 2" xfId="42568" xr:uid="{00000000-0005-0000-0000-0000610A0000}"/>
    <cellStyle name="Comma 2 2 2 2 2 7 4 3" xfId="36144" xr:uid="{00000000-0005-0000-0000-0000620A0000}"/>
    <cellStyle name="Comma 2 2 2 2 2 7 5" xfId="20901" xr:uid="{00000000-0005-0000-0000-0000630A0000}"/>
    <cellStyle name="Comma 2 2 2 2 2 7 5 2" xfId="39361" xr:uid="{00000000-0005-0000-0000-0000640A0000}"/>
    <cellStyle name="Comma 2 2 2 2 2 7 6" xfId="21974" xr:uid="{00000000-0005-0000-0000-0000650A0000}"/>
    <cellStyle name="Comma 2 2 2 2 2 7 7" xfId="23139" xr:uid="{00000000-0005-0000-0000-0000660A0000}"/>
    <cellStyle name="Comma 2 2 2 2 2 7 8" xfId="26296" xr:uid="{00000000-0005-0000-0000-0000670A0000}"/>
    <cellStyle name="Comma 2 2 2 2 2 7 9" xfId="29629" xr:uid="{00000000-0005-0000-0000-0000680A0000}"/>
    <cellStyle name="Comma 2 2 2 2 2 8" xfId="712" xr:uid="{00000000-0005-0000-0000-0000690A0000}"/>
    <cellStyle name="Comma 2 2 2 2 2 8 10" xfId="32938" xr:uid="{00000000-0005-0000-0000-00006A0A0000}"/>
    <cellStyle name="Comma 2 2 2 2 2 8 2" xfId="9483" xr:uid="{00000000-0005-0000-0000-00006B0A0000}"/>
    <cellStyle name="Comma 2 2 2 2 2 8 2 2" xfId="25283" xr:uid="{00000000-0005-0000-0000-00006C0A0000}"/>
    <cellStyle name="Comma 2 2 2 2 2 8 2 2 2" xfId="44710" xr:uid="{00000000-0005-0000-0000-00006D0A0000}"/>
    <cellStyle name="Comma 2 2 2 2 2 8 2 2 3" xfId="38287" xr:uid="{00000000-0005-0000-0000-00006E0A0000}"/>
    <cellStyle name="Comma 2 2 2 2 2 8 2 3" xfId="27461" xr:uid="{00000000-0005-0000-0000-00006F0A0000}"/>
    <cellStyle name="Comma 2 2 2 2 2 8 2 3 2" xfId="41503" xr:uid="{00000000-0005-0000-0000-0000700A0000}"/>
    <cellStyle name="Comma 2 2 2 2 2 8 2 4" xfId="30796" xr:uid="{00000000-0005-0000-0000-0000710A0000}"/>
    <cellStyle name="Comma 2 2 2 2 2 8 2 5" xfId="35079" xr:uid="{00000000-0005-0000-0000-0000720A0000}"/>
    <cellStyle name="Comma 2 2 2 2 2 8 3" xfId="15095" xr:uid="{00000000-0005-0000-0000-0000730A0000}"/>
    <cellStyle name="Comma 2 2 2 2 2 8 3 2" xfId="24108" xr:uid="{00000000-0005-0000-0000-0000740A0000}"/>
    <cellStyle name="Comma 2 2 2 2 2 8 3 2 2" xfId="43537" xr:uid="{00000000-0005-0000-0000-0000750A0000}"/>
    <cellStyle name="Comma 2 2 2 2 2 8 3 2 3" xfId="37114" xr:uid="{00000000-0005-0000-0000-0000760A0000}"/>
    <cellStyle name="Comma 2 2 2 2 2 8 3 3" xfId="28431" xr:uid="{00000000-0005-0000-0000-0000770A0000}"/>
    <cellStyle name="Comma 2 2 2 2 2 8 3 3 2" xfId="40330" xr:uid="{00000000-0005-0000-0000-0000780A0000}"/>
    <cellStyle name="Comma 2 2 2 2 2 8 3 4" xfId="31766" xr:uid="{00000000-0005-0000-0000-0000790A0000}"/>
    <cellStyle name="Comma 2 2 2 2 2 8 3 5" xfId="33906" xr:uid="{00000000-0005-0000-0000-00007A0A0000}"/>
    <cellStyle name="Comma 2 2 2 2 2 8 4" xfId="7911" xr:uid="{00000000-0005-0000-0000-00007B0A0000}"/>
    <cellStyle name="Comma 2 2 2 2 2 8 4 2" xfId="42569" xr:uid="{00000000-0005-0000-0000-00007C0A0000}"/>
    <cellStyle name="Comma 2 2 2 2 2 8 4 3" xfId="36145" xr:uid="{00000000-0005-0000-0000-00007D0A0000}"/>
    <cellStyle name="Comma 2 2 2 2 2 8 5" xfId="20902" xr:uid="{00000000-0005-0000-0000-00007E0A0000}"/>
    <cellStyle name="Comma 2 2 2 2 2 8 5 2" xfId="39362" xr:uid="{00000000-0005-0000-0000-00007F0A0000}"/>
    <cellStyle name="Comma 2 2 2 2 2 8 6" xfId="21975" xr:uid="{00000000-0005-0000-0000-0000800A0000}"/>
    <cellStyle name="Comma 2 2 2 2 2 8 7" xfId="23140" xr:uid="{00000000-0005-0000-0000-0000810A0000}"/>
    <cellStyle name="Comma 2 2 2 2 2 8 8" xfId="26297" xr:uid="{00000000-0005-0000-0000-0000820A0000}"/>
    <cellStyle name="Comma 2 2 2 2 2 8 9" xfId="29630" xr:uid="{00000000-0005-0000-0000-0000830A0000}"/>
    <cellStyle name="Comma 2 2 2 2 2 9" xfId="713" xr:uid="{00000000-0005-0000-0000-0000840A0000}"/>
    <cellStyle name="Comma 2 2 2 2 2 9 10" xfId="32939" xr:uid="{00000000-0005-0000-0000-0000850A0000}"/>
    <cellStyle name="Comma 2 2 2 2 2 9 2" xfId="9484" xr:uid="{00000000-0005-0000-0000-0000860A0000}"/>
    <cellStyle name="Comma 2 2 2 2 2 9 2 2" xfId="25284" xr:uid="{00000000-0005-0000-0000-0000870A0000}"/>
    <cellStyle name="Comma 2 2 2 2 2 9 2 2 2" xfId="44711" xr:uid="{00000000-0005-0000-0000-0000880A0000}"/>
    <cellStyle name="Comma 2 2 2 2 2 9 2 2 3" xfId="38288" xr:uid="{00000000-0005-0000-0000-0000890A0000}"/>
    <cellStyle name="Comma 2 2 2 2 2 9 2 3" xfId="27462" xr:uid="{00000000-0005-0000-0000-00008A0A0000}"/>
    <cellStyle name="Comma 2 2 2 2 2 9 2 3 2" xfId="41504" xr:uid="{00000000-0005-0000-0000-00008B0A0000}"/>
    <cellStyle name="Comma 2 2 2 2 2 9 2 4" xfId="30797" xr:uid="{00000000-0005-0000-0000-00008C0A0000}"/>
    <cellStyle name="Comma 2 2 2 2 2 9 2 5" xfId="35080" xr:uid="{00000000-0005-0000-0000-00008D0A0000}"/>
    <cellStyle name="Comma 2 2 2 2 2 9 3" xfId="15096" xr:uid="{00000000-0005-0000-0000-00008E0A0000}"/>
    <cellStyle name="Comma 2 2 2 2 2 9 3 2" xfId="24109" xr:uid="{00000000-0005-0000-0000-00008F0A0000}"/>
    <cellStyle name="Comma 2 2 2 2 2 9 3 2 2" xfId="43538" xr:uid="{00000000-0005-0000-0000-0000900A0000}"/>
    <cellStyle name="Comma 2 2 2 2 2 9 3 2 3" xfId="37115" xr:uid="{00000000-0005-0000-0000-0000910A0000}"/>
    <cellStyle name="Comma 2 2 2 2 2 9 3 3" xfId="28432" xr:uid="{00000000-0005-0000-0000-0000920A0000}"/>
    <cellStyle name="Comma 2 2 2 2 2 9 3 3 2" xfId="40331" xr:uid="{00000000-0005-0000-0000-0000930A0000}"/>
    <cellStyle name="Comma 2 2 2 2 2 9 3 4" xfId="31767" xr:uid="{00000000-0005-0000-0000-0000940A0000}"/>
    <cellStyle name="Comma 2 2 2 2 2 9 3 5" xfId="33907" xr:uid="{00000000-0005-0000-0000-0000950A0000}"/>
    <cellStyle name="Comma 2 2 2 2 2 9 4" xfId="7912" xr:uid="{00000000-0005-0000-0000-0000960A0000}"/>
    <cellStyle name="Comma 2 2 2 2 2 9 4 2" xfId="42570" xr:uid="{00000000-0005-0000-0000-0000970A0000}"/>
    <cellStyle name="Comma 2 2 2 2 2 9 4 3" xfId="36146" xr:uid="{00000000-0005-0000-0000-0000980A0000}"/>
    <cellStyle name="Comma 2 2 2 2 2 9 5" xfId="20903" xr:uid="{00000000-0005-0000-0000-0000990A0000}"/>
    <cellStyle name="Comma 2 2 2 2 2 9 5 2" xfId="39363" xr:uid="{00000000-0005-0000-0000-00009A0A0000}"/>
    <cellStyle name="Comma 2 2 2 2 2 9 6" xfId="21976" xr:uid="{00000000-0005-0000-0000-00009B0A0000}"/>
    <cellStyle name="Comma 2 2 2 2 2 9 7" xfId="23141" xr:uid="{00000000-0005-0000-0000-00009C0A0000}"/>
    <cellStyle name="Comma 2 2 2 2 2 9 8" xfId="26298" xr:uid="{00000000-0005-0000-0000-00009D0A0000}"/>
    <cellStyle name="Comma 2 2 2 2 2 9 9" xfId="29631" xr:uid="{00000000-0005-0000-0000-00009E0A0000}"/>
    <cellStyle name="Comma 2 2 2 2 20" xfId="32791" xr:uid="{00000000-0005-0000-0000-00009F0A0000}"/>
    <cellStyle name="Comma 2 2 2 2 3" xfId="176" xr:uid="{00000000-0005-0000-0000-0000A00A0000}"/>
    <cellStyle name="Comma 2 2 2 2 3 10" xfId="15097" xr:uid="{00000000-0005-0000-0000-0000A10A0000}"/>
    <cellStyle name="Comma 2 2 2 2 3 10 2" xfId="24110" xr:uid="{00000000-0005-0000-0000-0000A20A0000}"/>
    <cellStyle name="Comma 2 2 2 2 3 10 2 2" xfId="43539" xr:uid="{00000000-0005-0000-0000-0000A30A0000}"/>
    <cellStyle name="Comma 2 2 2 2 3 10 2 3" xfId="37116" xr:uid="{00000000-0005-0000-0000-0000A40A0000}"/>
    <cellStyle name="Comma 2 2 2 2 3 10 3" xfId="28433" xr:uid="{00000000-0005-0000-0000-0000A50A0000}"/>
    <cellStyle name="Comma 2 2 2 2 3 10 3 2" xfId="40332" xr:uid="{00000000-0005-0000-0000-0000A60A0000}"/>
    <cellStyle name="Comma 2 2 2 2 3 10 4" xfId="31768" xr:uid="{00000000-0005-0000-0000-0000A70A0000}"/>
    <cellStyle name="Comma 2 2 2 2 3 10 5" xfId="33908" xr:uid="{00000000-0005-0000-0000-0000A80A0000}"/>
    <cellStyle name="Comma 2 2 2 2 3 11" xfId="7913" xr:uid="{00000000-0005-0000-0000-0000A90A0000}"/>
    <cellStyle name="Comma 2 2 2 2 3 11 2" xfId="42406" xr:uid="{00000000-0005-0000-0000-0000AA0A0000}"/>
    <cellStyle name="Comma 2 2 2 2 3 11 3" xfId="35982" xr:uid="{00000000-0005-0000-0000-0000AB0A0000}"/>
    <cellStyle name="Comma 2 2 2 2 3 12" xfId="20904" xr:uid="{00000000-0005-0000-0000-0000AC0A0000}"/>
    <cellStyle name="Comma 2 2 2 2 3 12 2" xfId="39199" xr:uid="{00000000-0005-0000-0000-0000AD0A0000}"/>
    <cellStyle name="Comma 2 2 2 2 3 13" xfId="21977" xr:uid="{00000000-0005-0000-0000-0000AE0A0000}"/>
    <cellStyle name="Comma 2 2 2 2 3 14" xfId="22977" xr:uid="{00000000-0005-0000-0000-0000AF0A0000}"/>
    <cellStyle name="Comma 2 2 2 2 3 15" xfId="26299" xr:uid="{00000000-0005-0000-0000-0000B00A0000}"/>
    <cellStyle name="Comma 2 2 2 2 3 16" xfId="29632" xr:uid="{00000000-0005-0000-0000-0000B10A0000}"/>
    <cellStyle name="Comma 2 2 2 2 3 17" xfId="32775" xr:uid="{00000000-0005-0000-0000-0000B20A0000}"/>
    <cellStyle name="Comma 2 2 2 2 3 2" xfId="189" xr:uid="{00000000-0005-0000-0000-0000B30A0000}"/>
    <cellStyle name="Comma 2 2 2 2 3 2 10" xfId="20905" xr:uid="{00000000-0005-0000-0000-0000B40A0000}"/>
    <cellStyle name="Comma 2 2 2 2 3 2 10 2" xfId="39205" xr:uid="{00000000-0005-0000-0000-0000B50A0000}"/>
    <cellStyle name="Comma 2 2 2 2 3 2 11" xfId="21978" xr:uid="{00000000-0005-0000-0000-0000B60A0000}"/>
    <cellStyle name="Comma 2 2 2 2 3 2 12" xfId="22983" xr:uid="{00000000-0005-0000-0000-0000B70A0000}"/>
    <cellStyle name="Comma 2 2 2 2 3 2 13" xfId="26300" xr:uid="{00000000-0005-0000-0000-0000B80A0000}"/>
    <cellStyle name="Comma 2 2 2 2 3 2 14" xfId="29633" xr:uid="{00000000-0005-0000-0000-0000B90A0000}"/>
    <cellStyle name="Comma 2 2 2 2 3 2 15" xfId="32781" xr:uid="{00000000-0005-0000-0000-0000BA0A0000}"/>
    <cellStyle name="Comma 2 2 2 2 3 2 2" xfId="714" xr:uid="{00000000-0005-0000-0000-0000BB0A0000}"/>
    <cellStyle name="Comma 2 2 2 2 3 2 2 10" xfId="32940" xr:uid="{00000000-0005-0000-0000-0000BC0A0000}"/>
    <cellStyle name="Comma 2 2 2 2 3 2 2 2" xfId="9485" xr:uid="{00000000-0005-0000-0000-0000BD0A0000}"/>
    <cellStyle name="Comma 2 2 2 2 3 2 2 2 2" xfId="25285" xr:uid="{00000000-0005-0000-0000-0000BE0A0000}"/>
    <cellStyle name="Comma 2 2 2 2 3 2 2 2 2 2" xfId="44712" xr:uid="{00000000-0005-0000-0000-0000BF0A0000}"/>
    <cellStyle name="Comma 2 2 2 2 3 2 2 2 2 3" xfId="38289" xr:uid="{00000000-0005-0000-0000-0000C00A0000}"/>
    <cellStyle name="Comma 2 2 2 2 3 2 2 2 3" xfId="27463" xr:uid="{00000000-0005-0000-0000-0000C10A0000}"/>
    <cellStyle name="Comma 2 2 2 2 3 2 2 2 3 2" xfId="41505" xr:uid="{00000000-0005-0000-0000-0000C20A0000}"/>
    <cellStyle name="Comma 2 2 2 2 3 2 2 2 4" xfId="30798" xr:uid="{00000000-0005-0000-0000-0000C30A0000}"/>
    <cellStyle name="Comma 2 2 2 2 3 2 2 2 5" xfId="35081" xr:uid="{00000000-0005-0000-0000-0000C40A0000}"/>
    <cellStyle name="Comma 2 2 2 2 3 2 2 3" xfId="15099" xr:uid="{00000000-0005-0000-0000-0000C50A0000}"/>
    <cellStyle name="Comma 2 2 2 2 3 2 2 3 2" xfId="24112" xr:uid="{00000000-0005-0000-0000-0000C60A0000}"/>
    <cellStyle name="Comma 2 2 2 2 3 2 2 3 2 2" xfId="43541" xr:uid="{00000000-0005-0000-0000-0000C70A0000}"/>
    <cellStyle name="Comma 2 2 2 2 3 2 2 3 2 3" xfId="37118" xr:uid="{00000000-0005-0000-0000-0000C80A0000}"/>
    <cellStyle name="Comma 2 2 2 2 3 2 2 3 3" xfId="28435" xr:uid="{00000000-0005-0000-0000-0000C90A0000}"/>
    <cellStyle name="Comma 2 2 2 2 3 2 2 3 3 2" xfId="40334" xr:uid="{00000000-0005-0000-0000-0000CA0A0000}"/>
    <cellStyle name="Comma 2 2 2 2 3 2 2 3 4" xfId="31770" xr:uid="{00000000-0005-0000-0000-0000CB0A0000}"/>
    <cellStyle name="Comma 2 2 2 2 3 2 2 3 5" xfId="33910" xr:uid="{00000000-0005-0000-0000-0000CC0A0000}"/>
    <cellStyle name="Comma 2 2 2 2 3 2 2 4" xfId="7915" xr:uid="{00000000-0005-0000-0000-0000CD0A0000}"/>
    <cellStyle name="Comma 2 2 2 2 3 2 2 4 2" xfId="42571" xr:uid="{00000000-0005-0000-0000-0000CE0A0000}"/>
    <cellStyle name="Comma 2 2 2 2 3 2 2 4 3" xfId="36147" xr:uid="{00000000-0005-0000-0000-0000CF0A0000}"/>
    <cellStyle name="Comma 2 2 2 2 3 2 2 5" xfId="20906" xr:uid="{00000000-0005-0000-0000-0000D00A0000}"/>
    <cellStyle name="Comma 2 2 2 2 3 2 2 5 2" xfId="39364" xr:uid="{00000000-0005-0000-0000-0000D10A0000}"/>
    <cellStyle name="Comma 2 2 2 2 3 2 2 6" xfId="21979" xr:uid="{00000000-0005-0000-0000-0000D20A0000}"/>
    <cellStyle name="Comma 2 2 2 2 3 2 2 7" xfId="23142" xr:uid="{00000000-0005-0000-0000-0000D30A0000}"/>
    <cellStyle name="Comma 2 2 2 2 3 2 2 8" xfId="26301" xr:uid="{00000000-0005-0000-0000-0000D40A0000}"/>
    <cellStyle name="Comma 2 2 2 2 3 2 2 9" xfId="29634" xr:uid="{00000000-0005-0000-0000-0000D50A0000}"/>
    <cellStyle name="Comma 2 2 2 2 3 2 3" xfId="715" xr:uid="{00000000-0005-0000-0000-0000D60A0000}"/>
    <cellStyle name="Comma 2 2 2 2 3 2 3 10" xfId="32941" xr:uid="{00000000-0005-0000-0000-0000D70A0000}"/>
    <cellStyle name="Comma 2 2 2 2 3 2 3 2" xfId="9486" xr:uid="{00000000-0005-0000-0000-0000D80A0000}"/>
    <cellStyle name="Comma 2 2 2 2 3 2 3 2 2" xfId="25286" xr:uid="{00000000-0005-0000-0000-0000D90A0000}"/>
    <cellStyle name="Comma 2 2 2 2 3 2 3 2 2 2" xfId="44713" xr:uid="{00000000-0005-0000-0000-0000DA0A0000}"/>
    <cellStyle name="Comma 2 2 2 2 3 2 3 2 2 3" xfId="38290" xr:uid="{00000000-0005-0000-0000-0000DB0A0000}"/>
    <cellStyle name="Comma 2 2 2 2 3 2 3 2 3" xfId="27464" xr:uid="{00000000-0005-0000-0000-0000DC0A0000}"/>
    <cellStyle name="Comma 2 2 2 2 3 2 3 2 3 2" xfId="41506" xr:uid="{00000000-0005-0000-0000-0000DD0A0000}"/>
    <cellStyle name="Comma 2 2 2 2 3 2 3 2 4" xfId="30799" xr:uid="{00000000-0005-0000-0000-0000DE0A0000}"/>
    <cellStyle name="Comma 2 2 2 2 3 2 3 2 5" xfId="35082" xr:uid="{00000000-0005-0000-0000-0000DF0A0000}"/>
    <cellStyle name="Comma 2 2 2 2 3 2 3 3" xfId="15100" xr:uid="{00000000-0005-0000-0000-0000E00A0000}"/>
    <cellStyle name="Comma 2 2 2 2 3 2 3 3 2" xfId="24113" xr:uid="{00000000-0005-0000-0000-0000E10A0000}"/>
    <cellStyle name="Comma 2 2 2 2 3 2 3 3 2 2" xfId="43542" xr:uid="{00000000-0005-0000-0000-0000E20A0000}"/>
    <cellStyle name="Comma 2 2 2 2 3 2 3 3 2 3" xfId="37119" xr:uid="{00000000-0005-0000-0000-0000E30A0000}"/>
    <cellStyle name="Comma 2 2 2 2 3 2 3 3 3" xfId="28436" xr:uid="{00000000-0005-0000-0000-0000E40A0000}"/>
    <cellStyle name="Comma 2 2 2 2 3 2 3 3 3 2" xfId="40335" xr:uid="{00000000-0005-0000-0000-0000E50A0000}"/>
    <cellStyle name="Comma 2 2 2 2 3 2 3 3 4" xfId="31771" xr:uid="{00000000-0005-0000-0000-0000E60A0000}"/>
    <cellStyle name="Comma 2 2 2 2 3 2 3 3 5" xfId="33911" xr:uid="{00000000-0005-0000-0000-0000E70A0000}"/>
    <cellStyle name="Comma 2 2 2 2 3 2 3 4" xfId="7916" xr:uid="{00000000-0005-0000-0000-0000E80A0000}"/>
    <cellStyle name="Comma 2 2 2 2 3 2 3 4 2" xfId="42572" xr:uid="{00000000-0005-0000-0000-0000E90A0000}"/>
    <cellStyle name="Comma 2 2 2 2 3 2 3 4 3" xfId="36148" xr:uid="{00000000-0005-0000-0000-0000EA0A0000}"/>
    <cellStyle name="Comma 2 2 2 2 3 2 3 5" xfId="20907" xr:uid="{00000000-0005-0000-0000-0000EB0A0000}"/>
    <cellStyle name="Comma 2 2 2 2 3 2 3 5 2" xfId="39365" xr:uid="{00000000-0005-0000-0000-0000EC0A0000}"/>
    <cellStyle name="Comma 2 2 2 2 3 2 3 6" xfId="21980" xr:uid="{00000000-0005-0000-0000-0000ED0A0000}"/>
    <cellStyle name="Comma 2 2 2 2 3 2 3 7" xfId="23143" xr:uid="{00000000-0005-0000-0000-0000EE0A0000}"/>
    <cellStyle name="Comma 2 2 2 2 3 2 3 8" xfId="26302" xr:uid="{00000000-0005-0000-0000-0000EF0A0000}"/>
    <cellStyle name="Comma 2 2 2 2 3 2 3 9" xfId="29635" xr:uid="{00000000-0005-0000-0000-0000F00A0000}"/>
    <cellStyle name="Comma 2 2 2 2 3 2 4" xfId="716" xr:uid="{00000000-0005-0000-0000-0000F10A0000}"/>
    <cellStyle name="Comma 2 2 2 2 3 2 4 10" xfId="32942" xr:uid="{00000000-0005-0000-0000-0000F20A0000}"/>
    <cellStyle name="Comma 2 2 2 2 3 2 4 2" xfId="9487" xr:uid="{00000000-0005-0000-0000-0000F30A0000}"/>
    <cellStyle name="Comma 2 2 2 2 3 2 4 2 2" xfId="25287" xr:uid="{00000000-0005-0000-0000-0000F40A0000}"/>
    <cellStyle name="Comma 2 2 2 2 3 2 4 2 2 2" xfId="44714" xr:uid="{00000000-0005-0000-0000-0000F50A0000}"/>
    <cellStyle name="Comma 2 2 2 2 3 2 4 2 2 3" xfId="38291" xr:uid="{00000000-0005-0000-0000-0000F60A0000}"/>
    <cellStyle name="Comma 2 2 2 2 3 2 4 2 3" xfId="27465" xr:uid="{00000000-0005-0000-0000-0000F70A0000}"/>
    <cellStyle name="Comma 2 2 2 2 3 2 4 2 3 2" xfId="41507" xr:uid="{00000000-0005-0000-0000-0000F80A0000}"/>
    <cellStyle name="Comma 2 2 2 2 3 2 4 2 4" xfId="30800" xr:uid="{00000000-0005-0000-0000-0000F90A0000}"/>
    <cellStyle name="Comma 2 2 2 2 3 2 4 2 5" xfId="35083" xr:uid="{00000000-0005-0000-0000-0000FA0A0000}"/>
    <cellStyle name="Comma 2 2 2 2 3 2 4 3" xfId="15101" xr:uid="{00000000-0005-0000-0000-0000FB0A0000}"/>
    <cellStyle name="Comma 2 2 2 2 3 2 4 3 2" xfId="24114" xr:uid="{00000000-0005-0000-0000-0000FC0A0000}"/>
    <cellStyle name="Comma 2 2 2 2 3 2 4 3 2 2" xfId="43543" xr:uid="{00000000-0005-0000-0000-0000FD0A0000}"/>
    <cellStyle name="Comma 2 2 2 2 3 2 4 3 2 3" xfId="37120" xr:uid="{00000000-0005-0000-0000-0000FE0A0000}"/>
    <cellStyle name="Comma 2 2 2 2 3 2 4 3 3" xfId="28437" xr:uid="{00000000-0005-0000-0000-0000FF0A0000}"/>
    <cellStyle name="Comma 2 2 2 2 3 2 4 3 3 2" xfId="40336" xr:uid="{00000000-0005-0000-0000-0000000B0000}"/>
    <cellStyle name="Comma 2 2 2 2 3 2 4 3 4" xfId="31772" xr:uid="{00000000-0005-0000-0000-0000010B0000}"/>
    <cellStyle name="Comma 2 2 2 2 3 2 4 3 5" xfId="33912" xr:uid="{00000000-0005-0000-0000-0000020B0000}"/>
    <cellStyle name="Comma 2 2 2 2 3 2 4 4" xfId="7917" xr:uid="{00000000-0005-0000-0000-0000030B0000}"/>
    <cellStyle name="Comma 2 2 2 2 3 2 4 4 2" xfId="42573" xr:uid="{00000000-0005-0000-0000-0000040B0000}"/>
    <cellStyle name="Comma 2 2 2 2 3 2 4 4 3" xfId="36149" xr:uid="{00000000-0005-0000-0000-0000050B0000}"/>
    <cellStyle name="Comma 2 2 2 2 3 2 4 5" xfId="20908" xr:uid="{00000000-0005-0000-0000-0000060B0000}"/>
    <cellStyle name="Comma 2 2 2 2 3 2 4 5 2" xfId="39366" xr:uid="{00000000-0005-0000-0000-0000070B0000}"/>
    <cellStyle name="Comma 2 2 2 2 3 2 4 6" xfId="21981" xr:uid="{00000000-0005-0000-0000-0000080B0000}"/>
    <cellStyle name="Comma 2 2 2 2 3 2 4 7" xfId="23144" xr:uid="{00000000-0005-0000-0000-0000090B0000}"/>
    <cellStyle name="Comma 2 2 2 2 3 2 4 8" xfId="26303" xr:uid="{00000000-0005-0000-0000-00000A0B0000}"/>
    <cellStyle name="Comma 2 2 2 2 3 2 4 9" xfId="29636" xr:uid="{00000000-0005-0000-0000-00000B0B0000}"/>
    <cellStyle name="Comma 2 2 2 2 3 2 5" xfId="717" xr:uid="{00000000-0005-0000-0000-00000C0B0000}"/>
    <cellStyle name="Comma 2 2 2 2 3 2 5 10" xfId="32943" xr:uid="{00000000-0005-0000-0000-00000D0B0000}"/>
    <cellStyle name="Comma 2 2 2 2 3 2 5 2" xfId="9488" xr:uid="{00000000-0005-0000-0000-00000E0B0000}"/>
    <cellStyle name="Comma 2 2 2 2 3 2 5 2 2" xfId="25288" xr:uid="{00000000-0005-0000-0000-00000F0B0000}"/>
    <cellStyle name="Comma 2 2 2 2 3 2 5 2 2 2" xfId="44715" xr:uid="{00000000-0005-0000-0000-0000100B0000}"/>
    <cellStyle name="Comma 2 2 2 2 3 2 5 2 2 3" xfId="38292" xr:uid="{00000000-0005-0000-0000-0000110B0000}"/>
    <cellStyle name="Comma 2 2 2 2 3 2 5 2 3" xfId="27466" xr:uid="{00000000-0005-0000-0000-0000120B0000}"/>
    <cellStyle name="Comma 2 2 2 2 3 2 5 2 3 2" xfId="41508" xr:uid="{00000000-0005-0000-0000-0000130B0000}"/>
    <cellStyle name="Comma 2 2 2 2 3 2 5 2 4" xfId="30801" xr:uid="{00000000-0005-0000-0000-0000140B0000}"/>
    <cellStyle name="Comma 2 2 2 2 3 2 5 2 5" xfId="35084" xr:uid="{00000000-0005-0000-0000-0000150B0000}"/>
    <cellStyle name="Comma 2 2 2 2 3 2 5 3" xfId="15102" xr:uid="{00000000-0005-0000-0000-0000160B0000}"/>
    <cellStyle name="Comma 2 2 2 2 3 2 5 3 2" xfId="24115" xr:uid="{00000000-0005-0000-0000-0000170B0000}"/>
    <cellStyle name="Comma 2 2 2 2 3 2 5 3 2 2" xfId="43544" xr:uid="{00000000-0005-0000-0000-0000180B0000}"/>
    <cellStyle name="Comma 2 2 2 2 3 2 5 3 2 3" xfId="37121" xr:uid="{00000000-0005-0000-0000-0000190B0000}"/>
    <cellStyle name="Comma 2 2 2 2 3 2 5 3 3" xfId="28438" xr:uid="{00000000-0005-0000-0000-00001A0B0000}"/>
    <cellStyle name="Comma 2 2 2 2 3 2 5 3 3 2" xfId="40337" xr:uid="{00000000-0005-0000-0000-00001B0B0000}"/>
    <cellStyle name="Comma 2 2 2 2 3 2 5 3 4" xfId="31773" xr:uid="{00000000-0005-0000-0000-00001C0B0000}"/>
    <cellStyle name="Comma 2 2 2 2 3 2 5 3 5" xfId="33913" xr:uid="{00000000-0005-0000-0000-00001D0B0000}"/>
    <cellStyle name="Comma 2 2 2 2 3 2 5 4" xfId="7918" xr:uid="{00000000-0005-0000-0000-00001E0B0000}"/>
    <cellStyle name="Comma 2 2 2 2 3 2 5 4 2" xfId="42574" xr:uid="{00000000-0005-0000-0000-00001F0B0000}"/>
    <cellStyle name="Comma 2 2 2 2 3 2 5 4 3" xfId="36150" xr:uid="{00000000-0005-0000-0000-0000200B0000}"/>
    <cellStyle name="Comma 2 2 2 2 3 2 5 5" xfId="20909" xr:uid="{00000000-0005-0000-0000-0000210B0000}"/>
    <cellStyle name="Comma 2 2 2 2 3 2 5 5 2" xfId="39367" xr:uid="{00000000-0005-0000-0000-0000220B0000}"/>
    <cellStyle name="Comma 2 2 2 2 3 2 5 6" xfId="21982" xr:uid="{00000000-0005-0000-0000-0000230B0000}"/>
    <cellStyle name="Comma 2 2 2 2 3 2 5 7" xfId="23145" xr:uid="{00000000-0005-0000-0000-0000240B0000}"/>
    <cellStyle name="Comma 2 2 2 2 3 2 5 8" xfId="26304" xr:uid="{00000000-0005-0000-0000-0000250B0000}"/>
    <cellStyle name="Comma 2 2 2 2 3 2 5 9" xfId="29637" xr:uid="{00000000-0005-0000-0000-0000260B0000}"/>
    <cellStyle name="Comma 2 2 2 2 3 2 6" xfId="718" xr:uid="{00000000-0005-0000-0000-0000270B0000}"/>
    <cellStyle name="Comma 2 2 2 2 3 2 6 10" xfId="32944" xr:uid="{00000000-0005-0000-0000-0000280B0000}"/>
    <cellStyle name="Comma 2 2 2 2 3 2 6 2" xfId="9489" xr:uid="{00000000-0005-0000-0000-0000290B0000}"/>
    <cellStyle name="Comma 2 2 2 2 3 2 6 2 2" xfId="25289" xr:uid="{00000000-0005-0000-0000-00002A0B0000}"/>
    <cellStyle name="Comma 2 2 2 2 3 2 6 2 2 2" xfId="44716" xr:uid="{00000000-0005-0000-0000-00002B0B0000}"/>
    <cellStyle name="Comma 2 2 2 2 3 2 6 2 2 3" xfId="38293" xr:uid="{00000000-0005-0000-0000-00002C0B0000}"/>
    <cellStyle name="Comma 2 2 2 2 3 2 6 2 3" xfId="27467" xr:uid="{00000000-0005-0000-0000-00002D0B0000}"/>
    <cellStyle name="Comma 2 2 2 2 3 2 6 2 3 2" xfId="41509" xr:uid="{00000000-0005-0000-0000-00002E0B0000}"/>
    <cellStyle name="Comma 2 2 2 2 3 2 6 2 4" xfId="30802" xr:uid="{00000000-0005-0000-0000-00002F0B0000}"/>
    <cellStyle name="Comma 2 2 2 2 3 2 6 2 5" xfId="35085" xr:uid="{00000000-0005-0000-0000-0000300B0000}"/>
    <cellStyle name="Comma 2 2 2 2 3 2 6 3" xfId="15103" xr:uid="{00000000-0005-0000-0000-0000310B0000}"/>
    <cellStyle name="Comma 2 2 2 2 3 2 6 3 2" xfId="24116" xr:uid="{00000000-0005-0000-0000-0000320B0000}"/>
    <cellStyle name="Comma 2 2 2 2 3 2 6 3 2 2" xfId="43545" xr:uid="{00000000-0005-0000-0000-0000330B0000}"/>
    <cellStyle name="Comma 2 2 2 2 3 2 6 3 2 3" xfId="37122" xr:uid="{00000000-0005-0000-0000-0000340B0000}"/>
    <cellStyle name="Comma 2 2 2 2 3 2 6 3 3" xfId="28439" xr:uid="{00000000-0005-0000-0000-0000350B0000}"/>
    <cellStyle name="Comma 2 2 2 2 3 2 6 3 3 2" xfId="40338" xr:uid="{00000000-0005-0000-0000-0000360B0000}"/>
    <cellStyle name="Comma 2 2 2 2 3 2 6 3 4" xfId="31774" xr:uid="{00000000-0005-0000-0000-0000370B0000}"/>
    <cellStyle name="Comma 2 2 2 2 3 2 6 3 5" xfId="33914" xr:uid="{00000000-0005-0000-0000-0000380B0000}"/>
    <cellStyle name="Comma 2 2 2 2 3 2 6 4" xfId="7919" xr:uid="{00000000-0005-0000-0000-0000390B0000}"/>
    <cellStyle name="Comma 2 2 2 2 3 2 6 4 2" xfId="42575" xr:uid="{00000000-0005-0000-0000-00003A0B0000}"/>
    <cellStyle name="Comma 2 2 2 2 3 2 6 4 3" xfId="36151" xr:uid="{00000000-0005-0000-0000-00003B0B0000}"/>
    <cellStyle name="Comma 2 2 2 2 3 2 6 5" xfId="20910" xr:uid="{00000000-0005-0000-0000-00003C0B0000}"/>
    <cellStyle name="Comma 2 2 2 2 3 2 6 5 2" xfId="39368" xr:uid="{00000000-0005-0000-0000-00003D0B0000}"/>
    <cellStyle name="Comma 2 2 2 2 3 2 6 6" xfId="21983" xr:uid="{00000000-0005-0000-0000-00003E0B0000}"/>
    <cellStyle name="Comma 2 2 2 2 3 2 6 7" xfId="23146" xr:uid="{00000000-0005-0000-0000-00003F0B0000}"/>
    <cellStyle name="Comma 2 2 2 2 3 2 6 8" xfId="26305" xr:uid="{00000000-0005-0000-0000-0000400B0000}"/>
    <cellStyle name="Comma 2 2 2 2 3 2 6 9" xfId="29638" xr:uid="{00000000-0005-0000-0000-0000410B0000}"/>
    <cellStyle name="Comma 2 2 2 2 3 2 7" xfId="9066" xr:uid="{00000000-0005-0000-0000-0000420B0000}"/>
    <cellStyle name="Comma 2 2 2 2 3 2 7 2" xfId="25122" xr:uid="{00000000-0005-0000-0000-0000430B0000}"/>
    <cellStyle name="Comma 2 2 2 2 3 2 7 2 2" xfId="44549" xr:uid="{00000000-0005-0000-0000-0000440B0000}"/>
    <cellStyle name="Comma 2 2 2 2 3 2 7 2 3" xfId="38126" xr:uid="{00000000-0005-0000-0000-0000450B0000}"/>
    <cellStyle name="Comma 2 2 2 2 3 2 7 3" xfId="27301" xr:uid="{00000000-0005-0000-0000-0000460B0000}"/>
    <cellStyle name="Comma 2 2 2 2 3 2 7 3 2" xfId="41342" xr:uid="{00000000-0005-0000-0000-0000470B0000}"/>
    <cellStyle name="Comma 2 2 2 2 3 2 7 4" xfId="30636" xr:uid="{00000000-0005-0000-0000-0000480B0000}"/>
    <cellStyle name="Comma 2 2 2 2 3 2 7 5" xfId="34918" xr:uid="{00000000-0005-0000-0000-0000490B0000}"/>
    <cellStyle name="Comma 2 2 2 2 3 2 8" xfId="15098" xr:uid="{00000000-0005-0000-0000-00004A0B0000}"/>
    <cellStyle name="Comma 2 2 2 2 3 2 8 2" xfId="24111" xr:uid="{00000000-0005-0000-0000-00004B0B0000}"/>
    <cellStyle name="Comma 2 2 2 2 3 2 8 2 2" xfId="43540" xr:uid="{00000000-0005-0000-0000-00004C0B0000}"/>
    <cellStyle name="Comma 2 2 2 2 3 2 8 2 3" xfId="37117" xr:uid="{00000000-0005-0000-0000-00004D0B0000}"/>
    <cellStyle name="Comma 2 2 2 2 3 2 8 3" xfId="28434" xr:uid="{00000000-0005-0000-0000-00004E0B0000}"/>
    <cellStyle name="Comma 2 2 2 2 3 2 8 3 2" xfId="40333" xr:uid="{00000000-0005-0000-0000-00004F0B0000}"/>
    <cellStyle name="Comma 2 2 2 2 3 2 8 4" xfId="31769" xr:uid="{00000000-0005-0000-0000-0000500B0000}"/>
    <cellStyle name="Comma 2 2 2 2 3 2 8 5" xfId="33909" xr:uid="{00000000-0005-0000-0000-0000510B0000}"/>
    <cellStyle name="Comma 2 2 2 2 3 2 9" xfId="7914" xr:uid="{00000000-0005-0000-0000-0000520B0000}"/>
    <cellStyle name="Comma 2 2 2 2 3 2 9 2" xfId="42412" xr:uid="{00000000-0005-0000-0000-0000530B0000}"/>
    <cellStyle name="Comma 2 2 2 2 3 2 9 3" xfId="35988" xr:uid="{00000000-0005-0000-0000-0000540B0000}"/>
    <cellStyle name="Comma 2 2 2 2 3 3" xfId="719" xr:uid="{00000000-0005-0000-0000-0000550B0000}"/>
    <cellStyle name="Comma 2 2 2 2 3 3 10" xfId="21984" xr:uid="{00000000-0005-0000-0000-0000560B0000}"/>
    <cellStyle name="Comma 2 2 2 2 3 3 11" xfId="23147" xr:uid="{00000000-0005-0000-0000-0000570B0000}"/>
    <cellStyle name="Comma 2 2 2 2 3 3 12" xfId="26306" xr:uid="{00000000-0005-0000-0000-0000580B0000}"/>
    <cellStyle name="Comma 2 2 2 2 3 3 13" xfId="29639" xr:uid="{00000000-0005-0000-0000-0000590B0000}"/>
    <cellStyle name="Comma 2 2 2 2 3 3 14" xfId="32945" xr:uid="{00000000-0005-0000-0000-00005A0B0000}"/>
    <cellStyle name="Comma 2 2 2 2 3 3 2" xfId="720" xr:uid="{00000000-0005-0000-0000-00005B0B0000}"/>
    <cellStyle name="Comma 2 2 2 2 3 3 2 10" xfId="32946" xr:uid="{00000000-0005-0000-0000-00005C0B0000}"/>
    <cellStyle name="Comma 2 2 2 2 3 3 2 2" xfId="9491" xr:uid="{00000000-0005-0000-0000-00005D0B0000}"/>
    <cellStyle name="Comma 2 2 2 2 3 3 2 2 2" xfId="25291" xr:uid="{00000000-0005-0000-0000-00005E0B0000}"/>
    <cellStyle name="Comma 2 2 2 2 3 3 2 2 2 2" xfId="44718" xr:uid="{00000000-0005-0000-0000-00005F0B0000}"/>
    <cellStyle name="Comma 2 2 2 2 3 3 2 2 2 3" xfId="38295" xr:uid="{00000000-0005-0000-0000-0000600B0000}"/>
    <cellStyle name="Comma 2 2 2 2 3 3 2 2 3" xfId="27469" xr:uid="{00000000-0005-0000-0000-0000610B0000}"/>
    <cellStyle name="Comma 2 2 2 2 3 3 2 2 3 2" xfId="41511" xr:uid="{00000000-0005-0000-0000-0000620B0000}"/>
    <cellStyle name="Comma 2 2 2 2 3 3 2 2 4" xfId="30804" xr:uid="{00000000-0005-0000-0000-0000630B0000}"/>
    <cellStyle name="Comma 2 2 2 2 3 3 2 2 5" xfId="35087" xr:uid="{00000000-0005-0000-0000-0000640B0000}"/>
    <cellStyle name="Comma 2 2 2 2 3 3 2 3" xfId="15105" xr:uid="{00000000-0005-0000-0000-0000650B0000}"/>
    <cellStyle name="Comma 2 2 2 2 3 3 2 3 2" xfId="24118" xr:uid="{00000000-0005-0000-0000-0000660B0000}"/>
    <cellStyle name="Comma 2 2 2 2 3 3 2 3 2 2" xfId="43547" xr:uid="{00000000-0005-0000-0000-0000670B0000}"/>
    <cellStyle name="Comma 2 2 2 2 3 3 2 3 2 3" xfId="37124" xr:uid="{00000000-0005-0000-0000-0000680B0000}"/>
    <cellStyle name="Comma 2 2 2 2 3 3 2 3 3" xfId="28441" xr:uid="{00000000-0005-0000-0000-0000690B0000}"/>
    <cellStyle name="Comma 2 2 2 2 3 3 2 3 3 2" xfId="40340" xr:uid="{00000000-0005-0000-0000-00006A0B0000}"/>
    <cellStyle name="Comma 2 2 2 2 3 3 2 3 4" xfId="31776" xr:uid="{00000000-0005-0000-0000-00006B0B0000}"/>
    <cellStyle name="Comma 2 2 2 2 3 3 2 3 5" xfId="33916" xr:uid="{00000000-0005-0000-0000-00006C0B0000}"/>
    <cellStyle name="Comma 2 2 2 2 3 3 2 4" xfId="7921" xr:uid="{00000000-0005-0000-0000-00006D0B0000}"/>
    <cellStyle name="Comma 2 2 2 2 3 3 2 4 2" xfId="42577" xr:uid="{00000000-0005-0000-0000-00006E0B0000}"/>
    <cellStyle name="Comma 2 2 2 2 3 3 2 4 3" xfId="36153" xr:uid="{00000000-0005-0000-0000-00006F0B0000}"/>
    <cellStyle name="Comma 2 2 2 2 3 3 2 5" xfId="20912" xr:uid="{00000000-0005-0000-0000-0000700B0000}"/>
    <cellStyle name="Comma 2 2 2 2 3 3 2 5 2" xfId="39370" xr:uid="{00000000-0005-0000-0000-0000710B0000}"/>
    <cellStyle name="Comma 2 2 2 2 3 3 2 6" xfId="21985" xr:uid="{00000000-0005-0000-0000-0000720B0000}"/>
    <cellStyle name="Comma 2 2 2 2 3 3 2 7" xfId="23148" xr:uid="{00000000-0005-0000-0000-0000730B0000}"/>
    <cellStyle name="Comma 2 2 2 2 3 3 2 8" xfId="26307" xr:uid="{00000000-0005-0000-0000-0000740B0000}"/>
    <cellStyle name="Comma 2 2 2 2 3 3 2 9" xfId="29640" xr:uid="{00000000-0005-0000-0000-0000750B0000}"/>
    <cellStyle name="Comma 2 2 2 2 3 3 3" xfId="721" xr:uid="{00000000-0005-0000-0000-0000760B0000}"/>
    <cellStyle name="Comma 2 2 2 2 3 3 3 10" xfId="32947" xr:uid="{00000000-0005-0000-0000-0000770B0000}"/>
    <cellStyle name="Comma 2 2 2 2 3 3 3 2" xfId="9492" xr:uid="{00000000-0005-0000-0000-0000780B0000}"/>
    <cellStyle name="Comma 2 2 2 2 3 3 3 2 2" xfId="25292" xr:uid="{00000000-0005-0000-0000-0000790B0000}"/>
    <cellStyle name="Comma 2 2 2 2 3 3 3 2 2 2" xfId="44719" xr:uid="{00000000-0005-0000-0000-00007A0B0000}"/>
    <cellStyle name="Comma 2 2 2 2 3 3 3 2 2 3" xfId="38296" xr:uid="{00000000-0005-0000-0000-00007B0B0000}"/>
    <cellStyle name="Comma 2 2 2 2 3 3 3 2 3" xfId="27470" xr:uid="{00000000-0005-0000-0000-00007C0B0000}"/>
    <cellStyle name="Comma 2 2 2 2 3 3 3 2 3 2" xfId="41512" xr:uid="{00000000-0005-0000-0000-00007D0B0000}"/>
    <cellStyle name="Comma 2 2 2 2 3 3 3 2 4" xfId="30805" xr:uid="{00000000-0005-0000-0000-00007E0B0000}"/>
    <cellStyle name="Comma 2 2 2 2 3 3 3 2 5" xfId="35088" xr:uid="{00000000-0005-0000-0000-00007F0B0000}"/>
    <cellStyle name="Comma 2 2 2 2 3 3 3 3" xfId="15106" xr:uid="{00000000-0005-0000-0000-0000800B0000}"/>
    <cellStyle name="Comma 2 2 2 2 3 3 3 3 2" xfId="24119" xr:uid="{00000000-0005-0000-0000-0000810B0000}"/>
    <cellStyle name="Comma 2 2 2 2 3 3 3 3 2 2" xfId="43548" xr:uid="{00000000-0005-0000-0000-0000820B0000}"/>
    <cellStyle name="Comma 2 2 2 2 3 3 3 3 2 3" xfId="37125" xr:uid="{00000000-0005-0000-0000-0000830B0000}"/>
    <cellStyle name="Comma 2 2 2 2 3 3 3 3 3" xfId="28442" xr:uid="{00000000-0005-0000-0000-0000840B0000}"/>
    <cellStyle name="Comma 2 2 2 2 3 3 3 3 3 2" xfId="40341" xr:uid="{00000000-0005-0000-0000-0000850B0000}"/>
    <cellStyle name="Comma 2 2 2 2 3 3 3 3 4" xfId="31777" xr:uid="{00000000-0005-0000-0000-0000860B0000}"/>
    <cellStyle name="Comma 2 2 2 2 3 3 3 3 5" xfId="33917" xr:uid="{00000000-0005-0000-0000-0000870B0000}"/>
    <cellStyle name="Comma 2 2 2 2 3 3 3 4" xfId="7922" xr:uid="{00000000-0005-0000-0000-0000880B0000}"/>
    <cellStyle name="Comma 2 2 2 2 3 3 3 4 2" xfId="42578" xr:uid="{00000000-0005-0000-0000-0000890B0000}"/>
    <cellStyle name="Comma 2 2 2 2 3 3 3 4 3" xfId="36154" xr:uid="{00000000-0005-0000-0000-00008A0B0000}"/>
    <cellStyle name="Comma 2 2 2 2 3 3 3 5" xfId="20913" xr:uid="{00000000-0005-0000-0000-00008B0B0000}"/>
    <cellStyle name="Comma 2 2 2 2 3 3 3 5 2" xfId="39371" xr:uid="{00000000-0005-0000-0000-00008C0B0000}"/>
    <cellStyle name="Comma 2 2 2 2 3 3 3 6" xfId="21986" xr:uid="{00000000-0005-0000-0000-00008D0B0000}"/>
    <cellStyle name="Comma 2 2 2 2 3 3 3 7" xfId="23149" xr:uid="{00000000-0005-0000-0000-00008E0B0000}"/>
    <cellStyle name="Comma 2 2 2 2 3 3 3 8" xfId="26308" xr:uid="{00000000-0005-0000-0000-00008F0B0000}"/>
    <cellStyle name="Comma 2 2 2 2 3 3 3 9" xfId="29641" xr:uid="{00000000-0005-0000-0000-0000900B0000}"/>
    <cellStyle name="Comma 2 2 2 2 3 3 4" xfId="722" xr:uid="{00000000-0005-0000-0000-0000910B0000}"/>
    <cellStyle name="Comma 2 2 2 2 3 3 4 10" xfId="32948" xr:uid="{00000000-0005-0000-0000-0000920B0000}"/>
    <cellStyle name="Comma 2 2 2 2 3 3 4 2" xfId="9493" xr:uid="{00000000-0005-0000-0000-0000930B0000}"/>
    <cellStyle name="Comma 2 2 2 2 3 3 4 2 2" xfId="25293" xr:uid="{00000000-0005-0000-0000-0000940B0000}"/>
    <cellStyle name="Comma 2 2 2 2 3 3 4 2 2 2" xfId="44720" xr:uid="{00000000-0005-0000-0000-0000950B0000}"/>
    <cellStyle name="Comma 2 2 2 2 3 3 4 2 2 3" xfId="38297" xr:uid="{00000000-0005-0000-0000-0000960B0000}"/>
    <cellStyle name="Comma 2 2 2 2 3 3 4 2 3" xfId="27471" xr:uid="{00000000-0005-0000-0000-0000970B0000}"/>
    <cellStyle name="Comma 2 2 2 2 3 3 4 2 3 2" xfId="41513" xr:uid="{00000000-0005-0000-0000-0000980B0000}"/>
    <cellStyle name="Comma 2 2 2 2 3 3 4 2 4" xfId="30806" xr:uid="{00000000-0005-0000-0000-0000990B0000}"/>
    <cellStyle name="Comma 2 2 2 2 3 3 4 2 5" xfId="35089" xr:uid="{00000000-0005-0000-0000-00009A0B0000}"/>
    <cellStyle name="Comma 2 2 2 2 3 3 4 3" xfId="15107" xr:uid="{00000000-0005-0000-0000-00009B0B0000}"/>
    <cellStyle name="Comma 2 2 2 2 3 3 4 3 2" xfId="24120" xr:uid="{00000000-0005-0000-0000-00009C0B0000}"/>
    <cellStyle name="Comma 2 2 2 2 3 3 4 3 2 2" xfId="43549" xr:uid="{00000000-0005-0000-0000-00009D0B0000}"/>
    <cellStyle name="Comma 2 2 2 2 3 3 4 3 2 3" xfId="37126" xr:uid="{00000000-0005-0000-0000-00009E0B0000}"/>
    <cellStyle name="Comma 2 2 2 2 3 3 4 3 3" xfId="28443" xr:uid="{00000000-0005-0000-0000-00009F0B0000}"/>
    <cellStyle name="Comma 2 2 2 2 3 3 4 3 3 2" xfId="40342" xr:uid="{00000000-0005-0000-0000-0000A00B0000}"/>
    <cellStyle name="Comma 2 2 2 2 3 3 4 3 4" xfId="31778" xr:uid="{00000000-0005-0000-0000-0000A10B0000}"/>
    <cellStyle name="Comma 2 2 2 2 3 3 4 3 5" xfId="33918" xr:uid="{00000000-0005-0000-0000-0000A20B0000}"/>
    <cellStyle name="Comma 2 2 2 2 3 3 4 4" xfId="7923" xr:uid="{00000000-0005-0000-0000-0000A30B0000}"/>
    <cellStyle name="Comma 2 2 2 2 3 3 4 4 2" xfId="42579" xr:uid="{00000000-0005-0000-0000-0000A40B0000}"/>
    <cellStyle name="Comma 2 2 2 2 3 3 4 4 3" xfId="36155" xr:uid="{00000000-0005-0000-0000-0000A50B0000}"/>
    <cellStyle name="Comma 2 2 2 2 3 3 4 5" xfId="20914" xr:uid="{00000000-0005-0000-0000-0000A60B0000}"/>
    <cellStyle name="Comma 2 2 2 2 3 3 4 5 2" xfId="39372" xr:uid="{00000000-0005-0000-0000-0000A70B0000}"/>
    <cellStyle name="Comma 2 2 2 2 3 3 4 6" xfId="21987" xr:uid="{00000000-0005-0000-0000-0000A80B0000}"/>
    <cellStyle name="Comma 2 2 2 2 3 3 4 7" xfId="23150" xr:uid="{00000000-0005-0000-0000-0000A90B0000}"/>
    <cellStyle name="Comma 2 2 2 2 3 3 4 8" xfId="26309" xr:uid="{00000000-0005-0000-0000-0000AA0B0000}"/>
    <cellStyle name="Comma 2 2 2 2 3 3 4 9" xfId="29642" xr:uid="{00000000-0005-0000-0000-0000AB0B0000}"/>
    <cellStyle name="Comma 2 2 2 2 3 3 5" xfId="723" xr:uid="{00000000-0005-0000-0000-0000AC0B0000}"/>
    <cellStyle name="Comma 2 2 2 2 3 3 5 10" xfId="32949" xr:uid="{00000000-0005-0000-0000-0000AD0B0000}"/>
    <cellStyle name="Comma 2 2 2 2 3 3 5 2" xfId="9494" xr:uid="{00000000-0005-0000-0000-0000AE0B0000}"/>
    <cellStyle name="Comma 2 2 2 2 3 3 5 2 2" xfId="25294" xr:uid="{00000000-0005-0000-0000-0000AF0B0000}"/>
    <cellStyle name="Comma 2 2 2 2 3 3 5 2 2 2" xfId="44721" xr:uid="{00000000-0005-0000-0000-0000B00B0000}"/>
    <cellStyle name="Comma 2 2 2 2 3 3 5 2 2 3" xfId="38298" xr:uid="{00000000-0005-0000-0000-0000B10B0000}"/>
    <cellStyle name="Comma 2 2 2 2 3 3 5 2 3" xfId="27472" xr:uid="{00000000-0005-0000-0000-0000B20B0000}"/>
    <cellStyle name="Comma 2 2 2 2 3 3 5 2 3 2" xfId="41514" xr:uid="{00000000-0005-0000-0000-0000B30B0000}"/>
    <cellStyle name="Comma 2 2 2 2 3 3 5 2 4" xfId="30807" xr:uid="{00000000-0005-0000-0000-0000B40B0000}"/>
    <cellStyle name="Comma 2 2 2 2 3 3 5 2 5" xfId="35090" xr:uid="{00000000-0005-0000-0000-0000B50B0000}"/>
    <cellStyle name="Comma 2 2 2 2 3 3 5 3" xfId="15108" xr:uid="{00000000-0005-0000-0000-0000B60B0000}"/>
    <cellStyle name="Comma 2 2 2 2 3 3 5 3 2" xfId="24121" xr:uid="{00000000-0005-0000-0000-0000B70B0000}"/>
    <cellStyle name="Comma 2 2 2 2 3 3 5 3 2 2" xfId="43550" xr:uid="{00000000-0005-0000-0000-0000B80B0000}"/>
    <cellStyle name="Comma 2 2 2 2 3 3 5 3 2 3" xfId="37127" xr:uid="{00000000-0005-0000-0000-0000B90B0000}"/>
    <cellStyle name="Comma 2 2 2 2 3 3 5 3 3" xfId="28444" xr:uid="{00000000-0005-0000-0000-0000BA0B0000}"/>
    <cellStyle name="Comma 2 2 2 2 3 3 5 3 3 2" xfId="40343" xr:uid="{00000000-0005-0000-0000-0000BB0B0000}"/>
    <cellStyle name="Comma 2 2 2 2 3 3 5 3 4" xfId="31779" xr:uid="{00000000-0005-0000-0000-0000BC0B0000}"/>
    <cellStyle name="Comma 2 2 2 2 3 3 5 3 5" xfId="33919" xr:uid="{00000000-0005-0000-0000-0000BD0B0000}"/>
    <cellStyle name="Comma 2 2 2 2 3 3 5 4" xfId="7924" xr:uid="{00000000-0005-0000-0000-0000BE0B0000}"/>
    <cellStyle name="Comma 2 2 2 2 3 3 5 4 2" xfId="42580" xr:uid="{00000000-0005-0000-0000-0000BF0B0000}"/>
    <cellStyle name="Comma 2 2 2 2 3 3 5 4 3" xfId="36156" xr:uid="{00000000-0005-0000-0000-0000C00B0000}"/>
    <cellStyle name="Comma 2 2 2 2 3 3 5 5" xfId="20915" xr:uid="{00000000-0005-0000-0000-0000C10B0000}"/>
    <cellStyle name="Comma 2 2 2 2 3 3 5 5 2" xfId="39373" xr:uid="{00000000-0005-0000-0000-0000C20B0000}"/>
    <cellStyle name="Comma 2 2 2 2 3 3 5 6" xfId="21988" xr:uid="{00000000-0005-0000-0000-0000C30B0000}"/>
    <cellStyle name="Comma 2 2 2 2 3 3 5 7" xfId="23151" xr:uid="{00000000-0005-0000-0000-0000C40B0000}"/>
    <cellStyle name="Comma 2 2 2 2 3 3 5 8" xfId="26310" xr:uid="{00000000-0005-0000-0000-0000C50B0000}"/>
    <cellStyle name="Comma 2 2 2 2 3 3 5 9" xfId="29643" xr:uid="{00000000-0005-0000-0000-0000C60B0000}"/>
    <cellStyle name="Comma 2 2 2 2 3 3 6" xfId="9490" xr:uid="{00000000-0005-0000-0000-0000C70B0000}"/>
    <cellStyle name="Comma 2 2 2 2 3 3 6 2" xfId="25290" xr:uid="{00000000-0005-0000-0000-0000C80B0000}"/>
    <cellStyle name="Comma 2 2 2 2 3 3 6 2 2" xfId="44717" xr:uid="{00000000-0005-0000-0000-0000C90B0000}"/>
    <cellStyle name="Comma 2 2 2 2 3 3 6 2 3" xfId="38294" xr:uid="{00000000-0005-0000-0000-0000CA0B0000}"/>
    <cellStyle name="Comma 2 2 2 2 3 3 6 3" xfId="27468" xr:uid="{00000000-0005-0000-0000-0000CB0B0000}"/>
    <cellStyle name="Comma 2 2 2 2 3 3 6 3 2" xfId="41510" xr:uid="{00000000-0005-0000-0000-0000CC0B0000}"/>
    <cellStyle name="Comma 2 2 2 2 3 3 6 4" xfId="30803" xr:uid="{00000000-0005-0000-0000-0000CD0B0000}"/>
    <cellStyle name="Comma 2 2 2 2 3 3 6 5" xfId="35086" xr:uid="{00000000-0005-0000-0000-0000CE0B0000}"/>
    <cellStyle name="Comma 2 2 2 2 3 3 7" xfId="15104" xr:uid="{00000000-0005-0000-0000-0000CF0B0000}"/>
    <cellStyle name="Comma 2 2 2 2 3 3 7 2" xfId="24117" xr:uid="{00000000-0005-0000-0000-0000D00B0000}"/>
    <cellStyle name="Comma 2 2 2 2 3 3 7 2 2" xfId="43546" xr:uid="{00000000-0005-0000-0000-0000D10B0000}"/>
    <cellStyle name="Comma 2 2 2 2 3 3 7 2 3" xfId="37123" xr:uid="{00000000-0005-0000-0000-0000D20B0000}"/>
    <cellStyle name="Comma 2 2 2 2 3 3 7 3" xfId="28440" xr:uid="{00000000-0005-0000-0000-0000D30B0000}"/>
    <cellStyle name="Comma 2 2 2 2 3 3 7 3 2" xfId="40339" xr:uid="{00000000-0005-0000-0000-0000D40B0000}"/>
    <cellStyle name="Comma 2 2 2 2 3 3 7 4" xfId="31775" xr:uid="{00000000-0005-0000-0000-0000D50B0000}"/>
    <cellStyle name="Comma 2 2 2 2 3 3 7 5" xfId="33915" xr:uid="{00000000-0005-0000-0000-0000D60B0000}"/>
    <cellStyle name="Comma 2 2 2 2 3 3 8" xfId="7920" xr:uid="{00000000-0005-0000-0000-0000D70B0000}"/>
    <cellStyle name="Comma 2 2 2 2 3 3 8 2" xfId="42576" xr:uid="{00000000-0005-0000-0000-0000D80B0000}"/>
    <cellStyle name="Comma 2 2 2 2 3 3 8 3" xfId="36152" xr:uid="{00000000-0005-0000-0000-0000D90B0000}"/>
    <cellStyle name="Comma 2 2 2 2 3 3 9" xfId="20911" xr:uid="{00000000-0005-0000-0000-0000DA0B0000}"/>
    <cellStyle name="Comma 2 2 2 2 3 3 9 2" xfId="39369" xr:uid="{00000000-0005-0000-0000-0000DB0B0000}"/>
    <cellStyle name="Comma 2 2 2 2 3 4" xfId="724" xr:uid="{00000000-0005-0000-0000-0000DC0B0000}"/>
    <cellStyle name="Comma 2 2 2 2 3 4 10" xfId="32950" xr:uid="{00000000-0005-0000-0000-0000DD0B0000}"/>
    <cellStyle name="Comma 2 2 2 2 3 4 2" xfId="9495" xr:uid="{00000000-0005-0000-0000-0000DE0B0000}"/>
    <cellStyle name="Comma 2 2 2 2 3 4 2 2" xfId="25295" xr:uid="{00000000-0005-0000-0000-0000DF0B0000}"/>
    <cellStyle name="Comma 2 2 2 2 3 4 2 2 2" xfId="44722" xr:uid="{00000000-0005-0000-0000-0000E00B0000}"/>
    <cellStyle name="Comma 2 2 2 2 3 4 2 2 3" xfId="38299" xr:uid="{00000000-0005-0000-0000-0000E10B0000}"/>
    <cellStyle name="Comma 2 2 2 2 3 4 2 3" xfId="27473" xr:uid="{00000000-0005-0000-0000-0000E20B0000}"/>
    <cellStyle name="Comma 2 2 2 2 3 4 2 3 2" xfId="41515" xr:uid="{00000000-0005-0000-0000-0000E30B0000}"/>
    <cellStyle name="Comma 2 2 2 2 3 4 2 4" xfId="30808" xr:uid="{00000000-0005-0000-0000-0000E40B0000}"/>
    <cellStyle name="Comma 2 2 2 2 3 4 2 5" xfId="35091" xr:uid="{00000000-0005-0000-0000-0000E50B0000}"/>
    <cellStyle name="Comma 2 2 2 2 3 4 3" xfId="15109" xr:uid="{00000000-0005-0000-0000-0000E60B0000}"/>
    <cellStyle name="Comma 2 2 2 2 3 4 3 2" xfId="24122" xr:uid="{00000000-0005-0000-0000-0000E70B0000}"/>
    <cellStyle name="Comma 2 2 2 2 3 4 3 2 2" xfId="43551" xr:uid="{00000000-0005-0000-0000-0000E80B0000}"/>
    <cellStyle name="Comma 2 2 2 2 3 4 3 2 3" xfId="37128" xr:uid="{00000000-0005-0000-0000-0000E90B0000}"/>
    <cellStyle name="Comma 2 2 2 2 3 4 3 3" xfId="28445" xr:uid="{00000000-0005-0000-0000-0000EA0B0000}"/>
    <cellStyle name="Comma 2 2 2 2 3 4 3 3 2" xfId="40344" xr:uid="{00000000-0005-0000-0000-0000EB0B0000}"/>
    <cellStyle name="Comma 2 2 2 2 3 4 3 4" xfId="31780" xr:uid="{00000000-0005-0000-0000-0000EC0B0000}"/>
    <cellStyle name="Comma 2 2 2 2 3 4 3 5" xfId="33920" xr:uid="{00000000-0005-0000-0000-0000ED0B0000}"/>
    <cellStyle name="Comma 2 2 2 2 3 4 4" xfId="7925" xr:uid="{00000000-0005-0000-0000-0000EE0B0000}"/>
    <cellStyle name="Comma 2 2 2 2 3 4 4 2" xfId="42581" xr:uid="{00000000-0005-0000-0000-0000EF0B0000}"/>
    <cellStyle name="Comma 2 2 2 2 3 4 4 3" xfId="36157" xr:uid="{00000000-0005-0000-0000-0000F00B0000}"/>
    <cellStyle name="Comma 2 2 2 2 3 4 5" xfId="20916" xr:uid="{00000000-0005-0000-0000-0000F10B0000}"/>
    <cellStyle name="Comma 2 2 2 2 3 4 5 2" xfId="39374" xr:uid="{00000000-0005-0000-0000-0000F20B0000}"/>
    <cellStyle name="Comma 2 2 2 2 3 4 6" xfId="21989" xr:uid="{00000000-0005-0000-0000-0000F30B0000}"/>
    <cellStyle name="Comma 2 2 2 2 3 4 7" xfId="23152" xr:uid="{00000000-0005-0000-0000-0000F40B0000}"/>
    <cellStyle name="Comma 2 2 2 2 3 4 8" xfId="26311" xr:uid="{00000000-0005-0000-0000-0000F50B0000}"/>
    <cellStyle name="Comma 2 2 2 2 3 4 9" xfId="29644" xr:uid="{00000000-0005-0000-0000-0000F60B0000}"/>
    <cellStyle name="Comma 2 2 2 2 3 5" xfId="725" xr:uid="{00000000-0005-0000-0000-0000F70B0000}"/>
    <cellStyle name="Comma 2 2 2 2 3 5 10" xfId="32951" xr:uid="{00000000-0005-0000-0000-0000F80B0000}"/>
    <cellStyle name="Comma 2 2 2 2 3 5 2" xfId="9496" xr:uid="{00000000-0005-0000-0000-0000F90B0000}"/>
    <cellStyle name="Comma 2 2 2 2 3 5 2 2" xfId="25296" xr:uid="{00000000-0005-0000-0000-0000FA0B0000}"/>
    <cellStyle name="Comma 2 2 2 2 3 5 2 2 2" xfId="44723" xr:uid="{00000000-0005-0000-0000-0000FB0B0000}"/>
    <cellStyle name="Comma 2 2 2 2 3 5 2 2 3" xfId="38300" xr:uid="{00000000-0005-0000-0000-0000FC0B0000}"/>
    <cellStyle name="Comma 2 2 2 2 3 5 2 3" xfId="27474" xr:uid="{00000000-0005-0000-0000-0000FD0B0000}"/>
    <cellStyle name="Comma 2 2 2 2 3 5 2 3 2" xfId="41516" xr:uid="{00000000-0005-0000-0000-0000FE0B0000}"/>
    <cellStyle name="Comma 2 2 2 2 3 5 2 4" xfId="30809" xr:uid="{00000000-0005-0000-0000-0000FF0B0000}"/>
    <cellStyle name="Comma 2 2 2 2 3 5 2 5" xfId="35092" xr:uid="{00000000-0005-0000-0000-0000000C0000}"/>
    <cellStyle name="Comma 2 2 2 2 3 5 3" xfId="15110" xr:uid="{00000000-0005-0000-0000-0000010C0000}"/>
    <cellStyle name="Comma 2 2 2 2 3 5 3 2" xfId="24123" xr:uid="{00000000-0005-0000-0000-0000020C0000}"/>
    <cellStyle name="Comma 2 2 2 2 3 5 3 2 2" xfId="43552" xr:uid="{00000000-0005-0000-0000-0000030C0000}"/>
    <cellStyle name="Comma 2 2 2 2 3 5 3 2 3" xfId="37129" xr:uid="{00000000-0005-0000-0000-0000040C0000}"/>
    <cellStyle name="Comma 2 2 2 2 3 5 3 3" xfId="28446" xr:uid="{00000000-0005-0000-0000-0000050C0000}"/>
    <cellStyle name="Comma 2 2 2 2 3 5 3 3 2" xfId="40345" xr:uid="{00000000-0005-0000-0000-0000060C0000}"/>
    <cellStyle name="Comma 2 2 2 2 3 5 3 4" xfId="31781" xr:uid="{00000000-0005-0000-0000-0000070C0000}"/>
    <cellStyle name="Comma 2 2 2 2 3 5 3 5" xfId="33921" xr:uid="{00000000-0005-0000-0000-0000080C0000}"/>
    <cellStyle name="Comma 2 2 2 2 3 5 4" xfId="7926" xr:uid="{00000000-0005-0000-0000-0000090C0000}"/>
    <cellStyle name="Comma 2 2 2 2 3 5 4 2" xfId="42582" xr:uid="{00000000-0005-0000-0000-00000A0C0000}"/>
    <cellStyle name="Comma 2 2 2 2 3 5 4 3" xfId="36158" xr:uid="{00000000-0005-0000-0000-00000B0C0000}"/>
    <cellStyle name="Comma 2 2 2 2 3 5 5" xfId="20917" xr:uid="{00000000-0005-0000-0000-00000C0C0000}"/>
    <cellStyle name="Comma 2 2 2 2 3 5 5 2" xfId="39375" xr:uid="{00000000-0005-0000-0000-00000D0C0000}"/>
    <cellStyle name="Comma 2 2 2 2 3 5 6" xfId="21990" xr:uid="{00000000-0005-0000-0000-00000E0C0000}"/>
    <cellStyle name="Comma 2 2 2 2 3 5 7" xfId="23153" xr:uid="{00000000-0005-0000-0000-00000F0C0000}"/>
    <cellStyle name="Comma 2 2 2 2 3 5 8" xfId="26312" xr:uid="{00000000-0005-0000-0000-0000100C0000}"/>
    <cellStyle name="Comma 2 2 2 2 3 5 9" xfId="29645" xr:uid="{00000000-0005-0000-0000-0000110C0000}"/>
    <cellStyle name="Comma 2 2 2 2 3 6" xfId="726" xr:uid="{00000000-0005-0000-0000-0000120C0000}"/>
    <cellStyle name="Comma 2 2 2 2 3 6 10" xfId="32952" xr:uid="{00000000-0005-0000-0000-0000130C0000}"/>
    <cellStyle name="Comma 2 2 2 2 3 6 2" xfId="9497" xr:uid="{00000000-0005-0000-0000-0000140C0000}"/>
    <cellStyle name="Comma 2 2 2 2 3 6 2 2" xfId="25297" xr:uid="{00000000-0005-0000-0000-0000150C0000}"/>
    <cellStyle name="Comma 2 2 2 2 3 6 2 2 2" xfId="44724" xr:uid="{00000000-0005-0000-0000-0000160C0000}"/>
    <cellStyle name="Comma 2 2 2 2 3 6 2 2 3" xfId="38301" xr:uid="{00000000-0005-0000-0000-0000170C0000}"/>
    <cellStyle name="Comma 2 2 2 2 3 6 2 3" xfId="27475" xr:uid="{00000000-0005-0000-0000-0000180C0000}"/>
    <cellStyle name="Comma 2 2 2 2 3 6 2 3 2" xfId="41517" xr:uid="{00000000-0005-0000-0000-0000190C0000}"/>
    <cellStyle name="Comma 2 2 2 2 3 6 2 4" xfId="30810" xr:uid="{00000000-0005-0000-0000-00001A0C0000}"/>
    <cellStyle name="Comma 2 2 2 2 3 6 2 5" xfId="35093" xr:uid="{00000000-0005-0000-0000-00001B0C0000}"/>
    <cellStyle name="Comma 2 2 2 2 3 6 3" xfId="15111" xr:uid="{00000000-0005-0000-0000-00001C0C0000}"/>
    <cellStyle name="Comma 2 2 2 2 3 6 3 2" xfId="24124" xr:uid="{00000000-0005-0000-0000-00001D0C0000}"/>
    <cellStyle name="Comma 2 2 2 2 3 6 3 2 2" xfId="43553" xr:uid="{00000000-0005-0000-0000-00001E0C0000}"/>
    <cellStyle name="Comma 2 2 2 2 3 6 3 2 3" xfId="37130" xr:uid="{00000000-0005-0000-0000-00001F0C0000}"/>
    <cellStyle name="Comma 2 2 2 2 3 6 3 3" xfId="28447" xr:uid="{00000000-0005-0000-0000-0000200C0000}"/>
    <cellStyle name="Comma 2 2 2 2 3 6 3 3 2" xfId="40346" xr:uid="{00000000-0005-0000-0000-0000210C0000}"/>
    <cellStyle name="Comma 2 2 2 2 3 6 3 4" xfId="31782" xr:uid="{00000000-0005-0000-0000-0000220C0000}"/>
    <cellStyle name="Comma 2 2 2 2 3 6 3 5" xfId="33922" xr:uid="{00000000-0005-0000-0000-0000230C0000}"/>
    <cellStyle name="Comma 2 2 2 2 3 6 4" xfId="7927" xr:uid="{00000000-0005-0000-0000-0000240C0000}"/>
    <cellStyle name="Comma 2 2 2 2 3 6 4 2" xfId="42583" xr:uid="{00000000-0005-0000-0000-0000250C0000}"/>
    <cellStyle name="Comma 2 2 2 2 3 6 4 3" xfId="36159" xr:uid="{00000000-0005-0000-0000-0000260C0000}"/>
    <cellStyle name="Comma 2 2 2 2 3 6 5" xfId="20918" xr:uid="{00000000-0005-0000-0000-0000270C0000}"/>
    <cellStyle name="Comma 2 2 2 2 3 6 5 2" xfId="39376" xr:uid="{00000000-0005-0000-0000-0000280C0000}"/>
    <cellStyle name="Comma 2 2 2 2 3 6 6" xfId="21991" xr:uid="{00000000-0005-0000-0000-0000290C0000}"/>
    <cellStyle name="Comma 2 2 2 2 3 6 7" xfId="23154" xr:uid="{00000000-0005-0000-0000-00002A0C0000}"/>
    <cellStyle name="Comma 2 2 2 2 3 6 8" xfId="26313" xr:uid="{00000000-0005-0000-0000-00002B0C0000}"/>
    <cellStyle name="Comma 2 2 2 2 3 6 9" xfId="29646" xr:uid="{00000000-0005-0000-0000-00002C0C0000}"/>
    <cellStyle name="Comma 2 2 2 2 3 7" xfId="727" xr:uid="{00000000-0005-0000-0000-00002D0C0000}"/>
    <cellStyle name="Comma 2 2 2 2 3 7 10" xfId="32953" xr:uid="{00000000-0005-0000-0000-00002E0C0000}"/>
    <cellStyle name="Comma 2 2 2 2 3 7 2" xfId="9498" xr:uid="{00000000-0005-0000-0000-00002F0C0000}"/>
    <cellStyle name="Comma 2 2 2 2 3 7 2 2" xfId="25298" xr:uid="{00000000-0005-0000-0000-0000300C0000}"/>
    <cellStyle name="Comma 2 2 2 2 3 7 2 2 2" xfId="44725" xr:uid="{00000000-0005-0000-0000-0000310C0000}"/>
    <cellStyle name="Comma 2 2 2 2 3 7 2 2 3" xfId="38302" xr:uid="{00000000-0005-0000-0000-0000320C0000}"/>
    <cellStyle name="Comma 2 2 2 2 3 7 2 3" xfId="27476" xr:uid="{00000000-0005-0000-0000-0000330C0000}"/>
    <cellStyle name="Comma 2 2 2 2 3 7 2 3 2" xfId="41518" xr:uid="{00000000-0005-0000-0000-0000340C0000}"/>
    <cellStyle name="Comma 2 2 2 2 3 7 2 4" xfId="30811" xr:uid="{00000000-0005-0000-0000-0000350C0000}"/>
    <cellStyle name="Comma 2 2 2 2 3 7 2 5" xfId="35094" xr:uid="{00000000-0005-0000-0000-0000360C0000}"/>
    <cellStyle name="Comma 2 2 2 2 3 7 3" xfId="15112" xr:uid="{00000000-0005-0000-0000-0000370C0000}"/>
    <cellStyle name="Comma 2 2 2 2 3 7 3 2" xfId="24125" xr:uid="{00000000-0005-0000-0000-0000380C0000}"/>
    <cellStyle name="Comma 2 2 2 2 3 7 3 2 2" xfId="43554" xr:uid="{00000000-0005-0000-0000-0000390C0000}"/>
    <cellStyle name="Comma 2 2 2 2 3 7 3 2 3" xfId="37131" xr:uid="{00000000-0005-0000-0000-00003A0C0000}"/>
    <cellStyle name="Comma 2 2 2 2 3 7 3 3" xfId="28448" xr:uid="{00000000-0005-0000-0000-00003B0C0000}"/>
    <cellStyle name="Comma 2 2 2 2 3 7 3 3 2" xfId="40347" xr:uid="{00000000-0005-0000-0000-00003C0C0000}"/>
    <cellStyle name="Comma 2 2 2 2 3 7 3 4" xfId="31783" xr:uid="{00000000-0005-0000-0000-00003D0C0000}"/>
    <cellStyle name="Comma 2 2 2 2 3 7 3 5" xfId="33923" xr:uid="{00000000-0005-0000-0000-00003E0C0000}"/>
    <cellStyle name="Comma 2 2 2 2 3 7 4" xfId="7928" xr:uid="{00000000-0005-0000-0000-00003F0C0000}"/>
    <cellStyle name="Comma 2 2 2 2 3 7 4 2" xfId="42584" xr:uid="{00000000-0005-0000-0000-0000400C0000}"/>
    <cellStyle name="Comma 2 2 2 2 3 7 4 3" xfId="36160" xr:uid="{00000000-0005-0000-0000-0000410C0000}"/>
    <cellStyle name="Comma 2 2 2 2 3 7 5" xfId="20919" xr:uid="{00000000-0005-0000-0000-0000420C0000}"/>
    <cellStyle name="Comma 2 2 2 2 3 7 5 2" xfId="39377" xr:uid="{00000000-0005-0000-0000-0000430C0000}"/>
    <cellStyle name="Comma 2 2 2 2 3 7 6" xfId="21992" xr:uid="{00000000-0005-0000-0000-0000440C0000}"/>
    <cellStyle name="Comma 2 2 2 2 3 7 7" xfId="23155" xr:uid="{00000000-0005-0000-0000-0000450C0000}"/>
    <cellStyle name="Comma 2 2 2 2 3 7 8" xfId="26314" xr:uid="{00000000-0005-0000-0000-0000460C0000}"/>
    <cellStyle name="Comma 2 2 2 2 3 7 9" xfId="29647" xr:uid="{00000000-0005-0000-0000-0000470C0000}"/>
    <cellStyle name="Comma 2 2 2 2 3 8" xfId="728" xr:uid="{00000000-0005-0000-0000-0000480C0000}"/>
    <cellStyle name="Comma 2 2 2 2 3 8 10" xfId="32954" xr:uid="{00000000-0005-0000-0000-0000490C0000}"/>
    <cellStyle name="Comma 2 2 2 2 3 8 2" xfId="9499" xr:uid="{00000000-0005-0000-0000-00004A0C0000}"/>
    <cellStyle name="Comma 2 2 2 2 3 8 2 2" xfId="25299" xr:uid="{00000000-0005-0000-0000-00004B0C0000}"/>
    <cellStyle name="Comma 2 2 2 2 3 8 2 2 2" xfId="44726" xr:uid="{00000000-0005-0000-0000-00004C0C0000}"/>
    <cellStyle name="Comma 2 2 2 2 3 8 2 2 3" xfId="38303" xr:uid="{00000000-0005-0000-0000-00004D0C0000}"/>
    <cellStyle name="Comma 2 2 2 2 3 8 2 3" xfId="27477" xr:uid="{00000000-0005-0000-0000-00004E0C0000}"/>
    <cellStyle name="Comma 2 2 2 2 3 8 2 3 2" xfId="41519" xr:uid="{00000000-0005-0000-0000-00004F0C0000}"/>
    <cellStyle name="Comma 2 2 2 2 3 8 2 4" xfId="30812" xr:uid="{00000000-0005-0000-0000-0000500C0000}"/>
    <cellStyle name="Comma 2 2 2 2 3 8 2 5" xfId="35095" xr:uid="{00000000-0005-0000-0000-0000510C0000}"/>
    <cellStyle name="Comma 2 2 2 2 3 8 3" xfId="15113" xr:uid="{00000000-0005-0000-0000-0000520C0000}"/>
    <cellStyle name="Comma 2 2 2 2 3 8 3 2" xfId="24126" xr:uid="{00000000-0005-0000-0000-0000530C0000}"/>
    <cellStyle name="Comma 2 2 2 2 3 8 3 2 2" xfId="43555" xr:uid="{00000000-0005-0000-0000-0000540C0000}"/>
    <cellStyle name="Comma 2 2 2 2 3 8 3 2 3" xfId="37132" xr:uid="{00000000-0005-0000-0000-0000550C0000}"/>
    <cellStyle name="Comma 2 2 2 2 3 8 3 3" xfId="28449" xr:uid="{00000000-0005-0000-0000-0000560C0000}"/>
    <cellStyle name="Comma 2 2 2 2 3 8 3 3 2" xfId="40348" xr:uid="{00000000-0005-0000-0000-0000570C0000}"/>
    <cellStyle name="Comma 2 2 2 2 3 8 3 4" xfId="31784" xr:uid="{00000000-0005-0000-0000-0000580C0000}"/>
    <cellStyle name="Comma 2 2 2 2 3 8 3 5" xfId="33924" xr:uid="{00000000-0005-0000-0000-0000590C0000}"/>
    <cellStyle name="Comma 2 2 2 2 3 8 4" xfId="7929" xr:uid="{00000000-0005-0000-0000-00005A0C0000}"/>
    <cellStyle name="Comma 2 2 2 2 3 8 4 2" xfId="42585" xr:uid="{00000000-0005-0000-0000-00005B0C0000}"/>
    <cellStyle name="Comma 2 2 2 2 3 8 4 3" xfId="36161" xr:uid="{00000000-0005-0000-0000-00005C0C0000}"/>
    <cellStyle name="Comma 2 2 2 2 3 8 5" xfId="20920" xr:uid="{00000000-0005-0000-0000-00005D0C0000}"/>
    <cellStyle name="Comma 2 2 2 2 3 8 5 2" xfId="39378" xr:uid="{00000000-0005-0000-0000-00005E0C0000}"/>
    <cellStyle name="Comma 2 2 2 2 3 8 6" xfId="21993" xr:uid="{00000000-0005-0000-0000-00005F0C0000}"/>
    <cellStyle name="Comma 2 2 2 2 3 8 7" xfId="23156" xr:uid="{00000000-0005-0000-0000-0000600C0000}"/>
    <cellStyle name="Comma 2 2 2 2 3 8 8" xfId="26315" xr:uid="{00000000-0005-0000-0000-0000610C0000}"/>
    <cellStyle name="Comma 2 2 2 2 3 8 9" xfId="29648" xr:uid="{00000000-0005-0000-0000-0000620C0000}"/>
    <cellStyle name="Comma 2 2 2 2 3 9" xfId="9059" xr:uid="{00000000-0005-0000-0000-0000630C0000}"/>
    <cellStyle name="Comma 2 2 2 2 3 9 2" xfId="25115" xr:uid="{00000000-0005-0000-0000-0000640C0000}"/>
    <cellStyle name="Comma 2 2 2 2 3 9 2 2" xfId="44542" xr:uid="{00000000-0005-0000-0000-0000650C0000}"/>
    <cellStyle name="Comma 2 2 2 2 3 9 2 3" xfId="38119" xr:uid="{00000000-0005-0000-0000-0000660C0000}"/>
    <cellStyle name="Comma 2 2 2 2 3 9 3" xfId="27294" xr:uid="{00000000-0005-0000-0000-0000670C0000}"/>
    <cellStyle name="Comma 2 2 2 2 3 9 3 2" xfId="41335" xr:uid="{00000000-0005-0000-0000-0000680C0000}"/>
    <cellStyle name="Comma 2 2 2 2 3 9 4" xfId="30629" xr:uid="{00000000-0005-0000-0000-0000690C0000}"/>
    <cellStyle name="Comma 2 2 2 2 3 9 5" xfId="34911" xr:uid="{00000000-0005-0000-0000-00006A0C0000}"/>
    <cellStyle name="Comma 2 2 2 2 4" xfId="263" xr:uid="{00000000-0005-0000-0000-00006B0C0000}"/>
    <cellStyle name="Comma 2 2 2 2 4 10" xfId="20921" xr:uid="{00000000-0005-0000-0000-00006C0C0000}"/>
    <cellStyle name="Comma 2 2 2 2 4 10 2" xfId="39257" xr:uid="{00000000-0005-0000-0000-00006D0C0000}"/>
    <cellStyle name="Comma 2 2 2 2 4 11" xfId="21994" xr:uid="{00000000-0005-0000-0000-00006E0C0000}"/>
    <cellStyle name="Comma 2 2 2 2 4 12" xfId="23035" xr:uid="{00000000-0005-0000-0000-00006F0C0000}"/>
    <cellStyle name="Comma 2 2 2 2 4 13" xfId="26316" xr:uid="{00000000-0005-0000-0000-0000700C0000}"/>
    <cellStyle name="Comma 2 2 2 2 4 14" xfId="29649" xr:uid="{00000000-0005-0000-0000-0000710C0000}"/>
    <cellStyle name="Comma 2 2 2 2 4 15" xfId="32833" xr:uid="{00000000-0005-0000-0000-0000720C0000}"/>
    <cellStyle name="Comma 2 2 2 2 4 2" xfId="729" xr:uid="{00000000-0005-0000-0000-0000730C0000}"/>
    <cellStyle name="Comma 2 2 2 2 4 2 10" xfId="32955" xr:uid="{00000000-0005-0000-0000-0000740C0000}"/>
    <cellStyle name="Comma 2 2 2 2 4 2 2" xfId="9500" xr:uid="{00000000-0005-0000-0000-0000750C0000}"/>
    <cellStyle name="Comma 2 2 2 2 4 2 2 2" xfId="25300" xr:uid="{00000000-0005-0000-0000-0000760C0000}"/>
    <cellStyle name="Comma 2 2 2 2 4 2 2 2 2" xfId="44727" xr:uid="{00000000-0005-0000-0000-0000770C0000}"/>
    <cellStyle name="Comma 2 2 2 2 4 2 2 2 3" xfId="38304" xr:uid="{00000000-0005-0000-0000-0000780C0000}"/>
    <cellStyle name="Comma 2 2 2 2 4 2 2 3" xfId="27478" xr:uid="{00000000-0005-0000-0000-0000790C0000}"/>
    <cellStyle name="Comma 2 2 2 2 4 2 2 3 2" xfId="41520" xr:uid="{00000000-0005-0000-0000-00007A0C0000}"/>
    <cellStyle name="Comma 2 2 2 2 4 2 2 4" xfId="30813" xr:uid="{00000000-0005-0000-0000-00007B0C0000}"/>
    <cellStyle name="Comma 2 2 2 2 4 2 2 5" xfId="35096" xr:uid="{00000000-0005-0000-0000-00007C0C0000}"/>
    <cellStyle name="Comma 2 2 2 2 4 2 3" xfId="15115" xr:uid="{00000000-0005-0000-0000-00007D0C0000}"/>
    <cellStyle name="Comma 2 2 2 2 4 2 3 2" xfId="24128" xr:uid="{00000000-0005-0000-0000-00007E0C0000}"/>
    <cellStyle name="Comma 2 2 2 2 4 2 3 2 2" xfId="43557" xr:uid="{00000000-0005-0000-0000-00007F0C0000}"/>
    <cellStyle name="Comma 2 2 2 2 4 2 3 2 3" xfId="37134" xr:uid="{00000000-0005-0000-0000-0000800C0000}"/>
    <cellStyle name="Comma 2 2 2 2 4 2 3 3" xfId="28451" xr:uid="{00000000-0005-0000-0000-0000810C0000}"/>
    <cellStyle name="Comma 2 2 2 2 4 2 3 3 2" xfId="40350" xr:uid="{00000000-0005-0000-0000-0000820C0000}"/>
    <cellStyle name="Comma 2 2 2 2 4 2 3 4" xfId="31786" xr:uid="{00000000-0005-0000-0000-0000830C0000}"/>
    <cellStyle name="Comma 2 2 2 2 4 2 3 5" xfId="33926" xr:uid="{00000000-0005-0000-0000-0000840C0000}"/>
    <cellStyle name="Comma 2 2 2 2 4 2 4" xfId="7931" xr:uid="{00000000-0005-0000-0000-0000850C0000}"/>
    <cellStyle name="Comma 2 2 2 2 4 2 4 2" xfId="42586" xr:uid="{00000000-0005-0000-0000-0000860C0000}"/>
    <cellStyle name="Comma 2 2 2 2 4 2 4 3" xfId="36162" xr:uid="{00000000-0005-0000-0000-0000870C0000}"/>
    <cellStyle name="Comma 2 2 2 2 4 2 5" xfId="20922" xr:uid="{00000000-0005-0000-0000-0000880C0000}"/>
    <cellStyle name="Comma 2 2 2 2 4 2 5 2" xfId="39379" xr:uid="{00000000-0005-0000-0000-0000890C0000}"/>
    <cellStyle name="Comma 2 2 2 2 4 2 6" xfId="21995" xr:uid="{00000000-0005-0000-0000-00008A0C0000}"/>
    <cellStyle name="Comma 2 2 2 2 4 2 7" xfId="23157" xr:uid="{00000000-0005-0000-0000-00008B0C0000}"/>
    <cellStyle name="Comma 2 2 2 2 4 2 8" xfId="26317" xr:uid="{00000000-0005-0000-0000-00008C0C0000}"/>
    <cellStyle name="Comma 2 2 2 2 4 2 9" xfId="29650" xr:uid="{00000000-0005-0000-0000-00008D0C0000}"/>
    <cellStyle name="Comma 2 2 2 2 4 3" xfId="730" xr:uid="{00000000-0005-0000-0000-00008E0C0000}"/>
    <cellStyle name="Comma 2 2 2 2 4 3 10" xfId="32956" xr:uid="{00000000-0005-0000-0000-00008F0C0000}"/>
    <cellStyle name="Comma 2 2 2 2 4 3 2" xfId="9501" xr:uid="{00000000-0005-0000-0000-0000900C0000}"/>
    <cellStyle name="Comma 2 2 2 2 4 3 2 2" xfId="25301" xr:uid="{00000000-0005-0000-0000-0000910C0000}"/>
    <cellStyle name="Comma 2 2 2 2 4 3 2 2 2" xfId="44728" xr:uid="{00000000-0005-0000-0000-0000920C0000}"/>
    <cellStyle name="Comma 2 2 2 2 4 3 2 2 3" xfId="38305" xr:uid="{00000000-0005-0000-0000-0000930C0000}"/>
    <cellStyle name="Comma 2 2 2 2 4 3 2 3" xfId="27479" xr:uid="{00000000-0005-0000-0000-0000940C0000}"/>
    <cellStyle name="Comma 2 2 2 2 4 3 2 3 2" xfId="41521" xr:uid="{00000000-0005-0000-0000-0000950C0000}"/>
    <cellStyle name="Comma 2 2 2 2 4 3 2 4" xfId="30814" xr:uid="{00000000-0005-0000-0000-0000960C0000}"/>
    <cellStyle name="Comma 2 2 2 2 4 3 2 5" xfId="35097" xr:uid="{00000000-0005-0000-0000-0000970C0000}"/>
    <cellStyle name="Comma 2 2 2 2 4 3 3" xfId="15116" xr:uid="{00000000-0005-0000-0000-0000980C0000}"/>
    <cellStyle name="Comma 2 2 2 2 4 3 3 2" xfId="24129" xr:uid="{00000000-0005-0000-0000-0000990C0000}"/>
    <cellStyle name="Comma 2 2 2 2 4 3 3 2 2" xfId="43558" xr:uid="{00000000-0005-0000-0000-00009A0C0000}"/>
    <cellStyle name="Comma 2 2 2 2 4 3 3 2 3" xfId="37135" xr:uid="{00000000-0005-0000-0000-00009B0C0000}"/>
    <cellStyle name="Comma 2 2 2 2 4 3 3 3" xfId="28452" xr:uid="{00000000-0005-0000-0000-00009C0C0000}"/>
    <cellStyle name="Comma 2 2 2 2 4 3 3 3 2" xfId="40351" xr:uid="{00000000-0005-0000-0000-00009D0C0000}"/>
    <cellStyle name="Comma 2 2 2 2 4 3 3 4" xfId="31787" xr:uid="{00000000-0005-0000-0000-00009E0C0000}"/>
    <cellStyle name="Comma 2 2 2 2 4 3 3 5" xfId="33927" xr:uid="{00000000-0005-0000-0000-00009F0C0000}"/>
    <cellStyle name="Comma 2 2 2 2 4 3 4" xfId="7932" xr:uid="{00000000-0005-0000-0000-0000A00C0000}"/>
    <cellStyle name="Comma 2 2 2 2 4 3 4 2" xfId="42587" xr:uid="{00000000-0005-0000-0000-0000A10C0000}"/>
    <cellStyle name="Comma 2 2 2 2 4 3 4 3" xfId="36163" xr:uid="{00000000-0005-0000-0000-0000A20C0000}"/>
    <cellStyle name="Comma 2 2 2 2 4 3 5" xfId="20923" xr:uid="{00000000-0005-0000-0000-0000A30C0000}"/>
    <cellStyle name="Comma 2 2 2 2 4 3 5 2" xfId="39380" xr:uid="{00000000-0005-0000-0000-0000A40C0000}"/>
    <cellStyle name="Comma 2 2 2 2 4 3 6" xfId="21996" xr:uid="{00000000-0005-0000-0000-0000A50C0000}"/>
    <cellStyle name="Comma 2 2 2 2 4 3 7" xfId="23158" xr:uid="{00000000-0005-0000-0000-0000A60C0000}"/>
    <cellStyle name="Comma 2 2 2 2 4 3 8" xfId="26318" xr:uid="{00000000-0005-0000-0000-0000A70C0000}"/>
    <cellStyle name="Comma 2 2 2 2 4 3 9" xfId="29651" xr:uid="{00000000-0005-0000-0000-0000A80C0000}"/>
    <cellStyle name="Comma 2 2 2 2 4 4" xfId="731" xr:uid="{00000000-0005-0000-0000-0000A90C0000}"/>
    <cellStyle name="Comma 2 2 2 2 4 4 10" xfId="32957" xr:uid="{00000000-0005-0000-0000-0000AA0C0000}"/>
    <cellStyle name="Comma 2 2 2 2 4 4 2" xfId="9502" xr:uid="{00000000-0005-0000-0000-0000AB0C0000}"/>
    <cellStyle name="Comma 2 2 2 2 4 4 2 2" xfId="25302" xr:uid="{00000000-0005-0000-0000-0000AC0C0000}"/>
    <cellStyle name="Comma 2 2 2 2 4 4 2 2 2" xfId="44729" xr:uid="{00000000-0005-0000-0000-0000AD0C0000}"/>
    <cellStyle name="Comma 2 2 2 2 4 4 2 2 3" xfId="38306" xr:uid="{00000000-0005-0000-0000-0000AE0C0000}"/>
    <cellStyle name="Comma 2 2 2 2 4 4 2 3" xfId="27480" xr:uid="{00000000-0005-0000-0000-0000AF0C0000}"/>
    <cellStyle name="Comma 2 2 2 2 4 4 2 3 2" xfId="41522" xr:uid="{00000000-0005-0000-0000-0000B00C0000}"/>
    <cellStyle name="Comma 2 2 2 2 4 4 2 4" xfId="30815" xr:uid="{00000000-0005-0000-0000-0000B10C0000}"/>
    <cellStyle name="Comma 2 2 2 2 4 4 2 5" xfId="35098" xr:uid="{00000000-0005-0000-0000-0000B20C0000}"/>
    <cellStyle name="Comma 2 2 2 2 4 4 3" xfId="15117" xr:uid="{00000000-0005-0000-0000-0000B30C0000}"/>
    <cellStyle name="Comma 2 2 2 2 4 4 3 2" xfId="24130" xr:uid="{00000000-0005-0000-0000-0000B40C0000}"/>
    <cellStyle name="Comma 2 2 2 2 4 4 3 2 2" xfId="43559" xr:uid="{00000000-0005-0000-0000-0000B50C0000}"/>
    <cellStyle name="Comma 2 2 2 2 4 4 3 2 3" xfId="37136" xr:uid="{00000000-0005-0000-0000-0000B60C0000}"/>
    <cellStyle name="Comma 2 2 2 2 4 4 3 3" xfId="28453" xr:uid="{00000000-0005-0000-0000-0000B70C0000}"/>
    <cellStyle name="Comma 2 2 2 2 4 4 3 3 2" xfId="40352" xr:uid="{00000000-0005-0000-0000-0000B80C0000}"/>
    <cellStyle name="Comma 2 2 2 2 4 4 3 4" xfId="31788" xr:uid="{00000000-0005-0000-0000-0000B90C0000}"/>
    <cellStyle name="Comma 2 2 2 2 4 4 3 5" xfId="33928" xr:uid="{00000000-0005-0000-0000-0000BA0C0000}"/>
    <cellStyle name="Comma 2 2 2 2 4 4 4" xfId="7933" xr:uid="{00000000-0005-0000-0000-0000BB0C0000}"/>
    <cellStyle name="Comma 2 2 2 2 4 4 4 2" xfId="42588" xr:uid="{00000000-0005-0000-0000-0000BC0C0000}"/>
    <cellStyle name="Comma 2 2 2 2 4 4 4 3" xfId="36164" xr:uid="{00000000-0005-0000-0000-0000BD0C0000}"/>
    <cellStyle name="Comma 2 2 2 2 4 4 5" xfId="20924" xr:uid="{00000000-0005-0000-0000-0000BE0C0000}"/>
    <cellStyle name="Comma 2 2 2 2 4 4 5 2" xfId="39381" xr:uid="{00000000-0005-0000-0000-0000BF0C0000}"/>
    <cellStyle name="Comma 2 2 2 2 4 4 6" xfId="21997" xr:uid="{00000000-0005-0000-0000-0000C00C0000}"/>
    <cellStyle name="Comma 2 2 2 2 4 4 7" xfId="23159" xr:uid="{00000000-0005-0000-0000-0000C10C0000}"/>
    <cellStyle name="Comma 2 2 2 2 4 4 8" xfId="26319" xr:uid="{00000000-0005-0000-0000-0000C20C0000}"/>
    <cellStyle name="Comma 2 2 2 2 4 4 9" xfId="29652" xr:uid="{00000000-0005-0000-0000-0000C30C0000}"/>
    <cellStyle name="Comma 2 2 2 2 4 5" xfId="732" xr:uid="{00000000-0005-0000-0000-0000C40C0000}"/>
    <cellStyle name="Comma 2 2 2 2 4 5 10" xfId="32958" xr:uid="{00000000-0005-0000-0000-0000C50C0000}"/>
    <cellStyle name="Comma 2 2 2 2 4 5 2" xfId="9503" xr:uid="{00000000-0005-0000-0000-0000C60C0000}"/>
    <cellStyle name="Comma 2 2 2 2 4 5 2 2" xfId="25303" xr:uid="{00000000-0005-0000-0000-0000C70C0000}"/>
    <cellStyle name="Comma 2 2 2 2 4 5 2 2 2" xfId="44730" xr:uid="{00000000-0005-0000-0000-0000C80C0000}"/>
    <cellStyle name="Comma 2 2 2 2 4 5 2 2 3" xfId="38307" xr:uid="{00000000-0005-0000-0000-0000C90C0000}"/>
    <cellStyle name="Comma 2 2 2 2 4 5 2 3" xfId="27481" xr:uid="{00000000-0005-0000-0000-0000CA0C0000}"/>
    <cellStyle name="Comma 2 2 2 2 4 5 2 3 2" xfId="41523" xr:uid="{00000000-0005-0000-0000-0000CB0C0000}"/>
    <cellStyle name="Comma 2 2 2 2 4 5 2 4" xfId="30816" xr:uid="{00000000-0005-0000-0000-0000CC0C0000}"/>
    <cellStyle name="Comma 2 2 2 2 4 5 2 5" xfId="35099" xr:uid="{00000000-0005-0000-0000-0000CD0C0000}"/>
    <cellStyle name="Comma 2 2 2 2 4 5 3" xfId="15118" xr:uid="{00000000-0005-0000-0000-0000CE0C0000}"/>
    <cellStyle name="Comma 2 2 2 2 4 5 3 2" xfId="24131" xr:uid="{00000000-0005-0000-0000-0000CF0C0000}"/>
    <cellStyle name="Comma 2 2 2 2 4 5 3 2 2" xfId="43560" xr:uid="{00000000-0005-0000-0000-0000D00C0000}"/>
    <cellStyle name="Comma 2 2 2 2 4 5 3 2 3" xfId="37137" xr:uid="{00000000-0005-0000-0000-0000D10C0000}"/>
    <cellStyle name="Comma 2 2 2 2 4 5 3 3" xfId="28454" xr:uid="{00000000-0005-0000-0000-0000D20C0000}"/>
    <cellStyle name="Comma 2 2 2 2 4 5 3 3 2" xfId="40353" xr:uid="{00000000-0005-0000-0000-0000D30C0000}"/>
    <cellStyle name="Comma 2 2 2 2 4 5 3 4" xfId="31789" xr:uid="{00000000-0005-0000-0000-0000D40C0000}"/>
    <cellStyle name="Comma 2 2 2 2 4 5 3 5" xfId="33929" xr:uid="{00000000-0005-0000-0000-0000D50C0000}"/>
    <cellStyle name="Comma 2 2 2 2 4 5 4" xfId="7934" xr:uid="{00000000-0005-0000-0000-0000D60C0000}"/>
    <cellStyle name="Comma 2 2 2 2 4 5 4 2" xfId="42589" xr:uid="{00000000-0005-0000-0000-0000D70C0000}"/>
    <cellStyle name="Comma 2 2 2 2 4 5 4 3" xfId="36165" xr:uid="{00000000-0005-0000-0000-0000D80C0000}"/>
    <cellStyle name="Comma 2 2 2 2 4 5 5" xfId="20925" xr:uid="{00000000-0005-0000-0000-0000D90C0000}"/>
    <cellStyle name="Comma 2 2 2 2 4 5 5 2" xfId="39382" xr:uid="{00000000-0005-0000-0000-0000DA0C0000}"/>
    <cellStyle name="Comma 2 2 2 2 4 5 6" xfId="21998" xr:uid="{00000000-0005-0000-0000-0000DB0C0000}"/>
    <cellStyle name="Comma 2 2 2 2 4 5 7" xfId="23160" xr:uid="{00000000-0005-0000-0000-0000DC0C0000}"/>
    <cellStyle name="Comma 2 2 2 2 4 5 8" xfId="26320" xr:uid="{00000000-0005-0000-0000-0000DD0C0000}"/>
    <cellStyle name="Comma 2 2 2 2 4 5 9" xfId="29653" xr:uid="{00000000-0005-0000-0000-0000DE0C0000}"/>
    <cellStyle name="Comma 2 2 2 2 4 6" xfId="733" xr:uid="{00000000-0005-0000-0000-0000DF0C0000}"/>
    <cellStyle name="Comma 2 2 2 2 4 6 10" xfId="32959" xr:uid="{00000000-0005-0000-0000-0000E00C0000}"/>
    <cellStyle name="Comma 2 2 2 2 4 6 2" xfId="9504" xr:uid="{00000000-0005-0000-0000-0000E10C0000}"/>
    <cellStyle name="Comma 2 2 2 2 4 6 2 2" xfId="25304" xr:uid="{00000000-0005-0000-0000-0000E20C0000}"/>
    <cellStyle name="Comma 2 2 2 2 4 6 2 2 2" xfId="44731" xr:uid="{00000000-0005-0000-0000-0000E30C0000}"/>
    <cellStyle name="Comma 2 2 2 2 4 6 2 2 3" xfId="38308" xr:uid="{00000000-0005-0000-0000-0000E40C0000}"/>
    <cellStyle name="Comma 2 2 2 2 4 6 2 3" xfId="27482" xr:uid="{00000000-0005-0000-0000-0000E50C0000}"/>
    <cellStyle name="Comma 2 2 2 2 4 6 2 3 2" xfId="41524" xr:uid="{00000000-0005-0000-0000-0000E60C0000}"/>
    <cellStyle name="Comma 2 2 2 2 4 6 2 4" xfId="30817" xr:uid="{00000000-0005-0000-0000-0000E70C0000}"/>
    <cellStyle name="Comma 2 2 2 2 4 6 2 5" xfId="35100" xr:uid="{00000000-0005-0000-0000-0000E80C0000}"/>
    <cellStyle name="Comma 2 2 2 2 4 6 3" xfId="15119" xr:uid="{00000000-0005-0000-0000-0000E90C0000}"/>
    <cellStyle name="Comma 2 2 2 2 4 6 3 2" xfId="24132" xr:uid="{00000000-0005-0000-0000-0000EA0C0000}"/>
    <cellStyle name="Comma 2 2 2 2 4 6 3 2 2" xfId="43561" xr:uid="{00000000-0005-0000-0000-0000EB0C0000}"/>
    <cellStyle name="Comma 2 2 2 2 4 6 3 2 3" xfId="37138" xr:uid="{00000000-0005-0000-0000-0000EC0C0000}"/>
    <cellStyle name="Comma 2 2 2 2 4 6 3 3" xfId="28455" xr:uid="{00000000-0005-0000-0000-0000ED0C0000}"/>
    <cellStyle name="Comma 2 2 2 2 4 6 3 3 2" xfId="40354" xr:uid="{00000000-0005-0000-0000-0000EE0C0000}"/>
    <cellStyle name="Comma 2 2 2 2 4 6 3 4" xfId="31790" xr:uid="{00000000-0005-0000-0000-0000EF0C0000}"/>
    <cellStyle name="Comma 2 2 2 2 4 6 3 5" xfId="33930" xr:uid="{00000000-0005-0000-0000-0000F00C0000}"/>
    <cellStyle name="Comma 2 2 2 2 4 6 4" xfId="7935" xr:uid="{00000000-0005-0000-0000-0000F10C0000}"/>
    <cellStyle name="Comma 2 2 2 2 4 6 4 2" xfId="42590" xr:uid="{00000000-0005-0000-0000-0000F20C0000}"/>
    <cellStyle name="Comma 2 2 2 2 4 6 4 3" xfId="36166" xr:uid="{00000000-0005-0000-0000-0000F30C0000}"/>
    <cellStyle name="Comma 2 2 2 2 4 6 5" xfId="20926" xr:uid="{00000000-0005-0000-0000-0000F40C0000}"/>
    <cellStyle name="Comma 2 2 2 2 4 6 5 2" xfId="39383" xr:uid="{00000000-0005-0000-0000-0000F50C0000}"/>
    <cellStyle name="Comma 2 2 2 2 4 6 6" xfId="21999" xr:uid="{00000000-0005-0000-0000-0000F60C0000}"/>
    <cellStyle name="Comma 2 2 2 2 4 6 7" xfId="23161" xr:uid="{00000000-0005-0000-0000-0000F70C0000}"/>
    <cellStyle name="Comma 2 2 2 2 4 6 8" xfId="26321" xr:uid="{00000000-0005-0000-0000-0000F80C0000}"/>
    <cellStyle name="Comma 2 2 2 2 4 6 9" xfId="29654" xr:uid="{00000000-0005-0000-0000-0000F90C0000}"/>
    <cellStyle name="Comma 2 2 2 2 4 7" xfId="9120" xr:uid="{00000000-0005-0000-0000-0000FA0C0000}"/>
    <cellStyle name="Comma 2 2 2 2 4 7 2" xfId="25174" xr:uid="{00000000-0005-0000-0000-0000FB0C0000}"/>
    <cellStyle name="Comma 2 2 2 2 4 7 2 2" xfId="44601" xr:uid="{00000000-0005-0000-0000-0000FC0C0000}"/>
    <cellStyle name="Comma 2 2 2 2 4 7 2 3" xfId="38178" xr:uid="{00000000-0005-0000-0000-0000FD0C0000}"/>
    <cellStyle name="Comma 2 2 2 2 4 7 3" xfId="27353" xr:uid="{00000000-0005-0000-0000-0000FE0C0000}"/>
    <cellStyle name="Comma 2 2 2 2 4 7 3 2" xfId="41394" xr:uid="{00000000-0005-0000-0000-0000FF0C0000}"/>
    <cellStyle name="Comma 2 2 2 2 4 7 4" xfId="30688" xr:uid="{00000000-0005-0000-0000-0000000D0000}"/>
    <cellStyle name="Comma 2 2 2 2 4 7 5" xfId="34970" xr:uid="{00000000-0005-0000-0000-0000010D0000}"/>
    <cellStyle name="Comma 2 2 2 2 4 8" xfId="15114" xr:uid="{00000000-0005-0000-0000-0000020D0000}"/>
    <cellStyle name="Comma 2 2 2 2 4 8 2" xfId="24127" xr:uid="{00000000-0005-0000-0000-0000030D0000}"/>
    <cellStyle name="Comma 2 2 2 2 4 8 2 2" xfId="43556" xr:uid="{00000000-0005-0000-0000-0000040D0000}"/>
    <cellStyle name="Comma 2 2 2 2 4 8 2 3" xfId="37133" xr:uid="{00000000-0005-0000-0000-0000050D0000}"/>
    <cellStyle name="Comma 2 2 2 2 4 8 3" xfId="28450" xr:uid="{00000000-0005-0000-0000-0000060D0000}"/>
    <cellStyle name="Comma 2 2 2 2 4 8 3 2" xfId="40349" xr:uid="{00000000-0005-0000-0000-0000070D0000}"/>
    <cellStyle name="Comma 2 2 2 2 4 8 4" xfId="31785" xr:uid="{00000000-0005-0000-0000-0000080D0000}"/>
    <cellStyle name="Comma 2 2 2 2 4 8 5" xfId="33925" xr:uid="{00000000-0005-0000-0000-0000090D0000}"/>
    <cellStyle name="Comma 2 2 2 2 4 9" xfId="7930" xr:uid="{00000000-0005-0000-0000-00000A0D0000}"/>
    <cellStyle name="Comma 2 2 2 2 4 9 2" xfId="42464" xr:uid="{00000000-0005-0000-0000-00000B0D0000}"/>
    <cellStyle name="Comma 2 2 2 2 4 9 3" xfId="36040" xr:uid="{00000000-0005-0000-0000-00000C0D0000}"/>
    <cellStyle name="Comma 2 2 2 2 5" xfId="734" xr:uid="{00000000-0005-0000-0000-00000D0D0000}"/>
    <cellStyle name="Comma 2 2 2 2 5 10" xfId="22000" xr:uid="{00000000-0005-0000-0000-00000E0D0000}"/>
    <cellStyle name="Comma 2 2 2 2 5 11" xfId="23162" xr:uid="{00000000-0005-0000-0000-00000F0D0000}"/>
    <cellStyle name="Comma 2 2 2 2 5 12" xfId="26322" xr:uid="{00000000-0005-0000-0000-0000100D0000}"/>
    <cellStyle name="Comma 2 2 2 2 5 13" xfId="29655" xr:uid="{00000000-0005-0000-0000-0000110D0000}"/>
    <cellStyle name="Comma 2 2 2 2 5 14" xfId="32960" xr:uid="{00000000-0005-0000-0000-0000120D0000}"/>
    <cellStyle name="Comma 2 2 2 2 5 2" xfId="735" xr:uid="{00000000-0005-0000-0000-0000130D0000}"/>
    <cellStyle name="Comma 2 2 2 2 5 2 10" xfId="32961" xr:uid="{00000000-0005-0000-0000-0000140D0000}"/>
    <cellStyle name="Comma 2 2 2 2 5 2 2" xfId="9506" xr:uid="{00000000-0005-0000-0000-0000150D0000}"/>
    <cellStyle name="Comma 2 2 2 2 5 2 2 2" xfId="25306" xr:uid="{00000000-0005-0000-0000-0000160D0000}"/>
    <cellStyle name="Comma 2 2 2 2 5 2 2 2 2" xfId="44733" xr:uid="{00000000-0005-0000-0000-0000170D0000}"/>
    <cellStyle name="Comma 2 2 2 2 5 2 2 2 3" xfId="38310" xr:uid="{00000000-0005-0000-0000-0000180D0000}"/>
    <cellStyle name="Comma 2 2 2 2 5 2 2 3" xfId="27484" xr:uid="{00000000-0005-0000-0000-0000190D0000}"/>
    <cellStyle name="Comma 2 2 2 2 5 2 2 3 2" xfId="41526" xr:uid="{00000000-0005-0000-0000-00001A0D0000}"/>
    <cellStyle name="Comma 2 2 2 2 5 2 2 4" xfId="30819" xr:uid="{00000000-0005-0000-0000-00001B0D0000}"/>
    <cellStyle name="Comma 2 2 2 2 5 2 2 5" xfId="35102" xr:uid="{00000000-0005-0000-0000-00001C0D0000}"/>
    <cellStyle name="Comma 2 2 2 2 5 2 3" xfId="15121" xr:uid="{00000000-0005-0000-0000-00001D0D0000}"/>
    <cellStyle name="Comma 2 2 2 2 5 2 3 2" xfId="24134" xr:uid="{00000000-0005-0000-0000-00001E0D0000}"/>
    <cellStyle name="Comma 2 2 2 2 5 2 3 2 2" xfId="43563" xr:uid="{00000000-0005-0000-0000-00001F0D0000}"/>
    <cellStyle name="Comma 2 2 2 2 5 2 3 2 3" xfId="37140" xr:uid="{00000000-0005-0000-0000-0000200D0000}"/>
    <cellStyle name="Comma 2 2 2 2 5 2 3 3" xfId="28457" xr:uid="{00000000-0005-0000-0000-0000210D0000}"/>
    <cellStyle name="Comma 2 2 2 2 5 2 3 3 2" xfId="40356" xr:uid="{00000000-0005-0000-0000-0000220D0000}"/>
    <cellStyle name="Comma 2 2 2 2 5 2 3 4" xfId="31792" xr:uid="{00000000-0005-0000-0000-0000230D0000}"/>
    <cellStyle name="Comma 2 2 2 2 5 2 3 5" xfId="33932" xr:uid="{00000000-0005-0000-0000-0000240D0000}"/>
    <cellStyle name="Comma 2 2 2 2 5 2 4" xfId="7937" xr:uid="{00000000-0005-0000-0000-0000250D0000}"/>
    <cellStyle name="Comma 2 2 2 2 5 2 4 2" xfId="42592" xr:uid="{00000000-0005-0000-0000-0000260D0000}"/>
    <cellStyle name="Comma 2 2 2 2 5 2 4 3" xfId="36168" xr:uid="{00000000-0005-0000-0000-0000270D0000}"/>
    <cellStyle name="Comma 2 2 2 2 5 2 5" xfId="20928" xr:uid="{00000000-0005-0000-0000-0000280D0000}"/>
    <cellStyle name="Comma 2 2 2 2 5 2 5 2" xfId="39385" xr:uid="{00000000-0005-0000-0000-0000290D0000}"/>
    <cellStyle name="Comma 2 2 2 2 5 2 6" xfId="22001" xr:uid="{00000000-0005-0000-0000-00002A0D0000}"/>
    <cellStyle name="Comma 2 2 2 2 5 2 7" xfId="23163" xr:uid="{00000000-0005-0000-0000-00002B0D0000}"/>
    <cellStyle name="Comma 2 2 2 2 5 2 8" xfId="26323" xr:uid="{00000000-0005-0000-0000-00002C0D0000}"/>
    <cellStyle name="Comma 2 2 2 2 5 2 9" xfId="29656" xr:uid="{00000000-0005-0000-0000-00002D0D0000}"/>
    <cellStyle name="Comma 2 2 2 2 5 3" xfId="736" xr:uid="{00000000-0005-0000-0000-00002E0D0000}"/>
    <cellStyle name="Comma 2 2 2 2 5 3 10" xfId="32962" xr:uid="{00000000-0005-0000-0000-00002F0D0000}"/>
    <cellStyle name="Comma 2 2 2 2 5 3 2" xfId="9507" xr:uid="{00000000-0005-0000-0000-0000300D0000}"/>
    <cellStyle name="Comma 2 2 2 2 5 3 2 2" xfId="25307" xr:uid="{00000000-0005-0000-0000-0000310D0000}"/>
    <cellStyle name="Comma 2 2 2 2 5 3 2 2 2" xfId="44734" xr:uid="{00000000-0005-0000-0000-0000320D0000}"/>
    <cellStyle name="Comma 2 2 2 2 5 3 2 2 3" xfId="38311" xr:uid="{00000000-0005-0000-0000-0000330D0000}"/>
    <cellStyle name="Comma 2 2 2 2 5 3 2 3" xfId="27485" xr:uid="{00000000-0005-0000-0000-0000340D0000}"/>
    <cellStyle name="Comma 2 2 2 2 5 3 2 3 2" xfId="41527" xr:uid="{00000000-0005-0000-0000-0000350D0000}"/>
    <cellStyle name="Comma 2 2 2 2 5 3 2 4" xfId="30820" xr:uid="{00000000-0005-0000-0000-0000360D0000}"/>
    <cellStyle name="Comma 2 2 2 2 5 3 2 5" xfId="35103" xr:uid="{00000000-0005-0000-0000-0000370D0000}"/>
    <cellStyle name="Comma 2 2 2 2 5 3 3" xfId="15122" xr:uid="{00000000-0005-0000-0000-0000380D0000}"/>
    <cellStyle name="Comma 2 2 2 2 5 3 3 2" xfId="24135" xr:uid="{00000000-0005-0000-0000-0000390D0000}"/>
    <cellStyle name="Comma 2 2 2 2 5 3 3 2 2" xfId="43564" xr:uid="{00000000-0005-0000-0000-00003A0D0000}"/>
    <cellStyle name="Comma 2 2 2 2 5 3 3 2 3" xfId="37141" xr:uid="{00000000-0005-0000-0000-00003B0D0000}"/>
    <cellStyle name="Comma 2 2 2 2 5 3 3 3" xfId="28458" xr:uid="{00000000-0005-0000-0000-00003C0D0000}"/>
    <cellStyle name="Comma 2 2 2 2 5 3 3 3 2" xfId="40357" xr:uid="{00000000-0005-0000-0000-00003D0D0000}"/>
    <cellStyle name="Comma 2 2 2 2 5 3 3 4" xfId="31793" xr:uid="{00000000-0005-0000-0000-00003E0D0000}"/>
    <cellStyle name="Comma 2 2 2 2 5 3 3 5" xfId="33933" xr:uid="{00000000-0005-0000-0000-00003F0D0000}"/>
    <cellStyle name="Comma 2 2 2 2 5 3 4" xfId="7938" xr:uid="{00000000-0005-0000-0000-0000400D0000}"/>
    <cellStyle name="Comma 2 2 2 2 5 3 4 2" xfId="42593" xr:uid="{00000000-0005-0000-0000-0000410D0000}"/>
    <cellStyle name="Comma 2 2 2 2 5 3 4 3" xfId="36169" xr:uid="{00000000-0005-0000-0000-0000420D0000}"/>
    <cellStyle name="Comma 2 2 2 2 5 3 5" xfId="20929" xr:uid="{00000000-0005-0000-0000-0000430D0000}"/>
    <cellStyle name="Comma 2 2 2 2 5 3 5 2" xfId="39386" xr:uid="{00000000-0005-0000-0000-0000440D0000}"/>
    <cellStyle name="Comma 2 2 2 2 5 3 6" xfId="22002" xr:uid="{00000000-0005-0000-0000-0000450D0000}"/>
    <cellStyle name="Comma 2 2 2 2 5 3 7" xfId="23164" xr:uid="{00000000-0005-0000-0000-0000460D0000}"/>
    <cellStyle name="Comma 2 2 2 2 5 3 8" xfId="26324" xr:uid="{00000000-0005-0000-0000-0000470D0000}"/>
    <cellStyle name="Comma 2 2 2 2 5 3 9" xfId="29657" xr:uid="{00000000-0005-0000-0000-0000480D0000}"/>
    <cellStyle name="Comma 2 2 2 2 5 4" xfId="737" xr:uid="{00000000-0005-0000-0000-0000490D0000}"/>
    <cellStyle name="Comma 2 2 2 2 5 4 10" xfId="32963" xr:uid="{00000000-0005-0000-0000-00004A0D0000}"/>
    <cellStyle name="Comma 2 2 2 2 5 4 2" xfId="9508" xr:uid="{00000000-0005-0000-0000-00004B0D0000}"/>
    <cellStyle name="Comma 2 2 2 2 5 4 2 2" xfId="25308" xr:uid="{00000000-0005-0000-0000-00004C0D0000}"/>
    <cellStyle name="Comma 2 2 2 2 5 4 2 2 2" xfId="44735" xr:uid="{00000000-0005-0000-0000-00004D0D0000}"/>
    <cellStyle name="Comma 2 2 2 2 5 4 2 2 3" xfId="38312" xr:uid="{00000000-0005-0000-0000-00004E0D0000}"/>
    <cellStyle name="Comma 2 2 2 2 5 4 2 3" xfId="27486" xr:uid="{00000000-0005-0000-0000-00004F0D0000}"/>
    <cellStyle name="Comma 2 2 2 2 5 4 2 3 2" xfId="41528" xr:uid="{00000000-0005-0000-0000-0000500D0000}"/>
    <cellStyle name="Comma 2 2 2 2 5 4 2 4" xfId="30821" xr:uid="{00000000-0005-0000-0000-0000510D0000}"/>
    <cellStyle name="Comma 2 2 2 2 5 4 2 5" xfId="35104" xr:uid="{00000000-0005-0000-0000-0000520D0000}"/>
    <cellStyle name="Comma 2 2 2 2 5 4 3" xfId="15123" xr:uid="{00000000-0005-0000-0000-0000530D0000}"/>
    <cellStyle name="Comma 2 2 2 2 5 4 3 2" xfId="24136" xr:uid="{00000000-0005-0000-0000-0000540D0000}"/>
    <cellStyle name="Comma 2 2 2 2 5 4 3 2 2" xfId="43565" xr:uid="{00000000-0005-0000-0000-0000550D0000}"/>
    <cellStyle name="Comma 2 2 2 2 5 4 3 2 3" xfId="37142" xr:uid="{00000000-0005-0000-0000-0000560D0000}"/>
    <cellStyle name="Comma 2 2 2 2 5 4 3 3" xfId="28459" xr:uid="{00000000-0005-0000-0000-0000570D0000}"/>
    <cellStyle name="Comma 2 2 2 2 5 4 3 3 2" xfId="40358" xr:uid="{00000000-0005-0000-0000-0000580D0000}"/>
    <cellStyle name="Comma 2 2 2 2 5 4 3 4" xfId="31794" xr:uid="{00000000-0005-0000-0000-0000590D0000}"/>
    <cellStyle name="Comma 2 2 2 2 5 4 3 5" xfId="33934" xr:uid="{00000000-0005-0000-0000-00005A0D0000}"/>
    <cellStyle name="Comma 2 2 2 2 5 4 4" xfId="7939" xr:uid="{00000000-0005-0000-0000-00005B0D0000}"/>
    <cellStyle name="Comma 2 2 2 2 5 4 4 2" xfId="42594" xr:uid="{00000000-0005-0000-0000-00005C0D0000}"/>
    <cellStyle name="Comma 2 2 2 2 5 4 4 3" xfId="36170" xr:uid="{00000000-0005-0000-0000-00005D0D0000}"/>
    <cellStyle name="Comma 2 2 2 2 5 4 5" xfId="20930" xr:uid="{00000000-0005-0000-0000-00005E0D0000}"/>
    <cellStyle name="Comma 2 2 2 2 5 4 5 2" xfId="39387" xr:uid="{00000000-0005-0000-0000-00005F0D0000}"/>
    <cellStyle name="Comma 2 2 2 2 5 4 6" xfId="22003" xr:uid="{00000000-0005-0000-0000-0000600D0000}"/>
    <cellStyle name="Comma 2 2 2 2 5 4 7" xfId="23165" xr:uid="{00000000-0005-0000-0000-0000610D0000}"/>
    <cellStyle name="Comma 2 2 2 2 5 4 8" xfId="26325" xr:uid="{00000000-0005-0000-0000-0000620D0000}"/>
    <cellStyle name="Comma 2 2 2 2 5 4 9" xfId="29658" xr:uid="{00000000-0005-0000-0000-0000630D0000}"/>
    <cellStyle name="Comma 2 2 2 2 5 5" xfId="738" xr:uid="{00000000-0005-0000-0000-0000640D0000}"/>
    <cellStyle name="Comma 2 2 2 2 5 5 10" xfId="32964" xr:uid="{00000000-0005-0000-0000-0000650D0000}"/>
    <cellStyle name="Comma 2 2 2 2 5 5 2" xfId="9509" xr:uid="{00000000-0005-0000-0000-0000660D0000}"/>
    <cellStyle name="Comma 2 2 2 2 5 5 2 2" xfId="25309" xr:uid="{00000000-0005-0000-0000-0000670D0000}"/>
    <cellStyle name="Comma 2 2 2 2 5 5 2 2 2" xfId="44736" xr:uid="{00000000-0005-0000-0000-0000680D0000}"/>
    <cellStyle name="Comma 2 2 2 2 5 5 2 2 3" xfId="38313" xr:uid="{00000000-0005-0000-0000-0000690D0000}"/>
    <cellStyle name="Comma 2 2 2 2 5 5 2 3" xfId="27487" xr:uid="{00000000-0005-0000-0000-00006A0D0000}"/>
    <cellStyle name="Comma 2 2 2 2 5 5 2 3 2" xfId="41529" xr:uid="{00000000-0005-0000-0000-00006B0D0000}"/>
    <cellStyle name="Comma 2 2 2 2 5 5 2 4" xfId="30822" xr:uid="{00000000-0005-0000-0000-00006C0D0000}"/>
    <cellStyle name="Comma 2 2 2 2 5 5 2 5" xfId="35105" xr:uid="{00000000-0005-0000-0000-00006D0D0000}"/>
    <cellStyle name="Comma 2 2 2 2 5 5 3" xfId="15124" xr:uid="{00000000-0005-0000-0000-00006E0D0000}"/>
    <cellStyle name="Comma 2 2 2 2 5 5 3 2" xfId="24137" xr:uid="{00000000-0005-0000-0000-00006F0D0000}"/>
    <cellStyle name="Comma 2 2 2 2 5 5 3 2 2" xfId="43566" xr:uid="{00000000-0005-0000-0000-0000700D0000}"/>
    <cellStyle name="Comma 2 2 2 2 5 5 3 2 3" xfId="37143" xr:uid="{00000000-0005-0000-0000-0000710D0000}"/>
    <cellStyle name="Comma 2 2 2 2 5 5 3 3" xfId="28460" xr:uid="{00000000-0005-0000-0000-0000720D0000}"/>
    <cellStyle name="Comma 2 2 2 2 5 5 3 3 2" xfId="40359" xr:uid="{00000000-0005-0000-0000-0000730D0000}"/>
    <cellStyle name="Comma 2 2 2 2 5 5 3 4" xfId="31795" xr:uid="{00000000-0005-0000-0000-0000740D0000}"/>
    <cellStyle name="Comma 2 2 2 2 5 5 3 5" xfId="33935" xr:uid="{00000000-0005-0000-0000-0000750D0000}"/>
    <cellStyle name="Comma 2 2 2 2 5 5 4" xfId="7940" xr:uid="{00000000-0005-0000-0000-0000760D0000}"/>
    <cellStyle name="Comma 2 2 2 2 5 5 4 2" xfId="42595" xr:uid="{00000000-0005-0000-0000-0000770D0000}"/>
    <cellStyle name="Comma 2 2 2 2 5 5 4 3" xfId="36171" xr:uid="{00000000-0005-0000-0000-0000780D0000}"/>
    <cellStyle name="Comma 2 2 2 2 5 5 5" xfId="20931" xr:uid="{00000000-0005-0000-0000-0000790D0000}"/>
    <cellStyle name="Comma 2 2 2 2 5 5 5 2" xfId="39388" xr:uid="{00000000-0005-0000-0000-00007A0D0000}"/>
    <cellStyle name="Comma 2 2 2 2 5 5 6" xfId="22004" xr:uid="{00000000-0005-0000-0000-00007B0D0000}"/>
    <cellStyle name="Comma 2 2 2 2 5 5 7" xfId="23166" xr:uid="{00000000-0005-0000-0000-00007C0D0000}"/>
    <cellStyle name="Comma 2 2 2 2 5 5 8" xfId="26326" xr:uid="{00000000-0005-0000-0000-00007D0D0000}"/>
    <cellStyle name="Comma 2 2 2 2 5 5 9" xfId="29659" xr:uid="{00000000-0005-0000-0000-00007E0D0000}"/>
    <cellStyle name="Comma 2 2 2 2 5 6" xfId="9505" xr:uid="{00000000-0005-0000-0000-00007F0D0000}"/>
    <cellStyle name="Comma 2 2 2 2 5 6 2" xfId="25305" xr:uid="{00000000-0005-0000-0000-0000800D0000}"/>
    <cellStyle name="Comma 2 2 2 2 5 6 2 2" xfId="44732" xr:uid="{00000000-0005-0000-0000-0000810D0000}"/>
    <cellStyle name="Comma 2 2 2 2 5 6 2 3" xfId="38309" xr:uid="{00000000-0005-0000-0000-0000820D0000}"/>
    <cellStyle name="Comma 2 2 2 2 5 6 3" xfId="27483" xr:uid="{00000000-0005-0000-0000-0000830D0000}"/>
    <cellStyle name="Comma 2 2 2 2 5 6 3 2" xfId="41525" xr:uid="{00000000-0005-0000-0000-0000840D0000}"/>
    <cellStyle name="Comma 2 2 2 2 5 6 4" xfId="30818" xr:uid="{00000000-0005-0000-0000-0000850D0000}"/>
    <cellStyle name="Comma 2 2 2 2 5 6 5" xfId="35101" xr:uid="{00000000-0005-0000-0000-0000860D0000}"/>
    <cellStyle name="Comma 2 2 2 2 5 7" xfId="15120" xr:uid="{00000000-0005-0000-0000-0000870D0000}"/>
    <cellStyle name="Comma 2 2 2 2 5 7 2" xfId="24133" xr:uid="{00000000-0005-0000-0000-0000880D0000}"/>
    <cellStyle name="Comma 2 2 2 2 5 7 2 2" xfId="43562" xr:uid="{00000000-0005-0000-0000-0000890D0000}"/>
    <cellStyle name="Comma 2 2 2 2 5 7 2 3" xfId="37139" xr:uid="{00000000-0005-0000-0000-00008A0D0000}"/>
    <cellStyle name="Comma 2 2 2 2 5 7 3" xfId="28456" xr:uid="{00000000-0005-0000-0000-00008B0D0000}"/>
    <cellStyle name="Comma 2 2 2 2 5 7 3 2" xfId="40355" xr:uid="{00000000-0005-0000-0000-00008C0D0000}"/>
    <cellStyle name="Comma 2 2 2 2 5 7 4" xfId="31791" xr:uid="{00000000-0005-0000-0000-00008D0D0000}"/>
    <cellStyle name="Comma 2 2 2 2 5 7 5" xfId="33931" xr:uid="{00000000-0005-0000-0000-00008E0D0000}"/>
    <cellStyle name="Comma 2 2 2 2 5 8" xfId="7936" xr:uid="{00000000-0005-0000-0000-00008F0D0000}"/>
    <cellStyle name="Comma 2 2 2 2 5 8 2" xfId="42591" xr:uid="{00000000-0005-0000-0000-0000900D0000}"/>
    <cellStyle name="Comma 2 2 2 2 5 8 3" xfId="36167" xr:uid="{00000000-0005-0000-0000-0000910D0000}"/>
    <cellStyle name="Comma 2 2 2 2 5 9" xfId="20927" xr:uid="{00000000-0005-0000-0000-0000920D0000}"/>
    <cellStyle name="Comma 2 2 2 2 5 9 2" xfId="39384" xr:uid="{00000000-0005-0000-0000-0000930D0000}"/>
    <cellStyle name="Comma 2 2 2 2 6" xfId="739" xr:uid="{00000000-0005-0000-0000-0000940D0000}"/>
    <cellStyle name="Comma 2 2 2 2 6 10" xfId="22005" xr:uid="{00000000-0005-0000-0000-0000950D0000}"/>
    <cellStyle name="Comma 2 2 2 2 6 11" xfId="23167" xr:uid="{00000000-0005-0000-0000-0000960D0000}"/>
    <cellStyle name="Comma 2 2 2 2 6 12" xfId="26327" xr:uid="{00000000-0005-0000-0000-0000970D0000}"/>
    <cellStyle name="Comma 2 2 2 2 6 13" xfId="29660" xr:uid="{00000000-0005-0000-0000-0000980D0000}"/>
    <cellStyle name="Comma 2 2 2 2 6 14" xfId="32965" xr:uid="{00000000-0005-0000-0000-0000990D0000}"/>
    <cellStyle name="Comma 2 2 2 2 6 2" xfId="740" xr:uid="{00000000-0005-0000-0000-00009A0D0000}"/>
    <cellStyle name="Comma 2 2 2 2 6 2 10" xfId="32966" xr:uid="{00000000-0005-0000-0000-00009B0D0000}"/>
    <cellStyle name="Comma 2 2 2 2 6 2 2" xfId="9511" xr:uid="{00000000-0005-0000-0000-00009C0D0000}"/>
    <cellStyle name="Comma 2 2 2 2 6 2 2 2" xfId="25311" xr:uid="{00000000-0005-0000-0000-00009D0D0000}"/>
    <cellStyle name="Comma 2 2 2 2 6 2 2 2 2" xfId="44738" xr:uid="{00000000-0005-0000-0000-00009E0D0000}"/>
    <cellStyle name="Comma 2 2 2 2 6 2 2 2 3" xfId="38315" xr:uid="{00000000-0005-0000-0000-00009F0D0000}"/>
    <cellStyle name="Comma 2 2 2 2 6 2 2 3" xfId="27489" xr:uid="{00000000-0005-0000-0000-0000A00D0000}"/>
    <cellStyle name="Comma 2 2 2 2 6 2 2 3 2" xfId="41531" xr:uid="{00000000-0005-0000-0000-0000A10D0000}"/>
    <cellStyle name="Comma 2 2 2 2 6 2 2 4" xfId="30824" xr:uid="{00000000-0005-0000-0000-0000A20D0000}"/>
    <cellStyle name="Comma 2 2 2 2 6 2 2 5" xfId="35107" xr:uid="{00000000-0005-0000-0000-0000A30D0000}"/>
    <cellStyle name="Comma 2 2 2 2 6 2 3" xfId="15126" xr:uid="{00000000-0005-0000-0000-0000A40D0000}"/>
    <cellStyle name="Comma 2 2 2 2 6 2 3 2" xfId="24139" xr:uid="{00000000-0005-0000-0000-0000A50D0000}"/>
    <cellStyle name="Comma 2 2 2 2 6 2 3 2 2" xfId="43568" xr:uid="{00000000-0005-0000-0000-0000A60D0000}"/>
    <cellStyle name="Comma 2 2 2 2 6 2 3 2 3" xfId="37145" xr:uid="{00000000-0005-0000-0000-0000A70D0000}"/>
    <cellStyle name="Comma 2 2 2 2 6 2 3 3" xfId="28462" xr:uid="{00000000-0005-0000-0000-0000A80D0000}"/>
    <cellStyle name="Comma 2 2 2 2 6 2 3 3 2" xfId="40361" xr:uid="{00000000-0005-0000-0000-0000A90D0000}"/>
    <cellStyle name="Comma 2 2 2 2 6 2 3 4" xfId="31797" xr:uid="{00000000-0005-0000-0000-0000AA0D0000}"/>
    <cellStyle name="Comma 2 2 2 2 6 2 3 5" xfId="33937" xr:uid="{00000000-0005-0000-0000-0000AB0D0000}"/>
    <cellStyle name="Comma 2 2 2 2 6 2 4" xfId="7942" xr:uid="{00000000-0005-0000-0000-0000AC0D0000}"/>
    <cellStyle name="Comma 2 2 2 2 6 2 4 2" xfId="42597" xr:uid="{00000000-0005-0000-0000-0000AD0D0000}"/>
    <cellStyle name="Comma 2 2 2 2 6 2 4 3" xfId="36173" xr:uid="{00000000-0005-0000-0000-0000AE0D0000}"/>
    <cellStyle name="Comma 2 2 2 2 6 2 5" xfId="20933" xr:uid="{00000000-0005-0000-0000-0000AF0D0000}"/>
    <cellStyle name="Comma 2 2 2 2 6 2 5 2" xfId="39390" xr:uid="{00000000-0005-0000-0000-0000B00D0000}"/>
    <cellStyle name="Comma 2 2 2 2 6 2 6" xfId="22006" xr:uid="{00000000-0005-0000-0000-0000B10D0000}"/>
    <cellStyle name="Comma 2 2 2 2 6 2 7" xfId="23168" xr:uid="{00000000-0005-0000-0000-0000B20D0000}"/>
    <cellStyle name="Comma 2 2 2 2 6 2 8" xfId="26328" xr:uid="{00000000-0005-0000-0000-0000B30D0000}"/>
    <cellStyle name="Comma 2 2 2 2 6 2 9" xfId="29661" xr:uid="{00000000-0005-0000-0000-0000B40D0000}"/>
    <cellStyle name="Comma 2 2 2 2 6 3" xfId="741" xr:uid="{00000000-0005-0000-0000-0000B50D0000}"/>
    <cellStyle name="Comma 2 2 2 2 6 3 10" xfId="32967" xr:uid="{00000000-0005-0000-0000-0000B60D0000}"/>
    <cellStyle name="Comma 2 2 2 2 6 3 2" xfId="9512" xr:uid="{00000000-0005-0000-0000-0000B70D0000}"/>
    <cellStyle name="Comma 2 2 2 2 6 3 2 2" xfId="25312" xr:uid="{00000000-0005-0000-0000-0000B80D0000}"/>
    <cellStyle name="Comma 2 2 2 2 6 3 2 2 2" xfId="44739" xr:uid="{00000000-0005-0000-0000-0000B90D0000}"/>
    <cellStyle name="Comma 2 2 2 2 6 3 2 2 3" xfId="38316" xr:uid="{00000000-0005-0000-0000-0000BA0D0000}"/>
    <cellStyle name="Comma 2 2 2 2 6 3 2 3" xfId="27490" xr:uid="{00000000-0005-0000-0000-0000BB0D0000}"/>
    <cellStyle name="Comma 2 2 2 2 6 3 2 3 2" xfId="41532" xr:uid="{00000000-0005-0000-0000-0000BC0D0000}"/>
    <cellStyle name="Comma 2 2 2 2 6 3 2 4" xfId="30825" xr:uid="{00000000-0005-0000-0000-0000BD0D0000}"/>
    <cellStyle name="Comma 2 2 2 2 6 3 2 5" xfId="35108" xr:uid="{00000000-0005-0000-0000-0000BE0D0000}"/>
    <cellStyle name="Comma 2 2 2 2 6 3 3" xfId="15127" xr:uid="{00000000-0005-0000-0000-0000BF0D0000}"/>
    <cellStyle name="Comma 2 2 2 2 6 3 3 2" xfId="24140" xr:uid="{00000000-0005-0000-0000-0000C00D0000}"/>
    <cellStyle name="Comma 2 2 2 2 6 3 3 2 2" xfId="43569" xr:uid="{00000000-0005-0000-0000-0000C10D0000}"/>
    <cellStyle name="Comma 2 2 2 2 6 3 3 2 3" xfId="37146" xr:uid="{00000000-0005-0000-0000-0000C20D0000}"/>
    <cellStyle name="Comma 2 2 2 2 6 3 3 3" xfId="28463" xr:uid="{00000000-0005-0000-0000-0000C30D0000}"/>
    <cellStyle name="Comma 2 2 2 2 6 3 3 3 2" xfId="40362" xr:uid="{00000000-0005-0000-0000-0000C40D0000}"/>
    <cellStyle name="Comma 2 2 2 2 6 3 3 4" xfId="31798" xr:uid="{00000000-0005-0000-0000-0000C50D0000}"/>
    <cellStyle name="Comma 2 2 2 2 6 3 3 5" xfId="33938" xr:uid="{00000000-0005-0000-0000-0000C60D0000}"/>
    <cellStyle name="Comma 2 2 2 2 6 3 4" xfId="7943" xr:uid="{00000000-0005-0000-0000-0000C70D0000}"/>
    <cellStyle name="Comma 2 2 2 2 6 3 4 2" xfId="42598" xr:uid="{00000000-0005-0000-0000-0000C80D0000}"/>
    <cellStyle name="Comma 2 2 2 2 6 3 4 3" xfId="36174" xr:uid="{00000000-0005-0000-0000-0000C90D0000}"/>
    <cellStyle name="Comma 2 2 2 2 6 3 5" xfId="20934" xr:uid="{00000000-0005-0000-0000-0000CA0D0000}"/>
    <cellStyle name="Comma 2 2 2 2 6 3 5 2" xfId="39391" xr:uid="{00000000-0005-0000-0000-0000CB0D0000}"/>
    <cellStyle name="Comma 2 2 2 2 6 3 6" xfId="22007" xr:uid="{00000000-0005-0000-0000-0000CC0D0000}"/>
    <cellStyle name="Comma 2 2 2 2 6 3 7" xfId="23169" xr:uid="{00000000-0005-0000-0000-0000CD0D0000}"/>
    <cellStyle name="Comma 2 2 2 2 6 3 8" xfId="26329" xr:uid="{00000000-0005-0000-0000-0000CE0D0000}"/>
    <cellStyle name="Comma 2 2 2 2 6 3 9" xfId="29662" xr:uid="{00000000-0005-0000-0000-0000CF0D0000}"/>
    <cellStyle name="Comma 2 2 2 2 6 4" xfId="742" xr:uid="{00000000-0005-0000-0000-0000D00D0000}"/>
    <cellStyle name="Comma 2 2 2 2 6 4 10" xfId="32968" xr:uid="{00000000-0005-0000-0000-0000D10D0000}"/>
    <cellStyle name="Comma 2 2 2 2 6 4 2" xfId="9513" xr:uid="{00000000-0005-0000-0000-0000D20D0000}"/>
    <cellStyle name="Comma 2 2 2 2 6 4 2 2" xfId="25313" xr:uid="{00000000-0005-0000-0000-0000D30D0000}"/>
    <cellStyle name="Comma 2 2 2 2 6 4 2 2 2" xfId="44740" xr:uid="{00000000-0005-0000-0000-0000D40D0000}"/>
    <cellStyle name="Comma 2 2 2 2 6 4 2 2 3" xfId="38317" xr:uid="{00000000-0005-0000-0000-0000D50D0000}"/>
    <cellStyle name="Comma 2 2 2 2 6 4 2 3" xfId="27491" xr:uid="{00000000-0005-0000-0000-0000D60D0000}"/>
    <cellStyle name="Comma 2 2 2 2 6 4 2 3 2" xfId="41533" xr:uid="{00000000-0005-0000-0000-0000D70D0000}"/>
    <cellStyle name="Comma 2 2 2 2 6 4 2 4" xfId="30826" xr:uid="{00000000-0005-0000-0000-0000D80D0000}"/>
    <cellStyle name="Comma 2 2 2 2 6 4 2 5" xfId="35109" xr:uid="{00000000-0005-0000-0000-0000D90D0000}"/>
    <cellStyle name="Comma 2 2 2 2 6 4 3" xfId="15128" xr:uid="{00000000-0005-0000-0000-0000DA0D0000}"/>
    <cellStyle name="Comma 2 2 2 2 6 4 3 2" xfId="24141" xr:uid="{00000000-0005-0000-0000-0000DB0D0000}"/>
    <cellStyle name="Comma 2 2 2 2 6 4 3 2 2" xfId="43570" xr:uid="{00000000-0005-0000-0000-0000DC0D0000}"/>
    <cellStyle name="Comma 2 2 2 2 6 4 3 2 3" xfId="37147" xr:uid="{00000000-0005-0000-0000-0000DD0D0000}"/>
    <cellStyle name="Comma 2 2 2 2 6 4 3 3" xfId="28464" xr:uid="{00000000-0005-0000-0000-0000DE0D0000}"/>
    <cellStyle name="Comma 2 2 2 2 6 4 3 3 2" xfId="40363" xr:uid="{00000000-0005-0000-0000-0000DF0D0000}"/>
    <cellStyle name="Comma 2 2 2 2 6 4 3 4" xfId="31799" xr:uid="{00000000-0005-0000-0000-0000E00D0000}"/>
    <cellStyle name="Comma 2 2 2 2 6 4 3 5" xfId="33939" xr:uid="{00000000-0005-0000-0000-0000E10D0000}"/>
    <cellStyle name="Comma 2 2 2 2 6 4 4" xfId="7944" xr:uid="{00000000-0005-0000-0000-0000E20D0000}"/>
    <cellStyle name="Comma 2 2 2 2 6 4 4 2" xfId="42599" xr:uid="{00000000-0005-0000-0000-0000E30D0000}"/>
    <cellStyle name="Comma 2 2 2 2 6 4 4 3" xfId="36175" xr:uid="{00000000-0005-0000-0000-0000E40D0000}"/>
    <cellStyle name="Comma 2 2 2 2 6 4 5" xfId="20935" xr:uid="{00000000-0005-0000-0000-0000E50D0000}"/>
    <cellStyle name="Comma 2 2 2 2 6 4 5 2" xfId="39392" xr:uid="{00000000-0005-0000-0000-0000E60D0000}"/>
    <cellStyle name="Comma 2 2 2 2 6 4 6" xfId="22008" xr:uid="{00000000-0005-0000-0000-0000E70D0000}"/>
    <cellStyle name="Comma 2 2 2 2 6 4 7" xfId="23170" xr:uid="{00000000-0005-0000-0000-0000E80D0000}"/>
    <cellStyle name="Comma 2 2 2 2 6 4 8" xfId="26330" xr:uid="{00000000-0005-0000-0000-0000E90D0000}"/>
    <cellStyle name="Comma 2 2 2 2 6 4 9" xfId="29663" xr:uid="{00000000-0005-0000-0000-0000EA0D0000}"/>
    <cellStyle name="Comma 2 2 2 2 6 5" xfId="743" xr:uid="{00000000-0005-0000-0000-0000EB0D0000}"/>
    <cellStyle name="Comma 2 2 2 2 6 5 10" xfId="32969" xr:uid="{00000000-0005-0000-0000-0000EC0D0000}"/>
    <cellStyle name="Comma 2 2 2 2 6 5 2" xfId="9514" xr:uid="{00000000-0005-0000-0000-0000ED0D0000}"/>
    <cellStyle name="Comma 2 2 2 2 6 5 2 2" xfId="25314" xr:uid="{00000000-0005-0000-0000-0000EE0D0000}"/>
    <cellStyle name="Comma 2 2 2 2 6 5 2 2 2" xfId="44741" xr:uid="{00000000-0005-0000-0000-0000EF0D0000}"/>
    <cellStyle name="Comma 2 2 2 2 6 5 2 2 3" xfId="38318" xr:uid="{00000000-0005-0000-0000-0000F00D0000}"/>
    <cellStyle name="Comma 2 2 2 2 6 5 2 3" xfId="27492" xr:uid="{00000000-0005-0000-0000-0000F10D0000}"/>
    <cellStyle name="Comma 2 2 2 2 6 5 2 3 2" xfId="41534" xr:uid="{00000000-0005-0000-0000-0000F20D0000}"/>
    <cellStyle name="Comma 2 2 2 2 6 5 2 4" xfId="30827" xr:uid="{00000000-0005-0000-0000-0000F30D0000}"/>
    <cellStyle name="Comma 2 2 2 2 6 5 2 5" xfId="35110" xr:uid="{00000000-0005-0000-0000-0000F40D0000}"/>
    <cellStyle name="Comma 2 2 2 2 6 5 3" xfId="15129" xr:uid="{00000000-0005-0000-0000-0000F50D0000}"/>
    <cellStyle name="Comma 2 2 2 2 6 5 3 2" xfId="24142" xr:uid="{00000000-0005-0000-0000-0000F60D0000}"/>
    <cellStyle name="Comma 2 2 2 2 6 5 3 2 2" xfId="43571" xr:uid="{00000000-0005-0000-0000-0000F70D0000}"/>
    <cellStyle name="Comma 2 2 2 2 6 5 3 2 3" xfId="37148" xr:uid="{00000000-0005-0000-0000-0000F80D0000}"/>
    <cellStyle name="Comma 2 2 2 2 6 5 3 3" xfId="28465" xr:uid="{00000000-0005-0000-0000-0000F90D0000}"/>
    <cellStyle name="Comma 2 2 2 2 6 5 3 3 2" xfId="40364" xr:uid="{00000000-0005-0000-0000-0000FA0D0000}"/>
    <cellStyle name="Comma 2 2 2 2 6 5 3 4" xfId="31800" xr:uid="{00000000-0005-0000-0000-0000FB0D0000}"/>
    <cellStyle name="Comma 2 2 2 2 6 5 3 5" xfId="33940" xr:uid="{00000000-0005-0000-0000-0000FC0D0000}"/>
    <cellStyle name="Comma 2 2 2 2 6 5 4" xfId="7945" xr:uid="{00000000-0005-0000-0000-0000FD0D0000}"/>
    <cellStyle name="Comma 2 2 2 2 6 5 4 2" xfId="42600" xr:uid="{00000000-0005-0000-0000-0000FE0D0000}"/>
    <cellStyle name="Comma 2 2 2 2 6 5 4 3" xfId="36176" xr:uid="{00000000-0005-0000-0000-0000FF0D0000}"/>
    <cellStyle name="Comma 2 2 2 2 6 5 5" xfId="20936" xr:uid="{00000000-0005-0000-0000-0000000E0000}"/>
    <cellStyle name="Comma 2 2 2 2 6 5 5 2" xfId="39393" xr:uid="{00000000-0005-0000-0000-0000010E0000}"/>
    <cellStyle name="Comma 2 2 2 2 6 5 6" xfId="22009" xr:uid="{00000000-0005-0000-0000-0000020E0000}"/>
    <cellStyle name="Comma 2 2 2 2 6 5 7" xfId="23171" xr:uid="{00000000-0005-0000-0000-0000030E0000}"/>
    <cellStyle name="Comma 2 2 2 2 6 5 8" xfId="26331" xr:uid="{00000000-0005-0000-0000-0000040E0000}"/>
    <cellStyle name="Comma 2 2 2 2 6 5 9" xfId="29664" xr:uid="{00000000-0005-0000-0000-0000050E0000}"/>
    <cellStyle name="Comma 2 2 2 2 6 6" xfId="9510" xr:uid="{00000000-0005-0000-0000-0000060E0000}"/>
    <cellStyle name="Comma 2 2 2 2 6 6 2" xfId="25310" xr:uid="{00000000-0005-0000-0000-0000070E0000}"/>
    <cellStyle name="Comma 2 2 2 2 6 6 2 2" xfId="44737" xr:uid="{00000000-0005-0000-0000-0000080E0000}"/>
    <cellStyle name="Comma 2 2 2 2 6 6 2 3" xfId="38314" xr:uid="{00000000-0005-0000-0000-0000090E0000}"/>
    <cellStyle name="Comma 2 2 2 2 6 6 3" xfId="27488" xr:uid="{00000000-0005-0000-0000-00000A0E0000}"/>
    <cellStyle name="Comma 2 2 2 2 6 6 3 2" xfId="41530" xr:uid="{00000000-0005-0000-0000-00000B0E0000}"/>
    <cellStyle name="Comma 2 2 2 2 6 6 4" xfId="30823" xr:uid="{00000000-0005-0000-0000-00000C0E0000}"/>
    <cellStyle name="Comma 2 2 2 2 6 6 5" xfId="35106" xr:uid="{00000000-0005-0000-0000-00000D0E0000}"/>
    <cellStyle name="Comma 2 2 2 2 6 7" xfId="15125" xr:uid="{00000000-0005-0000-0000-00000E0E0000}"/>
    <cellStyle name="Comma 2 2 2 2 6 7 2" xfId="24138" xr:uid="{00000000-0005-0000-0000-00000F0E0000}"/>
    <cellStyle name="Comma 2 2 2 2 6 7 2 2" xfId="43567" xr:uid="{00000000-0005-0000-0000-0000100E0000}"/>
    <cellStyle name="Comma 2 2 2 2 6 7 2 3" xfId="37144" xr:uid="{00000000-0005-0000-0000-0000110E0000}"/>
    <cellStyle name="Comma 2 2 2 2 6 7 3" xfId="28461" xr:uid="{00000000-0005-0000-0000-0000120E0000}"/>
    <cellStyle name="Comma 2 2 2 2 6 7 3 2" xfId="40360" xr:uid="{00000000-0005-0000-0000-0000130E0000}"/>
    <cellStyle name="Comma 2 2 2 2 6 7 4" xfId="31796" xr:uid="{00000000-0005-0000-0000-0000140E0000}"/>
    <cellStyle name="Comma 2 2 2 2 6 7 5" xfId="33936" xr:uid="{00000000-0005-0000-0000-0000150E0000}"/>
    <cellStyle name="Comma 2 2 2 2 6 8" xfId="7941" xr:uid="{00000000-0005-0000-0000-0000160E0000}"/>
    <cellStyle name="Comma 2 2 2 2 6 8 2" xfId="42596" xr:uid="{00000000-0005-0000-0000-0000170E0000}"/>
    <cellStyle name="Comma 2 2 2 2 6 8 3" xfId="36172" xr:uid="{00000000-0005-0000-0000-0000180E0000}"/>
    <cellStyle name="Comma 2 2 2 2 6 9" xfId="20932" xr:uid="{00000000-0005-0000-0000-0000190E0000}"/>
    <cellStyle name="Comma 2 2 2 2 6 9 2" xfId="39389" xr:uid="{00000000-0005-0000-0000-00001A0E0000}"/>
    <cellStyle name="Comma 2 2 2 2 7" xfId="744" xr:uid="{00000000-0005-0000-0000-00001B0E0000}"/>
    <cellStyle name="Comma 2 2 2 2 7 10" xfId="32970" xr:uid="{00000000-0005-0000-0000-00001C0E0000}"/>
    <cellStyle name="Comma 2 2 2 2 7 2" xfId="9515" xr:uid="{00000000-0005-0000-0000-00001D0E0000}"/>
    <cellStyle name="Comma 2 2 2 2 7 2 2" xfId="25315" xr:uid="{00000000-0005-0000-0000-00001E0E0000}"/>
    <cellStyle name="Comma 2 2 2 2 7 2 2 2" xfId="44742" xr:uid="{00000000-0005-0000-0000-00001F0E0000}"/>
    <cellStyle name="Comma 2 2 2 2 7 2 2 3" xfId="38319" xr:uid="{00000000-0005-0000-0000-0000200E0000}"/>
    <cellStyle name="Comma 2 2 2 2 7 2 3" xfId="27493" xr:uid="{00000000-0005-0000-0000-0000210E0000}"/>
    <cellStyle name="Comma 2 2 2 2 7 2 3 2" xfId="41535" xr:uid="{00000000-0005-0000-0000-0000220E0000}"/>
    <cellStyle name="Comma 2 2 2 2 7 2 4" xfId="30828" xr:uid="{00000000-0005-0000-0000-0000230E0000}"/>
    <cellStyle name="Comma 2 2 2 2 7 2 5" xfId="35111" xr:uid="{00000000-0005-0000-0000-0000240E0000}"/>
    <cellStyle name="Comma 2 2 2 2 7 3" xfId="15130" xr:uid="{00000000-0005-0000-0000-0000250E0000}"/>
    <cellStyle name="Comma 2 2 2 2 7 3 2" xfId="24143" xr:uid="{00000000-0005-0000-0000-0000260E0000}"/>
    <cellStyle name="Comma 2 2 2 2 7 3 2 2" xfId="43572" xr:uid="{00000000-0005-0000-0000-0000270E0000}"/>
    <cellStyle name="Comma 2 2 2 2 7 3 2 3" xfId="37149" xr:uid="{00000000-0005-0000-0000-0000280E0000}"/>
    <cellStyle name="Comma 2 2 2 2 7 3 3" xfId="28466" xr:uid="{00000000-0005-0000-0000-0000290E0000}"/>
    <cellStyle name="Comma 2 2 2 2 7 3 3 2" xfId="40365" xr:uid="{00000000-0005-0000-0000-00002A0E0000}"/>
    <cellStyle name="Comma 2 2 2 2 7 3 4" xfId="31801" xr:uid="{00000000-0005-0000-0000-00002B0E0000}"/>
    <cellStyle name="Comma 2 2 2 2 7 3 5" xfId="33941" xr:uid="{00000000-0005-0000-0000-00002C0E0000}"/>
    <cellStyle name="Comma 2 2 2 2 7 4" xfId="7946" xr:uid="{00000000-0005-0000-0000-00002D0E0000}"/>
    <cellStyle name="Comma 2 2 2 2 7 4 2" xfId="42601" xr:uid="{00000000-0005-0000-0000-00002E0E0000}"/>
    <cellStyle name="Comma 2 2 2 2 7 4 3" xfId="36177" xr:uid="{00000000-0005-0000-0000-00002F0E0000}"/>
    <cellStyle name="Comma 2 2 2 2 7 5" xfId="20937" xr:uid="{00000000-0005-0000-0000-0000300E0000}"/>
    <cellStyle name="Comma 2 2 2 2 7 5 2" xfId="39394" xr:uid="{00000000-0005-0000-0000-0000310E0000}"/>
    <cellStyle name="Comma 2 2 2 2 7 6" xfId="22010" xr:uid="{00000000-0005-0000-0000-0000320E0000}"/>
    <cellStyle name="Comma 2 2 2 2 7 7" xfId="23172" xr:uid="{00000000-0005-0000-0000-0000330E0000}"/>
    <cellStyle name="Comma 2 2 2 2 7 8" xfId="26332" xr:uid="{00000000-0005-0000-0000-0000340E0000}"/>
    <cellStyle name="Comma 2 2 2 2 7 9" xfId="29665" xr:uid="{00000000-0005-0000-0000-0000350E0000}"/>
    <cellStyle name="Comma 2 2 2 2 8" xfId="745" xr:uid="{00000000-0005-0000-0000-0000360E0000}"/>
    <cellStyle name="Comma 2 2 2 2 8 10" xfId="32971" xr:uid="{00000000-0005-0000-0000-0000370E0000}"/>
    <cellStyle name="Comma 2 2 2 2 8 2" xfId="9516" xr:uid="{00000000-0005-0000-0000-0000380E0000}"/>
    <cellStyle name="Comma 2 2 2 2 8 2 2" xfId="25316" xr:uid="{00000000-0005-0000-0000-0000390E0000}"/>
    <cellStyle name="Comma 2 2 2 2 8 2 2 2" xfId="44743" xr:uid="{00000000-0005-0000-0000-00003A0E0000}"/>
    <cellStyle name="Comma 2 2 2 2 8 2 2 3" xfId="38320" xr:uid="{00000000-0005-0000-0000-00003B0E0000}"/>
    <cellStyle name="Comma 2 2 2 2 8 2 3" xfId="27494" xr:uid="{00000000-0005-0000-0000-00003C0E0000}"/>
    <cellStyle name="Comma 2 2 2 2 8 2 3 2" xfId="41536" xr:uid="{00000000-0005-0000-0000-00003D0E0000}"/>
    <cellStyle name="Comma 2 2 2 2 8 2 4" xfId="30829" xr:uid="{00000000-0005-0000-0000-00003E0E0000}"/>
    <cellStyle name="Comma 2 2 2 2 8 2 5" xfId="35112" xr:uid="{00000000-0005-0000-0000-00003F0E0000}"/>
    <cellStyle name="Comma 2 2 2 2 8 3" xfId="15131" xr:uid="{00000000-0005-0000-0000-0000400E0000}"/>
    <cellStyle name="Comma 2 2 2 2 8 3 2" xfId="24144" xr:uid="{00000000-0005-0000-0000-0000410E0000}"/>
    <cellStyle name="Comma 2 2 2 2 8 3 2 2" xfId="43573" xr:uid="{00000000-0005-0000-0000-0000420E0000}"/>
    <cellStyle name="Comma 2 2 2 2 8 3 2 3" xfId="37150" xr:uid="{00000000-0005-0000-0000-0000430E0000}"/>
    <cellStyle name="Comma 2 2 2 2 8 3 3" xfId="28467" xr:uid="{00000000-0005-0000-0000-0000440E0000}"/>
    <cellStyle name="Comma 2 2 2 2 8 3 3 2" xfId="40366" xr:uid="{00000000-0005-0000-0000-0000450E0000}"/>
    <cellStyle name="Comma 2 2 2 2 8 3 4" xfId="31802" xr:uid="{00000000-0005-0000-0000-0000460E0000}"/>
    <cellStyle name="Comma 2 2 2 2 8 3 5" xfId="33942" xr:uid="{00000000-0005-0000-0000-0000470E0000}"/>
    <cellStyle name="Comma 2 2 2 2 8 4" xfId="7947" xr:uid="{00000000-0005-0000-0000-0000480E0000}"/>
    <cellStyle name="Comma 2 2 2 2 8 4 2" xfId="42602" xr:uid="{00000000-0005-0000-0000-0000490E0000}"/>
    <cellStyle name="Comma 2 2 2 2 8 4 3" xfId="36178" xr:uid="{00000000-0005-0000-0000-00004A0E0000}"/>
    <cellStyle name="Comma 2 2 2 2 8 5" xfId="20938" xr:uid="{00000000-0005-0000-0000-00004B0E0000}"/>
    <cellStyle name="Comma 2 2 2 2 8 5 2" xfId="39395" xr:uid="{00000000-0005-0000-0000-00004C0E0000}"/>
    <cellStyle name="Comma 2 2 2 2 8 6" xfId="22011" xr:uid="{00000000-0005-0000-0000-00004D0E0000}"/>
    <cellStyle name="Comma 2 2 2 2 8 7" xfId="23173" xr:uid="{00000000-0005-0000-0000-00004E0E0000}"/>
    <cellStyle name="Comma 2 2 2 2 8 8" xfId="26333" xr:uid="{00000000-0005-0000-0000-00004F0E0000}"/>
    <cellStyle name="Comma 2 2 2 2 8 9" xfId="29666" xr:uid="{00000000-0005-0000-0000-0000500E0000}"/>
    <cellStyle name="Comma 2 2 2 2 9" xfId="746" xr:uid="{00000000-0005-0000-0000-0000510E0000}"/>
    <cellStyle name="Comma 2 2 2 2 9 10" xfId="32972" xr:uid="{00000000-0005-0000-0000-0000520E0000}"/>
    <cellStyle name="Comma 2 2 2 2 9 2" xfId="9517" xr:uid="{00000000-0005-0000-0000-0000530E0000}"/>
    <cellStyle name="Comma 2 2 2 2 9 2 2" xfId="25317" xr:uid="{00000000-0005-0000-0000-0000540E0000}"/>
    <cellStyle name="Comma 2 2 2 2 9 2 2 2" xfId="44744" xr:uid="{00000000-0005-0000-0000-0000550E0000}"/>
    <cellStyle name="Comma 2 2 2 2 9 2 2 3" xfId="38321" xr:uid="{00000000-0005-0000-0000-0000560E0000}"/>
    <cellStyle name="Comma 2 2 2 2 9 2 3" xfId="27495" xr:uid="{00000000-0005-0000-0000-0000570E0000}"/>
    <cellStyle name="Comma 2 2 2 2 9 2 3 2" xfId="41537" xr:uid="{00000000-0005-0000-0000-0000580E0000}"/>
    <cellStyle name="Comma 2 2 2 2 9 2 4" xfId="30830" xr:uid="{00000000-0005-0000-0000-0000590E0000}"/>
    <cellStyle name="Comma 2 2 2 2 9 2 5" xfId="35113" xr:uid="{00000000-0005-0000-0000-00005A0E0000}"/>
    <cellStyle name="Comma 2 2 2 2 9 3" xfId="15132" xr:uid="{00000000-0005-0000-0000-00005B0E0000}"/>
    <cellStyle name="Comma 2 2 2 2 9 3 2" xfId="24145" xr:uid="{00000000-0005-0000-0000-00005C0E0000}"/>
    <cellStyle name="Comma 2 2 2 2 9 3 2 2" xfId="43574" xr:uid="{00000000-0005-0000-0000-00005D0E0000}"/>
    <cellStyle name="Comma 2 2 2 2 9 3 2 3" xfId="37151" xr:uid="{00000000-0005-0000-0000-00005E0E0000}"/>
    <cellStyle name="Comma 2 2 2 2 9 3 3" xfId="28468" xr:uid="{00000000-0005-0000-0000-00005F0E0000}"/>
    <cellStyle name="Comma 2 2 2 2 9 3 3 2" xfId="40367" xr:uid="{00000000-0005-0000-0000-0000600E0000}"/>
    <cellStyle name="Comma 2 2 2 2 9 3 4" xfId="31803" xr:uid="{00000000-0005-0000-0000-0000610E0000}"/>
    <cellStyle name="Comma 2 2 2 2 9 3 5" xfId="33943" xr:uid="{00000000-0005-0000-0000-0000620E0000}"/>
    <cellStyle name="Comma 2 2 2 2 9 4" xfId="7948" xr:uid="{00000000-0005-0000-0000-0000630E0000}"/>
    <cellStyle name="Comma 2 2 2 2 9 4 2" xfId="42603" xr:uid="{00000000-0005-0000-0000-0000640E0000}"/>
    <cellStyle name="Comma 2 2 2 2 9 4 3" xfId="36179" xr:uid="{00000000-0005-0000-0000-0000650E0000}"/>
    <cellStyle name="Comma 2 2 2 2 9 5" xfId="20939" xr:uid="{00000000-0005-0000-0000-0000660E0000}"/>
    <cellStyle name="Comma 2 2 2 2 9 5 2" xfId="39396" xr:uid="{00000000-0005-0000-0000-0000670E0000}"/>
    <cellStyle name="Comma 2 2 2 2 9 6" xfId="22012" xr:uid="{00000000-0005-0000-0000-0000680E0000}"/>
    <cellStyle name="Comma 2 2 2 2 9 7" xfId="23174" xr:uid="{00000000-0005-0000-0000-0000690E0000}"/>
    <cellStyle name="Comma 2 2 2 2 9 8" xfId="26334" xr:uid="{00000000-0005-0000-0000-00006A0E0000}"/>
    <cellStyle name="Comma 2 2 2 2 9 9" xfId="29667" xr:uid="{00000000-0005-0000-0000-00006B0E0000}"/>
    <cellStyle name="Comma 2 2 2 20" xfId="29586" xr:uid="{00000000-0005-0000-0000-00006C0E0000}"/>
    <cellStyle name="Comma 2 2 2 21" xfId="32773" xr:uid="{00000000-0005-0000-0000-00006D0E0000}"/>
    <cellStyle name="Comma 2 2 2 3" xfId="260" xr:uid="{00000000-0005-0000-0000-00006E0E0000}"/>
    <cellStyle name="Comma 2 2 2 3 10" xfId="747" xr:uid="{00000000-0005-0000-0000-00006F0E0000}"/>
    <cellStyle name="Comma 2 2 2 3 10 10" xfId="32973" xr:uid="{00000000-0005-0000-0000-0000700E0000}"/>
    <cellStyle name="Comma 2 2 2 3 10 2" xfId="9518" xr:uid="{00000000-0005-0000-0000-0000710E0000}"/>
    <cellStyle name="Comma 2 2 2 3 10 2 2" xfId="25318" xr:uid="{00000000-0005-0000-0000-0000720E0000}"/>
    <cellStyle name="Comma 2 2 2 3 10 2 2 2" xfId="44745" xr:uid="{00000000-0005-0000-0000-0000730E0000}"/>
    <cellStyle name="Comma 2 2 2 3 10 2 2 3" xfId="38322" xr:uid="{00000000-0005-0000-0000-0000740E0000}"/>
    <cellStyle name="Comma 2 2 2 3 10 2 3" xfId="27496" xr:uid="{00000000-0005-0000-0000-0000750E0000}"/>
    <cellStyle name="Comma 2 2 2 3 10 2 3 2" xfId="41538" xr:uid="{00000000-0005-0000-0000-0000760E0000}"/>
    <cellStyle name="Comma 2 2 2 3 10 2 4" xfId="30831" xr:uid="{00000000-0005-0000-0000-0000770E0000}"/>
    <cellStyle name="Comma 2 2 2 3 10 2 5" xfId="35114" xr:uid="{00000000-0005-0000-0000-0000780E0000}"/>
    <cellStyle name="Comma 2 2 2 3 10 3" xfId="15134" xr:uid="{00000000-0005-0000-0000-0000790E0000}"/>
    <cellStyle name="Comma 2 2 2 3 10 3 2" xfId="24147" xr:uid="{00000000-0005-0000-0000-00007A0E0000}"/>
    <cellStyle name="Comma 2 2 2 3 10 3 2 2" xfId="43576" xr:uid="{00000000-0005-0000-0000-00007B0E0000}"/>
    <cellStyle name="Comma 2 2 2 3 10 3 2 3" xfId="37153" xr:uid="{00000000-0005-0000-0000-00007C0E0000}"/>
    <cellStyle name="Comma 2 2 2 3 10 3 3" xfId="28470" xr:uid="{00000000-0005-0000-0000-00007D0E0000}"/>
    <cellStyle name="Comma 2 2 2 3 10 3 3 2" xfId="40369" xr:uid="{00000000-0005-0000-0000-00007E0E0000}"/>
    <cellStyle name="Comma 2 2 2 3 10 3 4" xfId="31805" xr:uid="{00000000-0005-0000-0000-00007F0E0000}"/>
    <cellStyle name="Comma 2 2 2 3 10 3 5" xfId="33945" xr:uid="{00000000-0005-0000-0000-0000800E0000}"/>
    <cellStyle name="Comma 2 2 2 3 10 4" xfId="7950" xr:uid="{00000000-0005-0000-0000-0000810E0000}"/>
    <cellStyle name="Comma 2 2 2 3 10 4 2" xfId="42604" xr:uid="{00000000-0005-0000-0000-0000820E0000}"/>
    <cellStyle name="Comma 2 2 2 3 10 4 3" xfId="36180" xr:uid="{00000000-0005-0000-0000-0000830E0000}"/>
    <cellStyle name="Comma 2 2 2 3 10 5" xfId="20941" xr:uid="{00000000-0005-0000-0000-0000840E0000}"/>
    <cellStyle name="Comma 2 2 2 3 10 5 2" xfId="39397" xr:uid="{00000000-0005-0000-0000-0000850E0000}"/>
    <cellStyle name="Comma 2 2 2 3 10 6" xfId="22014" xr:uid="{00000000-0005-0000-0000-0000860E0000}"/>
    <cellStyle name="Comma 2 2 2 3 10 7" xfId="23175" xr:uid="{00000000-0005-0000-0000-0000870E0000}"/>
    <cellStyle name="Comma 2 2 2 3 10 8" xfId="26336" xr:uid="{00000000-0005-0000-0000-0000880E0000}"/>
    <cellStyle name="Comma 2 2 2 3 10 9" xfId="29669" xr:uid="{00000000-0005-0000-0000-0000890E0000}"/>
    <cellStyle name="Comma 2 2 2 3 11" xfId="9117" xr:uid="{00000000-0005-0000-0000-00008A0E0000}"/>
    <cellStyle name="Comma 2 2 2 3 11 2" xfId="25171" xr:uid="{00000000-0005-0000-0000-00008B0E0000}"/>
    <cellStyle name="Comma 2 2 2 3 11 2 2" xfId="44598" xr:uid="{00000000-0005-0000-0000-00008C0E0000}"/>
    <cellStyle name="Comma 2 2 2 3 11 2 3" xfId="38175" xr:uid="{00000000-0005-0000-0000-00008D0E0000}"/>
    <cellStyle name="Comma 2 2 2 3 11 3" xfId="27350" xr:uid="{00000000-0005-0000-0000-00008E0E0000}"/>
    <cellStyle name="Comma 2 2 2 3 11 3 2" xfId="41391" xr:uid="{00000000-0005-0000-0000-00008F0E0000}"/>
    <cellStyle name="Comma 2 2 2 3 11 4" xfId="30685" xr:uid="{00000000-0005-0000-0000-0000900E0000}"/>
    <cellStyle name="Comma 2 2 2 3 11 5" xfId="34967" xr:uid="{00000000-0005-0000-0000-0000910E0000}"/>
    <cellStyle name="Comma 2 2 2 3 12" xfId="15133" xr:uid="{00000000-0005-0000-0000-0000920E0000}"/>
    <cellStyle name="Comma 2 2 2 3 12 2" xfId="24146" xr:uid="{00000000-0005-0000-0000-0000930E0000}"/>
    <cellStyle name="Comma 2 2 2 3 12 2 2" xfId="43575" xr:uid="{00000000-0005-0000-0000-0000940E0000}"/>
    <cellStyle name="Comma 2 2 2 3 12 2 3" xfId="37152" xr:uid="{00000000-0005-0000-0000-0000950E0000}"/>
    <cellStyle name="Comma 2 2 2 3 12 3" xfId="28469" xr:uid="{00000000-0005-0000-0000-0000960E0000}"/>
    <cellStyle name="Comma 2 2 2 3 12 3 2" xfId="40368" xr:uid="{00000000-0005-0000-0000-0000970E0000}"/>
    <cellStyle name="Comma 2 2 2 3 12 4" xfId="31804" xr:uid="{00000000-0005-0000-0000-0000980E0000}"/>
    <cellStyle name="Comma 2 2 2 3 12 5" xfId="33944" xr:uid="{00000000-0005-0000-0000-0000990E0000}"/>
    <cellStyle name="Comma 2 2 2 3 13" xfId="7949" xr:uid="{00000000-0005-0000-0000-00009A0E0000}"/>
    <cellStyle name="Comma 2 2 2 3 13 2" xfId="42461" xr:uid="{00000000-0005-0000-0000-00009B0E0000}"/>
    <cellStyle name="Comma 2 2 2 3 13 3" xfId="36037" xr:uid="{00000000-0005-0000-0000-00009C0E0000}"/>
    <cellStyle name="Comma 2 2 2 3 14" xfId="20940" xr:uid="{00000000-0005-0000-0000-00009D0E0000}"/>
    <cellStyle name="Comma 2 2 2 3 14 2" xfId="39254" xr:uid="{00000000-0005-0000-0000-00009E0E0000}"/>
    <cellStyle name="Comma 2 2 2 3 15" xfId="22013" xr:uid="{00000000-0005-0000-0000-00009F0E0000}"/>
    <cellStyle name="Comma 2 2 2 3 16" xfId="23032" xr:uid="{00000000-0005-0000-0000-0000A00E0000}"/>
    <cellStyle name="Comma 2 2 2 3 17" xfId="26335" xr:uid="{00000000-0005-0000-0000-0000A10E0000}"/>
    <cellStyle name="Comma 2 2 2 3 18" xfId="29668" xr:uid="{00000000-0005-0000-0000-0000A20E0000}"/>
    <cellStyle name="Comma 2 2 2 3 19" xfId="32830" xr:uid="{00000000-0005-0000-0000-0000A30E0000}"/>
    <cellStyle name="Comma 2 2 2 3 2" xfId="253" xr:uid="{00000000-0005-0000-0000-0000A40E0000}"/>
    <cellStyle name="Comma 2 2 2 3 2 10" xfId="15135" xr:uid="{00000000-0005-0000-0000-0000A50E0000}"/>
    <cellStyle name="Comma 2 2 2 3 2 10 2" xfId="24148" xr:uid="{00000000-0005-0000-0000-0000A60E0000}"/>
    <cellStyle name="Comma 2 2 2 3 2 10 2 2" xfId="43577" xr:uid="{00000000-0005-0000-0000-0000A70E0000}"/>
    <cellStyle name="Comma 2 2 2 3 2 10 2 3" xfId="37154" xr:uid="{00000000-0005-0000-0000-0000A80E0000}"/>
    <cellStyle name="Comma 2 2 2 3 2 10 3" xfId="28471" xr:uid="{00000000-0005-0000-0000-0000A90E0000}"/>
    <cellStyle name="Comma 2 2 2 3 2 10 3 2" xfId="40370" xr:uid="{00000000-0005-0000-0000-0000AA0E0000}"/>
    <cellStyle name="Comma 2 2 2 3 2 10 4" xfId="31806" xr:uid="{00000000-0005-0000-0000-0000AB0E0000}"/>
    <cellStyle name="Comma 2 2 2 3 2 10 5" xfId="33946" xr:uid="{00000000-0005-0000-0000-0000AC0E0000}"/>
    <cellStyle name="Comma 2 2 2 3 2 11" xfId="7951" xr:uid="{00000000-0005-0000-0000-0000AD0E0000}"/>
    <cellStyle name="Comma 2 2 2 3 2 11 2" xfId="42456" xr:uid="{00000000-0005-0000-0000-0000AE0E0000}"/>
    <cellStyle name="Comma 2 2 2 3 2 11 3" xfId="36032" xr:uid="{00000000-0005-0000-0000-0000AF0E0000}"/>
    <cellStyle name="Comma 2 2 2 3 2 12" xfId="20942" xr:uid="{00000000-0005-0000-0000-0000B00E0000}"/>
    <cellStyle name="Comma 2 2 2 3 2 12 2" xfId="39249" xr:uid="{00000000-0005-0000-0000-0000B10E0000}"/>
    <cellStyle name="Comma 2 2 2 3 2 13" xfId="22015" xr:uid="{00000000-0005-0000-0000-0000B20E0000}"/>
    <cellStyle name="Comma 2 2 2 3 2 14" xfId="23027" xr:uid="{00000000-0005-0000-0000-0000B30E0000}"/>
    <cellStyle name="Comma 2 2 2 3 2 15" xfId="26337" xr:uid="{00000000-0005-0000-0000-0000B40E0000}"/>
    <cellStyle name="Comma 2 2 2 3 2 16" xfId="29670" xr:uid="{00000000-0005-0000-0000-0000B50E0000}"/>
    <cellStyle name="Comma 2 2 2 3 2 17" xfId="32825" xr:uid="{00000000-0005-0000-0000-0000B60E0000}"/>
    <cellStyle name="Comma 2 2 2 3 2 2" xfId="207" xr:uid="{00000000-0005-0000-0000-0000B70E0000}"/>
    <cellStyle name="Comma 2 2 2 3 2 2 10" xfId="20943" xr:uid="{00000000-0005-0000-0000-0000B80E0000}"/>
    <cellStyle name="Comma 2 2 2 3 2 2 10 2" xfId="39218" xr:uid="{00000000-0005-0000-0000-0000B90E0000}"/>
    <cellStyle name="Comma 2 2 2 3 2 2 11" xfId="22016" xr:uid="{00000000-0005-0000-0000-0000BA0E0000}"/>
    <cellStyle name="Comma 2 2 2 3 2 2 12" xfId="22996" xr:uid="{00000000-0005-0000-0000-0000BB0E0000}"/>
    <cellStyle name="Comma 2 2 2 3 2 2 13" xfId="26338" xr:uid="{00000000-0005-0000-0000-0000BC0E0000}"/>
    <cellStyle name="Comma 2 2 2 3 2 2 14" xfId="29671" xr:uid="{00000000-0005-0000-0000-0000BD0E0000}"/>
    <cellStyle name="Comma 2 2 2 3 2 2 15" xfId="32794" xr:uid="{00000000-0005-0000-0000-0000BE0E0000}"/>
    <cellStyle name="Comma 2 2 2 3 2 2 2" xfId="748" xr:uid="{00000000-0005-0000-0000-0000BF0E0000}"/>
    <cellStyle name="Comma 2 2 2 3 2 2 2 10" xfId="32974" xr:uid="{00000000-0005-0000-0000-0000C00E0000}"/>
    <cellStyle name="Comma 2 2 2 3 2 2 2 2" xfId="9519" xr:uid="{00000000-0005-0000-0000-0000C10E0000}"/>
    <cellStyle name="Comma 2 2 2 3 2 2 2 2 2" xfId="25319" xr:uid="{00000000-0005-0000-0000-0000C20E0000}"/>
    <cellStyle name="Comma 2 2 2 3 2 2 2 2 2 2" xfId="44746" xr:uid="{00000000-0005-0000-0000-0000C30E0000}"/>
    <cellStyle name="Comma 2 2 2 3 2 2 2 2 2 3" xfId="38323" xr:uid="{00000000-0005-0000-0000-0000C40E0000}"/>
    <cellStyle name="Comma 2 2 2 3 2 2 2 2 3" xfId="27497" xr:uid="{00000000-0005-0000-0000-0000C50E0000}"/>
    <cellStyle name="Comma 2 2 2 3 2 2 2 2 3 2" xfId="41539" xr:uid="{00000000-0005-0000-0000-0000C60E0000}"/>
    <cellStyle name="Comma 2 2 2 3 2 2 2 2 4" xfId="30832" xr:uid="{00000000-0005-0000-0000-0000C70E0000}"/>
    <cellStyle name="Comma 2 2 2 3 2 2 2 2 5" xfId="35115" xr:uid="{00000000-0005-0000-0000-0000C80E0000}"/>
    <cellStyle name="Comma 2 2 2 3 2 2 2 3" xfId="15137" xr:uid="{00000000-0005-0000-0000-0000C90E0000}"/>
    <cellStyle name="Comma 2 2 2 3 2 2 2 3 2" xfId="24150" xr:uid="{00000000-0005-0000-0000-0000CA0E0000}"/>
    <cellStyle name="Comma 2 2 2 3 2 2 2 3 2 2" xfId="43579" xr:uid="{00000000-0005-0000-0000-0000CB0E0000}"/>
    <cellStyle name="Comma 2 2 2 3 2 2 2 3 2 3" xfId="37156" xr:uid="{00000000-0005-0000-0000-0000CC0E0000}"/>
    <cellStyle name="Comma 2 2 2 3 2 2 2 3 3" xfId="28473" xr:uid="{00000000-0005-0000-0000-0000CD0E0000}"/>
    <cellStyle name="Comma 2 2 2 3 2 2 2 3 3 2" xfId="40372" xr:uid="{00000000-0005-0000-0000-0000CE0E0000}"/>
    <cellStyle name="Comma 2 2 2 3 2 2 2 3 4" xfId="31808" xr:uid="{00000000-0005-0000-0000-0000CF0E0000}"/>
    <cellStyle name="Comma 2 2 2 3 2 2 2 3 5" xfId="33948" xr:uid="{00000000-0005-0000-0000-0000D00E0000}"/>
    <cellStyle name="Comma 2 2 2 3 2 2 2 4" xfId="7953" xr:uid="{00000000-0005-0000-0000-0000D10E0000}"/>
    <cellStyle name="Comma 2 2 2 3 2 2 2 4 2" xfId="42605" xr:uid="{00000000-0005-0000-0000-0000D20E0000}"/>
    <cellStyle name="Comma 2 2 2 3 2 2 2 4 3" xfId="36181" xr:uid="{00000000-0005-0000-0000-0000D30E0000}"/>
    <cellStyle name="Comma 2 2 2 3 2 2 2 5" xfId="20944" xr:uid="{00000000-0005-0000-0000-0000D40E0000}"/>
    <cellStyle name="Comma 2 2 2 3 2 2 2 5 2" xfId="39398" xr:uid="{00000000-0005-0000-0000-0000D50E0000}"/>
    <cellStyle name="Comma 2 2 2 3 2 2 2 6" xfId="22017" xr:uid="{00000000-0005-0000-0000-0000D60E0000}"/>
    <cellStyle name="Comma 2 2 2 3 2 2 2 7" xfId="23176" xr:uid="{00000000-0005-0000-0000-0000D70E0000}"/>
    <cellStyle name="Comma 2 2 2 3 2 2 2 8" xfId="26339" xr:uid="{00000000-0005-0000-0000-0000D80E0000}"/>
    <cellStyle name="Comma 2 2 2 3 2 2 2 9" xfId="29672" xr:uid="{00000000-0005-0000-0000-0000D90E0000}"/>
    <cellStyle name="Comma 2 2 2 3 2 2 3" xfId="749" xr:uid="{00000000-0005-0000-0000-0000DA0E0000}"/>
    <cellStyle name="Comma 2 2 2 3 2 2 3 10" xfId="32975" xr:uid="{00000000-0005-0000-0000-0000DB0E0000}"/>
    <cellStyle name="Comma 2 2 2 3 2 2 3 2" xfId="9520" xr:uid="{00000000-0005-0000-0000-0000DC0E0000}"/>
    <cellStyle name="Comma 2 2 2 3 2 2 3 2 2" xfId="25320" xr:uid="{00000000-0005-0000-0000-0000DD0E0000}"/>
    <cellStyle name="Comma 2 2 2 3 2 2 3 2 2 2" xfId="44747" xr:uid="{00000000-0005-0000-0000-0000DE0E0000}"/>
    <cellStyle name="Comma 2 2 2 3 2 2 3 2 2 3" xfId="38324" xr:uid="{00000000-0005-0000-0000-0000DF0E0000}"/>
    <cellStyle name="Comma 2 2 2 3 2 2 3 2 3" xfId="27498" xr:uid="{00000000-0005-0000-0000-0000E00E0000}"/>
    <cellStyle name="Comma 2 2 2 3 2 2 3 2 3 2" xfId="41540" xr:uid="{00000000-0005-0000-0000-0000E10E0000}"/>
    <cellStyle name="Comma 2 2 2 3 2 2 3 2 4" xfId="30833" xr:uid="{00000000-0005-0000-0000-0000E20E0000}"/>
    <cellStyle name="Comma 2 2 2 3 2 2 3 2 5" xfId="35116" xr:uid="{00000000-0005-0000-0000-0000E30E0000}"/>
    <cellStyle name="Comma 2 2 2 3 2 2 3 3" xfId="15138" xr:uid="{00000000-0005-0000-0000-0000E40E0000}"/>
    <cellStyle name="Comma 2 2 2 3 2 2 3 3 2" xfId="24151" xr:uid="{00000000-0005-0000-0000-0000E50E0000}"/>
    <cellStyle name="Comma 2 2 2 3 2 2 3 3 2 2" xfId="43580" xr:uid="{00000000-0005-0000-0000-0000E60E0000}"/>
    <cellStyle name="Comma 2 2 2 3 2 2 3 3 2 3" xfId="37157" xr:uid="{00000000-0005-0000-0000-0000E70E0000}"/>
    <cellStyle name="Comma 2 2 2 3 2 2 3 3 3" xfId="28474" xr:uid="{00000000-0005-0000-0000-0000E80E0000}"/>
    <cellStyle name="Comma 2 2 2 3 2 2 3 3 3 2" xfId="40373" xr:uid="{00000000-0005-0000-0000-0000E90E0000}"/>
    <cellStyle name="Comma 2 2 2 3 2 2 3 3 4" xfId="31809" xr:uid="{00000000-0005-0000-0000-0000EA0E0000}"/>
    <cellStyle name="Comma 2 2 2 3 2 2 3 3 5" xfId="33949" xr:uid="{00000000-0005-0000-0000-0000EB0E0000}"/>
    <cellStyle name="Comma 2 2 2 3 2 2 3 4" xfId="7954" xr:uid="{00000000-0005-0000-0000-0000EC0E0000}"/>
    <cellStyle name="Comma 2 2 2 3 2 2 3 4 2" xfId="42606" xr:uid="{00000000-0005-0000-0000-0000ED0E0000}"/>
    <cellStyle name="Comma 2 2 2 3 2 2 3 4 3" xfId="36182" xr:uid="{00000000-0005-0000-0000-0000EE0E0000}"/>
    <cellStyle name="Comma 2 2 2 3 2 2 3 5" xfId="20945" xr:uid="{00000000-0005-0000-0000-0000EF0E0000}"/>
    <cellStyle name="Comma 2 2 2 3 2 2 3 5 2" xfId="39399" xr:uid="{00000000-0005-0000-0000-0000F00E0000}"/>
    <cellStyle name="Comma 2 2 2 3 2 2 3 6" xfId="22018" xr:uid="{00000000-0005-0000-0000-0000F10E0000}"/>
    <cellStyle name="Comma 2 2 2 3 2 2 3 7" xfId="23177" xr:uid="{00000000-0005-0000-0000-0000F20E0000}"/>
    <cellStyle name="Comma 2 2 2 3 2 2 3 8" xfId="26340" xr:uid="{00000000-0005-0000-0000-0000F30E0000}"/>
    <cellStyle name="Comma 2 2 2 3 2 2 3 9" xfId="29673" xr:uid="{00000000-0005-0000-0000-0000F40E0000}"/>
    <cellStyle name="Comma 2 2 2 3 2 2 4" xfId="750" xr:uid="{00000000-0005-0000-0000-0000F50E0000}"/>
    <cellStyle name="Comma 2 2 2 3 2 2 4 10" xfId="32976" xr:uid="{00000000-0005-0000-0000-0000F60E0000}"/>
    <cellStyle name="Comma 2 2 2 3 2 2 4 2" xfId="9521" xr:uid="{00000000-0005-0000-0000-0000F70E0000}"/>
    <cellStyle name="Comma 2 2 2 3 2 2 4 2 2" xfId="25321" xr:uid="{00000000-0005-0000-0000-0000F80E0000}"/>
    <cellStyle name="Comma 2 2 2 3 2 2 4 2 2 2" xfId="44748" xr:uid="{00000000-0005-0000-0000-0000F90E0000}"/>
    <cellStyle name="Comma 2 2 2 3 2 2 4 2 2 3" xfId="38325" xr:uid="{00000000-0005-0000-0000-0000FA0E0000}"/>
    <cellStyle name="Comma 2 2 2 3 2 2 4 2 3" xfId="27499" xr:uid="{00000000-0005-0000-0000-0000FB0E0000}"/>
    <cellStyle name="Comma 2 2 2 3 2 2 4 2 3 2" xfId="41541" xr:uid="{00000000-0005-0000-0000-0000FC0E0000}"/>
    <cellStyle name="Comma 2 2 2 3 2 2 4 2 4" xfId="30834" xr:uid="{00000000-0005-0000-0000-0000FD0E0000}"/>
    <cellStyle name="Comma 2 2 2 3 2 2 4 2 5" xfId="35117" xr:uid="{00000000-0005-0000-0000-0000FE0E0000}"/>
    <cellStyle name="Comma 2 2 2 3 2 2 4 3" xfId="15139" xr:uid="{00000000-0005-0000-0000-0000FF0E0000}"/>
    <cellStyle name="Comma 2 2 2 3 2 2 4 3 2" xfId="24152" xr:uid="{00000000-0005-0000-0000-0000000F0000}"/>
    <cellStyle name="Comma 2 2 2 3 2 2 4 3 2 2" xfId="43581" xr:uid="{00000000-0005-0000-0000-0000010F0000}"/>
    <cellStyle name="Comma 2 2 2 3 2 2 4 3 2 3" xfId="37158" xr:uid="{00000000-0005-0000-0000-0000020F0000}"/>
    <cellStyle name="Comma 2 2 2 3 2 2 4 3 3" xfId="28475" xr:uid="{00000000-0005-0000-0000-0000030F0000}"/>
    <cellStyle name="Comma 2 2 2 3 2 2 4 3 3 2" xfId="40374" xr:uid="{00000000-0005-0000-0000-0000040F0000}"/>
    <cellStyle name="Comma 2 2 2 3 2 2 4 3 4" xfId="31810" xr:uid="{00000000-0005-0000-0000-0000050F0000}"/>
    <cellStyle name="Comma 2 2 2 3 2 2 4 3 5" xfId="33950" xr:uid="{00000000-0005-0000-0000-0000060F0000}"/>
    <cellStyle name="Comma 2 2 2 3 2 2 4 4" xfId="7955" xr:uid="{00000000-0005-0000-0000-0000070F0000}"/>
    <cellStyle name="Comma 2 2 2 3 2 2 4 4 2" xfId="42607" xr:uid="{00000000-0005-0000-0000-0000080F0000}"/>
    <cellStyle name="Comma 2 2 2 3 2 2 4 4 3" xfId="36183" xr:uid="{00000000-0005-0000-0000-0000090F0000}"/>
    <cellStyle name="Comma 2 2 2 3 2 2 4 5" xfId="20946" xr:uid="{00000000-0005-0000-0000-00000A0F0000}"/>
    <cellStyle name="Comma 2 2 2 3 2 2 4 5 2" xfId="39400" xr:uid="{00000000-0005-0000-0000-00000B0F0000}"/>
    <cellStyle name="Comma 2 2 2 3 2 2 4 6" xfId="22019" xr:uid="{00000000-0005-0000-0000-00000C0F0000}"/>
    <cellStyle name="Comma 2 2 2 3 2 2 4 7" xfId="23178" xr:uid="{00000000-0005-0000-0000-00000D0F0000}"/>
    <cellStyle name="Comma 2 2 2 3 2 2 4 8" xfId="26341" xr:uid="{00000000-0005-0000-0000-00000E0F0000}"/>
    <cellStyle name="Comma 2 2 2 3 2 2 4 9" xfId="29674" xr:uid="{00000000-0005-0000-0000-00000F0F0000}"/>
    <cellStyle name="Comma 2 2 2 3 2 2 5" xfId="751" xr:uid="{00000000-0005-0000-0000-0000100F0000}"/>
    <cellStyle name="Comma 2 2 2 3 2 2 5 10" xfId="32977" xr:uid="{00000000-0005-0000-0000-0000110F0000}"/>
    <cellStyle name="Comma 2 2 2 3 2 2 5 2" xfId="9522" xr:uid="{00000000-0005-0000-0000-0000120F0000}"/>
    <cellStyle name="Comma 2 2 2 3 2 2 5 2 2" xfId="25322" xr:uid="{00000000-0005-0000-0000-0000130F0000}"/>
    <cellStyle name="Comma 2 2 2 3 2 2 5 2 2 2" xfId="44749" xr:uid="{00000000-0005-0000-0000-0000140F0000}"/>
    <cellStyle name="Comma 2 2 2 3 2 2 5 2 2 3" xfId="38326" xr:uid="{00000000-0005-0000-0000-0000150F0000}"/>
    <cellStyle name="Comma 2 2 2 3 2 2 5 2 3" xfId="27500" xr:uid="{00000000-0005-0000-0000-0000160F0000}"/>
    <cellStyle name="Comma 2 2 2 3 2 2 5 2 3 2" xfId="41542" xr:uid="{00000000-0005-0000-0000-0000170F0000}"/>
    <cellStyle name="Comma 2 2 2 3 2 2 5 2 4" xfId="30835" xr:uid="{00000000-0005-0000-0000-0000180F0000}"/>
    <cellStyle name="Comma 2 2 2 3 2 2 5 2 5" xfId="35118" xr:uid="{00000000-0005-0000-0000-0000190F0000}"/>
    <cellStyle name="Comma 2 2 2 3 2 2 5 3" xfId="15140" xr:uid="{00000000-0005-0000-0000-00001A0F0000}"/>
    <cellStyle name="Comma 2 2 2 3 2 2 5 3 2" xfId="24153" xr:uid="{00000000-0005-0000-0000-00001B0F0000}"/>
    <cellStyle name="Comma 2 2 2 3 2 2 5 3 2 2" xfId="43582" xr:uid="{00000000-0005-0000-0000-00001C0F0000}"/>
    <cellStyle name="Comma 2 2 2 3 2 2 5 3 2 3" xfId="37159" xr:uid="{00000000-0005-0000-0000-00001D0F0000}"/>
    <cellStyle name="Comma 2 2 2 3 2 2 5 3 3" xfId="28476" xr:uid="{00000000-0005-0000-0000-00001E0F0000}"/>
    <cellStyle name="Comma 2 2 2 3 2 2 5 3 3 2" xfId="40375" xr:uid="{00000000-0005-0000-0000-00001F0F0000}"/>
    <cellStyle name="Comma 2 2 2 3 2 2 5 3 4" xfId="31811" xr:uid="{00000000-0005-0000-0000-0000200F0000}"/>
    <cellStyle name="Comma 2 2 2 3 2 2 5 3 5" xfId="33951" xr:uid="{00000000-0005-0000-0000-0000210F0000}"/>
    <cellStyle name="Comma 2 2 2 3 2 2 5 4" xfId="7956" xr:uid="{00000000-0005-0000-0000-0000220F0000}"/>
    <cellStyle name="Comma 2 2 2 3 2 2 5 4 2" xfId="42608" xr:uid="{00000000-0005-0000-0000-0000230F0000}"/>
    <cellStyle name="Comma 2 2 2 3 2 2 5 4 3" xfId="36184" xr:uid="{00000000-0005-0000-0000-0000240F0000}"/>
    <cellStyle name="Comma 2 2 2 3 2 2 5 5" xfId="20947" xr:uid="{00000000-0005-0000-0000-0000250F0000}"/>
    <cellStyle name="Comma 2 2 2 3 2 2 5 5 2" xfId="39401" xr:uid="{00000000-0005-0000-0000-0000260F0000}"/>
    <cellStyle name="Comma 2 2 2 3 2 2 5 6" xfId="22020" xr:uid="{00000000-0005-0000-0000-0000270F0000}"/>
    <cellStyle name="Comma 2 2 2 3 2 2 5 7" xfId="23179" xr:uid="{00000000-0005-0000-0000-0000280F0000}"/>
    <cellStyle name="Comma 2 2 2 3 2 2 5 8" xfId="26342" xr:uid="{00000000-0005-0000-0000-0000290F0000}"/>
    <cellStyle name="Comma 2 2 2 3 2 2 5 9" xfId="29675" xr:uid="{00000000-0005-0000-0000-00002A0F0000}"/>
    <cellStyle name="Comma 2 2 2 3 2 2 6" xfId="752" xr:uid="{00000000-0005-0000-0000-00002B0F0000}"/>
    <cellStyle name="Comma 2 2 2 3 2 2 6 10" xfId="32978" xr:uid="{00000000-0005-0000-0000-00002C0F0000}"/>
    <cellStyle name="Comma 2 2 2 3 2 2 6 2" xfId="9523" xr:uid="{00000000-0005-0000-0000-00002D0F0000}"/>
    <cellStyle name="Comma 2 2 2 3 2 2 6 2 2" xfId="25323" xr:uid="{00000000-0005-0000-0000-00002E0F0000}"/>
    <cellStyle name="Comma 2 2 2 3 2 2 6 2 2 2" xfId="44750" xr:uid="{00000000-0005-0000-0000-00002F0F0000}"/>
    <cellStyle name="Comma 2 2 2 3 2 2 6 2 2 3" xfId="38327" xr:uid="{00000000-0005-0000-0000-0000300F0000}"/>
    <cellStyle name="Comma 2 2 2 3 2 2 6 2 3" xfId="27501" xr:uid="{00000000-0005-0000-0000-0000310F0000}"/>
    <cellStyle name="Comma 2 2 2 3 2 2 6 2 3 2" xfId="41543" xr:uid="{00000000-0005-0000-0000-0000320F0000}"/>
    <cellStyle name="Comma 2 2 2 3 2 2 6 2 4" xfId="30836" xr:uid="{00000000-0005-0000-0000-0000330F0000}"/>
    <cellStyle name="Comma 2 2 2 3 2 2 6 2 5" xfId="35119" xr:uid="{00000000-0005-0000-0000-0000340F0000}"/>
    <cellStyle name="Comma 2 2 2 3 2 2 6 3" xfId="15141" xr:uid="{00000000-0005-0000-0000-0000350F0000}"/>
    <cellStyle name="Comma 2 2 2 3 2 2 6 3 2" xfId="24154" xr:uid="{00000000-0005-0000-0000-0000360F0000}"/>
    <cellStyle name="Comma 2 2 2 3 2 2 6 3 2 2" xfId="43583" xr:uid="{00000000-0005-0000-0000-0000370F0000}"/>
    <cellStyle name="Comma 2 2 2 3 2 2 6 3 2 3" xfId="37160" xr:uid="{00000000-0005-0000-0000-0000380F0000}"/>
    <cellStyle name="Comma 2 2 2 3 2 2 6 3 3" xfId="28477" xr:uid="{00000000-0005-0000-0000-0000390F0000}"/>
    <cellStyle name="Comma 2 2 2 3 2 2 6 3 3 2" xfId="40376" xr:uid="{00000000-0005-0000-0000-00003A0F0000}"/>
    <cellStyle name="Comma 2 2 2 3 2 2 6 3 4" xfId="31812" xr:uid="{00000000-0005-0000-0000-00003B0F0000}"/>
    <cellStyle name="Comma 2 2 2 3 2 2 6 3 5" xfId="33952" xr:uid="{00000000-0005-0000-0000-00003C0F0000}"/>
    <cellStyle name="Comma 2 2 2 3 2 2 6 4" xfId="7957" xr:uid="{00000000-0005-0000-0000-00003D0F0000}"/>
    <cellStyle name="Comma 2 2 2 3 2 2 6 4 2" xfId="42609" xr:uid="{00000000-0005-0000-0000-00003E0F0000}"/>
    <cellStyle name="Comma 2 2 2 3 2 2 6 4 3" xfId="36185" xr:uid="{00000000-0005-0000-0000-00003F0F0000}"/>
    <cellStyle name="Comma 2 2 2 3 2 2 6 5" xfId="20948" xr:uid="{00000000-0005-0000-0000-0000400F0000}"/>
    <cellStyle name="Comma 2 2 2 3 2 2 6 5 2" xfId="39402" xr:uid="{00000000-0005-0000-0000-0000410F0000}"/>
    <cellStyle name="Comma 2 2 2 3 2 2 6 6" xfId="22021" xr:uid="{00000000-0005-0000-0000-0000420F0000}"/>
    <cellStyle name="Comma 2 2 2 3 2 2 6 7" xfId="23180" xr:uid="{00000000-0005-0000-0000-0000430F0000}"/>
    <cellStyle name="Comma 2 2 2 3 2 2 6 8" xfId="26343" xr:uid="{00000000-0005-0000-0000-0000440F0000}"/>
    <cellStyle name="Comma 2 2 2 3 2 2 6 9" xfId="29676" xr:uid="{00000000-0005-0000-0000-0000450F0000}"/>
    <cellStyle name="Comma 2 2 2 3 2 2 7" xfId="9080" xr:uid="{00000000-0005-0000-0000-0000460F0000}"/>
    <cellStyle name="Comma 2 2 2 3 2 2 7 2" xfId="25135" xr:uid="{00000000-0005-0000-0000-0000470F0000}"/>
    <cellStyle name="Comma 2 2 2 3 2 2 7 2 2" xfId="44562" xr:uid="{00000000-0005-0000-0000-0000480F0000}"/>
    <cellStyle name="Comma 2 2 2 3 2 2 7 2 3" xfId="38139" xr:uid="{00000000-0005-0000-0000-0000490F0000}"/>
    <cellStyle name="Comma 2 2 2 3 2 2 7 3" xfId="27314" xr:uid="{00000000-0005-0000-0000-00004A0F0000}"/>
    <cellStyle name="Comma 2 2 2 3 2 2 7 3 2" xfId="41355" xr:uid="{00000000-0005-0000-0000-00004B0F0000}"/>
    <cellStyle name="Comma 2 2 2 3 2 2 7 4" xfId="30649" xr:uid="{00000000-0005-0000-0000-00004C0F0000}"/>
    <cellStyle name="Comma 2 2 2 3 2 2 7 5" xfId="34931" xr:uid="{00000000-0005-0000-0000-00004D0F0000}"/>
    <cellStyle name="Comma 2 2 2 3 2 2 8" xfId="15136" xr:uid="{00000000-0005-0000-0000-00004E0F0000}"/>
    <cellStyle name="Comma 2 2 2 3 2 2 8 2" xfId="24149" xr:uid="{00000000-0005-0000-0000-00004F0F0000}"/>
    <cellStyle name="Comma 2 2 2 3 2 2 8 2 2" xfId="43578" xr:uid="{00000000-0005-0000-0000-0000500F0000}"/>
    <cellStyle name="Comma 2 2 2 3 2 2 8 2 3" xfId="37155" xr:uid="{00000000-0005-0000-0000-0000510F0000}"/>
    <cellStyle name="Comma 2 2 2 3 2 2 8 3" xfId="28472" xr:uid="{00000000-0005-0000-0000-0000520F0000}"/>
    <cellStyle name="Comma 2 2 2 3 2 2 8 3 2" xfId="40371" xr:uid="{00000000-0005-0000-0000-0000530F0000}"/>
    <cellStyle name="Comma 2 2 2 3 2 2 8 4" xfId="31807" xr:uid="{00000000-0005-0000-0000-0000540F0000}"/>
    <cellStyle name="Comma 2 2 2 3 2 2 8 5" xfId="33947" xr:uid="{00000000-0005-0000-0000-0000550F0000}"/>
    <cellStyle name="Comma 2 2 2 3 2 2 9" xfId="7952" xr:uid="{00000000-0005-0000-0000-0000560F0000}"/>
    <cellStyle name="Comma 2 2 2 3 2 2 9 2" xfId="42425" xr:uid="{00000000-0005-0000-0000-0000570F0000}"/>
    <cellStyle name="Comma 2 2 2 3 2 2 9 3" xfId="36001" xr:uid="{00000000-0005-0000-0000-0000580F0000}"/>
    <cellStyle name="Comma 2 2 2 3 2 3" xfId="753" xr:uid="{00000000-0005-0000-0000-0000590F0000}"/>
    <cellStyle name="Comma 2 2 2 3 2 3 10" xfId="22022" xr:uid="{00000000-0005-0000-0000-00005A0F0000}"/>
    <cellStyle name="Comma 2 2 2 3 2 3 11" xfId="23181" xr:uid="{00000000-0005-0000-0000-00005B0F0000}"/>
    <cellStyle name="Comma 2 2 2 3 2 3 12" xfId="26344" xr:uid="{00000000-0005-0000-0000-00005C0F0000}"/>
    <cellStyle name="Comma 2 2 2 3 2 3 13" xfId="29677" xr:uid="{00000000-0005-0000-0000-00005D0F0000}"/>
    <cellStyle name="Comma 2 2 2 3 2 3 14" xfId="32979" xr:uid="{00000000-0005-0000-0000-00005E0F0000}"/>
    <cellStyle name="Comma 2 2 2 3 2 3 2" xfId="754" xr:uid="{00000000-0005-0000-0000-00005F0F0000}"/>
    <cellStyle name="Comma 2 2 2 3 2 3 2 10" xfId="32980" xr:uid="{00000000-0005-0000-0000-0000600F0000}"/>
    <cellStyle name="Comma 2 2 2 3 2 3 2 2" xfId="9525" xr:uid="{00000000-0005-0000-0000-0000610F0000}"/>
    <cellStyle name="Comma 2 2 2 3 2 3 2 2 2" xfId="25325" xr:uid="{00000000-0005-0000-0000-0000620F0000}"/>
    <cellStyle name="Comma 2 2 2 3 2 3 2 2 2 2" xfId="44752" xr:uid="{00000000-0005-0000-0000-0000630F0000}"/>
    <cellStyle name="Comma 2 2 2 3 2 3 2 2 2 3" xfId="38329" xr:uid="{00000000-0005-0000-0000-0000640F0000}"/>
    <cellStyle name="Comma 2 2 2 3 2 3 2 2 3" xfId="27503" xr:uid="{00000000-0005-0000-0000-0000650F0000}"/>
    <cellStyle name="Comma 2 2 2 3 2 3 2 2 3 2" xfId="41545" xr:uid="{00000000-0005-0000-0000-0000660F0000}"/>
    <cellStyle name="Comma 2 2 2 3 2 3 2 2 4" xfId="30838" xr:uid="{00000000-0005-0000-0000-0000670F0000}"/>
    <cellStyle name="Comma 2 2 2 3 2 3 2 2 5" xfId="35121" xr:uid="{00000000-0005-0000-0000-0000680F0000}"/>
    <cellStyle name="Comma 2 2 2 3 2 3 2 3" xfId="15143" xr:uid="{00000000-0005-0000-0000-0000690F0000}"/>
    <cellStyle name="Comma 2 2 2 3 2 3 2 3 2" xfId="24156" xr:uid="{00000000-0005-0000-0000-00006A0F0000}"/>
    <cellStyle name="Comma 2 2 2 3 2 3 2 3 2 2" xfId="43585" xr:uid="{00000000-0005-0000-0000-00006B0F0000}"/>
    <cellStyle name="Comma 2 2 2 3 2 3 2 3 2 3" xfId="37162" xr:uid="{00000000-0005-0000-0000-00006C0F0000}"/>
    <cellStyle name="Comma 2 2 2 3 2 3 2 3 3" xfId="28479" xr:uid="{00000000-0005-0000-0000-00006D0F0000}"/>
    <cellStyle name="Comma 2 2 2 3 2 3 2 3 3 2" xfId="40378" xr:uid="{00000000-0005-0000-0000-00006E0F0000}"/>
    <cellStyle name="Comma 2 2 2 3 2 3 2 3 4" xfId="31814" xr:uid="{00000000-0005-0000-0000-00006F0F0000}"/>
    <cellStyle name="Comma 2 2 2 3 2 3 2 3 5" xfId="33954" xr:uid="{00000000-0005-0000-0000-0000700F0000}"/>
    <cellStyle name="Comma 2 2 2 3 2 3 2 4" xfId="7959" xr:uid="{00000000-0005-0000-0000-0000710F0000}"/>
    <cellStyle name="Comma 2 2 2 3 2 3 2 4 2" xfId="42611" xr:uid="{00000000-0005-0000-0000-0000720F0000}"/>
    <cellStyle name="Comma 2 2 2 3 2 3 2 4 3" xfId="36187" xr:uid="{00000000-0005-0000-0000-0000730F0000}"/>
    <cellStyle name="Comma 2 2 2 3 2 3 2 5" xfId="20950" xr:uid="{00000000-0005-0000-0000-0000740F0000}"/>
    <cellStyle name="Comma 2 2 2 3 2 3 2 5 2" xfId="39404" xr:uid="{00000000-0005-0000-0000-0000750F0000}"/>
    <cellStyle name="Comma 2 2 2 3 2 3 2 6" xfId="22023" xr:uid="{00000000-0005-0000-0000-0000760F0000}"/>
    <cellStyle name="Comma 2 2 2 3 2 3 2 7" xfId="23182" xr:uid="{00000000-0005-0000-0000-0000770F0000}"/>
    <cellStyle name="Comma 2 2 2 3 2 3 2 8" xfId="26345" xr:uid="{00000000-0005-0000-0000-0000780F0000}"/>
    <cellStyle name="Comma 2 2 2 3 2 3 2 9" xfId="29678" xr:uid="{00000000-0005-0000-0000-0000790F0000}"/>
    <cellStyle name="Comma 2 2 2 3 2 3 3" xfId="755" xr:uid="{00000000-0005-0000-0000-00007A0F0000}"/>
    <cellStyle name="Comma 2 2 2 3 2 3 3 10" xfId="32981" xr:uid="{00000000-0005-0000-0000-00007B0F0000}"/>
    <cellStyle name="Comma 2 2 2 3 2 3 3 2" xfId="9526" xr:uid="{00000000-0005-0000-0000-00007C0F0000}"/>
    <cellStyle name="Comma 2 2 2 3 2 3 3 2 2" xfId="25326" xr:uid="{00000000-0005-0000-0000-00007D0F0000}"/>
    <cellStyle name="Comma 2 2 2 3 2 3 3 2 2 2" xfId="44753" xr:uid="{00000000-0005-0000-0000-00007E0F0000}"/>
    <cellStyle name="Comma 2 2 2 3 2 3 3 2 2 3" xfId="38330" xr:uid="{00000000-0005-0000-0000-00007F0F0000}"/>
    <cellStyle name="Comma 2 2 2 3 2 3 3 2 3" xfId="27504" xr:uid="{00000000-0005-0000-0000-0000800F0000}"/>
    <cellStyle name="Comma 2 2 2 3 2 3 3 2 3 2" xfId="41546" xr:uid="{00000000-0005-0000-0000-0000810F0000}"/>
    <cellStyle name="Comma 2 2 2 3 2 3 3 2 4" xfId="30839" xr:uid="{00000000-0005-0000-0000-0000820F0000}"/>
    <cellStyle name="Comma 2 2 2 3 2 3 3 2 5" xfId="35122" xr:uid="{00000000-0005-0000-0000-0000830F0000}"/>
    <cellStyle name="Comma 2 2 2 3 2 3 3 3" xfId="15144" xr:uid="{00000000-0005-0000-0000-0000840F0000}"/>
    <cellStyle name="Comma 2 2 2 3 2 3 3 3 2" xfId="24157" xr:uid="{00000000-0005-0000-0000-0000850F0000}"/>
    <cellStyle name="Comma 2 2 2 3 2 3 3 3 2 2" xfId="43586" xr:uid="{00000000-0005-0000-0000-0000860F0000}"/>
    <cellStyle name="Comma 2 2 2 3 2 3 3 3 2 3" xfId="37163" xr:uid="{00000000-0005-0000-0000-0000870F0000}"/>
    <cellStyle name="Comma 2 2 2 3 2 3 3 3 3" xfId="28480" xr:uid="{00000000-0005-0000-0000-0000880F0000}"/>
    <cellStyle name="Comma 2 2 2 3 2 3 3 3 3 2" xfId="40379" xr:uid="{00000000-0005-0000-0000-0000890F0000}"/>
    <cellStyle name="Comma 2 2 2 3 2 3 3 3 4" xfId="31815" xr:uid="{00000000-0005-0000-0000-00008A0F0000}"/>
    <cellStyle name="Comma 2 2 2 3 2 3 3 3 5" xfId="33955" xr:uid="{00000000-0005-0000-0000-00008B0F0000}"/>
    <cellStyle name="Comma 2 2 2 3 2 3 3 4" xfId="7960" xr:uid="{00000000-0005-0000-0000-00008C0F0000}"/>
    <cellStyle name="Comma 2 2 2 3 2 3 3 4 2" xfId="42612" xr:uid="{00000000-0005-0000-0000-00008D0F0000}"/>
    <cellStyle name="Comma 2 2 2 3 2 3 3 4 3" xfId="36188" xr:uid="{00000000-0005-0000-0000-00008E0F0000}"/>
    <cellStyle name="Comma 2 2 2 3 2 3 3 5" xfId="20951" xr:uid="{00000000-0005-0000-0000-00008F0F0000}"/>
    <cellStyle name="Comma 2 2 2 3 2 3 3 5 2" xfId="39405" xr:uid="{00000000-0005-0000-0000-0000900F0000}"/>
    <cellStyle name="Comma 2 2 2 3 2 3 3 6" xfId="22024" xr:uid="{00000000-0005-0000-0000-0000910F0000}"/>
    <cellStyle name="Comma 2 2 2 3 2 3 3 7" xfId="23183" xr:uid="{00000000-0005-0000-0000-0000920F0000}"/>
    <cellStyle name="Comma 2 2 2 3 2 3 3 8" xfId="26346" xr:uid="{00000000-0005-0000-0000-0000930F0000}"/>
    <cellStyle name="Comma 2 2 2 3 2 3 3 9" xfId="29679" xr:uid="{00000000-0005-0000-0000-0000940F0000}"/>
    <cellStyle name="Comma 2 2 2 3 2 3 4" xfId="756" xr:uid="{00000000-0005-0000-0000-0000950F0000}"/>
    <cellStyle name="Comma 2 2 2 3 2 3 4 10" xfId="32982" xr:uid="{00000000-0005-0000-0000-0000960F0000}"/>
    <cellStyle name="Comma 2 2 2 3 2 3 4 2" xfId="9527" xr:uid="{00000000-0005-0000-0000-0000970F0000}"/>
    <cellStyle name="Comma 2 2 2 3 2 3 4 2 2" xfId="25327" xr:uid="{00000000-0005-0000-0000-0000980F0000}"/>
    <cellStyle name="Comma 2 2 2 3 2 3 4 2 2 2" xfId="44754" xr:uid="{00000000-0005-0000-0000-0000990F0000}"/>
    <cellStyle name="Comma 2 2 2 3 2 3 4 2 2 3" xfId="38331" xr:uid="{00000000-0005-0000-0000-00009A0F0000}"/>
    <cellStyle name="Comma 2 2 2 3 2 3 4 2 3" xfId="27505" xr:uid="{00000000-0005-0000-0000-00009B0F0000}"/>
    <cellStyle name="Comma 2 2 2 3 2 3 4 2 3 2" xfId="41547" xr:uid="{00000000-0005-0000-0000-00009C0F0000}"/>
    <cellStyle name="Comma 2 2 2 3 2 3 4 2 4" xfId="30840" xr:uid="{00000000-0005-0000-0000-00009D0F0000}"/>
    <cellStyle name="Comma 2 2 2 3 2 3 4 2 5" xfId="35123" xr:uid="{00000000-0005-0000-0000-00009E0F0000}"/>
    <cellStyle name="Comma 2 2 2 3 2 3 4 3" xfId="15145" xr:uid="{00000000-0005-0000-0000-00009F0F0000}"/>
    <cellStyle name="Comma 2 2 2 3 2 3 4 3 2" xfId="24158" xr:uid="{00000000-0005-0000-0000-0000A00F0000}"/>
    <cellStyle name="Comma 2 2 2 3 2 3 4 3 2 2" xfId="43587" xr:uid="{00000000-0005-0000-0000-0000A10F0000}"/>
    <cellStyle name="Comma 2 2 2 3 2 3 4 3 2 3" xfId="37164" xr:uid="{00000000-0005-0000-0000-0000A20F0000}"/>
    <cellStyle name="Comma 2 2 2 3 2 3 4 3 3" xfId="28481" xr:uid="{00000000-0005-0000-0000-0000A30F0000}"/>
    <cellStyle name="Comma 2 2 2 3 2 3 4 3 3 2" xfId="40380" xr:uid="{00000000-0005-0000-0000-0000A40F0000}"/>
    <cellStyle name="Comma 2 2 2 3 2 3 4 3 4" xfId="31816" xr:uid="{00000000-0005-0000-0000-0000A50F0000}"/>
    <cellStyle name="Comma 2 2 2 3 2 3 4 3 5" xfId="33956" xr:uid="{00000000-0005-0000-0000-0000A60F0000}"/>
    <cellStyle name="Comma 2 2 2 3 2 3 4 4" xfId="7961" xr:uid="{00000000-0005-0000-0000-0000A70F0000}"/>
    <cellStyle name="Comma 2 2 2 3 2 3 4 4 2" xfId="42613" xr:uid="{00000000-0005-0000-0000-0000A80F0000}"/>
    <cellStyle name="Comma 2 2 2 3 2 3 4 4 3" xfId="36189" xr:uid="{00000000-0005-0000-0000-0000A90F0000}"/>
    <cellStyle name="Comma 2 2 2 3 2 3 4 5" xfId="20952" xr:uid="{00000000-0005-0000-0000-0000AA0F0000}"/>
    <cellStyle name="Comma 2 2 2 3 2 3 4 5 2" xfId="39406" xr:uid="{00000000-0005-0000-0000-0000AB0F0000}"/>
    <cellStyle name="Comma 2 2 2 3 2 3 4 6" xfId="22025" xr:uid="{00000000-0005-0000-0000-0000AC0F0000}"/>
    <cellStyle name="Comma 2 2 2 3 2 3 4 7" xfId="23184" xr:uid="{00000000-0005-0000-0000-0000AD0F0000}"/>
    <cellStyle name="Comma 2 2 2 3 2 3 4 8" xfId="26347" xr:uid="{00000000-0005-0000-0000-0000AE0F0000}"/>
    <cellStyle name="Comma 2 2 2 3 2 3 4 9" xfId="29680" xr:uid="{00000000-0005-0000-0000-0000AF0F0000}"/>
    <cellStyle name="Comma 2 2 2 3 2 3 5" xfId="757" xr:uid="{00000000-0005-0000-0000-0000B00F0000}"/>
    <cellStyle name="Comma 2 2 2 3 2 3 5 10" xfId="32983" xr:uid="{00000000-0005-0000-0000-0000B10F0000}"/>
    <cellStyle name="Comma 2 2 2 3 2 3 5 2" xfId="9528" xr:uid="{00000000-0005-0000-0000-0000B20F0000}"/>
    <cellStyle name="Comma 2 2 2 3 2 3 5 2 2" xfId="25328" xr:uid="{00000000-0005-0000-0000-0000B30F0000}"/>
    <cellStyle name="Comma 2 2 2 3 2 3 5 2 2 2" xfId="44755" xr:uid="{00000000-0005-0000-0000-0000B40F0000}"/>
    <cellStyle name="Comma 2 2 2 3 2 3 5 2 2 3" xfId="38332" xr:uid="{00000000-0005-0000-0000-0000B50F0000}"/>
    <cellStyle name="Comma 2 2 2 3 2 3 5 2 3" xfId="27506" xr:uid="{00000000-0005-0000-0000-0000B60F0000}"/>
    <cellStyle name="Comma 2 2 2 3 2 3 5 2 3 2" xfId="41548" xr:uid="{00000000-0005-0000-0000-0000B70F0000}"/>
    <cellStyle name="Comma 2 2 2 3 2 3 5 2 4" xfId="30841" xr:uid="{00000000-0005-0000-0000-0000B80F0000}"/>
    <cellStyle name="Comma 2 2 2 3 2 3 5 2 5" xfId="35124" xr:uid="{00000000-0005-0000-0000-0000B90F0000}"/>
    <cellStyle name="Comma 2 2 2 3 2 3 5 3" xfId="15146" xr:uid="{00000000-0005-0000-0000-0000BA0F0000}"/>
    <cellStyle name="Comma 2 2 2 3 2 3 5 3 2" xfId="24159" xr:uid="{00000000-0005-0000-0000-0000BB0F0000}"/>
    <cellStyle name="Comma 2 2 2 3 2 3 5 3 2 2" xfId="43588" xr:uid="{00000000-0005-0000-0000-0000BC0F0000}"/>
    <cellStyle name="Comma 2 2 2 3 2 3 5 3 2 3" xfId="37165" xr:uid="{00000000-0005-0000-0000-0000BD0F0000}"/>
    <cellStyle name="Comma 2 2 2 3 2 3 5 3 3" xfId="28482" xr:uid="{00000000-0005-0000-0000-0000BE0F0000}"/>
    <cellStyle name="Comma 2 2 2 3 2 3 5 3 3 2" xfId="40381" xr:uid="{00000000-0005-0000-0000-0000BF0F0000}"/>
    <cellStyle name="Comma 2 2 2 3 2 3 5 3 4" xfId="31817" xr:uid="{00000000-0005-0000-0000-0000C00F0000}"/>
    <cellStyle name="Comma 2 2 2 3 2 3 5 3 5" xfId="33957" xr:uid="{00000000-0005-0000-0000-0000C10F0000}"/>
    <cellStyle name="Comma 2 2 2 3 2 3 5 4" xfId="7962" xr:uid="{00000000-0005-0000-0000-0000C20F0000}"/>
    <cellStyle name="Comma 2 2 2 3 2 3 5 4 2" xfId="42614" xr:uid="{00000000-0005-0000-0000-0000C30F0000}"/>
    <cellStyle name="Comma 2 2 2 3 2 3 5 4 3" xfId="36190" xr:uid="{00000000-0005-0000-0000-0000C40F0000}"/>
    <cellStyle name="Comma 2 2 2 3 2 3 5 5" xfId="20953" xr:uid="{00000000-0005-0000-0000-0000C50F0000}"/>
    <cellStyle name="Comma 2 2 2 3 2 3 5 5 2" xfId="39407" xr:uid="{00000000-0005-0000-0000-0000C60F0000}"/>
    <cellStyle name="Comma 2 2 2 3 2 3 5 6" xfId="22026" xr:uid="{00000000-0005-0000-0000-0000C70F0000}"/>
    <cellStyle name="Comma 2 2 2 3 2 3 5 7" xfId="23185" xr:uid="{00000000-0005-0000-0000-0000C80F0000}"/>
    <cellStyle name="Comma 2 2 2 3 2 3 5 8" xfId="26348" xr:uid="{00000000-0005-0000-0000-0000C90F0000}"/>
    <cellStyle name="Comma 2 2 2 3 2 3 5 9" xfId="29681" xr:uid="{00000000-0005-0000-0000-0000CA0F0000}"/>
    <cellStyle name="Comma 2 2 2 3 2 3 6" xfId="9524" xr:uid="{00000000-0005-0000-0000-0000CB0F0000}"/>
    <cellStyle name="Comma 2 2 2 3 2 3 6 2" xfId="25324" xr:uid="{00000000-0005-0000-0000-0000CC0F0000}"/>
    <cellStyle name="Comma 2 2 2 3 2 3 6 2 2" xfId="44751" xr:uid="{00000000-0005-0000-0000-0000CD0F0000}"/>
    <cellStyle name="Comma 2 2 2 3 2 3 6 2 3" xfId="38328" xr:uid="{00000000-0005-0000-0000-0000CE0F0000}"/>
    <cellStyle name="Comma 2 2 2 3 2 3 6 3" xfId="27502" xr:uid="{00000000-0005-0000-0000-0000CF0F0000}"/>
    <cellStyle name="Comma 2 2 2 3 2 3 6 3 2" xfId="41544" xr:uid="{00000000-0005-0000-0000-0000D00F0000}"/>
    <cellStyle name="Comma 2 2 2 3 2 3 6 4" xfId="30837" xr:uid="{00000000-0005-0000-0000-0000D10F0000}"/>
    <cellStyle name="Comma 2 2 2 3 2 3 6 5" xfId="35120" xr:uid="{00000000-0005-0000-0000-0000D20F0000}"/>
    <cellStyle name="Comma 2 2 2 3 2 3 7" xfId="15142" xr:uid="{00000000-0005-0000-0000-0000D30F0000}"/>
    <cellStyle name="Comma 2 2 2 3 2 3 7 2" xfId="24155" xr:uid="{00000000-0005-0000-0000-0000D40F0000}"/>
    <cellStyle name="Comma 2 2 2 3 2 3 7 2 2" xfId="43584" xr:uid="{00000000-0005-0000-0000-0000D50F0000}"/>
    <cellStyle name="Comma 2 2 2 3 2 3 7 2 3" xfId="37161" xr:uid="{00000000-0005-0000-0000-0000D60F0000}"/>
    <cellStyle name="Comma 2 2 2 3 2 3 7 3" xfId="28478" xr:uid="{00000000-0005-0000-0000-0000D70F0000}"/>
    <cellStyle name="Comma 2 2 2 3 2 3 7 3 2" xfId="40377" xr:uid="{00000000-0005-0000-0000-0000D80F0000}"/>
    <cellStyle name="Comma 2 2 2 3 2 3 7 4" xfId="31813" xr:uid="{00000000-0005-0000-0000-0000D90F0000}"/>
    <cellStyle name="Comma 2 2 2 3 2 3 7 5" xfId="33953" xr:uid="{00000000-0005-0000-0000-0000DA0F0000}"/>
    <cellStyle name="Comma 2 2 2 3 2 3 8" xfId="7958" xr:uid="{00000000-0005-0000-0000-0000DB0F0000}"/>
    <cellStyle name="Comma 2 2 2 3 2 3 8 2" xfId="42610" xr:uid="{00000000-0005-0000-0000-0000DC0F0000}"/>
    <cellStyle name="Comma 2 2 2 3 2 3 8 3" xfId="36186" xr:uid="{00000000-0005-0000-0000-0000DD0F0000}"/>
    <cellStyle name="Comma 2 2 2 3 2 3 9" xfId="20949" xr:uid="{00000000-0005-0000-0000-0000DE0F0000}"/>
    <cellStyle name="Comma 2 2 2 3 2 3 9 2" xfId="39403" xr:uid="{00000000-0005-0000-0000-0000DF0F0000}"/>
    <cellStyle name="Comma 2 2 2 3 2 4" xfId="758" xr:uid="{00000000-0005-0000-0000-0000E00F0000}"/>
    <cellStyle name="Comma 2 2 2 3 2 4 10" xfId="32984" xr:uid="{00000000-0005-0000-0000-0000E10F0000}"/>
    <cellStyle name="Comma 2 2 2 3 2 4 2" xfId="9529" xr:uid="{00000000-0005-0000-0000-0000E20F0000}"/>
    <cellStyle name="Comma 2 2 2 3 2 4 2 2" xfId="25329" xr:uid="{00000000-0005-0000-0000-0000E30F0000}"/>
    <cellStyle name="Comma 2 2 2 3 2 4 2 2 2" xfId="44756" xr:uid="{00000000-0005-0000-0000-0000E40F0000}"/>
    <cellStyle name="Comma 2 2 2 3 2 4 2 2 3" xfId="38333" xr:uid="{00000000-0005-0000-0000-0000E50F0000}"/>
    <cellStyle name="Comma 2 2 2 3 2 4 2 3" xfId="27507" xr:uid="{00000000-0005-0000-0000-0000E60F0000}"/>
    <cellStyle name="Comma 2 2 2 3 2 4 2 3 2" xfId="41549" xr:uid="{00000000-0005-0000-0000-0000E70F0000}"/>
    <cellStyle name="Comma 2 2 2 3 2 4 2 4" xfId="30842" xr:uid="{00000000-0005-0000-0000-0000E80F0000}"/>
    <cellStyle name="Comma 2 2 2 3 2 4 2 5" xfId="35125" xr:uid="{00000000-0005-0000-0000-0000E90F0000}"/>
    <cellStyle name="Comma 2 2 2 3 2 4 3" xfId="15147" xr:uid="{00000000-0005-0000-0000-0000EA0F0000}"/>
    <cellStyle name="Comma 2 2 2 3 2 4 3 2" xfId="24160" xr:uid="{00000000-0005-0000-0000-0000EB0F0000}"/>
    <cellStyle name="Comma 2 2 2 3 2 4 3 2 2" xfId="43589" xr:uid="{00000000-0005-0000-0000-0000EC0F0000}"/>
    <cellStyle name="Comma 2 2 2 3 2 4 3 2 3" xfId="37166" xr:uid="{00000000-0005-0000-0000-0000ED0F0000}"/>
    <cellStyle name="Comma 2 2 2 3 2 4 3 3" xfId="28483" xr:uid="{00000000-0005-0000-0000-0000EE0F0000}"/>
    <cellStyle name="Comma 2 2 2 3 2 4 3 3 2" xfId="40382" xr:uid="{00000000-0005-0000-0000-0000EF0F0000}"/>
    <cellStyle name="Comma 2 2 2 3 2 4 3 4" xfId="31818" xr:uid="{00000000-0005-0000-0000-0000F00F0000}"/>
    <cellStyle name="Comma 2 2 2 3 2 4 3 5" xfId="33958" xr:uid="{00000000-0005-0000-0000-0000F10F0000}"/>
    <cellStyle name="Comma 2 2 2 3 2 4 4" xfId="7963" xr:uid="{00000000-0005-0000-0000-0000F20F0000}"/>
    <cellStyle name="Comma 2 2 2 3 2 4 4 2" xfId="42615" xr:uid="{00000000-0005-0000-0000-0000F30F0000}"/>
    <cellStyle name="Comma 2 2 2 3 2 4 4 3" xfId="36191" xr:uid="{00000000-0005-0000-0000-0000F40F0000}"/>
    <cellStyle name="Comma 2 2 2 3 2 4 5" xfId="20954" xr:uid="{00000000-0005-0000-0000-0000F50F0000}"/>
    <cellStyle name="Comma 2 2 2 3 2 4 5 2" xfId="39408" xr:uid="{00000000-0005-0000-0000-0000F60F0000}"/>
    <cellStyle name="Comma 2 2 2 3 2 4 6" xfId="22027" xr:uid="{00000000-0005-0000-0000-0000F70F0000}"/>
    <cellStyle name="Comma 2 2 2 3 2 4 7" xfId="23186" xr:uid="{00000000-0005-0000-0000-0000F80F0000}"/>
    <cellStyle name="Comma 2 2 2 3 2 4 8" xfId="26349" xr:uid="{00000000-0005-0000-0000-0000F90F0000}"/>
    <cellStyle name="Comma 2 2 2 3 2 4 9" xfId="29682" xr:uid="{00000000-0005-0000-0000-0000FA0F0000}"/>
    <cellStyle name="Comma 2 2 2 3 2 5" xfId="759" xr:uid="{00000000-0005-0000-0000-0000FB0F0000}"/>
    <cellStyle name="Comma 2 2 2 3 2 5 10" xfId="32985" xr:uid="{00000000-0005-0000-0000-0000FC0F0000}"/>
    <cellStyle name="Comma 2 2 2 3 2 5 2" xfId="9530" xr:uid="{00000000-0005-0000-0000-0000FD0F0000}"/>
    <cellStyle name="Comma 2 2 2 3 2 5 2 2" xfId="25330" xr:uid="{00000000-0005-0000-0000-0000FE0F0000}"/>
    <cellStyle name="Comma 2 2 2 3 2 5 2 2 2" xfId="44757" xr:uid="{00000000-0005-0000-0000-0000FF0F0000}"/>
    <cellStyle name="Comma 2 2 2 3 2 5 2 2 3" xfId="38334" xr:uid="{00000000-0005-0000-0000-000000100000}"/>
    <cellStyle name="Comma 2 2 2 3 2 5 2 3" xfId="27508" xr:uid="{00000000-0005-0000-0000-000001100000}"/>
    <cellStyle name="Comma 2 2 2 3 2 5 2 3 2" xfId="41550" xr:uid="{00000000-0005-0000-0000-000002100000}"/>
    <cellStyle name="Comma 2 2 2 3 2 5 2 4" xfId="30843" xr:uid="{00000000-0005-0000-0000-000003100000}"/>
    <cellStyle name="Comma 2 2 2 3 2 5 2 5" xfId="35126" xr:uid="{00000000-0005-0000-0000-000004100000}"/>
    <cellStyle name="Comma 2 2 2 3 2 5 3" xfId="15148" xr:uid="{00000000-0005-0000-0000-000005100000}"/>
    <cellStyle name="Comma 2 2 2 3 2 5 3 2" xfId="24161" xr:uid="{00000000-0005-0000-0000-000006100000}"/>
    <cellStyle name="Comma 2 2 2 3 2 5 3 2 2" xfId="43590" xr:uid="{00000000-0005-0000-0000-000007100000}"/>
    <cellStyle name="Comma 2 2 2 3 2 5 3 2 3" xfId="37167" xr:uid="{00000000-0005-0000-0000-000008100000}"/>
    <cellStyle name="Comma 2 2 2 3 2 5 3 3" xfId="28484" xr:uid="{00000000-0005-0000-0000-000009100000}"/>
    <cellStyle name="Comma 2 2 2 3 2 5 3 3 2" xfId="40383" xr:uid="{00000000-0005-0000-0000-00000A100000}"/>
    <cellStyle name="Comma 2 2 2 3 2 5 3 4" xfId="31819" xr:uid="{00000000-0005-0000-0000-00000B100000}"/>
    <cellStyle name="Comma 2 2 2 3 2 5 3 5" xfId="33959" xr:uid="{00000000-0005-0000-0000-00000C100000}"/>
    <cellStyle name="Comma 2 2 2 3 2 5 4" xfId="7964" xr:uid="{00000000-0005-0000-0000-00000D100000}"/>
    <cellStyle name="Comma 2 2 2 3 2 5 4 2" xfId="42616" xr:uid="{00000000-0005-0000-0000-00000E100000}"/>
    <cellStyle name="Comma 2 2 2 3 2 5 4 3" xfId="36192" xr:uid="{00000000-0005-0000-0000-00000F100000}"/>
    <cellStyle name="Comma 2 2 2 3 2 5 5" xfId="20955" xr:uid="{00000000-0005-0000-0000-000010100000}"/>
    <cellStyle name="Comma 2 2 2 3 2 5 5 2" xfId="39409" xr:uid="{00000000-0005-0000-0000-000011100000}"/>
    <cellStyle name="Comma 2 2 2 3 2 5 6" xfId="22028" xr:uid="{00000000-0005-0000-0000-000012100000}"/>
    <cellStyle name="Comma 2 2 2 3 2 5 7" xfId="23187" xr:uid="{00000000-0005-0000-0000-000013100000}"/>
    <cellStyle name="Comma 2 2 2 3 2 5 8" xfId="26350" xr:uid="{00000000-0005-0000-0000-000014100000}"/>
    <cellStyle name="Comma 2 2 2 3 2 5 9" xfId="29683" xr:uid="{00000000-0005-0000-0000-000015100000}"/>
    <cellStyle name="Comma 2 2 2 3 2 6" xfId="760" xr:uid="{00000000-0005-0000-0000-000016100000}"/>
    <cellStyle name="Comma 2 2 2 3 2 6 10" xfId="32986" xr:uid="{00000000-0005-0000-0000-000017100000}"/>
    <cellStyle name="Comma 2 2 2 3 2 6 2" xfId="9531" xr:uid="{00000000-0005-0000-0000-000018100000}"/>
    <cellStyle name="Comma 2 2 2 3 2 6 2 2" xfId="25331" xr:uid="{00000000-0005-0000-0000-000019100000}"/>
    <cellStyle name="Comma 2 2 2 3 2 6 2 2 2" xfId="44758" xr:uid="{00000000-0005-0000-0000-00001A100000}"/>
    <cellStyle name="Comma 2 2 2 3 2 6 2 2 3" xfId="38335" xr:uid="{00000000-0005-0000-0000-00001B100000}"/>
    <cellStyle name="Comma 2 2 2 3 2 6 2 3" xfId="27509" xr:uid="{00000000-0005-0000-0000-00001C100000}"/>
    <cellStyle name="Comma 2 2 2 3 2 6 2 3 2" xfId="41551" xr:uid="{00000000-0005-0000-0000-00001D100000}"/>
    <cellStyle name="Comma 2 2 2 3 2 6 2 4" xfId="30844" xr:uid="{00000000-0005-0000-0000-00001E100000}"/>
    <cellStyle name="Comma 2 2 2 3 2 6 2 5" xfId="35127" xr:uid="{00000000-0005-0000-0000-00001F100000}"/>
    <cellStyle name="Comma 2 2 2 3 2 6 3" xfId="15149" xr:uid="{00000000-0005-0000-0000-000020100000}"/>
    <cellStyle name="Comma 2 2 2 3 2 6 3 2" xfId="24162" xr:uid="{00000000-0005-0000-0000-000021100000}"/>
    <cellStyle name="Comma 2 2 2 3 2 6 3 2 2" xfId="43591" xr:uid="{00000000-0005-0000-0000-000022100000}"/>
    <cellStyle name="Comma 2 2 2 3 2 6 3 2 3" xfId="37168" xr:uid="{00000000-0005-0000-0000-000023100000}"/>
    <cellStyle name="Comma 2 2 2 3 2 6 3 3" xfId="28485" xr:uid="{00000000-0005-0000-0000-000024100000}"/>
    <cellStyle name="Comma 2 2 2 3 2 6 3 3 2" xfId="40384" xr:uid="{00000000-0005-0000-0000-000025100000}"/>
    <cellStyle name="Comma 2 2 2 3 2 6 3 4" xfId="31820" xr:uid="{00000000-0005-0000-0000-000026100000}"/>
    <cellStyle name="Comma 2 2 2 3 2 6 3 5" xfId="33960" xr:uid="{00000000-0005-0000-0000-000027100000}"/>
    <cellStyle name="Comma 2 2 2 3 2 6 4" xfId="7965" xr:uid="{00000000-0005-0000-0000-000028100000}"/>
    <cellStyle name="Comma 2 2 2 3 2 6 4 2" xfId="42617" xr:uid="{00000000-0005-0000-0000-000029100000}"/>
    <cellStyle name="Comma 2 2 2 3 2 6 4 3" xfId="36193" xr:uid="{00000000-0005-0000-0000-00002A100000}"/>
    <cellStyle name="Comma 2 2 2 3 2 6 5" xfId="20956" xr:uid="{00000000-0005-0000-0000-00002B100000}"/>
    <cellStyle name="Comma 2 2 2 3 2 6 5 2" xfId="39410" xr:uid="{00000000-0005-0000-0000-00002C100000}"/>
    <cellStyle name="Comma 2 2 2 3 2 6 6" xfId="22029" xr:uid="{00000000-0005-0000-0000-00002D100000}"/>
    <cellStyle name="Comma 2 2 2 3 2 6 7" xfId="23188" xr:uid="{00000000-0005-0000-0000-00002E100000}"/>
    <cellStyle name="Comma 2 2 2 3 2 6 8" xfId="26351" xr:uid="{00000000-0005-0000-0000-00002F100000}"/>
    <cellStyle name="Comma 2 2 2 3 2 6 9" xfId="29684" xr:uid="{00000000-0005-0000-0000-000030100000}"/>
    <cellStyle name="Comma 2 2 2 3 2 7" xfId="761" xr:uid="{00000000-0005-0000-0000-000031100000}"/>
    <cellStyle name="Comma 2 2 2 3 2 7 10" xfId="32987" xr:uid="{00000000-0005-0000-0000-000032100000}"/>
    <cellStyle name="Comma 2 2 2 3 2 7 2" xfId="9532" xr:uid="{00000000-0005-0000-0000-000033100000}"/>
    <cellStyle name="Comma 2 2 2 3 2 7 2 2" xfId="25332" xr:uid="{00000000-0005-0000-0000-000034100000}"/>
    <cellStyle name="Comma 2 2 2 3 2 7 2 2 2" xfId="44759" xr:uid="{00000000-0005-0000-0000-000035100000}"/>
    <cellStyle name="Comma 2 2 2 3 2 7 2 2 3" xfId="38336" xr:uid="{00000000-0005-0000-0000-000036100000}"/>
    <cellStyle name="Comma 2 2 2 3 2 7 2 3" xfId="27510" xr:uid="{00000000-0005-0000-0000-000037100000}"/>
    <cellStyle name="Comma 2 2 2 3 2 7 2 3 2" xfId="41552" xr:uid="{00000000-0005-0000-0000-000038100000}"/>
    <cellStyle name="Comma 2 2 2 3 2 7 2 4" xfId="30845" xr:uid="{00000000-0005-0000-0000-000039100000}"/>
    <cellStyle name="Comma 2 2 2 3 2 7 2 5" xfId="35128" xr:uid="{00000000-0005-0000-0000-00003A100000}"/>
    <cellStyle name="Comma 2 2 2 3 2 7 3" xfId="15150" xr:uid="{00000000-0005-0000-0000-00003B100000}"/>
    <cellStyle name="Comma 2 2 2 3 2 7 3 2" xfId="24163" xr:uid="{00000000-0005-0000-0000-00003C100000}"/>
    <cellStyle name="Comma 2 2 2 3 2 7 3 2 2" xfId="43592" xr:uid="{00000000-0005-0000-0000-00003D100000}"/>
    <cellStyle name="Comma 2 2 2 3 2 7 3 2 3" xfId="37169" xr:uid="{00000000-0005-0000-0000-00003E100000}"/>
    <cellStyle name="Comma 2 2 2 3 2 7 3 3" xfId="28486" xr:uid="{00000000-0005-0000-0000-00003F100000}"/>
    <cellStyle name="Comma 2 2 2 3 2 7 3 3 2" xfId="40385" xr:uid="{00000000-0005-0000-0000-000040100000}"/>
    <cellStyle name="Comma 2 2 2 3 2 7 3 4" xfId="31821" xr:uid="{00000000-0005-0000-0000-000041100000}"/>
    <cellStyle name="Comma 2 2 2 3 2 7 3 5" xfId="33961" xr:uid="{00000000-0005-0000-0000-000042100000}"/>
    <cellStyle name="Comma 2 2 2 3 2 7 4" xfId="7966" xr:uid="{00000000-0005-0000-0000-000043100000}"/>
    <cellStyle name="Comma 2 2 2 3 2 7 4 2" xfId="42618" xr:uid="{00000000-0005-0000-0000-000044100000}"/>
    <cellStyle name="Comma 2 2 2 3 2 7 4 3" xfId="36194" xr:uid="{00000000-0005-0000-0000-000045100000}"/>
    <cellStyle name="Comma 2 2 2 3 2 7 5" xfId="20957" xr:uid="{00000000-0005-0000-0000-000046100000}"/>
    <cellStyle name="Comma 2 2 2 3 2 7 5 2" xfId="39411" xr:uid="{00000000-0005-0000-0000-000047100000}"/>
    <cellStyle name="Comma 2 2 2 3 2 7 6" xfId="22030" xr:uid="{00000000-0005-0000-0000-000048100000}"/>
    <cellStyle name="Comma 2 2 2 3 2 7 7" xfId="23189" xr:uid="{00000000-0005-0000-0000-000049100000}"/>
    <cellStyle name="Comma 2 2 2 3 2 7 8" xfId="26352" xr:uid="{00000000-0005-0000-0000-00004A100000}"/>
    <cellStyle name="Comma 2 2 2 3 2 7 9" xfId="29685" xr:uid="{00000000-0005-0000-0000-00004B100000}"/>
    <cellStyle name="Comma 2 2 2 3 2 8" xfId="762" xr:uid="{00000000-0005-0000-0000-00004C100000}"/>
    <cellStyle name="Comma 2 2 2 3 2 8 10" xfId="32988" xr:uid="{00000000-0005-0000-0000-00004D100000}"/>
    <cellStyle name="Comma 2 2 2 3 2 8 2" xfId="9533" xr:uid="{00000000-0005-0000-0000-00004E100000}"/>
    <cellStyle name="Comma 2 2 2 3 2 8 2 2" xfId="25333" xr:uid="{00000000-0005-0000-0000-00004F100000}"/>
    <cellStyle name="Comma 2 2 2 3 2 8 2 2 2" xfId="44760" xr:uid="{00000000-0005-0000-0000-000050100000}"/>
    <cellStyle name="Comma 2 2 2 3 2 8 2 2 3" xfId="38337" xr:uid="{00000000-0005-0000-0000-000051100000}"/>
    <cellStyle name="Comma 2 2 2 3 2 8 2 3" xfId="27511" xr:uid="{00000000-0005-0000-0000-000052100000}"/>
    <cellStyle name="Comma 2 2 2 3 2 8 2 3 2" xfId="41553" xr:uid="{00000000-0005-0000-0000-000053100000}"/>
    <cellStyle name="Comma 2 2 2 3 2 8 2 4" xfId="30846" xr:uid="{00000000-0005-0000-0000-000054100000}"/>
    <cellStyle name="Comma 2 2 2 3 2 8 2 5" xfId="35129" xr:uid="{00000000-0005-0000-0000-000055100000}"/>
    <cellStyle name="Comma 2 2 2 3 2 8 3" xfId="15151" xr:uid="{00000000-0005-0000-0000-000056100000}"/>
    <cellStyle name="Comma 2 2 2 3 2 8 3 2" xfId="24164" xr:uid="{00000000-0005-0000-0000-000057100000}"/>
    <cellStyle name="Comma 2 2 2 3 2 8 3 2 2" xfId="43593" xr:uid="{00000000-0005-0000-0000-000058100000}"/>
    <cellStyle name="Comma 2 2 2 3 2 8 3 2 3" xfId="37170" xr:uid="{00000000-0005-0000-0000-000059100000}"/>
    <cellStyle name="Comma 2 2 2 3 2 8 3 3" xfId="28487" xr:uid="{00000000-0005-0000-0000-00005A100000}"/>
    <cellStyle name="Comma 2 2 2 3 2 8 3 3 2" xfId="40386" xr:uid="{00000000-0005-0000-0000-00005B100000}"/>
    <cellStyle name="Comma 2 2 2 3 2 8 3 4" xfId="31822" xr:uid="{00000000-0005-0000-0000-00005C100000}"/>
    <cellStyle name="Comma 2 2 2 3 2 8 3 5" xfId="33962" xr:uid="{00000000-0005-0000-0000-00005D100000}"/>
    <cellStyle name="Comma 2 2 2 3 2 8 4" xfId="7967" xr:uid="{00000000-0005-0000-0000-00005E100000}"/>
    <cellStyle name="Comma 2 2 2 3 2 8 4 2" xfId="42619" xr:uid="{00000000-0005-0000-0000-00005F100000}"/>
    <cellStyle name="Comma 2 2 2 3 2 8 4 3" xfId="36195" xr:uid="{00000000-0005-0000-0000-000060100000}"/>
    <cellStyle name="Comma 2 2 2 3 2 8 5" xfId="20958" xr:uid="{00000000-0005-0000-0000-000061100000}"/>
    <cellStyle name="Comma 2 2 2 3 2 8 5 2" xfId="39412" xr:uid="{00000000-0005-0000-0000-000062100000}"/>
    <cellStyle name="Comma 2 2 2 3 2 8 6" xfId="22031" xr:uid="{00000000-0005-0000-0000-000063100000}"/>
    <cellStyle name="Comma 2 2 2 3 2 8 7" xfId="23190" xr:uid="{00000000-0005-0000-0000-000064100000}"/>
    <cellStyle name="Comma 2 2 2 3 2 8 8" xfId="26353" xr:uid="{00000000-0005-0000-0000-000065100000}"/>
    <cellStyle name="Comma 2 2 2 3 2 8 9" xfId="29686" xr:uid="{00000000-0005-0000-0000-000066100000}"/>
    <cellStyle name="Comma 2 2 2 3 2 9" xfId="9112" xr:uid="{00000000-0005-0000-0000-000067100000}"/>
    <cellStyle name="Comma 2 2 2 3 2 9 2" xfId="25166" xr:uid="{00000000-0005-0000-0000-000068100000}"/>
    <cellStyle name="Comma 2 2 2 3 2 9 2 2" xfId="44593" xr:uid="{00000000-0005-0000-0000-000069100000}"/>
    <cellStyle name="Comma 2 2 2 3 2 9 2 3" xfId="38170" xr:uid="{00000000-0005-0000-0000-00006A100000}"/>
    <cellStyle name="Comma 2 2 2 3 2 9 3" xfId="27345" xr:uid="{00000000-0005-0000-0000-00006B100000}"/>
    <cellStyle name="Comma 2 2 2 3 2 9 3 2" xfId="41386" xr:uid="{00000000-0005-0000-0000-00006C100000}"/>
    <cellStyle name="Comma 2 2 2 3 2 9 4" xfId="30680" xr:uid="{00000000-0005-0000-0000-00006D100000}"/>
    <cellStyle name="Comma 2 2 2 3 2 9 5" xfId="34962" xr:uid="{00000000-0005-0000-0000-00006E100000}"/>
    <cellStyle name="Comma 2 2 2 3 3" xfId="228" xr:uid="{00000000-0005-0000-0000-00006F100000}"/>
    <cellStyle name="Comma 2 2 2 3 3 10" xfId="20959" xr:uid="{00000000-0005-0000-0000-000070100000}"/>
    <cellStyle name="Comma 2 2 2 3 3 10 2" xfId="39232" xr:uid="{00000000-0005-0000-0000-000071100000}"/>
    <cellStyle name="Comma 2 2 2 3 3 11" xfId="22032" xr:uid="{00000000-0005-0000-0000-000072100000}"/>
    <cellStyle name="Comma 2 2 2 3 3 12" xfId="23010" xr:uid="{00000000-0005-0000-0000-000073100000}"/>
    <cellStyle name="Comma 2 2 2 3 3 13" xfId="26354" xr:uid="{00000000-0005-0000-0000-000074100000}"/>
    <cellStyle name="Comma 2 2 2 3 3 14" xfId="29687" xr:uid="{00000000-0005-0000-0000-000075100000}"/>
    <cellStyle name="Comma 2 2 2 3 3 15" xfId="32808" xr:uid="{00000000-0005-0000-0000-000076100000}"/>
    <cellStyle name="Comma 2 2 2 3 3 2" xfId="763" xr:uid="{00000000-0005-0000-0000-000077100000}"/>
    <cellStyle name="Comma 2 2 2 3 3 2 10" xfId="32989" xr:uid="{00000000-0005-0000-0000-000078100000}"/>
    <cellStyle name="Comma 2 2 2 3 3 2 2" xfId="9534" xr:uid="{00000000-0005-0000-0000-000079100000}"/>
    <cellStyle name="Comma 2 2 2 3 3 2 2 2" xfId="25334" xr:uid="{00000000-0005-0000-0000-00007A100000}"/>
    <cellStyle name="Comma 2 2 2 3 3 2 2 2 2" xfId="44761" xr:uid="{00000000-0005-0000-0000-00007B100000}"/>
    <cellStyle name="Comma 2 2 2 3 3 2 2 2 3" xfId="38338" xr:uid="{00000000-0005-0000-0000-00007C100000}"/>
    <cellStyle name="Comma 2 2 2 3 3 2 2 3" xfId="27512" xr:uid="{00000000-0005-0000-0000-00007D100000}"/>
    <cellStyle name="Comma 2 2 2 3 3 2 2 3 2" xfId="41554" xr:uid="{00000000-0005-0000-0000-00007E100000}"/>
    <cellStyle name="Comma 2 2 2 3 3 2 2 4" xfId="30847" xr:uid="{00000000-0005-0000-0000-00007F100000}"/>
    <cellStyle name="Comma 2 2 2 3 3 2 2 5" xfId="35130" xr:uid="{00000000-0005-0000-0000-000080100000}"/>
    <cellStyle name="Comma 2 2 2 3 3 2 3" xfId="15153" xr:uid="{00000000-0005-0000-0000-000081100000}"/>
    <cellStyle name="Comma 2 2 2 3 3 2 3 2" xfId="24166" xr:uid="{00000000-0005-0000-0000-000082100000}"/>
    <cellStyle name="Comma 2 2 2 3 3 2 3 2 2" xfId="43595" xr:uid="{00000000-0005-0000-0000-000083100000}"/>
    <cellStyle name="Comma 2 2 2 3 3 2 3 2 3" xfId="37172" xr:uid="{00000000-0005-0000-0000-000084100000}"/>
    <cellStyle name="Comma 2 2 2 3 3 2 3 3" xfId="28489" xr:uid="{00000000-0005-0000-0000-000085100000}"/>
    <cellStyle name="Comma 2 2 2 3 3 2 3 3 2" xfId="40388" xr:uid="{00000000-0005-0000-0000-000086100000}"/>
    <cellStyle name="Comma 2 2 2 3 3 2 3 4" xfId="31824" xr:uid="{00000000-0005-0000-0000-000087100000}"/>
    <cellStyle name="Comma 2 2 2 3 3 2 3 5" xfId="33964" xr:uid="{00000000-0005-0000-0000-000088100000}"/>
    <cellStyle name="Comma 2 2 2 3 3 2 4" xfId="7969" xr:uid="{00000000-0005-0000-0000-000089100000}"/>
    <cellStyle name="Comma 2 2 2 3 3 2 4 2" xfId="42620" xr:uid="{00000000-0005-0000-0000-00008A100000}"/>
    <cellStyle name="Comma 2 2 2 3 3 2 4 3" xfId="36196" xr:uid="{00000000-0005-0000-0000-00008B100000}"/>
    <cellStyle name="Comma 2 2 2 3 3 2 5" xfId="20960" xr:uid="{00000000-0005-0000-0000-00008C100000}"/>
    <cellStyle name="Comma 2 2 2 3 3 2 5 2" xfId="39413" xr:uid="{00000000-0005-0000-0000-00008D100000}"/>
    <cellStyle name="Comma 2 2 2 3 3 2 6" xfId="22033" xr:uid="{00000000-0005-0000-0000-00008E100000}"/>
    <cellStyle name="Comma 2 2 2 3 3 2 7" xfId="23191" xr:uid="{00000000-0005-0000-0000-00008F100000}"/>
    <cellStyle name="Comma 2 2 2 3 3 2 8" xfId="26355" xr:uid="{00000000-0005-0000-0000-000090100000}"/>
    <cellStyle name="Comma 2 2 2 3 3 2 9" xfId="29688" xr:uid="{00000000-0005-0000-0000-000091100000}"/>
    <cellStyle name="Comma 2 2 2 3 3 3" xfId="764" xr:uid="{00000000-0005-0000-0000-000092100000}"/>
    <cellStyle name="Comma 2 2 2 3 3 3 10" xfId="32990" xr:uid="{00000000-0005-0000-0000-000093100000}"/>
    <cellStyle name="Comma 2 2 2 3 3 3 2" xfId="9535" xr:uid="{00000000-0005-0000-0000-000094100000}"/>
    <cellStyle name="Comma 2 2 2 3 3 3 2 2" xfId="25335" xr:uid="{00000000-0005-0000-0000-000095100000}"/>
    <cellStyle name="Comma 2 2 2 3 3 3 2 2 2" xfId="44762" xr:uid="{00000000-0005-0000-0000-000096100000}"/>
    <cellStyle name="Comma 2 2 2 3 3 3 2 2 3" xfId="38339" xr:uid="{00000000-0005-0000-0000-000097100000}"/>
    <cellStyle name="Comma 2 2 2 3 3 3 2 3" xfId="27513" xr:uid="{00000000-0005-0000-0000-000098100000}"/>
    <cellStyle name="Comma 2 2 2 3 3 3 2 3 2" xfId="41555" xr:uid="{00000000-0005-0000-0000-000099100000}"/>
    <cellStyle name="Comma 2 2 2 3 3 3 2 4" xfId="30848" xr:uid="{00000000-0005-0000-0000-00009A100000}"/>
    <cellStyle name="Comma 2 2 2 3 3 3 2 5" xfId="35131" xr:uid="{00000000-0005-0000-0000-00009B100000}"/>
    <cellStyle name="Comma 2 2 2 3 3 3 3" xfId="15154" xr:uid="{00000000-0005-0000-0000-00009C100000}"/>
    <cellStyle name="Comma 2 2 2 3 3 3 3 2" xfId="24167" xr:uid="{00000000-0005-0000-0000-00009D100000}"/>
    <cellStyle name="Comma 2 2 2 3 3 3 3 2 2" xfId="43596" xr:uid="{00000000-0005-0000-0000-00009E100000}"/>
    <cellStyle name="Comma 2 2 2 3 3 3 3 2 3" xfId="37173" xr:uid="{00000000-0005-0000-0000-00009F100000}"/>
    <cellStyle name="Comma 2 2 2 3 3 3 3 3" xfId="28490" xr:uid="{00000000-0005-0000-0000-0000A0100000}"/>
    <cellStyle name="Comma 2 2 2 3 3 3 3 3 2" xfId="40389" xr:uid="{00000000-0005-0000-0000-0000A1100000}"/>
    <cellStyle name="Comma 2 2 2 3 3 3 3 4" xfId="31825" xr:uid="{00000000-0005-0000-0000-0000A2100000}"/>
    <cellStyle name="Comma 2 2 2 3 3 3 3 5" xfId="33965" xr:uid="{00000000-0005-0000-0000-0000A3100000}"/>
    <cellStyle name="Comma 2 2 2 3 3 3 4" xfId="7970" xr:uid="{00000000-0005-0000-0000-0000A4100000}"/>
    <cellStyle name="Comma 2 2 2 3 3 3 4 2" xfId="42621" xr:uid="{00000000-0005-0000-0000-0000A5100000}"/>
    <cellStyle name="Comma 2 2 2 3 3 3 4 3" xfId="36197" xr:uid="{00000000-0005-0000-0000-0000A6100000}"/>
    <cellStyle name="Comma 2 2 2 3 3 3 5" xfId="20961" xr:uid="{00000000-0005-0000-0000-0000A7100000}"/>
    <cellStyle name="Comma 2 2 2 3 3 3 5 2" xfId="39414" xr:uid="{00000000-0005-0000-0000-0000A8100000}"/>
    <cellStyle name="Comma 2 2 2 3 3 3 6" xfId="22034" xr:uid="{00000000-0005-0000-0000-0000A9100000}"/>
    <cellStyle name="Comma 2 2 2 3 3 3 7" xfId="23192" xr:uid="{00000000-0005-0000-0000-0000AA100000}"/>
    <cellStyle name="Comma 2 2 2 3 3 3 8" xfId="26356" xr:uid="{00000000-0005-0000-0000-0000AB100000}"/>
    <cellStyle name="Comma 2 2 2 3 3 3 9" xfId="29689" xr:uid="{00000000-0005-0000-0000-0000AC100000}"/>
    <cellStyle name="Comma 2 2 2 3 3 4" xfId="765" xr:uid="{00000000-0005-0000-0000-0000AD100000}"/>
    <cellStyle name="Comma 2 2 2 3 3 4 10" xfId="32991" xr:uid="{00000000-0005-0000-0000-0000AE100000}"/>
    <cellStyle name="Comma 2 2 2 3 3 4 2" xfId="9536" xr:uid="{00000000-0005-0000-0000-0000AF100000}"/>
    <cellStyle name="Comma 2 2 2 3 3 4 2 2" xfId="25336" xr:uid="{00000000-0005-0000-0000-0000B0100000}"/>
    <cellStyle name="Comma 2 2 2 3 3 4 2 2 2" xfId="44763" xr:uid="{00000000-0005-0000-0000-0000B1100000}"/>
    <cellStyle name="Comma 2 2 2 3 3 4 2 2 3" xfId="38340" xr:uid="{00000000-0005-0000-0000-0000B2100000}"/>
    <cellStyle name="Comma 2 2 2 3 3 4 2 3" xfId="27514" xr:uid="{00000000-0005-0000-0000-0000B3100000}"/>
    <cellStyle name="Comma 2 2 2 3 3 4 2 3 2" xfId="41556" xr:uid="{00000000-0005-0000-0000-0000B4100000}"/>
    <cellStyle name="Comma 2 2 2 3 3 4 2 4" xfId="30849" xr:uid="{00000000-0005-0000-0000-0000B5100000}"/>
    <cellStyle name="Comma 2 2 2 3 3 4 2 5" xfId="35132" xr:uid="{00000000-0005-0000-0000-0000B6100000}"/>
    <cellStyle name="Comma 2 2 2 3 3 4 3" xfId="15155" xr:uid="{00000000-0005-0000-0000-0000B7100000}"/>
    <cellStyle name="Comma 2 2 2 3 3 4 3 2" xfId="24168" xr:uid="{00000000-0005-0000-0000-0000B8100000}"/>
    <cellStyle name="Comma 2 2 2 3 3 4 3 2 2" xfId="43597" xr:uid="{00000000-0005-0000-0000-0000B9100000}"/>
    <cellStyle name="Comma 2 2 2 3 3 4 3 2 3" xfId="37174" xr:uid="{00000000-0005-0000-0000-0000BA100000}"/>
    <cellStyle name="Comma 2 2 2 3 3 4 3 3" xfId="28491" xr:uid="{00000000-0005-0000-0000-0000BB100000}"/>
    <cellStyle name="Comma 2 2 2 3 3 4 3 3 2" xfId="40390" xr:uid="{00000000-0005-0000-0000-0000BC100000}"/>
    <cellStyle name="Comma 2 2 2 3 3 4 3 4" xfId="31826" xr:uid="{00000000-0005-0000-0000-0000BD100000}"/>
    <cellStyle name="Comma 2 2 2 3 3 4 3 5" xfId="33966" xr:uid="{00000000-0005-0000-0000-0000BE100000}"/>
    <cellStyle name="Comma 2 2 2 3 3 4 4" xfId="7971" xr:uid="{00000000-0005-0000-0000-0000BF100000}"/>
    <cellStyle name="Comma 2 2 2 3 3 4 4 2" xfId="42622" xr:uid="{00000000-0005-0000-0000-0000C0100000}"/>
    <cellStyle name="Comma 2 2 2 3 3 4 4 3" xfId="36198" xr:uid="{00000000-0005-0000-0000-0000C1100000}"/>
    <cellStyle name="Comma 2 2 2 3 3 4 5" xfId="20962" xr:uid="{00000000-0005-0000-0000-0000C2100000}"/>
    <cellStyle name="Comma 2 2 2 3 3 4 5 2" xfId="39415" xr:uid="{00000000-0005-0000-0000-0000C3100000}"/>
    <cellStyle name="Comma 2 2 2 3 3 4 6" xfId="22035" xr:uid="{00000000-0005-0000-0000-0000C4100000}"/>
    <cellStyle name="Comma 2 2 2 3 3 4 7" xfId="23193" xr:uid="{00000000-0005-0000-0000-0000C5100000}"/>
    <cellStyle name="Comma 2 2 2 3 3 4 8" xfId="26357" xr:uid="{00000000-0005-0000-0000-0000C6100000}"/>
    <cellStyle name="Comma 2 2 2 3 3 4 9" xfId="29690" xr:uid="{00000000-0005-0000-0000-0000C7100000}"/>
    <cellStyle name="Comma 2 2 2 3 3 5" xfId="766" xr:uid="{00000000-0005-0000-0000-0000C8100000}"/>
    <cellStyle name="Comma 2 2 2 3 3 5 10" xfId="32992" xr:uid="{00000000-0005-0000-0000-0000C9100000}"/>
    <cellStyle name="Comma 2 2 2 3 3 5 2" xfId="9537" xr:uid="{00000000-0005-0000-0000-0000CA100000}"/>
    <cellStyle name="Comma 2 2 2 3 3 5 2 2" xfId="25337" xr:uid="{00000000-0005-0000-0000-0000CB100000}"/>
    <cellStyle name="Comma 2 2 2 3 3 5 2 2 2" xfId="44764" xr:uid="{00000000-0005-0000-0000-0000CC100000}"/>
    <cellStyle name="Comma 2 2 2 3 3 5 2 2 3" xfId="38341" xr:uid="{00000000-0005-0000-0000-0000CD100000}"/>
    <cellStyle name="Comma 2 2 2 3 3 5 2 3" xfId="27515" xr:uid="{00000000-0005-0000-0000-0000CE100000}"/>
    <cellStyle name="Comma 2 2 2 3 3 5 2 3 2" xfId="41557" xr:uid="{00000000-0005-0000-0000-0000CF100000}"/>
    <cellStyle name="Comma 2 2 2 3 3 5 2 4" xfId="30850" xr:uid="{00000000-0005-0000-0000-0000D0100000}"/>
    <cellStyle name="Comma 2 2 2 3 3 5 2 5" xfId="35133" xr:uid="{00000000-0005-0000-0000-0000D1100000}"/>
    <cellStyle name="Comma 2 2 2 3 3 5 3" xfId="15156" xr:uid="{00000000-0005-0000-0000-0000D2100000}"/>
    <cellStyle name="Comma 2 2 2 3 3 5 3 2" xfId="24169" xr:uid="{00000000-0005-0000-0000-0000D3100000}"/>
    <cellStyle name="Comma 2 2 2 3 3 5 3 2 2" xfId="43598" xr:uid="{00000000-0005-0000-0000-0000D4100000}"/>
    <cellStyle name="Comma 2 2 2 3 3 5 3 2 3" xfId="37175" xr:uid="{00000000-0005-0000-0000-0000D5100000}"/>
    <cellStyle name="Comma 2 2 2 3 3 5 3 3" xfId="28492" xr:uid="{00000000-0005-0000-0000-0000D6100000}"/>
    <cellStyle name="Comma 2 2 2 3 3 5 3 3 2" xfId="40391" xr:uid="{00000000-0005-0000-0000-0000D7100000}"/>
    <cellStyle name="Comma 2 2 2 3 3 5 3 4" xfId="31827" xr:uid="{00000000-0005-0000-0000-0000D8100000}"/>
    <cellStyle name="Comma 2 2 2 3 3 5 3 5" xfId="33967" xr:uid="{00000000-0005-0000-0000-0000D9100000}"/>
    <cellStyle name="Comma 2 2 2 3 3 5 4" xfId="7972" xr:uid="{00000000-0005-0000-0000-0000DA100000}"/>
    <cellStyle name="Comma 2 2 2 3 3 5 4 2" xfId="42623" xr:uid="{00000000-0005-0000-0000-0000DB100000}"/>
    <cellStyle name="Comma 2 2 2 3 3 5 4 3" xfId="36199" xr:uid="{00000000-0005-0000-0000-0000DC100000}"/>
    <cellStyle name="Comma 2 2 2 3 3 5 5" xfId="20963" xr:uid="{00000000-0005-0000-0000-0000DD100000}"/>
    <cellStyle name="Comma 2 2 2 3 3 5 5 2" xfId="39416" xr:uid="{00000000-0005-0000-0000-0000DE100000}"/>
    <cellStyle name="Comma 2 2 2 3 3 5 6" xfId="22036" xr:uid="{00000000-0005-0000-0000-0000DF100000}"/>
    <cellStyle name="Comma 2 2 2 3 3 5 7" xfId="23194" xr:uid="{00000000-0005-0000-0000-0000E0100000}"/>
    <cellStyle name="Comma 2 2 2 3 3 5 8" xfId="26358" xr:uid="{00000000-0005-0000-0000-0000E1100000}"/>
    <cellStyle name="Comma 2 2 2 3 3 5 9" xfId="29691" xr:uid="{00000000-0005-0000-0000-0000E2100000}"/>
    <cellStyle name="Comma 2 2 2 3 3 6" xfId="767" xr:uid="{00000000-0005-0000-0000-0000E3100000}"/>
    <cellStyle name="Comma 2 2 2 3 3 6 10" xfId="32993" xr:uid="{00000000-0005-0000-0000-0000E4100000}"/>
    <cellStyle name="Comma 2 2 2 3 3 6 2" xfId="9538" xr:uid="{00000000-0005-0000-0000-0000E5100000}"/>
    <cellStyle name="Comma 2 2 2 3 3 6 2 2" xfId="25338" xr:uid="{00000000-0005-0000-0000-0000E6100000}"/>
    <cellStyle name="Comma 2 2 2 3 3 6 2 2 2" xfId="44765" xr:uid="{00000000-0005-0000-0000-0000E7100000}"/>
    <cellStyle name="Comma 2 2 2 3 3 6 2 2 3" xfId="38342" xr:uid="{00000000-0005-0000-0000-0000E8100000}"/>
    <cellStyle name="Comma 2 2 2 3 3 6 2 3" xfId="27516" xr:uid="{00000000-0005-0000-0000-0000E9100000}"/>
    <cellStyle name="Comma 2 2 2 3 3 6 2 3 2" xfId="41558" xr:uid="{00000000-0005-0000-0000-0000EA100000}"/>
    <cellStyle name="Comma 2 2 2 3 3 6 2 4" xfId="30851" xr:uid="{00000000-0005-0000-0000-0000EB100000}"/>
    <cellStyle name="Comma 2 2 2 3 3 6 2 5" xfId="35134" xr:uid="{00000000-0005-0000-0000-0000EC100000}"/>
    <cellStyle name="Comma 2 2 2 3 3 6 3" xfId="15157" xr:uid="{00000000-0005-0000-0000-0000ED100000}"/>
    <cellStyle name="Comma 2 2 2 3 3 6 3 2" xfId="24170" xr:uid="{00000000-0005-0000-0000-0000EE100000}"/>
    <cellStyle name="Comma 2 2 2 3 3 6 3 2 2" xfId="43599" xr:uid="{00000000-0005-0000-0000-0000EF100000}"/>
    <cellStyle name="Comma 2 2 2 3 3 6 3 2 3" xfId="37176" xr:uid="{00000000-0005-0000-0000-0000F0100000}"/>
    <cellStyle name="Comma 2 2 2 3 3 6 3 3" xfId="28493" xr:uid="{00000000-0005-0000-0000-0000F1100000}"/>
    <cellStyle name="Comma 2 2 2 3 3 6 3 3 2" xfId="40392" xr:uid="{00000000-0005-0000-0000-0000F2100000}"/>
    <cellStyle name="Comma 2 2 2 3 3 6 3 4" xfId="31828" xr:uid="{00000000-0005-0000-0000-0000F3100000}"/>
    <cellStyle name="Comma 2 2 2 3 3 6 3 5" xfId="33968" xr:uid="{00000000-0005-0000-0000-0000F4100000}"/>
    <cellStyle name="Comma 2 2 2 3 3 6 4" xfId="7973" xr:uid="{00000000-0005-0000-0000-0000F5100000}"/>
    <cellStyle name="Comma 2 2 2 3 3 6 4 2" xfId="42624" xr:uid="{00000000-0005-0000-0000-0000F6100000}"/>
    <cellStyle name="Comma 2 2 2 3 3 6 4 3" xfId="36200" xr:uid="{00000000-0005-0000-0000-0000F7100000}"/>
    <cellStyle name="Comma 2 2 2 3 3 6 5" xfId="20964" xr:uid="{00000000-0005-0000-0000-0000F8100000}"/>
    <cellStyle name="Comma 2 2 2 3 3 6 5 2" xfId="39417" xr:uid="{00000000-0005-0000-0000-0000F9100000}"/>
    <cellStyle name="Comma 2 2 2 3 3 6 6" xfId="22037" xr:uid="{00000000-0005-0000-0000-0000FA100000}"/>
    <cellStyle name="Comma 2 2 2 3 3 6 7" xfId="23195" xr:uid="{00000000-0005-0000-0000-0000FB100000}"/>
    <cellStyle name="Comma 2 2 2 3 3 6 8" xfId="26359" xr:uid="{00000000-0005-0000-0000-0000FC100000}"/>
    <cellStyle name="Comma 2 2 2 3 3 6 9" xfId="29692" xr:uid="{00000000-0005-0000-0000-0000FD100000}"/>
    <cellStyle name="Comma 2 2 2 3 3 7" xfId="9094" xr:uid="{00000000-0005-0000-0000-0000FE100000}"/>
    <cellStyle name="Comma 2 2 2 3 3 7 2" xfId="25149" xr:uid="{00000000-0005-0000-0000-0000FF100000}"/>
    <cellStyle name="Comma 2 2 2 3 3 7 2 2" xfId="44576" xr:uid="{00000000-0005-0000-0000-000000110000}"/>
    <cellStyle name="Comma 2 2 2 3 3 7 2 3" xfId="38153" xr:uid="{00000000-0005-0000-0000-000001110000}"/>
    <cellStyle name="Comma 2 2 2 3 3 7 3" xfId="27328" xr:uid="{00000000-0005-0000-0000-000002110000}"/>
    <cellStyle name="Comma 2 2 2 3 3 7 3 2" xfId="41369" xr:uid="{00000000-0005-0000-0000-000003110000}"/>
    <cellStyle name="Comma 2 2 2 3 3 7 4" xfId="30663" xr:uid="{00000000-0005-0000-0000-000004110000}"/>
    <cellStyle name="Comma 2 2 2 3 3 7 5" xfId="34945" xr:uid="{00000000-0005-0000-0000-000005110000}"/>
    <cellStyle name="Comma 2 2 2 3 3 8" xfId="15152" xr:uid="{00000000-0005-0000-0000-000006110000}"/>
    <cellStyle name="Comma 2 2 2 3 3 8 2" xfId="24165" xr:uid="{00000000-0005-0000-0000-000007110000}"/>
    <cellStyle name="Comma 2 2 2 3 3 8 2 2" xfId="43594" xr:uid="{00000000-0005-0000-0000-000008110000}"/>
    <cellStyle name="Comma 2 2 2 3 3 8 2 3" xfId="37171" xr:uid="{00000000-0005-0000-0000-000009110000}"/>
    <cellStyle name="Comma 2 2 2 3 3 8 3" xfId="28488" xr:uid="{00000000-0005-0000-0000-00000A110000}"/>
    <cellStyle name="Comma 2 2 2 3 3 8 3 2" xfId="40387" xr:uid="{00000000-0005-0000-0000-00000B110000}"/>
    <cellStyle name="Comma 2 2 2 3 3 8 4" xfId="31823" xr:uid="{00000000-0005-0000-0000-00000C110000}"/>
    <cellStyle name="Comma 2 2 2 3 3 8 5" xfId="33963" xr:uid="{00000000-0005-0000-0000-00000D110000}"/>
    <cellStyle name="Comma 2 2 2 3 3 9" xfId="7968" xr:uid="{00000000-0005-0000-0000-00000E110000}"/>
    <cellStyle name="Comma 2 2 2 3 3 9 2" xfId="42439" xr:uid="{00000000-0005-0000-0000-00000F110000}"/>
    <cellStyle name="Comma 2 2 2 3 3 9 3" xfId="36015" xr:uid="{00000000-0005-0000-0000-000010110000}"/>
    <cellStyle name="Comma 2 2 2 3 4" xfId="768" xr:uid="{00000000-0005-0000-0000-000011110000}"/>
    <cellStyle name="Comma 2 2 2 3 4 10" xfId="22038" xr:uid="{00000000-0005-0000-0000-000012110000}"/>
    <cellStyle name="Comma 2 2 2 3 4 11" xfId="23196" xr:uid="{00000000-0005-0000-0000-000013110000}"/>
    <cellStyle name="Comma 2 2 2 3 4 12" xfId="26360" xr:uid="{00000000-0005-0000-0000-000014110000}"/>
    <cellStyle name="Comma 2 2 2 3 4 13" xfId="29693" xr:uid="{00000000-0005-0000-0000-000015110000}"/>
    <cellStyle name="Comma 2 2 2 3 4 14" xfId="32994" xr:uid="{00000000-0005-0000-0000-000016110000}"/>
    <cellStyle name="Comma 2 2 2 3 4 2" xfId="769" xr:uid="{00000000-0005-0000-0000-000017110000}"/>
    <cellStyle name="Comma 2 2 2 3 4 2 10" xfId="32995" xr:uid="{00000000-0005-0000-0000-000018110000}"/>
    <cellStyle name="Comma 2 2 2 3 4 2 2" xfId="9540" xr:uid="{00000000-0005-0000-0000-000019110000}"/>
    <cellStyle name="Comma 2 2 2 3 4 2 2 2" xfId="25340" xr:uid="{00000000-0005-0000-0000-00001A110000}"/>
    <cellStyle name="Comma 2 2 2 3 4 2 2 2 2" xfId="44767" xr:uid="{00000000-0005-0000-0000-00001B110000}"/>
    <cellStyle name="Comma 2 2 2 3 4 2 2 2 3" xfId="38344" xr:uid="{00000000-0005-0000-0000-00001C110000}"/>
    <cellStyle name="Comma 2 2 2 3 4 2 2 3" xfId="27518" xr:uid="{00000000-0005-0000-0000-00001D110000}"/>
    <cellStyle name="Comma 2 2 2 3 4 2 2 3 2" xfId="41560" xr:uid="{00000000-0005-0000-0000-00001E110000}"/>
    <cellStyle name="Comma 2 2 2 3 4 2 2 4" xfId="30853" xr:uid="{00000000-0005-0000-0000-00001F110000}"/>
    <cellStyle name="Comma 2 2 2 3 4 2 2 5" xfId="35136" xr:uid="{00000000-0005-0000-0000-000020110000}"/>
    <cellStyle name="Comma 2 2 2 3 4 2 3" xfId="15159" xr:uid="{00000000-0005-0000-0000-000021110000}"/>
    <cellStyle name="Comma 2 2 2 3 4 2 3 2" xfId="24172" xr:uid="{00000000-0005-0000-0000-000022110000}"/>
    <cellStyle name="Comma 2 2 2 3 4 2 3 2 2" xfId="43601" xr:uid="{00000000-0005-0000-0000-000023110000}"/>
    <cellStyle name="Comma 2 2 2 3 4 2 3 2 3" xfId="37178" xr:uid="{00000000-0005-0000-0000-000024110000}"/>
    <cellStyle name="Comma 2 2 2 3 4 2 3 3" xfId="28495" xr:uid="{00000000-0005-0000-0000-000025110000}"/>
    <cellStyle name="Comma 2 2 2 3 4 2 3 3 2" xfId="40394" xr:uid="{00000000-0005-0000-0000-000026110000}"/>
    <cellStyle name="Comma 2 2 2 3 4 2 3 4" xfId="31830" xr:uid="{00000000-0005-0000-0000-000027110000}"/>
    <cellStyle name="Comma 2 2 2 3 4 2 3 5" xfId="33970" xr:uid="{00000000-0005-0000-0000-000028110000}"/>
    <cellStyle name="Comma 2 2 2 3 4 2 4" xfId="7975" xr:uid="{00000000-0005-0000-0000-000029110000}"/>
    <cellStyle name="Comma 2 2 2 3 4 2 4 2" xfId="42626" xr:uid="{00000000-0005-0000-0000-00002A110000}"/>
    <cellStyle name="Comma 2 2 2 3 4 2 4 3" xfId="36202" xr:uid="{00000000-0005-0000-0000-00002B110000}"/>
    <cellStyle name="Comma 2 2 2 3 4 2 5" xfId="20966" xr:uid="{00000000-0005-0000-0000-00002C110000}"/>
    <cellStyle name="Comma 2 2 2 3 4 2 5 2" xfId="39419" xr:uid="{00000000-0005-0000-0000-00002D110000}"/>
    <cellStyle name="Comma 2 2 2 3 4 2 6" xfId="22039" xr:uid="{00000000-0005-0000-0000-00002E110000}"/>
    <cellStyle name="Comma 2 2 2 3 4 2 7" xfId="23197" xr:uid="{00000000-0005-0000-0000-00002F110000}"/>
    <cellStyle name="Comma 2 2 2 3 4 2 8" xfId="26361" xr:uid="{00000000-0005-0000-0000-000030110000}"/>
    <cellStyle name="Comma 2 2 2 3 4 2 9" xfId="29694" xr:uid="{00000000-0005-0000-0000-000031110000}"/>
    <cellStyle name="Comma 2 2 2 3 4 3" xfId="770" xr:uid="{00000000-0005-0000-0000-000032110000}"/>
    <cellStyle name="Comma 2 2 2 3 4 3 10" xfId="32996" xr:uid="{00000000-0005-0000-0000-000033110000}"/>
    <cellStyle name="Comma 2 2 2 3 4 3 2" xfId="9541" xr:uid="{00000000-0005-0000-0000-000034110000}"/>
    <cellStyle name="Comma 2 2 2 3 4 3 2 2" xfId="25341" xr:uid="{00000000-0005-0000-0000-000035110000}"/>
    <cellStyle name="Comma 2 2 2 3 4 3 2 2 2" xfId="44768" xr:uid="{00000000-0005-0000-0000-000036110000}"/>
    <cellStyle name="Comma 2 2 2 3 4 3 2 2 3" xfId="38345" xr:uid="{00000000-0005-0000-0000-000037110000}"/>
    <cellStyle name="Comma 2 2 2 3 4 3 2 3" xfId="27519" xr:uid="{00000000-0005-0000-0000-000038110000}"/>
    <cellStyle name="Comma 2 2 2 3 4 3 2 3 2" xfId="41561" xr:uid="{00000000-0005-0000-0000-000039110000}"/>
    <cellStyle name="Comma 2 2 2 3 4 3 2 4" xfId="30854" xr:uid="{00000000-0005-0000-0000-00003A110000}"/>
    <cellStyle name="Comma 2 2 2 3 4 3 2 5" xfId="35137" xr:uid="{00000000-0005-0000-0000-00003B110000}"/>
    <cellStyle name="Comma 2 2 2 3 4 3 3" xfId="15160" xr:uid="{00000000-0005-0000-0000-00003C110000}"/>
    <cellStyle name="Comma 2 2 2 3 4 3 3 2" xfId="24173" xr:uid="{00000000-0005-0000-0000-00003D110000}"/>
    <cellStyle name="Comma 2 2 2 3 4 3 3 2 2" xfId="43602" xr:uid="{00000000-0005-0000-0000-00003E110000}"/>
    <cellStyle name="Comma 2 2 2 3 4 3 3 2 3" xfId="37179" xr:uid="{00000000-0005-0000-0000-00003F110000}"/>
    <cellStyle name="Comma 2 2 2 3 4 3 3 3" xfId="28496" xr:uid="{00000000-0005-0000-0000-000040110000}"/>
    <cellStyle name="Comma 2 2 2 3 4 3 3 3 2" xfId="40395" xr:uid="{00000000-0005-0000-0000-000041110000}"/>
    <cellStyle name="Comma 2 2 2 3 4 3 3 4" xfId="31831" xr:uid="{00000000-0005-0000-0000-000042110000}"/>
    <cellStyle name="Comma 2 2 2 3 4 3 3 5" xfId="33971" xr:uid="{00000000-0005-0000-0000-000043110000}"/>
    <cellStyle name="Comma 2 2 2 3 4 3 4" xfId="7976" xr:uid="{00000000-0005-0000-0000-000044110000}"/>
    <cellStyle name="Comma 2 2 2 3 4 3 4 2" xfId="42627" xr:uid="{00000000-0005-0000-0000-000045110000}"/>
    <cellStyle name="Comma 2 2 2 3 4 3 4 3" xfId="36203" xr:uid="{00000000-0005-0000-0000-000046110000}"/>
    <cellStyle name="Comma 2 2 2 3 4 3 5" xfId="20967" xr:uid="{00000000-0005-0000-0000-000047110000}"/>
    <cellStyle name="Comma 2 2 2 3 4 3 5 2" xfId="39420" xr:uid="{00000000-0005-0000-0000-000048110000}"/>
    <cellStyle name="Comma 2 2 2 3 4 3 6" xfId="22040" xr:uid="{00000000-0005-0000-0000-000049110000}"/>
    <cellStyle name="Comma 2 2 2 3 4 3 7" xfId="23198" xr:uid="{00000000-0005-0000-0000-00004A110000}"/>
    <cellStyle name="Comma 2 2 2 3 4 3 8" xfId="26362" xr:uid="{00000000-0005-0000-0000-00004B110000}"/>
    <cellStyle name="Comma 2 2 2 3 4 3 9" xfId="29695" xr:uid="{00000000-0005-0000-0000-00004C110000}"/>
    <cellStyle name="Comma 2 2 2 3 4 4" xfId="771" xr:uid="{00000000-0005-0000-0000-00004D110000}"/>
    <cellStyle name="Comma 2 2 2 3 4 4 10" xfId="32997" xr:uid="{00000000-0005-0000-0000-00004E110000}"/>
    <cellStyle name="Comma 2 2 2 3 4 4 2" xfId="9542" xr:uid="{00000000-0005-0000-0000-00004F110000}"/>
    <cellStyle name="Comma 2 2 2 3 4 4 2 2" xfId="25342" xr:uid="{00000000-0005-0000-0000-000050110000}"/>
    <cellStyle name="Comma 2 2 2 3 4 4 2 2 2" xfId="44769" xr:uid="{00000000-0005-0000-0000-000051110000}"/>
    <cellStyle name="Comma 2 2 2 3 4 4 2 2 3" xfId="38346" xr:uid="{00000000-0005-0000-0000-000052110000}"/>
    <cellStyle name="Comma 2 2 2 3 4 4 2 3" xfId="27520" xr:uid="{00000000-0005-0000-0000-000053110000}"/>
    <cellStyle name="Comma 2 2 2 3 4 4 2 3 2" xfId="41562" xr:uid="{00000000-0005-0000-0000-000054110000}"/>
    <cellStyle name="Comma 2 2 2 3 4 4 2 4" xfId="30855" xr:uid="{00000000-0005-0000-0000-000055110000}"/>
    <cellStyle name="Comma 2 2 2 3 4 4 2 5" xfId="35138" xr:uid="{00000000-0005-0000-0000-000056110000}"/>
    <cellStyle name="Comma 2 2 2 3 4 4 3" xfId="15161" xr:uid="{00000000-0005-0000-0000-000057110000}"/>
    <cellStyle name="Comma 2 2 2 3 4 4 3 2" xfId="24174" xr:uid="{00000000-0005-0000-0000-000058110000}"/>
    <cellStyle name="Comma 2 2 2 3 4 4 3 2 2" xfId="43603" xr:uid="{00000000-0005-0000-0000-000059110000}"/>
    <cellStyle name="Comma 2 2 2 3 4 4 3 2 3" xfId="37180" xr:uid="{00000000-0005-0000-0000-00005A110000}"/>
    <cellStyle name="Comma 2 2 2 3 4 4 3 3" xfId="28497" xr:uid="{00000000-0005-0000-0000-00005B110000}"/>
    <cellStyle name="Comma 2 2 2 3 4 4 3 3 2" xfId="40396" xr:uid="{00000000-0005-0000-0000-00005C110000}"/>
    <cellStyle name="Comma 2 2 2 3 4 4 3 4" xfId="31832" xr:uid="{00000000-0005-0000-0000-00005D110000}"/>
    <cellStyle name="Comma 2 2 2 3 4 4 3 5" xfId="33972" xr:uid="{00000000-0005-0000-0000-00005E110000}"/>
    <cellStyle name="Comma 2 2 2 3 4 4 4" xfId="7977" xr:uid="{00000000-0005-0000-0000-00005F110000}"/>
    <cellStyle name="Comma 2 2 2 3 4 4 4 2" xfId="42628" xr:uid="{00000000-0005-0000-0000-000060110000}"/>
    <cellStyle name="Comma 2 2 2 3 4 4 4 3" xfId="36204" xr:uid="{00000000-0005-0000-0000-000061110000}"/>
    <cellStyle name="Comma 2 2 2 3 4 4 5" xfId="20968" xr:uid="{00000000-0005-0000-0000-000062110000}"/>
    <cellStyle name="Comma 2 2 2 3 4 4 5 2" xfId="39421" xr:uid="{00000000-0005-0000-0000-000063110000}"/>
    <cellStyle name="Comma 2 2 2 3 4 4 6" xfId="22041" xr:uid="{00000000-0005-0000-0000-000064110000}"/>
    <cellStyle name="Comma 2 2 2 3 4 4 7" xfId="23199" xr:uid="{00000000-0005-0000-0000-000065110000}"/>
    <cellStyle name="Comma 2 2 2 3 4 4 8" xfId="26363" xr:uid="{00000000-0005-0000-0000-000066110000}"/>
    <cellStyle name="Comma 2 2 2 3 4 4 9" xfId="29696" xr:uid="{00000000-0005-0000-0000-000067110000}"/>
    <cellStyle name="Comma 2 2 2 3 4 5" xfId="772" xr:uid="{00000000-0005-0000-0000-000068110000}"/>
    <cellStyle name="Comma 2 2 2 3 4 5 10" xfId="32998" xr:uid="{00000000-0005-0000-0000-000069110000}"/>
    <cellStyle name="Comma 2 2 2 3 4 5 2" xfId="9543" xr:uid="{00000000-0005-0000-0000-00006A110000}"/>
    <cellStyle name="Comma 2 2 2 3 4 5 2 2" xfId="25343" xr:uid="{00000000-0005-0000-0000-00006B110000}"/>
    <cellStyle name="Comma 2 2 2 3 4 5 2 2 2" xfId="44770" xr:uid="{00000000-0005-0000-0000-00006C110000}"/>
    <cellStyle name="Comma 2 2 2 3 4 5 2 2 3" xfId="38347" xr:uid="{00000000-0005-0000-0000-00006D110000}"/>
    <cellStyle name="Comma 2 2 2 3 4 5 2 3" xfId="27521" xr:uid="{00000000-0005-0000-0000-00006E110000}"/>
    <cellStyle name="Comma 2 2 2 3 4 5 2 3 2" xfId="41563" xr:uid="{00000000-0005-0000-0000-00006F110000}"/>
    <cellStyle name="Comma 2 2 2 3 4 5 2 4" xfId="30856" xr:uid="{00000000-0005-0000-0000-000070110000}"/>
    <cellStyle name="Comma 2 2 2 3 4 5 2 5" xfId="35139" xr:uid="{00000000-0005-0000-0000-000071110000}"/>
    <cellStyle name="Comma 2 2 2 3 4 5 3" xfId="15162" xr:uid="{00000000-0005-0000-0000-000072110000}"/>
    <cellStyle name="Comma 2 2 2 3 4 5 3 2" xfId="24175" xr:uid="{00000000-0005-0000-0000-000073110000}"/>
    <cellStyle name="Comma 2 2 2 3 4 5 3 2 2" xfId="43604" xr:uid="{00000000-0005-0000-0000-000074110000}"/>
    <cellStyle name="Comma 2 2 2 3 4 5 3 2 3" xfId="37181" xr:uid="{00000000-0005-0000-0000-000075110000}"/>
    <cellStyle name="Comma 2 2 2 3 4 5 3 3" xfId="28498" xr:uid="{00000000-0005-0000-0000-000076110000}"/>
    <cellStyle name="Comma 2 2 2 3 4 5 3 3 2" xfId="40397" xr:uid="{00000000-0005-0000-0000-000077110000}"/>
    <cellStyle name="Comma 2 2 2 3 4 5 3 4" xfId="31833" xr:uid="{00000000-0005-0000-0000-000078110000}"/>
    <cellStyle name="Comma 2 2 2 3 4 5 3 5" xfId="33973" xr:uid="{00000000-0005-0000-0000-000079110000}"/>
    <cellStyle name="Comma 2 2 2 3 4 5 4" xfId="7978" xr:uid="{00000000-0005-0000-0000-00007A110000}"/>
    <cellStyle name="Comma 2 2 2 3 4 5 4 2" xfId="42629" xr:uid="{00000000-0005-0000-0000-00007B110000}"/>
    <cellStyle name="Comma 2 2 2 3 4 5 4 3" xfId="36205" xr:uid="{00000000-0005-0000-0000-00007C110000}"/>
    <cellStyle name="Comma 2 2 2 3 4 5 5" xfId="20969" xr:uid="{00000000-0005-0000-0000-00007D110000}"/>
    <cellStyle name="Comma 2 2 2 3 4 5 5 2" xfId="39422" xr:uid="{00000000-0005-0000-0000-00007E110000}"/>
    <cellStyle name="Comma 2 2 2 3 4 5 6" xfId="22042" xr:uid="{00000000-0005-0000-0000-00007F110000}"/>
    <cellStyle name="Comma 2 2 2 3 4 5 7" xfId="23200" xr:uid="{00000000-0005-0000-0000-000080110000}"/>
    <cellStyle name="Comma 2 2 2 3 4 5 8" xfId="26364" xr:uid="{00000000-0005-0000-0000-000081110000}"/>
    <cellStyle name="Comma 2 2 2 3 4 5 9" xfId="29697" xr:uid="{00000000-0005-0000-0000-000082110000}"/>
    <cellStyle name="Comma 2 2 2 3 4 6" xfId="9539" xr:uid="{00000000-0005-0000-0000-000083110000}"/>
    <cellStyle name="Comma 2 2 2 3 4 6 2" xfId="25339" xr:uid="{00000000-0005-0000-0000-000084110000}"/>
    <cellStyle name="Comma 2 2 2 3 4 6 2 2" xfId="44766" xr:uid="{00000000-0005-0000-0000-000085110000}"/>
    <cellStyle name="Comma 2 2 2 3 4 6 2 3" xfId="38343" xr:uid="{00000000-0005-0000-0000-000086110000}"/>
    <cellStyle name="Comma 2 2 2 3 4 6 3" xfId="27517" xr:uid="{00000000-0005-0000-0000-000087110000}"/>
    <cellStyle name="Comma 2 2 2 3 4 6 3 2" xfId="41559" xr:uid="{00000000-0005-0000-0000-000088110000}"/>
    <cellStyle name="Comma 2 2 2 3 4 6 4" xfId="30852" xr:uid="{00000000-0005-0000-0000-000089110000}"/>
    <cellStyle name="Comma 2 2 2 3 4 6 5" xfId="35135" xr:uid="{00000000-0005-0000-0000-00008A110000}"/>
    <cellStyle name="Comma 2 2 2 3 4 7" xfId="15158" xr:uid="{00000000-0005-0000-0000-00008B110000}"/>
    <cellStyle name="Comma 2 2 2 3 4 7 2" xfId="24171" xr:uid="{00000000-0005-0000-0000-00008C110000}"/>
    <cellStyle name="Comma 2 2 2 3 4 7 2 2" xfId="43600" xr:uid="{00000000-0005-0000-0000-00008D110000}"/>
    <cellStyle name="Comma 2 2 2 3 4 7 2 3" xfId="37177" xr:uid="{00000000-0005-0000-0000-00008E110000}"/>
    <cellStyle name="Comma 2 2 2 3 4 7 3" xfId="28494" xr:uid="{00000000-0005-0000-0000-00008F110000}"/>
    <cellStyle name="Comma 2 2 2 3 4 7 3 2" xfId="40393" xr:uid="{00000000-0005-0000-0000-000090110000}"/>
    <cellStyle name="Comma 2 2 2 3 4 7 4" xfId="31829" xr:uid="{00000000-0005-0000-0000-000091110000}"/>
    <cellStyle name="Comma 2 2 2 3 4 7 5" xfId="33969" xr:uid="{00000000-0005-0000-0000-000092110000}"/>
    <cellStyle name="Comma 2 2 2 3 4 8" xfId="7974" xr:uid="{00000000-0005-0000-0000-000093110000}"/>
    <cellStyle name="Comma 2 2 2 3 4 8 2" xfId="42625" xr:uid="{00000000-0005-0000-0000-000094110000}"/>
    <cellStyle name="Comma 2 2 2 3 4 8 3" xfId="36201" xr:uid="{00000000-0005-0000-0000-000095110000}"/>
    <cellStyle name="Comma 2 2 2 3 4 9" xfId="20965" xr:uid="{00000000-0005-0000-0000-000096110000}"/>
    <cellStyle name="Comma 2 2 2 3 4 9 2" xfId="39418" xr:uid="{00000000-0005-0000-0000-000097110000}"/>
    <cellStyle name="Comma 2 2 2 3 5" xfId="773" xr:uid="{00000000-0005-0000-0000-000098110000}"/>
    <cellStyle name="Comma 2 2 2 3 5 10" xfId="22043" xr:uid="{00000000-0005-0000-0000-000099110000}"/>
    <cellStyle name="Comma 2 2 2 3 5 11" xfId="23201" xr:uid="{00000000-0005-0000-0000-00009A110000}"/>
    <cellStyle name="Comma 2 2 2 3 5 12" xfId="26365" xr:uid="{00000000-0005-0000-0000-00009B110000}"/>
    <cellStyle name="Comma 2 2 2 3 5 13" xfId="29698" xr:uid="{00000000-0005-0000-0000-00009C110000}"/>
    <cellStyle name="Comma 2 2 2 3 5 14" xfId="32999" xr:uid="{00000000-0005-0000-0000-00009D110000}"/>
    <cellStyle name="Comma 2 2 2 3 5 2" xfId="774" xr:uid="{00000000-0005-0000-0000-00009E110000}"/>
    <cellStyle name="Comma 2 2 2 3 5 2 10" xfId="33000" xr:uid="{00000000-0005-0000-0000-00009F110000}"/>
    <cellStyle name="Comma 2 2 2 3 5 2 2" xfId="9545" xr:uid="{00000000-0005-0000-0000-0000A0110000}"/>
    <cellStyle name="Comma 2 2 2 3 5 2 2 2" xfId="25345" xr:uid="{00000000-0005-0000-0000-0000A1110000}"/>
    <cellStyle name="Comma 2 2 2 3 5 2 2 2 2" xfId="44772" xr:uid="{00000000-0005-0000-0000-0000A2110000}"/>
    <cellStyle name="Comma 2 2 2 3 5 2 2 2 3" xfId="38349" xr:uid="{00000000-0005-0000-0000-0000A3110000}"/>
    <cellStyle name="Comma 2 2 2 3 5 2 2 3" xfId="27523" xr:uid="{00000000-0005-0000-0000-0000A4110000}"/>
    <cellStyle name="Comma 2 2 2 3 5 2 2 3 2" xfId="41565" xr:uid="{00000000-0005-0000-0000-0000A5110000}"/>
    <cellStyle name="Comma 2 2 2 3 5 2 2 4" xfId="30858" xr:uid="{00000000-0005-0000-0000-0000A6110000}"/>
    <cellStyle name="Comma 2 2 2 3 5 2 2 5" xfId="35141" xr:uid="{00000000-0005-0000-0000-0000A7110000}"/>
    <cellStyle name="Comma 2 2 2 3 5 2 3" xfId="15164" xr:uid="{00000000-0005-0000-0000-0000A8110000}"/>
    <cellStyle name="Comma 2 2 2 3 5 2 3 2" xfId="24177" xr:uid="{00000000-0005-0000-0000-0000A9110000}"/>
    <cellStyle name="Comma 2 2 2 3 5 2 3 2 2" xfId="43606" xr:uid="{00000000-0005-0000-0000-0000AA110000}"/>
    <cellStyle name="Comma 2 2 2 3 5 2 3 2 3" xfId="37183" xr:uid="{00000000-0005-0000-0000-0000AB110000}"/>
    <cellStyle name="Comma 2 2 2 3 5 2 3 3" xfId="28500" xr:uid="{00000000-0005-0000-0000-0000AC110000}"/>
    <cellStyle name="Comma 2 2 2 3 5 2 3 3 2" xfId="40399" xr:uid="{00000000-0005-0000-0000-0000AD110000}"/>
    <cellStyle name="Comma 2 2 2 3 5 2 3 4" xfId="31835" xr:uid="{00000000-0005-0000-0000-0000AE110000}"/>
    <cellStyle name="Comma 2 2 2 3 5 2 3 5" xfId="33975" xr:uid="{00000000-0005-0000-0000-0000AF110000}"/>
    <cellStyle name="Comma 2 2 2 3 5 2 4" xfId="7980" xr:uid="{00000000-0005-0000-0000-0000B0110000}"/>
    <cellStyle name="Comma 2 2 2 3 5 2 4 2" xfId="42631" xr:uid="{00000000-0005-0000-0000-0000B1110000}"/>
    <cellStyle name="Comma 2 2 2 3 5 2 4 3" xfId="36207" xr:uid="{00000000-0005-0000-0000-0000B2110000}"/>
    <cellStyle name="Comma 2 2 2 3 5 2 5" xfId="20971" xr:uid="{00000000-0005-0000-0000-0000B3110000}"/>
    <cellStyle name="Comma 2 2 2 3 5 2 5 2" xfId="39424" xr:uid="{00000000-0005-0000-0000-0000B4110000}"/>
    <cellStyle name="Comma 2 2 2 3 5 2 6" xfId="22044" xr:uid="{00000000-0005-0000-0000-0000B5110000}"/>
    <cellStyle name="Comma 2 2 2 3 5 2 7" xfId="23202" xr:uid="{00000000-0005-0000-0000-0000B6110000}"/>
    <cellStyle name="Comma 2 2 2 3 5 2 8" xfId="26366" xr:uid="{00000000-0005-0000-0000-0000B7110000}"/>
    <cellStyle name="Comma 2 2 2 3 5 2 9" xfId="29699" xr:uid="{00000000-0005-0000-0000-0000B8110000}"/>
    <cellStyle name="Comma 2 2 2 3 5 3" xfId="775" xr:uid="{00000000-0005-0000-0000-0000B9110000}"/>
    <cellStyle name="Comma 2 2 2 3 5 3 10" xfId="33001" xr:uid="{00000000-0005-0000-0000-0000BA110000}"/>
    <cellStyle name="Comma 2 2 2 3 5 3 2" xfId="9546" xr:uid="{00000000-0005-0000-0000-0000BB110000}"/>
    <cellStyle name="Comma 2 2 2 3 5 3 2 2" xfId="25346" xr:uid="{00000000-0005-0000-0000-0000BC110000}"/>
    <cellStyle name="Comma 2 2 2 3 5 3 2 2 2" xfId="44773" xr:uid="{00000000-0005-0000-0000-0000BD110000}"/>
    <cellStyle name="Comma 2 2 2 3 5 3 2 2 3" xfId="38350" xr:uid="{00000000-0005-0000-0000-0000BE110000}"/>
    <cellStyle name="Comma 2 2 2 3 5 3 2 3" xfId="27524" xr:uid="{00000000-0005-0000-0000-0000BF110000}"/>
    <cellStyle name="Comma 2 2 2 3 5 3 2 3 2" xfId="41566" xr:uid="{00000000-0005-0000-0000-0000C0110000}"/>
    <cellStyle name="Comma 2 2 2 3 5 3 2 4" xfId="30859" xr:uid="{00000000-0005-0000-0000-0000C1110000}"/>
    <cellStyle name="Comma 2 2 2 3 5 3 2 5" xfId="35142" xr:uid="{00000000-0005-0000-0000-0000C2110000}"/>
    <cellStyle name="Comma 2 2 2 3 5 3 3" xfId="15165" xr:uid="{00000000-0005-0000-0000-0000C3110000}"/>
    <cellStyle name="Comma 2 2 2 3 5 3 3 2" xfId="24178" xr:uid="{00000000-0005-0000-0000-0000C4110000}"/>
    <cellStyle name="Comma 2 2 2 3 5 3 3 2 2" xfId="43607" xr:uid="{00000000-0005-0000-0000-0000C5110000}"/>
    <cellStyle name="Comma 2 2 2 3 5 3 3 2 3" xfId="37184" xr:uid="{00000000-0005-0000-0000-0000C6110000}"/>
    <cellStyle name="Comma 2 2 2 3 5 3 3 3" xfId="28501" xr:uid="{00000000-0005-0000-0000-0000C7110000}"/>
    <cellStyle name="Comma 2 2 2 3 5 3 3 3 2" xfId="40400" xr:uid="{00000000-0005-0000-0000-0000C8110000}"/>
    <cellStyle name="Comma 2 2 2 3 5 3 3 4" xfId="31836" xr:uid="{00000000-0005-0000-0000-0000C9110000}"/>
    <cellStyle name="Comma 2 2 2 3 5 3 3 5" xfId="33976" xr:uid="{00000000-0005-0000-0000-0000CA110000}"/>
    <cellStyle name="Comma 2 2 2 3 5 3 4" xfId="7981" xr:uid="{00000000-0005-0000-0000-0000CB110000}"/>
    <cellStyle name="Comma 2 2 2 3 5 3 4 2" xfId="42632" xr:uid="{00000000-0005-0000-0000-0000CC110000}"/>
    <cellStyle name="Comma 2 2 2 3 5 3 4 3" xfId="36208" xr:uid="{00000000-0005-0000-0000-0000CD110000}"/>
    <cellStyle name="Comma 2 2 2 3 5 3 5" xfId="20972" xr:uid="{00000000-0005-0000-0000-0000CE110000}"/>
    <cellStyle name="Comma 2 2 2 3 5 3 5 2" xfId="39425" xr:uid="{00000000-0005-0000-0000-0000CF110000}"/>
    <cellStyle name="Comma 2 2 2 3 5 3 6" xfId="22045" xr:uid="{00000000-0005-0000-0000-0000D0110000}"/>
    <cellStyle name="Comma 2 2 2 3 5 3 7" xfId="23203" xr:uid="{00000000-0005-0000-0000-0000D1110000}"/>
    <cellStyle name="Comma 2 2 2 3 5 3 8" xfId="26367" xr:uid="{00000000-0005-0000-0000-0000D2110000}"/>
    <cellStyle name="Comma 2 2 2 3 5 3 9" xfId="29700" xr:uid="{00000000-0005-0000-0000-0000D3110000}"/>
    <cellStyle name="Comma 2 2 2 3 5 4" xfId="776" xr:uid="{00000000-0005-0000-0000-0000D4110000}"/>
    <cellStyle name="Comma 2 2 2 3 5 4 10" xfId="33002" xr:uid="{00000000-0005-0000-0000-0000D5110000}"/>
    <cellStyle name="Comma 2 2 2 3 5 4 2" xfId="9547" xr:uid="{00000000-0005-0000-0000-0000D6110000}"/>
    <cellStyle name="Comma 2 2 2 3 5 4 2 2" xfId="25347" xr:uid="{00000000-0005-0000-0000-0000D7110000}"/>
    <cellStyle name="Comma 2 2 2 3 5 4 2 2 2" xfId="44774" xr:uid="{00000000-0005-0000-0000-0000D8110000}"/>
    <cellStyle name="Comma 2 2 2 3 5 4 2 2 3" xfId="38351" xr:uid="{00000000-0005-0000-0000-0000D9110000}"/>
    <cellStyle name="Comma 2 2 2 3 5 4 2 3" xfId="27525" xr:uid="{00000000-0005-0000-0000-0000DA110000}"/>
    <cellStyle name="Comma 2 2 2 3 5 4 2 3 2" xfId="41567" xr:uid="{00000000-0005-0000-0000-0000DB110000}"/>
    <cellStyle name="Comma 2 2 2 3 5 4 2 4" xfId="30860" xr:uid="{00000000-0005-0000-0000-0000DC110000}"/>
    <cellStyle name="Comma 2 2 2 3 5 4 2 5" xfId="35143" xr:uid="{00000000-0005-0000-0000-0000DD110000}"/>
    <cellStyle name="Comma 2 2 2 3 5 4 3" xfId="15166" xr:uid="{00000000-0005-0000-0000-0000DE110000}"/>
    <cellStyle name="Comma 2 2 2 3 5 4 3 2" xfId="24179" xr:uid="{00000000-0005-0000-0000-0000DF110000}"/>
    <cellStyle name="Comma 2 2 2 3 5 4 3 2 2" xfId="43608" xr:uid="{00000000-0005-0000-0000-0000E0110000}"/>
    <cellStyle name="Comma 2 2 2 3 5 4 3 2 3" xfId="37185" xr:uid="{00000000-0005-0000-0000-0000E1110000}"/>
    <cellStyle name="Comma 2 2 2 3 5 4 3 3" xfId="28502" xr:uid="{00000000-0005-0000-0000-0000E2110000}"/>
    <cellStyle name="Comma 2 2 2 3 5 4 3 3 2" xfId="40401" xr:uid="{00000000-0005-0000-0000-0000E3110000}"/>
    <cellStyle name="Comma 2 2 2 3 5 4 3 4" xfId="31837" xr:uid="{00000000-0005-0000-0000-0000E4110000}"/>
    <cellStyle name="Comma 2 2 2 3 5 4 3 5" xfId="33977" xr:uid="{00000000-0005-0000-0000-0000E5110000}"/>
    <cellStyle name="Comma 2 2 2 3 5 4 4" xfId="7982" xr:uid="{00000000-0005-0000-0000-0000E6110000}"/>
    <cellStyle name="Comma 2 2 2 3 5 4 4 2" xfId="42633" xr:uid="{00000000-0005-0000-0000-0000E7110000}"/>
    <cellStyle name="Comma 2 2 2 3 5 4 4 3" xfId="36209" xr:uid="{00000000-0005-0000-0000-0000E8110000}"/>
    <cellStyle name="Comma 2 2 2 3 5 4 5" xfId="20973" xr:uid="{00000000-0005-0000-0000-0000E9110000}"/>
    <cellStyle name="Comma 2 2 2 3 5 4 5 2" xfId="39426" xr:uid="{00000000-0005-0000-0000-0000EA110000}"/>
    <cellStyle name="Comma 2 2 2 3 5 4 6" xfId="22046" xr:uid="{00000000-0005-0000-0000-0000EB110000}"/>
    <cellStyle name="Comma 2 2 2 3 5 4 7" xfId="23204" xr:uid="{00000000-0005-0000-0000-0000EC110000}"/>
    <cellStyle name="Comma 2 2 2 3 5 4 8" xfId="26368" xr:uid="{00000000-0005-0000-0000-0000ED110000}"/>
    <cellStyle name="Comma 2 2 2 3 5 4 9" xfId="29701" xr:uid="{00000000-0005-0000-0000-0000EE110000}"/>
    <cellStyle name="Comma 2 2 2 3 5 5" xfId="777" xr:uid="{00000000-0005-0000-0000-0000EF110000}"/>
    <cellStyle name="Comma 2 2 2 3 5 5 10" xfId="33003" xr:uid="{00000000-0005-0000-0000-0000F0110000}"/>
    <cellStyle name="Comma 2 2 2 3 5 5 2" xfId="9548" xr:uid="{00000000-0005-0000-0000-0000F1110000}"/>
    <cellStyle name="Comma 2 2 2 3 5 5 2 2" xfId="25348" xr:uid="{00000000-0005-0000-0000-0000F2110000}"/>
    <cellStyle name="Comma 2 2 2 3 5 5 2 2 2" xfId="44775" xr:uid="{00000000-0005-0000-0000-0000F3110000}"/>
    <cellStyle name="Comma 2 2 2 3 5 5 2 2 3" xfId="38352" xr:uid="{00000000-0005-0000-0000-0000F4110000}"/>
    <cellStyle name="Comma 2 2 2 3 5 5 2 3" xfId="27526" xr:uid="{00000000-0005-0000-0000-0000F5110000}"/>
    <cellStyle name="Comma 2 2 2 3 5 5 2 3 2" xfId="41568" xr:uid="{00000000-0005-0000-0000-0000F6110000}"/>
    <cellStyle name="Comma 2 2 2 3 5 5 2 4" xfId="30861" xr:uid="{00000000-0005-0000-0000-0000F7110000}"/>
    <cellStyle name="Comma 2 2 2 3 5 5 2 5" xfId="35144" xr:uid="{00000000-0005-0000-0000-0000F8110000}"/>
    <cellStyle name="Comma 2 2 2 3 5 5 3" xfId="15167" xr:uid="{00000000-0005-0000-0000-0000F9110000}"/>
    <cellStyle name="Comma 2 2 2 3 5 5 3 2" xfId="24180" xr:uid="{00000000-0005-0000-0000-0000FA110000}"/>
    <cellStyle name="Comma 2 2 2 3 5 5 3 2 2" xfId="43609" xr:uid="{00000000-0005-0000-0000-0000FB110000}"/>
    <cellStyle name="Comma 2 2 2 3 5 5 3 2 3" xfId="37186" xr:uid="{00000000-0005-0000-0000-0000FC110000}"/>
    <cellStyle name="Comma 2 2 2 3 5 5 3 3" xfId="28503" xr:uid="{00000000-0005-0000-0000-0000FD110000}"/>
    <cellStyle name="Comma 2 2 2 3 5 5 3 3 2" xfId="40402" xr:uid="{00000000-0005-0000-0000-0000FE110000}"/>
    <cellStyle name="Comma 2 2 2 3 5 5 3 4" xfId="31838" xr:uid="{00000000-0005-0000-0000-0000FF110000}"/>
    <cellStyle name="Comma 2 2 2 3 5 5 3 5" xfId="33978" xr:uid="{00000000-0005-0000-0000-000000120000}"/>
    <cellStyle name="Comma 2 2 2 3 5 5 4" xfId="7983" xr:uid="{00000000-0005-0000-0000-000001120000}"/>
    <cellStyle name="Comma 2 2 2 3 5 5 4 2" xfId="42634" xr:uid="{00000000-0005-0000-0000-000002120000}"/>
    <cellStyle name="Comma 2 2 2 3 5 5 4 3" xfId="36210" xr:uid="{00000000-0005-0000-0000-000003120000}"/>
    <cellStyle name="Comma 2 2 2 3 5 5 5" xfId="20974" xr:uid="{00000000-0005-0000-0000-000004120000}"/>
    <cellStyle name="Comma 2 2 2 3 5 5 5 2" xfId="39427" xr:uid="{00000000-0005-0000-0000-000005120000}"/>
    <cellStyle name="Comma 2 2 2 3 5 5 6" xfId="22047" xr:uid="{00000000-0005-0000-0000-000006120000}"/>
    <cellStyle name="Comma 2 2 2 3 5 5 7" xfId="23205" xr:uid="{00000000-0005-0000-0000-000007120000}"/>
    <cellStyle name="Comma 2 2 2 3 5 5 8" xfId="26369" xr:uid="{00000000-0005-0000-0000-000008120000}"/>
    <cellStyle name="Comma 2 2 2 3 5 5 9" xfId="29702" xr:uid="{00000000-0005-0000-0000-000009120000}"/>
    <cellStyle name="Comma 2 2 2 3 5 6" xfId="9544" xr:uid="{00000000-0005-0000-0000-00000A120000}"/>
    <cellStyle name="Comma 2 2 2 3 5 6 2" xfId="25344" xr:uid="{00000000-0005-0000-0000-00000B120000}"/>
    <cellStyle name="Comma 2 2 2 3 5 6 2 2" xfId="44771" xr:uid="{00000000-0005-0000-0000-00000C120000}"/>
    <cellStyle name="Comma 2 2 2 3 5 6 2 3" xfId="38348" xr:uid="{00000000-0005-0000-0000-00000D120000}"/>
    <cellStyle name="Comma 2 2 2 3 5 6 3" xfId="27522" xr:uid="{00000000-0005-0000-0000-00000E120000}"/>
    <cellStyle name="Comma 2 2 2 3 5 6 3 2" xfId="41564" xr:uid="{00000000-0005-0000-0000-00000F120000}"/>
    <cellStyle name="Comma 2 2 2 3 5 6 4" xfId="30857" xr:uid="{00000000-0005-0000-0000-000010120000}"/>
    <cellStyle name="Comma 2 2 2 3 5 6 5" xfId="35140" xr:uid="{00000000-0005-0000-0000-000011120000}"/>
    <cellStyle name="Comma 2 2 2 3 5 7" xfId="15163" xr:uid="{00000000-0005-0000-0000-000012120000}"/>
    <cellStyle name="Comma 2 2 2 3 5 7 2" xfId="24176" xr:uid="{00000000-0005-0000-0000-000013120000}"/>
    <cellStyle name="Comma 2 2 2 3 5 7 2 2" xfId="43605" xr:uid="{00000000-0005-0000-0000-000014120000}"/>
    <cellStyle name="Comma 2 2 2 3 5 7 2 3" xfId="37182" xr:uid="{00000000-0005-0000-0000-000015120000}"/>
    <cellStyle name="Comma 2 2 2 3 5 7 3" xfId="28499" xr:uid="{00000000-0005-0000-0000-000016120000}"/>
    <cellStyle name="Comma 2 2 2 3 5 7 3 2" xfId="40398" xr:uid="{00000000-0005-0000-0000-000017120000}"/>
    <cellStyle name="Comma 2 2 2 3 5 7 4" xfId="31834" xr:uid="{00000000-0005-0000-0000-000018120000}"/>
    <cellStyle name="Comma 2 2 2 3 5 7 5" xfId="33974" xr:uid="{00000000-0005-0000-0000-000019120000}"/>
    <cellStyle name="Comma 2 2 2 3 5 8" xfId="7979" xr:uid="{00000000-0005-0000-0000-00001A120000}"/>
    <cellStyle name="Comma 2 2 2 3 5 8 2" xfId="42630" xr:uid="{00000000-0005-0000-0000-00001B120000}"/>
    <cellStyle name="Comma 2 2 2 3 5 8 3" xfId="36206" xr:uid="{00000000-0005-0000-0000-00001C120000}"/>
    <cellStyle name="Comma 2 2 2 3 5 9" xfId="20970" xr:uid="{00000000-0005-0000-0000-00001D120000}"/>
    <cellStyle name="Comma 2 2 2 3 5 9 2" xfId="39423" xr:uid="{00000000-0005-0000-0000-00001E120000}"/>
    <cellStyle name="Comma 2 2 2 3 6" xfId="778" xr:uid="{00000000-0005-0000-0000-00001F120000}"/>
    <cellStyle name="Comma 2 2 2 3 6 10" xfId="33004" xr:uid="{00000000-0005-0000-0000-000020120000}"/>
    <cellStyle name="Comma 2 2 2 3 6 2" xfId="9549" xr:uid="{00000000-0005-0000-0000-000021120000}"/>
    <cellStyle name="Comma 2 2 2 3 6 2 2" xfId="25349" xr:uid="{00000000-0005-0000-0000-000022120000}"/>
    <cellStyle name="Comma 2 2 2 3 6 2 2 2" xfId="44776" xr:uid="{00000000-0005-0000-0000-000023120000}"/>
    <cellStyle name="Comma 2 2 2 3 6 2 2 3" xfId="38353" xr:uid="{00000000-0005-0000-0000-000024120000}"/>
    <cellStyle name="Comma 2 2 2 3 6 2 3" xfId="27527" xr:uid="{00000000-0005-0000-0000-000025120000}"/>
    <cellStyle name="Comma 2 2 2 3 6 2 3 2" xfId="41569" xr:uid="{00000000-0005-0000-0000-000026120000}"/>
    <cellStyle name="Comma 2 2 2 3 6 2 4" xfId="30862" xr:uid="{00000000-0005-0000-0000-000027120000}"/>
    <cellStyle name="Comma 2 2 2 3 6 2 5" xfId="35145" xr:uid="{00000000-0005-0000-0000-000028120000}"/>
    <cellStyle name="Comma 2 2 2 3 6 3" xfId="15168" xr:uid="{00000000-0005-0000-0000-000029120000}"/>
    <cellStyle name="Comma 2 2 2 3 6 3 2" xfId="24181" xr:uid="{00000000-0005-0000-0000-00002A120000}"/>
    <cellStyle name="Comma 2 2 2 3 6 3 2 2" xfId="43610" xr:uid="{00000000-0005-0000-0000-00002B120000}"/>
    <cellStyle name="Comma 2 2 2 3 6 3 2 3" xfId="37187" xr:uid="{00000000-0005-0000-0000-00002C120000}"/>
    <cellStyle name="Comma 2 2 2 3 6 3 3" xfId="28504" xr:uid="{00000000-0005-0000-0000-00002D120000}"/>
    <cellStyle name="Comma 2 2 2 3 6 3 3 2" xfId="40403" xr:uid="{00000000-0005-0000-0000-00002E120000}"/>
    <cellStyle name="Comma 2 2 2 3 6 3 4" xfId="31839" xr:uid="{00000000-0005-0000-0000-00002F120000}"/>
    <cellStyle name="Comma 2 2 2 3 6 3 5" xfId="33979" xr:uid="{00000000-0005-0000-0000-000030120000}"/>
    <cellStyle name="Comma 2 2 2 3 6 4" xfId="7984" xr:uid="{00000000-0005-0000-0000-000031120000}"/>
    <cellStyle name="Comma 2 2 2 3 6 4 2" xfId="42635" xr:uid="{00000000-0005-0000-0000-000032120000}"/>
    <cellStyle name="Comma 2 2 2 3 6 4 3" xfId="36211" xr:uid="{00000000-0005-0000-0000-000033120000}"/>
    <cellStyle name="Comma 2 2 2 3 6 5" xfId="20975" xr:uid="{00000000-0005-0000-0000-000034120000}"/>
    <cellStyle name="Comma 2 2 2 3 6 5 2" xfId="39428" xr:uid="{00000000-0005-0000-0000-000035120000}"/>
    <cellStyle name="Comma 2 2 2 3 6 6" xfId="22048" xr:uid="{00000000-0005-0000-0000-000036120000}"/>
    <cellStyle name="Comma 2 2 2 3 6 7" xfId="23206" xr:uid="{00000000-0005-0000-0000-000037120000}"/>
    <cellStyle name="Comma 2 2 2 3 6 8" xfId="26370" xr:uid="{00000000-0005-0000-0000-000038120000}"/>
    <cellStyle name="Comma 2 2 2 3 6 9" xfId="29703" xr:uid="{00000000-0005-0000-0000-000039120000}"/>
    <cellStyle name="Comma 2 2 2 3 7" xfId="779" xr:uid="{00000000-0005-0000-0000-00003A120000}"/>
    <cellStyle name="Comma 2 2 2 3 7 10" xfId="33005" xr:uid="{00000000-0005-0000-0000-00003B120000}"/>
    <cellStyle name="Comma 2 2 2 3 7 2" xfId="9550" xr:uid="{00000000-0005-0000-0000-00003C120000}"/>
    <cellStyle name="Comma 2 2 2 3 7 2 2" xfId="25350" xr:uid="{00000000-0005-0000-0000-00003D120000}"/>
    <cellStyle name="Comma 2 2 2 3 7 2 2 2" xfId="44777" xr:uid="{00000000-0005-0000-0000-00003E120000}"/>
    <cellStyle name="Comma 2 2 2 3 7 2 2 3" xfId="38354" xr:uid="{00000000-0005-0000-0000-00003F120000}"/>
    <cellStyle name="Comma 2 2 2 3 7 2 3" xfId="27528" xr:uid="{00000000-0005-0000-0000-000040120000}"/>
    <cellStyle name="Comma 2 2 2 3 7 2 3 2" xfId="41570" xr:uid="{00000000-0005-0000-0000-000041120000}"/>
    <cellStyle name="Comma 2 2 2 3 7 2 4" xfId="30863" xr:uid="{00000000-0005-0000-0000-000042120000}"/>
    <cellStyle name="Comma 2 2 2 3 7 2 5" xfId="35146" xr:uid="{00000000-0005-0000-0000-000043120000}"/>
    <cellStyle name="Comma 2 2 2 3 7 3" xfId="15169" xr:uid="{00000000-0005-0000-0000-000044120000}"/>
    <cellStyle name="Comma 2 2 2 3 7 3 2" xfId="24182" xr:uid="{00000000-0005-0000-0000-000045120000}"/>
    <cellStyle name="Comma 2 2 2 3 7 3 2 2" xfId="43611" xr:uid="{00000000-0005-0000-0000-000046120000}"/>
    <cellStyle name="Comma 2 2 2 3 7 3 2 3" xfId="37188" xr:uid="{00000000-0005-0000-0000-000047120000}"/>
    <cellStyle name="Comma 2 2 2 3 7 3 3" xfId="28505" xr:uid="{00000000-0005-0000-0000-000048120000}"/>
    <cellStyle name="Comma 2 2 2 3 7 3 3 2" xfId="40404" xr:uid="{00000000-0005-0000-0000-000049120000}"/>
    <cellStyle name="Comma 2 2 2 3 7 3 4" xfId="31840" xr:uid="{00000000-0005-0000-0000-00004A120000}"/>
    <cellStyle name="Comma 2 2 2 3 7 3 5" xfId="33980" xr:uid="{00000000-0005-0000-0000-00004B120000}"/>
    <cellStyle name="Comma 2 2 2 3 7 4" xfId="7985" xr:uid="{00000000-0005-0000-0000-00004C120000}"/>
    <cellStyle name="Comma 2 2 2 3 7 4 2" xfId="42636" xr:uid="{00000000-0005-0000-0000-00004D120000}"/>
    <cellStyle name="Comma 2 2 2 3 7 4 3" xfId="36212" xr:uid="{00000000-0005-0000-0000-00004E120000}"/>
    <cellStyle name="Comma 2 2 2 3 7 5" xfId="20976" xr:uid="{00000000-0005-0000-0000-00004F120000}"/>
    <cellStyle name="Comma 2 2 2 3 7 5 2" xfId="39429" xr:uid="{00000000-0005-0000-0000-000050120000}"/>
    <cellStyle name="Comma 2 2 2 3 7 6" xfId="22049" xr:uid="{00000000-0005-0000-0000-000051120000}"/>
    <cellStyle name="Comma 2 2 2 3 7 7" xfId="23207" xr:uid="{00000000-0005-0000-0000-000052120000}"/>
    <cellStyle name="Comma 2 2 2 3 7 8" xfId="26371" xr:uid="{00000000-0005-0000-0000-000053120000}"/>
    <cellStyle name="Comma 2 2 2 3 7 9" xfId="29704" xr:uid="{00000000-0005-0000-0000-000054120000}"/>
    <cellStyle name="Comma 2 2 2 3 8" xfId="780" xr:uid="{00000000-0005-0000-0000-000055120000}"/>
    <cellStyle name="Comma 2 2 2 3 8 10" xfId="33006" xr:uid="{00000000-0005-0000-0000-000056120000}"/>
    <cellStyle name="Comma 2 2 2 3 8 2" xfId="9551" xr:uid="{00000000-0005-0000-0000-000057120000}"/>
    <cellStyle name="Comma 2 2 2 3 8 2 2" xfId="25351" xr:uid="{00000000-0005-0000-0000-000058120000}"/>
    <cellStyle name="Comma 2 2 2 3 8 2 2 2" xfId="44778" xr:uid="{00000000-0005-0000-0000-000059120000}"/>
    <cellStyle name="Comma 2 2 2 3 8 2 2 3" xfId="38355" xr:uid="{00000000-0005-0000-0000-00005A120000}"/>
    <cellStyle name="Comma 2 2 2 3 8 2 3" xfId="27529" xr:uid="{00000000-0005-0000-0000-00005B120000}"/>
    <cellStyle name="Comma 2 2 2 3 8 2 3 2" xfId="41571" xr:uid="{00000000-0005-0000-0000-00005C120000}"/>
    <cellStyle name="Comma 2 2 2 3 8 2 4" xfId="30864" xr:uid="{00000000-0005-0000-0000-00005D120000}"/>
    <cellStyle name="Comma 2 2 2 3 8 2 5" xfId="35147" xr:uid="{00000000-0005-0000-0000-00005E120000}"/>
    <cellStyle name="Comma 2 2 2 3 8 3" xfId="15170" xr:uid="{00000000-0005-0000-0000-00005F120000}"/>
    <cellStyle name="Comma 2 2 2 3 8 3 2" xfId="24183" xr:uid="{00000000-0005-0000-0000-000060120000}"/>
    <cellStyle name="Comma 2 2 2 3 8 3 2 2" xfId="43612" xr:uid="{00000000-0005-0000-0000-000061120000}"/>
    <cellStyle name="Comma 2 2 2 3 8 3 2 3" xfId="37189" xr:uid="{00000000-0005-0000-0000-000062120000}"/>
    <cellStyle name="Comma 2 2 2 3 8 3 3" xfId="28506" xr:uid="{00000000-0005-0000-0000-000063120000}"/>
    <cellStyle name="Comma 2 2 2 3 8 3 3 2" xfId="40405" xr:uid="{00000000-0005-0000-0000-000064120000}"/>
    <cellStyle name="Comma 2 2 2 3 8 3 4" xfId="31841" xr:uid="{00000000-0005-0000-0000-000065120000}"/>
    <cellStyle name="Comma 2 2 2 3 8 3 5" xfId="33981" xr:uid="{00000000-0005-0000-0000-000066120000}"/>
    <cellStyle name="Comma 2 2 2 3 8 4" xfId="7986" xr:uid="{00000000-0005-0000-0000-000067120000}"/>
    <cellStyle name="Comma 2 2 2 3 8 4 2" xfId="42637" xr:uid="{00000000-0005-0000-0000-000068120000}"/>
    <cellStyle name="Comma 2 2 2 3 8 4 3" xfId="36213" xr:uid="{00000000-0005-0000-0000-000069120000}"/>
    <cellStyle name="Comma 2 2 2 3 8 5" xfId="20977" xr:uid="{00000000-0005-0000-0000-00006A120000}"/>
    <cellStyle name="Comma 2 2 2 3 8 5 2" xfId="39430" xr:uid="{00000000-0005-0000-0000-00006B120000}"/>
    <cellStyle name="Comma 2 2 2 3 8 6" xfId="22050" xr:uid="{00000000-0005-0000-0000-00006C120000}"/>
    <cellStyle name="Comma 2 2 2 3 8 7" xfId="23208" xr:uid="{00000000-0005-0000-0000-00006D120000}"/>
    <cellStyle name="Comma 2 2 2 3 8 8" xfId="26372" xr:uid="{00000000-0005-0000-0000-00006E120000}"/>
    <cellStyle name="Comma 2 2 2 3 8 9" xfId="29705" xr:uid="{00000000-0005-0000-0000-00006F120000}"/>
    <cellStyle name="Comma 2 2 2 3 9" xfId="781" xr:uid="{00000000-0005-0000-0000-000070120000}"/>
    <cellStyle name="Comma 2 2 2 3 9 10" xfId="33007" xr:uid="{00000000-0005-0000-0000-000071120000}"/>
    <cellStyle name="Comma 2 2 2 3 9 2" xfId="9552" xr:uid="{00000000-0005-0000-0000-000072120000}"/>
    <cellStyle name="Comma 2 2 2 3 9 2 2" xfId="25352" xr:uid="{00000000-0005-0000-0000-000073120000}"/>
    <cellStyle name="Comma 2 2 2 3 9 2 2 2" xfId="44779" xr:uid="{00000000-0005-0000-0000-000074120000}"/>
    <cellStyle name="Comma 2 2 2 3 9 2 2 3" xfId="38356" xr:uid="{00000000-0005-0000-0000-000075120000}"/>
    <cellStyle name="Comma 2 2 2 3 9 2 3" xfId="27530" xr:uid="{00000000-0005-0000-0000-000076120000}"/>
    <cellStyle name="Comma 2 2 2 3 9 2 3 2" xfId="41572" xr:uid="{00000000-0005-0000-0000-000077120000}"/>
    <cellStyle name="Comma 2 2 2 3 9 2 4" xfId="30865" xr:uid="{00000000-0005-0000-0000-000078120000}"/>
    <cellStyle name="Comma 2 2 2 3 9 2 5" xfId="35148" xr:uid="{00000000-0005-0000-0000-000079120000}"/>
    <cellStyle name="Comma 2 2 2 3 9 3" xfId="15171" xr:uid="{00000000-0005-0000-0000-00007A120000}"/>
    <cellStyle name="Comma 2 2 2 3 9 3 2" xfId="24184" xr:uid="{00000000-0005-0000-0000-00007B120000}"/>
    <cellStyle name="Comma 2 2 2 3 9 3 2 2" xfId="43613" xr:uid="{00000000-0005-0000-0000-00007C120000}"/>
    <cellStyle name="Comma 2 2 2 3 9 3 2 3" xfId="37190" xr:uid="{00000000-0005-0000-0000-00007D120000}"/>
    <cellStyle name="Comma 2 2 2 3 9 3 3" xfId="28507" xr:uid="{00000000-0005-0000-0000-00007E120000}"/>
    <cellStyle name="Comma 2 2 2 3 9 3 3 2" xfId="40406" xr:uid="{00000000-0005-0000-0000-00007F120000}"/>
    <cellStyle name="Comma 2 2 2 3 9 3 4" xfId="31842" xr:uid="{00000000-0005-0000-0000-000080120000}"/>
    <cellStyle name="Comma 2 2 2 3 9 3 5" xfId="33982" xr:uid="{00000000-0005-0000-0000-000081120000}"/>
    <cellStyle name="Comma 2 2 2 3 9 4" xfId="7987" xr:uid="{00000000-0005-0000-0000-000082120000}"/>
    <cellStyle name="Comma 2 2 2 3 9 4 2" xfId="42638" xr:uid="{00000000-0005-0000-0000-000083120000}"/>
    <cellStyle name="Comma 2 2 2 3 9 4 3" xfId="36214" xr:uid="{00000000-0005-0000-0000-000084120000}"/>
    <cellStyle name="Comma 2 2 2 3 9 5" xfId="20978" xr:uid="{00000000-0005-0000-0000-000085120000}"/>
    <cellStyle name="Comma 2 2 2 3 9 5 2" xfId="39431" xr:uid="{00000000-0005-0000-0000-000086120000}"/>
    <cellStyle name="Comma 2 2 2 3 9 6" xfId="22051" xr:uid="{00000000-0005-0000-0000-000087120000}"/>
    <cellStyle name="Comma 2 2 2 3 9 7" xfId="23209" xr:uid="{00000000-0005-0000-0000-000088120000}"/>
    <cellStyle name="Comma 2 2 2 3 9 8" xfId="26373" xr:uid="{00000000-0005-0000-0000-000089120000}"/>
    <cellStyle name="Comma 2 2 2 3 9 9" xfId="29706" xr:uid="{00000000-0005-0000-0000-00008A120000}"/>
    <cellStyle name="Comma 2 2 2 4" xfId="220" xr:uid="{00000000-0005-0000-0000-00008B120000}"/>
    <cellStyle name="Comma 2 2 2 4 10" xfId="15172" xr:uid="{00000000-0005-0000-0000-00008C120000}"/>
    <cellStyle name="Comma 2 2 2 4 10 2" xfId="24185" xr:uid="{00000000-0005-0000-0000-00008D120000}"/>
    <cellStyle name="Comma 2 2 2 4 10 2 2" xfId="43614" xr:uid="{00000000-0005-0000-0000-00008E120000}"/>
    <cellStyle name="Comma 2 2 2 4 10 2 3" xfId="37191" xr:uid="{00000000-0005-0000-0000-00008F120000}"/>
    <cellStyle name="Comma 2 2 2 4 10 3" xfId="28508" xr:uid="{00000000-0005-0000-0000-000090120000}"/>
    <cellStyle name="Comma 2 2 2 4 10 3 2" xfId="40407" xr:uid="{00000000-0005-0000-0000-000091120000}"/>
    <cellStyle name="Comma 2 2 2 4 10 4" xfId="31843" xr:uid="{00000000-0005-0000-0000-000092120000}"/>
    <cellStyle name="Comma 2 2 2 4 10 5" xfId="33983" xr:uid="{00000000-0005-0000-0000-000093120000}"/>
    <cellStyle name="Comma 2 2 2 4 11" xfId="7988" xr:uid="{00000000-0005-0000-0000-000094120000}"/>
    <cellStyle name="Comma 2 2 2 4 11 2" xfId="42435" xr:uid="{00000000-0005-0000-0000-000095120000}"/>
    <cellStyle name="Comma 2 2 2 4 11 3" xfId="36011" xr:uid="{00000000-0005-0000-0000-000096120000}"/>
    <cellStyle name="Comma 2 2 2 4 12" xfId="20979" xr:uid="{00000000-0005-0000-0000-000097120000}"/>
    <cellStyle name="Comma 2 2 2 4 12 2" xfId="39228" xr:uid="{00000000-0005-0000-0000-000098120000}"/>
    <cellStyle name="Comma 2 2 2 4 13" xfId="22052" xr:uid="{00000000-0005-0000-0000-000099120000}"/>
    <cellStyle name="Comma 2 2 2 4 14" xfId="23006" xr:uid="{00000000-0005-0000-0000-00009A120000}"/>
    <cellStyle name="Comma 2 2 2 4 15" xfId="26374" xr:uid="{00000000-0005-0000-0000-00009B120000}"/>
    <cellStyle name="Comma 2 2 2 4 16" xfId="29707" xr:uid="{00000000-0005-0000-0000-00009C120000}"/>
    <cellStyle name="Comma 2 2 2 4 17" xfId="32804" xr:uid="{00000000-0005-0000-0000-00009D120000}"/>
    <cellStyle name="Comma 2 2 2 4 2" xfId="217" xr:uid="{00000000-0005-0000-0000-00009E120000}"/>
    <cellStyle name="Comma 2 2 2 4 2 10" xfId="20980" xr:uid="{00000000-0005-0000-0000-00009F120000}"/>
    <cellStyle name="Comma 2 2 2 4 2 10 2" xfId="39225" xr:uid="{00000000-0005-0000-0000-0000A0120000}"/>
    <cellStyle name="Comma 2 2 2 4 2 11" xfId="22053" xr:uid="{00000000-0005-0000-0000-0000A1120000}"/>
    <cellStyle name="Comma 2 2 2 4 2 12" xfId="23003" xr:uid="{00000000-0005-0000-0000-0000A2120000}"/>
    <cellStyle name="Comma 2 2 2 4 2 13" xfId="26375" xr:uid="{00000000-0005-0000-0000-0000A3120000}"/>
    <cellStyle name="Comma 2 2 2 4 2 14" xfId="29708" xr:uid="{00000000-0005-0000-0000-0000A4120000}"/>
    <cellStyle name="Comma 2 2 2 4 2 15" xfId="32801" xr:uid="{00000000-0005-0000-0000-0000A5120000}"/>
    <cellStyle name="Comma 2 2 2 4 2 2" xfId="782" xr:uid="{00000000-0005-0000-0000-0000A6120000}"/>
    <cellStyle name="Comma 2 2 2 4 2 2 10" xfId="33008" xr:uid="{00000000-0005-0000-0000-0000A7120000}"/>
    <cellStyle name="Comma 2 2 2 4 2 2 2" xfId="9553" xr:uid="{00000000-0005-0000-0000-0000A8120000}"/>
    <cellStyle name="Comma 2 2 2 4 2 2 2 2" xfId="25353" xr:uid="{00000000-0005-0000-0000-0000A9120000}"/>
    <cellStyle name="Comma 2 2 2 4 2 2 2 2 2" xfId="44780" xr:uid="{00000000-0005-0000-0000-0000AA120000}"/>
    <cellStyle name="Comma 2 2 2 4 2 2 2 2 3" xfId="38357" xr:uid="{00000000-0005-0000-0000-0000AB120000}"/>
    <cellStyle name="Comma 2 2 2 4 2 2 2 3" xfId="27531" xr:uid="{00000000-0005-0000-0000-0000AC120000}"/>
    <cellStyle name="Comma 2 2 2 4 2 2 2 3 2" xfId="41573" xr:uid="{00000000-0005-0000-0000-0000AD120000}"/>
    <cellStyle name="Comma 2 2 2 4 2 2 2 4" xfId="30866" xr:uid="{00000000-0005-0000-0000-0000AE120000}"/>
    <cellStyle name="Comma 2 2 2 4 2 2 2 5" xfId="35149" xr:uid="{00000000-0005-0000-0000-0000AF120000}"/>
    <cellStyle name="Comma 2 2 2 4 2 2 3" xfId="15174" xr:uid="{00000000-0005-0000-0000-0000B0120000}"/>
    <cellStyle name="Comma 2 2 2 4 2 2 3 2" xfId="24187" xr:uid="{00000000-0005-0000-0000-0000B1120000}"/>
    <cellStyle name="Comma 2 2 2 4 2 2 3 2 2" xfId="43616" xr:uid="{00000000-0005-0000-0000-0000B2120000}"/>
    <cellStyle name="Comma 2 2 2 4 2 2 3 2 3" xfId="37193" xr:uid="{00000000-0005-0000-0000-0000B3120000}"/>
    <cellStyle name="Comma 2 2 2 4 2 2 3 3" xfId="28510" xr:uid="{00000000-0005-0000-0000-0000B4120000}"/>
    <cellStyle name="Comma 2 2 2 4 2 2 3 3 2" xfId="40409" xr:uid="{00000000-0005-0000-0000-0000B5120000}"/>
    <cellStyle name="Comma 2 2 2 4 2 2 3 4" xfId="31845" xr:uid="{00000000-0005-0000-0000-0000B6120000}"/>
    <cellStyle name="Comma 2 2 2 4 2 2 3 5" xfId="33985" xr:uid="{00000000-0005-0000-0000-0000B7120000}"/>
    <cellStyle name="Comma 2 2 2 4 2 2 4" xfId="7990" xr:uid="{00000000-0005-0000-0000-0000B8120000}"/>
    <cellStyle name="Comma 2 2 2 4 2 2 4 2" xfId="42639" xr:uid="{00000000-0005-0000-0000-0000B9120000}"/>
    <cellStyle name="Comma 2 2 2 4 2 2 4 3" xfId="36215" xr:uid="{00000000-0005-0000-0000-0000BA120000}"/>
    <cellStyle name="Comma 2 2 2 4 2 2 5" xfId="20981" xr:uid="{00000000-0005-0000-0000-0000BB120000}"/>
    <cellStyle name="Comma 2 2 2 4 2 2 5 2" xfId="39432" xr:uid="{00000000-0005-0000-0000-0000BC120000}"/>
    <cellStyle name="Comma 2 2 2 4 2 2 6" xfId="22054" xr:uid="{00000000-0005-0000-0000-0000BD120000}"/>
    <cellStyle name="Comma 2 2 2 4 2 2 7" xfId="23210" xr:uid="{00000000-0005-0000-0000-0000BE120000}"/>
    <cellStyle name="Comma 2 2 2 4 2 2 8" xfId="26376" xr:uid="{00000000-0005-0000-0000-0000BF120000}"/>
    <cellStyle name="Comma 2 2 2 4 2 2 9" xfId="29709" xr:uid="{00000000-0005-0000-0000-0000C0120000}"/>
    <cellStyle name="Comma 2 2 2 4 2 3" xfId="783" xr:uid="{00000000-0005-0000-0000-0000C1120000}"/>
    <cellStyle name="Comma 2 2 2 4 2 3 10" xfId="33009" xr:uid="{00000000-0005-0000-0000-0000C2120000}"/>
    <cellStyle name="Comma 2 2 2 4 2 3 2" xfId="9554" xr:uid="{00000000-0005-0000-0000-0000C3120000}"/>
    <cellStyle name="Comma 2 2 2 4 2 3 2 2" xfId="25354" xr:uid="{00000000-0005-0000-0000-0000C4120000}"/>
    <cellStyle name="Comma 2 2 2 4 2 3 2 2 2" xfId="44781" xr:uid="{00000000-0005-0000-0000-0000C5120000}"/>
    <cellStyle name="Comma 2 2 2 4 2 3 2 2 3" xfId="38358" xr:uid="{00000000-0005-0000-0000-0000C6120000}"/>
    <cellStyle name="Comma 2 2 2 4 2 3 2 3" xfId="27532" xr:uid="{00000000-0005-0000-0000-0000C7120000}"/>
    <cellStyle name="Comma 2 2 2 4 2 3 2 3 2" xfId="41574" xr:uid="{00000000-0005-0000-0000-0000C8120000}"/>
    <cellStyle name="Comma 2 2 2 4 2 3 2 4" xfId="30867" xr:uid="{00000000-0005-0000-0000-0000C9120000}"/>
    <cellStyle name="Comma 2 2 2 4 2 3 2 5" xfId="35150" xr:uid="{00000000-0005-0000-0000-0000CA120000}"/>
    <cellStyle name="Comma 2 2 2 4 2 3 3" xfId="15175" xr:uid="{00000000-0005-0000-0000-0000CB120000}"/>
    <cellStyle name="Comma 2 2 2 4 2 3 3 2" xfId="24188" xr:uid="{00000000-0005-0000-0000-0000CC120000}"/>
    <cellStyle name="Comma 2 2 2 4 2 3 3 2 2" xfId="43617" xr:uid="{00000000-0005-0000-0000-0000CD120000}"/>
    <cellStyle name="Comma 2 2 2 4 2 3 3 2 3" xfId="37194" xr:uid="{00000000-0005-0000-0000-0000CE120000}"/>
    <cellStyle name="Comma 2 2 2 4 2 3 3 3" xfId="28511" xr:uid="{00000000-0005-0000-0000-0000CF120000}"/>
    <cellStyle name="Comma 2 2 2 4 2 3 3 3 2" xfId="40410" xr:uid="{00000000-0005-0000-0000-0000D0120000}"/>
    <cellStyle name="Comma 2 2 2 4 2 3 3 4" xfId="31846" xr:uid="{00000000-0005-0000-0000-0000D1120000}"/>
    <cellStyle name="Comma 2 2 2 4 2 3 3 5" xfId="33986" xr:uid="{00000000-0005-0000-0000-0000D2120000}"/>
    <cellStyle name="Comma 2 2 2 4 2 3 4" xfId="7991" xr:uid="{00000000-0005-0000-0000-0000D3120000}"/>
    <cellStyle name="Comma 2 2 2 4 2 3 4 2" xfId="42640" xr:uid="{00000000-0005-0000-0000-0000D4120000}"/>
    <cellStyle name="Comma 2 2 2 4 2 3 4 3" xfId="36216" xr:uid="{00000000-0005-0000-0000-0000D5120000}"/>
    <cellStyle name="Comma 2 2 2 4 2 3 5" xfId="20982" xr:uid="{00000000-0005-0000-0000-0000D6120000}"/>
    <cellStyle name="Comma 2 2 2 4 2 3 5 2" xfId="39433" xr:uid="{00000000-0005-0000-0000-0000D7120000}"/>
    <cellStyle name="Comma 2 2 2 4 2 3 6" xfId="22055" xr:uid="{00000000-0005-0000-0000-0000D8120000}"/>
    <cellStyle name="Comma 2 2 2 4 2 3 7" xfId="23211" xr:uid="{00000000-0005-0000-0000-0000D9120000}"/>
    <cellStyle name="Comma 2 2 2 4 2 3 8" xfId="26377" xr:uid="{00000000-0005-0000-0000-0000DA120000}"/>
    <cellStyle name="Comma 2 2 2 4 2 3 9" xfId="29710" xr:uid="{00000000-0005-0000-0000-0000DB120000}"/>
    <cellStyle name="Comma 2 2 2 4 2 4" xfId="784" xr:uid="{00000000-0005-0000-0000-0000DC120000}"/>
    <cellStyle name="Comma 2 2 2 4 2 4 10" xfId="33010" xr:uid="{00000000-0005-0000-0000-0000DD120000}"/>
    <cellStyle name="Comma 2 2 2 4 2 4 2" xfId="9555" xr:uid="{00000000-0005-0000-0000-0000DE120000}"/>
    <cellStyle name="Comma 2 2 2 4 2 4 2 2" xfId="25355" xr:uid="{00000000-0005-0000-0000-0000DF120000}"/>
    <cellStyle name="Comma 2 2 2 4 2 4 2 2 2" xfId="44782" xr:uid="{00000000-0005-0000-0000-0000E0120000}"/>
    <cellStyle name="Comma 2 2 2 4 2 4 2 2 3" xfId="38359" xr:uid="{00000000-0005-0000-0000-0000E1120000}"/>
    <cellStyle name="Comma 2 2 2 4 2 4 2 3" xfId="27533" xr:uid="{00000000-0005-0000-0000-0000E2120000}"/>
    <cellStyle name="Comma 2 2 2 4 2 4 2 3 2" xfId="41575" xr:uid="{00000000-0005-0000-0000-0000E3120000}"/>
    <cellStyle name="Comma 2 2 2 4 2 4 2 4" xfId="30868" xr:uid="{00000000-0005-0000-0000-0000E4120000}"/>
    <cellStyle name="Comma 2 2 2 4 2 4 2 5" xfId="35151" xr:uid="{00000000-0005-0000-0000-0000E5120000}"/>
    <cellStyle name="Comma 2 2 2 4 2 4 3" xfId="15176" xr:uid="{00000000-0005-0000-0000-0000E6120000}"/>
    <cellStyle name="Comma 2 2 2 4 2 4 3 2" xfId="24189" xr:uid="{00000000-0005-0000-0000-0000E7120000}"/>
    <cellStyle name="Comma 2 2 2 4 2 4 3 2 2" xfId="43618" xr:uid="{00000000-0005-0000-0000-0000E8120000}"/>
    <cellStyle name="Comma 2 2 2 4 2 4 3 2 3" xfId="37195" xr:uid="{00000000-0005-0000-0000-0000E9120000}"/>
    <cellStyle name="Comma 2 2 2 4 2 4 3 3" xfId="28512" xr:uid="{00000000-0005-0000-0000-0000EA120000}"/>
    <cellStyle name="Comma 2 2 2 4 2 4 3 3 2" xfId="40411" xr:uid="{00000000-0005-0000-0000-0000EB120000}"/>
    <cellStyle name="Comma 2 2 2 4 2 4 3 4" xfId="31847" xr:uid="{00000000-0005-0000-0000-0000EC120000}"/>
    <cellStyle name="Comma 2 2 2 4 2 4 3 5" xfId="33987" xr:uid="{00000000-0005-0000-0000-0000ED120000}"/>
    <cellStyle name="Comma 2 2 2 4 2 4 4" xfId="7992" xr:uid="{00000000-0005-0000-0000-0000EE120000}"/>
    <cellStyle name="Comma 2 2 2 4 2 4 4 2" xfId="42641" xr:uid="{00000000-0005-0000-0000-0000EF120000}"/>
    <cellStyle name="Comma 2 2 2 4 2 4 4 3" xfId="36217" xr:uid="{00000000-0005-0000-0000-0000F0120000}"/>
    <cellStyle name="Comma 2 2 2 4 2 4 5" xfId="20983" xr:uid="{00000000-0005-0000-0000-0000F1120000}"/>
    <cellStyle name="Comma 2 2 2 4 2 4 5 2" xfId="39434" xr:uid="{00000000-0005-0000-0000-0000F2120000}"/>
    <cellStyle name="Comma 2 2 2 4 2 4 6" xfId="22056" xr:uid="{00000000-0005-0000-0000-0000F3120000}"/>
    <cellStyle name="Comma 2 2 2 4 2 4 7" xfId="23212" xr:uid="{00000000-0005-0000-0000-0000F4120000}"/>
    <cellStyle name="Comma 2 2 2 4 2 4 8" xfId="26378" xr:uid="{00000000-0005-0000-0000-0000F5120000}"/>
    <cellStyle name="Comma 2 2 2 4 2 4 9" xfId="29711" xr:uid="{00000000-0005-0000-0000-0000F6120000}"/>
    <cellStyle name="Comma 2 2 2 4 2 5" xfId="785" xr:uid="{00000000-0005-0000-0000-0000F7120000}"/>
    <cellStyle name="Comma 2 2 2 4 2 5 10" xfId="33011" xr:uid="{00000000-0005-0000-0000-0000F8120000}"/>
    <cellStyle name="Comma 2 2 2 4 2 5 2" xfId="9556" xr:uid="{00000000-0005-0000-0000-0000F9120000}"/>
    <cellStyle name="Comma 2 2 2 4 2 5 2 2" xfId="25356" xr:uid="{00000000-0005-0000-0000-0000FA120000}"/>
    <cellStyle name="Comma 2 2 2 4 2 5 2 2 2" xfId="44783" xr:uid="{00000000-0005-0000-0000-0000FB120000}"/>
    <cellStyle name="Comma 2 2 2 4 2 5 2 2 3" xfId="38360" xr:uid="{00000000-0005-0000-0000-0000FC120000}"/>
    <cellStyle name="Comma 2 2 2 4 2 5 2 3" xfId="27534" xr:uid="{00000000-0005-0000-0000-0000FD120000}"/>
    <cellStyle name="Comma 2 2 2 4 2 5 2 3 2" xfId="41576" xr:uid="{00000000-0005-0000-0000-0000FE120000}"/>
    <cellStyle name="Comma 2 2 2 4 2 5 2 4" xfId="30869" xr:uid="{00000000-0005-0000-0000-0000FF120000}"/>
    <cellStyle name="Comma 2 2 2 4 2 5 2 5" xfId="35152" xr:uid="{00000000-0005-0000-0000-000000130000}"/>
    <cellStyle name="Comma 2 2 2 4 2 5 3" xfId="15177" xr:uid="{00000000-0005-0000-0000-000001130000}"/>
    <cellStyle name="Comma 2 2 2 4 2 5 3 2" xfId="24190" xr:uid="{00000000-0005-0000-0000-000002130000}"/>
    <cellStyle name="Comma 2 2 2 4 2 5 3 2 2" xfId="43619" xr:uid="{00000000-0005-0000-0000-000003130000}"/>
    <cellStyle name="Comma 2 2 2 4 2 5 3 2 3" xfId="37196" xr:uid="{00000000-0005-0000-0000-000004130000}"/>
    <cellStyle name="Comma 2 2 2 4 2 5 3 3" xfId="28513" xr:uid="{00000000-0005-0000-0000-000005130000}"/>
    <cellStyle name="Comma 2 2 2 4 2 5 3 3 2" xfId="40412" xr:uid="{00000000-0005-0000-0000-000006130000}"/>
    <cellStyle name="Comma 2 2 2 4 2 5 3 4" xfId="31848" xr:uid="{00000000-0005-0000-0000-000007130000}"/>
    <cellStyle name="Comma 2 2 2 4 2 5 3 5" xfId="33988" xr:uid="{00000000-0005-0000-0000-000008130000}"/>
    <cellStyle name="Comma 2 2 2 4 2 5 4" xfId="7993" xr:uid="{00000000-0005-0000-0000-000009130000}"/>
    <cellStyle name="Comma 2 2 2 4 2 5 4 2" xfId="42642" xr:uid="{00000000-0005-0000-0000-00000A130000}"/>
    <cellStyle name="Comma 2 2 2 4 2 5 4 3" xfId="36218" xr:uid="{00000000-0005-0000-0000-00000B130000}"/>
    <cellStyle name="Comma 2 2 2 4 2 5 5" xfId="20984" xr:uid="{00000000-0005-0000-0000-00000C130000}"/>
    <cellStyle name="Comma 2 2 2 4 2 5 5 2" xfId="39435" xr:uid="{00000000-0005-0000-0000-00000D130000}"/>
    <cellStyle name="Comma 2 2 2 4 2 5 6" xfId="22057" xr:uid="{00000000-0005-0000-0000-00000E130000}"/>
    <cellStyle name="Comma 2 2 2 4 2 5 7" xfId="23213" xr:uid="{00000000-0005-0000-0000-00000F130000}"/>
    <cellStyle name="Comma 2 2 2 4 2 5 8" xfId="26379" xr:uid="{00000000-0005-0000-0000-000010130000}"/>
    <cellStyle name="Comma 2 2 2 4 2 5 9" xfId="29712" xr:uid="{00000000-0005-0000-0000-000011130000}"/>
    <cellStyle name="Comma 2 2 2 4 2 6" xfId="786" xr:uid="{00000000-0005-0000-0000-000012130000}"/>
    <cellStyle name="Comma 2 2 2 4 2 6 10" xfId="33012" xr:uid="{00000000-0005-0000-0000-000013130000}"/>
    <cellStyle name="Comma 2 2 2 4 2 6 2" xfId="9557" xr:uid="{00000000-0005-0000-0000-000014130000}"/>
    <cellStyle name="Comma 2 2 2 4 2 6 2 2" xfId="25357" xr:uid="{00000000-0005-0000-0000-000015130000}"/>
    <cellStyle name="Comma 2 2 2 4 2 6 2 2 2" xfId="44784" xr:uid="{00000000-0005-0000-0000-000016130000}"/>
    <cellStyle name="Comma 2 2 2 4 2 6 2 2 3" xfId="38361" xr:uid="{00000000-0005-0000-0000-000017130000}"/>
    <cellStyle name="Comma 2 2 2 4 2 6 2 3" xfId="27535" xr:uid="{00000000-0005-0000-0000-000018130000}"/>
    <cellStyle name="Comma 2 2 2 4 2 6 2 3 2" xfId="41577" xr:uid="{00000000-0005-0000-0000-000019130000}"/>
    <cellStyle name="Comma 2 2 2 4 2 6 2 4" xfId="30870" xr:uid="{00000000-0005-0000-0000-00001A130000}"/>
    <cellStyle name="Comma 2 2 2 4 2 6 2 5" xfId="35153" xr:uid="{00000000-0005-0000-0000-00001B130000}"/>
    <cellStyle name="Comma 2 2 2 4 2 6 3" xfId="15178" xr:uid="{00000000-0005-0000-0000-00001C130000}"/>
    <cellStyle name="Comma 2 2 2 4 2 6 3 2" xfId="24191" xr:uid="{00000000-0005-0000-0000-00001D130000}"/>
    <cellStyle name="Comma 2 2 2 4 2 6 3 2 2" xfId="43620" xr:uid="{00000000-0005-0000-0000-00001E130000}"/>
    <cellStyle name="Comma 2 2 2 4 2 6 3 2 3" xfId="37197" xr:uid="{00000000-0005-0000-0000-00001F130000}"/>
    <cellStyle name="Comma 2 2 2 4 2 6 3 3" xfId="28514" xr:uid="{00000000-0005-0000-0000-000020130000}"/>
    <cellStyle name="Comma 2 2 2 4 2 6 3 3 2" xfId="40413" xr:uid="{00000000-0005-0000-0000-000021130000}"/>
    <cellStyle name="Comma 2 2 2 4 2 6 3 4" xfId="31849" xr:uid="{00000000-0005-0000-0000-000022130000}"/>
    <cellStyle name="Comma 2 2 2 4 2 6 3 5" xfId="33989" xr:uid="{00000000-0005-0000-0000-000023130000}"/>
    <cellStyle name="Comma 2 2 2 4 2 6 4" xfId="7994" xr:uid="{00000000-0005-0000-0000-000024130000}"/>
    <cellStyle name="Comma 2 2 2 4 2 6 4 2" xfId="42643" xr:uid="{00000000-0005-0000-0000-000025130000}"/>
    <cellStyle name="Comma 2 2 2 4 2 6 4 3" xfId="36219" xr:uid="{00000000-0005-0000-0000-000026130000}"/>
    <cellStyle name="Comma 2 2 2 4 2 6 5" xfId="20985" xr:uid="{00000000-0005-0000-0000-000027130000}"/>
    <cellStyle name="Comma 2 2 2 4 2 6 5 2" xfId="39436" xr:uid="{00000000-0005-0000-0000-000028130000}"/>
    <cellStyle name="Comma 2 2 2 4 2 6 6" xfId="22058" xr:uid="{00000000-0005-0000-0000-000029130000}"/>
    <cellStyle name="Comma 2 2 2 4 2 6 7" xfId="23214" xr:uid="{00000000-0005-0000-0000-00002A130000}"/>
    <cellStyle name="Comma 2 2 2 4 2 6 8" xfId="26380" xr:uid="{00000000-0005-0000-0000-00002B130000}"/>
    <cellStyle name="Comma 2 2 2 4 2 6 9" xfId="29713" xr:uid="{00000000-0005-0000-0000-00002C130000}"/>
    <cellStyle name="Comma 2 2 2 4 2 7" xfId="9087" xr:uid="{00000000-0005-0000-0000-00002D130000}"/>
    <cellStyle name="Comma 2 2 2 4 2 7 2" xfId="25142" xr:uid="{00000000-0005-0000-0000-00002E130000}"/>
    <cellStyle name="Comma 2 2 2 4 2 7 2 2" xfId="44569" xr:uid="{00000000-0005-0000-0000-00002F130000}"/>
    <cellStyle name="Comma 2 2 2 4 2 7 2 3" xfId="38146" xr:uid="{00000000-0005-0000-0000-000030130000}"/>
    <cellStyle name="Comma 2 2 2 4 2 7 3" xfId="27321" xr:uid="{00000000-0005-0000-0000-000031130000}"/>
    <cellStyle name="Comma 2 2 2 4 2 7 3 2" xfId="41362" xr:uid="{00000000-0005-0000-0000-000032130000}"/>
    <cellStyle name="Comma 2 2 2 4 2 7 4" xfId="30656" xr:uid="{00000000-0005-0000-0000-000033130000}"/>
    <cellStyle name="Comma 2 2 2 4 2 7 5" xfId="34938" xr:uid="{00000000-0005-0000-0000-000034130000}"/>
    <cellStyle name="Comma 2 2 2 4 2 8" xfId="15173" xr:uid="{00000000-0005-0000-0000-000035130000}"/>
    <cellStyle name="Comma 2 2 2 4 2 8 2" xfId="24186" xr:uid="{00000000-0005-0000-0000-000036130000}"/>
    <cellStyle name="Comma 2 2 2 4 2 8 2 2" xfId="43615" xr:uid="{00000000-0005-0000-0000-000037130000}"/>
    <cellStyle name="Comma 2 2 2 4 2 8 2 3" xfId="37192" xr:uid="{00000000-0005-0000-0000-000038130000}"/>
    <cellStyle name="Comma 2 2 2 4 2 8 3" xfId="28509" xr:uid="{00000000-0005-0000-0000-000039130000}"/>
    <cellStyle name="Comma 2 2 2 4 2 8 3 2" xfId="40408" xr:uid="{00000000-0005-0000-0000-00003A130000}"/>
    <cellStyle name="Comma 2 2 2 4 2 8 4" xfId="31844" xr:uid="{00000000-0005-0000-0000-00003B130000}"/>
    <cellStyle name="Comma 2 2 2 4 2 8 5" xfId="33984" xr:uid="{00000000-0005-0000-0000-00003C130000}"/>
    <cellStyle name="Comma 2 2 2 4 2 9" xfId="7989" xr:uid="{00000000-0005-0000-0000-00003D130000}"/>
    <cellStyle name="Comma 2 2 2 4 2 9 2" xfId="42432" xr:uid="{00000000-0005-0000-0000-00003E130000}"/>
    <cellStyle name="Comma 2 2 2 4 2 9 3" xfId="36008" xr:uid="{00000000-0005-0000-0000-00003F130000}"/>
    <cellStyle name="Comma 2 2 2 4 3" xfId="787" xr:uid="{00000000-0005-0000-0000-000040130000}"/>
    <cellStyle name="Comma 2 2 2 4 3 10" xfId="22059" xr:uid="{00000000-0005-0000-0000-000041130000}"/>
    <cellStyle name="Comma 2 2 2 4 3 11" xfId="23215" xr:uid="{00000000-0005-0000-0000-000042130000}"/>
    <cellStyle name="Comma 2 2 2 4 3 12" xfId="26381" xr:uid="{00000000-0005-0000-0000-000043130000}"/>
    <cellStyle name="Comma 2 2 2 4 3 13" xfId="29714" xr:uid="{00000000-0005-0000-0000-000044130000}"/>
    <cellStyle name="Comma 2 2 2 4 3 14" xfId="33013" xr:uid="{00000000-0005-0000-0000-000045130000}"/>
    <cellStyle name="Comma 2 2 2 4 3 2" xfId="788" xr:uid="{00000000-0005-0000-0000-000046130000}"/>
    <cellStyle name="Comma 2 2 2 4 3 2 10" xfId="33014" xr:uid="{00000000-0005-0000-0000-000047130000}"/>
    <cellStyle name="Comma 2 2 2 4 3 2 2" xfId="9559" xr:uid="{00000000-0005-0000-0000-000048130000}"/>
    <cellStyle name="Comma 2 2 2 4 3 2 2 2" xfId="25359" xr:uid="{00000000-0005-0000-0000-000049130000}"/>
    <cellStyle name="Comma 2 2 2 4 3 2 2 2 2" xfId="44786" xr:uid="{00000000-0005-0000-0000-00004A130000}"/>
    <cellStyle name="Comma 2 2 2 4 3 2 2 2 3" xfId="38363" xr:uid="{00000000-0005-0000-0000-00004B130000}"/>
    <cellStyle name="Comma 2 2 2 4 3 2 2 3" xfId="27537" xr:uid="{00000000-0005-0000-0000-00004C130000}"/>
    <cellStyle name="Comma 2 2 2 4 3 2 2 3 2" xfId="41579" xr:uid="{00000000-0005-0000-0000-00004D130000}"/>
    <cellStyle name="Comma 2 2 2 4 3 2 2 4" xfId="30872" xr:uid="{00000000-0005-0000-0000-00004E130000}"/>
    <cellStyle name="Comma 2 2 2 4 3 2 2 5" xfId="35155" xr:uid="{00000000-0005-0000-0000-00004F130000}"/>
    <cellStyle name="Comma 2 2 2 4 3 2 3" xfId="15180" xr:uid="{00000000-0005-0000-0000-000050130000}"/>
    <cellStyle name="Comma 2 2 2 4 3 2 3 2" xfId="24193" xr:uid="{00000000-0005-0000-0000-000051130000}"/>
    <cellStyle name="Comma 2 2 2 4 3 2 3 2 2" xfId="43622" xr:uid="{00000000-0005-0000-0000-000052130000}"/>
    <cellStyle name="Comma 2 2 2 4 3 2 3 2 3" xfId="37199" xr:uid="{00000000-0005-0000-0000-000053130000}"/>
    <cellStyle name="Comma 2 2 2 4 3 2 3 3" xfId="28516" xr:uid="{00000000-0005-0000-0000-000054130000}"/>
    <cellStyle name="Comma 2 2 2 4 3 2 3 3 2" xfId="40415" xr:uid="{00000000-0005-0000-0000-000055130000}"/>
    <cellStyle name="Comma 2 2 2 4 3 2 3 4" xfId="31851" xr:uid="{00000000-0005-0000-0000-000056130000}"/>
    <cellStyle name="Comma 2 2 2 4 3 2 3 5" xfId="33991" xr:uid="{00000000-0005-0000-0000-000057130000}"/>
    <cellStyle name="Comma 2 2 2 4 3 2 4" xfId="7996" xr:uid="{00000000-0005-0000-0000-000058130000}"/>
    <cellStyle name="Comma 2 2 2 4 3 2 4 2" xfId="42645" xr:uid="{00000000-0005-0000-0000-000059130000}"/>
    <cellStyle name="Comma 2 2 2 4 3 2 4 3" xfId="36221" xr:uid="{00000000-0005-0000-0000-00005A130000}"/>
    <cellStyle name="Comma 2 2 2 4 3 2 5" xfId="20987" xr:uid="{00000000-0005-0000-0000-00005B130000}"/>
    <cellStyle name="Comma 2 2 2 4 3 2 5 2" xfId="39438" xr:uid="{00000000-0005-0000-0000-00005C130000}"/>
    <cellStyle name="Comma 2 2 2 4 3 2 6" xfId="22060" xr:uid="{00000000-0005-0000-0000-00005D130000}"/>
    <cellStyle name="Comma 2 2 2 4 3 2 7" xfId="23216" xr:uid="{00000000-0005-0000-0000-00005E130000}"/>
    <cellStyle name="Comma 2 2 2 4 3 2 8" xfId="26382" xr:uid="{00000000-0005-0000-0000-00005F130000}"/>
    <cellStyle name="Comma 2 2 2 4 3 2 9" xfId="29715" xr:uid="{00000000-0005-0000-0000-000060130000}"/>
    <cellStyle name="Comma 2 2 2 4 3 3" xfId="789" xr:uid="{00000000-0005-0000-0000-000061130000}"/>
    <cellStyle name="Comma 2 2 2 4 3 3 10" xfId="33015" xr:uid="{00000000-0005-0000-0000-000062130000}"/>
    <cellStyle name="Comma 2 2 2 4 3 3 2" xfId="9560" xr:uid="{00000000-0005-0000-0000-000063130000}"/>
    <cellStyle name="Comma 2 2 2 4 3 3 2 2" xfId="25360" xr:uid="{00000000-0005-0000-0000-000064130000}"/>
    <cellStyle name="Comma 2 2 2 4 3 3 2 2 2" xfId="44787" xr:uid="{00000000-0005-0000-0000-000065130000}"/>
    <cellStyle name="Comma 2 2 2 4 3 3 2 2 3" xfId="38364" xr:uid="{00000000-0005-0000-0000-000066130000}"/>
    <cellStyle name="Comma 2 2 2 4 3 3 2 3" xfId="27538" xr:uid="{00000000-0005-0000-0000-000067130000}"/>
    <cellStyle name="Comma 2 2 2 4 3 3 2 3 2" xfId="41580" xr:uid="{00000000-0005-0000-0000-000068130000}"/>
    <cellStyle name="Comma 2 2 2 4 3 3 2 4" xfId="30873" xr:uid="{00000000-0005-0000-0000-000069130000}"/>
    <cellStyle name="Comma 2 2 2 4 3 3 2 5" xfId="35156" xr:uid="{00000000-0005-0000-0000-00006A130000}"/>
    <cellStyle name="Comma 2 2 2 4 3 3 3" xfId="15181" xr:uid="{00000000-0005-0000-0000-00006B130000}"/>
    <cellStyle name="Comma 2 2 2 4 3 3 3 2" xfId="24194" xr:uid="{00000000-0005-0000-0000-00006C130000}"/>
    <cellStyle name="Comma 2 2 2 4 3 3 3 2 2" xfId="43623" xr:uid="{00000000-0005-0000-0000-00006D130000}"/>
    <cellStyle name="Comma 2 2 2 4 3 3 3 2 3" xfId="37200" xr:uid="{00000000-0005-0000-0000-00006E130000}"/>
    <cellStyle name="Comma 2 2 2 4 3 3 3 3" xfId="28517" xr:uid="{00000000-0005-0000-0000-00006F130000}"/>
    <cellStyle name="Comma 2 2 2 4 3 3 3 3 2" xfId="40416" xr:uid="{00000000-0005-0000-0000-000070130000}"/>
    <cellStyle name="Comma 2 2 2 4 3 3 3 4" xfId="31852" xr:uid="{00000000-0005-0000-0000-000071130000}"/>
    <cellStyle name="Comma 2 2 2 4 3 3 3 5" xfId="33992" xr:uid="{00000000-0005-0000-0000-000072130000}"/>
    <cellStyle name="Comma 2 2 2 4 3 3 4" xfId="7997" xr:uid="{00000000-0005-0000-0000-000073130000}"/>
    <cellStyle name="Comma 2 2 2 4 3 3 4 2" xfId="42646" xr:uid="{00000000-0005-0000-0000-000074130000}"/>
    <cellStyle name="Comma 2 2 2 4 3 3 4 3" xfId="36222" xr:uid="{00000000-0005-0000-0000-000075130000}"/>
    <cellStyle name="Comma 2 2 2 4 3 3 5" xfId="20988" xr:uid="{00000000-0005-0000-0000-000076130000}"/>
    <cellStyle name="Comma 2 2 2 4 3 3 5 2" xfId="39439" xr:uid="{00000000-0005-0000-0000-000077130000}"/>
    <cellStyle name="Comma 2 2 2 4 3 3 6" xfId="22061" xr:uid="{00000000-0005-0000-0000-000078130000}"/>
    <cellStyle name="Comma 2 2 2 4 3 3 7" xfId="23217" xr:uid="{00000000-0005-0000-0000-000079130000}"/>
    <cellStyle name="Comma 2 2 2 4 3 3 8" xfId="26383" xr:uid="{00000000-0005-0000-0000-00007A130000}"/>
    <cellStyle name="Comma 2 2 2 4 3 3 9" xfId="29716" xr:uid="{00000000-0005-0000-0000-00007B130000}"/>
    <cellStyle name="Comma 2 2 2 4 3 4" xfId="790" xr:uid="{00000000-0005-0000-0000-00007C130000}"/>
    <cellStyle name="Comma 2 2 2 4 3 4 10" xfId="33016" xr:uid="{00000000-0005-0000-0000-00007D130000}"/>
    <cellStyle name="Comma 2 2 2 4 3 4 2" xfId="9561" xr:uid="{00000000-0005-0000-0000-00007E130000}"/>
    <cellStyle name="Comma 2 2 2 4 3 4 2 2" xfId="25361" xr:uid="{00000000-0005-0000-0000-00007F130000}"/>
    <cellStyle name="Comma 2 2 2 4 3 4 2 2 2" xfId="44788" xr:uid="{00000000-0005-0000-0000-000080130000}"/>
    <cellStyle name="Comma 2 2 2 4 3 4 2 2 3" xfId="38365" xr:uid="{00000000-0005-0000-0000-000081130000}"/>
    <cellStyle name="Comma 2 2 2 4 3 4 2 3" xfId="27539" xr:uid="{00000000-0005-0000-0000-000082130000}"/>
    <cellStyle name="Comma 2 2 2 4 3 4 2 3 2" xfId="41581" xr:uid="{00000000-0005-0000-0000-000083130000}"/>
    <cellStyle name="Comma 2 2 2 4 3 4 2 4" xfId="30874" xr:uid="{00000000-0005-0000-0000-000084130000}"/>
    <cellStyle name="Comma 2 2 2 4 3 4 2 5" xfId="35157" xr:uid="{00000000-0005-0000-0000-000085130000}"/>
    <cellStyle name="Comma 2 2 2 4 3 4 3" xfId="15182" xr:uid="{00000000-0005-0000-0000-000086130000}"/>
    <cellStyle name="Comma 2 2 2 4 3 4 3 2" xfId="24195" xr:uid="{00000000-0005-0000-0000-000087130000}"/>
    <cellStyle name="Comma 2 2 2 4 3 4 3 2 2" xfId="43624" xr:uid="{00000000-0005-0000-0000-000088130000}"/>
    <cellStyle name="Comma 2 2 2 4 3 4 3 2 3" xfId="37201" xr:uid="{00000000-0005-0000-0000-000089130000}"/>
    <cellStyle name="Comma 2 2 2 4 3 4 3 3" xfId="28518" xr:uid="{00000000-0005-0000-0000-00008A130000}"/>
    <cellStyle name="Comma 2 2 2 4 3 4 3 3 2" xfId="40417" xr:uid="{00000000-0005-0000-0000-00008B130000}"/>
    <cellStyle name="Comma 2 2 2 4 3 4 3 4" xfId="31853" xr:uid="{00000000-0005-0000-0000-00008C130000}"/>
    <cellStyle name="Comma 2 2 2 4 3 4 3 5" xfId="33993" xr:uid="{00000000-0005-0000-0000-00008D130000}"/>
    <cellStyle name="Comma 2 2 2 4 3 4 4" xfId="7998" xr:uid="{00000000-0005-0000-0000-00008E130000}"/>
    <cellStyle name="Comma 2 2 2 4 3 4 4 2" xfId="42647" xr:uid="{00000000-0005-0000-0000-00008F130000}"/>
    <cellStyle name="Comma 2 2 2 4 3 4 4 3" xfId="36223" xr:uid="{00000000-0005-0000-0000-000090130000}"/>
    <cellStyle name="Comma 2 2 2 4 3 4 5" xfId="20989" xr:uid="{00000000-0005-0000-0000-000091130000}"/>
    <cellStyle name="Comma 2 2 2 4 3 4 5 2" xfId="39440" xr:uid="{00000000-0005-0000-0000-000092130000}"/>
    <cellStyle name="Comma 2 2 2 4 3 4 6" xfId="22062" xr:uid="{00000000-0005-0000-0000-000093130000}"/>
    <cellStyle name="Comma 2 2 2 4 3 4 7" xfId="23218" xr:uid="{00000000-0005-0000-0000-000094130000}"/>
    <cellStyle name="Comma 2 2 2 4 3 4 8" xfId="26384" xr:uid="{00000000-0005-0000-0000-000095130000}"/>
    <cellStyle name="Comma 2 2 2 4 3 4 9" xfId="29717" xr:uid="{00000000-0005-0000-0000-000096130000}"/>
    <cellStyle name="Comma 2 2 2 4 3 5" xfId="791" xr:uid="{00000000-0005-0000-0000-000097130000}"/>
    <cellStyle name="Comma 2 2 2 4 3 5 10" xfId="33017" xr:uid="{00000000-0005-0000-0000-000098130000}"/>
    <cellStyle name="Comma 2 2 2 4 3 5 2" xfId="9562" xr:uid="{00000000-0005-0000-0000-000099130000}"/>
    <cellStyle name="Comma 2 2 2 4 3 5 2 2" xfId="25362" xr:uid="{00000000-0005-0000-0000-00009A130000}"/>
    <cellStyle name="Comma 2 2 2 4 3 5 2 2 2" xfId="44789" xr:uid="{00000000-0005-0000-0000-00009B130000}"/>
    <cellStyle name="Comma 2 2 2 4 3 5 2 2 3" xfId="38366" xr:uid="{00000000-0005-0000-0000-00009C130000}"/>
    <cellStyle name="Comma 2 2 2 4 3 5 2 3" xfId="27540" xr:uid="{00000000-0005-0000-0000-00009D130000}"/>
    <cellStyle name="Comma 2 2 2 4 3 5 2 3 2" xfId="41582" xr:uid="{00000000-0005-0000-0000-00009E130000}"/>
    <cellStyle name="Comma 2 2 2 4 3 5 2 4" xfId="30875" xr:uid="{00000000-0005-0000-0000-00009F130000}"/>
    <cellStyle name="Comma 2 2 2 4 3 5 2 5" xfId="35158" xr:uid="{00000000-0005-0000-0000-0000A0130000}"/>
    <cellStyle name="Comma 2 2 2 4 3 5 3" xfId="15183" xr:uid="{00000000-0005-0000-0000-0000A1130000}"/>
    <cellStyle name="Comma 2 2 2 4 3 5 3 2" xfId="24196" xr:uid="{00000000-0005-0000-0000-0000A2130000}"/>
    <cellStyle name="Comma 2 2 2 4 3 5 3 2 2" xfId="43625" xr:uid="{00000000-0005-0000-0000-0000A3130000}"/>
    <cellStyle name="Comma 2 2 2 4 3 5 3 2 3" xfId="37202" xr:uid="{00000000-0005-0000-0000-0000A4130000}"/>
    <cellStyle name="Comma 2 2 2 4 3 5 3 3" xfId="28519" xr:uid="{00000000-0005-0000-0000-0000A5130000}"/>
    <cellStyle name="Comma 2 2 2 4 3 5 3 3 2" xfId="40418" xr:uid="{00000000-0005-0000-0000-0000A6130000}"/>
    <cellStyle name="Comma 2 2 2 4 3 5 3 4" xfId="31854" xr:uid="{00000000-0005-0000-0000-0000A7130000}"/>
    <cellStyle name="Comma 2 2 2 4 3 5 3 5" xfId="33994" xr:uid="{00000000-0005-0000-0000-0000A8130000}"/>
    <cellStyle name="Comma 2 2 2 4 3 5 4" xfId="7999" xr:uid="{00000000-0005-0000-0000-0000A9130000}"/>
    <cellStyle name="Comma 2 2 2 4 3 5 4 2" xfId="42648" xr:uid="{00000000-0005-0000-0000-0000AA130000}"/>
    <cellStyle name="Comma 2 2 2 4 3 5 4 3" xfId="36224" xr:uid="{00000000-0005-0000-0000-0000AB130000}"/>
    <cellStyle name="Comma 2 2 2 4 3 5 5" xfId="20990" xr:uid="{00000000-0005-0000-0000-0000AC130000}"/>
    <cellStyle name="Comma 2 2 2 4 3 5 5 2" xfId="39441" xr:uid="{00000000-0005-0000-0000-0000AD130000}"/>
    <cellStyle name="Comma 2 2 2 4 3 5 6" xfId="22063" xr:uid="{00000000-0005-0000-0000-0000AE130000}"/>
    <cellStyle name="Comma 2 2 2 4 3 5 7" xfId="23219" xr:uid="{00000000-0005-0000-0000-0000AF130000}"/>
    <cellStyle name="Comma 2 2 2 4 3 5 8" xfId="26385" xr:uid="{00000000-0005-0000-0000-0000B0130000}"/>
    <cellStyle name="Comma 2 2 2 4 3 5 9" xfId="29718" xr:uid="{00000000-0005-0000-0000-0000B1130000}"/>
    <cellStyle name="Comma 2 2 2 4 3 6" xfId="9558" xr:uid="{00000000-0005-0000-0000-0000B2130000}"/>
    <cellStyle name="Comma 2 2 2 4 3 6 2" xfId="25358" xr:uid="{00000000-0005-0000-0000-0000B3130000}"/>
    <cellStyle name="Comma 2 2 2 4 3 6 2 2" xfId="44785" xr:uid="{00000000-0005-0000-0000-0000B4130000}"/>
    <cellStyle name="Comma 2 2 2 4 3 6 2 3" xfId="38362" xr:uid="{00000000-0005-0000-0000-0000B5130000}"/>
    <cellStyle name="Comma 2 2 2 4 3 6 3" xfId="27536" xr:uid="{00000000-0005-0000-0000-0000B6130000}"/>
    <cellStyle name="Comma 2 2 2 4 3 6 3 2" xfId="41578" xr:uid="{00000000-0005-0000-0000-0000B7130000}"/>
    <cellStyle name="Comma 2 2 2 4 3 6 4" xfId="30871" xr:uid="{00000000-0005-0000-0000-0000B8130000}"/>
    <cellStyle name="Comma 2 2 2 4 3 6 5" xfId="35154" xr:uid="{00000000-0005-0000-0000-0000B9130000}"/>
    <cellStyle name="Comma 2 2 2 4 3 7" xfId="15179" xr:uid="{00000000-0005-0000-0000-0000BA130000}"/>
    <cellStyle name="Comma 2 2 2 4 3 7 2" xfId="24192" xr:uid="{00000000-0005-0000-0000-0000BB130000}"/>
    <cellStyle name="Comma 2 2 2 4 3 7 2 2" xfId="43621" xr:uid="{00000000-0005-0000-0000-0000BC130000}"/>
    <cellStyle name="Comma 2 2 2 4 3 7 2 3" xfId="37198" xr:uid="{00000000-0005-0000-0000-0000BD130000}"/>
    <cellStyle name="Comma 2 2 2 4 3 7 3" xfId="28515" xr:uid="{00000000-0005-0000-0000-0000BE130000}"/>
    <cellStyle name="Comma 2 2 2 4 3 7 3 2" xfId="40414" xr:uid="{00000000-0005-0000-0000-0000BF130000}"/>
    <cellStyle name="Comma 2 2 2 4 3 7 4" xfId="31850" xr:uid="{00000000-0005-0000-0000-0000C0130000}"/>
    <cellStyle name="Comma 2 2 2 4 3 7 5" xfId="33990" xr:uid="{00000000-0005-0000-0000-0000C1130000}"/>
    <cellStyle name="Comma 2 2 2 4 3 8" xfId="7995" xr:uid="{00000000-0005-0000-0000-0000C2130000}"/>
    <cellStyle name="Comma 2 2 2 4 3 8 2" xfId="42644" xr:uid="{00000000-0005-0000-0000-0000C3130000}"/>
    <cellStyle name="Comma 2 2 2 4 3 8 3" xfId="36220" xr:uid="{00000000-0005-0000-0000-0000C4130000}"/>
    <cellStyle name="Comma 2 2 2 4 3 9" xfId="20986" xr:uid="{00000000-0005-0000-0000-0000C5130000}"/>
    <cellStyle name="Comma 2 2 2 4 3 9 2" xfId="39437" xr:uid="{00000000-0005-0000-0000-0000C6130000}"/>
    <cellStyle name="Comma 2 2 2 4 4" xfId="792" xr:uid="{00000000-0005-0000-0000-0000C7130000}"/>
    <cellStyle name="Comma 2 2 2 4 4 10" xfId="33018" xr:uid="{00000000-0005-0000-0000-0000C8130000}"/>
    <cellStyle name="Comma 2 2 2 4 4 2" xfId="9563" xr:uid="{00000000-0005-0000-0000-0000C9130000}"/>
    <cellStyle name="Comma 2 2 2 4 4 2 2" xfId="25363" xr:uid="{00000000-0005-0000-0000-0000CA130000}"/>
    <cellStyle name="Comma 2 2 2 4 4 2 2 2" xfId="44790" xr:uid="{00000000-0005-0000-0000-0000CB130000}"/>
    <cellStyle name="Comma 2 2 2 4 4 2 2 3" xfId="38367" xr:uid="{00000000-0005-0000-0000-0000CC130000}"/>
    <cellStyle name="Comma 2 2 2 4 4 2 3" xfId="27541" xr:uid="{00000000-0005-0000-0000-0000CD130000}"/>
    <cellStyle name="Comma 2 2 2 4 4 2 3 2" xfId="41583" xr:uid="{00000000-0005-0000-0000-0000CE130000}"/>
    <cellStyle name="Comma 2 2 2 4 4 2 4" xfId="30876" xr:uid="{00000000-0005-0000-0000-0000CF130000}"/>
    <cellStyle name="Comma 2 2 2 4 4 2 5" xfId="35159" xr:uid="{00000000-0005-0000-0000-0000D0130000}"/>
    <cellStyle name="Comma 2 2 2 4 4 3" xfId="15184" xr:uid="{00000000-0005-0000-0000-0000D1130000}"/>
    <cellStyle name="Comma 2 2 2 4 4 3 2" xfId="24197" xr:uid="{00000000-0005-0000-0000-0000D2130000}"/>
    <cellStyle name="Comma 2 2 2 4 4 3 2 2" xfId="43626" xr:uid="{00000000-0005-0000-0000-0000D3130000}"/>
    <cellStyle name="Comma 2 2 2 4 4 3 2 3" xfId="37203" xr:uid="{00000000-0005-0000-0000-0000D4130000}"/>
    <cellStyle name="Comma 2 2 2 4 4 3 3" xfId="28520" xr:uid="{00000000-0005-0000-0000-0000D5130000}"/>
    <cellStyle name="Comma 2 2 2 4 4 3 3 2" xfId="40419" xr:uid="{00000000-0005-0000-0000-0000D6130000}"/>
    <cellStyle name="Comma 2 2 2 4 4 3 4" xfId="31855" xr:uid="{00000000-0005-0000-0000-0000D7130000}"/>
    <cellStyle name="Comma 2 2 2 4 4 3 5" xfId="33995" xr:uid="{00000000-0005-0000-0000-0000D8130000}"/>
    <cellStyle name="Comma 2 2 2 4 4 4" xfId="8000" xr:uid="{00000000-0005-0000-0000-0000D9130000}"/>
    <cellStyle name="Comma 2 2 2 4 4 4 2" xfId="42649" xr:uid="{00000000-0005-0000-0000-0000DA130000}"/>
    <cellStyle name="Comma 2 2 2 4 4 4 3" xfId="36225" xr:uid="{00000000-0005-0000-0000-0000DB130000}"/>
    <cellStyle name="Comma 2 2 2 4 4 5" xfId="20991" xr:uid="{00000000-0005-0000-0000-0000DC130000}"/>
    <cellStyle name="Comma 2 2 2 4 4 5 2" xfId="39442" xr:uid="{00000000-0005-0000-0000-0000DD130000}"/>
    <cellStyle name="Comma 2 2 2 4 4 6" xfId="22064" xr:uid="{00000000-0005-0000-0000-0000DE130000}"/>
    <cellStyle name="Comma 2 2 2 4 4 7" xfId="23220" xr:uid="{00000000-0005-0000-0000-0000DF130000}"/>
    <cellStyle name="Comma 2 2 2 4 4 8" xfId="26386" xr:uid="{00000000-0005-0000-0000-0000E0130000}"/>
    <cellStyle name="Comma 2 2 2 4 4 9" xfId="29719" xr:uid="{00000000-0005-0000-0000-0000E1130000}"/>
    <cellStyle name="Comma 2 2 2 4 5" xfId="793" xr:uid="{00000000-0005-0000-0000-0000E2130000}"/>
    <cellStyle name="Comma 2 2 2 4 5 10" xfId="33019" xr:uid="{00000000-0005-0000-0000-0000E3130000}"/>
    <cellStyle name="Comma 2 2 2 4 5 2" xfId="9564" xr:uid="{00000000-0005-0000-0000-0000E4130000}"/>
    <cellStyle name="Comma 2 2 2 4 5 2 2" xfId="25364" xr:uid="{00000000-0005-0000-0000-0000E5130000}"/>
    <cellStyle name="Comma 2 2 2 4 5 2 2 2" xfId="44791" xr:uid="{00000000-0005-0000-0000-0000E6130000}"/>
    <cellStyle name="Comma 2 2 2 4 5 2 2 3" xfId="38368" xr:uid="{00000000-0005-0000-0000-0000E7130000}"/>
    <cellStyle name="Comma 2 2 2 4 5 2 3" xfId="27542" xr:uid="{00000000-0005-0000-0000-0000E8130000}"/>
    <cellStyle name="Comma 2 2 2 4 5 2 3 2" xfId="41584" xr:uid="{00000000-0005-0000-0000-0000E9130000}"/>
    <cellStyle name="Comma 2 2 2 4 5 2 4" xfId="30877" xr:uid="{00000000-0005-0000-0000-0000EA130000}"/>
    <cellStyle name="Comma 2 2 2 4 5 2 5" xfId="35160" xr:uid="{00000000-0005-0000-0000-0000EB130000}"/>
    <cellStyle name="Comma 2 2 2 4 5 3" xfId="15185" xr:uid="{00000000-0005-0000-0000-0000EC130000}"/>
    <cellStyle name="Comma 2 2 2 4 5 3 2" xfId="24198" xr:uid="{00000000-0005-0000-0000-0000ED130000}"/>
    <cellStyle name="Comma 2 2 2 4 5 3 2 2" xfId="43627" xr:uid="{00000000-0005-0000-0000-0000EE130000}"/>
    <cellStyle name="Comma 2 2 2 4 5 3 2 3" xfId="37204" xr:uid="{00000000-0005-0000-0000-0000EF130000}"/>
    <cellStyle name="Comma 2 2 2 4 5 3 3" xfId="28521" xr:uid="{00000000-0005-0000-0000-0000F0130000}"/>
    <cellStyle name="Comma 2 2 2 4 5 3 3 2" xfId="40420" xr:uid="{00000000-0005-0000-0000-0000F1130000}"/>
    <cellStyle name="Comma 2 2 2 4 5 3 4" xfId="31856" xr:uid="{00000000-0005-0000-0000-0000F2130000}"/>
    <cellStyle name="Comma 2 2 2 4 5 3 5" xfId="33996" xr:uid="{00000000-0005-0000-0000-0000F3130000}"/>
    <cellStyle name="Comma 2 2 2 4 5 4" xfId="8001" xr:uid="{00000000-0005-0000-0000-0000F4130000}"/>
    <cellStyle name="Comma 2 2 2 4 5 4 2" xfId="42650" xr:uid="{00000000-0005-0000-0000-0000F5130000}"/>
    <cellStyle name="Comma 2 2 2 4 5 4 3" xfId="36226" xr:uid="{00000000-0005-0000-0000-0000F6130000}"/>
    <cellStyle name="Comma 2 2 2 4 5 5" xfId="20992" xr:uid="{00000000-0005-0000-0000-0000F7130000}"/>
    <cellStyle name="Comma 2 2 2 4 5 5 2" xfId="39443" xr:uid="{00000000-0005-0000-0000-0000F8130000}"/>
    <cellStyle name="Comma 2 2 2 4 5 6" xfId="22065" xr:uid="{00000000-0005-0000-0000-0000F9130000}"/>
    <cellStyle name="Comma 2 2 2 4 5 7" xfId="23221" xr:uid="{00000000-0005-0000-0000-0000FA130000}"/>
    <cellStyle name="Comma 2 2 2 4 5 8" xfId="26387" xr:uid="{00000000-0005-0000-0000-0000FB130000}"/>
    <cellStyle name="Comma 2 2 2 4 5 9" xfId="29720" xr:uid="{00000000-0005-0000-0000-0000FC130000}"/>
    <cellStyle name="Comma 2 2 2 4 6" xfId="794" xr:uid="{00000000-0005-0000-0000-0000FD130000}"/>
    <cellStyle name="Comma 2 2 2 4 6 10" xfId="33020" xr:uid="{00000000-0005-0000-0000-0000FE130000}"/>
    <cellStyle name="Comma 2 2 2 4 6 2" xfId="9565" xr:uid="{00000000-0005-0000-0000-0000FF130000}"/>
    <cellStyle name="Comma 2 2 2 4 6 2 2" xfId="25365" xr:uid="{00000000-0005-0000-0000-000000140000}"/>
    <cellStyle name="Comma 2 2 2 4 6 2 2 2" xfId="44792" xr:uid="{00000000-0005-0000-0000-000001140000}"/>
    <cellStyle name="Comma 2 2 2 4 6 2 2 3" xfId="38369" xr:uid="{00000000-0005-0000-0000-000002140000}"/>
    <cellStyle name="Comma 2 2 2 4 6 2 3" xfId="27543" xr:uid="{00000000-0005-0000-0000-000003140000}"/>
    <cellStyle name="Comma 2 2 2 4 6 2 3 2" xfId="41585" xr:uid="{00000000-0005-0000-0000-000004140000}"/>
    <cellStyle name="Comma 2 2 2 4 6 2 4" xfId="30878" xr:uid="{00000000-0005-0000-0000-000005140000}"/>
    <cellStyle name="Comma 2 2 2 4 6 2 5" xfId="35161" xr:uid="{00000000-0005-0000-0000-000006140000}"/>
    <cellStyle name="Comma 2 2 2 4 6 3" xfId="15186" xr:uid="{00000000-0005-0000-0000-000007140000}"/>
    <cellStyle name="Comma 2 2 2 4 6 3 2" xfId="24199" xr:uid="{00000000-0005-0000-0000-000008140000}"/>
    <cellStyle name="Comma 2 2 2 4 6 3 2 2" xfId="43628" xr:uid="{00000000-0005-0000-0000-000009140000}"/>
    <cellStyle name="Comma 2 2 2 4 6 3 2 3" xfId="37205" xr:uid="{00000000-0005-0000-0000-00000A140000}"/>
    <cellStyle name="Comma 2 2 2 4 6 3 3" xfId="28522" xr:uid="{00000000-0005-0000-0000-00000B140000}"/>
    <cellStyle name="Comma 2 2 2 4 6 3 3 2" xfId="40421" xr:uid="{00000000-0005-0000-0000-00000C140000}"/>
    <cellStyle name="Comma 2 2 2 4 6 3 4" xfId="31857" xr:uid="{00000000-0005-0000-0000-00000D140000}"/>
    <cellStyle name="Comma 2 2 2 4 6 3 5" xfId="33997" xr:uid="{00000000-0005-0000-0000-00000E140000}"/>
    <cellStyle name="Comma 2 2 2 4 6 4" xfId="8002" xr:uid="{00000000-0005-0000-0000-00000F140000}"/>
    <cellStyle name="Comma 2 2 2 4 6 4 2" xfId="42651" xr:uid="{00000000-0005-0000-0000-000010140000}"/>
    <cellStyle name="Comma 2 2 2 4 6 4 3" xfId="36227" xr:uid="{00000000-0005-0000-0000-000011140000}"/>
    <cellStyle name="Comma 2 2 2 4 6 5" xfId="20993" xr:uid="{00000000-0005-0000-0000-000012140000}"/>
    <cellStyle name="Comma 2 2 2 4 6 5 2" xfId="39444" xr:uid="{00000000-0005-0000-0000-000013140000}"/>
    <cellStyle name="Comma 2 2 2 4 6 6" xfId="22066" xr:uid="{00000000-0005-0000-0000-000014140000}"/>
    <cellStyle name="Comma 2 2 2 4 6 7" xfId="23222" xr:uid="{00000000-0005-0000-0000-000015140000}"/>
    <cellStyle name="Comma 2 2 2 4 6 8" xfId="26388" xr:uid="{00000000-0005-0000-0000-000016140000}"/>
    <cellStyle name="Comma 2 2 2 4 6 9" xfId="29721" xr:uid="{00000000-0005-0000-0000-000017140000}"/>
    <cellStyle name="Comma 2 2 2 4 7" xfId="795" xr:uid="{00000000-0005-0000-0000-000018140000}"/>
    <cellStyle name="Comma 2 2 2 4 7 10" xfId="33021" xr:uid="{00000000-0005-0000-0000-000019140000}"/>
    <cellStyle name="Comma 2 2 2 4 7 2" xfId="9566" xr:uid="{00000000-0005-0000-0000-00001A140000}"/>
    <cellStyle name="Comma 2 2 2 4 7 2 2" xfId="25366" xr:uid="{00000000-0005-0000-0000-00001B140000}"/>
    <cellStyle name="Comma 2 2 2 4 7 2 2 2" xfId="44793" xr:uid="{00000000-0005-0000-0000-00001C140000}"/>
    <cellStyle name="Comma 2 2 2 4 7 2 2 3" xfId="38370" xr:uid="{00000000-0005-0000-0000-00001D140000}"/>
    <cellStyle name="Comma 2 2 2 4 7 2 3" xfId="27544" xr:uid="{00000000-0005-0000-0000-00001E140000}"/>
    <cellStyle name="Comma 2 2 2 4 7 2 3 2" xfId="41586" xr:uid="{00000000-0005-0000-0000-00001F140000}"/>
    <cellStyle name="Comma 2 2 2 4 7 2 4" xfId="30879" xr:uid="{00000000-0005-0000-0000-000020140000}"/>
    <cellStyle name="Comma 2 2 2 4 7 2 5" xfId="35162" xr:uid="{00000000-0005-0000-0000-000021140000}"/>
    <cellStyle name="Comma 2 2 2 4 7 3" xfId="15187" xr:uid="{00000000-0005-0000-0000-000022140000}"/>
    <cellStyle name="Comma 2 2 2 4 7 3 2" xfId="24200" xr:uid="{00000000-0005-0000-0000-000023140000}"/>
    <cellStyle name="Comma 2 2 2 4 7 3 2 2" xfId="43629" xr:uid="{00000000-0005-0000-0000-000024140000}"/>
    <cellStyle name="Comma 2 2 2 4 7 3 2 3" xfId="37206" xr:uid="{00000000-0005-0000-0000-000025140000}"/>
    <cellStyle name="Comma 2 2 2 4 7 3 3" xfId="28523" xr:uid="{00000000-0005-0000-0000-000026140000}"/>
    <cellStyle name="Comma 2 2 2 4 7 3 3 2" xfId="40422" xr:uid="{00000000-0005-0000-0000-000027140000}"/>
    <cellStyle name="Comma 2 2 2 4 7 3 4" xfId="31858" xr:uid="{00000000-0005-0000-0000-000028140000}"/>
    <cellStyle name="Comma 2 2 2 4 7 3 5" xfId="33998" xr:uid="{00000000-0005-0000-0000-000029140000}"/>
    <cellStyle name="Comma 2 2 2 4 7 4" xfId="8003" xr:uid="{00000000-0005-0000-0000-00002A140000}"/>
    <cellStyle name="Comma 2 2 2 4 7 4 2" xfId="42652" xr:uid="{00000000-0005-0000-0000-00002B140000}"/>
    <cellStyle name="Comma 2 2 2 4 7 4 3" xfId="36228" xr:uid="{00000000-0005-0000-0000-00002C140000}"/>
    <cellStyle name="Comma 2 2 2 4 7 5" xfId="20994" xr:uid="{00000000-0005-0000-0000-00002D140000}"/>
    <cellStyle name="Comma 2 2 2 4 7 5 2" xfId="39445" xr:uid="{00000000-0005-0000-0000-00002E140000}"/>
    <cellStyle name="Comma 2 2 2 4 7 6" xfId="22067" xr:uid="{00000000-0005-0000-0000-00002F140000}"/>
    <cellStyle name="Comma 2 2 2 4 7 7" xfId="23223" xr:uid="{00000000-0005-0000-0000-000030140000}"/>
    <cellStyle name="Comma 2 2 2 4 7 8" xfId="26389" xr:uid="{00000000-0005-0000-0000-000031140000}"/>
    <cellStyle name="Comma 2 2 2 4 7 9" xfId="29722" xr:uid="{00000000-0005-0000-0000-000032140000}"/>
    <cellStyle name="Comma 2 2 2 4 8" xfId="796" xr:uid="{00000000-0005-0000-0000-000033140000}"/>
    <cellStyle name="Comma 2 2 2 4 8 10" xfId="33022" xr:uid="{00000000-0005-0000-0000-000034140000}"/>
    <cellStyle name="Comma 2 2 2 4 8 2" xfId="9567" xr:uid="{00000000-0005-0000-0000-000035140000}"/>
    <cellStyle name="Comma 2 2 2 4 8 2 2" xfId="25367" xr:uid="{00000000-0005-0000-0000-000036140000}"/>
    <cellStyle name="Comma 2 2 2 4 8 2 2 2" xfId="44794" xr:uid="{00000000-0005-0000-0000-000037140000}"/>
    <cellStyle name="Comma 2 2 2 4 8 2 2 3" xfId="38371" xr:uid="{00000000-0005-0000-0000-000038140000}"/>
    <cellStyle name="Comma 2 2 2 4 8 2 3" xfId="27545" xr:uid="{00000000-0005-0000-0000-000039140000}"/>
    <cellStyle name="Comma 2 2 2 4 8 2 3 2" xfId="41587" xr:uid="{00000000-0005-0000-0000-00003A140000}"/>
    <cellStyle name="Comma 2 2 2 4 8 2 4" xfId="30880" xr:uid="{00000000-0005-0000-0000-00003B140000}"/>
    <cellStyle name="Comma 2 2 2 4 8 2 5" xfId="35163" xr:uid="{00000000-0005-0000-0000-00003C140000}"/>
    <cellStyle name="Comma 2 2 2 4 8 3" xfId="15188" xr:uid="{00000000-0005-0000-0000-00003D140000}"/>
    <cellStyle name="Comma 2 2 2 4 8 3 2" xfId="24201" xr:uid="{00000000-0005-0000-0000-00003E140000}"/>
    <cellStyle name="Comma 2 2 2 4 8 3 2 2" xfId="43630" xr:uid="{00000000-0005-0000-0000-00003F140000}"/>
    <cellStyle name="Comma 2 2 2 4 8 3 2 3" xfId="37207" xr:uid="{00000000-0005-0000-0000-000040140000}"/>
    <cellStyle name="Comma 2 2 2 4 8 3 3" xfId="28524" xr:uid="{00000000-0005-0000-0000-000041140000}"/>
    <cellStyle name="Comma 2 2 2 4 8 3 3 2" xfId="40423" xr:uid="{00000000-0005-0000-0000-000042140000}"/>
    <cellStyle name="Comma 2 2 2 4 8 3 4" xfId="31859" xr:uid="{00000000-0005-0000-0000-000043140000}"/>
    <cellStyle name="Comma 2 2 2 4 8 3 5" xfId="33999" xr:uid="{00000000-0005-0000-0000-000044140000}"/>
    <cellStyle name="Comma 2 2 2 4 8 4" xfId="8004" xr:uid="{00000000-0005-0000-0000-000045140000}"/>
    <cellStyle name="Comma 2 2 2 4 8 4 2" xfId="42653" xr:uid="{00000000-0005-0000-0000-000046140000}"/>
    <cellStyle name="Comma 2 2 2 4 8 4 3" xfId="36229" xr:uid="{00000000-0005-0000-0000-000047140000}"/>
    <cellStyle name="Comma 2 2 2 4 8 5" xfId="20995" xr:uid="{00000000-0005-0000-0000-000048140000}"/>
    <cellStyle name="Comma 2 2 2 4 8 5 2" xfId="39446" xr:uid="{00000000-0005-0000-0000-000049140000}"/>
    <cellStyle name="Comma 2 2 2 4 8 6" xfId="22068" xr:uid="{00000000-0005-0000-0000-00004A140000}"/>
    <cellStyle name="Comma 2 2 2 4 8 7" xfId="23224" xr:uid="{00000000-0005-0000-0000-00004B140000}"/>
    <cellStyle name="Comma 2 2 2 4 8 8" xfId="26390" xr:uid="{00000000-0005-0000-0000-00004C140000}"/>
    <cellStyle name="Comma 2 2 2 4 8 9" xfId="29723" xr:uid="{00000000-0005-0000-0000-00004D140000}"/>
    <cellStyle name="Comma 2 2 2 4 9" xfId="9090" xr:uid="{00000000-0005-0000-0000-00004E140000}"/>
    <cellStyle name="Comma 2 2 2 4 9 2" xfId="25145" xr:uid="{00000000-0005-0000-0000-00004F140000}"/>
    <cellStyle name="Comma 2 2 2 4 9 2 2" xfId="44572" xr:uid="{00000000-0005-0000-0000-000050140000}"/>
    <cellStyle name="Comma 2 2 2 4 9 2 3" xfId="38149" xr:uid="{00000000-0005-0000-0000-000051140000}"/>
    <cellStyle name="Comma 2 2 2 4 9 3" xfId="27324" xr:uid="{00000000-0005-0000-0000-000052140000}"/>
    <cellStyle name="Comma 2 2 2 4 9 3 2" xfId="41365" xr:uid="{00000000-0005-0000-0000-000053140000}"/>
    <cellStyle name="Comma 2 2 2 4 9 4" xfId="30659" xr:uid="{00000000-0005-0000-0000-000054140000}"/>
    <cellStyle name="Comma 2 2 2 4 9 5" xfId="34941" xr:uid="{00000000-0005-0000-0000-000055140000}"/>
    <cellStyle name="Comma 2 2 2 5" xfId="206" xr:uid="{00000000-0005-0000-0000-000056140000}"/>
    <cellStyle name="Comma 2 2 2 5 10" xfId="20996" xr:uid="{00000000-0005-0000-0000-000057140000}"/>
    <cellStyle name="Comma 2 2 2 5 10 2" xfId="39217" xr:uid="{00000000-0005-0000-0000-000058140000}"/>
    <cellStyle name="Comma 2 2 2 5 11" xfId="22069" xr:uid="{00000000-0005-0000-0000-000059140000}"/>
    <cellStyle name="Comma 2 2 2 5 12" xfId="22995" xr:uid="{00000000-0005-0000-0000-00005A140000}"/>
    <cellStyle name="Comma 2 2 2 5 13" xfId="26391" xr:uid="{00000000-0005-0000-0000-00005B140000}"/>
    <cellStyle name="Comma 2 2 2 5 14" xfId="29724" xr:uid="{00000000-0005-0000-0000-00005C140000}"/>
    <cellStyle name="Comma 2 2 2 5 15" xfId="32793" xr:uid="{00000000-0005-0000-0000-00005D140000}"/>
    <cellStyle name="Comma 2 2 2 5 2" xfId="797" xr:uid="{00000000-0005-0000-0000-00005E140000}"/>
    <cellStyle name="Comma 2 2 2 5 2 10" xfId="33023" xr:uid="{00000000-0005-0000-0000-00005F140000}"/>
    <cellStyle name="Comma 2 2 2 5 2 2" xfId="9568" xr:uid="{00000000-0005-0000-0000-000060140000}"/>
    <cellStyle name="Comma 2 2 2 5 2 2 2" xfId="25368" xr:uid="{00000000-0005-0000-0000-000061140000}"/>
    <cellStyle name="Comma 2 2 2 5 2 2 2 2" xfId="44795" xr:uid="{00000000-0005-0000-0000-000062140000}"/>
    <cellStyle name="Comma 2 2 2 5 2 2 2 3" xfId="38372" xr:uid="{00000000-0005-0000-0000-000063140000}"/>
    <cellStyle name="Comma 2 2 2 5 2 2 3" xfId="27546" xr:uid="{00000000-0005-0000-0000-000064140000}"/>
    <cellStyle name="Comma 2 2 2 5 2 2 3 2" xfId="41588" xr:uid="{00000000-0005-0000-0000-000065140000}"/>
    <cellStyle name="Comma 2 2 2 5 2 2 4" xfId="30881" xr:uid="{00000000-0005-0000-0000-000066140000}"/>
    <cellStyle name="Comma 2 2 2 5 2 2 5" xfId="35164" xr:uid="{00000000-0005-0000-0000-000067140000}"/>
    <cellStyle name="Comma 2 2 2 5 2 3" xfId="15190" xr:uid="{00000000-0005-0000-0000-000068140000}"/>
    <cellStyle name="Comma 2 2 2 5 2 3 2" xfId="24203" xr:uid="{00000000-0005-0000-0000-000069140000}"/>
    <cellStyle name="Comma 2 2 2 5 2 3 2 2" xfId="43632" xr:uid="{00000000-0005-0000-0000-00006A140000}"/>
    <cellStyle name="Comma 2 2 2 5 2 3 2 3" xfId="37209" xr:uid="{00000000-0005-0000-0000-00006B140000}"/>
    <cellStyle name="Comma 2 2 2 5 2 3 3" xfId="28526" xr:uid="{00000000-0005-0000-0000-00006C140000}"/>
    <cellStyle name="Comma 2 2 2 5 2 3 3 2" xfId="40425" xr:uid="{00000000-0005-0000-0000-00006D140000}"/>
    <cellStyle name="Comma 2 2 2 5 2 3 4" xfId="31861" xr:uid="{00000000-0005-0000-0000-00006E140000}"/>
    <cellStyle name="Comma 2 2 2 5 2 3 5" xfId="34001" xr:uid="{00000000-0005-0000-0000-00006F140000}"/>
    <cellStyle name="Comma 2 2 2 5 2 4" xfId="8006" xr:uid="{00000000-0005-0000-0000-000070140000}"/>
    <cellStyle name="Comma 2 2 2 5 2 4 2" xfId="42654" xr:uid="{00000000-0005-0000-0000-000071140000}"/>
    <cellStyle name="Comma 2 2 2 5 2 4 3" xfId="36230" xr:uid="{00000000-0005-0000-0000-000072140000}"/>
    <cellStyle name="Comma 2 2 2 5 2 5" xfId="20997" xr:uid="{00000000-0005-0000-0000-000073140000}"/>
    <cellStyle name="Comma 2 2 2 5 2 5 2" xfId="39447" xr:uid="{00000000-0005-0000-0000-000074140000}"/>
    <cellStyle name="Comma 2 2 2 5 2 6" xfId="22070" xr:uid="{00000000-0005-0000-0000-000075140000}"/>
    <cellStyle name="Comma 2 2 2 5 2 7" xfId="23225" xr:uid="{00000000-0005-0000-0000-000076140000}"/>
    <cellStyle name="Comma 2 2 2 5 2 8" xfId="26392" xr:uid="{00000000-0005-0000-0000-000077140000}"/>
    <cellStyle name="Comma 2 2 2 5 2 9" xfId="29725" xr:uid="{00000000-0005-0000-0000-000078140000}"/>
    <cellStyle name="Comma 2 2 2 5 3" xfId="798" xr:uid="{00000000-0005-0000-0000-000079140000}"/>
    <cellStyle name="Comma 2 2 2 5 3 10" xfId="33024" xr:uid="{00000000-0005-0000-0000-00007A140000}"/>
    <cellStyle name="Comma 2 2 2 5 3 2" xfId="9569" xr:uid="{00000000-0005-0000-0000-00007B140000}"/>
    <cellStyle name="Comma 2 2 2 5 3 2 2" xfId="25369" xr:uid="{00000000-0005-0000-0000-00007C140000}"/>
    <cellStyle name="Comma 2 2 2 5 3 2 2 2" xfId="44796" xr:uid="{00000000-0005-0000-0000-00007D140000}"/>
    <cellStyle name="Comma 2 2 2 5 3 2 2 3" xfId="38373" xr:uid="{00000000-0005-0000-0000-00007E140000}"/>
    <cellStyle name="Comma 2 2 2 5 3 2 3" xfId="27547" xr:uid="{00000000-0005-0000-0000-00007F140000}"/>
    <cellStyle name="Comma 2 2 2 5 3 2 3 2" xfId="41589" xr:uid="{00000000-0005-0000-0000-000080140000}"/>
    <cellStyle name="Comma 2 2 2 5 3 2 4" xfId="30882" xr:uid="{00000000-0005-0000-0000-000081140000}"/>
    <cellStyle name="Comma 2 2 2 5 3 2 5" xfId="35165" xr:uid="{00000000-0005-0000-0000-000082140000}"/>
    <cellStyle name="Comma 2 2 2 5 3 3" xfId="15191" xr:uid="{00000000-0005-0000-0000-000083140000}"/>
    <cellStyle name="Comma 2 2 2 5 3 3 2" xfId="24204" xr:uid="{00000000-0005-0000-0000-000084140000}"/>
    <cellStyle name="Comma 2 2 2 5 3 3 2 2" xfId="43633" xr:uid="{00000000-0005-0000-0000-000085140000}"/>
    <cellStyle name="Comma 2 2 2 5 3 3 2 3" xfId="37210" xr:uid="{00000000-0005-0000-0000-000086140000}"/>
    <cellStyle name="Comma 2 2 2 5 3 3 3" xfId="28527" xr:uid="{00000000-0005-0000-0000-000087140000}"/>
    <cellStyle name="Comma 2 2 2 5 3 3 3 2" xfId="40426" xr:uid="{00000000-0005-0000-0000-000088140000}"/>
    <cellStyle name="Comma 2 2 2 5 3 3 4" xfId="31862" xr:uid="{00000000-0005-0000-0000-000089140000}"/>
    <cellStyle name="Comma 2 2 2 5 3 3 5" xfId="34002" xr:uid="{00000000-0005-0000-0000-00008A140000}"/>
    <cellStyle name="Comma 2 2 2 5 3 4" xfId="8007" xr:uid="{00000000-0005-0000-0000-00008B140000}"/>
    <cellStyle name="Comma 2 2 2 5 3 4 2" xfId="42655" xr:uid="{00000000-0005-0000-0000-00008C140000}"/>
    <cellStyle name="Comma 2 2 2 5 3 4 3" xfId="36231" xr:uid="{00000000-0005-0000-0000-00008D140000}"/>
    <cellStyle name="Comma 2 2 2 5 3 5" xfId="20998" xr:uid="{00000000-0005-0000-0000-00008E140000}"/>
    <cellStyle name="Comma 2 2 2 5 3 5 2" xfId="39448" xr:uid="{00000000-0005-0000-0000-00008F140000}"/>
    <cellStyle name="Comma 2 2 2 5 3 6" xfId="22071" xr:uid="{00000000-0005-0000-0000-000090140000}"/>
    <cellStyle name="Comma 2 2 2 5 3 7" xfId="23226" xr:uid="{00000000-0005-0000-0000-000091140000}"/>
    <cellStyle name="Comma 2 2 2 5 3 8" xfId="26393" xr:uid="{00000000-0005-0000-0000-000092140000}"/>
    <cellStyle name="Comma 2 2 2 5 3 9" xfId="29726" xr:uid="{00000000-0005-0000-0000-000093140000}"/>
    <cellStyle name="Comma 2 2 2 5 4" xfId="799" xr:uid="{00000000-0005-0000-0000-000094140000}"/>
    <cellStyle name="Comma 2 2 2 5 4 10" xfId="33025" xr:uid="{00000000-0005-0000-0000-000095140000}"/>
    <cellStyle name="Comma 2 2 2 5 4 2" xfId="9570" xr:uid="{00000000-0005-0000-0000-000096140000}"/>
    <cellStyle name="Comma 2 2 2 5 4 2 2" xfId="25370" xr:uid="{00000000-0005-0000-0000-000097140000}"/>
    <cellStyle name="Comma 2 2 2 5 4 2 2 2" xfId="44797" xr:uid="{00000000-0005-0000-0000-000098140000}"/>
    <cellStyle name="Comma 2 2 2 5 4 2 2 3" xfId="38374" xr:uid="{00000000-0005-0000-0000-000099140000}"/>
    <cellStyle name="Comma 2 2 2 5 4 2 3" xfId="27548" xr:uid="{00000000-0005-0000-0000-00009A140000}"/>
    <cellStyle name="Comma 2 2 2 5 4 2 3 2" xfId="41590" xr:uid="{00000000-0005-0000-0000-00009B140000}"/>
    <cellStyle name="Comma 2 2 2 5 4 2 4" xfId="30883" xr:uid="{00000000-0005-0000-0000-00009C140000}"/>
    <cellStyle name="Comma 2 2 2 5 4 2 5" xfId="35166" xr:uid="{00000000-0005-0000-0000-00009D140000}"/>
    <cellStyle name="Comma 2 2 2 5 4 3" xfId="15192" xr:uid="{00000000-0005-0000-0000-00009E140000}"/>
    <cellStyle name="Comma 2 2 2 5 4 3 2" xfId="24205" xr:uid="{00000000-0005-0000-0000-00009F140000}"/>
    <cellStyle name="Comma 2 2 2 5 4 3 2 2" xfId="43634" xr:uid="{00000000-0005-0000-0000-0000A0140000}"/>
    <cellStyle name="Comma 2 2 2 5 4 3 2 3" xfId="37211" xr:uid="{00000000-0005-0000-0000-0000A1140000}"/>
    <cellStyle name="Comma 2 2 2 5 4 3 3" xfId="28528" xr:uid="{00000000-0005-0000-0000-0000A2140000}"/>
    <cellStyle name="Comma 2 2 2 5 4 3 3 2" xfId="40427" xr:uid="{00000000-0005-0000-0000-0000A3140000}"/>
    <cellStyle name="Comma 2 2 2 5 4 3 4" xfId="31863" xr:uid="{00000000-0005-0000-0000-0000A4140000}"/>
    <cellStyle name="Comma 2 2 2 5 4 3 5" xfId="34003" xr:uid="{00000000-0005-0000-0000-0000A5140000}"/>
    <cellStyle name="Comma 2 2 2 5 4 4" xfId="8008" xr:uid="{00000000-0005-0000-0000-0000A6140000}"/>
    <cellStyle name="Comma 2 2 2 5 4 4 2" xfId="42656" xr:uid="{00000000-0005-0000-0000-0000A7140000}"/>
    <cellStyle name="Comma 2 2 2 5 4 4 3" xfId="36232" xr:uid="{00000000-0005-0000-0000-0000A8140000}"/>
    <cellStyle name="Comma 2 2 2 5 4 5" xfId="20999" xr:uid="{00000000-0005-0000-0000-0000A9140000}"/>
    <cellStyle name="Comma 2 2 2 5 4 5 2" xfId="39449" xr:uid="{00000000-0005-0000-0000-0000AA140000}"/>
    <cellStyle name="Comma 2 2 2 5 4 6" xfId="22072" xr:uid="{00000000-0005-0000-0000-0000AB140000}"/>
    <cellStyle name="Comma 2 2 2 5 4 7" xfId="23227" xr:uid="{00000000-0005-0000-0000-0000AC140000}"/>
    <cellStyle name="Comma 2 2 2 5 4 8" xfId="26394" xr:uid="{00000000-0005-0000-0000-0000AD140000}"/>
    <cellStyle name="Comma 2 2 2 5 4 9" xfId="29727" xr:uid="{00000000-0005-0000-0000-0000AE140000}"/>
    <cellStyle name="Comma 2 2 2 5 5" xfId="800" xr:uid="{00000000-0005-0000-0000-0000AF140000}"/>
    <cellStyle name="Comma 2 2 2 5 5 10" xfId="33026" xr:uid="{00000000-0005-0000-0000-0000B0140000}"/>
    <cellStyle name="Comma 2 2 2 5 5 2" xfId="9571" xr:uid="{00000000-0005-0000-0000-0000B1140000}"/>
    <cellStyle name="Comma 2 2 2 5 5 2 2" xfId="25371" xr:uid="{00000000-0005-0000-0000-0000B2140000}"/>
    <cellStyle name="Comma 2 2 2 5 5 2 2 2" xfId="44798" xr:uid="{00000000-0005-0000-0000-0000B3140000}"/>
    <cellStyle name="Comma 2 2 2 5 5 2 2 3" xfId="38375" xr:uid="{00000000-0005-0000-0000-0000B4140000}"/>
    <cellStyle name="Comma 2 2 2 5 5 2 3" xfId="27549" xr:uid="{00000000-0005-0000-0000-0000B5140000}"/>
    <cellStyle name="Comma 2 2 2 5 5 2 3 2" xfId="41591" xr:uid="{00000000-0005-0000-0000-0000B6140000}"/>
    <cellStyle name="Comma 2 2 2 5 5 2 4" xfId="30884" xr:uid="{00000000-0005-0000-0000-0000B7140000}"/>
    <cellStyle name="Comma 2 2 2 5 5 2 5" xfId="35167" xr:uid="{00000000-0005-0000-0000-0000B8140000}"/>
    <cellStyle name="Comma 2 2 2 5 5 3" xfId="15193" xr:uid="{00000000-0005-0000-0000-0000B9140000}"/>
    <cellStyle name="Comma 2 2 2 5 5 3 2" xfId="24206" xr:uid="{00000000-0005-0000-0000-0000BA140000}"/>
    <cellStyle name="Comma 2 2 2 5 5 3 2 2" xfId="43635" xr:uid="{00000000-0005-0000-0000-0000BB140000}"/>
    <cellStyle name="Comma 2 2 2 5 5 3 2 3" xfId="37212" xr:uid="{00000000-0005-0000-0000-0000BC140000}"/>
    <cellStyle name="Comma 2 2 2 5 5 3 3" xfId="28529" xr:uid="{00000000-0005-0000-0000-0000BD140000}"/>
    <cellStyle name="Comma 2 2 2 5 5 3 3 2" xfId="40428" xr:uid="{00000000-0005-0000-0000-0000BE140000}"/>
    <cellStyle name="Comma 2 2 2 5 5 3 4" xfId="31864" xr:uid="{00000000-0005-0000-0000-0000BF140000}"/>
    <cellStyle name="Comma 2 2 2 5 5 3 5" xfId="34004" xr:uid="{00000000-0005-0000-0000-0000C0140000}"/>
    <cellStyle name="Comma 2 2 2 5 5 4" xfId="8009" xr:uid="{00000000-0005-0000-0000-0000C1140000}"/>
    <cellStyle name="Comma 2 2 2 5 5 4 2" xfId="42657" xr:uid="{00000000-0005-0000-0000-0000C2140000}"/>
    <cellStyle name="Comma 2 2 2 5 5 4 3" xfId="36233" xr:uid="{00000000-0005-0000-0000-0000C3140000}"/>
    <cellStyle name="Comma 2 2 2 5 5 5" xfId="21000" xr:uid="{00000000-0005-0000-0000-0000C4140000}"/>
    <cellStyle name="Comma 2 2 2 5 5 5 2" xfId="39450" xr:uid="{00000000-0005-0000-0000-0000C5140000}"/>
    <cellStyle name="Comma 2 2 2 5 5 6" xfId="22073" xr:uid="{00000000-0005-0000-0000-0000C6140000}"/>
    <cellStyle name="Comma 2 2 2 5 5 7" xfId="23228" xr:uid="{00000000-0005-0000-0000-0000C7140000}"/>
    <cellStyle name="Comma 2 2 2 5 5 8" xfId="26395" xr:uid="{00000000-0005-0000-0000-0000C8140000}"/>
    <cellStyle name="Comma 2 2 2 5 5 9" xfId="29728" xr:uid="{00000000-0005-0000-0000-0000C9140000}"/>
    <cellStyle name="Comma 2 2 2 5 6" xfId="801" xr:uid="{00000000-0005-0000-0000-0000CA140000}"/>
    <cellStyle name="Comma 2 2 2 5 6 10" xfId="33027" xr:uid="{00000000-0005-0000-0000-0000CB140000}"/>
    <cellStyle name="Comma 2 2 2 5 6 2" xfId="9572" xr:uid="{00000000-0005-0000-0000-0000CC140000}"/>
    <cellStyle name="Comma 2 2 2 5 6 2 2" xfId="25372" xr:uid="{00000000-0005-0000-0000-0000CD140000}"/>
    <cellStyle name="Comma 2 2 2 5 6 2 2 2" xfId="44799" xr:uid="{00000000-0005-0000-0000-0000CE140000}"/>
    <cellStyle name="Comma 2 2 2 5 6 2 2 3" xfId="38376" xr:uid="{00000000-0005-0000-0000-0000CF140000}"/>
    <cellStyle name="Comma 2 2 2 5 6 2 3" xfId="27550" xr:uid="{00000000-0005-0000-0000-0000D0140000}"/>
    <cellStyle name="Comma 2 2 2 5 6 2 3 2" xfId="41592" xr:uid="{00000000-0005-0000-0000-0000D1140000}"/>
    <cellStyle name="Comma 2 2 2 5 6 2 4" xfId="30885" xr:uid="{00000000-0005-0000-0000-0000D2140000}"/>
    <cellStyle name="Comma 2 2 2 5 6 2 5" xfId="35168" xr:uid="{00000000-0005-0000-0000-0000D3140000}"/>
    <cellStyle name="Comma 2 2 2 5 6 3" xfId="15194" xr:uid="{00000000-0005-0000-0000-0000D4140000}"/>
    <cellStyle name="Comma 2 2 2 5 6 3 2" xfId="24207" xr:uid="{00000000-0005-0000-0000-0000D5140000}"/>
    <cellStyle name="Comma 2 2 2 5 6 3 2 2" xfId="43636" xr:uid="{00000000-0005-0000-0000-0000D6140000}"/>
    <cellStyle name="Comma 2 2 2 5 6 3 2 3" xfId="37213" xr:uid="{00000000-0005-0000-0000-0000D7140000}"/>
    <cellStyle name="Comma 2 2 2 5 6 3 3" xfId="28530" xr:uid="{00000000-0005-0000-0000-0000D8140000}"/>
    <cellStyle name="Comma 2 2 2 5 6 3 3 2" xfId="40429" xr:uid="{00000000-0005-0000-0000-0000D9140000}"/>
    <cellStyle name="Comma 2 2 2 5 6 3 4" xfId="31865" xr:uid="{00000000-0005-0000-0000-0000DA140000}"/>
    <cellStyle name="Comma 2 2 2 5 6 3 5" xfId="34005" xr:uid="{00000000-0005-0000-0000-0000DB140000}"/>
    <cellStyle name="Comma 2 2 2 5 6 4" xfId="8010" xr:uid="{00000000-0005-0000-0000-0000DC140000}"/>
    <cellStyle name="Comma 2 2 2 5 6 4 2" xfId="42658" xr:uid="{00000000-0005-0000-0000-0000DD140000}"/>
    <cellStyle name="Comma 2 2 2 5 6 4 3" xfId="36234" xr:uid="{00000000-0005-0000-0000-0000DE140000}"/>
    <cellStyle name="Comma 2 2 2 5 6 5" xfId="21001" xr:uid="{00000000-0005-0000-0000-0000DF140000}"/>
    <cellStyle name="Comma 2 2 2 5 6 5 2" xfId="39451" xr:uid="{00000000-0005-0000-0000-0000E0140000}"/>
    <cellStyle name="Comma 2 2 2 5 6 6" xfId="22074" xr:uid="{00000000-0005-0000-0000-0000E1140000}"/>
    <cellStyle name="Comma 2 2 2 5 6 7" xfId="23229" xr:uid="{00000000-0005-0000-0000-0000E2140000}"/>
    <cellStyle name="Comma 2 2 2 5 6 8" xfId="26396" xr:uid="{00000000-0005-0000-0000-0000E3140000}"/>
    <cellStyle name="Comma 2 2 2 5 6 9" xfId="29729" xr:uid="{00000000-0005-0000-0000-0000E4140000}"/>
    <cellStyle name="Comma 2 2 2 5 7" xfId="9079" xr:uid="{00000000-0005-0000-0000-0000E5140000}"/>
    <cellStyle name="Comma 2 2 2 5 7 2" xfId="25134" xr:uid="{00000000-0005-0000-0000-0000E6140000}"/>
    <cellStyle name="Comma 2 2 2 5 7 2 2" xfId="44561" xr:uid="{00000000-0005-0000-0000-0000E7140000}"/>
    <cellStyle name="Comma 2 2 2 5 7 2 3" xfId="38138" xr:uid="{00000000-0005-0000-0000-0000E8140000}"/>
    <cellStyle name="Comma 2 2 2 5 7 3" xfId="27313" xr:uid="{00000000-0005-0000-0000-0000E9140000}"/>
    <cellStyle name="Comma 2 2 2 5 7 3 2" xfId="41354" xr:uid="{00000000-0005-0000-0000-0000EA140000}"/>
    <cellStyle name="Comma 2 2 2 5 7 4" xfId="30648" xr:uid="{00000000-0005-0000-0000-0000EB140000}"/>
    <cellStyle name="Comma 2 2 2 5 7 5" xfId="34930" xr:uid="{00000000-0005-0000-0000-0000EC140000}"/>
    <cellStyle name="Comma 2 2 2 5 8" xfId="15189" xr:uid="{00000000-0005-0000-0000-0000ED140000}"/>
    <cellStyle name="Comma 2 2 2 5 8 2" xfId="24202" xr:uid="{00000000-0005-0000-0000-0000EE140000}"/>
    <cellStyle name="Comma 2 2 2 5 8 2 2" xfId="43631" xr:uid="{00000000-0005-0000-0000-0000EF140000}"/>
    <cellStyle name="Comma 2 2 2 5 8 2 3" xfId="37208" xr:uid="{00000000-0005-0000-0000-0000F0140000}"/>
    <cellStyle name="Comma 2 2 2 5 8 3" xfId="28525" xr:uid="{00000000-0005-0000-0000-0000F1140000}"/>
    <cellStyle name="Comma 2 2 2 5 8 3 2" xfId="40424" xr:uid="{00000000-0005-0000-0000-0000F2140000}"/>
    <cellStyle name="Comma 2 2 2 5 8 4" xfId="31860" xr:uid="{00000000-0005-0000-0000-0000F3140000}"/>
    <cellStyle name="Comma 2 2 2 5 8 5" xfId="34000" xr:uid="{00000000-0005-0000-0000-0000F4140000}"/>
    <cellStyle name="Comma 2 2 2 5 9" xfId="8005" xr:uid="{00000000-0005-0000-0000-0000F5140000}"/>
    <cellStyle name="Comma 2 2 2 5 9 2" xfId="42424" xr:uid="{00000000-0005-0000-0000-0000F6140000}"/>
    <cellStyle name="Comma 2 2 2 5 9 3" xfId="36000" xr:uid="{00000000-0005-0000-0000-0000F7140000}"/>
    <cellStyle name="Comma 2 2 2 6" xfId="802" xr:uid="{00000000-0005-0000-0000-0000F8140000}"/>
    <cellStyle name="Comma 2 2 2 6 10" xfId="22075" xr:uid="{00000000-0005-0000-0000-0000F9140000}"/>
    <cellStyle name="Comma 2 2 2 6 11" xfId="23230" xr:uid="{00000000-0005-0000-0000-0000FA140000}"/>
    <cellStyle name="Comma 2 2 2 6 12" xfId="26397" xr:uid="{00000000-0005-0000-0000-0000FB140000}"/>
    <cellStyle name="Comma 2 2 2 6 13" xfId="29730" xr:uid="{00000000-0005-0000-0000-0000FC140000}"/>
    <cellStyle name="Comma 2 2 2 6 14" xfId="33028" xr:uid="{00000000-0005-0000-0000-0000FD140000}"/>
    <cellStyle name="Comma 2 2 2 6 2" xfId="803" xr:uid="{00000000-0005-0000-0000-0000FE140000}"/>
    <cellStyle name="Comma 2 2 2 6 2 10" xfId="33029" xr:uid="{00000000-0005-0000-0000-0000FF140000}"/>
    <cellStyle name="Comma 2 2 2 6 2 2" xfId="9574" xr:uid="{00000000-0005-0000-0000-000000150000}"/>
    <cellStyle name="Comma 2 2 2 6 2 2 2" xfId="25374" xr:uid="{00000000-0005-0000-0000-000001150000}"/>
    <cellStyle name="Comma 2 2 2 6 2 2 2 2" xfId="44801" xr:uid="{00000000-0005-0000-0000-000002150000}"/>
    <cellStyle name="Comma 2 2 2 6 2 2 2 3" xfId="38378" xr:uid="{00000000-0005-0000-0000-000003150000}"/>
    <cellStyle name="Comma 2 2 2 6 2 2 3" xfId="27552" xr:uid="{00000000-0005-0000-0000-000004150000}"/>
    <cellStyle name="Comma 2 2 2 6 2 2 3 2" xfId="41594" xr:uid="{00000000-0005-0000-0000-000005150000}"/>
    <cellStyle name="Comma 2 2 2 6 2 2 4" xfId="30887" xr:uid="{00000000-0005-0000-0000-000006150000}"/>
    <cellStyle name="Comma 2 2 2 6 2 2 5" xfId="35170" xr:uid="{00000000-0005-0000-0000-000007150000}"/>
    <cellStyle name="Comma 2 2 2 6 2 3" xfId="15196" xr:uid="{00000000-0005-0000-0000-000008150000}"/>
    <cellStyle name="Comma 2 2 2 6 2 3 2" xfId="24209" xr:uid="{00000000-0005-0000-0000-000009150000}"/>
    <cellStyle name="Comma 2 2 2 6 2 3 2 2" xfId="43638" xr:uid="{00000000-0005-0000-0000-00000A150000}"/>
    <cellStyle name="Comma 2 2 2 6 2 3 2 3" xfId="37215" xr:uid="{00000000-0005-0000-0000-00000B150000}"/>
    <cellStyle name="Comma 2 2 2 6 2 3 3" xfId="28532" xr:uid="{00000000-0005-0000-0000-00000C150000}"/>
    <cellStyle name="Comma 2 2 2 6 2 3 3 2" xfId="40431" xr:uid="{00000000-0005-0000-0000-00000D150000}"/>
    <cellStyle name="Comma 2 2 2 6 2 3 4" xfId="31867" xr:uid="{00000000-0005-0000-0000-00000E150000}"/>
    <cellStyle name="Comma 2 2 2 6 2 3 5" xfId="34007" xr:uid="{00000000-0005-0000-0000-00000F150000}"/>
    <cellStyle name="Comma 2 2 2 6 2 4" xfId="8012" xr:uid="{00000000-0005-0000-0000-000010150000}"/>
    <cellStyle name="Comma 2 2 2 6 2 4 2" xfId="42660" xr:uid="{00000000-0005-0000-0000-000011150000}"/>
    <cellStyle name="Comma 2 2 2 6 2 4 3" xfId="36236" xr:uid="{00000000-0005-0000-0000-000012150000}"/>
    <cellStyle name="Comma 2 2 2 6 2 5" xfId="21003" xr:uid="{00000000-0005-0000-0000-000013150000}"/>
    <cellStyle name="Comma 2 2 2 6 2 5 2" xfId="39453" xr:uid="{00000000-0005-0000-0000-000014150000}"/>
    <cellStyle name="Comma 2 2 2 6 2 6" xfId="22076" xr:uid="{00000000-0005-0000-0000-000015150000}"/>
    <cellStyle name="Comma 2 2 2 6 2 7" xfId="23231" xr:uid="{00000000-0005-0000-0000-000016150000}"/>
    <cellStyle name="Comma 2 2 2 6 2 8" xfId="26398" xr:uid="{00000000-0005-0000-0000-000017150000}"/>
    <cellStyle name="Comma 2 2 2 6 2 9" xfId="29731" xr:uid="{00000000-0005-0000-0000-000018150000}"/>
    <cellStyle name="Comma 2 2 2 6 3" xfId="804" xr:uid="{00000000-0005-0000-0000-000019150000}"/>
    <cellStyle name="Comma 2 2 2 6 3 10" xfId="33030" xr:uid="{00000000-0005-0000-0000-00001A150000}"/>
    <cellStyle name="Comma 2 2 2 6 3 2" xfId="9575" xr:uid="{00000000-0005-0000-0000-00001B150000}"/>
    <cellStyle name="Comma 2 2 2 6 3 2 2" xfId="25375" xr:uid="{00000000-0005-0000-0000-00001C150000}"/>
    <cellStyle name="Comma 2 2 2 6 3 2 2 2" xfId="44802" xr:uid="{00000000-0005-0000-0000-00001D150000}"/>
    <cellStyle name="Comma 2 2 2 6 3 2 2 3" xfId="38379" xr:uid="{00000000-0005-0000-0000-00001E150000}"/>
    <cellStyle name="Comma 2 2 2 6 3 2 3" xfId="27553" xr:uid="{00000000-0005-0000-0000-00001F150000}"/>
    <cellStyle name="Comma 2 2 2 6 3 2 3 2" xfId="41595" xr:uid="{00000000-0005-0000-0000-000020150000}"/>
    <cellStyle name="Comma 2 2 2 6 3 2 4" xfId="30888" xr:uid="{00000000-0005-0000-0000-000021150000}"/>
    <cellStyle name="Comma 2 2 2 6 3 2 5" xfId="35171" xr:uid="{00000000-0005-0000-0000-000022150000}"/>
    <cellStyle name="Comma 2 2 2 6 3 3" xfId="15197" xr:uid="{00000000-0005-0000-0000-000023150000}"/>
    <cellStyle name="Comma 2 2 2 6 3 3 2" xfId="24210" xr:uid="{00000000-0005-0000-0000-000024150000}"/>
    <cellStyle name="Comma 2 2 2 6 3 3 2 2" xfId="43639" xr:uid="{00000000-0005-0000-0000-000025150000}"/>
    <cellStyle name="Comma 2 2 2 6 3 3 2 3" xfId="37216" xr:uid="{00000000-0005-0000-0000-000026150000}"/>
    <cellStyle name="Comma 2 2 2 6 3 3 3" xfId="28533" xr:uid="{00000000-0005-0000-0000-000027150000}"/>
    <cellStyle name="Comma 2 2 2 6 3 3 3 2" xfId="40432" xr:uid="{00000000-0005-0000-0000-000028150000}"/>
    <cellStyle name="Comma 2 2 2 6 3 3 4" xfId="31868" xr:uid="{00000000-0005-0000-0000-000029150000}"/>
    <cellStyle name="Comma 2 2 2 6 3 3 5" xfId="34008" xr:uid="{00000000-0005-0000-0000-00002A150000}"/>
    <cellStyle name="Comma 2 2 2 6 3 4" xfId="8013" xr:uid="{00000000-0005-0000-0000-00002B150000}"/>
    <cellStyle name="Comma 2 2 2 6 3 4 2" xfId="42661" xr:uid="{00000000-0005-0000-0000-00002C150000}"/>
    <cellStyle name="Comma 2 2 2 6 3 4 3" xfId="36237" xr:uid="{00000000-0005-0000-0000-00002D150000}"/>
    <cellStyle name="Comma 2 2 2 6 3 5" xfId="21004" xr:uid="{00000000-0005-0000-0000-00002E150000}"/>
    <cellStyle name="Comma 2 2 2 6 3 5 2" xfId="39454" xr:uid="{00000000-0005-0000-0000-00002F150000}"/>
    <cellStyle name="Comma 2 2 2 6 3 6" xfId="22077" xr:uid="{00000000-0005-0000-0000-000030150000}"/>
    <cellStyle name="Comma 2 2 2 6 3 7" xfId="23232" xr:uid="{00000000-0005-0000-0000-000031150000}"/>
    <cellStyle name="Comma 2 2 2 6 3 8" xfId="26399" xr:uid="{00000000-0005-0000-0000-000032150000}"/>
    <cellStyle name="Comma 2 2 2 6 3 9" xfId="29732" xr:uid="{00000000-0005-0000-0000-000033150000}"/>
    <cellStyle name="Comma 2 2 2 6 4" xfId="805" xr:uid="{00000000-0005-0000-0000-000034150000}"/>
    <cellStyle name="Comma 2 2 2 6 4 10" xfId="33031" xr:uid="{00000000-0005-0000-0000-000035150000}"/>
    <cellStyle name="Comma 2 2 2 6 4 2" xfId="9576" xr:uid="{00000000-0005-0000-0000-000036150000}"/>
    <cellStyle name="Comma 2 2 2 6 4 2 2" xfId="25376" xr:uid="{00000000-0005-0000-0000-000037150000}"/>
    <cellStyle name="Comma 2 2 2 6 4 2 2 2" xfId="44803" xr:uid="{00000000-0005-0000-0000-000038150000}"/>
    <cellStyle name="Comma 2 2 2 6 4 2 2 3" xfId="38380" xr:uid="{00000000-0005-0000-0000-000039150000}"/>
    <cellStyle name="Comma 2 2 2 6 4 2 3" xfId="27554" xr:uid="{00000000-0005-0000-0000-00003A150000}"/>
    <cellStyle name="Comma 2 2 2 6 4 2 3 2" xfId="41596" xr:uid="{00000000-0005-0000-0000-00003B150000}"/>
    <cellStyle name="Comma 2 2 2 6 4 2 4" xfId="30889" xr:uid="{00000000-0005-0000-0000-00003C150000}"/>
    <cellStyle name="Comma 2 2 2 6 4 2 5" xfId="35172" xr:uid="{00000000-0005-0000-0000-00003D150000}"/>
    <cellStyle name="Comma 2 2 2 6 4 3" xfId="15198" xr:uid="{00000000-0005-0000-0000-00003E150000}"/>
    <cellStyle name="Comma 2 2 2 6 4 3 2" xfId="24211" xr:uid="{00000000-0005-0000-0000-00003F150000}"/>
    <cellStyle name="Comma 2 2 2 6 4 3 2 2" xfId="43640" xr:uid="{00000000-0005-0000-0000-000040150000}"/>
    <cellStyle name="Comma 2 2 2 6 4 3 2 3" xfId="37217" xr:uid="{00000000-0005-0000-0000-000041150000}"/>
    <cellStyle name="Comma 2 2 2 6 4 3 3" xfId="28534" xr:uid="{00000000-0005-0000-0000-000042150000}"/>
    <cellStyle name="Comma 2 2 2 6 4 3 3 2" xfId="40433" xr:uid="{00000000-0005-0000-0000-000043150000}"/>
    <cellStyle name="Comma 2 2 2 6 4 3 4" xfId="31869" xr:uid="{00000000-0005-0000-0000-000044150000}"/>
    <cellStyle name="Comma 2 2 2 6 4 3 5" xfId="34009" xr:uid="{00000000-0005-0000-0000-000045150000}"/>
    <cellStyle name="Comma 2 2 2 6 4 4" xfId="8014" xr:uid="{00000000-0005-0000-0000-000046150000}"/>
    <cellStyle name="Comma 2 2 2 6 4 4 2" xfId="42662" xr:uid="{00000000-0005-0000-0000-000047150000}"/>
    <cellStyle name="Comma 2 2 2 6 4 4 3" xfId="36238" xr:uid="{00000000-0005-0000-0000-000048150000}"/>
    <cellStyle name="Comma 2 2 2 6 4 5" xfId="21005" xr:uid="{00000000-0005-0000-0000-000049150000}"/>
    <cellStyle name="Comma 2 2 2 6 4 5 2" xfId="39455" xr:uid="{00000000-0005-0000-0000-00004A150000}"/>
    <cellStyle name="Comma 2 2 2 6 4 6" xfId="22078" xr:uid="{00000000-0005-0000-0000-00004B150000}"/>
    <cellStyle name="Comma 2 2 2 6 4 7" xfId="23233" xr:uid="{00000000-0005-0000-0000-00004C150000}"/>
    <cellStyle name="Comma 2 2 2 6 4 8" xfId="26400" xr:uid="{00000000-0005-0000-0000-00004D150000}"/>
    <cellStyle name="Comma 2 2 2 6 4 9" xfId="29733" xr:uid="{00000000-0005-0000-0000-00004E150000}"/>
    <cellStyle name="Comma 2 2 2 6 5" xfId="806" xr:uid="{00000000-0005-0000-0000-00004F150000}"/>
    <cellStyle name="Comma 2 2 2 6 5 10" xfId="33032" xr:uid="{00000000-0005-0000-0000-000050150000}"/>
    <cellStyle name="Comma 2 2 2 6 5 2" xfId="9577" xr:uid="{00000000-0005-0000-0000-000051150000}"/>
    <cellStyle name="Comma 2 2 2 6 5 2 2" xfId="25377" xr:uid="{00000000-0005-0000-0000-000052150000}"/>
    <cellStyle name="Comma 2 2 2 6 5 2 2 2" xfId="44804" xr:uid="{00000000-0005-0000-0000-000053150000}"/>
    <cellStyle name="Comma 2 2 2 6 5 2 2 3" xfId="38381" xr:uid="{00000000-0005-0000-0000-000054150000}"/>
    <cellStyle name="Comma 2 2 2 6 5 2 3" xfId="27555" xr:uid="{00000000-0005-0000-0000-000055150000}"/>
    <cellStyle name="Comma 2 2 2 6 5 2 3 2" xfId="41597" xr:uid="{00000000-0005-0000-0000-000056150000}"/>
    <cellStyle name="Comma 2 2 2 6 5 2 4" xfId="30890" xr:uid="{00000000-0005-0000-0000-000057150000}"/>
    <cellStyle name="Comma 2 2 2 6 5 2 5" xfId="35173" xr:uid="{00000000-0005-0000-0000-000058150000}"/>
    <cellStyle name="Comma 2 2 2 6 5 3" xfId="15199" xr:uid="{00000000-0005-0000-0000-000059150000}"/>
    <cellStyle name="Comma 2 2 2 6 5 3 2" xfId="24212" xr:uid="{00000000-0005-0000-0000-00005A150000}"/>
    <cellStyle name="Comma 2 2 2 6 5 3 2 2" xfId="43641" xr:uid="{00000000-0005-0000-0000-00005B150000}"/>
    <cellStyle name="Comma 2 2 2 6 5 3 2 3" xfId="37218" xr:uid="{00000000-0005-0000-0000-00005C150000}"/>
    <cellStyle name="Comma 2 2 2 6 5 3 3" xfId="28535" xr:uid="{00000000-0005-0000-0000-00005D150000}"/>
    <cellStyle name="Comma 2 2 2 6 5 3 3 2" xfId="40434" xr:uid="{00000000-0005-0000-0000-00005E150000}"/>
    <cellStyle name="Comma 2 2 2 6 5 3 4" xfId="31870" xr:uid="{00000000-0005-0000-0000-00005F150000}"/>
    <cellStyle name="Comma 2 2 2 6 5 3 5" xfId="34010" xr:uid="{00000000-0005-0000-0000-000060150000}"/>
    <cellStyle name="Comma 2 2 2 6 5 4" xfId="8015" xr:uid="{00000000-0005-0000-0000-000061150000}"/>
    <cellStyle name="Comma 2 2 2 6 5 4 2" xfId="42663" xr:uid="{00000000-0005-0000-0000-000062150000}"/>
    <cellStyle name="Comma 2 2 2 6 5 4 3" xfId="36239" xr:uid="{00000000-0005-0000-0000-000063150000}"/>
    <cellStyle name="Comma 2 2 2 6 5 5" xfId="21006" xr:uid="{00000000-0005-0000-0000-000064150000}"/>
    <cellStyle name="Comma 2 2 2 6 5 5 2" xfId="39456" xr:uid="{00000000-0005-0000-0000-000065150000}"/>
    <cellStyle name="Comma 2 2 2 6 5 6" xfId="22079" xr:uid="{00000000-0005-0000-0000-000066150000}"/>
    <cellStyle name="Comma 2 2 2 6 5 7" xfId="23234" xr:uid="{00000000-0005-0000-0000-000067150000}"/>
    <cellStyle name="Comma 2 2 2 6 5 8" xfId="26401" xr:uid="{00000000-0005-0000-0000-000068150000}"/>
    <cellStyle name="Comma 2 2 2 6 5 9" xfId="29734" xr:uid="{00000000-0005-0000-0000-000069150000}"/>
    <cellStyle name="Comma 2 2 2 6 6" xfId="9573" xr:uid="{00000000-0005-0000-0000-00006A150000}"/>
    <cellStyle name="Comma 2 2 2 6 6 2" xfId="25373" xr:uid="{00000000-0005-0000-0000-00006B150000}"/>
    <cellStyle name="Comma 2 2 2 6 6 2 2" xfId="44800" xr:uid="{00000000-0005-0000-0000-00006C150000}"/>
    <cellStyle name="Comma 2 2 2 6 6 2 3" xfId="38377" xr:uid="{00000000-0005-0000-0000-00006D150000}"/>
    <cellStyle name="Comma 2 2 2 6 6 3" xfId="27551" xr:uid="{00000000-0005-0000-0000-00006E150000}"/>
    <cellStyle name="Comma 2 2 2 6 6 3 2" xfId="41593" xr:uid="{00000000-0005-0000-0000-00006F150000}"/>
    <cellStyle name="Comma 2 2 2 6 6 4" xfId="30886" xr:uid="{00000000-0005-0000-0000-000070150000}"/>
    <cellStyle name="Comma 2 2 2 6 6 5" xfId="35169" xr:uid="{00000000-0005-0000-0000-000071150000}"/>
    <cellStyle name="Comma 2 2 2 6 7" xfId="15195" xr:uid="{00000000-0005-0000-0000-000072150000}"/>
    <cellStyle name="Comma 2 2 2 6 7 2" xfId="24208" xr:uid="{00000000-0005-0000-0000-000073150000}"/>
    <cellStyle name="Comma 2 2 2 6 7 2 2" xfId="43637" xr:uid="{00000000-0005-0000-0000-000074150000}"/>
    <cellStyle name="Comma 2 2 2 6 7 2 3" xfId="37214" xr:uid="{00000000-0005-0000-0000-000075150000}"/>
    <cellStyle name="Comma 2 2 2 6 7 3" xfId="28531" xr:uid="{00000000-0005-0000-0000-000076150000}"/>
    <cellStyle name="Comma 2 2 2 6 7 3 2" xfId="40430" xr:uid="{00000000-0005-0000-0000-000077150000}"/>
    <cellStyle name="Comma 2 2 2 6 7 4" xfId="31866" xr:uid="{00000000-0005-0000-0000-000078150000}"/>
    <cellStyle name="Comma 2 2 2 6 7 5" xfId="34006" xr:uid="{00000000-0005-0000-0000-000079150000}"/>
    <cellStyle name="Comma 2 2 2 6 8" xfId="8011" xr:uid="{00000000-0005-0000-0000-00007A150000}"/>
    <cellStyle name="Comma 2 2 2 6 8 2" xfId="42659" xr:uid="{00000000-0005-0000-0000-00007B150000}"/>
    <cellStyle name="Comma 2 2 2 6 8 3" xfId="36235" xr:uid="{00000000-0005-0000-0000-00007C150000}"/>
    <cellStyle name="Comma 2 2 2 6 9" xfId="21002" xr:uid="{00000000-0005-0000-0000-00007D150000}"/>
    <cellStyle name="Comma 2 2 2 6 9 2" xfId="39452" xr:uid="{00000000-0005-0000-0000-00007E150000}"/>
    <cellStyle name="Comma 2 2 2 7" xfId="807" xr:uid="{00000000-0005-0000-0000-00007F150000}"/>
    <cellStyle name="Comma 2 2 2 7 10" xfId="22080" xr:uid="{00000000-0005-0000-0000-000080150000}"/>
    <cellStyle name="Comma 2 2 2 7 11" xfId="23235" xr:uid="{00000000-0005-0000-0000-000081150000}"/>
    <cellStyle name="Comma 2 2 2 7 12" xfId="26402" xr:uid="{00000000-0005-0000-0000-000082150000}"/>
    <cellStyle name="Comma 2 2 2 7 13" xfId="29735" xr:uid="{00000000-0005-0000-0000-000083150000}"/>
    <cellStyle name="Comma 2 2 2 7 14" xfId="33033" xr:uid="{00000000-0005-0000-0000-000084150000}"/>
    <cellStyle name="Comma 2 2 2 7 2" xfId="808" xr:uid="{00000000-0005-0000-0000-000085150000}"/>
    <cellStyle name="Comma 2 2 2 7 2 10" xfId="33034" xr:uid="{00000000-0005-0000-0000-000086150000}"/>
    <cellStyle name="Comma 2 2 2 7 2 2" xfId="9579" xr:uid="{00000000-0005-0000-0000-000087150000}"/>
    <cellStyle name="Comma 2 2 2 7 2 2 2" xfId="25379" xr:uid="{00000000-0005-0000-0000-000088150000}"/>
    <cellStyle name="Comma 2 2 2 7 2 2 2 2" xfId="44806" xr:uid="{00000000-0005-0000-0000-000089150000}"/>
    <cellStyle name="Comma 2 2 2 7 2 2 2 3" xfId="38383" xr:uid="{00000000-0005-0000-0000-00008A150000}"/>
    <cellStyle name="Comma 2 2 2 7 2 2 3" xfId="27557" xr:uid="{00000000-0005-0000-0000-00008B150000}"/>
    <cellStyle name="Comma 2 2 2 7 2 2 3 2" xfId="41599" xr:uid="{00000000-0005-0000-0000-00008C150000}"/>
    <cellStyle name="Comma 2 2 2 7 2 2 4" xfId="30892" xr:uid="{00000000-0005-0000-0000-00008D150000}"/>
    <cellStyle name="Comma 2 2 2 7 2 2 5" xfId="35175" xr:uid="{00000000-0005-0000-0000-00008E150000}"/>
    <cellStyle name="Comma 2 2 2 7 2 3" xfId="15201" xr:uid="{00000000-0005-0000-0000-00008F150000}"/>
    <cellStyle name="Comma 2 2 2 7 2 3 2" xfId="24214" xr:uid="{00000000-0005-0000-0000-000090150000}"/>
    <cellStyle name="Comma 2 2 2 7 2 3 2 2" xfId="43643" xr:uid="{00000000-0005-0000-0000-000091150000}"/>
    <cellStyle name="Comma 2 2 2 7 2 3 2 3" xfId="37220" xr:uid="{00000000-0005-0000-0000-000092150000}"/>
    <cellStyle name="Comma 2 2 2 7 2 3 3" xfId="28537" xr:uid="{00000000-0005-0000-0000-000093150000}"/>
    <cellStyle name="Comma 2 2 2 7 2 3 3 2" xfId="40436" xr:uid="{00000000-0005-0000-0000-000094150000}"/>
    <cellStyle name="Comma 2 2 2 7 2 3 4" xfId="31872" xr:uid="{00000000-0005-0000-0000-000095150000}"/>
    <cellStyle name="Comma 2 2 2 7 2 3 5" xfId="34012" xr:uid="{00000000-0005-0000-0000-000096150000}"/>
    <cellStyle name="Comma 2 2 2 7 2 4" xfId="8017" xr:uid="{00000000-0005-0000-0000-000097150000}"/>
    <cellStyle name="Comma 2 2 2 7 2 4 2" xfId="42665" xr:uid="{00000000-0005-0000-0000-000098150000}"/>
    <cellStyle name="Comma 2 2 2 7 2 4 3" xfId="36241" xr:uid="{00000000-0005-0000-0000-000099150000}"/>
    <cellStyle name="Comma 2 2 2 7 2 5" xfId="21008" xr:uid="{00000000-0005-0000-0000-00009A150000}"/>
    <cellStyle name="Comma 2 2 2 7 2 5 2" xfId="39458" xr:uid="{00000000-0005-0000-0000-00009B150000}"/>
    <cellStyle name="Comma 2 2 2 7 2 6" xfId="22081" xr:uid="{00000000-0005-0000-0000-00009C150000}"/>
    <cellStyle name="Comma 2 2 2 7 2 7" xfId="23236" xr:uid="{00000000-0005-0000-0000-00009D150000}"/>
    <cellStyle name="Comma 2 2 2 7 2 8" xfId="26403" xr:uid="{00000000-0005-0000-0000-00009E150000}"/>
    <cellStyle name="Comma 2 2 2 7 2 9" xfId="29736" xr:uid="{00000000-0005-0000-0000-00009F150000}"/>
    <cellStyle name="Comma 2 2 2 7 3" xfId="809" xr:uid="{00000000-0005-0000-0000-0000A0150000}"/>
    <cellStyle name="Comma 2 2 2 7 3 10" xfId="33035" xr:uid="{00000000-0005-0000-0000-0000A1150000}"/>
    <cellStyle name="Comma 2 2 2 7 3 2" xfId="9580" xr:uid="{00000000-0005-0000-0000-0000A2150000}"/>
    <cellStyle name="Comma 2 2 2 7 3 2 2" xfId="25380" xr:uid="{00000000-0005-0000-0000-0000A3150000}"/>
    <cellStyle name="Comma 2 2 2 7 3 2 2 2" xfId="44807" xr:uid="{00000000-0005-0000-0000-0000A4150000}"/>
    <cellStyle name="Comma 2 2 2 7 3 2 2 3" xfId="38384" xr:uid="{00000000-0005-0000-0000-0000A5150000}"/>
    <cellStyle name="Comma 2 2 2 7 3 2 3" xfId="27558" xr:uid="{00000000-0005-0000-0000-0000A6150000}"/>
    <cellStyle name="Comma 2 2 2 7 3 2 3 2" xfId="41600" xr:uid="{00000000-0005-0000-0000-0000A7150000}"/>
    <cellStyle name="Comma 2 2 2 7 3 2 4" xfId="30893" xr:uid="{00000000-0005-0000-0000-0000A8150000}"/>
    <cellStyle name="Comma 2 2 2 7 3 2 5" xfId="35176" xr:uid="{00000000-0005-0000-0000-0000A9150000}"/>
    <cellStyle name="Comma 2 2 2 7 3 3" xfId="15202" xr:uid="{00000000-0005-0000-0000-0000AA150000}"/>
    <cellStyle name="Comma 2 2 2 7 3 3 2" xfId="24215" xr:uid="{00000000-0005-0000-0000-0000AB150000}"/>
    <cellStyle name="Comma 2 2 2 7 3 3 2 2" xfId="43644" xr:uid="{00000000-0005-0000-0000-0000AC150000}"/>
    <cellStyle name="Comma 2 2 2 7 3 3 2 3" xfId="37221" xr:uid="{00000000-0005-0000-0000-0000AD150000}"/>
    <cellStyle name="Comma 2 2 2 7 3 3 3" xfId="28538" xr:uid="{00000000-0005-0000-0000-0000AE150000}"/>
    <cellStyle name="Comma 2 2 2 7 3 3 3 2" xfId="40437" xr:uid="{00000000-0005-0000-0000-0000AF150000}"/>
    <cellStyle name="Comma 2 2 2 7 3 3 4" xfId="31873" xr:uid="{00000000-0005-0000-0000-0000B0150000}"/>
    <cellStyle name="Comma 2 2 2 7 3 3 5" xfId="34013" xr:uid="{00000000-0005-0000-0000-0000B1150000}"/>
    <cellStyle name="Comma 2 2 2 7 3 4" xfId="8018" xr:uid="{00000000-0005-0000-0000-0000B2150000}"/>
    <cellStyle name="Comma 2 2 2 7 3 4 2" xfId="42666" xr:uid="{00000000-0005-0000-0000-0000B3150000}"/>
    <cellStyle name="Comma 2 2 2 7 3 4 3" xfId="36242" xr:uid="{00000000-0005-0000-0000-0000B4150000}"/>
    <cellStyle name="Comma 2 2 2 7 3 5" xfId="21009" xr:uid="{00000000-0005-0000-0000-0000B5150000}"/>
    <cellStyle name="Comma 2 2 2 7 3 5 2" xfId="39459" xr:uid="{00000000-0005-0000-0000-0000B6150000}"/>
    <cellStyle name="Comma 2 2 2 7 3 6" xfId="22082" xr:uid="{00000000-0005-0000-0000-0000B7150000}"/>
    <cellStyle name="Comma 2 2 2 7 3 7" xfId="23237" xr:uid="{00000000-0005-0000-0000-0000B8150000}"/>
    <cellStyle name="Comma 2 2 2 7 3 8" xfId="26404" xr:uid="{00000000-0005-0000-0000-0000B9150000}"/>
    <cellStyle name="Comma 2 2 2 7 3 9" xfId="29737" xr:uid="{00000000-0005-0000-0000-0000BA150000}"/>
    <cellStyle name="Comma 2 2 2 7 4" xfId="810" xr:uid="{00000000-0005-0000-0000-0000BB150000}"/>
    <cellStyle name="Comma 2 2 2 7 4 10" xfId="33036" xr:uid="{00000000-0005-0000-0000-0000BC150000}"/>
    <cellStyle name="Comma 2 2 2 7 4 2" xfId="9581" xr:uid="{00000000-0005-0000-0000-0000BD150000}"/>
    <cellStyle name="Comma 2 2 2 7 4 2 2" xfId="25381" xr:uid="{00000000-0005-0000-0000-0000BE150000}"/>
    <cellStyle name="Comma 2 2 2 7 4 2 2 2" xfId="44808" xr:uid="{00000000-0005-0000-0000-0000BF150000}"/>
    <cellStyle name="Comma 2 2 2 7 4 2 2 3" xfId="38385" xr:uid="{00000000-0005-0000-0000-0000C0150000}"/>
    <cellStyle name="Comma 2 2 2 7 4 2 3" xfId="27559" xr:uid="{00000000-0005-0000-0000-0000C1150000}"/>
    <cellStyle name="Comma 2 2 2 7 4 2 3 2" xfId="41601" xr:uid="{00000000-0005-0000-0000-0000C2150000}"/>
    <cellStyle name="Comma 2 2 2 7 4 2 4" xfId="30894" xr:uid="{00000000-0005-0000-0000-0000C3150000}"/>
    <cellStyle name="Comma 2 2 2 7 4 2 5" xfId="35177" xr:uid="{00000000-0005-0000-0000-0000C4150000}"/>
    <cellStyle name="Comma 2 2 2 7 4 3" xfId="15203" xr:uid="{00000000-0005-0000-0000-0000C5150000}"/>
    <cellStyle name="Comma 2 2 2 7 4 3 2" xfId="24216" xr:uid="{00000000-0005-0000-0000-0000C6150000}"/>
    <cellStyle name="Comma 2 2 2 7 4 3 2 2" xfId="43645" xr:uid="{00000000-0005-0000-0000-0000C7150000}"/>
    <cellStyle name="Comma 2 2 2 7 4 3 2 3" xfId="37222" xr:uid="{00000000-0005-0000-0000-0000C8150000}"/>
    <cellStyle name="Comma 2 2 2 7 4 3 3" xfId="28539" xr:uid="{00000000-0005-0000-0000-0000C9150000}"/>
    <cellStyle name="Comma 2 2 2 7 4 3 3 2" xfId="40438" xr:uid="{00000000-0005-0000-0000-0000CA150000}"/>
    <cellStyle name="Comma 2 2 2 7 4 3 4" xfId="31874" xr:uid="{00000000-0005-0000-0000-0000CB150000}"/>
    <cellStyle name="Comma 2 2 2 7 4 3 5" xfId="34014" xr:uid="{00000000-0005-0000-0000-0000CC150000}"/>
    <cellStyle name="Comma 2 2 2 7 4 4" xfId="8019" xr:uid="{00000000-0005-0000-0000-0000CD150000}"/>
    <cellStyle name="Comma 2 2 2 7 4 4 2" xfId="42667" xr:uid="{00000000-0005-0000-0000-0000CE150000}"/>
    <cellStyle name="Comma 2 2 2 7 4 4 3" xfId="36243" xr:uid="{00000000-0005-0000-0000-0000CF150000}"/>
    <cellStyle name="Comma 2 2 2 7 4 5" xfId="21010" xr:uid="{00000000-0005-0000-0000-0000D0150000}"/>
    <cellStyle name="Comma 2 2 2 7 4 5 2" xfId="39460" xr:uid="{00000000-0005-0000-0000-0000D1150000}"/>
    <cellStyle name="Comma 2 2 2 7 4 6" xfId="22083" xr:uid="{00000000-0005-0000-0000-0000D2150000}"/>
    <cellStyle name="Comma 2 2 2 7 4 7" xfId="23238" xr:uid="{00000000-0005-0000-0000-0000D3150000}"/>
    <cellStyle name="Comma 2 2 2 7 4 8" xfId="26405" xr:uid="{00000000-0005-0000-0000-0000D4150000}"/>
    <cellStyle name="Comma 2 2 2 7 4 9" xfId="29738" xr:uid="{00000000-0005-0000-0000-0000D5150000}"/>
    <cellStyle name="Comma 2 2 2 7 5" xfId="811" xr:uid="{00000000-0005-0000-0000-0000D6150000}"/>
    <cellStyle name="Comma 2 2 2 7 5 10" xfId="33037" xr:uid="{00000000-0005-0000-0000-0000D7150000}"/>
    <cellStyle name="Comma 2 2 2 7 5 2" xfId="9582" xr:uid="{00000000-0005-0000-0000-0000D8150000}"/>
    <cellStyle name="Comma 2 2 2 7 5 2 2" xfId="25382" xr:uid="{00000000-0005-0000-0000-0000D9150000}"/>
    <cellStyle name="Comma 2 2 2 7 5 2 2 2" xfId="44809" xr:uid="{00000000-0005-0000-0000-0000DA150000}"/>
    <cellStyle name="Comma 2 2 2 7 5 2 2 3" xfId="38386" xr:uid="{00000000-0005-0000-0000-0000DB150000}"/>
    <cellStyle name="Comma 2 2 2 7 5 2 3" xfId="27560" xr:uid="{00000000-0005-0000-0000-0000DC150000}"/>
    <cellStyle name="Comma 2 2 2 7 5 2 3 2" xfId="41602" xr:uid="{00000000-0005-0000-0000-0000DD150000}"/>
    <cellStyle name="Comma 2 2 2 7 5 2 4" xfId="30895" xr:uid="{00000000-0005-0000-0000-0000DE150000}"/>
    <cellStyle name="Comma 2 2 2 7 5 2 5" xfId="35178" xr:uid="{00000000-0005-0000-0000-0000DF150000}"/>
    <cellStyle name="Comma 2 2 2 7 5 3" xfId="15204" xr:uid="{00000000-0005-0000-0000-0000E0150000}"/>
    <cellStyle name="Comma 2 2 2 7 5 3 2" xfId="24217" xr:uid="{00000000-0005-0000-0000-0000E1150000}"/>
    <cellStyle name="Comma 2 2 2 7 5 3 2 2" xfId="43646" xr:uid="{00000000-0005-0000-0000-0000E2150000}"/>
    <cellStyle name="Comma 2 2 2 7 5 3 2 3" xfId="37223" xr:uid="{00000000-0005-0000-0000-0000E3150000}"/>
    <cellStyle name="Comma 2 2 2 7 5 3 3" xfId="28540" xr:uid="{00000000-0005-0000-0000-0000E4150000}"/>
    <cellStyle name="Comma 2 2 2 7 5 3 3 2" xfId="40439" xr:uid="{00000000-0005-0000-0000-0000E5150000}"/>
    <cellStyle name="Comma 2 2 2 7 5 3 4" xfId="31875" xr:uid="{00000000-0005-0000-0000-0000E6150000}"/>
    <cellStyle name="Comma 2 2 2 7 5 3 5" xfId="34015" xr:uid="{00000000-0005-0000-0000-0000E7150000}"/>
    <cellStyle name="Comma 2 2 2 7 5 4" xfId="8020" xr:uid="{00000000-0005-0000-0000-0000E8150000}"/>
    <cellStyle name="Comma 2 2 2 7 5 4 2" xfId="42668" xr:uid="{00000000-0005-0000-0000-0000E9150000}"/>
    <cellStyle name="Comma 2 2 2 7 5 4 3" xfId="36244" xr:uid="{00000000-0005-0000-0000-0000EA150000}"/>
    <cellStyle name="Comma 2 2 2 7 5 5" xfId="21011" xr:uid="{00000000-0005-0000-0000-0000EB150000}"/>
    <cellStyle name="Comma 2 2 2 7 5 5 2" xfId="39461" xr:uid="{00000000-0005-0000-0000-0000EC150000}"/>
    <cellStyle name="Comma 2 2 2 7 5 6" xfId="22084" xr:uid="{00000000-0005-0000-0000-0000ED150000}"/>
    <cellStyle name="Comma 2 2 2 7 5 7" xfId="23239" xr:uid="{00000000-0005-0000-0000-0000EE150000}"/>
    <cellStyle name="Comma 2 2 2 7 5 8" xfId="26406" xr:uid="{00000000-0005-0000-0000-0000EF150000}"/>
    <cellStyle name="Comma 2 2 2 7 5 9" xfId="29739" xr:uid="{00000000-0005-0000-0000-0000F0150000}"/>
    <cellStyle name="Comma 2 2 2 7 6" xfId="9578" xr:uid="{00000000-0005-0000-0000-0000F1150000}"/>
    <cellStyle name="Comma 2 2 2 7 6 2" xfId="25378" xr:uid="{00000000-0005-0000-0000-0000F2150000}"/>
    <cellStyle name="Comma 2 2 2 7 6 2 2" xfId="44805" xr:uid="{00000000-0005-0000-0000-0000F3150000}"/>
    <cellStyle name="Comma 2 2 2 7 6 2 3" xfId="38382" xr:uid="{00000000-0005-0000-0000-0000F4150000}"/>
    <cellStyle name="Comma 2 2 2 7 6 3" xfId="27556" xr:uid="{00000000-0005-0000-0000-0000F5150000}"/>
    <cellStyle name="Comma 2 2 2 7 6 3 2" xfId="41598" xr:uid="{00000000-0005-0000-0000-0000F6150000}"/>
    <cellStyle name="Comma 2 2 2 7 6 4" xfId="30891" xr:uid="{00000000-0005-0000-0000-0000F7150000}"/>
    <cellStyle name="Comma 2 2 2 7 6 5" xfId="35174" xr:uid="{00000000-0005-0000-0000-0000F8150000}"/>
    <cellStyle name="Comma 2 2 2 7 7" xfId="15200" xr:uid="{00000000-0005-0000-0000-0000F9150000}"/>
    <cellStyle name="Comma 2 2 2 7 7 2" xfId="24213" xr:uid="{00000000-0005-0000-0000-0000FA150000}"/>
    <cellStyle name="Comma 2 2 2 7 7 2 2" xfId="43642" xr:uid="{00000000-0005-0000-0000-0000FB150000}"/>
    <cellStyle name="Comma 2 2 2 7 7 2 3" xfId="37219" xr:uid="{00000000-0005-0000-0000-0000FC150000}"/>
    <cellStyle name="Comma 2 2 2 7 7 3" xfId="28536" xr:uid="{00000000-0005-0000-0000-0000FD150000}"/>
    <cellStyle name="Comma 2 2 2 7 7 3 2" xfId="40435" xr:uid="{00000000-0005-0000-0000-0000FE150000}"/>
    <cellStyle name="Comma 2 2 2 7 7 4" xfId="31871" xr:uid="{00000000-0005-0000-0000-0000FF150000}"/>
    <cellStyle name="Comma 2 2 2 7 7 5" xfId="34011" xr:uid="{00000000-0005-0000-0000-000000160000}"/>
    <cellStyle name="Comma 2 2 2 7 8" xfId="8016" xr:uid="{00000000-0005-0000-0000-000001160000}"/>
    <cellStyle name="Comma 2 2 2 7 8 2" xfId="42664" xr:uid="{00000000-0005-0000-0000-000002160000}"/>
    <cellStyle name="Comma 2 2 2 7 8 3" xfId="36240" xr:uid="{00000000-0005-0000-0000-000003160000}"/>
    <cellStyle name="Comma 2 2 2 7 9" xfId="21007" xr:uid="{00000000-0005-0000-0000-000004160000}"/>
    <cellStyle name="Comma 2 2 2 7 9 2" xfId="39457" xr:uid="{00000000-0005-0000-0000-000005160000}"/>
    <cellStyle name="Comma 2 2 2 8" xfId="812" xr:uid="{00000000-0005-0000-0000-000006160000}"/>
    <cellStyle name="Comma 2 2 2 8 10" xfId="33038" xr:uid="{00000000-0005-0000-0000-000007160000}"/>
    <cellStyle name="Comma 2 2 2 8 2" xfId="9583" xr:uid="{00000000-0005-0000-0000-000008160000}"/>
    <cellStyle name="Comma 2 2 2 8 2 2" xfId="25383" xr:uid="{00000000-0005-0000-0000-000009160000}"/>
    <cellStyle name="Comma 2 2 2 8 2 2 2" xfId="44810" xr:uid="{00000000-0005-0000-0000-00000A160000}"/>
    <cellStyle name="Comma 2 2 2 8 2 2 3" xfId="38387" xr:uid="{00000000-0005-0000-0000-00000B160000}"/>
    <cellStyle name="Comma 2 2 2 8 2 3" xfId="27561" xr:uid="{00000000-0005-0000-0000-00000C160000}"/>
    <cellStyle name="Comma 2 2 2 8 2 3 2" xfId="41603" xr:uid="{00000000-0005-0000-0000-00000D160000}"/>
    <cellStyle name="Comma 2 2 2 8 2 4" xfId="30896" xr:uid="{00000000-0005-0000-0000-00000E160000}"/>
    <cellStyle name="Comma 2 2 2 8 2 5" xfId="35179" xr:uid="{00000000-0005-0000-0000-00000F160000}"/>
    <cellStyle name="Comma 2 2 2 8 3" xfId="15205" xr:uid="{00000000-0005-0000-0000-000010160000}"/>
    <cellStyle name="Comma 2 2 2 8 3 2" xfId="24218" xr:uid="{00000000-0005-0000-0000-000011160000}"/>
    <cellStyle name="Comma 2 2 2 8 3 2 2" xfId="43647" xr:uid="{00000000-0005-0000-0000-000012160000}"/>
    <cellStyle name="Comma 2 2 2 8 3 2 3" xfId="37224" xr:uid="{00000000-0005-0000-0000-000013160000}"/>
    <cellStyle name="Comma 2 2 2 8 3 3" xfId="28541" xr:uid="{00000000-0005-0000-0000-000014160000}"/>
    <cellStyle name="Comma 2 2 2 8 3 3 2" xfId="40440" xr:uid="{00000000-0005-0000-0000-000015160000}"/>
    <cellStyle name="Comma 2 2 2 8 3 4" xfId="31876" xr:uid="{00000000-0005-0000-0000-000016160000}"/>
    <cellStyle name="Comma 2 2 2 8 3 5" xfId="34016" xr:uid="{00000000-0005-0000-0000-000017160000}"/>
    <cellStyle name="Comma 2 2 2 8 4" xfId="8021" xr:uid="{00000000-0005-0000-0000-000018160000}"/>
    <cellStyle name="Comma 2 2 2 8 4 2" xfId="42669" xr:uid="{00000000-0005-0000-0000-000019160000}"/>
    <cellStyle name="Comma 2 2 2 8 4 3" xfId="36245" xr:uid="{00000000-0005-0000-0000-00001A160000}"/>
    <cellStyle name="Comma 2 2 2 8 5" xfId="21012" xr:uid="{00000000-0005-0000-0000-00001B160000}"/>
    <cellStyle name="Comma 2 2 2 8 5 2" xfId="39462" xr:uid="{00000000-0005-0000-0000-00001C160000}"/>
    <cellStyle name="Comma 2 2 2 8 6" xfId="22085" xr:uid="{00000000-0005-0000-0000-00001D160000}"/>
    <cellStyle name="Comma 2 2 2 8 7" xfId="23240" xr:uid="{00000000-0005-0000-0000-00001E160000}"/>
    <cellStyle name="Comma 2 2 2 8 8" xfId="26407" xr:uid="{00000000-0005-0000-0000-00001F160000}"/>
    <cellStyle name="Comma 2 2 2 8 9" xfId="29740" xr:uid="{00000000-0005-0000-0000-000020160000}"/>
    <cellStyle name="Comma 2 2 2 9" xfId="813" xr:uid="{00000000-0005-0000-0000-000021160000}"/>
    <cellStyle name="Comma 2 2 2 9 10" xfId="33039" xr:uid="{00000000-0005-0000-0000-000022160000}"/>
    <cellStyle name="Comma 2 2 2 9 2" xfId="9584" xr:uid="{00000000-0005-0000-0000-000023160000}"/>
    <cellStyle name="Comma 2 2 2 9 2 2" xfId="25384" xr:uid="{00000000-0005-0000-0000-000024160000}"/>
    <cellStyle name="Comma 2 2 2 9 2 2 2" xfId="44811" xr:uid="{00000000-0005-0000-0000-000025160000}"/>
    <cellStyle name="Comma 2 2 2 9 2 2 3" xfId="38388" xr:uid="{00000000-0005-0000-0000-000026160000}"/>
    <cellStyle name="Comma 2 2 2 9 2 3" xfId="27562" xr:uid="{00000000-0005-0000-0000-000027160000}"/>
    <cellStyle name="Comma 2 2 2 9 2 3 2" xfId="41604" xr:uid="{00000000-0005-0000-0000-000028160000}"/>
    <cellStyle name="Comma 2 2 2 9 2 4" xfId="30897" xr:uid="{00000000-0005-0000-0000-000029160000}"/>
    <cellStyle name="Comma 2 2 2 9 2 5" xfId="35180" xr:uid="{00000000-0005-0000-0000-00002A160000}"/>
    <cellStyle name="Comma 2 2 2 9 3" xfId="15206" xr:uid="{00000000-0005-0000-0000-00002B160000}"/>
    <cellStyle name="Comma 2 2 2 9 3 2" xfId="24219" xr:uid="{00000000-0005-0000-0000-00002C160000}"/>
    <cellStyle name="Comma 2 2 2 9 3 2 2" xfId="43648" xr:uid="{00000000-0005-0000-0000-00002D160000}"/>
    <cellStyle name="Comma 2 2 2 9 3 2 3" xfId="37225" xr:uid="{00000000-0005-0000-0000-00002E160000}"/>
    <cellStyle name="Comma 2 2 2 9 3 3" xfId="28542" xr:uid="{00000000-0005-0000-0000-00002F160000}"/>
    <cellStyle name="Comma 2 2 2 9 3 3 2" xfId="40441" xr:uid="{00000000-0005-0000-0000-000030160000}"/>
    <cellStyle name="Comma 2 2 2 9 3 4" xfId="31877" xr:uid="{00000000-0005-0000-0000-000031160000}"/>
    <cellStyle name="Comma 2 2 2 9 3 5" xfId="34017" xr:uid="{00000000-0005-0000-0000-000032160000}"/>
    <cellStyle name="Comma 2 2 2 9 4" xfId="8022" xr:uid="{00000000-0005-0000-0000-000033160000}"/>
    <cellStyle name="Comma 2 2 2 9 4 2" xfId="42670" xr:uid="{00000000-0005-0000-0000-000034160000}"/>
    <cellStyle name="Comma 2 2 2 9 4 3" xfId="36246" xr:uid="{00000000-0005-0000-0000-000035160000}"/>
    <cellStyle name="Comma 2 2 2 9 5" xfId="21013" xr:uid="{00000000-0005-0000-0000-000036160000}"/>
    <cellStyle name="Comma 2 2 2 9 5 2" xfId="39463" xr:uid="{00000000-0005-0000-0000-000037160000}"/>
    <cellStyle name="Comma 2 2 2 9 6" xfId="22086" xr:uid="{00000000-0005-0000-0000-000038160000}"/>
    <cellStyle name="Comma 2 2 2 9 7" xfId="23241" xr:uid="{00000000-0005-0000-0000-000039160000}"/>
    <cellStyle name="Comma 2 2 2 9 8" xfId="26408" xr:uid="{00000000-0005-0000-0000-00003A160000}"/>
    <cellStyle name="Comma 2 2 2 9 9" xfId="29741" xr:uid="{00000000-0005-0000-0000-00003B160000}"/>
    <cellStyle name="Comma 2 2 3" xfId="196" xr:uid="{00000000-0005-0000-0000-00003C160000}"/>
    <cellStyle name="Comma 2 2 3 10" xfId="814" xr:uid="{00000000-0005-0000-0000-00003D160000}"/>
    <cellStyle name="Comma 2 2 3 10 10" xfId="33040" xr:uid="{00000000-0005-0000-0000-00003E160000}"/>
    <cellStyle name="Comma 2 2 3 10 2" xfId="9585" xr:uid="{00000000-0005-0000-0000-00003F160000}"/>
    <cellStyle name="Comma 2 2 3 10 2 2" xfId="25385" xr:uid="{00000000-0005-0000-0000-000040160000}"/>
    <cellStyle name="Comma 2 2 3 10 2 2 2" xfId="44812" xr:uid="{00000000-0005-0000-0000-000041160000}"/>
    <cellStyle name="Comma 2 2 3 10 2 2 3" xfId="38389" xr:uid="{00000000-0005-0000-0000-000042160000}"/>
    <cellStyle name="Comma 2 2 3 10 2 3" xfId="27563" xr:uid="{00000000-0005-0000-0000-000043160000}"/>
    <cellStyle name="Comma 2 2 3 10 2 3 2" xfId="41605" xr:uid="{00000000-0005-0000-0000-000044160000}"/>
    <cellStyle name="Comma 2 2 3 10 2 4" xfId="30898" xr:uid="{00000000-0005-0000-0000-000045160000}"/>
    <cellStyle name="Comma 2 2 3 10 2 5" xfId="35181" xr:uid="{00000000-0005-0000-0000-000046160000}"/>
    <cellStyle name="Comma 2 2 3 10 3" xfId="15208" xr:uid="{00000000-0005-0000-0000-000047160000}"/>
    <cellStyle name="Comma 2 2 3 10 3 2" xfId="24221" xr:uid="{00000000-0005-0000-0000-000048160000}"/>
    <cellStyle name="Comma 2 2 3 10 3 2 2" xfId="43650" xr:uid="{00000000-0005-0000-0000-000049160000}"/>
    <cellStyle name="Comma 2 2 3 10 3 2 3" xfId="37227" xr:uid="{00000000-0005-0000-0000-00004A160000}"/>
    <cellStyle name="Comma 2 2 3 10 3 3" xfId="28544" xr:uid="{00000000-0005-0000-0000-00004B160000}"/>
    <cellStyle name="Comma 2 2 3 10 3 3 2" xfId="40443" xr:uid="{00000000-0005-0000-0000-00004C160000}"/>
    <cellStyle name="Comma 2 2 3 10 3 4" xfId="31879" xr:uid="{00000000-0005-0000-0000-00004D160000}"/>
    <cellStyle name="Comma 2 2 3 10 3 5" xfId="34019" xr:uid="{00000000-0005-0000-0000-00004E160000}"/>
    <cellStyle name="Comma 2 2 3 10 4" xfId="8024" xr:uid="{00000000-0005-0000-0000-00004F160000}"/>
    <cellStyle name="Comma 2 2 3 10 4 2" xfId="42671" xr:uid="{00000000-0005-0000-0000-000050160000}"/>
    <cellStyle name="Comma 2 2 3 10 4 3" xfId="36247" xr:uid="{00000000-0005-0000-0000-000051160000}"/>
    <cellStyle name="Comma 2 2 3 10 5" xfId="21015" xr:uid="{00000000-0005-0000-0000-000052160000}"/>
    <cellStyle name="Comma 2 2 3 10 5 2" xfId="39464" xr:uid="{00000000-0005-0000-0000-000053160000}"/>
    <cellStyle name="Comma 2 2 3 10 6" xfId="22088" xr:uid="{00000000-0005-0000-0000-000054160000}"/>
    <cellStyle name="Comma 2 2 3 10 7" xfId="23242" xr:uid="{00000000-0005-0000-0000-000055160000}"/>
    <cellStyle name="Comma 2 2 3 10 8" xfId="26410" xr:uid="{00000000-0005-0000-0000-000056160000}"/>
    <cellStyle name="Comma 2 2 3 10 9" xfId="29743" xr:uid="{00000000-0005-0000-0000-000057160000}"/>
    <cellStyle name="Comma 2 2 3 11" xfId="815" xr:uid="{00000000-0005-0000-0000-000058160000}"/>
    <cellStyle name="Comma 2 2 3 11 10" xfId="33041" xr:uid="{00000000-0005-0000-0000-000059160000}"/>
    <cellStyle name="Comma 2 2 3 11 2" xfId="9586" xr:uid="{00000000-0005-0000-0000-00005A160000}"/>
    <cellStyle name="Comma 2 2 3 11 2 2" xfId="25386" xr:uid="{00000000-0005-0000-0000-00005B160000}"/>
    <cellStyle name="Comma 2 2 3 11 2 2 2" xfId="44813" xr:uid="{00000000-0005-0000-0000-00005C160000}"/>
    <cellStyle name="Comma 2 2 3 11 2 2 3" xfId="38390" xr:uid="{00000000-0005-0000-0000-00005D160000}"/>
    <cellStyle name="Comma 2 2 3 11 2 3" xfId="27564" xr:uid="{00000000-0005-0000-0000-00005E160000}"/>
    <cellStyle name="Comma 2 2 3 11 2 3 2" xfId="41606" xr:uid="{00000000-0005-0000-0000-00005F160000}"/>
    <cellStyle name="Comma 2 2 3 11 2 4" xfId="30899" xr:uid="{00000000-0005-0000-0000-000060160000}"/>
    <cellStyle name="Comma 2 2 3 11 2 5" xfId="35182" xr:uid="{00000000-0005-0000-0000-000061160000}"/>
    <cellStyle name="Comma 2 2 3 11 3" xfId="15209" xr:uid="{00000000-0005-0000-0000-000062160000}"/>
    <cellStyle name="Comma 2 2 3 11 3 2" xfId="24222" xr:uid="{00000000-0005-0000-0000-000063160000}"/>
    <cellStyle name="Comma 2 2 3 11 3 2 2" xfId="43651" xr:uid="{00000000-0005-0000-0000-000064160000}"/>
    <cellStyle name="Comma 2 2 3 11 3 2 3" xfId="37228" xr:uid="{00000000-0005-0000-0000-000065160000}"/>
    <cellStyle name="Comma 2 2 3 11 3 3" xfId="28545" xr:uid="{00000000-0005-0000-0000-000066160000}"/>
    <cellStyle name="Comma 2 2 3 11 3 3 2" xfId="40444" xr:uid="{00000000-0005-0000-0000-000067160000}"/>
    <cellStyle name="Comma 2 2 3 11 3 4" xfId="31880" xr:uid="{00000000-0005-0000-0000-000068160000}"/>
    <cellStyle name="Comma 2 2 3 11 3 5" xfId="34020" xr:uid="{00000000-0005-0000-0000-000069160000}"/>
    <cellStyle name="Comma 2 2 3 11 4" xfId="8025" xr:uid="{00000000-0005-0000-0000-00006A160000}"/>
    <cellStyle name="Comma 2 2 3 11 4 2" xfId="42672" xr:uid="{00000000-0005-0000-0000-00006B160000}"/>
    <cellStyle name="Comma 2 2 3 11 4 3" xfId="36248" xr:uid="{00000000-0005-0000-0000-00006C160000}"/>
    <cellStyle name="Comma 2 2 3 11 5" xfId="21016" xr:uid="{00000000-0005-0000-0000-00006D160000}"/>
    <cellStyle name="Comma 2 2 3 11 5 2" xfId="39465" xr:uid="{00000000-0005-0000-0000-00006E160000}"/>
    <cellStyle name="Comma 2 2 3 11 6" xfId="22089" xr:uid="{00000000-0005-0000-0000-00006F160000}"/>
    <cellStyle name="Comma 2 2 3 11 7" xfId="23243" xr:uid="{00000000-0005-0000-0000-000070160000}"/>
    <cellStyle name="Comma 2 2 3 11 8" xfId="26411" xr:uid="{00000000-0005-0000-0000-000071160000}"/>
    <cellStyle name="Comma 2 2 3 11 9" xfId="29744" xr:uid="{00000000-0005-0000-0000-000072160000}"/>
    <cellStyle name="Comma 2 2 3 12" xfId="9071" xr:uid="{00000000-0005-0000-0000-000073160000}"/>
    <cellStyle name="Comma 2 2 3 12 2" xfId="25126" xr:uid="{00000000-0005-0000-0000-000074160000}"/>
    <cellStyle name="Comma 2 2 3 12 2 2" xfId="44553" xr:uid="{00000000-0005-0000-0000-000075160000}"/>
    <cellStyle name="Comma 2 2 3 12 2 3" xfId="38130" xr:uid="{00000000-0005-0000-0000-000076160000}"/>
    <cellStyle name="Comma 2 2 3 12 3" xfId="27305" xr:uid="{00000000-0005-0000-0000-000077160000}"/>
    <cellStyle name="Comma 2 2 3 12 3 2" xfId="41346" xr:uid="{00000000-0005-0000-0000-000078160000}"/>
    <cellStyle name="Comma 2 2 3 12 4" xfId="30640" xr:uid="{00000000-0005-0000-0000-000079160000}"/>
    <cellStyle name="Comma 2 2 3 12 5" xfId="34922" xr:uid="{00000000-0005-0000-0000-00007A160000}"/>
    <cellStyle name="Comma 2 2 3 13" xfId="15207" xr:uid="{00000000-0005-0000-0000-00007B160000}"/>
    <cellStyle name="Comma 2 2 3 13 2" xfId="24220" xr:uid="{00000000-0005-0000-0000-00007C160000}"/>
    <cellStyle name="Comma 2 2 3 13 2 2" xfId="43649" xr:uid="{00000000-0005-0000-0000-00007D160000}"/>
    <cellStyle name="Comma 2 2 3 13 2 3" xfId="37226" xr:uid="{00000000-0005-0000-0000-00007E160000}"/>
    <cellStyle name="Comma 2 2 3 13 3" xfId="28543" xr:uid="{00000000-0005-0000-0000-00007F160000}"/>
    <cellStyle name="Comma 2 2 3 13 3 2" xfId="40442" xr:uid="{00000000-0005-0000-0000-000080160000}"/>
    <cellStyle name="Comma 2 2 3 13 4" xfId="31878" xr:uid="{00000000-0005-0000-0000-000081160000}"/>
    <cellStyle name="Comma 2 2 3 13 5" xfId="34018" xr:uid="{00000000-0005-0000-0000-000082160000}"/>
    <cellStyle name="Comma 2 2 3 14" xfId="8023" xr:uid="{00000000-0005-0000-0000-000083160000}"/>
    <cellStyle name="Comma 2 2 3 14 2" xfId="42416" xr:uid="{00000000-0005-0000-0000-000084160000}"/>
    <cellStyle name="Comma 2 2 3 14 3" xfId="35992" xr:uid="{00000000-0005-0000-0000-000085160000}"/>
    <cellStyle name="Comma 2 2 3 15" xfId="21014" xr:uid="{00000000-0005-0000-0000-000086160000}"/>
    <cellStyle name="Comma 2 2 3 15 2" xfId="39209" xr:uid="{00000000-0005-0000-0000-000087160000}"/>
    <cellStyle name="Comma 2 2 3 16" xfId="22087" xr:uid="{00000000-0005-0000-0000-000088160000}"/>
    <cellStyle name="Comma 2 2 3 17" xfId="22987" xr:uid="{00000000-0005-0000-0000-000089160000}"/>
    <cellStyle name="Comma 2 2 3 18" xfId="26409" xr:uid="{00000000-0005-0000-0000-00008A160000}"/>
    <cellStyle name="Comma 2 2 3 19" xfId="29742" xr:uid="{00000000-0005-0000-0000-00008B160000}"/>
    <cellStyle name="Comma 2 2 3 2" xfId="259" xr:uid="{00000000-0005-0000-0000-00008C160000}"/>
    <cellStyle name="Comma 2 2 3 2 10" xfId="816" xr:uid="{00000000-0005-0000-0000-00008D160000}"/>
    <cellStyle name="Comma 2 2 3 2 10 10" xfId="33042" xr:uid="{00000000-0005-0000-0000-00008E160000}"/>
    <cellStyle name="Comma 2 2 3 2 10 2" xfId="9587" xr:uid="{00000000-0005-0000-0000-00008F160000}"/>
    <cellStyle name="Comma 2 2 3 2 10 2 2" xfId="25387" xr:uid="{00000000-0005-0000-0000-000090160000}"/>
    <cellStyle name="Comma 2 2 3 2 10 2 2 2" xfId="44814" xr:uid="{00000000-0005-0000-0000-000091160000}"/>
    <cellStyle name="Comma 2 2 3 2 10 2 2 3" xfId="38391" xr:uid="{00000000-0005-0000-0000-000092160000}"/>
    <cellStyle name="Comma 2 2 3 2 10 2 3" xfId="27565" xr:uid="{00000000-0005-0000-0000-000093160000}"/>
    <cellStyle name="Comma 2 2 3 2 10 2 3 2" xfId="41607" xr:uid="{00000000-0005-0000-0000-000094160000}"/>
    <cellStyle name="Comma 2 2 3 2 10 2 4" xfId="30900" xr:uid="{00000000-0005-0000-0000-000095160000}"/>
    <cellStyle name="Comma 2 2 3 2 10 2 5" xfId="35183" xr:uid="{00000000-0005-0000-0000-000096160000}"/>
    <cellStyle name="Comma 2 2 3 2 10 3" xfId="15211" xr:uid="{00000000-0005-0000-0000-000097160000}"/>
    <cellStyle name="Comma 2 2 3 2 10 3 2" xfId="24224" xr:uid="{00000000-0005-0000-0000-000098160000}"/>
    <cellStyle name="Comma 2 2 3 2 10 3 2 2" xfId="43653" xr:uid="{00000000-0005-0000-0000-000099160000}"/>
    <cellStyle name="Comma 2 2 3 2 10 3 2 3" xfId="37230" xr:uid="{00000000-0005-0000-0000-00009A160000}"/>
    <cellStyle name="Comma 2 2 3 2 10 3 3" xfId="28547" xr:uid="{00000000-0005-0000-0000-00009B160000}"/>
    <cellStyle name="Comma 2 2 3 2 10 3 3 2" xfId="40446" xr:uid="{00000000-0005-0000-0000-00009C160000}"/>
    <cellStyle name="Comma 2 2 3 2 10 3 4" xfId="31882" xr:uid="{00000000-0005-0000-0000-00009D160000}"/>
    <cellStyle name="Comma 2 2 3 2 10 3 5" xfId="34022" xr:uid="{00000000-0005-0000-0000-00009E160000}"/>
    <cellStyle name="Comma 2 2 3 2 10 4" xfId="8027" xr:uid="{00000000-0005-0000-0000-00009F160000}"/>
    <cellStyle name="Comma 2 2 3 2 10 4 2" xfId="42673" xr:uid="{00000000-0005-0000-0000-0000A0160000}"/>
    <cellStyle name="Comma 2 2 3 2 10 4 3" xfId="36249" xr:uid="{00000000-0005-0000-0000-0000A1160000}"/>
    <cellStyle name="Comma 2 2 3 2 10 5" xfId="21018" xr:uid="{00000000-0005-0000-0000-0000A2160000}"/>
    <cellStyle name="Comma 2 2 3 2 10 5 2" xfId="39466" xr:uid="{00000000-0005-0000-0000-0000A3160000}"/>
    <cellStyle name="Comma 2 2 3 2 10 6" xfId="22091" xr:uid="{00000000-0005-0000-0000-0000A4160000}"/>
    <cellStyle name="Comma 2 2 3 2 10 7" xfId="23244" xr:uid="{00000000-0005-0000-0000-0000A5160000}"/>
    <cellStyle name="Comma 2 2 3 2 10 8" xfId="26413" xr:uid="{00000000-0005-0000-0000-0000A6160000}"/>
    <cellStyle name="Comma 2 2 3 2 10 9" xfId="29746" xr:uid="{00000000-0005-0000-0000-0000A7160000}"/>
    <cellStyle name="Comma 2 2 3 2 11" xfId="9116" xr:uid="{00000000-0005-0000-0000-0000A8160000}"/>
    <cellStyle name="Comma 2 2 3 2 11 2" xfId="25170" xr:uid="{00000000-0005-0000-0000-0000A9160000}"/>
    <cellStyle name="Comma 2 2 3 2 11 2 2" xfId="44597" xr:uid="{00000000-0005-0000-0000-0000AA160000}"/>
    <cellStyle name="Comma 2 2 3 2 11 2 3" xfId="38174" xr:uid="{00000000-0005-0000-0000-0000AB160000}"/>
    <cellStyle name="Comma 2 2 3 2 11 3" xfId="27349" xr:uid="{00000000-0005-0000-0000-0000AC160000}"/>
    <cellStyle name="Comma 2 2 3 2 11 3 2" xfId="41390" xr:uid="{00000000-0005-0000-0000-0000AD160000}"/>
    <cellStyle name="Comma 2 2 3 2 11 4" xfId="30684" xr:uid="{00000000-0005-0000-0000-0000AE160000}"/>
    <cellStyle name="Comma 2 2 3 2 11 5" xfId="34966" xr:uid="{00000000-0005-0000-0000-0000AF160000}"/>
    <cellStyle name="Comma 2 2 3 2 12" xfId="15210" xr:uid="{00000000-0005-0000-0000-0000B0160000}"/>
    <cellStyle name="Comma 2 2 3 2 12 2" xfId="24223" xr:uid="{00000000-0005-0000-0000-0000B1160000}"/>
    <cellStyle name="Comma 2 2 3 2 12 2 2" xfId="43652" xr:uid="{00000000-0005-0000-0000-0000B2160000}"/>
    <cellStyle name="Comma 2 2 3 2 12 2 3" xfId="37229" xr:uid="{00000000-0005-0000-0000-0000B3160000}"/>
    <cellStyle name="Comma 2 2 3 2 12 3" xfId="28546" xr:uid="{00000000-0005-0000-0000-0000B4160000}"/>
    <cellStyle name="Comma 2 2 3 2 12 3 2" xfId="40445" xr:uid="{00000000-0005-0000-0000-0000B5160000}"/>
    <cellStyle name="Comma 2 2 3 2 12 4" xfId="31881" xr:uid="{00000000-0005-0000-0000-0000B6160000}"/>
    <cellStyle name="Comma 2 2 3 2 12 5" xfId="34021" xr:uid="{00000000-0005-0000-0000-0000B7160000}"/>
    <cellStyle name="Comma 2 2 3 2 13" xfId="8026" xr:uid="{00000000-0005-0000-0000-0000B8160000}"/>
    <cellStyle name="Comma 2 2 3 2 13 2" xfId="42460" xr:uid="{00000000-0005-0000-0000-0000B9160000}"/>
    <cellStyle name="Comma 2 2 3 2 13 3" xfId="36036" xr:uid="{00000000-0005-0000-0000-0000BA160000}"/>
    <cellStyle name="Comma 2 2 3 2 14" xfId="21017" xr:uid="{00000000-0005-0000-0000-0000BB160000}"/>
    <cellStyle name="Comma 2 2 3 2 14 2" xfId="39253" xr:uid="{00000000-0005-0000-0000-0000BC160000}"/>
    <cellStyle name="Comma 2 2 3 2 15" xfId="22090" xr:uid="{00000000-0005-0000-0000-0000BD160000}"/>
    <cellStyle name="Comma 2 2 3 2 16" xfId="23031" xr:uid="{00000000-0005-0000-0000-0000BE160000}"/>
    <cellStyle name="Comma 2 2 3 2 17" xfId="26412" xr:uid="{00000000-0005-0000-0000-0000BF160000}"/>
    <cellStyle name="Comma 2 2 3 2 18" xfId="29745" xr:uid="{00000000-0005-0000-0000-0000C0160000}"/>
    <cellStyle name="Comma 2 2 3 2 19" xfId="32829" xr:uid="{00000000-0005-0000-0000-0000C1160000}"/>
    <cellStyle name="Comma 2 2 3 2 2" xfId="252" xr:uid="{00000000-0005-0000-0000-0000C2160000}"/>
    <cellStyle name="Comma 2 2 3 2 2 10" xfId="15212" xr:uid="{00000000-0005-0000-0000-0000C3160000}"/>
    <cellStyle name="Comma 2 2 3 2 2 10 2" xfId="24225" xr:uid="{00000000-0005-0000-0000-0000C4160000}"/>
    <cellStyle name="Comma 2 2 3 2 2 10 2 2" xfId="43654" xr:uid="{00000000-0005-0000-0000-0000C5160000}"/>
    <cellStyle name="Comma 2 2 3 2 2 10 2 3" xfId="37231" xr:uid="{00000000-0005-0000-0000-0000C6160000}"/>
    <cellStyle name="Comma 2 2 3 2 2 10 3" xfId="28548" xr:uid="{00000000-0005-0000-0000-0000C7160000}"/>
    <cellStyle name="Comma 2 2 3 2 2 10 3 2" xfId="40447" xr:uid="{00000000-0005-0000-0000-0000C8160000}"/>
    <cellStyle name="Comma 2 2 3 2 2 10 4" xfId="31883" xr:uid="{00000000-0005-0000-0000-0000C9160000}"/>
    <cellStyle name="Comma 2 2 3 2 2 10 5" xfId="34023" xr:uid="{00000000-0005-0000-0000-0000CA160000}"/>
    <cellStyle name="Comma 2 2 3 2 2 11" xfId="8028" xr:uid="{00000000-0005-0000-0000-0000CB160000}"/>
    <cellStyle name="Comma 2 2 3 2 2 11 2" xfId="42455" xr:uid="{00000000-0005-0000-0000-0000CC160000}"/>
    <cellStyle name="Comma 2 2 3 2 2 11 3" xfId="36031" xr:uid="{00000000-0005-0000-0000-0000CD160000}"/>
    <cellStyle name="Comma 2 2 3 2 2 12" xfId="21019" xr:uid="{00000000-0005-0000-0000-0000CE160000}"/>
    <cellStyle name="Comma 2 2 3 2 2 12 2" xfId="39248" xr:uid="{00000000-0005-0000-0000-0000CF160000}"/>
    <cellStyle name="Comma 2 2 3 2 2 13" xfId="22092" xr:uid="{00000000-0005-0000-0000-0000D0160000}"/>
    <cellStyle name="Comma 2 2 3 2 2 14" xfId="23026" xr:uid="{00000000-0005-0000-0000-0000D1160000}"/>
    <cellStyle name="Comma 2 2 3 2 2 15" xfId="26414" xr:uid="{00000000-0005-0000-0000-0000D2160000}"/>
    <cellStyle name="Comma 2 2 3 2 2 16" xfId="29747" xr:uid="{00000000-0005-0000-0000-0000D3160000}"/>
    <cellStyle name="Comma 2 2 3 2 2 17" xfId="32824" xr:uid="{00000000-0005-0000-0000-0000D4160000}"/>
    <cellStyle name="Comma 2 2 3 2 2 2" xfId="249" xr:uid="{00000000-0005-0000-0000-0000D5160000}"/>
    <cellStyle name="Comma 2 2 3 2 2 2 10" xfId="21020" xr:uid="{00000000-0005-0000-0000-0000D6160000}"/>
    <cellStyle name="Comma 2 2 3 2 2 2 10 2" xfId="39245" xr:uid="{00000000-0005-0000-0000-0000D7160000}"/>
    <cellStyle name="Comma 2 2 3 2 2 2 11" xfId="22093" xr:uid="{00000000-0005-0000-0000-0000D8160000}"/>
    <cellStyle name="Comma 2 2 3 2 2 2 12" xfId="23023" xr:uid="{00000000-0005-0000-0000-0000D9160000}"/>
    <cellStyle name="Comma 2 2 3 2 2 2 13" xfId="26415" xr:uid="{00000000-0005-0000-0000-0000DA160000}"/>
    <cellStyle name="Comma 2 2 3 2 2 2 14" xfId="29748" xr:uid="{00000000-0005-0000-0000-0000DB160000}"/>
    <cellStyle name="Comma 2 2 3 2 2 2 15" xfId="32821" xr:uid="{00000000-0005-0000-0000-0000DC160000}"/>
    <cellStyle name="Comma 2 2 3 2 2 2 2" xfId="817" xr:uid="{00000000-0005-0000-0000-0000DD160000}"/>
    <cellStyle name="Comma 2 2 3 2 2 2 2 10" xfId="33043" xr:uid="{00000000-0005-0000-0000-0000DE160000}"/>
    <cellStyle name="Comma 2 2 3 2 2 2 2 2" xfId="9588" xr:uid="{00000000-0005-0000-0000-0000DF160000}"/>
    <cellStyle name="Comma 2 2 3 2 2 2 2 2 2" xfId="25388" xr:uid="{00000000-0005-0000-0000-0000E0160000}"/>
    <cellStyle name="Comma 2 2 3 2 2 2 2 2 2 2" xfId="44815" xr:uid="{00000000-0005-0000-0000-0000E1160000}"/>
    <cellStyle name="Comma 2 2 3 2 2 2 2 2 2 3" xfId="38392" xr:uid="{00000000-0005-0000-0000-0000E2160000}"/>
    <cellStyle name="Comma 2 2 3 2 2 2 2 2 3" xfId="27566" xr:uid="{00000000-0005-0000-0000-0000E3160000}"/>
    <cellStyle name="Comma 2 2 3 2 2 2 2 2 3 2" xfId="41608" xr:uid="{00000000-0005-0000-0000-0000E4160000}"/>
    <cellStyle name="Comma 2 2 3 2 2 2 2 2 4" xfId="30901" xr:uid="{00000000-0005-0000-0000-0000E5160000}"/>
    <cellStyle name="Comma 2 2 3 2 2 2 2 2 5" xfId="35184" xr:uid="{00000000-0005-0000-0000-0000E6160000}"/>
    <cellStyle name="Comma 2 2 3 2 2 2 2 3" xfId="15214" xr:uid="{00000000-0005-0000-0000-0000E7160000}"/>
    <cellStyle name="Comma 2 2 3 2 2 2 2 3 2" xfId="24227" xr:uid="{00000000-0005-0000-0000-0000E8160000}"/>
    <cellStyle name="Comma 2 2 3 2 2 2 2 3 2 2" xfId="43656" xr:uid="{00000000-0005-0000-0000-0000E9160000}"/>
    <cellStyle name="Comma 2 2 3 2 2 2 2 3 2 3" xfId="37233" xr:uid="{00000000-0005-0000-0000-0000EA160000}"/>
    <cellStyle name="Comma 2 2 3 2 2 2 2 3 3" xfId="28550" xr:uid="{00000000-0005-0000-0000-0000EB160000}"/>
    <cellStyle name="Comma 2 2 3 2 2 2 2 3 3 2" xfId="40449" xr:uid="{00000000-0005-0000-0000-0000EC160000}"/>
    <cellStyle name="Comma 2 2 3 2 2 2 2 3 4" xfId="31885" xr:uid="{00000000-0005-0000-0000-0000ED160000}"/>
    <cellStyle name="Comma 2 2 3 2 2 2 2 3 5" xfId="34025" xr:uid="{00000000-0005-0000-0000-0000EE160000}"/>
    <cellStyle name="Comma 2 2 3 2 2 2 2 4" xfId="8030" xr:uid="{00000000-0005-0000-0000-0000EF160000}"/>
    <cellStyle name="Comma 2 2 3 2 2 2 2 4 2" xfId="42674" xr:uid="{00000000-0005-0000-0000-0000F0160000}"/>
    <cellStyle name="Comma 2 2 3 2 2 2 2 4 3" xfId="36250" xr:uid="{00000000-0005-0000-0000-0000F1160000}"/>
    <cellStyle name="Comma 2 2 3 2 2 2 2 5" xfId="21021" xr:uid="{00000000-0005-0000-0000-0000F2160000}"/>
    <cellStyle name="Comma 2 2 3 2 2 2 2 5 2" xfId="39467" xr:uid="{00000000-0005-0000-0000-0000F3160000}"/>
    <cellStyle name="Comma 2 2 3 2 2 2 2 6" xfId="22094" xr:uid="{00000000-0005-0000-0000-0000F4160000}"/>
    <cellStyle name="Comma 2 2 3 2 2 2 2 7" xfId="23245" xr:uid="{00000000-0005-0000-0000-0000F5160000}"/>
    <cellStyle name="Comma 2 2 3 2 2 2 2 8" xfId="26416" xr:uid="{00000000-0005-0000-0000-0000F6160000}"/>
    <cellStyle name="Comma 2 2 3 2 2 2 2 9" xfId="29749" xr:uid="{00000000-0005-0000-0000-0000F7160000}"/>
    <cellStyle name="Comma 2 2 3 2 2 2 3" xfId="818" xr:uid="{00000000-0005-0000-0000-0000F8160000}"/>
    <cellStyle name="Comma 2 2 3 2 2 2 3 10" xfId="33044" xr:uid="{00000000-0005-0000-0000-0000F9160000}"/>
    <cellStyle name="Comma 2 2 3 2 2 2 3 2" xfId="9589" xr:uid="{00000000-0005-0000-0000-0000FA160000}"/>
    <cellStyle name="Comma 2 2 3 2 2 2 3 2 2" xfId="25389" xr:uid="{00000000-0005-0000-0000-0000FB160000}"/>
    <cellStyle name="Comma 2 2 3 2 2 2 3 2 2 2" xfId="44816" xr:uid="{00000000-0005-0000-0000-0000FC160000}"/>
    <cellStyle name="Comma 2 2 3 2 2 2 3 2 2 3" xfId="38393" xr:uid="{00000000-0005-0000-0000-0000FD160000}"/>
    <cellStyle name="Comma 2 2 3 2 2 2 3 2 3" xfId="27567" xr:uid="{00000000-0005-0000-0000-0000FE160000}"/>
    <cellStyle name="Comma 2 2 3 2 2 2 3 2 3 2" xfId="41609" xr:uid="{00000000-0005-0000-0000-0000FF160000}"/>
    <cellStyle name="Comma 2 2 3 2 2 2 3 2 4" xfId="30902" xr:uid="{00000000-0005-0000-0000-000000170000}"/>
    <cellStyle name="Comma 2 2 3 2 2 2 3 2 5" xfId="35185" xr:uid="{00000000-0005-0000-0000-000001170000}"/>
    <cellStyle name="Comma 2 2 3 2 2 2 3 3" xfId="15215" xr:uid="{00000000-0005-0000-0000-000002170000}"/>
    <cellStyle name="Comma 2 2 3 2 2 2 3 3 2" xfId="24228" xr:uid="{00000000-0005-0000-0000-000003170000}"/>
    <cellStyle name="Comma 2 2 3 2 2 2 3 3 2 2" xfId="43657" xr:uid="{00000000-0005-0000-0000-000004170000}"/>
    <cellStyle name="Comma 2 2 3 2 2 2 3 3 2 3" xfId="37234" xr:uid="{00000000-0005-0000-0000-000005170000}"/>
    <cellStyle name="Comma 2 2 3 2 2 2 3 3 3" xfId="28551" xr:uid="{00000000-0005-0000-0000-000006170000}"/>
    <cellStyle name="Comma 2 2 3 2 2 2 3 3 3 2" xfId="40450" xr:uid="{00000000-0005-0000-0000-000007170000}"/>
    <cellStyle name="Comma 2 2 3 2 2 2 3 3 4" xfId="31886" xr:uid="{00000000-0005-0000-0000-000008170000}"/>
    <cellStyle name="Comma 2 2 3 2 2 2 3 3 5" xfId="34026" xr:uid="{00000000-0005-0000-0000-000009170000}"/>
    <cellStyle name="Comma 2 2 3 2 2 2 3 4" xfId="8031" xr:uid="{00000000-0005-0000-0000-00000A170000}"/>
    <cellStyle name="Comma 2 2 3 2 2 2 3 4 2" xfId="42675" xr:uid="{00000000-0005-0000-0000-00000B170000}"/>
    <cellStyle name="Comma 2 2 3 2 2 2 3 4 3" xfId="36251" xr:uid="{00000000-0005-0000-0000-00000C170000}"/>
    <cellStyle name="Comma 2 2 3 2 2 2 3 5" xfId="21022" xr:uid="{00000000-0005-0000-0000-00000D170000}"/>
    <cellStyle name="Comma 2 2 3 2 2 2 3 5 2" xfId="39468" xr:uid="{00000000-0005-0000-0000-00000E170000}"/>
    <cellStyle name="Comma 2 2 3 2 2 2 3 6" xfId="22095" xr:uid="{00000000-0005-0000-0000-00000F170000}"/>
    <cellStyle name="Comma 2 2 3 2 2 2 3 7" xfId="23246" xr:uid="{00000000-0005-0000-0000-000010170000}"/>
    <cellStyle name="Comma 2 2 3 2 2 2 3 8" xfId="26417" xr:uid="{00000000-0005-0000-0000-000011170000}"/>
    <cellStyle name="Comma 2 2 3 2 2 2 3 9" xfId="29750" xr:uid="{00000000-0005-0000-0000-000012170000}"/>
    <cellStyle name="Comma 2 2 3 2 2 2 4" xfId="819" xr:uid="{00000000-0005-0000-0000-000013170000}"/>
    <cellStyle name="Comma 2 2 3 2 2 2 4 10" xfId="33045" xr:uid="{00000000-0005-0000-0000-000014170000}"/>
    <cellStyle name="Comma 2 2 3 2 2 2 4 2" xfId="9590" xr:uid="{00000000-0005-0000-0000-000015170000}"/>
    <cellStyle name="Comma 2 2 3 2 2 2 4 2 2" xfId="25390" xr:uid="{00000000-0005-0000-0000-000016170000}"/>
    <cellStyle name="Comma 2 2 3 2 2 2 4 2 2 2" xfId="44817" xr:uid="{00000000-0005-0000-0000-000017170000}"/>
    <cellStyle name="Comma 2 2 3 2 2 2 4 2 2 3" xfId="38394" xr:uid="{00000000-0005-0000-0000-000018170000}"/>
    <cellStyle name="Comma 2 2 3 2 2 2 4 2 3" xfId="27568" xr:uid="{00000000-0005-0000-0000-000019170000}"/>
    <cellStyle name="Comma 2 2 3 2 2 2 4 2 3 2" xfId="41610" xr:uid="{00000000-0005-0000-0000-00001A170000}"/>
    <cellStyle name="Comma 2 2 3 2 2 2 4 2 4" xfId="30903" xr:uid="{00000000-0005-0000-0000-00001B170000}"/>
    <cellStyle name="Comma 2 2 3 2 2 2 4 2 5" xfId="35186" xr:uid="{00000000-0005-0000-0000-00001C170000}"/>
    <cellStyle name="Comma 2 2 3 2 2 2 4 3" xfId="15216" xr:uid="{00000000-0005-0000-0000-00001D170000}"/>
    <cellStyle name="Comma 2 2 3 2 2 2 4 3 2" xfId="24229" xr:uid="{00000000-0005-0000-0000-00001E170000}"/>
    <cellStyle name="Comma 2 2 3 2 2 2 4 3 2 2" xfId="43658" xr:uid="{00000000-0005-0000-0000-00001F170000}"/>
    <cellStyle name="Comma 2 2 3 2 2 2 4 3 2 3" xfId="37235" xr:uid="{00000000-0005-0000-0000-000020170000}"/>
    <cellStyle name="Comma 2 2 3 2 2 2 4 3 3" xfId="28552" xr:uid="{00000000-0005-0000-0000-000021170000}"/>
    <cellStyle name="Comma 2 2 3 2 2 2 4 3 3 2" xfId="40451" xr:uid="{00000000-0005-0000-0000-000022170000}"/>
    <cellStyle name="Comma 2 2 3 2 2 2 4 3 4" xfId="31887" xr:uid="{00000000-0005-0000-0000-000023170000}"/>
    <cellStyle name="Comma 2 2 3 2 2 2 4 3 5" xfId="34027" xr:uid="{00000000-0005-0000-0000-000024170000}"/>
    <cellStyle name="Comma 2 2 3 2 2 2 4 4" xfId="8032" xr:uid="{00000000-0005-0000-0000-000025170000}"/>
    <cellStyle name="Comma 2 2 3 2 2 2 4 4 2" xfId="42676" xr:uid="{00000000-0005-0000-0000-000026170000}"/>
    <cellStyle name="Comma 2 2 3 2 2 2 4 4 3" xfId="36252" xr:uid="{00000000-0005-0000-0000-000027170000}"/>
    <cellStyle name="Comma 2 2 3 2 2 2 4 5" xfId="21023" xr:uid="{00000000-0005-0000-0000-000028170000}"/>
    <cellStyle name="Comma 2 2 3 2 2 2 4 5 2" xfId="39469" xr:uid="{00000000-0005-0000-0000-000029170000}"/>
    <cellStyle name="Comma 2 2 3 2 2 2 4 6" xfId="22096" xr:uid="{00000000-0005-0000-0000-00002A170000}"/>
    <cellStyle name="Comma 2 2 3 2 2 2 4 7" xfId="23247" xr:uid="{00000000-0005-0000-0000-00002B170000}"/>
    <cellStyle name="Comma 2 2 3 2 2 2 4 8" xfId="26418" xr:uid="{00000000-0005-0000-0000-00002C170000}"/>
    <cellStyle name="Comma 2 2 3 2 2 2 4 9" xfId="29751" xr:uid="{00000000-0005-0000-0000-00002D170000}"/>
    <cellStyle name="Comma 2 2 3 2 2 2 5" xfId="820" xr:uid="{00000000-0005-0000-0000-00002E170000}"/>
    <cellStyle name="Comma 2 2 3 2 2 2 5 10" xfId="33046" xr:uid="{00000000-0005-0000-0000-00002F170000}"/>
    <cellStyle name="Comma 2 2 3 2 2 2 5 2" xfId="9591" xr:uid="{00000000-0005-0000-0000-000030170000}"/>
    <cellStyle name="Comma 2 2 3 2 2 2 5 2 2" xfId="25391" xr:uid="{00000000-0005-0000-0000-000031170000}"/>
    <cellStyle name="Comma 2 2 3 2 2 2 5 2 2 2" xfId="44818" xr:uid="{00000000-0005-0000-0000-000032170000}"/>
    <cellStyle name="Comma 2 2 3 2 2 2 5 2 2 3" xfId="38395" xr:uid="{00000000-0005-0000-0000-000033170000}"/>
    <cellStyle name="Comma 2 2 3 2 2 2 5 2 3" xfId="27569" xr:uid="{00000000-0005-0000-0000-000034170000}"/>
    <cellStyle name="Comma 2 2 3 2 2 2 5 2 3 2" xfId="41611" xr:uid="{00000000-0005-0000-0000-000035170000}"/>
    <cellStyle name="Comma 2 2 3 2 2 2 5 2 4" xfId="30904" xr:uid="{00000000-0005-0000-0000-000036170000}"/>
    <cellStyle name="Comma 2 2 3 2 2 2 5 2 5" xfId="35187" xr:uid="{00000000-0005-0000-0000-000037170000}"/>
    <cellStyle name="Comma 2 2 3 2 2 2 5 3" xfId="15217" xr:uid="{00000000-0005-0000-0000-000038170000}"/>
    <cellStyle name="Comma 2 2 3 2 2 2 5 3 2" xfId="24230" xr:uid="{00000000-0005-0000-0000-000039170000}"/>
    <cellStyle name="Comma 2 2 3 2 2 2 5 3 2 2" xfId="43659" xr:uid="{00000000-0005-0000-0000-00003A170000}"/>
    <cellStyle name="Comma 2 2 3 2 2 2 5 3 2 3" xfId="37236" xr:uid="{00000000-0005-0000-0000-00003B170000}"/>
    <cellStyle name="Comma 2 2 3 2 2 2 5 3 3" xfId="28553" xr:uid="{00000000-0005-0000-0000-00003C170000}"/>
    <cellStyle name="Comma 2 2 3 2 2 2 5 3 3 2" xfId="40452" xr:uid="{00000000-0005-0000-0000-00003D170000}"/>
    <cellStyle name="Comma 2 2 3 2 2 2 5 3 4" xfId="31888" xr:uid="{00000000-0005-0000-0000-00003E170000}"/>
    <cellStyle name="Comma 2 2 3 2 2 2 5 3 5" xfId="34028" xr:uid="{00000000-0005-0000-0000-00003F170000}"/>
    <cellStyle name="Comma 2 2 3 2 2 2 5 4" xfId="8033" xr:uid="{00000000-0005-0000-0000-000040170000}"/>
    <cellStyle name="Comma 2 2 3 2 2 2 5 4 2" xfId="42677" xr:uid="{00000000-0005-0000-0000-000041170000}"/>
    <cellStyle name="Comma 2 2 3 2 2 2 5 4 3" xfId="36253" xr:uid="{00000000-0005-0000-0000-000042170000}"/>
    <cellStyle name="Comma 2 2 3 2 2 2 5 5" xfId="21024" xr:uid="{00000000-0005-0000-0000-000043170000}"/>
    <cellStyle name="Comma 2 2 3 2 2 2 5 5 2" xfId="39470" xr:uid="{00000000-0005-0000-0000-000044170000}"/>
    <cellStyle name="Comma 2 2 3 2 2 2 5 6" xfId="22097" xr:uid="{00000000-0005-0000-0000-000045170000}"/>
    <cellStyle name="Comma 2 2 3 2 2 2 5 7" xfId="23248" xr:uid="{00000000-0005-0000-0000-000046170000}"/>
    <cellStyle name="Comma 2 2 3 2 2 2 5 8" xfId="26419" xr:uid="{00000000-0005-0000-0000-000047170000}"/>
    <cellStyle name="Comma 2 2 3 2 2 2 5 9" xfId="29752" xr:uid="{00000000-0005-0000-0000-000048170000}"/>
    <cellStyle name="Comma 2 2 3 2 2 2 6" xfId="821" xr:uid="{00000000-0005-0000-0000-000049170000}"/>
    <cellStyle name="Comma 2 2 3 2 2 2 6 10" xfId="33047" xr:uid="{00000000-0005-0000-0000-00004A170000}"/>
    <cellStyle name="Comma 2 2 3 2 2 2 6 2" xfId="9592" xr:uid="{00000000-0005-0000-0000-00004B170000}"/>
    <cellStyle name="Comma 2 2 3 2 2 2 6 2 2" xfId="25392" xr:uid="{00000000-0005-0000-0000-00004C170000}"/>
    <cellStyle name="Comma 2 2 3 2 2 2 6 2 2 2" xfId="44819" xr:uid="{00000000-0005-0000-0000-00004D170000}"/>
    <cellStyle name="Comma 2 2 3 2 2 2 6 2 2 3" xfId="38396" xr:uid="{00000000-0005-0000-0000-00004E170000}"/>
    <cellStyle name="Comma 2 2 3 2 2 2 6 2 3" xfId="27570" xr:uid="{00000000-0005-0000-0000-00004F170000}"/>
    <cellStyle name="Comma 2 2 3 2 2 2 6 2 3 2" xfId="41612" xr:uid="{00000000-0005-0000-0000-000050170000}"/>
    <cellStyle name="Comma 2 2 3 2 2 2 6 2 4" xfId="30905" xr:uid="{00000000-0005-0000-0000-000051170000}"/>
    <cellStyle name="Comma 2 2 3 2 2 2 6 2 5" xfId="35188" xr:uid="{00000000-0005-0000-0000-000052170000}"/>
    <cellStyle name="Comma 2 2 3 2 2 2 6 3" xfId="15218" xr:uid="{00000000-0005-0000-0000-000053170000}"/>
    <cellStyle name="Comma 2 2 3 2 2 2 6 3 2" xfId="24231" xr:uid="{00000000-0005-0000-0000-000054170000}"/>
    <cellStyle name="Comma 2 2 3 2 2 2 6 3 2 2" xfId="43660" xr:uid="{00000000-0005-0000-0000-000055170000}"/>
    <cellStyle name="Comma 2 2 3 2 2 2 6 3 2 3" xfId="37237" xr:uid="{00000000-0005-0000-0000-000056170000}"/>
    <cellStyle name="Comma 2 2 3 2 2 2 6 3 3" xfId="28554" xr:uid="{00000000-0005-0000-0000-000057170000}"/>
    <cellStyle name="Comma 2 2 3 2 2 2 6 3 3 2" xfId="40453" xr:uid="{00000000-0005-0000-0000-000058170000}"/>
    <cellStyle name="Comma 2 2 3 2 2 2 6 3 4" xfId="31889" xr:uid="{00000000-0005-0000-0000-000059170000}"/>
    <cellStyle name="Comma 2 2 3 2 2 2 6 3 5" xfId="34029" xr:uid="{00000000-0005-0000-0000-00005A170000}"/>
    <cellStyle name="Comma 2 2 3 2 2 2 6 4" xfId="8034" xr:uid="{00000000-0005-0000-0000-00005B170000}"/>
    <cellStyle name="Comma 2 2 3 2 2 2 6 4 2" xfId="42678" xr:uid="{00000000-0005-0000-0000-00005C170000}"/>
    <cellStyle name="Comma 2 2 3 2 2 2 6 4 3" xfId="36254" xr:uid="{00000000-0005-0000-0000-00005D170000}"/>
    <cellStyle name="Comma 2 2 3 2 2 2 6 5" xfId="21025" xr:uid="{00000000-0005-0000-0000-00005E170000}"/>
    <cellStyle name="Comma 2 2 3 2 2 2 6 5 2" xfId="39471" xr:uid="{00000000-0005-0000-0000-00005F170000}"/>
    <cellStyle name="Comma 2 2 3 2 2 2 6 6" xfId="22098" xr:uid="{00000000-0005-0000-0000-000060170000}"/>
    <cellStyle name="Comma 2 2 3 2 2 2 6 7" xfId="23249" xr:uid="{00000000-0005-0000-0000-000061170000}"/>
    <cellStyle name="Comma 2 2 3 2 2 2 6 8" xfId="26420" xr:uid="{00000000-0005-0000-0000-000062170000}"/>
    <cellStyle name="Comma 2 2 3 2 2 2 6 9" xfId="29753" xr:uid="{00000000-0005-0000-0000-000063170000}"/>
    <cellStyle name="Comma 2 2 3 2 2 2 7" xfId="9108" xr:uid="{00000000-0005-0000-0000-000064170000}"/>
    <cellStyle name="Comma 2 2 3 2 2 2 7 2" xfId="25162" xr:uid="{00000000-0005-0000-0000-000065170000}"/>
    <cellStyle name="Comma 2 2 3 2 2 2 7 2 2" xfId="44589" xr:uid="{00000000-0005-0000-0000-000066170000}"/>
    <cellStyle name="Comma 2 2 3 2 2 2 7 2 3" xfId="38166" xr:uid="{00000000-0005-0000-0000-000067170000}"/>
    <cellStyle name="Comma 2 2 3 2 2 2 7 3" xfId="27341" xr:uid="{00000000-0005-0000-0000-000068170000}"/>
    <cellStyle name="Comma 2 2 3 2 2 2 7 3 2" xfId="41382" xr:uid="{00000000-0005-0000-0000-000069170000}"/>
    <cellStyle name="Comma 2 2 3 2 2 2 7 4" xfId="30676" xr:uid="{00000000-0005-0000-0000-00006A170000}"/>
    <cellStyle name="Comma 2 2 3 2 2 2 7 5" xfId="34958" xr:uid="{00000000-0005-0000-0000-00006B170000}"/>
    <cellStyle name="Comma 2 2 3 2 2 2 8" xfId="15213" xr:uid="{00000000-0005-0000-0000-00006C170000}"/>
    <cellStyle name="Comma 2 2 3 2 2 2 8 2" xfId="24226" xr:uid="{00000000-0005-0000-0000-00006D170000}"/>
    <cellStyle name="Comma 2 2 3 2 2 2 8 2 2" xfId="43655" xr:uid="{00000000-0005-0000-0000-00006E170000}"/>
    <cellStyle name="Comma 2 2 3 2 2 2 8 2 3" xfId="37232" xr:uid="{00000000-0005-0000-0000-00006F170000}"/>
    <cellStyle name="Comma 2 2 3 2 2 2 8 3" xfId="28549" xr:uid="{00000000-0005-0000-0000-000070170000}"/>
    <cellStyle name="Comma 2 2 3 2 2 2 8 3 2" xfId="40448" xr:uid="{00000000-0005-0000-0000-000071170000}"/>
    <cellStyle name="Comma 2 2 3 2 2 2 8 4" xfId="31884" xr:uid="{00000000-0005-0000-0000-000072170000}"/>
    <cellStyle name="Comma 2 2 3 2 2 2 8 5" xfId="34024" xr:uid="{00000000-0005-0000-0000-000073170000}"/>
    <cellStyle name="Comma 2 2 3 2 2 2 9" xfId="8029" xr:uid="{00000000-0005-0000-0000-000074170000}"/>
    <cellStyle name="Comma 2 2 3 2 2 2 9 2" xfId="42452" xr:uid="{00000000-0005-0000-0000-000075170000}"/>
    <cellStyle name="Comma 2 2 3 2 2 2 9 3" xfId="36028" xr:uid="{00000000-0005-0000-0000-000076170000}"/>
    <cellStyle name="Comma 2 2 3 2 2 3" xfId="822" xr:uid="{00000000-0005-0000-0000-000077170000}"/>
    <cellStyle name="Comma 2 2 3 2 2 3 10" xfId="22099" xr:uid="{00000000-0005-0000-0000-000078170000}"/>
    <cellStyle name="Comma 2 2 3 2 2 3 11" xfId="23250" xr:uid="{00000000-0005-0000-0000-000079170000}"/>
    <cellStyle name="Comma 2 2 3 2 2 3 12" xfId="26421" xr:uid="{00000000-0005-0000-0000-00007A170000}"/>
    <cellStyle name="Comma 2 2 3 2 2 3 13" xfId="29754" xr:uid="{00000000-0005-0000-0000-00007B170000}"/>
    <cellStyle name="Comma 2 2 3 2 2 3 14" xfId="33048" xr:uid="{00000000-0005-0000-0000-00007C170000}"/>
    <cellStyle name="Comma 2 2 3 2 2 3 2" xfId="823" xr:uid="{00000000-0005-0000-0000-00007D170000}"/>
    <cellStyle name="Comma 2 2 3 2 2 3 2 10" xfId="33049" xr:uid="{00000000-0005-0000-0000-00007E170000}"/>
    <cellStyle name="Comma 2 2 3 2 2 3 2 2" xfId="9594" xr:uid="{00000000-0005-0000-0000-00007F170000}"/>
    <cellStyle name="Comma 2 2 3 2 2 3 2 2 2" xfId="25394" xr:uid="{00000000-0005-0000-0000-000080170000}"/>
    <cellStyle name="Comma 2 2 3 2 2 3 2 2 2 2" xfId="44821" xr:uid="{00000000-0005-0000-0000-000081170000}"/>
    <cellStyle name="Comma 2 2 3 2 2 3 2 2 2 3" xfId="38398" xr:uid="{00000000-0005-0000-0000-000082170000}"/>
    <cellStyle name="Comma 2 2 3 2 2 3 2 2 3" xfId="27572" xr:uid="{00000000-0005-0000-0000-000083170000}"/>
    <cellStyle name="Comma 2 2 3 2 2 3 2 2 3 2" xfId="41614" xr:uid="{00000000-0005-0000-0000-000084170000}"/>
    <cellStyle name="Comma 2 2 3 2 2 3 2 2 4" xfId="30907" xr:uid="{00000000-0005-0000-0000-000085170000}"/>
    <cellStyle name="Comma 2 2 3 2 2 3 2 2 5" xfId="35190" xr:uid="{00000000-0005-0000-0000-000086170000}"/>
    <cellStyle name="Comma 2 2 3 2 2 3 2 3" xfId="15220" xr:uid="{00000000-0005-0000-0000-000087170000}"/>
    <cellStyle name="Comma 2 2 3 2 2 3 2 3 2" xfId="24233" xr:uid="{00000000-0005-0000-0000-000088170000}"/>
    <cellStyle name="Comma 2 2 3 2 2 3 2 3 2 2" xfId="43662" xr:uid="{00000000-0005-0000-0000-000089170000}"/>
    <cellStyle name="Comma 2 2 3 2 2 3 2 3 2 3" xfId="37239" xr:uid="{00000000-0005-0000-0000-00008A170000}"/>
    <cellStyle name="Comma 2 2 3 2 2 3 2 3 3" xfId="28556" xr:uid="{00000000-0005-0000-0000-00008B170000}"/>
    <cellStyle name="Comma 2 2 3 2 2 3 2 3 3 2" xfId="40455" xr:uid="{00000000-0005-0000-0000-00008C170000}"/>
    <cellStyle name="Comma 2 2 3 2 2 3 2 3 4" xfId="31891" xr:uid="{00000000-0005-0000-0000-00008D170000}"/>
    <cellStyle name="Comma 2 2 3 2 2 3 2 3 5" xfId="34031" xr:uid="{00000000-0005-0000-0000-00008E170000}"/>
    <cellStyle name="Comma 2 2 3 2 2 3 2 4" xfId="8036" xr:uid="{00000000-0005-0000-0000-00008F170000}"/>
    <cellStyle name="Comma 2 2 3 2 2 3 2 4 2" xfId="42680" xr:uid="{00000000-0005-0000-0000-000090170000}"/>
    <cellStyle name="Comma 2 2 3 2 2 3 2 4 3" xfId="36256" xr:uid="{00000000-0005-0000-0000-000091170000}"/>
    <cellStyle name="Comma 2 2 3 2 2 3 2 5" xfId="21027" xr:uid="{00000000-0005-0000-0000-000092170000}"/>
    <cellStyle name="Comma 2 2 3 2 2 3 2 5 2" xfId="39473" xr:uid="{00000000-0005-0000-0000-000093170000}"/>
    <cellStyle name="Comma 2 2 3 2 2 3 2 6" xfId="22100" xr:uid="{00000000-0005-0000-0000-000094170000}"/>
    <cellStyle name="Comma 2 2 3 2 2 3 2 7" xfId="23251" xr:uid="{00000000-0005-0000-0000-000095170000}"/>
    <cellStyle name="Comma 2 2 3 2 2 3 2 8" xfId="26422" xr:uid="{00000000-0005-0000-0000-000096170000}"/>
    <cellStyle name="Comma 2 2 3 2 2 3 2 9" xfId="29755" xr:uid="{00000000-0005-0000-0000-000097170000}"/>
    <cellStyle name="Comma 2 2 3 2 2 3 3" xfId="824" xr:uid="{00000000-0005-0000-0000-000098170000}"/>
    <cellStyle name="Comma 2 2 3 2 2 3 3 10" xfId="33050" xr:uid="{00000000-0005-0000-0000-000099170000}"/>
    <cellStyle name="Comma 2 2 3 2 2 3 3 2" xfId="9595" xr:uid="{00000000-0005-0000-0000-00009A170000}"/>
    <cellStyle name="Comma 2 2 3 2 2 3 3 2 2" xfId="25395" xr:uid="{00000000-0005-0000-0000-00009B170000}"/>
    <cellStyle name="Comma 2 2 3 2 2 3 3 2 2 2" xfId="44822" xr:uid="{00000000-0005-0000-0000-00009C170000}"/>
    <cellStyle name="Comma 2 2 3 2 2 3 3 2 2 3" xfId="38399" xr:uid="{00000000-0005-0000-0000-00009D170000}"/>
    <cellStyle name="Comma 2 2 3 2 2 3 3 2 3" xfId="27573" xr:uid="{00000000-0005-0000-0000-00009E170000}"/>
    <cellStyle name="Comma 2 2 3 2 2 3 3 2 3 2" xfId="41615" xr:uid="{00000000-0005-0000-0000-00009F170000}"/>
    <cellStyle name="Comma 2 2 3 2 2 3 3 2 4" xfId="30908" xr:uid="{00000000-0005-0000-0000-0000A0170000}"/>
    <cellStyle name="Comma 2 2 3 2 2 3 3 2 5" xfId="35191" xr:uid="{00000000-0005-0000-0000-0000A1170000}"/>
    <cellStyle name="Comma 2 2 3 2 2 3 3 3" xfId="15221" xr:uid="{00000000-0005-0000-0000-0000A2170000}"/>
    <cellStyle name="Comma 2 2 3 2 2 3 3 3 2" xfId="24234" xr:uid="{00000000-0005-0000-0000-0000A3170000}"/>
    <cellStyle name="Comma 2 2 3 2 2 3 3 3 2 2" xfId="43663" xr:uid="{00000000-0005-0000-0000-0000A4170000}"/>
    <cellStyle name="Comma 2 2 3 2 2 3 3 3 2 3" xfId="37240" xr:uid="{00000000-0005-0000-0000-0000A5170000}"/>
    <cellStyle name="Comma 2 2 3 2 2 3 3 3 3" xfId="28557" xr:uid="{00000000-0005-0000-0000-0000A6170000}"/>
    <cellStyle name="Comma 2 2 3 2 2 3 3 3 3 2" xfId="40456" xr:uid="{00000000-0005-0000-0000-0000A7170000}"/>
    <cellStyle name="Comma 2 2 3 2 2 3 3 3 4" xfId="31892" xr:uid="{00000000-0005-0000-0000-0000A8170000}"/>
    <cellStyle name="Comma 2 2 3 2 2 3 3 3 5" xfId="34032" xr:uid="{00000000-0005-0000-0000-0000A9170000}"/>
    <cellStyle name="Comma 2 2 3 2 2 3 3 4" xfId="8037" xr:uid="{00000000-0005-0000-0000-0000AA170000}"/>
    <cellStyle name="Comma 2 2 3 2 2 3 3 4 2" xfId="42681" xr:uid="{00000000-0005-0000-0000-0000AB170000}"/>
    <cellStyle name="Comma 2 2 3 2 2 3 3 4 3" xfId="36257" xr:uid="{00000000-0005-0000-0000-0000AC170000}"/>
    <cellStyle name="Comma 2 2 3 2 2 3 3 5" xfId="21028" xr:uid="{00000000-0005-0000-0000-0000AD170000}"/>
    <cellStyle name="Comma 2 2 3 2 2 3 3 5 2" xfId="39474" xr:uid="{00000000-0005-0000-0000-0000AE170000}"/>
    <cellStyle name="Comma 2 2 3 2 2 3 3 6" xfId="22101" xr:uid="{00000000-0005-0000-0000-0000AF170000}"/>
    <cellStyle name="Comma 2 2 3 2 2 3 3 7" xfId="23252" xr:uid="{00000000-0005-0000-0000-0000B0170000}"/>
    <cellStyle name="Comma 2 2 3 2 2 3 3 8" xfId="26423" xr:uid="{00000000-0005-0000-0000-0000B1170000}"/>
    <cellStyle name="Comma 2 2 3 2 2 3 3 9" xfId="29756" xr:uid="{00000000-0005-0000-0000-0000B2170000}"/>
    <cellStyle name="Comma 2 2 3 2 2 3 4" xfId="825" xr:uid="{00000000-0005-0000-0000-0000B3170000}"/>
    <cellStyle name="Comma 2 2 3 2 2 3 4 10" xfId="33051" xr:uid="{00000000-0005-0000-0000-0000B4170000}"/>
    <cellStyle name="Comma 2 2 3 2 2 3 4 2" xfId="9596" xr:uid="{00000000-0005-0000-0000-0000B5170000}"/>
    <cellStyle name="Comma 2 2 3 2 2 3 4 2 2" xfId="25396" xr:uid="{00000000-0005-0000-0000-0000B6170000}"/>
    <cellStyle name="Comma 2 2 3 2 2 3 4 2 2 2" xfId="44823" xr:uid="{00000000-0005-0000-0000-0000B7170000}"/>
    <cellStyle name="Comma 2 2 3 2 2 3 4 2 2 3" xfId="38400" xr:uid="{00000000-0005-0000-0000-0000B8170000}"/>
    <cellStyle name="Comma 2 2 3 2 2 3 4 2 3" xfId="27574" xr:uid="{00000000-0005-0000-0000-0000B9170000}"/>
    <cellStyle name="Comma 2 2 3 2 2 3 4 2 3 2" xfId="41616" xr:uid="{00000000-0005-0000-0000-0000BA170000}"/>
    <cellStyle name="Comma 2 2 3 2 2 3 4 2 4" xfId="30909" xr:uid="{00000000-0005-0000-0000-0000BB170000}"/>
    <cellStyle name="Comma 2 2 3 2 2 3 4 2 5" xfId="35192" xr:uid="{00000000-0005-0000-0000-0000BC170000}"/>
    <cellStyle name="Comma 2 2 3 2 2 3 4 3" xfId="15222" xr:uid="{00000000-0005-0000-0000-0000BD170000}"/>
    <cellStyle name="Comma 2 2 3 2 2 3 4 3 2" xfId="24235" xr:uid="{00000000-0005-0000-0000-0000BE170000}"/>
    <cellStyle name="Comma 2 2 3 2 2 3 4 3 2 2" xfId="43664" xr:uid="{00000000-0005-0000-0000-0000BF170000}"/>
    <cellStyle name="Comma 2 2 3 2 2 3 4 3 2 3" xfId="37241" xr:uid="{00000000-0005-0000-0000-0000C0170000}"/>
    <cellStyle name="Comma 2 2 3 2 2 3 4 3 3" xfId="28558" xr:uid="{00000000-0005-0000-0000-0000C1170000}"/>
    <cellStyle name="Comma 2 2 3 2 2 3 4 3 3 2" xfId="40457" xr:uid="{00000000-0005-0000-0000-0000C2170000}"/>
    <cellStyle name="Comma 2 2 3 2 2 3 4 3 4" xfId="31893" xr:uid="{00000000-0005-0000-0000-0000C3170000}"/>
    <cellStyle name="Comma 2 2 3 2 2 3 4 3 5" xfId="34033" xr:uid="{00000000-0005-0000-0000-0000C4170000}"/>
    <cellStyle name="Comma 2 2 3 2 2 3 4 4" xfId="8038" xr:uid="{00000000-0005-0000-0000-0000C5170000}"/>
    <cellStyle name="Comma 2 2 3 2 2 3 4 4 2" xfId="42682" xr:uid="{00000000-0005-0000-0000-0000C6170000}"/>
    <cellStyle name="Comma 2 2 3 2 2 3 4 4 3" xfId="36258" xr:uid="{00000000-0005-0000-0000-0000C7170000}"/>
    <cellStyle name="Comma 2 2 3 2 2 3 4 5" xfId="21029" xr:uid="{00000000-0005-0000-0000-0000C8170000}"/>
    <cellStyle name="Comma 2 2 3 2 2 3 4 5 2" xfId="39475" xr:uid="{00000000-0005-0000-0000-0000C9170000}"/>
    <cellStyle name="Comma 2 2 3 2 2 3 4 6" xfId="22102" xr:uid="{00000000-0005-0000-0000-0000CA170000}"/>
    <cellStyle name="Comma 2 2 3 2 2 3 4 7" xfId="23253" xr:uid="{00000000-0005-0000-0000-0000CB170000}"/>
    <cellStyle name="Comma 2 2 3 2 2 3 4 8" xfId="26424" xr:uid="{00000000-0005-0000-0000-0000CC170000}"/>
    <cellStyle name="Comma 2 2 3 2 2 3 4 9" xfId="29757" xr:uid="{00000000-0005-0000-0000-0000CD170000}"/>
    <cellStyle name="Comma 2 2 3 2 2 3 5" xfId="826" xr:uid="{00000000-0005-0000-0000-0000CE170000}"/>
    <cellStyle name="Comma 2 2 3 2 2 3 5 10" xfId="33052" xr:uid="{00000000-0005-0000-0000-0000CF170000}"/>
    <cellStyle name="Comma 2 2 3 2 2 3 5 2" xfId="9597" xr:uid="{00000000-0005-0000-0000-0000D0170000}"/>
    <cellStyle name="Comma 2 2 3 2 2 3 5 2 2" xfId="25397" xr:uid="{00000000-0005-0000-0000-0000D1170000}"/>
    <cellStyle name="Comma 2 2 3 2 2 3 5 2 2 2" xfId="44824" xr:uid="{00000000-0005-0000-0000-0000D2170000}"/>
    <cellStyle name="Comma 2 2 3 2 2 3 5 2 2 3" xfId="38401" xr:uid="{00000000-0005-0000-0000-0000D3170000}"/>
    <cellStyle name="Comma 2 2 3 2 2 3 5 2 3" xfId="27575" xr:uid="{00000000-0005-0000-0000-0000D4170000}"/>
    <cellStyle name="Comma 2 2 3 2 2 3 5 2 3 2" xfId="41617" xr:uid="{00000000-0005-0000-0000-0000D5170000}"/>
    <cellStyle name="Comma 2 2 3 2 2 3 5 2 4" xfId="30910" xr:uid="{00000000-0005-0000-0000-0000D6170000}"/>
    <cellStyle name="Comma 2 2 3 2 2 3 5 2 5" xfId="35193" xr:uid="{00000000-0005-0000-0000-0000D7170000}"/>
    <cellStyle name="Comma 2 2 3 2 2 3 5 3" xfId="15223" xr:uid="{00000000-0005-0000-0000-0000D8170000}"/>
    <cellStyle name="Comma 2 2 3 2 2 3 5 3 2" xfId="24236" xr:uid="{00000000-0005-0000-0000-0000D9170000}"/>
    <cellStyle name="Comma 2 2 3 2 2 3 5 3 2 2" xfId="43665" xr:uid="{00000000-0005-0000-0000-0000DA170000}"/>
    <cellStyle name="Comma 2 2 3 2 2 3 5 3 2 3" xfId="37242" xr:uid="{00000000-0005-0000-0000-0000DB170000}"/>
    <cellStyle name="Comma 2 2 3 2 2 3 5 3 3" xfId="28559" xr:uid="{00000000-0005-0000-0000-0000DC170000}"/>
    <cellStyle name="Comma 2 2 3 2 2 3 5 3 3 2" xfId="40458" xr:uid="{00000000-0005-0000-0000-0000DD170000}"/>
    <cellStyle name="Comma 2 2 3 2 2 3 5 3 4" xfId="31894" xr:uid="{00000000-0005-0000-0000-0000DE170000}"/>
    <cellStyle name="Comma 2 2 3 2 2 3 5 3 5" xfId="34034" xr:uid="{00000000-0005-0000-0000-0000DF170000}"/>
    <cellStyle name="Comma 2 2 3 2 2 3 5 4" xfId="8039" xr:uid="{00000000-0005-0000-0000-0000E0170000}"/>
    <cellStyle name="Comma 2 2 3 2 2 3 5 4 2" xfId="42683" xr:uid="{00000000-0005-0000-0000-0000E1170000}"/>
    <cellStyle name="Comma 2 2 3 2 2 3 5 4 3" xfId="36259" xr:uid="{00000000-0005-0000-0000-0000E2170000}"/>
    <cellStyle name="Comma 2 2 3 2 2 3 5 5" xfId="21030" xr:uid="{00000000-0005-0000-0000-0000E3170000}"/>
    <cellStyle name="Comma 2 2 3 2 2 3 5 5 2" xfId="39476" xr:uid="{00000000-0005-0000-0000-0000E4170000}"/>
    <cellStyle name="Comma 2 2 3 2 2 3 5 6" xfId="22103" xr:uid="{00000000-0005-0000-0000-0000E5170000}"/>
    <cellStyle name="Comma 2 2 3 2 2 3 5 7" xfId="23254" xr:uid="{00000000-0005-0000-0000-0000E6170000}"/>
    <cellStyle name="Comma 2 2 3 2 2 3 5 8" xfId="26425" xr:uid="{00000000-0005-0000-0000-0000E7170000}"/>
    <cellStyle name="Comma 2 2 3 2 2 3 5 9" xfId="29758" xr:uid="{00000000-0005-0000-0000-0000E8170000}"/>
    <cellStyle name="Comma 2 2 3 2 2 3 6" xfId="9593" xr:uid="{00000000-0005-0000-0000-0000E9170000}"/>
    <cellStyle name="Comma 2 2 3 2 2 3 6 2" xfId="25393" xr:uid="{00000000-0005-0000-0000-0000EA170000}"/>
    <cellStyle name="Comma 2 2 3 2 2 3 6 2 2" xfId="44820" xr:uid="{00000000-0005-0000-0000-0000EB170000}"/>
    <cellStyle name="Comma 2 2 3 2 2 3 6 2 3" xfId="38397" xr:uid="{00000000-0005-0000-0000-0000EC170000}"/>
    <cellStyle name="Comma 2 2 3 2 2 3 6 3" xfId="27571" xr:uid="{00000000-0005-0000-0000-0000ED170000}"/>
    <cellStyle name="Comma 2 2 3 2 2 3 6 3 2" xfId="41613" xr:uid="{00000000-0005-0000-0000-0000EE170000}"/>
    <cellStyle name="Comma 2 2 3 2 2 3 6 4" xfId="30906" xr:uid="{00000000-0005-0000-0000-0000EF170000}"/>
    <cellStyle name="Comma 2 2 3 2 2 3 6 5" xfId="35189" xr:uid="{00000000-0005-0000-0000-0000F0170000}"/>
    <cellStyle name="Comma 2 2 3 2 2 3 7" xfId="15219" xr:uid="{00000000-0005-0000-0000-0000F1170000}"/>
    <cellStyle name="Comma 2 2 3 2 2 3 7 2" xfId="24232" xr:uid="{00000000-0005-0000-0000-0000F2170000}"/>
    <cellStyle name="Comma 2 2 3 2 2 3 7 2 2" xfId="43661" xr:uid="{00000000-0005-0000-0000-0000F3170000}"/>
    <cellStyle name="Comma 2 2 3 2 2 3 7 2 3" xfId="37238" xr:uid="{00000000-0005-0000-0000-0000F4170000}"/>
    <cellStyle name="Comma 2 2 3 2 2 3 7 3" xfId="28555" xr:uid="{00000000-0005-0000-0000-0000F5170000}"/>
    <cellStyle name="Comma 2 2 3 2 2 3 7 3 2" xfId="40454" xr:uid="{00000000-0005-0000-0000-0000F6170000}"/>
    <cellStyle name="Comma 2 2 3 2 2 3 7 4" xfId="31890" xr:uid="{00000000-0005-0000-0000-0000F7170000}"/>
    <cellStyle name="Comma 2 2 3 2 2 3 7 5" xfId="34030" xr:uid="{00000000-0005-0000-0000-0000F8170000}"/>
    <cellStyle name="Comma 2 2 3 2 2 3 8" xfId="8035" xr:uid="{00000000-0005-0000-0000-0000F9170000}"/>
    <cellStyle name="Comma 2 2 3 2 2 3 8 2" xfId="42679" xr:uid="{00000000-0005-0000-0000-0000FA170000}"/>
    <cellStyle name="Comma 2 2 3 2 2 3 8 3" xfId="36255" xr:uid="{00000000-0005-0000-0000-0000FB170000}"/>
    <cellStyle name="Comma 2 2 3 2 2 3 9" xfId="21026" xr:uid="{00000000-0005-0000-0000-0000FC170000}"/>
    <cellStyle name="Comma 2 2 3 2 2 3 9 2" xfId="39472" xr:uid="{00000000-0005-0000-0000-0000FD170000}"/>
    <cellStyle name="Comma 2 2 3 2 2 4" xfId="827" xr:uid="{00000000-0005-0000-0000-0000FE170000}"/>
    <cellStyle name="Comma 2 2 3 2 2 4 10" xfId="33053" xr:uid="{00000000-0005-0000-0000-0000FF170000}"/>
    <cellStyle name="Comma 2 2 3 2 2 4 2" xfId="9598" xr:uid="{00000000-0005-0000-0000-000000180000}"/>
    <cellStyle name="Comma 2 2 3 2 2 4 2 2" xfId="25398" xr:uid="{00000000-0005-0000-0000-000001180000}"/>
    <cellStyle name="Comma 2 2 3 2 2 4 2 2 2" xfId="44825" xr:uid="{00000000-0005-0000-0000-000002180000}"/>
    <cellStyle name="Comma 2 2 3 2 2 4 2 2 3" xfId="38402" xr:uid="{00000000-0005-0000-0000-000003180000}"/>
    <cellStyle name="Comma 2 2 3 2 2 4 2 3" xfId="27576" xr:uid="{00000000-0005-0000-0000-000004180000}"/>
    <cellStyle name="Comma 2 2 3 2 2 4 2 3 2" xfId="41618" xr:uid="{00000000-0005-0000-0000-000005180000}"/>
    <cellStyle name="Comma 2 2 3 2 2 4 2 4" xfId="30911" xr:uid="{00000000-0005-0000-0000-000006180000}"/>
    <cellStyle name="Comma 2 2 3 2 2 4 2 5" xfId="35194" xr:uid="{00000000-0005-0000-0000-000007180000}"/>
    <cellStyle name="Comma 2 2 3 2 2 4 3" xfId="15224" xr:uid="{00000000-0005-0000-0000-000008180000}"/>
    <cellStyle name="Comma 2 2 3 2 2 4 3 2" xfId="24237" xr:uid="{00000000-0005-0000-0000-000009180000}"/>
    <cellStyle name="Comma 2 2 3 2 2 4 3 2 2" xfId="43666" xr:uid="{00000000-0005-0000-0000-00000A180000}"/>
    <cellStyle name="Comma 2 2 3 2 2 4 3 2 3" xfId="37243" xr:uid="{00000000-0005-0000-0000-00000B180000}"/>
    <cellStyle name="Comma 2 2 3 2 2 4 3 3" xfId="28560" xr:uid="{00000000-0005-0000-0000-00000C180000}"/>
    <cellStyle name="Comma 2 2 3 2 2 4 3 3 2" xfId="40459" xr:uid="{00000000-0005-0000-0000-00000D180000}"/>
    <cellStyle name="Comma 2 2 3 2 2 4 3 4" xfId="31895" xr:uid="{00000000-0005-0000-0000-00000E180000}"/>
    <cellStyle name="Comma 2 2 3 2 2 4 3 5" xfId="34035" xr:uid="{00000000-0005-0000-0000-00000F180000}"/>
    <cellStyle name="Comma 2 2 3 2 2 4 4" xfId="8040" xr:uid="{00000000-0005-0000-0000-000010180000}"/>
    <cellStyle name="Comma 2 2 3 2 2 4 4 2" xfId="42684" xr:uid="{00000000-0005-0000-0000-000011180000}"/>
    <cellStyle name="Comma 2 2 3 2 2 4 4 3" xfId="36260" xr:uid="{00000000-0005-0000-0000-000012180000}"/>
    <cellStyle name="Comma 2 2 3 2 2 4 5" xfId="21031" xr:uid="{00000000-0005-0000-0000-000013180000}"/>
    <cellStyle name="Comma 2 2 3 2 2 4 5 2" xfId="39477" xr:uid="{00000000-0005-0000-0000-000014180000}"/>
    <cellStyle name="Comma 2 2 3 2 2 4 6" xfId="22104" xr:uid="{00000000-0005-0000-0000-000015180000}"/>
    <cellStyle name="Comma 2 2 3 2 2 4 7" xfId="23255" xr:uid="{00000000-0005-0000-0000-000016180000}"/>
    <cellStyle name="Comma 2 2 3 2 2 4 8" xfId="26426" xr:uid="{00000000-0005-0000-0000-000017180000}"/>
    <cellStyle name="Comma 2 2 3 2 2 4 9" xfId="29759" xr:uid="{00000000-0005-0000-0000-000018180000}"/>
    <cellStyle name="Comma 2 2 3 2 2 5" xfId="828" xr:uid="{00000000-0005-0000-0000-000019180000}"/>
    <cellStyle name="Comma 2 2 3 2 2 5 10" xfId="33054" xr:uid="{00000000-0005-0000-0000-00001A180000}"/>
    <cellStyle name="Comma 2 2 3 2 2 5 2" xfId="9599" xr:uid="{00000000-0005-0000-0000-00001B180000}"/>
    <cellStyle name="Comma 2 2 3 2 2 5 2 2" xfId="25399" xr:uid="{00000000-0005-0000-0000-00001C180000}"/>
    <cellStyle name="Comma 2 2 3 2 2 5 2 2 2" xfId="44826" xr:uid="{00000000-0005-0000-0000-00001D180000}"/>
    <cellStyle name="Comma 2 2 3 2 2 5 2 2 3" xfId="38403" xr:uid="{00000000-0005-0000-0000-00001E180000}"/>
    <cellStyle name="Comma 2 2 3 2 2 5 2 3" xfId="27577" xr:uid="{00000000-0005-0000-0000-00001F180000}"/>
    <cellStyle name="Comma 2 2 3 2 2 5 2 3 2" xfId="41619" xr:uid="{00000000-0005-0000-0000-000020180000}"/>
    <cellStyle name="Comma 2 2 3 2 2 5 2 4" xfId="30912" xr:uid="{00000000-0005-0000-0000-000021180000}"/>
    <cellStyle name="Comma 2 2 3 2 2 5 2 5" xfId="35195" xr:uid="{00000000-0005-0000-0000-000022180000}"/>
    <cellStyle name="Comma 2 2 3 2 2 5 3" xfId="15225" xr:uid="{00000000-0005-0000-0000-000023180000}"/>
    <cellStyle name="Comma 2 2 3 2 2 5 3 2" xfId="24238" xr:uid="{00000000-0005-0000-0000-000024180000}"/>
    <cellStyle name="Comma 2 2 3 2 2 5 3 2 2" xfId="43667" xr:uid="{00000000-0005-0000-0000-000025180000}"/>
    <cellStyle name="Comma 2 2 3 2 2 5 3 2 3" xfId="37244" xr:uid="{00000000-0005-0000-0000-000026180000}"/>
    <cellStyle name="Comma 2 2 3 2 2 5 3 3" xfId="28561" xr:uid="{00000000-0005-0000-0000-000027180000}"/>
    <cellStyle name="Comma 2 2 3 2 2 5 3 3 2" xfId="40460" xr:uid="{00000000-0005-0000-0000-000028180000}"/>
    <cellStyle name="Comma 2 2 3 2 2 5 3 4" xfId="31896" xr:uid="{00000000-0005-0000-0000-000029180000}"/>
    <cellStyle name="Comma 2 2 3 2 2 5 3 5" xfId="34036" xr:uid="{00000000-0005-0000-0000-00002A180000}"/>
    <cellStyle name="Comma 2 2 3 2 2 5 4" xfId="8041" xr:uid="{00000000-0005-0000-0000-00002B180000}"/>
    <cellStyle name="Comma 2 2 3 2 2 5 4 2" xfId="42685" xr:uid="{00000000-0005-0000-0000-00002C180000}"/>
    <cellStyle name="Comma 2 2 3 2 2 5 4 3" xfId="36261" xr:uid="{00000000-0005-0000-0000-00002D180000}"/>
    <cellStyle name="Comma 2 2 3 2 2 5 5" xfId="21032" xr:uid="{00000000-0005-0000-0000-00002E180000}"/>
    <cellStyle name="Comma 2 2 3 2 2 5 5 2" xfId="39478" xr:uid="{00000000-0005-0000-0000-00002F180000}"/>
    <cellStyle name="Comma 2 2 3 2 2 5 6" xfId="22105" xr:uid="{00000000-0005-0000-0000-000030180000}"/>
    <cellStyle name="Comma 2 2 3 2 2 5 7" xfId="23256" xr:uid="{00000000-0005-0000-0000-000031180000}"/>
    <cellStyle name="Comma 2 2 3 2 2 5 8" xfId="26427" xr:uid="{00000000-0005-0000-0000-000032180000}"/>
    <cellStyle name="Comma 2 2 3 2 2 5 9" xfId="29760" xr:uid="{00000000-0005-0000-0000-000033180000}"/>
    <cellStyle name="Comma 2 2 3 2 2 6" xfId="829" xr:uid="{00000000-0005-0000-0000-000034180000}"/>
    <cellStyle name="Comma 2 2 3 2 2 6 10" xfId="33055" xr:uid="{00000000-0005-0000-0000-000035180000}"/>
    <cellStyle name="Comma 2 2 3 2 2 6 2" xfId="9600" xr:uid="{00000000-0005-0000-0000-000036180000}"/>
    <cellStyle name="Comma 2 2 3 2 2 6 2 2" xfId="25400" xr:uid="{00000000-0005-0000-0000-000037180000}"/>
    <cellStyle name="Comma 2 2 3 2 2 6 2 2 2" xfId="44827" xr:uid="{00000000-0005-0000-0000-000038180000}"/>
    <cellStyle name="Comma 2 2 3 2 2 6 2 2 3" xfId="38404" xr:uid="{00000000-0005-0000-0000-000039180000}"/>
    <cellStyle name="Comma 2 2 3 2 2 6 2 3" xfId="27578" xr:uid="{00000000-0005-0000-0000-00003A180000}"/>
    <cellStyle name="Comma 2 2 3 2 2 6 2 3 2" xfId="41620" xr:uid="{00000000-0005-0000-0000-00003B180000}"/>
    <cellStyle name="Comma 2 2 3 2 2 6 2 4" xfId="30913" xr:uid="{00000000-0005-0000-0000-00003C180000}"/>
    <cellStyle name="Comma 2 2 3 2 2 6 2 5" xfId="35196" xr:uid="{00000000-0005-0000-0000-00003D180000}"/>
    <cellStyle name="Comma 2 2 3 2 2 6 3" xfId="15226" xr:uid="{00000000-0005-0000-0000-00003E180000}"/>
    <cellStyle name="Comma 2 2 3 2 2 6 3 2" xfId="24239" xr:uid="{00000000-0005-0000-0000-00003F180000}"/>
    <cellStyle name="Comma 2 2 3 2 2 6 3 2 2" xfId="43668" xr:uid="{00000000-0005-0000-0000-000040180000}"/>
    <cellStyle name="Comma 2 2 3 2 2 6 3 2 3" xfId="37245" xr:uid="{00000000-0005-0000-0000-000041180000}"/>
    <cellStyle name="Comma 2 2 3 2 2 6 3 3" xfId="28562" xr:uid="{00000000-0005-0000-0000-000042180000}"/>
    <cellStyle name="Comma 2 2 3 2 2 6 3 3 2" xfId="40461" xr:uid="{00000000-0005-0000-0000-000043180000}"/>
    <cellStyle name="Comma 2 2 3 2 2 6 3 4" xfId="31897" xr:uid="{00000000-0005-0000-0000-000044180000}"/>
    <cellStyle name="Comma 2 2 3 2 2 6 3 5" xfId="34037" xr:uid="{00000000-0005-0000-0000-000045180000}"/>
    <cellStyle name="Comma 2 2 3 2 2 6 4" xfId="8042" xr:uid="{00000000-0005-0000-0000-000046180000}"/>
    <cellStyle name="Comma 2 2 3 2 2 6 4 2" xfId="42686" xr:uid="{00000000-0005-0000-0000-000047180000}"/>
    <cellStyle name="Comma 2 2 3 2 2 6 4 3" xfId="36262" xr:uid="{00000000-0005-0000-0000-000048180000}"/>
    <cellStyle name="Comma 2 2 3 2 2 6 5" xfId="21033" xr:uid="{00000000-0005-0000-0000-000049180000}"/>
    <cellStyle name="Comma 2 2 3 2 2 6 5 2" xfId="39479" xr:uid="{00000000-0005-0000-0000-00004A180000}"/>
    <cellStyle name="Comma 2 2 3 2 2 6 6" xfId="22106" xr:uid="{00000000-0005-0000-0000-00004B180000}"/>
    <cellStyle name="Comma 2 2 3 2 2 6 7" xfId="23257" xr:uid="{00000000-0005-0000-0000-00004C180000}"/>
    <cellStyle name="Comma 2 2 3 2 2 6 8" xfId="26428" xr:uid="{00000000-0005-0000-0000-00004D180000}"/>
    <cellStyle name="Comma 2 2 3 2 2 6 9" xfId="29761" xr:uid="{00000000-0005-0000-0000-00004E180000}"/>
    <cellStyle name="Comma 2 2 3 2 2 7" xfId="830" xr:uid="{00000000-0005-0000-0000-00004F180000}"/>
    <cellStyle name="Comma 2 2 3 2 2 7 10" xfId="33056" xr:uid="{00000000-0005-0000-0000-000050180000}"/>
    <cellStyle name="Comma 2 2 3 2 2 7 2" xfId="9601" xr:uid="{00000000-0005-0000-0000-000051180000}"/>
    <cellStyle name="Comma 2 2 3 2 2 7 2 2" xfId="25401" xr:uid="{00000000-0005-0000-0000-000052180000}"/>
    <cellStyle name="Comma 2 2 3 2 2 7 2 2 2" xfId="44828" xr:uid="{00000000-0005-0000-0000-000053180000}"/>
    <cellStyle name="Comma 2 2 3 2 2 7 2 2 3" xfId="38405" xr:uid="{00000000-0005-0000-0000-000054180000}"/>
    <cellStyle name="Comma 2 2 3 2 2 7 2 3" xfId="27579" xr:uid="{00000000-0005-0000-0000-000055180000}"/>
    <cellStyle name="Comma 2 2 3 2 2 7 2 3 2" xfId="41621" xr:uid="{00000000-0005-0000-0000-000056180000}"/>
    <cellStyle name="Comma 2 2 3 2 2 7 2 4" xfId="30914" xr:uid="{00000000-0005-0000-0000-000057180000}"/>
    <cellStyle name="Comma 2 2 3 2 2 7 2 5" xfId="35197" xr:uid="{00000000-0005-0000-0000-000058180000}"/>
    <cellStyle name="Comma 2 2 3 2 2 7 3" xfId="15227" xr:uid="{00000000-0005-0000-0000-000059180000}"/>
    <cellStyle name="Comma 2 2 3 2 2 7 3 2" xfId="24240" xr:uid="{00000000-0005-0000-0000-00005A180000}"/>
    <cellStyle name="Comma 2 2 3 2 2 7 3 2 2" xfId="43669" xr:uid="{00000000-0005-0000-0000-00005B180000}"/>
    <cellStyle name="Comma 2 2 3 2 2 7 3 2 3" xfId="37246" xr:uid="{00000000-0005-0000-0000-00005C180000}"/>
    <cellStyle name="Comma 2 2 3 2 2 7 3 3" xfId="28563" xr:uid="{00000000-0005-0000-0000-00005D180000}"/>
    <cellStyle name="Comma 2 2 3 2 2 7 3 3 2" xfId="40462" xr:uid="{00000000-0005-0000-0000-00005E180000}"/>
    <cellStyle name="Comma 2 2 3 2 2 7 3 4" xfId="31898" xr:uid="{00000000-0005-0000-0000-00005F180000}"/>
    <cellStyle name="Comma 2 2 3 2 2 7 3 5" xfId="34038" xr:uid="{00000000-0005-0000-0000-000060180000}"/>
    <cellStyle name="Comma 2 2 3 2 2 7 4" xfId="8043" xr:uid="{00000000-0005-0000-0000-000061180000}"/>
    <cellStyle name="Comma 2 2 3 2 2 7 4 2" xfId="42687" xr:uid="{00000000-0005-0000-0000-000062180000}"/>
    <cellStyle name="Comma 2 2 3 2 2 7 4 3" xfId="36263" xr:uid="{00000000-0005-0000-0000-000063180000}"/>
    <cellStyle name="Comma 2 2 3 2 2 7 5" xfId="21034" xr:uid="{00000000-0005-0000-0000-000064180000}"/>
    <cellStyle name="Comma 2 2 3 2 2 7 5 2" xfId="39480" xr:uid="{00000000-0005-0000-0000-000065180000}"/>
    <cellStyle name="Comma 2 2 3 2 2 7 6" xfId="22107" xr:uid="{00000000-0005-0000-0000-000066180000}"/>
    <cellStyle name="Comma 2 2 3 2 2 7 7" xfId="23258" xr:uid="{00000000-0005-0000-0000-000067180000}"/>
    <cellStyle name="Comma 2 2 3 2 2 7 8" xfId="26429" xr:uid="{00000000-0005-0000-0000-000068180000}"/>
    <cellStyle name="Comma 2 2 3 2 2 7 9" xfId="29762" xr:uid="{00000000-0005-0000-0000-000069180000}"/>
    <cellStyle name="Comma 2 2 3 2 2 8" xfId="831" xr:uid="{00000000-0005-0000-0000-00006A180000}"/>
    <cellStyle name="Comma 2 2 3 2 2 8 10" xfId="33057" xr:uid="{00000000-0005-0000-0000-00006B180000}"/>
    <cellStyle name="Comma 2 2 3 2 2 8 2" xfId="9602" xr:uid="{00000000-0005-0000-0000-00006C180000}"/>
    <cellStyle name="Comma 2 2 3 2 2 8 2 2" xfId="25402" xr:uid="{00000000-0005-0000-0000-00006D180000}"/>
    <cellStyle name="Comma 2 2 3 2 2 8 2 2 2" xfId="44829" xr:uid="{00000000-0005-0000-0000-00006E180000}"/>
    <cellStyle name="Comma 2 2 3 2 2 8 2 2 3" xfId="38406" xr:uid="{00000000-0005-0000-0000-00006F180000}"/>
    <cellStyle name="Comma 2 2 3 2 2 8 2 3" xfId="27580" xr:uid="{00000000-0005-0000-0000-000070180000}"/>
    <cellStyle name="Comma 2 2 3 2 2 8 2 3 2" xfId="41622" xr:uid="{00000000-0005-0000-0000-000071180000}"/>
    <cellStyle name="Comma 2 2 3 2 2 8 2 4" xfId="30915" xr:uid="{00000000-0005-0000-0000-000072180000}"/>
    <cellStyle name="Comma 2 2 3 2 2 8 2 5" xfId="35198" xr:uid="{00000000-0005-0000-0000-000073180000}"/>
    <cellStyle name="Comma 2 2 3 2 2 8 3" xfId="15228" xr:uid="{00000000-0005-0000-0000-000074180000}"/>
    <cellStyle name="Comma 2 2 3 2 2 8 3 2" xfId="24241" xr:uid="{00000000-0005-0000-0000-000075180000}"/>
    <cellStyle name="Comma 2 2 3 2 2 8 3 2 2" xfId="43670" xr:uid="{00000000-0005-0000-0000-000076180000}"/>
    <cellStyle name="Comma 2 2 3 2 2 8 3 2 3" xfId="37247" xr:uid="{00000000-0005-0000-0000-000077180000}"/>
    <cellStyle name="Comma 2 2 3 2 2 8 3 3" xfId="28564" xr:uid="{00000000-0005-0000-0000-000078180000}"/>
    <cellStyle name="Comma 2 2 3 2 2 8 3 3 2" xfId="40463" xr:uid="{00000000-0005-0000-0000-000079180000}"/>
    <cellStyle name="Comma 2 2 3 2 2 8 3 4" xfId="31899" xr:uid="{00000000-0005-0000-0000-00007A180000}"/>
    <cellStyle name="Comma 2 2 3 2 2 8 3 5" xfId="34039" xr:uid="{00000000-0005-0000-0000-00007B180000}"/>
    <cellStyle name="Comma 2 2 3 2 2 8 4" xfId="8044" xr:uid="{00000000-0005-0000-0000-00007C180000}"/>
    <cellStyle name="Comma 2 2 3 2 2 8 4 2" xfId="42688" xr:uid="{00000000-0005-0000-0000-00007D180000}"/>
    <cellStyle name="Comma 2 2 3 2 2 8 4 3" xfId="36264" xr:uid="{00000000-0005-0000-0000-00007E180000}"/>
    <cellStyle name="Comma 2 2 3 2 2 8 5" xfId="21035" xr:uid="{00000000-0005-0000-0000-00007F180000}"/>
    <cellStyle name="Comma 2 2 3 2 2 8 5 2" xfId="39481" xr:uid="{00000000-0005-0000-0000-000080180000}"/>
    <cellStyle name="Comma 2 2 3 2 2 8 6" xfId="22108" xr:uid="{00000000-0005-0000-0000-000081180000}"/>
    <cellStyle name="Comma 2 2 3 2 2 8 7" xfId="23259" xr:uid="{00000000-0005-0000-0000-000082180000}"/>
    <cellStyle name="Comma 2 2 3 2 2 8 8" xfId="26430" xr:uid="{00000000-0005-0000-0000-000083180000}"/>
    <cellStyle name="Comma 2 2 3 2 2 8 9" xfId="29763" xr:uid="{00000000-0005-0000-0000-000084180000}"/>
    <cellStyle name="Comma 2 2 3 2 2 9" xfId="9111" xr:uid="{00000000-0005-0000-0000-000085180000}"/>
    <cellStyle name="Comma 2 2 3 2 2 9 2" xfId="25165" xr:uid="{00000000-0005-0000-0000-000086180000}"/>
    <cellStyle name="Comma 2 2 3 2 2 9 2 2" xfId="44592" xr:uid="{00000000-0005-0000-0000-000087180000}"/>
    <cellStyle name="Comma 2 2 3 2 2 9 2 3" xfId="38169" xr:uid="{00000000-0005-0000-0000-000088180000}"/>
    <cellStyle name="Comma 2 2 3 2 2 9 3" xfId="27344" xr:uid="{00000000-0005-0000-0000-000089180000}"/>
    <cellStyle name="Comma 2 2 3 2 2 9 3 2" xfId="41385" xr:uid="{00000000-0005-0000-0000-00008A180000}"/>
    <cellStyle name="Comma 2 2 3 2 2 9 4" xfId="30679" xr:uid="{00000000-0005-0000-0000-00008B180000}"/>
    <cellStyle name="Comma 2 2 3 2 2 9 5" xfId="34961" xr:uid="{00000000-0005-0000-0000-00008C180000}"/>
    <cellStyle name="Comma 2 2 3 2 3" xfId="237" xr:uid="{00000000-0005-0000-0000-00008D180000}"/>
    <cellStyle name="Comma 2 2 3 2 3 10" xfId="21036" xr:uid="{00000000-0005-0000-0000-00008E180000}"/>
    <cellStyle name="Comma 2 2 3 2 3 10 2" xfId="39238" xr:uid="{00000000-0005-0000-0000-00008F180000}"/>
    <cellStyle name="Comma 2 2 3 2 3 11" xfId="22109" xr:uid="{00000000-0005-0000-0000-000090180000}"/>
    <cellStyle name="Comma 2 2 3 2 3 12" xfId="23016" xr:uid="{00000000-0005-0000-0000-000091180000}"/>
    <cellStyle name="Comma 2 2 3 2 3 13" xfId="26431" xr:uid="{00000000-0005-0000-0000-000092180000}"/>
    <cellStyle name="Comma 2 2 3 2 3 14" xfId="29764" xr:uid="{00000000-0005-0000-0000-000093180000}"/>
    <cellStyle name="Comma 2 2 3 2 3 15" xfId="32814" xr:uid="{00000000-0005-0000-0000-000094180000}"/>
    <cellStyle name="Comma 2 2 3 2 3 2" xfId="832" xr:uid="{00000000-0005-0000-0000-000095180000}"/>
    <cellStyle name="Comma 2 2 3 2 3 2 10" xfId="33058" xr:uid="{00000000-0005-0000-0000-000096180000}"/>
    <cellStyle name="Comma 2 2 3 2 3 2 2" xfId="9603" xr:uid="{00000000-0005-0000-0000-000097180000}"/>
    <cellStyle name="Comma 2 2 3 2 3 2 2 2" xfId="25403" xr:uid="{00000000-0005-0000-0000-000098180000}"/>
    <cellStyle name="Comma 2 2 3 2 3 2 2 2 2" xfId="44830" xr:uid="{00000000-0005-0000-0000-000099180000}"/>
    <cellStyle name="Comma 2 2 3 2 3 2 2 2 3" xfId="38407" xr:uid="{00000000-0005-0000-0000-00009A180000}"/>
    <cellStyle name="Comma 2 2 3 2 3 2 2 3" xfId="27581" xr:uid="{00000000-0005-0000-0000-00009B180000}"/>
    <cellStyle name="Comma 2 2 3 2 3 2 2 3 2" xfId="41623" xr:uid="{00000000-0005-0000-0000-00009C180000}"/>
    <cellStyle name="Comma 2 2 3 2 3 2 2 4" xfId="30916" xr:uid="{00000000-0005-0000-0000-00009D180000}"/>
    <cellStyle name="Comma 2 2 3 2 3 2 2 5" xfId="35199" xr:uid="{00000000-0005-0000-0000-00009E180000}"/>
    <cellStyle name="Comma 2 2 3 2 3 2 3" xfId="15230" xr:uid="{00000000-0005-0000-0000-00009F180000}"/>
    <cellStyle name="Comma 2 2 3 2 3 2 3 2" xfId="24243" xr:uid="{00000000-0005-0000-0000-0000A0180000}"/>
    <cellStyle name="Comma 2 2 3 2 3 2 3 2 2" xfId="43672" xr:uid="{00000000-0005-0000-0000-0000A1180000}"/>
    <cellStyle name="Comma 2 2 3 2 3 2 3 2 3" xfId="37249" xr:uid="{00000000-0005-0000-0000-0000A2180000}"/>
    <cellStyle name="Comma 2 2 3 2 3 2 3 3" xfId="28566" xr:uid="{00000000-0005-0000-0000-0000A3180000}"/>
    <cellStyle name="Comma 2 2 3 2 3 2 3 3 2" xfId="40465" xr:uid="{00000000-0005-0000-0000-0000A4180000}"/>
    <cellStyle name="Comma 2 2 3 2 3 2 3 4" xfId="31901" xr:uid="{00000000-0005-0000-0000-0000A5180000}"/>
    <cellStyle name="Comma 2 2 3 2 3 2 3 5" xfId="34041" xr:uid="{00000000-0005-0000-0000-0000A6180000}"/>
    <cellStyle name="Comma 2 2 3 2 3 2 4" xfId="8046" xr:uid="{00000000-0005-0000-0000-0000A7180000}"/>
    <cellStyle name="Comma 2 2 3 2 3 2 4 2" xfId="42689" xr:uid="{00000000-0005-0000-0000-0000A8180000}"/>
    <cellStyle name="Comma 2 2 3 2 3 2 4 3" xfId="36265" xr:uid="{00000000-0005-0000-0000-0000A9180000}"/>
    <cellStyle name="Comma 2 2 3 2 3 2 5" xfId="21037" xr:uid="{00000000-0005-0000-0000-0000AA180000}"/>
    <cellStyle name="Comma 2 2 3 2 3 2 5 2" xfId="39482" xr:uid="{00000000-0005-0000-0000-0000AB180000}"/>
    <cellStyle name="Comma 2 2 3 2 3 2 6" xfId="22110" xr:uid="{00000000-0005-0000-0000-0000AC180000}"/>
    <cellStyle name="Comma 2 2 3 2 3 2 7" xfId="23260" xr:uid="{00000000-0005-0000-0000-0000AD180000}"/>
    <cellStyle name="Comma 2 2 3 2 3 2 8" xfId="26432" xr:uid="{00000000-0005-0000-0000-0000AE180000}"/>
    <cellStyle name="Comma 2 2 3 2 3 2 9" xfId="29765" xr:uid="{00000000-0005-0000-0000-0000AF180000}"/>
    <cellStyle name="Comma 2 2 3 2 3 3" xfId="833" xr:uid="{00000000-0005-0000-0000-0000B0180000}"/>
    <cellStyle name="Comma 2 2 3 2 3 3 10" xfId="33059" xr:uid="{00000000-0005-0000-0000-0000B1180000}"/>
    <cellStyle name="Comma 2 2 3 2 3 3 2" xfId="9604" xr:uid="{00000000-0005-0000-0000-0000B2180000}"/>
    <cellStyle name="Comma 2 2 3 2 3 3 2 2" xfId="25404" xr:uid="{00000000-0005-0000-0000-0000B3180000}"/>
    <cellStyle name="Comma 2 2 3 2 3 3 2 2 2" xfId="44831" xr:uid="{00000000-0005-0000-0000-0000B4180000}"/>
    <cellStyle name="Comma 2 2 3 2 3 3 2 2 3" xfId="38408" xr:uid="{00000000-0005-0000-0000-0000B5180000}"/>
    <cellStyle name="Comma 2 2 3 2 3 3 2 3" xfId="27582" xr:uid="{00000000-0005-0000-0000-0000B6180000}"/>
    <cellStyle name="Comma 2 2 3 2 3 3 2 3 2" xfId="41624" xr:uid="{00000000-0005-0000-0000-0000B7180000}"/>
    <cellStyle name="Comma 2 2 3 2 3 3 2 4" xfId="30917" xr:uid="{00000000-0005-0000-0000-0000B8180000}"/>
    <cellStyle name="Comma 2 2 3 2 3 3 2 5" xfId="35200" xr:uid="{00000000-0005-0000-0000-0000B9180000}"/>
    <cellStyle name="Comma 2 2 3 2 3 3 3" xfId="15231" xr:uid="{00000000-0005-0000-0000-0000BA180000}"/>
    <cellStyle name="Comma 2 2 3 2 3 3 3 2" xfId="24244" xr:uid="{00000000-0005-0000-0000-0000BB180000}"/>
    <cellStyle name="Comma 2 2 3 2 3 3 3 2 2" xfId="43673" xr:uid="{00000000-0005-0000-0000-0000BC180000}"/>
    <cellStyle name="Comma 2 2 3 2 3 3 3 2 3" xfId="37250" xr:uid="{00000000-0005-0000-0000-0000BD180000}"/>
    <cellStyle name="Comma 2 2 3 2 3 3 3 3" xfId="28567" xr:uid="{00000000-0005-0000-0000-0000BE180000}"/>
    <cellStyle name="Comma 2 2 3 2 3 3 3 3 2" xfId="40466" xr:uid="{00000000-0005-0000-0000-0000BF180000}"/>
    <cellStyle name="Comma 2 2 3 2 3 3 3 4" xfId="31902" xr:uid="{00000000-0005-0000-0000-0000C0180000}"/>
    <cellStyle name="Comma 2 2 3 2 3 3 3 5" xfId="34042" xr:uid="{00000000-0005-0000-0000-0000C1180000}"/>
    <cellStyle name="Comma 2 2 3 2 3 3 4" xfId="8047" xr:uid="{00000000-0005-0000-0000-0000C2180000}"/>
    <cellStyle name="Comma 2 2 3 2 3 3 4 2" xfId="42690" xr:uid="{00000000-0005-0000-0000-0000C3180000}"/>
    <cellStyle name="Comma 2 2 3 2 3 3 4 3" xfId="36266" xr:uid="{00000000-0005-0000-0000-0000C4180000}"/>
    <cellStyle name="Comma 2 2 3 2 3 3 5" xfId="21038" xr:uid="{00000000-0005-0000-0000-0000C5180000}"/>
    <cellStyle name="Comma 2 2 3 2 3 3 5 2" xfId="39483" xr:uid="{00000000-0005-0000-0000-0000C6180000}"/>
    <cellStyle name="Comma 2 2 3 2 3 3 6" xfId="22111" xr:uid="{00000000-0005-0000-0000-0000C7180000}"/>
    <cellStyle name="Comma 2 2 3 2 3 3 7" xfId="23261" xr:uid="{00000000-0005-0000-0000-0000C8180000}"/>
    <cellStyle name="Comma 2 2 3 2 3 3 8" xfId="26433" xr:uid="{00000000-0005-0000-0000-0000C9180000}"/>
    <cellStyle name="Comma 2 2 3 2 3 3 9" xfId="29766" xr:uid="{00000000-0005-0000-0000-0000CA180000}"/>
    <cellStyle name="Comma 2 2 3 2 3 4" xfId="834" xr:uid="{00000000-0005-0000-0000-0000CB180000}"/>
    <cellStyle name="Comma 2 2 3 2 3 4 10" xfId="33060" xr:uid="{00000000-0005-0000-0000-0000CC180000}"/>
    <cellStyle name="Comma 2 2 3 2 3 4 2" xfId="9605" xr:uid="{00000000-0005-0000-0000-0000CD180000}"/>
    <cellStyle name="Comma 2 2 3 2 3 4 2 2" xfId="25405" xr:uid="{00000000-0005-0000-0000-0000CE180000}"/>
    <cellStyle name="Comma 2 2 3 2 3 4 2 2 2" xfId="44832" xr:uid="{00000000-0005-0000-0000-0000CF180000}"/>
    <cellStyle name="Comma 2 2 3 2 3 4 2 2 3" xfId="38409" xr:uid="{00000000-0005-0000-0000-0000D0180000}"/>
    <cellStyle name="Comma 2 2 3 2 3 4 2 3" xfId="27583" xr:uid="{00000000-0005-0000-0000-0000D1180000}"/>
    <cellStyle name="Comma 2 2 3 2 3 4 2 3 2" xfId="41625" xr:uid="{00000000-0005-0000-0000-0000D2180000}"/>
    <cellStyle name="Comma 2 2 3 2 3 4 2 4" xfId="30918" xr:uid="{00000000-0005-0000-0000-0000D3180000}"/>
    <cellStyle name="Comma 2 2 3 2 3 4 2 5" xfId="35201" xr:uid="{00000000-0005-0000-0000-0000D4180000}"/>
    <cellStyle name="Comma 2 2 3 2 3 4 3" xfId="15232" xr:uid="{00000000-0005-0000-0000-0000D5180000}"/>
    <cellStyle name="Comma 2 2 3 2 3 4 3 2" xfId="24245" xr:uid="{00000000-0005-0000-0000-0000D6180000}"/>
    <cellStyle name="Comma 2 2 3 2 3 4 3 2 2" xfId="43674" xr:uid="{00000000-0005-0000-0000-0000D7180000}"/>
    <cellStyle name="Comma 2 2 3 2 3 4 3 2 3" xfId="37251" xr:uid="{00000000-0005-0000-0000-0000D8180000}"/>
    <cellStyle name="Comma 2 2 3 2 3 4 3 3" xfId="28568" xr:uid="{00000000-0005-0000-0000-0000D9180000}"/>
    <cellStyle name="Comma 2 2 3 2 3 4 3 3 2" xfId="40467" xr:uid="{00000000-0005-0000-0000-0000DA180000}"/>
    <cellStyle name="Comma 2 2 3 2 3 4 3 4" xfId="31903" xr:uid="{00000000-0005-0000-0000-0000DB180000}"/>
    <cellStyle name="Comma 2 2 3 2 3 4 3 5" xfId="34043" xr:uid="{00000000-0005-0000-0000-0000DC180000}"/>
    <cellStyle name="Comma 2 2 3 2 3 4 4" xfId="8048" xr:uid="{00000000-0005-0000-0000-0000DD180000}"/>
    <cellStyle name="Comma 2 2 3 2 3 4 4 2" xfId="42691" xr:uid="{00000000-0005-0000-0000-0000DE180000}"/>
    <cellStyle name="Comma 2 2 3 2 3 4 4 3" xfId="36267" xr:uid="{00000000-0005-0000-0000-0000DF180000}"/>
    <cellStyle name="Comma 2 2 3 2 3 4 5" xfId="21039" xr:uid="{00000000-0005-0000-0000-0000E0180000}"/>
    <cellStyle name="Comma 2 2 3 2 3 4 5 2" xfId="39484" xr:uid="{00000000-0005-0000-0000-0000E1180000}"/>
    <cellStyle name="Comma 2 2 3 2 3 4 6" xfId="22112" xr:uid="{00000000-0005-0000-0000-0000E2180000}"/>
    <cellStyle name="Comma 2 2 3 2 3 4 7" xfId="23262" xr:uid="{00000000-0005-0000-0000-0000E3180000}"/>
    <cellStyle name="Comma 2 2 3 2 3 4 8" xfId="26434" xr:uid="{00000000-0005-0000-0000-0000E4180000}"/>
    <cellStyle name="Comma 2 2 3 2 3 4 9" xfId="29767" xr:uid="{00000000-0005-0000-0000-0000E5180000}"/>
    <cellStyle name="Comma 2 2 3 2 3 5" xfId="835" xr:uid="{00000000-0005-0000-0000-0000E6180000}"/>
    <cellStyle name="Comma 2 2 3 2 3 5 10" xfId="33061" xr:uid="{00000000-0005-0000-0000-0000E7180000}"/>
    <cellStyle name="Comma 2 2 3 2 3 5 2" xfId="9606" xr:uid="{00000000-0005-0000-0000-0000E8180000}"/>
    <cellStyle name="Comma 2 2 3 2 3 5 2 2" xfId="25406" xr:uid="{00000000-0005-0000-0000-0000E9180000}"/>
    <cellStyle name="Comma 2 2 3 2 3 5 2 2 2" xfId="44833" xr:uid="{00000000-0005-0000-0000-0000EA180000}"/>
    <cellStyle name="Comma 2 2 3 2 3 5 2 2 3" xfId="38410" xr:uid="{00000000-0005-0000-0000-0000EB180000}"/>
    <cellStyle name="Comma 2 2 3 2 3 5 2 3" xfId="27584" xr:uid="{00000000-0005-0000-0000-0000EC180000}"/>
    <cellStyle name="Comma 2 2 3 2 3 5 2 3 2" xfId="41626" xr:uid="{00000000-0005-0000-0000-0000ED180000}"/>
    <cellStyle name="Comma 2 2 3 2 3 5 2 4" xfId="30919" xr:uid="{00000000-0005-0000-0000-0000EE180000}"/>
    <cellStyle name="Comma 2 2 3 2 3 5 2 5" xfId="35202" xr:uid="{00000000-0005-0000-0000-0000EF180000}"/>
    <cellStyle name="Comma 2 2 3 2 3 5 3" xfId="15233" xr:uid="{00000000-0005-0000-0000-0000F0180000}"/>
    <cellStyle name="Comma 2 2 3 2 3 5 3 2" xfId="24246" xr:uid="{00000000-0005-0000-0000-0000F1180000}"/>
    <cellStyle name="Comma 2 2 3 2 3 5 3 2 2" xfId="43675" xr:uid="{00000000-0005-0000-0000-0000F2180000}"/>
    <cellStyle name="Comma 2 2 3 2 3 5 3 2 3" xfId="37252" xr:uid="{00000000-0005-0000-0000-0000F3180000}"/>
    <cellStyle name="Comma 2 2 3 2 3 5 3 3" xfId="28569" xr:uid="{00000000-0005-0000-0000-0000F4180000}"/>
    <cellStyle name="Comma 2 2 3 2 3 5 3 3 2" xfId="40468" xr:uid="{00000000-0005-0000-0000-0000F5180000}"/>
    <cellStyle name="Comma 2 2 3 2 3 5 3 4" xfId="31904" xr:uid="{00000000-0005-0000-0000-0000F6180000}"/>
    <cellStyle name="Comma 2 2 3 2 3 5 3 5" xfId="34044" xr:uid="{00000000-0005-0000-0000-0000F7180000}"/>
    <cellStyle name="Comma 2 2 3 2 3 5 4" xfId="8049" xr:uid="{00000000-0005-0000-0000-0000F8180000}"/>
    <cellStyle name="Comma 2 2 3 2 3 5 4 2" xfId="42692" xr:uid="{00000000-0005-0000-0000-0000F9180000}"/>
    <cellStyle name="Comma 2 2 3 2 3 5 4 3" xfId="36268" xr:uid="{00000000-0005-0000-0000-0000FA180000}"/>
    <cellStyle name="Comma 2 2 3 2 3 5 5" xfId="21040" xr:uid="{00000000-0005-0000-0000-0000FB180000}"/>
    <cellStyle name="Comma 2 2 3 2 3 5 5 2" xfId="39485" xr:uid="{00000000-0005-0000-0000-0000FC180000}"/>
    <cellStyle name="Comma 2 2 3 2 3 5 6" xfId="22113" xr:uid="{00000000-0005-0000-0000-0000FD180000}"/>
    <cellStyle name="Comma 2 2 3 2 3 5 7" xfId="23263" xr:uid="{00000000-0005-0000-0000-0000FE180000}"/>
    <cellStyle name="Comma 2 2 3 2 3 5 8" xfId="26435" xr:uid="{00000000-0005-0000-0000-0000FF180000}"/>
    <cellStyle name="Comma 2 2 3 2 3 5 9" xfId="29768" xr:uid="{00000000-0005-0000-0000-000000190000}"/>
    <cellStyle name="Comma 2 2 3 2 3 6" xfId="836" xr:uid="{00000000-0005-0000-0000-000001190000}"/>
    <cellStyle name="Comma 2 2 3 2 3 6 10" xfId="33062" xr:uid="{00000000-0005-0000-0000-000002190000}"/>
    <cellStyle name="Comma 2 2 3 2 3 6 2" xfId="9607" xr:uid="{00000000-0005-0000-0000-000003190000}"/>
    <cellStyle name="Comma 2 2 3 2 3 6 2 2" xfId="25407" xr:uid="{00000000-0005-0000-0000-000004190000}"/>
    <cellStyle name="Comma 2 2 3 2 3 6 2 2 2" xfId="44834" xr:uid="{00000000-0005-0000-0000-000005190000}"/>
    <cellStyle name="Comma 2 2 3 2 3 6 2 2 3" xfId="38411" xr:uid="{00000000-0005-0000-0000-000006190000}"/>
    <cellStyle name="Comma 2 2 3 2 3 6 2 3" xfId="27585" xr:uid="{00000000-0005-0000-0000-000007190000}"/>
    <cellStyle name="Comma 2 2 3 2 3 6 2 3 2" xfId="41627" xr:uid="{00000000-0005-0000-0000-000008190000}"/>
    <cellStyle name="Comma 2 2 3 2 3 6 2 4" xfId="30920" xr:uid="{00000000-0005-0000-0000-000009190000}"/>
    <cellStyle name="Comma 2 2 3 2 3 6 2 5" xfId="35203" xr:uid="{00000000-0005-0000-0000-00000A190000}"/>
    <cellStyle name="Comma 2 2 3 2 3 6 3" xfId="15234" xr:uid="{00000000-0005-0000-0000-00000B190000}"/>
    <cellStyle name="Comma 2 2 3 2 3 6 3 2" xfId="24247" xr:uid="{00000000-0005-0000-0000-00000C190000}"/>
    <cellStyle name="Comma 2 2 3 2 3 6 3 2 2" xfId="43676" xr:uid="{00000000-0005-0000-0000-00000D190000}"/>
    <cellStyle name="Comma 2 2 3 2 3 6 3 2 3" xfId="37253" xr:uid="{00000000-0005-0000-0000-00000E190000}"/>
    <cellStyle name="Comma 2 2 3 2 3 6 3 3" xfId="28570" xr:uid="{00000000-0005-0000-0000-00000F190000}"/>
    <cellStyle name="Comma 2 2 3 2 3 6 3 3 2" xfId="40469" xr:uid="{00000000-0005-0000-0000-000010190000}"/>
    <cellStyle name="Comma 2 2 3 2 3 6 3 4" xfId="31905" xr:uid="{00000000-0005-0000-0000-000011190000}"/>
    <cellStyle name="Comma 2 2 3 2 3 6 3 5" xfId="34045" xr:uid="{00000000-0005-0000-0000-000012190000}"/>
    <cellStyle name="Comma 2 2 3 2 3 6 4" xfId="8050" xr:uid="{00000000-0005-0000-0000-000013190000}"/>
    <cellStyle name="Comma 2 2 3 2 3 6 4 2" xfId="42693" xr:uid="{00000000-0005-0000-0000-000014190000}"/>
    <cellStyle name="Comma 2 2 3 2 3 6 4 3" xfId="36269" xr:uid="{00000000-0005-0000-0000-000015190000}"/>
    <cellStyle name="Comma 2 2 3 2 3 6 5" xfId="21041" xr:uid="{00000000-0005-0000-0000-000016190000}"/>
    <cellStyle name="Comma 2 2 3 2 3 6 5 2" xfId="39486" xr:uid="{00000000-0005-0000-0000-000017190000}"/>
    <cellStyle name="Comma 2 2 3 2 3 6 6" xfId="22114" xr:uid="{00000000-0005-0000-0000-000018190000}"/>
    <cellStyle name="Comma 2 2 3 2 3 6 7" xfId="23264" xr:uid="{00000000-0005-0000-0000-000019190000}"/>
    <cellStyle name="Comma 2 2 3 2 3 6 8" xfId="26436" xr:uid="{00000000-0005-0000-0000-00001A190000}"/>
    <cellStyle name="Comma 2 2 3 2 3 6 9" xfId="29769" xr:uid="{00000000-0005-0000-0000-00001B190000}"/>
    <cellStyle name="Comma 2 2 3 2 3 7" xfId="9100" xr:uid="{00000000-0005-0000-0000-00001C190000}"/>
    <cellStyle name="Comma 2 2 3 2 3 7 2" xfId="25155" xr:uid="{00000000-0005-0000-0000-00001D190000}"/>
    <cellStyle name="Comma 2 2 3 2 3 7 2 2" xfId="44582" xr:uid="{00000000-0005-0000-0000-00001E190000}"/>
    <cellStyle name="Comma 2 2 3 2 3 7 2 3" xfId="38159" xr:uid="{00000000-0005-0000-0000-00001F190000}"/>
    <cellStyle name="Comma 2 2 3 2 3 7 3" xfId="27334" xr:uid="{00000000-0005-0000-0000-000020190000}"/>
    <cellStyle name="Comma 2 2 3 2 3 7 3 2" xfId="41375" xr:uid="{00000000-0005-0000-0000-000021190000}"/>
    <cellStyle name="Comma 2 2 3 2 3 7 4" xfId="30669" xr:uid="{00000000-0005-0000-0000-000022190000}"/>
    <cellStyle name="Comma 2 2 3 2 3 7 5" xfId="34951" xr:uid="{00000000-0005-0000-0000-000023190000}"/>
    <cellStyle name="Comma 2 2 3 2 3 8" xfId="15229" xr:uid="{00000000-0005-0000-0000-000024190000}"/>
    <cellStyle name="Comma 2 2 3 2 3 8 2" xfId="24242" xr:uid="{00000000-0005-0000-0000-000025190000}"/>
    <cellStyle name="Comma 2 2 3 2 3 8 2 2" xfId="43671" xr:uid="{00000000-0005-0000-0000-000026190000}"/>
    <cellStyle name="Comma 2 2 3 2 3 8 2 3" xfId="37248" xr:uid="{00000000-0005-0000-0000-000027190000}"/>
    <cellStyle name="Comma 2 2 3 2 3 8 3" xfId="28565" xr:uid="{00000000-0005-0000-0000-000028190000}"/>
    <cellStyle name="Comma 2 2 3 2 3 8 3 2" xfId="40464" xr:uid="{00000000-0005-0000-0000-000029190000}"/>
    <cellStyle name="Comma 2 2 3 2 3 8 4" xfId="31900" xr:uid="{00000000-0005-0000-0000-00002A190000}"/>
    <cellStyle name="Comma 2 2 3 2 3 8 5" xfId="34040" xr:uid="{00000000-0005-0000-0000-00002B190000}"/>
    <cellStyle name="Comma 2 2 3 2 3 9" xfId="8045" xr:uid="{00000000-0005-0000-0000-00002C190000}"/>
    <cellStyle name="Comma 2 2 3 2 3 9 2" xfId="42445" xr:uid="{00000000-0005-0000-0000-00002D190000}"/>
    <cellStyle name="Comma 2 2 3 2 3 9 3" xfId="36021" xr:uid="{00000000-0005-0000-0000-00002E190000}"/>
    <cellStyle name="Comma 2 2 3 2 4" xfId="837" xr:uid="{00000000-0005-0000-0000-00002F190000}"/>
    <cellStyle name="Comma 2 2 3 2 4 10" xfId="22115" xr:uid="{00000000-0005-0000-0000-000030190000}"/>
    <cellStyle name="Comma 2 2 3 2 4 11" xfId="23265" xr:uid="{00000000-0005-0000-0000-000031190000}"/>
    <cellStyle name="Comma 2 2 3 2 4 12" xfId="26437" xr:uid="{00000000-0005-0000-0000-000032190000}"/>
    <cellStyle name="Comma 2 2 3 2 4 13" xfId="29770" xr:uid="{00000000-0005-0000-0000-000033190000}"/>
    <cellStyle name="Comma 2 2 3 2 4 14" xfId="33063" xr:uid="{00000000-0005-0000-0000-000034190000}"/>
    <cellStyle name="Comma 2 2 3 2 4 2" xfId="838" xr:uid="{00000000-0005-0000-0000-000035190000}"/>
    <cellStyle name="Comma 2 2 3 2 4 2 10" xfId="33064" xr:uid="{00000000-0005-0000-0000-000036190000}"/>
    <cellStyle name="Comma 2 2 3 2 4 2 2" xfId="9609" xr:uid="{00000000-0005-0000-0000-000037190000}"/>
    <cellStyle name="Comma 2 2 3 2 4 2 2 2" xfId="25409" xr:uid="{00000000-0005-0000-0000-000038190000}"/>
    <cellStyle name="Comma 2 2 3 2 4 2 2 2 2" xfId="44836" xr:uid="{00000000-0005-0000-0000-000039190000}"/>
    <cellStyle name="Comma 2 2 3 2 4 2 2 2 3" xfId="38413" xr:uid="{00000000-0005-0000-0000-00003A190000}"/>
    <cellStyle name="Comma 2 2 3 2 4 2 2 3" xfId="27587" xr:uid="{00000000-0005-0000-0000-00003B190000}"/>
    <cellStyle name="Comma 2 2 3 2 4 2 2 3 2" xfId="41629" xr:uid="{00000000-0005-0000-0000-00003C190000}"/>
    <cellStyle name="Comma 2 2 3 2 4 2 2 4" xfId="30922" xr:uid="{00000000-0005-0000-0000-00003D190000}"/>
    <cellStyle name="Comma 2 2 3 2 4 2 2 5" xfId="35205" xr:uid="{00000000-0005-0000-0000-00003E190000}"/>
    <cellStyle name="Comma 2 2 3 2 4 2 3" xfId="15236" xr:uid="{00000000-0005-0000-0000-00003F190000}"/>
    <cellStyle name="Comma 2 2 3 2 4 2 3 2" xfId="24249" xr:uid="{00000000-0005-0000-0000-000040190000}"/>
    <cellStyle name="Comma 2 2 3 2 4 2 3 2 2" xfId="43678" xr:uid="{00000000-0005-0000-0000-000041190000}"/>
    <cellStyle name="Comma 2 2 3 2 4 2 3 2 3" xfId="37255" xr:uid="{00000000-0005-0000-0000-000042190000}"/>
    <cellStyle name="Comma 2 2 3 2 4 2 3 3" xfId="28572" xr:uid="{00000000-0005-0000-0000-000043190000}"/>
    <cellStyle name="Comma 2 2 3 2 4 2 3 3 2" xfId="40471" xr:uid="{00000000-0005-0000-0000-000044190000}"/>
    <cellStyle name="Comma 2 2 3 2 4 2 3 4" xfId="31907" xr:uid="{00000000-0005-0000-0000-000045190000}"/>
    <cellStyle name="Comma 2 2 3 2 4 2 3 5" xfId="34047" xr:uid="{00000000-0005-0000-0000-000046190000}"/>
    <cellStyle name="Comma 2 2 3 2 4 2 4" xfId="8052" xr:uid="{00000000-0005-0000-0000-000047190000}"/>
    <cellStyle name="Comma 2 2 3 2 4 2 4 2" xfId="42695" xr:uid="{00000000-0005-0000-0000-000048190000}"/>
    <cellStyle name="Comma 2 2 3 2 4 2 4 3" xfId="36271" xr:uid="{00000000-0005-0000-0000-000049190000}"/>
    <cellStyle name="Comma 2 2 3 2 4 2 5" xfId="21043" xr:uid="{00000000-0005-0000-0000-00004A190000}"/>
    <cellStyle name="Comma 2 2 3 2 4 2 5 2" xfId="39488" xr:uid="{00000000-0005-0000-0000-00004B190000}"/>
    <cellStyle name="Comma 2 2 3 2 4 2 6" xfId="22116" xr:uid="{00000000-0005-0000-0000-00004C190000}"/>
    <cellStyle name="Comma 2 2 3 2 4 2 7" xfId="23266" xr:uid="{00000000-0005-0000-0000-00004D190000}"/>
    <cellStyle name="Comma 2 2 3 2 4 2 8" xfId="26438" xr:uid="{00000000-0005-0000-0000-00004E190000}"/>
    <cellStyle name="Comma 2 2 3 2 4 2 9" xfId="29771" xr:uid="{00000000-0005-0000-0000-00004F190000}"/>
    <cellStyle name="Comma 2 2 3 2 4 3" xfId="839" xr:uid="{00000000-0005-0000-0000-000050190000}"/>
    <cellStyle name="Comma 2 2 3 2 4 3 10" xfId="33065" xr:uid="{00000000-0005-0000-0000-000051190000}"/>
    <cellStyle name="Comma 2 2 3 2 4 3 2" xfId="9610" xr:uid="{00000000-0005-0000-0000-000052190000}"/>
    <cellStyle name="Comma 2 2 3 2 4 3 2 2" xfId="25410" xr:uid="{00000000-0005-0000-0000-000053190000}"/>
    <cellStyle name="Comma 2 2 3 2 4 3 2 2 2" xfId="44837" xr:uid="{00000000-0005-0000-0000-000054190000}"/>
    <cellStyle name="Comma 2 2 3 2 4 3 2 2 3" xfId="38414" xr:uid="{00000000-0005-0000-0000-000055190000}"/>
    <cellStyle name="Comma 2 2 3 2 4 3 2 3" xfId="27588" xr:uid="{00000000-0005-0000-0000-000056190000}"/>
    <cellStyle name="Comma 2 2 3 2 4 3 2 3 2" xfId="41630" xr:uid="{00000000-0005-0000-0000-000057190000}"/>
    <cellStyle name="Comma 2 2 3 2 4 3 2 4" xfId="30923" xr:uid="{00000000-0005-0000-0000-000058190000}"/>
    <cellStyle name="Comma 2 2 3 2 4 3 2 5" xfId="35206" xr:uid="{00000000-0005-0000-0000-000059190000}"/>
    <cellStyle name="Comma 2 2 3 2 4 3 3" xfId="15237" xr:uid="{00000000-0005-0000-0000-00005A190000}"/>
    <cellStyle name="Comma 2 2 3 2 4 3 3 2" xfId="24250" xr:uid="{00000000-0005-0000-0000-00005B190000}"/>
    <cellStyle name="Comma 2 2 3 2 4 3 3 2 2" xfId="43679" xr:uid="{00000000-0005-0000-0000-00005C190000}"/>
    <cellStyle name="Comma 2 2 3 2 4 3 3 2 3" xfId="37256" xr:uid="{00000000-0005-0000-0000-00005D190000}"/>
    <cellStyle name="Comma 2 2 3 2 4 3 3 3" xfId="28573" xr:uid="{00000000-0005-0000-0000-00005E190000}"/>
    <cellStyle name="Comma 2 2 3 2 4 3 3 3 2" xfId="40472" xr:uid="{00000000-0005-0000-0000-00005F190000}"/>
    <cellStyle name="Comma 2 2 3 2 4 3 3 4" xfId="31908" xr:uid="{00000000-0005-0000-0000-000060190000}"/>
    <cellStyle name="Comma 2 2 3 2 4 3 3 5" xfId="34048" xr:uid="{00000000-0005-0000-0000-000061190000}"/>
    <cellStyle name="Comma 2 2 3 2 4 3 4" xfId="8053" xr:uid="{00000000-0005-0000-0000-000062190000}"/>
    <cellStyle name="Comma 2 2 3 2 4 3 4 2" xfId="42696" xr:uid="{00000000-0005-0000-0000-000063190000}"/>
    <cellStyle name="Comma 2 2 3 2 4 3 4 3" xfId="36272" xr:uid="{00000000-0005-0000-0000-000064190000}"/>
    <cellStyle name="Comma 2 2 3 2 4 3 5" xfId="21044" xr:uid="{00000000-0005-0000-0000-000065190000}"/>
    <cellStyle name="Comma 2 2 3 2 4 3 5 2" xfId="39489" xr:uid="{00000000-0005-0000-0000-000066190000}"/>
    <cellStyle name="Comma 2 2 3 2 4 3 6" xfId="22117" xr:uid="{00000000-0005-0000-0000-000067190000}"/>
    <cellStyle name="Comma 2 2 3 2 4 3 7" xfId="23267" xr:uid="{00000000-0005-0000-0000-000068190000}"/>
    <cellStyle name="Comma 2 2 3 2 4 3 8" xfId="26439" xr:uid="{00000000-0005-0000-0000-000069190000}"/>
    <cellStyle name="Comma 2 2 3 2 4 3 9" xfId="29772" xr:uid="{00000000-0005-0000-0000-00006A190000}"/>
    <cellStyle name="Comma 2 2 3 2 4 4" xfId="840" xr:uid="{00000000-0005-0000-0000-00006B190000}"/>
    <cellStyle name="Comma 2 2 3 2 4 4 10" xfId="33066" xr:uid="{00000000-0005-0000-0000-00006C190000}"/>
    <cellStyle name="Comma 2 2 3 2 4 4 2" xfId="9611" xr:uid="{00000000-0005-0000-0000-00006D190000}"/>
    <cellStyle name="Comma 2 2 3 2 4 4 2 2" xfId="25411" xr:uid="{00000000-0005-0000-0000-00006E190000}"/>
    <cellStyle name="Comma 2 2 3 2 4 4 2 2 2" xfId="44838" xr:uid="{00000000-0005-0000-0000-00006F190000}"/>
    <cellStyle name="Comma 2 2 3 2 4 4 2 2 3" xfId="38415" xr:uid="{00000000-0005-0000-0000-000070190000}"/>
    <cellStyle name="Comma 2 2 3 2 4 4 2 3" xfId="27589" xr:uid="{00000000-0005-0000-0000-000071190000}"/>
    <cellStyle name="Comma 2 2 3 2 4 4 2 3 2" xfId="41631" xr:uid="{00000000-0005-0000-0000-000072190000}"/>
    <cellStyle name="Comma 2 2 3 2 4 4 2 4" xfId="30924" xr:uid="{00000000-0005-0000-0000-000073190000}"/>
    <cellStyle name="Comma 2 2 3 2 4 4 2 5" xfId="35207" xr:uid="{00000000-0005-0000-0000-000074190000}"/>
    <cellStyle name="Comma 2 2 3 2 4 4 3" xfId="15238" xr:uid="{00000000-0005-0000-0000-000075190000}"/>
    <cellStyle name="Comma 2 2 3 2 4 4 3 2" xfId="24251" xr:uid="{00000000-0005-0000-0000-000076190000}"/>
    <cellStyle name="Comma 2 2 3 2 4 4 3 2 2" xfId="43680" xr:uid="{00000000-0005-0000-0000-000077190000}"/>
    <cellStyle name="Comma 2 2 3 2 4 4 3 2 3" xfId="37257" xr:uid="{00000000-0005-0000-0000-000078190000}"/>
    <cellStyle name="Comma 2 2 3 2 4 4 3 3" xfId="28574" xr:uid="{00000000-0005-0000-0000-000079190000}"/>
    <cellStyle name="Comma 2 2 3 2 4 4 3 3 2" xfId="40473" xr:uid="{00000000-0005-0000-0000-00007A190000}"/>
    <cellStyle name="Comma 2 2 3 2 4 4 3 4" xfId="31909" xr:uid="{00000000-0005-0000-0000-00007B190000}"/>
    <cellStyle name="Comma 2 2 3 2 4 4 3 5" xfId="34049" xr:uid="{00000000-0005-0000-0000-00007C190000}"/>
    <cellStyle name="Comma 2 2 3 2 4 4 4" xfId="8054" xr:uid="{00000000-0005-0000-0000-00007D190000}"/>
    <cellStyle name="Comma 2 2 3 2 4 4 4 2" xfId="42697" xr:uid="{00000000-0005-0000-0000-00007E190000}"/>
    <cellStyle name="Comma 2 2 3 2 4 4 4 3" xfId="36273" xr:uid="{00000000-0005-0000-0000-00007F190000}"/>
    <cellStyle name="Comma 2 2 3 2 4 4 5" xfId="21045" xr:uid="{00000000-0005-0000-0000-000080190000}"/>
    <cellStyle name="Comma 2 2 3 2 4 4 5 2" xfId="39490" xr:uid="{00000000-0005-0000-0000-000081190000}"/>
    <cellStyle name="Comma 2 2 3 2 4 4 6" xfId="22118" xr:uid="{00000000-0005-0000-0000-000082190000}"/>
    <cellStyle name="Comma 2 2 3 2 4 4 7" xfId="23268" xr:uid="{00000000-0005-0000-0000-000083190000}"/>
    <cellStyle name="Comma 2 2 3 2 4 4 8" xfId="26440" xr:uid="{00000000-0005-0000-0000-000084190000}"/>
    <cellStyle name="Comma 2 2 3 2 4 4 9" xfId="29773" xr:uid="{00000000-0005-0000-0000-000085190000}"/>
    <cellStyle name="Comma 2 2 3 2 4 5" xfId="841" xr:uid="{00000000-0005-0000-0000-000086190000}"/>
    <cellStyle name="Comma 2 2 3 2 4 5 10" xfId="33067" xr:uid="{00000000-0005-0000-0000-000087190000}"/>
    <cellStyle name="Comma 2 2 3 2 4 5 2" xfId="9612" xr:uid="{00000000-0005-0000-0000-000088190000}"/>
    <cellStyle name="Comma 2 2 3 2 4 5 2 2" xfId="25412" xr:uid="{00000000-0005-0000-0000-000089190000}"/>
    <cellStyle name="Comma 2 2 3 2 4 5 2 2 2" xfId="44839" xr:uid="{00000000-0005-0000-0000-00008A190000}"/>
    <cellStyle name="Comma 2 2 3 2 4 5 2 2 3" xfId="38416" xr:uid="{00000000-0005-0000-0000-00008B190000}"/>
    <cellStyle name="Comma 2 2 3 2 4 5 2 3" xfId="27590" xr:uid="{00000000-0005-0000-0000-00008C190000}"/>
    <cellStyle name="Comma 2 2 3 2 4 5 2 3 2" xfId="41632" xr:uid="{00000000-0005-0000-0000-00008D190000}"/>
    <cellStyle name="Comma 2 2 3 2 4 5 2 4" xfId="30925" xr:uid="{00000000-0005-0000-0000-00008E190000}"/>
    <cellStyle name="Comma 2 2 3 2 4 5 2 5" xfId="35208" xr:uid="{00000000-0005-0000-0000-00008F190000}"/>
    <cellStyle name="Comma 2 2 3 2 4 5 3" xfId="15239" xr:uid="{00000000-0005-0000-0000-000090190000}"/>
    <cellStyle name="Comma 2 2 3 2 4 5 3 2" xfId="24252" xr:uid="{00000000-0005-0000-0000-000091190000}"/>
    <cellStyle name="Comma 2 2 3 2 4 5 3 2 2" xfId="43681" xr:uid="{00000000-0005-0000-0000-000092190000}"/>
    <cellStyle name="Comma 2 2 3 2 4 5 3 2 3" xfId="37258" xr:uid="{00000000-0005-0000-0000-000093190000}"/>
    <cellStyle name="Comma 2 2 3 2 4 5 3 3" xfId="28575" xr:uid="{00000000-0005-0000-0000-000094190000}"/>
    <cellStyle name="Comma 2 2 3 2 4 5 3 3 2" xfId="40474" xr:uid="{00000000-0005-0000-0000-000095190000}"/>
    <cellStyle name="Comma 2 2 3 2 4 5 3 4" xfId="31910" xr:uid="{00000000-0005-0000-0000-000096190000}"/>
    <cellStyle name="Comma 2 2 3 2 4 5 3 5" xfId="34050" xr:uid="{00000000-0005-0000-0000-000097190000}"/>
    <cellStyle name="Comma 2 2 3 2 4 5 4" xfId="8055" xr:uid="{00000000-0005-0000-0000-000098190000}"/>
    <cellStyle name="Comma 2 2 3 2 4 5 4 2" xfId="42698" xr:uid="{00000000-0005-0000-0000-000099190000}"/>
    <cellStyle name="Comma 2 2 3 2 4 5 4 3" xfId="36274" xr:uid="{00000000-0005-0000-0000-00009A190000}"/>
    <cellStyle name="Comma 2 2 3 2 4 5 5" xfId="21046" xr:uid="{00000000-0005-0000-0000-00009B190000}"/>
    <cellStyle name="Comma 2 2 3 2 4 5 5 2" xfId="39491" xr:uid="{00000000-0005-0000-0000-00009C190000}"/>
    <cellStyle name="Comma 2 2 3 2 4 5 6" xfId="22119" xr:uid="{00000000-0005-0000-0000-00009D190000}"/>
    <cellStyle name="Comma 2 2 3 2 4 5 7" xfId="23269" xr:uid="{00000000-0005-0000-0000-00009E190000}"/>
    <cellStyle name="Comma 2 2 3 2 4 5 8" xfId="26441" xr:uid="{00000000-0005-0000-0000-00009F190000}"/>
    <cellStyle name="Comma 2 2 3 2 4 5 9" xfId="29774" xr:uid="{00000000-0005-0000-0000-0000A0190000}"/>
    <cellStyle name="Comma 2 2 3 2 4 6" xfId="9608" xr:uid="{00000000-0005-0000-0000-0000A1190000}"/>
    <cellStyle name="Comma 2 2 3 2 4 6 2" xfId="25408" xr:uid="{00000000-0005-0000-0000-0000A2190000}"/>
    <cellStyle name="Comma 2 2 3 2 4 6 2 2" xfId="44835" xr:uid="{00000000-0005-0000-0000-0000A3190000}"/>
    <cellStyle name="Comma 2 2 3 2 4 6 2 3" xfId="38412" xr:uid="{00000000-0005-0000-0000-0000A4190000}"/>
    <cellStyle name="Comma 2 2 3 2 4 6 3" xfId="27586" xr:uid="{00000000-0005-0000-0000-0000A5190000}"/>
    <cellStyle name="Comma 2 2 3 2 4 6 3 2" xfId="41628" xr:uid="{00000000-0005-0000-0000-0000A6190000}"/>
    <cellStyle name="Comma 2 2 3 2 4 6 4" xfId="30921" xr:uid="{00000000-0005-0000-0000-0000A7190000}"/>
    <cellStyle name="Comma 2 2 3 2 4 6 5" xfId="35204" xr:uid="{00000000-0005-0000-0000-0000A8190000}"/>
    <cellStyle name="Comma 2 2 3 2 4 7" xfId="15235" xr:uid="{00000000-0005-0000-0000-0000A9190000}"/>
    <cellStyle name="Comma 2 2 3 2 4 7 2" xfId="24248" xr:uid="{00000000-0005-0000-0000-0000AA190000}"/>
    <cellStyle name="Comma 2 2 3 2 4 7 2 2" xfId="43677" xr:uid="{00000000-0005-0000-0000-0000AB190000}"/>
    <cellStyle name="Comma 2 2 3 2 4 7 2 3" xfId="37254" xr:uid="{00000000-0005-0000-0000-0000AC190000}"/>
    <cellStyle name="Comma 2 2 3 2 4 7 3" xfId="28571" xr:uid="{00000000-0005-0000-0000-0000AD190000}"/>
    <cellStyle name="Comma 2 2 3 2 4 7 3 2" xfId="40470" xr:uid="{00000000-0005-0000-0000-0000AE190000}"/>
    <cellStyle name="Comma 2 2 3 2 4 7 4" xfId="31906" xr:uid="{00000000-0005-0000-0000-0000AF190000}"/>
    <cellStyle name="Comma 2 2 3 2 4 7 5" xfId="34046" xr:uid="{00000000-0005-0000-0000-0000B0190000}"/>
    <cellStyle name="Comma 2 2 3 2 4 8" xfId="8051" xr:uid="{00000000-0005-0000-0000-0000B1190000}"/>
    <cellStyle name="Comma 2 2 3 2 4 8 2" xfId="42694" xr:uid="{00000000-0005-0000-0000-0000B2190000}"/>
    <cellStyle name="Comma 2 2 3 2 4 8 3" xfId="36270" xr:uid="{00000000-0005-0000-0000-0000B3190000}"/>
    <cellStyle name="Comma 2 2 3 2 4 9" xfId="21042" xr:uid="{00000000-0005-0000-0000-0000B4190000}"/>
    <cellStyle name="Comma 2 2 3 2 4 9 2" xfId="39487" xr:uid="{00000000-0005-0000-0000-0000B5190000}"/>
    <cellStyle name="Comma 2 2 3 2 5" xfId="842" xr:uid="{00000000-0005-0000-0000-0000B6190000}"/>
    <cellStyle name="Comma 2 2 3 2 5 10" xfId="22120" xr:uid="{00000000-0005-0000-0000-0000B7190000}"/>
    <cellStyle name="Comma 2 2 3 2 5 11" xfId="23270" xr:uid="{00000000-0005-0000-0000-0000B8190000}"/>
    <cellStyle name="Comma 2 2 3 2 5 12" xfId="26442" xr:uid="{00000000-0005-0000-0000-0000B9190000}"/>
    <cellStyle name="Comma 2 2 3 2 5 13" xfId="29775" xr:uid="{00000000-0005-0000-0000-0000BA190000}"/>
    <cellStyle name="Comma 2 2 3 2 5 14" xfId="33068" xr:uid="{00000000-0005-0000-0000-0000BB190000}"/>
    <cellStyle name="Comma 2 2 3 2 5 2" xfId="843" xr:uid="{00000000-0005-0000-0000-0000BC190000}"/>
    <cellStyle name="Comma 2 2 3 2 5 2 10" xfId="33069" xr:uid="{00000000-0005-0000-0000-0000BD190000}"/>
    <cellStyle name="Comma 2 2 3 2 5 2 2" xfId="9614" xr:uid="{00000000-0005-0000-0000-0000BE190000}"/>
    <cellStyle name="Comma 2 2 3 2 5 2 2 2" xfId="25414" xr:uid="{00000000-0005-0000-0000-0000BF190000}"/>
    <cellStyle name="Comma 2 2 3 2 5 2 2 2 2" xfId="44841" xr:uid="{00000000-0005-0000-0000-0000C0190000}"/>
    <cellStyle name="Comma 2 2 3 2 5 2 2 2 3" xfId="38418" xr:uid="{00000000-0005-0000-0000-0000C1190000}"/>
    <cellStyle name="Comma 2 2 3 2 5 2 2 3" xfId="27592" xr:uid="{00000000-0005-0000-0000-0000C2190000}"/>
    <cellStyle name="Comma 2 2 3 2 5 2 2 3 2" xfId="41634" xr:uid="{00000000-0005-0000-0000-0000C3190000}"/>
    <cellStyle name="Comma 2 2 3 2 5 2 2 4" xfId="30927" xr:uid="{00000000-0005-0000-0000-0000C4190000}"/>
    <cellStyle name="Comma 2 2 3 2 5 2 2 5" xfId="35210" xr:uid="{00000000-0005-0000-0000-0000C5190000}"/>
    <cellStyle name="Comma 2 2 3 2 5 2 3" xfId="15241" xr:uid="{00000000-0005-0000-0000-0000C6190000}"/>
    <cellStyle name="Comma 2 2 3 2 5 2 3 2" xfId="24254" xr:uid="{00000000-0005-0000-0000-0000C7190000}"/>
    <cellStyle name="Comma 2 2 3 2 5 2 3 2 2" xfId="43683" xr:uid="{00000000-0005-0000-0000-0000C8190000}"/>
    <cellStyle name="Comma 2 2 3 2 5 2 3 2 3" xfId="37260" xr:uid="{00000000-0005-0000-0000-0000C9190000}"/>
    <cellStyle name="Comma 2 2 3 2 5 2 3 3" xfId="28577" xr:uid="{00000000-0005-0000-0000-0000CA190000}"/>
    <cellStyle name="Comma 2 2 3 2 5 2 3 3 2" xfId="40476" xr:uid="{00000000-0005-0000-0000-0000CB190000}"/>
    <cellStyle name="Comma 2 2 3 2 5 2 3 4" xfId="31912" xr:uid="{00000000-0005-0000-0000-0000CC190000}"/>
    <cellStyle name="Comma 2 2 3 2 5 2 3 5" xfId="34052" xr:uid="{00000000-0005-0000-0000-0000CD190000}"/>
    <cellStyle name="Comma 2 2 3 2 5 2 4" xfId="8057" xr:uid="{00000000-0005-0000-0000-0000CE190000}"/>
    <cellStyle name="Comma 2 2 3 2 5 2 4 2" xfId="42700" xr:uid="{00000000-0005-0000-0000-0000CF190000}"/>
    <cellStyle name="Comma 2 2 3 2 5 2 4 3" xfId="36276" xr:uid="{00000000-0005-0000-0000-0000D0190000}"/>
    <cellStyle name="Comma 2 2 3 2 5 2 5" xfId="21048" xr:uid="{00000000-0005-0000-0000-0000D1190000}"/>
    <cellStyle name="Comma 2 2 3 2 5 2 5 2" xfId="39493" xr:uid="{00000000-0005-0000-0000-0000D2190000}"/>
    <cellStyle name="Comma 2 2 3 2 5 2 6" xfId="22121" xr:uid="{00000000-0005-0000-0000-0000D3190000}"/>
    <cellStyle name="Comma 2 2 3 2 5 2 7" xfId="23271" xr:uid="{00000000-0005-0000-0000-0000D4190000}"/>
    <cellStyle name="Comma 2 2 3 2 5 2 8" xfId="26443" xr:uid="{00000000-0005-0000-0000-0000D5190000}"/>
    <cellStyle name="Comma 2 2 3 2 5 2 9" xfId="29776" xr:uid="{00000000-0005-0000-0000-0000D6190000}"/>
    <cellStyle name="Comma 2 2 3 2 5 3" xfId="844" xr:uid="{00000000-0005-0000-0000-0000D7190000}"/>
    <cellStyle name="Comma 2 2 3 2 5 3 10" xfId="33070" xr:uid="{00000000-0005-0000-0000-0000D8190000}"/>
    <cellStyle name="Comma 2 2 3 2 5 3 2" xfId="9615" xr:uid="{00000000-0005-0000-0000-0000D9190000}"/>
    <cellStyle name="Comma 2 2 3 2 5 3 2 2" xfId="25415" xr:uid="{00000000-0005-0000-0000-0000DA190000}"/>
    <cellStyle name="Comma 2 2 3 2 5 3 2 2 2" xfId="44842" xr:uid="{00000000-0005-0000-0000-0000DB190000}"/>
    <cellStyle name="Comma 2 2 3 2 5 3 2 2 3" xfId="38419" xr:uid="{00000000-0005-0000-0000-0000DC190000}"/>
    <cellStyle name="Comma 2 2 3 2 5 3 2 3" xfId="27593" xr:uid="{00000000-0005-0000-0000-0000DD190000}"/>
    <cellStyle name="Comma 2 2 3 2 5 3 2 3 2" xfId="41635" xr:uid="{00000000-0005-0000-0000-0000DE190000}"/>
    <cellStyle name="Comma 2 2 3 2 5 3 2 4" xfId="30928" xr:uid="{00000000-0005-0000-0000-0000DF190000}"/>
    <cellStyle name="Comma 2 2 3 2 5 3 2 5" xfId="35211" xr:uid="{00000000-0005-0000-0000-0000E0190000}"/>
    <cellStyle name="Comma 2 2 3 2 5 3 3" xfId="15242" xr:uid="{00000000-0005-0000-0000-0000E1190000}"/>
    <cellStyle name="Comma 2 2 3 2 5 3 3 2" xfId="24255" xr:uid="{00000000-0005-0000-0000-0000E2190000}"/>
    <cellStyle name="Comma 2 2 3 2 5 3 3 2 2" xfId="43684" xr:uid="{00000000-0005-0000-0000-0000E3190000}"/>
    <cellStyle name="Comma 2 2 3 2 5 3 3 2 3" xfId="37261" xr:uid="{00000000-0005-0000-0000-0000E4190000}"/>
    <cellStyle name="Comma 2 2 3 2 5 3 3 3" xfId="28578" xr:uid="{00000000-0005-0000-0000-0000E5190000}"/>
    <cellStyle name="Comma 2 2 3 2 5 3 3 3 2" xfId="40477" xr:uid="{00000000-0005-0000-0000-0000E6190000}"/>
    <cellStyle name="Comma 2 2 3 2 5 3 3 4" xfId="31913" xr:uid="{00000000-0005-0000-0000-0000E7190000}"/>
    <cellStyle name="Comma 2 2 3 2 5 3 3 5" xfId="34053" xr:uid="{00000000-0005-0000-0000-0000E8190000}"/>
    <cellStyle name="Comma 2 2 3 2 5 3 4" xfId="8058" xr:uid="{00000000-0005-0000-0000-0000E9190000}"/>
    <cellStyle name="Comma 2 2 3 2 5 3 4 2" xfId="42701" xr:uid="{00000000-0005-0000-0000-0000EA190000}"/>
    <cellStyle name="Comma 2 2 3 2 5 3 4 3" xfId="36277" xr:uid="{00000000-0005-0000-0000-0000EB190000}"/>
    <cellStyle name="Comma 2 2 3 2 5 3 5" xfId="21049" xr:uid="{00000000-0005-0000-0000-0000EC190000}"/>
    <cellStyle name="Comma 2 2 3 2 5 3 5 2" xfId="39494" xr:uid="{00000000-0005-0000-0000-0000ED190000}"/>
    <cellStyle name="Comma 2 2 3 2 5 3 6" xfId="22122" xr:uid="{00000000-0005-0000-0000-0000EE190000}"/>
    <cellStyle name="Comma 2 2 3 2 5 3 7" xfId="23272" xr:uid="{00000000-0005-0000-0000-0000EF190000}"/>
    <cellStyle name="Comma 2 2 3 2 5 3 8" xfId="26444" xr:uid="{00000000-0005-0000-0000-0000F0190000}"/>
    <cellStyle name="Comma 2 2 3 2 5 3 9" xfId="29777" xr:uid="{00000000-0005-0000-0000-0000F1190000}"/>
    <cellStyle name="Comma 2 2 3 2 5 4" xfId="845" xr:uid="{00000000-0005-0000-0000-0000F2190000}"/>
    <cellStyle name="Comma 2 2 3 2 5 4 10" xfId="33071" xr:uid="{00000000-0005-0000-0000-0000F3190000}"/>
    <cellStyle name="Comma 2 2 3 2 5 4 2" xfId="9616" xr:uid="{00000000-0005-0000-0000-0000F4190000}"/>
    <cellStyle name="Comma 2 2 3 2 5 4 2 2" xfId="25416" xr:uid="{00000000-0005-0000-0000-0000F5190000}"/>
    <cellStyle name="Comma 2 2 3 2 5 4 2 2 2" xfId="44843" xr:uid="{00000000-0005-0000-0000-0000F6190000}"/>
    <cellStyle name="Comma 2 2 3 2 5 4 2 2 3" xfId="38420" xr:uid="{00000000-0005-0000-0000-0000F7190000}"/>
    <cellStyle name="Comma 2 2 3 2 5 4 2 3" xfId="27594" xr:uid="{00000000-0005-0000-0000-0000F8190000}"/>
    <cellStyle name="Comma 2 2 3 2 5 4 2 3 2" xfId="41636" xr:uid="{00000000-0005-0000-0000-0000F9190000}"/>
    <cellStyle name="Comma 2 2 3 2 5 4 2 4" xfId="30929" xr:uid="{00000000-0005-0000-0000-0000FA190000}"/>
    <cellStyle name="Comma 2 2 3 2 5 4 2 5" xfId="35212" xr:uid="{00000000-0005-0000-0000-0000FB190000}"/>
    <cellStyle name="Comma 2 2 3 2 5 4 3" xfId="15243" xr:uid="{00000000-0005-0000-0000-0000FC190000}"/>
    <cellStyle name="Comma 2 2 3 2 5 4 3 2" xfId="24256" xr:uid="{00000000-0005-0000-0000-0000FD190000}"/>
    <cellStyle name="Comma 2 2 3 2 5 4 3 2 2" xfId="43685" xr:uid="{00000000-0005-0000-0000-0000FE190000}"/>
    <cellStyle name="Comma 2 2 3 2 5 4 3 2 3" xfId="37262" xr:uid="{00000000-0005-0000-0000-0000FF190000}"/>
    <cellStyle name="Comma 2 2 3 2 5 4 3 3" xfId="28579" xr:uid="{00000000-0005-0000-0000-0000001A0000}"/>
    <cellStyle name="Comma 2 2 3 2 5 4 3 3 2" xfId="40478" xr:uid="{00000000-0005-0000-0000-0000011A0000}"/>
    <cellStyle name="Comma 2 2 3 2 5 4 3 4" xfId="31914" xr:uid="{00000000-0005-0000-0000-0000021A0000}"/>
    <cellStyle name="Comma 2 2 3 2 5 4 3 5" xfId="34054" xr:uid="{00000000-0005-0000-0000-0000031A0000}"/>
    <cellStyle name="Comma 2 2 3 2 5 4 4" xfId="8059" xr:uid="{00000000-0005-0000-0000-0000041A0000}"/>
    <cellStyle name="Comma 2 2 3 2 5 4 4 2" xfId="42702" xr:uid="{00000000-0005-0000-0000-0000051A0000}"/>
    <cellStyle name="Comma 2 2 3 2 5 4 4 3" xfId="36278" xr:uid="{00000000-0005-0000-0000-0000061A0000}"/>
    <cellStyle name="Comma 2 2 3 2 5 4 5" xfId="21050" xr:uid="{00000000-0005-0000-0000-0000071A0000}"/>
    <cellStyle name="Comma 2 2 3 2 5 4 5 2" xfId="39495" xr:uid="{00000000-0005-0000-0000-0000081A0000}"/>
    <cellStyle name="Comma 2 2 3 2 5 4 6" xfId="22123" xr:uid="{00000000-0005-0000-0000-0000091A0000}"/>
    <cellStyle name="Comma 2 2 3 2 5 4 7" xfId="23273" xr:uid="{00000000-0005-0000-0000-00000A1A0000}"/>
    <cellStyle name="Comma 2 2 3 2 5 4 8" xfId="26445" xr:uid="{00000000-0005-0000-0000-00000B1A0000}"/>
    <cellStyle name="Comma 2 2 3 2 5 4 9" xfId="29778" xr:uid="{00000000-0005-0000-0000-00000C1A0000}"/>
    <cellStyle name="Comma 2 2 3 2 5 5" xfId="846" xr:uid="{00000000-0005-0000-0000-00000D1A0000}"/>
    <cellStyle name="Comma 2 2 3 2 5 5 10" xfId="33072" xr:uid="{00000000-0005-0000-0000-00000E1A0000}"/>
    <cellStyle name="Comma 2 2 3 2 5 5 2" xfId="9617" xr:uid="{00000000-0005-0000-0000-00000F1A0000}"/>
    <cellStyle name="Comma 2 2 3 2 5 5 2 2" xfId="25417" xr:uid="{00000000-0005-0000-0000-0000101A0000}"/>
    <cellStyle name="Comma 2 2 3 2 5 5 2 2 2" xfId="44844" xr:uid="{00000000-0005-0000-0000-0000111A0000}"/>
    <cellStyle name="Comma 2 2 3 2 5 5 2 2 3" xfId="38421" xr:uid="{00000000-0005-0000-0000-0000121A0000}"/>
    <cellStyle name="Comma 2 2 3 2 5 5 2 3" xfId="27595" xr:uid="{00000000-0005-0000-0000-0000131A0000}"/>
    <cellStyle name="Comma 2 2 3 2 5 5 2 3 2" xfId="41637" xr:uid="{00000000-0005-0000-0000-0000141A0000}"/>
    <cellStyle name="Comma 2 2 3 2 5 5 2 4" xfId="30930" xr:uid="{00000000-0005-0000-0000-0000151A0000}"/>
    <cellStyle name="Comma 2 2 3 2 5 5 2 5" xfId="35213" xr:uid="{00000000-0005-0000-0000-0000161A0000}"/>
    <cellStyle name="Comma 2 2 3 2 5 5 3" xfId="15244" xr:uid="{00000000-0005-0000-0000-0000171A0000}"/>
    <cellStyle name="Comma 2 2 3 2 5 5 3 2" xfId="24257" xr:uid="{00000000-0005-0000-0000-0000181A0000}"/>
    <cellStyle name="Comma 2 2 3 2 5 5 3 2 2" xfId="43686" xr:uid="{00000000-0005-0000-0000-0000191A0000}"/>
    <cellStyle name="Comma 2 2 3 2 5 5 3 2 3" xfId="37263" xr:uid="{00000000-0005-0000-0000-00001A1A0000}"/>
    <cellStyle name="Comma 2 2 3 2 5 5 3 3" xfId="28580" xr:uid="{00000000-0005-0000-0000-00001B1A0000}"/>
    <cellStyle name="Comma 2 2 3 2 5 5 3 3 2" xfId="40479" xr:uid="{00000000-0005-0000-0000-00001C1A0000}"/>
    <cellStyle name="Comma 2 2 3 2 5 5 3 4" xfId="31915" xr:uid="{00000000-0005-0000-0000-00001D1A0000}"/>
    <cellStyle name="Comma 2 2 3 2 5 5 3 5" xfId="34055" xr:uid="{00000000-0005-0000-0000-00001E1A0000}"/>
    <cellStyle name="Comma 2 2 3 2 5 5 4" xfId="8060" xr:uid="{00000000-0005-0000-0000-00001F1A0000}"/>
    <cellStyle name="Comma 2 2 3 2 5 5 4 2" xfId="42703" xr:uid="{00000000-0005-0000-0000-0000201A0000}"/>
    <cellStyle name="Comma 2 2 3 2 5 5 4 3" xfId="36279" xr:uid="{00000000-0005-0000-0000-0000211A0000}"/>
    <cellStyle name="Comma 2 2 3 2 5 5 5" xfId="21051" xr:uid="{00000000-0005-0000-0000-0000221A0000}"/>
    <cellStyle name="Comma 2 2 3 2 5 5 5 2" xfId="39496" xr:uid="{00000000-0005-0000-0000-0000231A0000}"/>
    <cellStyle name="Comma 2 2 3 2 5 5 6" xfId="22124" xr:uid="{00000000-0005-0000-0000-0000241A0000}"/>
    <cellStyle name="Comma 2 2 3 2 5 5 7" xfId="23274" xr:uid="{00000000-0005-0000-0000-0000251A0000}"/>
    <cellStyle name="Comma 2 2 3 2 5 5 8" xfId="26446" xr:uid="{00000000-0005-0000-0000-0000261A0000}"/>
    <cellStyle name="Comma 2 2 3 2 5 5 9" xfId="29779" xr:uid="{00000000-0005-0000-0000-0000271A0000}"/>
    <cellStyle name="Comma 2 2 3 2 5 6" xfId="9613" xr:uid="{00000000-0005-0000-0000-0000281A0000}"/>
    <cellStyle name="Comma 2 2 3 2 5 6 2" xfId="25413" xr:uid="{00000000-0005-0000-0000-0000291A0000}"/>
    <cellStyle name="Comma 2 2 3 2 5 6 2 2" xfId="44840" xr:uid="{00000000-0005-0000-0000-00002A1A0000}"/>
    <cellStyle name="Comma 2 2 3 2 5 6 2 3" xfId="38417" xr:uid="{00000000-0005-0000-0000-00002B1A0000}"/>
    <cellStyle name="Comma 2 2 3 2 5 6 3" xfId="27591" xr:uid="{00000000-0005-0000-0000-00002C1A0000}"/>
    <cellStyle name="Comma 2 2 3 2 5 6 3 2" xfId="41633" xr:uid="{00000000-0005-0000-0000-00002D1A0000}"/>
    <cellStyle name="Comma 2 2 3 2 5 6 4" xfId="30926" xr:uid="{00000000-0005-0000-0000-00002E1A0000}"/>
    <cellStyle name="Comma 2 2 3 2 5 6 5" xfId="35209" xr:uid="{00000000-0005-0000-0000-00002F1A0000}"/>
    <cellStyle name="Comma 2 2 3 2 5 7" xfId="15240" xr:uid="{00000000-0005-0000-0000-0000301A0000}"/>
    <cellStyle name="Comma 2 2 3 2 5 7 2" xfId="24253" xr:uid="{00000000-0005-0000-0000-0000311A0000}"/>
    <cellStyle name="Comma 2 2 3 2 5 7 2 2" xfId="43682" xr:uid="{00000000-0005-0000-0000-0000321A0000}"/>
    <cellStyle name="Comma 2 2 3 2 5 7 2 3" xfId="37259" xr:uid="{00000000-0005-0000-0000-0000331A0000}"/>
    <cellStyle name="Comma 2 2 3 2 5 7 3" xfId="28576" xr:uid="{00000000-0005-0000-0000-0000341A0000}"/>
    <cellStyle name="Comma 2 2 3 2 5 7 3 2" xfId="40475" xr:uid="{00000000-0005-0000-0000-0000351A0000}"/>
    <cellStyle name="Comma 2 2 3 2 5 7 4" xfId="31911" xr:uid="{00000000-0005-0000-0000-0000361A0000}"/>
    <cellStyle name="Comma 2 2 3 2 5 7 5" xfId="34051" xr:uid="{00000000-0005-0000-0000-0000371A0000}"/>
    <cellStyle name="Comma 2 2 3 2 5 8" xfId="8056" xr:uid="{00000000-0005-0000-0000-0000381A0000}"/>
    <cellStyle name="Comma 2 2 3 2 5 8 2" xfId="42699" xr:uid="{00000000-0005-0000-0000-0000391A0000}"/>
    <cellStyle name="Comma 2 2 3 2 5 8 3" xfId="36275" xr:uid="{00000000-0005-0000-0000-00003A1A0000}"/>
    <cellStyle name="Comma 2 2 3 2 5 9" xfId="21047" xr:uid="{00000000-0005-0000-0000-00003B1A0000}"/>
    <cellStyle name="Comma 2 2 3 2 5 9 2" xfId="39492" xr:uid="{00000000-0005-0000-0000-00003C1A0000}"/>
    <cellStyle name="Comma 2 2 3 2 6" xfId="847" xr:uid="{00000000-0005-0000-0000-00003D1A0000}"/>
    <cellStyle name="Comma 2 2 3 2 6 10" xfId="33073" xr:uid="{00000000-0005-0000-0000-00003E1A0000}"/>
    <cellStyle name="Comma 2 2 3 2 6 2" xfId="9618" xr:uid="{00000000-0005-0000-0000-00003F1A0000}"/>
    <cellStyle name="Comma 2 2 3 2 6 2 2" xfId="25418" xr:uid="{00000000-0005-0000-0000-0000401A0000}"/>
    <cellStyle name="Comma 2 2 3 2 6 2 2 2" xfId="44845" xr:uid="{00000000-0005-0000-0000-0000411A0000}"/>
    <cellStyle name="Comma 2 2 3 2 6 2 2 3" xfId="38422" xr:uid="{00000000-0005-0000-0000-0000421A0000}"/>
    <cellStyle name="Comma 2 2 3 2 6 2 3" xfId="27596" xr:uid="{00000000-0005-0000-0000-0000431A0000}"/>
    <cellStyle name="Comma 2 2 3 2 6 2 3 2" xfId="41638" xr:uid="{00000000-0005-0000-0000-0000441A0000}"/>
    <cellStyle name="Comma 2 2 3 2 6 2 4" xfId="30931" xr:uid="{00000000-0005-0000-0000-0000451A0000}"/>
    <cellStyle name="Comma 2 2 3 2 6 2 5" xfId="35214" xr:uid="{00000000-0005-0000-0000-0000461A0000}"/>
    <cellStyle name="Comma 2 2 3 2 6 3" xfId="15245" xr:uid="{00000000-0005-0000-0000-0000471A0000}"/>
    <cellStyle name="Comma 2 2 3 2 6 3 2" xfId="24258" xr:uid="{00000000-0005-0000-0000-0000481A0000}"/>
    <cellStyle name="Comma 2 2 3 2 6 3 2 2" xfId="43687" xr:uid="{00000000-0005-0000-0000-0000491A0000}"/>
    <cellStyle name="Comma 2 2 3 2 6 3 2 3" xfId="37264" xr:uid="{00000000-0005-0000-0000-00004A1A0000}"/>
    <cellStyle name="Comma 2 2 3 2 6 3 3" xfId="28581" xr:uid="{00000000-0005-0000-0000-00004B1A0000}"/>
    <cellStyle name="Comma 2 2 3 2 6 3 3 2" xfId="40480" xr:uid="{00000000-0005-0000-0000-00004C1A0000}"/>
    <cellStyle name="Comma 2 2 3 2 6 3 4" xfId="31916" xr:uid="{00000000-0005-0000-0000-00004D1A0000}"/>
    <cellStyle name="Comma 2 2 3 2 6 3 5" xfId="34056" xr:uid="{00000000-0005-0000-0000-00004E1A0000}"/>
    <cellStyle name="Comma 2 2 3 2 6 4" xfId="8061" xr:uid="{00000000-0005-0000-0000-00004F1A0000}"/>
    <cellStyle name="Comma 2 2 3 2 6 4 2" xfId="42704" xr:uid="{00000000-0005-0000-0000-0000501A0000}"/>
    <cellStyle name="Comma 2 2 3 2 6 4 3" xfId="36280" xr:uid="{00000000-0005-0000-0000-0000511A0000}"/>
    <cellStyle name="Comma 2 2 3 2 6 5" xfId="21052" xr:uid="{00000000-0005-0000-0000-0000521A0000}"/>
    <cellStyle name="Comma 2 2 3 2 6 5 2" xfId="39497" xr:uid="{00000000-0005-0000-0000-0000531A0000}"/>
    <cellStyle name="Comma 2 2 3 2 6 6" xfId="22125" xr:uid="{00000000-0005-0000-0000-0000541A0000}"/>
    <cellStyle name="Comma 2 2 3 2 6 7" xfId="23275" xr:uid="{00000000-0005-0000-0000-0000551A0000}"/>
    <cellStyle name="Comma 2 2 3 2 6 8" xfId="26447" xr:uid="{00000000-0005-0000-0000-0000561A0000}"/>
    <cellStyle name="Comma 2 2 3 2 6 9" xfId="29780" xr:uid="{00000000-0005-0000-0000-0000571A0000}"/>
    <cellStyle name="Comma 2 2 3 2 7" xfId="848" xr:uid="{00000000-0005-0000-0000-0000581A0000}"/>
    <cellStyle name="Comma 2 2 3 2 7 10" xfId="33074" xr:uid="{00000000-0005-0000-0000-0000591A0000}"/>
    <cellStyle name="Comma 2 2 3 2 7 2" xfId="9619" xr:uid="{00000000-0005-0000-0000-00005A1A0000}"/>
    <cellStyle name="Comma 2 2 3 2 7 2 2" xfId="25419" xr:uid="{00000000-0005-0000-0000-00005B1A0000}"/>
    <cellStyle name="Comma 2 2 3 2 7 2 2 2" xfId="44846" xr:uid="{00000000-0005-0000-0000-00005C1A0000}"/>
    <cellStyle name="Comma 2 2 3 2 7 2 2 3" xfId="38423" xr:uid="{00000000-0005-0000-0000-00005D1A0000}"/>
    <cellStyle name="Comma 2 2 3 2 7 2 3" xfId="27597" xr:uid="{00000000-0005-0000-0000-00005E1A0000}"/>
    <cellStyle name="Comma 2 2 3 2 7 2 3 2" xfId="41639" xr:uid="{00000000-0005-0000-0000-00005F1A0000}"/>
    <cellStyle name="Comma 2 2 3 2 7 2 4" xfId="30932" xr:uid="{00000000-0005-0000-0000-0000601A0000}"/>
    <cellStyle name="Comma 2 2 3 2 7 2 5" xfId="35215" xr:uid="{00000000-0005-0000-0000-0000611A0000}"/>
    <cellStyle name="Comma 2 2 3 2 7 3" xfId="15246" xr:uid="{00000000-0005-0000-0000-0000621A0000}"/>
    <cellStyle name="Comma 2 2 3 2 7 3 2" xfId="24259" xr:uid="{00000000-0005-0000-0000-0000631A0000}"/>
    <cellStyle name="Comma 2 2 3 2 7 3 2 2" xfId="43688" xr:uid="{00000000-0005-0000-0000-0000641A0000}"/>
    <cellStyle name="Comma 2 2 3 2 7 3 2 3" xfId="37265" xr:uid="{00000000-0005-0000-0000-0000651A0000}"/>
    <cellStyle name="Comma 2 2 3 2 7 3 3" xfId="28582" xr:uid="{00000000-0005-0000-0000-0000661A0000}"/>
    <cellStyle name="Comma 2 2 3 2 7 3 3 2" xfId="40481" xr:uid="{00000000-0005-0000-0000-0000671A0000}"/>
    <cellStyle name="Comma 2 2 3 2 7 3 4" xfId="31917" xr:uid="{00000000-0005-0000-0000-0000681A0000}"/>
    <cellStyle name="Comma 2 2 3 2 7 3 5" xfId="34057" xr:uid="{00000000-0005-0000-0000-0000691A0000}"/>
    <cellStyle name="Comma 2 2 3 2 7 4" xfId="8062" xr:uid="{00000000-0005-0000-0000-00006A1A0000}"/>
    <cellStyle name="Comma 2 2 3 2 7 4 2" xfId="42705" xr:uid="{00000000-0005-0000-0000-00006B1A0000}"/>
    <cellStyle name="Comma 2 2 3 2 7 4 3" xfId="36281" xr:uid="{00000000-0005-0000-0000-00006C1A0000}"/>
    <cellStyle name="Comma 2 2 3 2 7 5" xfId="21053" xr:uid="{00000000-0005-0000-0000-00006D1A0000}"/>
    <cellStyle name="Comma 2 2 3 2 7 5 2" xfId="39498" xr:uid="{00000000-0005-0000-0000-00006E1A0000}"/>
    <cellStyle name="Comma 2 2 3 2 7 6" xfId="22126" xr:uid="{00000000-0005-0000-0000-00006F1A0000}"/>
    <cellStyle name="Comma 2 2 3 2 7 7" xfId="23276" xr:uid="{00000000-0005-0000-0000-0000701A0000}"/>
    <cellStyle name="Comma 2 2 3 2 7 8" xfId="26448" xr:uid="{00000000-0005-0000-0000-0000711A0000}"/>
    <cellStyle name="Comma 2 2 3 2 7 9" xfId="29781" xr:uid="{00000000-0005-0000-0000-0000721A0000}"/>
    <cellStyle name="Comma 2 2 3 2 8" xfId="849" xr:uid="{00000000-0005-0000-0000-0000731A0000}"/>
    <cellStyle name="Comma 2 2 3 2 8 10" xfId="33075" xr:uid="{00000000-0005-0000-0000-0000741A0000}"/>
    <cellStyle name="Comma 2 2 3 2 8 2" xfId="9620" xr:uid="{00000000-0005-0000-0000-0000751A0000}"/>
    <cellStyle name="Comma 2 2 3 2 8 2 2" xfId="25420" xr:uid="{00000000-0005-0000-0000-0000761A0000}"/>
    <cellStyle name="Comma 2 2 3 2 8 2 2 2" xfId="44847" xr:uid="{00000000-0005-0000-0000-0000771A0000}"/>
    <cellStyle name="Comma 2 2 3 2 8 2 2 3" xfId="38424" xr:uid="{00000000-0005-0000-0000-0000781A0000}"/>
    <cellStyle name="Comma 2 2 3 2 8 2 3" xfId="27598" xr:uid="{00000000-0005-0000-0000-0000791A0000}"/>
    <cellStyle name="Comma 2 2 3 2 8 2 3 2" xfId="41640" xr:uid="{00000000-0005-0000-0000-00007A1A0000}"/>
    <cellStyle name="Comma 2 2 3 2 8 2 4" xfId="30933" xr:uid="{00000000-0005-0000-0000-00007B1A0000}"/>
    <cellStyle name="Comma 2 2 3 2 8 2 5" xfId="35216" xr:uid="{00000000-0005-0000-0000-00007C1A0000}"/>
    <cellStyle name="Comma 2 2 3 2 8 3" xfId="15247" xr:uid="{00000000-0005-0000-0000-00007D1A0000}"/>
    <cellStyle name="Comma 2 2 3 2 8 3 2" xfId="24260" xr:uid="{00000000-0005-0000-0000-00007E1A0000}"/>
    <cellStyle name="Comma 2 2 3 2 8 3 2 2" xfId="43689" xr:uid="{00000000-0005-0000-0000-00007F1A0000}"/>
    <cellStyle name="Comma 2 2 3 2 8 3 2 3" xfId="37266" xr:uid="{00000000-0005-0000-0000-0000801A0000}"/>
    <cellStyle name="Comma 2 2 3 2 8 3 3" xfId="28583" xr:uid="{00000000-0005-0000-0000-0000811A0000}"/>
    <cellStyle name="Comma 2 2 3 2 8 3 3 2" xfId="40482" xr:uid="{00000000-0005-0000-0000-0000821A0000}"/>
    <cellStyle name="Comma 2 2 3 2 8 3 4" xfId="31918" xr:uid="{00000000-0005-0000-0000-0000831A0000}"/>
    <cellStyle name="Comma 2 2 3 2 8 3 5" xfId="34058" xr:uid="{00000000-0005-0000-0000-0000841A0000}"/>
    <cellStyle name="Comma 2 2 3 2 8 4" xfId="8063" xr:uid="{00000000-0005-0000-0000-0000851A0000}"/>
    <cellStyle name="Comma 2 2 3 2 8 4 2" xfId="42706" xr:uid="{00000000-0005-0000-0000-0000861A0000}"/>
    <cellStyle name="Comma 2 2 3 2 8 4 3" xfId="36282" xr:uid="{00000000-0005-0000-0000-0000871A0000}"/>
    <cellStyle name="Comma 2 2 3 2 8 5" xfId="21054" xr:uid="{00000000-0005-0000-0000-0000881A0000}"/>
    <cellStyle name="Comma 2 2 3 2 8 5 2" xfId="39499" xr:uid="{00000000-0005-0000-0000-0000891A0000}"/>
    <cellStyle name="Comma 2 2 3 2 8 6" xfId="22127" xr:uid="{00000000-0005-0000-0000-00008A1A0000}"/>
    <cellStyle name="Comma 2 2 3 2 8 7" xfId="23277" xr:uid="{00000000-0005-0000-0000-00008B1A0000}"/>
    <cellStyle name="Comma 2 2 3 2 8 8" xfId="26449" xr:uid="{00000000-0005-0000-0000-00008C1A0000}"/>
    <cellStyle name="Comma 2 2 3 2 8 9" xfId="29782" xr:uid="{00000000-0005-0000-0000-00008D1A0000}"/>
    <cellStyle name="Comma 2 2 3 2 9" xfId="850" xr:uid="{00000000-0005-0000-0000-00008E1A0000}"/>
    <cellStyle name="Comma 2 2 3 2 9 10" xfId="33076" xr:uid="{00000000-0005-0000-0000-00008F1A0000}"/>
    <cellStyle name="Comma 2 2 3 2 9 2" xfId="9621" xr:uid="{00000000-0005-0000-0000-0000901A0000}"/>
    <cellStyle name="Comma 2 2 3 2 9 2 2" xfId="25421" xr:uid="{00000000-0005-0000-0000-0000911A0000}"/>
    <cellStyle name="Comma 2 2 3 2 9 2 2 2" xfId="44848" xr:uid="{00000000-0005-0000-0000-0000921A0000}"/>
    <cellStyle name="Comma 2 2 3 2 9 2 2 3" xfId="38425" xr:uid="{00000000-0005-0000-0000-0000931A0000}"/>
    <cellStyle name="Comma 2 2 3 2 9 2 3" xfId="27599" xr:uid="{00000000-0005-0000-0000-0000941A0000}"/>
    <cellStyle name="Comma 2 2 3 2 9 2 3 2" xfId="41641" xr:uid="{00000000-0005-0000-0000-0000951A0000}"/>
    <cellStyle name="Comma 2 2 3 2 9 2 4" xfId="30934" xr:uid="{00000000-0005-0000-0000-0000961A0000}"/>
    <cellStyle name="Comma 2 2 3 2 9 2 5" xfId="35217" xr:uid="{00000000-0005-0000-0000-0000971A0000}"/>
    <cellStyle name="Comma 2 2 3 2 9 3" xfId="15248" xr:uid="{00000000-0005-0000-0000-0000981A0000}"/>
    <cellStyle name="Comma 2 2 3 2 9 3 2" xfId="24261" xr:uid="{00000000-0005-0000-0000-0000991A0000}"/>
    <cellStyle name="Comma 2 2 3 2 9 3 2 2" xfId="43690" xr:uid="{00000000-0005-0000-0000-00009A1A0000}"/>
    <cellStyle name="Comma 2 2 3 2 9 3 2 3" xfId="37267" xr:uid="{00000000-0005-0000-0000-00009B1A0000}"/>
    <cellStyle name="Comma 2 2 3 2 9 3 3" xfId="28584" xr:uid="{00000000-0005-0000-0000-00009C1A0000}"/>
    <cellStyle name="Comma 2 2 3 2 9 3 3 2" xfId="40483" xr:uid="{00000000-0005-0000-0000-00009D1A0000}"/>
    <cellStyle name="Comma 2 2 3 2 9 3 4" xfId="31919" xr:uid="{00000000-0005-0000-0000-00009E1A0000}"/>
    <cellStyle name="Comma 2 2 3 2 9 3 5" xfId="34059" xr:uid="{00000000-0005-0000-0000-00009F1A0000}"/>
    <cellStyle name="Comma 2 2 3 2 9 4" xfId="8064" xr:uid="{00000000-0005-0000-0000-0000A01A0000}"/>
    <cellStyle name="Comma 2 2 3 2 9 4 2" xfId="42707" xr:uid="{00000000-0005-0000-0000-0000A11A0000}"/>
    <cellStyle name="Comma 2 2 3 2 9 4 3" xfId="36283" xr:uid="{00000000-0005-0000-0000-0000A21A0000}"/>
    <cellStyle name="Comma 2 2 3 2 9 5" xfId="21055" xr:uid="{00000000-0005-0000-0000-0000A31A0000}"/>
    <cellStyle name="Comma 2 2 3 2 9 5 2" xfId="39500" xr:uid="{00000000-0005-0000-0000-0000A41A0000}"/>
    <cellStyle name="Comma 2 2 3 2 9 6" xfId="22128" xr:uid="{00000000-0005-0000-0000-0000A51A0000}"/>
    <cellStyle name="Comma 2 2 3 2 9 7" xfId="23278" xr:uid="{00000000-0005-0000-0000-0000A61A0000}"/>
    <cellStyle name="Comma 2 2 3 2 9 8" xfId="26450" xr:uid="{00000000-0005-0000-0000-0000A71A0000}"/>
    <cellStyle name="Comma 2 2 3 2 9 9" xfId="29783" xr:uid="{00000000-0005-0000-0000-0000A81A0000}"/>
    <cellStyle name="Comma 2 2 3 20" xfId="32785" xr:uid="{00000000-0005-0000-0000-0000A91A0000}"/>
    <cellStyle name="Comma 2 2 3 3" xfId="180" xr:uid="{00000000-0005-0000-0000-0000AA1A0000}"/>
    <cellStyle name="Comma 2 2 3 3 10" xfId="15249" xr:uid="{00000000-0005-0000-0000-0000AB1A0000}"/>
    <cellStyle name="Comma 2 2 3 3 10 2" xfId="24262" xr:uid="{00000000-0005-0000-0000-0000AC1A0000}"/>
    <cellStyle name="Comma 2 2 3 3 10 2 2" xfId="43691" xr:uid="{00000000-0005-0000-0000-0000AD1A0000}"/>
    <cellStyle name="Comma 2 2 3 3 10 2 3" xfId="37268" xr:uid="{00000000-0005-0000-0000-0000AE1A0000}"/>
    <cellStyle name="Comma 2 2 3 3 10 3" xfId="28585" xr:uid="{00000000-0005-0000-0000-0000AF1A0000}"/>
    <cellStyle name="Comma 2 2 3 3 10 3 2" xfId="40484" xr:uid="{00000000-0005-0000-0000-0000B01A0000}"/>
    <cellStyle name="Comma 2 2 3 3 10 4" xfId="31920" xr:uid="{00000000-0005-0000-0000-0000B11A0000}"/>
    <cellStyle name="Comma 2 2 3 3 10 5" xfId="34060" xr:uid="{00000000-0005-0000-0000-0000B21A0000}"/>
    <cellStyle name="Comma 2 2 3 3 11" xfId="8065" xr:uid="{00000000-0005-0000-0000-0000B31A0000}"/>
    <cellStyle name="Comma 2 2 3 3 11 2" xfId="42410" xr:uid="{00000000-0005-0000-0000-0000B41A0000}"/>
    <cellStyle name="Comma 2 2 3 3 11 3" xfId="35986" xr:uid="{00000000-0005-0000-0000-0000B51A0000}"/>
    <cellStyle name="Comma 2 2 3 3 12" xfId="21056" xr:uid="{00000000-0005-0000-0000-0000B61A0000}"/>
    <cellStyle name="Comma 2 2 3 3 12 2" xfId="39203" xr:uid="{00000000-0005-0000-0000-0000B71A0000}"/>
    <cellStyle name="Comma 2 2 3 3 13" xfId="22129" xr:uid="{00000000-0005-0000-0000-0000B81A0000}"/>
    <cellStyle name="Comma 2 2 3 3 14" xfId="22981" xr:uid="{00000000-0005-0000-0000-0000B91A0000}"/>
    <cellStyle name="Comma 2 2 3 3 15" xfId="26451" xr:uid="{00000000-0005-0000-0000-0000BA1A0000}"/>
    <cellStyle name="Comma 2 2 3 3 16" xfId="29784" xr:uid="{00000000-0005-0000-0000-0000BB1A0000}"/>
    <cellStyle name="Comma 2 2 3 3 17" xfId="32779" xr:uid="{00000000-0005-0000-0000-0000BC1A0000}"/>
    <cellStyle name="Comma 2 2 3 3 2" xfId="216" xr:uid="{00000000-0005-0000-0000-0000BD1A0000}"/>
    <cellStyle name="Comma 2 2 3 3 2 10" xfId="21057" xr:uid="{00000000-0005-0000-0000-0000BE1A0000}"/>
    <cellStyle name="Comma 2 2 3 3 2 10 2" xfId="39224" xr:uid="{00000000-0005-0000-0000-0000BF1A0000}"/>
    <cellStyle name="Comma 2 2 3 3 2 11" xfId="22130" xr:uid="{00000000-0005-0000-0000-0000C01A0000}"/>
    <cellStyle name="Comma 2 2 3 3 2 12" xfId="23002" xr:uid="{00000000-0005-0000-0000-0000C11A0000}"/>
    <cellStyle name="Comma 2 2 3 3 2 13" xfId="26452" xr:uid="{00000000-0005-0000-0000-0000C21A0000}"/>
    <cellStyle name="Comma 2 2 3 3 2 14" xfId="29785" xr:uid="{00000000-0005-0000-0000-0000C31A0000}"/>
    <cellStyle name="Comma 2 2 3 3 2 15" xfId="32800" xr:uid="{00000000-0005-0000-0000-0000C41A0000}"/>
    <cellStyle name="Comma 2 2 3 3 2 2" xfId="851" xr:uid="{00000000-0005-0000-0000-0000C51A0000}"/>
    <cellStyle name="Comma 2 2 3 3 2 2 10" xfId="33077" xr:uid="{00000000-0005-0000-0000-0000C61A0000}"/>
    <cellStyle name="Comma 2 2 3 3 2 2 2" xfId="9622" xr:uid="{00000000-0005-0000-0000-0000C71A0000}"/>
    <cellStyle name="Comma 2 2 3 3 2 2 2 2" xfId="25422" xr:uid="{00000000-0005-0000-0000-0000C81A0000}"/>
    <cellStyle name="Comma 2 2 3 3 2 2 2 2 2" xfId="44849" xr:uid="{00000000-0005-0000-0000-0000C91A0000}"/>
    <cellStyle name="Comma 2 2 3 3 2 2 2 2 3" xfId="38426" xr:uid="{00000000-0005-0000-0000-0000CA1A0000}"/>
    <cellStyle name="Comma 2 2 3 3 2 2 2 3" xfId="27600" xr:uid="{00000000-0005-0000-0000-0000CB1A0000}"/>
    <cellStyle name="Comma 2 2 3 3 2 2 2 3 2" xfId="41642" xr:uid="{00000000-0005-0000-0000-0000CC1A0000}"/>
    <cellStyle name="Comma 2 2 3 3 2 2 2 4" xfId="30935" xr:uid="{00000000-0005-0000-0000-0000CD1A0000}"/>
    <cellStyle name="Comma 2 2 3 3 2 2 2 5" xfId="35218" xr:uid="{00000000-0005-0000-0000-0000CE1A0000}"/>
    <cellStyle name="Comma 2 2 3 3 2 2 3" xfId="15251" xr:uid="{00000000-0005-0000-0000-0000CF1A0000}"/>
    <cellStyle name="Comma 2 2 3 3 2 2 3 2" xfId="24264" xr:uid="{00000000-0005-0000-0000-0000D01A0000}"/>
    <cellStyle name="Comma 2 2 3 3 2 2 3 2 2" xfId="43693" xr:uid="{00000000-0005-0000-0000-0000D11A0000}"/>
    <cellStyle name="Comma 2 2 3 3 2 2 3 2 3" xfId="37270" xr:uid="{00000000-0005-0000-0000-0000D21A0000}"/>
    <cellStyle name="Comma 2 2 3 3 2 2 3 3" xfId="28587" xr:uid="{00000000-0005-0000-0000-0000D31A0000}"/>
    <cellStyle name="Comma 2 2 3 3 2 2 3 3 2" xfId="40486" xr:uid="{00000000-0005-0000-0000-0000D41A0000}"/>
    <cellStyle name="Comma 2 2 3 3 2 2 3 4" xfId="31922" xr:uid="{00000000-0005-0000-0000-0000D51A0000}"/>
    <cellStyle name="Comma 2 2 3 3 2 2 3 5" xfId="34062" xr:uid="{00000000-0005-0000-0000-0000D61A0000}"/>
    <cellStyle name="Comma 2 2 3 3 2 2 4" xfId="8067" xr:uid="{00000000-0005-0000-0000-0000D71A0000}"/>
    <cellStyle name="Comma 2 2 3 3 2 2 4 2" xfId="42708" xr:uid="{00000000-0005-0000-0000-0000D81A0000}"/>
    <cellStyle name="Comma 2 2 3 3 2 2 4 3" xfId="36284" xr:uid="{00000000-0005-0000-0000-0000D91A0000}"/>
    <cellStyle name="Comma 2 2 3 3 2 2 5" xfId="21058" xr:uid="{00000000-0005-0000-0000-0000DA1A0000}"/>
    <cellStyle name="Comma 2 2 3 3 2 2 5 2" xfId="39501" xr:uid="{00000000-0005-0000-0000-0000DB1A0000}"/>
    <cellStyle name="Comma 2 2 3 3 2 2 6" xfId="22131" xr:uid="{00000000-0005-0000-0000-0000DC1A0000}"/>
    <cellStyle name="Comma 2 2 3 3 2 2 7" xfId="23279" xr:uid="{00000000-0005-0000-0000-0000DD1A0000}"/>
    <cellStyle name="Comma 2 2 3 3 2 2 8" xfId="26453" xr:uid="{00000000-0005-0000-0000-0000DE1A0000}"/>
    <cellStyle name="Comma 2 2 3 3 2 2 9" xfId="29786" xr:uid="{00000000-0005-0000-0000-0000DF1A0000}"/>
    <cellStyle name="Comma 2 2 3 3 2 3" xfId="852" xr:uid="{00000000-0005-0000-0000-0000E01A0000}"/>
    <cellStyle name="Comma 2 2 3 3 2 3 10" xfId="33078" xr:uid="{00000000-0005-0000-0000-0000E11A0000}"/>
    <cellStyle name="Comma 2 2 3 3 2 3 2" xfId="9623" xr:uid="{00000000-0005-0000-0000-0000E21A0000}"/>
    <cellStyle name="Comma 2 2 3 3 2 3 2 2" xfId="25423" xr:uid="{00000000-0005-0000-0000-0000E31A0000}"/>
    <cellStyle name="Comma 2 2 3 3 2 3 2 2 2" xfId="44850" xr:uid="{00000000-0005-0000-0000-0000E41A0000}"/>
    <cellStyle name="Comma 2 2 3 3 2 3 2 2 3" xfId="38427" xr:uid="{00000000-0005-0000-0000-0000E51A0000}"/>
    <cellStyle name="Comma 2 2 3 3 2 3 2 3" xfId="27601" xr:uid="{00000000-0005-0000-0000-0000E61A0000}"/>
    <cellStyle name="Comma 2 2 3 3 2 3 2 3 2" xfId="41643" xr:uid="{00000000-0005-0000-0000-0000E71A0000}"/>
    <cellStyle name="Comma 2 2 3 3 2 3 2 4" xfId="30936" xr:uid="{00000000-0005-0000-0000-0000E81A0000}"/>
    <cellStyle name="Comma 2 2 3 3 2 3 2 5" xfId="35219" xr:uid="{00000000-0005-0000-0000-0000E91A0000}"/>
    <cellStyle name="Comma 2 2 3 3 2 3 3" xfId="15252" xr:uid="{00000000-0005-0000-0000-0000EA1A0000}"/>
    <cellStyle name="Comma 2 2 3 3 2 3 3 2" xfId="24265" xr:uid="{00000000-0005-0000-0000-0000EB1A0000}"/>
    <cellStyle name="Comma 2 2 3 3 2 3 3 2 2" xfId="43694" xr:uid="{00000000-0005-0000-0000-0000EC1A0000}"/>
    <cellStyle name="Comma 2 2 3 3 2 3 3 2 3" xfId="37271" xr:uid="{00000000-0005-0000-0000-0000ED1A0000}"/>
    <cellStyle name="Comma 2 2 3 3 2 3 3 3" xfId="28588" xr:uid="{00000000-0005-0000-0000-0000EE1A0000}"/>
    <cellStyle name="Comma 2 2 3 3 2 3 3 3 2" xfId="40487" xr:uid="{00000000-0005-0000-0000-0000EF1A0000}"/>
    <cellStyle name="Comma 2 2 3 3 2 3 3 4" xfId="31923" xr:uid="{00000000-0005-0000-0000-0000F01A0000}"/>
    <cellStyle name="Comma 2 2 3 3 2 3 3 5" xfId="34063" xr:uid="{00000000-0005-0000-0000-0000F11A0000}"/>
    <cellStyle name="Comma 2 2 3 3 2 3 4" xfId="8068" xr:uid="{00000000-0005-0000-0000-0000F21A0000}"/>
    <cellStyle name="Comma 2 2 3 3 2 3 4 2" xfId="42709" xr:uid="{00000000-0005-0000-0000-0000F31A0000}"/>
    <cellStyle name="Comma 2 2 3 3 2 3 4 3" xfId="36285" xr:uid="{00000000-0005-0000-0000-0000F41A0000}"/>
    <cellStyle name="Comma 2 2 3 3 2 3 5" xfId="21059" xr:uid="{00000000-0005-0000-0000-0000F51A0000}"/>
    <cellStyle name="Comma 2 2 3 3 2 3 5 2" xfId="39502" xr:uid="{00000000-0005-0000-0000-0000F61A0000}"/>
    <cellStyle name="Comma 2 2 3 3 2 3 6" xfId="22132" xr:uid="{00000000-0005-0000-0000-0000F71A0000}"/>
    <cellStyle name="Comma 2 2 3 3 2 3 7" xfId="23280" xr:uid="{00000000-0005-0000-0000-0000F81A0000}"/>
    <cellStyle name="Comma 2 2 3 3 2 3 8" xfId="26454" xr:uid="{00000000-0005-0000-0000-0000F91A0000}"/>
    <cellStyle name="Comma 2 2 3 3 2 3 9" xfId="29787" xr:uid="{00000000-0005-0000-0000-0000FA1A0000}"/>
    <cellStyle name="Comma 2 2 3 3 2 4" xfId="853" xr:uid="{00000000-0005-0000-0000-0000FB1A0000}"/>
    <cellStyle name="Comma 2 2 3 3 2 4 10" xfId="33079" xr:uid="{00000000-0005-0000-0000-0000FC1A0000}"/>
    <cellStyle name="Comma 2 2 3 3 2 4 2" xfId="9624" xr:uid="{00000000-0005-0000-0000-0000FD1A0000}"/>
    <cellStyle name="Comma 2 2 3 3 2 4 2 2" xfId="25424" xr:uid="{00000000-0005-0000-0000-0000FE1A0000}"/>
    <cellStyle name="Comma 2 2 3 3 2 4 2 2 2" xfId="44851" xr:uid="{00000000-0005-0000-0000-0000FF1A0000}"/>
    <cellStyle name="Comma 2 2 3 3 2 4 2 2 3" xfId="38428" xr:uid="{00000000-0005-0000-0000-0000001B0000}"/>
    <cellStyle name="Comma 2 2 3 3 2 4 2 3" xfId="27602" xr:uid="{00000000-0005-0000-0000-0000011B0000}"/>
    <cellStyle name="Comma 2 2 3 3 2 4 2 3 2" xfId="41644" xr:uid="{00000000-0005-0000-0000-0000021B0000}"/>
    <cellStyle name="Comma 2 2 3 3 2 4 2 4" xfId="30937" xr:uid="{00000000-0005-0000-0000-0000031B0000}"/>
    <cellStyle name="Comma 2 2 3 3 2 4 2 5" xfId="35220" xr:uid="{00000000-0005-0000-0000-0000041B0000}"/>
    <cellStyle name="Comma 2 2 3 3 2 4 3" xfId="15253" xr:uid="{00000000-0005-0000-0000-0000051B0000}"/>
    <cellStyle name="Comma 2 2 3 3 2 4 3 2" xfId="24266" xr:uid="{00000000-0005-0000-0000-0000061B0000}"/>
    <cellStyle name="Comma 2 2 3 3 2 4 3 2 2" xfId="43695" xr:uid="{00000000-0005-0000-0000-0000071B0000}"/>
    <cellStyle name="Comma 2 2 3 3 2 4 3 2 3" xfId="37272" xr:uid="{00000000-0005-0000-0000-0000081B0000}"/>
    <cellStyle name="Comma 2 2 3 3 2 4 3 3" xfId="28589" xr:uid="{00000000-0005-0000-0000-0000091B0000}"/>
    <cellStyle name="Comma 2 2 3 3 2 4 3 3 2" xfId="40488" xr:uid="{00000000-0005-0000-0000-00000A1B0000}"/>
    <cellStyle name="Comma 2 2 3 3 2 4 3 4" xfId="31924" xr:uid="{00000000-0005-0000-0000-00000B1B0000}"/>
    <cellStyle name="Comma 2 2 3 3 2 4 3 5" xfId="34064" xr:uid="{00000000-0005-0000-0000-00000C1B0000}"/>
    <cellStyle name="Comma 2 2 3 3 2 4 4" xfId="8069" xr:uid="{00000000-0005-0000-0000-00000D1B0000}"/>
    <cellStyle name="Comma 2 2 3 3 2 4 4 2" xfId="42710" xr:uid="{00000000-0005-0000-0000-00000E1B0000}"/>
    <cellStyle name="Comma 2 2 3 3 2 4 4 3" xfId="36286" xr:uid="{00000000-0005-0000-0000-00000F1B0000}"/>
    <cellStyle name="Comma 2 2 3 3 2 4 5" xfId="21060" xr:uid="{00000000-0005-0000-0000-0000101B0000}"/>
    <cellStyle name="Comma 2 2 3 3 2 4 5 2" xfId="39503" xr:uid="{00000000-0005-0000-0000-0000111B0000}"/>
    <cellStyle name="Comma 2 2 3 3 2 4 6" xfId="22133" xr:uid="{00000000-0005-0000-0000-0000121B0000}"/>
    <cellStyle name="Comma 2 2 3 3 2 4 7" xfId="23281" xr:uid="{00000000-0005-0000-0000-0000131B0000}"/>
    <cellStyle name="Comma 2 2 3 3 2 4 8" xfId="26455" xr:uid="{00000000-0005-0000-0000-0000141B0000}"/>
    <cellStyle name="Comma 2 2 3 3 2 4 9" xfId="29788" xr:uid="{00000000-0005-0000-0000-0000151B0000}"/>
    <cellStyle name="Comma 2 2 3 3 2 5" xfId="854" xr:uid="{00000000-0005-0000-0000-0000161B0000}"/>
    <cellStyle name="Comma 2 2 3 3 2 5 10" xfId="33080" xr:uid="{00000000-0005-0000-0000-0000171B0000}"/>
    <cellStyle name="Comma 2 2 3 3 2 5 2" xfId="9625" xr:uid="{00000000-0005-0000-0000-0000181B0000}"/>
    <cellStyle name="Comma 2 2 3 3 2 5 2 2" xfId="25425" xr:uid="{00000000-0005-0000-0000-0000191B0000}"/>
    <cellStyle name="Comma 2 2 3 3 2 5 2 2 2" xfId="44852" xr:uid="{00000000-0005-0000-0000-00001A1B0000}"/>
    <cellStyle name="Comma 2 2 3 3 2 5 2 2 3" xfId="38429" xr:uid="{00000000-0005-0000-0000-00001B1B0000}"/>
    <cellStyle name="Comma 2 2 3 3 2 5 2 3" xfId="27603" xr:uid="{00000000-0005-0000-0000-00001C1B0000}"/>
    <cellStyle name="Comma 2 2 3 3 2 5 2 3 2" xfId="41645" xr:uid="{00000000-0005-0000-0000-00001D1B0000}"/>
    <cellStyle name="Comma 2 2 3 3 2 5 2 4" xfId="30938" xr:uid="{00000000-0005-0000-0000-00001E1B0000}"/>
    <cellStyle name="Comma 2 2 3 3 2 5 2 5" xfId="35221" xr:uid="{00000000-0005-0000-0000-00001F1B0000}"/>
    <cellStyle name="Comma 2 2 3 3 2 5 3" xfId="15254" xr:uid="{00000000-0005-0000-0000-0000201B0000}"/>
    <cellStyle name="Comma 2 2 3 3 2 5 3 2" xfId="24267" xr:uid="{00000000-0005-0000-0000-0000211B0000}"/>
    <cellStyle name="Comma 2 2 3 3 2 5 3 2 2" xfId="43696" xr:uid="{00000000-0005-0000-0000-0000221B0000}"/>
    <cellStyle name="Comma 2 2 3 3 2 5 3 2 3" xfId="37273" xr:uid="{00000000-0005-0000-0000-0000231B0000}"/>
    <cellStyle name="Comma 2 2 3 3 2 5 3 3" xfId="28590" xr:uid="{00000000-0005-0000-0000-0000241B0000}"/>
    <cellStyle name="Comma 2 2 3 3 2 5 3 3 2" xfId="40489" xr:uid="{00000000-0005-0000-0000-0000251B0000}"/>
    <cellStyle name="Comma 2 2 3 3 2 5 3 4" xfId="31925" xr:uid="{00000000-0005-0000-0000-0000261B0000}"/>
    <cellStyle name="Comma 2 2 3 3 2 5 3 5" xfId="34065" xr:uid="{00000000-0005-0000-0000-0000271B0000}"/>
    <cellStyle name="Comma 2 2 3 3 2 5 4" xfId="8070" xr:uid="{00000000-0005-0000-0000-0000281B0000}"/>
    <cellStyle name="Comma 2 2 3 3 2 5 4 2" xfId="42711" xr:uid="{00000000-0005-0000-0000-0000291B0000}"/>
    <cellStyle name="Comma 2 2 3 3 2 5 4 3" xfId="36287" xr:uid="{00000000-0005-0000-0000-00002A1B0000}"/>
    <cellStyle name="Comma 2 2 3 3 2 5 5" xfId="21061" xr:uid="{00000000-0005-0000-0000-00002B1B0000}"/>
    <cellStyle name="Comma 2 2 3 3 2 5 5 2" xfId="39504" xr:uid="{00000000-0005-0000-0000-00002C1B0000}"/>
    <cellStyle name="Comma 2 2 3 3 2 5 6" xfId="22134" xr:uid="{00000000-0005-0000-0000-00002D1B0000}"/>
    <cellStyle name="Comma 2 2 3 3 2 5 7" xfId="23282" xr:uid="{00000000-0005-0000-0000-00002E1B0000}"/>
    <cellStyle name="Comma 2 2 3 3 2 5 8" xfId="26456" xr:uid="{00000000-0005-0000-0000-00002F1B0000}"/>
    <cellStyle name="Comma 2 2 3 3 2 5 9" xfId="29789" xr:uid="{00000000-0005-0000-0000-0000301B0000}"/>
    <cellStyle name="Comma 2 2 3 3 2 6" xfId="855" xr:uid="{00000000-0005-0000-0000-0000311B0000}"/>
    <cellStyle name="Comma 2 2 3 3 2 6 10" xfId="33081" xr:uid="{00000000-0005-0000-0000-0000321B0000}"/>
    <cellStyle name="Comma 2 2 3 3 2 6 2" xfId="9626" xr:uid="{00000000-0005-0000-0000-0000331B0000}"/>
    <cellStyle name="Comma 2 2 3 3 2 6 2 2" xfId="25426" xr:uid="{00000000-0005-0000-0000-0000341B0000}"/>
    <cellStyle name="Comma 2 2 3 3 2 6 2 2 2" xfId="44853" xr:uid="{00000000-0005-0000-0000-0000351B0000}"/>
    <cellStyle name="Comma 2 2 3 3 2 6 2 2 3" xfId="38430" xr:uid="{00000000-0005-0000-0000-0000361B0000}"/>
    <cellStyle name="Comma 2 2 3 3 2 6 2 3" xfId="27604" xr:uid="{00000000-0005-0000-0000-0000371B0000}"/>
    <cellStyle name="Comma 2 2 3 3 2 6 2 3 2" xfId="41646" xr:uid="{00000000-0005-0000-0000-0000381B0000}"/>
    <cellStyle name="Comma 2 2 3 3 2 6 2 4" xfId="30939" xr:uid="{00000000-0005-0000-0000-0000391B0000}"/>
    <cellStyle name="Comma 2 2 3 3 2 6 2 5" xfId="35222" xr:uid="{00000000-0005-0000-0000-00003A1B0000}"/>
    <cellStyle name="Comma 2 2 3 3 2 6 3" xfId="15255" xr:uid="{00000000-0005-0000-0000-00003B1B0000}"/>
    <cellStyle name="Comma 2 2 3 3 2 6 3 2" xfId="24268" xr:uid="{00000000-0005-0000-0000-00003C1B0000}"/>
    <cellStyle name="Comma 2 2 3 3 2 6 3 2 2" xfId="43697" xr:uid="{00000000-0005-0000-0000-00003D1B0000}"/>
    <cellStyle name="Comma 2 2 3 3 2 6 3 2 3" xfId="37274" xr:uid="{00000000-0005-0000-0000-00003E1B0000}"/>
    <cellStyle name="Comma 2 2 3 3 2 6 3 3" xfId="28591" xr:uid="{00000000-0005-0000-0000-00003F1B0000}"/>
    <cellStyle name="Comma 2 2 3 3 2 6 3 3 2" xfId="40490" xr:uid="{00000000-0005-0000-0000-0000401B0000}"/>
    <cellStyle name="Comma 2 2 3 3 2 6 3 4" xfId="31926" xr:uid="{00000000-0005-0000-0000-0000411B0000}"/>
    <cellStyle name="Comma 2 2 3 3 2 6 3 5" xfId="34066" xr:uid="{00000000-0005-0000-0000-0000421B0000}"/>
    <cellStyle name="Comma 2 2 3 3 2 6 4" xfId="8071" xr:uid="{00000000-0005-0000-0000-0000431B0000}"/>
    <cellStyle name="Comma 2 2 3 3 2 6 4 2" xfId="42712" xr:uid="{00000000-0005-0000-0000-0000441B0000}"/>
    <cellStyle name="Comma 2 2 3 3 2 6 4 3" xfId="36288" xr:uid="{00000000-0005-0000-0000-0000451B0000}"/>
    <cellStyle name="Comma 2 2 3 3 2 6 5" xfId="21062" xr:uid="{00000000-0005-0000-0000-0000461B0000}"/>
    <cellStyle name="Comma 2 2 3 3 2 6 5 2" xfId="39505" xr:uid="{00000000-0005-0000-0000-0000471B0000}"/>
    <cellStyle name="Comma 2 2 3 3 2 6 6" xfId="22135" xr:uid="{00000000-0005-0000-0000-0000481B0000}"/>
    <cellStyle name="Comma 2 2 3 3 2 6 7" xfId="23283" xr:uid="{00000000-0005-0000-0000-0000491B0000}"/>
    <cellStyle name="Comma 2 2 3 3 2 6 8" xfId="26457" xr:uid="{00000000-0005-0000-0000-00004A1B0000}"/>
    <cellStyle name="Comma 2 2 3 3 2 6 9" xfId="29790" xr:uid="{00000000-0005-0000-0000-00004B1B0000}"/>
    <cellStyle name="Comma 2 2 3 3 2 7" xfId="9086" xr:uid="{00000000-0005-0000-0000-00004C1B0000}"/>
    <cellStyle name="Comma 2 2 3 3 2 7 2" xfId="25141" xr:uid="{00000000-0005-0000-0000-00004D1B0000}"/>
    <cellStyle name="Comma 2 2 3 3 2 7 2 2" xfId="44568" xr:uid="{00000000-0005-0000-0000-00004E1B0000}"/>
    <cellStyle name="Comma 2 2 3 3 2 7 2 3" xfId="38145" xr:uid="{00000000-0005-0000-0000-00004F1B0000}"/>
    <cellStyle name="Comma 2 2 3 3 2 7 3" xfId="27320" xr:uid="{00000000-0005-0000-0000-0000501B0000}"/>
    <cellStyle name="Comma 2 2 3 3 2 7 3 2" xfId="41361" xr:uid="{00000000-0005-0000-0000-0000511B0000}"/>
    <cellStyle name="Comma 2 2 3 3 2 7 4" xfId="30655" xr:uid="{00000000-0005-0000-0000-0000521B0000}"/>
    <cellStyle name="Comma 2 2 3 3 2 7 5" xfId="34937" xr:uid="{00000000-0005-0000-0000-0000531B0000}"/>
    <cellStyle name="Comma 2 2 3 3 2 8" xfId="15250" xr:uid="{00000000-0005-0000-0000-0000541B0000}"/>
    <cellStyle name="Comma 2 2 3 3 2 8 2" xfId="24263" xr:uid="{00000000-0005-0000-0000-0000551B0000}"/>
    <cellStyle name="Comma 2 2 3 3 2 8 2 2" xfId="43692" xr:uid="{00000000-0005-0000-0000-0000561B0000}"/>
    <cellStyle name="Comma 2 2 3 3 2 8 2 3" xfId="37269" xr:uid="{00000000-0005-0000-0000-0000571B0000}"/>
    <cellStyle name="Comma 2 2 3 3 2 8 3" xfId="28586" xr:uid="{00000000-0005-0000-0000-0000581B0000}"/>
    <cellStyle name="Comma 2 2 3 3 2 8 3 2" xfId="40485" xr:uid="{00000000-0005-0000-0000-0000591B0000}"/>
    <cellStyle name="Comma 2 2 3 3 2 8 4" xfId="31921" xr:uid="{00000000-0005-0000-0000-00005A1B0000}"/>
    <cellStyle name="Comma 2 2 3 3 2 8 5" xfId="34061" xr:uid="{00000000-0005-0000-0000-00005B1B0000}"/>
    <cellStyle name="Comma 2 2 3 3 2 9" xfId="8066" xr:uid="{00000000-0005-0000-0000-00005C1B0000}"/>
    <cellStyle name="Comma 2 2 3 3 2 9 2" xfId="42431" xr:uid="{00000000-0005-0000-0000-00005D1B0000}"/>
    <cellStyle name="Comma 2 2 3 3 2 9 3" xfId="36007" xr:uid="{00000000-0005-0000-0000-00005E1B0000}"/>
    <cellStyle name="Comma 2 2 3 3 3" xfId="856" xr:uid="{00000000-0005-0000-0000-00005F1B0000}"/>
    <cellStyle name="Comma 2 2 3 3 3 10" xfId="22136" xr:uid="{00000000-0005-0000-0000-0000601B0000}"/>
    <cellStyle name="Comma 2 2 3 3 3 11" xfId="23284" xr:uid="{00000000-0005-0000-0000-0000611B0000}"/>
    <cellStyle name="Comma 2 2 3 3 3 12" xfId="26458" xr:uid="{00000000-0005-0000-0000-0000621B0000}"/>
    <cellStyle name="Comma 2 2 3 3 3 13" xfId="29791" xr:uid="{00000000-0005-0000-0000-0000631B0000}"/>
    <cellStyle name="Comma 2 2 3 3 3 14" xfId="33082" xr:uid="{00000000-0005-0000-0000-0000641B0000}"/>
    <cellStyle name="Comma 2 2 3 3 3 2" xfId="857" xr:uid="{00000000-0005-0000-0000-0000651B0000}"/>
    <cellStyle name="Comma 2 2 3 3 3 2 10" xfId="33083" xr:uid="{00000000-0005-0000-0000-0000661B0000}"/>
    <cellStyle name="Comma 2 2 3 3 3 2 2" xfId="9628" xr:uid="{00000000-0005-0000-0000-0000671B0000}"/>
    <cellStyle name="Comma 2 2 3 3 3 2 2 2" xfId="25428" xr:uid="{00000000-0005-0000-0000-0000681B0000}"/>
    <cellStyle name="Comma 2 2 3 3 3 2 2 2 2" xfId="44855" xr:uid="{00000000-0005-0000-0000-0000691B0000}"/>
    <cellStyle name="Comma 2 2 3 3 3 2 2 2 3" xfId="38432" xr:uid="{00000000-0005-0000-0000-00006A1B0000}"/>
    <cellStyle name="Comma 2 2 3 3 3 2 2 3" xfId="27606" xr:uid="{00000000-0005-0000-0000-00006B1B0000}"/>
    <cellStyle name="Comma 2 2 3 3 3 2 2 3 2" xfId="41648" xr:uid="{00000000-0005-0000-0000-00006C1B0000}"/>
    <cellStyle name="Comma 2 2 3 3 3 2 2 4" xfId="30941" xr:uid="{00000000-0005-0000-0000-00006D1B0000}"/>
    <cellStyle name="Comma 2 2 3 3 3 2 2 5" xfId="35224" xr:uid="{00000000-0005-0000-0000-00006E1B0000}"/>
    <cellStyle name="Comma 2 2 3 3 3 2 3" xfId="15257" xr:uid="{00000000-0005-0000-0000-00006F1B0000}"/>
    <cellStyle name="Comma 2 2 3 3 3 2 3 2" xfId="24270" xr:uid="{00000000-0005-0000-0000-0000701B0000}"/>
    <cellStyle name="Comma 2 2 3 3 3 2 3 2 2" xfId="43699" xr:uid="{00000000-0005-0000-0000-0000711B0000}"/>
    <cellStyle name="Comma 2 2 3 3 3 2 3 2 3" xfId="37276" xr:uid="{00000000-0005-0000-0000-0000721B0000}"/>
    <cellStyle name="Comma 2 2 3 3 3 2 3 3" xfId="28593" xr:uid="{00000000-0005-0000-0000-0000731B0000}"/>
    <cellStyle name="Comma 2 2 3 3 3 2 3 3 2" xfId="40492" xr:uid="{00000000-0005-0000-0000-0000741B0000}"/>
    <cellStyle name="Comma 2 2 3 3 3 2 3 4" xfId="31928" xr:uid="{00000000-0005-0000-0000-0000751B0000}"/>
    <cellStyle name="Comma 2 2 3 3 3 2 3 5" xfId="34068" xr:uid="{00000000-0005-0000-0000-0000761B0000}"/>
    <cellStyle name="Comma 2 2 3 3 3 2 4" xfId="8073" xr:uid="{00000000-0005-0000-0000-0000771B0000}"/>
    <cellStyle name="Comma 2 2 3 3 3 2 4 2" xfId="42714" xr:uid="{00000000-0005-0000-0000-0000781B0000}"/>
    <cellStyle name="Comma 2 2 3 3 3 2 4 3" xfId="36290" xr:uid="{00000000-0005-0000-0000-0000791B0000}"/>
    <cellStyle name="Comma 2 2 3 3 3 2 5" xfId="21064" xr:uid="{00000000-0005-0000-0000-00007A1B0000}"/>
    <cellStyle name="Comma 2 2 3 3 3 2 5 2" xfId="39507" xr:uid="{00000000-0005-0000-0000-00007B1B0000}"/>
    <cellStyle name="Comma 2 2 3 3 3 2 6" xfId="22137" xr:uid="{00000000-0005-0000-0000-00007C1B0000}"/>
    <cellStyle name="Comma 2 2 3 3 3 2 7" xfId="23285" xr:uid="{00000000-0005-0000-0000-00007D1B0000}"/>
    <cellStyle name="Comma 2 2 3 3 3 2 8" xfId="26459" xr:uid="{00000000-0005-0000-0000-00007E1B0000}"/>
    <cellStyle name="Comma 2 2 3 3 3 2 9" xfId="29792" xr:uid="{00000000-0005-0000-0000-00007F1B0000}"/>
    <cellStyle name="Comma 2 2 3 3 3 3" xfId="858" xr:uid="{00000000-0005-0000-0000-0000801B0000}"/>
    <cellStyle name="Comma 2 2 3 3 3 3 10" xfId="33084" xr:uid="{00000000-0005-0000-0000-0000811B0000}"/>
    <cellStyle name="Comma 2 2 3 3 3 3 2" xfId="9629" xr:uid="{00000000-0005-0000-0000-0000821B0000}"/>
    <cellStyle name="Comma 2 2 3 3 3 3 2 2" xfId="25429" xr:uid="{00000000-0005-0000-0000-0000831B0000}"/>
    <cellStyle name="Comma 2 2 3 3 3 3 2 2 2" xfId="44856" xr:uid="{00000000-0005-0000-0000-0000841B0000}"/>
    <cellStyle name="Comma 2 2 3 3 3 3 2 2 3" xfId="38433" xr:uid="{00000000-0005-0000-0000-0000851B0000}"/>
    <cellStyle name="Comma 2 2 3 3 3 3 2 3" xfId="27607" xr:uid="{00000000-0005-0000-0000-0000861B0000}"/>
    <cellStyle name="Comma 2 2 3 3 3 3 2 3 2" xfId="41649" xr:uid="{00000000-0005-0000-0000-0000871B0000}"/>
    <cellStyle name="Comma 2 2 3 3 3 3 2 4" xfId="30942" xr:uid="{00000000-0005-0000-0000-0000881B0000}"/>
    <cellStyle name="Comma 2 2 3 3 3 3 2 5" xfId="35225" xr:uid="{00000000-0005-0000-0000-0000891B0000}"/>
    <cellStyle name="Comma 2 2 3 3 3 3 3" xfId="15258" xr:uid="{00000000-0005-0000-0000-00008A1B0000}"/>
    <cellStyle name="Comma 2 2 3 3 3 3 3 2" xfId="24271" xr:uid="{00000000-0005-0000-0000-00008B1B0000}"/>
    <cellStyle name="Comma 2 2 3 3 3 3 3 2 2" xfId="43700" xr:uid="{00000000-0005-0000-0000-00008C1B0000}"/>
    <cellStyle name="Comma 2 2 3 3 3 3 3 2 3" xfId="37277" xr:uid="{00000000-0005-0000-0000-00008D1B0000}"/>
    <cellStyle name="Comma 2 2 3 3 3 3 3 3" xfId="28594" xr:uid="{00000000-0005-0000-0000-00008E1B0000}"/>
    <cellStyle name="Comma 2 2 3 3 3 3 3 3 2" xfId="40493" xr:uid="{00000000-0005-0000-0000-00008F1B0000}"/>
    <cellStyle name="Comma 2 2 3 3 3 3 3 4" xfId="31929" xr:uid="{00000000-0005-0000-0000-0000901B0000}"/>
    <cellStyle name="Comma 2 2 3 3 3 3 3 5" xfId="34069" xr:uid="{00000000-0005-0000-0000-0000911B0000}"/>
    <cellStyle name="Comma 2 2 3 3 3 3 4" xfId="8074" xr:uid="{00000000-0005-0000-0000-0000921B0000}"/>
    <cellStyle name="Comma 2 2 3 3 3 3 4 2" xfId="42715" xr:uid="{00000000-0005-0000-0000-0000931B0000}"/>
    <cellStyle name="Comma 2 2 3 3 3 3 4 3" xfId="36291" xr:uid="{00000000-0005-0000-0000-0000941B0000}"/>
    <cellStyle name="Comma 2 2 3 3 3 3 5" xfId="21065" xr:uid="{00000000-0005-0000-0000-0000951B0000}"/>
    <cellStyle name="Comma 2 2 3 3 3 3 5 2" xfId="39508" xr:uid="{00000000-0005-0000-0000-0000961B0000}"/>
    <cellStyle name="Comma 2 2 3 3 3 3 6" xfId="22138" xr:uid="{00000000-0005-0000-0000-0000971B0000}"/>
    <cellStyle name="Comma 2 2 3 3 3 3 7" xfId="23286" xr:uid="{00000000-0005-0000-0000-0000981B0000}"/>
    <cellStyle name="Comma 2 2 3 3 3 3 8" xfId="26460" xr:uid="{00000000-0005-0000-0000-0000991B0000}"/>
    <cellStyle name="Comma 2 2 3 3 3 3 9" xfId="29793" xr:uid="{00000000-0005-0000-0000-00009A1B0000}"/>
    <cellStyle name="Comma 2 2 3 3 3 4" xfId="859" xr:uid="{00000000-0005-0000-0000-00009B1B0000}"/>
    <cellStyle name="Comma 2 2 3 3 3 4 10" xfId="33085" xr:uid="{00000000-0005-0000-0000-00009C1B0000}"/>
    <cellStyle name="Comma 2 2 3 3 3 4 2" xfId="9630" xr:uid="{00000000-0005-0000-0000-00009D1B0000}"/>
    <cellStyle name="Comma 2 2 3 3 3 4 2 2" xfId="25430" xr:uid="{00000000-0005-0000-0000-00009E1B0000}"/>
    <cellStyle name="Comma 2 2 3 3 3 4 2 2 2" xfId="44857" xr:uid="{00000000-0005-0000-0000-00009F1B0000}"/>
    <cellStyle name="Comma 2 2 3 3 3 4 2 2 3" xfId="38434" xr:uid="{00000000-0005-0000-0000-0000A01B0000}"/>
    <cellStyle name="Comma 2 2 3 3 3 4 2 3" xfId="27608" xr:uid="{00000000-0005-0000-0000-0000A11B0000}"/>
    <cellStyle name="Comma 2 2 3 3 3 4 2 3 2" xfId="41650" xr:uid="{00000000-0005-0000-0000-0000A21B0000}"/>
    <cellStyle name="Comma 2 2 3 3 3 4 2 4" xfId="30943" xr:uid="{00000000-0005-0000-0000-0000A31B0000}"/>
    <cellStyle name="Comma 2 2 3 3 3 4 2 5" xfId="35226" xr:uid="{00000000-0005-0000-0000-0000A41B0000}"/>
    <cellStyle name="Comma 2 2 3 3 3 4 3" xfId="15259" xr:uid="{00000000-0005-0000-0000-0000A51B0000}"/>
    <cellStyle name="Comma 2 2 3 3 3 4 3 2" xfId="24272" xr:uid="{00000000-0005-0000-0000-0000A61B0000}"/>
    <cellStyle name="Comma 2 2 3 3 3 4 3 2 2" xfId="43701" xr:uid="{00000000-0005-0000-0000-0000A71B0000}"/>
    <cellStyle name="Comma 2 2 3 3 3 4 3 2 3" xfId="37278" xr:uid="{00000000-0005-0000-0000-0000A81B0000}"/>
    <cellStyle name="Comma 2 2 3 3 3 4 3 3" xfId="28595" xr:uid="{00000000-0005-0000-0000-0000A91B0000}"/>
    <cellStyle name="Comma 2 2 3 3 3 4 3 3 2" xfId="40494" xr:uid="{00000000-0005-0000-0000-0000AA1B0000}"/>
    <cellStyle name="Comma 2 2 3 3 3 4 3 4" xfId="31930" xr:uid="{00000000-0005-0000-0000-0000AB1B0000}"/>
    <cellStyle name="Comma 2 2 3 3 3 4 3 5" xfId="34070" xr:uid="{00000000-0005-0000-0000-0000AC1B0000}"/>
    <cellStyle name="Comma 2 2 3 3 3 4 4" xfId="8075" xr:uid="{00000000-0005-0000-0000-0000AD1B0000}"/>
    <cellStyle name="Comma 2 2 3 3 3 4 4 2" xfId="42716" xr:uid="{00000000-0005-0000-0000-0000AE1B0000}"/>
    <cellStyle name="Comma 2 2 3 3 3 4 4 3" xfId="36292" xr:uid="{00000000-0005-0000-0000-0000AF1B0000}"/>
    <cellStyle name="Comma 2 2 3 3 3 4 5" xfId="21066" xr:uid="{00000000-0005-0000-0000-0000B01B0000}"/>
    <cellStyle name="Comma 2 2 3 3 3 4 5 2" xfId="39509" xr:uid="{00000000-0005-0000-0000-0000B11B0000}"/>
    <cellStyle name="Comma 2 2 3 3 3 4 6" xfId="22139" xr:uid="{00000000-0005-0000-0000-0000B21B0000}"/>
    <cellStyle name="Comma 2 2 3 3 3 4 7" xfId="23287" xr:uid="{00000000-0005-0000-0000-0000B31B0000}"/>
    <cellStyle name="Comma 2 2 3 3 3 4 8" xfId="26461" xr:uid="{00000000-0005-0000-0000-0000B41B0000}"/>
    <cellStyle name="Comma 2 2 3 3 3 4 9" xfId="29794" xr:uid="{00000000-0005-0000-0000-0000B51B0000}"/>
    <cellStyle name="Comma 2 2 3 3 3 5" xfId="860" xr:uid="{00000000-0005-0000-0000-0000B61B0000}"/>
    <cellStyle name="Comma 2 2 3 3 3 5 10" xfId="33086" xr:uid="{00000000-0005-0000-0000-0000B71B0000}"/>
    <cellStyle name="Comma 2 2 3 3 3 5 2" xfId="9631" xr:uid="{00000000-0005-0000-0000-0000B81B0000}"/>
    <cellStyle name="Comma 2 2 3 3 3 5 2 2" xfId="25431" xr:uid="{00000000-0005-0000-0000-0000B91B0000}"/>
    <cellStyle name="Comma 2 2 3 3 3 5 2 2 2" xfId="44858" xr:uid="{00000000-0005-0000-0000-0000BA1B0000}"/>
    <cellStyle name="Comma 2 2 3 3 3 5 2 2 3" xfId="38435" xr:uid="{00000000-0005-0000-0000-0000BB1B0000}"/>
    <cellStyle name="Comma 2 2 3 3 3 5 2 3" xfId="27609" xr:uid="{00000000-0005-0000-0000-0000BC1B0000}"/>
    <cellStyle name="Comma 2 2 3 3 3 5 2 3 2" xfId="41651" xr:uid="{00000000-0005-0000-0000-0000BD1B0000}"/>
    <cellStyle name="Comma 2 2 3 3 3 5 2 4" xfId="30944" xr:uid="{00000000-0005-0000-0000-0000BE1B0000}"/>
    <cellStyle name="Comma 2 2 3 3 3 5 2 5" xfId="35227" xr:uid="{00000000-0005-0000-0000-0000BF1B0000}"/>
    <cellStyle name="Comma 2 2 3 3 3 5 3" xfId="15260" xr:uid="{00000000-0005-0000-0000-0000C01B0000}"/>
    <cellStyle name="Comma 2 2 3 3 3 5 3 2" xfId="24273" xr:uid="{00000000-0005-0000-0000-0000C11B0000}"/>
    <cellStyle name="Comma 2 2 3 3 3 5 3 2 2" xfId="43702" xr:uid="{00000000-0005-0000-0000-0000C21B0000}"/>
    <cellStyle name="Comma 2 2 3 3 3 5 3 2 3" xfId="37279" xr:uid="{00000000-0005-0000-0000-0000C31B0000}"/>
    <cellStyle name="Comma 2 2 3 3 3 5 3 3" xfId="28596" xr:uid="{00000000-0005-0000-0000-0000C41B0000}"/>
    <cellStyle name="Comma 2 2 3 3 3 5 3 3 2" xfId="40495" xr:uid="{00000000-0005-0000-0000-0000C51B0000}"/>
    <cellStyle name="Comma 2 2 3 3 3 5 3 4" xfId="31931" xr:uid="{00000000-0005-0000-0000-0000C61B0000}"/>
    <cellStyle name="Comma 2 2 3 3 3 5 3 5" xfId="34071" xr:uid="{00000000-0005-0000-0000-0000C71B0000}"/>
    <cellStyle name="Comma 2 2 3 3 3 5 4" xfId="8076" xr:uid="{00000000-0005-0000-0000-0000C81B0000}"/>
    <cellStyle name="Comma 2 2 3 3 3 5 4 2" xfId="42717" xr:uid="{00000000-0005-0000-0000-0000C91B0000}"/>
    <cellStyle name="Comma 2 2 3 3 3 5 4 3" xfId="36293" xr:uid="{00000000-0005-0000-0000-0000CA1B0000}"/>
    <cellStyle name="Comma 2 2 3 3 3 5 5" xfId="21067" xr:uid="{00000000-0005-0000-0000-0000CB1B0000}"/>
    <cellStyle name="Comma 2 2 3 3 3 5 5 2" xfId="39510" xr:uid="{00000000-0005-0000-0000-0000CC1B0000}"/>
    <cellStyle name="Comma 2 2 3 3 3 5 6" xfId="22140" xr:uid="{00000000-0005-0000-0000-0000CD1B0000}"/>
    <cellStyle name="Comma 2 2 3 3 3 5 7" xfId="23288" xr:uid="{00000000-0005-0000-0000-0000CE1B0000}"/>
    <cellStyle name="Comma 2 2 3 3 3 5 8" xfId="26462" xr:uid="{00000000-0005-0000-0000-0000CF1B0000}"/>
    <cellStyle name="Comma 2 2 3 3 3 5 9" xfId="29795" xr:uid="{00000000-0005-0000-0000-0000D01B0000}"/>
    <cellStyle name="Comma 2 2 3 3 3 6" xfId="9627" xr:uid="{00000000-0005-0000-0000-0000D11B0000}"/>
    <cellStyle name="Comma 2 2 3 3 3 6 2" xfId="25427" xr:uid="{00000000-0005-0000-0000-0000D21B0000}"/>
    <cellStyle name="Comma 2 2 3 3 3 6 2 2" xfId="44854" xr:uid="{00000000-0005-0000-0000-0000D31B0000}"/>
    <cellStyle name="Comma 2 2 3 3 3 6 2 3" xfId="38431" xr:uid="{00000000-0005-0000-0000-0000D41B0000}"/>
    <cellStyle name="Comma 2 2 3 3 3 6 3" xfId="27605" xr:uid="{00000000-0005-0000-0000-0000D51B0000}"/>
    <cellStyle name="Comma 2 2 3 3 3 6 3 2" xfId="41647" xr:uid="{00000000-0005-0000-0000-0000D61B0000}"/>
    <cellStyle name="Comma 2 2 3 3 3 6 4" xfId="30940" xr:uid="{00000000-0005-0000-0000-0000D71B0000}"/>
    <cellStyle name="Comma 2 2 3 3 3 6 5" xfId="35223" xr:uid="{00000000-0005-0000-0000-0000D81B0000}"/>
    <cellStyle name="Comma 2 2 3 3 3 7" xfId="15256" xr:uid="{00000000-0005-0000-0000-0000D91B0000}"/>
    <cellStyle name="Comma 2 2 3 3 3 7 2" xfId="24269" xr:uid="{00000000-0005-0000-0000-0000DA1B0000}"/>
    <cellStyle name="Comma 2 2 3 3 3 7 2 2" xfId="43698" xr:uid="{00000000-0005-0000-0000-0000DB1B0000}"/>
    <cellStyle name="Comma 2 2 3 3 3 7 2 3" xfId="37275" xr:uid="{00000000-0005-0000-0000-0000DC1B0000}"/>
    <cellStyle name="Comma 2 2 3 3 3 7 3" xfId="28592" xr:uid="{00000000-0005-0000-0000-0000DD1B0000}"/>
    <cellStyle name="Comma 2 2 3 3 3 7 3 2" xfId="40491" xr:uid="{00000000-0005-0000-0000-0000DE1B0000}"/>
    <cellStyle name="Comma 2 2 3 3 3 7 4" xfId="31927" xr:uid="{00000000-0005-0000-0000-0000DF1B0000}"/>
    <cellStyle name="Comma 2 2 3 3 3 7 5" xfId="34067" xr:uid="{00000000-0005-0000-0000-0000E01B0000}"/>
    <cellStyle name="Comma 2 2 3 3 3 8" xfId="8072" xr:uid="{00000000-0005-0000-0000-0000E11B0000}"/>
    <cellStyle name="Comma 2 2 3 3 3 8 2" xfId="42713" xr:uid="{00000000-0005-0000-0000-0000E21B0000}"/>
    <cellStyle name="Comma 2 2 3 3 3 8 3" xfId="36289" xr:uid="{00000000-0005-0000-0000-0000E31B0000}"/>
    <cellStyle name="Comma 2 2 3 3 3 9" xfId="21063" xr:uid="{00000000-0005-0000-0000-0000E41B0000}"/>
    <cellStyle name="Comma 2 2 3 3 3 9 2" xfId="39506" xr:uid="{00000000-0005-0000-0000-0000E51B0000}"/>
    <cellStyle name="Comma 2 2 3 3 4" xfId="861" xr:uid="{00000000-0005-0000-0000-0000E61B0000}"/>
    <cellStyle name="Comma 2 2 3 3 4 10" xfId="33087" xr:uid="{00000000-0005-0000-0000-0000E71B0000}"/>
    <cellStyle name="Comma 2 2 3 3 4 2" xfId="9632" xr:uid="{00000000-0005-0000-0000-0000E81B0000}"/>
    <cellStyle name="Comma 2 2 3 3 4 2 2" xfId="25432" xr:uid="{00000000-0005-0000-0000-0000E91B0000}"/>
    <cellStyle name="Comma 2 2 3 3 4 2 2 2" xfId="44859" xr:uid="{00000000-0005-0000-0000-0000EA1B0000}"/>
    <cellStyle name="Comma 2 2 3 3 4 2 2 3" xfId="38436" xr:uid="{00000000-0005-0000-0000-0000EB1B0000}"/>
    <cellStyle name="Comma 2 2 3 3 4 2 3" xfId="27610" xr:uid="{00000000-0005-0000-0000-0000EC1B0000}"/>
    <cellStyle name="Comma 2 2 3 3 4 2 3 2" xfId="41652" xr:uid="{00000000-0005-0000-0000-0000ED1B0000}"/>
    <cellStyle name="Comma 2 2 3 3 4 2 4" xfId="30945" xr:uid="{00000000-0005-0000-0000-0000EE1B0000}"/>
    <cellStyle name="Comma 2 2 3 3 4 2 5" xfId="35228" xr:uid="{00000000-0005-0000-0000-0000EF1B0000}"/>
    <cellStyle name="Comma 2 2 3 3 4 3" xfId="15261" xr:uid="{00000000-0005-0000-0000-0000F01B0000}"/>
    <cellStyle name="Comma 2 2 3 3 4 3 2" xfId="24274" xr:uid="{00000000-0005-0000-0000-0000F11B0000}"/>
    <cellStyle name="Comma 2 2 3 3 4 3 2 2" xfId="43703" xr:uid="{00000000-0005-0000-0000-0000F21B0000}"/>
    <cellStyle name="Comma 2 2 3 3 4 3 2 3" xfId="37280" xr:uid="{00000000-0005-0000-0000-0000F31B0000}"/>
    <cellStyle name="Comma 2 2 3 3 4 3 3" xfId="28597" xr:uid="{00000000-0005-0000-0000-0000F41B0000}"/>
    <cellStyle name="Comma 2 2 3 3 4 3 3 2" xfId="40496" xr:uid="{00000000-0005-0000-0000-0000F51B0000}"/>
    <cellStyle name="Comma 2 2 3 3 4 3 4" xfId="31932" xr:uid="{00000000-0005-0000-0000-0000F61B0000}"/>
    <cellStyle name="Comma 2 2 3 3 4 3 5" xfId="34072" xr:uid="{00000000-0005-0000-0000-0000F71B0000}"/>
    <cellStyle name="Comma 2 2 3 3 4 4" xfId="8077" xr:uid="{00000000-0005-0000-0000-0000F81B0000}"/>
    <cellStyle name="Comma 2 2 3 3 4 4 2" xfId="42718" xr:uid="{00000000-0005-0000-0000-0000F91B0000}"/>
    <cellStyle name="Comma 2 2 3 3 4 4 3" xfId="36294" xr:uid="{00000000-0005-0000-0000-0000FA1B0000}"/>
    <cellStyle name="Comma 2 2 3 3 4 5" xfId="21068" xr:uid="{00000000-0005-0000-0000-0000FB1B0000}"/>
    <cellStyle name="Comma 2 2 3 3 4 5 2" xfId="39511" xr:uid="{00000000-0005-0000-0000-0000FC1B0000}"/>
    <cellStyle name="Comma 2 2 3 3 4 6" xfId="22141" xr:uid="{00000000-0005-0000-0000-0000FD1B0000}"/>
    <cellStyle name="Comma 2 2 3 3 4 7" xfId="23289" xr:uid="{00000000-0005-0000-0000-0000FE1B0000}"/>
    <cellStyle name="Comma 2 2 3 3 4 8" xfId="26463" xr:uid="{00000000-0005-0000-0000-0000FF1B0000}"/>
    <cellStyle name="Comma 2 2 3 3 4 9" xfId="29796" xr:uid="{00000000-0005-0000-0000-0000001C0000}"/>
    <cellStyle name="Comma 2 2 3 3 5" xfId="862" xr:uid="{00000000-0005-0000-0000-0000011C0000}"/>
    <cellStyle name="Comma 2 2 3 3 5 10" xfId="33088" xr:uid="{00000000-0005-0000-0000-0000021C0000}"/>
    <cellStyle name="Comma 2 2 3 3 5 2" xfId="9633" xr:uid="{00000000-0005-0000-0000-0000031C0000}"/>
    <cellStyle name="Comma 2 2 3 3 5 2 2" xfId="25433" xr:uid="{00000000-0005-0000-0000-0000041C0000}"/>
    <cellStyle name="Comma 2 2 3 3 5 2 2 2" xfId="44860" xr:uid="{00000000-0005-0000-0000-0000051C0000}"/>
    <cellStyle name="Comma 2 2 3 3 5 2 2 3" xfId="38437" xr:uid="{00000000-0005-0000-0000-0000061C0000}"/>
    <cellStyle name="Comma 2 2 3 3 5 2 3" xfId="27611" xr:uid="{00000000-0005-0000-0000-0000071C0000}"/>
    <cellStyle name="Comma 2 2 3 3 5 2 3 2" xfId="41653" xr:uid="{00000000-0005-0000-0000-0000081C0000}"/>
    <cellStyle name="Comma 2 2 3 3 5 2 4" xfId="30946" xr:uid="{00000000-0005-0000-0000-0000091C0000}"/>
    <cellStyle name="Comma 2 2 3 3 5 2 5" xfId="35229" xr:uid="{00000000-0005-0000-0000-00000A1C0000}"/>
    <cellStyle name="Comma 2 2 3 3 5 3" xfId="15262" xr:uid="{00000000-0005-0000-0000-00000B1C0000}"/>
    <cellStyle name="Comma 2 2 3 3 5 3 2" xfId="24275" xr:uid="{00000000-0005-0000-0000-00000C1C0000}"/>
    <cellStyle name="Comma 2 2 3 3 5 3 2 2" xfId="43704" xr:uid="{00000000-0005-0000-0000-00000D1C0000}"/>
    <cellStyle name="Comma 2 2 3 3 5 3 2 3" xfId="37281" xr:uid="{00000000-0005-0000-0000-00000E1C0000}"/>
    <cellStyle name="Comma 2 2 3 3 5 3 3" xfId="28598" xr:uid="{00000000-0005-0000-0000-00000F1C0000}"/>
    <cellStyle name="Comma 2 2 3 3 5 3 3 2" xfId="40497" xr:uid="{00000000-0005-0000-0000-0000101C0000}"/>
    <cellStyle name="Comma 2 2 3 3 5 3 4" xfId="31933" xr:uid="{00000000-0005-0000-0000-0000111C0000}"/>
    <cellStyle name="Comma 2 2 3 3 5 3 5" xfId="34073" xr:uid="{00000000-0005-0000-0000-0000121C0000}"/>
    <cellStyle name="Comma 2 2 3 3 5 4" xfId="8078" xr:uid="{00000000-0005-0000-0000-0000131C0000}"/>
    <cellStyle name="Comma 2 2 3 3 5 4 2" xfId="42719" xr:uid="{00000000-0005-0000-0000-0000141C0000}"/>
    <cellStyle name="Comma 2 2 3 3 5 4 3" xfId="36295" xr:uid="{00000000-0005-0000-0000-0000151C0000}"/>
    <cellStyle name="Comma 2 2 3 3 5 5" xfId="21069" xr:uid="{00000000-0005-0000-0000-0000161C0000}"/>
    <cellStyle name="Comma 2 2 3 3 5 5 2" xfId="39512" xr:uid="{00000000-0005-0000-0000-0000171C0000}"/>
    <cellStyle name="Comma 2 2 3 3 5 6" xfId="22142" xr:uid="{00000000-0005-0000-0000-0000181C0000}"/>
    <cellStyle name="Comma 2 2 3 3 5 7" xfId="23290" xr:uid="{00000000-0005-0000-0000-0000191C0000}"/>
    <cellStyle name="Comma 2 2 3 3 5 8" xfId="26464" xr:uid="{00000000-0005-0000-0000-00001A1C0000}"/>
    <cellStyle name="Comma 2 2 3 3 5 9" xfId="29797" xr:uid="{00000000-0005-0000-0000-00001B1C0000}"/>
    <cellStyle name="Comma 2 2 3 3 6" xfId="863" xr:uid="{00000000-0005-0000-0000-00001C1C0000}"/>
    <cellStyle name="Comma 2 2 3 3 6 10" xfId="33089" xr:uid="{00000000-0005-0000-0000-00001D1C0000}"/>
    <cellStyle name="Comma 2 2 3 3 6 2" xfId="9634" xr:uid="{00000000-0005-0000-0000-00001E1C0000}"/>
    <cellStyle name="Comma 2 2 3 3 6 2 2" xfId="25434" xr:uid="{00000000-0005-0000-0000-00001F1C0000}"/>
    <cellStyle name="Comma 2 2 3 3 6 2 2 2" xfId="44861" xr:uid="{00000000-0005-0000-0000-0000201C0000}"/>
    <cellStyle name="Comma 2 2 3 3 6 2 2 3" xfId="38438" xr:uid="{00000000-0005-0000-0000-0000211C0000}"/>
    <cellStyle name="Comma 2 2 3 3 6 2 3" xfId="27612" xr:uid="{00000000-0005-0000-0000-0000221C0000}"/>
    <cellStyle name="Comma 2 2 3 3 6 2 3 2" xfId="41654" xr:uid="{00000000-0005-0000-0000-0000231C0000}"/>
    <cellStyle name="Comma 2 2 3 3 6 2 4" xfId="30947" xr:uid="{00000000-0005-0000-0000-0000241C0000}"/>
    <cellStyle name="Comma 2 2 3 3 6 2 5" xfId="35230" xr:uid="{00000000-0005-0000-0000-0000251C0000}"/>
    <cellStyle name="Comma 2 2 3 3 6 3" xfId="15263" xr:uid="{00000000-0005-0000-0000-0000261C0000}"/>
    <cellStyle name="Comma 2 2 3 3 6 3 2" xfId="24276" xr:uid="{00000000-0005-0000-0000-0000271C0000}"/>
    <cellStyle name="Comma 2 2 3 3 6 3 2 2" xfId="43705" xr:uid="{00000000-0005-0000-0000-0000281C0000}"/>
    <cellStyle name="Comma 2 2 3 3 6 3 2 3" xfId="37282" xr:uid="{00000000-0005-0000-0000-0000291C0000}"/>
    <cellStyle name="Comma 2 2 3 3 6 3 3" xfId="28599" xr:uid="{00000000-0005-0000-0000-00002A1C0000}"/>
    <cellStyle name="Comma 2 2 3 3 6 3 3 2" xfId="40498" xr:uid="{00000000-0005-0000-0000-00002B1C0000}"/>
    <cellStyle name="Comma 2 2 3 3 6 3 4" xfId="31934" xr:uid="{00000000-0005-0000-0000-00002C1C0000}"/>
    <cellStyle name="Comma 2 2 3 3 6 3 5" xfId="34074" xr:uid="{00000000-0005-0000-0000-00002D1C0000}"/>
    <cellStyle name="Comma 2 2 3 3 6 4" xfId="8079" xr:uid="{00000000-0005-0000-0000-00002E1C0000}"/>
    <cellStyle name="Comma 2 2 3 3 6 4 2" xfId="42720" xr:uid="{00000000-0005-0000-0000-00002F1C0000}"/>
    <cellStyle name="Comma 2 2 3 3 6 4 3" xfId="36296" xr:uid="{00000000-0005-0000-0000-0000301C0000}"/>
    <cellStyle name="Comma 2 2 3 3 6 5" xfId="21070" xr:uid="{00000000-0005-0000-0000-0000311C0000}"/>
    <cellStyle name="Comma 2 2 3 3 6 5 2" xfId="39513" xr:uid="{00000000-0005-0000-0000-0000321C0000}"/>
    <cellStyle name="Comma 2 2 3 3 6 6" xfId="22143" xr:uid="{00000000-0005-0000-0000-0000331C0000}"/>
    <cellStyle name="Comma 2 2 3 3 6 7" xfId="23291" xr:uid="{00000000-0005-0000-0000-0000341C0000}"/>
    <cellStyle name="Comma 2 2 3 3 6 8" xfId="26465" xr:uid="{00000000-0005-0000-0000-0000351C0000}"/>
    <cellStyle name="Comma 2 2 3 3 6 9" xfId="29798" xr:uid="{00000000-0005-0000-0000-0000361C0000}"/>
    <cellStyle name="Comma 2 2 3 3 7" xfId="864" xr:uid="{00000000-0005-0000-0000-0000371C0000}"/>
    <cellStyle name="Comma 2 2 3 3 7 10" xfId="33090" xr:uid="{00000000-0005-0000-0000-0000381C0000}"/>
    <cellStyle name="Comma 2 2 3 3 7 2" xfId="9635" xr:uid="{00000000-0005-0000-0000-0000391C0000}"/>
    <cellStyle name="Comma 2 2 3 3 7 2 2" xfId="25435" xr:uid="{00000000-0005-0000-0000-00003A1C0000}"/>
    <cellStyle name="Comma 2 2 3 3 7 2 2 2" xfId="44862" xr:uid="{00000000-0005-0000-0000-00003B1C0000}"/>
    <cellStyle name="Comma 2 2 3 3 7 2 2 3" xfId="38439" xr:uid="{00000000-0005-0000-0000-00003C1C0000}"/>
    <cellStyle name="Comma 2 2 3 3 7 2 3" xfId="27613" xr:uid="{00000000-0005-0000-0000-00003D1C0000}"/>
    <cellStyle name="Comma 2 2 3 3 7 2 3 2" xfId="41655" xr:uid="{00000000-0005-0000-0000-00003E1C0000}"/>
    <cellStyle name="Comma 2 2 3 3 7 2 4" xfId="30948" xr:uid="{00000000-0005-0000-0000-00003F1C0000}"/>
    <cellStyle name="Comma 2 2 3 3 7 2 5" xfId="35231" xr:uid="{00000000-0005-0000-0000-0000401C0000}"/>
    <cellStyle name="Comma 2 2 3 3 7 3" xfId="15264" xr:uid="{00000000-0005-0000-0000-0000411C0000}"/>
    <cellStyle name="Comma 2 2 3 3 7 3 2" xfId="24277" xr:uid="{00000000-0005-0000-0000-0000421C0000}"/>
    <cellStyle name="Comma 2 2 3 3 7 3 2 2" xfId="43706" xr:uid="{00000000-0005-0000-0000-0000431C0000}"/>
    <cellStyle name="Comma 2 2 3 3 7 3 2 3" xfId="37283" xr:uid="{00000000-0005-0000-0000-0000441C0000}"/>
    <cellStyle name="Comma 2 2 3 3 7 3 3" xfId="28600" xr:uid="{00000000-0005-0000-0000-0000451C0000}"/>
    <cellStyle name="Comma 2 2 3 3 7 3 3 2" xfId="40499" xr:uid="{00000000-0005-0000-0000-0000461C0000}"/>
    <cellStyle name="Comma 2 2 3 3 7 3 4" xfId="31935" xr:uid="{00000000-0005-0000-0000-0000471C0000}"/>
    <cellStyle name="Comma 2 2 3 3 7 3 5" xfId="34075" xr:uid="{00000000-0005-0000-0000-0000481C0000}"/>
    <cellStyle name="Comma 2 2 3 3 7 4" xfId="8080" xr:uid="{00000000-0005-0000-0000-0000491C0000}"/>
    <cellStyle name="Comma 2 2 3 3 7 4 2" xfId="42721" xr:uid="{00000000-0005-0000-0000-00004A1C0000}"/>
    <cellStyle name="Comma 2 2 3 3 7 4 3" xfId="36297" xr:uid="{00000000-0005-0000-0000-00004B1C0000}"/>
    <cellStyle name="Comma 2 2 3 3 7 5" xfId="21071" xr:uid="{00000000-0005-0000-0000-00004C1C0000}"/>
    <cellStyle name="Comma 2 2 3 3 7 5 2" xfId="39514" xr:uid="{00000000-0005-0000-0000-00004D1C0000}"/>
    <cellStyle name="Comma 2 2 3 3 7 6" xfId="22144" xr:uid="{00000000-0005-0000-0000-00004E1C0000}"/>
    <cellStyle name="Comma 2 2 3 3 7 7" xfId="23292" xr:uid="{00000000-0005-0000-0000-00004F1C0000}"/>
    <cellStyle name="Comma 2 2 3 3 7 8" xfId="26466" xr:uid="{00000000-0005-0000-0000-0000501C0000}"/>
    <cellStyle name="Comma 2 2 3 3 7 9" xfId="29799" xr:uid="{00000000-0005-0000-0000-0000511C0000}"/>
    <cellStyle name="Comma 2 2 3 3 8" xfId="865" xr:uid="{00000000-0005-0000-0000-0000521C0000}"/>
    <cellStyle name="Comma 2 2 3 3 8 10" xfId="33091" xr:uid="{00000000-0005-0000-0000-0000531C0000}"/>
    <cellStyle name="Comma 2 2 3 3 8 2" xfId="9636" xr:uid="{00000000-0005-0000-0000-0000541C0000}"/>
    <cellStyle name="Comma 2 2 3 3 8 2 2" xfId="25436" xr:uid="{00000000-0005-0000-0000-0000551C0000}"/>
    <cellStyle name="Comma 2 2 3 3 8 2 2 2" xfId="44863" xr:uid="{00000000-0005-0000-0000-0000561C0000}"/>
    <cellStyle name="Comma 2 2 3 3 8 2 2 3" xfId="38440" xr:uid="{00000000-0005-0000-0000-0000571C0000}"/>
    <cellStyle name="Comma 2 2 3 3 8 2 3" xfId="27614" xr:uid="{00000000-0005-0000-0000-0000581C0000}"/>
    <cellStyle name="Comma 2 2 3 3 8 2 3 2" xfId="41656" xr:uid="{00000000-0005-0000-0000-0000591C0000}"/>
    <cellStyle name="Comma 2 2 3 3 8 2 4" xfId="30949" xr:uid="{00000000-0005-0000-0000-00005A1C0000}"/>
    <cellStyle name="Comma 2 2 3 3 8 2 5" xfId="35232" xr:uid="{00000000-0005-0000-0000-00005B1C0000}"/>
    <cellStyle name="Comma 2 2 3 3 8 3" xfId="15265" xr:uid="{00000000-0005-0000-0000-00005C1C0000}"/>
    <cellStyle name="Comma 2 2 3 3 8 3 2" xfId="24278" xr:uid="{00000000-0005-0000-0000-00005D1C0000}"/>
    <cellStyle name="Comma 2 2 3 3 8 3 2 2" xfId="43707" xr:uid="{00000000-0005-0000-0000-00005E1C0000}"/>
    <cellStyle name="Comma 2 2 3 3 8 3 2 3" xfId="37284" xr:uid="{00000000-0005-0000-0000-00005F1C0000}"/>
    <cellStyle name="Comma 2 2 3 3 8 3 3" xfId="28601" xr:uid="{00000000-0005-0000-0000-0000601C0000}"/>
    <cellStyle name="Comma 2 2 3 3 8 3 3 2" xfId="40500" xr:uid="{00000000-0005-0000-0000-0000611C0000}"/>
    <cellStyle name="Comma 2 2 3 3 8 3 4" xfId="31936" xr:uid="{00000000-0005-0000-0000-0000621C0000}"/>
    <cellStyle name="Comma 2 2 3 3 8 3 5" xfId="34076" xr:uid="{00000000-0005-0000-0000-0000631C0000}"/>
    <cellStyle name="Comma 2 2 3 3 8 4" xfId="8081" xr:uid="{00000000-0005-0000-0000-0000641C0000}"/>
    <cellStyle name="Comma 2 2 3 3 8 4 2" xfId="42722" xr:uid="{00000000-0005-0000-0000-0000651C0000}"/>
    <cellStyle name="Comma 2 2 3 3 8 4 3" xfId="36298" xr:uid="{00000000-0005-0000-0000-0000661C0000}"/>
    <cellStyle name="Comma 2 2 3 3 8 5" xfId="21072" xr:uid="{00000000-0005-0000-0000-0000671C0000}"/>
    <cellStyle name="Comma 2 2 3 3 8 5 2" xfId="39515" xr:uid="{00000000-0005-0000-0000-0000681C0000}"/>
    <cellStyle name="Comma 2 2 3 3 8 6" xfId="22145" xr:uid="{00000000-0005-0000-0000-0000691C0000}"/>
    <cellStyle name="Comma 2 2 3 3 8 7" xfId="23293" xr:uid="{00000000-0005-0000-0000-00006A1C0000}"/>
    <cellStyle name="Comma 2 2 3 3 8 8" xfId="26467" xr:uid="{00000000-0005-0000-0000-00006B1C0000}"/>
    <cellStyle name="Comma 2 2 3 3 8 9" xfId="29800" xr:uid="{00000000-0005-0000-0000-00006C1C0000}"/>
    <cellStyle name="Comma 2 2 3 3 9" xfId="9063" xr:uid="{00000000-0005-0000-0000-00006D1C0000}"/>
    <cellStyle name="Comma 2 2 3 3 9 2" xfId="25119" xr:uid="{00000000-0005-0000-0000-00006E1C0000}"/>
    <cellStyle name="Comma 2 2 3 3 9 2 2" xfId="44546" xr:uid="{00000000-0005-0000-0000-00006F1C0000}"/>
    <cellStyle name="Comma 2 2 3 3 9 2 3" xfId="38123" xr:uid="{00000000-0005-0000-0000-0000701C0000}"/>
    <cellStyle name="Comma 2 2 3 3 9 3" xfId="27298" xr:uid="{00000000-0005-0000-0000-0000711C0000}"/>
    <cellStyle name="Comma 2 2 3 3 9 3 2" xfId="41339" xr:uid="{00000000-0005-0000-0000-0000721C0000}"/>
    <cellStyle name="Comma 2 2 3 3 9 4" xfId="30633" xr:uid="{00000000-0005-0000-0000-0000731C0000}"/>
    <cellStyle name="Comma 2 2 3 3 9 5" xfId="34915" xr:uid="{00000000-0005-0000-0000-0000741C0000}"/>
    <cellStyle name="Comma 2 2 3 4" xfId="205" xr:uid="{00000000-0005-0000-0000-0000751C0000}"/>
    <cellStyle name="Comma 2 2 3 4 10" xfId="21073" xr:uid="{00000000-0005-0000-0000-0000761C0000}"/>
    <cellStyle name="Comma 2 2 3 4 10 2" xfId="39216" xr:uid="{00000000-0005-0000-0000-0000771C0000}"/>
    <cellStyle name="Comma 2 2 3 4 11" xfId="22146" xr:uid="{00000000-0005-0000-0000-0000781C0000}"/>
    <cellStyle name="Comma 2 2 3 4 12" xfId="22994" xr:uid="{00000000-0005-0000-0000-0000791C0000}"/>
    <cellStyle name="Comma 2 2 3 4 13" xfId="26468" xr:uid="{00000000-0005-0000-0000-00007A1C0000}"/>
    <cellStyle name="Comma 2 2 3 4 14" xfId="29801" xr:uid="{00000000-0005-0000-0000-00007B1C0000}"/>
    <cellStyle name="Comma 2 2 3 4 15" xfId="32792" xr:uid="{00000000-0005-0000-0000-00007C1C0000}"/>
    <cellStyle name="Comma 2 2 3 4 2" xfId="866" xr:uid="{00000000-0005-0000-0000-00007D1C0000}"/>
    <cellStyle name="Comma 2 2 3 4 2 10" xfId="33092" xr:uid="{00000000-0005-0000-0000-00007E1C0000}"/>
    <cellStyle name="Comma 2 2 3 4 2 2" xfId="9637" xr:uid="{00000000-0005-0000-0000-00007F1C0000}"/>
    <cellStyle name="Comma 2 2 3 4 2 2 2" xfId="25437" xr:uid="{00000000-0005-0000-0000-0000801C0000}"/>
    <cellStyle name="Comma 2 2 3 4 2 2 2 2" xfId="44864" xr:uid="{00000000-0005-0000-0000-0000811C0000}"/>
    <cellStyle name="Comma 2 2 3 4 2 2 2 3" xfId="38441" xr:uid="{00000000-0005-0000-0000-0000821C0000}"/>
    <cellStyle name="Comma 2 2 3 4 2 2 3" xfId="27615" xr:uid="{00000000-0005-0000-0000-0000831C0000}"/>
    <cellStyle name="Comma 2 2 3 4 2 2 3 2" xfId="41657" xr:uid="{00000000-0005-0000-0000-0000841C0000}"/>
    <cellStyle name="Comma 2 2 3 4 2 2 4" xfId="30950" xr:uid="{00000000-0005-0000-0000-0000851C0000}"/>
    <cellStyle name="Comma 2 2 3 4 2 2 5" xfId="35233" xr:uid="{00000000-0005-0000-0000-0000861C0000}"/>
    <cellStyle name="Comma 2 2 3 4 2 3" xfId="15267" xr:uid="{00000000-0005-0000-0000-0000871C0000}"/>
    <cellStyle name="Comma 2 2 3 4 2 3 2" xfId="24280" xr:uid="{00000000-0005-0000-0000-0000881C0000}"/>
    <cellStyle name="Comma 2 2 3 4 2 3 2 2" xfId="43709" xr:uid="{00000000-0005-0000-0000-0000891C0000}"/>
    <cellStyle name="Comma 2 2 3 4 2 3 2 3" xfId="37286" xr:uid="{00000000-0005-0000-0000-00008A1C0000}"/>
    <cellStyle name="Comma 2 2 3 4 2 3 3" xfId="28603" xr:uid="{00000000-0005-0000-0000-00008B1C0000}"/>
    <cellStyle name="Comma 2 2 3 4 2 3 3 2" xfId="40502" xr:uid="{00000000-0005-0000-0000-00008C1C0000}"/>
    <cellStyle name="Comma 2 2 3 4 2 3 4" xfId="31938" xr:uid="{00000000-0005-0000-0000-00008D1C0000}"/>
    <cellStyle name="Comma 2 2 3 4 2 3 5" xfId="34078" xr:uid="{00000000-0005-0000-0000-00008E1C0000}"/>
    <cellStyle name="Comma 2 2 3 4 2 4" xfId="8083" xr:uid="{00000000-0005-0000-0000-00008F1C0000}"/>
    <cellStyle name="Comma 2 2 3 4 2 4 2" xfId="42723" xr:uid="{00000000-0005-0000-0000-0000901C0000}"/>
    <cellStyle name="Comma 2 2 3 4 2 4 3" xfId="36299" xr:uid="{00000000-0005-0000-0000-0000911C0000}"/>
    <cellStyle name="Comma 2 2 3 4 2 5" xfId="21074" xr:uid="{00000000-0005-0000-0000-0000921C0000}"/>
    <cellStyle name="Comma 2 2 3 4 2 5 2" xfId="39516" xr:uid="{00000000-0005-0000-0000-0000931C0000}"/>
    <cellStyle name="Comma 2 2 3 4 2 6" xfId="22147" xr:uid="{00000000-0005-0000-0000-0000941C0000}"/>
    <cellStyle name="Comma 2 2 3 4 2 7" xfId="23294" xr:uid="{00000000-0005-0000-0000-0000951C0000}"/>
    <cellStyle name="Comma 2 2 3 4 2 8" xfId="26469" xr:uid="{00000000-0005-0000-0000-0000961C0000}"/>
    <cellStyle name="Comma 2 2 3 4 2 9" xfId="29802" xr:uid="{00000000-0005-0000-0000-0000971C0000}"/>
    <cellStyle name="Comma 2 2 3 4 3" xfId="867" xr:uid="{00000000-0005-0000-0000-0000981C0000}"/>
    <cellStyle name="Comma 2 2 3 4 3 10" xfId="33093" xr:uid="{00000000-0005-0000-0000-0000991C0000}"/>
    <cellStyle name="Comma 2 2 3 4 3 2" xfId="9638" xr:uid="{00000000-0005-0000-0000-00009A1C0000}"/>
    <cellStyle name="Comma 2 2 3 4 3 2 2" xfId="25438" xr:uid="{00000000-0005-0000-0000-00009B1C0000}"/>
    <cellStyle name="Comma 2 2 3 4 3 2 2 2" xfId="44865" xr:uid="{00000000-0005-0000-0000-00009C1C0000}"/>
    <cellStyle name="Comma 2 2 3 4 3 2 2 3" xfId="38442" xr:uid="{00000000-0005-0000-0000-00009D1C0000}"/>
    <cellStyle name="Comma 2 2 3 4 3 2 3" xfId="27616" xr:uid="{00000000-0005-0000-0000-00009E1C0000}"/>
    <cellStyle name="Comma 2 2 3 4 3 2 3 2" xfId="41658" xr:uid="{00000000-0005-0000-0000-00009F1C0000}"/>
    <cellStyle name="Comma 2 2 3 4 3 2 4" xfId="30951" xr:uid="{00000000-0005-0000-0000-0000A01C0000}"/>
    <cellStyle name="Comma 2 2 3 4 3 2 5" xfId="35234" xr:uid="{00000000-0005-0000-0000-0000A11C0000}"/>
    <cellStyle name="Comma 2 2 3 4 3 3" xfId="15268" xr:uid="{00000000-0005-0000-0000-0000A21C0000}"/>
    <cellStyle name="Comma 2 2 3 4 3 3 2" xfId="24281" xr:uid="{00000000-0005-0000-0000-0000A31C0000}"/>
    <cellStyle name="Comma 2 2 3 4 3 3 2 2" xfId="43710" xr:uid="{00000000-0005-0000-0000-0000A41C0000}"/>
    <cellStyle name="Comma 2 2 3 4 3 3 2 3" xfId="37287" xr:uid="{00000000-0005-0000-0000-0000A51C0000}"/>
    <cellStyle name="Comma 2 2 3 4 3 3 3" xfId="28604" xr:uid="{00000000-0005-0000-0000-0000A61C0000}"/>
    <cellStyle name="Comma 2 2 3 4 3 3 3 2" xfId="40503" xr:uid="{00000000-0005-0000-0000-0000A71C0000}"/>
    <cellStyle name="Comma 2 2 3 4 3 3 4" xfId="31939" xr:uid="{00000000-0005-0000-0000-0000A81C0000}"/>
    <cellStyle name="Comma 2 2 3 4 3 3 5" xfId="34079" xr:uid="{00000000-0005-0000-0000-0000A91C0000}"/>
    <cellStyle name="Comma 2 2 3 4 3 4" xfId="8084" xr:uid="{00000000-0005-0000-0000-0000AA1C0000}"/>
    <cellStyle name="Comma 2 2 3 4 3 4 2" xfId="42724" xr:uid="{00000000-0005-0000-0000-0000AB1C0000}"/>
    <cellStyle name="Comma 2 2 3 4 3 4 3" xfId="36300" xr:uid="{00000000-0005-0000-0000-0000AC1C0000}"/>
    <cellStyle name="Comma 2 2 3 4 3 5" xfId="21075" xr:uid="{00000000-0005-0000-0000-0000AD1C0000}"/>
    <cellStyle name="Comma 2 2 3 4 3 5 2" xfId="39517" xr:uid="{00000000-0005-0000-0000-0000AE1C0000}"/>
    <cellStyle name="Comma 2 2 3 4 3 6" xfId="22148" xr:uid="{00000000-0005-0000-0000-0000AF1C0000}"/>
    <cellStyle name="Comma 2 2 3 4 3 7" xfId="23295" xr:uid="{00000000-0005-0000-0000-0000B01C0000}"/>
    <cellStyle name="Comma 2 2 3 4 3 8" xfId="26470" xr:uid="{00000000-0005-0000-0000-0000B11C0000}"/>
    <cellStyle name="Comma 2 2 3 4 3 9" xfId="29803" xr:uid="{00000000-0005-0000-0000-0000B21C0000}"/>
    <cellStyle name="Comma 2 2 3 4 4" xfId="868" xr:uid="{00000000-0005-0000-0000-0000B31C0000}"/>
    <cellStyle name="Comma 2 2 3 4 4 10" xfId="33094" xr:uid="{00000000-0005-0000-0000-0000B41C0000}"/>
    <cellStyle name="Comma 2 2 3 4 4 2" xfId="9639" xr:uid="{00000000-0005-0000-0000-0000B51C0000}"/>
    <cellStyle name="Comma 2 2 3 4 4 2 2" xfId="25439" xr:uid="{00000000-0005-0000-0000-0000B61C0000}"/>
    <cellStyle name="Comma 2 2 3 4 4 2 2 2" xfId="44866" xr:uid="{00000000-0005-0000-0000-0000B71C0000}"/>
    <cellStyle name="Comma 2 2 3 4 4 2 2 3" xfId="38443" xr:uid="{00000000-0005-0000-0000-0000B81C0000}"/>
    <cellStyle name="Comma 2 2 3 4 4 2 3" xfId="27617" xr:uid="{00000000-0005-0000-0000-0000B91C0000}"/>
    <cellStyle name="Comma 2 2 3 4 4 2 3 2" xfId="41659" xr:uid="{00000000-0005-0000-0000-0000BA1C0000}"/>
    <cellStyle name="Comma 2 2 3 4 4 2 4" xfId="30952" xr:uid="{00000000-0005-0000-0000-0000BB1C0000}"/>
    <cellStyle name="Comma 2 2 3 4 4 2 5" xfId="35235" xr:uid="{00000000-0005-0000-0000-0000BC1C0000}"/>
    <cellStyle name="Comma 2 2 3 4 4 3" xfId="15269" xr:uid="{00000000-0005-0000-0000-0000BD1C0000}"/>
    <cellStyle name="Comma 2 2 3 4 4 3 2" xfId="24282" xr:uid="{00000000-0005-0000-0000-0000BE1C0000}"/>
    <cellStyle name="Comma 2 2 3 4 4 3 2 2" xfId="43711" xr:uid="{00000000-0005-0000-0000-0000BF1C0000}"/>
    <cellStyle name="Comma 2 2 3 4 4 3 2 3" xfId="37288" xr:uid="{00000000-0005-0000-0000-0000C01C0000}"/>
    <cellStyle name="Comma 2 2 3 4 4 3 3" xfId="28605" xr:uid="{00000000-0005-0000-0000-0000C11C0000}"/>
    <cellStyle name="Comma 2 2 3 4 4 3 3 2" xfId="40504" xr:uid="{00000000-0005-0000-0000-0000C21C0000}"/>
    <cellStyle name="Comma 2 2 3 4 4 3 4" xfId="31940" xr:uid="{00000000-0005-0000-0000-0000C31C0000}"/>
    <cellStyle name="Comma 2 2 3 4 4 3 5" xfId="34080" xr:uid="{00000000-0005-0000-0000-0000C41C0000}"/>
    <cellStyle name="Comma 2 2 3 4 4 4" xfId="8085" xr:uid="{00000000-0005-0000-0000-0000C51C0000}"/>
    <cellStyle name="Comma 2 2 3 4 4 4 2" xfId="42725" xr:uid="{00000000-0005-0000-0000-0000C61C0000}"/>
    <cellStyle name="Comma 2 2 3 4 4 4 3" xfId="36301" xr:uid="{00000000-0005-0000-0000-0000C71C0000}"/>
    <cellStyle name="Comma 2 2 3 4 4 5" xfId="21076" xr:uid="{00000000-0005-0000-0000-0000C81C0000}"/>
    <cellStyle name="Comma 2 2 3 4 4 5 2" xfId="39518" xr:uid="{00000000-0005-0000-0000-0000C91C0000}"/>
    <cellStyle name="Comma 2 2 3 4 4 6" xfId="22149" xr:uid="{00000000-0005-0000-0000-0000CA1C0000}"/>
    <cellStyle name="Comma 2 2 3 4 4 7" xfId="23296" xr:uid="{00000000-0005-0000-0000-0000CB1C0000}"/>
    <cellStyle name="Comma 2 2 3 4 4 8" xfId="26471" xr:uid="{00000000-0005-0000-0000-0000CC1C0000}"/>
    <cellStyle name="Comma 2 2 3 4 4 9" xfId="29804" xr:uid="{00000000-0005-0000-0000-0000CD1C0000}"/>
    <cellStyle name="Comma 2 2 3 4 5" xfId="869" xr:uid="{00000000-0005-0000-0000-0000CE1C0000}"/>
    <cellStyle name="Comma 2 2 3 4 5 10" xfId="33095" xr:uid="{00000000-0005-0000-0000-0000CF1C0000}"/>
    <cellStyle name="Comma 2 2 3 4 5 2" xfId="9640" xr:uid="{00000000-0005-0000-0000-0000D01C0000}"/>
    <cellStyle name="Comma 2 2 3 4 5 2 2" xfId="25440" xr:uid="{00000000-0005-0000-0000-0000D11C0000}"/>
    <cellStyle name="Comma 2 2 3 4 5 2 2 2" xfId="44867" xr:uid="{00000000-0005-0000-0000-0000D21C0000}"/>
    <cellStyle name="Comma 2 2 3 4 5 2 2 3" xfId="38444" xr:uid="{00000000-0005-0000-0000-0000D31C0000}"/>
    <cellStyle name="Comma 2 2 3 4 5 2 3" xfId="27618" xr:uid="{00000000-0005-0000-0000-0000D41C0000}"/>
    <cellStyle name="Comma 2 2 3 4 5 2 3 2" xfId="41660" xr:uid="{00000000-0005-0000-0000-0000D51C0000}"/>
    <cellStyle name="Comma 2 2 3 4 5 2 4" xfId="30953" xr:uid="{00000000-0005-0000-0000-0000D61C0000}"/>
    <cellStyle name="Comma 2 2 3 4 5 2 5" xfId="35236" xr:uid="{00000000-0005-0000-0000-0000D71C0000}"/>
    <cellStyle name="Comma 2 2 3 4 5 3" xfId="15270" xr:uid="{00000000-0005-0000-0000-0000D81C0000}"/>
    <cellStyle name="Comma 2 2 3 4 5 3 2" xfId="24283" xr:uid="{00000000-0005-0000-0000-0000D91C0000}"/>
    <cellStyle name="Comma 2 2 3 4 5 3 2 2" xfId="43712" xr:uid="{00000000-0005-0000-0000-0000DA1C0000}"/>
    <cellStyle name="Comma 2 2 3 4 5 3 2 3" xfId="37289" xr:uid="{00000000-0005-0000-0000-0000DB1C0000}"/>
    <cellStyle name="Comma 2 2 3 4 5 3 3" xfId="28606" xr:uid="{00000000-0005-0000-0000-0000DC1C0000}"/>
    <cellStyle name="Comma 2 2 3 4 5 3 3 2" xfId="40505" xr:uid="{00000000-0005-0000-0000-0000DD1C0000}"/>
    <cellStyle name="Comma 2 2 3 4 5 3 4" xfId="31941" xr:uid="{00000000-0005-0000-0000-0000DE1C0000}"/>
    <cellStyle name="Comma 2 2 3 4 5 3 5" xfId="34081" xr:uid="{00000000-0005-0000-0000-0000DF1C0000}"/>
    <cellStyle name="Comma 2 2 3 4 5 4" xfId="8086" xr:uid="{00000000-0005-0000-0000-0000E01C0000}"/>
    <cellStyle name="Comma 2 2 3 4 5 4 2" xfId="42726" xr:uid="{00000000-0005-0000-0000-0000E11C0000}"/>
    <cellStyle name="Comma 2 2 3 4 5 4 3" xfId="36302" xr:uid="{00000000-0005-0000-0000-0000E21C0000}"/>
    <cellStyle name="Comma 2 2 3 4 5 5" xfId="21077" xr:uid="{00000000-0005-0000-0000-0000E31C0000}"/>
    <cellStyle name="Comma 2 2 3 4 5 5 2" xfId="39519" xr:uid="{00000000-0005-0000-0000-0000E41C0000}"/>
    <cellStyle name="Comma 2 2 3 4 5 6" xfId="22150" xr:uid="{00000000-0005-0000-0000-0000E51C0000}"/>
    <cellStyle name="Comma 2 2 3 4 5 7" xfId="23297" xr:uid="{00000000-0005-0000-0000-0000E61C0000}"/>
    <cellStyle name="Comma 2 2 3 4 5 8" xfId="26472" xr:uid="{00000000-0005-0000-0000-0000E71C0000}"/>
    <cellStyle name="Comma 2 2 3 4 5 9" xfId="29805" xr:uid="{00000000-0005-0000-0000-0000E81C0000}"/>
    <cellStyle name="Comma 2 2 3 4 6" xfId="870" xr:uid="{00000000-0005-0000-0000-0000E91C0000}"/>
    <cellStyle name="Comma 2 2 3 4 6 10" xfId="33096" xr:uid="{00000000-0005-0000-0000-0000EA1C0000}"/>
    <cellStyle name="Comma 2 2 3 4 6 2" xfId="9641" xr:uid="{00000000-0005-0000-0000-0000EB1C0000}"/>
    <cellStyle name="Comma 2 2 3 4 6 2 2" xfId="25441" xr:uid="{00000000-0005-0000-0000-0000EC1C0000}"/>
    <cellStyle name="Comma 2 2 3 4 6 2 2 2" xfId="44868" xr:uid="{00000000-0005-0000-0000-0000ED1C0000}"/>
    <cellStyle name="Comma 2 2 3 4 6 2 2 3" xfId="38445" xr:uid="{00000000-0005-0000-0000-0000EE1C0000}"/>
    <cellStyle name="Comma 2 2 3 4 6 2 3" xfId="27619" xr:uid="{00000000-0005-0000-0000-0000EF1C0000}"/>
    <cellStyle name="Comma 2 2 3 4 6 2 3 2" xfId="41661" xr:uid="{00000000-0005-0000-0000-0000F01C0000}"/>
    <cellStyle name="Comma 2 2 3 4 6 2 4" xfId="30954" xr:uid="{00000000-0005-0000-0000-0000F11C0000}"/>
    <cellStyle name="Comma 2 2 3 4 6 2 5" xfId="35237" xr:uid="{00000000-0005-0000-0000-0000F21C0000}"/>
    <cellStyle name="Comma 2 2 3 4 6 3" xfId="15271" xr:uid="{00000000-0005-0000-0000-0000F31C0000}"/>
    <cellStyle name="Comma 2 2 3 4 6 3 2" xfId="24284" xr:uid="{00000000-0005-0000-0000-0000F41C0000}"/>
    <cellStyle name="Comma 2 2 3 4 6 3 2 2" xfId="43713" xr:uid="{00000000-0005-0000-0000-0000F51C0000}"/>
    <cellStyle name="Comma 2 2 3 4 6 3 2 3" xfId="37290" xr:uid="{00000000-0005-0000-0000-0000F61C0000}"/>
    <cellStyle name="Comma 2 2 3 4 6 3 3" xfId="28607" xr:uid="{00000000-0005-0000-0000-0000F71C0000}"/>
    <cellStyle name="Comma 2 2 3 4 6 3 3 2" xfId="40506" xr:uid="{00000000-0005-0000-0000-0000F81C0000}"/>
    <cellStyle name="Comma 2 2 3 4 6 3 4" xfId="31942" xr:uid="{00000000-0005-0000-0000-0000F91C0000}"/>
    <cellStyle name="Comma 2 2 3 4 6 3 5" xfId="34082" xr:uid="{00000000-0005-0000-0000-0000FA1C0000}"/>
    <cellStyle name="Comma 2 2 3 4 6 4" xfId="8087" xr:uid="{00000000-0005-0000-0000-0000FB1C0000}"/>
    <cellStyle name="Comma 2 2 3 4 6 4 2" xfId="42727" xr:uid="{00000000-0005-0000-0000-0000FC1C0000}"/>
    <cellStyle name="Comma 2 2 3 4 6 4 3" xfId="36303" xr:uid="{00000000-0005-0000-0000-0000FD1C0000}"/>
    <cellStyle name="Comma 2 2 3 4 6 5" xfId="21078" xr:uid="{00000000-0005-0000-0000-0000FE1C0000}"/>
    <cellStyle name="Comma 2 2 3 4 6 5 2" xfId="39520" xr:uid="{00000000-0005-0000-0000-0000FF1C0000}"/>
    <cellStyle name="Comma 2 2 3 4 6 6" xfId="22151" xr:uid="{00000000-0005-0000-0000-0000001D0000}"/>
    <cellStyle name="Comma 2 2 3 4 6 7" xfId="23298" xr:uid="{00000000-0005-0000-0000-0000011D0000}"/>
    <cellStyle name="Comma 2 2 3 4 6 8" xfId="26473" xr:uid="{00000000-0005-0000-0000-0000021D0000}"/>
    <cellStyle name="Comma 2 2 3 4 6 9" xfId="29806" xr:uid="{00000000-0005-0000-0000-0000031D0000}"/>
    <cellStyle name="Comma 2 2 3 4 7" xfId="9078" xr:uid="{00000000-0005-0000-0000-0000041D0000}"/>
    <cellStyle name="Comma 2 2 3 4 7 2" xfId="25133" xr:uid="{00000000-0005-0000-0000-0000051D0000}"/>
    <cellStyle name="Comma 2 2 3 4 7 2 2" xfId="44560" xr:uid="{00000000-0005-0000-0000-0000061D0000}"/>
    <cellStyle name="Comma 2 2 3 4 7 2 3" xfId="38137" xr:uid="{00000000-0005-0000-0000-0000071D0000}"/>
    <cellStyle name="Comma 2 2 3 4 7 3" xfId="27312" xr:uid="{00000000-0005-0000-0000-0000081D0000}"/>
    <cellStyle name="Comma 2 2 3 4 7 3 2" xfId="41353" xr:uid="{00000000-0005-0000-0000-0000091D0000}"/>
    <cellStyle name="Comma 2 2 3 4 7 4" xfId="30647" xr:uid="{00000000-0005-0000-0000-00000A1D0000}"/>
    <cellStyle name="Comma 2 2 3 4 7 5" xfId="34929" xr:uid="{00000000-0005-0000-0000-00000B1D0000}"/>
    <cellStyle name="Comma 2 2 3 4 8" xfId="15266" xr:uid="{00000000-0005-0000-0000-00000C1D0000}"/>
    <cellStyle name="Comma 2 2 3 4 8 2" xfId="24279" xr:uid="{00000000-0005-0000-0000-00000D1D0000}"/>
    <cellStyle name="Comma 2 2 3 4 8 2 2" xfId="43708" xr:uid="{00000000-0005-0000-0000-00000E1D0000}"/>
    <cellStyle name="Comma 2 2 3 4 8 2 3" xfId="37285" xr:uid="{00000000-0005-0000-0000-00000F1D0000}"/>
    <cellStyle name="Comma 2 2 3 4 8 3" xfId="28602" xr:uid="{00000000-0005-0000-0000-0000101D0000}"/>
    <cellStyle name="Comma 2 2 3 4 8 3 2" xfId="40501" xr:uid="{00000000-0005-0000-0000-0000111D0000}"/>
    <cellStyle name="Comma 2 2 3 4 8 4" xfId="31937" xr:uid="{00000000-0005-0000-0000-0000121D0000}"/>
    <cellStyle name="Comma 2 2 3 4 8 5" xfId="34077" xr:uid="{00000000-0005-0000-0000-0000131D0000}"/>
    <cellStyle name="Comma 2 2 3 4 9" xfId="8082" xr:uid="{00000000-0005-0000-0000-0000141D0000}"/>
    <cellStyle name="Comma 2 2 3 4 9 2" xfId="42423" xr:uid="{00000000-0005-0000-0000-0000151D0000}"/>
    <cellStyle name="Comma 2 2 3 4 9 3" xfId="35999" xr:uid="{00000000-0005-0000-0000-0000161D0000}"/>
    <cellStyle name="Comma 2 2 3 5" xfId="871" xr:uid="{00000000-0005-0000-0000-0000171D0000}"/>
    <cellStyle name="Comma 2 2 3 5 10" xfId="22152" xr:uid="{00000000-0005-0000-0000-0000181D0000}"/>
    <cellStyle name="Comma 2 2 3 5 11" xfId="23299" xr:uid="{00000000-0005-0000-0000-0000191D0000}"/>
    <cellStyle name="Comma 2 2 3 5 12" xfId="26474" xr:uid="{00000000-0005-0000-0000-00001A1D0000}"/>
    <cellStyle name="Comma 2 2 3 5 13" xfId="29807" xr:uid="{00000000-0005-0000-0000-00001B1D0000}"/>
    <cellStyle name="Comma 2 2 3 5 14" xfId="33097" xr:uid="{00000000-0005-0000-0000-00001C1D0000}"/>
    <cellStyle name="Comma 2 2 3 5 2" xfId="872" xr:uid="{00000000-0005-0000-0000-00001D1D0000}"/>
    <cellStyle name="Comma 2 2 3 5 2 10" xfId="33098" xr:uid="{00000000-0005-0000-0000-00001E1D0000}"/>
    <cellStyle name="Comma 2 2 3 5 2 2" xfId="9643" xr:uid="{00000000-0005-0000-0000-00001F1D0000}"/>
    <cellStyle name="Comma 2 2 3 5 2 2 2" xfId="25443" xr:uid="{00000000-0005-0000-0000-0000201D0000}"/>
    <cellStyle name="Comma 2 2 3 5 2 2 2 2" xfId="44870" xr:uid="{00000000-0005-0000-0000-0000211D0000}"/>
    <cellStyle name="Comma 2 2 3 5 2 2 2 3" xfId="38447" xr:uid="{00000000-0005-0000-0000-0000221D0000}"/>
    <cellStyle name="Comma 2 2 3 5 2 2 3" xfId="27621" xr:uid="{00000000-0005-0000-0000-0000231D0000}"/>
    <cellStyle name="Comma 2 2 3 5 2 2 3 2" xfId="41663" xr:uid="{00000000-0005-0000-0000-0000241D0000}"/>
    <cellStyle name="Comma 2 2 3 5 2 2 4" xfId="30956" xr:uid="{00000000-0005-0000-0000-0000251D0000}"/>
    <cellStyle name="Comma 2 2 3 5 2 2 5" xfId="35239" xr:uid="{00000000-0005-0000-0000-0000261D0000}"/>
    <cellStyle name="Comma 2 2 3 5 2 3" xfId="15273" xr:uid="{00000000-0005-0000-0000-0000271D0000}"/>
    <cellStyle name="Comma 2 2 3 5 2 3 2" xfId="24286" xr:uid="{00000000-0005-0000-0000-0000281D0000}"/>
    <cellStyle name="Comma 2 2 3 5 2 3 2 2" xfId="43715" xr:uid="{00000000-0005-0000-0000-0000291D0000}"/>
    <cellStyle name="Comma 2 2 3 5 2 3 2 3" xfId="37292" xr:uid="{00000000-0005-0000-0000-00002A1D0000}"/>
    <cellStyle name="Comma 2 2 3 5 2 3 3" xfId="28609" xr:uid="{00000000-0005-0000-0000-00002B1D0000}"/>
    <cellStyle name="Comma 2 2 3 5 2 3 3 2" xfId="40508" xr:uid="{00000000-0005-0000-0000-00002C1D0000}"/>
    <cellStyle name="Comma 2 2 3 5 2 3 4" xfId="31944" xr:uid="{00000000-0005-0000-0000-00002D1D0000}"/>
    <cellStyle name="Comma 2 2 3 5 2 3 5" xfId="34084" xr:uid="{00000000-0005-0000-0000-00002E1D0000}"/>
    <cellStyle name="Comma 2 2 3 5 2 4" xfId="8089" xr:uid="{00000000-0005-0000-0000-00002F1D0000}"/>
    <cellStyle name="Comma 2 2 3 5 2 4 2" xfId="42729" xr:uid="{00000000-0005-0000-0000-0000301D0000}"/>
    <cellStyle name="Comma 2 2 3 5 2 4 3" xfId="36305" xr:uid="{00000000-0005-0000-0000-0000311D0000}"/>
    <cellStyle name="Comma 2 2 3 5 2 5" xfId="21080" xr:uid="{00000000-0005-0000-0000-0000321D0000}"/>
    <cellStyle name="Comma 2 2 3 5 2 5 2" xfId="39522" xr:uid="{00000000-0005-0000-0000-0000331D0000}"/>
    <cellStyle name="Comma 2 2 3 5 2 6" xfId="22153" xr:uid="{00000000-0005-0000-0000-0000341D0000}"/>
    <cellStyle name="Comma 2 2 3 5 2 7" xfId="23300" xr:uid="{00000000-0005-0000-0000-0000351D0000}"/>
    <cellStyle name="Comma 2 2 3 5 2 8" xfId="26475" xr:uid="{00000000-0005-0000-0000-0000361D0000}"/>
    <cellStyle name="Comma 2 2 3 5 2 9" xfId="29808" xr:uid="{00000000-0005-0000-0000-0000371D0000}"/>
    <cellStyle name="Comma 2 2 3 5 3" xfId="873" xr:uid="{00000000-0005-0000-0000-0000381D0000}"/>
    <cellStyle name="Comma 2 2 3 5 3 10" xfId="33099" xr:uid="{00000000-0005-0000-0000-0000391D0000}"/>
    <cellStyle name="Comma 2 2 3 5 3 2" xfId="9644" xr:uid="{00000000-0005-0000-0000-00003A1D0000}"/>
    <cellStyle name="Comma 2 2 3 5 3 2 2" xfId="25444" xr:uid="{00000000-0005-0000-0000-00003B1D0000}"/>
    <cellStyle name="Comma 2 2 3 5 3 2 2 2" xfId="44871" xr:uid="{00000000-0005-0000-0000-00003C1D0000}"/>
    <cellStyle name="Comma 2 2 3 5 3 2 2 3" xfId="38448" xr:uid="{00000000-0005-0000-0000-00003D1D0000}"/>
    <cellStyle name="Comma 2 2 3 5 3 2 3" xfId="27622" xr:uid="{00000000-0005-0000-0000-00003E1D0000}"/>
    <cellStyle name="Comma 2 2 3 5 3 2 3 2" xfId="41664" xr:uid="{00000000-0005-0000-0000-00003F1D0000}"/>
    <cellStyle name="Comma 2 2 3 5 3 2 4" xfId="30957" xr:uid="{00000000-0005-0000-0000-0000401D0000}"/>
    <cellStyle name="Comma 2 2 3 5 3 2 5" xfId="35240" xr:uid="{00000000-0005-0000-0000-0000411D0000}"/>
    <cellStyle name="Comma 2 2 3 5 3 3" xfId="15274" xr:uid="{00000000-0005-0000-0000-0000421D0000}"/>
    <cellStyle name="Comma 2 2 3 5 3 3 2" xfId="24287" xr:uid="{00000000-0005-0000-0000-0000431D0000}"/>
    <cellStyle name="Comma 2 2 3 5 3 3 2 2" xfId="43716" xr:uid="{00000000-0005-0000-0000-0000441D0000}"/>
    <cellStyle name="Comma 2 2 3 5 3 3 2 3" xfId="37293" xr:uid="{00000000-0005-0000-0000-0000451D0000}"/>
    <cellStyle name="Comma 2 2 3 5 3 3 3" xfId="28610" xr:uid="{00000000-0005-0000-0000-0000461D0000}"/>
    <cellStyle name="Comma 2 2 3 5 3 3 3 2" xfId="40509" xr:uid="{00000000-0005-0000-0000-0000471D0000}"/>
    <cellStyle name="Comma 2 2 3 5 3 3 4" xfId="31945" xr:uid="{00000000-0005-0000-0000-0000481D0000}"/>
    <cellStyle name="Comma 2 2 3 5 3 3 5" xfId="34085" xr:uid="{00000000-0005-0000-0000-0000491D0000}"/>
    <cellStyle name="Comma 2 2 3 5 3 4" xfId="8090" xr:uid="{00000000-0005-0000-0000-00004A1D0000}"/>
    <cellStyle name="Comma 2 2 3 5 3 4 2" xfId="42730" xr:uid="{00000000-0005-0000-0000-00004B1D0000}"/>
    <cellStyle name="Comma 2 2 3 5 3 4 3" xfId="36306" xr:uid="{00000000-0005-0000-0000-00004C1D0000}"/>
    <cellStyle name="Comma 2 2 3 5 3 5" xfId="21081" xr:uid="{00000000-0005-0000-0000-00004D1D0000}"/>
    <cellStyle name="Comma 2 2 3 5 3 5 2" xfId="39523" xr:uid="{00000000-0005-0000-0000-00004E1D0000}"/>
    <cellStyle name="Comma 2 2 3 5 3 6" xfId="22154" xr:uid="{00000000-0005-0000-0000-00004F1D0000}"/>
    <cellStyle name="Comma 2 2 3 5 3 7" xfId="23301" xr:uid="{00000000-0005-0000-0000-0000501D0000}"/>
    <cellStyle name="Comma 2 2 3 5 3 8" xfId="26476" xr:uid="{00000000-0005-0000-0000-0000511D0000}"/>
    <cellStyle name="Comma 2 2 3 5 3 9" xfId="29809" xr:uid="{00000000-0005-0000-0000-0000521D0000}"/>
    <cellStyle name="Comma 2 2 3 5 4" xfId="874" xr:uid="{00000000-0005-0000-0000-0000531D0000}"/>
    <cellStyle name="Comma 2 2 3 5 4 10" xfId="33100" xr:uid="{00000000-0005-0000-0000-0000541D0000}"/>
    <cellStyle name="Comma 2 2 3 5 4 2" xfId="9645" xr:uid="{00000000-0005-0000-0000-0000551D0000}"/>
    <cellStyle name="Comma 2 2 3 5 4 2 2" xfId="25445" xr:uid="{00000000-0005-0000-0000-0000561D0000}"/>
    <cellStyle name="Comma 2 2 3 5 4 2 2 2" xfId="44872" xr:uid="{00000000-0005-0000-0000-0000571D0000}"/>
    <cellStyle name="Comma 2 2 3 5 4 2 2 3" xfId="38449" xr:uid="{00000000-0005-0000-0000-0000581D0000}"/>
    <cellStyle name="Comma 2 2 3 5 4 2 3" xfId="27623" xr:uid="{00000000-0005-0000-0000-0000591D0000}"/>
    <cellStyle name="Comma 2 2 3 5 4 2 3 2" xfId="41665" xr:uid="{00000000-0005-0000-0000-00005A1D0000}"/>
    <cellStyle name="Comma 2 2 3 5 4 2 4" xfId="30958" xr:uid="{00000000-0005-0000-0000-00005B1D0000}"/>
    <cellStyle name="Comma 2 2 3 5 4 2 5" xfId="35241" xr:uid="{00000000-0005-0000-0000-00005C1D0000}"/>
    <cellStyle name="Comma 2 2 3 5 4 3" xfId="15275" xr:uid="{00000000-0005-0000-0000-00005D1D0000}"/>
    <cellStyle name="Comma 2 2 3 5 4 3 2" xfId="24288" xr:uid="{00000000-0005-0000-0000-00005E1D0000}"/>
    <cellStyle name="Comma 2 2 3 5 4 3 2 2" xfId="43717" xr:uid="{00000000-0005-0000-0000-00005F1D0000}"/>
    <cellStyle name="Comma 2 2 3 5 4 3 2 3" xfId="37294" xr:uid="{00000000-0005-0000-0000-0000601D0000}"/>
    <cellStyle name="Comma 2 2 3 5 4 3 3" xfId="28611" xr:uid="{00000000-0005-0000-0000-0000611D0000}"/>
    <cellStyle name="Comma 2 2 3 5 4 3 3 2" xfId="40510" xr:uid="{00000000-0005-0000-0000-0000621D0000}"/>
    <cellStyle name="Comma 2 2 3 5 4 3 4" xfId="31946" xr:uid="{00000000-0005-0000-0000-0000631D0000}"/>
    <cellStyle name="Comma 2 2 3 5 4 3 5" xfId="34086" xr:uid="{00000000-0005-0000-0000-0000641D0000}"/>
    <cellStyle name="Comma 2 2 3 5 4 4" xfId="8091" xr:uid="{00000000-0005-0000-0000-0000651D0000}"/>
    <cellStyle name="Comma 2 2 3 5 4 4 2" xfId="42731" xr:uid="{00000000-0005-0000-0000-0000661D0000}"/>
    <cellStyle name="Comma 2 2 3 5 4 4 3" xfId="36307" xr:uid="{00000000-0005-0000-0000-0000671D0000}"/>
    <cellStyle name="Comma 2 2 3 5 4 5" xfId="21082" xr:uid="{00000000-0005-0000-0000-0000681D0000}"/>
    <cellStyle name="Comma 2 2 3 5 4 5 2" xfId="39524" xr:uid="{00000000-0005-0000-0000-0000691D0000}"/>
    <cellStyle name="Comma 2 2 3 5 4 6" xfId="22155" xr:uid="{00000000-0005-0000-0000-00006A1D0000}"/>
    <cellStyle name="Comma 2 2 3 5 4 7" xfId="23302" xr:uid="{00000000-0005-0000-0000-00006B1D0000}"/>
    <cellStyle name="Comma 2 2 3 5 4 8" xfId="26477" xr:uid="{00000000-0005-0000-0000-00006C1D0000}"/>
    <cellStyle name="Comma 2 2 3 5 4 9" xfId="29810" xr:uid="{00000000-0005-0000-0000-00006D1D0000}"/>
    <cellStyle name="Comma 2 2 3 5 5" xfId="875" xr:uid="{00000000-0005-0000-0000-00006E1D0000}"/>
    <cellStyle name="Comma 2 2 3 5 5 10" xfId="33101" xr:uid="{00000000-0005-0000-0000-00006F1D0000}"/>
    <cellStyle name="Comma 2 2 3 5 5 2" xfId="9646" xr:uid="{00000000-0005-0000-0000-0000701D0000}"/>
    <cellStyle name="Comma 2 2 3 5 5 2 2" xfId="25446" xr:uid="{00000000-0005-0000-0000-0000711D0000}"/>
    <cellStyle name="Comma 2 2 3 5 5 2 2 2" xfId="44873" xr:uid="{00000000-0005-0000-0000-0000721D0000}"/>
    <cellStyle name="Comma 2 2 3 5 5 2 2 3" xfId="38450" xr:uid="{00000000-0005-0000-0000-0000731D0000}"/>
    <cellStyle name="Comma 2 2 3 5 5 2 3" xfId="27624" xr:uid="{00000000-0005-0000-0000-0000741D0000}"/>
    <cellStyle name="Comma 2 2 3 5 5 2 3 2" xfId="41666" xr:uid="{00000000-0005-0000-0000-0000751D0000}"/>
    <cellStyle name="Comma 2 2 3 5 5 2 4" xfId="30959" xr:uid="{00000000-0005-0000-0000-0000761D0000}"/>
    <cellStyle name="Comma 2 2 3 5 5 2 5" xfId="35242" xr:uid="{00000000-0005-0000-0000-0000771D0000}"/>
    <cellStyle name="Comma 2 2 3 5 5 3" xfId="15276" xr:uid="{00000000-0005-0000-0000-0000781D0000}"/>
    <cellStyle name="Comma 2 2 3 5 5 3 2" xfId="24289" xr:uid="{00000000-0005-0000-0000-0000791D0000}"/>
    <cellStyle name="Comma 2 2 3 5 5 3 2 2" xfId="43718" xr:uid="{00000000-0005-0000-0000-00007A1D0000}"/>
    <cellStyle name="Comma 2 2 3 5 5 3 2 3" xfId="37295" xr:uid="{00000000-0005-0000-0000-00007B1D0000}"/>
    <cellStyle name="Comma 2 2 3 5 5 3 3" xfId="28612" xr:uid="{00000000-0005-0000-0000-00007C1D0000}"/>
    <cellStyle name="Comma 2 2 3 5 5 3 3 2" xfId="40511" xr:uid="{00000000-0005-0000-0000-00007D1D0000}"/>
    <cellStyle name="Comma 2 2 3 5 5 3 4" xfId="31947" xr:uid="{00000000-0005-0000-0000-00007E1D0000}"/>
    <cellStyle name="Comma 2 2 3 5 5 3 5" xfId="34087" xr:uid="{00000000-0005-0000-0000-00007F1D0000}"/>
    <cellStyle name="Comma 2 2 3 5 5 4" xfId="8092" xr:uid="{00000000-0005-0000-0000-0000801D0000}"/>
    <cellStyle name="Comma 2 2 3 5 5 4 2" xfId="42732" xr:uid="{00000000-0005-0000-0000-0000811D0000}"/>
    <cellStyle name="Comma 2 2 3 5 5 4 3" xfId="36308" xr:uid="{00000000-0005-0000-0000-0000821D0000}"/>
    <cellStyle name="Comma 2 2 3 5 5 5" xfId="21083" xr:uid="{00000000-0005-0000-0000-0000831D0000}"/>
    <cellStyle name="Comma 2 2 3 5 5 5 2" xfId="39525" xr:uid="{00000000-0005-0000-0000-0000841D0000}"/>
    <cellStyle name="Comma 2 2 3 5 5 6" xfId="22156" xr:uid="{00000000-0005-0000-0000-0000851D0000}"/>
    <cellStyle name="Comma 2 2 3 5 5 7" xfId="23303" xr:uid="{00000000-0005-0000-0000-0000861D0000}"/>
    <cellStyle name="Comma 2 2 3 5 5 8" xfId="26478" xr:uid="{00000000-0005-0000-0000-0000871D0000}"/>
    <cellStyle name="Comma 2 2 3 5 5 9" xfId="29811" xr:uid="{00000000-0005-0000-0000-0000881D0000}"/>
    <cellStyle name="Comma 2 2 3 5 6" xfId="9642" xr:uid="{00000000-0005-0000-0000-0000891D0000}"/>
    <cellStyle name="Comma 2 2 3 5 6 2" xfId="25442" xr:uid="{00000000-0005-0000-0000-00008A1D0000}"/>
    <cellStyle name="Comma 2 2 3 5 6 2 2" xfId="44869" xr:uid="{00000000-0005-0000-0000-00008B1D0000}"/>
    <cellStyle name="Comma 2 2 3 5 6 2 3" xfId="38446" xr:uid="{00000000-0005-0000-0000-00008C1D0000}"/>
    <cellStyle name="Comma 2 2 3 5 6 3" xfId="27620" xr:uid="{00000000-0005-0000-0000-00008D1D0000}"/>
    <cellStyle name="Comma 2 2 3 5 6 3 2" xfId="41662" xr:uid="{00000000-0005-0000-0000-00008E1D0000}"/>
    <cellStyle name="Comma 2 2 3 5 6 4" xfId="30955" xr:uid="{00000000-0005-0000-0000-00008F1D0000}"/>
    <cellStyle name="Comma 2 2 3 5 6 5" xfId="35238" xr:uid="{00000000-0005-0000-0000-0000901D0000}"/>
    <cellStyle name="Comma 2 2 3 5 7" xfId="15272" xr:uid="{00000000-0005-0000-0000-0000911D0000}"/>
    <cellStyle name="Comma 2 2 3 5 7 2" xfId="24285" xr:uid="{00000000-0005-0000-0000-0000921D0000}"/>
    <cellStyle name="Comma 2 2 3 5 7 2 2" xfId="43714" xr:uid="{00000000-0005-0000-0000-0000931D0000}"/>
    <cellStyle name="Comma 2 2 3 5 7 2 3" xfId="37291" xr:uid="{00000000-0005-0000-0000-0000941D0000}"/>
    <cellStyle name="Comma 2 2 3 5 7 3" xfId="28608" xr:uid="{00000000-0005-0000-0000-0000951D0000}"/>
    <cellStyle name="Comma 2 2 3 5 7 3 2" xfId="40507" xr:uid="{00000000-0005-0000-0000-0000961D0000}"/>
    <cellStyle name="Comma 2 2 3 5 7 4" xfId="31943" xr:uid="{00000000-0005-0000-0000-0000971D0000}"/>
    <cellStyle name="Comma 2 2 3 5 7 5" xfId="34083" xr:uid="{00000000-0005-0000-0000-0000981D0000}"/>
    <cellStyle name="Comma 2 2 3 5 8" xfId="8088" xr:uid="{00000000-0005-0000-0000-0000991D0000}"/>
    <cellStyle name="Comma 2 2 3 5 8 2" xfId="42728" xr:uid="{00000000-0005-0000-0000-00009A1D0000}"/>
    <cellStyle name="Comma 2 2 3 5 8 3" xfId="36304" xr:uid="{00000000-0005-0000-0000-00009B1D0000}"/>
    <cellStyle name="Comma 2 2 3 5 9" xfId="21079" xr:uid="{00000000-0005-0000-0000-00009C1D0000}"/>
    <cellStyle name="Comma 2 2 3 5 9 2" xfId="39521" xr:uid="{00000000-0005-0000-0000-00009D1D0000}"/>
    <cellStyle name="Comma 2 2 3 6" xfId="876" xr:uid="{00000000-0005-0000-0000-00009E1D0000}"/>
    <cellStyle name="Comma 2 2 3 6 10" xfId="22157" xr:uid="{00000000-0005-0000-0000-00009F1D0000}"/>
    <cellStyle name="Comma 2 2 3 6 11" xfId="23304" xr:uid="{00000000-0005-0000-0000-0000A01D0000}"/>
    <cellStyle name="Comma 2 2 3 6 12" xfId="26479" xr:uid="{00000000-0005-0000-0000-0000A11D0000}"/>
    <cellStyle name="Comma 2 2 3 6 13" xfId="29812" xr:uid="{00000000-0005-0000-0000-0000A21D0000}"/>
    <cellStyle name="Comma 2 2 3 6 14" xfId="33102" xr:uid="{00000000-0005-0000-0000-0000A31D0000}"/>
    <cellStyle name="Comma 2 2 3 6 2" xfId="877" xr:uid="{00000000-0005-0000-0000-0000A41D0000}"/>
    <cellStyle name="Comma 2 2 3 6 2 10" xfId="33103" xr:uid="{00000000-0005-0000-0000-0000A51D0000}"/>
    <cellStyle name="Comma 2 2 3 6 2 2" xfId="9648" xr:uid="{00000000-0005-0000-0000-0000A61D0000}"/>
    <cellStyle name="Comma 2 2 3 6 2 2 2" xfId="25448" xr:uid="{00000000-0005-0000-0000-0000A71D0000}"/>
    <cellStyle name="Comma 2 2 3 6 2 2 2 2" xfId="44875" xr:uid="{00000000-0005-0000-0000-0000A81D0000}"/>
    <cellStyle name="Comma 2 2 3 6 2 2 2 3" xfId="38452" xr:uid="{00000000-0005-0000-0000-0000A91D0000}"/>
    <cellStyle name="Comma 2 2 3 6 2 2 3" xfId="27626" xr:uid="{00000000-0005-0000-0000-0000AA1D0000}"/>
    <cellStyle name="Comma 2 2 3 6 2 2 3 2" xfId="41668" xr:uid="{00000000-0005-0000-0000-0000AB1D0000}"/>
    <cellStyle name="Comma 2 2 3 6 2 2 4" xfId="30961" xr:uid="{00000000-0005-0000-0000-0000AC1D0000}"/>
    <cellStyle name="Comma 2 2 3 6 2 2 5" xfId="35244" xr:uid="{00000000-0005-0000-0000-0000AD1D0000}"/>
    <cellStyle name="Comma 2 2 3 6 2 3" xfId="15278" xr:uid="{00000000-0005-0000-0000-0000AE1D0000}"/>
    <cellStyle name="Comma 2 2 3 6 2 3 2" xfId="24291" xr:uid="{00000000-0005-0000-0000-0000AF1D0000}"/>
    <cellStyle name="Comma 2 2 3 6 2 3 2 2" xfId="43720" xr:uid="{00000000-0005-0000-0000-0000B01D0000}"/>
    <cellStyle name="Comma 2 2 3 6 2 3 2 3" xfId="37297" xr:uid="{00000000-0005-0000-0000-0000B11D0000}"/>
    <cellStyle name="Comma 2 2 3 6 2 3 3" xfId="28614" xr:uid="{00000000-0005-0000-0000-0000B21D0000}"/>
    <cellStyle name="Comma 2 2 3 6 2 3 3 2" xfId="40513" xr:uid="{00000000-0005-0000-0000-0000B31D0000}"/>
    <cellStyle name="Comma 2 2 3 6 2 3 4" xfId="31949" xr:uid="{00000000-0005-0000-0000-0000B41D0000}"/>
    <cellStyle name="Comma 2 2 3 6 2 3 5" xfId="34089" xr:uid="{00000000-0005-0000-0000-0000B51D0000}"/>
    <cellStyle name="Comma 2 2 3 6 2 4" xfId="8094" xr:uid="{00000000-0005-0000-0000-0000B61D0000}"/>
    <cellStyle name="Comma 2 2 3 6 2 4 2" xfId="42734" xr:uid="{00000000-0005-0000-0000-0000B71D0000}"/>
    <cellStyle name="Comma 2 2 3 6 2 4 3" xfId="36310" xr:uid="{00000000-0005-0000-0000-0000B81D0000}"/>
    <cellStyle name="Comma 2 2 3 6 2 5" xfId="21085" xr:uid="{00000000-0005-0000-0000-0000B91D0000}"/>
    <cellStyle name="Comma 2 2 3 6 2 5 2" xfId="39527" xr:uid="{00000000-0005-0000-0000-0000BA1D0000}"/>
    <cellStyle name="Comma 2 2 3 6 2 6" xfId="22158" xr:uid="{00000000-0005-0000-0000-0000BB1D0000}"/>
    <cellStyle name="Comma 2 2 3 6 2 7" xfId="23305" xr:uid="{00000000-0005-0000-0000-0000BC1D0000}"/>
    <cellStyle name="Comma 2 2 3 6 2 8" xfId="26480" xr:uid="{00000000-0005-0000-0000-0000BD1D0000}"/>
    <cellStyle name="Comma 2 2 3 6 2 9" xfId="29813" xr:uid="{00000000-0005-0000-0000-0000BE1D0000}"/>
    <cellStyle name="Comma 2 2 3 6 3" xfId="878" xr:uid="{00000000-0005-0000-0000-0000BF1D0000}"/>
    <cellStyle name="Comma 2 2 3 6 3 10" xfId="33104" xr:uid="{00000000-0005-0000-0000-0000C01D0000}"/>
    <cellStyle name="Comma 2 2 3 6 3 2" xfId="9649" xr:uid="{00000000-0005-0000-0000-0000C11D0000}"/>
    <cellStyle name="Comma 2 2 3 6 3 2 2" xfId="25449" xr:uid="{00000000-0005-0000-0000-0000C21D0000}"/>
    <cellStyle name="Comma 2 2 3 6 3 2 2 2" xfId="44876" xr:uid="{00000000-0005-0000-0000-0000C31D0000}"/>
    <cellStyle name="Comma 2 2 3 6 3 2 2 3" xfId="38453" xr:uid="{00000000-0005-0000-0000-0000C41D0000}"/>
    <cellStyle name="Comma 2 2 3 6 3 2 3" xfId="27627" xr:uid="{00000000-0005-0000-0000-0000C51D0000}"/>
    <cellStyle name="Comma 2 2 3 6 3 2 3 2" xfId="41669" xr:uid="{00000000-0005-0000-0000-0000C61D0000}"/>
    <cellStyle name="Comma 2 2 3 6 3 2 4" xfId="30962" xr:uid="{00000000-0005-0000-0000-0000C71D0000}"/>
    <cellStyle name="Comma 2 2 3 6 3 2 5" xfId="35245" xr:uid="{00000000-0005-0000-0000-0000C81D0000}"/>
    <cellStyle name="Comma 2 2 3 6 3 3" xfId="15279" xr:uid="{00000000-0005-0000-0000-0000C91D0000}"/>
    <cellStyle name="Comma 2 2 3 6 3 3 2" xfId="24292" xr:uid="{00000000-0005-0000-0000-0000CA1D0000}"/>
    <cellStyle name="Comma 2 2 3 6 3 3 2 2" xfId="43721" xr:uid="{00000000-0005-0000-0000-0000CB1D0000}"/>
    <cellStyle name="Comma 2 2 3 6 3 3 2 3" xfId="37298" xr:uid="{00000000-0005-0000-0000-0000CC1D0000}"/>
    <cellStyle name="Comma 2 2 3 6 3 3 3" xfId="28615" xr:uid="{00000000-0005-0000-0000-0000CD1D0000}"/>
    <cellStyle name="Comma 2 2 3 6 3 3 3 2" xfId="40514" xr:uid="{00000000-0005-0000-0000-0000CE1D0000}"/>
    <cellStyle name="Comma 2 2 3 6 3 3 4" xfId="31950" xr:uid="{00000000-0005-0000-0000-0000CF1D0000}"/>
    <cellStyle name="Comma 2 2 3 6 3 3 5" xfId="34090" xr:uid="{00000000-0005-0000-0000-0000D01D0000}"/>
    <cellStyle name="Comma 2 2 3 6 3 4" xfId="8095" xr:uid="{00000000-0005-0000-0000-0000D11D0000}"/>
    <cellStyle name="Comma 2 2 3 6 3 4 2" xfId="42735" xr:uid="{00000000-0005-0000-0000-0000D21D0000}"/>
    <cellStyle name="Comma 2 2 3 6 3 4 3" xfId="36311" xr:uid="{00000000-0005-0000-0000-0000D31D0000}"/>
    <cellStyle name="Comma 2 2 3 6 3 5" xfId="21086" xr:uid="{00000000-0005-0000-0000-0000D41D0000}"/>
    <cellStyle name="Comma 2 2 3 6 3 5 2" xfId="39528" xr:uid="{00000000-0005-0000-0000-0000D51D0000}"/>
    <cellStyle name="Comma 2 2 3 6 3 6" xfId="22159" xr:uid="{00000000-0005-0000-0000-0000D61D0000}"/>
    <cellStyle name="Comma 2 2 3 6 3 7" xfId="23306" xr:uid="{00000000-0005-0000-0000-0000D71D0000}"/>
    <cellStyle name="Comma 2 2 3 6 3 8" xfId="26481" xr:uid="{00000000-0005-0000-0000-0000D81D0000}"/>
    <cellStyle name="Comma 2 2 3 6 3 9" xfId="29814" xr:uid="{00000000-0005-0000-0000-0000D91D0000}"/>
    <cellStyle name="Comma 2 2 3 6 4" xfId="879" xr:uid="{00000000-0005-0000-0000-0000DA1D0000}"/>
    <cellStyle name="Comma 2 2 3 6 4 10" xfId="33105" xr:uid="{00000000-0005-0000-0000-0000DB1D0000}"/>
    <cellStyle name="Comma 2 2 3 6 4 2" xfId="9650" xr:uid="{00000000-0005-0000-0000-0000DC1D0000}"/>
    <cellStyle name="Comma 2 2 3 6 4 2 2" xfId="25450" xr:uid="{00000000-0005-0000-0000-0000DD1D0000}"/>
    <cellStyle name="Comma 2 2 3 6 4 2 2 2" xfId="44877" xr:uid="{00000000-0005-0000-0000-0000DE1D0000}"/>
    <cellStyle name="Comma 2 2 3 6 4 2 2 3" xfId="38454" xr:uid="{00000000-0005-0000-0000-0000DF1D0000}"/>
    <cellStyle name="Comma 2 2 3 6 4 2 3" xfId="27628" xr:uid="{00000000-0005-0000-0000-0000E01D0000}"/>
    <cellStyle name="Comma 2 2 3 6 4 2 3 2" xfId="41670" xr:uid="{00000000-0005-0000-0000-0000E11D0000}"/>
    <cellStyle name="Comma 2 2 3 6 4 2 4" xfId="30963" xr:uid="{00000000-0005-0000-0000-0000E21D0000}"/>
    <cellStyle name="Comma 2 2 3 6 4 2 5" xfId="35246" xr:uid="{00000000-0005-0000-0000-0000E31D0000}"/>
    <cellStyle name="Comma 2 2 3 6 4 3" xfId="15280" xr:uid="{00000000-0005-0000-0000-0000E41D0000}"/>
    <cellStyle name="Comma 2 2 3 6 4 3 2" xfId="24293" xr:uid="{00000000-0005-0000-0000-0000E51D0000}"/>
    <cellStyle name="Comma 2 2 3 6 4 3 2 2" xfId="43722" xr:uid="{00000000-0005-0000-0000-0000E61D0000}"/>
    <cellStyle name="Comma 2 2 3 6 4 3 2 3" xfId="37299" xr:uid="{00000000-0005-0000-0000-0000E71D0000}"/>
    <cellStyle name="Comma 2 2 3 6 4 3 3" xfId="28616" xr:uid="{00000000-0005-0000-0000-0000E81D0000}"/>
    <cellStyle name="Comma 2 2 3 6 4 3 3 2" xfId="40515" xr:uid="{00000000-0005-0000-0000-0000E91D0000}"/>
    <cellStyle name="Comma 2 2 3 6 4 3 4" xfId="31951" xr:uid="{00000000-0005-0000-0000-0000EA1D0000}"/>
    <cellStyle name="Comma 2 2 3 6 4 3 5" xfId="34091" xr:uid="{00000000-0005-0000-0000-0000EB1D0000}"/>
    <cellStyle name="Comma 2 2 3 6 4 4" xfId="8096" xr:uid="{00000000-0005-0000-0000-0000EC1D0000}"/>
    <cellStyle name="Comma 2 2 3 6 4 4 2" xfId="42736" xr:uid="{00000000-0005-0000-0000-0000ED1D0000}"/>
    <cellStyle name="Comma 2 2 3 6 4 4 3" xfId="36312" xr:uid="{00000000-0005-0000-0000-0000EE1D0000}"/>
    <cellStyle name="Comma 2 2 3 6 4 5" xfId="21087" xr:uid="{00000000-0005-0000-0000-0000EF1D0000}"/>
    <cellStyle name="Comma 2 2 3 6 4 5 2" xfId="39529" xr:uid="{00000000-0005-0000-0000-0000F01D0000}"/>
    <cellStyle name="Comma 2 2 3 6 4 6" xfId="22160" xr:uid="{00000000-0005-0000-0000-0000F11D0000}"/>
    <cellStyle name="Comma 2 2 3 6 4 7" xfId="23307" xr:uid="{00000000-0005-0000-0000-0000F21D0000}"/>
    <cellStyle name="Comma 2 2 3 6 4 8" xfId="26482" xr:uid="{00000000-0005-0000-0000-0000F31D0000}"/>
    <cellStyle name="Comma 2 2 3 6 4 9" xfId="29815" xr:uid="{00000000-0005-0000-0000-0000F41D0000}"/>
    <cellStyle name="Comma 2 2 3 6 5" xfId="880" xr:uid="{00000000-0005-0000-0000-0000F51D0000}"/>
    <cellStyle name="Comma 2 2 3 6 5 10" xfId="33106" xr:uid="{00000000-0005-0000-0000-0000F61D0000}"/>
    <cellStyle name="Comma 2 2 3 6 5 2" xfId="9651" xr:uid="{00000000-0005-0000-0000-0000F71D0000}"/>
    <cellStyle name="Comma 2 2 3 6 5 2 2" xfId="25451" xr:uid="{00000000-0005-0000-0000-0000F81D0000}"/>
    <cellStyle name="Comma 2 2 3 6 5 2 2 2" xfId="44878" xr:uid="{00000000-0005-0000-0000-0000F91D0000}"/>
    <cellStyle name="Comma 2 2 3 6 5 2 2 3" xfId="38455" xr:uid="{00000000-0005-0000-0000-0000FA1D0000}"/>
    <cellStyle name="Comma 2 2 3 6 5 2 3" xfId="27629" xr:uid="{00000000-0005-0000-0000-0000FB1D0000}"/>
    <cellStyle name="Comma 2 2 3 6 5 2 3 2" xfId="41671" xr:uid="{00000000-0005-0000-0000-0000FC1D0000}"/>
    <cellStyle name="Comma 2 2 3 6 5 2 4" xfId="30964" xr:uid="{00000000-0005-0000-0000-0000FD1D0000}"/>
    <cellStyle name="Comma 2 2 3 6 5 2 5" xfId="35247" xr:uid="{00000000-0005-0000-0000-0000FE1D0000}"/>
    <cellStyle name="Comma 2 2 3 6 5 3" xfId="15281" xr:uid="{00000000-0005-0000-0000-0000FF1D0000}"/>
    <cellStyle name="Comma 2 2 3 6 5 3 2" xfId="24294" xr:uid="{00000000-0005-0000-0000-0000001E0000}"/>
    <cellStyle name="Comma 2 2 3 6 5 3 2 2" xfId="43723" xr:uid="{00000000-0005-0000-0000-0000011E0000}"/>
    <cellStyle name="Comma 2 2 3 6 5 3 2 3" xfId="37300" xr:uid="{00000000-0005-0000-0000-0000021E0000}"/>
    <cellStyle name="Comma 2 2 3 6 5 3 3" xfId="28617" xr:uid="{00000000-0005-0000-0000-0000031E0000}"/>
    <cellStyle name="Comma 2 2 3 6 5 3 3 2" xfId="40516" xr:uid="{00000000-0005-0000-0000-0000041E0000}"/>
    <cellStyle name="Comma 2 2 3 6 5 3 4" xfId="31952" xr:uid="{00000000-0005-0000-0000-0000051E0000}"/>
    <cellStyle name="Comma 2 2 3 6 5 3 5" xfId="34092" xr:uid="{00000000-0005-0000-0000-0000061E0000}"/>
    <cellStyle name="Comma 2 2 3 6 5 4" xfId="8097" xr:uid="{00000000-0005-0000-0000-0000071E0000}"/>
    <cellStyle name="Comma 2 2 3 6 5 4 2" xfId="42737" xr:uid="{00000000-0005-0000-0000-0000081E0000}"/>
    <cellStyle name="Comma 2 2 3 6 5 4 3" xfId="36313" xr:uid="{00000000-0005-0000-0000-0000091E0000}"/>
    <cellStyle name="Comma 2 2 3 6 5 5" xfId="21088" xr:uid="{00000000-0005-0000-0000-00000A1E0000}"/>
    <cellStyle name="Comma 2 2 3 6 5 5 2" xfId="39530" xr:uid="{00000000-0005-0000-0000-00000B1E0000}"/>
    <cellStyle name="Comma 2 2 3 6 5 6" xfId="22161" xr:uid="{00000000-0005-0000-0000-00000C1E0000}"/>
    <cellStyle name="Comma 2 2 3 6 5 7" xfId="23308" xr:uid="{00000000-0005-0000-0000-00000D1E0000}"/>
    <cellStyle name="Comma 2 2 3 6 5 8" xfId="26483" xr:uid="{00000000-0005-0000-0000-00000E1E0000}"/>
    <cellStyle name="Comma 2 2 3 6 5 9" xfId="29816" xr:uid="{00000000-0005-0000-0000-00000F1E0000}"/>
    <cellStyle name="Comma 2 2 3 6 6" xfId="9647" xr:uid="{00000000-0005-0000-0000-0000101E0000}"/>
    <cellStyle name="Comma 2 2 3 6 6 2" xfId="25447" xr:uid="{00000000-0005-0000-0000-0000111E0000}"/>
    <cellStyle name="Comma 2 2 3 6 6 2 2" xfId="44874" xr:uid="{00000000-0005-0000-0000-0000121E0000}"/>
    <cellStyle name="Comma 2 2 3 6 6 2 3" xfId="38451" xr:uid="{00000000-0005-0000-0000-0000131E0000}"/>
    <cellStyle name="Comma 2 2 3 6 6 3" xfId="27625" xr:uid="{00000000-0005-0000-0000-0000141E0000}"/>
    <cellStyle name="Comma 2 2 3 6 6 3 2" xfId="41667" xr:uid="{00000000-0005-0000-0000-0000151E0000}"/>
    <cellStyle name="Comma 2 2 3 6 6 4" xfId="30960" xr:uid="{00000000-0005-0000-0000-0000161E0000}"/>
    <cellStyle name="Comma 2 2 3 6 6 5" xfId="35243" xr:uid="{00000000-0005-0000-0000-0000171E0000}"/>
    <cellStyle name="Comma 2 2 3 6 7" xfId="15277" xr:uid="{00000000-0005-0000-0000-0000181E0000}"/>
    <cellStyle name="Comma 2 2 3 6 7 2" xfId="24290" xr:uid="{00000000-0005-0000-0000-0000191E0000}"/>
    <cellStyle name="Comma 2 2 3 6 7 2 2" xfId="43719" xr:uid="{00000000-0005-0000-0000-00001A1E0000}"/>
    <cellStyle name="Comma 2 2 3 6 7 2 3" xfId="37296" xr:uid="{00000000-0005-0000-0000-00001B1E0000}"/>
    <cellStyle name="Comma 2 2 3 6 7 3" xfId="28613" xr:uid="{00000000-0005-0000-0000-00001C1E0000}"/>
    <cellStyle name="Comma 2 2 3 6 7 3 2" xfId="40512" xr:uid="{00000000-0005-0000-0000-00001D1E0000}"/>
    <cellStyle name="Comma 2 2 3 6 7 4" xfId="31948" xr:uid="{00000000-0005-0000-0000-00001E1E0000}"/>
    <cellStyle name="Comma 2 2 3 6 7 5" xfId="34088" xr:uid="{00000000-0005-0000-0000-00001F1E0000}"/>
    <cellStyle name="Comma 2 2 3 6 8" xfId="8093" xr:uid="{00000000-0005-0000-0000-0000201E0000}"/>
    <cellStyle name="Comma 2 2 3 6 8 2" xfId="42733" xr:uid="{00000000-0005-0000-0000-0000211E0000}"/>
    <cellStyle name="Comma 2 2 3 6 8 3" xfId="36309" xr:uid="{00000000-0005-0000-0000-0000221E0000}"/>
    <cellStyle name="Comma 2 2 3 6 9" xfId="21084" xr:uid="{00000000-0005-0000-0000-0000231E0000}"/>
    <cellStyle name="Comma 2 2 3 6 9 2" xfId="39526" xr:uid="{00000000-0005-0000-0000-0000241E0000}"/>
    <cellStyle name="Comma 2 2 3 7" xfId="881" xr:uid="{00000000-0005-0000-0000-0000251E0000}"/>
    <cellStyle name="Comma 2 2 3 7 10" xfId="33107" xr:uid="{00000000-0005-0000-0000-0000261E0000}"/>
    <cellStyle name="Comma 2 2 3 7 2" xfId="9652" xr:uid="{00000000-0005-0000-0000-0000271E0000}"/>
    <cellStyle name="Comma 2 2 3 7 2 2" xfId="25452" xr:uid="{00000000-0005-0000-0000-0000281E0000}"/>
    <cellStyle name="Comma 2 2 3 7 2 2 2" xfId="44879" xr:uid="{00000000-0005-0000-0000-0000291E0000}"/>
    <cellStyle name="Comma 2 2 3 7 2 2 3" xfId="38456" xr:uid="{00000000-0005-0000-0000-00002A1E0000}"/>
    <cellStyle name="Comma 2 2 3 7 2 3" xfId="27630" xr:uid="{00000000-0005-0000-0000-00002B1E0000}"/>
    <cellStyle name="Comma 2 2 3 7 2 3 2" xfId="41672" xr:uid="{00000000-0005-0000-0000-00002C1E0000}"/>
    <cellStyle name="Comma 2 2 3 7 2 4" xfId="30965" xr:uid="{00000000-0005-0000-0000-00002D1E0000}"/>
    <cellStyle name="Comma 2 2 3 7 2 5" xfId="35248" xr:uid="{00000000-0005-0000-0000-00002E1E0000}"/>
    <cellStyle name="Comma 2 2 3 7 3" xfId="15282" xr:uid="{00000000-0005-0000-0000-00002F1E0000}"/>
    <cellStyle name="Comma 2 2 3 7 3 2" xfId="24295" xr:uid="{00000000-0005-0000-0000-0000301E0000}"/>
    <cellStyle name="Comma 2 2 3 7 3 2 2" xfId="43724" xr:uid="{00000000-0005-0000-0000-0000311E0000}"/>
    <cellStyle name="Comma 2 2 3 7 3 2 3" xfId="37301" xr:uid="{00000000-0005-0000-0000-0000321E0000}"/>
    <cellStyle name="Comma 2 2 3 7 3 3" xfId="28618" xr:uid="{00000000-0005-0000-0000-0000331E0000}"/>
    <cellStyle name="Comma 2 2 3 7 3 3 2" xfId="40517" xr:uid="{00000000-0005-0000-0000-0000341E0000}"/>
    <cellStyle name="Comma 2 2 3 7 3 4" xfId="31953" xr:uid="{00000000-0005-0000-0000-0000351E0000}"/>
    <cellStyle name="Comma 2 2 3 7 3 5" xfId="34093" xr:uid="{00000000-0005-0000-0000-0000361E0000}"/>
    <cellStyle name="Comma 2 2 3 7 4" xfId="8098" xr:uid="{00000000-0005-0000-0000-0000371E0000}"/>
    <cellStyle name="Comma 2 2 3 7 4 2" xfId="42738" xr:uid="{00000000-0005-0000-0000-0000381E0000}"/>
    <cellStyle name="Comma 2 2 3 7 4 3" xfId="36314" xr:uid="{00000000-0005-0000-0000-0000391E0000}"/>
    <cellStyle name="Comma 2 2 3 7 5" xfId="21089" xr:uid="{00000000-0005-0000-0000-00003A1E0000}"/>
    <cellStyle name="Comma 2 2 3 7 5 2" xfId="39531" xr:uid="{00000000-0005-0000-0000-00003B1E0000}"/>
    <cellStyle name="Comma 2 2 3 7 6" xfId="22162" xr:uid="{00000000-0005-0000-0000-00003C1E0000}"/>
    <cellStyle name="Comma 2 2 3 7 7" xfId="23309" xr:uid="{00000000-0005-0000-0000-00003D1E0000}"/>
    <cellStyle name="Comma 2 2 3 7 8" xfId="26484" xr:uid="{00000000-0005-0000-0000-00003E1E0000}"/>
    <cellStyle name="Comma 2 2 3 7 9" xfId="29817" xr:uid="{00000000-0005-0000-0000-00003F1E0000}"/>
    <cellStyle name="Comma 2 2 3 8" xfId="882" xr:uid="{00000000-0005-0000-0000-0000401E0000}"/>
    <cellStyle name="Comma 2 2 3 8 10" xfId="33108" xr:uid="{00000000-0005-0000-0000-0000411E0000}"/>
    <cellStyle name="Comma 2 2 3 8 2" xfId="9653" xr:uid="{00000000-0005-0000-0000-0000421E0000}"/>
    <cellStyle name="Comma 2 2 3 8 2 2" xfId="25453" xr:uid="{00000000-0005-0000-0000-0000431E0000}"/>
    <cellStyle name="Comma 2 2 3 8 2 2 2" xfId="44880" xr:uid="{00000000-0005-0000-0000-0000441E0000}"/>
    <cellStyle name="Comma 2 2 3 8 2 2 3" xfId="38457" xr:uid="{00000000-0005-0000-0000-0000451E0000}"/>
    <cellStyle name="Comma 2 2 3 8 2 3" xfId="27631" xr:uid="{00000000-0005-0000-0000-0000461E0000}"/>
    <cellStyle name="Comma 2 2 3 8 2 3 2" xfId="41673" xr:uid="{00000000-0005-0000-0000-0000471E0000}"/>
    <cellStyle name="Comma 2 2 3 8 2 4" xfId="30966" xr:uid="{00000000-0005-0000-0000-0000481E0000}"/>
    <cellStyle name="Comma 2 2 3 8 2 5" xfId="35249" xr:uid="{00000000-0005-0000-0000-0000491E0000}"/>
    <cellStyle name="Comma 2 2 3 8 3" xfId="15283" xr:uid="{00000000-0005-0000-0000-00004A1E0000}"/>
    <cellStyle name="Comma 2 2 3 8 3 2" xfId="24296" xr:uid="{00000000-0005-0000-0000-00004B1E0000}"/>
    <cellStyle name="Comma 2 2 3 8 3 2 2" xfId="43725" xr:uid="{00000000-0005-0000-0000-00004C1E0000}"/>
    <cellStyle name="Comma 2 2 3 8 3 2 3" xfId="37302" xr:uid="{00000000-0005-0000-0000-00004D1E0000}"/>
    <cellStyle name="Comma 2 2 3 8 3 3" xfId="28619" xr:uid="{00000000-0005-0000-0000-00004E1E0000}"/>
    <cellStyle name="Comma 2 2 3 8 3 3 2" xfId="40518" xr:uid="{00000000-0005-0000-0000-00004F1E0000}"/>
    <cellStyle name="Comma 2 2 3 8 3 4" xfId="31954" xr:uid="{00000000-0005-0000-0000-0000501E0000}"/>
    <cellStyle name="Comma 2 2 3 8 3 5" xfId="34094" xr:uid="{00000000-0005-0000-0000-0000511E0000}"/>
    <cellStyle name="Comma 2 2 3 8 4" xfId="8099" xr:uid="{00000000-0005-0000-0000-0000521E0000}"/>
    <cellStyle name="Comma 2 2 3 8 4 2" xfId="42739" xr:uid="{00000000-0005-0000-0000-0000531E0000}"/>
    <cellStyle name="Comma 2 2 3 8 4 3" xfId="36315" xr:uid="{00000000-0005-0000-0000-0000541E0000}"/>
    <cellStyle name="Comma 2 2 3 8 5" xfId="21090" xr:uid="{00000000-0005-0000-0000-0000551E0000}"/>
    <cellStyle name="Comma 2 2 3 8 5 2" xfId="39532" xr:uid="{00000000-0005-0000-0000-0000561E0000}"/>
    <cellStyle name="Comma 2 2 3 8 6" xfId="22163" xr:uid="{00000000-0005-0000-0000-0000571E0000}"/>
    <cellStyle name="Comma 2 2 3 8 7" xfId="23310" xr:uid="{00000000-0005-0000-0000-0000581E0000}"/>
    <cellStyle name="Comma 2 2 3 8 8" xfId="26485" xr:uid="{00000000-0005-0000-0000-0000591E0000}"/>
    <cellStyle name="Comma 2 2 3 8 9" xfId="29818" xr:uid="{00000000-0005-0000-0000-00005A1E0000}"/>
    <cellStyle name="Comma 2 2 3 9" xfId="883" xr:uid="{00000000-0005-0000-0000-00005B1E0000}"/>
    <cellStyle name="Comma 2 2 3 9 10" xfId="33109" xr:uid="{00000000-0005-0000-0000-00005C1E0000}"/>
    <cellStyle name="Comma 2 2 3 9 2" xfId="9654" xr:uid="{00000000-0005-0000-0000-00005D1E0000}"/>
    <cellStyle name="Comma 2 2 3 9 2 2" xfId="25454" xr:uid="{00000000-0005-0000-0000-00005E1E0000}"/>
    <cellStyle name="Comma 2 2 3 9 2 2 2" xfId="44881" xr:uid="{00000000-0005-0000-0000-00005F1E0000}"/>
    <cellStyle name="Comma 2 2 3 9 2 2 3" xfId="38458" xr:uid="{00000000-0005-0000-0000-0000601E0000}"/>
    <cellStyle name="Comma 2 2 3 9 2 3" xfId="27632" xr:uid="{00000000-0005-0000-0000-0000611E0000}"/>
    <cellStyle name="Comma 2 2 3 9 2 3 2" xfId="41674" xr:uid="{00000000-0005-0000-0000-0000621E0000}"/>
    <cellStyle name="Comma 2 2 3 9 2 4" xfId="30967" xr:uid="{00000000-0005-0000-0000-0000631E0000}"/>
    <cellStyle name="Comma 2 2 3 9 2 5" xfId="35250" xr:uid="{00000000-0005-0000-0000-0000641E0000}"/>
    <cellStyle name="Comma 2 2 3 9 3" xfId="15284" xr:uid="{00000000-0005-0000-0000-0000651E0000}"/>
    <cellStyle name="Comma 2 2 3 9 3 2" xfId="24297" xr:uid="{00000000-0005-0000-0000-0000661E0000}"/>
    <cellStyle name="Comma 2 2 3 9 3 2 2" xfId="43726" xr:uid="{00000000-0005-0000-0000-0000671E0000}"/>
    <cellStyle name="Comma 2 2 3 9 3 2 3" xfId="37303" xr:uid="{00000000-0005-0000-0000-0000681E0000}"/>
    <cellStyle name="Comma 2 2 3 9 3 3" xfId="28620" xr:uid="{00000000-0005-0000-0000-0000691E0000}"/>
    <cellStyle name="Comma 2 2 3 9 3 3 2" xfId="40519" xr:uid="{00000000-0005-0000-0000-00006A1E0000}"/>
    <cellStyle name="Comma 2 2 3 9 3 4" xfId="31955" xr:uid="{00000000-0005-0000-0000-00006B1E0000}"/>
    <cellStyle name="Comma 2 2 3 9 3 5" xfId="34095" xr:uid="{00000000-0005-0000-0000-00006C1E0000}"/>
    <cellStyle name="Comma 2 2 3 9 4" xfId="8100" xr:uid="{00000000-0005-0000-0000-00006D1E0000}"/>
    <cellStyle name="Comma 2 2 3 9 4 2" xfId="42740" xr:uid="{00000000-0005-0000-0000-00006E1E0000}"/>
    <cellStyle name="Comma 2 2 3 9 4 3" xfId="36316" xr:uid="{00000000-0005-0000-0000-00006F1E0000}"/>
    <cellStyle name="Comma 2 2 3 9 5" xfId="21091" xr:uid="{00000000-0005-0000-0000-0000701E0000}"/>
    <cellStyle name="Comma 2 2 3 9 5 2" xfId="39533" xr:uid="{00000000-0005-0000-0000-0000711E0000}"/>
    <cellStyle name="Comma 2 2 3 9 6" xfId="22164" xr:uid="{00000000-0005-0000-0000-0000721E0000}"/>
    <cellStyle name="Comma 2 2 3 9 7" xfId="23311" xr:uid="{00000000-0005-0000-0000-0000731E0000}"/>
    <cellStyle name="Comma 2 2 3 9 8" xfId="26486" xr:uid="{00000000-0005-0000-0000-0000741E0000}"/>
    <cellStyle name="Comma 2 2 3 9 9" xfId="29819" xr:uid="{00000000-0005-0000-0000-0000751E0000}"/>
    <cellStyle name="Comma 2 2 4" xfId="198" xr:uid="{00000000-0005-0000-0000-0000761E0000}"/>
    <cellStyle name="Comma 2 2 4 10" xfId="884" xr:uid="{00000000-0005-0000-0000-0000771E0000}"/>
    <cellStyle name="Comma 2 2 4 10 10" xfId="33110" xr:uid="{00000000-0005-0000-0000-0000781E0000}"/>
    <cellStyle name="Comma 2 2 4 10 2" xfId="9655" xr:uid="{00000000-0005-0000-0000-0000791E0000}"/>
    <cellStyle name="Comma 2 2 4 10 2 2" xfId="25455" xr:uid="{00000000-0005-0000-0000-00007A1E0000}"/>
    <cellStyle name="Comma 2 2 4 10 2 2 2" xfId="44882" xr:uid="{00000000-0005-0000-0000-00007B1E0000}"/>
    <cellStyle name="Comma 2 2 4 10 2 2 3" xfId="38459" xr:uid="{00000000-0005-0000-0000-00007C1E0000}"/>
    <cellStyle name="Comma 2 2 4 10 2 3" xfId="27633" xr:uid="{00000000-0005-0000-0000-00007D1E0000}"/>
    <cellStyle name="Comma 2 2 4 10 2 3 2" xfId="41675" xr:uid="{00000000-0005-0000-0000-00007E1E0000}"/>
    <cellStyle name="Comma 2 2 4 10 2 4" xfId="30968" xr:uid="{00000000-0005-0000-0000-00007F1E0000}"/>
    <cellStyle name="Comma 2 2 4 10 2 5" xfId="35251" xr:uid="{00000000-0005-0000-0000-0000801E0000}"/>
    <cellStyle name="Comma 2 2 4 10 3" xfId="15286" xr:uid="{00000000-0005-0000-0000-0000811E0000}"/>
    <cellStyle name="Comma 2 2 4 10 3 2" xfId="24299" xr:uid="{00000000-0005-0000-0000-0000821E0000}"/>
    <cellStyle name="Comma 2 2 4 10 3 2 2" xfId="43728" xr:uid="{00000000-0005-0000-0000-0000831E0000}"/>
    <cellStyle name="Comma 2 2 4 10 3 2 3" xfId="37305" xr:uid="{00000000-0005-0000-0000-0000841E0000}"/>
    <cellStyle name="Comma 2 2 4 10 3 3" xfId="28622" xr:uid="{00000000-0005-0000-0000-0000851E0000}"/>
    <cellStyle name="Comma 2 2 4 10 3 3 2" xfId="40521" xr:uid="{00000000-0005-0000-0000-0000861E0000}"/>
    <cellStyle name="Comma 2 2 4 10 3 4" xfId="31957" xr:uid="{00000000-0005-0000-0000-0000871E0000}"/>
    <cellStyle name="Comma 2 2 4 10 3 5" xfId="34097" xr:uid="{00000000-0005-0000-0000-0000881E0000}"/>
    <cellStyle name="Comma 2 2 4 10 4" xfId="8102" xr:uid="{00000000-0005-0000-0000-0000891E0000}"/>
    <cellStyle name="Comma 2 2 4 10 4 2" xfId="42741" xr:uid="{00000000-0005-0000-0000-00008A1E0000}"/>
    <cellStyle name="Comma 2 2 4 10 4 3" xfId="36317" xr:uid="{00000000-0005-0000-0000-00008B1E0000}"/>
    <cellStyle name="Comma 2 2 4 10 5" xfId="21093" xr:uid="{00000000-0005-0000-0000-00008C1E0000}"/>
    <cellStyle name="Comma 2 2 4 10 5 2" xfId="39534" xr:uid="{00000000-0005-0000-0000-00008D1E0000}"/>
    <cellStyle name="Comma 2 2 4 10 6" xfId="22166" xr:uid="{00000000-0005-0000-0000-00008E1E0000}"/>
    <cellStyle name="Comma 2 2 4 10 7" xfId="23312" xr:uid="{00000000-0005-0000-0000-00008F1E0000}"/>
    <cellStyle name="Comma 2 2 4 10 8" xfId="26488" xr:uid="{00000000-0005-0000-0000-0000901E0000}"/>
    <cellStyle name="Comma 2 2 4 10 9" xfId="29821" xr:uid="{00000000-0005-0000-0000-0000911E0000}"/>
    <cellStyle name="Comma 2 2 4 11" xfId="9073" xr:uid="{00000000-0005-0000-0000-0000921E0000}"/>
    <cellStyle name="Comma 2 2 4 11 2" xfId="25128" xr:uid="{00000000-0005-0000-0000-0000931E0000}"/>
    <cellStyle name="Comma 2 2 4 11 2 2" xfId="44555" xr:uid="{00000000-0005-0000-0000-0000941E0000}"/>
    <cellStyle name="Comma 2 2 4 11 2 3" xfId="38132" xr:uid="{00000000-0005-0000-0000-0000951E0000}"/>
    <cellStyle name="Comma 2 2 4 11 3" xfId="27307" xr:uid="{00000000-0005-0000-0000-0000961E0000}"/>
    <cellStyle name="Comma 2 2 4 11 3 2" xfId="41348" xr:uid="{00000000-0005-0000-0000-0000971E0000}"/>
    <cellStyle name="Comma 2 2 4 11 4" xfId="30642" xr:uid="{00000000-0005-0000-0000-0000981E0000}"/>
    <cellStyle name="Comma 2 2 4 11 5" xfId="34924" xr:uid="{00000000-0005-0000-0000-0000991E0000}"/>
    <cellStyle name="Comma 2 2 4 12" xfId="15285" xr:uid="{00000000-0005-0000-0000-00009A1E0000}"/>
    <cellStyle name="Comma 2 2 4 12 2" xfId="24298" xr:uid="{00000000-0005-0000-0000-00009B1E0000}"/>
    <cellStyle name="Comma 2 2 4 12 2 2" xfId="43727" xr:uid="{00000000-0005-0000-0000-00009C1E0000}"/>
    <cellStyle name="Comma 2 2 4 12 2 3" xfId="37304" xr:uid="{00000000-0005-0000-0000-00009D1E0000}"/>
    <cellStyle name="Comma 2 2 4 12 3" xfId="28621" xr:uid="{00000000-0005-0000-0000-00009E1E0000}"/>
    <cellStyle name="Comma 2 2 4 12 3 2" xfId="40520" xr:uid="{00000000-0005-0000-0000-00009F1E0000}"/>
    <cellStyle name="Comma 2 2 4 12 4" xfId="31956" xr:uid="{00000000-0005-0000-0000-0000A01E0000}"/>
    <cellStyle name="Comma 2 2 4 12 5" xfId="34096" xr:uid="{00000000-0005-0000-0000-0000A11E0000}"/>
    <cellStyle name="Comma 2 2 4 13" xfId="8101" xr:uid="{00000000-0005-0000-0000-0000A21E0000}"/>
    <cellStyle name="Comma 2 2 4 13 2" xfId="42418" xr:uid="{00000000-0005-0000-0000-0000A31E0000}"/>
    <cellStyle name="Comma 2 2 4 13 3" xfId="35994" xr:uid="{00000000-0005-0000-0000-0000A41E0000}"/>
    <cellStyle name="Comma 2 2 4 14" xfId="21092" xr:uid="{00000000-0005-0000-0000-0000A51E0000}"/>
    <cellStyle name="Comma 2 2 4 14 2" xfId="39211" xr:uid="{00000000-0005-0000-0000-0000A61E0000}"/>
    <cellStyle name="Comma 2 2 4 15" xfId="22165" xr:uid="{00000000-0005-0000-0000-0000A71E0000}"/>
    <cellStyle name="Comma 2 2 4 16" xfId="22989" xr:uid="{00000000-0005-0000-0000-0000A81E0000}"/>
    <cellStyle name="Comma 2 2 4 17" xfId="26487" xr:uid="{00000000-0005-0000-0000-0000A91E0000}"/>
    <cellStyle name="Comma 2 2 4 18" xfId="29820" xr:uid="{00000000-0005-0000-0000-0000AA1E0000}"/>
    <cellStyle name="Comma 2 2 4 19" xfId="32787" xr:uid="{00000000-0005-0000-0000-0000AB1E0000}"/>
    <cellStyle name="Comma 2 2 4 2" xfId="268" xr:uid="{00000000-0005-0000-0000-0000AC1E0000}"/>
    <cellStyle name="Comma 2 2 4 2 10" xfId="15287" xr:uid="{00000000-0005-0000-0000-0000AD1E0000}"/>
    <cellStyle name="Comma 2 2 4 2 10 2" xfId="24300" xr:uid="{00000000-0005-0000-0000-0000AE1E0000}"/>
    <cellStyle name="Comma 2 2 4 2 10 2 2" xfId="43729" xr:uid="{00000000-0005-0000-0000-0000AF1E0000}"/>
    <cellStyle name="Comma 2 2 4 2 10 2 3" xfId="37306" xr:uid="{00000000-0005-0000-0000-0000B01E0000}"/>
    <cellStyle name="Comma 2 2 4 2 10 3" xfId="28623" xr:uid="{00000000-0005-0000-0000-0000B11E0000}"/>
    <cellStyle name="Comma 2 2 4 2 10 3 2" xfId="40522" xr:uid="{00000000-0005-0000-0000-0000B21E0000}"/>
    <cellStyle name="Comma 2 2 4 2 10 4" xfId="31958" xr:uid="{00000000-0005-0000-0000-0000B31E0000}"/>
    <cellStyle name="Comma 2 2 4 2 10 5" xfId="34098" xr:uid="{00000000-0005-0000-0000-0000B41E0000}"/>
    <cellStyle name="Comma 2 2 4 2 11" xfId="8103" xr:uid="{00000000-0005-0000-0000-0000B51E0000}"/>
    <cellStyle name="Comma 2 2 4 2 11 2" xfId="42469" xr:uid="{00000000-0005-0000-0000-0000B61E0000}"/>
    <cellStyle name="Comma 2 2 4 2 11 3" xfId="36045" xr:uid="{00000000-0005-0000-0000-0000B71E0000}"/>
    <cellStyle name="Comma 2 2 4 2 12" xfId="21094" xr:uid="{00000000-0005-0000-0000-0000B81E0000}"/>
    <cellStyle name="Comma 2 2 4 2 12 2" xfId="39262" xr:uid="{00000000-0005-0000-0000-0000B91E0000}"/>
    <cellStyle name="Comma 2 2 4 2 13" xfId="22167" xr:uid="{00000000-0005-0000-0000-0000BA1E0000}"/>
    <cellStyle name="Comma 2 2 4 2 14" xfId="23040" xr:uid="{00000000-0005-0000-0000-0000BB1E0000}"/>
    <cellStyle name="Comma 2 2 4 2 15" xfId="26489" xr:uid="{00000000-0005-0000-0000-0000BC1E0000}"/>
    <cellStyle name="Comma 2 2 4 2 16" xfId="29822" xr:uid="{00000000-0005-0000-0000-0000BD1E0000}"/>
    <cellStyle name="Comma 2 2 4 2 17" xfId="32838" xr:uid="{00000000-0005-0000-0000-0000BE1E0000}"/>
    <cellStyle name="Comma 2 2 4 2 2" xfId="240" xr:uid="{00000000-0005-0000-0000-0000BF1E0000}"/>
    <cellStyle name="Comma 2 2 4 2 2 10" xfId="21095" xr:uid="{00000000-0005-0000-0000-0000C01E0000}"/>
    <cellStyle name="Comma 2 2 4 2 2 10 2" xfId="39240" xr:uid="{00000000-0005-0000-0000-0000C11E0000}"/>
    <cellStyle name="Comma 2 2 4 2 2 11" xfId="22168" xr:uid="{00000000-0005-0000-0000-0000C21E0000}"/>
    <cellStyle name="Comma 2 2 4 2 2 12" xfId="23018" xr:uid="{00000000-0005-0000-0000-0000C31E0000}"/>
    <cellStyle name="Comma 2 2 4 2 2 13" xfId="26490" xr:uid="{00000000-0005-0000-0000-0000C41E0000}"/>
    <cellStyle name="Comma 2 2 4 2 2 14" xfId="29823" xr:uid="{00000000-0005-0000-0000-0000C51E0000}"/>
    <cellStyle name="Comma 2 2 4 2 2 15" xfId="32816" xr:uid="{00000000-0005-0000-0000-0000C61E0000}"/>
    <cellStyle name="Comma 2 2 4 2 2 2" xfId="885" xr:uid="{00000000-0005-0000-0000-0000C71E0000}"/>
    <cellStyle name="Comma 2 2 4 2 2 2 10" xfId="33111" xr:uid="{00000000-0005-0000-0000-0000C81E0000}"/>
    <cellStyle name="Comma 2 2 4 2 2 2 2" xfId="9656" xr:uid="{00000000-0005-0000-0000-0000C91E0000}"/>
    <cellStyle name="Comma 2 2 4 2 2 2 2 2" xfId="25456" xr:uid="{00000000-0005-0000-0000-0000CA1E0000}"/>
    <cellStyle name="Comma 2 2 4 2 2 2 2 2 2" xfId="44883" xr:uid="{00000000-0005-0000-0000-0000CB1E0000}"/>
    <cellStyle name="Comma 2 2 4 2 2 2 2 2 3" xfId="38460" xr:uid="{00000000-0005-0000-0000-0000CC1E0000}"/>
    <cellStyle name="Comma 2 2 4 2 2 2 2 3" xfId="27634" xr:uid="{00000000-0005-0000-0000-0000CD1E0000}"/>
    <cellStyle name="Comma 2 2 4 2 2 2 2 3 2" xfId="41676" xr:uid="{00000000-0005-0000-0000-0000CE1E0000}"/>
    <cellStyle name="Comma 2 2 4 2 2 2 2 4" xfId="30969" xr:uid="{00000000-0005-0000-0000-0000CF1E0000}"/>
    <cellStyle name="Comma 2 2 4 2 2 2 2 5" xfId="35252" xr:uid="{00000000-0005-0000-0000-0000D01E0000}"/>
    <cellStyle name="Comma 2 2 4 2 2 2 3" xfId="15289" xr:uid="{00000000-0005-0000-0000-0000D11E0000}"/>
    <cellStyle name="Comma 2 2 4 2 2 2 3 2" xfId="24302" xr:uid="{00000000-0005-0000-0000-0000D21E0000}"/>
    <cellStyle name="Comma 2 2 4 2 2 2 3 2 2" xfId="43731" xr:uid="{00000000-0005-0000-0000-0000D31E0000}"/>
    <cellStyle name="Comma 2 2 4 2 2 2 3 2 3" xfId="37308" xr:uid="{00000000-0005-0000-0000-0000D41E0000}"/>
    <cellStyle name="Comma 2 2 4 2 2 2 3 3" xfId="28625" xr:uid="{00000000-0005-0000-0000-0000D51E0000}"/>
    <cellStyle name="Comma 2 2 4 2 2 2 3 3 2" xfId="40524" xr:uid="{00000000-0005-0000-0000-0000D61E0000}"/>
    <cellStyle name="Comma 2 2 4 2 2 2 3 4" xfId="31960" xr:uid="{00000000-0005-0000-0000-0000D71E0000}"/>
    <cellStyle name="Comma 2 2 4 2 2 2 3 5" xfId="34100" xr:uid="{00000000-0005-0000-0000-0000D81E0000}"/>
    <cellStyle name="Comma 2 2 4 2 2 2 4" xfId="8105" xr:uid="{00000000-0005-0000-0000-0000D91E0000}"/>
    <cellStyle name="Comma 2 2 4 2 2 2 4 2" xfId="42742" xr:uid="{00000000-0005-0000-0000-0000DA1E0000}"/>
    <cellStyle name="Comma 2 2 4 2 2 2 4 3" xfId="36318" xr:uid="{00000000-0005-0000-0000-0000DB1E0000}"/>
    <cellStyle name="Comma 2 2 4 2 2 2 5" xfId="21096" xr:uid="{00000000-0005-0000-0000-0000DC1E0000}"/>
    <cellStyle name="Comma 2 2 4 2 2 2 5 2" xfId="39535" xr:uid="{00000000-0005-0000-0000-0000DD1E0000}"/>
    <cellStyle name="Comma 2 2 4 2 2 2 6" xfId="22169" xr:uid="{00000000-0005-0000-0000-0000DE1E0000}"/>
    <cellStyle name="Comma 2 2 4 2 2 2 7" xfId="23313" xr:uid="{00000000-0005-0000-0000-0000DF1E0000}"/>
    <cellStyle name="Comma 2 2 4 2 2 2 8" xfId="26491" xr:uid="{00000000-0005-0000-0000-0000E01E0000}"/>
    <cellStyle name="Comma 2 2 4 2 2 2 9" xfId="29824" xr:uid="{00000000-0005-0000-0000-0000E11E0000}"/>
    <cellStyle name="Comma 2 2 4 2 2 3" xfId="886" xr:uid="{00000000-0005-0000-0000-0000E21E0000}"/>
    <cellStyle name="Comma 2 2 4 2 2 3 10" xfId="33112" xr:uid="{00000000-0005-0000-0000-0000E31E0000}"/>
    <cellStyle name="Comma 2 2 4 2 2 3 2" xfId="9657" xr:uid="{00000000-0005-0000-0000-0000E41E0000}"/>
    <cellStyle name="Comma 2 2 4 2 2 3 2 2" xfId="25457" xr:uid="{00000000-0005-0000-0000-0000E51E0000}"/>
    <cellStyle name="Comma 2 2 4 2 2 3 2 2 2" xfId="44884" xr:uid="{00000000-0005-0000-0000-0000E61E0000}"/>
    <cellStyle name="Comma 2 2 4 2 2 3 2 2 3" xfId="38461" xr:uid="{00000000-0005-0000-0000-0000E71E0000}"/>
    <cellStyle name="Comma 2 2 4 2 2 3 2 3" xfId="27635" xr:uid="{00000000-0005-0000-0000-0000E81E0000}"/>
    <cellStyle name="Comma 2 2 4 2 2 3 2 3 2" xfId="41677" xr:uid="{00000000-0005-0000-0000-0000E91E0000}"/>
    <cellStyle name="Comma 2 2 4 2 2 3 2 4" xfId="30970" xr:uid="{00000000-0005-0000-0000-0000EA1E0000}"/>
    <cellStyle name="Comma 2 2 4 2 2 3 2 5" xfId="35253" xr:uid="{00000000-0005-0000-0000-0000EB1E0000}"/>
    <cellStyle name="Comma 2 2 4 2 2 3 3" xfId="15290" xr:uid="{00000000-0005-0000-0000-0000EC1E0000}"/>
    <cellStyle name="Comma 2 2 4 2 2 3 3 2" xfId="24303" xr:uid="{00000000-0005-0000-0000-0000ED1E0000}"/>
    <cellStyle name="Comma 2 2 4 2 2 3 3 2 2" xfId="43732" xr:uid="{00000000-0005-0000-0000-0000EE1E0000}"/>
    <cellStyle name="Comma 2 2 4 2 2 3 3 2 3" xfId="37309" xr:uid="{00000000-0005-0000-0000-0000EF1E0000}"/>
    <cellStyle name="Comma 2 2 4 2 2 3 3 3" xfId="28626" xr:uid="{00000000-0005-0000-0000-0000F01E0000}"/>
    <cellStyle name="Comma 2 2 4 2 2 3 3 3 2" xfId="40525" xr:uid="{00000000-0005-0000-0000-0000F11E0000}"/>
    <cellStyle name="Comma 2 2 4 2 2 3 3 4" xfId="31961" xr:uid="{00000000-0005-0000-0000-0000F21E0000}"/>
    <cellStyle name="Comma 2 2 4 2 2 3 3 5" xfId="34101" xr:uid="{00000000-0005-0000-0000-0000F31E0000}"/>
    <cellStyle name="Comma 2 2 4 2 2 3 4" xfId="8106" xr:uid="{00000000-0005-0000-0000-0000F41E0000}"/>
    <cellStyle name="Comma 2 2 4 2 2 3 4 2" xfId="42743" xr:uid="{00000000-0005-0000-0000-0000F51E0000}"/>
    <cellStyle name="Comma 2 2 4 2 2 3 4 3" xfId="36319" xr:uid="{00000000-0005-0000-0000-0000F61E0000}"/>
    <cellStyle name="Comma 2 2 4 2 2 3 5" xfId="21097" xr:uid="{00000000-0005-0000-0000-0000F71E0000}"/>
    <cellStyle name="Comma 2 2 4 2 2 3 5 2" xfId="39536" xr:uid="{00000000-0005-0000-0000-0000F81E0000}"/>
    <cellStyle name="Comma 2 2 4 2 2 3 6" xfId="22170" xr:uid="{00000000-0005-0000-0000-0000F91E0000}"/>
    <cellStyle name="Comma 2 2 4 2 2 3 7" xfId="23314" xr:uid="{00000000-0005-0000-0000-0000FA1E0000}"/>
    <cellStyle name="Comma 2 2 4 2 2 3 8" xfId="26492" xr:uid="{00000000-0005-0000-0000-0000FB1E0000}"/>
    <cellStyle name="Comma 2 2 4 2 2 3 9" xfId="29825" xr:uid="{00000000-0005-0000-0000-0000FC1E0000}"/>
    <cellStyle name="Comma 2 2 4 2 2 4" xfId="887" xr:uid="{00000000-0005-0000-0000-0000FD1E0000}"/>
    <cellStyle name="Comma 2 2 4 2 2 4 10" xfId="33113" xr:uid="{00000000-0005-0000-0000-0000FE1E0000}"/>
    <cellStyle name="Comma 2 2 4 2 2 4 2" xfId="9658" xr:uid="{00000000-0005-0000-0000-0000FF1E0000}"/>
    <cellStyle name="Comma 2 2 4 2 2 4 2 2" xfId="25458" xr:uid="{00000000-0005-0000-0000-0000001F0000}"/>
    <cellStyle name="Comma 2 2 4 2 2 4 2 2 2" xfId="44885" xr:uid="{00000000-0005-0000-0000-0000011F0000}"/>
    <cellStyle name="Comma 2 2 4 2 2 4 2 2 3" xfId="38462" xr:uid="{00000000-0005-0000-0000-0000021F0000}"/>
    <cellStyle name="Comma 2 2 4 2 2 4 2 3" xfId="27636" xr:uid="{00000000-0005-0000-0000-0000031F0000}"/>
    <cellStyle name="Comma 2 2 4 2 2 4 2 3 2" xfId="41678" xr:uid="{00000000-0005-0000-0000-0000041F0000}"/>
    <cellStyle name="Comma 2 2 4 2 2 4 2 4" xfId="30971" xr:uid="{00000000-0005-0000-0000-0000051F0000}"/>
    <cellStyle name="Comma 2 2 4 2 2 4 2 5" xfId="35254" xr:uid="{00000000-0005-0000-0000-0000061F0000}"/>
    <cellStyle name="Comma 2 2 4 2 2 4 3" xfId="15291" xr:uid="{00000000-0005-0000-0000-0000071F0000}"/>
    <cellStyle name="Comma 2 2 4 2 2 4 3 2" xfId="24304" xr:uid="{00000000-0005-0000-0000-0000081F0000}"/>
    <cellStyle name="Comma 2 2 4 2 2 4 3 2 2" xfId="43733" xr:uid="{00000000-0005-0000-0000-0000091F0000}"/>
    <cellStyle name="Comma 2 2 4 2 2 4 3 2 3" xfId="37310" xr:uid="{00000000-0005-0000-0000-00000A1F0000}"/>
    <cellStyle name="Comma 2 2 4 2 2 4 3 3" xfId="28627" xr:uid="{00000000-0005-0000-0000-00000B1F0000}"/>
    <cellStyle name="Comma 2 2 4 2 2 4 3 3 2" xfId="40526" xr:uid="{00000000-0005-0000-0000-00000C1F0000}"/>
    <cellStyle name="Comma 2 2 4 2 2 4 3 4" xfId="31962" xr:uid="{00000000-0005-0000-0000-00000D1F0000}"/>
    <cellStyle name="Comma 2 2 4 2 2 4 3 5" xfId="34102" xr:uid="{00000000-0005-0000-0000-00000E1F0000}"/>
    <cellStyle name="Comma 2 2 4 2 2 4 4" xfId="8107" xr:uid="{00000000-0005-0000-0000-00000F1F0000}"/>
    <cellStyle name="Comma 2 2 4 2 2 4 4 2" xfId="42744" xr:uid="{00000000-0005-0000-0000-0000101F0000}"/>
    <cellStyle name="Comma 2 2 4 2 2 4 4 3" xfId="36320" xr:uid="{00000000-0005-0000-0000-0000111F0000}"/>
    <cellStyle name="Comma 2 2 4 2 2 4 5" xfId="21098" xr:uid="{00000000-0005-0000-0000-0000121F0000}"/>
    <cellStyle name="Comma 2 2 4 2 2 4 5 2" xfId="39537" xr:uid="{00000000-0005-0000-0000-0000131F0000}"/>
    <cellStyle name="Comma 2 2 4 2 2 4 6" xfId="22171" xr:uid="{00000000-0005-0000-0000-0000141F0000}"/>
    <cellStyle name="Comma 2 2 4 2 2 4 7" xfId="23315" xr:uid="{00000000-0005-0000-0000-0000151F0000}"/>
    <cellStyle name="Comma 2 2 4 2 2 4 8" xfId="26493" xr:uid="{00000000-0005-0000-0000-0000161F0000}"/>
    <cellStyle name="Comma 2 2 4 2 2 4 9" xfId="29826" xr:uid="{00000000-0005-0000-0000-0000171F0000}"/>
    <cellStyle name="Comma 2 2 4 2 2 5" xfId="888" xr:uid="{00000000-0005-0000-0000-0000181F0000}"/>
    <cellStyle name="Comma 2 2 4 2 2 5 10" xfId="33114" xr:uid="{00000000-0005-0000-0000-0000191F0000}"/>
    <cellStyle name="Comma 2 2 4 2 2 5 2" xfId="9659" xr:uid="{00000000-0005-0000-0000-00001A1F0000}"/>
    <cellStyle name="Comma 2 2 4 2 2 5 2 2" xfId="25459" xr:uid="{00000000-0005-0000-0000-00001B1F0000}"/>
    <cellStyle name="Comma 2 2 4 2 2 5 2 2 2" xfId="44886" xr:uid="{00000000-0005-0000-0000-00001C1F0000}"/>
    <cellStyle name="Comma 2 2 4 2 2 5 2 2 3" xfId="38463" xr:uid="{00000000-0005-0000-0000-00001D1F0000}"/>
    <cellStyle name="Comma 2 2 4 2 2 5 2 3" xfId="27637" xr:uid="{00000000-0005-0000-0000-00001E1F0000}"/>
    <cellStyle name="Comma 2 2 4 2 2 5 2 3 2" xfId="41679" xr:uid="{00000000-0005-0000-0000-00001F1F0000}"/>
    <cellStyle name="Comma 2 2 4 2 2 5 2 4" xfId="30972" xr:uid="{00000000-0005-0000-0000-0000201F0000}"/>
    <cellStyle name="Comma 2 2 4 2 2 5 2 5" xfId="35255" xr:uid="{00000000-0005-0000-0000-0000211F0000}"/>
    <cellStyle name="Comma 2 2 4 2 2 5 3" xfId="15292" xr:uid="{00000000-0005-0000-0000-0000221F0000}"/>
    <cellStyle name="Comma 2 2 4 2 2 5 3 2" xfId="24305" xr:uid="{00000000-0005-0000-0000-0000231F0000}"/>
    <cellStyle name="Comma 2 2 4 2 2 5 3 2 2" xfId="43734" xr:uid="{00000000-0005-0000-0000-0000241F0000}"/>
    <cellStyle name="Comma 2 2 4 2 2 5 3 2 3" xfId="37311" xr:uid="{00000000-0005-0000-0000-0000251F0000}"/>
    <cellStyle name="Comma 2 2 4 2 2 5 3 3" xfId="28628" xr:uid="{00000000-0005-0000-0000-0000261F0000}"/>
    <cellStyle name="Comma 2 2 4 2 2 5 3 3 2" xfId="40527" xr:uid="{00000000-0005-0000-0000-0000271F0000}"/>
    <cellStyle name="Comma 2 2 4 2 2 5 3 4" xfId="31963" xr:uid="{00000000-0005-0000-0000-0000281F0000}"/>
    <cellStyle name="Comma 2 2 4 2 2 5 3 5" xfId="34103" xr:uid="{00000000-0005-0000-0000-0000291F0000}"/>
    <cellStyle name="Comma 2 2 4 2 2 5 4" xfId="8108" xr:uid="{00000000-0005-0000-0000-00002A1F0000}"/>
    <cellStyle name="Comma 2 2 4 2 2 5 4 2" xfId="42745" xr:uid="{00000000-0005-0000-0000-00002B1F0000}"/>
    <cellStyle name="Comma 2 2 4 2 2 5 4 3" xfId="36321" xr:uid="{00000000-0005-0000-0000-00002C1F0000}"/>
    <cellStyle name="Comma 2 2 4 2 2 5 5" xfId="21099" xr:uid="{00000000-0005-0000-0000-00002D1F0000}"/>
    <cellStyle name="Comma 2 2 4 2 2 5 5 2" xfId="39538" xr:uid="{00000000-0005-0000-0000-00002E1F0000}"/>
    <cellStyle name="Comma 2 2 4 2 2 5 6" xfId="22172" xr:uid="{00000000-0005-0000-0000-00002F1F0000}"/>
    <cellStyle name="Comma 2 2 4 2 2 5 7" xfId="23316" xr:uid="{00000000-0005-0000-0000-0000301F0000}"/>
    <cellStyle name="Comma 2 2 4 2 2 5 8" xfId="26494" xr:uid="{00000000-0005-0000-0000-0000311F0000}"/>
    <cellStyle name="Comma 2 2 4 2 2 5 9" xfId="29827" xr:uid="{00000000-0005-0000-0000-0000321F0000}"/>
    <cellStyle name="Comma 2 2 4 2 2 6" xfId="889" xr:uid="{00000000-0005-0000-0000-0000331F0000}"/>
    <cellStyle name="Comma 2 2 4 2 2 6 10" xfId="33115" xr:uid="{00000000-0005-0000-0000-0000341F0000}"/>
    <cellStyle name="Comma 2 2 4 2 2 6 2" xfId="9660" xr:uid="{00000000-0005-0000-0000-0000351F0000}"/>
    <cellStyle name="Comma 2 2 4 2 2 6 2 2" xfId="25460" xr:uid="{00000000-0005-0000-0000-0000361F0000}"/>
    <cellStyle name="Comma 2 2 4 2 2 6 2 2 2" xfId="44887" xr:uid="{00000000-0005-0000-0000-0000371F0000}"/>
    <cellStyle name="Comma 2 2 4 2 2 6 2 2 3" xfId="38464" xr:uid="{00000000-0005-0000-0000-0000381F0000}"/>
    <cellStyle name="Comma 2 2 4 2 2 6 2 3" xfId="27638" xr:uid="{00000000-0005-0000-0000-0000391F0000}"/>
    <cellStyle name="Comma 2 2 4 2 2 6 2 3 2" xfId="41680" xr:uid="{00000000-0005-0000-0000-00003A1F0000}"/>
    <cellStyle name="Comma 2 2 4 2 2 6 2 4" xfId="30973" xr:uid="{00000000-0005-0000-0000-00003B1F0000}"/>
    <cellStyle name="Comma 2 2 4 2 2 6 2 5" xfId="35256" xr:uid="{00000000-0005-0000-0000-00003C1F0000}"/>
    <cellStyle name="Comma 2 2 4 2 2 6 3" xfId="15293" xr:uid="{00000000-0005-0000-0000-00003D1F0000}"/>
    <cellStyle name="Comma 2 2 4 2 2 6 3 2" xfId="24306" xr:uid="{00000000-0005-0000-0000-00003E1F0000}"/>
    <cellStyle name="Comma 2 2 4 2 2 6 3 2 2" xfId="43735" xr:uid="{00000000-0005-0000-0000-00003F1F0000}"/>
    <cellStyle name="Comma 2 2 4 2 2 6 3 2 3" xfId="37312" xr:uid="{00000000-0005-0000-0000-0000401F0000}"/>
    <cellStyle name="Comma 2 2 4 2 2 6 3 3" xfId="28629" xr:uid="{00000000-0005-0000-0000-0000411F0000}"/>
    <cellStyle name="Comma 2 2 4 2 2 6 3 3 2" xfId="40528" xr:uid="{00000000-0005-0000-0000-0000421F0000}"/>
    <cellStyle name="Comma 2 2 4 2 2 6 3 4" xfId="31964" xr:uid="{00000000-0005-0000-0000-0000431F0000}"/>
    <cellStyle name="Comma 2 2 4 2 2 6 3 5" xfId="34104" xr:uid="{00000000-0005-0000-0000-0000441F0000}"/>
    <cellStyle name="Comma 2 2 4 2 2 6 4" xfId="8109" xr:uid="{00000000-0005-0000-0000-0000451F0000}"/>
    <cellStyle name="Comma 2 2 4 2 2 6 4 2" xfId="42746" xr:uid="{00000000-0005-0000-0000-0000461F0000}"/>
    <cellStyle name="Comma 2 2 4 2 2 6 4 3" xfId="36322" xr:uid="{00000000-0005-0000-0000-0000471F0000}"/>
    <cellStyle name="Comma 2 2 4 2 2 6 5" xfId="21100" xr:uid="{00000000-0005-0000-0000-0000481F0000}"/>
    <cellStyle name="Comma 2 2 4 2 2 6 5 2" xfId="39539" xr:uid="{00000000-0005-0000-0000-0000491F0000}"/>
    <cellStyle name="Comma 2 2 4 2 2 6 6" xfId="22173" xr:uid="{00000000-0005-0000-0000-00004A1F0000}"/>
    <cellStyle name="Comma 2 2 4 2 2 6 7" xfId="23317" xr:uid="{00000000-0005-0000-0000-00004B1F0000}"/>
    <cellStyle name="Comma 2 2 4 2 2 6 8" xfId="26495" xr:uid="{00000000-0005-0000-0000-00004C1F0000}"/>
    <cellStyle name="Comma 2 2 4 2 2 6 9" xfId="29828" xr:uid="{00000000-0005-0000-0000-00004D1F0000}"/>
    <cellStyle name="Comma 2 2 4 2 2 7" xfId="9103" xr:uid="{00000000-0005-0000-0000-00004E1F0000}"/>
    <cellStyle name="Comma 2 2 4 2 2 7 2" xfId="25157" xr:uid="{00000000-0005-0000-0000-00004F1F0000}"/>
    <cellStyle name="Comma 2 2 4 2 2 7 2 2" xfId="44584" xr:uid="{00000000-0005-0000-0000-0000501F0000}"/>
    <cellStyle name="Comma 2 2 4 2 2 7 2 3" xfId="38161" xr:uid="{00000000-0005-0000-0000-0000511F0000}"/>
    <cellStyle name="Comma 2 2 4 2 2 7 3" xfId="27336" xr:uid="{00000000-0005-0000-0000-0000521F0000}"/>
    <cellStyle name="Comma 2 2 4 2 2 7 3 2" xfId="41377" xr:uid="{00000000-0005-0000-0000-0000531F0000}"/>
    <cellStyle name="Comma 2 2 4 2 2 7 4" xfId="30671" xr:uid="{00000000-0005-0000-0000-0000541F0000}"/>
    <cellStyle name="Comma 2 2 4 2 2 7 5" xfId="34953" xr:uid="{00000000-0005-0000-0000-0000551F0000}"/>
    <cellStyle name="Comma 2 2 4 2 2 8" xfId="15288" xr:uid="{00000000-0005-0000-0000-0000561F0000}"/>
    <cellStyle name="Comma 2 2 4 2 2 8 2" xfId="24301" xr:uid="{00000000-0005-0000-0000-0000571F0000}"/>
    <cellStyle name="Comma 2 2 4 2 2 8 2 2" xfId="43730" xr:uid="{00000000-0005-0000-0000-0000581F0000}"/>
    <cellStyle name="Comma 2 2 4 2 2 8 2 3" xfId="37307" xr:uid="{00000000-0005-0000-0000-0000591F0000}"/>
    <cellStyle name="Comma 2 2 4 2 2 8 3" xfId="28624" xr:uid="{00000000-0005-0000-0000-00005A1F0000}"/>
    <cellStyle name="Comma 2 2 4 2 2 8 3 2" xfId="40523" xr:uid="{00000000-0005-0000-0000-00005B1F0000}"/>
    <cellStyle name="Comma 2 2 4 2 2 8 4" xfId="31959" xr:uid="{00000000-0005-0000-0000-00005C1F0000}"/>
    <cellStyle name="Comma 2 2 4 2 2 8 5" xfId="34099" xr:uid="{00000000-0005-0000-0000-00005D1F0000}"/>
    <cellStyle name="Comma 2 2 4 2 2 9" xfId="8104" xr:uid="{00000000-0005-0000-0000-00005E1F0000}"/>
    <cellStyle name="Comma 2 2 4 2 2 9 2" xfId="42447" xr:uid="{00000000-0005-0000-0000-00005F1F0000}"/>
    <cellStyle name="Comma 2 2 4 2 2 9 3" xfId="36023" xr:uid="{00000000-0005-0000-0000-0000601F0000}"/>
    <cellStyle name="Comma 2 2 4 2 3" xfId="890" xr:uid="{00000000-0005-0000-0000-0000611F0000}"/>
    <cellStyle name="Comma 2 2 4 2 3 10" xfId="22174" xr:uid="{00000000-0005-0000-0000-0000621F0000}"/>
    <cellStyle name="Comma 2 2 4 2 3 11" xfId="23318" xr:uid="{00000000-0005-0000-0000-0000631F0000}"/>
    <cellStyle name="Comma 2 2 4 2 3 12" xfId="26496" xr:uid="{00000000-0005-0000-0000-0000641F0000}"/>
    <cellStyle name="Comma 2 2 4 2 3 13" xfId="29829" xr:uid="{00000000-0005-0000-0000-0000651F0000}"/>
    <cellStyle name="Comma 2 2 4 2 3 14" xfId="33116" xr:uid="{00000000-0005-0000-0000-0000661F0000}"/>
    <cellStyle name="Comma 2 2 4 2 3 2" xfId="891" xr:uid="{00000000-0005-0000-0000-0000671F0000}"/>
    <cellStyle name="Comma 2 2 4 2 3 2 10" xfId="33117" xr:uid="{00000000-0005-0000-0000-0000681F0000}"/>
    <cellStyle name="Comma 2 2 4 2 3 2 2" xfId="9662" xr:uid="{00000000-0005-0000-0000-0000691F0000}"/>
    <cellStyle name="Comma 2 2 4 2 3 2 2 2" xfId="25462" xr:uid="{00000000-0005-0000-0000-00006A1F0000}"/>
    <cellStyle name="Comma 2 2 4 2 3 2 2 2 2" xfId="44889" xr:uid="{00000000-0005-0000-0000-00006B1F0000}"/>
    <cellStyle name="Comma 2 2 4 2 3 2 2 2 3" xfId="38466" xr:uid="{00000000-0005-0000-0000-00006C1F0000}"/>
    <cellStyle name="Comma 2 2 4 2 3 2 2 3" xfId="27640" xr:uid="{00000000-0005-0000-0000-00006D1F0000}"/>
    <cellStyle name="Comma 2 2 4 2 3 2 2 3 2" xfId="41682" xr:uid="{00000000-0005-0000-0000-00006E1F0000}"/>
    <cellStyle name="Comma 2 2 4 2 3 2 2 4" xfId="30975" xr:uid="{00000000-0005-0000-0000-00006F1F0000}"/>
    <cellStyle name="Comma 2 2 4 2 3 2 2 5" xfId="35258" xr:uid="{00000000-0005-0000-0000-0000701F0000}"/>
    <cellStyle name="Comma 2 2 4 2 3 2 3" xfId="15295" xr:uid="{00000000-0005-0000-0000-0000711F0000}"/>
    <cellStyle name="Comma 2 2 4 2 3 2 3 2" xfId="24308" xr:uid="{00000000-0005-0000-0000-0000721F0000}"/>
    <cellStyle name="Comma 2 2 4 2 3 2 3 2 2" xfId="43737" xr:uid="{00000000-0005-0000-0000-0000731F0000}"/>
    <cellStyle name="Comma 2 2 4 2 3 2 3 2 3" xfId="37314" xr:uid="{00000000-0005-0000-0000-0000741F0000}"/>
    <cellStyle name="Comma 2 2 4 2 3 2 3 3" xfId="28631" xr:uid="{00000000-0005-0000-0000-0000751F0000}"/>
    <cellStyle name="Comma 2 2 4 2 3 2 3 3 2" xfId="40530" xr:uid="{00000000-0005-0000-0000-0000761F0000}"/>
    <cellStyle name="Comma 2 2 4 2 3 2 3 4" xfId="31966" xr:uid="{00000000-0005-0000-0000-0000771F0000}"/>
    <cellStyle name="Comma 2 2 4 2 3 2 3 5" xfId="34106" xr:uid="{00000000-0005-0000-0000-0000781F0000}"/>
    <cellStyle name="Comma 2 2 4 2 3 2 4" xfId="8111" xr:uid="{00000000-0005-0000-0000-0000791F0000}"/>
    <cellStyle name="Comma 2 2 4 2 3 2 4 2" xfId="42748" xr:uid="{00000000-0005-0000-0000-00007A1F0000}"/>
    <cellStyle name="Comma 2 2 4 2 3 2 4 3" xfId="36324" xr:uid="{00000000-0005-0000-0000-00007B1F0000}"/>
    <cellStyle name="Comma 2 2 4 2 3 2 5" xfId="21102" xr:uid="{00000000-0005-0000-0000-00007C1F0000}"/>
    <cellStyle name="Comma 2 2 4 2 3 2 5 2" xfId="39541" xr:uid="{00000000-0005-0000-0000-00007D1F0000}"/>
    <cellStyle name="Comma 2 2 4 2 3 2 6" xfId="22175" xr:uid="{00000000-0005-0000-0000-00007E1F0000}"/>
    <cellStyle name="Comma 2 2 4 2 3 2 7" xfId="23319" xr:uid="{00000000-0005-0000-0000-00007F1F0000}"/>
    <cellStyle name="Comma 2 2 4 2 3 2 8" xfId="26497" xr:uid="{00000000-0005-0000-0000-0000801F0000}"/>
    <cellStyle name="Comma 2 2 4 2 3 2 9" xfId="29830" xr:uid="{00000000-0005-0000-0000-0000811F0000}"/>
    <cellStyle name="Comma 2 2 4 2 3 3" xfId="892" xr:uid="{00000000-0005-0000-0000-0000821F0000}"/>
    <cellStyle name="Comma 2 2 4 2 3 3 10" xfId="33118" xr:uid="{00000000-0005-0000-0000-0000831F0000}"/>
    <cellStyle name="Comma 2 2 4 2 3 3 2" xfId="9663" xr:uid="{00000000-0005-0000-0000-0000841F0000}"/>
    <cellStyle name="Comma 2 2 4 2 3 3 2 2" xfId="25463" xr:uid="{00000000-0005-0000-0000-0000851F0000}"/>
    <cellStyle name="Comma 2 2 4 2 3 3 2 2 2" xfId="44890" xr:uid="{00000000-0005-0000-0000-0000861F0000}"/>
    <cellStyle name="Comma 2 2 4 2 3 3 2 2 3" xfId="38467" xr:uid="{00000000-0005-0000-0000-0000871F0000}"/>
    <cellStyle name="Comma 2 2 4 2 3 3 2 3" xfId="27641" xr:uid="{00000000-0005-0000-0000-0000881F0000}"/>
    <cellStyle name="Comma 2 2 4 2 3 3 2 3 2" xfId="41683" xr:uid="{00000000-0005-0000-0000-0000891F0000}"/>
    <cellStyle name="Comma 2 2 4 2 3 3 2 4" xfId="30976" xr:uid="{00000000-0005-0000-0000-00008A1F0000}"/>
    <cellStyle name="Comma 2 2 4 2 3 3 2 5" xfId="35259" xr:uid="{00000000-0005-0000-0000-00008B1F0000}"/>
    <cellStyle name="Comma 2 2 4 2 3 3 3" xfId="15296" xr:uid="{00000000-0005-0000-0000-00008C1F0000}"/>
    <cellStyle name="Comma 2 2 4 2 3 3 3 2" xfId="24309" xr:uid="{00000000-0005-0000-0000-00008D1F0000}"/>
    <cellStyle name="Comma 2 2 4 2 3 3 3 2 2" xfId="43738" xr:uid="{00000000-0005-0000-0000-00008E1F0000}"/>
    <cellStyle name="Comma 2 2 4 2 3 3 3 2 3" xfId="37315" xr:uid="{00000000-0005-0000-0000-00008F1F0000}"/>
    <cellStyle name="Comma 2 2 4 2 3 3 3 3" xfId="28632" xr:uid="{00000000-0005-0000-0000-0000901F0000}"/>
    <cellStyle name="Comma 2 2 4 2 3 3 3 3 2" xfId="40531" xr:uid="{00000000-0005-0000-0000-0000911F0000}"/>
    <cellStyle name="Comma 2 2 4 2 3 3 3 4" xfId="31967" xr:uid="{00000000-0005-0000-0000-0000921F0000}"/>
    <cellStyle name="Comma 2 2 4 2 3 3 3 5" xfId="34107" xr:uid="{00000000-0005-0000-0000-0000931F0000}"/>
    <cellStyle name="Comma 2 2 4 2 3 3 4" xfId="8112" xr:uid="{00000000-0005-0000-0000-0000941F0000}"/>
    <cellStyle name="Comma 2 2 4 2 3 3 4 2" xfId="42749" xr:uid="{00000000-0005-0000-0000-0000951F0000}"/>
    <cellStyle name="Comma 2 2 4 2 3 3 4 3" xfId="36325" xr:uid="{00000000-0005-0000-0000-0000961F0000}"/>
    <cellStyle name="Comma 2 2 4 2 3 3 5" xfId="21103" xr:uid="{00000000-0005-0000-0000-0000971F0000}"/>
    <cellStyle name="Comma 2 2 4 2 3 3 5 2" xfId="39542" xr:uid="{00000000-0005-0000-0000-0000981F0000}"/>
    <cellStyle name="Comma 2 2 4 2 3 3 6" xfId="22176" xr:uid="{00000000-0005-0000-0000-0000991F0000}"/>
    <cellStyle name="Comma 2 2 4 2 3 3 7" xfId="23320" xr:uid="{00000000-0005-0000-0000-00009A1F0000}"/>
    <cellStyle name="Comma 2 2 4 2 3 3 8" xfId="26498" xr:uid="{00000000-0005-0000-0000-00009B1F0000}"/>
    <cellStyle name="Comma 2 2 4 2 3 3 9" xfId="29831" xr:uid="{00000000-0005-0000-0000-00009C1F0000}"/>
    <cellStyle name="Comma 2 2 4 2 3 4" xfId="893" xr:uid="{00000000-0005-0000-0000-00009D1F0000}"/>
    <cellStyle name="Comma 2 2 4 2 3 4 10" xfId="33119" xr:uid="{00000000-0005-0000-0000-00009E1F0000}"/>
    <cellStyle name="Comma 2 2 4 2 3 4 2" xfId="9664" xr:uid="{00000000-0005-0000-0000-00009F1F0000}"/>
    <cellStyle name="Comma 2 2 4 2 3 4 2 2" xfId="25464" xr:uid="{00000000-0005-0000-0000-0000A01F0000}"/>
    <cellStyle name="Comma 2 2 4 2 3 4 2 2 2" xfId="44891" xr:uid="{00000000-0005-0000-0000-0000A11F0000}"/>
    <cellStyle name="Comma 2 2 4 2 3 4 2 2 3" xfId="38468" xr:uid="{00000000-0005-0000-0000-0000A21F0000}"/>
    <cellStyle name="Comma 2 2 4 2 3 4 2 3" xfId="27642" xr:uid="{00000000-0005-0000-0000-0000A31F0000}"/>
    <cellStyle name="Comma 2 2 4 2 3 4 2 3 2" xfId="41684" xr:uid="{00000000-0005-0000-0000-0000A41F0000}"/>
    <cellStyle name="Comma 2 2 4 2 3 4 2 4" xfId="30977" xr:uid="{00000000-0005-0000-0000-0000A51F0000}"/>
    <cellStyle name="Comma 2 2 4 2 3 4 2 5" xfId="35260" xr:uid="{00000000-0005-0000-0000-0000A61F0000}"/>
    <cellStyle name="Comma 2 2 4 2 3 4 3" xfId="15297" xr:uid="{00000000-0005-0000-0000-0000A71F0000}"/>
    <cellStyle name="Comma 2 2 4 2 3 4 3 2" xfId="24310" xr:uid="{00000000-0005-0000-0000-0000A81F0000}"/>
    <cellStyle name="Comma 2 2 4 2 3 4 3 2 2" xfId="43739" xr:uid="{00000000-0005-0000-0000-0000A91F0000}"/>
    <cellStyle name="Comma 2 2 4 2 3 4 3 2 3" xfId="37316" xr:uid="{00000000-0005-0000-0000-0000AA1F0000}"/>
    <cellStyle name="Comma 2 2 4 2 3 4 3 3" xfId="28633" xr:uid="{00000000-0005-0000-0000-0000AB1F0000}"/>
    <cellStyle name="Comma 2 2 4 2 3 4 3 3 2" xfId="40532" xr:uid="{00000000-0005-0000-0000-0000AC1F0000}"/>
    <cellStyle name="Comma 2 2 4 2 3 4 3 4" xfId="31968" xr:uid="{00000000-0005-0000-0000-0000AD1F0000}"/>
    <cellStyle name="Comma 2 2 4 2 3 4 3 5" xfId="34108" xr:uid="{00000000-0005-0000-0000-0000AE1F0000}"/>
    <cellStyle name="Comma 2 2 4 2 3 4 4" xfId="8113" xr:uid="{00000000-0005-0000-0000-0000AF1F0000}"/>
    <cellStyle name="Comma 2 2 4 2 3 4 4 2" xfId="42750" xr:uid="{00000000-0005-0000-0000-0000B01F0000}"/>
    <cellStyle name="Comma 2 2 4 2 3 4 4 3" xfId="36326" xr:uid="{00000000-0005-0000-0000-0000B11F0000}"/>
    <cellStyle name="Comma 2 2 4 2 3 4 5" xfId="21104" xr:uid="{00000000-0005-0000-0000-0000B21F0000}"/>
    <cellStyle name="Comma 2 2 4 2 3 4 5 2" xfId="39543" xr:uid="{00000000-0005-0000-0000-0000B31F0000}"/>
    <cellStyle name="Comma 2 2 4 2 3 4 6" xfId="22177" xr:uid="{00000000-0005-0000-0000-0000B41F0000}"/>
    <cellStyle name="Comma 2 2 4 2 3 4 7" xfId="23321" xr:uid="{00000000-0005-0000-0000-0000B51F0000}"/>
    <cellStyle name="Comma 2 2 4 2 3 4 8" xfId="26499" xr:uid="{00000000-0005-0000-0000-0000B61F0000}"/>
    <cellStyle name="Comma 2 2 4 2 3 4 9" xfId="29832" xr:uid="{00000000-0005-0000-0000-0000B71F0000}"/>
    <cellStyle name="Comma 2 2 4 2 3 5" xfId="894" xr:uid="{00000000-0005-0000-0000-0000B81F0000}"/>
    <cellStyle name="Comma 2 2 4 2 3 5 10" xfId="33120" xr:uid="{00000000-0005-0000-0000-0000B91F0000}"/>
    <cellStyle name="Comma 2 2 4 2 3 5 2" xfId="9665" xr:uid="{00000000-0005-0000-0000-0000BA1F0000}"/>
    <cellStyle name="Comma 2 2 4 2 3 5 2 2" xfId="25465" xr:uid="{00000000-0005-0000-0000-0000BB1F0000}"/>
    <cellStyle name="Comma 2 2 4 2 3 5 2 2 2" xfId="44892" xr:uid="{00000000-0005-0000-0000-0000BC1F0000}"/>
    <cellStyle name="Comma 2 2 4 2 3 5 2 2 3" xfId="38469" xr:uid="{00000000-0005-0000-0000-0000BD1F0000}"/>
    <cellStyle name="Comma 2 2 4 2 3 5 2 3" xfId="27643" xr:uid="{00000000-0005-0000-0000-0000BE1F0000}"/>
    <cellStyle name="Comma 2 2 4 2 3 5 2 3 2" xfId="41685" xr:uid="{00000000-0005-0000-0000-0000BF1F0000}"/>
    <cellStyle name="Comma 2 2 4 2 3 5 2 4" xfId="30978" xr:uid="{00000000-0005-0000-0000-0000C01F0000}"/>
    <cellStyle name="Comma 2 2 4 2 3 5 2 5" xfId="35261" xr:uid="{00000000-0005-0000-0000-0000C11F0000}"/>
    <cellStyle name="Comma 2 2 4 2 3 5 3" xfId="15298" xr:uid="{00000000-0005-0000-0000-0000C21F0000}"/>
    <cellStyle name="Comma 2 2 4 2 3 5 3 2" xfId="24311" xr:uid="{00000000-0005-0000-0000-0000C31F0000}"/>
    <cellStyle name="Comma 2 2 4 2 3 5 3 2 2" xfId="43740" xr:uid="{00000000-0005-0000-0000-0000C41F0000}"/>
    <cellStyle name="Comma 2 2 4 2 3 5 3 2 3" xfId="37317" xr:uid="{00000000-0005-0000-0000-0000C51F0000}"/>
    <cellStyle name="Comma 2 2 4 2 3 5 3 3" xfId="28634" xr:uid="{00000000-0005-0000-0000-0000C61F0000}"/>
    <cellStyle name="Comma 2 2 4 2 3 5 3 3 2" xfId="40533" xr:uid="{00000000-0005-0000-0000-0000C71F0000}"/>
    <cellStyle name="Comma 2 2 4 2 3 5 3 4" xfId="31969" xr:uid="{00000000-0005-0000-0000-0000C81F0000}"/>
    <cellStyle name="Comma 2 2 4 2 3 5 3 5" xfId="34109" xr:uid="{00000000-0005-0000-0000-0000C91F0000}"/>
    <cellStyle name="Comma 2 2 4 2 3 5 4" xfId="8114" xr:uid="{00000000-0005-0000-0000-0000CA1F0000}"/>
    <cellStyle name="Comma 2 2 4 2 3 5 4 2" xfId="42751" xr:uid="{00000000-0005-0000-0000-0000CB1F0000}"/>
    <cellStyle name="Comma 2 2 4 2 3 5 4 3" xfId="36327" xr:uid="{00000000-0005-0000-0000-0000CC1F0000}"/>
    <cellStyle name="Comma 2 2 4 2 3 5 5" xfId="21105" xr:uid="{00000000-0005-0000-0000-0000CD1F0000}"/>
    <cellStyle name="Comma 2 2 4 2 3 5 5 2" xfId="39544" xr:uid="{00000000-0005-0000-0000-0000CE1F0000}"/>
    <cellStyle name="Comma 2 2 4 2 3 5 6" xfId="22178" xr:uid="{00000000-0005-0000-0000-0000CF1F0000}"/>
    <cellStyle name="Comma 2 2 4 2 3 5 7" xfId="23322" xr:uid="{00000000-0005-0000-0000-0000D01F0000}"/>
    <cellStyle name="Comma 2 2 4 2 3 5 8" xfId="26500" xr:uid="{00000000-0005-0000-0000-0000D11F0000}"/>
    <cellStyle name="Comma 2 2 4 2 3 5 9" xfId="29833" xr:uid="{00000000-0005-0000-0000-0000D21F0000}"/>
    <cellStyle name="Comma 2 2 4 2 3 6" xfId="9661" xr:uid="{00000000-0005-0000-0000-0000D31F0000}"/>
    <cellStyle name="Comma 2 2 4 2 3 6 2" xfId="25461" xr:uid="{00000000-0005-0000-0000-0000D41F0000}"/>
    <cellStyle name="Comma 2 2 4 2 3 6 2 2" xfId="44888" xr:uid="{00000000-0005-0000-0000-0000D51F0000}"/>
    <cellStyle name="Comma 2 2 4 2 3 6 2 3" xfId="38465" xr:uid="{00000000-0005-0000-0000-0000D61F0000}"/>
    <cellStyle name="Comma 2 2 4 2 3 6 3" xfId="27639" xr:uid="{00000000-0005-0000-0000-0000D71F0000}"/>
    <cellStyle name="Comma 2 2 4 2 3 6 3 2" xfId="41681" xr:uid="{00000000-0005-0000-0000-0000D81F0000}"/>
    <cellStyle name="Comma 2 2 4 2 3 6 4" xfId="30974" xr:uid="{00000000-0005-0000-0000-0000D91F0000}"/>
    <cellStyle name="Comma 2 2 4 2 3 6 5" xfId="35257" xr:uid="{00000000-0005-0000-0000-0000DA1F0000}"/>
    <cellStyle name="Comma 2 2 4 2 3 7" xfId="15294" xr:uid="{00000000-0005-0000-0000-0000DB1F0000}"/>
    <cellStyle name="Comma 2 2 4 2 3 7 2" xfId="24307" xr:uid="{00000000-0005-0000-0000-0000DC1F0000}"/>
    <cellStyle name="Comma 2 2 4 2 3 7 2 2" xfId="43736" xr:uid="{00000000-0005-0000-0000-0000DD1F0000}"/>
    <cellStyle name="Comma 2 2 4 2 3 7 2 3" xfId="37313" xr:uid="{00000000-0005-0000-0000-0000DE1F0000}"/>
    <cellStyle name="Comma 2 2 4 2 3 7 3" xfId="28630" xr:uid="{00000000-0005-0000-0000-0000DF1F0000}"/>
    <cellStyle name="Comma 2 2 4 2 3 7 3 2" xfId="40529" xr:uid="{00000000-0005-0000-0000-0000E01F0000}"/>
    <cellStyle name="Comma 2 2 4 2 3 7 4" xfId="31965" xr:uid="{00000000-0005-0000-0000-0000E11F0000}"/>
    <cellStyle name="Comma 2 2 4 2 3 7 5" xfId="34105" xr:uid="{00000000-0005-0000-0000-0000E21F0000}"/>
    <cellStyle name="Comma 2 2 4 2 3 8" xfId="8110" xr:uid="{00000000-0005-0000-0000-0000E31F0000}"/>
    <cellStyle name="Comma 2 2 4 2 3 8 2" xfId="42747" xr:uid="{00000000-0005-0000-0000-0000E41F0000}"/>
    <cellStyle name="Comma 2 2 4 2 3 8 3" xfId="36323" xr:uid="{00000000-0005-0000-0000-0000E51F0000}"/>
    <cellStyle name="Comma 2 2 4 2 3 9" xfId="21101" xr:uid="{00000000-0005-0000-0000-0000E61F0000}"/>
    <cellStyle name="Comma 2 2 4 2 3 9 2" xfId="39540" xr:uid="{00000000-0005-0000-0000-0000E71F0000}"/>
    <cellStyle name="Comma 2 2 4 2 4" xfId="895" xr:uid="{00000000-0005-0000-0000-0000E81F0000}"/>
    <cellStyle name="Comma 2 2 4 2 4 10" xfId="33121" xr:uid="{00000000-0005-0000-0000-0000E91F0000}"/>
    <cellStyle name="Comma 2 2 4 2 4 2" xfId="9666" xr:uid="{00000000-0005-0000-0000-0000EA1F0000}"/>
    <cellStyle name="Comma 2 2 4 2 4 2 2" xfId="25466" xr:uid="{00000000-0005-0000-0000-0000EB1F0000}"/>
    <cellStyle name="Comma 2 2 4 2 4 2 2 2" xfId="44893" xr:uid="{00000000-0005-0000-0000-0000EC1F0000}"/>
    <cellStyle name="Comma 2 2 4 2 4 2 2 3" xfId="38470" xr:uid="{00000000-0005-0000-0000-0000ED1F0000}"/>
    <cellStyle name="Comma 2 2 4 2 4 2 3" xfId="27644" xr:uid="{00000000-0005-0000-0000-0000EE1F0000}"/>
    <cellStyle name="Comma 2 2 4 2 4 2 3 2" xfId="41686" xr:uid="{00000000-0005-0000-0000-0000EF1F0000}"/>
    <cellStyle name="Comma 2 2 4 2 4 2 4" xfId="30979" xr:uid="{00000000-0005-0000-0000-0000F01F0000}"/>
    <cellStyle name="Comma 2 2 4 2 4 2 5" xfId="35262" xr:uid="{00000000-0005-0000-0000-0000F11F0000}"/>
    <cellStyle name="Comma 2 2 4 2 4 3" xfId="15299" xr:uid="{00000000-0005-0000-0000-0000F21F0000}"/>
    <cellStyle name="Comma 2 2 4 2 4 3 2" xfId="24312" xr:uid="{00000000-0005-0000-0000-0000F31F0000}"/>
    <cellStyle name="Comma 2 2 4 2 4 3 2 2" xfId="43741" xr:uid="{00000000-0005-0000-0000-0000F41F0000}"/>
    <cellStyle name="Comma 2 2 4 2 4 3 2 3" xfId="37318" xr:uid="{00000000-0005-0000-0000-0000F51F0000}"/>
    <cellStyle name="Comma 2 2 4 2 4 3 3" xfId="28635" xr:uid="{00000000-0005-0000-0000-0000F61F0000}"/>
    <cellStyle name="Comma 2 2 4 2 4 3 3 2" xfId="40534" xr:uid="{00000000-0005-0000-0000-0000F71F0000}"/>
    <cellStyle name="Comma 2 2 4 2 4 3 4" xfId="31970" xr:uid="{00000000-0005-0000-0000-0000F81F0000}"/>
    <cellStyle name="Comma 2 2 4 2 4 3 5" xfId="34110" xr:uid="{00000000-0005-0000-0000-0000F91F0000}"/>
    <cellStyle name="Comma 2 2 4 2 4 4" xfId="8115" xr:uid="{00000000-0005-0000-0000-0000FA1F0000}"/>
    <cellStyle name="Comma 2 2 4 2 4 4 2" xfId="42752" xr:uid="{00000000-0005-0000-0000-0000FB1F0000}"/>
    <cellStyle name="Comma 2 2 4 2 4 4 3" xfId="36328" xr:uid="{00000000-0005-0000-0000-0000FC1F0000}"/>
    <cellStyle name="Comma 2 2 4 2 4 5" xfId="21106" xr:uid="{00000000-0005-0000-0000-0000FD1F0000}"/>
    <cellStyle name="Comma 2 2 4 2 4 5 2" xfId="39545" xr:uid="{00000000-0005-0000-0000-0000FE1F0000}"/>
    <cellStyle name="Comma 2 2 4 2 4 6" xfId="22179" xr:uid="{00000000-0005-0000-0000-0000FF1F0000}"/>
    <cellStyle name="Comma 2 2 4 2 4 7" xfId="23323" xr:uid="{00000000-0005-0000-0000-000000200000}"/>
    <cellStyle name="Comma 2 2 4 2 4 8" xfId="26501" xr:uid="{00000000-0005-0000-0000-000001200000}"/>
    <cellStyle name="Comma 2 2 4 2 4 9" xfId="29834" xr:uid="{00000000-0005-0000-0000-000002200000}"/>
    <cellStyle name="Comma 2 2 4 2 5" xfId="896" xr:uid="{00000000-0005-0000-0000-000003200000}"/>
    <cellStyle name="Comma 2 2 4 2 5 10" xfId="33122" xr:uid="{00000000-0005-0000-0000-000004200000}"/>
    <cellStyle name="Comma 2 2 4 2 5 2" xfId="9667" xr:uid="{00000000-0005-0000-0000-000005200000}"/>
    <cellStyle name="Comma 2 2 4 2 5 2 2" xfId="25467" xr:uid="{00000000-0005-0000-0000-000006200000}"/>
    <cellStyle name="Comma 2 2 4 2 5 2 2 2" xfId="44894" xr:uid="{00000000-0005-0000-0000-000007200000}"/>
    <cellStyle name="Comma 2 2 4 2 5 2 2 3" xfId="38471" xr:uid="{00000000-0005-0000-0000-000008200000}"/>
    <cellStyle name="Comma 2 2 4 2 5 2 3" xfId="27645" xr:uid="{00000000-0005-0000-0000-000009200000}"/>
    <cellStyle name="Comma 2 2 4 2 5 2 3 2" xfId="41687" xr:uid="{00000000-0005-0000-0000-00000A200000}"/>
    <cellStyle name="Comma 2 2 4 2 5 2 4" xfId="30980" xr:uid="{00000000-0005-0000-0000-00000B200000}"/>
    <cellStyle name="Comma 2 2 4 2 5 2 5" xfId="35263" xr:uid="{00000000-0005-0000-0000-00000C200000}"/>
    <cellStyle name="Comma 2 2 4 2 5 3" xfId="15300" xr:uid="{00000000-0005-0000-0000-00000D200000}"/>
    <cellStyle name="Comma 2 2 4 2 5 3 2" xfId="24313" xr:uid="{00000000-0005-0000-0000-00000E200000}"/>
    <cellStyle name="Comma 2 2 4 2 5 3 2 2" xfId="43742" xr:uid="{00000000-0005-0000-0000-00000F200000}"/>
    <cellStyle name="Comma 2 2 4 2 5 3 2 3" xfId="37319" xr:uid="{00000000-0005-0000-0000-000010200000}"/>
    <cellStyle name="Comma 2 2 4 2 5 3 3" xfId="28636" xr:uid="{00000000-0005-0000-0000-000011200000}"/>
    <cellStyle name="Comma 2 2 4 2 5 3 3 2" xfId="40535" xr:uid="{00000000-0005-0000-0000-000012200000}"/>
    <cellStyle name="Comma 2 2 4 2 5 3 4" xfId="31971" xr:uid="{00000000-0005-0000-0000-000013200000}"/>
    <cellStyle name="Comma 2 2 4 2 5 3 5" xfId="34111" xr:uid="{00000000-0005-0000-0000-000014200000}"/>
    <cellStyle name="Comma 2 2 4 2 5 4" xfId="8116" xr:uid="{00000000-0005-0000-0000-000015200000}"/>
    <cellStyle name="Comma 2 2 4 2 5 4 2" xfId="42753" xr:uid="{00000000-0005-0000-0000-000016200000}"/>
    <cellStyle name="Comma 2 2 4 2 5 4 3" xfId="36329" xr:uid="{00000000-0005-0000-0000-000017200000}"/>
    <cellStyle name="Comma 2 2 4 2 5 5" xfId="21107" xr:uid="{00000000-0005-0000-0000-000018200000}"/>
    <cellStyle name="Comma 2 2 4 2 5 5 2" xfId="39546" xr:uid="{00000000-0005-0000-0000-000019200000}"/>
    <cellStyle name="Comma 2 2 4 2 5 6" xfId="22180" xr:uid="{00000000-0005-0000-0000-00001A200000}"/>
    <cellStyle name="Comma 2 2 4 2 5 7" xfId="23324" xr:uid="{00000000-0005-0000-0000-00001B200000}"/>
    <cellStyle name="Comma 2 2 4 2 5 8" xfId="26502" xr:uid="{00000000-0005-0000-0000-00001C200000}"/>
    <cellStyle name="Comma 2 2 4 2 5 9" xfId="29835" xr:uid="{00000000-0005-0000-0000-00001D200000}"/>
    <cellStyle name="Comma 2 2 4 2 6" xfId="897" xr:uid="{00000000-0005-0000-0000-00001E200000}"/>
    <cellStyle name="Comma 2 2 4 2 6 10" xfId="33123" xr:uid="{00000000-0005-0000-0000-00001F200000}"/>
    <cellStyle name="Comma 2 2 4 2 6 2" xfId="9668" xr:uid="{00000000-0005-0000-0000-000020200000}"/>
    <cellStyle name="Comma 2 2 4 2 6 2 2" xfId="25468" xr:uid="{00000000-0005-0000-0000-000021200000}"/>
    <cellStyle name="Comma 2 2 4 2 6 2 2 2" xfId="44895" xr:uid="{00000000-0005-0000-0000-000022200000}"/>
    <cellStyle name="Comma 2 2 4 2 6 2 2 3" xfId="38472" xr:uid="{00000000-0005-0000-0000-000023200000}"/>
    <cellStyle name="Comma 2 2 4 2 6 2 3" xfId="27646" xr:uid="{00000000-0005-0000-0000-000024200000}"/>
    <cellStyle name="Comma 2 2 4 2 6 2 3 2" xfId="41688" xr:uid="{00000000-0005-0000-0000-000025200000}"/>
    <cellStyle name="Comma 2 2 4 2 6 2 4" xfId="30981" xr:uid="{00000000-0005-0000-0000-000026200000}"/>
    <cellStyle name="Comma 2 2 4 2 6 2 5" xfId="35264" xr:uid="{00000000-0005-0000-0000-000027200000}"/>
    <cellStyle name="Comma 2 2 4 2 6 3" xfId="15301" xr:uid="{00000000-0005-0000-0000-000028200000}"/>
    <cellStyle name="Comma 2 2 4 2 6 3 2" xfId="24314" xr:uid="{00000000-0005-0000-0000-000029200000}"/>
    <cellStyle name="Comma 2 2 4 2 6 3 2 2" xfId="43743" xr:uid="{00000000-0005-0000-0000-00002A200000}"/>
    <cellStyle name="Comma 2 2 4 2 6 3 2 3" xfId="37320" xr:uid="{00000000-0005-0000-0000-00002B200000}"/>
    <cellStyle name="Comma 2 2 4 2 6 3 3" xfId="28637" xr:uid="{00000000-0005-0000-0000-00002C200000}"/>
    <cellStyle name="Comma 2 2 4 2 6 3 3 2" xfId="40536" xr:uid="{00000000-0005-0000-0000-00002D200000}"/>
    <cellStyle name="Comma 2 2 4 2 6 3 4" xfId="31972" xr:uid="{00000000-0005-0000-0000-00002E200000}"/>
    <cellStyle name="Comma 2 2 4 2 6 3 5" xfId="34112" xr:uid="{00000000-0005-0000-0000-00002F200000}"/>
    <cellStyle name="Comma 2 2 4 2 6 4" xfId="8117" xr:uid="{00000000-0005-0000-0000-000030200000}"/>
    <cellStyle name="Comma 2 2 4 2 6 4 2" xfId="42754" xr:uid="{00000000-0005-0000-0000-000031200000}"/>
    <cellStyle name="Comma 2 2 4 2 6 4 3" xfId="36330" xr:uid="{00000000-0005-0000-0000-000032200000}"/>
    <cellStyle name="Comma 2 2 4 2 6 5" xfId="21108" xr:uid="{00000000-0005-0000-0000-000033200000}"/>
    <cellStyle name="Comma 2 2 4 2 6 5 2" xfId="39547" xr:uid="{00000000-0005-0000-0000-000034200000}"/>
    <cellStyle name="Comma 2 2 4 2 6 6" xfId="22181" xr:uid="{00000000-0005-0000-0000-000035200000}"/>
    <cellStyle name="Comma 2 2 4 2 6 7" xfId="23325" xr:uid="{00000000-0005-0000-0000-000036200000}"/>
    <cellStyle name="Comma 2 2 4 2 6 8" xfId="26503" xr:uid="{00000000-0005-0000-0000-000037200000}"/>
    <cellStyle name="Comma 2 2 4 2 6 9" xfId="29836" xr:uid="{00000000-0005-0000-0000-000038200000}"/>
    <cellStyle name="Comma 2 2 4 2 7" xfId="898" xr:uid="{00000000-0005-0000-0000-000039200000}"/>
    <cellStyle name="Comma 2 2 4 2 7 10" xfId="33124" xr:uid="{00000000-0005-0000-0000-00003A200000}"/>
    <cellStyle name="Comma 2 2 4 2 7 2" xfId="9669" xr:uid="{00000000-0005-0000-0000-00003B200000}"/>
    <cellStyle name="Comma 2 2 4 2 7 2 2" xfId="25469" xr:uid="{00000000-0005-0000-0000-00003C200000}"/>
    <cellStyle name="Comma 2 2 4 2 7 2 2 2" xfId="44896" xr:uid="{00000000-0005-0000-0000-00003D200000}"/>
    <cellStyle name="Comma 2 2 4 2 7 2 2 3" xfId="38473" xr:uid="{00000000-0005-0000-0000-00003E200000}"/>
    <cellStyle name="Comma 2 2 4 2 7 2 3" xfId="27647" xr:uid="{00000000-0005-0000-0000-00003F200000}"/>
    <cellStyle name="Comma 2 2 4 2 7 2 3 2" xfId="41689" xr:uid="{00000000-0005-0000-0000-000040200000}"/>
    <cellStyle name="Comma 2 2 4 2 7 2 4" xfId="30982" xr:uid="{00000000-0005-0000-0000-000041200000}"/>
    <cellStyle name="Comma 2 2 4 2 7 2 5" xfId="35265" xr:uid="{00000000-0005-0000-0000-000042200000}"/>
    <cellStyle name="Comma 2 2 4 2 7 3" xfId="15302" xr:uid="{00000000-0005-0000-0000-000043200000}"/>
    <cellStyle name="Comma 2 2 4 2 7 3 2" xfId="24315" xr:uid="{00000000-0005-0000-0000-000044200000}"/>
    <cellStyle name="Comma 2 2 4 2 7 3 2 2" xfId="43744" xr:uid="{00000000-0005-0000-0000-000045200000}"/>
    <cellStyle name="Comma 2 2 4 2 7 3 2 3" xfId="37321" xr:uid="{00000000-0005-0000-0000-000046200000}"/>
    <cellStyle name="Comma 2 2 4 2 7 3 3" xfId="28638" xr:uid="{00000000-0005-0000-0000-000047200000}"/>
    <cellStyle name="Comma 2 2 4 2 7 3 3 2" xfId="40537" xr:uid="{00000000-0005-0000-0000-000048200000}"/>
    <cellStyle name="Comma 2 2 4 2 7 3 4" xfId="31973" xr:uid="{00000000-0005-0000-0000-000049200000}"/>
    <cellStyle name="Comma 2 2 4 2 7 3 5" xfId="34113" xr:uid="{00000000-0005-0000-0000-00004A200000}"/>
    <cellStyle name="Comma 2 2 4 2 7 4" xfId="8118" xr:uid="{00000000-0005-0000-0000-00004B200000}"/>
    <cellStyle name="Comma 2 2 4 2 7 4 2" xfId="42755" xr:uid="{00000000-0005-0000-0000-00004C200000}"/>
    <cellStyle name="Comma 2 2 4 2 7 4 3" xfId="36331" xr:uid="{00000000-0005-0000-0000-00004D200000}"/>
    <cellStyle name="Comma 2 2 4 2 7 5" xfId="21109" xr:uid="{00000000-0005-0000-0000-00004E200000}"/>
    <cellStyle name="Comma 2 2 4 2 7 5 2" xfId="39548" xr:uid="{00000000-0005-0000-0000-00004F200000}"/>
    <cellStyle name="Comma 2 2 4 2 7 6" xfId="22182" xr:uid="{00000000-0005-0000-0000-000050200000}"/>
    <cellStyle name="Comma 2 2 4 2 7 7" xfId="23326" xr:uid="{00000000-0005-0000-0000-000051200000}"/>
    <cellStyle name="Comma 2 2 4 2 7 8" xfId="26504" xr:uid="{00000000-0005-0000-0000-000052200000}"/>
    <cellStyle name="Comma 2 2 4 2 7 9" xfId="29837" xr:uid="{00000000-0005-0000-0000-000053200000}"/>
    <cellStyle name="Comma 2 2 4 2 8" xfId="899" xr:uid="{00000000-0005-0000-0000-000054200000}"/>
    <cellStyle name="Comma 2 2 4 2 8 10" xfId="33125" xr:uid="{00000000-0005-0000-0000-000055200000}"/>
    <cellStyle name="Comma 2 2 4 2 8 2" xfId="9670" xr:uid="{00000000-0005-0000-0000-000056200000}"/>
    <cellStyle name="Comma 2 2 4 2 8 2 2" xfId="25470" xr:uid="{00000000-0005-0000-0000-000057200000}"/>
    <cellStyle name="Comma 2 2 4 2 8 2 2 2" xfId="44897" xr:uid="{00000000-0005-0000-0000-000058200000}"/>
    <cellStyle name="Comma 2 2 4 2 8 2 2 3" xfId="38474" xr:uid="{00000000-0005-0000-0000-000059200000}"/>
    <cellStyle name="Comma 2 2 4 2 8 2 3" xfId="27648" xr:uid="{00000000-0005-0000-0000-00005A200000}"/>
    <cellStyle name="Comma 2 2 4 2 8 2 3 2" xfId="41690" xr:uid="{00000000-0005-0000-0000-00005B200000}"/>
    <cellStyle name="Comma 2 2 4 2 8 2 4" xfId="30983" xr:uid="{00000000-0005-0000-0000-00005C200000}"/>
    <cellStyle name="Comma 2 2 4 2 8 2 5" xfId="35266" xr:uid="{00000000-0005-0000-0000-00005D200000}"/>
    <cellStyle name="Comma 2 2 4 2 8 3" xfId="15303" xr:uid="{00000000-0005-0000-0000-00005E200000}"/>
    <cellStyle name="Comma 2 2 4 2 8 3 2" xfId="24316" xr:uid="{00000000-0005-0000-0000-00005F200000}"/>
    <cellStyle name="Comma 2 2 4 2 8 3 2 2" xfId="43745" xr:uid="{00000000-0005-0000-0000-000060200000}"/>
    <cellStyle name="Comma 2 2 4 2 8 3 2 3" xfId="37322" xr:uid="{00000000-0005-0000-0000-000061200000}"/>
    <cellStyle name="Comma 2 2 4 2 8 3 3" xfId="28639" xr:uid="{00000000-0005-0000-0000-000062200000}"/>
    <cellStyle name="Comma 2 2 4 2 8 3 3 2" xfId="40538" xr:uid="{00000000-0005-0000-0000-000063200000}"/>
    <cellStyle name="Comma 2 2 4 2 8 3 4" xfId="31974" xr:uid="{00000000-0005-0000-0000-000064200000}"/>
    <cellStyle name="Comma 2 2 4 2 8 3 5" xfId="34114" xr:uid="{00000000-0005-0000-0000-000065200000}"/>
    <cellStyle name="Comma 2 2 4 2 8 4" xfId="8119" xr:uid="{00000000-0005-0000-0000-000066200000}"/>
    <cellStyle name="Comma 2 2 4 2 8 4 2" xfId="42756" xr:uid="{00000000-0005-0000-0000-000067200000}"/>
    <cellStyle name="Comma 2 2 4 2 8 4 3" xfId="36332" xr:uid="{00000000-0005-0000-0000-000068200000}"/>
    <cellStyle name="Comma 2 2 4 2 8 5" xfId="21110" xr:uid="{00000000-0005-0000-0000-000069200000}"/>
    <cellStyle name="Comma 2 2 4 2 8 5 2" xfId="39549" xr:uid="{00000000-0005-0000-0000-00006A200000}"/>
    <cellStyle name="Comma 2 2 4 2 8 6" xfId="22183" xr:uid="{00000000-0005-0000-0000-00006B200000}"/>
    <cellStyle name="Comma 2 2 4 2 8 7" xfId="23327" xr:uid="{00000000-0005-0000-0000-00006C200000}"/>
    <cellStyle name="Comma 2 2 4 2 8 8" xfId="26505" xr:uid="{00000000-0005-0000-0000-00006D200000}"/>
    <cellStyle name="Comma 2 2 4 2 8 9" xfId="29838" xr:uid="{00000000-0005-0000-0000-00006E200000}"/>
    <cellStyle name="Comma 2 2 4 2 9" xfId="9125" xr:uid="{00000000-0005-0000-0000-00006F200000}"/>
    <cellStyle name="Comma 2 2 4 2 9 2" xfId="25179" xr:uid="{00000000-0005-0000-0000-000070200000}"/>
    <cellStyle name="Comma 2 2 4 2 9 2 2" xfId="44606" xr:uid="{00000000-0005-0000-0000-000071200000}"/>
    <cellStyle name="Comma 2 2 4 2 9 2 3" xfId="38183" xr:uid="{00000000-0005-0000-0000-000072200000}"/>
    <cellStyle name="Comma 2 2 4 2 9 3" xfId="27358" xr:uid="{00000000-0005-0000-0000-000073200000}"/>
    <cellStyle name="Comma 2 2 4 2 9 3 2" xfId="41399" xr:uid="{00000000-0005-0000-0000-000074200000}"/>
    <cellStyle name="Comma 2 2 4 2 9 4" xfId="30693" xr:uid="{00000000-0005-0000-0000-000075200000}"/>
    <cellStyle name="Comma 2 2 4 2 9 5" xfId="34975" xr:uid="{00000000-0005-0000-0000-000076200000}"/>
    <cellStyle name="Comma 2 2 4 3" xfId="248" xr:uid="{00000000-0005-0000-0000-000077200000}"/>
    <cellStyle name="Comma 2 2 4 3 10" xfId="21111" xr:uid="{00000000-0005-0000-0000-000078200000}"/>
    <cellStyle name="Comma 2 2 4 3 10 2" xfId="39244" xr:uid="{00000000-0005-0000-0000-000079200000}"/>
    <cellStyle name="Comma 2 2 4 3 11" xfId="22184" xr:uid="{00000000-0005-0000-0000-00007A200000}"/>
    <cellStyle name="Comma 2 2 4 3 12" xfId="23022" xr:uid="{00000000-0005-0000-0000-00007B200000}"/>
    <cellStyle name="Comma 2 2 4 3 13" xfId="26506" xr:uid="{00000000-0005-0000-0000-00007C200000}"/>
    <cellStyle name="Comma 2 2 4 3 14" xfId="29839" xr:uid="{00000000-0005-0000-0000-00007D200000}"/>
    <cellStyle name="Comma 2 2 4 3 15" xfId="32820" xr:uid="{00000000-0005-0000-0000-00007E200000}"/>
    <cellStyle name="Comma 2 2 4 3 2" xfId="900" xr:uid="{00000000-0005-0000-0000-00007F200000}"/>
    <cellStyle name="Comma 2 2 4 3 2 10" xfId="33126" xr:uid="{00000000-0005-0000-0000-000080200000}"/>
    <cellStyle name="Comma 2 2 4 3 2 2" xfId="9671" xr:uid="{00000000-0005-0000-0000-000081200000}"/>
    <cellStyle name="Comma 2 2 4 3 2 2 2" xfId="25471" xr:uid="{00000000-0005-0000-0000-000082200000}"/>
    <cellStyle name="Comma 2 2 4 3 2 2 2 2" xfId="44898" xr:uid="{00000000-0005-0000-0000-000083200000}"/>
    <cellStyle name="Comma 2 2 4 3 2 2 2 3" xfId="38475" xr:uid="{00000000-0005-0000-0000-000084200000}"/>
    <cellStyle name="Comma 2 2 4 3 2 2 3" xfId="27649" xr:uid="{00000000-0005-0000-0000-000085200000}"/>
    <cellStyle name="Comma 2 2 4 3 2 2 3 2" xfId="41691" xr:uid="{00000000-0005-0000-0000-000086200000}"/>
    <cellStyle name="Comma 2 2 4 3 2 2 4" xfId="30984" xr:uid="{00000000-0005-0000-0000-000087200000}"/>
    <cellStyle name="Comma 2 2 4 3 2 2 5" xfId="35267" xr:uid="{00000000-0005-0000-0000-000088200000}"/>
    <cellStyle name="Comma 2 2 4 3 2 3" xfId="15305" xr:uid="{00000000-0005-0000-0000-000089200000}"/>
    <cellStyle name="Comma 2 2 4 3 2 3 2" xfId="24318" xr:uid="{00000000-0005-0000-0000-00008A200000}"/>
    <cellStyle name="Comma 2 2 4 3 2 3 2 2" xfId="43747" xr:uid="{00000000-0005-0000-0000-00008B200000}"/>
    <cellStyle name="Comma 2 2 4 3 2 3 2 3" xfId="37324" xr:uid="{00000000-0005-0000-0000-00008C200000}"/>
    <cellStyle name="Comma 2 2 4 3 2 3 3" xfId="28641" xr:uid="{00000000-0005-0000-0000-00008D200000}"/>
    <cellStyle name="Comma 2 2 4 3 2 3 3 2" xfId="40540" xr:uid="{00000000-0005-0000-0000-00008E200000}"/>
    <cellStyle name="Comma 2 2 4 3 2 3 4" xfId="31976" xr:uid="{00000000-0005-0000-0000-00008F200000}"/>
    <cellStyle name="Comma 2 2 4 3 2 3 5" xfId="34116" xr:uid="{00000000-0005-0000-0000-000090200000}"/>
    <cellStyle name="Comma 2 2 4 3 2 4" xfId="8121" xr:uid="{00000000-0005-0000-0000-000091200000}"/>
    <cellStyle name="Comma 2 2 4 3 2 4 2" xfId="42757" xr:uid="{00000000-0005-0000-0000-000092200000}"/>
    <cellStyle name="Comma 2 2 4 3 2 4 3" xfId="36333" xr:uid="{00000000-0005-0000-0000-000093200000}"/>
    <cellStyle name="Comma 2 2 4 3 2 5" xfId="21112" xr:uid="{00000000-0005-0000-0000-000094200000}"/>
    <cellStyle name="Comma 2 2 4 3 2 5 2" xfId="39550" xr:uid="{00000000-0005-0000-0000-000095200000}"/>
    <cellStyle name="Comma 2 2 4 3 2 6" xfId="22185" xr:uid="{00000000-0005-0000-0000-000096200000}"/>
    <cellStyle name="Comma 2 2 4 3 2 7" xfId="23328" xr:uid="{00000000-0005-0000-0000-000097200000}"/>
    <cellStyle name="Comma 2 2 4 3 2 8" xfId="26507" xr:uid="{00000000-0005-0000-0000-000098200000}"/>
    <cellStyle name="Comma 2 2 4 3 2 9" xfId="29840" xr:uid="{00000000-0005-0000-0000-000099200000}"/>
    <cellStyle name="Comma 2 2 4 3 3" xfId="901" xr:uid="{00000000-0005-0000-0000-00009A200000}"/>
    <cellStyle name="Comma 2 2 4 3 3 10" xfId="33127" xr:uid="{00000000-0005-0000-0000-00009B200000}"/>
    <cellStyle name="Comma 2 2 4 3 3 2" xfId="9672" xr:uid="{00000000-0005-0000-0000-00009C200000}"/>
    <cellStyle name="Comma 2 2 4 3 3 2 2" xfId="25472" xr:uid="{00000000-0005-0000-0000-00009D200000}"/>
    <cellStyle name="Comma 2 2 4 3 3 2 2 2" xfId="44899" xr:uid="{00000000-0005-0000-0000-00009E200000}"/>
    <cellStyle name="Comma 2 2 4 3 3 2 2 3" xfId="38476" xr:uid="{00000000-0005-0000-0000-00009F200000}"/>
    <cellStyle name="Comma 2 2 4 3 3 2 3" xfId="27650" xr:uid="{00000000-0005-0000-0000-0000A0200000}"/>
    <cellStyle name="Comma 2 2 4 3 3 2 3 2" xfId="41692" xr:uid="{00000000-0005-0000-0000-0000A1200000}"/>
    <cellStyle name="Comma 2 2 4 3 3 2 4" xfId="30985" xr:uid="{00000000-0005-0000-0000-0000A2200000}"/>
    <cellStyle name="Comma 2 2 4 3 3 2 5" xfId="35268" xr:uid="{00000000-0005-0000-0000-0000A3200000}"/>
    <cellStyle name="Comma 2 2 4 3 3 3" xfId="15306" xr:uid="{00000000-0005-0000-0000-0000A4200000}"/>
    <cellStyle name="Comma 2 2 4 3 3 3 2" xfId="24319" xr:uid="{00000000-0005-0000-0000-0000A5200000}"/>
    <cellStyle name="Comma 2 2 4 3 3 3 2 2" xfId="43748" xr:uid="{00000000-0005-0000-0000-0000A6200000}"/>
    <cellStyle name="Comma 2 2 4 3 3 3 2 3" xfId="37325" xr:uid="{00000000-0005-0000-0000-0000A7200000}"/>
    <cellStyle name="Comma 2 2 4 3 3 3 3" xfId="28642" xr:uid="{00000000-0005-0000-0000-0000A8200000}"/>
    <cellStyle name="Comma 2 2 4 3 3 3 3 2" xfId="40541" xr:uid="{00000000-0005-0000-0000-0000A9200000}"/>
    <cellStyle name="Comma 2 2 4 3 3 3 4" xfId="31977" xr:uid="{00000000-0005-0000-0000-0000AA200000}"/>
    <cellStyle name="Comma 2 2 4 3 3 3 5" xfId="34117" xr:uid="{00000000-0005-0000-0000-0000AB200000}"/>
    <cellStyle name="Comma 2 2 4 3 3 4" xfId="8122" xr:uid="{00000000-0005-0000-0000-0000AC200000}"/>
    <cellStyle name="Comma 2 2 4 3 3 4 2" xfId="42758" xr:uid="{00000000-0005-0000-0000-0000AD200000}"/>
    <cellStyle name="Comma 2 2 4 3 3 4 3" xfId="36334" xr:uid="{00000000-0005-0000-0000-0000AE200000}"/>
    <cellStyle name="Comma 2 2 4 3 3 5" xfId="21113" xr:uid="{00000000-0005-0000-0000-0000AF200000}"/>
    <cellStyle name="Comma 2 2 4 3 3 5 2" xfId="39551" xr:uid="{00000000-0005-0000-0000-0000B0200000}"/>
    <cellStyle name="Comma 2 2 4 3 3 6" xfId="22186" xr:uid="{00000000-0005-0000-0000-0000B1200000}"/>
    <cellStyle name="Comma 2 2 4 3 3 7" xfId="23329" xr:uid="{00000000-0005-0000-0000-0000B2200000}"/>
    <cellStyle name="Comma 2 2 4 3 3 8" xfId="26508" xr:uid="{00000000-0005-0000-0000-0000B3200000}"/>
    <cellStyle name="Comma 2 2 4 3 3 9" xfId="29841" xr:uid="{00000000-0005-0000-0000-0000B4200000}"/>
    <cellStyle name="Comma 2 2 4 3 4" xfId="902" xr:uid="{00000000-0005-0000-0000-0000B5200000}"/>
    <cellStyle name="Comma 2 2 4 3 4 10" xfId="33128" xr:uid="{00000000-0005-0000-0000-0000B6200000}"/>
    <cellStyle name="Comma 2 2 4 3 4 2" xfId="9673" xr:uid="{00000000-0005-0000-0000-0000B7200000}"/>
    <cellStyle name="Comma 2 2 4 3 4 2 2" xfId="25473" xr:uid="{00000000-0005-0000-0000-0000B8200000}"/>
    <cellStyle name="Comma 2 2 4 3 4 2 2 2" xfId="44900" xr:uid="{00000000-0005-0000-0000-0000B9200000}"/>
    <cellStyle name="Comma 2 2 4 3 4 2 2 3" xfId="38477" xr:uid="{00000000-0005-0000-0000-0000BA200000}"/>
    <cellStyle name="Comma 2 2 4 3 4 2 3" xfId="27651" xr:uid="{00000000-0005-0000-0000-0000BB200000}"/>
    <cellStyle name="Comma 2 2 4 3 4 2 3 2" xfId="41693" xr:uid="{00000000-0005-0000-0000-0000BC200000}"/>
    <cellStyle name="Comma 2 2 4 3 4 2 4" xfId="30986" xr:uid="{00000000-0005-0000-0000-0000BD200000}"/>
    <cellStyle name="Comma 2 2 4 3 4 2 5" xfId="35269" xr:uid="{00000000-0005-0000-0000-0000BE200000}"/>
    <cellStyle name="Comma 2 2 4 3 4 3" xfId="15307" xr:uid="{00000000-0005-0000-0000-0000BF200000}"/>
    <cellStyle name="Comma 2 2 4 3 4 3 2" xfId="24320" xr:uid="{00000000-0005-0000-0000-0000C0200000}"/>
    <cellStyle name="Comma 2 2 4 3 4 3 2 2" xfId="43749" xr:uid="{00000000-0005-0000-0000-0000C1200000}"/>
    <cellStyle name="Comma 2 2 4 3 4 3 2 3" xfId="37326" xr:uid="{00000000-0005-0000-0000-0000C2200000}"/>
    <cellStyle name="Comma 2 2 4 3 4 3 3" xfId="28643" xr:uid="{00000000-0005-0000-0000-0000C3200000}"/>
    <cellStyle name="Comma 2 2 4 3 4 3 3 2" xfId="40542" xr:uid="{00000000-0005-0000-0000-0000C4200000}"/>
    <cellStyle name="Comma 2 2 4 3 4 3 4" xfId="31978" xr:uid="{00000000-0005-0000-0000-0000C5200000}"/>
    <cellStyle name="Comma 2 2 4 3 4 3 5" xfId="34118" xr:uid="{00000000-0005-0000-0000-0000C6200000}"/>
    <cellStyle name="Comma 2 2 4 3 4 4" xfId="8123" xr:uid="{00000000-0005-0000-0000-0000C7200000}"/>
    <cellStyle name="Comma 2 2 4 3 4 4 2" xfId="42759" xr:uid="{00000000-0005-0000-0000-0000C8200000}"/>
    <cellStyle name="Comma 2 2 4 3 4 4 3" xfId="36335" xr:uid="{00000000-0005-0000-0000-0000C9200000}"/>
    <cellStyle name="Comma 2 2 4 3 4 5" xfId="21114" xr:uid="{00000000-0005-0000-0000-0000CA200000}"/>
    <cellStyle name="Comma 2 2 4 3 4 5 2" xfId="39552" xr:uid="{00000000-0005-0000-0000-0000CB200000}"/>
    <cellStyle name="Comma 2 2 4 3 4 6" xfId="22187" xr:uid="{00000000-0005-0000-0000-0000CC200000}"/>
    <cellStyle name="Comma 2 2 4 3 4 7" xfId="23330" xr:uid="{00000000-0005-0000-0000-0000CD200000}"/>
    <cellStyle name="Comma 2 2 4 3 4 8" xfId="26509" xr:uid="{00000000-0005-0000-0000-0000CE200000}"/>
    <cellStyle name="Comma 2 2 4 3 4 9" xfId="29842" xr:uid="{00000000-0005-0000-0000-0000CF200000}"/>
    <cellStyle name="Comma 2 2 4 3 5" xfId="903" xr:uid="{00000000-0005-0000-0000-0000D0200000}"/>
    <cellStyle name="Comma 2 2 4 3 5 10" xfId="33129" xr:uid="{00000000-0005-0000-0000-0000D1200000}"/>
    <cellStyle name="Comma 2 2 4 3 5 2" xfId="9674" xr:uid="{00000000-0005-0000-0000-0000D2200000}"/>
    <cellStyle name="Comma 2 2 4 3 5 2 2" xfId="25474" xr:uid="{00000000-0005-0000-0000-0000D3200000}"/>
    <cellStyle name="Comma 2 2 4 3 5 2 2 2" xfId="44901" xr:uid="{00000000-0005-0000-0000-0000D4200000}"/>
    <cellStyle name="Comma 2 2 4 3 5 2 2 3" xfId="38478" xr:uid="{00000000-0005-0000-0000-0000D5200000}"/>
    <cellStyle name="Comma 2 2 4 3 5 2 3" xfId="27652" xr:uid="{00000000-0005-0000-0000-0000D6200000}"/>
    <cellStyle name="Comma 2 2 4 3 5 2 3 2" xfId="41694" xr:uid="{00000000-0005-0000-0000-0000D7200000}"/>
    <cellStyle name="Comma 2 2 4 3 5 2 4" xfId="30987" xr:uid="{00000000-0005-0000-0000-0000D8200000}"/>
    <cellStyle name="Comma 2 2 4 3 5 2 5" xfId="35270" xr:uid="{00000000-0005-0000-0000-0000D9200000}"/>
    <cellStyle name="Comma 2 2 4 3 5 3" xfId="15308" xr:uid="{00000000-0005-0000-0000-0000DA200000}"/>
    <cellStyle name="Comma 2 2 4 3 5 3 2" xfId="24321" xr:uid="{00000000-0005-0000-0000-0000DB200000}"/>
    <cellStyle name="Comma 2 2 4 3 5 3 2 2" xfId="43750" xr:uid="{00000000-0005-0000-0000-0000DC200000}"/>
    <cellStyle name="Comma 2 2 4 3 5 3 2 3" xfId="37327" xr:uid="{00000000-0005-0000-0000-0000DD200000}"/>
    <cellStyle name="Comma 2 2 4 3 5 3 3" xfId="28644" xr:uid="{00000000-0005-0000-0000-0000DE200000}"/>
    <cellStyle name="Comma 2 2 4 3 5 3 3 2" xfId="40543" xr:uid="{00000000-0005-0000-0000-0000DF200000}"/>
    <cellStyle name="Comma 2 2 4 3 5 3 4" xfId="31979" xr:uid="{00000000-0005-0000-0000-0000E0200000}"/>
    <cellStyle name="Comma 2 2 4 3 5 3 5" xfId="34119" xr:uid="{00000000-0005-0000-0000-0000E1200000}"/>
    <cellStyle name="Comma 2 2 4 3 5 4" xfId="8124" xr:uid="{00000000-0005-0000-0000-0000E2200000}"/>
    <cellStyle name="Comma 2 2 4 3 5 4 2" xfId="42760" xr:uid="{00000000-0005-0000-0000-0000E3200000}"/>
    <cellStyle name="Comma 2 2 4 3 5 4 3" xfId="36336" xr:uid="{00000000-0005-0000-0000-0000E4200000}"/>
    <cellStyle name="Comma 2 2 4 3 5 5" xfId="21115" xr:uid="{00000000-0005-0000-0000-0000E5200000}"/>
    <cellStyle name="Comma 2 2 4 3 5 5 2" xfId="39553" xr:uid="{00000000-0005-0000-0000-0000E6200000}"/>
    <cellStyle name="Comma 2 2 4 3 5 6" xfId="22188" xr:uid="{00000000-0005-0000-0000-0000E7200000}"/>
    <cellStyle name="Comma 2 2 4 3 5 7" xfId="23331" xr:uid="{00000000-0005-0000-0000-0000E8200000}"/>
    <cellStyle name="Comma 2 2 4 3 5 8" xfId="26510" xr:uid="{00000000-0005-0000-0000-0000E9200000}"/>
    <cellStyle name="Comma 2 2 4 3 5 9" xfId="29843" xr:uid="{00000000-0005-0000-0000-0000EA200000}"/>
    <cellStyle name="Comma 2 2 4 3 6" xfId="904" xr:uid="{00000000-0005-0000-0000-0000EB200000}"/>
    <cellStyle name="Comma 2 2 4 3 6 10" xfId="33130" xr:uid="{00000000-0005-0000-0000-0000EC200000}"/>
    <cellStyle name="Comma 2 2 4 3 6 2" xfId="9675" xr:uid="{00000000-0005-0000-0000-0000ED200000}"/>
    <cellStyle name="Comma 2 2 4 3 6 2 2" xfId="25475" xr:uid="{00000000-0005-0000-0000-0000EE200000}"/>
    <cellStyle name="Comma 2 2 4 3 6 2 2 2" xfId="44902" xr:uid="{00000000-0005-0000-0000-0000EF200000}"/>
    <cellStyle name="Comma 2 2 4 3 6 2 2 3" xfId="38479" xr:uid="{00000000-0005-0000-0000-0000F0200000}"/>
    <cellStyle name="Comma 2 2 4 3 6 2 3" xfId="27653" xr:uid="{00000000-0005-0000-0000-0000F1200000}"/>
    <cellStyle name="Comma 2 2 4 3 6 2 3 2" xfId="41695" xr:uid="{00000000-0005-0000-0000-0000F2200000}"/>
    <cellStyle name="Comma 2 2 4 3 6 2 4" xfId="30988" xr:uid="{00000000-0005-0000-0000-0000F3200000}"/>
    <cellStyle name="Comma 2 2 4 3 6 2 5" xfId="35271" xr:uid="{00000000-0005-0000-0000-0000F4200000}"/>
    <cellStyle name="Comma 2 2 4 3 6 3" xfId="15309" xr:uid="{00000000-0005-0000-0000-0000F5200000}"/>
    <cellStyle name="Comma 2 2 4 3 6 3 2" xfId="24322" xr:uid="{00000000-0005-0000-0000-0000F6200000}"/>
    <cellStyle name="Comma 2 2 4 3 6 3 2 2" xfId="43751" xr:uid="{00000000-0005-0000-0000-0000F7200000}"/>
    <cellStyle name="Comma 2 2 4 3 6 3 2 3" xfId="37328" xr:uid="{00000000-0005-0000-0000-0000F8200000}"/>
    <cellStyle name="Comma 2 2 4 3 6 3 3" xfId="28645" xr:uid="{00000000-0005-0000-0000-0000F9200000}"/>
    <cellStyle name="Comma 2 2 4 3 6 3 3 2" xfId="40544" xr:uid="{00000000-0005-0000-0000-0000FA200000}"/>
    <cellStyle name="Comma 2 2 4 3 6 3 4" xfId="31980" xr:uid="{00000000-0005-0000-0000-0000FB200000}"/>
    <cellStyle name="Comma 2 2 4 3 6 3 5" xfId="34120" xr:uid="{00000000-0005-0000-0000-0000FC200000}"/>
    <cellStyle name="Comma 2 2 4 3 6 4" xfId="8125" xr:uid="{00000000-0005-0000-0000-0000FD200000}"/>
    <cellStyle name="Comma 2 2 4 3 6 4 2" xfId="42761" xr:uid="{00000000-0005-0000-0000-0000FE200000}"/>
    <cellStyle name="Comma 2 2 4 3 6 4 3" xfId="36337" xr:uid="{00000000-0005-0000-0000-0000FF200000}"/>
    <cellStyle name="Comma 2 2 4 3 6 5" xfId="21116" xr:uid="{00000000-0005-0000-0000-000000210000}"/>
    <cellStyle name="Comma 2 2 4 3 6 5 2" xfId="39554" xr:uid="{00000000-0005-0000-0000-000001210000}"/>
    <cellStyle name="Comma 2 2 4 3 6 6" xfId="22189" xr:uid="{00000000-0005-0000-0000-000002210000}"/>
    <cellStyle name="Comma 2 2 4 3 6 7" xfId="23332" xr:uid="{00000000-0005-0000-0000-000003210000}"/>
    <cellStyle name="Comma 2 2 4 3 6 8" xfId="26511" xr:uid="{00000000-0005-0000-0000-000004210000}"/>
    <cellStyle name="Comma 2 2 4 3 6 9" xfId="29844" xr:uid="{00000000-0005-0000-0000-000005210000}"/>
    <cellStyle name="Comma 2 2 4 3 7" xfId="9107" xr:uid="{00000000-0005-0000-0000-000006210000}"/>
    <cellStyle name="Comma 2 2 4 3 7 2" xfId="25161" xr:uid="{00000000-0005-0000-0000-000007210000}"/>
    <cellStyle name="Comma 2 2 4 3 7 2 2" xfId="44588" xr:uid="{00000000-0005-0000-0000-000008210000}"/>
    <cellStyle name="Comma 2 2 4 3 7 2 3" xfId="38165" xr:uid="{00000000-0005-0000-0000-000009210000}"/>
    <cellStyle name="Comma 2 2 4 3 7 3" xfId="27340" xr:uid="{00000000-0005-0000-0000-00000A210000}"/>
    <cellStyle name="Comma 2 2 4 3 7 3 2" xfId="41381" xr:uid="{00000000-0005-0000-0000-00000B210000}"/>
    <cellStyle name="Comma 2 2 4 3 7 4" xfId="30675" xr:uid="{00000000-0005-0000-0000-00000C210000}"/>
    <cellStyle name="Comma 2 2 4 3 7 5" xfId="34957" xr:uid="{00000000-0005-0000-0000-00000D210000}"/>
    <cellStyle name="Comma 2 2 4 3 8" xfId="15304" xr:uid="{00000000-0005-0000-0000-00000E210000}"/>
    <cellStyle name="Comma 2 2 4 3 8 2" xfId="24317" xr:uid="{00000000-0005-0000-0000-00000F210000}"/>
    <cellStyle name="Comma 2 2 4 3 8 2 2" xfId="43746" xr:uid="{00000000-0005-0000-0000-000010210000}"/>
    <cellStyle name="Comma 2 2 4 3 8 2 3" xfId="37323" xr:uid="{00000000-0005-0000-0000-000011210000}"/>
    <cellStyle name="Comma 2 2 4 3 8 3" xfId="28640" xr:uid="{00000000-0005-0000-0000-000012210000}"/>
    <cellStyle name="Comma 2 2 4 3 8 3 2" xfId="40539" xr:uid="{00000000-0005-0000-0000-000013210000}"/>
    <cellStyle name="Comma 2 2 4 3 8 4" xfId="31975" xr:uid="{00000000-0005-0000-0000-000014210000}"/>
    <cellStyle name="Comma 2 2 4 3 8 5" xfId="34115" xr:uid="{00000000-0005-0000-0000-000015210000}"/>
    <cellStyle name="Comma 2 2 4 3 9" xfId="8120" xr:uid="{00000000-0005-0000-0000-000016210000}"/>
    <cellStyle name="Comma 2 2 4 3 9 2" xfId="42451" xr:uid="{00000000-0005-0000-0000-000017210000}"/>
    <cellStyle name="Comma 2 2 4 3 9 3" xfId="36027" xr:uid="{00000000-0005-0000-0000-000018210000}"/>
    <cellStyle name="Comma 2 2 4 4" xfId="905" xr:uid="{00000000-0005-0000-0000-000019210000}"/>
    <cellStyle name="Comma 2 2 4 4 10" xfId="22190" xr:uid="{00000000-0005-0000-0000-00001A210000}"/>
    <cellStyle name="Comma 2 2 4 4 11" xfId="23333" xr:uid="{00000000-0005-0000-0000-00001B210000}"/>
    <cellStyle name="Comma 2 2 4 4 12" xfId="26512" xr:uid="{00000000-0005-0000-0000-00001C210000}"/>
    <cellStyle name="Comma 2 2 4 4 13" xfId="29845" xr:uid="{00000000-0005-0000-0000-00001D210000}"/>
    <cellStyle name="Comma 2 2 4 4 14" xfId="33131" xr:uid="{00000000-0005-0000-0000-00001E210000}"/>
    <cellStyle name="Comma 2 2 4 4 2" xfId="906" xr:uid="{00000000-0005-0000-0000-00001F210000}"/>
    <cellStyle name="Comma 2 2 4 4 2 10" xfId="33132" xr:uid="{00000000-0005-0000-0000-000020210000}"/>
    <cellStyle name="Comma 2 2 4 4 2 2" xfId="9677" xr:uid="{00000000-0005-0000-0000-000021210000}"/>
    <cellStyle name="Comma 2 2 4 4 2 2 2" xfId="25477" xr:uid="{00000000-0005-0000-0000-000022210000}"/>
    <cellStyle name="Comma 2 2 4 4 2 2 2 2" xfId="44904" xr:uid="{00000000-0005-0000-0000-000023210000}"/>
    <cellStyle name="Comma 2 2 4 4 2 2 2 3" xfId="38481" xr:uid="{00000000-0005-0000-0000-000024210000}"/>
    <cellStyle name="Comma 2 2 4 4 2 2 3" xfId="27655" xr:uid="{00000000-0005-0000-0000-000025210000}"/>
    <cellStyle name="Comma 2 2 4 4 2 2 3 2" xfId="41697" xr:uid="{00000000-0005-0000-0000-000026210000}"/>
    <cellStyle name="Comma 2 2 4 4 2 2 4" xfId="30990" xr:uid="{00000000-0005-0000-0000-000027210000}"/>
    <cellStyle name="Comma 2 2 4 4 2 2 5" xfId="35273" xr:uid="{00000000-0005-0000-0000-000028210000}"/>
    <cellStyle name="Comma 2 2 4 4 2 3" xfId="15311" xr:uid="{00000000-0005-0000-0000-000029210000}"/>
    <cellStyle name="Comma 2 2 4 4 2 3 2" xfId="24324" xr:uid="{00000000-0005-0000-0000-00002A210000}"/>
    <cellStyle name="Comma 2 2 4 4 2 3 2 2" xfId="43753" xr:uid="{00000000-0005-0000-0000-00002B210000}"/>
    <cellStyle name="Comma 2 2 4 4 2 3 2 3" xfId="37330" xr:uid="{00000000-0005-0000-0000-00002C210000}"/>
    <cellStyle name="Comma 2 2 4 4 2 3 3" xfId="28647" xr:uid="{00000000-0005-0000-0000-00002D210000}"/>
    <cellStyle name="Comma 2 2 4 4 2 3 3 2" xfId="40546" xr:uid="{00000000-0005-0000-0000-00002E210000}"/>
    <cellStyle name="Comma 2 2 4 4 2 3 4" xfId="31982" xr:uid="{00000000-0005-0000-0000-00002F210000}"/>
    <cellStyle name="Comma 2 2 4 4 2 3 5" xfId="34122" xr:uid="{00000000-0005-0000-0000-000030210000}"/>
    <cellStyle name="Comma 2 2 4 4 2 4" xfId="8127" xr:uid="{00000000-0005-0000-0000-000031210000}"/>
    <cellStyle name="Comma 2 2 4 4 2 4 2" xfId="42763" xr:uid="{00000000-0005-0000-0000-000032210000}"/>
    <cellStyle name="Comma 2 2 4 4 2 4 3" xfId="36339" xr:uid="{00000000-0005-0000-0000-000033210000}"/>
    <cellStyle name="Comma 2 2 4 4 2 5" xfId="21118" xr:uid="{00000000-0005-0000-0000-000034210000}"/>
    <cellStyle name="Comma 2 2 4 4 2 5 2" xfId="39556" xr:uid="{00000000-0005-0000-0000-000035210000}"/>
    <cellStyle name="Comma 2 2 4 4 2 6" xfId="22191" xr:uid="{00000000-0005-0000-0000-000036210000}"/>
    <cellStyle name="Comma 2 2 4 4 2 7" xfId="23334" xr:uid="{00000000-0005-0000-0000-000037210000}"/>
    <cellStyle name="Comma 2 2 4 4 2 8" xfId="26513" xr:uid="{00000000-0005-0000-0000-000038210000}"/>
    <cellStyle name="Comma 2 2 4 4 2 9" xfId="29846" xr:uid="{00000000-0005-0000-0000-000039210000}"/>
    <cellStyle name="Comma 2 2 4 4 3" xfId="907" xr:uid="{00000000-0005-0000-0000-00003A210000}"/>
    <cellStyle name="Comma 2 2 4 4 3 10" xfId="33133" xr:uid="{00000000-0005-0000-0000-00003B210000}"/>
    <cellStyle name="Comma 2 2 4 4 3 2" xfId="9678" xr:uid="{00000000-0005-0000-0000-00003C210000}"/>
    <cellStyle name="Comma 2 2 4 4 3 2 2" xfId="25478" xr:uid="{00000000-0005-0000-0000-00003D210000}"/>
    <cellStyle name="Comma 2 2 4 4 3 2 2 2" xfId="44905" xr:uid="{00000000-0005-0000-0000-00003E210000}"/>
    <cellStyle name="Comma 2 2 4 4 3 2 2 3" xfId="38482" xr:uid="{00000000-0005-0000-0000-00003F210000}"/>
    <cellStyle name="Comma 2 2 4 4 3 2 3" xfId="27656" xr:uid="{00000000-0005-0000-0000-000040210000}"/>
    <cellStyle name="Comma 2 2 4 4 3 2 3 2" xfId="41698" xr:uid="{00000000-0005-0000-0000-000041210000}"/>
    <cellStyle name="Comma 2 2 4 4 3 2 4" xfId="30991" xr:uid="{00000000-0005-0000-0000-000042210000}"/>
    <cellStyle name="Comma 2 2 4 4 3 2 5" xfId="35274" xr:uid="{00000000-0005-0000-0000-000043210000}"/>
    <cellStyle name="Comma 2 2 4 4 3 3" xfId="15312" xr:uid="{00000000-0005-0000-0000-000044210000}"/>
    <cellStyle name="Comma 2 2 4 4 3 3 2" xfId="24325" xr:uid="{00000000-0005-0000-0000-000045210000}"/>
    <cellStyle name="Comma 2 2 4 4 3 3 2 2" xfId="43754" xr:uid="{00000000-0005-0000-0000-000046210000}"/>
    <cellStyle name="Comma 2 2 4 4 3 3 2 3" xfId="37331" xr:uid="{00000000-0005-0000-0000-000047210000}"/>
    <cellStyle name="Comma 2 2 4 4 3 3 3" xfId="28648" xr:uid="{00000000-0005-0000-0000-000048210000}"/>
    <cellStyle name="Comma 2 2 4 4 3 3 3 2" xfId="40547" xr:uid="{00000000-0005-0000-0000-000049210000}"/>
    <cellStyle name="Comma 2 2 4 4 3 3 4" xfId="31983" xr:uid="{00000000-0005-0000-0000-00004A210000}"/>
    <cellStyle name="Comma 2 2 4 4 3 3 5" xfId="34123" xr:uid="{00000000-0005-0000-0000-00004B210000}"/>
    <cellStyle name="Comma 2 2 4 4 3 4" xfId="8128" xr:uid="{00000000-0005-0000-0000-00004C210000}"/>
    <cellStyle name="Comma 2 2 4 4 3 4 2" xfId="42764" xr:uid="{00000000-0005-0000-0000-00004D210000}"/>
    <cellStyle name="Comma 2 2 4 4 3 4 3" xfId="36340" xr:uid="{00000000-0005-0000-0000-00004E210000}"/>
    <cellStyle name="Comma 2 2 4 4 3 5" xfId="21119" xr:uid="{00000000-0005-0000-0000-00004F210000}"/>
    <cellStyle name="Comma 2 2 4 4 3 5 2" xfId="39557" xr:uid="{00000000-0005-0000-0000-000050210000}"/>
    <cellStyle name="Comma 2 2 4 4 3 6" xfId="22192" xr:uid="{00000000-0005-0000-0000-000051210000}"/>
    <cellStyle name="Comma 2 2 4 4 3 7" xfId="23335" xr:uid="{00000000-0005-0000-0000-000052210000}"/>
    <cellStyle name="Comma 2 2 4 4 3 8" xfId="26514" xr:uid="{00000000-0005-0000-0000-000053210000}"/>
    <cellStyle name="Comma 2 2 4 4 3 9" xfId="29847" xr:uid="{00000000-0005-0000-0000-000054210000}"/>
    <cellStyle name="Comma 2 2 4 4 4" xfId="908" xr:uid="{00000000-0005-0000-0000-000055210000}"/>
    <cellStyle name="Comma 2 2 4 4 4 10" xfId="33134" xr:uid="{00000000-0005-0000-0000-000056210000}"/>
    <cellStyle name="Comma 2 2 4 4 4 2" xfId="9679" xr:uid="{00000000-0005-0000-0000-000057210000}"/>
    <cellStyle name="Comma 2 2 4 4 4 2 2" xfId="25479" xr:uid="{00000000-0005-0000-0000-000058210000}"/>
    <cellStyle name="Comma 2 2 4 4 4 2 2 2" xfId="44906" xr:uid="{00000000-0005-0000-0000-000059210000}"/>
    <cellStyle name="Comma 2 2 4 4 4 2 2 3" xfId="38483" xr:uid="{00000000-0005-0000-0000-00005A210000}"/>
    <cellStyle name="Comma 2 2 4 4 4 2 3" xfId="27657" xr:uid="{00000000-0005-0000-0000-00005B210000}"/>
    <cellStyle name="Comma 2 2 4 4 4 2 3 2" xfId="41699" xr:uid="{00000000-0005-0000-0000-00005C210000}"/>
    <cellStyle name="Comma 2 2 4 4 4 2 4" xfId="30992" xr:uid="{00000000-0005-0000-0000-00005D210000}"/>
    <cellStyle name="Comma 2 2 4 4 4 2 5" xfId="35275" xr:uid="{00000000-0005-0000-0000-00005E210000}"/>
    <cellStyle name="Comma 2 2 4 4 4 3" xfId="15313" xr:uid="{00000000-0005-0000-0000-00005F210000}"/>
    <cellStyle name="Comma 2 2 4 4 4 3 2" xfId="24326" xr:uid="{00000000-0005-0000-0000-000060210000}"/>
    <cellStyle name="Comma 2 2 4 4 4 3 2 2" xfId="43755" xr:uid="{00000000-0005-0000-0000-000061210000}"/>
    <cellStyle name="Comma 2 2 4 4 4 3 2 3" xfId="37332" xr:uid="{00000000-0005-0000-0000-000062210000}"/>
    <cellStyle name="Comma 2 2 4 4 4 3 3" xfId="28649" xr:uid="{00000000-0005-0000-0000-000063210000}"/>
    <cellStyle name="Comma 2 2 4 4 4 3 3 2" xfId="40548" xr:uid="{00000000-0005-0000-0000-000064210000}"/>
    <cellStyle name="Comma 2 2 4 4 4 3 4" xfId="31984" xr:uid="{00000000-0005-0000-0000-000065210000}"/>
    <cellStyle name="Comma 2 2 4 4 4 3 5" xfId="34124" xr:uid="{00000000-0005-0000-0000-000066210000}"/>
    <cellStyle name="Comma 2 2 4 4 4 4" xfId="8129" xr:uid="{00000000-0005-0000-0000-000067210000}"/>
    <cellStyle name="Comma 2 2 4 4 4 4 2" xfId="42765" xr:uid="{00000000-0005-0000-0000-000068210000}"/>
    <cellStyle name="Comma 2 2 4 4 4 4 3" xfId="36341" xr:uid="{00000000-0005-0000-0000-000069210000}"/>
    <cellStyle name="Comma 2 2 4 4 4 5" xfId="21120" xr:uid="{00000000-0005-0000-0000-00006A210000}"/>
    <cellStyle name="Comma 2 2 4 4 4 5 2" xfId="39558" xr:uid="{00000000-0005-0000-0000-00006B210000}"/>
    <cellStyle name="Comma 2 2 4 4 4 6" xfId="22193" xr:uid="{00000000-0005-0000-0000-00006C210000}"/>
    <cellStyle name="Comma 2 2 4 4 4 7" xfId="23336" xr:uid="{00000000-0005-0000-0000-00006D210000}"/>
    <cellStyle name="Comma 2 2 4 4 4 8" xfId="26515" xr:uid="{00000000-0005-0000-0000-00006E210000}"/>
    <cellStyle name="Comma 2 2 4 4 4 9" xfId="29848" xr:uid="{00000000-0005-0000-0000-00006F210000}"/>
    <cellStyle name="Comma 2 2 4 4 5" xfId="909" xr:uid="{00000000-0005-0000-0000-000070210000}"/>
    <cellStyle name="Comma 2 2 4 4 5 10" xfId="33135" xr:uid="{00000000-0005-0000-0000-000071210000}"/>
    <cellStyle name="Comma 2 2 4 4 5 2" xfId="9680" xr:uid="{00000000-0005-0000-0000-000072210000}"/>
    <cellStyle name="Comma 2 2 4 4 5 2 2" xfId="25480" xr:uid="{00000000-0005-0000-0000-000073210000}"/>
    <cellStyle name="Comma 2 2 4 4 5 2 2 2" xfId="44907" xr:uid="{00000000-0005-0000-0000-000074210000}"/>
    <cellStyle name="Comma 2 2 4 4 5 2 2 3" xfId="38484" xr:uid="{00000000-0005-0000-0000-000075210000}"/>
    <cellStyle name="Comma 2 2 4 4 5 2 3" xfId="27658" xr:uid="{00000000-0005-0000-0000-000076210000}"/>
    <cellStyle name="Comma 2 2 4 4 5 2 3 2" xfId="41700" xr:uid="{00000000-0005-0000-0000-000077210000}"/>
    <cellStyle name="Comma 2 2 4 4 5 2 4" xfId="30993" xr:uid="{00000000-0005-0000-0000-000078210000}"/>
    <cellStyle name="Comma 2 2 4 4 5 2 5" xfId="35276" xr:uid="{00000000-0005-0000-0000-000079210000}"/>
    <cellStyle name="Comma 2 2 4 4 5 3" xfId="15314" xr:uid="{00000000-0005-0000-0000-00007A210000}"/>
    <cellStyle name="Comma 2 2 4 4 5 3 2" xfId="24327" xr:uid="{00000000-0005-0000-0000-00007B210000}"/>
    <cellStyle name="Comma 2 2 4 4 5 3 2 2" xfId="43756" xr:uid="{00000000-0005-0000-0000-00007C210000}"/>
    <cellStyle name="Comma 2 2 4 4 5 3 2 3" xfId="37333" xr:uid="{00000000-0005-0000-0000-00007D210000}"/>
    <cellStyle name="Comma 2 2 4 4 5 3 3" xfId="28650" xr:uid="{00000000-0005-0000-0000-00007E210000}"/>
    <cellStyle name="Comma 2 2 4 4 5 3 3 2" xfId="40549" xr:uid="{00000000-0005-0000-0000-00007F210000}"/>
    <cellStyle name="Comma 2 2 4 4 5 3 4" xfId="31985" xr:uid="{00000000-0005-0000-0000-000080210000}"/>
    <cellStyle name="Comma 2 2 4 4 5 3 5" xfId="34125" xr:uid="{00000000-0005-0000-0000-000081210000}"/>
    <cellStyle name="Comma 2 2 4 4 5 4" xfId="8130" xr:uid="{00000000-0005-0000-0000-000082210000}"/>
    <cellStyle name="Comma 2 2 4 4 5 4 2" xfId="42766" xr:uid="{00000000-0005-0000-0000-000083210000}"/>
    <cellStyle name="Comma 2 2 4 4 5 4 3" xfId="36342" xr:uid="{00000000-0005-0000-0000-000084210000}"/>
    <cellStyle name="Comma 2 2 4 4 5 5" xfId="21121" xr:uid="{00000000-0005-0000-0000-000085210000}"/>
    <cellStyle name="Comma 2 2 4 4 5 5 2" xfId="39559" xr:uid="{00000000-0005-0000-0000-000086210000}"/>
    <cellStyle name="Comma 2 2 4 4 5 6" xfId="22194" xr:uid="{00000000-0005-0000-0000-000087210000}"/>
    <cellStyle name="Comma 2 2 4 4 5 7" xfId="23337" xr:uid="{00000000-0005-0000-0000-000088210000}"/>
    <cellStyle name="Comma 2 2 4 4 5 8" xfId="26516" xr:uid="{00000000-0005-0000-0000-000089210000}"/>
    <cellStyle name="Comma 2 2 4 4 5 9" xfId="29849" xr:uid="{00000000-0005-0000-0000-00008A210000}"/>
    <cellStyle name="Comma 2 2 4 4 6" xfId="9676" xr:uid="{00000000-0005-0000-0000-00008B210000}"/>
    <cellStyle name="Comma 2 2 4 4 6 2" xfId="25476" xr:uid="{00000000-0005-0000-0000-00008C210000}"/>
    <cellStyle name="Comma 2 2 4 4 6 2 2" xfId="44903" xr:uid="{00000000-0005-0000-0000-00008D210000}"/>
    <cellStyle name="Comma 2 2 4 4 6 2 3" xfId="38480" xr:uid="{00000000-0005-0000-0000-00008E210000}"/>
    <cellStyle name="Comma 2 2 4 4 6 3" xfId="27654" xr:uid="{00000000-0005-0000-0000-00008F210000}"/>
    <cellStyle name="Comma 2 2 4 4 6 3 2" xfId="41696" xr:uid="{00000000-0005-0000-0000-000090210000}"/>
    <cellStyle name="Comma 2 2 4 4 6 4" xfId="30989" xr:uid="{00000000-0005-0000-0000-000091210000}"/>
    <cellStyle name="Comma 2 2 4 4 6 5" xfId="35272" xr:uid="{00000000-0005-0000-0000-000092210000}"/>
    <cellStyle name="Comma 2 2 4 4 7" xfId="15310" xr:uid="{00000000-0005-0000-0000-000093210000}"/>
    <cellStyle name="Comma 2 2 4 4 7 2" xfId="24323" xr:uid="{00000000-0005-0000-0000-000094210000}"/>
    <cellStyle name="Comma 2 2 4 4 7 2 2" xfId="43752" xr:uid="{00000000-0005-0000-0000-000095210000}"/>
    <cellStyle name="Comma 2 2 4 4 7 2 3" xfId="37329" xr:uid="{00000000-0005-0000-0000-000096210000}"/>
    <cellStyle name="Comma 2 2 4 4 7 3" xfId="28646" xr:uid="{00000000-0005-0000-0000-000097210000}"/>
    <cellStyle name="Comma 2 2 4 4 7 3 2" xfId="40545" xr:uid="{00000000-0005-0000-0000-000098210000}"/>
    <cellStyle name="Comma 2 2 4 4 7 4" xfId="31981" xr:uid="{00000000-0005-0000-0000-000099210000}"/>
    <cellStyle name="Comma 2 2 4 4 7 5" xfId="34121" xr:uid="{00000000-0005-0000-0000-00009A210000}"/>
    <cellStyle name="Comma 2 2 4 4 8" xfId="8126" xr:uid="{00000000-0005-0000-0000-00009B210000}"/>
    <cellStyle name="Comma 2 2 4 4 8 2" xfId="42762" xr:uid="{00000000-0005-0000-0000-00009C210000}"/>
    <cellStyle name="Comma 2 2 4 4 8 3" xfId="36338" xr:uid="{00000000-0005-0000-0000-00009D210000}"/>
    <cellStyle name="Comma 2 2 4 4 9" xfId="21117" xr:uid="{00000000-0005-0000-0000-00009E210000}"/>
    <cellStyle name="Comma 2 2 4 4 9 2" xfId="39555" xr:uid="{00000000-0005-0000-0000-00009F210000}"/>
    <cellStyle name="Comma 2 2 4 5" xfId="910" xr:uid="{00000000-0005-0000-0000-0000A0210000}"/>
    <cellStyle name="Comma 2 2 4 5 10" xfId="22195" xr:uid="{00000000-0005-0000-0000-0000A1210000}"/>
    <cellStyle name="Comma 2 2 4 5 11" xfId="23338" xr:uid="{00000000-0005-0000-0000-0000A2210000}"/>
    <cellStyle name="Comma 2 2 4 5 12" xfId="26517" xr:uid="{00000000-0005-0000-0000-0000A3210000}"/>
    <cellStyle name="Comma 2 2 4 5 13" xfId="29850" xr:uid="{00000000-0005-0000-0000-0000A4210000}"/>
    <cellStyle name="Comma 2 2 4 5 14" xfId="33136" xr:uid="{00000000-0005-0000-0000-0000A5210000}"/>
    <cellStyle name="Comma 2 2 4 5 2" xfId="911" xr:uid="{00000000-0005-0000-0000-0000A6210000}"/>
    <cellStyle name="Comma 2 2 4 5 2 10" xfId="33137" xr:uid="{00000000-0005-0000-0000-0000A7210000}"/>
    <cellStyle name="Comma 2 2 4 5 2 2" xfId="9682" xr:uid="{00000000-0005-0000-0000-0000A8210000}"/>
    <cellStyle name="Comma 2 2 4 5 2 2 2" xfId="25482" xr:uid="{00000000-0005-0000-0000-0000A9210000}"/>
    <cellStyle name="Comma 2 2 4 5 2 2 2 2" xfId="44909" xr:uid="{00000000-0005-0000-0000-0000AA210000}"/>
    <cellStyle name="Comma 2 2 4 5 2 2 2 3" xfId="38486" xr:uid="{00000000-0005-0000-0000-0000AB210000}"/>
    <cellStyle name="Comma 2 2 4 5 2 2 3" xfId="27660" xr:uid="{00000000-0005-0000-0000-0000AC210000}"/>
    <cellStyle name="Comma 2 2 4 5 2 2 3 2" xfId="41702" xr:uid="{00000000-0005-0000-0000-0000AD210000}"/>
    <cellStyle name="Comma 2 2 4 5 2 2 4" xfId="30995" xr:uid="{00000000-0005-0000-0000-0000AE210000}"/>
    <cellStyle name="Comma 2 2 4 5 2 2 5" xfId="35278" xr:uid="{00000000-0005-0000-0000-0000AF210000}"/>
    <cellStyle name="Comma 2 2 4 5 2 3" xfId="15316" xr:uid="{00000000-0005-0000-0000-0000B0210000}"/>
    <cellStyle name="Comma 2 2 4 5 2 3 2" xfId="24329" xr:uid="{00000000-0005-0000-0000-0000B1210000}"/>
    <cellStyle name="Comma 2 2 4 5 2 3 2 2" xfId="43758" xr:uid="{00000000-0005-0000-0000-0000B2210000}"/>
    <cellStyle name="Comma 2 2 4 5 2 3 2 3" xfId="37335" xr:uid="{00000000-0005-0000-0000-0000B3210000}"/>
    <cellStyle name="Comma 2 2 4 5 2 3 3" xfId="28652" xr:uid="{00000000-0005-0000-0000-0000B4210000}"/>
    <cellStyle name="Comma 2 2 4 5 2 3 3 2" xfId="40551" xr:uid="{00000000-0005-0000-0000-0000B5210000}"/>
    <cellStyle name="Comma 2 2 4 5 2 3 4" xfId="31987" xr:uid="{00000000-0005-0000-0000-0000B6210000}"/>
    <cellStyle name="Comma 2 2 4 5 2 3 5" xfId="34127" xr:uid="{00000000-0005-0000-0000-0000B7210000}"/>
    <cellStyle name="Comma 2 2 4 5 2 4" xfId="8132" xr:uid="{00000000-0005-0000-0000-0000B8210000}"/>
    <cellStyle name="Comma 2 2 4 5 2 4 2" xfId="42768" xr:uid="{00000000-0005-0000-0000-0000B9210000}"/>
    <cellStyle name="Comma 2 2 4 5 2 4 3" xfId="36344" xr:uid="{00000000-0005-0000-0000-0000BA210000}"/>
    <cellStyle name="Comma 2 2 4 5 2 5" xfId="21123" xr:uid="{00000000-0005-0000-0000-0000BB210000}"/>
    <cellStyle name="Comma 2 2 4 5 2 5 2" xfId="39561" xr:uid="{00000000-0005-0000-0000-0000BC210000}"/>
    <cellStyle name="Comma 2 2 4 5 2 6" xfId="22196" xr:uid="{00000000-0005-0000-0000-0000BD210000}"/>
    <cellStyle name="Comma 2 2 4 5 2 7" xfId="23339" xr:uid="{00000000-0005-0000-0000-0000BE210000}"/>
    <cellStyle name="Comma 2 2 4 5 2 8" xfId="26518" xr:uid="{00000000-0005-0000-0000-0000BF210000}"/>
    <cellStyle name="Comma 2 2 4 5 2 9" xfId="29851" xr:uid="{00000000-0005-0000-0000-0000C0210000}"/>
    <cellStyle name="Comma 2 2 4 5 3" xfId="912" xr:uid="{00000000-0005-0000-0000-0000C1210000}"/>
    <cellStyle name="Comma 2 2 4 5 3 10" xfId="33138" xr:uid="{00000000-0005-0000-0000-0000C2210000}"/>
    <cellStyle name="Comma 2 2 4 5 3 2" xfId="9683" xr:uid="{00000000-0005-0000-0000-0000C3210000}"/>
    <cellStyle name="Comma 2 2 4 5 3 2 2" xfId="25483" xr:uid="{00000000-0005-0000-0000-0000C4210000}"/>
    <cellStyle name="Comma 2 2 4 5 3 2 2 2" xfId="44910" xr:uid="{00000000-0005-0000-0000-0000C5210000}"/>
    <cellStyle name="Comma 2 2 4 5 3 2 2 3" xfId="38487" xr:uid="{00000000-0005-0000-0000-0000C6210000}"/>
    <cellStyle name="Comma 2 2 4 5 3 2 3" xfId="27661" xr:uid="{00000000-0005-0000-0000-0000C7210000}"/>
    <cellStyle name="Comma 2 2 4 5 3 2 3 2" xfId="41703" xr:uid="{00000000-0005-0000-0000-0000C8210000}"/>
    <cellStyle name="Comma 2 2 4 5 3 2 4" xfId="30996" xr:uid="{00000000-0005-0000-0000-0000C9210000}"/>
    <cellStyle name="Comma 2 2 4 5 3 2 5" xfId="35279" xr:uid="{00000000-0005-0000-0000-0000CA210000}"/>
    <cellStyle name="Comma 2 2 4 5 3 3" xfId="15317" xr:uid="{00000000-0005-0000-0000-0000CB210000}"/>
    <cellStyle name="Comma 2 2 4 5 3 3 2" xfId="24330" xr:uid="{00000000-0005-0000-0000-0000CC210000}"/>
    <cellStyle name="Comma 2 2 4 5 3 3 2 2" xfId="43759" xr:uid="{00000000-0005-0000-0000-0000CD210000}"/>
    <cellStyle name="Comma 2 2 4 5 3 3 2 3" xfId="37336" xr:uid="{00000000-0005-0000-0000-0000CE210000}"/>
    <cellStyle name="Comma 2 2 4 5 3 3 3" xfId="28653" xr:uid="{00000000-0005-0000-0000-0000CF210000}"/>
    <cellStyle name="Comma 2 2 4 5 3 3 3 2" xfId="40552" xr:uid="{00000000-0005-0000-0000-0000D0210000}"/>
    <cellStyle name="Comma 2 2 4 5 3 3 4" xfId="31988" xr:uid="{00000000-0005-0000-0000-0000D1210000}"/>
    <cellStyle name="Comma 2 2 4 5 3 3 5" xfId="34128" xr:uid="{00000000-0005-0000-0000-0000D2210000}"/>
    <cellStyle name="Comma 2 2 4 5 3 4" xfId="8133" xr:uid="{00000000-0005-0000-0000-0000D3210000}"/>
    <cellStyle name="Comma 2 2 4 5 3 4 2" xfId="42769" xr:uid="{00000000-0005-0000-0000-0000D4210000}"/>
    <cellStyle name="Comma 2 2 4 5 3 4 3" xfId="36345" xr:uid="{00000000-0005-0000-0000-0000D5210000}"/>
    <cellStyle name="Comma 2 2 4 5 3 5" xfId="21124" xr:uid="{00000000-0005-0000-0000-0000D6210000}"/>
    <cellStyle name="Comma 2 2 4 5 3 5 2" xfId="39562" xr:uid="{00000000-0005-0000-0000-0000D7210000}"/>
    <cellStyle name="Comma 2 2 4 5 3 6" xfId="22197" xr:uid="{00000000-0005-0000-0000-0000D8210000}"/>
    <cellStyle name="Comma 2 2 4 5 3 7" xfId="23340" xr:uid="{00000000-0005-0000-0000-0000D9210000}"/>
    <cellStyle name="Comma 2 2 4 5 3 8" xfId="26519" xr:uid="{00000000-0005-0000-0000-0000DA210000}"/>
    <cellStyle name="Comma 2 2 4 5 3 9" xfId="29852" xr:uid="{00000000-0005-0000-0000-0000DB210000}"/>
    <cellStyle name="Comma 2 2 4 5 4" xfId="913" xr:uid="{00000000-0005-0000-0000-0000DC210000}"/>
    <cellStyle name="Comma 2 2 4 5 4 10" xfId="33139" xr:uid="{00000000-0005-0000-0000-0000DD210000}"/>
    <cellStyle name="Comma 2 2 4 5 4 2" xfId="9684" xr:uid="{00000000-0005-0000-0000-0000DE210000}"/>
    <cellStyle name="Comma 2 2 4 5 4 2 2" xfId="25484" xr:uid="{00000000-0005-0000-0000-0000DF210000}"/>
    <cellStyle name="Comma 2 2 4 5 4 2 2 2" xfId="44911" xr:uid="{00000000-0005-0000-0000-0000E0210000}"/>
    <cellStyle name="Comma 2 2 4 5 4 2 2 3" xfId="38488" xr:uid="{00000000-0005-0000-0000-0000E1210000}"/>
    <cellStyle name="Comma 2 2 4 5 4 2 3" xfId="27662" xr:uid="{00000000-0005-0000-0000-0000E2210000}"/>
    <cellStyle name="Comma 2 2 4 5 4 2 3 2" xfId="41704" xr:uid="{00000000-0005-0000-0000-0000E3210000}"/>
    <cellStyle name="Comma 2 2 4 5 4 2 4" xfId="30997" xr:uid="{00000000-0005-0000-0000-0000E4210000}"/>
    <cellStyle name="Comma 2 2 4 5 4 2 5" xfId="35280" xr:uid="{00000000-0005-0000-0000-0000E5210000}"/>
    <cellStyle name="Comma 2 2 4 5 4 3" xfId="15318" xr:uid="{00000000-0005-0000-0000-0000E6210000}"/>
    <cellStyle name="Comma 2 2 4 5 4 3 2" xfId="24331" xr:uid="{00000000-0005-0000-0000-0000E7210000}"/>
    <cellStyle name="Comma 2 2 4 5 4 3 2 2" xfId="43760" xr:uid="{00000000-0005-0000-0000-0000E8210000}"/>
    <cellStyle name="Comma 2 2 4 5 4 3 2 3" xfId="37337" xr:uid="{00000000-0005-0000-0000-0000E9210000}"/>
    <cellStyle name="Comma 2 2 4 5 4 3 3" xfId="28654" xr:uid="{00000000-0005-0000-0000-0000EA210000}"/>
    <cellStyle name="Comma 2 2 4 5 4 3 3 2" xfId="40553" xr:uid="{00000000-0005-0000-0000-0000EB210000}"/>
    <cellStyle name="Comma 2 2 4 5 4 3 4" xfId="31989" xr:uid="{00000000-0005-0000-0000-0000EC210000}"/>
    <cellStyle name="Comma 2 2 4 5 4 3 5" xfId="34129" xr:uid="{00000000-0005-0000-0000-0000ED210000}"/>
    <cellStyle name="Comma 2 2 4 5 4 4" xfId="8134" xr:uid="{00000000-0005-0000-0000-0000EE210000}"/>
    <cellStyle name="Comma 2 2 4 5 4 4 2" xfId="42770" xr:uid="{00000000-0005-0000-0000-0000EF210000}"/>
    <cellStyle name="Comma 2 2 4 5 4 4 3" xfId="36346" xr:uid="{00000000-0005-0000-0000-0000F0210000}"/>
    <cellStyle name="Comma 2 2 4 5 4 5" xfId="21125" xr:uid="{00000000-0005-0000-0000-0000F1210000}"/>
    <cellStyle name="Comma 2 2 4 5 4 5 2" xfId="39563" xr:uid="{00000000-0005-0000-0000-0000F2210000}"/>
    <cellStyle name="Comma 2 2 4 5 4 6" xfId="22198" xr:uid="{00000000-0005-0000-0000-0000F3210000}"/>
    <cellStyle name="Comma 2 2 4 5 4 7" xfId="23341" xr:uid="{00000000-0005-0000-0000-0000F4210000}"/>
    <cellStyle name="Comma 2 2 4 5 4 8" xfId="26520" xr:uid="{00000000-0005-0000-0000-0000F5210000}"/>
    <cellStyle name="Comma 2 2 4 5 4 9" xfId="29853" xr:uid="{00000000-0005-0000-0000-0000F6210000}"/>
    <cellStyle name="Comma 2 2 4 5 5" xfId="914" xr:uid="{00000000-0005-0000-0000-0000F7210000}"/>
    <cellStyle name="Comma 2 2 4 5 5 10" xfId="33140" xr:uid="{00000000-0005-0000-0000-0000F8210000}"/>
    <cellStyle name="Comma 2 2 4 5 5 2" xfId="9685" xr:uid="{00000000-0005-0000-0000-0000F9210000}"/>
    <cellStyle name="Comma 2 2 4 5 5 2 2" xfId="25485" xr:uid="{00000000-0005-0000-0000-0000FA210000}"/>
    <cellStyle name="Comma 2 2 4 5 5 2 2 2" xfId="44912" xr:uid="{00000000-0005-0000-0000-0000FB210000}"/>
    <cellStyle name="Comma 2 2 4 5 5 2 2 3" xfId="38489" xr:uid="{00000000-0005-0000-0000-0000FC210000}"/>
    <cellStyle name="Comma 2 2 4 5 5 2 3" xfId="27663" xr:uid="{00000000-0005-0000-0000-0000FD210000}"/>
    <cellStyle name="Comma 2 2 4 5 5 2 3 2" xfId="41705" xr:uid="{00000000-0005-0000-0000-0000FE210000}"/>
    <cellStyle name="Comma 2 2 4 5 5 2 4" xfId="30998" xr:uid="{00000000-0005-0000-0000-0000FF210000}"/>
    <cellStyle name="Comma 2 2 4 5 5 2 5" xfId="35281" xr:uid="{00000000-0005-0000-0000-000000220000}"/>
    <cellStyle name="Comma 2 2 4 5 5 3" xfId="15319" xr:uid="{00000000-0005-0000-0000-000001220000}"/>
    <cellStyle name="Comma 2 2 4 5 5 3 2" xfId="24332" xr:uid="{00000000-0005-0000-0000-000002220000}"/>
    <cellStyle name="Comma 2 2 4 5 5 3 2 2" xfId="43761" xr:uid="{00000000-0005-0000-0000-000003220000}"/>
    <cellStyle name="Comma 2 2 4 5 5 3 2 3" xfId="37338" xr:uid="{00000000-0005-0000-0000-000004220000}"/>
    <cellStyle name="Comma 2 2 4 5 5 3 3" xfId="28655" xr:uid="{00000000-0005-0000-0000-000005220000}"/>
    <cellStyle name="Comma 2 2 4 5 5 3 3 2" xfId="40554" xr:uid="{00000000-0005-0000-0000-000006220000}"/>
    <cellStyle name="Comma 2 2 4 5 5 3 4" xfId="31990" xr:uid="{00000000-0005-0000-0000-000007220000}"/>
    <cellStyle name="Comma 2 2 4 5 5 3 5" xfId="34130" xr:uid="{00000000-0005-0000-0000-000008220000}"/>
    <cellStyle name="Comma 2 2 4 5 5 4" xfId="8135" xr:uid="{00000000-0005-0000-0000-000009220000}"/>
    <cellStyle name="Comma 2 2 4 5 5 4 2" xfId="42771" xr:uid="{00000000-0005-0000-0000-00000A220000}"/>
    <cellStyle name="Comma 2 2 4 5 5 4 3" xfId="36347" xr:uid="{00000000-0005-0000-0000-00000B220000}"/>
    <cellStyle name="Comma 2 2 4 5 5 5" xfId="21126" xr:uid="{00000000-0005-0000-0000-00000C220000}"/>
    <cellStyle name="Comma 2 2 4 5 5 5 2" xfId="39564" xr:uid="{00000000-0005-0000-0000-00000D220000}"/>
    <cellStyle name="Comma 2 2 4 5 5 6" xfId="22199" xr:uid="{00000000-0005-0000-0000-00000E220000}"/>
    <cellStyle name="Comma 2 2 4 5 5 7" xfId="23342" xr:uid="{00000000-0005-0000-0000-00000F220000}"/>
    <cellStyle name="Comma 2 2 4 5 5 8" xfId="26521" xr:uid="{00000000-0005-0000-0000-000010220000}"/>
    <cellStyle name="Comma 2 2 4 5 5 9" xfId="29854" xr:uid="{00000000-0005-0000-0000-000011220000}"/>
    <cellStyle name="Comma 2 2 4 5 6" xfId="9681" xr:uid="{00000000-0005-0000-0000-000012220000}"/>
    <cellStyle name="Comma 2 2 4 5 6 2" xfId="25481" xr:uid="{00000000-0005-0000-0000-000013220000}"/>
    <cellStyle name="Comma 2 2 4 5 6 2 2" xfId="44908" xr:uid="{00000000-0005-0000-0000-000014220000}"/>
    <cellStyle name="Comma 2 2 4 5 6 2 3" xfId="38485" xr:uid="{00000000-0005-0000-0000-000015220000}"/>
    <cellStyle name="Comma 2 2 4 5 6 3" xfId="27659" xr:uid="{00000000-0005-0000-0000-000016220000}"/>
    <cellStyle name="Comma 2 2 4 5 6 3 2" xfId="41701" xr:uid="{00000000-0005-0000-0000-000017220000}"/>
    <cellStyle name="Comma 2 2 4 5 6 4" xfId="30994" xr:uid="{00000000-0005-0000-0000-000018220000}"/>
    <cellStyle name="Comma 2 2 4 5 6 5" xfId="35277" xr:uid="{00000000-0005-0000-0000-000019220000}"/>
    <cellStyle name="Comma 2 2 4 5 7" xfId="15315" xr:uid="{00000000-0005-0000-0000-00001A220000}"/>
    <cellStyle name="Comma 2 2 4 5 7 2" xfId="24328" xr:uid="{00000000-0005-0000-0000-00001B220000}"/>
    <cellStyle name="Comma 2 2 4 5 7 2 2" xfId="43757" xr:uid="{00000000-0005-0000-0000-00001C220000}"/>
    <cellStyle name="Comma 2 2 4 5 7 2 3" xfId="37334" xr:uid="{00000000-0005-0000-0000-00001D220000}"/>
    <cellStyle name="Comma 2 2 4 5 7 3" xfId="28651" xr:uid="{00000000-0005-0000-0000-00001E220000}"/>
    <cellStyle name="Comma 2 2 4 5 7 3 2" xfId="40550" xr:uid="{00000000-0005-0000-0000-00001F220000}"/>
    <cellStyle name="Comma 2 2 4 5 7 4" xfId="31986" xr:uid="{00000000-0005-0000-0000-000020220000}"/>
    <cellStyle name="Comma 2 2 4 5 7 5" xfId="34126" xr:uid="{00000000-0005-0000-0000-000021220000}"/>
    <cellStyle name="Comma 2 2 4 5 8" xfId="8131" xr:uid="{00000000-0005-0000-0000-000022220000}"/>
    <cellStyle name="Comma 2 2 4 5 8 2" xfId="42767" xr:uid="{00000000-0005-0000-0000-000023220000}"/>
    <cellStyle name="Comma 2 2 4 5 8 3" xfId="36343" xr:uid="{00000000-0005-0000-0000-000024220000}"/>
    <cellStyle name="Comma 2 2 4 5 9" xfId="21122" xr:uid="{00000000-0005-0000-0000-000025220000}"/>
    <cellStyle name="Comma 2 2 4 5 9 2" xfId="39560" xr:uid="{00000000-0005-0000-0000-000026220000}"/>
    <cellStyle name="Comma 2 2 4 6" xfId="915" xr:uid="{00000000-0005-0000-0000-000027220000}"/>
    <cellStyle name="Comma 2 2 4 6 10" xfId="33141" xr:uid="{00000000-0005-0000-0000-000028220000}"/>
    <cellStyle name="Comma 2 2 4 6 2" xfId="9686" xr:uid="{00000000-0005-0000-0000-000029220000}"/>
    <cellStyle name="Comma 2 2 4 6 2 2" xfId="25486" xr:uid="{00000000-0005-0000-0000-00002A220000}"/>
    <cellStyle name="Comma 2 2 4 6 2 2 2" xfId="44913" xr:uid="{00000000-0005-0000-0000-00002B220000}"/>
    <cellStyle name="Comma 2 2 4 6 2 2 3" xfId="38490" xr:uid="{00000000-0005-0000-0000-00002C220000}"/>
    <cellStyle name="Comma 2 2 4 6 2 3" xfId="27664" xr:uid="{00000000-0005-0000-0000-00002D220000}"/>
    <cellStyle name="Comma 2 2 4 6 2 3 2" xfId="41706" xr:uid="{00000000-0005-0000-0000-00002E220000}"/>
    <cellStyle name="Comma 2 2 4 6 2 4" xfId="30999" xr:uid="{00000000-0005-0000-0000-00002F220000}"/>
    <cellStyle name="Comma 2 2 4 6 2 5" xfId="35282" xr:uid="{00000000-0005-0000-0000-000030220000}"/>
    <cellStyle name="Comma 2 2 4 6 3" xfId="15320" xr:uid="{00000000-0005-0000-0000-000031220000}"/>
    <cellStyle name="Comma 2 2 4 6 3 2" xfId="24333" xr:uid="{00000000-0005-0000-0000-000032220000}"/>
    <cellStyle name="Comma 2 2 4 6 3 2 2" xfId="43762" xr:uid="{00000000-0005-0000-0000-000033220000}"/>
    <cellStyle name="Comma 2 2 4 6 3 2 3" xfId="37339" xr:uid="{00000000-0005-0000-0000-000034220000}"/>
    <cellStyle name="Comma 2 2 4 6 3 3" xfId="28656" xr:uid="{00000000-0005-0000-0000-000035220000}"/>
    <cellStyle name="Comma 2 2 4 6 3 3 2" xfId="40555" xr:uid="{00000000-0005-0000-0000-000036220000}"/>
    <cellStyle name="Comma 2 2 4 6 3 4" xfId="31991" xr:uid="{00000000-0005-0000-0000-000037220000}"/>
    <cellStyle name="Comma 2 2 4 6 3 5" xfId="34131" xr:uid="{00000000-0005-0000-0000-000038220000}"/>
    <cellStyle name="Comma 2 2 4 6 4" xfId="8136" xr:uid="{00000000-0005-0000-0000-000039220000}"/>
    <cellStyle name="Comma 2 2 4 6 4 2" xfId="42772" xr:uid="{00000000-0005-0000-0000-00003A220000}"/>
    <cellStyle name="Comma 2 2 4 6 4 3" xfId="36348" xr:uid="{00000000-0005-0000-0000-00003B220000}"/>
    <cellStyle name="Comma 2 2 4 6 5" xfId="21127" xr:uid="{00000000-0005-0000-0000-00003C220000}"/>
    <cellStyle name="Comma 2 2 4 6 5 2" xfId="39565" xr:uid="{00000000-0005-0000-0000-00003D220000}"/>
    <cellStyle name="Comma 2 2 4 6 6" xfId="22200" xr:uid="{00000000-0005-0000-0000-00003E220000}"/>
    <cellStyle name="Comma 2 2 4 6 7" xfId="23343" xr:uid="{00000000-0005-0000-0000-00003F220000}"/>
    <cellStyle name="Comma 2 2 4 6 8" xfId="26522" xr:uid="{00000000-0005-0000-0000-000040220000}"/>
    <cellStyle name="Comma 2 2 4 6 9" xfId="29855" xr:uid="{00000000-0005-0000-0000-000041220000}"/>
    <cellStyle name="Comma 2 2 4 7" xfId="916" xr:uid="{00000000-0005-0000-0000-000042220000}"/>
    <cellStyle name="Comma 2 2 4 7 10" xfId="33142" xr:uid="{00000000-0005-0000-0000-000043220000}"/>
    <cellStyle name="Comma 2 2 4 7 2" xfId="9687" xr:uid="{00000000-0005-0000-0000-000044220000}"/>
    <cellStyle name="Comma 2 2 4 7 2 2" xfId="25487" xr:uid="{00000000-0005-0000-0000-000045220000}"/>
    <cellStyle name="Comma 2 2 4 7 2 2 2" xfId="44914" xr:uid="{00000000-0005-0000-0000-000046220000}"/>
    <cellStyle name="Comma 2 2 4 7 2 2 3" xfId="38491" xr:uid="{00000000-0005-0000-0000-000047220000}"/>
    <cellStyle name="Comma 2 2 4 7 2 3" xfId="27665" xr:uid="{00000000-0005-0000-0000-000048220000}"/>
    <cellStyle name="Comma 2 2 4 7 2 3 2" xfId="41707" xr:uid="{00000000-0005-0000-0000-000049220000}"/>
    <cellStyle name="Comma 2 2 4 7 2 4" xfId="31000" xr:uid="{00000000-0005-0000-0000-00004A220000}"/>
    <cellStyle name="Comma 2 2 4 7 2 5" xfId="35283" xr:uid="{00000000-0005-0000-0000-00004B220000}"/>
    <cellStyle name="Comma 2 2 4 7 3" xfId="15321" xr:uid="{00000000-0005-0000-0000-00004C220000}"/>
    <cellStyle name="Comma 2 2 4 7 3 2" xfId="24334" xr:uid="{00000000-0005-0000-0000-00004D220000}"/>
    <cellStyle name="Comma 2 2 4 7 3 2 2" xfId="43763" xr:uid="{00000000-0005-0000-0000-00004E220000}"/>
    <cellStyle name="Comma 2 2 4 7 3 2 3" xfId="37340" xr:uid="{00000000-0005-0000-0000-00004F220000}"/>
    <cellStyle name="Comma 2 2 4 7 3 3" xfId="28657" xr:uid="{00000000-0005-0000-0000-000050220000}"/>
    <cellStyle name="Comma 2 2 4 7 3 3 2" xfId="40556" xr:uid="{00000000-0005-0000-0000-000051220000}"/>
    <cellStyle name="Comma 2 2 4 7 3 4" xfId="31992" xr:uid="{00000000-0005-0000-0000-000052220000}"/>
    <cellStyle name="Comma 2 2 4 7 3 5" xfId="34132" xr:uid="{00000000-0005-0000-0000-000053220000}"/>
    <cellStyle name="Comma 2 2 4 7 4" xfId="8137" xr:uid="{00000000-0005-0000-0000-000054220000}"/>
    <cellStyle name="Comma 2 2 4 7 4 2" xfId="42773" xr:uid="{00000000-0005-0000-0000-000055220000}"/>
    <cellStyle name="Comma 2 2 4 7 4 3" xfId="36349" xr:uid="{00000000-0005-0000-0000-000056220000}"/>
    <cellStyle name="Comma 2 2 4 7 5" xfId="21128" xr:uid="{00000000-0005-0000-0000-000057220000}"/>
    <cellStyle name="Comma 2 2 4 7 5 2" xfId="39566" xr:uid="{00000000-0005-0000-0000-000058220000}"/>
    <cellStyle name="Comma 2 2 4 7 6" xfId="22201" xr:uid="{00000000-0005-0000-0000-000059220000}"/>
    <cellStyle name="Comma 2 2 4 7 7" xfId="23344" xr:uid="{00000000-0005-0000-0000-00005A220000}"/>
    <cellStyle name="Comma 2 2 4 7 8" xfId="26523" xr:uid="{00000000-0005-0000-0000-00005B220000}"/>
    <cellStyle name="Comma 2 2 4 7 9" xfId="29856" xr:uid="{00000000-0005-0000-0000-00005C220000}"/>
    <cellStyle name="Comma 2 2 4 8" xfId="917" xr:uid="{00000000-0005-0000-0000-00005D220000}"/>
    <cellStyle name="Comma 2 2 4 8 10" xfId="33143" xr:uid="{00000000-0005-0000-0000-00005E220000}"/>
    <cellStyle name="Comma 2 2 4 8 2" xfId="9688" xr:uid="{00000000-0005-0000-0000-00005F220000}"/>
    <cellStyle name="Comma 2 2 4 8 2 2" xfId="25488" xr:uid="{00000000-0005-0000-0000-000060220000}"/>
    <cellStyle name="Comma 2 2 4 8 2 2 2" xfId="44915" xr:uid="{00000000-0005-0000-0000-000061220000}"/>
    <cellStyle name="Comma 2 2 4 8 2 2 3" xfId="38492" xr:uid="{00000000-0005-0000-0000-000062220000}"/>
    <cellStyle name="Comma 2 2 4 8 2 3" xfId="27666" xr:uid="{00000000-0005-0000-0000-000063220000}"/>
    <cellStyle name="Comma 2 2 4 8 2 3 2" xfId="41708" xr:uid="{00000000-0005-0000-0000-000064220000}"/>
    <cellStyle name="Comma 2 2 4 8 2 4" xfId="31001" xr:uid="{00000000-0005-0000-0000-000065220000}"/>
    <cellStyle name="Comma 2 2 4 8 2 5" xfId="35284" xr:uid="{00000000-0005-0000-0000-000066220000}"/>
    <cellStyle name="Comma 2 2 4 8 3" xfId="15322" xr:uid="{00000000-0005-0000-0000-000067220000}"/>
    <cellStyle name="Comma 2 2 4 8 3 2" xfId="24335" xr:uid="{00000000-0005-0000-0000-000068220000}"/>
    <cellStyle name="Comma 2 2 4 8 3 2 2" xfId="43764" xr:uid="{00000000-0005-0000-0000-000069220000}"/>
    <cellStyle name="Comma 2 2 4 8 3 2 3" xfId="37341" xr:uid="{00000000-0005-0000-0000-00006A220000}"/>
    <cellStyle name="Comma 2 2 4 8 3 3" xfId="28658" xr:uid="{00000000-0005-0000-0000-00006B220000}"/>
    <cellStyle name="Comma 2 2 4 8 3 3 2" xfId="40557" xr:uid="{00000000-0005-0000-0000-00006C220000}"/>
    <cellStyle name="Comma 2 2 4 8 3 4" xfId="31993" xr:uid="{00000000-0005-0000-0000-00006D220000}"/>
    <cellStyle name="Comma 2 2 4 8 3 5" xfId="34133" xr:uid="{00000000-0005-0000-0000-00006E220000}"/>
    <cellStyle name="Comma 2 2 4 8 4" xfId="8138" xr:uid="{00000000-0005-0000-0000-00006F220000}"/>
    <cellStyle name="Comma 2 2 4 8 4 2" xfId="42774" xr:uid="{00000000-0005-0000-0000-000070220000}"/>
    <cellStyle name="Comma 2 2 4 8 4 3" xfId="36350" xr:uid="{00000000-0005-0000-0000-000071220000}"/>
    <cellStyle name="Comma 2 2 4 8 5" xfId="21129" xr:uid="{00000000-0005-0000-0000-000072220000}"/>
    <cellStyle name="Comma 2 2 4 8 5 2" xfId="39567" xr:uid="{00000000-0005-0000-0000-000073220000}"/>
    <cellStyle name="Comma 2 2 4 8 6" xfId="22202" xr:uid="{00000000-0005-0000-0000-000074220000}"/>
    <cellStyle name="Comma 2 2 4 8 7" xfId="23345" xr:uid="{00000000-0005-0000-0000-000075220000}"/>
    <cellStyle name="Comma 2 2 4 8 8" xfId="26524" xr:uid="{00000000-0005-0000-0000-000076220000}"/>
    <cellStyle name="Comma 2 2 4 8 9" xfId="29857" xr:uid="{00000000-0005-0000-0000-000077220000}"/>
    <cellStyle name="Comma 2 2 4 9" xfId="918" xr:uid="{00000000-0005-0000-0000-000078220000}"/>
    <cellStyle name="Comma 2 2 4 9 10" xfId="33144" xr:uid="{00000000-0005-0000-0000-000079220000}"/>
    <cellStyle name="Comma 2 2 4 9 2" xfId="9689" xr:uid="{00000000-0005-0000-0000-00007A220000}"/>
    <cellStyle name="Comma 2 2 4 9 2 2" xfId="25489" xr:uid="{00000000-0005-0000-0000-00007B220000}"/>
    <cellStyle name="Comma 2 2 4 9 2 2 2" xfId="44916" xr:uid="{00000000-0005-0000-0000-00007C220000}"/>
    <cellStyle name="Comma 2 2 4 9 2 2 3" xfId="38493" xr:uid="{00000000-0005-0000-0000-00007D220000}"/>
    <cellStyle name="Comma 2 2 4 9 2 3" xfId="27667" xr:uid="{00000000-0005-0000-0000-00007E220000}"/>
    <cellStyle name="Comma 2 2 4 9 2 3 2" xfId="41709" xr:uid="{00000000-0005-0000-0000-00007F220000}"/>
    <cellStyle name="Comma 2 2 4 9 2 4" xfId="31002" xr:uid="{00000000-0005-0000-0000-000080220000}"/>
    <cellStyle name="Comma 2 2 4 9 2 5" xfId="35285" xr:uid="{00000000-0005-0000-0000-000081220000}"/>
    <cellStyle name="Comma 2 2 4 9 3" xfId="15323" xr:uid="{00000000-0005-0000-0000-000082220000}"/>
    <cellStyle name="Comma 2 2 4 9 3 2" xfId="24336" xr:uid="{00000000-0005-0000-0000-000083220000}"/>
    <cellStyle name="Comma 2 2 4 9 3 2 2" xfId="43765" xr:uid="{00000000-0005-0000-0000-000084220000}"/>
    <cellStyle name="Comma 2 2 4 9 3 2 3" xfId="37342" xr:uid="{00000000-0005-0000-0000-000085220000}"/>
    <cellStyle name="Comma 2 2 4 9 3 3" xfId="28659" xr:uid="{00000000-0005-0000-0000-000086220000}"/>
    <cellStyle name="Comma 2 2 4 9 3 3 2" xfId="40558" xr:uid="{00000000-0005-0000-0000-000087220000}"/>
    <cellStyle name="Comma 2 2 4 9 3 4" xfId="31994" xr:uid="{00000000-0005-0000-0000-000088220000}"/>
    <cellStyle name="Comma 2 2 4 9 3 5" xfId="34134" xr:uid="{00000000-0005-0000-0000-000089220000}"/>
    <cellStyle name="Comma 2 2 4 9 4" xfId="8139" xr:uid="{00000000-0005-0000-0000-00008A220000}"/>
    <cellStyle name="Comma 2 2 4 9 4 2" xfId="42775" xr:uid="{00000000-0005-0000-0000-00008B220000}"/>
    <cellStyle name="Comma 2 2 4 9 4 3" xfId="36351" xr:uid="{00000000-0005-0000-0000-00008C220000}"/>
    <cellStyle name="Comma 2 2 4 9 5" xfId="21130" xr:uid="{00000000-0005-0000-0000-00008D220000}"/>
    <cellStyle name="Comma 2 2 4 9 5 2" xfId="39568" xr:uid="{00000000-0005-0000-0000-00008E220000}"/>
    <cellStyle name="Comma 2 2 4 9 6" xfId="22203" xr:uid="{00000000-0005-0000-0000-00008F220000}"/>
    <cellStyle name="Comma 2 2 4 9 7" xfId="23346" xr:uid="{00000000-0005-0000-0000-000090220000}"/>
    <cellStyle name="Comma 2 2 4 9 8" xfId="26525" xr:uid="{00000000-0005-0000-0000-000091220000}"/>
    <cellStyle name="Comma 2 2 4 9 9" xfId="29858" xr:uid="{00000000-0005-0000-0000-000092220000}"/>
    <cellStyle name="Comma 2 2 5" xfId="236" xr:uid="{00000000-0005-0000-0000-000093220000}"/>
    <cellStyle name="Comma 2 2 5 10" xfId="15324" xr:uid="{00000000-0005-0000-0000-000094220000}"/>
    <cellStyle name="Comma 2 2 5 10 2" xfId="24337" xr:uid="{00000000-0005-0000-0000-000095220000}"/>
    <cellStyle name="Comma 2 2 5 10 2 2" xfId="43766" xr:uid="{00000000-0005-0000-0000-000096220000}"/>
    <cellStyle name="Comma 2 2 5 10 2 3" xfId="37343" xr:uid="{00000000-0005-0000-0000-000097220000}"/>
    <cellStyle name="Comma 2 2 5 10 3" xfId="28660" xr:uid="{00000000-0005-0000-0000-000098220000}"/>
    <cellStyle name="Comma 2 2 5 10 3 2" xfId="40559" xr:uid="{00000000-0005-0000-0000-000099220000}"/>
    <cellStyle name="Comma 2 2 5 10 4" xfId="31995" xr:uid="{00000000-0005-0000-0000-00009A220000}"/>
    <cellStyle name="Comma 2 2 5 10 5" xfId="34135" xr:uid="{00000000-0005-0000-0000-00009B220000}"/>
    <cellStyle name="Comma 2 2 5 11" xfId="8140" xr:uid="{00000000-0005-0000-0000-00009C220000}"/>
    <cellStyle name="Comma 2 2 5 11 2" xfId="42444" xr:uid="{00000000-0005-0000-0000-00009D220000}"/>
    <cellStyle name="Comma 2 2 5 11 3" xfId="36020" xr:uid="{00000000-0005-0000-0000-00009E220000}"/>
    <cellStyle name="Comma 2 2 5 12" xfId="21131" xr:uid="{00000000-0005-0000-0000-00009F220000}"/>
    <cellStyle name="Comma 2 2 5 12 2" xfId="39237" xr:uid="{00000000-0005-0000-0000-0000A0220000}"/>
    <cellStyle name="Comma 2 2 5 13" xfId="22204" xr:uid="{00000000-0005-0000-0000-0000A1220000}"/>
    <cellStyle name="Comma 2 2 5 14" xfId="23015" xr:uid="{00000000-0005-0000-0000-0000A2220000}"/>
    <cellStyle name="Comma 2 2 5 15" xfId="26526" xr:uid="{00000000-0005-0000-0000-0000A3220000}"/>
    <cellStyle name="Comma 2 2 5 16" xfId="29859" xr:uid="{00000000-0005-0000-0000-0000A4220000}"/>
    <cellStyle name="Comma 2 2 5 17" xfId="32813" xr:uid="{00000000-0005-0000-0000-0000A5220000}"/>
    <cellStyle name="Comma 2 2 5 2" xfId="233" xr:uid="{00000000-0005-0000-0000-0000A6220000}"/>
    <cellStyle name="Comma 2 2 5 2 10" xfId="21132" xr:uid="{00000000-0005-0000-0000-0000A7220000}"/>
    <cellStyle name="Comma 2 2 5 2 10 2" xfId="39235" xr:uid="{00000000-0005-0000-0000-0000A8220000}"/>
    <cellStyle name="Comma 2 2 5 2 11" xfId="22205" xr:uid="{00000000-0005-0000-0000-0000A9220000}"/>
    <cellStyle name="Comma 2 2 5 2 12" xfId="23013" xr:uid="{00000000-0005-0000-0000-0000AA220000}"/>
    <cellStyle name="Comma 2 2 5 2 13" xfId="26527" xr:uid="{00000000-0005-0000-0000-0000AB220000}"/>
    <cellStyle name="Comma 2 2 5 2 14" xfId="29860" xr:uid="{00000000-0005-0000-0000-0000AC220000}"/>
    <cellStyle name="Comma 2 2 5 2 15" xfId="32811" xr:uid="{00000000-0005-0000-0000-0000AD220000}"/>
    <cellStyle name="Comma 2 2 5 2 2" xfId="919" xr:uid="{00000000-0005-0000-0000-0000AE220000}"/>
    <cellStyle name="Comma 2 2 5 2 2 10" xfId="33145" xr:uid="{00000000-0005-0000-0000-0000AF220000}"/>
    <cellStyle name="Comma 2 2 5 2 2 2" xfId="9690" xr:uid="{00000000-0005-0000-0000-0000B0220000}"/>
    <cellStyle name="Comma 2 2 5 2 2 2 2" xfId="25490" xr:uid="{00000000-0005-0000-0000-0000B1220000}"/>
    <cellStyle name="Comma 2 2 5 2 2 2 2 2" xfId="44917" xr:uid="{00000000-0005-0000-0000-0000B2220000}"/>
    <cellStyle name="Comma 2 2 5 2 2 2 2 3" xfId="38494" xr:uid="{00000000-0005-0000-0000-0000B3220000}"/>
    <cellStyle name="Comma 2 2 5 2 2 2 3" xfId="27668" xr:uid="{00000000-0005-0000-0000-0000B4220000}"/>
    <cellStyle name="Comma 2 2 5 2 2 2 3 2" xfId="41710" xr:uid="{00000000-0005-0000-0000-0000B5220000}"/>
    <cellStyle name="Comma 2 2 5 2 2 2 4" xfId="31003" xr:uid="{00000000-0005-0000-0000-0000B6220000}"/>
    <cellStyle name="Comma 2 2 5 2 2 2 5" xfId="35286" xr:uid="{00000000-0005-0000-0000-0000B7220000}"/>
    <cellStyle name="Comma 2 2 5 2 2 3" xfId="15326" xr:uid="{00000000-0005-0000-0000-0000B8220000}"/>
    <cellStyle name="Comma 2 2 5 2 2 3 2" xfId="24339" xr:uid="{00000000-0005-0000-0000-0000B9220000}"/>
    <cellStyle name="Comma 2 2 5 2 2 3 2 2" xfId="43768" xr:uid="{00000000-0005-0000-0000-0000BA220000}"/>
    <cellStyle name="Comma 2 2 5 2 2 3 2 3" xfId="37345" xr:uid="{00000000-0005-0000-0000-0000BB220000}"/>
    <cellStyle name="Comma 2 2 5 2 2 3 3" xfId="28662" xr:uid="{00000000-0005-0000-0000-0000BC220000}"/>
    <cellStyle name="Comma 2 2 5 2 2 3 3 2" xfId="40561" xr:uid="{00000000-0005-0000-0000-0000BD220000}"/>
    <cellStyle name="Comma 2 2 5 2 2 3 4" xfId="31997" xr:uid="{00000000-0005-0000-0000-0000BE220000}"/>
    <cellStyle name="Comma 2 2 5 2 2 3 5" xfId="34137" xr:uid="{00000000-0005-0000-0000-0000BF220000}"/>
    <cellStyle name="Comma 2 2 5 2 2 4" xfId="8142" xr:uid="{00000000-0005-0000-0000-0000C0220000}"/>
    <cellStyle name="Comma 2 2 5 2 2 4 2" xfId="42776" xr:uid="{00000000-0005-0000-0000-0000C1220000}"/>
    <cellStyle name="Comma 2 2 5 2 2 4 3" xfId="36352" xr:uid="{00000000-0005-0000-0000-0000C2220000}"/>
    <cellStyle name="Comma 2 2 5 2 2 5" xfId="21133" xr:uid="{00000000-0005-0000-0000-0000C3220000}"/>
    <cellStyle name="Comma 2 2 5 2 2 5 2" xfId="39569" xr:uid="{00000000-0005-0000-0000-0000C4220000}"/>
    <cellStyle name="Comma 2 2 5 2 2 6" xfId="22206" xr:uid="{00000000-0005-0000-0000-0000C5220000}"/>
    <cellStyle name="Comma 2 2 5 2 2 7" xfId="23347" xr:uid="{00000000-0005-0000-0000-0000C6220000}"/>
    <cellStyle name="Comma 2 2 5 2 2 8" xfId="26528" xr:uid="{00000000-0005-0000-0000-0000C7220000}"/>
    <cellStyle name="Comma 2 2 5 2 2 9" xfId="29861" xr:uid="{00000000-0005-0000-0000-0000C8220000}"/>
    <cellStyle name="Comma 2 2 5 2 3" xfId="920" xr:uid="{00000000-0005-0000-0000-0000C9220000}"/>
    <cellStyle name="Comma 2 2 5 2 3 10" xfId="33146" xr:uid="{00000000-0005-0000-0000-0000CA220000}"/>
    <cellStyle name="Comma 2 2 5 2 3 2" xfId="9691" xr:uid="{00000000-0005-0000-0000-0000CB220000}"/>
    <cellStyle name="Comma 2 2 5 2 3 2 2" xfId="25491" xr:uid="{00000000-0005-0000-0000-0000CC220000}"/>
    <cellStyle name="Comma 2 2 5 2 3 2 2 2" xfId="44918" xr:uid="{00000000-0005-0000-0000-0000CD220000}"/>
    <cellStyle name="Comma 2 2 5 2 3 2 2 3" xfId="38495" xr:uid="{00000000-0005-0000-0000-0000CE220000}"/>
    <cellStyle name="Comma 2 2 5 2 3 2 3" xfId="27669" xr:uid="{00000000-0005-0000-0000-0000CF220000}"/>
    <cellStyle name="Comma 2 2 5 2 3 2 3 2" xfId="41711" xr:uid="{00000000-0005-0000-0000-0000D0220000}"/>
    <cellStyle name="Comma 2 2 5 2 3 2 4" xfId="31004" xr:uid="{00000000-0005-0000-0000-0000D1220000}"/>
    <cellStyle name="Comma 2 2 5 2 3 2 5" xfId="35287" xr:uid="{00000000-0005-0000-0000-0000D2220000}"/>
    <cellStyle name="Comma 2 2 5 2 3 3" xfId="15327" xr:uid="{00000000-0005-0000-0000-0000D3220000}"/>
    <cellStyle name="Comma 2 2 5 2 3 3 2" xfId="24340" xr:uid="{00000000-0005-0000-0000-0000D4220000}"/>
    <cellStyle name="Comma 2 2 5 2 3 3 2 2" xfId="43769" xr:uid="{00000000-0005-0000-0000-0000D5220000}"/>
    <cellStyle name="Comma 2 2 5 2 3 3 2 3" xfId="37346" xr:uid="{00000000-0005-0000-0000-0000D6220000}"/>
    <cellStyle name="Comma 2 2 5 2 3 3 3" xfId="28663" xr:uid="{00000000-0005-0000-0000-0000D7220000}"/>
    <cellStyle name="Comma 2 2 5 2 3 3 3 2" xfId="40562" xr:uid="{00000000-0005-0000-0000-0000D8220000}"/>
    <cellStyle name="Comma 2 2 5 2 3 3 4" xfId="31998" xr:uid="{00000000-0005-0000-0000-0000D9220000}"/>
    <cellStyle name="Comma 2 2 5 2 3 3 5" xfId="34138" xr:uid="{00000000-0005-0000-0000-0000DA220000}"/>
    <cellStyle name="Comma 2 2 5 2 3 4" xfId="8143" xr:uid="{00000000-0005-0000-0000-0000DB220000}"/>
    <cellStyle name="Comma 2 2 5 2 3 4 2" xfId="42777" xr:uid="{00000000-0005-0000-0000-0000DC220000}"/>
    <cellStyle name="Comma 2 2 5 2 3 4 3" xfId="36353" xr:uid="{00000000-0005-0000-0000-0000DD220000}"/>
    <cellStyle name="Comma 2 2 5 2 3 5" xfId="21134" xr:uid="{00000000-0005-0000-0000-0000DE220000}"/>
    <cellStyle name="Comma 2 2 5 2 3 5 2" xfId="39570" xr:uid="{00000000-0005-0000-0000-0000DF220000}"/>
    <cellStyle name="Comma 2 2 5 2 3 6" xfId="22207" xr:uid="{00000000-0005-0000-0000-0000E0220000}"/>
    <cellStyle name="Comma 2 2 5 2 3 7" xfId="23348" xr:uid="{00000000-0005-0000-0000-0000E1220000}"/>
    <cellStyle name="Comma 2 2 5 2 3 8" xfId="26529" xr:uid="{00000000-0005-0000-0000-0000E2220000}"/>
    <cellStyle name="Comma 2 2 5 2 3 9" xfId="29862" xr:uid="{00000000-0005-0000-0000-0000E3220000}"/>
    <cellStyle name="Comma 2 2 5 2 4" xfId="921" xr:uid="{00000000-0005-0000-0000-0000E4220000}"/>
    <cellStyle name="Comma 2 2 5 2 4 10" xfId="33147" xr:uid="{00000000-0005-0000-0000-0000E5220000}"/>
    <cellStyle name="Comma 2 2 5 2 4 2" xfId="9692" xr:uid="{00000000-0005-0000-0000-0000E6220000}"/>
    <cellStyle name="Comma 2 2 5 2 4 2 2" xfId="25492" xr:uid="{00000000-0005-0000-0000-0000E7220000}"/>
    <cellStyle name="Comma 2 2 5 2 4 2 2 2" xfId="44919" xr:uid="{00000000-0005-0000-0000-0000E8220000}"/>
    <cellStyle name="Comma 2 2 5 2 4 2 2 3" xfId="38496" xr:uid="{00000000-0005-0000-0000-0000E9220000}"/>
    <cellStyle name="Comma 2 2 5 2 4 2 3" xfId="27670" xr:uid="{00000000-0005-0000-0000-0000EA220000}"/>
    <cellStyle name="Comma 2 2 5 2 4 2 3 2" xfId="41712" xr:uid="{00000000-0005-0000-0000-0000EB220000}"/>
    <cellStyle name="Comma 2 2 5 2 4 2 4" xfId="31005" xr:uid="{00000000-0005-0000-0000-0000EC220000}"/>
    <cellStyle name="Comma 2 2 5 2 4 2 5" xfId="35288" xr:uid="{00000000-0005-0000-0000-0000ED220000}"/>
    <cellStyle name="Comma 2 2 5 2 4 3" xfId="15328" xr:uid="{00000000-0005-0000-0000-0000EE220000}"/>
    <cellStyle name="Comma 2 2 5 2 4 3 2" xfId="24341" xr:uid="{00000000-0005-0000-0000-0000EF220000}"/>
    <cellStyle name="Comma 2 2 5 2 4 3 2 2" xfId="43770" xr:uid="{00000000-0005-0000-0000-0000F0220000}"/>
    <cellStyle name="Comma 2 2 5 2 4 3 2 3" xfId="37347" xr:uid="{00000000-0005-0000-0000-0000F1220000}"/>
    <cellStyle name="Comma 2 2 5 2 4 3 3" xfId="28664" xr:uid="{00000000-0005-0000-0000-0000F2220000}"/>
    <cellStyle name="Comma 2 2 5 2 4 3 3 2" xfId="40563" xr:uid="{00000000-0005-0000-0000-0000F3220000}"/>
    <cellStyle name="Comma 2 2 5 2 4 3 4" xfId="31999" xr:uid="{00000000-0005-0000-0000-0000F4220000}"/>
    <cellStyle name="Comma 2 2 5 2 4 3 5" xfId="34139" xr:uid="{00000000-0005-0000-0000-0000F5220000}"/>
    <cellStyle name="Comma 2 2 5 2 4 4" xfId="8144" xr:uid="{00000000-0005-0000-0000-0000F6220000}"/>
    <cellStyle name="Comma 2 2 5 2 4 4 2" xfId="42778" xr:uid="{00000000-0005-0000-0000-0000F7220000}"/>
    <cellStyle name="Comma 2 2 5 2 4 4 3" xfId="36354" xr:uid="{00000000-0005-0000-0000-0000F8220000}"/>
    <cellStyle name="Comma 2 2 5 2 4 5" xfId="21135" xr:uid="{00000000-0005-0000-0000-0000F9220000}"/>
    <cellStyle name="Comma 2 2 5 2 4 5 2" xfId="39571" xr:uid="{00000000-0005-0000-0000-0000FA220000}"/>
    <cellStyle name="Comma 2 2 5 2 4 6" xfId="22208" xr:uid="{00000000-0005-0000-0000-0000FB220000}"/>
    <cellStyle name="Comma 2 2 5 2 4 7" xfId="23349" xr:uid="{00000000-0005-0000-0000-0000FC220000}"/>
    <cellStyle name="Comma 2 2 5 2 4 8" xfId="26530" xr:uid="{00000000-0005-0000-0000-0000FD220000}"/>
    <cellStyle name="Comma 2 2 5 2 4 9" xfId="29863" xr:uid="{00000000-0005-0000-0000-0000FE220000}"/>
    <cellStyle name="Comma 2 2 5 2 5" xfId="922" xr:uid="{00000000-0005-0000-0000-0000FF220000}"/>
    <cellStyle name="Comma 2 2 5 2 5 10" xfId="33148" xr:uid="{00000000-0005-0000-0000-000000230000}"/>
    <cellStyle name="Comma 2 2 5 2 5 2" xfId="9693" xr:uid="{00000000-0005-0000-0000-000001230000}"/>
    <cellStyle name="Comma 2 2 5 2 5 2 2" xfId="25493" xr:uid="{00000000-0005-0000-0000-000002230000}"/>
    <cellStyle name="Comma 2 2 5 2 5 2 2 2" xfId="44920" xr:uid="{00000000-0005-0000-0000-000003230000}"/>
    <cellStyle name="Comma 2 2 5 2 5 2 2 3" xfId="38497" xr:uid="{00000000-0005-0000-0000-000004230000}"/>
    <cellStyle name="Comma 2 2 5 2 5 2 3" xfId="27671" xr:uid="{00000000-0005-0000-0000-000005230000}"/>
    <cellStyle name="Comma 2 2 5 2 5 2 3 2" xfId="41713" xr:uid="{00000000-0005-0000-0000-000006230000}"/>
    <cellStyle name="Comma 2 2 5 2 5 2 4" xfId="31006" xr:uid="{00000000-0005-0000-0000-000007230000}"/>
    <cellStyle name="Comma 2 2 5 2 5 2 5" xfId="35289" xr:uid="{00000000-0005-0000-0000-000008230000}"/>
    <cellStyle name="Comma 2 2 5 2 5 3" xfId="15329" xr:uid="{00000000-0005-0000-0000-000009230000}"/>
    <cellStyle name="Comma 2 2 5 2 5 3 2" xfId="24342" xr:uid="{00000000-0005-0000-0000-00000A230000}"/>
    <cellStyle name="Comma 2 2 5 2 5 3 2 2" xfId="43771" xr:uid="{00000000-0005-0000-0000-00000B230000}"/>
    <cellStyle name="Comma 2 2 5 2 5 3 2 3" xfId="37348" xr:uid="{00000000-0005-0000-0000-00000C230000}"/>
    <cellStyle name="Comma 2 2 5 2 5 3 3" xfId="28665" xr:uid="{00000000-0005-0000-0000-00000D230000}"/>
    <cellStyle name="Comma 2 2 5 2 5 3 3 2" xfId="40564" xr:uid="{00000000-0005-0000-0000-00000E230000}"/>
    <cellStyle name="Comma 2 2 5 2 5 3 4" xfId="32000" xr:uid="{00000000-0005-0000-0000-00000F230000}"/>
    <cellStyle name="Comma 2 2 5 2 5 3 5" xfId="34140" xr:uid="{00000000-0005-0000-0000-000010230000}"/>
    <cellStyle name="Comma 2 2 5 2 5 4" xfId="8145" xr:uid="{00000000-0005-0000-0000-000011230000}"/>
    <cellStyle name="Comma 2 2 5 2 5 4 2" xfId="42779" xr:uid="{00000000-0005-0000-0000-000012230000}"/>
    <cellStyle name="Comma 2 2 5 2 5 4 3" xfId="36355" xr:uid="{00000000-0005-0000-0000-000013230000}"/>
    <cellStyle name="Comma 2 2 5 2 5 5" xfId="21136" xr:uid="{00000000-0005-0000-0000-000014230000}"/>
    <cellStyle name="Comma 2 2 5 2 5 5 2" xfId="39572" xr:uid="{00000000-0005-0000-0000-000015230000}"/>
    <cellStyle name="Comma 2 2 5 2 5 6" xfId="22209" xr:uid="{00000000-0005-0000-0000-000016230000}"/>
    <cellStyle name="Comma 2 2 5 2 5 7" xfId="23350" xr:uid="{00000000-0005-0000-0000-000017230000}"/>
    <cellStyle name="Comma 2 2 5 2 5 8" xfId="26531" xr:uid="{00000000-0005-0000-0000-000018230000}"/>
    <cellStyle name="Comma 2 2 5 2 5 9" xfId="29864" xr:uid="{00000000-0005-0000-0000-000019230000}"/>
    <cellStyle name="Comma 2 2 5 2 6" xfId="923" xr:uid="{00000000-0005-0000-0000-00001A230000}"/>
    <cellStyle name="Comma 2 2 5 2 6 10" xfId="33149" xr:uid="{00000000-0005-0000-0000-00001B230000}"/>
    <cellStyle name="Comma 2 2 5 2 6 2" xfId="9694" xr:uid="{00000000-0005-0000-0000-00001C230000}"/>
    <cellStyle name="Comma 2 2 5 2 6 2 2" xfId="25494" xr:uid="{00000000-0005-0000-0000-00001D230000}"/>
    <cellStyle name="Comma 2 2 5 2 6 2 2 2" xfId="44921" xr:uid="{00000000-0005-0000-0000-00001E230000}"/>
    <cellStyle name="Comma 2 2 5 2 6 2 2 3" xfId="38498" xr:uid="{00000000-0005-0000-0000-00001F230000}"/>
    <cellStyle name="Comma 2 2 5 2 6 2 3" xfId="27672" xr:uid="{00000000-0005-0000-0000-000020230000}"/>
    <cellStyle name="Comma 2 2 5 2 6 2 3 2" xfId="41714" xr:uid="{00000000-0005-0000-0000-000021230000}"/>
    <cellStyle name="Comma 2 2 5 2 6 2 4" xfId="31007" xr:uid="{00000000-0005-0000-0000-000022230000}"/>
    <cellStyle name="Comma 2 2 5 2 6 2 5" xfId="35290" xr:uid="{00000000-0005-0000-0000-000023230000}"/>
    <cellStyle name="Comma 2 2 5 2 6 3" xfId="15330" xr:uid="{00000000-0005-0000-0000-000024230000}"/>
    <cellStyle name="Comma 2 2 5 2 6 3 2" xfId="24343" xr:uid="{00000000-0005-0000-0000-000025230000}"/>
    <cellStyle name="Comma 2 2 5 2 6 3 2 2" xfId="43772" xr:uid="{00000000-0005-0000-0000-000026230000}"/>
    <cellStyle name="Comma 2 2 5 2 6 3 2 3" xfId="37349" xr:uid="{00000000-0005-0000-0000-000027230000}"/>
    <cellStyle name="Comma 2 2 5 2 6 3 3" xfId="28666" xr:uid="{00000000-0005-0000-0000-000028230000}"/>
    <cellStyle name="Comma 2 2 5 2 6 3 3 2" xfId="40565" xr:uid="{00000000-0005-0000-0000-000029230000}"/>
    <cellStyle name="Comma 2 2 5 2 6 3 4" xfId="32001" xr:uid="{00000000-0005-0000-0000-00002A230000}"/>
    <cellStyle name="Comma 2 2 5 2 6 3 5" xfId="34141" xr:uid="{00000000-0005-0000-0000-00002B230000}"/>
    <cellStyle name="Comma 2 2 5 2 6 4" xfId="8146" xr:uid="{00000000-0005-0000-0000-00002C230000}"/>
    <cellStyle name="Comma 2 2 5 2 6 4 2" xfId="42780" xr:uid="{00000000-0005-0000-0000-00002D230000}"/>
    <cellStyle name="Comma 2 2 5 2 6 4 3" xfId="36356" xr:uid="{00000000-0005-0000-0000-00002E230000}"/>
    <cellStyle name="Comma 2 2 5 2 6 5" xfId="21137" xr:uid="{00000000-0005-0000-0000-00002F230000}"/>
    <cellStyle name="Comma 2 2 5 2 6 5 2" xfId="39573" xr:uid="{00000000-0005-0000-0000-000030230000}"/>
    <cellStyle name="Comma 2 2 5 2 6 6" xfId="22210" xr:uid="{00000000-0005-0000-0000-000031230000}"/>
    <cellStyle name="Comma 2 2 5 2 6 7" xfId="23351" xr:uid="{00000000-0005-0000-0000-000032230000}"/>
    <cellStyle name="Comma 2 2 5 2 6 8" xfId="26532" xr:uid="{00000000-0005-0000-0000-000033230000}"/>
    <cellStyle name="Comma 2 2 5 2 6 9" xfId="29865" xr:uid="{00000000-0005-0000-0000-000034230000}"/>
    <cellStyle name="Comma 2 2 5 2 7" xfId="9097" xr:uid="{00000000-0005-0000-0000-000035230000}"/>
    <cellStyle name="Comma 2 2 5 2 7 2" xfId="25152" xr:uid="{00000000-0005-0000-0000-000036230000}"/>
    <cellStyle name="Comma 2 2 5 2 7 2 2" xfId="44579" xr:uid="{00000000-0005-0000-0000-000037230000}"/>
    <cellStyle name="Comma 2 2 5 2 7 2 3" xfId="38156" xr:uid="{00000000-0005-0000-0000-000038230000}"/>
    <cellStyle name="Comma 2 2 5 2 7 3" xfId="27331" xr:uid="{00000000-0005-0000-0000-000039230000}"/>
    <cellStyle name="Comma 2 2 5 2 7 3 2" xfId="41372" xr:uid="{00000000-0005-0000-0000-00003A230000}"/>
    <cellStyle name="Comma 2 2 5 2 7 4" xfId="30666" xr:uid="{00000000-0005-0000-0000-00003B230000}"/>
    <cellStyle name="Comma 2 2 5 2 7 5" xfId="34948" xr:uid="{00000000-0005-0000-0000-00003C230000}"/>
    <cellStyle name="Comma 2 2 5 2 8" xfId="15325" xr:uid="{00000000-0005-0000-0000-00003D230000}"/>
    <cellStyle name="Comma 2 2 5 2 8 2" xfId="24338" xr:uid="{00000000-0005-0000-0000-00003E230000}"/>
    <cellStyle name="Comma 2 2 5 2 8 2 2" xfId="43767" xr:uid="{00000000-0005-0000-0000-00003F230000}"/>
    <cellStyle name="Comma 2 2 5 2 8 2 3" xfId="37344" xr:uid="{00000000-0005-0000-0000-000040230000}"/>
    <cellStyle name="Comma 2 2 5 2 8 3" xfId="28661" xr:uid="{00000000-0005-0000-0000-000041230000}"/>
    <cellStyle name="Comma 2 2 5 2 8 3 2" xfId="40560" xr:uid="{00000000-0005-0000-0000-000042230000}"/>
    <cellStyle name="Comma 2 2 5 2 8 4" xfId="31996" xr:uid="{00000000-0005-0000-0000-000043230000}"/>
    <cellStyle name="Comma 2 2 5 2 8 5" xfId="34136" xr:uid="{00000000-0005-0000-0000-000044230000}"/>
    <cellStyle name="Comma 2 2 5 2 9" xfId="8141" xr:uid="{00000000-0005-0000-0000-000045230000}"/>
    <cellStyle name="Comma 2 2 5 2 9 2" xfId="42442" xr:uid="{00000000-0005-0000-0000-000046230000}"/>
    <cellStyle name="Comma 2 2 5 2 9 3" xfId="36018" xr:uid="{00000000-0005-0000-0000-000047230000}"/>
    <cellStyle name="Comma 2 2 5 3" xfId="924" xr:uid="{00000000-0005-0000-0000-000048230000}"/>
    <cellStyle name="Comma 2 2 5 3 10" xfId="22211" xr:uid="{00000000-0005-0000-0000-000049230000}"/>
    <cellStyle name="Comma 2 2 5 3 11" xfId="23352" xr:uid="{00000000-0005-0000-0000-00004A230000}"/>
    <cellStyle name="Comma 2 2 5 3 12" xfId="26533" xr:uid="{00000000-0005-0000-0000-00004B230000}"/>
    <cellStyle name="Comma 2 2 5 3 13" xfId="29866" xr:uid="{00000000-0005-0000-0000-00004C230000}"/>
    <cellStyle name="Comma 2 2 5 3 14" xfId="33150" xr:uid="{00000000-0005-0000-0000-00004D230000}"/>
    <cellStyle name="Comma 2 2 5 3 2" xfId="925" xr:uid="{00000000-0005-0000-0000-00004E230000}"/>
    <cellStyle name="Comma 2 2 5 3 2 10" xfId="33151" xr:uid="{00000000-0005-0000-0000-00004F230000}"/>
    <cellStyle name="Comma 2 2 5 3 2 2" xfId="9696" xr:uid="{00000000-0005-0000-0000-000050230000}"/>
    <cellStyle name="Comma 2 2 5 3 2 2 2" xfId="25496" xr:uid="{00000000-0005-0000-0000-000051230000}"/>
    <cellStyle name="Comma 2 2 5 3 2 2 2 2" xfId="44923" xr:uid="{00000000-0005-0000-0000-000052230000}"/>
    <cellStyle name="Comma 2 2 5 3 2 2 2 3" xfId="38500" xr:uid="{00000000-0005-0000-0000-000053230000}"/>
    <cellStyle name="Comma 2 2 5 3 2 2 3" xfId="27674" xr:uid="{00000000-0005-0000-0000-000054230000}"/>
    <cellStyle name="Comma 2 2 5 3 2 2 3 2" xfId="41716" xr:uid="{00000000-0005-0000-0000-000055230000}"/>
    <cellStyle name="Comma 2 2 5 3 2 2 4" xfId="31009" xr:uid="{00000000-0005-0000-0000-000056230000}"/>
    <cellStyle name="Comma 2 2 5 3 2 2 5" xfId="35292" xr:uid="{00000000-0005-0000-0000-000057230000}"/>
    <cellStyle name="Comma 2 2 5 3 2 3" xfId="15332" xr:uid="{00000000-0005-0000-0000-000058230000}"/>
    <cellStyle name="Comma 2 2 5 3 2 3 2" xfId="24345" xr:uid="{00000000-0005-0000-0000-000059230000}"/>
    <cellStyle name="Comma 2 2 5 3 2 3 2 2" xfId="43774" xr:uid="{00000000-0005-0000-0000-00005A230000}"/>
    <cellStyle name="Comma 2 2 5 3 2 3 2 3" xfId="37351" xr:uid="{00000000-0005-0000-0000-00005B230000}"/>
    <cellStyle name="Comma 2 2 5 3 2 3 3" xfId="28668" xr:uid="{00000000-0005-0000-0000-00005C230000}"/>
    <cellStyle name="Comma 2 2 5 3 2 3 3 2" xfId="40567" xr:uid="{00000000-0005-0000-0000-00005D230000}"/>
    <cellStyle name="Comma 2 2 5 3 2 3 4" xfId="32003" xr:uid="{00000000-0005-0000-0000-00005E230000}"/>
    <cellStyle name="Comma 2 2 5 3 2 3 5" xfId="34143" xr:uid="{00000000-0005-0000-0000-00005F230000}"/>
    <cellStyle name="Comma 2 2 5 3 2 4" xfId="8148" xr:uid="{00000000-0005-0000-0000-000060230000}"/>
    <cellStyle name="Comma 2 2 5 3 2 4 2" xfId="42782" xr:uid="{00000000-0005-0000-0000-000061230000}"/>
    <cellStyle name="Comma 2 2 5 3 2 4 3" xfId="36358" xr:uid="{00000000-0005-0000-0000-000062230000}"/>
    <cellStyle name="Comma 2 2 5 3 2 5" xfId="21139" xr:uid="{00000000-0005-0000-0000-000063230000}"/>
    <cellStyle name="Comma 2 2 5 3 2 5 2" xfId="39575" xr:uid="{00000000-0005-0000-0000-000064230000}"/>
    <cellStyle name="Comma 2 2 5 3 2 6" xfId="22212" xr:uid="{00000000-0005-0000-0000-000065230000}"/>
    <cellStyle name="Comma 2 2 5 3 2 7" xfId="23353" xr:uid="{00000000-0005-0000-0000-000066230000}"/>
    <cellStyle name="Comma 2 2 5 3 2 8" xfId="26534" xr:uid="{00000000-0005-0000-0000-000067230000}"/>
    <cellStyle name="Comma 2 2 5 3 2 9" xfId="29867" xr:uid="{00000000-0005-0000-0000-000068230000}"/>
    <cellStyle name="Comma 2 2 5 3 3" xfId="926" xr:uid="{00000000-0005-0000-0000-000069230000}"/>
    <cellStyle name="Comma 2 2 5 3 3 10" xfId="33152" xr:uid="{00000000-0005-0000-0000-00006A230000}"/>
    <cellStyle name="Comma 2 2 5 3 3 2" xfId="9697" xr:uid="{00000000-0005-0000-0000-00006B230000}"/>
    <cellStyle name="Comma 2 2 5 3 3 2 2" xfId="25497" xr:uid="{00000000-0005-0000-0000-00006C230000}"/>
    <cellStyle name="Comma 2 2 5 3 3 2 2 2" xfId="44924" xr:uid="{00000000-0005-0000-0000-00006D230000}"/>
    <cellStyle name="Comma 2 2 5 3 3 2 2 3" xfId="38501" xr:uid="{00000000-0005-0000-0000-00006E230000}"/>
    <cellStyle name="Comma 2 2 5 3 3 2 3" xfId="27675" xr:uid="{00000000-0005-0000-0000-00006F230000}"/>
    <cellStyle name="Comma 2 2 5 3 3 2 3 2" xfId="41717" xr:uid="{00000000-0005-0000-0000-000070230000}"/>
    <cellStyle name="Comma 2 2 5 3 3 2 4" xfId="31010" xr:uid="{00000000-0005-0000-0000-000071230000}"/>
    <cellStyle name="Comma 2 2 5 3 3 2 5" xfId="35293" xr:uid="{00000000-0005-0000-0000-000072230000}"/>
    <cellStyle name="Comma 2 2 5 3 3 3" xfId="15333" xr:uid="{00000000-0005-0000-0000-000073230000}"/>
    <cellStyle name="Comma 2 2 5 3 3 3 2" xfId="24346" xr:uid="{00000000-0005-0000-0000-000074230000}"/>
    <cellStyle name="Comma 2 2 5 3 3 3 2 2" xfId="43775" xr:uid="{00000000-0005-0000-0000-000075230000}"/>
    <cellStyle name="Comma 2 2 5 3 3 3 2 3" xfId="37352" xr:uid="{00000000-0005-0000-0000-000076230000}"/>
    <cellStyle name="Comma 2 2 5 3 3 3 3" xfId="28669" xr:uid="{00000000-0005-0000-0000-000077230000}"/>
    <cellStyle name="Comma 2 2 5 3 3 3 3 2" xfId="40568" xr:uid="{00000000-0005-0000-0000-000078230000}"/>
    <cellStyle name="Comma 2 2 5 3 3 3 4" xfId="32004" xr:uid="{00000000-0005-0000-0000-000079230000}"/>
    <cellStyle name="Comma 2 2 5 3 3 3 5" xfId="34144" xr:uid="{00000000-0005-0000-0000-00007A230000}"/>
    <cellStyle name="Comma 2 2 5 3 3 4" xfId="8149" xr:uid="{00000000-0005-0000-0000-00007B230000}"/>
    <cellStyle name="Comma 2 2 5 3 3 4 2" xfId="42783" xr:uid="{00000000-0005-0000-0000-00007C230000}"/>
    <cellStyle name="Comma 2 2 5 3 3 4 3" xfId="36359" xr:uid="{00000000-0005-0000-0000-00007D230000}"/>
    <cellStyle name="Comma 2 2 5 3 3 5" xfId="21140" xr:uid="{00000000-0005-0000-0000-00007E230000}"/>
    <cellStyle name="Comma 2 2 5 3 3 5 2" xfId="39576" xr:uid="{00000000-0005-0000-0000-00007F230000}"/>
    <cellStyle name="Comma 2 2 5 3 3 6" xfId="22213" xr:uid="{00000000-0005-0000-0000-000080230000}"/>
    <cellStyle name="Comma 2 2 5 3 3 7" xfId="23354" xr:uid="{00000000-0005-0000-0000-000081230000}"/>
    <cellStyle name="Comma 2 2 5 3 3 8" xfId="26535" xr:uid="{00000000-0005-0000-0000-000082230000}"/>
    <cellStyle name="Comma 2 2 5 3 3 9" xfId="29868" xr:uid="{00000000-0005-0000-0000-000083230000}"/>
    <cellStyle name="Comma 2 2 5 3 4" xfId="927" xr:uid="{00000000-0005-0000-0000-000084230000}"/>
    <cellStyle name="Comma 2 2 5 3 4 10" xfId="33153" xr:uid="{00000000-0005-0000-0000-000085230000}"/>
    <cellStyle name="Comma 2 2 5 3 4 2" xfId="9698" xr:uid="{00000000-0005-0000-0000-000086230000}"/>
    <cellStyle name="Comma 2 2 5 3 4 2 2" xfId="25498" xr:uid="{00000000-0005-0000-0000-000087230000}"/>
    <cellStyle name="Comma 2 2 5 3 4 2 2 2" xfId="44925" xr:uid="{00000000-0005-0000-0000-000088230000}"/>
    <cellStyle name="Comma 2 2 5 3 4 2 2 3" xfId="38502" xr:uid="{00000000-0005-0000-0000-000089230000}"/>
    <cellStyle name="Comma 2 2 5 3 4 2 3" xfId="27676" xr:uid="{00000000-0005-0000-0000-00008A230000}"/>
    <cellStyle name="Comma 2 2 5 3 4 2 3 2" xfId="41718" xr:uid="{00000000-0005-0000-0000-00008B230000}"/>
    <cellStyle name="Comma 2 2 5 3 4 2 4" xfId="31011" xr:uid="{00000000-0005-0000-0000-00008C230000}"/>
    <cellStyle name="Comma 2 2 5 3 4 2 5" xfId="35294" xr:uid="{00000000-0005-0000-0000-00008D230000}"/>
    <cellStyle name="Comma 2 2 5 3 4 3" xfId="15334" xr:uid="{00000000-0005-0000-0000-00008E230000}"/>
    <cellStyle name="Comma 2 2 5 3 4 3 2" xfId="24347" xr:uid="{00000000-0005-0000-0000-00008F230000}"/>
    <cellStyle name="Comma 2 2 5 3 4 3 2 2" xfId="43776" xr:uid="{00000000-0005-0000-0000-000090230000}"/>
    <cellStyle name="Comma 2 2 5 3 4 3 2 3" xfId="37353" xr:uid="{00000000-0005-0000-0000-000091230000}"/>
    <cellStyle name="Comma 2 2 5 3 4 3 3" xfId="28670" xr:uid="{00000000-0005-0000-0000-000092230000}"/>
    <cellStyle name="Comma 2 2 5 3 4 3 3 2" xfId="40569" xr:uid="{00000000-0005-0000-0000-000093230000}"/>
    <cellStyle name="Comma 2 2 5 3 4 3 4" xfId="32005" xr:uid="{00000000-0005-0000-0000-000094230000}"/>
    <cellStyle name="Comma 2 2 5 3 4 3 5" xfId="34145" xr:uid="{00000000-0005-0000-0000-000095230000}"/>
    <cellStyle name="Comma 2 2 5 3 4 4" xfId="8150" xr:uid="{00000000-0005-0000-0000-000096230000}"/>
    <cellStyle name="Comma 2 2 5 3 4 4 2" xfId="42784" xr:uid="{00000000-0005-0000-0000-000097230000}"/>
    <cellStyle name="Comma 2 2 5 3 4 4 3" xfId="36360" xr:uid="{00000000-0005-0000-0000-000098230000}"/>
    <cellStyle name="Comma 2 2 5 3 4 5" xfId="21141" xr:uid="{00000000-0005-0000-0000-000099230000}"/>
    <cellStyle name="Comma 2 2 5 3 4 5 2" xfId="39577" xr:uid="{00000000-0005-0000-0000-00009A230000}"/>
    <cellStyle name="Comma 2 2 5 3 4 6" xfId="22214" xr:uid="{00000000-0005-0000-0000-00009B230000}"/>
    <cellStyle name="Comma 2 2 5 3 4 7" xfId="23355" xr:uid="{00000000-0005-0000-0000-00009C230000}"/>
    <cellStyle name="Comma 2 2 5 3 4 8" xfId="26536" xr:uid="{00000000-0005-0000-0000-00009D230000}"/>
    <cellStyle name="Comma 2 2 5 3 4 9" xfId="29869" xr:uid="{00000000-0005-0000-0000-00009E230000}"/>
    <cellStyle name="Comma 2 2 5 3 5" xfId="928" xr:uid="{00000000-0005-0000-0000-00009F230000}"/>
    <cellStyle name="Comma 2 2 5 3 5 10" xfId="33154" xr:uid="{00000000-0005-0000-0000-0000A0230000}"/>
    <cellStyle name="Comma 2 2 5 3 5 2" xfId="9699" xr:uid="{00000000-0005-0000-0000-0000A1230000}"/>
    <cellStyle name="Comma 2 2 5 3 5 2 2" xfId="25499" xr:uid="{00000000-0005-0000-0000-0000A2230000}"/>
    <cellStyle name="Comma 2 2 5 3 5 2 2 2" xfId="44926" xr:uid="{00000000-0005-0000-0000-0000A3230000}"/>
    <cellStyle name="Comma 2 2 5 3 5 2 2 3" xfId="38503" xr:uid="{00000000-0005-0000-0000-0000A4230000}"/>
    <cellStyle name="Comma 2 2 5 3 5 2 3" xfId="27677" xr:uid="{00000000-0005-0000-0000-0000A5230000}"/>
    <cellStyle name="Comma 2 2 5 3 5 2 3 2" xfId="41719" xr:uid="{00000000-0005-0000-0000-0000A6230000}"/>
    <cellStyle name="Comma 2 2 5 3 5 2 4" xfId="31012" xr:uid="{00000000-0005-0000-0000-0000A7230000}"/>
    <cellStyle name="Comma 2 2 5 3 5 2 5" xfId="35295" xr:uid="{00000000-0005-0000-0000-0000A8230000}"/>
    <cellStyle name="Comma 2 2 5 3 5 3" xfId="15335" xr:uid="{00000000-0005-0000-0000-0000A9230000}"/>
    <cellStyle name="Comma 2 2 5 3 5 3 2" xfId="24348" xr:uid="{00000000-0005-0000-0000-0000AA230000}"/>
    <cellStyle name="Comma 2 2 5 3 5 3 2 2" xfId="43777" xr:uid="{00000000-0005-0000-0000-0000AB230000}"/>
    <cellStyle name="Comma 2 2 5 3 5 3 2 3" xfId="37354" xr:uid="{00000000-0005-0000-0000-0000AC230000}"/>
    <cellStyle name="Comma 2 2 5 3 5 3 3" xfId="28671" xr:uid="{00000000-0005-0000-0000-0000AD230000}"/>
    <cellStyle name="Comma 2 2 5 3 5 3 3 2" xfId="40570" xr:uid="{00000000-0005-0000-0000-0000AE230000}"/>
    <cellStyle name="Comma 2 2 5 3 5 3 4" xfId="32006" xr:uid="{00000000-0005-0000-0000-0000AF230000}"/>
    <cellStyle name="Comma 2 2 5 3 5 3 5" xfId="34146" xr:uid="{00000000-0005-0000-0000-0000B0230000}"/>
    <cellStyle name="Comma 2 2 5 3 5 4" xfId="8151" xr:uid="{00000000-0005-0000-0000-0000B1230000}"/>
    <cellStyle name="Comma 2 2 5 3 5 4 2" xfId="42785" xr:uid="{00000000-0005-0000-0000-0000B2230000}"/>
    <cellStyle name="Comma 2 2 5 3 5 4 3" xfId="36361" xr:uid="{00000000-0005-0000-0000-0000B3230000}"/>
    <cellStyle name="Comma 2 2 5 3 5 5" xfId="21142" xr:uid="{00000000-0005-0000-0000-0000B4230000}"/>
    <cellStyle name="Comma 2 2 5 3 5 5 2" xfId="39578" xr:uid="{00000000-0005-0000-0000-0000B5230000}"/>
    <cellStyle name="Comma 2 2 5 3 5 6" xfId="22215" xr:uid="{00000000-0005-0000-0000-0000B6230000}"/>
    <cellStyle name="Comma 2 2 5 3 5 7" xfId="23356" xr:uid="{00000000-0005-0000-0000-0000B7230000}"/>
    <cellStyle name="Comma 2 2 5 3 5 8" xfId="26537" xr:uid="{00000000-0005-0000-0000-0000B8230000}"/>
    <cellStyle name="Comma 2 2 5 3 5 9" xfId="29870" xr:uid="{00000000-0005-0000-0000-0000B9230000}"/>
    <cellStyle name="Comma 2 2 5 3 6" xfId="9695" xr:uid="{00000000-0005-0000-0000-0000BA230000}"/>
    <cellStyle name="Comma 2 2 5 3 6 2" xfId="25495" xr:uid="{00000000-0005-0000-0000-0000BB230000}"/>
    <cellStyle name="Comma 2 2 5 3 6 2 2" xfId="44922" xr:uid="{00000000-0005-0000-0000-0000BC230000}"/>
    <cellStyle name="Comma 2 2 5 3 6 2 3" xfId="38499" xr:uid="{00000000-0005-0000-0000-0000BD230000}"/>
    <cellStyle name="Comma 2 2 5 3 6 3" xfId="27673" xr:uid="{00000000-0005-0000-0000-0000BE230000}"/>
    <cellStyle name="Comma 2 2 5 3 6 3 2" xfId="41715" xr:uid="{00000000-0005-0000-0000-0000BF230000}"/>
    <cellStyle name="Comma 2 2 5 3 6 4" xfId="31008" xr:uid="{00000000-0005-0000-0000-0000C0230000}"/>
    <cellStyle name="Comma 2 2 5 3 6 5" xfId="35291" xr:uid="{00000000-0005-0000-0000-0000C1230000}"/>
    <cellStyle name="Comma 2 2 5 3 7" xfId="15331" xr:uid="{00000000-0005-0000-0000-0000C2230000}"/>
    <cellStyle name="Comma 2 2 5 3 7 2" xfId="24344" xr:uid="{00000000-0005-0000-0000-0000C3230000}"/>
    <cellStyle name="Comma 2 2 5 3 7 2 2" xfId="43773" xr:uid="{00000000-0005-0000-0000-0000C4230000}"/>
    <cellStyle name="Comma 2 2 5 3 7 2 3" xfId="37350" xr:uid="{00000000-0005-0000-0000-0000C5230000}"/>
    <cellStyle name="Comma 2 2 5 3 7 3" xfId="28667" xr:uid="{00000000-0005-0000-0000-0000C6230000}"/>
    <cellStyle name="Comma 2 2 5 3 7 3 2" xfId="40566" xr:uid="{00000000-0005-0000-0000-0000C7230000}"/>
    <cellStyle name="Comma 2 2 5 3 7 4" xfId="32002" xr:uid="{00000000-0005-0000-0000-0000C8230000}"/>
    <cellStyle name="Comma 2 2 5 3 7 5" xfId="34142" xr:uid="{00000000-0005-0000-0000-0000C9230000}"/>
    <cellStyle name="Comma 2 2 5 3 8" xfId="8147" xr:uid="{00000000-0005-0000-0000-0000CA230000}"/>
    <cellStyle name="Comma 2 2 5 3 8 2" xfId="42781" xr:uid="{00000000-0005-0000-0000-0000CB230000}"/>
    <cellStyle name="Comma 2 2 5 3 8 3" xfId="36357" xr:uid="{00000000-0005-0000-0000-0000CC230000}"/>
    <cellStyle name="Comma 2 2 5 3 9" xfId="21138" xr:uid="{00000000-0005-0000-0000-0000CD230000}"/>
    <cellStyle name="Comma 2 2 5 3 9 2" xfId="39574" xr:uid="{00000000-0005-0000-0000-0000CE230000}"/>
    <cellStyle name="Comma 2 2 5 4" xfId="929" xr:uid="{00000000-0005-0000-0000-0000CF230000}"/>
    <cellStyle name="Comma 2 2 5 4 10" xfId="33155" xr:uid="{00000000-0005-0000-0000-0000D0230000}"/>
    <cellStyle name="Comma 2 2 5 4 2" xfId="9700" xr:uid="{00000000-0005-0000-0000-0000D1230000}"/>
    <cellStyle name="Comma 2 2 5 4 2 2" xfId="25500" xr:uid="{00000000-0005-0000-0000-0000D2230000}"/>
    <cellStyle name="Comma 2 2 5 4 2 2 2" xfId="44927" xr:uid="{00000000-0005-0000-0000-0000D3230000}"/>
    <cellStyle name="Comma 2 2 5 4 2 2 3" xfId="38504" xr:uid="{00000000-0005-0000-0000-0000D4230000}"/>
    <cellStyle name="Comma 2 2 5 4 2 3" xfId="27678" xr:uid="{00000000-0005-0000-0000-0000D5230000}"/>
    <cellStyle name="Comma 2 2 5 4 2 3 2" xfId="41720" xr:uid="{00000000-0005-0000-0000-0000D6230000}"/>
    <cellStyle name="Comma 2 2 5 4 2 4" xfId="31013" xr:uid="{00000000-0005-0000-0000-0000D7230000}"/>
    <cellStyle name="Comma 2 2 5 4 2 5" xfId="35296" xr:uid="{00000000-0005-0000-0000-0000D8230000}"/>
    <cellStyle name="Comma 2 2 5 4 3" xfId="15336" xr:uid="{00000000-0005-0000-0000-0000D9230000}"/>
    <cellStyle name="Comma 2 2 5 4 3 2" xfId="24349" xr:uid="{00000000-0005-0000-0000-0000DA230000}"/>
    <cellStyle name="Comma 2 2 5 4 3 2 2" xfId="43778" xr:uid="{00000000-0005-0000-0000-0000DB230000}"/>
    <cellStyle name="Comma 2 2 5 4 3 2 3" xfId="37355" xr:uid="{00000000-0005-0000-0000-0000DC230000}"/>
    <cellStyle name="Comma 2 2 5 4 3 3" xfId="28672" xr:uid="{00000000-0005-0000-0000-0000DD230000}"/>
    <cellStyle name="Comma 2 2 5 4 3 3 2" xfId="40571" xr:uid="{00000000-0005-0000-0000-0000DE230000}"/>
    <cellStyle name="Comma 2 2 5 4 3 4" xfId="32007" xr:uid="{00000000-0005-0000-0000-0000DF230000}"/>
    <cellStyle name="Comma 2 2 5 4 3 5" xfId="34147" xr:uid="{00000000-0005-0000-0000-0000E0230000}"/>
    <cellStyle name="Comma 2 2 5 4 4" xfId="8152" xr:uid="{00000000-0005-0000-0000-0000E1230000}"/>
    <cellStyle name="Comma 2 2 5 4 4 2" xfId="42786" xr:uid="{00000000-0005-0000-0000-0000E2230000}"/>
    <cellStyle name="Comma 2 2 5 4 4 3" xfId="36362" xr:uid="{00000000-0005-0000-0000-0000E3230000}"/>
    <cellStyle name="Comma 2 2 5 4 5" xfId="21143" xr:uid="{00000000-0005-0000-0000-0000E4230000}"/>
    <cellStyle name="Comma 2 2 5 4 5 2" xfId="39579" xr:uid="{00000000-0005-0000-0000-0000E5230000}"/>
    <cellStyle name="Comma 2 2 5 4 6" xfId="22216" xr:uid="{00000000-0005-0000-0000-0000E6230000}"/>
    <cellStyle name="Comma 2 2 5 4 7" xfId="23357" xr:uid="{00000000-0005-0000-0000-0000E7230000}"/>
    <cellStyle name="Comma 2 2 5 4 8" xfId="26538" xr:uid="{00000000-0005-0000-0000-0000E8230000}"/>
    <cellStyle name="Comma 2 2 5 4 9" xfId="29871" xr:uid="{00000000-0005-0000-0000-0000E9230000}"/>
    <cellStyle name="Comma 2 2 5 5" xfId="930" xr:uid="{00000000-0005-0000-0000-0000EA230000}"/>
    <cellStyle name="Comma 2 2 5 5 10" xfId="33156" xr:uid="{00000000-0005-0000-0000-0000EB230000}"/>
    <cellStyle name="Comma 2 2 5 5 2" xfId="9701" xr:uid="{00000000-0005-0000-0000-0000EC230000}"/>
    <cellStyle name="Comma 2 2 5 5 2 2" xfId="25501" xr:uid="{00000000-0005-0000-0000-0000ED230000}"/>
    <cellStyle name="Comma 2 2 5 5 2 2 2" xfId="44928" xr:uid="{00000000-0005-0000-0000-0000EE230000}"/>
    <cellStyle name="Comma 2 2 5 5 2 2 3" xfId="38505" xr:uid="{00000000-0005-0000-0000-0000EF230000}"/>
    <cellStyle name="Comma 2 2 5 5 2 3" xfId="27679" xr:uid="{00000000-0005-0000-0000-0000F0230000}"/>
    <cellStyle name="Comma 2 2 5 5 2 3 2" xfId="41721" xr:uid="{00000000-0005-0000-0000-0000F1230000}"/>
    <cellStyle name="Comma 2 2 5 5 2 4" xfId="31014" xr:uid="{00000000-0005-0000-0000-0000F2230000}"/>
    <cellStyle name="Comma 2 2 5 5 2 5" xfId="35297" xr:uid="{00000000-0005-0000-0000-0000F3230000}"/>
    <cellStyle name="Comma 2 2 5 5 3" xfId="15337" xr:uid="{00000000-0005-0000-0000-0000F4230000}"/>
    <cellStyle name="Comma 2 2 5 5 3 2" xfId="24350" xr:uid="{00000000-0005-0000-0000-0000F5230000}"/>
    <cellStyle name="Comma 2 2 5 5 3 2 2" xfId="43779" xr:uid="{00000000-0005-0000-0000-0000F6230000}"/>
    <cellStyle name="Comma 2 2 5 5 3 2 3" xfId="37356" xr:uid="{00000000-0005-0000-0000-0000F7230000}"/>
    <cellStyle name="Comma 2 2 5 5 3 3" xfId="28673" xr:uid="{00000000-0005-0000-0000-0000F8230000}"/>
    <cellStyle name="Comma 2 2 5 5 3 3 2" xfId="40572" xr:uid="{00000000-0005-0000-0000-0000F9230000}"/>
    <cellStyle name="Comma 2 2 5 5 3 4" xfId="32008" xr:uid="{00000000-0005-0000-0000-0000FA230000}"/>
    <cellStyle name="Comma 2 2 5 5 3 5" xfId="34148" xr:uid="{00000000-0005-0000-0000-0000FB230000}"/>
    <cellStyle name="Comma 2 2 5 5 4" xfId="8153" xr:uid="{00000000-0005-0000-0000-0000FC230000}"/>
    <cellStyle name="Comma 2 2 5 5 4 2" xfId="42787" xr:uid="{00000000-0005-0000-0000-0000FD230000}"/>
    <cellStyle name="Comma 2 2 5 5 4 3" xfId="36363" xr:uid="{00000000-0005-0000-0000-0000FE230000}"/>
    <cellStyle name="Comma 2 2 5 5 5" xfId="21144" xr:uid="{00000000-0005-0000-0000-0000FF230000}"/>
    <cellStyle name="Comma 2 2 5 5 5 2" xfId="39580" xr:uid="{00000000-0005-0000-0000-000000240000}"/>
    <cellStyle name="Comma 2 2 5 5 6" xfId="22217" xr:uid="{00000000-0005-0000-0000-000001240000}"/>
    <cellStyle name="Comma 2 2 5 5 7" xfId="23358" xr:uid="{00000000-0005-0000-0000-000002240000}"/>
    <cellStyle name="Comma 2 2 5 5 8" xfId="26539" xr:uid="{00000000-0005-0000-0000-000003240000}"/>
    <cellStyle name="Comma 2 2 5 5 9" xfId="29872" xr:uid="{00000000-0005-0000-0000-000004240000}"/>
    <cellStyle name="Comma 2 2 5 6" xfId="931" xr:uid="{00000000-0005-0000-0000-000005240000}"/>
    <cellStyle name="Comma 2 2 5 6 10" xfId="33157" xr:uid="{00000000-0005-0000-0000-000006240000}"/>
    <cellStyle name="Comma 2 2 5 6 2" xfId="9702" xr:uid="{00000000-0005-0000-0000-000007240000}"/>
    <cellStyle name="Comma 2 2 5 6 2 2" xfId="25502" xr:uid="{00000000-0005-0000-0000-000008240000}"/>
    <cellStyle name="Comma 2 2 5 6 2 2 2" xfId="44929" xr:uid="{00000000-0005-0000-0000-000009240000}"/>
    <cellStyle name="Comma 2 2 5 6 2 2 3" xfId="38506" xr:uid="{00000000-0005-0000-0000-00000A240000}"/>
    <cellStyle name="Comma 2 2 5 6 2 3" xfId="27680" xr:uid="{00000000-0005-0000-0000-00000B240000}"/>
    <cellStyle name="Comma 2 2 5 6 2 3 2" xfId="41722" xr:uid="{00000000-0005-0000-0000-00000C240000}"/>
    <cellStyle name="Comma 2 2 5 6 2 4" xfId="31015" xr:uid="{00000000-0005-0000-0000-00000D240000}"/>
    <cellStyle name="Comma 2 2 5 6 2 5" xfId="35298" xr:uid="{00000000-0005-0000-0000-00000E240000}"/>
    <cellStyle name="Comma 2 2 5 6 3" xfId="15338" xr:uid="{00000000-0005-0000-0000-00000F240000}"/>
    <cellStyle name="Comma 2 2 5 6 3 2" xfId="24351" xr:uid="{00000000-0005-0000-0000-000010240000}"/>
    <cellStyle name="Comma 2 2 5 6 3 2 2" xfId="43780" xr:uid="{00000000-0005-0000-0000-000011240000}"/>
    <cellStyle name="Comma 2 2 5 6 3 2 3" xfId="37357" xr:uid="{00000000-0005-0000-0000-000012240000}"/>
    <cellStyle name="Comma 2 2 5 6 3 3" xfId="28674" xr:uid="{00000000-0005-0000-0000-000013240000}"/>
    <cellStyle name="Comma 2 2 5 6 3 3 2" xfId="40573" xr:uid="{00000000-0005-0000-0000-000014240000}"/>
    <cellStyle name="Comma 2 2 5 6 3 4" xfId="32009" xr:uid="{00000000-0005-0000-0000-000015240000}"/>
    <cellStyle name="Comma 2 2 5 6 3 5" xfId="34149" xr:uid="{00000000-0005-0000-0000-000016240000}"/>
    <cellStyle name="Comma 2 2 5 6 4" xfId="8154" xr:uid="{00000000-0005-0000-0000-000017240000}"/>
    <cellStyle name="Comma 2 2 5 6 4 2" xfId="42788" xr:uid="{00000000-0005-0000-0000-000018240000}"/>
    <cellStyle name="Comma 2 2 5 6 4 3" xfId="36364" xr:uid="{00000000-0005-0000-0000-000019240000}"/>
    <cellStyle name="Comma 2 2 5 6 5" xfId="21145" xr:uid="{00000000-0005-0000-0000-00001A240000}"/>
    <cellStyle name="Comma 2 2 5 6 5 2" xfId="39581" xr:uid="{00000000-0005-0000-0000-00001B240000}"/>
    <cellStyle name="Comma 2 2 5 6 6" xfId="22218" xr:uid="{00000000-0005-0000-0000-00001C240000}"/>
    <cellStyle name="Comma 2 2 5 6 7" xfId="23359" xr:uid="{00000000-0005-0000-0000-00001D240000}"/>
    <cellStyle name="Comma 2 2 5 6 8" xfId="26540" xr:uid="{00000000-0005-0000-0000-00001E240000}"/>
    <cellStyle name="Comma 2 2 5 6 9" xfId="29873" xr:uid="{00000000-0005-0000-0000-00001F240000}"/>
    <cellStyle name="Comma 2 2 5 7" xfId="932" xr:uid="{00000000-0005-0000-0000-000020240000}"/>
    <cellStyle name="Comma 2 2 5 7 10" xfId="33158" xr:uid="{00000000-0005-0000-0000-000021240000}"/>
    <cellStyle name="Comma 2 2 5 7 2" xfId="9703" xr:uid="{00000000-0005-0000-0000-000022240000}"/>
    <cellStyle name="Comma 2 2 5 7 2 2" xfId="25503" xr:uid="{00000000-0005-0000-0000-000023240000}"/>
    <cellStyle name="Comma 2 2 5 7 2 2 2" xfId="44930" xr:uid="{00000000-0005-0000-0000-000024240000}"/>
    <cellStyle name="Comma 2 2 5 7 2 2 3" xfId="38507" xr:uid="{00000000-0005-0000-0000-000025240000}"/>
    <cellStyle name="Comma 2 2 5 7 2 3" xfId="27681" xr:uid="{00000000-0005-0000-0000-000026240000}"/>
    <cellStyle name="Comma 2 2 5 7 2 3 2" xfId="41723" xr:uid="{00000000-0005-0000-0000-000027240000}"/>
    <cellStyle name="Comma 2 2 5 7 2 4" xfId="31016" xr:uid="{00000000-0005-0000-0000-000028240000}"/>
    <cellStyle name="Comma 2 2 5 7 2 5" xfId="35299" xr:uid="{00000000-0005-0000-0000-000029240000}"/>
    <cellStyle name="Comma 2 2 5 7 3" xfId="15339" xr:uid="{00000000-0005-0000-0000-00002A240000}"/>
    <cellStyle name="Comma 2 2 5 7 3 2" xfId="24352" xr:uid="{00000000-0005-0000-0000-00002B240000}"/>
    <cellStyle name="Comma 2 2 5 7 3 2 2" xfId="43781" xr:uid="{00000000-0005-0000-0000-00002C240000}"/>
    <cellStyle name="Comma 2 2 5 7 3 2 3" xfId="37358" xr:uid="{00000000-0005-0000-0000-00002D240000}"/>
    <cellStyle name="Comma 2 2 5 7 3 3" xfId="28675" xr:uid="{00000000-0005-0000-0000-00002E240000}"/>
    <cellStyle name="Comma 2 2 5 7 3 3 2" xfId="40574" xr:uid="{00000000-0005-0000-0000-00002F240000}"/>
    <cellStyle name="Comma 2 2 5 7 3 4" xfId="32010" xr:uid="{00000000-0005-0000-0000-000030240000}"/>
    <cellStyle name="Comma 2 2 5 7 3 5" xfId="34150" xr:uid="{00000000-0005-0000-0000-000031240000}"/>
    <cellStyle name="Comma 2 2 5 7 4" xfId="8155" xr:uid="{00000000-0005-0000-0000-000032240000}"/>
    <cellStyle name="Comma 2 2 5 7 4 2" xfId="42789" xr:uid="{00000000-0005-0000-0000-000033240000}"/>
    <cellStyle name="Comma 2 2 5 7 4 3" xfId="36365" xr:uid="{00000000-0005-0000-0000-000034240000}"/>
    <cellStyle name="Comma 2 2 5 7 5" xfId="21146" xr:uid="{00000000-0005-0000-0000-000035240000}"/>
    <cellStyle name="Comma 2 2 5 7 5 2" xfId="39582" xr:uid="{00000000-0005-0000-0000-000036240000}"/>
    <cellStyle name="Comma 2 2 5 7 6" xfId="22219" xr:uid="{00000000-0005-0000-0000-000037240000}"/>
    <cellStyle name="Comma 2 2 5 7 7" xfId="23360" xr:uid="{00000000-0005-0000-0000-000038240000}"/>
    <cellStyle name="Comma 2 2 5 7 8" xfId="26541" xr:uid="{00000000-0005-0000-0000-000039240000}"/>
    <cellStyle name="Comma 2 2 5 7 9" xfId="29874" xr:uid="{00000000-0005-0000-0000-00003A240000}"/>
    <cellStyle name="Comma 2 2 5 8" xfId="933" xr:uid="{00000000-0005-0000-0000-00003B240000}"/>
    <cellStyle name="Comma 2 2 5 8 10" xfId="33159" xr:uid="{00000000-0005-0000-0000-00003C240000}"/>
    <cellStyle name="Comma 2 2 5 8 2" xfId="9704" xr:uid="{00000000-0005-0000-0000-00003D240000}"/>
    <cellStyle name="Comma 2 2 5 8 2 2" xfId="25504" xr:uid="{00000000-0005-0000-0000-00003E240000}"/>
    <cellStyle name="Comma 2 2 5 8 2 2 2" xfId="44931" xr:uid="{00000000-0005-0000-0000-00003F240000}"/>
    <cellStyle name="Comma 2 2 5 8 2 2 3" xfId="38508" xr:uid="{00000000-0005-0000-0000-000040240000}"/>
    <cellStyle name="Comma 2 2 5 8 2 3" xfId="27682" xr:uid="{00000000-0005-0000-0000-000041240000}"/>
    <cellStyle name="Comma 2 2 5 8 2 3 2" xfId="41724" xr:uid="{00000000-0005-0000-0000-000042240000}"/>
    <cellStyle name="Comma 2 2 5 8 2 4" xfId="31017" xr:uid="{00000000-0005-0000-0000-000043240000}"/>
    <cellStyle name="Comma 2 2 5 8 2 5" xfId="35300" xr:uid="{00000000-0005-0000-0000-000044240000}"/>
    <cellStyle name="Comma 2 2 5 8 3" xfId="15340" xr:uid="{00000000-0005-0000-0000-000045240000}"/>
    <cellStyle name="Comma 2 2 5 8 3 2" xfId="24353" xr:uid="{00000000-0005-0000-0000-000046240000}"/>
    <cellStyle name="Comma 2 2 5 8 3 2 2" xfId="43782" xr:uid="{00000000-0005-0000-0000-000047240000}"/>
    <cellStyle name="Comma 2 2 5 8 3 2 3" xfId="37359" xr:uid="{00000000-0005-0000-0000-000048240000}"/>
    <cellStyle name="Comma 2 2 5 8 3 3" xfId="28676" xr:uid="{00000000-0005-0000-0000-000049240000}"/>
    <cellStyle name="Comma 2 2 5 8 3 3 2" xfId="40575" xr:uid="{00000000-0005-0000-0000-00004A240000}"/>
    <cellStyle name="Comma 2 2 5 8 3 4" xfId="32011" xr:uid="{00000000-0005-0000-0000-00004B240000}"/>
    <cellStyle name="Comma 2 2 5 8 3 5" xfId="34151" xr:uid="{00000000-0005-0000-0000-00004C240000}"/>
    <cellStyle name="Comma 2 2 5 8 4" xfId="8156" xr:uid="{00000000-0005-0000-0000-00004D240000}"/>
    <cellStyle name="Comma 2 2 5 8 4 2" xfId="42790" xr:uid="{00000000-0005-0000-0000-00004E240000}"/>
    <cellStyle name="Comma 2 2 5 8 4 3" xfId="36366" xr:uid="{00000000-0005-0000-0000-00004F240000}"/>
    <cellStyle name="Comma 2 2 5 8 5" xfId="21147" xr:uid="{00000000-0005-0000-0000-000050240000}"/>
    <cellStyle name="Comma 2 2 5 8 5 2" xfId="39583" xr:uid="{00000000-0005-0000-0000-000051240000}"/>
    <cellStyle name="Comma 2 2 5 8 6" xfId="22220" xr:uid="{00000000-0005-0000-0000-000052240000}"/>
    <cellStyle name="Comma 2 2 5 8 7" xfId="23361" xr:uid="{00000000-0005-0000-0000-000053240000}"/>
    <cellStyle name="Comma 2 2 5 8 8" xfId="26542" xr:uid="{00000000-0005-0000-0000-000054240000}"/>
    <cellStyle name="Comma 2 2 5 8 9" xfId="29875" xr:uid="{00000000-0005-0000-0000-000055240000}"/>
    <cellStyle name="Comma 2 2 5 9" xfId="9099" xr:uid="{00000000-0005-0000-0000-000056240000}"/>
    <cellStyle name="Comma 2 2 5 9 2" xfId="25154" xr:uid="{00000000-0005-0000-0000-000057240000}"/>
    <cellStyle name="Comma 2 2 5 9 2 2" xfId="44581" xr:uid="{00000000-0005-0000-0000-000058240000}"/>
    <cellStyle name="Comma 2 2 5 9 2 3" xfId="38158" xr:uid="{00000000-0005-0000-0000-000059240000}"/>
    <cellStyle name="Comma 2 2 5 9 3" xfId="27333" xr:uid="{00000000-0005-0000-0000-00005A240000}"/>
    <cellStyle name="Comma 2 2 5 9 3 2" xfId="41374" xr:uid="{00000000-0005-0000-0000-00005B240000}"/>
    <cellStyle name="Comma 2 2 5 9 4" xfId="30668" xr:uid="{00000000-0005-0000-0000-00005C240000}"/>
    <cellStyle name="Comma 2 2 5 9 5" xfId="34950" xr:uid="{00000000-0005-0000-0000-00005D240000}"/>
    <cellStyle name="Comma 2 2 6" xfId="225" xr:uid="{00000000-0005-0000-0000-00005E240000}"/>
    <cellStyle name="Comma 2 2 6 10" xfId="21148" xr:uid="{00000000-0005-0000-0000-00005F240000}"/>
    <cellStyle name="Comma 2 2 6 10 2" xfId="39231" xr:uid="{00000000-0005-0000-0000-000060240000}"/>
    <cellStyle name="Comma 2 2 6 11" xfId="22221" xr:uid="{00000000-0005-0000-0000-000061240000}"/>
    <cellStyle name="Comma 2 2 6 12" xfId="23009" xr:uid="{00000000-0005-0000-0000-000062240000}"/>
    <cellStyle name="Comma 2 2 6 13" xfId="26543" xr:uid="{00000000-0005-0000-0000-000063240000}"/>
    <cellStyle name="Comma 2 2 6 14" xfId="29876" xr:uid="{00000000-0005-0000-0000-000064240000}"/>
    <cellStyle name="Comma 2 2 6 15" xfId="32807" xr:uid="{00000000-0005-0000-0000-000065240000}"/>
    <cellStyle name="Comma 2 2 6 2" xfId="934" xr:uid="{00000000-0005-0000-0000-000066240000}"/>
    <cellStyle name="Comma 2 2 6 2 10" xfId="33160" xr:uid="{00000000-0005-0000-0000-000067240000}"/>
    <cellStyle name="Comma 2 2 6 2 2" xfId="9705" xr:uid="{00000000-0005-0000-0000-000068240000}"/>
    <cellStyle name="Comma 2 2 6 2 2 2" xfId="25505" xr:uid="{00000000-0005-0000-0000-000069240000}"/>
    <cellStyle name="Comma 2 2 6 2 2 2 2" xfId="44932" xr:uid="{00000000-0005-0000-0000-00006A240000}"/>
    <cellStyle name="Comma 2 2 6 2 2 2 3" xfId="38509" xr:uid="{00000000-0005-0000-0000-00006B240000}"/>
    <cellStyle name="Comma 2 2 6 2 2 3" xfId="27683" xr:uid="{00000000-0005-0000-0000-00006C240000}"/>
    <cellStyle name="Comma 2 2 6 2 2 3 2" xfId="41725" xr:uid="{00000000-0005-0000-0000-00006D240000}"/>
    <cellStyle name="Comma 2 2 6 2 2 4" xfId="31018" xr:uid="{00000000-0005-0000-0000-00006E240000}"/>
    <cellStyle name="Comma 2 2 6 2 2 5" xfId="35301" xr:uid="{00000000-0005-0000-0000-00006F240000}"/>
    <cellStyle name="Comma 2 2 6 2 3" xfId="15342" xr:uid="{00000000-0005-0000-0000-000070240000}"/>
    <cellStyle name="Comma 2 2 6 2 3 2" xfId="24355" xr:uid="{00000000-0005-0000-0000-000071240000}"/>
    <cellStyle name="Comma 2 2 6 2 3 2 2" xfId="43784" xr:uid="{00000000-0005-0000-0000-000072240000}"/>
    <cellStyle name="Comma 2 2 6 2 3 2 3" xfId="37361" xr:uid="{00000000-0005-0000-0000-000073240000}"/>
    <cellStyle name="Comma 2 2 6 2 3 3" xfId="28678" xr:uid="{00000000-0005-0000-0000-000074240000}"/>
    <cellStyle name="Comma 2 2 6 2 3 3 2" xfId="40577" xr:uid="{00000000-0005-0000-0000-000075240000}"/>
    <cellStyle name="Comma 2 2 6 2 3 4" xfId="32013" xr:uid="{00000000-0005-0000-0000-000076240000}"/>
    <cellStyle name="Comma 2 2 6 2 3 5" xfId="34153" xr:uid="{00000000-0005-0000-0000-000077240000}"/>
    <cellStyle name="Comma 2 2 6 2 4" xfId="8158" xr:uid="{00000000-0005-0000-0000-000078240000}"/>
    <cellStyle name="Comma 2 2 6 2 4 2" xfId="42791" xr:uid="{00000000-0005-0000-0000-000079240000}"/>
    <cellStyle name="Comma 2 2 6 2 4 3" xfId="36367" xr:uid="{00000000-0005-0000-0000-00007A240000}"/>
    <cellStyle name="Comma 2 2 6 2 5" xfId="21149" xr:uid="{00000000-0005-0000-0000-00007B240000}"/>
    <cellStyle name="Comma 2 2 6 2 5 2" xfId="39584" xr:uid="{00000000-0005-0000-0000-00007C240000}"/>
    <cellStyle name="Comma 2 2 6 2 6" xfId="22222" xr:uid="{00000000-0005-0000-0000-00007D240000}"/>
    <cellStyle name="Comma 2 2 6 2 7" xfId="23362" xr:uid="{00000000-0005-0000-0000-00007E240000}"/>
    <cellStyle name="Comma 2 2 6 2 8" xfId="26544" xr:uid="{00000000-0005-0000-0000-00007F240000}"/>
    <cellStyle name="Comma 2 2 6 2 9" xfId="29877" xr:uid="{00000000-0005-0000-0000-000080240000}"/>
    <cellStyle name="Comma 2 2 6 3" xfId="935" xr:uid="{00000000-0005-0000-0000-000081240000}"/>
    <cellStyle name="Comma 2 2 6 3 10" xfId="33161" xr:uid="{00000000-0005-0000-0000-000082240000}"/>
    <cellStyle name="Comma 2 2 6 3 2" xfId="9706" xr:uid="{00000000-0005-0000-0000-000083240000}"/>
    <cellStyle name="Comma 2 2 6 3 2 2" xfId="25506" xr:uid="{00000000-0005-0000-0000-000084240000}"/>
    <cellStyle name="Comma 2 2 6 3 2 2 2" xfId="44933" xr:uid="{00000000-0005-0000-0000-000085240000}"/>
    <cellStyle name="Comma 2 2 6 3 2 2 3" xfId="38510" xr:uid="{00000000-0005-0000-0000-000086240000}"/>
    <cellStyle name="Comma 2 2 6 3 2 3" xfId="27684" xr:uid="{00000000-0005-0000-0000-000087240000}"/>
    <cellStyle name="Comma 2 2 6 3 2 3 2" xfId="41726" xr:uid="{00000000-0005-0000-0000-000088240000}"/>
    <cellStyle name="Comma 2 2 6 3 2 4" xfId="31019" xr:uid="{00000000-0005-0000-0000-000089240000}"/>
    <cellStyle name="Comma 2 2 6 3 2 5" xfId="35302" xr:uid="{00000000-0005-0000-0000-00008A240000}"/>
    <cellStyle name="Comma 2 2 6 3 3" xfId="15343" xr:uid="{00000000-0005-0000-0000-00008B240000}"/>
    <cellStyle name="Comma 2 2 6 3 3 2" xfId="24356" xr:uid="{00000000-0005-0000-0000-00008C240000}"/>
    <cellStyle name="Comma 2 2 6 3 3 2 2" xfId="43785" xr:uid="{00000000-0005-0000-0000-00008D240000}"/>
    <cellStyle name="Comma 2 2 6 3 3 2 3" xfId="37362" xr:uid="{00000000-0005-0000-0000-00008E240000}"/>
    <cellStyle name="Comma 2 2 6 3 3 3" xfId="28679" xr:uid="{00000000-0005-0000-0000-00008F240000}"/>
    <cellStyle name="Comma 2 2 6 3 3 3 2" xfId="40578" xr:uid="{00000000-0005-0000-0000-000090240000}"/>
    <cellStyle name="Comma 2 2 6 3 3 4" xfId="32014" xr:uid="{00000000-0005-0000-0000-000091240000}"/>
    <cellStyle name="Comma 2 2 6 3 3 5" xfId="34154" xr:uid="{00000000-0005-0000-0000-000092240000}"/>
    <cellStyle name="Comma 2 2 6 3 4" xfId="8159" xr:uid="{00000000-0005-0000-0000-000093240000}"/>
    <cellStyle name="Comma 2 2 6 3 4 2" xfId="42792" xr:uid="{00000000-0005-0000-0000-000094240000}"/>
    <cellStyle name="Comma 2 2 6 3 4 3" xfId="36368" xr:uid="{00000000-0005-0000-0000-000095240000}"/>
    <cellStyle name="Comma 2 2 6 3 5" xfId="21150" xr:uid="{00000000-0005-0000-0000-000096240000}"/>
    <cellStyle name="Comma 2 2 6 3 5 2" xfId="39585" xr:uid="{00000000-0005-0000-0000-000097240000}"/>
    <cellStyle name="Comma 2 2 6 3 6" xfId="22223" xr:uid="{00000000-0005-0000-0000-000098240000}"/>
    <cellStyle name="Comma 2 2 6 3 7" xfId="23363" xr:uid="{00000000-0005-0000-0000-000099240000}"/>
    <cellStyle name="Comma 2 2 6 3 8" xfId="26545" xr:uid="{00000000-0005-0000-0000-00009A240000}"/>
    <cellStyle name="Comma 2 2 6 3 9" xfId="29878" xr:uid="{00000000-0005-0000-0000-00009B240000}"/>
    <cellStyle name="Comma 2 2 6 4" xfId="936" xr:uid="{00000000-0005-0000-0000-00009C240000}"/>
    <cellStyle name="Comma 2 2 6 4 10" xfId="33162" xr:uid="{00000000-0005-0000-0000-00009D240000}"/>
    <cellStyle name="Comma 2 2 6 4 2" xfId="9707" xr:uid="{00000000-0005-0000-0000-00009E240000}"/>
    <cellStyle name="Comma 2 2 6 4 2 2" xfId="25507" xr:uid="{00000000-0005-0000-0000-00009F240000}"/>
    <cellStyle name="Comma 2 2 6 4 2 2 2" xfId="44934" xr:uid="{00000000-0005-0000-0000-0000A0240000}"/>
    <cellStyle name="Comma 2 2 6 4 2 2 3" xfId="38511" xr:uid="{00000000-0005-0000-0000-0000A1240000}"/>
    <cellStyle name="Comma 2 2 6 4 2 3" xfId="27685" xr:uid="{00000000-0005-0000-0000-0000A2240000}"/>
    <cellStyle name="Comma 2 2 6 4 2 3 2" xfId="41727" xr:uid="{00000000-0005-0000-0000-0000A3240000}"/>
    <cellStyle name="Comma 2 2 6 4 2 4" xfId="31020" xr:uid="{00000000-0005-0000-0000-0000A4240000}"/>
    <cellStyle name="Comma 2 2 6 4 2 5" xfId="35303" xr:uid="{00000000-0005-0000-0000-0000A5240000}"/>
    <cellStyle name="Comma 2 2 6 4 3" xfId="15344" xr:uid="{00000000-0005-0000-0000-0000A6240000}"/>
    <cellStyle name="Comma 2 2 6 4 3 2" xfId="24357" xr:uid="{00000000-0005-0000-0000-0000A7240000}"/>
    <cellStyle name="Comma 2 2 6 4 3 2 2" xfId="43786" xr:uid="{00000000-0005-0000-0000-0000A8240000}"/>
    <cellStyle name="Comma 2 2 6 4 3 2 3" xfId="37363" xr:uid="{00000000-0005-0000-0000-0000A9240000}"/>
    <cellStyle name="Comma 2 2 6 4 3 3" xfId="28680" xr:uid="{00000000-0005-0000-0000-0000AA240000}"/>
    <cellStyle name="Comma 2 2 6 4 3 3 2" xfId="40579" xr:uid="{00000000-0005-0000-0000-0000AB240000}"/>
    <cellStyle name="Comma 2 2 6 4 3 4" xfId="32015" xr:uid="{00000000-0005-0000-0000-0000AC240000}"/>
    <cellStyle name="Comma 2 2 6 4 3 5" xfId="34155" xr:uid="{00000000-0005-0000-0000-0000AD240000}"/>
    <cellStyle name="Comma 2 2 6 4 4" xfId="8160" xr:uid="{00000000-0005-0000-0000-0000AE240000}"/>
    <cellStyle name="Comma 2 2 6 4 4 2" xfId="42793" xr:uid="{00000000-0005-0000-0000-0000AF240000}"/>
    <cellStyle name="Comma 2 2 6 4 4 3" xfId="36369" xr:uid="{00000000-0005-0000-0000-0000B0240000}"/>
    <cellStyle name="Comma 2 2 6 4 5" xfId="21151" xr:uid="{00000000-0005-0000-0000-0000B1240000}"/>
    <cellStyle name="Comma 2 2 6 4 5 2" xfId="39586" xr:uid="{00000000-0005-0000-0000-0000B2240000}"/>
    <cellStyle name="Comma 2 2 6 4 6" xfId="22224" xr:uid="{00000000-0005-0000-0000-0000B3240000}"/>
    <cellStyle name="Comma 2 2 6 4 7" xfId="23364" xr:uid="{00000000-0005-0000-0000-0000B4240000}"/>
    <cellStyle name="Comma 2 2 6 4 8" xfId="26546" xr:uid="{00000000-0005-0000-0000-0000B5240000}"/>
    <cellStyle name="Comma 2 2 6 4 9" xfId="29879" xr:uid="{00000000-0005-0000-0000-0000B6240000}"/>
    <cellStyle name="Comma 2 2 6 5" xfId="937" xr:uid="{00000000-0005-0000-0000-0000B7240000}"/>
    <cellStyle name="Comma 2 2 6 5 10" xfId="33163" xr:uid="{00000000-0005-0000-0000-0000B8240000}"/>
    <cellStyle name="Comma 2 2 6 5 2" xfId="9708" xr:uid="{00000000-0005-0000-0000-0000B9240000}"/>
    <cellStyle name="Comma 2 2 6 5 2 2" xfId="25508" xr:uid="{00000000-0005-0000-0000-0000BA240000}"/>
    <cellStyle name="Comma 2 2 6 5 2 2 2" xfId="44935" xr:uid="{00000000-0005-0000-0000-0000BB240000}"/>
    <cellStyle name="Comma 2 2 6 5 2 2 3" xfId="38512" xr:uid="{00000000-0005-0000-0000-0000BC240000}"/>
    <cellStyle name="Comma 2 2 6 5 2 3" xfId="27686" xr:uid="{00000000-0005-0000-0000-0000BD240000}"/>
    <cellStyle name="Comma 2 2 6 5 2 3 2" xfId="41728" xr:uid="{00000000-0005-0000-0000-0000BE240000}"/>
    <cellStyle name="Comma 2 2 6 5 2 4" xfId="31021" xr:uid="{00000000-0005-0000-0000-0000BF240000}"/>
    <cellStyle name="Comma 2 2 6 5 2 5" xfId="35304" xr:uid="{00000000-0005-0000-0000-0000C0240000}"/>
    <cellStyle name="Comma 2 2 6 5 3" xfId="15345" xr:uid="{00000000-0005-0000-0000-0000C1240000}"/>
    <cellStyle name="Comma 2 2 6 5 3 2" xfId="24358" xr:uid="{00000000-0005-0000-0000-0000C2240000}"/>
    <cellStyle name="Comma 2 2 6 5 3 2 2" xfId="43787" xr:uid="{00000000-0005-0000-0000-0000C3240000}"/>
    <cellStyle name="Comma 2 2 6 5 3 2 3" xfId="37364" xr:uid="{00000000-0005-0000-0000-0000C4240000}"/>
    <cellStyle name="Comma 2 2 6 5 3 3" xfId="28681" xr:uid="{00000000-0005-0000-0000-0000C5240000}"/>
    <cellStyle name="Comma 2 2 6 5 3 3 2" xfId="40580" xr:uid="{00000000-0005-0000-0000-0000C6240000}"/>
    <cellStyle name="Comma 2 2 6 5 3 4" xfId="32016" xr:uid="{00000000-0005-0000-0000-0000C7240000}"/>
    <cellStyle name="Comma 2 2 6 5 3 5" xfId="34156" xr:uid="{00000000-0005-0000-0000-0000C8240000}"/>
    <cellStyle name="Comma 2 2 6 5 4" xfId="8161" xr:uid="{00000000-0005-0000-0000-0000C9240000}"/>
    <cellStyle name="Comma 2 2 6 5 4 2" xfId="42794" xr:uid="{00000000-0005-0000-0000-0000CA240000}"/>
    <cellStyle name="Comma 2 2 6 5 4 3" xfId="36370" xr:uid="{00000000-0005-0000-0000-0000CB240000}"/>
    <cellStyle name="Comma 2 2 6 5 5" xfId="21152" xr:uid="{00000000-0005-0000-0000-0000CC240000}"/>
    <cellStyle name="Comma 2 2 6 5 5 2" xfId="39587" xr:uid="{00000000-0005-0000-0000-0000CD240000}"/>
    <cellStyle name="Comma 2 2 6 5 6" xfId="22225" xr:uid="{00000000-0005-0000-0000-0000CE240000}"/>
    <cellStyle name="Comma 2 2 6 5 7" xfId="23365" xr:uid="{00000000-0005-0000-0000-0000CF240000}"/>
    <cellStyle name="Comma 2 2 6 5 8" xfId="26547" xr:uid="{00000000-0005-0000-0000-0000D0240000}"/>
    <cellStyle name="Comma 2 2 6 5 9" xfId="29880" xr:uid="{00000000-0005-0000-0000-0000D1240000}"/>
    <cellStyle name="Comma 2 2 6 6" xfId="938" xr:uid="{00000000-0005-0000-0000-0000D2240000}"/>
    <cellStyle name="Comma 2 2 6 6 10" xfId="33164" xr:uid="{00000000-0005-0000-0000-0000D3240000}"/>
    <cellStyle name="Comma 2 2 6 6 2" xfId="9709" xr:uid="{00000000-0005-0000-0000-0000D4240000}"/>
    <cellStyle name="Comma 2 2 6 6 2 2" xfId="25509" xr:uid="{00000000-0005-0000-0000-0000D5240000}"/>
    <cellStyle name="Comma 2 2 6 6 2 2 2" xfId="44936" xr:uid="{00000000-0005-0000-0000-0000D6240000}"/>
    <cellStyle name="Comma 2 2 6 6 2 2 3" xfId="38513" xr:uid="{00000000-0005-0000-0000-0000D7240000}"/>
    <cellStyle name="Comma 2 2 6 6 2 3" xfId="27687" xr:uid="{00000000-0005-0000-0000-0000D8240000}"/>
    <cellStyle name="Comma 2 2 6 6 2 3 2" xfId="41729" xr:uid="{00000000-0005-0000-0000-0000D9240000}"/>
    <cellStyle name="Comma 2 2 6 6 2 4" xfId="31022" xr:uid="{00000000-0005-0000-0000-0000DA240000}"/>
    <cellStyle name="Comma 2 2 6 6 2 5" xfId="35305" xr:uid="{00000000-0005-0000-0000-0000DB240000}"/>
    <cellStyle name="Comma 2 2 6 6 3" xfId="15346" xr:uid="{00000000-0005-0000-0000-0000DC240000}"/>
    <cellStyle name="Comma 2 2 6 6 3 2" xfId="24359" xr:uid="{00000000-0005-0000-0000-0000DD240000}"/>
    <cellStyle name="Comma 2 2 6 6 3 2 2" xfId="43788" xr:uid="{00000000-0005-0000-0000-0000DE240000}"/>
    <cellStyle name="Comma 2 2 6 6 3 2 3" xfId="37365" xr:uid="{00000000-0005-0000-0000-0000DF240000}"/>
    <cellStyle name="Comma 2 2 6 6 3 3" xfId="28682" xr:uid="{00000000-0005-0000-0000-0000E0240000}"/>
    <cellStyle name="Comma 2 2 6 6 3 3 2" xfId="40581" xr:uid="{00000000-0005-0000-0000-0000E1240000}"/>
    <cellStyle name="Comma 2 2 6 6 3 4" xfId="32017" xr:uid="{00000000-0005-0000-0000-0000E2240000}"/>
    <cellStyle name="Comma 2 2 6 6 3 5" xfId="34157" xr:uid="{00000000-0005-0000-0000-0000E3240000}"/>
    <cellStyle name="Comma 2 2 6 6 4" xfId="8162" xr:uid="{00000000-0005-0000-0000-0000E4240000}"/>
    <cellStyle name="Comma 2 2 6 6 4 2" xfId="42795" xr:uid="{00000000-0005-0000-0000-0000E5240000}"/>
    <cellStyle name="Comma 2 2 6 6 4 3" xfId="36371" xr:uid="{00000000-0005-0000-0000-0000E6240000}"/>
    <cellStyle name="Comma 2 2 6 6 5" xfId="21153" xr:uid="{00000000-0005-0000-0000-0000E7240000}"/>
    <cellStyle name="Comma 2 2 6 6 5 2" xfId="39588" xr:uid="{00000000-0005-0000-0000-0000E8240000}"/>
    <cellStyle name="Comma 2 2 6 6 6" xfId="22226" xr:uid="{00000000-0005-0000-0000-0000E9240000}"/>
    <cellStyle name="Comma 2 2 6 6 7" xfId="23366" xr:uid="{00000000-0005-0000-0000-0000EA240000}"/>
    <cellStyle name="Comma 2 2 6 6 8" xfId="26548" xr:uid="{00000000-0005-0000-0000-0000EB240000}"/>
    <cellStyle name="Comma 2 2 6 6 9" xfId="29881" xr:uid="{00000000-0005-0000-0000-0000EC240000}"/>
    <cellStyle name="Comma 2 2 6 7" xfId="9093" xr:uid="{00000000-0005-0000-0000-0000ED240000}"/>
    <cellStyle name="Comma 2 2 6 7 2" xfId="25148" xr:uid="{00000000-0005-0000-0000-0000EE240000}"/>
    <cellStyle name="Comma 2 2 6 7 2 2" xfId="44575" xr:uid="{00000000-0005-0000-0000-0000EF240000}"/>
    <cellStyle name="Comma 2 2 6 7 2 3" xfId="38152" xr:uid="{00000000-0005-0000-0000-0000F0240000}"/>
    <cellStyle name="Comma 2 2 6 7 3" xfId="27327" xr:uid="{00000000-0005-0000-0000-0000F1240000}"/>
    <cellStyle name="Comma 2 2 6 7 3 2" xfId="41368" xr:uid="{00000000-0005-0000-0000-0000F2240000}"/>
    <cellStyle name="Comma 2 2 6 7 4" xfId="30662" xr:uid="{00000000-0005-0000-0000-0000F3240000}"/>
    <cellStyle name="Comma 2 2 6 7 5" xfId="34944" xr:uid="{00000000-0005-0000-0000-0000F4240000}"/>
    <cellStyle name="Comma 2 2 6 8" xfId="15341" xr:uid="{00000000-0005-0000-0000-0000F5240000}"/>
    <cellStyle name="Comma 2 2 6 8 2" xfId="24354" xr:uid="{00000000-0005-0000-0000-0000F6240000}"/>
    <cellStyle name="Comma 2 2 6 8 2 2" xfId="43783" xr:uid="{00000000-0005-0000-0000-0000F7240000}"/>
    <cellStyle name="Comma 2 2 6 8 2 3" xfId="37360" xr:uid="{00000000-0005-0000-0000-0000F8240000}"/>
    <cellStyle name="Comma 2 2 6 8 3" xfId="28677" xr:uid="{00000000-0005-0000-0000-0000F9240000}"/>
    <cellStyle name="Comma 2 2 6 8 3 2" xfId="40576" xr:uid="{00000000-0005-0000-0000-0000FA240000}"/>
    <cellStyle name="Comma 2 2 6 8 4" xfId="32012" xr:uid="{00000000-0005-0000-0000-0000FB240000}"/>
    <cellStyle name="Comma 2 2 6 8 5" xfId="34152" xr:uid="{00000000-0005-0000-0000-0000FC240000}"/>
    <cellStyle name="Comma 2 2 6 9" xfId="8157" xr:uid="{00000000-0005-0000-0000-0000FD240000}"/>
    <cellStyle name="Comma 2 2 6 9 2" xfId="42438" xr:uid="{00000000-0005-0000-0000-0000FE240000}"/>
    <cellStyle name="Comma 2 2 6 9 3" xfId="36014" xr:uid="{00000000-0005-0000-0000-0000FF240000}"/>
    <cellStyle name="Comma 2 2 7" xfId="175" xr:uid="{00000000-0005-0000-0000-000000250000}"/>
    <cellStyle name="Comma 2 2 7 10" xfId="32774" xr:uid="{00000000-0005-0000-0000-000001250000}"/>
    <cellStyle name="Comma 2 2 7 2" xfId="9058" xr:uid="{00000000-0005-0000-0000-000002250000}"/>
    <cellStyle name="Comma 2 2 7 2 2" xfId="25114" xr:uid="{00000000-0005-0000-0000-000003250000}"/>
    <cellStyle name="Comma 2 2 7 2 2 2" xfId="44541" xr:uid="{00000000-0005-0000-0000-000004250000}"/>
    <cellStyle name="Comma 2 2 7 2 2 3" xfId="38118" xr:uid="{00000000-0005-0000-0000-000005250000}"/>
    <cellStyle name="Comma 2 2 7 2 3" xfId="27293" xr:uid="{00000000-0005-0000-0000-000006250000}"/>
    <cellStyle name="Comma 2 2 7 2 3 2" xfId="41334" xr:uid="{00000000-0005-0000-0000-000007250000}"/>
    <cellStyle name="Comma 2 2 7 2 4" xfId="30628" xr:uid="{00000000-0005-0000-0000-000008250000}"/>
    <cellStyle name="Comma 2 2 7 2 5" xfId="34910" xr:uid="{00000000-0005-0000-0000-000009250000}"/>
    <cellStyle name="Comma 2 2 7 3" xfId="15347" xr:uid="{00000000-0005-0000-0000-00000A250000}"/>
    <cellStyle name="Comma 2 2 7 3 2" xfId="24360" xr:uid="{00000000-0005-0000-0000-00000B250000}"/>
    <cellStyle name="Comma 2 2 7 3 2 2" xfId="43789" xr:uid="{00000000-0005-0000-0000-00000C250000}"/>
    <cellStyle name="Comma 2 2 7 3 2 3" xfId="37366" xr:uid="{00000000-0005-0000-0000-00000D250000}"/>
    <cellStyle name="Comma 2 2 7 3 3" xfId="28683" xr:uid="{00000000-0005-0000-0000-00000E250000}"/>
    <cellStyle name="Comma 2 2 7 3 3 2" xfId="40582" xr:uid="{00000000-0005-0000-0000-00000F250000}"/>
    <cellStyle name="Comma 2 2 7 3 4" xfId="32018" xr:uid="{00000000-0005-0000-0000-000010250000}"/>
    <cellStyle name="Comma 2 2 7 3 5" xfId="34158" xr:uid="{00000000-0005-0000-0000-000011250000}"/>
    <cellStyle name="Comma 2 2 7 4" xfId="8163" xr:uid="{00000000-0005-0000-0000-000012250000}"/>
    <cellStyle name="Comma 2 2 7 4 2" xfId="42405" xr:uid="{00000000-0005-0000-0000-000013250000}"/>
    <cellStyle name="Comma 2 2 7 4 3" xfId="35981" xr:uid="{00000000-0005-0000-0000-000014250000}"/>
    <cellStyle name="Comma 2 2 7 5" xfId="21154" xr:uid="{00000000-0005-0000-0000-000015250000}"/>
    <cellStyle name="Comma 2 2 7 5 2" xfId="39198" xr:uid="{00000000-0005-0000-0000-000016250000}"/>
    <cellStyle name="Comma 2 2 7 6" xfId="22227" xr:uid="{00000000-0005-0000-0000-000017250000}"/>
    <cellStyle name="Comma 2 2 7 7" xfId="22976" xr:uid="{00000000-0005-0000-0000-000018250000}"/>
    <cellStyle name="Comma 2 2 7 8" xfId="26549" xr:uid="{00000000-0005-0000-0000-000019250000}"/>
    <cellStyle name="Comma 2 2 7 9" xfId="29882" xr:uid="{00000000-0005-0000-0000-00001A250000}"/>
    <cellStyle name="Comma 2 2 8" xfId="9027" xr:uid="{00000000-0005-0000-0000-00001B250000}"/>
    <cellStyle name="Comma 2 2 8 2" xfId="25111" xr:uid="{00000000-0005-0000-0000-00001C250000}"/>
    <cellStyle name="Comma 2 2 8 2 2" xfId="44538" xr:uid="{00000000-0005-0000-0000-00001D250000}"/>
    <cellStyle name="Comma 2 2 8 2 3" xfId="38115" xr:uid="{00000000-0005-0000-0000-00001E250000}"/>
    <cellStyle name="Comma 2 2 8 3" xfId="27290" xr:uid="{00000000-0005-0000-0000-00001F250000}"/>
    <cellStyle name="Comma 2 2 8 3 2" xfId="41331" xr:uid="{00000000-0005-0000-0000-000020250000}"/>
    <cellStyle name="Comma 2 2 8 4" xfId="30625" xr:uid="{00000000-0005-0000-0000-000021250000}"/>
    <cellStyle name="Comma 2 2 8 5" xfId="34907" xr:uid="{00000000-0005-0000-0000-000022250000}"/>
    <cellStyle name="Comma 2 2 9" xfId="15050" xr:uid="{00000000-0005-0000-0000-000023250000}"/>
    <cellStyle name="Comma 2 2 9 2" xfId="24063" xr:uid="{00000000-0005-0000-0000-000024250000}"/>
    <cellStyle name="Comma 2 2 9 2 2" xfId="43492" xr:uid="{00000000-0005-0000-0000-000025250000}"/>
    <cellStyle name="Comma 2 2 9 2 3" xfId="37069" xr:uid="{00000000-0005-0000-0000-000026250000}"/>
    <cellStyle name="Comma 2 2 9 3" xfId="28386" xr:uid="{00000000-0005-0000-0000-000027250000}"/>
    <cellStyle name="Comma 2 2 9 3 2" xfId="40285" xr:uid="{00000000-0005-0000-0000-000028250000}"/>
    <cellStyle name="Comma 2 2 9 4" xfId="31721" xr:uid="{00000000-0005-0000-0000-000029250000}"/>
    <cellStyle name="Comma 2 2 9 5" xfId="33861" xr:uid="{00000000-0005-0000-0000-00002A250000}"/>
    <cellStyle name="Comma 2 20" xfId="22969" xr:uid="{00000000-0005-0000-0000-00002B250000}"/>
    <cellStyle name="Comma 2 21" xfId="26201" xr:uid="{00000000-0005-0000-0000-00002C250000}"/>
    <cellStyle name="Comma 2 22" xfId="26221" xr:uid="{00000000-0005-0000-0000-00002D250000}"/>
    <cellStyle name="Comma 2 23" xfId="29554" xr:uid="{00000000-0005-0000-0000-00002E250000}"/>
    <cellStyle name="Comma 2 24" xfId="32767" xr:uid="{00000000-0005-0000-0000-00002F250000}"/>
    <cellStyle name="Comma 2 3" xfId="186" xr:uid="{00000000-0005-0000-0000-000030250000}"/>
    <cellStyle name="Comma 2 3 10" xfId="8164" xr:uid="{00000000-0005-0000-0000-000031250000}"/>
    <cellStyle name="Comma 2 3 10 2" xfId="24361" xr:uid="{00000000-0005-0000-0000-000032250000}"/>
    <cellStyle name="Comma 2 3 10 2 2" xfId="43790" xr:uid="{00000000-0005-0000-0000-000033250000}"/>
    <cellStyle name="Comma 2 3 10 2 3" xfId="37367" xr:uid="{00000000-0005-0000-0000-000034250000}"/>
    <cellStyle name="Comma 2 3 10 3" xfId="40583" xr:uid="{00000000-0005-0000-0000-000035250000}"/>
    <cellStyle name="Comma 2 3 10 4" xfId="34159" xr:uid="{00000000-0005-0000-0000-000036250000}"/>
    <cellStyle name="Comma 2 3 2" xfId="939" xr:uid="{00000000-0005-0000-0000-000037250000}"/>
    <cellStyle name="Comma 2 3 2 10" xfId="22228" xr:uid="{00000000-0005-0000-0000-000038250000}"/>
    <cellStyle name="Comma 2 3 2 11" xfId="23367" xr:uid="{00000000-0005-0000-0000-000039250000}"/>
    <cellStyle name="Comma 2 3 2 12" xfId="26550" xr:uid="{00000000-0005-0000-0000-00003A250000}"/>
    <cellStyle name="Comma 2 3 2 13" xfId="29883" xr:uid="{00000000-0005-0000-0000-00003B250000}"/>
    <cellStyle name="Comma 2 3 2 14" xfId="33165" xr:uid="{00000000-0005-0000-0000-00003C250000}"/>
    <cellStyle name="Comma 2 3 2 2" xfId="940" xr:uid="{00000000-0005-0000-0000-00003D250000}"/>
    <cellStyle name="Comma 2 3 2 2 10" xfId="33166" xr:uid="{00000000-0005-0000-0000-00003E250000}"/>
    <cellStyle name="Comma 2 3 2 2 2" xfId="9711" xr:uid="{00000000-0005-0000-0000-00003F250000}"/>
    <cellStyle name="Comma 2 3 2 2 2 2" xfId="25511" xr:uid="{00000000-0005-0000-0000-000040250000}"/>
    <cellStyle name="Comma 2 3 2 2 2 2 2" xfId="44938" xr:uid="{00000000-0005-0000-0000-000041250000}"/>
    <cellStyle name="Comma 2 3 2 2 2 2 3" xfId="38515" xr:uid="{00000000-0005-0000-0000-000042250000}"/>
    <cellStyle name="Comma 2 3 2 2 2 3" xfId="27689" xr:uid="{00000000-0005-0000-0000-000043250000}"/>
    <cellStyle name="Comma 2 3 2 2 2 3 2" xfId="41731" xr:uid="{00000000-0005-0000-0000-000044250000}"/>
    <cellStyle name="Comma 2 3 2 2 2 4" xfId="31024" xr:uid="{00000000-0005-0000-0000-000045250000}"/>
    <cellStyle name="Comma 2 3 2 2 2 5" xfId="35307" xr:uid="{00000000-0005-0000-0000-000046250000}"/>
    <cellStyle name="Comma 2 3 2 2 3" xfId="15349" xr:uid="{00000000-0005-0000-0000-000047250000}"/>
    <cellStyle name="Comma 2 3 2 2 3 2" xfId="24363" xr:uid="{00000000-0005-0000-0000-000048250000}"/>
    <cellStyle name="Comma 2 3 2 2 3 2 2" xfId="43792" xr:uid="{00000000-0005-0000-0000-000049250000}"/>
    <cellStyle name="Comma 2 3 2 2 3 2 3" xfId="37369" xr:uid="{00000000-0005-0000-0000-00004A250000}"/>
    <cellStyle name="Comma 2 3 2 2 3 3" xfId="28685" xr:uid="{00000000-0005-0000-0000-00004B250000}"/>
    <cellStyle name="Comma 2 3 2 2 3 3 2" xfId="40585" xr:uid="{00000000-0005-0000-0000-00004C250000}"/>
    <cellStyle name="Comma 2 3 2 2 3 4" xfId="32020" xr:uid="{00000000-0005-0000-0000-00004D250000}"/>
    <cellStyle name="Comma 2 3 2 2 3 5" xfId="34161" xr:uid="{00000000-0005-0000-0000-00004E250000}"/>
    <cellStyle name="Comma 2 3 2 2 4" xfId="8166" xr:uid="{00000000-0005-0000-0000-00004F250000}"/>
    <cellStyle name="Comma 2 3 2 2 4 2" xfId="42797" xr:uid="{00000000-0005-0000-0000-000050250000}"/>
    <cellStyle name="Comma 2 3 2 2 4 3" xfId="36373" xr:uid="{00000000-0005-0000-0000-000051250000}"/>
    <cellStyle name="Comma 2 3 2 2 5" xfId="21156" xr:uid="{00000000-0005-0000-0000-000052250000}"/>
    <cellStyle name="Comma 2 3 2 2 5 2" xfId="39590" xr:uid="{00000000-0005-0000-0000-000053250000}"/>
    <cellStyle name="Comma 2 3 2 2 6" xfId="22229" xr:uid="{00000000-0005-0000-0000-000054250000}"/>
    <cellStyle name="Comma 2 3 2 2 7" xfId="23368" xr:uid="{00000000-0005-0000-0000-000055250000}"/>
    <cellStyle name="Comma 2 3 2 2 8" xfId="26551" xr:uid="{00000000-0005-0000-0000-000056250000}"/>
    <cellStyle name="Comma 2 3 2 2 9" xfId="29884" xr:uid="{00000000-0005-0000-0000-000057250000}"/>
    <cellStyle name="Comma 2 3 2 3" xfId="941" xr:uid="{00000000-0005-0000-0000-000058250000}"/>
    <cellStyle name="Comma 2 3 2 3 10" xfId="33167" xr:uid="{00000000-0005-0000-0000-000059250000}"/>
    <cellStyle name="Comma 2 3 2 3 2" xfId="9712" xr:uid="{00000000-0005-0000-0000-00005A250000}"/>
    <cellStyle name="Comma 2 3 2 3 2 2" xfId="25512" xr:uid="{00000000-0005-0000-0000-00005B250000}"/>
    <cellStyle name="Comma 2 3 2 3 2 2 2" xfId="44939" xr:uid="{00000000-0005-0000-0000-00005C250000}"/>
    <cellStyle name="Comma 2 3 2 3 2 2 3" xfId="38516" xr:uid="{00000000-0005-0000-0000-00005D250000}"/>
    <cellStyle name="Comma 2 3 2 3 2 3" xfId="27690" xr:uid="{00000000-0005-0000-0000-00005E250000}"/>
    <cellStyle name="Comma 2 3 2 3 2 3 2" xfId="41732" xr:uid="{00000000-0005-0000-0000-00005F250000}"/>
    <cellStyle name="Comma 2 3 2 3 2 4" xfId="31025" xr:uid="{00000000-0005-0000-0000-000060250000}"/>
    <cellStyle name="Comma 2 3 2 3 2 5" xfId="35308" xr:uid="{00000000-0005-0000-0000-000061250000}"/>
    <cellStyle name="Comma 2 3 2 3 3" xfId="15350" xr:uid="{00000000-0005-0000-0000-000062250000}"/>
    <cellStyle name="Comma 2 3 2 3 3 2" xfId="24364" xr:uid="{00000000-0005-0000-0000-000063250000}"/>
    <cellStyle name="Comma 2 3 2 3 3 2 2" xfId="43793" xr:uid="{00000000-0005-0000-0000-000064250000}"/>
    <cellStyle name="Comma 2 3 2 3 3 2 3" xfId="37370" xr:uid="{00000000-0005-0000-0000-000065250000}"/>
    <cellStyle name="Comma 2 3 2 3 3 3" xfId="28686" xr:uid="{00000000-0005-0000-0000-000066250000}"/>
    <cellStyle name="Comma 2 3 2 3 3 3 2" xfId="40586" xr:uid="{00000000-0005-0000-0000-000067250000}"/>
    <cellStyle name="Comma 2 3 2 3 3 4" xfId="32021" xr:uid="{00000000-0005-0000-0000-000068250000}"/>
    <cellStyle name="Comma 2 3 2 3 3 5" xfId="34162" xr:uid="{00000000-0005-0000-0000-000069250000}"/>
    <cellStyle name="Comma 2 3 2 3 4" xfId="8167" xr:uid="{00000000-0005-0000-0000-00006A250000}"/>
    <cellStyle name="Comma 2 3 2 3 4 2" xfId="42798" xr:uid="{00000000-0005-0000-0000-00006B250000}"/>
    <cellStyle name="Comma 2 3 2 3 4 3" xfId="36374" xr:uid="{00000000-0005-0000-0000-00006C250000}"/>
    <cellStyle name="Comma 2 3 2 3 5" xfId="21157" xr:uid="{00000000-0005-0000-0000-00006D250000}"/>
    <cellStyle name="Comma 2 3 2 3 5 2" xfId="39591" xr:uid="{00000000-0005-0000-0000-00006E250000}"/>
    <cellStyle name="Comma 2 3 2 3 6" xfId="22230" xr:uid="{00000000-0005-0000-0000-00006F250000}"/>
    <cellStyle name="Comma 2 3 2 3 7" xfId="23369" xr:uid="{00000000-0005-0000-0000-000070250000}"/>
    <cellStyle name="Comma 2 3 2 3 8" xfId="26552" xr:uid="{00000000-0005-0000-0000-000071250000}"/>
    <cellStyle name="Comma 2 3 2 3 9" xfId="29885" xr:uid="{00000000-0005-0000-0000-000072250000}"/>
    <cellStyle name="Comma 2 3 2 4" xfId="942" xr:uid="{00000000-0005-0000-0000-000073250000}"/>
    <cellStyle name="Comma 2 3 2 4 10" xfId="33168" xr:uid="{00000000-0005-0000-0000-000074250000}"/>
    <cellStyle name="Comma 2 3 2 4 2" xfId="9713" xr:uid="{00000000-0005-0000-0000-000075250000}"/>
    <cellStyle name="Comma 2 3 2 4 2 2" xfId="25513" xr:uid="{00000000-0005-0000-0000-000076250000}"/>
    <cellStyle name="Comma 2 3 2 4 2 2 2" xfId="44940" xr:uid="{00000000-0005-0000-0000-000077250000}"/>
    <cellStyle name="Comma 2 3 2 4 2 2 3" xfId="38517" xr:uid="{00000000-0005-0000-0000-000078250000}"/>
    <cellStyle name="Comma 2 3 2 4 2 3" xfId="27691" xr:uid="{00000000-0005-0000-0000-000079250000}"/>
    <cellStyle name="Comma 2 3 2 4 2 3 2" xfId="41733" xr:uid="{00000000-0005-0000-0000-00007A250000}"/>
    <cellStyle name="Comma 2 3 2 4 2 4" xfId="31026" xr:uid="{00000000-0005-0000-0000-00007B250000}"/>
    <cellStyle name="Comma 2 3 2 4 2 5" xfId="35309" xr:uid="{00000000-0005-0000-0000-00007C250000}"/>
    <cellStyle name="Comma 2 3 2 4 3" xfId="15351" xr:uid="{00000000-0005-0000-0000-00007D250000}"/>
    <cellStyle name="Comma 2 3 2 4 3 2" xfId="24365" xr:uid="{00000000-0005-0000-0000-00007E250000}"/>
    <cellStyle name="Comma 2 3 2 4 3 2 2" xfId="43794" xr:uid="{00000000-0005-0000-0000-00007F250000}"/>
    <cellStyle name="Comma 2 3 2 4 3 2 3" xfId="37371" xr:uid="{00000000-0005-0000-0000-000080250000}"/>
    <cellStyle name="Comma 2 3 2 4 3 3" xfId="28687" xr:uid="{00000000-0005-0000-0000-000081250000}"/>
    <cellStyle name="Comma 2 3 2 4 3 3 2" xfId="40587" xr:uid="{00000000-0005-0000-0000-000082250000}"/>
    <cellStyle name="Comma 2 3 2 4 3 4" xfId="32022" xr:uid="{00000000-0005-0000-0000-000083250000}"/>
    <cellStyle name="Comma 2 3 2 4 3 5" xfId="34163" xr:uid="{00000000-0005-0000-0000-000084250000}"/>
    <cellStyle name="Comma 2 3 2 4 4" xfId="8168" xr:uid="{00000000-0005-0000-0000-000085250000}"/>
    <cellStyle name="Comma 2 3 2 4 4 2" xfId="42799" xr:uid="{00000000-0005-0000-0000-000086250000}"/>
    <cellStyle name="Comma 2 3 2 4 4 3" xfId="36375" xr:uid="{00000000-0005-0000-0000-000087250000}"/>
    <cellStyle name="Comma 2 3 2 4 5" xfId="21158" xr:uid="{00000000-0005-0000-0000-000088250000}"/>
    <cellStyle name="Comma 2 3 2 4 5 2" xfId="39592" xr:uid="{00000000-0005-0000-0000-000089250000}"/>
    <cellStyle name="Comma 2 3 2 4 6" xfId="22231" xr:uid="{00000000-0005-0000-0000-00008A250000}"/>
    <cellStyle name="Comma 2 3 2 4 7" xfId="23370" xr:uid="{00000000-0005-0000-0000-00008B250000}"/>
    <cellStyle name="Comma 2 3 2 4 8" xfId="26553" xr:uid="{00000000-0005-0000-0000-00008C250000}"/>
    <cellStyle name="Comma 2 3 2 4 9" xfId="29886" xr:uid="{00000000-0005-0000-0000-00008D250000}"/>
    <cellStyle name="Comma 2 3 2 5" xfId="943" xr:uid="{00000000-0005-0000-0000-00008E250000}"/>
    <cellStyle name="Comma 2 3 2 5 10" xfId="33169" xr:uid="{00000000-0005-0000-0000-00008F250000}"/>
    <cellStyle name="Comma 2 3 2 5 2" xfId="9714" xr:uid="{00000000-0005-0000-0000-000090250000}"/>
    <cellStyle name="Comma 2 3 2 5 2 2" xfId="25514" xr:uid="{00000000-0005-0000-0000-000091250000}"/>
    <cellStyle name="Comma 2 3 2 5 2 2 2" xfId="44941" xr:uid="{00000000-0005-0000-0000-000092250000}"/>
    <cellStyle name="Comma 2 3 2 5 2 2 3" xfId="38518" xr:uid="{00000000-0005-0000-0000-000093250000}"/>
    <cellStyle name="Comma 2 3 2 5 2 3" xfId="27692" xr:uid="{00000000-0005-0000-0000-000094250000}"/>
    <cellStyle name="Comma 2 3 2 5 2 3 2" xfId="41734" xr:uid="{00000000-0005-0000-0000-000095250000}"/>
    <cellStyle name="Comma 2 3 2 5 2 4" xfId="31027" xr:uid="{00000000-0005-0000-0000-000096250000}"/>
    <cellStyle name="Comma 2 3 2 5 2 5" xfId="35310" xr:uid="{00000000-0005-0000-0000-000097250000}"/>
    <cellStyle name="Comma 2 3 2 5 3" xfId="15352" xr:uid="{00000000-0005-0000-0000-000098250000}"/>
    <cellStyle name="Comma 2 3 2 5 3 2" xfId="24366" xr:uid="{00000000-0005-0000-0000-000099250000}"/>
    <cellStyle name="Comma 2 3 2 5 3 2 2" xfId="43795" xr:uid="{00000000-0005-0000-0000-00009A250000}"/>
    <cellStyle name="Comma 2 3 2 5 3 2 3" xfId="37372" xr:uid="{00000000-0005-0000-0000-00009B250000}"/>
    <cellStyle name="Comma 2 3 2 5 3 3" xfId="28688" xr:uid="{00000000-0005-0000-0000-00009C250000}"/>
    <cellStyle name="Comma 2 3 2 5 3 3 2" xfId="40588" xr:uid="{00000000-0005-0000-0000-00009D250000}"/>
    <cellStyle name="Comma 2 3 2 5 3 4" xfId="32023" xr:uid="{00000000-0005-0000-0000-00009E250000}"/>
    <cellStyle name="Comma 2 3 2 5 3 5" xfId="34164" xr:uid="{00000000-0005-0000-0000-00009F250000}"/>
    <cellStyle name="Comma 2 3 2 5 4" xfId="8169" xr:uid="{00000000-0005-0000-0000-0000A0250000}"/>
    <cellStyle name="Comma 2 3 2 5 4 2" xfId="42800" xr:uid="{00000000-0005-0000-0000-0000A1250000}"/>
    <cellStyle name="Comma 2 3 2 5 4 3" xfId="36376" xr:uid="{00000000-0005-0000-0000-0000A2250000}"/>
    <cellStyle name="Comma 2 3 2 5 5" xfId="21159" xr:uid="{00000000-0005-0000-0000-0000A3250000}"/>
    <cellStyle name="Comma 2 3 2 5 5 2" xfId="39593" xr:uid="{00000000-0005-0000-0000-0000A4250000}"/>
    <cellStyle name="Comma 2 3 2 5 6" xfId="22232" xr:uid="{00000000-0005-0000-0000-0000A5250000}"/>
    <cellStyle name="Comma 2 3 2 5 7" xfId="23371" xr:uid="{00000000-0005-0000-0000-0000A6250000}"/>
    <cellStyle name="Comma 2 3 2 5 8" xfId="26554" xr:uid="{00000000-0005-0000-0000-0000A7250000}"/>
    <cellStyle name="Comma 2 3 2 5 9" xfId="29887" xr:uid="{00000000-0005-0000-0000-0000A8250000}"/>
    <cellStyle name="Comma 2 3 2 6" xfId="9710" xr:uid="{00000000-0005-0000-0000-0000A9250000}"/>
    <cellStyle name="Comma 2 3 2 6 2" xfId="25510" xr:uid="{00000000-0005-0000-0000-0000AA250000}"/>
    <cellStyle name="Comma 2 3 2 6 2 2" xfId="44937" xr:uid="{00000000-0005-0000-0000-0000AB250000}"/>
    <cellStyle name="Comma 2 3 2 6 2 3" xfId="38514" xr:uid="{00000000-0005-0000-0000-0000AC250000}"/>
    <cellStyle name="Comma 2 3 2 6 3" xfId="27688" xr:uid="{00000000-0005-0000-0000-0000AD250000}"/>
    <cellStyle name="Comma 2 3 2 6 3 2" xfId="41730" xr:uid="{00000000-0005-0000-0000-0000AE250000}"/>
    <cellStyle name="Comma 2 3 2 6 4" xfId="31023" xr:uid="{00000000-0005-0000-0000-0000AF250000}"/>
    <cellStyle name="Comma 2 3 2 6 5" xfId="35306" xr:uid="{00000000-0005-0000-0000-0000B0250000}"/>
    <cellStyle name="Comma 2 3 2 7" xfId="15348" xr:uid="{00000000-0005-0000-0000-0000B1250000}"/>
    <cellStyle name="Comma 2 3 2 7 2" xfId="24362" xr:uid="{00000000-0005-0000-0000-0000B2250000}"/>
    <cellStyle name="Comma 2 3 2 7 2 2" xfId="43791" xr:uid="{00000000-0005-0000-0000-0000B3250000}"/>
    <cellStyle name="Comma 2 3 2 7 2 3" xfId="37368" xr:uid="{00000000-0005-0000-0000-0000B4250000}"/>
    <cellStyle name="Comma 2 3 2 7 3" xfId="28684" xr:uid="{00000000-0005-0000-0000-0000B5250000}"/>
    <cellStyle name="Comma 2 3 2 7 3 2" xfId="40584" xr:uid="{00000000-0005-0000-0000-0000B6250000}"/>
    <cellStyle name="Comma 2 3 2 7 4" xfId="32019" xr:uid="{00000000-0005-0000-0000-0000B7250000}"/>
    <cellStyle name="Comma 2 3 2 7 5" xfId="34160" xr:uid="{00000000-0005-0000-0000-0000B8250000}"/>
    <cellStyle name="Comma 2 3 2 8" xfId="8165" xr:uid="{00000000-0005-0000-0000-0000B9250000}"/>
    <cellStyle name="Comma 2 3 2 8 2" xfId="42796" xr:uid="{00000000-0005-0000-0000-0000BA250000}"/>
    <cellStyle name="Comma 2 3 2 8 3" xfId="36372" xr:uid="{00000000-0005-0000-0000-0000BB250000}"/>
    <cellStyle name="Comma 2 3 2 9" xfId="21155" xr:uid="{00000000-0005-0000-0000-0000BC250000}"/>
    <cellStyle name="Comma 2 3 2 9 2" xfId="39589" xr:uid="{00000000-0005-0000-0000-0000BD250000}"/>
    <cellStyle name="Comma 2 3 3" xfId="944" xr:uid="{00000000-0005-0000-0000-0000BE250000}"/>
    <cellStyle name="Comma 2 3 3 10" xfId="22233" xr:uid="{00000000-0005-0000-0000-0000BF250000}"/>
    <cellStyle name="Comma 2 3 3 11" xfId="23372" xr:uid="{00000000-0005-0000-0000-0000C0250000}"/>
    <cellStyle name="Comma 2 3 3 12" xfId="26555" xr:uid="{00000000-0005-0000-0000-0000C1250000}"/>
    <cellStyle name="Comma 2 3 3 13" xfId="29888" xr:uid="{00000000-0005-0000-0000-0000C2250000}"/>
    <cellStyle name="Comma 2 3 3 14" xfId="33170" xr:uid="{00000000-0005-0000-0000-0000C3250000}"/>
    <cellStyle name="Comma 2 3 3 2" xfId="945" xr:uid="{00000000-0005-0000-0000-0000C4250000}"/>
    <cellStyle name="Comma 2 3 3 2 10" xfId="33171" xr:uid="{00000000-0005-0000-0000-0000C5250000}"/>
    <cellStyle name="Comma 2 3 3 2 2" xfId="9716" xr:uid="{00000000-0005-0000-0000-0000C6250000}"/>
    <cellStyle name="Comma 2 3 3 2 2 2" xfId="25516" xr:uid="{00000000-0005-0000-0000-0000C7250000}"/>
    <cellStyle name="Comma 2 3 3 2 2 2 2" xfId="44943" xr:uid="{00000000-0005-0000-0000-0000C8250000}"/>
    <cellStyle name="Comma 2 3 3 2 2 2 3" xfId="38520" xr:uid="{00000000-0005-0000-0000-0000C9250000}"/>
    <cellStyle name="Comma 2 3 3 2 2 3" xfId="27694" xr:uid="{00000000-0005-0000-0000-0000CA250000}"/>
    <cellStyle name="Comma 2 3 3 2 2 3 2" xfId="41736" xr:uid="{00000000-0005-0000-0000-0000CB250000}"/>
    <cellStyle name="Comma 2 3 3 2 2 4" xfId="31029" xr:uid="{00000000-0005-0000-0000-0000CC250000}"/>
    <cellStyle name="Comma 2 3 3 2 2 5" xfId="35312" xr:uid="{00000000-0005-0000-0000-0000CD250000}"/>
    <cellStyle name="Comma 2 3 3 2 3" xfId="15354" xr:uid="{00000000-0005-0000-0000-0000CE250000}"/>
    <cellStyle name="Comma 2 3 3 2 3 2" xfId="24368" xr:uid="{00000000-0005-0000-0000-0000CF250000}"/>
    <cellStyle name="Comma 2 3 3 2 3 2 2" xfId="43797" xr:uid="{00000000-0005-0000-0000-0000D0250000}"/>
    <cellStyle name="Comma 2 3 3 2 3 2 3" xfId="37374" xr:uid="{00000000-0005-0000-0000-0000D1250000}"/>
    <cellStyle name="Comma 2 3 3 2 3 3" xfId="28690" xr:uid="{00000000-0005-0000-0000-0000D2250000}"/>
    <cellStyle name="Comma 2 3 3 2 3 3 2" xfId="40590" xr:uid="{00000000-0005-0000-0000-0000D3250000}"/>
    <cellStyle name="Comma 2 3 3 2 3 4" xfId="32025" xr:uid="{00000000-0005-0000-0000-0000D4250000}"/>
    <cellStyle name="Comma 2 3 3 2 3 5" xfId="34166" xr:uid="{00000000-0005-0000-0000-0000D5250000}"/>
    <cellStyle name="Comma 2 3 3 2 4" xfId="8171" xr:uid="{00000000-0005-0000-0000-0000D6250000}"/>
    <cellStyle name="Comma 2 3 3 2 4 2" xfId="42802" xr:uid="{00000000-0005-0000-0000-0000D7250000}"/>
    <cellStyle name="Comma 2 3 3 2 4 3" xfId="36378" xr:uid="{00000000-0005-0000-0000-0000D8250000}"/>
    <cellStyle name="Comma 2 3 3 2 5" xfId="21161" xr:uid="{00000000-0005-0000-0000-0000D9250000}"/>
    <cellStyle name="Comma 2 3 3 2 5 2" xfId="39595" xr:uid="{00000000-0005-0000-0000-0000DA250000}"/>
    <cellStyle name="Comma 2 3 3 2 6" xfId="22234" xr:uid="{00000000-0005-0000-0000-0000DB250000}"/>
    <cellStyle name="Comma 2 3 3 2 7" xfId="23373" xr:uid="{00000000-0005-0000-0000-0000DC250000}"/>
    <cellStyle name="Comma 2 3 3 2 8" xfId="26556" xr:uid="{00000000-0005-0000-0000-0000DD250000}"/>
    <cellStyle name="Comma 2 3 3 2 9" xfId="29889" xr:uid="{00000000-0005-0000-0000-0000DE250000}"/>
    <cellStyle name="Comma 2 3 3 3" xfId="946" xr:uid="{00000000-0005-0000-0000-0000DF250000}"/>
    <cellStyle name="Comma 2 3 3 3 10" xfId="33172" xr:uid="{00000000-0005-0000-0000-0000E0250000}"/>
    <cellStyle name="Comma 2 3 3 3 2" xfId="9717" xr:uid="{00000000-0005-0000-0000-0000E1250000}"/>
    <cellStyle name="Comma 2 3 3 3 2 2" xfId="25517" xr:uid="{00000000-0005-0000-0000-0000E2250000}"/>
    <cellStyle name="Comma 2 3 3 3 2 2 2" xfId="44944" xr:uid="{00000000-0005-0000-0000-0000E3250000}"/>
    <cellStyle name="Comma 2 3 3 3 2 2 3" xfId="38521" xr:uid="{00000000-0005-0000-0000-0000E4250000}"/>
    <cellStyle name="Comma 2 3 3 3 2 3" xfId="27695" xr:uid="{00000000-0005-0000-0000-0000E5250000}"/>
    <cellStyle name="Comma 2 3 3 3 2 3 2" xfId="41737" xr:uid="{00000000-0005-0000-0000-0000E6250000}"/>
    <cellStyle name="Comma 2 3 3 3 2 4" xfId="31030" xr:uid="{00000000-0005-0000-0000-0000E7250000}"/>
    <cellStyle name="Comma 2 3 3 3 2 5" xfId="35313" xr:uid="{00000000-0005-0000-0000-0000E8250000}"/>
    <cellStyle name="Comma 2 3 3 3 3" xfId="15355" xr:uid="{00000000-0005-0000-0000-0000E9250000}"/>
    <cellStyle name="Comma 2 3 3 3 3 2" xfId="24369" xr:uid="{00000000-0005-0000-0000-0000EA250000}"/>
    <cellStyle name="Comma 2 3 3 3 3 2 2" xfId="43798" xr:uid="{00000000-0005-0000-0000-0000EB250000}"/>
    <cellStyle name="Comma 2 3 3 3 3 2 3" xfId="37375" xr:uid="{00000000-0005-0000-0000-0000EC250000}"/>
    <cellStyle name="Comma 2 3 3 3 3 3" xfId="28691" xr:uid="{00000000-0005-0000-0000-0000ED250000}"/>
    <cellStyle name="Comma 2 3 3 3 3 3 2" xfId="40591" xr:uid="{00000000-0005-0000-0000-0000EE250000}"/>
    <cellStyle name="Comma 2 3 3 3 3 4" xfId="32026" xr:uid="{00000000-0005-0000-0000-0000EF250000}"/>
    <cellStyle name="Comma 2 3 3 3 3 5" xfId="34167" xr:uid="{00000000-0005-0000-0000-0000F0250000}"/>
    <cellStyle name="Comma 2 3 3 3 4" xfId="8172" xr:uid="{00000000-0005-0000-0000-0000F1250000}"/>
    <cellStyle name="Comma 2 3 3 3 4 2" xfId="42803" xr:uid="{00000000-0005-0000-0000-0000F2250000}"/>
    <cellStyle name="Comma 2 3 3 3 4 3" xfId="36379" xr:uid="{00000000-0005-0000-0000-0000F3250000}"/>
    <cellStyle name="Comma 2 3 3 3 5" xfId="21162" xr:uid="{00000000-0005-0000-0000-0000F4250000}"/>
    <cellStyle name="Comma 2 3 3 3 5 2" xfId="39596" xr:uid="{00000000-0005-0000-0000-0000F5250000}"/>
    <cellStyle name="Comma 2 3 3 3 6" xfId="22235" xr:uid="{00000000-0005-0000-0000-0000F6250000}"/>
    <cellStyle name="Comma 2 3 3 3 7" xfId="23374" xr:uid="{00000000-0005-0000-0000-0000F7250000}"/>
    <cellStyle name="Comma 2 3 3 3 8" xfId="26557" xr:uid="{00000000-0005-0000-0000-0000F8250000}"/>
    <cellStyle name="Comma 2 3 3 3 9" xfId="29890" xr:uid="{00000000-0005-0000-0000-0000F9250000}"/>
    <cellStyle name="Comma 2 3 3 4" xfId="947" xr:uid="{00000000-0005-0000-0000-0000FA250000}"/>
    <cellStyle name="Comma 2 3 3 4 10" xfId="33173" xr:uid="{00000000-0005-0000-0000-0000FB250000}"/>
    <cellStyle name="Comma 2 3 3 4 2" xfId="9718" xr:uid="{00000000-0005-0000-0000-0000FC250000}"/>
    <cellStyle name="Comma 2 3 3 4 2 2" xfId="25518" xr:uid="{00000000-0005-0000-0000-0000FD250000}"/>
    <cellStyle name="Comma 2 3 3 4 2 2 2" xfId="44945" xr:uid="{00000000-0005-0000-0000-0000FE250000}"/>
    <cellStyle name="Comma 2 3 3 4 2 2 3" xfId="38522" xr:uid="{00000000-0005-0000-0000-0000FF250000}"/>
    <cellStyle name="Comma 2 3 3 4 2 3" xfId="27696" xr:uid="{00000000-0005-0000-0000-000000260000}"/>
    <cellStyle name="Comma 2 3 3 4 2 3 2" xfId="41738" xr:uid="{00000000-0005-0000-0000-000001260000}"/>
    <cellStyle name="Comma 2 3 3 4 2 4" xfId="31031" xr:uid="{00000000-0005-0000-0000-000002260000}"/>
    <cellStyle name="Comma 2 3 3 4 2 5" xfId="35314" xr:uid="{00000000-0005-0000-0000-000003260000}"/>
    <cellStyle name="Comma 2 3 3 4 3" xfId="15356" xr:uid="{00000000-0005-0000-0000-000004260000}"/>
    <cellStyle name="Comma 2 3 3 4 3 2" xfId="24370" xr:uid="{00000000-0005-0000-0000-000005260000}"/>
    <cellStyle name="Comma 2 3 3 4 3 2 2" xfId="43799" xr:uid="{00000000-0005-0000-0000-000006260000}"/>
    <cellStyle name="Comma 2 3 3 4 3 2 3" xfId="37376" xr:uid="{00000000-0005-0000-0000-000007260000}"/>
    <cellStyle name="Comma 2 3 3 4 3 3" xfId="28692" xr:uid="{00000000-0005-0000-0000-000008260000}"/>
    <cellStyle name="Comma 2 3 3 4 3 3 2" xfId="40592" xr:uid="{00000000-0005-0000-0000-000009260000}"/>
    <cellStyle name="Comma 2 3 3 4 3 4" xfId="32027" xr:uid="{00000000-0005-0000-0000-00000A260000}"/>
    <cellStyle name="Comma 2 3 3 4 3 5" xfId="34168" xr:uid="{00000000-0005-0000-0000-00000B260000}"/>
    <cellStyle name="Comma 2 3 3 4 4" xfId="8173" xr:uid="{00000000-0005-0000-0000-00000C260000}"/>
    <cellStyle name="Comma 2 3 3 4 4 2" xfId="42804" xr:uid="{00000000-0005-0000-0000-00000D260000}"/>
    <cellStyle name="Comma 2 3 3 4 4 3" xfId="36380" xr:uid="{00000000-0005-0000-0000-00000E260000}"/>
    <cellStyle name="Comma 2 3 3 4 5" xfId="21163" xr:uid="{00000000-0005-0000-0000-00000F260000}"/>
    <cellStyle name="Comma 2 3 3 4 5 2" xfId="39597" xr:uid="{00000000-0005-0000-0000-000010260000}"/>
    <cellStyle name="Comma 2 3 3 4 6" xfId="22236" xr:uid="{00000000-0005-0000-0000-000011260000}"/>
    <cellStyle name="Comma 2 3 3 4 7" xfId="23375" xr:uid="{00000000-0005-0000-0000-000012260000}"/>
    <cellStyle name="Comma 2 3 3 4 8" xfId="26558" xr:uid="{00000000-0005-0000-0000-000013260000}"/>
    <cellStyle name="Comma 2 3 3 4 9" xfId="29891" xr:uid="{00000000-0005-0000-0000-000014260000}"/>
    <cellStyle name="Comma 2 3 3 5" xfId="948" xr:uid="{00000000-0005-0000-0000-000015260000}"/>
    <cellStyle name="Comma 2 3 3 5 10" xfId="33174" xr:uid="{00000000-0005-0000-0000-000016260000}"/>
    <cellStyle name="Comma 2 3 3 5 2" xfId="9719" xr:uid="{00000000-0005-0000-0000-000017260000}"/>
    <cellStyle name="Comma 2 3 3 5 2 2" xfId="25519" xr:uid="{00000000-0005-0000-0000-000018260000}"/>
    <cellStyle name="Comma 2 3 3 5 2 2 2" xfId="44946" xr:uid="{00000000-0005-0000-0000-000019260000}"/>
    <cellStyle name="Comma 2 3 3 5 2 2 3" xfId="38523" xr:uid="{00000000-0005-0000-0000-00001A260000}"/>
    <cellStyle name="Comma 2 3 3 5 2 3" xfId="27697" xr:uid="{00000000-0005-0000-0000-00001B260000}"/>
    <cellStyle name="Comma 2 3 3 5 2 3 2" xfId="41739" xr:uid="{00000000-0005-0000-0000-00001C260000}"/>
    <cellStyle name="Comma 2 3 3 5 2 4" xfId="31032" xr:uid="{00000000-0005-0000-0000-00001D260000}"/>
    <cellStyle name="Comma 2 3 3 5 2 5" xfId="35315" xr:uid="{00000000-0005-0000-0000-00001E260000}"/>
    <cellStyle name="Comma 2 3 3 5 3" xfId="15357" xr:uid="{00000000-0005-0000-0000-00001F260000}"/>
    <cellStyle name="Comma 2 3 3 5 3 2" xfId="24371" xr:uid="{00000000-0005-0000-0000-000020260000}"/>
    <cellStyle name="Comma 2 3 3 5 3 2 2" xfId="43800" xr:uid="{00000000-0005-0000-0000-000021260000}"/>
    <cellStyle name="Comma 2 3 3 5 3 2 3" xfId="37377" xr:uid="{00000000-0005-0000-0000-000022260000}"/>
    <cellStyle name="Comma 2 3 3 5 3 3" xfId="28693" xr:uid="{00000000-0005-0000-0000-000023260000}"/>
    <cellStyle name="Comma 2 3 3 5 3 3 2" xfId="40593" xr:uid="{00000000-0005-0000-0000-000024260000}"/>
    <cellStyle name="Comma 2 3 3 5 3 4" xfId="32028" xr:uid="{00000000-0005-0000-0000-000025260000}"/>
    <cellStyle name="Comma 2 3 3 5 3 5" xfId="34169" xr:uid="{00000000-0005-0000-0000-000026260000}"/>
    <cellStyle name="Comma 2 3 3 5 4" xfId="8174" xr:uid="{00000000-0005-0000-0000-000027260000}"/>
    <cellStyle name="Comma 2 3 3 5 4 2" xfId="42805" xr:uid="{00000000-0005-0000-0000-000028260000}"/>
    <cellStyle name="Comma 2 3 3 5 4 3" xfId="36381" xr:uid="{00000000-0005-0000-0000-000029260000}"/>
    <cellStyle name="Comma 2 3 3 5 5" xfId="21164" xr:uid="{00000000-0005-0000-0000-00002A260000}"/>
    <cellStyle name="Comma 2 3 3 5 5 2" xfId="39598" xr:uid="{00000000-0005-0000-0000-00002B260000}"/>
    <cellStyle name="Comma 2 3 3 5 6" xfId="22237" xr:uid="{00000000-0005-0000-0000-00002C260000}"/>
    <cellStyle name="Comma 2 3 3 5 7" xfId="23376" xr:uid="{00000000-0005-0000-0000-00002D260000}"/>
    <cellStyle name="Comma 2 3 3 5 8" xfId="26559" xr:uid="{00000000-0005-0000-0000-00002E260000}"/>
    <cellStyle name="Comma 2 3 3 5 9" xfId="29892" xr:uid="{00000000-0005-0000-0000-00002F260000}"/>
    <cellStyle name="Comma 2 3 3 6" xfId="9715" xr:uid="{00000000-0005-0000-0000-000030260000}"/>
    <cellStyle name="Comma 2 3 3 6 2" xfId="25515" xr:uid="{00000000-0005-0000-0000-000031260000}"/>
    <cellStyle name="Comma 2 3 3 6 2 2" xfId="44942" xr:uid="{00000000-0005-0000-0000-000032260000}"/>
    <cellStyle name="Comma 2 3 3 6 2 3" xfId="38519" xr:uid="{00000000-0005-0000-0000-000033260000}"/>
    <cellStyle name="Comma 2 3 3 6 3" xfId="27693" xr:uid="{00000000-0005-0000-0000-000034260000}"/>
    <cellStyle name="Comma 2 3 3 6 3 2" xfId="41735" xr:uid="{00000000-0005-0000-0000-000035260000}"/>
    <cellStyle name="Comma 2 3 3 6 4" xfId="31028" xr:uid="{00000000-0005-0000-0000-000036260000}"/>
    <cellStyle name="Comma 2 3 3 6 5" xfId="35311" xr:uid="{00000000-0005-0000-0000-000037260000}"/>
    <cellStyle name="Comma 2 3 3 7" xfId="15353" xr:uid="{00000000-0005-0000-0000-000038260000}"/>
    <cellStyle name="Comma 2 3 3 7 2" xfId="24367" xr:uid="{00000000-0005-0000-0000-000039260000}"/>
    <cellStyle name="Comma 2 3 3 7 2 2" xfId="43796" xr:uid="{00000000-0005-0000-0000-00003A260000}"/>
    <cellStyle name="Comma 2 3 3 7 2 3" xfId="37373" xr:uid="{00000000-0005-0000-0000-00003B260000}"/>
    <cellStyle name="Comma 2 3 3 7 3" xfId="28689" xr:uid="{00000000-0005-0000-0000-00003C260000}"/>
    <cellStyle name="Comma 2 3 3 7 3 2" xfId="40589" xr:uid="{00000000-0005-0000-0000-00003D260000}"/>
    <cellStyle name="Comma 2 3 3 7 4" xfId="32024" xr:uid="{00000000-0005-0000-0000-00003E260000}"/>
    <cellStyle name="Comma 2 3 3 7 5" xfId="34165" xr:uid="{00000000-0005-0000-0000-00003F260000}"/>
    <cellStyle name="Comma 2 3 3 8" xfId="8170" xr:uid="{00000000-0005-0000-0000-000040260000}"/>
    <cellStyle name="Comma 2 3 3 8 2" xfId="42801" xr:uid="{00000000-0005-0000-0000-000041260000}"/>
    <cellStyle name="Comma 2 3 3 8 3" xfId="36377" xr:uid="{00000000-0005-0000-0000-000042260000}"/>
    <cellStyle name="Comma 2 3 3 9" xfId="21160" xr:uid="{00000000-0005-0000-0000-000043260000}"/>
    <cellStyle name="Comma 2 3 3 9 2" xfId="39594" xr:uid="{00000000-0005-0000-0000-000044260000}"/>
    <cellStyle name="Comma 2 3 4" xfId="949" xr:uid="{00000000-0005-0000-0000-000045260000}"/>
    <cellStyle name="Comma 2 3 4 2" xfId="9720" xr:uid="{00000000-0005-0000-0000-000046260000}"/>
    <cellStyle name="Comma 2 3 4 2 2" xfId="25520" xr:uid="{00000000-0005-0000-0000-000047260000}"/>
    <cellStyle name="Comma 2 3 4 2 2 2" xfId="44947" xr:uid="{00000000-0005-0000-0000-000048260000}"/>
    <cellStyle name="Comma 2 3 4 2 2 3" xfId="38524" xr:uid="{00000000-0005-0000-0000-000049260000}"/>
    <cellStyle name="Comma 2 3 4 2 3" xfId="27698" xr:uid="{00000000-0005-0000-0000-00004A260000}"/>
    <cellStyle name="Comma 2 3 4 2 3 2" xfId="41740" xr:uid="{00000000-0005-0000-0000-00004B260000}"/>
    <cellStyle name="Comma 2 3 4 2 4" xfId="31033" xr:uid="{00000000-0005-0000-0000-00004C260000}"/>
    <cellStyle name="Comma 2 3 4 2 5" xfId="35316" xr:uid="{00000000-0005-0000-0000-00004D260000}"/>
    <cellStyle name="Comma 2 3 4 3" xfId="8175" xr:uid="{00000000-0005-0000-0000-00004E260000}"/>
    <cellStyle name="Comma 2 3 4 3 2" xfId="24372" xr:uid="{00000000-0005-0000-0000-00004F260000}"/>
    <cellStyle name="Comma 2 3 4 3 2 2" xfId="43801" xr:uid="{00000000-0005-0000-0000-000050260000}"/>
    <cellStyle name="Comma 2 3 4 3 2 3" xfId="37378" xr:uid="{00000000-0005-0000-0000-000051260000}"/>
    <cellStyle name="Comma 2 3 4 3 3" xfId="40594" xr:uid="{00000000-0005-0000-0000-000052260000}"/>
    <cellStyle name="Comma 2 3 4 3 4" xfId="34170" xr:uid="{00000000-0005-0000-0000-000053260000}"/>
    <cellStyle name="Comma 2 3 5" xfId="950" xr:uid="{00000000-0005-0000-0000-000054260000}"/>
    <cellStyle name="Comma 2 3 5 10" xfId="33175" xr:uid="{00000000-0005-0000-0000-000055260000}"/>
    <cellStyle name="Comma 2 3 5 2" xfId="9721" xr:uid="{00000000-0005-0000-0000-000056260000}"/>
    <cellStyle name="Comma 2 3 5 2 2" xfId="25521" xr:uid="{00000000-0005-0000-0000-000057260000}"/>
    <cellStyle name="Comma 2 3 5 2 2 2" xfId="44948" xr:uid="{00000000-0005-0000-0000-000058260000}"/>
    <cellStyle name="Comma 2 3 5 2 2 3" xfId="38525" xr:uid="{00000000-0005-0000-0000-000059260000}"/>
    <cellStyle name="Comma 2 3 5 2 3" xfId="27699" xr:uid="{00000000-0005-0000-0000-00005A260000}"/>
    <cellStyle name="Comma 2 3 5 2 3 2" xfId="41741" xr:uid="{00000000-0005-0000-0000-00005B260000}"/>
    <cellStyle name="Comma 2 3 5 2 4" xfId="31034" xr:uid="{00000000-0005-0000-0000-00005C260000}"/>
    <cellStyle name="Comma 2 3 5 2 5" xfId="35317" xr:uid="{00000000-0005-0000-0000-00005D260000}"/>
    <cellStyle name="Comma 2 3 5 3" xfId="15358" xr:uid="{00000000-0005-0000-0000-00005E260000}"/>
    <cellStyle name="Comma 2 3 5 3 2" xfId="24373" xr:uid="{00000000-0005-0000-0000-00005F260000}"/>
    <cellStyle name="Comma 2 3 5 3 2 2" xfId="43802" xr:uid="{00000000-0005-0000-0000-000060260000}"/>
    <cellStyle name="Comma 2 3 5 3 2 3" xfId="37379" xr:uid="{00000000-0005-0000-0000-000061260000}"/>
    <cellStyle name="Comma 2 3 5 3 3" xfId="28694" xr:uid="{00000000-0005-0000-0000-000062260000}"/>
    <cellStyle name="Comma 2 3 5 3 3 2" xfId="40595" xr:uid="{00000000-0005-0000-0000-000063260000}"/>
    <cellStyle name="Comma 2 3 5 3 4" xfId="32029" xr:uid="{00000000-0005-0000-0000-000064260000}"/>
    <cellStyle name="Comma 2 3 5 3 5" xfId="34171" xr:uid="{00000000-0005-0000-0000-000065260000}"/>
    <cellStyle name="Comma 2 3 5 4" xfId="8176" xr:uid="{00000000-0005-0000-0000-000066260000}"/>
    <cellStyle name="Comma 2 3 5 4 2" xfId="42806" xr:uid="{00000000-0005-0000-0000-000067260000}"/>
    <cellStyle name="Comma 2 3 5 4 3" xfId="36382" xr:uid="{00000000-0005-0000-0000-000068260000}"/>
    <cellStyle name="Comma 2 3 5 5" xfId="21165" xr:uid="{00000000-0005-0000-0000-000069260000}"/>
    <cellStyle name="Comma 2 3 5 5 2" xfId="39599" xr:uid="{00000000-0005-0000-0000-00006A260000}"/>
    <cellStyle name="Comma 2 3 5 6" xfId="22238" xr:uid="{00000000-0005-0000-0000-00006B260000}"/>
    <cellStyle name="Comma 2 3 5 7" xfId="23377" xr:uid="{00000000-0005-0000-0000-00006C260000}"/>
    <cellStyle name="Comma 2 3 5 8" xfId="26560" xr:uid="{00000000-0005-0000-0000-00006D260000}"/>
    <cellStyle name="Comma 2 3 5 9" xfId="29893" xr:uid="{00000000-0005-0000-0000-00006E260000}"/>
    <cellStyle name="Comma 2 3 6" xfId="951" xr:uid="{00000000-0005-0000-0000-00006F260000}"/>
    <cellStyle name="Comma 2 3 6 10" xfId="33176" xr:uid="{00000000-0005-0000-0000-000070260000}"/>
    <cellStyle name="Comma 2 3 6 2" xfId="9722" xr:uid="{00000000-0005-0000-0000-000071260000}"/>
    <cellStyle name="Comma 2 3 6 2 2" xfId="25522" xr:uid="{00000000-0005-0000-0000-000072260000}"/>
    <cellStyle name="Comma 2 3 6 2 2 2" xfId="44949" xr:uid="{00000000-0005-0000-0000-000073260000}"/>
    <cellStyle name="Comma 2 3 6 2 2 3" xfId="38526" xr:uid="{00000000-0005-0000-0000-000074260000}"/>
    <cellStyle name="Comma 2 3 6 2 3" xfId="27700" xr:uid="{00000000-0005-0000-0000-000075260000}"/>
    <cellStyle name="Comma 2 3 6 2 3 2" xfId="41742" xr:uid="{00000000-0005-0000-0000-000076260000}"/>
    <cellStyle name="Comma 2 3 6 2 4" xfId="31035" xr:uid="{00000000-0005-0000-0000-000077260000}"/>
    <cellStyle name="Comma 2 3 6 2 5" xfId="35318" xr:uid="{00000000-0005-0000-0000-000078260000}"/>
    <cellStyle name="Comma 2 3 6 3" xfId="15359" xr:uid="{00000000-0005-0000-0000-000079260000}"/>
    <cellStyle name="Comma 2 3 6 3 2" xfId="24374" xr:uid="{00000000-0005-0000-0000-00007A260000}"/>
    <cellStyle name="Comma 2 3 6 3 2 2" xfId="43803" xr:uid="{00000000-0005-0000-0000-00007B260000}"/>
    <cellStyle name="Comma 2 3 6 3 2 3" xfId="37380" xr:uid="{00000000-0005-0000-0000-00007C260000}"/>
    <cellStyle name="Comma 2 3 6 3 3" xfId="28695" xr:uid="{00000000-0005-0000-0000-00007D260000}"/>
    <cellStyle name="Comma 2 3 6 3 3 2" xfId="40596" xr:uid="{00000000-0005-0000-0000-00007E260000}"/>
    <cellStyle name="Comma 2 3 6 3 4" xfId="32030" xr:uid="{00000000-0005-0000-0000-00007F260000}"/>
    <cellStyle name="Comma 2 3 6 3 5" xfId="34172" xr:uid="{00000000-0005-0000-0000-000080260000}"/>
    <cellStyle name="Comma 2 3 6 4" xfId="8177" xr:uid="{00000000-0005-0000-0000-000081260000}"/>
    <cellStyle name="Comma 2 3 6 4 2" xfId="42807" xr:uid="{00000000-0005-0000-0000-000082260000}"/>
    <cellStyle name="Comma 2 3 6 4 3" xfId="36383" xr:uid="{00000000-0005-0000-0000-000083260000}"/>
    <cellStyle name="Comma 2 3 6 5" xfId="21166" xr:uid="{00000000-0005-0000-0000-000084260000}"/>
    <cellStyle name="Comma 2 3 6 5 2" xfId="39600" xr:uid="{00000000-0005-0000-0000-000085260000}"/>
    <cellStyle name="Comma 2 3 6 6" xfId="22239" xr:uid="{00000000-0005-0000-0000-000086260000}"/>
    <cellStyle name="Comma 2 3 6 7" xfId="23378" xr:uid="{00000000-0005-0000-0000-000087260000}"/>
    <cellStyle name="Comma 2 3 6 8" xfId="26561" xr:uid="{00000000-0005-0000-0000-000088260000}"/>
    <cellStyle name="Comma 2 3 6 9" xfId="29894" xr:uid="{00000000-0005-0000-0000-000089260000}"/>
    <cellStyle name="Comma 2 3 7" xfId="952" xr:uid="{00000000-0005-0000-0000-00008A260000}"/>
    <cellStyle name="Comma 2 3 7 10" xfId="33177" xr:uid="{00000000-0005-0000-0000-00008B260000}"/>
    <cellStyle name="Comma 2 3 7 2" xfId="9723" xr:uid="{00000000-0005-0000-0000-00008C260000}"/>
    <cellStyle name="Comma 2 3 7 2 2" xfId="25523" xr:uid="{00000000-0005-0000-0000-00008D260000}"/>
    <cellStyle name="Comma 2 3 7 2 2 2" xfId="44950" xr:uid="{00000000-0005-0000-0000-00008E260000}"/>
    <cellStyle name="Comma 2 3 7 2 2 3" xfId="38527" xr:uid="{00000000-0005-0000-0000-00008F260000}"/>
    <cellStyle name="Comma 2 3 7 2 3" xfId="27701" xr:uid="{00000000-0005-0000-0000-000090260000}"/>
    <cellStyle name="Comma 2 3 7 2 3 2" xfId="41743" xr:uid="{00000000-0005-0000-0000-000091260000}"/>
    <cellStyle name="Comma 2 3 7 2 4" xfId="31036" xr:uid="{00000000-0005-0000-0000-000092260000}"/>
    <cellStyle name="Comma 2 3 7 2 5" xfId="35319" xr:uid="{00000000-0005-0000-0000-000093260000}"/>
    <cellStyle name="Comma 2 3 7 3" xfId="15360" xr:uid="{00000000-0005-0000-0000-000094260000}"/>
    <cellStyle name="Comma 2 3 7 3 2" xfId="24375" xr:uid="{00000000-0005-0000-0000-000095260000}"/>
    <cellStyle name="Comma 2 3 7 3 2 2" xfId="43804" xr:uid="{00000000-0005-0000-0000-000096260000}"/>
    <cellStyle name="Comma 2 3 7 3 2 3" xfId="37381" xr:uid="{00000000-0005-0000-0000-000097260000}"/>
    <cellStyle name="Comma 2 3 7 3 3" xfId="28696" xr:uid="{00000000-0005-0000-0000-000098260000}"/>
    <cellStyle name="Comma 2 3 7 3 3 2" xfId="40597" xr:uid="{00000000-0005-0000-0000-000099260000}"/>
    <cellStyle name="Comma 2 3 7 3 4" xfId="32031" xr:uid="{00000000-0005-0000-0000-00009A260000}"/>
    <cellStyle name="Comma 2 3 7 3 5" xfId="34173" xr:uid="{00000000-0005-0000-0000-00009B260000}"/>
    <cellStyle name="Comma 2 3 7 4" xfId="8178" xr:uid="{00000000-0005-0000-0000-00009C260000}"/>
    <cellStyle name="Comma 2 3 7 4 2" xfId="42808" xr:uid="{00000000-0005-0000-0000-00009D260000}"/>
    <cellStyle name="Comma 2 3 7 4 3" xfId="36384" xr:uid="{00000000-0005-0000-0000-00009E260000}"/>
    <cellStyle name="Comma 2 3 7 5" xfId="21167" xr:uid="{00000000-0005-0000-0000-00009F260000}"/>
    <cellStyle name="Comma 2 3 7 5 2" xfId="39601" xr:uid="{00000000-0005-0000-0000-0000A0260000}"/>
    <cellStyle name="Comma 2 3 7 6" xfId="22240" xr:uid="{00000000-0005-0000-0000-0000A1260000}"/>
    <cellStyle name="Comma 2 3 7 7" xfId="23379" xr:uid="{00000000-0005-0000-0000-0000A2260000}"/>
    <cellStyle name="Comma 2 3 7 8" xfId="26562" xr:uid="{00000000-0005-0000-0000-0000A3260000}"/>
    <cellStyle name="Comma 2 3 7 9" xfId="29895" xr:uid="{00000000-0005-0000-0000-0000A4260000}"/>
    <cellStyle name="Comma 2 3 8" xfId="953" xr:uid="{00000000-0005-0000-0000-0000A5260000}"/>
    <cellStyle name="Comma 2 3 8 10" xfId="33178" xr:uid="{00000000-0005-0000-0000-0000A6260000}"/>
    <cellStyle name="Comma 2 3 8 2" xfId="9724" xr:uid="{00000000-0005-0000-0000-0000A7260000}"/>
    <cellStyle name="Comma 2 3 8 2 2" xfId="25524" xr:uid="{00000000-0005-0000-0000-0000A8260000}"/>
    <cellStyle name="Comma 2 3 8 2 2 2" xfId="44951" xr:uid="{00000000-0005-0000-0000-0000A9260000}"/>
    <cellStyle name="Comma 2 3 8 2 2 3" xfId="38528" xr:uid="{00000000-0005-0000-0000-0000AA260000}"/>
    <cellStyle name="Comma 2 3 8 2 3" xfId="27702" xr:uid="{00000000-0005-0000-0000-0000AB260000}"/>
    <cellStyle name="Comma 2 3 8 2 3 2" xfId="41744" xr:uid="{00000000-0005-0000-0000-0000AC260000}"/>
    <cellStyle name="Comma 2 3 8 2 4" xfId="31037" xr:uid="{00000000-0005-0000-0000-0000AD260000}"/>
    <cellStyle name="Comma 2 3 8 2 5" xfId="35320" xr:uid="{00000000-0005-0000-0000-0000AE260000}"/>
    <cellStyle name="Comma 2 3 8 3" xfId="15361" xr:uid="{00000000-0005-0000-0000-0000AF260000}"/>
    <cellStyle name="Comma 2 3 8 3 2" xfId="24376" xr:uid="{00000000-0005-0000-0000-0000B0260000}"/>
    <cellStyle name="Comma 2 3 8 3 2 2" xfId="43805" xr:uid="{00000000-0005-0000-0000-0000B1260000}"/>
    <cellStyle name="Comma 2 3 8 3 2 3" xfId="37382" xr:uid="{00000000-0005-0000-0000-0000B2260000}"/>
    <cellStyle name="Comma 2 3 8 3 3" xfId="28697" xr:uid="{00000000-0005-0000-0000-0000B3260000}"/>
    <cellStyle name="Comma 2 3 8 3 3 2" xfId="40598" xr:uid="{00000000-0005-0000-0000-0000B4260000}"/>
    <cellStyle name="Comma 2 3 8 3 4" xfId="32032" xr:uid="{00000000-0005-0000-0000-0000B5260000}"/>
    <cellStyle name="Comma 2 3 8 3 5" xfId="34174" xr:uid="{00000000-0005-0000-0000-0000B6260000}"/>
    <cellStyle name="Comma 2 3 8 4" xfId="8179" xr:uid="{00000000-0005-0000-0000-0000B7260000}"/>
    <cellStyle name="Comma 2 3 8 4 2" xfId="42809" xr:uid="{00000000-0005-0000-0000-0000B8260000}"/>
    <cellStyle name="Comma 2 3 8 4 3" xfId="36385" xr:uid="{00000000-0005-0000-0000-0000B9260000}"/>
    <cellStyle name="Comma 2 3 8 5" xfId="21168" xr:uid="{00000000-0005-0000-0000-0000BA260000}"/>
    <cellStyle name="Comma 2 3 8 5 2" xfId="39602" xr:uid="{00000000-0005-0000-0000-0000BB260000}"/>
    <cellStyle name="Comma 2 3 8 6" xfId="22241" xr:uid="{00000000-0005-0000-0000-0000BC260000}"/>
    <cellStyle name="Comma 2 3 8 7" xfId="23380" xr:uid="{00000000-0005-0000-0000-0000BD260000}"/>
    <cellStyle name="Comma 2 3 8 8" xfId="26563" xr:uid="{00000000-0005-0000-0000-0000BE260000}"/>
    <cellStyle name="Comma 2 3 8 9" xfId="29896" xr:uid="{00000000-0005-0000-0000-0000BF260000}"/>
    <cellStyle name="Comma 2 3 9" xfId="9065" xr:uid="{00000000-0005-0000-0000-0000C0260000}"/>
    <cellStyle name="Comma 2 3 9 2" xfId="25121" xr:uid="{00000000-0005-0000-0000-0000C1260000}"/>
    <cellStyle name="Comma 2 3 9 2 2" xfId="44548" xr:uid="{00000000-0005-0000-0000-0000C2260000}"/>
    <cellStyle name="Comma 2 3 9 2 3" xfId="38125" xr:uid="{00000000-0005-0000-0000-0000C3260000}"/>
    <cellStyle name="Comma 2 3 9 3" xfId="27300" xr:uid="{00000000-0005-0000-0000-0000C4260000}"/>
    <cellStyle name="Comma 2 3 9 3 2" xfId="41341" xr:uid="{00000000-0005-0000-0000-0000C5260000}"/>
    <cellStyle name="Comma 2 3 9 4" xfId="30635" xr:uid="{00000000-0005-0000-0000-0000C6260000}"/>
    <cellStyle name="Comma 2 3 9 5" xfId="34917" xr:uid="{00000000-0005-0000-0000-0000C7260000}"/>
    <cellStyle name="Comma 2 3_Monthly Price Data" xfId="954" xr:uid="{00000000-0005-0000-0000-0000C8260000}"/>
    <cellStyle name="Comma 2 4" xfId="197" xr:uid="{00000000-0005-0000-0000-0000C9260000}"/>
    <cellStyle name="Comma 2 4 10" xfId="955" xr:uid="{00000000-0005-0000-0000-0000CA260000}"/>
    <cellStyle name="Comma 2 4 10 10" xfId="33179" xr:uid="{00000000-0005-0000-0000-0000CB260000}"/>
    <cellStyle name="Comma 2 4 10 2" xfId="9725" xr:uid="{00000000-0005-0000-0000-0000CC260000}"/>
    <cellStyle name="Comma 2 4 10 2 2" xfId="25525" xr:uid="{00000000-0005-0000-0000-0000CD260000}"/>
    <cellStyle name="Comma 2 4 10 2 2 2" xfId="44952" xr:uid="{00000000-0005-0000-0000-0000CE260000}"/>
    <cellStyle name="Comma 2 4 10 2 2 3" xfId="38529" xr:uid="{00000000-0005-0000-0000-0000CF260000}"/>
    <cellStyle name="Comma 2 4 10 2 3" xfId="27703" xr:uid="{00000000-0005-0000-0000-0000D0260000}"/>
    <cellStyle name="Comma 2 4 10 2 3 2" xfId="41745" xr:uid="{00000000-0005-0000-0000-0000D1260000}"/>
    <cellStyle name="Comma 2 4 10 2 4" xfId="31038" xr:uid="{00000000-0005-0000-0000-0000D2260000}"/>
    <cellStyle name="Comma 2 4 10 2 5" xfId="35321" xr:uid="{00000000-0005-0000-0000-0000D3260000}"/>
    <cellStyle name="Comma 2 4 10 3" xfId="15363" xr:uid="{00000000-0005-0000-0000-0000D4260000}"/>
    <cellStyle name="Comma 2 4 10 3 2" xfId="24378" xr:uid="{00000000-0005-0000-0000-0000D5260000}"/>
    <cellStyle name="Comma 2 4 10 3 2 2" xfId="43807" xr:uid="{00000000-0005-0000-0000-0000D6260000}"/>
    <cellStyle name="Comma 2 4 10 3 2 3" xfId="37384" xr:uid="{00000000-0005-0000-0000-0000D7260000}"/>
    <cellStyle name="Comma 2 4 10 3 3" xfId="28699" xr:uid="{00000000-0005-0000-0000-0000D8260000}"/>
    <cellStyle name="Comma 2 4 10 3 3 2" xfId="40600" xr:uid="{00000000-0005-0000-0000-0000D9260000}"/>
    <cellStyle name="Comma 2 4 10 3 4" xfId="32034" xr:uid="{00000000-0005-0000-0000-0000DA260000}"/>
    <cellStyle name="Comma 2 4 10 3 5" xfId="34176" xr:uid="{00000000-0005-0000-0000-0000DB260000}"/>
    <cellStyle name="Comma 2 4 10 4" xfId="8181" xr:uid="{00000000-0005-0000-0000-0000DC260000}"/>
    <cellStyle name="Comma 2 4 10 4 2" xfId="42810" xr:uid="{00000000-0005-0000-0000-0000DD260000}"/>
    <cellStyle name="Comma 2 4 10 4 3" xfId="36386" xr:uid="{00000000-0005-0000-0000-0000DE260000}"/>
    <cellStyle name="Comma 2 4 10 5" xfId="21170" xr:uid="{00000000-0005-0000-0000-0000DF260000}"/>
    <cellStyle name="Comma 2 4 10 5 2" xfId="39603" xr:uid="{00000000-0005-0000-0000-0000E0260000}"/>
    <cellStyle name="Comma 2 4 10 6" xfId="22243" xr:uid="{00000000-0005-0000-0000-0000E1260000}"/>
    <cellStyle name="Comma 2 4 10 7" xfId="23381" xr:uid="{00000000-0005-0000-0000-0000E2260000}"/>
    <cellStyle name="Comma 2 4 10 8" xfId="26565" xr:uid="{00000000-0005-0000-0000-0000E3260000}"/>
    <cellStyle name="Comma 2 4 10 9" xfId="29898" xr:uid="{00000000-0005-0000-0000-0000E4260000}"/>
    <cellStyle name="Comma 2 4 11" xfId="956" xr:uid="{00000000-0005-0000-0000-0000E5260000}"/>
    <cellStyle name="Comma 2 4 11 10" xfId="33180" xr:uid="{00000000-0005-0000-0000-0000E6260000}"/>
    <cellStyle name="Comma 2 4 11 2" xfId="9726" xr:uid="{00000000-0005-0000-0000-0000E7260000}"/>
    <cellStyle name="Comma 2 4 11 2 2" xfId="25526" xr:uid="{00000000-0005-0000-0000-0000E8260000}"/>
    <cellStyle name="Comma 2 4 11 2 2 2" xfId="44953" xr:uid="{00000000-0005-0000-0000-0000E9260000}"/>
    <cellStyle name="Comma 2 4 11 2 2 3" xfId="38530" xr:uid="{00000000-0005-0000-0000-0000EA260000}"/>
    <cellStyle name="Comma 2 4 11 2 3" xfId="27704" xr:uid="{00000000-0005-0000-0000-0000EB260000}"/>
    <cellStyle name="Comma 2 4 11 2 3 2" xfId="41746" xr:uid="{00000000-0005-0000-0000-0000EC260000}"/>
    <cellStyle name="Comma 2 4 11 2 4" xfId="31039" xr:uid="{00000000-0005-0000-0000-0000ED260000}"/>
    <cellStyle name="Comma 2 4 11 2 5" xfId="35322" xr:uid="{00000000-0005-0000-0000-0000EE260000}"/>
    <cellStyle name="Comma 2 4 11 3" xfId="15364" xr:uid="{00000000-0005-0000-0000-0000EF260000}"/>
    <cellStyle name="Comma 2 4 11 3 2" xfId="24379" xr:uid="{00000000-0005-0000-0000-0000F0260000}"/>
    <cellStyle name="Comma 2 4 11 3 2 2" xfId="43808" xr:uid="{00000000-0005-0000-0000-0000F1260000}"/>
    <cellStyle name="Comma 2 4 11 3 2 3" xfId="37385" xr:uid="{00000000-0005-0000-0000-0000F2260000}"/>
    <cellStyle name="Comma 2 4 11 3 3" xfId="28700" xr:uid="{00000000-0005-0000-0000-0000F3260000}"/>
    <cellStyle name="Comma 2 4 11 3 3 2" xfId="40601" xr:uid="{00000000-0005-0000-0000-0000F4260000}"/>
    <cellStyle name="Comma 2 4 11 3 4" xfId="32035" xr:uid="{00000000-0005-0000-0000-0000F5260000}"/>
    <cellStyle name="Comma 2 4 11 3 5" xfId="34177" xr:uid="{00000000-0005-0000-0000-0000F6260000}"/>
    <cellStyle name="Comma 2 4 11 4" xfId="8182" xr:uid="{00000000-0005-0000-0000-0000F7260000}"/>
    <cellStyle name="Comma 2 4 11 4 2" xfId="42811" xr:uid="{00000000-0005-0000-0000-0000F8260000}"/>
    <cellStyle name="Comma 2 4 11 4 3" xfId="36387" xr:uid="{00000000-0005-0000-0000-0000F9260000}"/>
    <cellStyle name="Comma 2 4 11 5" xfId="21171" xr:uid="{00000000-0005-0000-0000-0000FA260000}"/>
    <cellStyle name="Comma 2 4 11 5 2" xfId="39604" xr:uid="{00000000-0005-0000-0000-0000FB260000}"/>
    <cellStyle name="Comma 2 4 11 6" xfId="22244" xr:uid="{00000000-0005-0000-0000-0000FC260000}"/>
    <cellStyle name="Comma 2 4 11 7" xfId="23382" xr:uid="{00000000-0005-0000-0000-0000FD260000}"/>
    <cellStyle name="Comma 2 4 11 8" xfId="26566" xr:uid="{00000000-0005-0000-0000-0000FE260000}"/>
    <cellStyle name="Comma 2 4 11 9" xfId="29899" xr:uid="{00000000-0005-0000-0000-0000FF260000}"/>
    <cellStyle name="Comma 2 4 12" xfId="957" xr:uid="{00000000-0005-0000-0000-000000270000}"/>
    <cellStyle name="Comma 2 4 12 10" xfId="33181" xr:uid="{00000000-0005-0000-0000-000001270000}"/>
    <cellStyle name="Comma 2 4 12 2" xfId="9727" xr:uid="{00000000-0005-0000-0000-000002270000}"/>
    <cellStyle name="Comma 2 4 12 2 2" xfId="25527" xr:uid="{00000000-0005-0000-0000-000003270000}"/>
    <cellStyle name="Comma 2 4 12 2 2 2" xfId="44954" xr:uid="{00000000-0005-0000-0000-000004270000}"/>
    <cellStyle name="Comma 2 4 12 2 2 3" xfId="38531" xr:uid="{00000000-0005-0000-0000-000005270000}"/>
    <cellStyle name="Comma 2 4 12 2 3" xfId="27705" xr:uid="{00000000-0005-0000-0000-000006270000}"/>
    <cellStyle name="Comma 2 4 12 2 3 2" xfId="41747" xr:uid="{00000000-0005-0000-0000-000007270000}"/>
    <cellStyle name="Comma 2 4 12 2 4" xfId="31040" xr:uid="{00000000-0005-0000-0000-000008270000}"/>
    <cellStyle name="Comma 2 4 12 2 5" xfId="35323" xr:uid="{00000000-0005-0000-0000-000009270000}"/>
    <cellStyle name="Comma 2 4 12 3" xfId="15365" xr:uid="{00000000-0005-0000-0000-00000A270000}"/>
    <cellStyle name="Comma 2 4 12 3 2" xfId="24380" xr:uid="{00000000-0005-0000-0000-00000B270000}"/>
    <cellStyle name="Comma 2 4 12 3 2 2" xfId="43809" xr:uid="{00000000-0005-0000-0000-00000C270000}"/>
    <cellStyle name="Comma 2 4 12 3 2 3" xfId="37386" xr:uid="{00000000-0005-0000-0000-00000D270000}"/>
    <cellStyle name="Comma 2 4 12 3 3" xfId="28701" xr:uid="{00000000-0005-0000-0000-00000E270000}"/>
    <cellStyle name="Comma 2 4 12 3 3 2" xfId="40602" xr:uid="{00000000-0005-0000-0000-00000F270000}"/>
    <cellStyle name="Comma 2 4 12 3 4" xfId="32036" xr:uid="{00000000-0005-0000-0000-000010270000}"/>
    <cellStyle name="Comma 2 4 12 3 5" xfId="34178" xr:uid="{00000000-0005-0000-0000-000011270000}"/>
    <cellStyle name="Comma 2 4 12 4" xfId="8183" xr:uid="{00000000-0005-0000-0000-000012270000}"/>
    <cellStyle name="Comma 2 4 12 4 2" xfId="42812" xr:uid="{00000000-0005-0000-0000-000013270000}"/>
    <cellStyle name="Comma 2 4 12 4 3" xfId="36388" xr:uid="{00000000-0005-0000-0000-000014270000}"/>
    <cellStyle name="Comma 2 4 12 5" xfId="21172" xr:uid="{00000000-0005-0000-0000-000015270000}"/>
    <cellStyle name="Comma 2 4 12 5 2" xfId="39605" xr:uid="{00000000-0005-0000-0000-000016270000}"/>
    <cellStyle name="Comma 2 4 12 6" xfId="22245" xr:uid="{00000000-0005-0000-0000-000017270000}"/>
    <cellStyle name="Comma 2 4 12 7" xfId="23383" xr:uid="{00000000-0005-0000-0000-000018270000}"/>
    <cellStyle name="Comma 2 4 12 8" xfId="26567" xr:uid="{00000000-0005-0000-0000-000019270000}"/>
    <cellStyle name="Comma 2 4 12 9" xfId="29900" xr:uid="{00000000-0005-0000-0000-00001A270000}"/>
    <cellStyle name="Comma 2 4 13" xfId="958" xr:uid="{00000000-0005-0000-0000-00001B270000}"/>
    <cellStyle name="Comma 2 4 13 10" xfId="33182" xr:uid="{00000000-0005-0000-0000-00001C270000}"/>
    <cellStyle name="Comma 2 4 13 2" xfId="9728" xr:uid="{00000000-0005-0000-0000-00001D270000}"/>
    <cellStyle name="Comma 2 4 13 2 2" xfId="25528" xr:uid="{00000000-0005-0000-0000-00001E270000}"/>
    <cellStyle name="Comma 2 4 13 2 2 2" xfId="44955" xr:uid="{00000000-0005-0000-0000-00001F270000}"/>
    <cellStyle name="Comma 2 4 13 2 2 3" xfId="38532" xr:uid="{00000000-0005-0000-0000-000020270000}"/>
    <cellStyle name="Comma 2 4 13 2 3" xfId="27706" xr:uid="{00000000-0005-0000-0000-000021270000}"/>
    <cellStyle name="Comma 2 4 13 2 3 2" xfId="41748" xr:uid="{00000000-0005-0000-0000-000022270000}"/>
    <cellStyle name="Comma 2 4 13 2 4" xfId="31041" xr:uid="{00000000-0005-0000-0000-000023270000}"/>
    <cellStyle name="Comma 2 4 13 2 5" xfId="35324" xr:uid="{00000000-0005-0000-0000-000024270000}"/>
    <cellStyle name="Comma 2 4 13 3" xfId="15366" xr:uid="{00000000-0005-0000-0000-000025270000}"/>
    <cellStyle name="Comma 2 4 13 3 2" xfId="24381" xr:uid="{00000000-0005-0000-0000-000026270000}"/>
    <cellStyle name="Comma 2 4 13 3 2 2" xfId="43810" xr:uid="{00000000-0005-0000-0000-000027270000}"/>
    <cellStyle name="Comma 2 4 13 3 2 3" xfId="37387" xr:uid="{00000000-0005-0000-0000-000028270000}"/>
    <cellStyle name="Comma 2 4 13 3 3" xfId="28702" xr:uid="{00000000-0005-0000-0000-000029270000}"/>
    <cellStyle name="Comma 2 4 13 3 3 2" xfId="40603" xr:uid="{00000000-0005-0000-0000-00002A270000}"/>
    <cellStyle name="Comma 2 4 13 3 4" xfId="32037" xr:uid="{00000000-0005-0000-0000-00002B270000}"/>
    <cellStyle name="Comma 2 4 13 3 5" xfId="34179" xr:uid="{00000000-0005-0000-0000-00002C270000}"/>
    <cellStyle name="Comma 2 4 13 4" xfId="8184" xr:uid="{00000000-0005-0000-0000-00002D270000}"/>
    <cellStyle name="Comma 2 4 13 4 2" xfId="42813" xr:uid="{00000000-0005-0000-0000-00002E270000}"/>
    <cellStyle name="Comma 2 4 13 4 3" xfId="36389" xr:uid="{00000000-0005-0000-0000-00002F270000}"/>
    <cellStyle name="Comma 2 4 13 5" xfId="21173" xr:uid="{00000000-0005-0000-0000-000030270000}"/>
    <cellStyle name="Comma 2 4 13 5 2" xfId="39606" xr:uid="{00000000-0005-0000-0000-000031270000}"/>
    <cellStyle name="Comma 2 4 13 6" xfId="22246" xr:uid="{00000000-0005-0000-0000-000032270000}"/>
    <cellStyle name="Comma 2 4 13 7" xfId="23384" xr:uid="{00000000-0005-0000-0000-000033270000}"/>
    <cellStyle name="Comma 2 4 13 8" xfId="26568" xr:uid="{00000000-0005-0000-0000-000034270000}"/>
    <cellStyle name="Comma 2 4 13 9" xfId="29901" xr:uid="{00000000-0005-0000-0000-000035270000}"/>
    <cellStyle name="Comma 2 4 14" xfId="9072" xr:uid="{00000000-0005-0000-0000-000036270000}"/>
    <cellStyle name="Comma 2 4 14 2" xfId="25127" xr:uid="{00000000-0005-0000-0000-000037270000}"/>
    <cellStyle name="Comma 2 4 14 2 2" xfId="44554" xr:uid="{00000000-0005-0000-0000-000038270000}"/>
    <cellStyle name="Comma 2 4 14 2 3" xfId="38131" xr:uid="{00000000-0005-0000-0000-000039270000}"/>
    <cellStyle name="Comma 2 4 14 3" xfId="27306" xr:uid="{00000000-0005-0000-0000-00003A270000}"/>
    <cellStyle name="Comma 2 4 14 3 2" xfId="41347" xr:uid="{00000000-0005-0000-0000-00003B270000}"/>
    <cellStyle name="Comma 2 4 14 4" xfId="30641" xr:uid="{00000000-0005-0000-0000-00003C270000}"/>
    <cellStyle name="Comma 2 4 14 5" xfId="34923" xr:uid="{00000000-0005-0000-0000-00003D270000}"/>
    <cellStyle name="Comma 2 4 15" xfId="15362" xr:uid="{00000000-0005-0000-0000-00003E270000}"/>
    <cellStyle name="Comma 2 4 15 2" xfId="24377" xr:uid="{00000000-0005-0000-0000-00003F270000}"/>
    <cellStyle name="Comma 2 4 15 2 2" xfId="43806" xr:uid="{00000000-0005-0000-0000-000040270000}"/>
    <cellStyle name="Comma 2 4 15 2 3" xfId="37383" xr:uid="{00000000-0005-0000-0000-000041270000}"/>
    <cellStyle name="Comma 2 4 15 3" xfId="28698" xr:uid="{00000000-0005-0000-0000-000042270000}"/>
    <cellStyle name="Comma 2 4 15 3 2" xfId="40599" xr:uid="{00000000-0005-0000-0000-000043270000}"/>
    <cellStyle name="Comma 2 4 15 4" xfId="32033" xr:uid="{00000000-0005-0000-0000-000044270000}"/>
    <cellStyle name="Comma 2 4 15 5" xfId="34175" xr:uid="{00000000-0005-0000-0000-000045270000}"/>
    <cellStyle name="Comma 2 4 16" xfId="8180" xr:uid="{00000000-0005-0000-0000-000046270000}"/>
    <cellStyle name="Comma 2 4 16 2" xfId="42417" xr:uid="{00000000-0005-0000-0000-000047270000}"/>
    <cellStyle name="Comma 2 4 16 3" xfId="35993" xr:uid="{00000000-0005-0000-0000-000048270000}"/>
    <cellStyle name="Comma 2 4 17" xfId="21169" xr:uid="{00000000-0005-0000-0000-000049270000}"/>
    <cellStyle name="Comma 2 4 17 2" xfId="39210" xr:uid="{00000000-0005-0000-0000-00004A270000}"/>
    <cellStyle name="Comma 2 4 18" xfId="22242" xr:uid="{00000000-0005-0000-0000-00004B270000}"/>
    <cellStyle name="Comma 2 4 19" xfId="22988" xr:uid="{00000000-0005-0000-0000-00004C270000}"/>
    <cellStyle name="Comma 2 4 2" xfId="267" xr:uid="{00000000-0005-0000-0000-00004D270000}"/>
    <cellStyle name="Comma 2 4 2 10" xfId="959" xr:uid="{00000000-0005-0000-0000-00004E270000}"/>
    <cellStyle name="Comma 2 4 2 10 10" xfId="33183" xr:uid="{00000000-0005-0000-0000-00004F270000}"/>
    <cellStyle name="Comma 2 4 2 10 2" xfId="9729" xr:uid="{00000000-0005-0000-0000-000050270000}"/>
    <cellStyle name="Comma 2 4 2 10 2 2" xfId="25529" xr:uid="{00000000-0005-0000-0000-000051270000}"/>
    <cellStyle name="Comma 2 4 2 10 2 2 2" xfId="44956" xr:uid="{00000000-0005-0000-0000-000052270000}"/>
    <cellStyle name="Comma 2 4 2 10 2 2 3" xfId="38533" xr:uid="{00000000-0005-0000-0000-000053270000}"/>
    <cellStyle name="Comma 2 4 2 10 2 3" xfId="27707" xr:uid="{00000000-0005-0000-0000-000054270000}"/>
    <cellStyle name="Comma 2 4 2 10 2 3 2" xfId="41749" xr:uid="{00000000-0005-0000-0000-000055270000}"/>
    <cellStyle name="Comma 2 4 2 10 2 4" xfId="31042" xr:uid="{00000000-0005-0000-0000-000056270000}"/>
    <cellStyle name="Comma 2 4 2 10 2 5" xfId="35325" xr:uid="{00000000-0005-0000-0000-000057270000}"/>
    <cellStyle name="Comma 2 4 2 10 3" xfId="15368" xr:uid="{00000000-0005-0000-0000-000058270000}"/>
    <cellStyle name="Comma 2 4 2 10 3 2" xfId="24383" xr:uid="{00000000-0005-0000-0000-000059270000}"/>
    <cellStyle name="Comma 2 4 2 10 3 2 2" xfId="43812" xr:uid="{00000000-0005-0000-0000-00005A270000}"/>
    <cellStyle name="Comma 2 4 2 10 3 2 3" xfId="37389" xr:uid="{00000000-0005-0000-0000-00005B270000}"/>
    <cellStyle name="Comma 2 4 2 10 3 3" xfId="28704" xr:uid="{00000000-0005-0000-0000-00005C270000}"/>
    <cellStyle name="Comma 2 4 2 10 3 3 2" xfId="40605" xr:uid="{00000000-0005-0000-0000-00005D270000}"/>
    <cellStyle name="Comma 2 4 2 10 3 4" xfId="32039" xr:uid="{00000000-0005-0000-0000-00005E270000}"/>
    <cellStyle name="Comma 2 4 2 10 3 5" xfId="34181" xr:uid="{00000000-0005-0000-0000-00005F270000}"/>
    <cellStyle name="Comma 2 4 2 10 4" xfId="8186" xr:uid="{00000000-0005-0000-0000-000060270000}"/>
    <cellStyle name="Comma 2 4 2 10 4 2" xfId="42814" xr:uid="{00000000-0005-0000-0000-000061270000}"/>
    <cellStyle name="Comma 2 4 2 10 4 3" xfId="36390" xr:uid="{00000000-0005-0000-0000-000062270000}"/>
    <cellStyle name="Comma 2 4 2 10 5" xfId="21175" xr:uid="{00000000-0005-0000-0000-000063270000}"/>
    <cellStyle name="Comma 2 4 2 10 5 2" xfId="39607" xr:uid="{00000000-0005-0000-0000-000064270000}"/>
    <cellStyle name="Comma 2 4 2 10 6" xfId="22248" xr:uid="{00000000-0005-0000-0000-000065270000}"/>
    <cellStyle name="Comma 2 4 2 10 7" xfId="23385" xr:uid="{00000000-0005-0000-0000-000066270000}"/>
    <cellStyle name="Comma 2 4 2 10 8" xfId="26570" xr:uid="{00000000-0005-0000-0000-000067270000}"/>
    <cellStyle name="Comma 2 4 2 10 9" xfId="29903" xr:uid="{00000000-0005-0000-0000-000068270000}"/>
    <cellStyle name="Comma 2 4 2 11" xfId="960" xr:uid="{00000000-0005-0000-0000-000069270000}"/>
    <cellStyle name="Comma 2 4 2 11 10" xfId="33184" xr:uid="{00000000-0005-0000-0000-00006A270000}"/>
    <cellStyle name="Comma 2 4 2 11 2" xfId="9730" xr:uid="{00000000-0005-0000-0000-00006B270000}"/>
    <cellStyle name="Comma 2 4 2 11 2 2" xfId="25530" xr:uid="{00000000-0005-0000-0000-00006C270000}"/>
    <cellStyle name="Comma 2 4 2 11 2 2 2" xfId="44957" xr:uid="{00000000-0005-0000-0000-00006D270000}"/>
    <cellStyle name="Comma 2 4 2 11 2 2 3" xfId="38534" xr:uid="{00000000-0005-0000-0000-00006E270000}"/>
    <cellStyle name="Comma 2 4 2 11 2 3" xfId="27708" xr:uid="{00000000-0005-0000-0000-00006F270000}"/>
    <cellStyle name="Comma 2 4 2 11 2 3 2" xfId="41750" xr:uid="{00000000-0005-0000-0000-000070270000}"/>
    <cellStyle name="Comma 2 4 2 11 2 4" xfId="31043" xr:uid="{00000000-0005-0000-0000-000071270000}"/>
    <cellStyle name="Comma 2 4 2 11 2 5" xfId="35326" xr:uid="{00000000-0005-0000-0000-000072270000}"/>
    <cellStyle name="Comma 2 4 2 11 3" xfId="15369" xr:uid="{00000000-0005-0000-0000-000073270000}"/>
    <cellStyle name="Comma 2 4 2 11 3 2" xfId="24384" xr:uid="{00000000-0005-0000-0000-000074270000}"/>
    <cellStyle name="Comma 2 4 2 11 3 2 2" xfId="43813" xr:uid="{00000000-0005-0000-0000-000075270000}"/>
    <cellStyle name="Comma 2 4 2 11 3 2 3" xfId="37390" xr:uid="{00000000-0005-0000-0000-000076270000}"/>
    <cellStyle name="Comma 2 4 2 11 3 3" xfId="28705" xr:uid="{00000000-0005-0000-0000-000077270000}"/>
    <cellStyle name="Comma 2 4 2 11 3 3 2" xfId="40606" xr:uid="{00000000-0005-0000-0000-000078270000}"/>
    <cellStyle name="Comma 2 4 2 11 3 4" xfId="32040" xr:uid="{00000000-0005-0000-0000-000079270000}"/>
    <cellStyle name="Comma 2 4 2 11 3 5" xfId="34182" xr:uid="{00000000-0005-0000-0000-00007A270000}"/>
    <cellStyle name="Comma 2 4 2 11 4" xfId="8187" xr:uid="{00000000-0005-0000-0000-00007B270000}"/>
    <cellStyle name="Comma 2 4 2 11 4 2" xfId="42815" xr:uid="{00000000-0005-0000-0000-00007C270000}"/>
    <cellStyle name="Comma 2 4 2 11 4 3" xfId="36391" xr:uid="{00000000-0005-0000-0000-00007D270000}"/>
    <cellStyle name="Comma 2 4 2 11 5" xfId="21176" xr:uid="{00000000-0005-0000-0000-00007E270000}"/>
    <cellStyle name="Comma 2 4 2 11 5 2" xfId="39608" xr:uid="{00000000-0005-0000-0000-00007F270000}"/>
    <cellStyle name="Comma 2 4 2 11 6" xfId="22249" xr:uid="{00000000-0005-0000-0000-000080270000}"/>
    <cellStyle name="Comma 2 4 2 11 7" xfId="23386" xr:uid="{00000000-0005-0000-0000-000081270000}"/>
    <cellStyle name="Comma 2 4 2 11 8" xfId="26571" xr:uid="{00000000-0005-0000-0000-000082270000}"/>
    <cellStyle name="Comma 2 4 2 11 9" xfId="29904" xr:uid="{00000000-0005-0000-0000-000083270000}"/>
    <cellStyle name="Comma 2 4 2 12" xfId="961" xr:uid="{00000000-0005-0000-0000-000084270000}"/>
    <cellStyle name="Comma 2 4 2 12 10" xfId="33185" xr:uid="{00000000-0005-0000-0000-000085270000}"/>
    <cellStyle name="Comma 2 4 2 12 2" xfId="9731" xr:uid="{00000000-0005-0000-0000-000086270000}"/>
    <cellStyle name="Comma 2 4 2 12 2 2" xfId="25531" xr:uid="{00000000-0005-0000-0000-000087270000}"/>
    <cellStyle name="Comma 2 4 2 12 2 2 2" xfId="44958" xr:uid="{00000000-0005-0000-0000-000088270000}"/>
    <cellStyle name="Comma 2 4 2 12 2 2 3" xfId="38535" xr:uid="{00000000-0005-0000-0000-000089270000}"/>
    <cellStyle name="Comma 2 4 2 12 2 3" xfId="27709" xr:uid="{00000000-0005-0000-0000-00008A270000}"/>
    <cellStyle name="Comma 2 4 2 12 2 3 2" xfId="41751" xr:uid="{00000000-0005-0000-0000-00008B270000}"/>
    <cellStyle name="Comma 2 4 2 12 2 4" xfId="31044" xr:uid="{00000000-0005-0000-0000-00008C270000}"/>
    <cellStyle name="Comma 2 4 2 12 2 5" xfId="35327" xr:uid="{00000000-0005-0000-0000-00008D270000}"/>
    <cellStyle name="Comma 2 4 2 12 3" xfId="15370" xr:uid="{00000000-0005-0000-0000-00008E270000}"/>
    <cellStyle name="Comma 2 4 2 12 3 2" xfId="24385" xr:uid="{00000000-0005-0000-0000-00008F270000}"/>
    <cellStyle name="Comma 2 4 2 12 3 2 2" xfId="43814" xr:uid="{00000000-0005-0000-0000-000090270000}"/>
    <cellStyle name="Comma 2 4 2 12 3 2 3" xfId="37391" xr:uid="{00000000-0005-0000-0000-000091270000}"/>
    <cellStyle name="Comma 2 4 2 12 3 3" xfId="28706" xr:uid="{00000000-0005-0000-0000-000092270000}"/>
    <cellStyle name="Comma 2 4 2 12 3 3 2" xfId="40607" xr:uid="{00000000-0005-0000-0000-000093270000}"/>
    <cellStyle name="Comma 2 4 2 12 3 4" xfId="32041" xr:uid="{00000000-0005-0000-0000-000094270000}"/>
    <cellStyle name="Comma 2 4 2 12 3 5" xfId="34183" xr:uid="{00000000-0005-0000-0000-000095270000}"/>
    <cellStyle name="Comma 2 4 2 12 4" xfId="8188" xr:uid="{00000000-0005-0000-0000-000096270000}"/>
    <cellStyle name="Comma 2 4 2 12 4 2" xfId="42816" xr:uid="{00000000-0005-0000-0000-000097270000}"/>
    <cellStyle name="Comma 2 4 2 12 4 3" xfId="36392" xr:uid="{00000000-0005-0000-0000-000098270000}"/>
    <cellStyle name="Comma 2 4 2 12 5" xfId="21177" xr:uid="{00000000-0005-0000-0000-000099270000}"/>
    <cellStyle name="Comma 2 4 2 12 5 2" xfId="39609" xr:uid="{00000000-0005-0000-0000-00009A270000}"/>
    <cellStyle name="Comma 2 4 2 12 6" xfId="22250" xr:uid="{00000000-0005-0000-0000-00009B270000}"/>
    <cellStyle name="Comma 2 4 2 12 7" xfId="23387" xr:uid="{00000000-0005-0000-0000-00009C270000}"/>
    <cellStyle name="Comma 2 4 2 12 8" xfId="26572" xr:uid="{00000000-0005-0000-0000-00009D270000}"/>
    <cellStyle name="Comma 2 4 2 12 9" xfId="29905" xr:uid="{00000000-0005-0000-0000-00009E270000}"/>
    <cellStyle name="Comma 2 4 2 13" xfId="9124" xr:uid="{00000000-0005-0000-0000-00009F270000}"/>
    <cellStyle name="Comma 2 4 2 13 2" xfId="25178" xr:uid="{00000000-0005-0000-0000-0000A0270000}"/>
    <cellStyle name="Comma 2 4 2 13 2 2" xfId="44605" xr:uid="{00000000-0005-0000-0000-0000A1270000}"/>
    <cellStyle name="Comma 2 4 2 13 2 3" xfId="38182" xr:uid="{00000000-0005-0000-0000-0000A2270000}"/>
    <cellStyle name="Comma 2 4 2 13 3" xfId="27357" xr:uid="{00000000-0005-0000-0000-0000A3270000}"/>
    <cellStyle name="Comma 2 4 2 13 3 2" xfId="41398" xr:uid="{00000000-0005-0000-0000-0000A4270000}"/>
    <cellStyle name="Comma 2 4 2 13 4" xfId="30692" xr:uid="{00000000-0005-0000-0000-0000A5270000}"/>
    <cellStyle name="Comma 2 4 2 13 5" xfId="34974" xr:uid="{00000000-0005-0000-0000-0000A6270000}"/>
    <cellStyle name="Comma 2 4 2 14" xfId="15367" xr:uid="{00000000-0005-0000-0000-0000A7270000}"/>
    <cellStyle name="Comma 2 4 2 14 2" xfId="24382" xr:uid="{00000000-0005-0000-0000-0000A8270000}"/>
    <cellStyle name="Comma 2 4 2 14 2 2" xfId="43811" xr:uid="{00000000-0005-0000-0000-0000A9270000}"/>
    <cellStyle name="Comma 2 4 2 14 2 3" xfId="37388" xr:uid="{00000000-0005-0000-0000-0000AA270000}"/>
    <cellStyle name="Comma 2 4 2 14 3" xfId="28703" xr:uid="{00000000-0005-0000-0000-0000AB270000}"/>
    <cellStyle name="Comma 2 4 2 14 3 2" xfId="40604" xr:uid="{00000000-0005-0000-0000-0000AC270000}"/>
    <cellStyle name="Comma 2 4 2 14 4" xfId="32038" xr:uid="{00000000-0005-0000-0000-0000AD270000}"/>
    <cellStyle name="Comma 2 4 2 14 5" xfId="34180" xr:uid="{00000000-0005-0000-0000-0000AE270000}"/>
    <cellStyle name="Comma 2 4 2 15" xfId="8185" xr:uid="{00000000-0005-0000-0000-0000AF270000}"/>
    <cellStyle name="Comma 2 4 2 15 2" xfId="42468" xr:uid="{00000000-0005-0000-0000-0000B0270000}"/>
    <cellStyle name="Comma 2 4 2 15 3" xfId="36044" xr:uid="{00000000-0005-0000-0000-0000B1270000}"/>
    <cellStyle name="Comma 2 4 2 16" xfId="21174" xr:uid="{00000000-0005-0000-0000-0000B2270000}"/>
    <cellStyle name="Comma 2 4 2 16 2" xfId="39261" xr:uid="{00000000-0005-0000-0000-0000B3270000}"/>
    <cellStyle name="Comma 2 4 2 17" xfId="22247" xr:uid="{00000000-0005-0000-0000-0000B4270000}"/>
    <cellStyle name="Comma 2 4 2 18" xfId="23039" xr:uid="{00000000-0005-0000-0000-0000B5270000}"/>
    <cellStyle name="Comma 2 4 2 19" xfId="26569" xr:uid="{00000000-0005-0000-0000-0000B6270000}"/>
    <cellStyle name="Comma 2 4 2 2" xfId="264" xr:uid="{00000000-0005-0000-0000-0000B7270000}"/>
    <cellStyle name="Comma 2 4 2 2 10" xfId="962" xr:uid="{00000000-0005-0000-0000-0000B8270000}"/>
    <cellStyle name="Comma 2 4 2 2 10 10" xfId="33186" xr:uid="{00000000-0005-0000-0000-0000B9270000}"/>
    <cellStyle name="Comma 2 4 2 2 10 2" xfId="9732" xr:uid="{00000000-0005-0000-0000-0000BA270000}"/>
    <cellStyle name="Comma 2 4 2 2 10 2 2" xfId="25532" xr:uid="{00000000-0005-0000-0000-0000BB270000}"/>
    <cellStyle name="Comma 2 4 2 2 10 2 2 2" xfId="44959" xr:uid="{00000000-0005-0000-0000-0000BC270000}"/>
    <cellStyle name="Comma 2 4 2 2 10 2 2 3" xfId="38536" xr:uid="{00000000-0005-0000-0000-0000BD270000}"/>
    <cellStyle name="Comma 2 4 2 2 10 2 3" xfId="27710" xr:uid="{00000000-0005-0000-0000-0000BE270000}"/>
    <cellStyle name="Comma 2 4 2 2 10 2 3 2" xfId="41752" xr:uid="{00000000-0005-0000-0000-0000BF270000}"/>
    <cellStyle name="Comma 2 4 2 2 10 2 4" xfId="31045" xr:uid="{00000000-0005-0000-0000-0000C0270000}"/>
    <cellStyle name="Comma 2 4 2 2 10 2 5" xfId="35328" xr:uid="{00000000-0005-0000-0000-0000C1270000}"/>
    <cellStyle name="Comma 2 4 2 2 10 3" xfId="15372" xr:uid="{00000000-0005-0000-0000-0000C2270000}"/>
    <cellStyle name="Comma 2 4 2 2 10 3 2" xfId="24387" xr:uid="{00000000-0005-0000-0000-0000C3270000}"/>
    <cellStyle name="Comma 2 4 2 2 10 3 2 2" xfId="43816" xr:uid="{00000000-0005-0000-0000-0000C4270000}"/>
    <cellStyle name="Comma 2 4 2 2 10 3 2 3" xfId="37393" xr:uid="{00000000-0005-0000-0000-0000C5270000}"/>
    <cellStyle name="Comma 2 4 2 2 10 3 3" xfId="28708" xr:uid="{00000000-0005-0000-0000-0000C6270000}"/>
    <cellStyle name="Comma 2 4 2 2 10 3 3 2" xfId="40609" xr:uid="{00000000-0005-0000-0000-0000C7270000}"/>
    <cellStyle name="Comma 2 4 2 2 10 3 4" xfId="32043" xr:uid="{00000000-0005-0000-0000-0000C8270000}"/>
    <cellStyle name="Comma 2 4 2 2 10 3 5" xfId="34185" xr:uid="{00000000-0005-0000-0000-0000C9270000}"/>
    <cellStyle name="Comma 2 4 2 2 10 4" xfId="8190" xr:uid="{00000000-0005-0000-0000-0000CA270000}"/>
    <cellStyle name="Comma 2 4 2 2 10 4 2" xfId="42817" xr:uid="{00000000-0005-0000-0000-0000CB270000}"/>
    <cellStyle name="Comma 2 4 2 2 10 4 3" xfId="36393" xr:uid="{00000000-0005-0000-0000-0000CC270000}"/>
    <cellStyle name="Comma 2 4 2 2 10 5" xfId="21179" xr:uid="{00000000-0005-0000-0000-0000CD270000}"/>
    <cellStyle name="Comma 2 4 2 2 10 5 2" xfId="39610" xr:uid="{00000000-0005-0000-0000-0000CE270000}"/>
    <cellStyle name="Comma 2 4 2 2 10 6" xfId="22252" xr:uid="{00000000-0005-0000-0000-0000CF270000}"/>
    <cellStyle name="Comma 2 4 2 2 10 7" xfId="23388" xr:uid="{00000000-0005-0000-0000-0000D0270000}"/>
    <cellStyle name="Comma 2 4 2 2 10 8" xfId="26574" xr:uid="{00000000-0005-0000-0000-0000D1270000}"/>
    <cellStyle name="Comma 2 4 2 2 10 9" xfId="29907" xr:uid="{00000000-0005-0000-0000-0000D2270000}"/>
    <cellStyle name="Comma 2 4 2 2 11" xfId="963" xr:uid="{00000000-0005-0000-0000-0000D3270000}"/>
    <cellStyle name="Comma 2 4 2 2 11 10" xfId="33187" xr:uid="{00000000-0005-0000-0000-0000D4270000}"/>
    <cellStyle name="Comma 2 4 2 2 11 2" xfId="9733" xr:uid="{00000000-0005-0000-0000-0000D5270000}"/>
    <cellStyle name="Comma 2 4 2 2 11 2 2" xfId="25533" xr:uid="{00000000-0005-0000-0000-0000D6270000}"/>
    <cellStyle name="Comma 2 4 2 2 11 2 2 2" xfId="44960" xr:uid="{00000000-0005-0000-0000-0000D7270000}"/>
    <cellStyle name="Comma 2 4 2 2 11 2 2 3" xfId="38537" xr:uid="{00000000-0005-0000-0000-0000D8270000}"/>
    <cellStyle name="Comma 2 4 2 2 11 2 3" xfId="27711" xr:uid="{00000000-0005-0000-0000-0000D9270000}"/>
    <cellStyle name="Comma 2 4 2 2 11 2 3 2" xfId="41753" xr:uid="{00000000-0005-0000-0000-0000DA270000}"/>
    <cellStyle name="Comma 2 4 2 2 11 2 4" xfId="31046" xr:uid="{00000000-0005-0000-0000-0000DB270000}"/>
    <cellStyle name="Comma 2 4 2 2 11 2 5" xfId="35329" xr:uid="{00000000-0005-0000-0000-0000DC270000}"/>
    <cellStyle name="Comma 2 4 2 2 11 3" xfId="15373" xr:uid="{00000000-0005-0000-0000-0000DD270000}"/>
    <cellStyle name="Comma 2 4 2 2 11 3 2" xfId="24388" xr:uid="{00000000-0005-0000-0000-0000DE270000}"/>
    <cellStyle name="Comma 2 4 2 2 11 3 2 2" xfId="43817" xr:uid="{00000000-0005-0000-0000-0000DF270000}"/>
    <cellStyle name="Comma 2 4 2 2 11 3 2 3" xfId="37394" xr:uid="{00000000-0005-0000-0000-0000E0270000}"/>
    <cellStyle name="Comma 2 4 2 2 11 3 3" xfId="28709" xr:uid="{00000000-0005-0000-0000-0000E1270000}"/>
    <cellStyle name="Comma 2 4 2 2 11 3 3 2" xfId="40610" xr:uid="{00000000-0005-0000-0000-0000E2270000}"/>
    <cellStyle name="Comma 2 4 2 2 11 3 4" xfId="32044" xr:uid="{00000000-0005-0000-0000-0000E3270000}"/>
    <cellStyle name="Comma 2 4 2 2 11 3 5" xfId="34186" xr:uid="{00000000-0005-0000-0000-0000E4270000}"/>
    <cellStyle name="Comma 2 4 2 2 11 4" xfId="8191" xr:uid="{00000000-0005-0000-0000-0000E5270000}"/>
    <cellStyle name="Comma 2 4 2 2 11 4 2" xfId="42818" xr:uid="{00000000-0005-0000-0000-0000E6270000}"/>
    <cellStyle name="Comma 2 4 2 2 11 4 3" xfId="36394" xr:uid="{00000000-0005-0000-0000-0000E7270000}"/>
    <cellStyle name="Comma 2 4 2 2 11 5" xfId="21180" xr:uid="{00000000-0005-0000-0000-0000E8270000}"/>
    <cellStyle name="Comma 2 4 2 2 11 5 2" xfId="39611" xr:uid="{00000000-0005-0000-0000-0000E9270000}"/>
    <cellStyle name="Comma 2 4 2 2 11 6" xfId="22253" xr:uid="{00000000-0005-0000-0000-0000EA270000}"/>
    <cellStyle name="Comma 2 4 2 2 11 7" xfId="23389" xr:uid="{00000000-0005-0000-0000-0000EB270000}"/>
    <cellStyle name="Comma 2 4 2 2 11 8" xfId="26575" xr:uid="{00000000-0005-0000-0000-0000EC270000}"/>
    <cellStyle name="Comma 2 4 2 2 11 9" xfId="29908" xr:uid="{00000000-0005-0000-0000-0000ED270000}"/>
    <cellStyle name="Comma 2 4 2 2 12" xfId="9121" xr:uid="{00000000-0005-0000-0000-0000EE270000}"/>
    <cellStyle name="Comma 2 4 2 2 12 2" xfId="25175" xr:uid="{00000000-0005-0000-0000-0000EF270000}"/>
    <cellStyle name="Comma 2 4 2 2 12 2 2" xfId="44602" xr:uid="{00000000-0005-0000-0000-0000F0270000}"/>
    <cellStyle name="Comma 2 4 2 2 12 2 3" xfId="38179" xr:uid="{00000000-0005-0000-0000-0000F1270000}"/>
    <cellStyle name="Comma 2 4 2 2 12 3" xfId="27354" xr:uid="{00000000-0005-0000-0000-0000F2270000}"/>
    <cellStyle name="Comma 2 4 2 2 12 3 2" xfId="41395" xr:uid="{00000000-0005-0000-0000-0000F3270000}"/>
    <cellStyle name="Comma 2 4 2 2 12 4" xfId="30689" xr:uid="{00000000-0005-0000-0000-0000F4270000}"/>
    <cellStyle name="Comma 2 4 2 2 12 5" xfId="34971" xr:uid="{00000000-0005-0000-0000-0000F5270000}"/>
    <cellStyle name="Comma 2 4 2 2 13" xfId="15371" xr:uid="{00000000-0005-0000-0000-0000F6270000}"/>
    <cellStyle name="Comma 2 4 2 2 13 2" xfId="24386" xr:uid="{00000000-0005-0000-0000-0000F7270000}"/>
    <cellStyle name="Comma 2 4 2 2 13 2 2" xfId="43815" xr:uid="{00000000-0005-0000-0000-0000F8270000}"/>
    <cellStyle name="Comma 2 4 2 2 13 2 3" xfId="37392" xr:uid="{00000000-0005-0000-0000-0000F9270000}"/>
    <cellStyle name="Comma 2 4 2 2 13 3" xfId="28707" xr:uid="{00000000-0005-0000-0000-0000FA270000}"/>
    <cellStyle name="Comma 2 4 2 2 13 3 2" xfId="40608" xr:uid="{00000000-0005-0000-0000-0000FB270000}"/>
    <cellStyle name="Comma 2 4 2 2 13 4" xfId="32042" xr:uid="{00000000-0005-0000-0000-0000FC270000}"/>
    <cellStyle name="Comma 2 4 2 2 13 5" xfId="34184" xr:uid="{00000000-0005-0000-0000-0000FD270000}"/>
    <cellStyle name="Comma 2 4 2 2 14" xfId="8189" xr:uid="{00000000-0005-0000-0000-0000FE270000}"/>
    <cellStyle name="Comma 2 4 2 2 14 2" xfId="42465" xr:uid="{00000000-0005-0000-0000-0000FF270000}"/>
    <cellStyle name="Comma 2 4 2 2 14 3" xfId="36041" xr:uid="{00000000-0005-0000-0000-000000280000}"/>
    <cellStyle name="Comma 2 4 2 2 15" xfId="21178" xr:uid="{00000000-0005-0000-0000-000001280000}"/>
    <cellStyle name="Comma 2 4 2 2 15 2" xfId="39258" xr:uid="{00000000-0005-0000-0000-000002280000}"/>
    <cellStyle name="Comma 2 4 2 2 16" xfId="22251" xr:uid="{00000000-0005-0000-0000-000003280000}"/>
    <cellStyle name="Comma 2 4 2 2 17" xfId="23036" xr:uid="{00000000-0005-0000-0000-000004280000}"/>
    <cellStyle name="Comma 2 4 2 2 18" xfId="26573" xr:uid="{00000000-0005-0000-0000-000005280000}"/>
    <cellStyle name="Comma 2 4 2 2 19" xfId="29906" xr:uid="{00000000-0005-0000-0000-000006280000}"/>
    <cellStyle name="Comma 2 4 2 2 2" xfId="256" xr:uid="{00000000-0005-0000-0000-000007280000}"/>
    <cellStyle name="Comma 2 4 2 2 2 10" xfId="964" xr:uid="{00000000-0005-0000-0000-000008280000}"/>
    <cellStyle name="Comma 2 4 2 2 2 10 10" xfId="33188" xr:uid="{00000000-0005-0000-0000-000009280000}"/>
    <cellStyle name="Comma 2 4 2 2 2 10 2" xfId="9734" xr:uid="{00000000-0005-0000-0000-00000A280000}"/>
    <cellStyle name="Comma 2 4 2 2 2 10 2 2" xfId="25534" xr:uid="{00000000-0005-0000-0000-00000B280000}"/>
    <cellStyle name="Comma 2 4 2 2 2 10 2 2 2" xfId="44961" xr:uid="{00000000-0005-0000-0000-00000C280000}"/>
    <cellStyle name="Comma 2 4 2 2 2 10 2 2 3" xfId="38538" xr:uid="{00000000-0005-0000-0000-00000D280000}"/>
    <cellStyle name="Comma 2 4 2 2 2 10 2 3" xfId="27712" xr:uid="{00000000-0005-0000-0000-00000E280000}"/>
    <cellStyle name="Comma 2 4 2 2 2 10 2 3 2" xfId="41754" xr:uid="{00000000-0005-0000-0000-00000F280000}"/>
    <cellStyle name="Comma 2 4 2 2 2 10 2 4" xfId="31047" xr:uid="{00000000-0005-0000-0000-000010280000}"/>
    <cellStyle name="Comma 2 4 2 2 2 10 2 5" xfId="35330" xr:uid="{00000000-0005-0000-0000-000011280000}"/>
    <cellStyle name="Comma 2 4 2 2 2 10 3" xfId="15375" xr:uid="{00000000-0005-0000-0000-000012280000}"/>
    <cellStyle name="Comma 2 4 2 2 2 10 3 2" xfId="24390" xr:uid="{00000000-0005-0000-0000-000013280000}"/>
    <cellStyle name="Comma 2 4 2 2 2 10 3 2 2" xfId="43819" xr:uid="{00000000-0005-0000-0000-000014280000}"/>
    <cellStyle name="Comma 2 4 2 2 2 10 3 2 3" xfId="37396" xr:uid="{00000000-0005-0000-0000-000015280000}"/>
    <cellStyle name="Comma 2 4 2 2 2 10 3 3" xfId="28711" xr:uid="{00000000-0005-0000-0000-000016280000}"/>
    <cellStyle name="Comma 2 4 2 2 2 10 3 3 2" xfId="40612" xr:uid="{00000000-0005-0000-0000-000017280000}"/>
    <cellStyle name="Comma 2 4 2 2 2 10 3 4" xfId="32046" xr:uid="{00000000-0005-0000-0000-000018280000}"/>
    <cellStyle name="Comma 2 4 2 2 2 10 3 5" xfId="34188" xr:uid="{00000000-0005-0000-0000-000019280000}"/>
    <cellStyle name="Comma 2 4 2 2 2 10 4" xfId="8193" xr:uid="{00000000-0005-0000-0000-00001A280000}"/>
    <cellStyle name="Comma 2 4 2 2 2 10 4 2" xfId="42819" xr:uid="{00000000-0005-0000-0000-00001B280000}"/>
    <cellStyle name="Comma 2 4 2 2 2 10 4 3" xfId="36395" xr:uid="{00000000-0005-0000-0000-00001C280000}"/>
    <cellStyle name="Comma 2 4 2 2 2 10 5" xfId="21182" xr:uid="{00000000-0005-0000-0000-00001D280000}"/>
    <cellStyle name="Comma 2 4 2 2 2 10 5 2" xfId="39612" xr:uid="{00000000-0005-0000-0000-00001E280000}"/>
    <cellStyle name="Comma 2 4 2 2 2 10 6" xfId="22255" xr:uid="{00000000-0005-0000-0000-00001F280000}"/>
    <cellStyle name="Comma 2 4 2 2 2 10 7" xfId="23390" xr:uid="{00000000-0005-0000-0000-000020280000}"/>
    <cellStyle name="Comma 2 4 2 2 2 10 8" xfId="26577" xr:uid="{00000000-0005-0000-0000-000021280000}"/>
    <cellStyle name="Comma 2 4 2 2 2 10 9" xfId="29910" xr:uid="{00000000-0005-0000-0000-000022280000}"/>
    <cellStyle name="Comma 2 4 2 2 2 11" xfId="9115" xr:uid="{00000000-0005-0000-0000-000023280000}"/>
    <cellStyle name="Comma 2 4 2 2 2 11 2" xfId="25169" xr:uid="{00000000-0005-0000-0000-000024280000}"/>
    <cellStyle name="Comma 2 4 2 2 2 11 2 2" xfId="44596" xr:uid="{00000000-0005-0000-0000-000025280000}"/>
    <cellStyle name="Comma 2 4 2 2 2 11 2 3" xfId="38173" xr:uid="{00000000-0005-0000-0000-000026280000}"/>
    <cellStyle name="Comma 2 4 2 2 2 11 3" xfId="27348" xr:uid="{00000000-0005-0000-0000-000027280000}"/>
    <cellStyle name="Comma 2 4 2 2 2 11 3 2" xfId="41389" xr:uid="{00000000-0005-0000-0000-000028280000}"/>
    <cellStyle name="Comma 2 4 2 2 2 11 4" xfId="30683" xr:uid="{00000000-0005-0000-0000-000029280000}"/>
    <cellStyle name="Comma 2 4 2 2 2 11 5" xfId="34965" xr:uid="{00000000-0005-0000-0000-00002A280000}"/>
    <cellStyle name="Comma 2 4 2 2 2 12" xfId="15374" xr:uid="{00000000-0005-0000-0000-00002B280000}"/>
    <cellStyle name="Comma 2 4 2 2 2 12 2" xfId="24389" xr:uid="{00000000-0005-0000-0000-00002C280000}"/>
    <cellStyle name="Comma 2 4 2 2 2 12 2 2" xfId="43818" xr:uid="{00000000-0005-0000-0000-00002D280000}"/>
    <cellStyle name="Comma 2 4 2 2 2 12 2 3" xfId="37395" xr:uid="{00000000-0005-0000-0000-00002E280000}"/>
    <cellStyle name="Comma 2 4 2 2 2 12 3" xfId="28710" xr:uid="{00000000-0005-0000-0000-00002F280000}"/>
    <cellStyle name="Comma 2 4 2 2 2 12 3 2" xfId="40611" xr:uid="{00000000-0005-0000-0000-000030280000}"/>
    <cellStyle name="Comma 2 4 2 2 2 12 4" xfId="32045" xr:uid="{00000000-0005-0000-0000-000031280000}"/>
    <cellStyle name="Comma 2 4 2 2 2 12 5" xfId="34187" xr:uid="{00000000-0005-0000-0000-000032280000}"/>
    <cellStyle name="Comma 2 4 2 2 2 13" xfId="8192" xr:uid="{00000000-0005-0000-0000-000033280000}"/>
    <cellStyle name="Comma 2 4 2 2 2 13 2" xfId="42459" xr:uid="{00000000-0005-0000-0000-000034280000}"/>
    <cellStyle name="Comma 2 4 2 2 2 13 3" xfId="36035" xr:uid="{00000000-0005-0000-0000-000035280000}"/>
    <cellStyle name="Comma 2 4 2 2 2 14" xfId="21181" xr:uid="{00000000-0005-0000-0000-000036280000}"/>
    <cellStyle name="Comma 2 4 2 2 2 14 2" xfId="39252" xr:uid="{00000000-0005-0000-0000-000037280000}"/>
    <cellStyle name="Comma 2 4 2 2 2 15" xfId="22254" xr:uid="{00000000-0005-0000-0000-000038280000}"/>
    <cellStyle name="Comma 2 4 2 2 2 16" xfId="23030" xr:uid="{00000000-0005-0000-0000-000039280000}"/>
    <cellStyle name="Comma 2 4 2 2 2 17" xfId="26576" xr:uid="{00000000-0005-0000-0000-00003A280000}"/>
    <cellStyle name="Comma 2 4 2 2 2 18" xfId="29909" xr:uid="{00000000-0005-0000-0000-00003B280000}"/>
    <cellStyle name="Comma 2 4 2 2 2 19" xfId="32828" xr:uid="{00000000-0005-0000-0000-00003C280000}"/>
    <cellStyle name="Comma 2 4 2 2 2 2" xfId="177" xr:uid="{00000000-0005-0000-0000-00003D280000}"/>
    <cellStyle name="Comma 2 4 2 2 2 2 10" xfId="15376" xr:uid="{00000000-0005-0000-0000-00003E280000}"/>
    <cellStyle name="Comma 2 4 2 2 2 2 10 2" xfId="24391" xr:uid="{00000000-0005-0000-0000-00003F280000}"/>
    <cellStyle name="Comma 2 4 2 2 2 2 10 2 2" xfId="43820" xr:uid="{00000000-0005-0000-0000-000040280000}"/>
    <cellStyle name="Comma 2 4 2 2 2 2 10 2 3" xfId="37397" xr:uid="{00000000-0005-0000-0000-000041280000}"/>
    <cellStyle name="Comma 2 4 2 2 2 2 10 3" xfId="28712" xr:uid="{00000000-0005-0000-0000-000042280000}"/>
    <cellStyle name="Comma 2 4 2 2 2 2 10 3 2" xfId="40613" xr:uid="{00000000-0005-0000-0000-000043280000}"/>
    <cellStyle name="Comma 2 4 2 2 2 2 10 4" xfId="32047" xr:uid="{00000000-0005-0000-0000-000044280000}"/>
    <cellStyle name="Comma 2 4 2 2 2 2 10 5" xfId="34189" xr:uid="{00000000-0005-0000-0000-000045280000}"/>
    <cellStyle name="Comma 2 4 2 2 2 2 11" xfId="8194" xr:uid="{00000000-0005-0000-0000-000046280000}"/>
    <cellStyle name="Comma 2 4 2 2 2 2 11 2" xfId="42407" xr:uid="{00000000-0005-0000-0000-000047280000}"/>
    <cellStyle name="Comma 2 4 2 2 2 2 11 3" xfId="35983" xr:uid="{00000000-0005-0000-0000-000048280000}"/>
    <cellStyle name="Comma 2 4 2 2 2 2 12" xfId="21183" xr:uid="{00000000-0005-0000-0000-000049280000}"/>
    <cellStyle name="Comma 2 4 2 2 2 2 12 2" xfId="39200" xr:uid="{00000000-0005-0000-0000-00004A280000}"/>
    <cellStyle name="Comma 2 4 2 2 2 2 13" xfId="22256" xr:uid="{00000000-0005-0000-0000-00004B280000}"/>
    <cellStyle name="Comma 2 4 2 2 2 2 14" xfId="22978" xr:uid="{00000000-0005-0000-0000-00004C280000}"/>
    <cellStyle name="Comma 2 4 2 2 2 2 15" xfId="26578" xr:uid="{00000000-0005-0000-0000-00004D280000}"/>
    <cellStyle name="Comma 2 4 2 2 2 2 16" xfId="29911" xr:uid="{00000000-0005-0000-0000-00004E280000}"/>
    <cellStyle name="Comma 2 4 2 2 2 2 17" xfId="32776" xr:uid="{00000000-0005-0000-0000-00004F280000}"/>
    <cellStyle name="Comma 2 4 2 2 2 2 2" xfId="214" xr:uid="{00000000-0005-0000-0000-000050280000}"/>
    <cellStyle name="Comma 2 4 2 2 2 2 2 10" xfId="21184" xr:uid="{00000000-0005-0000-0000-000051280000}"/>
    <cellStyle name="Comma 2 4 2 2 2 2 2 10 2" xfId="39223" xr:uid="{00000000-0005-0000-0000-000052280000}"/>
    <cellStyle name="Comma 2 4 2 2 2 2 2 11" xfId="22257" xr:uid="{00000000-0005-0000-0000-000053280000}"/>
    <cellStyle name="Comma 2 4 2 2 2 2 2 12" xfId="23001" xr:uid="{00000000-0005-0000-0000-000054280000}"/>
    <cellStyle name="Comma 2 4 2 2 2 2 2 13" xfId="26579" xr:uid="{00000000-0005-0000-0000-000055280000}"/>
    <cellStyle name="Comma 2 4 2 2 2 2 2 14" xfId="29912" xr:uid="{00000000-0005-0000-0000-000056280000}"/>
    <cellStyle name="Comma 2 4 2 2 2 2 2 15" xfId="32799" xr:uid="{00000000-0005-0000-0000-000057280000}"/>
    <cellStyle name="Comma 2 4 2 2 2 2 2 2" xfId="965" xr:uid="{00000000-0005-0000-0000-000058280000}"/>
    <cellStyle name="Comma 2 4 2 2 2 2 2 2 10" xfId="33189" xr:uid="{00000000-0005-0000-0000-000059280000}"/>
    <cellStyle name="Comma 2 4 2 2 2 2 2 2 2" xfId="9735" xr:uid="{00000000-0005-0000-0000-00005A280000}"/>
    <cellStyle name="Comma 2 4 2 2 2 2 2 2 2 2" xfId="25535" xr:uid="{00000000-0005-0000-0000-00005B280000}"/>
    <cellStyle name="Comma 2 4 2 2 2 2 2 2 2 2 2" xfId="44962" xr:uid="{00000000-0005-0000-0000-00005C280000}"/>
    <cellStyle name="Comma 2 4 2 2 2 2 2 2 2 2 3" xfId="38539" xr:uid="{00000000-0005-0000-0000-00005D280000}"/>
    <cellStyle name="Comma 2 4 2 2 2 2 2 2 2 3" xfId="27713" xr:uid="{00000000-0005-0000-0000-00005E280000}"/>
    <cellStyle name="Comma 2 4 2 2 2 2 2 2 2 3 2" xfId="41755" xr:uid="{00000000-0005-0000-0000-00005F280000}"/>
    <cellStyle name="Comma 2 4 2 2 2 2 2 2 2 4" xfId="31048" xr:uid="{00000000-0005-0000-0000-000060280000}"/>
    <cellStyle name="Comma 2 4 2 2 2 2 2 2 2 5" xfId="35331" xr:uid="{00000000-0005-0000-0000-000061280000}"/>
    <cellStyle name="Comma 2 4 2 2 2 2 2 2 3" xfId="15378" xr:uid="{00000000-0005-0000-0000-000062280000}"/>
    <cellStyle name="Comma 2 4 2 2 2 2 2 2 3 2" xfId="24393" xr:uid="{00000000-0005-0000-0000-000063280000}"/>
    <cellStyle name="Comma 2 4 2 2 2 2 2 2 3 2 2" xfId="43822" xr:uid="{00000000-0005-0000-0000-000064280000}"/>
    <cellStyle name="Comma 2 4 2 2 2 2 2 2 3 2 3" xfId="37399" xr:uid="{00000000-0005-0000-0000-000065280000}"/>
    <cellStyle name="Comma 2 4 2 2 2 2 2 2 3 3" xfId="28714" xr:uid="{00000000-0005-0000-0000-000066280000}"/>
    <cellStyle name="Comma 2 4 2 2 2 2 2 2 3 3 2" xfId="40615" xr:uid="{00000000-0005-0000-0000-000067280000}"/>
    <cellStyle name="Comma 2 4 2 2 2 2 2 2 3 4" xfId="32049" xr:uid="{00000000-0005-0000-0000-000068280000}"/>
    <cellStyle name="Comma 2 4 2 2 2 2 2 2 3 5" xfId="34191" xr:uid="{00000000-0005-0000-0000-000069280000}"/>
    <cellStyle name="Comma 2 4 2 2 2 2 2 2 4" xfId="8196" xr:uid="{00000000-0005-0000-0000-00006A280000}"/>
    <cellStyle name="Comma 2 4 2 2 2 2 2 2 4 2" xfId="42820" xr:uid="{00000000-0005-0000-0000-00006B280000}"/>
    <cellStyle name="Comma 2 4 2 2 2 2 2 2 4 3" xfId="36396" xr:uid="{00000000-0005-0000-0000-00006C280000}"/>
    <cellStyle name="Comma 2 4 2 2 2 2 2 2 5" xfId="21185" xr:uid="{00000000-0005-0000-0000-00006D280000}"/>
    <cellStyle name="Comma 2 4 2 2 2 2 2 2 5 2" xfId="39613" xr:uid="{00000000-0005-0000-0000-00006E280000}"/>
    <cellStyle name="Comma 2 4 2 2 2 2 2 2 6" xfId="22258" xr:uid="{00000000-0005-0000-0000-00006F280000}"/>
    <cellStyle name="Comma 2 4 2 2 2 2 2 2 7" xfId="23391" xr:uid="{00000000-0005-0000-0000-000070280000}"/>
    <cellStyle name="Comma 2 4 2 2 2 2 2 2 8" xfId="26580" xr:uid="{00000000-0005-0000-0000-000071280000}"/>
    <cellStyle name="Comma 2 4 2 2 2 2 2 2 9" xfId="29913" xr:uid="{00000000-0005-0000-0000-000072280000}"/>
    <cellStyle name="Comma 2 4 2 2 2 2 2 3" xfId="966" xr:uid="{00000000-0005-0000-0000-000073280000}"/>
    <cellStyle name="Comma 2 4 2 2 2 2 2 3 10" xfId="33190" xr:uid="{00000000-0005-0000-0000-000074280000}"/>
    <cellStyle name="Comma 2 4 2 2 2 2 2 3 2" xfId="9736" xr:uid="{00000000-0005-0000-0000-000075280000}"/>
    <cellStyle name="Comma 2 4 2 2 2 2 2 3 2 2" xfId="25536" xr:uid="{00000000-0005-0000-0000-000076280000}"/>
    <cellStyle name="Comma 2 4 2 2 2 2 2 3 2 2 2" xfId="44963" xr:uid="{00000000-0005-0000-0000-000077280000}"/>
    <cellStyle name="Comma 2 4 2 2 2 2 2 3 2 2 3" xfId="38540" xr:uid="{00000000-0005-0000-0000-000078280000}"/>
    <cellStyle name="Comma 2 4 2 2 2 2 2 3 2 3" xfId="27714" xr:uid="{00000000-0005-0000-0000-000079280000}"/>
    <cellStyle name="Comma 2 4 2 2 2 2 2 3 2 3 2" xfId="41756" xr:uid="{00000000-0005-0000-0000-00007A280000}"/>
    <cellStyle name="Comma 2 4 2 2 2 2 2 3 2 4" xfId="31049" xr:uid="{00000000-0005-0000-0000-00007B280000}"/>
    <cellStyle name="Comma 2 4 2 2 2 2 2 3 2 5" xfId="35332" xr:uid="{00000000-0005-0000-0000-00007C280000}"/>
    <cellStyle name="Comma 2 4 2 2 2 2 2 3 3" xfId="15379" xr:uid="{00000000-0005-0000-0000-00007D280000}"/>
    <cellStyle name="Comma 2 4 2 2 2 2 2 3 3 2" xfId="24394" xr:uid="{00000000-0005-0000-0000-00007E280000}"/>
    <cellStyle name="Comma 2 4 2 2 2 2 2 3 3 2 2" xfId="43823" xr:uid="{00000000-0005-0000-0000-00007F280000}"/>
    <cellStyle name="Comma 2 4 2 2 2 2 2 3 3 2 3" xfId="37400" xr:uid="{00000000-0005-0000-0000-000080280000}"/>
    <cellStyle name="Comma 2 4 2 2 2 2 2 3 3 3" xfId="28715" xr:uid="{00000000-0005-0000-0000-000081280000}"/>
    <cellStyle name="Comma 2 4 2 2 2 2 2 3 3 3 2" xfId="40616" xr:uid="{00000000-0005-0000-0000-000082280000}"/>
    <cellStyle name="Comma 2 4 2 2 2 2 2 3 3 4" xfId="32050" xr:uid="{00000000-0005-0000-0000-000083280000}"/>
    <cellStyle name="Comma 2 4 2 2 2 2 2 3 3 5" xfId="34192" xr:uid="{00000000-0005-0000-0000-000084280000}"/>
    <cellStyle name="Comma 2 4 2 2 2 2 2 3 4" xfId="8197" xr:uid="{00000000-0005-0000-0000-000085280000}"/>
    <cellStyle name="Comma 2 4 2 2 2 2 2 3 4 2" xfId="42821" xr:uid="{00000000-0005-0000-0000-000086280000}"/>
    <cellStyle name="Comma 2 4 2 2 2 2 2 3 4 3" xfId="36397" xr:uid="{00000000-0005-0000-0000-000087280000}"/>
    <cellStyle name="Comma 2 4 2 2 2 2 2 3 5" xfId="21186" xr:uid="{00000000-0005-0000-0000-000088280000}"/>
    <cellStyle name="Comma 2 4 2 2 2 2 2 3 5 2" xfId="39614" xr:uid="{00000000-0005-0000-0000-000089280000}"/>
    <cellStyle name="Comma 2 4 2 2 2 2 2 3 6" xfId="22259" xr:uid="{00000000-0005-0000-0000-00008A280000}"/>
    <cellStyle name="Comma 2 4 2 2 2 2 2 3 7" xfId="23392" xr:uid="{00000000-0005-0000-0000-00008B280000}"/>
    <cellStyle name="Comma 2 4 2 2 2 2 2 3 8" xfId="26581" xr:uid="{00000000-0005-0000-0000-00008C280000}"/>
    <cellStyle name="Comma 2 4 2 2 2 2 2 3 9" xfId="29914" xr:uid="{00000000-0005-0000-0000-00008D280000}"/>
    <cellStyle name="Comma 2 4 2 2 2 2 2 4" xfId="967" xr:uid="{00000000-0005-0000-0000-00008E280000}"/>
    <cellStyle name="Comma 2 4 2 2 2 2 2 4 10" xfId="33191" xr:uid="{00000000-0005-0000-0000-00008F280000}"/>
    <cellStyle name="Comma 2 4 2 2 2 2 2 4 2" xfId="9737" xr:uid="{00000000-0005-0000-0000-000090280000}"/>
    <cellStyle name="Comma 2 4 2 2 2 2 2 4 2 2" xfId="25537" xr:uid="{00000000-0005-0000-0000-000091280000}"/>
    <cellStyle name="Comma 2 4 2 2 2 2 2 4 2 2 2" xfId="44964" xr:uid="{00000000-0005-0000-0000-000092280000}"/>
    <cellStyle name="Comma 2 4 2 2 2 2 2 4 2 2 3" xfId="38541" xr:uid="{00000000-0005-0000-0000-000093280000}"/>
    <cellStyle name="Comma 2 4 2 2 2 2 2 4 2 3" xfId="27715" xr:uid="{00000000-0005-0000-0000-000094280000}"/>
    <cellStyle name="Comma 2 4 2 2 2 2 2 4 2 3 2" xfId="41757" xr:uid="{00000000-0005-0000-0000-000095280000}"/>
    <cellStyle name="Comma 2 4 2 2 2 2 2 4 2 4" xfId="31050" xr:uid="{00000000-0005-0000-0000-000096280000}"/>
    <cellStyle name="Comma 2 4 2 2 2 2 2 4 2 5" xfId="35333" xr:uid="{00000000-0005-0000-0000-000097280000}"/>
    <cellStyle name="Comma 2 4 2 2 2 2 2 4 3" xfId="15380" xr:uid="{00000000-0005-0000-0000-000098280000}"/>
    <cellStyle name="Comma 2 4 2 2 2 2 2 4 3 2" xfId="24395" xr:uid="{00000000-0005-0000-0000-000099280000}"/>
    <cellStyle name="Comma 2 4 2 2 2 2 2 4 3 2 2" xfId="43824" xr:uid="{00000000-0005-0000-0000-00009A280000}"/>
    <cellStyle name="Comma 2 4 2 2 2 2 2 4 3 2 3" xfId="37401" xr:uid="{00000000-0005-0000-0000-00009B280000}"/>
    <cellStyle name="Comma 2 4 2 2 2 2 2 4 3 3" xfId="28716" xr:uid="{00000000-0005-0000-0000-00009C280000}"/>
    <cellStyle name="Comma 2 4 2 2 2 2 2 4 3 3 2" xfId="40617" xr:uid="{00000000-0005-0000-0000-00009D280000}"/>
    <cellStyle name="Comma 2 4 2 2 2 2 2 4 3 4" xfId="32051" xr:uid="{00000000-0005-0000-0000-00009E280000}"/>
    <cellStyle name="Comma 2 4 2 2 2 2 2 4 3 5" xfId="34193" xr:uid="{00000000-0005-0000-0000-00009F280000}"/>
    <cellStyle name="Comma 2 4 2 2 2 2 2 4 4" xfId="8198" xr:uid="{00000000-0005-0000-0000-0000A0280000}"/>
    <cellStyle name="Comma 2 4 2 2 2 2 2 4 4 2" xfId="42822" xr:uid="{00000000-0005-0000-0000-0000A1280000}"/>
    <cellStyle name="Comma 2 4 2 2 2 2 2 4 4 3" xfId="36398" xr:uid="{00000000-0005-0000-0000-0000A2280000}"/>
    <cellStyle name="Comma 2 4 2 2 2 2 2 4 5" xfId="21187" xr:uid="{00000000-0005-0000-0000-0000A3280000}"/>
    <cellStyle name="Comma 2 4 2 2 2 2 2 4 5 2" xfId="39615" xr:uid="{00000000-0005-0000-0000-0000A4280000}"/>
    <cellStyle name="Comma 2 4 2 2 2 2 2 4 6" xfId="22260" xr:uid="{00000000-0005-0000-0000-0000A5280000}"/>
    <cellStyle name="Comma 2 4 2 2 2 2 2 4 7" xfId="23393" xr:uid="{00000000-0005-0000-0000-0000A6280000}"/>
    <cellStyle name="Comma 2 4 2 2 2 2 2 4 8" xfId="26582" xr:uid="{00000000-0005-0000-0000-0000A7280000}"/>
    <cellStyle name="Comma 2 4 2 2 2 2 2 4 9" xfId="29915" xr:uid="{00000000-0005-0000-0000-0000A8280000}"/>
    <cellStyle name="Comma 2 4 2 2 2 2 2 5" xfId="968" xr:uid="{00000000-0005-0000-0000-0000A9280000}"/>
    <cellStyle name="Comma 2 4 2 2 2 2 2 5 10" xfId="33192" xr:uid="{00000000-0005-0000-0000-0000AA280000}"/>
    <cellStyle name="Comma 2 4 2 2 2 2 2 5 2" xfId="9738" xr:uid="{00000000-0005-0000-0000-0000AB280000}"/>
    <cellStyle name="Comma 2 4 2 2 2 2 2 5 2 2" xfId="25538" xr:uid="{00000000-0005-0000-0000-0000AC280000}"/>
    <cellStyle name="Comma 2 4 2 2 2 2 2 5 2 2 2" xfId="44965" xr:uid="{00000000-0005-0000-0000-0000AD280000}"/>
    <cellStyle name="Comma 2 4 2 2 2 2 2 5 2 2 3" xfId="38542" xr:uid="{00000000-0005-0000-0000-0000AE280000}"/>
    <cellStyle name="Comma 2 4 2 2 2 2 2 5 2 3" xfId="27716" xr:uid="{00000000-0005-0000-0000-0000AF280000}"/>
    <cellStyle name="Comma 2 4 2 2 2 2 2 5 2 3 2" xfId="41758" xr:uid="{00000000-0005-0000-0000-0000B0280000}"/>
    <cellStyle name="Comma 2 4 2 2 2 2 2 5 2 4" xfId="31051" xr:uid="{00000000-0005-0000-0000-0000B1280000}"/>
    <cellStyle name="Comma 2 4 2 2 2 2 2 5 2 5" xfId="35334" xr:uid="{00000000-0005-0000-0000-0000B2280000}"/>
    <cellStyle name="Comma 2 4 2 2 2 2 2 5 3" xfId="15381" xr:uid="{00000000-0005-0000-0000-0000B3280000}"/>
    <cellStyle name="Comma 2 4 2 2 2 2 2 5 3 2" xfId="24396" xr:uid="{00000000-0005-0000-0000-0000B4280000}"/>
    <cellStyle name="Comma 2 4 2 2 2 2 2 5 3 2 2" xfId="43825" xr:uid="{00000000-0005-0000-0000-0000B5280000}"/>
    <cellStyle name="Comma 2 4 2 2 2 2 2 5 3 2 3" xfId="37402" xr:uid="{00000000-0005-0000-0000-0000B6280000}"/>
    <cellStyle name="Comma 2 4 2 2 2 2 2 5 3 3" xfId="28717" xr:uid="{00000000-0005-0000-0000-0000B7280000}"/>
    <cellStyle name="Comma 2 4 2 2 2 2 2 5 3 3 2" xfId="40618" xr:uid="{00000000-0005-0000-0000-0000B8280000}"/>
    <cellStyle name="Comma 2 4 2 2 2 2 2 5 3 4" xfId="32052" xr:uid="{00000000-0005-0000-0000-0000B9280000}"/>
    <cellStyle name="Comma 2 4 2 2 2 2 2 5 3 5" xfId="34194" xr:uid="{00000000-0005-0000-0000-0000BA280000}"/>
    <cellStyle name="Comma 2 4 2 2 2 2 2 5 4" xfId="8199" xr:uid="{00000000-0005-0000-0000-0000BB280000}"/>
    <cellStyle name="Comma 2 4 2 2 2 2 2 5 4 2" xfId="42823" xr:uid="{00000000-0005-0000-0000-0000BC280000}"/>
    <cellStyle name="Comma 2 4 2 2 2 2 2 5 4 3" xfId="36399" xr:uid="{00000000-0005-0000-0000-0000BD280000}"/>
    <cellStyle name="Comma 2 4 2 2 2 2 2 5 5" xfId="21188" xr:uid="{00000000-0005-0000-0000-0000BE280000}"/>
    <cellStyle name="Comma 2 4 2 2 2 2 2 5 5 2" xfId="39616" xr:uid="{00000000-0005-0000-0000-0000BF280000}"/>
    <cellStyle name="Comma 2 4 2 2 2 2 2 5 6" xfId="22261" xr:uid="{00000000-0005-0000-0000-0000C0280000}"/>
    <cellStyle name="Comma 2 4 2 2 2 2 2 5 7" xfId="23394" xr:uid="{00000000-0005-0000-0000-0000C1280000}"/>
    <cellStyle name="Comma 2 4 2 2 2 2 2 5 8" xfId="26583" xr:uid="{00000000-0005-0000-0000-0000C2280000}"/>
    <cellStyle name="Comma 2 4 2 2 2 2 2 5 9" xfId="29916" xr:uid="{00000000-0005-0000-0000-0000C3280000}"/>
    <cellStyle name="Comma 2 4 2 2 2 2 2 6" xfId="969" xr:uid="{00000000-0005-0000-0000-0000C4280000}"/>
    <cellStyle name="Comma 2 4 2 2 2 2 2 6 10" xfId="33193" xr:uid="{00000000-0005-0000-0000-0000C5280000}"/>
    <cellStyle name="Comma 2 4 2 2 2 2 2 6 2" xfId="9739" xr:uid="{00000000-0005-0000-0000-0000C6280000}"/>
    <cellStyle name="Comma 2 4 2 2 2 2 2 6 2 2" xfId="25539" xr:uid="{00000000-0005-0000-0000-0000C7280000}"/>
    <cellStyle name="Comma 2 4 2 2 2 2 2 6 2 2 2" xfId="44966" xr:uid="{00000000-0005-0000-0000-0000C8280000}"/>
    <cellStyle name="Comma 2 4 2 2 2 2 2 6 2 2 3" xfId="38543" xr:uid="{00000000-0005-0000-0000-0000C9280000}"/>
    <cellStyle name="Comma 2 4 2 2 2 2 2 6 2 3" xfId="27717" xr:uid="{00000000-0005-0000-0000-0000CA280000}"/>
    <cellStyle name="Comma 2 4 2 2 2 2 2 6 2 3 2" xfId="41759" xr:uid="{00000000-0005-0000-0000-0000CB280000}"/>
    <cellStyle name="Comma 2 4 2 2 2 2 2 6 2 4" xfId="31052" xr:uid="{00000000-0005-0000-0000-0000CC280000}"/>
    <cellStyle name="Comma 2 4 2 2 2 2 2 6 2 5" xfId="35335" xr:uid="{00000000-0005-0000-0000-0000CD280000}"/>
    <cellStyle name="Comma 2 4 2 2 2 2 2 6 3" xfId="15382" xr:uid="{00000000-0005-0000-0000-0000CE280000}"/>
    <cellStyle name="Comma 2 4 2 2 2 2 2 6 3 2" xfId="24397" xr:uid="{00000000-0005-0000-0000-0000CF280000}"/>
    <cellStyle name="Comma 2 4 2 2 2 2 2 6 3 2 2" xfId="43826" xr:uid="{00000000-0005-0000-0000-0000D0280000}"/>
    <cellStyle name="Comma 2 4 2 2 2 2 2 6 3 2 3" xfId="37403" xr:uid="{00000000-0005-0000-0000-0000D1280000}"/>
    <cellStyle name="Comma 2 4 2 2 2 2 2 6 3 3" xfId="28718" xr:uid="{00000000-0005-0000-0000-0000D2280000}"/>
    <cellStyle name="Comma 2 4 2 2 2 2 2 6 3 3 2" xfId="40619" xr:uid="{00000000-0005-0000-0000-0000D3280000}"/>
    <cellStyle name="Comma 2 4 2 2 2 2 2 6 3 4" xfId="32053" xr:uid="{00000000-0005-0000-0000-0000D4280000}"/>
    <cellStyle name="Comma 2 4 2 2 2 2 2 6 3 5" xfId="34195" xr:uid="{00000000-0005-0000-0000-0000D5280000}"/>
    <cellStyle name="Comma 2 4 2 2 2 2 2 6 4" xfId="8200" xr:uid="{00000000-0005-0000-0000-0000D6280000}"/>
    <cellStyle name="Comma 2 4 2 2 2 2 2 6 4 2" xfId="42824" xr:uid="{00000000-0005-0000-0000-0000D7280000}"/>
    <cellStyle name="Comma 2 4 2 2 2 2 2 6 4 3" xfId="36400" xr:uid="{00000000-0005-0000-0000-0000D8280000}"/>
    <cellStyle name="Comma 2 4 2 2 2 2 2 6 5" xfId="21189" xr:uid="{00000000-0005-0000-0000-0000D9280000}"/>
    <cellStyle name="Comma 2 4 2 2 2 2 2 6 5 2" xfId="39617" xr:uid="{00000000-0005-0000-0000-0000DA280000}"/>
    <cellStyle name="Comma 2 4 2 2 2 2 2 6 6" xfId="22262" xr:uid="{00000000-0005-0000-0000-0000DB280000}"/>
    <cellStyle name="Comma 2 4 2 2 2 2 2 6 7" xfId="23395" xr:uid="{00000000-0005-0000-0000-0000DC280000}"/>
    <cellStyle name="Comma 2 4 2 2 2 2 2 6 8" xfId="26584" xr:uid="{00000000-0005-0000-0000-0000DD280000}"/>
    <cellStyle name="Comma 2 4 2 2 2 2 2 6 9" xfId="29917" xr:uid="{00000000-0005-0000-0000-0000DE280000}"/>
    <cellStyle name="Comma 2 4 2 2 2 2 2 7" xfId="9085" xr:uid="{00000000-0005-0000-0000-0000DF280000}"/>
    <cellStyle name="Comma 2 4 2 2 2 2 2 7 2" xfId="25140" xr:uid="{00000000-0005-0000-0000-0000E0280000}"/>
    <cellStyle name="Comma 2 4 2 2 2 2 2 7 2 2" xfId="44567" xr:uid="{00000000-0005-0000-0000-0000E1280000}"/>
    <cellStyle name="Comma 2 4 2 2 2 2 2 7 2 3" xfId="38144" xr:uid="{00000000-0005-0000-0000-0000E2280000}"/>
    <cellStyle name="Comma 2 4 2 2 2 2 2 7 3" xfId="27319" xr:uid="{00000000-0005-0000-0000-0000E3280000}"/>
    <cellStyle name="Comma 2 4 2 2 2 2 2 7 3 2" xfId="41360" xr:uid="{00000000-0005-0000-0000-0000E4280000}"/>
    <cellStyle name="Comma 2 4 2 2 2 2 2 7 4" xfId="30654" xr:uid="{00000000-0005-0000-0000-0000E5280000}"/>
    <cellStyle name="Comma 2 4 2 2 2 2 2 7 5" xfId="34936" xr:uid="{00000000-0005-0000-0000-0000E6280000}"/>
    <cellStyle name="Comma 2 4 2 2 2 2 2 8" xfId="15377" xr:uid="{00000000-0005-0000-0000-0000E7280000}"/>
    <cellStyle name="Comma 2 4 2 2 2 2 2 8 2" xfId="24392" xr:uid="{00000000-0005-0000-0000-0000E8280000}"/>
    <cellStyle name="Comma 2 4 2 2 2 2 2 8 2 2" xfId="43821" xr:uid="{00000000-0005-0000-0000-0000E9280000}"/>
    <cellStyle name="Comma 2 4 2 2 2 2 2 8 2 3" xfId="37398" xr:uid="{00000000-0005-0000-0000-0000EA280000}"/>
    <cellStyle name="Comma 2 4 2 2 2 2 2 8 3" xfId="28713" xr:uid="{00000000-0005-0000-0000-0000EB280000}"/>
    <cellStyle name="Comma 2 4 2 2 2 2 2 8 3 2" xfId="40614" xr:uid="{00000000-0005-0000-0000-0000EC280000}"/>
    <cellStyle name="Comma 2 4 2 2 2 2 2 8 4" xfId="32048" xr:uid="{00000000-0005-0000-0000-0000ED280000}"/>
    <cellStyle name="Comma 2 4 2 2 2 2 2 8 5" xfId="34190" xr:uid="{00000000-0005-0000-0000-0000EE280000}"/>
    <cellStyle name="Comma 2 4 2 2 2 2 2 9" xfId="8195" xr:uid="{00000000-0005-0000-0000-0000EF280000}"/>
    <cellStyle name="Comma 2 4 2 2 2 2 2 9 2" xfId="42430" xr:uid="{00000000-0005-0000-0000-0000F0280000}"/>
    <cellStyle name="Comma 2 4 2 2 2 2 2 9 3" xfId="36006" xr:uid="{00000000-0005-0000-0000-0000F1280000}"/>
    <cellStyle name="Comma 2 4 2 2 2 2 3" xfId="970" xr:uid="{00000000-0005-0000-0000-0000F2280000}"/>
    <cellStyle name="Comma 2 4 2 2 2 2 3 10" xfId="22263" xr:uid="{00000000-0005-0000-0000-0000F3280000}"/>
    <cellStyle name="Comma 2 4 2 2 2 2 3 11" xfId="23396" xr:uid="{00000000-0005-0000-0000-0000F4280000}"/>
    <cellStyle name="Comma 2 4 2 2 2 2 3 12" xfId="26585" xr:uid="{00000000-0005-0000-0000-0000F5280000}"/>
    <cellStyle name="Comma 2 4 2 2 2 2 3 13" xfId="29918" xr:uid="{00000000-0005-0000-0000-0000F6280000}"/>
    <cellStyle name="Comma 2 4 2 2 2 2 3 14" xfId="33194" xr:uid="{00000000-0005-0000-0000-0000F7280000}"/>
    <cellStyle name="Comma 2 4 2 2 2 2 3 2" xfId="971" xr:uid="{00000000-0005-0000-0000-0000F8280000}"/>
    <cellStyle name="Comma 2 4 2 2 2 2 3 2 10" xfId="33195" xr:uid="{00000000-0005-0000-0000-0000F9280000}"/>
    <cellStyle name="Comma 2 4 2 2 2 2 3 2 2" xfId="9741" xr:uid="{00000000-0005-0000-0000-0000FA280000}"/>
    <cellStyle name="Comma 2 4 2 2 2 2 3 2 2 2" xfId="25541" xr:uid="{00000000-0005-0000-0000-0000FB280000}"/>
    <cellStyle name="Comma 2 4 2 2 2 2 3 2 2 2 2" xfId="44968" xr:uid="{00000000-0005-0000-0000-0000FC280000}"/>
    <cellStyle name="Comma 2 4 2 2 2 2 3 2 2 2 3" xfId="38545" xr:uid="{00000000-0005-0000-0000-0000FD280000}"/>
    <cellStyle name="Comma 2 4 2 2 2 2 3 2 2 3" xfId="27719" xr:uid="{00000000-0005-0000-0000-0000FE280000}"/>
    <cellStyle name="Comma 2 4 2 2 2 2 3 2 2 3 2" xfId="41761" xr:uid="{00000000-0005-0000-0000-0000FF280000}"/>
    <cellStyle name="Comma 2 4 2 2 2 2 3 2 2 4" xfId="31054" xr:uid="{00000000-0005-0000-0000-000000290000}"/>
    <cellStyle name="Comma 2 4 2 2 2 2 3 2 2 5" xfId="35337" xr:uid="{00000000-0005-0000-0000-000001290000}"/>
    <cellStyle name="Comma 2 4 2 2 2 2 3 2 3" xfId="15384" xr:uid="{00000000-0005-0000-0000-000002290000}"/>
    <cellStyle name="Comma 2 4 2 2 2 2 3 2 3 2" xfId="24399" xr:uid="{00000000-0005-0000-0000-000003290000}"/>
    <cellStyle name="Comma 2 4 2 2 2 2 3 2 3 2 2" xfId="43828" xr:uid="{00000000-0005-0000-0000-000004290000}"/>
    <cellStyle name="Comma 2 4 2 2 2 2 3 2 3 2 3" xfId="37405" xr:uid="{00000000-0005-0000-0000-000005290000}"/>
    <cellStyle name="Comma 2 4 2 2 2 2 3 2 3 3" xfId="28720" xr:uid="{00000000-0005-0000-0000-000006290000}"/>
    <cellStyle name="Comma 2 4 2 2 2 2 3 2 3 3 2" xfId="40621" xr:uid="{00000000-0005-0000-0000-000007290000}"/>
    <cellStyle name="Comma 2 4 2 2 2 2 3 2 3 4" xfId="32055" xr:uid="{00000000-0005-0000-0000-000008290000}"/>
    <cellStyle name="Comma 2 4 2 2 2 2 3 2 3 5" xfId="34197" xr:uid="{00000000-0005-0000-0000-000009290000}"/>
    <cellStyle name="Comma 2 4 2 2 2 2 3 2 4" xfId="8202" xr:uid="{00000000-0005-0000-0000-00000A290000}"/>
    <cellStyle name="Comma 2 4 2 2 2 2 3 2 4 2" xfId="42826" xr:uid="{00000000-0005-0000-0000-00000B290000}"/>
    <cellStyle name="Comma 2 4 2 2 2 2 3 2 4 3" xfId="36402" xr:uid="{00000000-0005-0000-0000-00000C290000}"/>
    <cellStyle name="Comma 2 4 2 2 2 2 3 2 5" xfId="21191" xr:uid="{00000000-0005-0000-0000-00000D290000}"/>
    <cellStyle name="Comma 2 4 2 2 2 2 3 2 5 2" xfId="39619" xr:uid="{00000000-0005-0000-0000-00000E290000}"/>
    <cellStyle name="Comma 2 4 2 2 2 2 3 2 6" xfId="22264" xr:uid="{00000000-0005-0000-0000-00000F290000}"/>
    <cellStyle name="Comma 2 4 2 2 2 2 3 2 7" xfId="23397" xr:uid="{00000000-0005-0000-0000-000010290000}"/>
    <cellStyle name="Comma 2 4 2 2 2 2 3 2 8" xfId="26586" xr:uid="{00000000-0005-0000-0000-000011290000}"/>
    <cellStyle name="Comma 2 4 2 2 2 2 3 2 9" xfId="29919" xr:uid="{00000000-0005-0000-0000-000012290000}"/>
    <cellStyle name="Comma 2 4 2 2 2 2 3 3" xfId="972" xr:uid="{00000000-0005-0000-0000-000013290000}"/>
    <cellStyle name="Comma 2 4 2 2 2 2 3 3 10" xfId="33196" xr:uid="{00000000-0005-0000-0000-000014290000}"/>
    <cellStyle name="Comma 2 4 2 2 2 2 3 3 2" xfId="9742" xr:uid="{00000000-0005-0000-0000-000015290000}"/>
    <cellStyle name="Comma 2 4 2 2 2 2 3 3 2 2" xfId="25542" xr:uid="{00000000-0005-0000-0000-000016290000}"/>
    <cellStyle name="Comma 2 4 2 2 2 2 3 3 2 2 2" xfId="44969" xr:uid="{00000000-0005-0000-0000-000017290000}"/>
    <cellStyle name="Comma 2 4 2 2 2 2 3 3 2 2 3" xfId="38546" xr:uid="{00000000-0005-0000-0000-000018290000}"/>
    <cellStyle name="Comma 2 4 2 2 2 2 3 3 2 3" xfId="27720" xr:uid="{00000000-0005-0000-0000-000019290000}"/>
    <cellStyle name="Comma 2 4 2 2 2 2 3 3 2 3 2" xfId="41762" xr:uid="{00000000-0005-0000-0000-00001A290000}"/>
    <cellStyle name="Comma 2 4 2 2 2 2 3 3 2 4" xfId="31055" xr:uid="{00000000-0005-0000-0000-00001B290000}"/>
    <cellStyle name="Comma 2 4 2 2 2 2 3 3 2 5" xfId="35338" xr:uid="{00000000-0005-0000-0000-00001C290000}"/>
    <cellStyle name="Comma 2 4 2 2 2 2 3 3 3" xfId="15385" xr:uid="{00000000-0005-0000-0000-00001D290000}"/>
    <cellStyle name="Comma 2 4 2 2 2 2 3 3 3 2" xfId="24400" xr:uid="{00000000-0005-0000-0000-00001E290000}"/>
    <cellStyle name="Comma 2 4 2 2 2 2 3 3 3 2 2" xfId="43829" xr:uid="{00000000-0005-0000-0000-00001F290000}"/>
    <cellStyle name="Comma 2 4 2 2 2 2 3 3 3 2 3" xfId="37406" xr:uid="{00000000-0005-0000-0000-000020290000}"/>
    <cellStyle name="Comma 2 4 2 2 2 2 3 3 3 3" xfId="28721" xr:uid="{00000000-0005-0000-0000-000021290000}"/>
    <cellStyle name="Comma 2 4 2 2 2 2 3 3 3 3 2" xfId="40622" xr:uid="{00000000-0005-0000-0000-000022290000}"/>
    <cellStyle name="Comma 2 4 2 2 2 2 3 3 3 4" xfId="32056" xr:uid="{00000000-0005-0000-0000-000023290000}"/>
    <cellStyle name="Comma 2 4 2 2 2 2 3 3 3 5" xfId="34198" xr:uid="{00000000-0005-0000-0000-000024290000}"/>
    <cellStyle name="Comma 2 4 2 2 2 2 3 3 4" xfId="8203" xr:uid="{00000000-0005-0000-0000-000025290000}"/>
    <cellStyle name="Comma 2 4 2 2 2 2 3 3 4 2" xfId="42827" xr:uid="{00000000-0005-0000-0000-000026290000}"/>
    <cellStyle name="Comma 2 4 2 2 2 2 3 3 4 3" xfId="36403" xr:uid="{00000000-0005-0000-0000-000027290000}"/>
    <cellStyle name="Comma 2 4 2 2 2 2 3 3 5" xfId="21192" xr:uid="{00000000-0005-0000-0000-000028290000}"/>
    <cellStyle name="Comma 2 4 2 2 2 2 3 3 5 2" xfId="39620" xr:uid="{00000000-0005-0000-0000-000029290000}"/>
    <cellStyle name="Comma 2 4 2 2 2 2 3 3 6" xfId="22265" xr:uid="{00000000-0005-0000-0000-00002A290000}"/>
    <cellStyle name="Comma 2 4 2 2 2 2 3 3 7" xfId="23398" xr:uid="{00000000-0005-0000-0000-00002B290000}"/>
    <cellStyle name="Comma 2 4 2 2 2 2 3 3 8" xfId="26587" xr:uid="{00000000-0005-0000-0000-00002C290000}"/>
    <cellStyle name="Comma 2 4 2 2 2 2 3 3 9" xfId="29920" xr:uid="{00000000-0005-0000-0000-00002D290000}"/>
    <cellStyle name="Comma 2 4 2 2 2 2 3 4" xfId="973" xr:uid="{00000000-0005-0000-0000-00002E290000}"/>
    <cellStyle name="Comma 2 4 2 2 2 2 3 4 10" xfId="33197" xr:uid="{00000000-0005-0000-0000-00002F290000}"/>
    <cellStyle name="Comma 2 4 2 2 2 2 3 4 2" xfId="9743" xr:uid="{00000000-0005-0000-0000-000030290000}"/>
    <cellStyle name="Comma 2 4 2 2 2 2 3 4 2 2" xfId="25543" xr:uid="{00000000-0005-0000-0000-000031290000}"/>
    <cellStyle name="Comma 2 4 2 2 2 2 3 4 2 2 2" xfId="44970" xr:uid="{00000000-0005-0000-0000-000032290000}"/>
    <cellStyle name="Comma 2 4 2 2 2 2 3 4 2 2 3" xfId="38547" xr:uid="{00000000-0005-0000-0000-000033290000}"/>
    <cellStyle name="Comma 2 4 2 2 2 2 3 4 2 3" xfId="27721" xr:uid="{00000000-0005-0000-0000-000034290000}"/>
    <cellStyle name="Comma 2 4 2 2 2 2 3 4 2 3 2" xfId="41763" xr:uid="{00000000-0005-0000-0000-000035290000}"/>
    <cellStyle name="Comma 2 4 2 2 2 2 3 4 2 4" xfId="31056" xr:uid="{00000000-0005-0000-0000-000036290000}"/>
    <cellStyle name="Comma 2 4 2 2 2 2 3 4 2 5" xfId="35339" xr:uid="{00000000-0005-0000-0000-000037290000}"/>
    <cellStyle name="Comma 2 4 2 2 2 2 3 4 3" xfId="15386" xr:uid="{00000000-0005-0000-0000-000038290000}"/>
    <cellStyle name="Comma 2 4 2 2 2 2 3 4 3 2" xfId="24401" xr:uid="{00000000-0005-0000-0000-000039290000}"/>
    <cellStyle name="Comma 2 4 2 2 2 2 3 4 3 2 2" xfId="43830" xr:uid="{00000000-0005-0000-0000-00003A290000}"/>
    <cellStyle name="Comma 2 4 2 2 2 2 3 4 3 2 3" xfId="37407" xr:uid="{00000000-0005-0000-0000-00003B290000}"/>
    <cellStyle name="Comma 2 4 2 2 2 2 3 4 3 3" xfId="28722" xr:uid="{00000000-0005-0000-0000-00003C290000}"/>
    <cellStyle name="Comma 2 4 2 2 2 2 3 4 3 3 2" xfId="40623" xr:uid="{00000000-0005-0000-0000-00003D290000}"/>
    <cellStyle name="Comma 2 4 2 2 2 2 3 4 3 4" xfId="32057" xr:uid="{00000000-0005-0000-0000-00003E290000}"/>
    <cellStyle name="Comma 2 4 2 2 2 2 3 4 3 5" xfId="34199" xr:uid="{00000000-0005-0000-0000-00003F290000}"/>
    <cellStyle name="Comma 2 4 2 2 2 2 3 4 4" xfId="8204" xr:uid="{00000000-0005-0000-0000-000040290000}"/>
    <cellStyle name="Comma 2 4 2 2 2 2 3 4 4 2" xfId="42828" xr:uid="{00000000-0005-0000-0000-000041290000}"/>
    <cellStyle name="Comma 2 4 2 2 2 2 3 4 4 3" xfId="36404" xr:uid="{00000000-0005-0000-0000-000042290000}"/>
    <cellStyle name="Comma 2 4 2 2 2 2 3 4 5" xfId="21193" xr:uid="{00000000-0005-0000-0000-000043290000}"/>
    <cellStyle name="Comma 2 4 2 2 2 2 3 4 5 2" xfId="39621" xr:uid="{00000000-0005-0000-0000-000044290000}"/>
    <cellStyle name="Comma 2 4 2 2 2 2 3 4 6" xfId="22266" xr:uid="{00000000-0005-0000-0000-000045290000}"/>
    <cellStyle name="Comma 2 4 2 2 2 2 3 4 7" xfId="23399" xr:uid="{00000000-0005-0000-0000-000046290000}"/>
    <cellStyle name="Comma 2 4 2 2 2 2 3 4 8" xfId="26588" xr:uid="{00000000-0005-0000-0000-000047290000}"/>
    <cellStyle name="Comma 2 4 2 2 2 2 3 4 9" xfId="29921" xr:uid="{00000000-0005-0000-0000-000048290000}"/>
    <cellStyle name="Comma 2 4 2 2 2 2 3 5" xfId="974" xr:uid="{00000000-0005-0000-0000-000049290000}"/>
    <cellStyle name="Comma 2 4 2 2 2 2 3 5 10" xfId="33198" xr:uid="{00000000-0005-0000-0000-00004A290000}"/>
    <cellStyle name="Comma 2 4 2 2 2 2 3 5 2" xfId="9744" xr:uid="{00000000-0005-0000-0000-00004B290000}"/>
    <cellStyle name="Comma 2 4 2 2 2 2 3 5 2 2" xfId="25544" xr:uid="{00000000-0005-0000-0000-00004C290000}"/>
    <cellStyle name="Comma 2 4 2 2 2 2 3 5 2 2 2" xfId="44971" xr:uid="{00000000-0005-0000-0000-00004D290000}"/>
    <cellStyle name="Comma 2 4 2 2 2 2 3 5 2 2 3" xfId="38548" xr:uid="{00000000-0005-0000-0000-00004E290000}"/>
    <cellStyle name="Comma 2 4 2 2 2 2 3 5 2 3" xfId="27722" xr:uid="{00000000-0005-0000-0000-00004F290000}"/>
    <cellStyle name="Comma 2 4 2 2 2 2 3 5 2 3 2" xfId="41764" xr:uid="{00000000-0005-0000-0000-000050290000}"/>
    <cellStyle name="Comma 2 4 2 2 2 2 3 5 2 4" xfId="31057" xr:uid="{00000000-0005-0000-0000-000051290000}"/>
    <cellStyle name="Comma 2 4 2 2 2 2 3 5 2 5" xfId="35340" xr:uid="{00000000-0005-0000-0000-000052290000}"/>
    <cellStyle name="Comma 2 4 2 2 2 2 3 5 3" xfId="15387" xr:uid="{00000000-0005-0000-0000-000053290000}"/>
    <cellStyle name="Comma 2 4 2 2 2 2 3 5 3 2" xfId="24402" xr:uid="{00000000-0005-0000-0000-000054290000}"/>
    <cellStyle name="Comma 2 4 2 2 2 2 3 5 3 2 2" xfId="43831" xr:uid="{00000000-0005-0000-0000-000055290000}"/>
    <cellStyle name="Comma 2 4 2 2 2 2 3 5 3 2 3" xfId="37408" xr:uid="{00000000-0005-0000-0000-000056290000}"/>
    <cellStyle name="Comma 2 4 2 2 2 2 3 5 3 3" xfId="28723" xr:uid="{00000000-0005-0000-0000-000057290000}"/>
    <cellStyle name="Comma 2 4 2 2 2 2 3 5 3 3 2" xfId="40624" xr:uid="{00000000-0005-0000-0000-000058290000}"/>
    <cellStyle name="Comma 2 4 2 2 2 2 3 5 3 4" xfId="32058" xr:uid="{00000000-0005-0000-0000-000059290000}"/>
    <cellStyle name="Comma 2 4 2 2 2 2 3 5 3 5" xfId="34200" xr:uid="{00000000-0005-0000-0000-00005A290000}"/>
    <cellStyle name="Comma 2 4 2 2 2 2 3 5 4" xfId="8205" xr:uid="{00000000-0005-0000-0000-00005B290000}"/>
    <cellStyle name="Comma 2 4 2 2 2 2 3 5 4 2" xfId="42829" xr:uid="{00000000-0005-0000-0000-00005C290000}"/>
    <cellStyle name="Comma 2 4 2 2 2 2 3 5 4 3" xfId="36405" xr:uid="{00000000-0005-0000-0000-00005D290000}"/>
    <cellStyle name="Comma 2 4 2 2 2 2 3 5 5" xfId="21194" xr:uid="{00000000-0005-0000-0000-00005E290000}"/>
    <cellStyle name="Comma 2 4 2 2 2 2 3 5 5 2" xfId="39622" xr:uid="{00000000-0005-0000-0000-00005F290000}"/>
    <cellStyle name="Comma 2 4 2 2 2 2 3 5 6" xfId="22267" xr:uid="{00000000-0005-0000-0000-000060290000}"/>
    <cellStyle name="Comma 2 4 2 2 2 2 3 5 7" xfId="23400" xr:uid="{00000000-0005-0000-0000-000061290000}"/>
    <cellStyle name="Comma 2 4 2 2 2 2 3 5 8" xfId="26589" xr:uid="{00000000-0005-0000-0000-000062290000}"/>
    <cellStyle name="Comma 2 4 2 2 2 2 3 5 9" xfId="29922" xr:uid="{00000000-0005-0000-0000-000063290000}"/>
    <cellStyle name="Comma 2 4 2 2 2 2 3 6" xfId="9740" xr:uid="{00000000-0005-0000-0000-000064290000}"/>
    <cellStyle name="Comma 2 4 2 2 2 2 3 6 2" xfId="25540" xr:uid="{00000000-0005-0000-0000-000065290000}"/>
    <cellStyle name="Comma 2 4 2 2 2 2 3 6 2 2" xfId="44967" xr:uid="{00000000-0005-0000-0000-000066290000}"/>
    <cellStyle name="Comma 2 4 2 2 2 2 3 6 2 3" xfId="38544" xr:uid="{00000000-0005-0000-0000-000067290000}"/>
    <cellStyle name="Comma 2 4 2 2 2 2 3 6 3" xfId="27718" xr:uid="{00000000-0005-0000-0000-000068290000}"/>
    <cellStyle name="Comma 2 4 2 2 2 2 3 6 3 2" xfId="41760" xr:uid="{00000000-0005-0000-0000-000069290000}"/>
    <cellStyle name="Comma 2 4 2 2 2 2 3 6 4" xfId="31053" xr:uid="{00000000-0005-0000-0000-00006A290000}"/>
    <cellStyle name="Comma 2 4 2 2 2 2 3 6 5" xfId="35336" xr:uid="{00000000-0005-0000-0000-00006B290000}"/>
    <cellStyle name="Comma 2 4 2 2 2 2 3 7" xfId="15383" xr:uid="{00000000-0005-0000-0000-00006C290000}"/>
    <cellStyle name="Comma 2 4 2 2 2 2 3 7 2" xfId="24398" xr:uid="{00000000-0005-0000-0000-00006D290000}"/>
    <cellStyle name="Comma 2 4 2 2 2 2 3 7 2 2" xfId="43827" xr:uid="{00000000-0005-0000-0000-00006E290000}"/>
    <cellStyle name="Comma 2 4 2 2 2 2 3 7 2 3" xfId="37404" xr:uid="{00000000-0005-0000-0000-00006F290000}"/>
    <cellStyle name="Comma 2 4 2 2 2 2 3 7 3" xfId="28719" xr:uid="{00000000-0005-0000-0000-000070290000}"/>
    <cellStyle name="Comma 2 4 2 2 2 2 3 7 3 2" xfId="40620" xr:uid="{00000000-0005-0000-0000-000071290000}"/>
    <cellStyle name="Comma 2 4 2 2 2 2 3 7 4" xfId="32054" xr:uid="{00000000-0005-0000-0000-000072290000}"/>
    <cellStyle name="Comma 2 4 2 2 2 2 3 7 5" xfId="34196" xr:uid="{00000000-0005-0000-0000-000073290000}"/>
    <cellStyle name="Comma 2 4 2 2 2 2 3 8" xfId="8201" xr:uid="{00000000-0005-0000-0000-000074290000}"/>
    <cellStyle name="Comma 2 4 2 2 2 2 3 8 2" xfId="42825" xr:uid="{00000000-0005-0000-0000-000075290000}"/>
    <cellStyle name="Comma 2 4 2 2 2 2 3 8 3" xfId="36401" xr:uid="{00000000-0005-0000-0000-000076290000}"/>
    <cellStyle name="Comma 2 4 2 2 2 2 3 9" xfId="21190" xr:uid="{00000000-0005-0000-0000-000077290000}"/>
    <cellStyle name="Comma 2 4 2 2 2 2 3 9 2" xfId="39618" xr:uid="{00000000-0005-0000-0000-000078290000}"/>
    <cellStyle name="Comma 2 4 2 2 2 2 4" xfId="975" xr:uid="{00000000-0005-0000-0000-000079290000}"/>
    <cellStyle name="Comma 2 4 2 2 2 2 4 10" xfId="33199" xr:uid="{00000000-0005-0000-0000-00007A290000}"/>
    <cellStyle name="Comma 2 4 2 2 2 2 4 2" xfId="9745" xr:uid="{00000000-0005-0000-0000-00007B290000}"/>
    <cellStyle name="Comma 2 4 2 2 2 2 4 2 2" xfId="25545" xr:uid="{00000000-0005-0000-0000-00007C290000}"/>
    <cellStyle name="Comma 2 4 2 2 2 2 4 2 2 2" xfId="44972" xr:uid="{00000000-0005-0000-0000-00007D290000}"/>
    <cellStyle name="Comma 2 4 2 2 2 2 4 2 2 3" xfId="38549" xr:uid="{00000000-0005-0000-0000-00007E290000}"/>
    <cellStyle name="Comma 2 4 2 2 2 2 4 2 3" xfId="27723" xr:uid="{00000000-0005-0000-0000-00007F290000}"/>
    <cellStyle name="Comma 2 4 2 2 2 2 4 2 3 2" xfId="41765" xr:uid="{00000000-0005-0000-0000-000080290000}"/>
    <cellStyle name="Comma 2 4 2 2 2 2 4 2 4" xfId="31058" xr:uid="{00000000-0005-0000-0000-000081290000}"/>
    <cellStyle name="Comma 2 4 2 2 2 2 4 2 5" xfId="35341" xr:uid="{00000000-0005-0000-0000-000082290000}"/>
    <cellStyle name="Comma 2 4 2 2 2 2 4 3" xfId="15388" xr:uid="{00000000-0005-0000-0000-000083290000}"/>
    <cellStyle name="Comma 2 4 2 2 2 2 4 3 2" xfId="24403" xr:uid="{00000000-0005-0000-0000-000084290000}"/>
    <cellStyle name="Comma 2 4 2 2 2 2 4 3 2 2" xfId="43832" xr:uid="{00000000-0005-0000-0000-000085290000}"/>
    <cellStyle name="Comma 2 4 2 2 2 2 4 3 2 3" xfId="37409" xr:uid="{00000000-0005-0000-0000-000086290000}"/>
    <cellStyle name="Comma 2 4 2 2 2 2 4 3 3" xfId="28724" xr:uid="{00000000-0005-0000-0000-000087290000}"/>
    <cellStyle name="Comma 2 4 2 2 2 2 4 3 3 2" xfId="40625" xr:uid="{00000000-0005-0000-0000-000088290000}"/>
    <cellStyle name="Comma 2 4 2 2 2 2 4 3 4" xfId="32059" xr:uid="{00000000-0005-0000-0000-000089290000}"/>
    <cellStyle name="Comma 2 4 2 2 2 2 4 3 5" xfId="34201" xr:uid="{00000000-0005-0000-0000-00008A290000}"/>
    <cellStyle name="Comma 2 4 2 2 2 2 4 4" xfId="8206" xr:uid="{00000000-0005-0000-0000-00008B290000}"/>
    <cellStyle name="Comma 2 4 2 2 2 2 4 4 2" xfId="42830" xr:uid="{00000000-0005-0000-0000-00008C290000}"/>
    <cellStyle name="Comma 2 4 2 2 2 2 4 4 3" xfId="36406" xr:uid="{00000000-0005-0000-0000-00008D290000}"/>
    <cellStyle name="Comma 2 4 2 2 2 2 4 5" xfId="21195" xr:uid="{00000000-0005-0000-0000-00008E290000}"/>
    <cellStyle name="Comma 2 4 2 2 2 2 4 5 2" xfId="39623" xr:uid="{00000000-0005-0000-0000-00008F290000}"/>
    <cellStyle name="Comma 2 4 2 2 2 2 4 6" xfId="22268" xr:uid="{00000000-0005-0000-0000-000090290000}"/>
    <cellStyle name="Comma 2 4 2 2 2 2 4 7" xfId="23401" xr:uid="{00000000-0005-0000-0000-000091290000}"/>
    <cellStyle name="Comma 2 4 2 2 2 2 4 8" xfId="26590" xr:uid="{00000000-0005-0000-0000-000092290000}"/>
    <cellStyle name="Comma 2 4 2 2 2 2 4 9" xfId="29923" xr:uid="{00000000-0005-0000-0000-000093290000}"/>
    <cellStyle name="Comma 2 4 2 2 2 2 5" xfId="976" xr:uid="{00000000-0005-0000-0000-000094290000}"/>
    <cellStyle name="Comma 2 4 2 2 2 2 5 10" xfId="33200" xr:uid="{00000000-0005-0000-0000-000095290000}"/>
    <cellStyle name="Comma 2 4 2 2 2 2 5 2" xfId="9746" xr:uid="{00000000-0005-0000-0000-000096290000}"/>
    <cellStyle name="Comma 2 4 2 2 2 2 5 2 2" xfId="25546" xr:uid="{00000000-0005-0000-0000-000097290000}"/>
    <cellStyle name="Comma 2 4 2 2 2 2 5 2 2 2" xfId="44973" xr:uid="{00000000-0005-0000-0000-000098290000}"/>
    <cellStyle name="Comma 2 4 2 2 2 2 5 2 2 3" xfId="38550" xr:uid="{00000000-0005-0000-0000-000099290000}"/>
    <cellStyle name="Comma 2 4 2 2 2 2 5 2 3" xfId="27724" xr:uid="{00000000-0005-0000-0000-00009A290000}"/>
    <cellStyle name="Comma 2 4 2 2 2 2 5 2 3 2" xfId="41766" xr:uid="{00000000-0005-0000-0000-00009B290000}"/>
    <cellStyle name="Comma 2 4 2 2 2 2 5 2 4" xfId="31059" xr:uid="{00000000-0005-0000-0000-00009C290000}"/>
    <cellStyle name="Comma 2 4 2 2 2 2 5 2 5" xfId="35342" xr:uid="{00000000-0005-0000-0000-00009D290000}"/>
    <cellStyle name="Comma 2 4 2 2 2 2 5 3" xfId="15389" xr:uid="{00000000-0005-0000-0000-00009E290000}"/>
    <cellStyle name="Comma 2 4 2 2 2 2 5 3 2" xfId="24404" xr:uid="{00000000-0005-0000-0000-00009F290000}"/>
    <cellStyle name="Comma 2 4 2 2 2 2 5 3 2 2" xfId="43833" xr:uid="{00000000-0005-0000-0000-0000A0290000}"/>
    <cellStyle name="Comma 2 4 2 2 2 2 5 3 2 3" xfId="37410" xr:uid="{00000000-0005-0000-0000-0000A1290000}"/>
    <cellStyle name="Comma 2 4 2 2 2 2 5 3 3" xfId="28725" xr:uid="{00000000-0005-0000-0000-0000A2290000}"/>
    <cellStyle name="Comma 2 4 2 2 2 2 5 3 3 2" xfId="40626" xr:uid="{00000000-0005-0000-0000-0000A3290000}"/>
    <cellStyle name="Comma 2 4 2 2 2 2 5 3 4" xfId="32060" xr:uid="{00000000-0005-0000-0000-0000A4290000}"/>
    <cellStyle name="Comma 2 4 2 2 2 2 5 3 5" xfId="34202" xr:uid="{00000000-0005-0000-0000-0000A5290000}"/>
    <cellStyle name="Comma 2 4 2 2 2 2 5 4" xfId="8207" xr:uid="{00000000-0005-0000-0000-0000A6290000}"/>
    <cellStyle name="Comma 2 4 2 2 2 2 5 4 2" xfId="42831" xr:uid="{00000000-0005-0000-0000-0000A7290000}"/>
    <cellStyle name="Comma 2 4 2 2 2 2 5 4 3" xfId="36407" xr:uid="{00000000-0005-0000-0000-0000A8290000}"/>
    <cellStyle name="Comma 2 4 2 2 2 2 5 5" xfId="21196" xr:uid="{00000000-0005-0000-0000-0000A9290000}"/>
    <cellStyle name="Comma 2 4 2 2 2 2 5 5 2" xfId="39624" xr:uid="{00000000-0005-0000-0000-0000AA290000}"/>
    <cellStyle name="Comma 2 4 2 2 2 2 5 6" xfId="22269" xr:uid="{00000000-0005-0000-0000-0000AB290000}"/>
    <cellStyle name="Comma 2 4 2 2 2 2 5 7" xfId="23402" xr:uid="{00000000-0005-0000-0000-0000AC290000}"/>
    <cellStyle name="Comma 2 4 2 2 2 2 5 8" xfId="26591" xr:uid="{00000000-0005-0000-0000-0000AD290000}"/>
    <cellStyle name="Comma 2 4 2 2 2 2 5 9" xfId="29924" xr:uid="{00000000-0005-0000-0000-0000AE290000}"/>
    <cellStyle name="Comma 2 4 2 2 2 2 6" xfId="977" xr:uid="{00000000-0005-0000-0000-0000AF290000}"/>
    <cellStyle name="Comma 2 4 2 2 2 2 6 10" xfId="33201" xr:uid="{00000000-0005-0000-0000-0000B0290000}"/>
    <cellStyle name="Comma 2 4 2 2 2 2 6 2" xfId="9747" xr:uid="{00000000-0005-0000-0000-0000B1290000}"/>
    <cellStyle name="Comma 2 4 2 2 2 2 6 2 2" xfId="25547" xr:uid="{00000000-0005-0000-0000-0000B2290000}"/>
    <cellStyle name="Comma 2 4 2 2 2 2 6 2 2 2" xfId="44974" xr:uid="{00000000-0005-0000-0000-0000B3290000}"/>
    <cellStyle name="Comma 2 4 2 2 2 2 6 2 2 3" xfId="38551" xr:uid="{00000000-0005-0000-0000-0000B4290000}"/>
    <cellStyle name="Comma 2 4 2 2 2 2 6 2 3" xfId="27725" xr:uid="{00000000-0005-0000-0000-0000B5290000}"/>
    <cellStyle name="Comma 2 4 2 2 2 2 6 2 3 2" xfId="41767" xr:uid="{00000000-0005-0000-0000-0000B6290000}"/>
    <cellStyle name="Comma 2 4 2 2 2 2 6 2 4" xfId="31060" xr:uid="{00000000-0005-0000-0000-0000B7290000}"/>
    <cellStyle name="Comma 2 4 2 2 2 2 6 2 5" xfId="35343" xr:uid="{00000000-0005-0000-0000-0000B8290000}"/>
    <cellStyle name="Comma 2 4 2 2 2 2 6 3" xfId="15390" xr:uid="{00000000-0005-0000-0000-0000B9290000}"/>
    <cellStyle name="Comma 2 4 2 2 2 2 6 3 2" xfId="24405" xr:uid="{00000000-0005-0000-0000-0000BA290000}"/>
    <cellStyle name="Comma 2 4 2 2 2 2 6 3 2 2" xfId="43834" xr:uid="{00000000-0005-0000-0000-0000BB290000}"/>
    <cellStyle name="Comma 2 4 2 2 2 2 6 3 2 3" xfId="37411" xr:uid="{00000000-0005-0000-0000-0000BC290000}"/>
    <cellStyle name="Comma 2 4 2 2 2 2 6 3 3" xfId="28726" xr:uid="{00000000-0005-0000-0000-0000BD290000}"/>
    <cellStyle name="Comma 2 4 2 2 2 2 6 3 3 2" xfId="40627" xr:uid="{00000000-0005-0000-0000-0000BE290000}"/>
    <cellStyle name="Comma 2 4 2 2 2 2 6 3 4" xfId="32061" xr:uid="{00000000-0005-0000-0000-0000BF290000}"/>
    <cellStyle name="Comma 2 4 2 2 2 2 6 3 5" xfId="34203" xr:uid="{00000000-0005-0000-0000-0000C0290000}"/>
    <cellStyle name="Comma 2 4 2 2 2 2 6 4" xfId="8208" xr:uid="{00000000-0005-0000-0000-0000C1290000}"/>
    <cellStyle name="Comma 2 4 2 2 2 2 6 4 2" xfId="42832" xr:uid="{00000000-0005-0000-0000-0000C2290000}"/>
    <cellStyle name="Comma 2 4 2 2 2 2 6 4 3" xfId="36408" xr:uid="{00000000-0005-0000-0000-0000C3290000}"/>
    <cellStyle name="Comma 2 4 2 2 2 2 6 5" xfId="21197" xr:uid="{00000000-0005-0000-0000-0000C4290000}"/>
    <cellStyle name="Comma 2 4 2 2 2 2 6 5 2" xfId="39625" xr:uid="{00000000-0005-0000-0000-0000C5290000}"/>
    <cellStyle name="Comma 2 4 2 2 2 2 6 6" xfId="22270" xr:uid="{00000000-0005-0000-0000-0000C6290000}"/>
    <cellStyle name="Comma 2 4 2 2 2 2 6 7" xfId="23403" xr:uid="{00000000-0005-0000-0000-0000C7290000}"/>
    <cellStyle name="Comma 2 4 2 2 2 2 6 8" xfId="26592" xr:uid="{00000000-0005-0000-0000-0000C8290000}"/>
    <cellStyle name="Comma 2 4 2 2 2 2 6 9" xfId="29925" xr:uid="{00000000-0005-0000-0000-0000C9290000}"/>
    <cellStyle name="Comma 2 4 2 2 2 2 7" xfId="978" xr:uid="{00000000-0005-0000-0000-0000CA290000}"/>
    <cellStyle name="Comma 2 4 2 2 2 2 7 10" xfId="33202" xr:uid="{00000000-0005-0000-0000-0000CB290000}"/>
    <cellStyle name="Comma 2 4 2 2 2 2 7 2" xfId="9748" xr:uid="{00000000-0005-0000-0000-0000CC290000}"/>
    <cellStyle name="Comma 2 4 2 2 2 2 7 2 2" xfId="25548" xr:uid="{00000000-0005-0000-0000-0000CD290000}"/>
    <cellStyle name="Comma 2 4 2 2 2 2 7 2 2 2" xfId="44975" xr:uid="{00000000-0005-0000-0000-0000CE290000}"/>
    <cellStyle name="Comma 2 4 2 2 2 2 7 2 2 3" xfId="38552" xr:uid="{00000000-0005-0000-0000-0000CF290000}"/>
    <cellStyle name="Comma 2 4 2 2 2 2 7 2 3" xfId="27726" xr:uid="{00000000-0005-0000-0000-0000D0290000}"/>
    <cellStyle name="Comma 2 4 2 2 2 2 7 2 3 2" xfId="41768" xr:uid="{00000000-0005-0000-0000-0000D1290000}"/>
    <cellStyle name="Comma 2 4 2 2 2 2 7 2 4" xfId="31061" xr:uid="{00000000-0005-0000-0000-0000D2290000}"/>
    <cellStyle name="Comma 2 4 2 2 2 2 7 2 5" xfId="35344" xr:uid="{00000000-0005-0000-0000-0000D3290000}"/>
    <cellStyle name="Comma 2 4 2 2 2 2 7 3" xfId="15391" xr:uid="{00000000-0005-0000-0000-0000D4290000}"/>
    <cellStyle name="Comma 2 4 2 2 2 2 7 3 2" xfId="24406" xr:uid="{00000000-0005-0000-0000-0000D5290000}"/>
    <cellStyle name="Comma 2 4 2 2 2 2 7 3 2 2" xfId="43835" xr:uid="{00000000-0005-0000-0000-0000D6290000}"/>
    <cellStyle name="Comma 2 4 2 2 2 2 7 3 2 3" xfId="37412" xr:uid="{00000000-0005-0000-0000-0000D7290000}"/>
    <cellStyle name="Comma 2 4 2 2 2 2 7 3 3" xfId="28727" xr:uid="{00000000-0005-0000-0000-0000D8290000}"/>
    <cellStyle name="Comma 2 4 2 2 2 2 7 3 3 2" xfId="40628" xr:uid="{00000000-0005-0000-0000-0000D9290000}"/>
    <cellStyle name="Comma 2 4 2 2 2 2 7 3 4" xfId="32062" xr:uid="{00000000-0005-0000-0000-0000DA290000}"/>
    <cellStyle name="Comma 2 4 2 2 2 2 7 3 5" xfId="34204" xr:uid="{00000000-0005-0000-0000-0000DB290000}"/>
    <cellStyle name="Comma 2 4 2 2 2 2 7 4" xfId="8209" xr:uid="{00000000-0005-0000-0000-0000DC290000}"/>
    <cellStyle name="Comma 2 4 2 2 2 2 7 4 2" xfId="42833" xr:uid="{00000000-0005-0000-0000-0000DD290000}"/>
    <cellStyle name="Comma 2 4 2 2 2 2 7 4 3" xfId="36409" xr:uid="{00000000-0005-0000-0000-0000DE290000}"/>
    <cellStyle name="Comma 2 4 2 2 2 2 7 5" xfId="21198" xr:uid="{00000000-0005-0000-0000-0000DF290000}"/>
    <cellStyle name="Comma 2 4 2 2 2 2 7 5 2" xfId="39626" xr:uid="{00000000-0005-0000-0000-0000E0290000}"/>
    <cellStyle name="Comma 2 4 2 2 2 2 7 6" xfId="22271" xr:uid="{00000000-0005-0000-0000-0000E1290000}"/>
    <cellStyle name="Comma 2 4 2 2 2 2 7 7" xfId="23404" xr:uid="{00000000-0005-0000-0000-0000E2290000}"/>
    <cellStyle name="Comma 2 4 2 2 2 2 7 8" xfId="26593" xr:uid="{00000000-0005-0000-0000-0000E3290000}"/>
    <cellStyle name="Comma 2 4 2 2 2 2 7 9" xfId="29926" xr:uid="{00000000-0005-0000-0000-0000E4290000}"/>
    <cellStyle name="Comma 2 4 2 2 2 2 8" xfId="979" xr:uid="{00000000-0005-0000-0000-0000E5290000}"/>
    <cellStyle name="Comma 2 4 2 2 2 2 8 10" xfId="33203" xr:uid="{00000000-0005-0000-0000-0000E6290000}"/>
    <cellStyle name="Comma 2 4 2 2 2 2 8 2" xfId="9749" xr:uid="{00000000-0005-0000-0000-0000E7290000}"/>
    <cellStyle name="Comma 2 4 2 2 2 2 8 2 2" xfId="25549" xr:uid="{00000000-0005-0000-0000-0000E8290000}"/>
    <cellStyle name="Comma 2 4 2 2 2 2 8 2 2 2" xfId="44976" xr:uid="{00000000-0005-0000-0000-0000E9290000}"/>
    <cellStyle name="Comma 2 4 2 2 2 2 8 2 2 3" xfId="38553" xr:uid="{00000000-0005-0000-0000-0000EA290000}"/>
    <cellStyle name="Comma 2 4 2 2 2 2 8 2 3" xfId="27727" xr:uid="{00000000-0005-0000-0000-0000EB290000}"/>
    <cellStyle name="Comma 2 4 2 2 2 2 8 2 3 2" xfId="41769" xr:uid="{00000000-0005-0000-0000-0000EC290000}"/>
    <cellStyle name="Comma 2 4 2 2 2 2 8 2 4" xfId="31062" xr:uid="{00000000-0005-0000-0000-0000ED290000}"/>
    <cellStyle name="Comma 2 4 2 2 2 2 8 2 5" xfId="35345" xr:uid="{00000000-0005-0000-0000-0000EE290000}"/>
    <cellStyle name="Comma 2 4 2 2 2 2 8 3" xfId="15392" xr:uid="{00000000-0005-0000-0000-0000EF290000}"/>
    <cellStyle name="Comma 2 4 2 2 2 2 8 3 2" xfId="24407" xr:uid="{00000000-0005-0000-0000-0000F0290000}"/>
    <cellStyle name="Comma 2 4 2 2 2 2 8 3 2 2" xfId="43836" xr:uid="{00000000-0005-0000-0000-0000F1290000}"/>
    <cellStyle name="Comma 2 4 2 2 2 2 8 3 2 3" xfId="37413" xr:uid="{00000000-0005-0000-0000-0000F2290000}"/>
    <cellStyle name="Comma 2 4 2 2 2 2 8 3 3" xfId="28728" xr:uid="{00000000-0005-0000-0000-0000F3290000}"/>
    <cellStyle name="Comma 2 4 2 2 2 2 8 3 3 2" xfId="40629" xr:uid="{00000000-0005-0000-0000-0000F4290000}"/>
    <cellStyle name="Comma 2 4 2 2 2 2 8 3 4" xfId="32063" xr:uid="{00000000-0005-0000-0000-0000F5290000}"/>
    <cellStyle name="Comma 2 4 2 2 2 2 8 3 5" xfId="34205" xr:uid="{00000000-0005-0000-0000-0000F6290000}"/>
    <cellStyle name="Comma 2 4 2 2 2 2 8 4" xfId="8210" xr:uid="{00000000-0005-0000-0000-0000F7290000}"/>
    <cellStyle name="Comma 2 4 2 2 2 2 8 4 2" xfId="42834" xr:uid="{00000000-0005-0000-0000-0000F8290000}"/>
    <cellStyle name="Comma 2 4 2 2 2 2 8 4 3" xfId="36410" xr:uid="{00000000-0005-0000-0000-0000F9290000}"/>
    <cellStyle name="Comma 2 4 2 2 2 2 8 5" xfId="21199" xr:uid="{00000000-0005-0000-0000-0000FA290000}"/>
    <cellStyle name="Comma 2 4 2 2 2 2 8 5 2" xfId="39627" xr:uid="{00000000-0005-0000-0000-0000FB290000}"/>
    <cellStyle name="Comma 2 4 2 2 2 2 8 6" xfId="22272" xr:uid="{00000000-0005-0000-0000-0000FC290000}"/>
    <cellStyle name="Comma 2 4 2 2 2 2 8 7" xfId="23405" xr:uid="{00000000-0005-0000-0000-0000FD290000}"/>
    <cellStyle name="Comma 2 4 2 2 2 2 8 8" xfId="26594" xr:uid="{00000000-0005-0000-0000-0000FE290000}"/>
    <cellStyle name="Comma 2 4 2 2 2 2 8 9" xfId="29927" xr:uid="{00000000-0005-0000-0000-0000FF290000}"/>
    <cellStyle name="Comma 2 4 2 2 2 2 9" xfId="9060" xr:uid="{00000000-0005-0000-0000-0000002A0000}"/>
    <cellStyle name="Comma 2 4 2 2 2 2 9 2" xfId="25116" xr:uid="{00000000-0005-0000-0000-0000012A0000}"/>
    <cellStyle name="Comma 2 4 2 2 2 2 9 2 2" xfId="44543" xr:uid="{00000000-0005-0000-0000-0000022A0000}"/>
    <cellStyle name="Comma 2 4 2 2 2 2 9 2 3" xfId="38120" xr:uid="{00000000-0005-0000-0000-0000032A0000}"/>
    <cellStyle name="Comma 2 4 2 2 2 2 9 3" xfId="27295" xr:uid="{00000000-0005-0000-0000-0000042A0000}"/>
    <cellStyle name="Comma 2 4 2 2 2 2 9 3 2" xfId="41336" xr:uid="{00000000-0005-0000-0000-0000052A0000}"/>
    <cellStyle name="Comma 2 4 2 2 2 2 9 4" xfId="30630" xr:uid="{00000000-0005-0000-0000-0000062A0000}"/>
    <cellStyle name="Comma 2 4 2 2 2 2 9 5" xfId="34912" xr:uid="{00000000-0005-0000-0000-0000072A0000}"/>
    <cellStyle name="Comma 2 4 2 2 2 3" xfId="201" xr:uid="{00000000-0005-0000-0000-0000082A0000}"/>
    <cellStyle name="Comma 2 4 2 2 2 3 10" xfId="21200" xr:uid="{00000000-0005-0000-0000-0000092A0000}"/>
    <cellStyle name="Comma 2 4 2 2 2 3 10 2" xfId="39213" xr:uid="{00000000-0005-0000-0000-00000A2A0000}"/>
    <cellStyle name="Comma 2 4 2 2 2 3 11" xfId="22273" xr:uid="{00000000-0005-0000-0000-00000B2A0000}"/>
    <cellStyle name="Comma 2 4 2 2 2 3 12" xfId="22991" xr:uid="{00000000-0005-0000-0000-00000C2A0000}"/>
    <cellStyle name="Comma 2 4 2 2 2 3 13" xfId="26595" xr:uid="{00000000-0005-0000-0000-00000D2A0000}"/>
    <cellStyle name="Comma 2 4 2 2 2 3 14" xfId="29928" xr:uid="{00000000-0005-0000-0000-00000E2A0000}"/>
    <cellStyle name="Comma 2 4 2 2 2 3 15" xfId="32789" xr:uid="{00000000-0005-0000-0000-00000F2A0000}"/>
    <cellStyle name="Comma 2 4 2 2 2 3 2" xfId="980" xr:uid="{00000000-0005-0000-0000-0000102A0000}"/>
    <cellStyle name="Comma 2 4 2 2 2 3 2 10" xfId="33204" xr:uid="{00000000-0005-0000-0000-0000112A0000}"/>
    <cellStyle name="Comma 2 4 2 2 2 3 2 2" xfId="9750" xr:uid="{00000000-0005-0000-0000-0000122A0000}"/>
    <cellStyle name="Comma 2 4 2 2 2 3 2 2 2" xfId="25550" xr:uid="{00000000-0005-0000-0000-0000132A0000}"/>
    <cellStyle name="Comma 2 4 2 2 2 3 2 2 2 2" xfId="44977" xr:uid="{00000000-0005-0000-0000-0000142A0000}"/>
    <cellStyle name="Comma 2 4 2 2 2 3 2 2 2 3" xfId="38554" xr:uid="{00000000-0005-0000-0000-0000152A0000}"/>
    <cellStyle name="Comma 2 4 2 2 2 3 2 2 3" xfId="27728" xr:uid="{00000000-0005-0000-0000-0000162A0000}"/>
    <cellStyle name="Comma 2 4 2 2 2 3 2 2 3 2" xfId="41770" xr:uid="{00000000-0005-0000-0000-0000172A0000}"/>
    <cellStyle name="Comma 2 4 2 2 2 3 2 2 4" xfId="31063" xr:uid="{00000000-0005-0000-0000-0000182A0000}"/>
    <cellStyle name="Comma 2 4 2 2 2 3 2 2 5" xfId="35346" xr:uid="{00000000-0005-0000-0000-0000192A0000}"/>
    <cellStyle name="Comma 2 4 2 2 2 3 2 3" xfId="15394" xr:uid="{00000000-0005-0000-0000-00001A2A0000}"/>
    <cellStyle name="Comma 2 4 2 2 2 3 2 3 2" xfId="24409" xr:uid="{00000000-0005-0000-0000-00001B2A0000}"/>
    <cellStyle name="Comma 2 4 2 2 2 3 2 3 2 2" xfId="43838" xr:uid="{00000000-0005-0000-0000-00001C2A0000}"/>
    <cellStyle name="Comma 2 4 2 2 2 3 2 3 2 3" xfId="37415" xr:uid="{00000000-0005-0000-0000-00001D2A0000}"/>
    <cellStyle name="Comma 2 4 2 2 2 3 2 3 3" xfId="28730" xr:uid="{00000000-0005-0000-0000-00001E2A0000}"/>
    <cellStyle name="Comma 2 4 2 2 2 3 2 3 3 2" xfId="40631" xr:uid="{00000000-0005-0000-0000-00001F2A0000}"/>
    <cellStyle name="Comma 2 4 2 2 2 3 2 3 4" xfId="32065" xr:uid="{00000000-0005-0000-0000-0000202A0000}"/>
    <cellStyle name="Comma 2 4 2 2 2 3 2 3 5" xfId="34207" xr:uid="{00000000-0005-0000-0000-0000212A0000}"/>
    <cellStyle name="Comma 2 4 2 2 2 3 2 4" xfId="8212" xr:uid="{00000000-0005-0000-0000-0000222A0000}"/>
    <cellStyle name="Comma 2 4 2 2 2 3 2 4 2" xfId="42835" xr:uid="{00000000-0005-0000-0000-0000232A0000}"/>
    <cellStyle name="Comma 2 4 2 2 2 3 2 4 3" xfId="36411" xr:uid="{00000000-0005-0000-0000-0000242A0000}"/>
    <cellStyle name="Comma 2 4 2 2 2 3 2 5" xfId="21201" xr:uid="{00000000-0005-0000-0000-0000252A0000}"/>
    <cellStyle name="Comma 2 4 2 2 2 3 2 5 2" xfId="39628" xr:uid="{00000000-0005-0000-0000-0000262A0000}"/>
    <cellStyle name="Comma 2 4 2 2 2 3 2 6" xfId="22274" xr:uid="{00000000-0005-0000-0000-0000272A0000}"/>
    <cellStyle name="Comma 2 4 2 2 2 3 2 7" xfId="23406" xr:uid="{00000000-0005-0000-0000-0000282A0000}"/>
    <cellStyle name="Comma 2 4 2 2 2 3 2 8" xfId="26596" xr:uid="{00000000-0005-0000-0000-0000292A0000}"/>
    <cellStyle name="Comma 2 4 2 2 2 3 2 9" xfId="29929" xr:uid="{00000000-0005-0000-0000-00002A2A0000}"/>
    <cellStyle name="Comma 2 4 2 2 2 3 3" xfId="981" xr:uid="{00000000-0005-0000-0000-00002B2A0000}"/>
    <cellStyle name="Comma 2 4 2 2 2 3 3 10" xfId="33205" xr:uid="{00000000-0005-0000-0000-00002C2A0000}"/>
    <cellStyle name="Comma 2 4 2 2 2 3 3 2" xfId="9751" xr:uid="{00000000-0005-0000-0000-00002D2A0000}"/>
    <cellStyle name="Comma 2 4 2 2 2 3 3 2 2" xfId="25551" xr:uid="{00000000-0005-0000-0000-00002E2A0000}"/>
    <cellStyle name="Comma 2 4 2 2 2 3 3 2 2 2" xfId="44978" xr:uid="{00000000-0005-0000-0000-00002F2A0000}"/>
    <cellStyle name="Comma 2 4 2 2 2 3 3 2 2 3" xfId="38555" xr:uid="{00000000-0005-0000-0000-0000302A0000}"/>
    <cellStyle name="Comma 2 4 2 2 2 3 3 2 3" xfId="27729" xr:uid="{00000000-0005-0000-0000-0000312A0000}"/>
    <cellStyle name="Comma 2 4 2 2 2 3 3 2 3 2" xfId="41771" xr:uid="{00000000-0005-0000-0000-0000322A0000}"/>
    <cellStyle name="Comma 2 4 2 2 2 3 3 2 4" xfId="31064" xr:uid="{00000000-0005-0000-0000-0000332A0000}"/>
    <cellStyle name="Comma 2 4 2 2 2 3 3 2 5" xfId="35347" xr:uid="{00000000-0005-0000-0000-0000342A0000}"/>
    <cellStyle name="Comma 2 4 2 2 2 3 3 3" xfId="15395" xr:uid="{00000000-0005-0000-0000-0000352A0000}"/>
    <cellStyle name="Comma 2 4 2 2 2 3 3 3 2" xfId="24410" xr:uid="{00000000-0005-0000-0000-0000362A0000}"/>
    <cellStyle name="Comma 2 4 2 2 2 3 3 3 2 2" xfId="43839" xr:uid="{00000000-0005-0000-0000-0000372A0000}"/>
    <cellStyle name="Comma 2 4 2 2 2 3 3 3 2 3" xfId="37416" xr:uid="{00000000-0005-0000-0000-0000382A0000}"/>
    <cellStyle name="Comma 2 4 2 2 2 3 3 3 3" xfId="28731" xr:uid="{00000000-0005-0000-0000-0000392A0000}"/>
    <cellStyle name="Comma 2 4 2 2 2 3 3 3 3 2" xfId="40632" xr:uid="{00000000-0005-0000-0000-00003A2A0000}"/>
    <cellStyle name="Comma 2 4 2 2 2 3 3 3 4" xfId="32066" xr:uid="{00000000-0005-0000-0000-00003B2A0000}"/>
    <cellStyle name="Comma 2 4 2 2 2 3 3 3 5" xfId="34208" xr:uid="{00000000-0005-0000-0000-00003C2A0000}"/>
    <cellStyle name="Comma 2 4 2 2 2 3 3 4" xfId="8213" xr:uid="{00000000-0005-0000-0000-00003D2A0000}"/>
    <cellStyle name="Comma 2 4 2 2 2 3 3 4 2" xfId="42836" xr:uid="{00000000-0005-0000-0000-00003E2A0000}"/>
    <cellStyle name="Comma 2 4 2 2 2 3 3 4 3" xfId="36412" xr:uid="{00000000-0005-0000-0000-00003F2A0000}"/>
    <cellStyle name="Comma 2 4 2 2 2 3 3 5" xfId="21202" xr:uid="{00000000-0005-0000-0000-0000402A0000}"/>
    <cellStyle name="Comma 2 4 2 2 2 3 3 5 2" xfId="39629" xr:uid="{00000000-0005-0000-0000-0000412A0000}"/>
    <cellStyle name="Comma 2 4 2 2 2 3 3 6" xfId="22275" xr:uid="{00000000-0005-0000-0000-0000422A0000}"/>
    <cellStyle name="Comma 2 4 2 2 2 3 3 7" xfId="23407" xr:uid="{00000000-0005-0000-0000-0000432A0000}"/>
    <cellStyle name="Comma 2 4 2 2 2 3 3 8" xfId="26597" xr:uid="{00000000-0005-0000-0000-0000442A0000}"/>
    <cellStyle name="Comma 2 4 2 2 2 3 3 9" xfId="29930" xr:uid="{00000000-0005-0000-0000-0000452A0000}"/>
    <cellStyle name="Comma 2 4 2 2 2 3 4" xfId="982" xr:uid="{00000000-0005-0000-0000-0000462A0000}"/>
    <cellStyle name="Comma 2 4 2 2 2 3 4 10" xfId="33206" xr:uid="{00000000-0005-0000-0000-0000472A0000}"/>
    <cellStyle name="Comma 2 4 2 2 2 3 4 2" xfId="9752" xr:uid="{00000000-0005-0000-0000-0000482A0000}"/>
    <cellStyle name="Comma 2 4 2 2 2 3 4 2 2" xfId="25552" xr:uid="{00000000-0005-0000-0000-0000492A0000}"/>
    <cellStyle name="Comma 2 4 2 2 2 3 4 2 2 2" xfId="44979" xr:uid="{00000000-0005-0000-0000-00004A2A0000}"/>
    <cellStyle name="Comma 2 4 2 2 2 3 4 2 2 3" xfId="38556" xr:uid="{00000000-0005-0000-0000-00004B2A0000}"/>
    <cellStyle name="Comma 2 4 2 2 2 3 4 2 3" xfId="27730" xr:uid="{00000000-0005-0000-0000-00004C2A0000}"/>
    <cellStyle name="Comma 2 4 2 2 2 3 4 2 3 2" xfId="41772" xr:uid="{00000000-0005-0000-0000-00004D2A0000}"/>
    <cellStyle name="Comma 2 4 2 2 2 3 4 2 4" xfId="31065" xr:uid="{00000000-0005-0000-0000-00004E2A0000}"/>
    <cellStyle name="Comma 2 4 2 2 2 3 4 2 5" xfId="35348" xr:uid="{00000000-0005-0000-0000-00004F2A0000}"/>
    <cellStyle name="Comma 2 4 2 2 2 3 4 3" xfId="15396" xr:uid="{00000000-0005-0000-0000-0000502A0000}"/>
    <cellStyle name="Comma 2 4 2 2 2 3 4 3 2" xfId="24411" xr:uid="{00000000-0005-0000-0000-0000512A0000}"/>
    <cellStyle name="Comma 2 4 2 2 2 3 4 3 2 2" xfId="43840" xr:uid="{00000000-0005-0000-0000-0000522A0000}"/>
    <cellStyle name="Comma 2 4 2 2 2 3 4 3 2 3" xfId="37417" xr:uid="{00000000-0005-0000-0000-0000532A0000}"/>
    <cellStyle name="Comma 2 4 2 2 2 3 4 3 3" xfId="28732" xr:uid="{00000000-0005-0000-0000-0000542A0000}"/>
    <cellStyle name="Comma 2 4 2 2 2 3 4 3 3 2" xfId="40633" xr:uid="{00000000-0005-0000-0000-0000552A0000}"/>
    <cellStyle name="Comma 2 4 2 2 2 3 4 3 4" xfId="32067" xr:uid="{00000000-0005-0000-0000-0000562A0000}"/>
    <cellStyle name="Comma 2 4 2 2 2 3 4 3 5" xfId="34209" xr:uid="{00000000-0005-0000-0000-0000572A0000}"/>
    <cellStyle name="Comma 2 4 2 2 2 3 4 4" xfId="8214" xr:uid="{00000000-0005-0000-0000-0000582A0000}"/>
    <cellStyle name="Comma 2 4 2 2 2 3 4 4 2" xfId="42837" xr:uid="{00000000-0005-0000-0000-0000592A0000}"/>
    <cellStyle name="Comma 2 4 2 2 2 3 4 4 3" xfId="36413" xr:uid="{00000000-0005-0000-0000-00005A2A0000}"/>
    <cellStyle name="Comma 2 4 2 2 2 3 4 5" xfId="21203" xr:uid="{00000000-0005-0000-0000-00005B2A0000}"/>
    <cellStyle name="Comma 2 4 2 2 2 3 4 5 2" xfId="39630" xr:uid="{00000000-0005-0000-0000-00005C2A0000}"/>
    <cellStyle name="Comma 2 4 2 2 2 3 4 6" xfId="22276" xr:uid="{00000000-0005-0000-0000-00005D2A0000}"/>
    <cellStyle name="Comma 2 4 2 2 2 3 4 7" xfId="23408" xr:uid="{00000000-0005-0000-0000-00005E2A0000}"/>
    <cellStyle name="Comma 2 4 2 2 2 3 4 8" xfId="26598" xr:uid="{00000000-0005-0000-0000-00005F2A0000}"/>
    <cellStyle name="Comma 2 4 2 2 2 3 4 9" xfId="29931" xr:uid="{00000000-0005-0000-0000-0000602A0000}"/>
    <cellStyle name="Comma 2 4 2 2 2 3 5" xfId="983" xr:uid="{00000000-0005-0000-0000-0000612A0000}"/>
    <cellStyle name="Comma 2 4 2 2 2 3 5 10" xfId="33207" xr:uid="{00000000-0005-0000-0000-0000622A0000}"/>
    <cellStyle name="Comma 2 4 2 2 2 3 5 2" xfId="9753" xr:uid="{00000000-0005-0000-0000-0000632A0000}"/>
    <cellStyle name="Comma 2 4 2 2 2 3 5 2 2" xfId="25553" xr:uid="{00000000-0005-0000-0000-0000642A0000}"/>
    <cellStyle name="Comma 2 4 2 2 2 3 5 2 2 2" xfId="44980" xr:uid="{00000000-0005-0000-0000-0000652A0000}"/>
    <cellStyle name="Comma 2 4 2 2 2 3 5 2 2 3" xfId="38557" xr:uid="{00000000-0005-0000-0000-0000662A0000}"/>
    <cellStyle name="Comma 2 4 2 2 2 3 5 2 3" xfId="27731" xr:uid="{00000000-0005-0000-0000-0000672A0000}"/>
    <cellStyle name="Comma 2 4 2 2 2 3 5 2 3 2" xfId="41773" xr:uid="{00000000-0005-0000-0000-0000682A0000}"/>
    <cellStyle name="Comma 2 4 2 2 2 3 5 2 4" xfId="31066" xr:uid="{00000000-0005-0000-0000-0000692A0000}"/>
    <cellStyle name="Comma 2 4 2 2 2 3 5 2 5" xfId="35349" xr:uid="{00000000-0005-0000-0000-00006A2A0000}"/>
    <cellStyle name="Comma 2 4 2 2 2 3 5 3" xfId="15397" xr:uid="{00000000-0005-0000-0000-00006B2A0000}"/>
    <cellStyle name="Comma 2 4 2 2 2 3 5 3 2" xfId="24412" xr:uid="{00000000-0005-0000-0000-00006C2A0000}"/>
    <cellStyle name="Comma 2 4 2 2 2 3 5 3 2 2" xfId="43841" xr:uid="{00000000-0005-0000-0000-00006D2A0000}"/>
    <cellStyle name="Comma 2 4 2 2 2 3 5 3 2 3" xfId="37418" xr:uid="{00000000-0005-0000-0000-00006E2A0000}"/>
    <cellStyle name="Comma 2 4 2 2 2 3 5 3 3" xfId="28733" xr:uid="{00000000-0005-0000-0000-00006F2A0000}"/>
    <cellStyle name="Comma 2 4 2 2 2 3 5 3 3 2" xfId="40634" xr:uid="{00000000-0005-0000-0000-0000702A0000}"/>
    <cellStyle name="Comma 2 4 2 2 2 3 5 3 4" xfId="32068" xr:uid="{00000000-0005-0000-0000-0000712A0000}"/>
    <cellStyle name="Comma 2 4 2 2 2 3 5 3 5" xfId="34210" xr:uid="{00000000-0005-0000-0000-0000722A0000}"/>
    <cellStyle name="Comma 2 4 2 2 2 3 5 4" xfId="8215" xr:uid="{00000000-0005-0000-0000-0000732A0000}"/>
    <cellStyle name="Comma 2 4 2 2 2 3 5 4 2" xfId="42838" xr:uid="{00000000-0005-0000-0000-0000742A0000}"/>
    <cellStyle name="Comma 2 4 2 2 2 3 5 4 3" xfId="36414" xr:uid="{00000000-0005-0000-0000-0000752A0000}"/>
    <cellStyle name="Comma 2 4 2 2 2 3 5 5" xfId="21204" xr:uid="{00000000-0005-0000-0000-0000762A0000}"/>
    <cellStyle name="Comma 2 4 2 2 2 3 5 5 2" xfId="39631" xr:uid="{00000000-0005-0000-0000-0000772A0000}"/>
    <cellStyle name="Comma 2 4 2 2 2 3 5 6" xfId="22277" xr:uid="{00000000-0005-0000-0000-0000782A0000}"/>
    <cellStyle name="Comma 2 4 2 2 2 3 5 7" xfId="23409" xr:uid="{00000000-0005-0000-0000-0000792A0000}"/>
    <cellStyle name="Comma 2 4 2 2 2 3 5 8" xfId="26599" xr:uid="{00000000-0005-0000-0000-00007A2A0000}"/>
    <cellStyle name="Comma 2 4 2 2 2 3 5 9" xfId="29932" xr:uid="{00000000-0005-0000-0000-00007B2A0000}"/>
    <cellStyle name="Comma 2 4 2 2 2 3 6" xfId="984" xr:uid="{00000000-0005-0000-0000-00007C2A0000}"/>
    <cellStyle name="Comma 2 4 2 2 2 3 6 10" xfId="33208" xr:uid="{00000000-0005-0000-0000-00007D2A0000}"/>
    <cellStyle name="Comma 2 4 2 2 2 3 6 2" xfId="9754" xr:uid="{00000000-0005-0000-0000-00007E2A0000}"/>
    <cellStyle name="Comma 2 4 2 2 2 3 6 2 2" xfId="25554" xr:uid="{00000000-0005-0000-0000-00007F2A0000}"/>
    <cellStyle name="Comma 2 4 2 2 2 3 6 2 2 2" xfId="44981" xr:uid="{00000000-0005-0000-0000-0000802A0000}"/>
    <cellStyle name="Comma 2 4 2 2 2 3 6 2 2 3" xfId="38558" xr:uid="{00000000-0005-0000-0000-0000812A0000}"/>
    <cellStyle name="Comma 2 4 2 2 2 3 6 2 3" xfId="27732" xr:uid="{00000000-0005-0000-0000-0000822A0000}"/>
    <cellStyle name="Comma 2 4 2 2 2 3 6 2 3 2" xfId="41774" xr:uid="{00000000-0005-0000-0000-0000832A0000}"/>
    <cellStyle name="Comma 2 4 2 2 2 3 6 2 4" xfId="31067" xr:uid="{00000000-0005-0000-0000-0000842A0000}"/>
    <cellStyle name="Comma 2 4 2 2 2 3 6 2 5" xfId="35350" xr:uid="{00000000-0005-0000-0000-0000852A0000}"/>
    <cellStyle name="Comma 2 4 2 2 2 3 6 3" xfId="15398" xr:uid="{00000000-0005-0000-0000-0000862A0000}"/>
    <cellStyle name="Comma 2 4 2 2 2 3 6 3 2" xfId="24413" xr:uid="{00000000-0005-0000-0000-0000872A0000}"/>
    <cellStyle name="Comma 2 4 2 2 2 3 6 3 2 2" xfId="43842" xr:uid="{00000000-0005-0000-0000-0000882A0000}"/>
    <cellStyle name="Comma 2 4 2 2 2 3 6 3 2 3" xfId="37419" xr:uid="{00000000-0005-0000-0000-0000892A0000}"/>
    <cellStyle name="Comma 2 4 2 2 2 3 6 3 3" xfId="28734" xr:uid="{00000000-0005-0000-0000-00008A2A0000}"/>
    <cellStyle name="Comma 2 4 2 2 2 3 6 3 3 2" xfId="40635" xr:uid="{00000000-0005-0000-0000-00008B2A0000}"/>
    <cellStyle name="Comma 2 4 2 2 2 3 6 3 4" xfId="32069" xr:uid="{00000000-0005-0000-0000-00008C2A0000}"/>
    <cellStyle name="Comma 2 4 2 2 2 3 6 3 5" xfId="34211" xr:uid="{00000000-0005-0000-0000-00008D2A0000}"/>
    <cellStyle name="Comma 2 4 2 2 2 3 6 4" xfId="8216" xr:uid="{00000000-0005-0000-0000-00008E2A0000}"/>
    <cellStyle name="Comma 2 4 2 2 2 3 6 4 2" xfId="42839" xr:uid="{00000000-0005-0000-0000-00008F2A0000}"/>
    <cellStyle name="Comma 2 4 2 2 2 3 6 4 3" xfId="36415" xr:uid="{00000000-0005-0000-0000-0000902A0000}"/>
    <cellStyle name="Comma 2 4 2 2 2 3 6 5" xfId="21205" xr:uid="{00000000-0005-0000-0000-0000912A0000}"/>
    <cellStyle name="Comma 2 4 2 2 2 3 6 5 2" xfId="39632" xr:uid="{00000000-0005-0000-0000-0000922A0000}"/>
    <cellStyle name="Comma 2 4 2 2 2 3 6 6" xfId="22278" xr:uid="{00000000-0005-0000-0000-0000932A0000}"/>
    <cellStyle name="Comma 2 4 2 2 2 3 6 7" xfId="23410" xr:uid="{00000000-0005-0000-0000-0000942A0000}"/>
    <cellStyle name="Comma 2 4 2 2 2 3 6 8" xfId="26600" xr:uid="{00000000-0005-0000-0000-0000952A0000}"/>
    <cellStyle name="Comma 2 4 2 2 2 3 6 9" xfId="29933" xr:uid="{00000000-0005-0000-0000-0000962A0000}"/>
    <cellStyle name="Comma 2 4 2 2 2 3 7" xfId="9075" xr:uid="{00000000-0005-0000-0000-0000972A0000}"/>
    <cellStyle name="Comma 2 4 2 2 2 3 7 2" xfId="25130" xr:uid="{00000000-0005-0000-0000-0000982A0000}"/>
    <cellStyle name="Comma 2 4 2 2 2 3 7 2 2" xfId="44557" xr:uid="{00000000-0005-0000-0000-0000992A0000}"/>
    <cellStyle name="Comma 2 4 2 2 2 3 7 2 3" xfId="38134" xr:uid="{00000000-0005-0000-0000-00009A2A0000}"/>
    <cellStyle name="Comma 2 4 2 2 2 3 7 3" xfId="27309" xr:uid="{00000000-0005-0000-0000-00009B2A0000}"/>
    <cellStyle name="Comma 2 4 2 2 2 3 7 3 2" xfId="41350" xr:uid="{00000000-0005-0000-0000-00009C2A0000}"/>
    <cellStyle name="Comma 2 4 2 2 2 3 7 4" xfId="30644" xr:uid="{00000000-0005-0000-0000-00009D2A0000}"/>
    <cellStyle name="Comma 2 4 2 2 2 3 7 5" xfId="34926" xr:uid="{00000000-0005-0000-0000-00009E2A0000}"/>
    <cellStyle name="Comma 2 4 2 2 2 3 8" xfId="15393" xr:uid="{00000000-0005-0000-0000-00009F2A0000}"/>
    <cellStyle name="Comma 2 4 2 2 2 3 8 2" xfId="24408" xr:uid="{00000000-0005-0000-0000-0000A02A0000}"/>
    <cellStyle name="Comma 2 4 2 2 2 3 8 2 2" xfId="43837" xr:uid="{00000000-0005-0000-0000-0000A12A0000}"/>
    <cellStyle name="Comma 2 4 2 2 2 3 8 2 3" xfId="37414" xr:uid="{00000000-0005-0000-0000-0000A22A0000}"/>
    <cellStyle name="Comma 2 4 2 2 2 3 8 3" xfId="28729" xr:uid="{00000000-0005-0000-0000-0000A32A0000}"/>
    <cellStyle name="Comma 2 4 2 2 2 3 8 3 2" xfId="40630" xr:uid="{00000000-0005-0000-0000-0000A42A0000}"/>
    <cellStyle name="Comma 2 4 2 2 2 3 8 4" xfId="32064" xr:uid="{00000000-0005-0000-0000-0000A52A0000}"/>
    <cellStyle name="Comma 2 4 2 2 2 3 8 5" xfId="34206" xr:uid="{00000000-0005-0000-0000-0000A62A0000}"/>
    <cellStyle name="Comma 2 4 2 2 2 3 9" xfId="8211" xr:uid="{00000000-0005-0000-0000-0000A72A0000}"/>
    <cellStyle name="Comma 2 4 2 2 2 3 9 2" xfId="42420" xr:uid="{00000000-0005-0000-0000-0000A82A0000}"/>
    <cellStyle name="Comma 2 4 2 2 2 3 9 3" xfId="35996" xr:uid="{00000000-0005-0000-0000-0000A92A0000}"/>
    <cellStyle name="Comma 2 4 2 2 2 4" xfId="985" xr:uid="{00000000-0005-0000-0000-0000AA2A0000}"/>
    <cellStyle name="Comma 2 4 2 2 2 4 10" xfId="22279" xr:uid="{00000000-0005-0000-0000-0000AB2A0000}"/>
    <cellStyle name="Comma 2 4 2 2 2 4 11" xfId="23411" xr:uid="{00000000-0005-0000-0000-0000AC2A0000}"/>
    <cellStyle name="Comma 2 4 2 2 2 4 12" xfId="26601" xr:uid="{00000000-0005-0000-0000-0000AD2A0000}"/>
    <cellStyle name="Comma 2 4 2 2 2 4 13" xfId="29934" xr:uid="{00000000-0005-0000-0000-0000AE2A0000}"/>
    <cellStyle name="Comma 2 4 2 2 2 4 14" xfId="33209" xr:uid="{00000000-0005-0000-0000-0000AF2A0000}"/>
    <cellStyle name="Comma 2 4 2 2 2 4 2" xfId="986" xr:uid="{00000000-0005-0000-0000-0000B02A0000}"/>
    <cellStyle name="Comma 2 4 2 2 2 4 2 10" xfId="33210" xr:uid="{00000000-0005-0000-0000-0000B12A0000}"/>
    <cellStyle name="Comma 2 4 2 2 2 4 2 2" xfId="9756" xr:uid="{00000000-0005-0000-0000-0000B22A0000}"/>
    <cellStyle name="Comma 2 4 2 2 2 4 2 2 2" xfId="25556" xr:uid="{00000000-0005-0000-0000-0000B32A0000}"/>
    <cellStyle name="Comma 2 4 2 2 2 4 2 2 2 2" xfId="44983" xr:uid="{00000000-0005-0000-0000-0000B42A0000}"/>
    <cellStyle name="Comma 2 4 2 2 2 4 2 2 2 3" xfId="38560" xr:uid="{00000000-0005-0000-0000-0000B52A0000}"/>
    <cellStyle name="Comma 2 4 2 2 2 4 2 2 3" xfId="27734" xr:uid="{00000000-0005-0000-0000-0000B62A0000}"/>
    <cellStyle name="Comma 2 4 2 2 2 4 2 2 3 2" xfId="41776" xr:uid="{00000000-0005-0000-0000-0000B72A0000}"/>
    <cellStyle name="Comma 2 4 2 2 2 4 2 2 4" xfId="31069" xr:uid="{00000000-0005-0000-0000-0000B82A0000}"/>
    <cellStyle name="Comma 2 4 2 2 2 4 2 2 5" xfId="35352" xr:uid="{00000000-0005-0000-0000-0000B92A0000}"/>
    <cellStyle name="Comma 2 4 2 2 2 4 2 3" xfId="15400" xr:uid="{00000000-0005-0000-0000-0000BA2A0000}"/>
    <cellStyle name="Comma 2 4 2 2 2 4 2 3 2" xfId="24415" xr:uid="{00000000-0005-0000-0000-0000BB2A0000}"/>
    <cellStyle name="Comma 2 4 2 2 2 4 2 3 2 2" xfId="43844" xr:uid="{00000000-0005-0000-0000-0000BC2A0000}"/>
    <cellStyle name="Comma 2 4 2 2 2 4 2 3 2 3" xfId="37421" xr:uid="{00000000-0005-0000-0000-0000BD2A0000}"/>
    <cellStyle name="Comma 2 4 2 2 2 4 2 3 3" xfId="28736" xr:uid="{00000000-0005-0000-0000-0000BE2A0000}"/>
    <cellStyle name="Comma 2 4 2 2 2 4 2 3 3 2" xfId="40637" xr:uid="{00000000-0005-0000-0000-0000BF2A0000}"/>
    <cellStyle name="Comma 2 4 2 2 2 4 2 3 4" xfId="32071" xr:uid="{00000000-0005-0000-0000-0000C02A0000}"/>
    <cellStyle name="Comma 2 4 2 2 2 4 2 3 5" xfId="34213" xr:uid="{00000000-0005-0000-0000-0000C12A0000}"/>
    <cellStyle name="Comma 2 4 2 2 2 4 2 4" xfId="8218" xr:uid="{00000000-0005-0000-0000-0000C22A0000}"/>
    <cellStyle name="Comma 2 4 2 2 2 4 2 4 2" xfId="42841" xr:uid="{00000000-0005-0000-0000-0000C32A0000}"/>
    <cellStyle name="Comma 2 4 2 2 2 4 2 4 3" xfId="36417" xr:uid="{00000000-0005-0000-0000-0000C42A0000}"/>
    <cellStyle name="Comma 2 4 2 2 2 4 2 5" xfId="21207" xr:uid="{00000000-0005-0000-0000-0000C52A0000}"/>
    <cellStyle name="Comma 2 4 2 2 2 4 2 5 2" xfId="39634" xr:uid="{00000000-0005-0000-0000-0000C62A0000}"/>
    <cellStyle name="Comma 2 4 2 2 2 4 2 6" xfId="22280" xr:uid="{00000000-0005-0000-0000-0000C72A0000}"/>
    <cellStyle name="Comma 2 4 2 2 2 4 2 7" xfId="23412" xr:uid="{00000000-0005-0000-0000-0000C82A0000}"/>
    <cellStyle name="Comma 2 4 2 2 2 4 2 8" xfId="26602" xr:uid="{00000000-0005-0000-0000-0000C92A0000}"/>
    <cellStyle name="Comma 2 4 2 2 2 4 2 9" xfId="29935" xr:uid="{00000000-0005-0000-0000-0000CA2A0000}"/>
    <cellStyle name="Comma 2 4 2 2 2 4 3" xfId="987" xr:uid="{00000000-0005-0000-0000-0000CB2A0000}"/>
    <cellStyle name="Comma 2 4 2 2 2 4 3 10" xfId="33211" xr:uid="{00000000-0005-0000-0000-0000CC2A0000}"/>
    <cellStyle name="Comma 2 4 2 2 2 4 3 2" xfId="9757" xr:uid="{00000000-0005-0000-0000-0000CD2A0000}"/>
    <cellStyle name="Comma 2 4 2 2 2 4 3 2 2" xfId="25557" xr:uid="{00000000-0005-0000-0000-0000CE2A0000}"/>
    <cellStyle name="Comma 2 4 2 2 2 4 3 2 2 2" xfId="44984" xr:uid="{00000000-0005-0000-0000-0000CF2A0000}"/>
    <cellStyle name="Comma 2 4 2 2 2 4 3 2 2 3" xfId="38561" xr:uid="{00000000-0005-0000-0000-0000D02A0000}"/>
    <cellStyle name="Comma 2 4 2 2 2 4 3 2 3" xfId="27735" xr:uid="{00000000-0005-0000-0000-0000D12A0000}"/>
    <cellStyle name="Comma 2 4 2 2 2 4 3 2 3 2" xfId="41777" xr:uid="{00000000-0005-0000-0000-0000D22A0000}"/>
    <cellStyle name="Comma 2 4 2 2 2 4 3 2 4" xfId="31070" xr:uid="{00000000-0005-0000-0000-0000D32A0000}"/>
    <cellStyle name="Comma 2 4 2 2 2 4 3 2 5" xfId="35353" xr:uid="{00000000-0005-0000-0000-0000D42A0000}"/>
    <cellStyle name="Comma 2 4 2 2 2 4 3 3" xfId="15401" xr:uid="{00000000-0005-0000-0000-0000D52A0000}"/>
    <cellStyle name="Comma 2 4 2 2 2 4 3 3 2" xfId="24416" xr:uid="{00000000-0005-0000-0000-0000D62A0000}"/>
    <cellStyle name="Comma 2 4 2 2 2 4 3 3 2 2" xfId="43845" xr:uid="{00000000-0005-0000-0000-0000D72A0000}"/>
    <cellStyle name="Comma 2 4 2 2 2 4 3 3 2 3" xfId="37422" xr:uid="{00000000-0005-0000-0000-0000D82A0000}"/>
    <cellStyle name="Comma 2 4 2 2 2 4 3 3 3" xfId="28737" xr:uid="{00000000-0005-0000-0000-0000D92A0000}"/>
    <cellStyle name="Comma 2 4 2 2 2 4 3 3 3 2" xfId="40638" xr:uid="{00000000-0005-0000-0000-0000DA2A0000}"/>
    <cellStyle name="Comma 2 4 2 2 2 4 3 3 4" xfId="32072" xr:uid="{00000000-0005-0000-0000-0000DB2A0000}"/>
    <cellStyle name="Comma 2 4 2 2 2 4 3 3 5" xfId="34214" xr:uid="{00000000-0005-0000-0000-0000DC2A0000}"/>
    <cellStyle name="Comma 2 4 2 2 2 4 3 4" xfId="8219" xr:uid="{00000000-0005-0000-0000-0000DD2A0000}"/>
    <cellStyle name="Comma 2 4 2 2 2 4 3 4 2" xfId="42842" xr:uid="{00000000-0005-0000-0000-0000DE2A0000}"/>
    <cellStyle name="Comma 2 4 2 2 2 4 3 4 3" xfId="36418" xr:uid="{00000000-0005-0000-0000-0000DF2A0000}"/>
    <cellStyle name="Comma 2 4 2 2 2 4 3 5" xfId="21208" xr:uid="{00000000-0005-0000-0000-0000E02A0000}"/>
    <cellStyle name="Comma 2 4 2 2 2 4 3 5 2" xfId="39635" xr:uid="{00000000-0005-0000-0000-0000E12A0000}"/>
    <cellStyle name="Comma 2 4 2 2 2 4 3 6" xfId="22281" xr:uid="{00000000-0005-0000-0000-0000E22A0000}"/>
    <cellStyle name="Comma 2 4 2 2 2 4 3 7" xfId="23413" xr:uid="{00000000-0005-0000-0000-0000E32A0000}"/>
    <cellStyle name="Comma 2 4 2 2 2 4 3 8" xfId="26603" xr:uid="{00000000-0005-0000-0000-0000E42A0000}"/>
    <cellStyle name="Comma 2 4 2 2 2 4 3 9" xfId="29936" xr:uid="{00000000-0005-0000-0000-0000E52A0000}"/>
    <cellStyle name="Comma 2 4 2 2 2 4 4" xfId="988" xr:uid="{00000000-0005-0000-0000-0000E62A0000}"/>
    <cellStyle name="Comma 2 4 2 2 2 4 4 10" xfId="33212" xr:uid="{00000000-0005-0000-0000-0000E72A0000}"/>
    <cellStyle name="Comma 2 4 2 2 2 4 4 2" xfId="9758" xr:uid="{00000000-0005-0000-0000-0000E82A0000}"/>
    <cellStyle name="Comma 2 4 2 2 2 4 4 2 2" xfId="25558" xr:uid="{00000000-0005-0000-0000-0000E92A0000}"/>
    <cellStyle name="Comma 2 4 2 2 2 4 4 2 2 2" xfId="44985" xr:uid="{00000000-0005-0000-0000-0000EA2A0000}"/>
    <cellStyle name="Comma 2 4 2 2 2 4 4 2 2 3" xfId="38562" xr:uid="{00000000-0005-0000-0000-0000EB2A0000}"/>
    <cellStyle name="Comma 2 4 2 2 2 4 4 2 3" xfId="27736" xr:uid="{00000000-0005-0000-0000-0000EC2A0000}"/>
    <cellStyle name="Comma 2 4 2 2 2 4 4 2 3 2" xfId="41778" xr:uid="{00000000-0005-0000-0000-0000ED2A0000}"/>
    <cellStyle name="Comma 2 4 2 2 2 4 4 2 4" xfId="31071" xr:uid="{00000000-0005-0000-0000-0000EE2A0000}"/>
    <cellStyle name="Comma 2 4 2 2 2 4 4 2 5" xfId="35354" xr:uid="{00000000-0005-0000-0000-0000EF2A0000}"/>
    <cellStyle name="Comma 2 4 2 2 2 4 4 3" xfId="15402" xr:uid="{00000000-0005-0000-0000-0000F02A0000}"/>
    <cellStyle name="Comma 2 4 2 2 2 4 4 3 2" xfId="24417" xr:uid="{00000000-0005-0000-0000-0000F12A0000}"/>
    <cellStyle name="Comma 2 4 2 2 2 4 4 3 2 2" xfId="43846" xr:uid="{00000000-0005-0000-0000-0000F22A0000}"/>
    <cellStyle name="Comma 2 4 2 2 2 4 4 3 2 3" xfId="37423" xr:uid="{00000000-0005-0000-0000-0000F32A0000}"/>
    <cellStyle name="Comma 2 4 2 2 2 4 4 3 3" xfId="28738" xr:uid="{00000000-0005-0000-0000-0000F42A0000}"/>
    <cellStyle name="Comma 2 4 2 2 2 4 4 3 3 2" xfId="40639" xr:uid="{00000000-0005-0000-0000-0000F52A0000}"/>
    <cellStyle name="Comma 2 4 2 2 2 4 4 3 4" xfId="32073" xr:uid="{00000000-0005-0000-0000-0000F62A0000}"/>
    <cellStyle name="Comma 2 4 2 2 2 4 4 3 5" xfId="34215" xr:uid="{00000000-0005-0000-0000-0000F72A0000}"/>
    <cellStyle name="Comma 2 4 2 2 2 4 4 4" xfId="8220" xr:uid="{00000000-0005-0000-0000-0000F82A0000}"/>
    <cellStyle name="Comma 2 4 2 2 2 4 4 4 2" xfId="42843" xr:uid="{00000000-0005-0000-0000-0000F92A0000}"/>
    <cellStyle name="Comma 2 4 2 2 2 4 4 4 3" xfId="36419" xr:uid="{00000000-0005-0000-0000-0000FA2A0000}"/>
    <cellStyle name="Comma 2 4 2 2 2 4 4 5" xfId="21209" xr:uid="{00000000-0005-0000-0000-0000FB2A0000}"/>
    <cellStyle name="Comma 2 4 2 2 2 4 4 5 2" xfId="39636" xr:uid="{00000000-0005-0000-0000-0000FC2A0000}"/>
    <cellStyle name="Comma 2 4 2 2 2 4 4 6" xfId="22282" xr:uid="{00000000-0005-0000-0000-0000FD2A0000}"/>
    <cellStyle name="Comma 2 4 2 2 2 4 4 7" xfId="23414" xr:uid="{00000000-0005-0000-0000-0000FE2A0000}"/>
    <cellStyle name="Comma 2 4 2 2 2 4 4 8" xfId="26604" xr:uid="{00000000-0005-0000-0000-0000FF2A0000}"/>
    <cellStyle name="Comma 2 4 2 2 2 4 4 9" xfId="29937" xr:uid="{00000000-0005-0000-0000-0000002B0000}"/>
    <cellStyle name="Comma 2 4 2 2 2 4 5" xfId="989" xr:uid="{00000000-0005-0000-0000-0000012B0000}"/>
    <cellStyle name="Comma 2 4 2 2 2 4 5 10" xfId="33213" xr:uid="{00000000-0005-0000-0000-0000022B0000}"/>
    <cellStyle name="Comma 2 4 2 2 2 4 5 2" xfId="9759" xr:uid="{00000000-0005-0000-0000-0000032B0000}"/>
    <cellStyle name="Comma 2 4 2 2 2 4 5 2 2" xfId="25559" xr:uid="{00000000-0005-0000-0000-0000042B0000}"/>
    <cellStyle name="Comma 2 4 2 2 2 4 5 2 2 2" xfId="44986" xr:uid="{00000000-0005-0000-0000-0000052B0000}"/>
    <cellStyle name="Comma 2 4 2 2 2 4 5 2 2 3" xfId="38563" xr:uid="{00000000-0005-0000-0000-0000062B0000}"/>
    <cellStyle name="Comma 2 4 2 2 2 4 5 2 3" xfId="27737" xr:uid="{00000000-0005-0000-0000-0000072B0000}"/>
    <cellStyle name="Comma 2 4 2 2 2 4 5 2 3 2" xfId="41779" xr:uid="{00000000-0005-0000-0000-0000082B0000}"/>
    <cellStyle name="Comma 2 4 2 2 2 4 5 2 4" xfId="31072" xr:uid="{00000000-0005-0000-0000-0000092B0000}"/>
    <cellStyle name="Comma 2 4 2 2 2 4 5 2 5" xfId="35355" xr:uid="{00000000-0005-0000-0000-00000A2B0000}"/>
    <cellStyle name="Comma 2 4 2 2 2 4 5 3" xfId="15403" xr:uid="{00000000-0005-0000-0000-00000B2B0000}"/>
    <cellStyle name="Comma 2 4 2 2 2 4 5 3 2" xfId="24418" xr:uid="{00000000-0005-0000-0000-00000C2B0000}"/>
    <cellStyle name="Comma 2 4 2 2 2 4 5 3 2 2" xfId="43847" xr:uid="{00000000-0005-0000-0000-00000D2B0000}"/>
    <cellStyle name="Comma 2 4 2 2 2 4 5 3 2 3" xfId="37424" xr:uid="{00000000-0005-0000-0000-00000E2B0000}"/>
    <cellStyle name="Comma 2 4 2 2 2 4 5 3 3" xfId="28739" xr:uid="{00000000-0005-0000-0000-00000F2B0000}"/>
    <cellStyle name="Comma 2 4 2 2 2 4 5 3 3 2" xfId="40640" xr:uid="{00000000-0005-0000-0000-0000102B0000}"/>
    <cellStyle name="Comma 2 4 2 2 2 4 5 3 4" xfId="32074" xr:uid="{00000000-0005-0000-0000-0000112B0000}"/>
    <cellStyle name="Comma 2 4 2 2 2 4 5 3 5" xfId="34216" xr:uid="{00000000-0005-0000-0000-0000122B0000}"/>
    <cellStyle name="Comma 2 4 2 2 2 4 5 4" xfId="8221" xr:uid="{00000000-0005-0000-0000-0000132B0000}"/>
    <cellStyle name="Comma 2 4 2 2 2 4 5 4 2" xfId="42844" xr:uid="{00000000-0005-0000-0000-0000142B0000}"/>
    <cellStyle name="Comma 2 4 2 2 2 4 5 4 3" xfId="36420" xr:uid="{00000000-0005-0000-0000-0000152B0000}"/>
    <cellStyle name="Comma 2 4 2 2 2 4 5 5" xfId="21210" xr:uid="{00000000-0005-0000-0000-0000162B0000}"/>
    <cellStyle name="Comma 2 4 2 2 2 4 5 5 2" xfId="39637" xr:uid="{00000000-0005-0000-0000-0000172B0000}"/>
    <cellStyle name="Comma 2 4 2 2 2 4 5 6" xfId="22283" xr:uid="{00000000-0005-0000-0000-0000182B0000}"/>
    <cellStyle name="Comma 2 4 2 2 2 4 5 7" xfId="23415" xr:uid="{00000000-0005-0000-0000-0000192B0000}"/>
    <cellStyle name="Comma 2 4 2 2 2 4 5 8" xfId="26605" xr:uid="{00000000-0005-0000-0000-00001A2B0000}"/>
    <cellStyle name="Comma 2 4 2 2 2 4 5 9" xfId="29938" xr:uid="{00000000-0005-0000-0000-00001B2B0000}"/>
    <cellStyle name="Comma 2 4 2 2 2 4 6" xfId="9755" xr:uid="{00000000-0005-0000-0000-00001C2B0000}"/>
    <cellStyle name="Comma 2 4 2 2 2 4 6 2" xfId="25555" xr:uid="{00000000-0005-0000-0000-00001D2B0000}"/>
    <cellStyle name="Comma 2 4 2 2 2 4 6 2 2" xfId="44982" xr:uid="{00000000-0005-0000-0000-00001E2B0000}"/>
    <cellStyle name="Comma 2 4 2 2 2 4 6 2 3" xfId="38559" xr:uid="{00000000-0005-0000-0000-00001F2B0000}"/>
    <cellStyle name="Comma 2 4 2 2 2 4 6 3" xfId="27733" xr:uid="{00000000-0005-0000-0000-0000202B0000}"/>
    <cellStyle name="Comma 2 4 2 2 2 4 6 3 2" xfId="41775" xr:uid="{00000000-0005-0000-0000-0000212B0000}"/>
    <cellStyle name="Comma 2 4 2 2 2 4 6 4" xfId="31068" xr:uid="{00000000-0005-0000-0000-0000222B0000}"/>
    <cellStyle name="Comma 2 4 2 2 2 4 6 5" xfId="35351" xr:uid="{00000000-0005-0000-0000-0000232B0000}"/>
    <cellStyle name="Comma 2 4 2 2 2 4 7" xfId="15399" xr:uid="{00000000-0005-0000-0000-0000242B0000}"/>
    <cellStyle name="Comma 2 4 2 2 2 4 7 2" xfId="24414" xr:uid="{00000000-0005-0000-0000-0000252B0000}"/>
    <cellStyle name="Comma 2 4 2 2 2 4 7 2 2" xfId="43843" xr:uid="{00000000-0005-0000-0000-0000262B0000}"/>
    <cellStyle name="Comma 2 4 2 2 2 4 7 2 3" xfId="37420" xr:uid="{00000000-0005-0000-0000-0000272B0000}"/>
    <cellStyle name="Comma 2 4 2 2 2 4 7 3" xfId="28735" xr:uid="{00000000-0005-0000-0000-0000282B0000}"/>
    <cellStyle name="Comma 2 4 2 2 2 4 7 3 2" xfId="40636" xr:uid="{00000000-0005-0000-0000-0000292B0000}"/>
    <cellStyle name="Comma 2 4 2 2 2 4 7 4" xfId="32070" xr:uid="{00000000-0005-0000-0000-00002A2B0000}"/>
    <cellStyle name="Comma 2 4 2 2 2 4 7 5" xfId="34212" xr:uid="{00000000-0005-0000-0000-00002B2B0000}"/>
    <cellStyle name="Comma 2 4 2 2 2 4 8" xfId="8217" xr:uid="{00000000-0005-0000-0000-00002C2B0000}"/>
    <cellStyle name="Comma 2 4 2 2 2 4 8 2" xfId="42840" xr:uid="{00000000-0005-0000-0000-00002D2B0000}"/>
    <cellStyle name="Comma 2 4 2 2 2 4 8 3" xfId="36416" xr:uid="{00000000-0005-0000-0000-00002E2B0000}"/>
    <cellStyle name="Comma 2 4 2 2 2 4 9" xfId="21206" xr:uid="{00000000-0005-0000-0000-00002F2B0000}"/>
    <cellStyle name="Comma 2 4 2 2 2 4 9 2" xfId="39633" xr:uid="{00000000-0005-0000-0000-0000302B0000}"/>
    <cellStyle name="Comma 2 4 2 2 2 5" xfId="990" xr:uid="{00000000-0005-0000-0000-0000312B0000}"/>
    <cellStyle name="Comma 2 4 2 2 2 5 10" xfId="22284" xr:uid="{00000000-0005-0000-0000-0000322B0000}"/>
    <cellStyle name="Comma 2 4 2 2 2 5 11" xfId="23416" xr:uid="{00000000-0005-0000-0000-0000332B0000}"/>
    <cellStyle name="Comma 2 4 2 2 2 5 12" xfId="26606" xr:uid="{00000000-0005-0000-0000-0000342B0000}"/>
    <cellStyle name="Comma 2 4 2 2 2 5 13" xfId="29939" xr:uid="{00000000-0005-0000-0000-0000352B0000}"/>
    <cellStyle name="Comma 2 4 2 2 2 5 14" xfId="33214" xr:uid="{00000000-0005-0000-0000-0000362B0000}"/>
    <cellStyle name="Comma 2 4 2 2 2 5 2" xfId="991" xr:uid="{00000000-0005-0000-0000-0000372B0000}"/>
    <cellStyle name="Comma 2 4 2 2 2 5 2 10" xfId="33215" xr:uid="{00000000-0005-0000-0000-0000382B0000}"/>
    <cellStyle name="Comma 2 4 2 2 2 5 2 2" xfId="9761" xr:uid="{00000000-0005-0000-0000-0000392B0000}"/>
    <cellStyle name="Comma 2 4 2 2 2 5 2 2 2" xfId="25561" xr:uid="{00000000-0005-0000-0000-00003A2B0000}"/>
    <cellStyle name="Comma 2 4 2 2 2 5 2 2 2 2" xfId="44988" xr:uid="{00000000-0005-0000-0000-00003B2B0000}"/>
    <cellStyle name="Comma 2 4 2 2 2 5 2 2 2 3" xfId="38565" xr:uid="{00000000-0005-0000-0000-00003C2B0000}"/>
    <cellStyle name="Comma 2 4 2 2 2 5 2 2 3" xfId="27739" xr:uid="{00000000-0005-0000-0000-00003D2B0000}"/>
    <cellStyle name="Comma 2 4 2 2 2 5 2 2 3 2" xfId="41781" xr:uid="{00000000-0005-0000-0000-00003E2B0000}"/>
    <cellStyle name="Comma 2 4 2 2 2 5 2 2 4" xfId="31074" xr:uid="{00000000-0005-0000-0000-00003F2B0000}"/>
    <cellStyle name="Comma 2 4 2 2 2 5 2 2 5" xfId="35357" xr:uid="{00000000-0005-0000-0000-0000402B0000}"/>
    <cellStyle name="Comma 2 4 2 2 2 5 2 3" xfId="15405" xr:uid="{00000000-0005-0000-0000-0000412B0000}"/>
    <cellStyle name="Comma 2 4 2 2 2 5 2 3 2" xfId="24420" xr:uid="{00000000-0005-0000-0000-0000422B0000}"/>
    <cellStyle name="Comma 2 4 2 2 2 5 2 3 2 2" xfId="43849" xr:uid="{00000000-0005-0000-0000-0000432B0000}"/>
    <cellStyle name="Comma 2 4 2 2 2 5 2 3 2 3" xfId="37426" xr:uid="{00000000-0005-0000-0000-0000442B0000}"/>
    <cellStyle name="Comma 2 4 2 2 2 5 2 3 3" xfId="28741" xr:uid="{00000000-0005-0000-0000-0000452B0000}"/>
    <cellStyle name="Comma 2 4 2 2 2 5 2 3 3 2" xfId="40642" xr:uid="{00000000-0005-0000-0000-0000462B0000}"/>
    <cellStyle name="Comma 2 4 2 2 2 5 2 3 4" xfId="32076" xr:uid="{00000000-0005-0000-0000-0000472B0000}"/>
    <cellStyle name="Comma 2 4 2 2 2 5 2 3 5" xfId="34218" xr:uid="{00000000-0005-0000-0000-0000482B0000}"/>
    <cellStyle name="Comma 2 4 2 2 2 5 2 4" xfId="8223" xr:uid="{00000000-0005-0000-0000-0000492B0000}"/>
    <cellStyle name="Comma 2 4 2 2 2 5 2 4 2" xfId="42846" xr:uid="{00000000-0005-0000-0000-00004A2B0000}"/>
    <cellStyle name="Comma 2 4 2 2 2 5 2 4 3" xfId="36422" xr:uid="{00000000-0005-0000-0000-00004B2B0000}"/>
    <cellStyle name="Comma 2 4 2 2 2 5 2 5" xfId="21212" xr:uid="{00000000-0005-0000-0000-00004C2B0000}"/>
    <cellStyle name="Comma 2 4 2 2 2 5 2 5 2" xfId="39639" xr:uid="{00000000-0005-0000-0000-00004D2B0000}"/>
    <cellStyle name="Comma 2 4 2 2 2 5 2 6" xfId="22285" xr:uid="{00000000-0005-0000-0000-00004E2B0000}"/>
    <cellStyle name="Comma 2 4 2 2 2 5 2 7" xfId="23417" xr:uid="{00000000-0005-0000-0000-00004F2B0000}"/>
    <cellStyle name="Comma 2 4 2 2 2 5 2 8" xfId="26607" xr:uid="{00000000-0005-0000-0000-0000502B0000}"/>
    <cellStyle name="Comma 2 4 2 2 2 5 2 9" xfId="29940" xr:uid="{00000000-0005-0000-0000-0000512B0000}"/>
    <cellStyle name="Comma 2 4 2 2 2 5 3" xfId="992" xr:uid="{00000000-0005-0000-0000-0000522B0000}"/>
    <cellStyle name="Comma 2 4 2 2 2 5 3 10" xfId="33216" xr:uid="{00000000-0005-0000-0000-0000532B0000}"/>
    <cellStyle name="Comma 2 4 2 2 2 5 3 2" xfId="9762" xr:uid="{00000000-0005-0000-0000-0000542B0000}"/>
    <cellStyle name="Comma 2 4 2 2 2 5 3 2 2" xfId="25562" xr:uid="{00000000-0005-0000-0000-0000552B0000}"/>
    <cellStyle name="Comma 2 4 2 2 2 5 3 2 2 2" xfId="44989" xr:uid="{00000000-0005-0000-0000-0000562B0000}"/>
    <cellStyle name="Comma 2 4 2 2 2 5 3 2 2 3" xfId="38566" xr:uid="{00000000-0005-0000-0000-0000572B0000}"/>
    <cellStyle name="Comma 2 4 2 2 2 5 3 2 3" xfId="27740" xr:uid="{00000000-0005-0000-0000-0000582B0000}"/>
    <cellStyle name="Comma 2 4 2 2 2 5 3 2 3 2" xfId="41782" xr:uid="{00000000-0005-0000-0000-0000592B0000}"/>
    <cellStyle name="Comma 2 4 2 2 2 5 3 2 4" xfId="31075" xr:uid="{00000000-0005-0000-0000-00005A2B0000}"/>
    <cellStyle name="Comma 2 4 2 2 2 5 3 2 5" xfId="35358" xr:uid="{00000000-0005-0000-0000-00005B2B0000}"/>
    <cellStyle name="Comma 2 4 2 2 2 5 3 3" xfId="15406" xr:uid="{00000000-0005-0000-0000-00005C2B0000}"/>
    <cellStyle name="Comma 2 4 2 2 2 5 3 3 2" xfId="24421" xr:uid="{00000000-0005-0000-0000-00005D2B0000}"/>
    <cellStyle name="Comma 2 4 2 2 2 5 3 3 2 2" xfId="43850" xr:uid="{00000000-0005-0000-0000-00005E2B0000}"/>
    <cellStyle name="Comma 2 4 2 2 2 5 3 3 2 3" xfId="37427" xr:uid="{00000000-0005-0000-0000-00005F2B0000}"/>
    <cellStyle name="Comma 2 4 2 2 2 5 3 3 3" xfId="28742" xr:uid="{00000000-0005-0000-0000-0000602B0000}"/>
    <cellStyle name="Comma 2 4 2 2 2 5 3 3 3 2" xfId="40643" xr:uid="{00000000-0005-0000-0000-0000612B0000}"/>
    <cellStyle name="Comma 2 4 2 2 2 5 3 3 4" xfId="32077" xr:uid="{00000000-0005-0000-0000-0000622B0000}"/>
    <cellStyle name="Comma 2 4 2 2 2 5 3 3 5" xfId="34219" xr:uid="{00000000-0005-0000-0000-0000632B0000}"/>
    <cellStyle name="Comma 2 4 2 2 2 5 3 4" xfId="8224" xr:uid="{00000000-0005-0000-0000-0000642B0000}"/>
    <cellStyle name="Comma 2 4 2 2 2 5 3 4 2" xfId="42847" xr:uid="{00000000-0005-0000-0000-0000652B0000}"/>
    <cellStyle name="Comma 2 4 2 2 2 5 3 4 3" xfId="36423" xr:uid="{00000000-0005-0000-0000-0000662B0000}"/>
    <cellStyle name="Comma 2 4 2 2 2 5 3 5" xfId="21213" xr:uid="{00000000-0005-0000-0000-0000672B0000}"/>
    <cellStyle name="Comma 2 4 2 2 2 5 3 5 2" xfId="39640" xr:uid="{00000000-0005-0000-0000-0000682B0000}"/>
    <cellStyle name="Comma 2 4 2 2 2 5 3 6" xfId="22286" xr:uid="{00000000-0005-0000-0000-0000692B0000}"/>
    <cellStyle name="Comma 2 4 2 2 2 5 3 7" xfId="23418" xr:uid="{00000000-0005-0000-0000-00006A2B0000}"/>
    <cellStyle name="Comma 2 4 2 2 2 5 3 8" xfId="26608" xr:uid="{00000000-0005-0000-0000-00006B2B0000}"/>
    <cellStyle name="Comma 2 4 2 2 2 5 3 9" xfId="29941" xr:uid="{00000000-0005-0000-0000-00006C2B0000}"/>
    <cellStyle name="Comma 2 4 2 2 2 5 4" xfId="993" xr:uid="{00000000-0005-0000-0000-00006D2B0000}"/>
    <cellStyle name="Comma 2 4 2 2 2 5 4 10" xfId="33217" xr:uid="{00000000-0005-0000-0000-00006E2B0000}"/>
    <cellStyle name="Comma 2 4 2 2 2 5 4 2" xfId="9763" xr:uid="{00000000-0005-0000-0000-00006F2B0000}"/>
    <cellStyle name="Comma 2 4 2 2 2 5 4 2 2" xfId="25563" xr:uid="{00000000-0005-0000-0000-0000702B0000}"/>
    <cellStyle name="Comma 2 4 2 2 2 5 4 2 2 2" xfId="44990" xr:uid="{00000000-0005-0000-0000-0000712B0000}"/>
    <cellStyle name="Comma 2 4 2 2 2 5 4 2 2 3" xfId="38567" xr:uid="{00000000-0005-0000-0000-0000722B0000}"/>
    <cellStyle name="Comma 2 4 2 2 2 5 4 2 3" xfId="27741" xr:uid="{00000000-0005-0000-0000-0000732B0000}"/>
    <cellStyle name="Comma 2 4 2 2 2 5 4 2 3 2" xfId="41783" xr:uid="{00000000-0005-0000-0000-0000742B0000}"/>
    <cellStyle name="Comma 2 4 2 2 2 5 4 2 4" xfId="31076" xr:uid="{00000000-0005-0000-0000-0000752B0000}"/>
    <cellStyle name="Comma 2 4 2 2 2 5 4 2 5" xfId="35359" xr:uid="{00000000-0005-0000-0000-0000762B0000}"/>
    <cellStyle name="Comma 2 4 2 2 2 5 4 3" xfId="15407" xr:uid="{00000000-0005-0000-0000-0000772B0000}"/>
    <cellStyle name="Comma 2 4 2 2 2 5 4 3 2" xfId="24422" xr:uid="{00000000-0005-0000-0000-0000782B0000}"/>
    <cellStyle name="Comma 2 4 2 2 2 5 4 3 2 2" xfId="43851" xr:uid="{00000000-0005-0000-0000-0000792B0000}"/>
    <cellStyle name="Comma 2 4 2 2 2 5 4 3 2 3" xfId="37428" xr:uid="{00000000-0005-0000-0000-00007A2B0000}"/>
    <cellStyle name="Comma 2 4 2 2 2 5 4 3 3" xfId="28743" xr:uid="{00000000-0005-0000-0000-00007B2B0000}"/>
    <cellStyle name="Comma 2 4 2 2 2 5 4 3 3 2" xfId="40644" xr:uid="{00000000-0005-0000-0000-00007C2B0000}"/>
    <cellStyle name="Comma 2 4 2 2 2 5 4 3 4" xfId="32078" xr:uid="{00000000-0005-0000-0000-00007D2B0000}"/>
    <cellStyle name="Comma 2 4 2 2 2 5 4 3 5" xfId="34220" xr:uid="{00000000-0005-0000-0000-00007E2B0000}"/>
    <cellStyle name="Comma 2 4 2 2 2 5 4 4" xfId="8225" xr:uid="{00000000-0005-0000-0000-00007F2B0000}"/>
    <cellStyle name="Comma 2 4 2 2 2 5 4 4 2" xfId="42848" xr:uid="{00000000-0005-0000-0000-0000802B0000}"/>
    <cellStyle name="Comma 2 4 2 2 2 5 4 4 3" xfId="36424" xr:uid="{00000000-0005-0000-0000-0000812B0000}"/>
    <cellStyle name="Comma 2 4 2 2 2 5 4 5" xfId="21214" xr:uid="{00000000-0005-0000-0000-0000822B0000}"/>
    <cellStyle name="Comma 2 4 2 2 2 5 4 5 2" xfId="39641" xr:uid="{00000000-0005-0000-0000-0000832B0000}"/>
    <cellStyle name="Comma 2 4 2 2 2 5 4 6" xfId="22287" xr:uid="{00000000-0005-0000-0000-0000842B0000}"/>
    <cellStyle name="Comma 2 4 2 2 2 5 4 7" xfId="23419" xr:uid="{00000000-0005-0000-0000-0000852B0000}"/>
    <cellStyle name="Comma 2 4 2 2 2 5 4 8" xfId="26609" xr:uid="{00000000-0005-0000-0000-0000862B0000}"/>
    <cellStyle name="Comma 2 4 2 2 2 5 4 9" xfId="29942" xr:uid="{00000000-0005-0000-0000-0000872B0000}"/>
    <cellStyle name="Comma 2 4 2 2 2 5 5" xfId="994" xr:uid="{00000000-0005-0000-0000-0000882B0000}"/>
    <cellStyle name="Comma 2 4 2 2 2 5 5 10" xfId="33218" xr:uid="{00000000-0005-0000-0000-0000892B0000}"/>
    <cellStyle name="Comma 2 4 2 2 2 5 5 2" xfId="9764" xr:uid="{00000000-0005-0000-0000-00008A2B0000}"/>
    <cellStyle name="Comma 2 4 2 2 2 5 5 2 2" xfId="25564" xr:uid="{00000000-0005-0000-0000-00008B2B0000}"/>
    <cellStyle name="Comma 2 4 2 2 2 5 5 2 2 2" xfId="44991" xr:uid="{00000000-0005-0000-0000-00008C2B0000}"/>
    <cellStyle name="Comma 2 4 2 2 2 5 5 2 2 3" xfId="38568" xr:uid="{00000000-0005-0000-0000-00008D2B0000}"/>
    <cellStyle name="Comma 2 4 2 2 2 5 5 2 3" xfId="27742" xr:uid="{00000000-0005-0000-0000-00008E2B0000}"/>
    <cellStyle name="Comma 2 4 2 2 2 5 5 2 3 2" xfId="41784" xr:uid="{00000000-0005-0000-0000-00008F2B0000}"/>
    <cellStyle name="Comma 2 4 2 2 2 5 5 2 4" xfId="31077" xr:uid="{00000000-0005-0000-0000-0000902B0000}"/>
    <cellStyle name="Comma 2 4 2 2 2 5 5 2 5" xfId="35360" xr:uid="{00000000-0005-0000-0000-0000912B0000}"/>
    <cellStyle name="Comma 2 4 2 2 2 5 5 3" xfId="15408" xr:uid="{00000000-0005-0000-0000-0000922B0000}"/>
    <cellStyle name="Comma 2 4 2 2 2 5 5 3 2" xfId="24423" xr:uid="{00000000-0005-0000-0000-0000932B0000}"/>
    <cellStyle name="Comma 2 4 2 2 2 5 5 3 2 2" xfId="43852" xr:uid="{00000000-0005-0000-0000-0000942B0000}"/>
    <cellStyle name="Comma 2 4 2 2 2 5 5 3 2 3" xfId="37429" xr:uid="{00000000-0005-0000-0000-0000952B0000}"/>
    <cellStyle name="Comma 2 4 2 2 2 5 5 3 3" xfId="28744" xr:uid="{00000000-0005-0000-0000-0000962B0000}"/>
    <cellStyle name="Comma 2 4 2 2 2 5 5 3 3 2" xfId="40645" xr:uid="{00000000-0005-0000-0000-0000972B0000}"/>
    <cellStyle name="Comma 2 4 2 2 2 5 5 3 4" xfId="32079" xr:uid="{00000000-0005-0000-0000-0000982B0000}"/>
    <cellStyle name="Comma 2 4 2 2 2 5 5 3 5" xfId="34221" xr:uid="{00000000-0005-0000-0000-0000992B0000}"/>
    <cellStyle name="Comma 2 4 2 2 2 5 5 4" xfId="8226" xr:uid="{00000000-0005-0000-0000-00009A2B0000}"/>
    <cellStyle name="Comma 2 4 2 2 2 5 5 4 2" xfId="42849" xr:uid="{00000000-0005-0000-0000-00009B2B0000}"/>
    <cellStyle name="Comma 2 4 2 2 2 5 5 4 3" xfId="36425" xr:uid="{00000000-0005-0000-0000-00009C2B0000}"/>
    <cellStyle name="Comma 2 4 2 2 2 5 5 5" xfId="21215" xr:uid="{00000000-0005-0000-0000-00009D2B0000}"/>
    <cellStyle name="Comma 2 4 2 2 2 5 5 5 2" xfId="39642" xr:uid="{00000000-0005-0000-0000-00009E2B0000}"/>
    <cellStyle name="Comma 2 4 2 2 2 5 5 6" xfId="22288" xr:uid="{00000000-0005-0000-0000-00009F2B0000}"/>
    <cellStyle name="Comma 2 4 2 2 2 5 5 7" xfId="23420" xr:uid="{00000000-0005-0000-0000-0000A02B0000}"/>
    <cellStyle name="Comma 2 4 2 2 2 5 5 8" xfId="26610" xr:uid="{00000000-0005-0000-0000-0000A12B0000}"/>
    <cellStyle name="Comma 2 4 2 2 2 5 5 9" xfId="29943" xr:uid="{00000000-0005-0000-0000-0000A22B0000}"/>
    <cellStyle name="Comma 2 4 2 2 2 5 6" xfId="9760" xr:uid="{00000000-0005-0000-0000-0000A32B0000}"/>
    <cellStyle name="Comma 2 4 2 2 2 5 6 2" xfId="25560" xr:uid="{00000000-0005-0000-0000-0000A42B0000}"/>
    <cellStyle name="Comma 2 4 2 2 2 5 6 2 2" xfId="44987" xr:uid="{00000000-0005-0000-0000-0000A52B0000}"/>
    <cellStyle name="Comma 2 4 2 2 2 5 6 2 3" xfId="38564" xr:uid="{00000000-0005-0000-0000-0000A62B0000}"/>
    <cellStyle name="Comma 2 4 2 2 2 5 6 3" xfId="27738" xr:uid="{00000000-0005-0000-0000-0000A72B0000}"/>
    <cellStyle name="Comma 2 4 2 2 2 5 6 3 2" xfId="41780" xr:uid="{00000000-0005-0000-0000-0000A82B0000}"/>
    <cellStyle name="Comma 2 4 2 2 2 5 6 4" xfId="31073" xr:uid="{00000000-0005-0000-0000-0000A92B0000}"/>
    <cellStyle name="Comma 2 4 2 2 2 5 6 5" xfId="35356" xr:uid="{00000000-0005-0000-0000-0000AA2B0000}"/>
    <cellStyle name="Comma 2 4 2 2 2 5 7" xfId="15404" xr:uid="{00000000-0005-0000-0000-0000AB2B0000}"/>
    <cellStyle name="Comma 2 4 2 2 2 5 7 2" xfId="24419" xr:uid="{00000000-0005-0000-0000-0000AC2B0000}"/>
    <cellStyle name="Comma 2 4 2 2 2 5 7 2 2" xfId="43848" xr:uid="{00000000-0005-0000-0000-0000AD2B0000}"/>
    <cellStyle name="Comma 2 4 2 2 2 5 7 2 3" xfId="37425" xr:uid="{00000000-0005-0000-0000-0000AE2B0000}"/>
    <cellStyle name="Comma 2 4 2 2 2 5 7 3" xfId="28740" xr:uid="{00000000-0005-0000-0000-0000AF2B0000}"/>
    <cellStyle name="Comma 2 4 2 2 2 5 7 3 2" xfId="40641" xr:uid="{00000000-0005-0000-0000-0000B02B0000}"/>
    <cellStyle name="Comma 2 4 2 2 2 5 7 4" xfId="32075" xr:uid="{00000000-0005-0000-0000-0000B12B0000}"/>
    <cellStyle name="Comma 2 4 2 2 2 5 7 5" xfId="34217" xr:uid="{00000000-0005-0000-0000-0000B22B0000}"/>
    <cellStyle name="Comma 2 4 2 2 2 5 8" xfId="8222" xr:uid="{00000000-0005-0000-0000-0000B32B0000}"/>
    <cellStyle name="Comma 2 4 2 2 2 5 8 2" xfId="42845" xr:uid="{00000000-0005-0000-0000-0000B42B0000}"/>
    <cellStyle name="Comma 2 4 2 2 2 5 8 3" xfId="36421" xr:uid="{00000000-0005-0000-0000-0000B52B0000}"/>
    <cellStyle name="Comma 2 4 2 2 2 5 9" xfId="21211" xr:uid="{00000000-0005-0000-0000-0000B62B0000}"/>
    <cellStyle name="Comma 2 4 2 2 2 5 9 2" xfId="39638" xr:uid="{00000000-0005-0000-0000-0000B72B0000}"/>
    <cellStyle name="Comma 2 4 2 2 2 6" xfId="995" xr:uid="{00000000-0005-0000-0000-0000B82B0000}"/>
    <cellStyle name="Comma 2 4 2 2 2 6 10" xfId="33219" xr:uid="{00000000-0005-0000-0000-0000B92B0000}"/>
    <cellStyle name="Comma 2 4 2 2 2 6 2" xfId="9765" xr:uid="{00000000-0005-0000-0000-0000BA2B0000}"/>
    <cellStyle name="Comma 2 4 2 2 2 6 2 2" xfId="25565" xr:uid="{00000000-0005-0000-0000-0000BB2B0000}"/>
    <cellStyle name="Comma 2 4 2 2 2 6 2 2 2" xfId="44992" xr:uid="{00000000-0005-0000-0000-0000BC2B0000}"/>
    <cellStyle name="Comma 2 4 2 2 2 6 2 2 3" xfId="38569" xr:uid="{00000000-0005-0000-0000-0000BD2B0000}"/>
    <cellStyle name="Comma 2 4 2 2 2 6 2 3" xfId="27743" xr:uid="{00000000-0005-0000-0000-0000BE2B0000}"/>
    <cellStyle name="Comma 2 4 2 2 2 6 2 3 2" xfId="41785" xr:uid="{00000000-0005-0000-0000-0000BF2B0000}"/>
    <cellStyle name="Comma 2 4 2 2 2 6 2 4" xfId="31078" xr:uid="{00000000-0005-0000-0000-0000C02B0000}"/>
    <cellStyle name="Comma 2 4 2 2 2 6 2 5" xfId="35361" xr:uid="{00000000-0005-0000-0000-0000C12B0000}"/>
    <cellStyle name="Comma 2 4 2 2 2 6 3" xfId="15409" xr:uid="{00000000-0005-0000-0000-0000C22B0000}"/>
    <cellStyle name="Comma 2 4 2 2 2 6 3 2" xfId="24424" xr:uid="{00000000-0005-0000-0000-0000C32B0000}"/>
    <cellStyle name="Comma 2 4 2 2 2 6 3 2 2" xfId="43853" xr:uid="{00000000-0005-0000-0000-0000C42B0000}"/>
    <cellStyle name="Comma 2 4 2 2 2 6 3 2 3" xfId="37430" xr:uid="{00000000-0005-0000-0000-0000C52B0000}"/>
    <cellStyle name="Comma 2 4 2 2 2 6 3 3" xfId="28745" xr:uid="{00000000-0005-0000-0000-0000C62B0000}"/>
    <cellStyle name="Comma 2 4 2 2 2 6 3 3 2" xfId="40646" xr:uid="{00000000-0005-0000-0000-0000C72B0000}"/>
    <cellStyle name="Comma 2 4 2 2 2 6 3 4" xfId="32080" xr:uid="{00000000-0005-0000-0000-0000C82B0000}"/>
    <cellStyle name="Comma 2 4 2 2 2 6 3 5" xfId="34222" xr:uid="{00000000-0005-0000-0000-0000C92B0000}"/>
    <cellStyle name="Comma 2 4 2 2 2 6 4" xfId="8227" xr:uid="{00000000-0005-0000-0000-0000CA2B0000}"/>
    <cellStyle name="Comma 2 4 2 2 2 6 4 2" xfId="42850" xr:uid="{00000000-0005-0000-0000-0000CB2B0000}"/>
    <cellStyle name="Comma 2 4 2 2 2 6 4 3" xfId="36426" xr:uid="{00000000-0005-0000-0000-0000CC2B0000}"/>
    <cellStyle name="Comma 2 4 2 2 2 6 5" xfId="21216" xr:uid="{00000000-0005-0000-0000-0000CD2B0000}"/>
    <cellStyle name="Comma 2 4 2 2 2 6 5 2" xfId="39643" xr:uid="{00000000-0005-0000-0000-0000CE2B0000}"/>
    <cellStyle name="Comma 2 4 2 2 2 6 6" xfId="22289" xr:uid="{00000000-0005-0000-0000-0000CF2B0000}"/>
    <cellStyle name="Comma 2 4 2 2 2 6 7" xfId="23421" xr:uid="{00000000-0005-0000-0000-0000D02B0000}"/>
    <cellStyle name="Comma 2 4 2 2 2 6 8" xfId="26611" xr:uid="{00000000-0005-0000-0000-0000D12B0000}"/>
    <cellStyle name="Comma 2 4 2 2 2 6 9" xfId="29944" xr:uid="{00000000-0005-0000-0000-0000D22B0000}"/>
    <cellStyle name="Comma 2 4 2 2 2 7" xfId="996" xr:uid="{00000000-0005-0000-0000-0000D32B0000}"/>
    <cellStyle name="Comma 2 4 2 2 2 7 10" xfId="33220" xr:uid="{00000000-0005-0000-0000-0000D42B0000}"/>
    <cellStyle name="Comma 2 4 2 2 2 7 2" xfId="9766" xr:uid="{00000000-0005-0000-0000-0000D52B0000}"/>
    <cellStyle name="Comma 2 4 2 2 2 7 2 2" xfId="25566" xr:uid="{00000000-0005-0000-0000-0000D62B0000}"/>
    <cellStyle name="Comma 2 4 2 2 2 7 2 2 2" xfId="44993" xr:uid="{00000000-0005-0000-0000-0000D72B0000}"/>
    <cellStyle name="Comma 2 4 2 2 2 7 2 2 3" xfId="38570" xr:uid="{00000000-0005-0000-0000-0000D82B0000}"/>
    <cellStyle name="Comma 2 4 2 2 2 7 2 3" xfId="27744" xr:uid="{00000000-0005-0000-0000-0000D92B0000}"/>
    <cellStyle name="Comma 2 4 2 2 2 7 2 3 2" xfId="41786" xr:uid="{00000000-0005-0000-0000-0000DA2B0000}"/>
    <cellStyle name="Comma 2 4 2 2 2 7 2 4" xfId="31079" xr:uid="{00000000-0005-0000-0000-0000DB2B0000}"/>
    <cellStyle name="Comma 2 4 2 2 2 7 2 5" xfId="35362" xr:uid="{00000000-0005-0000-0000-0000DC2B0000}"/>
    <cellStyle name="Comma 2 4 2 2 2 7 3" xfId="15410" xr:uid="{00000000-0005-0000-0000-0000DD2B0000}"/>
    <cellStyle name="Comma 2 4 2 2 2 7 3 2" xfId="24425" xr:uid="{00000000-0005-0000-0000-0000DE2B0000}"/>
    <cellStyle name="Comma 2 4 2 2 2 7 3 2 2" xfId="43854" xr:uid="{00000000-0005-0000-0000-0000DF2B0000}"/>
    <cellStyle name="Comma 2 4 2 2 2 7 3 2 3" xfId="37431" xr:uid="{00000000-0005-0000-0000-0000E02B0000}"/>
    <cellStyle name="Comma 2 4 2 2 2 7 3 3" xfId="28746" xr:uid="{00000000-0005-0000-0000-0000E12B0000}"/>
    <cellStyle name="Comma 2 4 2 2 2 7 3 3 2" xfId="40647" xr:uid="{00000000-0005-0000-0000-0000E22B0000}"/>
    <cellStyle name="Comma 2 4 2 2 2 7 3 4" xfId="32081" xr:uid="{00000000-0005-0000-0000-0000E32B0000}"/>
    <cellStyle name="Comma 2 4 2 2 2 7 3 5" xfId="34223" xr:uid="{00000000-0005-0000-0000-0000E42B0000}"/>
    <cellStyle name="Comma 2 4 2 2 2 7 4" xfId="8228" xr:uid="{00000000-0005-0000-0000-0000E52B0000}"/>
    <cellStyle name="Comma 2 4 2 2 2 7 4 2" xfId="42851" xr:uid="{00000000-0005-0000-0000-0000E62B0000}"/>
    <cellStyle name="Comma 2 4 2 2 2 7 4 3" xfId="36427" xr:uid="{00000000-0005-0000-0000-0000E72B0000}"/>
    <cellStyle name="Comma 2 4 2 2 2 7 5" xfId="21217" xr:uid="{00000000-0005-0000-0000-0000E82B0000}"/>
    <cellStyle name="Comma 2 4 2 2 2 7 5 2" xfId="39644" xr:uid="{00000000-0005-0000-0000-0000E92B0000}"/>
    <cellStyle name="Comma 2 4 2 2 2 7 6" xfId="22290" xr:uid="{00000000-0005-0000-0000-0000EA2B0000}"/>
    <cellStyle name="Comma 2 4 2 2 2 7 7" xfId="23422" xr:uid="{00000000-0005-0000-0000-0000EB2B0000}"/>
    <cellStyle name="Comma 2 4 2 2 2 7 8" xfId="26612" xr:uid="{00000000-0005-0000-0000-0000EC2B0000}"/>
    <cellStyle name="Comma 2 4 2 2 2 7 9" xfId="29945" xr:uid="{00000000-0005-0000-0000-0000ED2B0000}"/>
    <cellStyle name="Comma 2 4 2 2 2 8" xfId="997" xr:uid="{00000000-0005-0000-0000-0000EE2B0000}"/>
    <cellStyle name="Comma 2 4 2 2 2 8 10" xfId="33221" xr:uid="{00000000-0005-0000-0000-0000EF2B0000}"/>
    <cellStyle name="Comma 2 4 2 2 2 8 2" xfId="9767" xr:uid="{00000000-0005-0000-0000-0000F02B0000}"/>
    <cellStyle name="Comma 2 4 2 2 2 8 2 2" xfId="25567" xr:uid="{00000000-0005-0000-0000-0000F12B0000}"/>
    <cellStyle name="Comma 2 4 2 2 2 8 2 2 2" xfId="44994" xr:uid="{00000000-0005-0000-0000-0000F22B0000}"/>
    <cellStyle name="Comma 2 4 2 2 2 8 2 2 3" xfId="38571" xr:uid="{00000000-0005-0000-0000-0000F32B0000}"/>
    <cellStyle name="Comma 2 4 2 2 2 8 2 3" xfId="27745" xr:uid="{00000000-0005-0000-0000-0000F42B0000}"/>
    <cellStyle name="Comma 2 4 2 2 2 8 2 3 2" xfId="41787" xr:uid="{00000000-0005-0000-0000-0000F52B0000}"/>
    <cellStyle name="Comma 2 4 2 2 2 8 2 4" xfId="31080" xr:uid="{00000000-0005-0000-0000-0000F62B0000}"/>
    <cellStyle name="Comma 2 4 2 2 2 8 2 5" xfId="35363" xr:uid="{00000000-0005-0000-0000-0000F72B0000}"/>
    <cellStyle name="Comma 2 4 2 2 2 8 3" xfId="15411" xr:uid="{00000000-0005-0000-0000-0000F82B0000}"/>
    <cellStyle name="Comma 2 4 2 2 2 8 3 2" xfId="24426" xr:uid="{00000000-0005-0000-0000-0000F92B0000}"/>
    <cellStyle name="Comma 2 4 2 2 2 8 3 2 2" xfId="43855" xr:uid="{00000000-0005-0000-0000-0000FA2B0000}"/>
    <cellStyle name="Comma 2 4 2 2 2 8 3 2 3" xfId="37432" xr:uid="{00000000-0005-0000-0000-0000FB2B0000}"/>
    <cellStyle name="Comma 2 4 2 2 2 8 3 3" xfId="28747" xr:uid="{00000000-0005-0000-0000-0000FC2B0000}"/>
    <cellStyle name="Comma 2 4 2 2 2 8 3 3 2" xfId="40648" xr:uid="{00000000-0005-0000-0000-0000FD2B0000}"/>
    <cellStyle name="Comma 2 4 2 2 2 8 3 4" xfId="32082" xr:uid="{00000000-0005-0000-0000-0000FE2B0000}"/>
    <cellStyle name="Comma 2 4 2 2 2 8 3 5" xfId="34224" xr:uid="{00000000-0005-0000-0000-0000FF2B0000}"/>
    <cellStyle name="Comma 2 4 2 2 2 8 4" xfId="8229" xr:uid="{00000000-0005-0000-0000-0000002C0000}"/>
    <cellStyle name="Comma 2 4 2 2 2 8 4 2" xfId="42852" xr:uid="{00000000-0005-0000-0000-0000012C0000}"/>
    <cellStyle name="Comma 2 4 2 2 2 8 4 3" xfId="36428" xr:uid="{00000000-0005-0000-0000-0000022C0000}"/>
    <cellStyle name="Comma 2 4 2 2 2 8 5" xfId="21218" xr:uid="{00000000-0005-0000-0000-0000032C0000}"/>
    <cellStyle name="Comma 2 4 2 2 2 8 5 2" xfId="39645" xr:uid="{00000000-0005-0000-0000-0000042C0000}"/>
    <cellStyle name="Comma 2 4 2 2 2 8 6" xfId="22291" xr:uid="{00000000-0005-0000-0000-0000052C0000}"/>
    <cellStyle name="Comma 2 4 2 2 2 8 7" xfId="23423" xr:uid="{00000000-0005-0000-0000-0000062C0000}"/>
    <cellStyle name="Comma 2 4 2 2 2 8 8" xfId="26613" xr:uid="{00000000-0005-0000-0000-0000072C0000}"/>
    <cellStyle name="Comma 2 4 2 2 2 8 9" xfId="29946" xr:uid="{00000000-0005-0000-0000-0000082C0000}"/>
    <cellStyle name="Comma 2 4 2 2 2 9" xfId="998" xr:uid="{00000000-0005-0000-0000-0000092C0000}"/>
    <cellStyle name="Comma 2 4 2 2 2 9 10" xfId="33222" xr:uid="{00000000-0005-0000-0000-00000A2C0000}"/>
    <cellStyle name="Comma 2 4 2 2 2 9 2" xfId="9768" xr:uid="{00000000-0005-0000-0000-00000B2C0000}"/>
    <cellStyle name="Comma 2 4 2 2 2 9 2 2" xfId="25568" xr:uid="{00000000-0005-0000-0000-00000C2C0000}"/>
    <cellStyle name="Comma 2 4 2 2 2 9 2 2 2" xfId="44995" xr:uid="{00000000-0005-0000-0000-00000D2C0000}"/>
    <cellStyle name="Comma 2 4 2 2 2 9 2 2 3" xfId="38572" xr:uid="{00000000-0005-0000-0000-00000E2C0000}"/>
    <cellStyle name="Comma 2 4 2 2 2 9 2 3" xfId="27746" xr:uid="{00000000-0005-0000-0000-00000F2C0000}"/>
    <cellStyle name="Comma 2 4 2 2 2 9 2 3 2" xfId="41788" xr:uid="{00000000-0005-0000-0000-0000102C0000}"/>
    <cellStyle name="Comma 2 4 2 2 2 9 2 4" xfId="31081" xr:uid="{00000000-0005-0000-0000-0000112C0000}"/>
    <cellStyle name="Comma 2 4 2 2 2 9 2 5" xfId="35364" xr:uid="{00000000-0005-0000-0000-0000122C0000}"/>
    <cellStyle name="Comma 2 4 2 2 2 9 3" xfId="15412" xr:uid="{00000000-0005-0000-0000-0000132C0000}"/>
    <cellStyle name="Comma 2 4 2 2 2 9 3 2" xfId="24427" xr:uid="{00000000-0005-0000-0000-0000142C0000}"/>
    <cellStyle name="Comma 2 4 2 2 2 9 3 2 2" xfId="43856" xr:uid="{00000000-0005-0000-0000-0000152C0000}"/>
    <cellStyle name="Comma 2 4 2 2 2 9 3 2 3" xfId="37433" xr:uid="{00000000-0005-0000-0000-0000162C0000}"/>
    <cellStyle name="Comma 2 4 2 2 2 9 3 3" xfId="28748" xr:uid="{00000000-0005-0000-0000-0000172C0000}"/>
    <cellStyle name="Comma 2 4 2 2 2 9 3 3 2" xfId="40649" xr:uid="{00000000-0005-0000-0000-0000182C0000}"/>
    <cellStyle name="Comma 2 4 2 2 2 9 3 4" xfId="32083" xr:uid="{00000000-0005-0000-0000-0000192C0000}"/>
    <cellStyle name="Comma 2 4 2 2 2 9 3 5" xfId="34225" xr:uid="{00000000-0005-0000-0000-00001A2C0000}"/>
    <cellStyle name="Comma 2 4 2 2 2 9 4" xfId="8230" xr:uid="{00000000-0005-0000-0000-00001B2C0000}"/>
    <cellStyle name="Comma 2 4 2 2 2 9 4 2" xfId="42853" xr:uid="{00000000-0005-0000-0000-00001C2C0000}"/>
    <cellStyle name="Comma 2 4 2 2 2 9 4 3" xfId="36429" xr:uid="{00000000-0005-0000-0000-00001D2C0000}"/>
    <cellStyle name="Comma 2 4 2 2 2 9 5" xfId="21219" xr:uid="{00000000-0005-0000-0000-00001E2C0000}"/>
    <cellStyle name="Comma 2 4 2 2 2 9 5 2" xfId="39646" xr:uid="{00000000-0005-0000-0000-00001F2C0000}"/>
    <cellStyle name="Comma 2 4 2 2 2 9 6" xfId="22292" xr:uid="{00000000-0005-0000-0000-0000202C0000}"/>
    <cellStyle name="Comma 2 4 2 2 2 9 7" xfId="23424" xr:uid="{00000000-0005-0000-0000-0000212C0000}"/>
    <cellStyle name="Comma 2 4 2 2 2 9 8" xfId="26614" xr:uid="{00000000-0005-0000-0000-0000222C0000}"/>
    <cellStyle name="Comma 2 4 2 2 2 9 9" xfId="29947" xr:uid="{00000000-0005-0000-0000-0000232C0000}"/>
    <cellStyle name="Comma 2 4 2 2 20" xfId="32834" xr:uid="{00000000-0005-0000-0000-0000242C0000}"/>
    <cellStyle name="Comma 2 4 2 2 3" xfId="194" xr:uid="{00000000-0005-0000-0000-0000252C0000}"/>
    <cellStyle name="Comma 2 4 2 2 3 10" xfId="15413" xr:uid="{00000000-0005-0000-0000-0000262C0000}"/>
    <cellStyle name="Comma 2 4 2 2 3 10 2" xfId="24428" xr:uid="{00000000-0005-0000-0000-0000272C0000}"/>
    <cellStyle name="Comma 2 4 2 2 3 10 2 2" xfId="43857" xr:uid="{00000000-0005-0000-0000-0000282C0000}"/>
    <cellStyle name="Comma 2 4 2 2 3 10 2 3" xfId="37434" xr:uid="{00000000-0005-0000-0000-0000292C0000}"/>
    <cellStyle name="Comma 2 4 2 2 3 10 3" xfId="28749" xr:uid="{00000000-0005-0000-0000-00002A2C0000}"/>
    <cellStyle name="Comma 2 4 2 2 3 10 3 2" xfId="40650" xr:uid="{00000000-0005-0000-0000-00002B2C0000}"/>
    <cellStyle name="Comma 2 4 2 2 3 10 4" xfId="32084" xr:uid="{00000000-0005-0000-0000-00002C2C0000}"/>
    <cellStyle name="Comma 2 4 2 2 3 10 5" xfId="34226" xr:uid="{00000000-0005-0000-0000-00002D2C0000}"/>
    <cellStyle name="Comma 2 4 2 2 3 11" xfId="8231" xr:uid="{00000000-0005-0000-0000-00002E2C0000}"/>
    <cellStyle name="Comma 2 4 2 2 3 11 2" xfId="42415" xr:uid="{00000000-0005-0000-0000-00002F2C0000}"/>
    <cellStyle name="Comma 2 4 2 2 3 11 3" xfId="35991" xr:uid="{00000000-0005-0000-0000-0000302C0000}"/>
    <cellStyle name="Comma 2 4 2 2 3 12" xfId="21220" xr:uid="{00000000-0005-0000-0000-0000312C0000}"/>
    <cellStyle name="Comma 2 4 2 2 3 12 2" xfId="39208" xr:uid="{00000000-0005-0000-0000-0000322C0000}"/>
    <cellStyle name="Comma 2 4 2 2 3 13" xfId="22293" xr:uid="{00000000-0005-0000-0000-0000332C0000}"/>
    <cellStyle name="Comma 2 4 2 2 3 14" xfId="22986" xr:uid="{00000000-0005-0000-0000-0000342C0000}"/>
    <cellStyle name="Comma 2 4 2 2 3 15" xfId="26615" xr:uid="{00000000-0005-0000-0000-0000352C0000}"/>
    <cellStyle name="Comma 2 4 2 2 3 16" xfId="29948" xr:uid="{00000000-0005-0000-0000-0000362C0000}"/>
    <cellStyle name="Comma 2 4 2 2 3 17" xfId="32784" xr:uid="{00000000-0005-0000-0000-0000372C0000}"/>
    <cellStyle name="Comma 2 4 2 2 3 2" xfId="266" xr:uid="{00000000-0005-0000-0000-0000382C0000}"/>
    <cellStyle name="Comma 2 4 2 2 3 2 10" xfId="21221" xr:uid="{00000000-0005-0000-0000-0000392C0000}"/>
    <cellStyle name="Comma 2 4 2 2 3 2 10 2" xfId="39260" xr:uid="{00000000-0005-0000-0000-00003A2C0000}"/>
    <cellStyle name="Comma 2 4 2 2 3 2 11" xfId="22294" xr:uid="{00000000-0005-0000-0000-00003B2C0000}"/>
    <cellStyle name="Comma 2 4 2 2 3 2 12" xfId="23038" xr:uid="{00000000-0005-0000-0000-00003C2C0000}"/>
    <cellStyle name="Comma 2 4 2 2 3 2 13" xfId="26616" xr:uid="{00000000-0005-0000-0000-00003D2C0000}"/>
    <cellStyle name="Comma 2 4 2 2 3 2 14" xfId="29949" xr:uid="{00000000-0005-0000-0000-00003E2C0000}"/>
    <cellStyle name="Comma 2 4 2 2 3 2 15" xfId="32836" xr:uid="{00000000-0005-0000-0000-00003F2C0000}"/>
    <cellStyle name="Comma 2 4 2 2 3 2 2" xfId="999" xr:uid="{00000000-0005-0000-0000-0000402C0000}"/>
    <cellStyle name="Comma 2 4 2 2 3 2 2 10" xfId="33223" xr:uid="{00000000-0005-0000-0000-0000412C0000}"/>
    <cellStyle name="Comma 2 4 2 2 3 2 2 2" xfId="9769" xr:uid="{00000000-0005-0000-0000-0000422C0000}"/>
    <cellStyle name="Comma 2 4 2 2 3 2 2 2 2" xfId="25569" xr:uid="{00000000-0005-0000-0000-0000432C0000}"/>
    <cellStyle name="Comma 2 4 2 2 3 2 2 2 2 2" xfId="44996" xr:uid="{00000000-0005-0000-0000-0000442C0000}"/>
    <cellStyle name="Comma 2 4 2 2 3 2 2 2 2 3" xfId="38573" xr:uid="{00000000-0005-0000-0000-0000452C0000}"/>
    <cellStyle name="Comma 2 4 2 2 3 2 2 2 3" xfId="27747" xr:uid="{00000000-0005-0000-0000-0000462C0000}"/>
    <cellStyle name="Comma 2 4 2 2 3 2 2 2 3 2" xfId="41789" xr:uid="{00000000-0005-0000-0000-0000472C0000}"/>
    <cellStyle name="Comma 2 4 2 2 3 2 2 2 4" xfId="31082" xr:uid="{00000000-0005-0000-0000-0000482C0000}"/>
    <cellStyle name="Comma 2 4 2 2 3 2 2 2 5" xfId="35365" xr:uid="{00000000-0005-0000-0000-0000492C0000}"/>
    <cellStyle name="Comma 2 4 2 2 3 2 2 3" xfId="15415" xr:uid="{00000000-0005-0000-0000-00004A2C0000}"/>
    <cellStyle name="Comma 2 4 2 2 3 2 2 3 2" xfId="24430" xr:uid="{00000000-0005-0000-0000-00004B2C0000}"/>
    <cellStyle name="Comma 2 4 2 2 3 2 2 3 2 2" xfId="43859" xr:uid="{00000000-0005-0000-0000-00004C2C0000}"/>
    <cellStyle name="Comma 2 4 2 2 3 2 2 3 2 3" xfId="37436" xr:uid="{00000000-0005-0000-0000-00004D2C0000}"/>
    <cellStyle name="Comma 2 4 2 2 3 2 2 3 3" xfId="28751" xr:uid="{00000000-0005-0000-0000-00004E2C0000}"/>
    <cellStyle name="Comma 2 4 2 2 3 2 2 3 3 2" xfId="40652" xr:uid="{00000000-0005-0000-0000-00004F2C0000}"/>
    <cellStyle name="Comma 2 4 2 2 3 2 2 3 4" xfId="32086" xr:uid="{00000000-0005-0000-0000-0000502C0000}"/>
    <cellStyle name="Comma 2 4 2 2 3 2 2 3 5" xfId="34228" xr:uid="{00000000-0005-0000-0000-0000512C0000}"/>
    <cellStyle name="Comma 2 4 2 2 3 2 2 4" xfId="8233" xr:uid="{00000000-0005-0000-0000-0000522C0000}"/>
    <cellStyle name="Comma 2 4 2 2 3 2 2 4 2" xfId="42854" xr:uid="{00000000-0005-0000-0000-0000532C0000}"/>
    <cellStyle name="Comma 2 4 2 2 3 2 2 4 3" xfId="36430" xr:uid="{00000000-0005-0000-0000-0000542C0000}"/>
    <cellStyle name="Comma 2 4 2 2 3 2 2 5" xfId="21222" xr:uid="{00000000-0005-0000-0000-0000552C0000}"/>
    <cellStyle name="Comma 2 4 2 2 3 2 2 5 2" xfId="39647" xr:uid="{00000000-0005-0000-0000-0000562C0000}"/>
    <cellStyle name="Comma 2 4 2 2 3 2 2 6" xfId="22295" xr:uid="{00000000-0005-0000-0000-0000572C0000}"/>
    <cellStyle name="Comma 2 4 2 2 3 2 2 7" xfId="23425" xr:uid="{00000000-0005-0000-0000-0000582C0000}"/>
    <cellStyle name="Comma 2 4 2 2 3 2 2 8" xfId="26617" xr:uid="{00000000-0005-0000-0000-0000592C0000}"/>
    <cellStyle name="Comma 2 4 2 2 3 2 2 9" xfId="29950" xr:uid="{00000000-0005-0000-0000-00005A2C0000}"/>
    <cellStyle name="Comma 2 4 2 2 3 2 3" xfId="1000" xr:uid="{00000000-0005-0000-0000-00005B2C0000}"/>
    <cellStyle name="Comma 2 4 2 2 3 2 3 10" xfId="33224" xr:uid="{00000000-0005-0000-0000-00005C2C0000}"/>
    <cellStyle name="Comma 2 4 2 2 3 2 3 2" xfId="9770" xr:uid="{00000000-0005-0000-0000-00005D2C0000}"/>
    <cellStyle name="Comma 2 4 2 2 3 2 3 2 2" xfId="25570" xr:uid="{00000000-0005-0000-0000-00005E2C0000}"/>
    <cellStyle name="Comma 2 4 2 2 3 2 3 2 2 2" xfId="44997" xr:uid="{00000000-0005-0000-0000-00005F2C0000}"/>
    <cellStyle name="Comma 2 4 2 2 3 2 3 2 2 3" xfId="38574" xr:uid="{00000000-0005-0000-0000-0000602C0000}"/>
    <cellStyle name="Comma 2 4 2 2 3 2 3 2 3" xfId="27748" xr:uid="{00000000-0005-0000-0000-0000612C0000}"/>
    <cellStyle name="Comma 2 4 2 2 3 2 3 2 3 2" xfId="41790" xr:uid="{00000000-0005-0000-0000-0000622C0000}"/>
    <cellStyle name="Comma 2 4 2 2 3 2 3 2 4" xfId="31083" xr:uid="{00000000-0005-0000-0000-0000632C0000}"/>
    <cellStyle name="Comma 2 4 2 2 3 2 3 2 5" xfId="35366" xr:uid="{00000000-0005-0000-0000-0000642C0000}"/>
    <cellStyle name="Comma 2 4 2 2 3 2 3 3" xfId="15416" xr:uid="{00000000-0005-0000-0000-0000652C0000}"/>
    <cellStyle name="Comma 2 4 2 2 3 2 3 3 2" xfId="24431" xr:uid="{00000000-0005-0000-0000-0000662C0000}"/>
    <cellStyle name="Comma 2 4 2 2 3 2 3 3 2 2" xfId="43860" xr:uid="{00000000-0005-0000-0000-0000672C0000}"/>
    <cellStyle name="Comma 2 4 2 2 3 2 3 3 2 3" xfId="37437" xr:uid="{00000000-0005-0000-0000-0000682C0000}"/>
    <cellStyle name="Comma 2 4 2 2 3 2 3 3 3" xfId="28752" xr:uid="{00000000-0005-0000-0000-0000692C0000}"/>
    <cellStyle name="Comma 2 4 2 2 3 2 3 3 3 2" xfId="40653" xr:uid="{00000000-0005-0000-0000-00006A2C0000}"/>
    <cellStyle name="Comma 2 4 2 2 3 2 3 3 4" xfId="32087" xr:uid="{00000000-0005-0000-0000-00006B2C0000}"/>
    <cellStyle name="Comma 2 4 2 2 3 2 3 3 5" xfId="34229" xr:uid="{00000000-0005-0000-0000-00006C2C0000}"/>
    <cellStyle name="Comma 2 4 2 2 3 2 3 4" xfId="8234" xr:uid="{00000000-0005-0000-0000-00006D2C0000}"/>
    <cellStyle name="Comma 2 4 2 2 3 2 3 4 2" xfId="42855" xr:uid="{00000000-0005-0000-0000-00006E2C0000}"/>
    <cellStyle name="Comma 2 4 2 2 3 2 3 4 3" xfId="36431" xr:uid="{00000000-0005-0000-0000-00006F2C0000}"/>
    <cellStyle name="Comma 2 4 2 2 3 2 3 5" xfId="21223" xr:uid="{00000000-0005-0000-0000-0000702C0000}"/>
    <cellStyle name="Comma 2 4 2 2 3 2 3 5 2" xfId="39648" xr:uid="{00000000-0005-0000-0000-0000712C0000}"/>
    <cellStyle name="Comma 2 4 2 2 3 2 3 6" xfId="22296" xr:uid="{00000000-0005-0000-0000-0000722C0000}"/>
    <cellStyle name="Comma 2 4 2 2 3 2 3 7" xfId="23426" xr:uid="{00000000-0005-0000-0000-0000732C0000}"/>
    <cellStyle name="Comma 2 4 2 2 3 2 3 8" xfId="26618" xr:uid="{00000000-0005-0000-0000-0000742C0000}"/>
    <cellStyle name="Comma 2 4 2 2 3 2 3 9" xfId="29951" xr:uid="{00000000-0005-0000-0000-0000752C0000}"/>
    <cellStyle name="Comma 2 4 2 2 3 2 4" xfId="1001" xr:uid="{00000000-0005-0000-0000-0000762C0000}"/>
    <cellStyle name="Comma 2 4 2 2 3 2 4 10" xfId="33225" xr:uid="{00000000-0005-0000-0000-0000772C0000}"/>
    <cellStyle name="Comma 2 4 2 2 3 2 4 2" xfId="9771" xr:uid="{00000000-0005-0000-0000-0000782C0000}"/>
    <cellStyle name="Comma 2 4 2 2 3 2 4 2 2" xfId="25571" xr:uid="{00000000-0005-0000-0000-0000792C0000}"/>
    <cellStyle name="Comma 2 4 2 2 3 2 4 2 2 2" xfId="44998" xr:uid="{00000000-0005-0000-0000-00007A2C0000}"/>
    <cellStyle name="Comma 2 4 2 2 3 2 4 2 2 3" xfId="38575" xr:uid="{00000000-0005-0000-0000-00007B2C0000}"/>
    <cellStyle name="Comma 2 4 2 2 3 2 4 2 3" xfId="27749" xr:uid="{00000000-0005-0000-0000-00007C2C0000}"/>
    <cellStyle name="Comma 2 4 2 2 3 2 4 2 3 2" xfId="41791" xr:uid="{00000000-0005-0000-0000-00007D2C0000}"/>
    <cellStyle name="Comma 2 4 2 2 3 2 4 2 4" xfId="31084" xr:uid="{00000000-0005-0000-0000-00007E2C0000}"/>
    <cellStyle name="Comma 2 4 2 2 3 2 4 2 5" xfId="35367" xr:uid="{00000000-0005-0000-0000-00007F2C0000}"/>
    <cellStyle name="Comma 2 4 2 2 3 2 4 3" xfId="15417" xr:uid="{00000000-0005-0000-0000-0000802C0000}"/>
    <cellStyle name="Comma 2 4 2 2 3 2 4 3 2" xfId="24432" xr:uid="{00000000-0005-0000-0000-0000812C0000}"/>
    <cellStyle name="Comma 2 4 2 2 3 2 4 3 2 2" xfId="43861" xr:uid="{00000000-0005-0000-0000-0000822C0000}"/>
    <cellStyle name="Comma 2 4 2 2 3 2 4 3 2 3" xfId="37438" xr:uid="{00000000-0005-0000-0000-0000832C0000}"/>
    <cellStyle name="Comma 2 4 2 2 3 2 4 3 3" xfId="28753" xr:uid="{00000000-0005-0000-0000-0000842C0000}"/>
    <cellStyle name="Comma 2 4 2 2 3 2 4 3 3 2" xfId="40654" xr:uid="{00000000-0005-0000-0000-0000852C0000}"/>
    <cellStyle name="Comma 2 4 2 2 3 2 4 3 4" xfId="32088" xr:uid="{00000000-0005-0000-0000-0000862C0000}"/>
    <cellStyle name="Comma 2 4 2 2 3 2 4 3 5" xfId="34230" xr:uid="{00000000-0005-0000-0000-0000872C0000}"/>
    <cellStyle name="Comma 2 4 2 2 3 2 4 4" xfId="8235" xr:uid="{00000000-0005-0000-0000-0000882C0000}"/>
    <cellStyle name="Comma 2 4 2 2 3 2 4 4 2" xfId="42856" xr:uid="{00000000-0005-0000-0000-0000892C0000}"/>
    <cellStyle name="Comma 2 4 2 2 3 2 4 4 3" xfId="36432" xr:uid="{00000000-0005-0000-0000-00008A2C0000}"/>
    <cellStyle name="Comma 2 4 2 2 3 2 4 5" xfId="21224" xr:uid="{00000000-0005-0000-0000-00008B2C0000}"/>
    <cellStyle name="Comma 2 4 2 2 3 2 4 5 2" xfId="39649" xr:uid="{00000000-0005-0000-0000-00008C2C0000}"/>
    <cellStyle name="Comma 2 4 2 2 3 2 4 6" xfId="22297" xr:uid="{00000000-0005-0000-0000-00008D2C0000}"/>
    <cellStyle name="Comma 2 4 2 2 3 2 4 7" xfId="23427" xr:uid="{00000000-0005-0000-0000-00008E2C0000}"/>
    <cellStyle name="Comma 2 4 2 2 3 2 4 8" xfId="26619" xr:uid="{00000000-0005-0000-0000-00008F2C0000}"/>
    <cellStyle name="Comma 2 4 2 2 3 2 4 9" xfId="29952" xr:uid="{00000000-0005-0000-0000-0000902C0000}"/>
    <cellStyle name="Comma 2 4 2 2 3 2 5" xfId="1002" xr:uid="{00000000-0005-0000-0000-0000912C0000}"/>
    <cellStyle name="Comma 2 4 2 2 3 2 5 10" xfId="33226" xr:uid="{00000000-0005-0000-0000-0000922C0000}"/>
    <cellStyle name="Comma 2 4 2 2 3 2 5 2" xfId="9772" xr:uid="{00000000-0005-0000-0000-0000932C0000}"/>
    <cellStyle name="Comma 2 4 2 2 3 2 5 2 2" xfId="25572" xr:uid="{00000000-0005-0000-0000-0000942C0000}"/>
    <cellStyle name="Comma 2 4 2 2 3 2 5 2 2 2" xfId="44999" xr:uid="{00000000-0005-0000-0000-0000952C0000}"/>
    <cellStyle name="Comma 2 4 2 2 3 2 5 2 2 3" xfId="38576" xr:uid="{00000000-0005-0000-0000-0000962C0000}"/>
    <cellStyle name="Comma 2 4 2 2 3 2 5 2 3" xfId="27750" xr:uid="{00000000-0005-0000-0000-0000972C0000}"/>
    <cellStyle name="Comma 2 4 2 2 3 2 5 2 3 2" xfId="41792" xr:uid="{00000000-0005-0000-0000-0000982C0000}"/>
    <cellStyle name="Comma 2 4 2 2 3 2 5 2 4" xfId="31085" xr:uid="{00000000-0005-0000-0000-0000992C0000}"/>
    <cellStyle name="Comma 2 4 2 2 3 2 5 2 5" xfId="35368" xr:uid="{00000000-0005-0000-0000-00009A2C0000}"/>
    <cellStyle name="Comma 2 4 2 2 3 2 5 3" xfId="15418" xr:uid="{00000000-0005-0000-0000-00009B2C0000}"/>
    <cellStyle name="Comma 2 4 2 2 3 2 5 3 2" xfId="24433" xr:uid="{00000000-0005-0000-0000-00009C2C0000}"/>
    <cellStyle name="Comma 2 4 2 2 3 2 5 3 2 2" xfId="43862" xr:uid="{00000000-0005-0000-0000-00009D2C0000}"/>
    <cellStyle name="Comma 2 4 2 2 3 2 5 3 2 3" xfId="37439" xr:uid="{00000000-0005-0000-0000-00009E2C0000}"/>
    <cellStyle name="Comma 2 4 2 2 3 2 5 3 3" xfId="28754" xr:uid="{00000000-0005-0000-0000-00009F2C0000}"/>
    <cellStyle name="Comma 2 4 2 2 3 2 5 3 3 2" xfId="40655" xr:uid="{00000000-0005-0000-0000-0000A02C0000}"/>
    <cellStyle name="Comma 2 4 2 2 3 2 5 3 4" xfId="32089" xr:uid="{00000000-0005-0000-0000-0000A12C0000}"/>
    <cellStyle name="Comma 2 4 2 2 3 2 5 3 5" xfId="34231" xr:uid="{00000000-0005-0000-0000-0000A22C0000}"/>
    <cellStyle name="Comma 2 4 2 2 3 2 5 4" xfId="8236" xr:uid="{00000000-0005-0000-0000-0000A32C0000}"/>
    <cellStyle name="Comma 2 4 2 2 3 2 5 4 2" xfId="42857" xr:uid="{00000000-0005-0000-0000-0000A42C0000}"/>
    <cellStyle name="Comma 2 4 2 2 3 2 5 4 3" xfId="36433" xr:uid="{00000000-0005-0000-0000-0000A52C0000}"/>
    <cellStyle name="Comma 2 4 2 2 3 2 5 5" xfId="21225" xr:uid="{00000000-0005-0000-0000-0000A62C0000}"/>
    <cellStyle name="Comma 2 4 2 2 3 2 5 5 2" xfId="39650" xr:uid="{00000000-0005-0000-0000-0000A72C0000}"/>
    <cellStyle name="Comma 2 4 2 2 3 2 5 6" xfId="22298" xr:uid="{00000000-0005-0000-0000-0000A82C0000}"/>
    <cellStyle name="Comma 2 4 2 2 3 2 5 7" xfId="23428" xr:uid="{00000000-0005-0000-0000-0000A92C0000}"/>
    <cellStyle name="Comma 2 4 2 2 3 2 5 8" xfId="26620" xr:uid="{00000000-0005-0000-0000-0000AA2C0000}"/>
    <cellStyle name="Comma 2 4 2 2 3 2 5 9" xfId="29953" xr:uid="{00000000-0005-0000-0000-0000AB2C0000}"/>
    <cellStyle name="Comma 2 4 2 2 3 2 6" xfId="1003" xr:uid="{00000000-0005-0000-0000-0000AC2C0000}"/>
    <cellStyle name="Comma 2 4 2 2 3 2 6 10" xfId="33227" xr:uid="{00000000-0005-0000-0000-0000AD2C0000}"/>
    <cellStyle name="Comma 2 4 2 2 3 2 6 2" xfId="9773" xr:uid="{00000000-0005-0000-0000-0000AE2C0000}"/>
    <cellStyle name="Comma 2 4 2 2 3 2 6 2 2" xfId="25573" xr:uid="{00000000-0005-0000-0000-0000AF2C0000}"/>
    <cellStyle name="Comma 2 4 2 2 3 2 6 2 2 2" xfId="45000" xr:uid="{00000000-0005-0000-0000-0000B02C0000}"/>
    <cellStyle name="Comma 2 4 2 2 3 2 6 2 2 3" xfId="38577" xr:uid="{00000000-0005-0000-0000-0000B12C0000}"/>
    <cellStyle name="Comma 2 4 2 2 3 2 6 2 3" xfId="27751" xr:uid="{00000000-0005-0000-0000-0000B22C0000}"/>
    <cellStyle name="Comma 2 4 2 2 3 2 6 2 3 2" xfId="41793" xr:uid="{00000000-0005-0000-0000-0000B32C0000}"/>
    <cellStyle name="Comma 2 4 2 2 3 2 6 2 4" xfId="31086" xr:uid="{00000000-0005-0000-0000-0000B42C0000}"/>
    <cellStyle name="Comma 2 4 2 2 3 2 6 2 5" xfId="35369" xr:uid="{00000000-0005-0000-0000-0000B52C0000}"/>
    <cellStyle name="Comma 2 4 2 2 3 2 6 3" xfId="15419" xr:uid="{00000000-0005-0000-0000-0000B62C0000}"/>
    <cellStyle name="Comma 2 4 2 2 3 2 6 3 2" xfId="24434" xr:uid="{00000000-0005-0000-0000-0000B72C0000}"/>
    <cellStyle name="Comma 2 4 2 2 3 2 6 3 2 2" xfId="43863" xr:uid="{00000000-0005-0000-0000-0000B82C0000}"/>
    <cellStyle name="Comma 2 4 2 2 3 2 6 3 2 3" xfId="37440" xr:uid="{00000000-0005-0000-0000-0000B92C0000}"/>
    <cellStyle name="Comma 2 4 2 2 3 2 6 3 3" xfId="28755" xr:uid="{00000000-0005-0000-0000-0000BA2C0000}"/>
    <cellStyle name="Comma 2 4 2 2 3 2 6 3 3 2" xfId="40656" xr:uid="{00000000-0005-0000-0000-0000BB2C0000}"/>
    <cellStyle name="Comma 2 4 2 2 3 2 6 3 4" xfId="32090" xr:uid="{00000000-0005-0000-0000-0000BC2C0000}"/>
    <cellStyle name="Comma 2 4 2 2 3 2 6 3 5" xfId="34232" xr:uid="{00000000-0005-0000-0000-0000BD2C0000}"/>
    <cellStyle name="Comma 2 4 2 2 3 2 6 4" xfId="8237" xr:uid="{00000000-0005-0000-0000-0000BE2C0000}"/>
    <cellStyle name="Comma 2 4 2 2 3 2 6 4 2" xfId="42858" xr:uid="{00000000-0005-0000-0000-0000BF2C0000}"/>
    <cellStyle name="Comma 2 4 2 2 3 2 6 4 3" xfId="36434" xr:uid="{00000000-0005-0000-0000-0000C02C0000}"/>
    <cellStyle name="Comma 2 4 2 2 3 2 6 5" xfId="21226" xr:uid="{00000000-0005-0000-0000-0000C12C0000}"/>
    <cellStyle name="Comma 2 4 2 2 3 2 6 5 2" xfId="39651" xr:uid="{00000000-0005-0000-0000-0000C22C0000}"/>
    <cellStyle name="Comma 2 4 2 2 3 2 6 6" xfId="22299" xr:uid="{00000000-0005-0000-0000-0000C32C0000}"/>
    <cellStyle name="Comma 2 4 2 2 3 2 6 7" xfId="23429" xr:uid="{00000000-0005-0000-0000-0000C42C0000}"/>
    <cellStyle name="Comma 2 4 2 2 3 2 6 8" xfId="26621" xr:uid="{00000000-0005-0000-0000-0000C52C0000}"/>
    <cellStyle name="Comma 2 4 2 2 3 2 6 9" xfId="29954" xr:uid="{00000000-0005-0000-0000-0000C62C0000}"/>
    <cellStyle name="Comma 2 4 2 2 3 2 7" xfId="9123" xr:uid="{00000000-0005-0000-0000-0000C72C0000}"/>
    <cellStyle name="Comma 2 4 2 2 3 2 7 2" xfId="25177" xr:uid="{00000000-0005-0000-0000-0000C82C0000}"/>
    <cellStyle name="Comma 2 4 2 2 3 2 7 2 2" xfId="44604" xr:uid="{00000000-0005-0000-0000-0000C92C0000}"/>
    <cellStyle name="Comma 2 4 2 2 3 2 7 2 3" xfId="38181" xr:uid="{00000000-0005-0000-0000-0000CA2C0000}"/>
    <cellStyle name="Comma 2 4 2 2 3 2 7 3" xfId="27356" xr:uid="{00000000-0005-0000-0000-0000CB2C0000}"/>
    <cellStyle name="Comma 2 4 2 2 3 2 7 3 2" xfId="41397" xr:uid="{00000000-0005-0000-0000-0000CC2C0000}"/>
    <cellStyle name="Comma 2 4 2 2 3 2 7 4" xfId="30691" xr:uid="{00000000-0005-0000-0000-0000CD2C0000}"/>
    <cellStyle name="Comma 2 4 2 2 3 2 7 5" xfId="34973" xr:uid="{00000000-0005-0000-0000-0000CE2C0000}"/>
    <cellStyle name="Comma 2 4 2 2 3 2 8" xfId="15414" xr:uid="{00000000-0005-0000-0000-0000CF2C0000}"/>
    <cellStyle name="Comma 2 4 2 2 3 2 8 2" xfId="24429" xr:uid="{00000000-0005-0000-0000-0000D02C0000}"/>
    <cellStyle name="Comma 2 4 2 2 3 2 8 2 2" xfId="43858" xr:uid="{00000000-0005-0000-0000-0000D12C0000}"/>
    <cellStyle name="Comma 2 4 2 2 3 2 8 2 3" xfId="37435" xr:uid="{00000000-0005-0000-0000-0000D22C0000}"/>
    <cellStyle name="Comma 2 4 2 2 3 2 8 3" xfId="28750" xr:uid="{00000000-0005-0000-0000-0000D32C0000}"/>
    <cellStyle name="Comma 2 4 2 2 3 2 8 3 2" xfId="40651" xr:uid="{00000000-0005-0000-0000-0000D42C0000}"/>
    <cellStyle name="Comma 2 4 2 2 3 2 8 4" xfId="32085" xr:uid="{00000000-0005-0000-0000-0000D52C0000}"/>
    <cellStyle name="Comma 2 4 2 2 3 2 8 5" xfId="34227" xr:uid="{00000000-0005-0000-0000-0000D62C0000}"/>
    <cellStyle name="Comma 2 4 2 2 3 2 9" xfId="8232" xr:uid="{00000000-0005-0000-0000-0000D72C0000}"/>
    <cellStyle name="Comma 2 4 2 2 3 2 9 2" xfId="42467" xr:uid="{00000000-0005-0000-0000-0000D82C0000}"/>
    <cellStyle name="Comma 2 4 2 2 3 2 9 3" xfId="36043" xr:uid="{00000000-0005-0000-0000-0000D92C0000}"/>
    <cellStyle name="Comma 2 4 2 2 3 3" xfId="1004" xr:uid="{00000000-0005-0000-0000-0000DA2C0000}"/>
    <cellStyle name="Comma 2 4 2 2 3 3 10" xfId="22300" xr:uid="{00000000-0005-0000-0000-0000DB2C0000}"/>
    <cellStyle name="Comma 2 4 2 2 3 3 11" xfId="23430" xr:uid="{00000000-0005-0000-0000-0000DC2C0000}"/>
    <cellStyle name="Comma 2 4 2 2 3 3 12" xfId="26622" xr:uid="{00000000-0005-0000-0000-0000DD2C0000}"/>
    <cellStyle name="Comma 2 4 2 2 3 3 13" xfId="29955" xr:uid="{00000000-0005-0000-0000-0000DE2C0000}"/>
    <cellStyle name="Comma 2 4 2 2 3 3 14" xfId="33228" xr:uid="{00000000-0005-0000-0000-0000DF2C0000}"/>
    <cellStyle name="Comma 2 4 2 2 3 3 2" xfId="1005" xr:uid="{00000000-0005-0000-0000-0000E02C0000}"/>
    <cellStyle name="Comma 2 4 2 2 3 3 2 10" xfId="33229" xr:uid="{00000000-0005-0000-0000-0000E12C0000}"/>
    <cellStyle name="Comma 2 4 2 2 3 3 2 2" xfId="9775" xr:uid="{00000000-0005-0000-0000-0000E22C0000}"/>
    <cellStyle name="Comma 2 4 2 2 3 3 2 2 2" xfId="25575" xr:uid="{00000000-0005-0000-0000-0000E32C0000}"/>
    <cellStyle name="Comma 2 4 2 2 3 3 2 2 2 2" xfId="45002" xr:uid="{00000000-0005-0000-0000-0000E42C0000}"/>
    <cellStyle name="Comma 2 4 2 2 3 3 2 2 2 3" xfId="38579" xr:uid="{00000000-0005-0000-0000-0000E52C0000}"/>
    <cellStyle name="Comma 2 4 2 2 3 3 2 2 3" xfId="27753" xr:uid="{00000000-0005-0000-0000-0000E62C0000}"/>
    <cellStyle name="Comma 2 4 2 2 3 3 2 2 3 2" xfId="41795" xr:uid="{00000000-0005-0000-0000-0000E72C0000}"/>
    <cellStyle name="Comma 2 4 2 2 3 3 2 2 4" xfId="31088" xr:uid="{00000000-0005-0000-0000-0000E82C0000}"/>
    <cellStyle name="Comma 2 4 2 2 3 3 2 2 5" xfId="35371" xr:uid="{00000000-0005-0000-0000-0000E92C0000}"/>
    <cellStyle name="Comma 2 4 2 2 3 3 2 3" xfId="15421" xr:uid="{00000000-0005-0000-0000-0000EA2C0000}"/>
    <cellStyle name="Comma 2 4 2 2 3 3 2 3 2" xfId="24436" xr:uid="{00000000-0005-0000-0000-0000EB2C0000}"/>
    <cellStyle name="Comma 2 4 2 2 3 3 2 3 2 2" xfId="43865" xr:uid="{00000000-0005-0000-0000-0000EC2C0000}"/>
    <cellStyle name="Comma 2 4 2 2 3 3 2 3 2 3" xfId="37442" xr:uid="{00000000-0005-0000-0000-0000ED2C0000}"/>
    <cellStyle name="Comma 2 4 2 2 3 3 2 3 3" xfId="28757" xr:uid="{00000000-0005-0000-0000-0000EE2C0000}"/>
    <cellStyle name="Comma 2 4 2 2 3 3 2 3 3 2" xfId="40658" xr:uid="{00000000-0005-0000-0000-0000EF2C0000}"/>
    <cellStyle name="Comma 2 4 2 2 3 3 2 3 4" xfId="32092" xr:uid="{00000000-0005-0000-0000-0000F02C0000}"/>
    <cellStyle name="Comma 2 4 2 2 3 3 2 3 5" xfId="34234" xr:uid="{00000000-0005-0000-0000-0000F12C0000}"/>
    <cellStyle name="Comma 2 4 2 2 3 3 2 4" xfId="8239" xr:uid="{00000000-0005-0000-0000-0000F22C0000}"/>
    <cellStyle name="Comma 2 4 2 2 3 3 2 4 2" xfId="42860" xr:uid="{00000000-0005-0000-0000-0000F32C0000}"/>
    <cellStyle name="Comma 2 4 2 2 3 3 2 4 3" xfId="36436" xr:uid="{00000000-0005-0000-0000-0000F42C0000}"/>
    <cellStyle name="Comma 2 4 2 2 3 3 2 5" xfId="21228" xr:uid="{00000000-0005-0000-0000-0000F52C0000}"/>
    <cellStyle name="Comma 2 4 2 2 3 3 2 5 2" xfId="39653" xr:uid="{00000000-0005-0000-0000-0000F62C0000}"/>
    <cellStyle name="Comma 2 4 2 2 3 3 2 6" xfId="22301" xr:uid="{00000000-0005-0000-0000-0000F72C0000}"/>
    <cellStyle name="Comma 2 4 2 2 3 3 2 7" xfId="23431" xr:uid="{00000000-0005-0000-0000-0000F82C0000}"/>
    <cellStyle name="Comma 2 4 2 2 3 3 2 8" xfId="26623" xr:uid="{00000000-0005-0000-0000-0000F92C0000}"/>
    <cellStyle name="Comma 2 4 2 2 3 3 2 9" xfId="29956" xr:uid="{00000000-0005-0000-0000-0000FA2C0000}"/>
    <cellStyle name="Comma 2 4 2 2 3 3 3" xfId="1006" xr:uid="{00000000-0005-0000-0000-0000FB2C0000}"/>
    <cellStyle name="Comma 2 4 2 2 3 3 3 10" xfId="33230" xr:uid="{00000000-0005-0000-0000-0000FC2C0000}"/>
    <cellStyle name="Comma 2 4 2 2 3 3 3 2" xfId="9776" xr:uid="{00000000-0005-0000-0000-0000FD2C0000}"/>
    <cellStyle name="Comma 2 4 2 2 3 3 3 2 2" xfId="25576" xr:uid="{00000000-0005-0000-0000-0000FE2C0000}"/>
    <cellStyle name="Comma 2 4 2 2 3 3 3 2 2 2" xfId="45003" xr:uid="{00000000-0005-0000-0000-0000FF2C0000}"/>
    <cellStyle name="Comma 2 4 2 2 3 3 3 2 2 3" xfId="38580" xr:uid="{00000000-0005-0000-0000-0000002D0000}"/>
    <cellStyle name="Comma 2 4 2 2 3 3 3 2 3" xfId="27754" xr:uid="{00000000-0005-0000-0000-0000012D0000}"/>
    <cellStyle name="Comma 2 4 2 2 3 3 3 2 3 2" xfId="41796" xr:uid="{00000000-0005-0000-0000-0000022D0000}"/>
    <cellStyle name="Comma 2 4 2 2 3 3 3 2 4" xfId="31089" xr:uid="{00000000-0005-0000-0000-0000032D0000}"/>
    <cellStyle name="Comma 2 4 2 2 3 3 3 2 5" xfId="35372" xr:uid="{00000000-0005-0000-0000-0000042D0000}"/>
    <cellStyle name="Comma 2 4 2 2 3 3 3 3" xfId="15422" xr:uid="{00000000-0005-0000-0000-0000052D0000}"/>
    <cellStyle name="Comma 2 4 2 2 3 3 3 3 2" xfId="24437" xr:uid="{00000000-0005-0000-0000-0000062D0000}"/>
    <cellStyle name="Comma 2 4 2 2 3 3 3 3 2 2" xfId="43866" xr:uid="{00000000-0005-0000-0000-0000072D0000}"/>
    <cellStyle name="Comma 2 4 2 2 3 3 3 3 2 3" xfId="37443" xr:uid="{00000000-0005-0000-0000-0000082D0000}"/>
    <cellStyle name="Comma 2 4 2 2 3 3 3 3 3" xfId="28758" xr:uid="{00000000-0005-0000-0000-0000092D0000}"/>
    <cellStyle name="Comma 2 4 2 2 3 3 3 3 3 2" xfId="40659" xr:uid="{00000000-0005-0000-0000-00000A2D0000}"/>
    <cellStyle name="Comma 2 4 2 2 3 3 3 3 4" xfId="32093" xr:uid="{00000000-0005-0000-0000-00000B2D0000}"/>
    <cellStyle name="Comma 2 4 2 2 3 3 3 3 5" xfId="34235" xr:uid="{00000000-0005-0000-0000-00000C2D0000}"/>
    <cellStyle name="Comma 2 4 2 2 3 3 3 4" xfId="8240" xr:uid="{00000000-0005-0000-0000-00000D2D0000}"/>
    <cellStyle name="Comma 2 4 2 2 3 3 3 4 2" xfId="42861" xr:uid="{00000000-0005-0000-0000-00000E2D0000}"/>
    <cellStyle name="Comma 2 4 2 2 3 3 3 4 3" xfId="36437" xr:uid="{00000000-0005-0000-0000-00000F2D0000}"/>
    <cellStyle name="Comma 2 4 2 2 3 3 3 5" xfId="21229" xr:uid="{00000000-0005-0000-0000-0000102D0000}"/>
    <cellStyle name="Comma 2 4 2 2 3 3 3 5 2" xfId="39654" xr:uid="{00000000-0005-0000-0000-0000112D0000}"/>
    <cellStyle name="Comma 2 4 2 2 3 3 3 6" xfId="22302" xr:uid="{00000000-0005-0000-0000-0000122D0000}"/>
    <cellStyle name="Comma 2 4 2 2 3 3 3 7" xfId="23432" xr:uid="{00000000-0005-0000-0000-0000132D0000}"/>
    <cellStyle name="Comma 2 4 2 2 3 3 3 8" xfId="26624" xr:uid="{00000000-0005-0000-0000-0000142D0000}"/>
    <cellStyle name="Comma 2 4 2 2 3 3 3 9" xfId="29957" xr:uid="{00000000-0005-0000-0000-0000152D0000}"/>
    <cellStyle name="Comma 2 4 2 2 3 3 4" xfId="1007" xr:uid="{00000000-0005-0000-0000-0000162D0000}"/>
    <cellStyle name="Comma 2 4 2 2 3 3 4 10" xfId="33231" xr:uid="{00000000-0005-0000-0000-0000172D0000}"/>
    <cellStyle name="Comma 2 4 2 2 3 3 4 2" xfId="9777" xr:uid="{00000000-0005-0000-0000-0000182D0000}"/>
    <cellStyle name="Comma 2 4 2 2 3 3 4 2 2" xfId="25577" xr:uid="{00000000-0005-0000-0000-0000192D0000}"/>
    <cellStyle name="Comma 2 4 2 2 3 3 4 2 2 2" xfId="45004" xr:uid="{00000000-0005-0000-0000-00001A2D0000}"/>
    <cellStyle name="Comma 2 4 2 2 3 3 4 2 2 3" xfId="38581" xr:uid="{00000000-0005-0000-0000-00001B2D0000}"/>
    <cellStyle name="Comma 2 4 2 2 3 3 4 2 3" xfId="27755" xr:uid="{00000000-0005-0000-0000-00001C2D0000}"/>
    <cellStyle name="Comma 2 4 2 2 3 3 4 2 3 2" xfId="41797" xr:uid="{00000000-0005-0000-0000-00001D2D0000}"/>
    <cellStyle name="Comma 2 4 2 2 3 3 4 2 4" xfId="31090" xr:uid="{00000000-0005-0000-0000-00001E2D0000}"/>
    <cellStyle name="Comma 2 4 2 2 3 3 4 2 5" xfId="35373" xr:uid="{00000000-0005-0000-0000-00001F2D0000}"/>
    <cellStyle name="Comma 2 4 2 2 3 3 4 3" xfId="15423" xr:uid="{00000000-0005-0000-0000-0000202D0000}"/>
    <cellStyle name="Comma 2 4 2 2 3 3 4 3 2" xfId="24438" xr:uid="{00000000-0005-0000-0000-0000212D0000}"/>
    <cellStyle name="Comma 2 4 2 2 3 3 4 3 2 2" xfId="43867" xr:uid="{00000000-0005-0000-0000-0000222D0000}"/>
    <cellStyle name="Comma 2 4 2 2 3 3 4 3 2 3" xfId="37444" xr:uid="{00000000-0005-0000-0000-0000232D0000}"/>
    <cellStyle name="Comma 2 4 2 2 3 3 4 3 3" xfId="28759" xr:uid="{00000000-0005-0000-0000-0000242D0000}"/>
    <cellStyle name="Comma 2 4 2 2 3 3 4 3 3 2" xfId="40660" xr:uid="{00000000-0005-0000-0000-0000252D0000}"/>
    <cellStyle name="Comma 2 4 2 2 3 3 4 3 4" xfId="32094" xr:uid="{00000000-0005-0000-0000-0000262D0000}"/>
    <cellStyle name="Comma 2 4 2 2 3 3 4 3 5" xfId="34236" xr:uid="{00000000-0005-0000-0000-0000272D0000}"/>
    <cellStyle name="Comma 2 4 2 2 3 3 4 4" xfId="8241" xr:uid="{00000000-0005-0000-0000-0000282D0000}"/>
    <cellStyle name="Comma 2 4 2 2 3 3 4 4 2" xfId="42862" xr:uid="{00000000-0005-0000-0000-0000292D0000}"/>
    <cellStyle name="Comma 2 4 2 2 3 3 4 4 3" xfId="36438" xr:uid="{00000000-0005-0000-0000-00002A2D0000}"/>
    <cellStyle name="Comma 2 4 2 2 3 3 4 5" xfId="21230" xr:uid="{00000000-0005-0000-0000-00002B2D0000}"/>
    <cellStyle name="Comma 2 4 2 2 3 3 4 5 2" xfId="39655" xr:uid="{00000000-0005-0000-0000-00002C2D0000}"/>
    <cellStyle name="Comma 2 4 2 2 3 3 4 6" xfId="22303" xr:uid="{00000000-0005-0000-0000-00002D2D0000}"/>
    <cellStyle name="Comma 2 4 2 2 3 3 4 7" xfId="23433" xr:uid="{00000000-0005-0000-0000-00002E2D0000}"/>
    <cellStyle name="Comma 2 4 2 2 3 3 4 8" xfId="26625" xr:uid="{00000000-0005-0000-0000-00002F2D0000}"/>
    <cellStyle name="Comma 2 4 2 2 3 3 4 9" xfId="29958" xr:uid="{00000000-0005-0000-0000-0000302D0000}"/>
    <cellStyle name="Comma 2 4 2 2 3 3 5" xfId="1008" xr:uid="{00000000-0005-0000-0000-0000312D0000}"/>
    <cellStyle name="Comma 2 4 2 2 3 3 5 10" xfId="33232" xr:uid="{00000000-0005-0000-0000-0000322D0000}"/>
    <cellStyle name="Comma 2 4 2 2 3 3 5 2" xfId="9778" xr:uid="{00000000-0005-0000-0000-0000332D0000}"/>
    <cellStyle name="Comma 2 4 2 2 3 3 5 2 2" xfId="25578" xr:uid="{00000000-0005-0000-0000-0000342D0000}"/>
    <cellStyle name="Comma 2 4 2 2 3 3 5 2 2 2" xfId="45005" xr:uid="{00000000-0005-0000-0000-0000352D0000}"/>
    <cellStyle name="Comma 2 4 2 2 3 3 5 2 2 3" xfId="38582" xr:uid="{00000000-0005-0000-0000-0000362D0000}"/>
    <cellStyle name="Comma 2 4 2 2 3 3 5 2 3" xfId="27756" xr:uid="{00000000-0005-0000-0000-0000372D0000}"/>
    <cellStyle name="Comma 2 4 2 2 3 3 5 2 3 2" xfId="41798" xr:uid="{00000000-0005-0000-0000-0000382D0000}"/>
    <cellStyle name="Comma 2 4 2 2 3 3 5 2 4" xfId="31091" xr:uid="{00000000-0005-0000-0000-0000392D0000}"/>
    <cellStyle name="Comma 2 4 2 2 3 3 5 2 5" xfId="35374" xr:uid="{00000000-0005-0000-0000-00003A2D0000}"/>
    <cellStyle name="Comma 2 4 2 2 3 3 5 3" xfId="15424" xr:uid="{00000000-0005-0000-0000-00003B2D0000}"/>
    <cellStyle name="Comma 2 4 2 2 3 3 5 3 2" xfId="24439" xr:uid="{00000000-0005-0000-0000-00003C2D0000}"/>
    <cellStyle name="Comma 2 4 2 2 3 3 5 3 2 2" xfId="43868" xr:uid="{00000000-0005-0000-0000-00003D2D0000}"/>
    <cellStyle name="Comma 2 4 2 2 3 3 5 3 2 3" xfId="37445" xr:uid="{00000000-0005-0000-0000-00003E2D0000}"/>
    <cellStyle name="Comma 2 4 2 2 3 3 5 3 3" xfId="28760" xr:uid="{00000000-0005-0000-0000-00003F2D0000}"/>
    <cellStyle name="Comma 2 4 2 2 3 3 5 3 3 2" xfId="40661" xr:uid="{00000000-0005-0000-0000-0000402D0000}"/>
    <cellStyle name="Comma 2 4 2 2 3 3 5 3 4" xfId="32095" xr:uid="{00000000-0005-0000-0000-0000412D0000}"/>
    <cellStyle name="Comma 2 4 2 2 3 3 5 3 5" xfId="34237" xr:uid="{00000000-0005-0000-0000-0000422D0000}"/>
    <cellStyle name="Comma 2 4 2 2 3 3 5 4" xfId="8242" xr:uid="{00000000-0005-0000-0000-0000432D0000}"/>
    <cellStyle name="Comma 2 4 2 2 3 3 5 4 2" xfId="42863" xr:uid="{00000000-0005-0000-0000-0000442D0000}"/>
    <cellStyle name="Comma 2 4 2 2 3 3 5 4 3" xfId="36439" xr:uid="{00000000-0005-0000-0000-0000452D0000}"/>
    <cellStyle name="Comma 2 4 2 2 3 3 5 5" xfId="21231" xr:uid="{00000000-0005-0000-0000-0000462D0000}"/>
    <cellStyle name="Comma 2 4 2 2 3 3 5 5 2" xfId="39656" xr:uid="{00000000-0005-0000-0000-0000472D0000}"/>
    <cellStyle name="Comma 2 4 2 2 3 3 5 6" xfId="22304" xr:uid="{00000000-0005-0000-0000-0000482D0000}"/>
    <cellStyle name="Comma 2 4 2 2 3 3 5 7" xfId="23434" xr:uid="{00000000-0005-0000-0000-0000492D0000}"/>
    <cellStyle name="Comma 2 4 2 2 3 3 5 8" xfId="26626" xr:uid="{00000000-0005-0000-0000-00004A2D0000}"/>
    <cellStyle name="Comma 2 4 2 2 3 3 5 9" xfId="29959" xr:uid="{00000000-0005-0000-0000-00004B2D0000}"/>
    <cellStyle name="Comma 2 4 2 2 3 3 6" xfId="9774" xr:uid="{00000000-0005-0000-0000-00004C2D0000}"/>
    <cellStyle name="Comma 2 4 2 2 3 3 6 2" xfId="25574" xr:uid="{00000000-0005-0000-0000-00004D2D0000}"/>
    <cellStyle name="Comma 2 4 2 2 3 3 6 2 2" xfId="45001" xr:uid="{00000000-0005-0000-0000-00004E2D0000}"/>
    <cellStyle name="Comma 2 4 2 2 3 3 6 2 3" xfId="38578" xr:uid="{00000000-0005-0000-0000-00004F2D0000}"/>
    <cellStyle name="Comma 2 4 2 2 3 3 6 3" xfId="27752" xr:uid="{00000000-0005-0000-0000-0000502D0000}"/>
    <cellStyle name="Comma 2 4 2 2 3 3 6 3 2" xfId="41794" xr:uid="{00000000-0005-0000-0000-0000512D0000}"/>
    <cellStyle name="Comma 2 4 2 2 3 3 6 4" xfId="31087" xr:uid="{00000000-0005-0000-0000-0000522D0000}"/>
    <cellStyle name="Comma 2 4 2 2 3 3 6 5" xfId="35370" xr:uid="{00000000-0005-0000-0000-0000532D0000}"/>
    <cellStyle name="Comma 2 4 2 2 3 3 7" xfId="15420" xr:uid="{00000000-0005-0000-0000-0000542D0000}"/>
    <cellStyle name="Comma 2 4 2 2 3 3 7 2" xfId="24435" xr:uid="{00000000-0005-0000-0000-0000552D0000}"/>
    <cellStyle name="Comma 2 4 2 2 3 3 7 2 2" xfId="43864" xr:uid="{00000000-0005-0000-0000-0000562D0000}"/>
    <cellStyle name="Comma 2 4 2 2 3 3 7 2 3" xfId="37441" xr:uid="{00000000-0005-0000-0000-0000572D0000}"/>
    <cellStyle name="Comma 2 4 2 2 3 3 7 3" xfId="28756" xr:uid="{00000000-0005-0000-0000-0000582D0000}"/>
    <cellStyle name="Comma 2 4 2 2 3 3 7 3 2" xfId="40657" xr:uid="{00000000-0005-0000-0000-0000592D0000}"/>
    <cellStyle name="Comma 2 4 2 2 3 3 7 4" xfId="32091" xr:uid="{00000000-0005-0000-0000-00005A2D0000}"/>
    <cellStyle name="Comma 2 4 2 2 3 3 7 5" xfId="34233" xr:uid="{00000000-0005-0000-0000-00005B2D0000}"/>
    <cellStyle name="Comma 2 4 2 2 3 3 8" xfId="8238" xr:uid="{00000000-0005-0000-0000-00005C2D0000}"/>
    <cellStyle name="Comma 2 4 2 2 3 3 8 2" xfId="42859" xr:uid="{00000000-0005-0000-0000-00005D2D0000}"/>
    <cellStyle name="Comma 2 4 2 2 3 3 8 3" xfId="36435" xr:uid="{00000000-0005-0000-0000-00005E2D0000}"/>
    <cellStyle name="Comma 2 4 2 2 3 3 9" xfId="21227" xr:uid="{00000000-0005-0000-0000-00005F2D0000}"/>
    <cellStyle name="Comma 2 4 2 2 3 3 9 2" xfId="39652" xr:uid="{00000000-0005-0000-0000-0000602D0000}"/>
    <cellStyle name="Comma 2 4 2 2 3 4" xfId="1009" xr:uid="{00000000-0005-0000-0000-0000612D0000}"/>
    <cellStyle name="Comma 2 4 2 2 3 4 10" xfId="33233" xr:uid="{00000000-0005-0000-0000-0000622D0000}"/>
    <cellStyle name="Comma 2 4 2 2 3 4 2" xfId="9779" xr:uid="{00000000-0005-0000-0000-0000632D0000}"/>
    <cellStyle name="Comma 2 4 2 2 3 4 2 2" xfId="25579" xr:uid="{00000000-0005-0000-0000-0000642D0000}"/>
    <cellStyle name="Comma 2 4 2 2 3 4 2 2 2" xfId="45006" xr:uid="{00000000-0005-0000-0000-0000652D0000}"/>
    <cellStyle name="Comma 2 4 2 2 3 4 2 2 3" xfId="38583" xr:uid="{00000000-0005-0000-0000-0000662D0000}"/>
    <cellStyle name="Comma 2 4 2 2 3 4 2 3" xfId="27757" xr:uid="{00000000-0005-0000-0000-0000672D0000}"/>
    <cellStyle name="Comma 2 4 2 2 3 4 2 3 2" xfId="41799" xr:uid="{00000000-0005-0000-0000-0000682D0000}"/>
    <cellStyle name="Comma 2 4 2 2 3 4 2 4" xfId="31092" xr:uid="{00000000-0005-0000-0000-0000692D0000}"/>
    <cellStyle name="Comma 2 4 2 2 3 4 2 5" xfId="35375" xr:uid="{00000000-0005-0000-0000-00006A2D0000}"/>
    <cellStyle name="Comma 2 4 2 2 3 4 3" xfId="15425" xr:uid="{00000000-0005-0000-0000-00006B2D0000}"/>
    <cellStyle name="Comma 2 4 2 2 3 4 3 2" xfId="24440" xr:uid="{00000000-0005-0000-0000-00006C2D0000}"/>
    <cellStyle name="Comma 2 4 2 2 3 4 3 2 2" xfId="43869" xr:uid="{00000000-0005-0000-0000-00006D2D0000}"/>
    <cellStyle name="Comma 2 4 2 2 3 4 3 2 3" xfId="37446" xr:uid="{00000000-0005-0000-0000-00006E2D0000}"/>
    <cellStyle name="Comma 2 4 2 2 3 4 3 3" xfId="28761" xr:uid="{00000000-0005-0000-0000-00006F2D0000}"/>
    <cellStyle name="Comma 2 4 2 2 3 4 3 3 2" xfId="40662" xr:uid="{00000000-0005-0000-0000-0000702D0000}"/>
    <cellStyle name="Comma 2 4 2 2 3 4 3 4" xfId="32096" xr:uid="{00000000-0005-0000-0000-0000712D0000}"/>
    <cellStyle name="Comma 2 4 2 2 3 4 3 5" xfId="34238" xr:uid="{00000000-0005-0000-0000-0000722D0000}"/>
    <cellStyle name="Comma 2 4 2 2 3 4 4" xfId="8243" xr:uid="{00000000-0005-0000-0000-0000732D0000}"/>
    <cellStyle name="Comma 2 4 2 2 3 4 4 2" xfId="42864" xr:uid="{00000000-0005-0000-0000-0000742D0000}"/>
    <cellStyle name="Comma 2 4 2 2 3 4 4 3" xfId="36440" xr:uid="{00000000-0005-0000-0000-0000752D0000}"/>
    <cellStyle name="Comma 2 4 2 2 3 4 5" xfId="21232" xr:uid="{00000000-0005-0000-0000-0000762D0000}"/>
    <cellStyle name="Comma 2 4 2 2 3 4 5 2" xfId="39657" xr:uid="{00000000-0005-0000-0000-0000772D0000}"/>
    <cellStyle name="Comma 2 4 2 2 3 4 6" xfId="22305" xr:uid="{00000000-0005-0000-0000-0000782D0000}"/>
    <cellStyle name="Comma 2 4 2 2 3 4 7" xfId="23435" xr:uid="{00000000-0005-0000-0000-0000792D0000}"/>
    <cellStyle name="Comma 2 4 2 2 3 4 8" xfId="26627" xr:uid="{00000000-0005-0000-0000-00007A2D0000}"/>
    <cellStyle name="Comma 2 4 2 2 3 4 9" xfId="29960" xr:uid="{00000000-0005-0000-0000-00007B2D0000}"/>
    <cellStyle name="Comma 2 4 2 2 3 5" xfId="1010" xr:uid="{00000000-0005-0000-0000-00007C2D0000}"/>
    <cellStyle name="Comma 2 4 2 2 3 5 10" xfId="33234" xr:uid="{00000000-0005-0000-0000-00007D2D0000}"/>
    <cellStyle name="Comma 2 4 2 2 3 5 2" xfId="9780" xr:uid="{00000000-0005-0000-0000-00007E2D0000}"/>
    <cellStyle name="Comma 2 4 2 2 3 5 2 2" xfId="25580" xr:uid="{00000000-0005-0000-0000-00007F2D0000}"/>
    <cellStyle name="Comma 2 4 2 2 3 5 2 2 2" xfId="45007" xr:uid="{00000000-0005-0000-0000-0000802D0000}"/>
    <cellStyle name="Comma 2 4 2 2 3 5 2 2 3" xfId="38584" xr:uid="{00000000-0005-0000-0000-0000812D0000}"/>
    <cellStyle name="Comma 2 4 2 2 3 5 2 3" xfId="27758" xr:uid="{00000000-0005-0000-0000-0000822D0000}"/>
    <cellStyle name="Comma 2 4 2 2 3 5 2 3 2" xfId="41800" xr:uid="{00000000-0005-0000-0000-0000832D0000}"/>
    <cellStyle name="Comma 2 4 2 2 3 5 2 4" xfId="31093" xr:uid="{00000000-0005-0000-0000-0000842D0000}"/>
    <cellStyle name="Comma 2 4 2 2 3 5 2 5" xfId="35376" xr:uid="{00000000-0005-0000-0000-0000852D0000}"/>
    <cellStyle name="Comma 2 4 2 2 3 5 3" xfId="15426" xr:uid="{00000000-0005-0000-0000-0000862D0000}"/>
    <cellStyle name="Comma 2 4 2 2 3 5 3 2" xfId="24441" xr:uid="{00000000-0005-0000-0000-0000872D0000}"/>
    <cellStyle name="Comma 2 4 2 2 3 5 3 2 2" xfId="43870" xr:uid="{00000000-0005-0000-0000-0000882D0000}"/>
    <cellStyle name="Comma 2 4 2 2 3 5 3 2 3" xfId="37447" xr:uid="{00000000-0005-0000-0000-0000892D0000}"/>
    <cellStyle name="Comma 2 4 2 2 3 5 3 3" xfId="28762" xr:uid="{00000000-0005-0000-0000-00008A2D0000}"/>
    <cellStyle name="Comma 2 4 2 2 3 5 3 3 2" xfId="40663" xr:uid="{00000000-0005-0000-0000-00008B2D0000}"/>
    <cellStyle name="Comma 2 4 2 2 3 5 3 4" xfId="32097" xr:uid="{00000000-0005-0000-0000-00008C2D0000}"/>
    <cellStyle name="Comma 2 4 2 2 3 5 3 5" xfId="34239" xr:uid="{00000000-0005-0000-0000-00008D2D0000}"/>
    <cellStyle name="Comma 2 4 2 2 3 5 4" xfId="8244" xr:uid="{00000000-0005-0000-0000-00008E2D0000}"/>
    <cellStyle name="Comma 2 4 2 2 3 5 4 2" xfId="42865" xr:uid="{00000000-0005-0000-0000-00008F2D0000}"/>
    <cellStyle name="Comma 2 4 2 2 3 5 4 3" xfId="36441" xr:uid="{00000000-0005-0000-0000-0000902D0000}"/>
    <cellStyle name="Comma 2 4 2 2 3 5 5" xfId="21233" xr:uid="{00000000-0005-0000-0000-0000912D0000}"/>
    <cellStyle name="Comma 2 4 2 2 3 5 5 2" xfId="39658" xr:uid="{00000000-0005-0000-0000-0000922D0000}"/>
    <cellStyle name="Comma 2 4 2 2 3 5 6" xfId="22306" xr:uid="{00000000-0005-0000-0000-0000932D0000}"/>
    <cellStyle name="Comma 2 4 2 2 3 5 7" xfId="23436" xr:uid="{00000000-0005-0000-0000-0000942D0000}"/>
    <cellStyle name="Comma 2 4 2 2 3 5 8" xfId="26628" xr:uid="{00000000-0005-0000-0000-0000952D0000}"/>
    <cellStyle name="Comma 2 4 2 2 3 5 9" xfId="29961" xr:uid="{00000000-0005-0000-0000-0000962D0000}"/>
    <cellStyle name="Comma 2 4 2 2 3 6" xfId="1011" xr:uid="{00000000-0005-0000-0000-0000972D0000}"/>
    <cellStyle name="Comma 2 4 2 2 3 6 10" xfId="33235" xr:uid="{00000000-0005-0000-0000-0000982D0000}"/>
    <cellStyle name="Comma 2 4 2 2 3 6 2" xfId="9781" xr:uid="{00000000-0005-0000-0000-0000992D0000}"/>
    <cellStyle name="Comma 2 4 2 2 3 6 2 2" xfId="25581" xr:uid="{00000000-0005-0000-0000-00009A2D0000}"/>
    <cellStyle name="Comma 2 4 2 2 3 6 2 2 2" xfId="45008" xr:uid="{00000000-0005-0000-0000-00009B2D0000}"/>
    <cellStyle name="Comma 2 4 2 2 3 6 2 2 3" xfId="38585" xr:uid="{00000000-0005-0000-0000-00009C2D0000}"/>
    <cellStyle name="Comma 2 4 2 2 3 6 2 3" xfId="27759" xr:uid="{00000000-0005-0000-0000-00009D2D0000}"/>
    <cellStyle name="Comma 2 4 2 2 3 6 2 3 2" xfId="41801" xr:uid="{00000000-0005-0000-0000-00009E2D0000}"/>
    <cellStyle name="Comma 2 4 2 2 3 6 2 4" xfId="31094" xr:uid="{00000000-0005-0000-0000-00009F2D0000}"/>
    <cellStyle name="Comma 2 4 2 2 3 6 2 5" xfId="35377" xr:uid="{00000000-0005-0000-0000-0000A02D0000}"/>
    <cellStyle name="Comma 2 4 2 2 3 6 3" xfId="15427" xr:uid="{00000000-0005-0000-0000-0000A12D0000}"/>
    <cellStyle name="Comma 2 4 2 2 3 6 3 2" xfId="24442" xr:uid="{00000000-0005-0000-0000-0000A22D0000}"/>
    <cellStyle name="Comma 2 4 2 2 3 6 3 2 2" xfId="43871" xr:uid="{00000000-0005-0000-0000-0000A32D0000}"/>
    <cellStyle name="Comma 2 4 2 2 3 6 3 2 3" xfId="37448" xr:uid="{00000000-0005-0000-0000-0000A42D0000}"/>
    <cellStyle name="Comma 2 4 2 2 3 6 3 3" xfId="28763" xr:uid="{00000000-0005-0000-0000-0000A52D0000}"/>
    <cellStyle name="Comma 2 4 2 2 3 6 3 3 2" xfId="40664" xr:uid="{00000000-0005-0000-0000-0000A62D0000}"/>
    <cellStyle name="Comma 2 4 2 2 3 6 3 4" xfId="32098" xr:uid="{00000000-0005-0000-0000-0000A72D0000}"/>
    <cellStyle name="Comma 2 4 2 2 3 6 3 5" xfId="34240" xr:uid="{00000000-0005-0000-0000-0000A82D0000}"/>
    <cellStyle name="Comma 2 4 2 2 3 6 4" xfId="8245" xr:uid="{00000000-0005-0000-0000-0000A92D0000}"/>
    <cellStyle name="Comma 2 4 2 2 3 6 4 2" xfId="42866" xr:uid="{00000000-0005-0000-0000-0000AA2D0000}"/>
    <cellStyle name="Comma 2 4 2 2 3 6 4 3" xfId="36442" xr:uid="{00000000-0005-0000-0000-0000AB2D0000}"/>
    <cellStyle name="Comma 2 4 2 2 3 6 5" xfId="21234" xr:uid="{00000000-0005-0000-0000-0000AC2D0000}"/>
    <cellStyle name="Comma 2 4 2 2 3 6 5 2" xfId="39659" xr:uid="{00000000-0005-0000-0000-0000AD2D0000}"/>
    <cellStyle name="Comma 2 4 2 2 3 6 6" xfId="22307" xr:uid="{00000000-0005-0000-0000-0000AE2D0000}"/>
    <cellStyle name="Comma 2 4 2 2 3 6 7" xfId="23437" xr:uid="{00000000-0005-0000-0000-0000AF2D0000}"/>
    <cellStyle name="Comma 2 4 2 2 3 6 8" xfId="26629" xr:uid="{00000000-0005-0000-0000-0000B02D0000}"/>
    <cellStyle name="Comma 2 4 2 2 3 6 9" xfId="29962" xr:uid="{00000000-0005-0000-0000-0000B12D0000}"/>
    <cellStyle name="Comma 2 4 2 2 3 7" xfId="1012" xr:uid="{00000000-0005-0000-0000-0000B22D0000}"/>
    <cellStyle name="Comma 2 4 2 2 3 7 10" xfId="33236" xr:uid="{00000000-0005-0000-0000-0000B32D0000}"/>
    <cellStyle name="Comma 2 4 2 2 3 7 2" xfId="9782" xr:uid="{00000000-0005-0000-0000-0000B42D0000}"/>
    <cellStyle name="Comma 2 4 2 2 3 7 2 2" xfId="25582" xr:uid="{00000000-0005-0000-0000-0000B52D0000}"/>
    <cellStyle name="Comma 2 4 2 2 3 7 2 2 2" xfId="45009" xr:uid="{00000000-0005-0000-0000-0000B62D0000}"/>
    <cellStyle name="Comma 2 4 2 2 3 7 2 2 3" xfId="38586" xr:uid="{00000000-0005-0000-0000-0000B72D0000}"/>
    <cellStyle name="Comma 2 4 2 2 3 7 2 3" xfId="27760" xr:uid="{00000000-0005-0000-0000-0000B82D0000}"/>
    <cellStyle name="Comma 2 4 2 2 3 7 2 3 2" xfId="41802" xr:uid="{00000000-0005-0000-0000-0000B92D0000}"/>
    <cellStyle name="Comma 2 4 2 2 3 7 2 4" xfId="31095" xr:uid="{00000000-0005-0000-0000-0000BA2D0000}"/>
    <cellStyle name="Comma 2 4 2 2 3 7 2 5" xfId="35378" xr:uid="{00000000-0005-0000-0000-0000BB2D0000}"/>
    <cellStyle name="Comma 2 4 2 2 3 7 3" xfId="15428" xr:uid="{00000000-0005-0000-0000-0000BC2D0000}"/>
    <cellStyle name="Comma 2 4 2 2 3 7 3 2" xfId="24443" xr:uid="{00000000-0005-0000-0000-0000BD2D0000}"/>
    <cellStyle name="Comma 2 4 2 2 3 7 3 2 2" xfId="43872" xr:uid="{00000000-0005-0000-0000-0000BE2D0000}"/>
    <cellStyle name="Comma 2 4 2 2 3 7 3 2 3" xfId="37449" xr:uid="{00000000-0005-0000-0000-0000BF2D0000}"/>
    <cellStyle name="Comma 2 4 2 2 3 7 3 3" xfId="28764" xr:uid="{00000000-0005-0000-0000-0000C02D0000}"/>
    <cellStyle name="Comma 2 4 2 2 3 7 3 3 2" xfId="40665" xr:uid="{00000000-0005-0000-0000-0000C12D0000}"/>
    <cellStyle name="Comma 2 4 2 2 3 7 3 4" xfId="32099" xr:uid="{00000000-0005-0000-0000-0000C22D0000}"/>
    <cellStyle name="Comma 2 4 2 2 3 7 3 5" xfId="34241" xr:uid="{00000000-0005-0000-0000-0000C32D0000}"/>
    <cellStyle name="Comma 2 4 2 2 3 7 4" xfId="8246" xr:uid="{00000000-0005-0000-0000-0000C42D0000}"/>
    <cellStyle name="Comma 2 4 2 2 3 7 4 2" xfId="42867" xr:uid="{00000000-0005-0000-0000-0000C52D0000}"/>
    <cellStyle name="Comma 2 4 2 2 3 7 4 3" xfId="36443" xr:uid="{00000000-0005-0000-0000-0000C62D0000}"/>
    <cellStyle name="Comma 2 4 2 2 3 7 5" xfId="21235" xr:uid="{00000000-0005-0000-0000-0000C72D0000}"/>
    <cellStyle name="Comma 2 4 2 2 3 7 5 2" xfId="39660" xr:uid="{00000000-0005-0000-0000-0000C82D0000}"/>
    <cellStyle name="Comma 2 4 2 2 3 7 6" xfId="22308" xr:uid="{00000000-0005-0000-0000-0000C92D0000}"/>
    <cellStyle name="Comma 2 4 2 2 3 7 7" xfId="23438" xr:uid="{00000000-0005-0000-0000-0000CA2D0000}"/>
    <cellStyle name="Comma 2 4 2 2 3 7 8" xfId="26630" xr:uid="{00000000-0005-0000-0000-0000CB2D0000}"/>
    <cellStyle name="Comma 2 4 2 2 3 7 9" xfId="29963" xr:uid="{00000000-0005-0000-0000-0000CC2D0000}"/>
    <cellStyle name="Comma 2 4 2 2 3 8" xfId="1013" xr:uid="{00000000-0005-0000-0000-0000CD2D0000}"/>
    <cellStyle name="Comma 2 4 2 2 3 8 10" xfId="33237" xr:uid="{00000000-0005-0000-0000-0000CE2D0000}"/>
    <cellStyle name="Comma 2 4 2 2 3 8 2" xfId="9783" xr:uid="{00000000-0005-0000-0000-0000CF2D0000}"/>
    <cellStyle name="Comma 2 4 2 2 3 8 2 2" xfId="25583" xr:uid="{00000000-0005-0000-0000-0000D02D0000}"/>
    <cellStyle name="Comma 2 4 2 2 3 8 2 2 2" xfId="45010" xr:uid="{00000000-0005-0000-0000-0000D12D0000}"/>
    <cellStyle name="Comma 2 4 2 2 3 8 2 2 3" xfId="38587" xr:uid="{00000000-0005-0000-0000-0000D22D0000}"/>
    <cellStyle name="Comma 2 4 2 2 3 8 2 3" xfId="27761" xr:uid="{00000000-0005-0000-0000-0000D32D0000}"/>
    <cellStyle name="Comma 2 4 2 2 3 8 2 3 2" xfId="41803" xr:uid="{00000000-0005-0000-0000-0000D42D0000}"/>
    <cellStyle name="Comma 2 4 2 2 3 8 2 4" xfId="31096" xr:uid="{00000000-0005-0000-0000-0000D52D0000}"/>
    <cellStyle name="Comma 2 4 2 2 3 8 2 5" xfId="35379" xr:uid="{00000000-0005-0000-0000-0000D62D0000}"/>
    <cellStyle name="Comma 2 4 2 2 3 8 3" xfId="15429" xr:uid="{00000000-0005-0000-0000-0000D72D0000}"/>
    <cellStyle name="Comma 2 4 2 2 3 8 3 2" xfId="24444" xr:uid="{00000000-0005-0000-0000-0000D82D0000}"/>
    <cellStyle name="Comma 2 4 2 2 3 8 3 2 2" xfId="43873" xr:uid="{00000000-0005-0000-0000-0000D92D0000}"/>
    <cellStyle name="Comma 2 4 2 2 3 8 3 2 3" xfId="37450" xr:uid="{00000000-0005-0000-0000-0000DA2D0000}"/>
    <cellStyle name="Comma 2 4 2 2 3 8 3 3" xfId="28765" xr:uid="{00000000-0005-0000-0000-0000DB2D0000}"/>
    <cellStyle name="Comma 2 4 2 2 3 8 3 3 2" xfId="40666" xr:uid="{00000000-0005-0000-0000-0000DC2D0000}"/>
    <cellStyle name="Comma 2 4 2 2 3 8 3 4" xfId="32100" xr:uid="{00000000-0005-0000-0000-0000DD2D0000}"/>
    <cellStyle name="Comma 2 4 2 2 3 8 3 5" xfId="34242" xr:uid="{00000000-0005-0000-0000-0000DE2D0000}"/>
    <cellStyle name="Comma 2 4 2 2 3 8 4" xfId="8247" xr:uid="{00000000-0005-0000-0000-0000DF2D0000}"/>
    <cellStyle name="Comma 2 4 2 2 3 8 4 2" xfId="42868" xr:uid="{00000000-0005-0000-0000-0000E02D0000}"/>
    <cellStyle name="Comma 2 4 2 2 3 8 4 3" xfId="36444" xr:uid="{00000000-0005-0000-0000-0000E12D0000}"/>
    <cellStyle name="Comma 2 4 2 2 3 8 5" xfId="21236" xr:uid="{00000000-0005-0000-0000-0000E22D0000}"/>
    <cellStyle name="Comma 2 4 2 2 3 8 5 2" xfId="39661" xr:uid="{00000000-0005-0000-0000-0000E32D0000}"/>
    <cellStyle name="Comma 2 4 2 2 3 8 6" xfId="22309" xr:uid="{00000000-0005-0000-0000-0000E42D0000}"/>
    <cellStyle name="Comma 2 4 2 2 3 8 7" xfId="23439" xr:uid="{00000000-0005-0000-0000-0000E52D0000}"/>
    <cellStyle name="Comma 2 4 2 2 3 8 8" xfId="26631" xr:uid="{00000000-0005-0000-0000-0000E62D0000}"/>
    <cellStyle name="Comma 2 4 2 2 3 8 9" xfId="29964" xr:uid="{00000000-0005-0000-0000-0000E72D0000}"/>
    <cellStyle name="Comma 2 4 2 2 3 9" xfId="9070" xr:uid="{00000000-0005-0000-0000-0000E82D0000}"/>
    <cellStyle name="Comma 2 4 2 2 3 9 2" xfId="25125" xr:uid="{00000000-0005-0000-0000-0000E92D0000}"/>
    <cellStyle name="Comma 2 4 2 2 3 9 2 2" xfId="44552" xr:uid="{00000000-0005-0000-0000-0000EA2D0000}"/>
    <cellStyle name="Comma 2 4 2 2 3 9 2 3" xfId="38129" xr:uid="{00000000-0005-0000-0000-0000EB2D0000}"/>
    <cellStyle name="Comma 2 4 2 2 3 9 3" xfId="27304" xr:uid="{00000000-0005-0000-0000-0000EC2D0000}"/>
    <cellStyle name="Comma 2 4 2 2 3 9 3 2" xfId="41345" xr:uid="{00000000-0005-0000-0000-0000ED2D0000}"/>
    <cellStyle name="Comma 2 4 2 2 3 9 4" xfId="30639" xr:uid="{00000000-0005-0000-0000-0000EE2D0000}"/>
    <cellStyle name="Comma 2 4 2 2 3 9 5" xfId="34921" xr:uid="{00000000-0005-0000-0000-0000EF2D0000}"/>
    <cellStyle name="Comma 2 4 2 2 4" xfId="211" xr:uid="{00000000-0005-0000-0000-0000F02D0000}"/>
    <cellStyle name="Comma 2 4 2 2 4 10" xfId="21237" xr:uid="{00000000-0005-0000-0000-0000F12D0000}"/>
    <cellStyle name="Comma 2 4 2 2 4 10 2" xfId="39222" xr:uid="{00000000-0005-0000-0000-0000F22D0000}"/>
    <cellStyle name="Comma 2 4 2 2 4 11" xfId="22310" xr:uid="{00000000-0005-0000-0000-0000F32D0000}"/>
    <cellStyle name="Comma 2 4 2 2 4 12" xfId="23000" xr:uid="{00000000-0005-0000-0000-0000F42D0000}"/>
    <cellStyle name="Comma 2 4 2 2 4 13" xfId="26632" xr:uid="{00000000-0005-0000-0000-0000F52D0000}"/>
    <cellStyle name="Comma 2 4 2 2 4 14" xfId="29965" xr:uid="{00000000-0005-0000-0000-0000F62D0000}"/>
    <cellStyle name="Comma 2 4 2 2 4 15" xfId="32798" xr:uid="{00000000-0005-0000-0000-0000F72D0000}"/>
    <cellStyle name="Comma 2 4 2 2 4 2" xfId="1014" xr:uid="{00000000-0005-0000-0000-0000F82D0000}"/>
    <cellStyle name="Comma 2 4 2 2 4 2 10" xfId="33238" xr:uid="{00000000-0005-0000-0000-0000F92D0000}"/>
    <cellStyle name="Comma 2 4 2 2 4 2 2" xfId="9784" xr:uid="{00000000-0005-0000-0000-0000FA2D0000}"/>
    <cellStyle name="Comma 2 4 2 2 4 2 2 2" xfId="25584" xr:uid="{00000000-0005-0000-0000-0000FB2D0000}"/>
    <cellStyle name="Comma 2 4 2 2 4 2 2 2 2" xfId="45011" xr:uid="{00000000-0005-0000-0000-0000FC2D0000}"/>
    <cellStyle name="Comma 2 4 2 2 4 2 2 2 3" xfId="38588" xr:uid="{00000000-0005-0000-0000-0000FD2D0000}"/>
    <cellStyle name="Comma 2 4 2 2 4 2 2 3" xfId="27762" xr:uid="{00000000-0005-0000-0000-0000FE2D0000}"/>
    <cellStyle name="Comma 2 4 2 2 4 2 2 3 2" xfId="41804" xr:uid="{00000000-0005-0000-0000-0000FF2D0000}"/>
    <cellStyle name="Comma 2 4 2 2 4 2 2 4" xfId="31097" xr:uid="{00000000-0005-0000-0000-0000002E0000}"/>
    <cellStyle name="Comma 2 4 2 2 4 2 2 5" xfId="35380" xr:uid="{00000000-0005-0000-0000-0000012E0000}"/>
    <cellStyle name="Comma 2 4 2 2 4 2 3" xfId="15431" xr:uid="{00000000-0005-0000-0000-0000022E0000}"/>
    <cellStyle name="Comma 2 4 2 2 4 2 3 2" xfId="24446" xr:uid="{00000000-0005-0000-0000-0000032E0000}"/>
    <cellStyle name="Comma 2 4 2 2 4 2 3 2 2" xfId="43875" xr:uid="{00000000-0005-0000-0000-0000042E0000}"/>
    <cellStyle name="Comma 2 4 2 2 4 2 3 2 3" xfId="37452" xr:uid="{00000000-0005-0000-0000-0000052E0000}"/>
    <cellStyle name="Comma 2 4 2 2 4 2 3 3" xfId="28767" xr:uid="{00000000-0005-0000-0000-0000062E0000}"/>
    <cellStyle name="Comma 2 4 2 2 4 2 3 3 2" xfId="40668" xr:uid="{00000000-0005-0000-0000-0000072E0000}"/>
    <cellStyle name="Comma 2 4 2 2 4 2 3 4" xfId="32102" xr:uid="{00000000-0005-0000-0000-0000082E0000}"/>
    <cellStyle name="Comma 2 4 2 2 4 2 3 5" xfId="34244" xr:uid="{00000000-0005-0000-0000-0000092E0000}"/>
    <cellStyle name="Comma 2 4 2 2 4 2 4" xfId="8249" xr:uid="{00000000-0005-0000-0000-00000A2E0000}"/>
    <cellStyle name="Comma 2 4 2 2 4 2 4 2" xfId="42869" xr:uid="{00000000-0005-0000-0000-00000B2E0000}"/>
    <cellStyle name="Comma 2 4 2 2 4 2 4 3" xfId="36445" xr:uid="{00000000-0005-0000-0000-00000C2E0000}"/>
    <cellStyle name="Comma 2 4 2 2 4 2 5" xfId="21238" xr:uid="{00000000-0005-0000-0000-00000D2E0000}"/>
    <cellStyle name="Comma 2 4 2 2 4 2 5 2" xfId="39662" xr:uid="{00000000-0005-0000-0000-00000E2E0000}"/>
    <cellStyle name="Comma 2 4 2 2 4 2 6" xfId="22311" xr:uid="{00000000-0005-0000-0000-00000F2E0000}"/>
    <cellStyle name="Comma 2 4 2 2 4 2 7" xfId="23440" xr:uid="{00000000-0005-0000-0000-0000102E0000}"/>
    <cellStyle name="Comma 2 4 2 2 4 2 8" xfId="26633" xr:uid="{00000000-0005-0000-0000-0000112E0000}"/>
    <cellStyle name="Comma 2 4 2 2 4 2 9" xfId="29966" xr:uid="{00000000-0005-0000-0000-0000122E0000}"/>
    <cellStyle name="Comma 2 4 2 2 4 3" xfId="1015" xr:uid="{00000000-0005-0000-0000-0000132E0000}"/>
    <cellStyle name="Comma 2 4 2 2 4 3 10" xfId="33239" xr:uid="{00000000-0005-0000-0000-0000142E0000}"/>
    <cellStyle name="Comma 2 4 2 2 4 3 2" xfId="9785" xr:uid="{00000000-0005-0000-0000-0000152E0000}"/>
    <cellStyle name="Comma 2 4 2 2 4 3 2 2" xfId="25585" xr:uid="{00000000-0005-0000-0000-0000162E0000}"/>
    <cellStyle name="Comma 2 4 2 2 4 3 2 2 2" xfId="45012" xr:uid="{00000000-0005-0000-0000-0000172E0000}"/>
    <cellStyle name="Comma 2 4 2 2 4 3 2 2 3" xfId="38589" xr:uid="{00000000-0005-0000-0000-0000182E0000}"/>
    <cellStyle name="Comma 2 4 2 2 4 3 2 3" xfId="27763" xr:uid="{00000000-0005-0000-0000-0000192E0000}"/>
    <cellStyle name="Comma 2 4 2 2 4 3 2 3 2" xfId="41805" xr:uid="{00000000-0005-0000-0000-00001A2E0000}"/>
    <cellStyle name="Comma 2 4 2 2 4 3 2 4" xfId="31098" xr:uid="{00000000-0005-0000-0000-00001B2E0000}"/>
    <cellStyle name="Comma 2 4 2 2 4 3 2 5" xfId="35381" xr:uid="{00000000-0005-0000-0000-00001C2E0000}"/>
    <cellStyle name="Comma 2 4 2 2 4 3 3" xfId="15432" xr:uid="{00000000-0005-0000-0000-00001D2E0000}"/>
    <cellStyle name="Comma 2 4 2 2 4 3 3 2" xfId="24447" xr:uid="{00000000-0005-0000-0000-00001E2E0000}"/>
    <cellStyle name="Comma 2 4 2 2 4 3 3 2 2" xfId="43876" xr:uid="{00000000-0005-0000-0000-00001F2E0000}"/>
    <cellStyle name="Comma 2 4 2 2 4 3 3 2 3" xfId="37453" xr:uid="{00000000-0005-0000-0000-0000202E0000}"/>
    <cellStyle name="Comma 2 4 2 2 4 3 3 3" xfId="28768" xr:uid="{00000000-0005-0000-0000-0000212E0000}"/>
    <cellStyle name="Comma 2 4 2 2 4 3 3 3 2" xfId="40669" xr:uid="{00000000-0005-0000-0000-0000222E0000}"/>
    <cellStyle name="Comma 2 4 2 2 4 3 3 4" xfId="32103" xr:uid="{00000000-0005-0000-0000-0000232E0000}"/>
    <cellStyle name="Comma 2 4 2 2 4 3 3 5" xfId="34245" xr:uid="{00000000-0005-0000-0000-0000242E0000}"/>
    <cellStyle name="Comma 2 4 2 2 4 3 4" xfId="8250" xr:uid="{00000000-0005-0000-0000-0000252E0000}"/>
    <cellStyle name="Comma 2 4 2 2 4 3 4 2" xfId="42870" xr:uid="{00000000-0005-0000-0000-0000262E0000}"/>
    <cellStyle name="Comma 2 4 2 2 4 3 4 3" xfId="36446" xr:uid="{00000000-0005-0000-0000-0000272E0000}"/>
    <cellStyle name="Comma 2 4 2 2 4 3 5" xfId="21239" xr:uid="{00000000-0005-0000-0000-0000282E0000}"/>
    <cellStyle name="Comma 2 4 2 2 4 3 5 2" xfId="39663" xr:uid="{00000000-0005-0000-0000-0000292E0000}"/>
    <cellStyle name="Comma 2 4 2 2 4 3 6" xfId="22312" xr:uid="{00000000-0005-0000-0000-00002A2E0000}"/>
    <cellStyle name="Comma 2 4 2 2 4 3 7" xfId="23441" xr:uid="{00000000-0005-0000-0000-00002B2E0000}"/>
    <cellStyle name="Comma 2 4 2 2 4 3 8" xfId="26634" xr:uid="{00000000-0005-0000-0000-00002C2E0000}"/>
    <cellStyle name="Comma 2 4 2 2 4 3 9" xfId="29967" xr:uid="{00000000-0005-0000-0000-00002D2E0000}"/>
    <cellStyle name="Comma 2 4 2 2 4 4" xfId="1016" xr:uid="{00000000-0005-0000-0000-00002E2E0000}"/>
    <cellStyle name="Comma 2 4 2 2 4 4 10" xfId="33240" xr:uid="{00000000-0005-0000-0000-00002F2E0000}"/>
    <cellStyle name="Comma 2 4 2 2 4 4 2" xfId="9786" xr:uid="{00000000-0005-0000-0000-0000302E0000}"/>
    <cellStyle name="Comma 2 4 2 2 4 4 2 2" xfId="25586" xr:uid="{00000000-0005-0000-0000-0000312E0000}"/>
    <cellStyle name="Comma 2 4 2 2 4 4 2 2 2" xfId="45013" xr:uid="{00000000-0005-0000-0000-0000322E0000}"/>
    <cellStyle name="Comma 2 4 2 2 4 4 2 2 3" xfId="38590" xr:uid="{00000000-0005-0000-0000-0000332E0000}"/>
    <cellStyle name="Comma 2 4 2 2 4 4 2 3" xfId="27764" xr:uid="{00000000-0005-0000-0000-0000342E0000}"/>
    <cellStyle name="Comma 2 4 2 2 4 4 2 3 2" xfId="41806" xr:uid="{00000000-0005-0000-0000-0000352E0000}"/>
    <cellStyle name="Comma 2 4 2 2 4 4 2 4" xfId="31099" xr:uid="{00000000-0005-0000-0000-0000362E0000}"/>
    <cellStyle name="Comma 2 4 2 2 4 4 2 5" xfId="35382" xr:uid="{00000000-0005-0000-0000-0000372E0000}"/>
    <cellStyle name="Comma 2 4 2 2 4 4 3" xfId="15433" xr:uid="{00000000-0005-0000-0000-0000382E0000}"/>
    <cellStyle name="Comma 2 4 2 2 4 4 3 2" xfId="24448" xr:uid="{00000000-0005-0000-0000-0000392E0000}"/>
    <cellStyle name="Comma 2 4 2 2 4 4 3 2 2" xfId="43877" xr:uid="{00000000-0005-0000-0000-00003A2E0000}"/>
    <cellStyle name="Comma 2 4 2 2 4 4 3 2 3" xfId="37454" xr:uid="{00000000-0005-0000-0000-00003B2E0000}"/>
    <cellStyle name="Comma 2 4 2 2 4 4 3 3" xfId="28769" xr:uid="{00000000-0005-0000-0000-00003C2E0000}"/>
    <cellStyle name="Comma 2 4 2 2 4 4 3 3 2" xfId="40670" xr:uid="{00000000-0005-0000-0000-00003D2E0000}"/>
    <cellStyle name="Comma 2 4 2 2 4 4 3 4" xfId="32104" xr:uid="{00000000-0005-0000-0000-00003E2E0000}"/>
    <cellStyle name="Comma 2 4 2 2 4 4 3 5" xfId="34246" xr:uid="{00000000-0005-0000-0000-00003F2E0000}"/>
    <cellStyle name="Comma 2 4 2 2 4 4 4" xfId="8251" xr:uid="{00000000-0005-0000-0000-0000402E0000}"/>
    <cellStyle name="Comma 2 4 2 2 4 4 4 2" xfId="42871" xr:uid="{00000000-0005-0000-0000-0000412E0000}"/>
    <cellStyle name="Comma 2 4 2 2 4 4 4 3" xfId="36447" xr:uid="{00000000-0005-0000-0000-0000422E0000}"/>
    <cellStyle name="Comma 2 4 2 2 4 4 5" xfId="21240" xr:uid="{00000000-0005-0000-0000-0000432E0000}"/>
    <cellStyle name="Comma 2 4 2 2 4 4 5 2" xfId="39664" xr:uid="{00000000-0005-0000-0000-0000442E0000}"/>
    <cellStyle name="Comma 2 4 2 2 4 4 6" xfId="22313" xr:uid="{00000000-0005-0000-0000-0000452E0000}"/>
    <cellStyle name="Comma 2 4 2 2 4 4 7" xfId="23442" xr:uid="{00000000-0005-0000-0000-0000462E0000}"/>
    <cellStyle name="Comma 2 4 2 2 4 4 8" xfId="26635" xr:uid="{00000000-0005-0000-0000-0000472E0000}"/>
    <cellStyle name="Comma 2 4 2 2 4 4 9" xfId="29968" xr:uid="{00000000-0005-0000-0000-0000482E0000}"/>
    <cellStyle name="Comma 2 4 2 2 4 5" xfId="1017" xr:uid="{00000000-0005-0000-0000-0000492E0000}"/>
    <cellStyle name="Comma 2 4 2 2 4 5 10" xfId="33241" xr:uid="{00000000-0005-0000-0000-00004A2E0000}"/>
    <cellStyle name="Comma 2 4 2 2 4 5 2" xfId="9787" xr:uid="{00000000-0005-0000-0000-00004B2E0000}"/>
    <cellStyle name="Comma 2 4 2 2 4 5 2 2" xfId="25587" xr:uid="{00000000-0005-0000-0000-00004C2E0000}"/>
    <cellStyle name="Comma 2 4 2 2 4 5 2 2 2" xfId="45014" xr:uid="{00000000-0005-0000-0000-00004D2E0000}"/>
    <cellStyle name="Comma 2 4 2 2 4 5 2 2 3" xfId="38591" xr:uid="{00000000-0005-0000-0000-00004E2E0000}"/>
    <cellStyle name="Comma 2 4 2 2 4 5 2 3" xfId="27765" xr:uid="{00000000-0005-0000-0000-00004F2E0000}"/>
    <cellStyle name="Comma 2 4 2 2 4 5 2 3 2" xfId="41807" xr:uid="{00000000-0005-0000-0000-0000502E0000}"/>
    <cellStyle name="Comma 2 4 2 2 4 5 2 4" xfId="31100" xr:uid="{00000000-0005-0000-0000-0000512E0000}"/>
    <cellStyle name="Comma 2 4 2 2 4 5 2 5" xfId="35383" xr:uid="{00000000-0005-0000-0000-0000522E0000}"/>
    <cellStyle name="Comma 2 4 2 2 4 5 3" xfId="15434" xr:uid="{00000000-0005-0000-0000-0000532E0000}"/>
    <cellStyle name="Comma 2 4 2 2 4 5 3 2" xfId="24449" xr:uid="{00000000-0005-0000-0000-0000542E0000}"/>
    <cellStyle name="Comma 2 4 2 2 4 5 3 2 2" xfId="43878" xr:uid="{00000000-0005-0000-0000-0000552E0000}"/>
    <cellStyle name="Comma 2 4 2 2 4 5 3 2 3" xfId="37455" xr:uid="{00000000-0005-0000-0000-0000562E0000}"/>
    <cellStyle name="Comma 2 4 2 2 4 5 3 3" xfId="28770" xr:uid="{00000000-0005-0000-0000-0000572E0000}"/>
    <cellStyle name="Comma 2 4 2 2 4 5 3 3 2" xfId="40671" xr:uid="{00000000-0005-0000-0000-0000582E0000}"/>
    <cellStyle name="Comma 2 4 2 2 4 5 3 4" xfId="32105" xr:uid="{00000000-0005-0000-0000-0000592E0000}"/>
    <cellStyle name="Comma 2 4 2 2 4 5 3 5" xfId="34247" xr:uid="{00000000-0005-0000-0000-00005A2E0000}"/>
    <cellStyle name="Comma 2 4 2 2 4 5 4" xfId="8252" xr:uid="{00000000-0005-0000-0000-00005B2E0000}"/>
    <cellStyle name="Comma 2 4 2 2 4 5 4 2" xfId="42872" xr:uid="{00000000-0005-0000-0000-00005C2E0000}"/>
    <cellStyle name="Comma 2 4 2 2 4 5 4 3" xfId="36448" xr:uid="{00000000-0005-0000-0000-00005D2E0000}"/>
    <cellStyle name="Comma 2 4 2 2 4 5 5" xfId="21241" xr:uid="{00000000-0005-0000-0000-00005E2E0000}"/>
    <cellStyle name="Comma 2 4 2 2 4 5 5 2" xfId="39665" xr:uid="{00000000-0005-0000-0000-00005F2E0000}"/>
    <cellStyle name="Comma 2 4 2 2 4 5 6" xfId="22314" xr:uid="{00000000-0005-0000-0000-0000602E0000}"/>
    <cellStyle name="Comma 2 4 2 2 4 5 7" xfId="23443" xr:uid="{00000000-0005-0000-0000-0000612E0000}"/>
    <cellStyle name="Comma 2 4 2 2 4 5 8" xfId="26636" xr:uid="{00000000-0005-0000-0000-0000622E0000}"/>
    <cellStyle name="Comma 2 4 2 2 4 5 9" xfId="29969" xr:uid="{00000000-0005-0000-0000-0000632E0000}"/>
    <cellStyle name="Comma 2 4 2 2 4 6" xfId="1018" xr:uid="{00000000-0005-0000-0000-0000642E0000}"/>
    <cellStyle name="Comma 2 4 2 2 4 6 10" xfId="33242" xr:uid="{00000000-0005-0000-0000-0000652E0000}"/>
    <cellStyle name="Comma 2 4 2 2 4 6 2" xfId="9788" xr:uid="{00000000-0005-0000-0000-0000662E0000}"/>
    <cellStyle name="Comma 2 4 2 2 4 6 2 2" xfId="25588" xr:uid="{00000000-0005-0000-0000-0000672E0000}"/>
    <cellStyle name="Comma 2 4 2 2 4 6 2 2 2" xfId="45015" xr:uid="{00000000-0005-0000-0000-0000682E0000}"/>
    <cellStyle name="Comma 2 4 2 2 4 6 2 2 3" xfId="38592" xr:uid="{00000000-0005-0000-0000-0000692E0000}"/>
    <cellStyle name="Comma 2 4 2 2 4 6 2 3" xfId="27766" xr:uid="{00000000-0005-0000-0000-00006A2E0000}"/>
    <cellStyle name="Comma 2 4 2 2 4 6 2 3 2" xfId="41808" xr:uid="{00000000-0005-0000-0000-00006B2E0000}"/>
    <cellStyle name="Comma 2 4 2 2 4 6 2 4" xfId="31101" xr:uid="{00000000-0005-0000-0000-00006C2E0000}"/>
    <cellStyle name="Comma 2 4 2 2 4 6 2 5" xfId="35384" xr:uid="{00000000-0005-0000-0000-00006D2E0000}"/>
    <cellStyle name="Comma 2 4 2 2 4 6 3" xfId="15435" xr:uid="{00000000-0005-0000-0000-00006E2E0000}"/>
    <cellStyle name="Comma 2 4 2 2 4 6 3 2" xfId="24450" xr:uid="{00000000-0005-0000-0000-00006F2E0000}"/>
    <cellStyle name="Comma 2 4 2 2 4 6 3 2 2" xfId="43879" xr:uid="{00000000-0005-0000-0000-0000702E0000}"/>
    <cellStyle name="Comma 2 4 2 2 4 6 3 2 3" xfId="37456" xr:uid="{00000000-0005-0000-0000-0000712E0000}"/>
    <cellStyle name="Comma 2 4 2 2 4 6 3 3" xfId="28771" xr:uid="{00000000-0005-0000-0000-0000722E0000}"/>
    <cellStyle name="Comma 2 4 2 2 4 6 3 3 2" xfId="40672" xr:uid="{00000000-0005-0000-0000-0000732E0000}"/>
    <cellStyle name="Comma 2 4 2 2 4 6 3 4" xfId="32106" xr:uid="{00000000-0005-0000-0000-0000742E0000}"/>
    <cellStyle name="Comma 2 4 2 2 4 6 3 5" xfId="34248" xr:uid="{00000000-0005-0000-0000-0000752E0000}"/>
    <cellStyle name="Comma 2 4 2 2 4 6 4" xfId="8253" xr:uid="{00000000-0005-0000-0000-0000762E0000}"/>
    <cellStyle name="Comma 2 4 2 2 4 6 4 2" xfId="42873" xr:uid="{00000000-0005-0000-0000-0000772E0000}"/>
    <cellStyle name="Comma 2 4 2 2 4 6 4 3" xfId="36449" xr:uid="{00000000-0005-0000-0000-0000782E0000}"/>
    <cellStyle name="Comma 2 4 2 2 4 6 5" xfId="21242" xr:uid="{00000000-0005-0000-0000-0000792E0000}"/>
    <cellStyle name="Comma 2 4 2 2 4 6 5 2" xfId="39666" xr:uid="{00000000-0005-0000-0000-00007A2E0000}"/>
    <cellStyle name="Comma 2 4 2 2 4 6 6" xfId="22315" xr:uid="{00000000-0005-0000-0000-00007B2E0000}"/>
    <cellStyle name="Comma 2 4 2 2 4 6 7" xfId="23444" xr:uid="{00000000-0005-0000-0000-00007C2E0000}"/>
    <cellStyle name="Comma 2 4 2 2 4 6 8" xfId="26637" xr:uid="{00000000-0005-0000-0000-00007D2E0000}"/>
    <cellStyle name="Comma 2 4 2 2 4 6 9" xfId="29970" xr:uid="{00000000-0005-0000-0000-00007E2E0000}"/>
    <cellStyle name="Comma 2 4 2 2 4 7" xfId="9084" xr:uid="{00000000-0005-0000-0000-00007F2E0000}"/>
    <cellStyle name="Comma 2 4 2 2 4 7 2" xfId="25139" xr:uid="{00000000-0005-0000-0000-0000802E0000}"/>
    <cellStyle name="Comma 2 4 2 2 4 7 2 2" xfId="44566" xr:uid="{00000000-0005-0000-0000-0000812E0000}"/>
    <cellStyle name="Comma 2 4 2 2 4 7 2 3" xfId="38143" xr:uid="{00000000-0005-0000-0000-0000822E0000}"/>
    <cellStyle name="Comma 2 4 2 2 4 7 3" xfId="27318" xr:uid="{00000000-0005-0000-0000-0000832E0000}"/>
    <cellStyle name="Comma 2 4 2 2 4 7 3 2" xfId="41359" xr:uid="{00000000-0005-0000-0000-0000842E0000}"/>
    <cellStyle name="Comma 2 4 2 2 4 7 4" xfId="30653" xr:uid="{00000000-0005-0000-0000-0000852E0000}"/>
    <cellStyle name="Comma 2 4 2 2 4 7 5" xfId="34935" xr:uid="{00000000-0005-0000-0000-0000862E0000}"/>
    <cellStyle name="Comma 2 4 2 2 4 8" xfId="15430" xr:uid="{00000000-0005-0000-0000-0000872E0000}"/>
    <cellStyle name="Comma 2 4 2 2 4 8 2" xfId="24445" xr:uid="{00000000-0005-0000-0000-0000882E0000}"/>
    <cellStyle name="Comma 2 4 2 2 4 8 2 2" xfId="43874" xr:uid="{00000000-0005-0000-0000-0000892E0000}"/>
    <cellStyle name="Comma 2 4 2 2 4 8 2 3" xfId="37451" xr:uid="{00000000-0005-0000-0000-00008A2E0000}"/>
    <cellStyle name="Comma 2 4 2 2 4 8 3" xfId="28766" xr:uid="{00000000-0005-0000-0000-00008B2E0000}"/>
    <cellStyle name="Comma 2 4 2 2 4 8 3 2" xfId="40667" xr:uid="{00000000-0005-0000-0000-00008C2E0000}"/>
    <cellStyle name="Comma 2 4 2 2 4 8 4" xfId="32101" xr:uid="{00000000-0005-0000-0000-00008D2E0000}"/>
    <cellStyle name="Comma 2 4 2 2 4 8 5" xfId="34243" xr:uid="{00000000-0005-0000-0000-00008E2E0000}"/>
    <cellStyle name="Comma 2 4 2 2 4 9" xfId="8248" xr:uid="{00000000-0005-0000-0000-00008F2E0000}"/>
    <cellStyle name="Comma 2 4 2 2 4 9 2" xfId="42429" xr:uid="{00000000-0005-0000-0000-0000902E0000}"/>
    <cellStyle name="Comma 2 4 2 2 4 9 3" xfId="36005" xr:uid="{00000000-0005-0000-0000-0000912E0000}"/>
    <cellStyle name="Comma 2 4 2 2 5" xfId="1019" xr:uid="{00000000-0005-0000-0000-0000922E0000}"/>
    <cellStyle name="Comma 2 4 2 2 5 10" xfId="22316" xr:uid="{00000000-0005-0000-0000-0000932E0000}"/>
    <cellStyle name="Comma 2 4 2 2 5 11" xfId="23445" xr:uid="{00000000-0005-0000-0000-0000942E0000}"/>
    <cellStyle name="Comma 2 4 2 2 5 12" xfId="26638" xr:uid="{00000000-0005-0000-0000-0000952E0000}"/>
    <cellStyle name="Comma 2 4 2 2 5 13" xfId="29971" xr:uid="{00000000-0005-0000-0000-0000962E0000}"/>
    <cellStyle name="Comma 2 4 2 2 5 14" xfId="33243" xr:uid="{00000000-0005-0000-0000-0000972E0000}"/>
    <cellStyle name="Comma 2 4 2 2 5 2" xfId="1020" xr:uid="{00000000-0005-0000-0000-0000982E0000}"/>
    <cellStyle name="Comma 2 4 2 2 5 2 10" xfId="33244" xr:uid="{00000000-0005-0000-0000-0000992E0000}"/>
    <cellStyle name="Comma 2 4 2 2 5 2 2" xfId="9790" xr:uid="{00000000-0005-0000-0000-00009A2E0000}"/>
    <cellStyle name="Comma 2 4 2 2 5 2 2 2" xfId="25590" xr:uid="{00000000-0005-0000-0000-00009B2E0000}"/>
    <cellStyle name="Comma 2 4 2 2 5 2 2 2 2" xfId="45017" xr:uid="{00000000-0005-0000-0000-00009C2E0000}"/>
    <cellStyle name="Comma 2 4 2 2 5 2 2 2 3" xfId="38594" xr:uid="{00000000-0005-0000-0000-00009D2E0000}"/>
    <cellStyle name="Comma 2 4 2 2 5 2 2 3" xfId="27768" xr:uid="{00000000-0005-0000-0000-00009E2E0000}"/>
    <cellStyle name="Comma 2 4 2 2 5 2 2 3 2" xfId="41810" xr:uid="{00000000-0005-0000-0000-00009F2E0000}"/>
    <cellStyle name="Comma 2 4 2 2 5 2 2 4" xfId="31103" xr:uid="{00000000-0005-0000-0000-0000A02E0000}"/>
    <cellStyle name="Comma 2 4 2 2 5 2 2 5" xfId="35386" xr:uid="{00000000-0005-0000-0000-0000A12E0000}"/>
    <cellStyle name="Comma 2 4 2 2 5 2 3" xfId="15437" xr:uid="{00000000-0005-0000-0000-0000A22E0000}"/>
    <cellStyle name="Comma 2 4 2 2 5 2 3 2" xfId="24452" xr:uid="{00000000-0005-0000-0000-0000A32E0000}"/>
    <cellStyle name="Comma 2 4 2 2 5 2 3 2 2" xfId="43881" xr:uid="{00000000-0005-0000-0000-0000A42E0000}"/>
    <cellStyle name="Comma 2 4 2 2 5 2 3 2 3" xfId="37458" xr:uid="{00000000-0005-0000-0000-0000A52E0000}"/>
    <cellStyle name="Comma 2 4 2 2 5 2 3 3" xfId="28773" xr:uid="{00000000-0005-0000-0000-0000A62E0000}"/>
    <cellStyle name="Comma 2 4 2 2 5 2 3 3 2" xfId="40674" xr:uid="{00000000-0005-0000-0000-0000A72E0000}"/>
    <cellStyle name="Comma 2 4 2 2 5 2 3 4" xfId="32108" xr:uid="{00000000-0005-0000-0000-0000A82E0000}"/>
    <cellStyle name="Comma 2 4 2 2 5 2 3 5" xfId="34250" xr:uid="{00000000-0005-0000-0000-0000A92E0000}"/>
    <cellStyle name="Comma 2 4 2 2 5 2 4" xfId="8255" xr:uid="{00000000-0005-0000-0000-0000AA2E0000}"/>
    <cellStyle name="Comma 2 4 2 2 5 2 4 2" xfId="42875" xr:uid="{00000000-0005-0000-0000-0000AB2E0000}"/>
    <cellStyle name="Comma 2 4 2 2 5 2 4 3" xfId="36451" xr:uid="{00000000-0005-0000-0000-0000AC2E0000}"/>
    <cellStyle name="Comma 2 4 2 2 5 2 5" xfId="21244" xr:uid="{00000000-0005-0000-0000-0000AD2E0000}"/>
    <cellStyle name="Comma 2 4 2 2 5 2 5 2" xfId="39668" xr:uid="{00000000-0005-0000-0000-0000AE2E0000}"/>
    <cellStyle name="Comma 2 4 2 2 5 2 6" xfId="22317" xr:uid="{00000000-0005-0000-0000-0000AF2E0000}"/>
    <cellStyle name="Comma 2 4 2 2 5 2 7" xfId="23446" xr:uid="{00000000-0005-0000-0000-0000B02E0000}"/>
    <cellStyle name="Comma 2 4 2 2 5 2 8" xfId="26639" xr:uid="{00000000-0005-0000-0000-0000B12E0000}"/>
    <cellStyle name="Comma 2 4 2 2 5 2 9" xfId="29972" xr:uid="{00000000-0005-0000-0000-0000B22E0000}"/>
    <cellStyle name="Comma 2 4 2 2 5 3" xfId="1021" xr:uid="{00000000-0005-0000-0000-0000B32E0000}"/>
    <cellStyle name="Comma 2 4 2 2 5 3 10" xfId="33245" xr:uid="{00000000-0005-0000-0000-0000B42E0000}"/>
    <cellStyle name="Comma 2 4 2 2 5 3 2" xfId="9791" xr:uid="{00000000-0005-0000-0000-0000B52E0000}"/>
    <cellStyle name="Comma 2 4 2 2 5 3 2 2" xfId="25591" xr:uid="{00000000-0005-0000-0000-0000B62E0000}"/>
    <cellStyle name="Comma 2 4 2 2 5 3 2 2 2" xfId="45018" xr:uid="{00000000-0005-0000-0000-0000B72E0000}"/>
    <cellStyle name="Comma 2 4 2 2 5 3 2 2 3" xfId="38595" xr:uid="{00000000-0005-0000-0000-0000B82E0000}"/>
    <cellStyle name="Comma 2 4 2 2 5 3 2 3" xfId="27769" xr:uid="{00000000-0005-0000-0000-0000B92E0000}"/>
    <cellStyle name="Comma 2 4 2 2 5 3 2 3 2" xfId="41811" xr:uid="{00000000-0005-0000-0000-0000BA2E0000}"/>
    <cellStyle name="Comma 2 4 2 2 5 3 2 4" xfId="31104" xr:uid="{00000000-0005-0000-0000-0000BB2E0000}"/>
    <cellStyle name="Comma 2 4 2 2 5 3 2 5" xfId="35387" xr:uid="{00000000-0005-0000-0000-0000BC2E0000}"/>
    <cellStyle name="Comma 2 4 2 2 5 3 3" xfId="15438" xr:uid="{00000000-0005-0000-0000-0000BD2E0000}"/>
    <cellStyle name="Comma 2 4 2 2 5 3 3 2" xfId="24453" xr:uid="{00000000-0005-0000-0000-0000BE2E0000}"/>
    <cellStyle name="Comma 2 4 2 2 5 3 3 2 2" xfId="43882" xr:uid="{00000000-0005-0000-0000-0000BF2E0000}"/>
    <cellStyle name="Comma 2 4 2 2 5 3 3 2 3" xfId="37459" xr:uid="{00000000-0005-0000-0000-0000C02E0000}"/>
    <cellStyle name="Comma 2 4 2 2 5 3 3 3" xfId="28774" xr:uid="{00000000-0005-0000-0000-0000C12E0000}"/>
    <cellStyle name="Comma 2 4 2 2 5 3 3 3 2" xfId="40675" xr:uid="{00000000-0005-0000-0000-0000C22E0000}"/>
    <cellStyle name="Comma 2 4 2 2 5 3 3 4" xfId="32109" xr:uid="{00000000-0005-0000-0000-0000C32E0000}"/>
    <cellStyle name="Comma 2 4 2 2 5 3 3 5" xfId="34251" xr:uid="{00000000-0005-0000-0000-0000C42E0000}"/>
    <cellStyle name="Comma 2 4 2 2 5 3 4" xfId="8256" xr:uid="{00000000-0005-0000-0000-0000C52E0000}"/>
    <cellStyle name="Comma 2 4 2 2 5 3 4 2" xfId="42876" xr:uid="{00000000-0005-0000-0000-0000C62E0000}"/>
    <cellStyle name="Comma 2 4 2 2 5 3 4 3" xfId="36452" xr:uid="{00000000-0005-0000-0000-0000C72E0000}"/>
    <cellStyle name="Comma 2 4 2 2 5 3 5" xfId="21245" xr:uid="{00000000-0005-0000-0000-0000C82E0000}"/>
    <cellStyle name="Comma 2 4 2 2 5 3 5 2" xfId="39669" xr:uid="{00000000-0005-0000-0000-0000C92E0000}"/>
    <cellStyle name="Comma 2 4 2 2 5 3 6" xfId="22318" xr:uid="{00000000-0005-0000-0000-0000CA2E0000}"/>
    <cellStyle name="Comma 2 4 2 2 5 3 7" xfId="23447" xr:uid="{00000000-0005-0000-0000-0000CB2E0000}"/>
    <cellStyle name="Comma 2 4 2 2 5 3 8" xfId="26640" xr:uid="{00000000-0005-0000-0000-0000CC2E0000}"/>
    <cellStyle name="Comma 2 4 2 2 5 3 9" xfId="29973" xr:uid="{00000000-0005-0000-0000-0000CD2E0000}"/>
    <cellStyle name="Comma 2 4 2 2 5 4" xfId="1022" xr:uid="{00000000-0005-0000-0000-0000CE2E0000}"/>
    <cellStyle name="Comma 2 4 2 2 5 4 10" xfId="33246" xr:uid="{00000000-0005-0000-0000-0000CF2E0000}"/>
    <cellStyle name="Comma 2 4 2 2 5 4 2" xfId="9792" xr:uid="{00000000-0005-0000-0000-0000D02E0000}"/>
    <cellStyle name="Comma 2 4 2 2 5 4 2 2" xfId="25592" xr:uid="{00000000-0005-0000-0000-0000D12E0000}"/>
    <cellStyle name="Comma 2 4 2 2 5 4 2 2 2" xfId="45019" xr:uid="{00000000-0005-0000-0000-0000D22E0000}"/>
    <cellStyle name="Comma 2 4 2 2 5 4 2 2 3" xfId="38596" xr:uid="{00000000-0005-0000-0000-0000D32E0000}"/>
    <cellStyle name="Comma 2 4 2 2 5 4 2 3" xfId="27770" xr:uid="{00000000-0005-0000-0000-0000D42E0000}"/>
    <cellStyle name="Comma 2 4 2 2 5 4 2 3 2" xfId="41812" xr:uid="{00000000-0005-0000-0000-0000D52E0000}"/>
    <cellStyle name="Comma 2 4 2 2 5 4 2 4" xfId="31105" xr:uid="{00000000-0005-0000-0000-0000D62E0000}"/>
    <cellStyle name="Comma 2 4 2 2 5 4 2 5" xfId="35388" xr:uid="{00000000-0005-0000-0000-0000D72E0000}"/>
    <cellStyle name="Comma 2 4 2 2 5 4 3" xfId="15439" xr:uid="{00000000-0005-0000-0000-0000D82E0000}"/>
    <cellStyle name="Comma 2 4 2 2 5 4 3 2" xfId="24454" xr:uid="{00000000-0005-0000-0000-0000D92E0000}"/>
    <cellStyle name="Comma 2 4 2 2 5 4 3 2 2" xfId="43883" xr:uid="{00000000-0005-0000-0000-0000DA2E0000}"/>
    <cellStyle name="Comma 2 4 2 2 5 4 3 2 3" xfId="37460" xr:uid="{00000000-0005-0000-0000-0000DB2E0000}"/>
    <cellStyle name="Comma 2 4 2 2 5 4 3 3" xfId="28775" xr:uid="{00000000-0005-0000-0000-0000DC2E0000}"/>
    <cellStyle name="Comma 2 4 2 2 5 4 3 3 2" xfId="40676" xr:uid="{00000000-0005-0000-0000-0000DD2E0000}"/>
    <cellStyle name="Comma 2 4 2 2 5 4 3 4" xfId="32110" xr:uid="{00000000-0005-0000-0000-0000DE2E0000}"/>
    <cellStyle name="Comma 2 4 2 2 5 4 3 5" xfId="34252" xr:uid="{00000000-0005-0000-0000-0000DF2E0000}"/>
    <cellStyle name="Comma 2 4 2 2 5 4 4" xfId="8257" xr:uid="{00000000-0005-0000-0000-0000E02E0000}"/>
    <cellStyle name="Comma 2 4 2 2 5 4 4 2" xfId="42877" xr:uid="{00000000-0005-0000-0000-0000E12E0000}"/>
    <cellStyle name="Comma 2 4 2 2 5 4 4 3" xfId="36453" xr:uid="{00000000-0005-0000-0000-0000E22E0000}"/>
    <cellStyle name="Comma 2 4 2 2 5 4 5" xfId="21246" xr:uid="{00000000-0005-0000-0000-0000E32E0000}"/>
    <cellStyle name="Comma 2 4 2 2 5 4 5 2" xfId="39670" xr:uid="{00000000-0005-0000-0000-0000E42E0000}"/>
    <cellStyle name="Comma 2 4 2 2 5 4 6" xfId="22319" xr:uid="{00000000-0005-0000-0000-0000E52E0000}"/>
    <cellStyle name="Comma 2 4 2 2 5 4 7" xfId="23448" xr:uid="{00000000-0005-0000-0000-0000E62E0000}"/>
    <cellStyle name="Comma 2 4 2 2 5 4 8" xfId="26641" xr:uid="{00000000-0005-0000-0000-0000E72E0000}"/>
    <cellStyle name="Comma 2 4 2 2 5 4 9" xfId="29974" xr:uid="{00000000-0005-0000-0000-0000E82E0000}"/>
    <cellStyle name="Comma 2 4 2 2 5 5" xfId="1023" xr:uid="{00000000-0005-0000-0000-0000E92E0000}"/>
    <cellStyle name="Comma 2 4 2 2 5 5 10" xfId="33247" xr:uid="{00000000-0005-0000-0000-0000EA2E0000}"/>
    <cellStyle name="Comma 2 4 2 2 5 5 2" xfId="9793" xr:uid="{00000000-0005-0000-0000-0000EB2E0000}"/>
    <cellStyle name="Comma 2 4 2 2 5 5 2 2" xfId="25593" xr:uid="{00000000-0005-0000-0000-0000EC2E0000}"/>
    <cellStyle name="Comma 2 4 2 2 5 5 2 2 2" xfId="45020" xr:uid="{00000000-0005-0000-0000-0000ED2E0000}"/>
    <cellStyle name="Comma 2 4 2 2 5 5 2 2 3" xfId="38597" xr:uid="{00000000-0005-0000-0000-0000EE2E0000}"/>
    <cellStyle name="Comma 2 4 2 2 5 5 2 3" xfId="27771" xr:uid="{00000000-0005-0000-0000-0000EF2E0000}"/>
    <cellStyle name="Comma 2 4 2 2 5 5 2 3 2" xfId="41813" xr:uid="{00000000-0005-0000-0000-0000F02E0000}"/>
    <cellStyle name="Comma 2 4 2 2 5 5 2 4" xfId="31106" xr:uid="{00000000-0005-0000-0000-0000F12E0000}"/>
    <cellStyle name="Comma 2 4 2 2 5 5 2 5" xfId="35389" xr:uid="{00000000-0005-0000-0000-0000F22E0000}"/>
    <cellStyle name="Comma 2 4 2 2 5 5 3" xfId="15440" xr:uid="{00000000-0005-0000-0000-0000F32E0000}"/>
    <cellStyle name="Comma 2 4 2 2 5 5 3 2" xfId="24455" xr:uid="{00000000-0005-0000-0000-0000F42E0000}"/>
    <cellStyle name="Comma 2 4 2 2 5 5 3 2 2" xfId="43884" xr:uid="{00000000-0005-0000-0000-0000F52E0000}"/>
    <cellStyle name="Comma 2 4 2 2 5 5 3 2 3" xfId="37461" xr:uid="{00000000-0005-0000-0000-0000F62E0000}"/>
    <cellStyle name="Comma 2 4 2 2 5 5 3 3" xfId="28776" xr:uid="{00000000-0005-0000-0000-0000F72E0000}"/>
    <cellStyle name="Comma 2 4 2 2 5 5 3 3 2" xfId="40677" xr:uid="{00000000-0005-0000-0000-0000F82E0000}"/>
    <cellStyle name="Comma 2 4 2 2 5 5 3 4" xfId="32111" xr:uid="{00000000-0005-0000-0000-0000F92E0000}"/>
    <cellStyle name="Comma 2 4 2 2 5 5 3 5" xfId="34253" xr:uid="{00000000-0005-0000-0000-0000FA2E0000}"/>
    <cellStyle name="Comma 2 4 2 2 5 5 4" xfId="8258" xr:uid="{00000000-0005-0000-0000-0000FB2E0000}"/>
    <cellStyle name="Comma 2 4 2 2 5 5 4 2" xfId="42878" xr:uid="{00000000-0005-0000-0000-0000FC2E0000}"/>
    <cellStyle name="Comma 2 4 2 2 5 5 4 3" xfId="36454" xr:uid="{00000000-0005-0000-0000-0000FD2E0000}"/>
    <cellStyle name="Comma 2 4 2 2 5 5 5" xfId="21247" xr:uid="{00000000-0005-0000-0000-0000FE2E0000}"/>
    <cellStyle name="Comma 2 4 2 2 5 5 5 2" xfId="39671" xr:uid="{00000000-0005-0000-0000-0000FF2E0000}"/>
    <cellStyle name="Comma 2 4 2 2 5 5 6" xfId="22320" xr:uid="{00000000-0005-0000-0000-0000002F0000}"/>
    <cellStyle name="Comma 2 4 2 2 5 5 7" xfId="23449" xr:uid="{00000000-0005-0000-0000-0000012F0000}"/>
    <cellStyle name="Comma 2 4 2 2 5 5 8" xfId="26642" xr:uid="{00000000-0005-0000-0000-0000022F0000}"/>
    <cellStyle name="Comma 2 4 2 2 5 5 9" xfId="29975" xr:uid="{00000000-0005-0000-0000-0000032F0000}"/>
    <cellStyle name="Comma 2 4 2 2 5 6" xfId="9789" xr:uid="{00000000-0005-0000-0000-0000042F0000}"/>
    <cellStyle name="Comma 2 4 2 2 5 6 2" xfId="25589" xr:uid="{00000000-0005-0000-0000-0000052F0000}"/>
    <cellStyle name="Comma 2 4 2 2 5 6 2 2" xfId="45016" xr:uid="{00000000-0005-0000-0000-0000062F0000}"/>
    <cellStyle name="Comma 2 4 2 2 5 6 2 3" xfId="38593" xr:uid="{00000000-0005-0000-0000-0000072F0000}"/>
    <cellStyle name="Comma 2 4 2 2 5 6 3" xfId="27767" xr:uid="{00000000-0005-0000-0000-0000082F0000}"/>
    <cellStyle name="Comma 2 4 2 2 5 6 3 2" xfId="41809" xr:uid="{00000000-0005-0000-0000-0000092F0000}"/>
    <cellStyle name="Comma 2 4 2 2 5 6 4" xfId="31102" xr:uid="{00000000-0005-0000-0000-00000A2F0000}"/>
    <cellStyle name="Comma 2 4 2 2 5 6 5" xfId="35385" xr:uid="{00000000-0005-0000-0000-00000B2F0000}"/>
    <cellStyle name="Comma 2 4 2 2 5 7" xfId="15436" xr:uid="{00000000-0005-0000-0000-00000C2F0000}"/>
    <cellStyle name="Comma 2 4 2 2 5 7 2" xfId="24451" xr:uid="{00000000-0005-0000-0000-00000D2F0000}"/>
    <cellStyle name="Comma 2 4 2 2 5 7 2 2" xfId="43880" xr:uid="{00000000-0005-0000-0000-00000E2F0000}"/>
    <cellStyle name="Comma 2 4 2 2 5 7 2 3" xfId="37457" xr:uid="{00000000-0005-0000-0000-00000F2F0000}"/>
    <cellStyle name="Comma 2 4 2 2 5 7 3" xfId="28772" xr:uid="{00000000-0005-0000-0000-0000102F0000}"/>
    <cellStyle name="Comma 2 4 2 2 5 7 3 2" xfId="40673" xr:uid="{00000000-0005-0000-0000-0000112F0000}"/>
    <cellStyle name="Comma 2 4 2 2 5 7 4" xfId="32107" xr:uid="{00000000-0005-0000-0000-0000122F0000}"/>
    <cellStyle name="Comma 2 4 2 2 5 7 5" xfId="34249" xr:uid="{00000000-0005-0000-0000-0000132F0000}"/>
    <cellStyle name="Comma 2 4 2 2 5 8" xfId="8254" xr:uid="{00000000-0005-0000-0000-0000142F0000}"/>
    <cellStyle name="Comma 2 4 2 2 5 8 2" xfId="42874" xr:uid="{00000000-0005-0000-0000-0000152F0000}"/>
    <cellStyle name="Comma 2 4 2 2 5 8 3" xfId="36450" xr:uid="{00000000-0005-0000-0000-0000162F0000}"/>
    <cellStyle name="Comma 2 4 2 2 5 9" xfId="21243" xr:uid="{00000000-0005-0000-0000-0000172F0000}"/>
    <cellStyle name="Comma 2 4 2 2 5 9 2" xfId="39667" xr:uid="{00000000-0005-0000-0000-0000182F0000}"/>
    <cellStyle name="Comma 2 4 2 2 6" xfId="1024" xr:uid="{00000000-0005-0000-0000-0000192F0000}"/>
    <cellStyle name="Comma 2 4 2 2 6 10" xfId="22321" xr:uid="{00000000-0005-0000-0000-00001A2F0000}"/>
    <cellStyle name="Comma 2 4 2 2 6 11" xfId="23450" xr:uid="{00000000-0005-0000-0000-00001B2F0000}"/>
    <cellStyle name="Comma 2 4 2 2 6 12" xfId="26643" xr:uid="{00000000-0005-0000-0000-00001C2F0000}"/>
    <cellStyle name="Comma 2 4 2 2 6 13" xfId="29976" xr:uid="{00000000-0005-0000-0000-00001D2F0000}"/>
    <cellStyle name="Comma 2 4 2 2 6 14" xfId="33248" xr:uid="{00000000-0005-0000-0000-00001E2F0000}"/>
    <cellStyle name="Comma 2 4 2 2 6 2" xfId="1025" xr:uid="{00000000-0005-0000-0000-00001F2F0000}"/>
    <cellStyle name="Comma 2 4 2 2 6 2 10" xfId="33249" xr:uid="{00000000-0005-0000-0000-0000202F0000}"/>
    <cellStyle name="Comma 2 4 2 2 6 2 2" xfId="9795" xr:uid="{00000000-0005-0000-0000-0000212F0000}"/>
    <cellStyle name="Comma 2 4 2 2 6 2 2 2" xfId="25595" xr:uid="{00000000-0005-0000-0000-0000222F0000}"/>
    <cellStyle name="Comma 2 4 2 2 6 2 2 2 2" xfId="45022" xr:uid="{00000000-0005-0000-0000-0000232F0000}"/>
    <cellStyle name="Comma 2 4 2 2 6 2 2 2 3" xfId="38599" xr:uid="{00000000-0005-0000-0000-0000242F0000}"/>
    <cellStyle name="Comma 2 4 2 2 6 2 2 3" xfId="27773" xr:uid="{00000000-0005-0000-0000-0000252F0000}"/>
    <cellStyle name="Comma 2 4 2 2 6 2 2 3 2" xfId="41815" xr:uid="{00000000-0005-0000-0000-0000262F0000}"/>
    <cellStyle name="Comma 2 4 2 2 6 2 2 4" xfId="31108" xr:uid="{00000000-0005-0000-0000-0000272F0000}"/>
    <cellStyle name="Comma 2 4 2 2 6 2 2 5" xfId="35391" xr:uid="{00000000-0005-0000-0000-0000282F0000}"/>
    <cellStyle name="Comma 2 4 2 2 6 2 3" xfId="15442" xr:uid="{00000000-0005-0000-0000-0000292F0000}"/>
    <cellStyle name="Comma 2 4 2 2 6 2 3 2" xfId="24457" xr:uid="{00000000-0005-0000-0000-00002A2F0000}"/>
    <cellStyle name="Comma 2 4 2 2 6 2 3 2 2" xfId="43886" xr:uid="{00000000-0005-0000-0000-00002B2F0000}"/>
    <cellStyle name="Comma 2 4 2 2 6 2 3 2 3" xfId="37463" xr:uid="{00000000-0005-0000-0000-00002C2F0000}"/>
    <cellStyle name="Comma 2 4 2 2 6 2 3 3" xfId="28778" xr:uid="{00000000-0005-0000-0000-00002D2F0000}"/>
    <cellStyle name="Comma 2 4 2 2 6 2 3 3 2" xfId="40679" xr:uid="{00000000-0005-0000-0000-00002E2F0000}"/>
    <cellStyle name="Comma 2 4 2 2 6 2 3 4" xfId="32113" xr:uid="{00000000-0005-0000-0000-00002F2F0000}"/>
    <cellStyle name="Comma 2 4 2 2 6 2 3 5" xfId="34255" xr:uid="{00000000-0005-0000-0000-0000302F0000}"/>
    <cellStyle name="Comma 2 4 2 2 6 2 4" xfId="8260" xr:uid="{00000000-0005-0000-0000-0000312F0000}"/>
    <cellStyle name="Comma 2 4 2 2 6 2 4 2" xfId="42880" xr:uid="{00000000-0005-0000-0000-0000322F0000}"/>
    <cellStyle name="Comma 2 4 2 2 6 2 4 3" xfId="36456" xr:uid="{00000000-0005-0000-0000-0000332F0000}"/>
    <cellStyle name="Comma 2 4 2 2 6 2 5" xfId="21249" xr:uid="{00000000-0005-0000-0000-0000342F0000}"/>
    <cellStyle name="Comma 2 4 2 2 6 2 5 2" xfId="39673" xr:uid="{00000000-0005-0000-0000-0000352F0000}"/>
    <cellStyle name="Comma 2 4 2 2 6 2 6" xfId="22322" xr:uid="{00000000-0005-0000-0000-0000362F0000}"/>
    <cellStyle name="Comma 2 4 2 2 6 2 7" xfId="23451" xr:uid="{00000000-0005-0000-0000-0000372F0000}"/>
    <cellStyle name="Comma 2 4 2 2 6 2 8" xfId="26644" xr:uid="{00000000-0005-0000-0000-0000382F0000}"/>
    <cellStyle name="Comma 2 4 2 2 6 2 9" xfId="29977" xr:uid="{00000000-0005-0000-0000-0000392F0000}"/>
    <cellStyle name="Comma 2 4 2 2 6 3" xfId="1026" xr:uid="{00000000-0005-0000-0000-00003A2F0000}"/>
    <cellStyle name="Comma 2 4 2 2 6 3 10" xfId="33250" xr:uid="{00000000-0005-0000-0000-00003B2F0000}"/>
    <cellStyle name="Comma 2 4 2 2 6 3 2" xfId="9796" xr:uid="{00000000-0005-0000-0000-00003C2F0000}"/>
    <cellStyle name="Comma 2 4 2 2 6 3 2 2" xfId="25596" xr:uid="{00000000-0005-0000-0000-00003D2F0000}"/>
    <cellStyle name="Comma 2 4 2 2 6 3 2 2 2" xfId="45023" xr:uid="{00000000-0005-0000-0000-00003E2F0000}"/>
    <cellStyle name="Comma 2 4 2 2 6 3 2 2 3" xfId="38600" xr:uid="{00000000-0005-0000-0000-00003F2F0000}"/>
    <cellStyle name="Comma 2 4 2 2 6 3 2 3" xfId="27774" xr:uid="{00000000-0005-0000-0000-0000402F0000}"/>
    <cellStyle name="Comma 2 4 2 2 6 3 2 3 2" xfId="41816" xr:uid="{00000000-0005-0000-0000-0000412F0000}"/>
    <cellStyle name="Comma 2 4 2 2 6 3 2 4" xfId="31109" xr:uid="{00000000-0005-0000-0000-0000422F0000}"/>
    <cellStyle name="Comma 2 4 2 2 6 3 2 5" xfId="35392" xr:uid="{00000000-0005-0000-0000-0000432F0000}"/>
    <cellStyle name="Comma 2 4 2 2 6 3 3" xfId="15443" xr:uid="{00000000-0005-0000-0000-0000442F0000}"/>
    <cellStyle name="Comma 2 4 2 2 6 3 3 2" xfId="24458" xr:uid="{00000000-0005-0000-0000-0000452F0000}"/>
    <cellStyle name="Comma 2 4 2 2 6 3 3 2 2" xfId="43887" xr:uid="{00000000-0005-0000-0000-0000462F0000}"/>
    <cellStyle name="Comma 2 4 2 2 6 3 3 2 3" xfId="37464" xr:uid="{00000000-0005-0000-0000-0000472F0000}"/>
    <cellStyle name="Comma 2 4 2 2 6 3 3 3" xfId="28779" xr:uid="{00000000-0005-0000-0000-0000482F0000}"/>
    <cellStyle name="Comma 2 4 2 2 6 3 3 3 2" xfId="40680" xr:uid="{00000000-0005-0000-0000-0000492F0000}"/>
    <cellStyle name="Comma 2 4 2 2 6 3 3 4" xfId="32114" xr:uid="{00000000-0005-0000-0000-00004A2F0000}"/>
    <cellStyle name="Comma 2 4 2 2 6 3 3 5" xfId="34256" xr:uid="{00000000-0005-0000-0000-00004B2F0000}"/>
    <cellStyle name="Comma 2 4 2 2 6 3 4" xfId="8261" xr:uid="{00000000-0005-0000-0000-00004C2F0000}"/>
    <cellStyle name="Comma 2 4 2 2 6 3 4 2" xfId="42881" xr:uid="{00000000-0005-0000-0000-00004D2F0000}"/>
    <cellStyle name="Comma 2 4 2 2 6 3 4 3" xfId="36457" xr:uid="{00000000-0005-0000-0000-00004E2F0000}"/>
    <cellStyle name="Comma 2 4 2 2 6 3 5" xfId="21250" xr:uid="{00000000-0005-0000-0000-00004F2F0000}"/>
    <cellStyle name="Comma 2 4 2 2 6 3 5 2" xfId="39674" xr:uid="{00000000-0005-0000-0000-0000502F0000}"/>
    <cellStyle name="Comma 2 4 2 2 6 3 6" xfId="22323" xr:uid="{00000000-0005-0000-0000-0000512F0000}"/>
    <cellStyle name="Comma 2 4 2 2 6 3 7" xfId="23452" xr:uid="{00000000-0005-0000-0000-0000522F0000}"/>
    <cellStyle name="Comma 2 4 2 2 6 3 8" xfId="26645" xr:uid="{00000000-0005-0000-0000-0000532F0000}"/>
    <cellStyle name="Comma 2 4 2 2 6 3 9" xfId="29978" xr:uid="{00000000-0005-0000-0000-0000542F0000}"/>
    <cellStyle name="Comma 2 4 2 2 6 4" xfId="1027" xr:uid="{00000000-0005-0000-0000-0000552F0000}"/>
    <cellStyle name="Comma 2 4 2 2 6 4 10" xfId="33251" xr:uid="{00000000-0005-0000-0000-0000562F0000}"/>
    <cellStyle name="Comma 2 4 2 2 6 4 2" xfId="9797" xr:uid="{00000000-0005-0000-0000-0000572F0000}"/>
    <cellStyle name="Comma 2 4 2 2 6 4 2 2" xfId="25597" xr:uid="{00000000-0005-0000-0000-0000582F0000}"/>
    <cellStyle name="Comma 2 4 2 2 6 4 2 2 2" xfId="45024" xr:uid="{00000000-0005-0000-0000-0000592F0000}"/>
    <cellStyle name="Comma 2 4 2 2 6 4 2 2 3" xfId="38601" xr:uid="{00000000-0005-0000-0000-00005A2F0000}"/>
    <cellStyle name="Comma 2 4 2 2 6 4 2 3" xfId="27775" xr:uid="{00000000-0005-0000-0000-00005B2F0000}"/>
    <cellStyle name="Comma 2 4 2 2 6 4 2 3 2" xfId="41817" xr:uid="{00000000-0005-0000-0000-00005C2F0000}"/>
    <cellStyle name="Comma 2 4 2 2 6 4 2 4" xfId="31110" xr:uid="{00000000-0005-0000-0000-00005D2F0000}"/>
    <cellStyle name="Comma 2 4 2 2 6 4 2 5" xfId="35393" xr:uid="{00000000-0005-0000-0000-00005E2F0000}"/>
    <cellStyle name="Comma 2 4 2 2 6 4 3" xfId="15444" xr:uid="{00000000-0005-0000-0000-00005F2F0000}"/>
    <cellStyle name="Comma 2 4 2 2 6 4 3 2" xfId="24459" xr:uid="{00000000-0005-0000-0000-0000602F0000}"/>
    <cellStyle name="Comma 2 4 2 2 6 4 3 2 2" xfId="43888" xr:uid="{00000000-0005-0000-0000-0000612F0000}"/>
    <cellStyle name="Comma 2 4 2 2 6 4 3 2 3" xfId="37465" xr:uid="{00000000-0005-0000-0000-0000622F0000}"/>
    <cellStyle name="Comma 2 4 2 2 6 4 3 3" xfId="28780" xr:uid="{00000000-0005-0000-0000-0000632F0000}"/>
    <cellStyle name="Comma 2 4 2 2 6 4 3 3 2" xfId="40681" xr:uid="{00000000-0005-0000-0000-0000642F0000}"/>
    <cellStyle name="Comma 2 4 2 2 6 4 3 4" xfId="32115" xr:uid="{00000000-0005-0000-0000-0000652F0000}"/>
    <cellStyle name="Comma 2 4 2 2 6 4 3 5" xfId="34257" xr:uid="{00000000-0005-0000-0000-0000662F0000}"/>
    <cellStyle name="Comma 2 4 2 2 6 4 4" xfId="8262" xr:uid="{00000000-0005-0000-0000-0000672F0000}"/>
    <cellStyle name="Comma 2 4 2 2 6 4 4 2" xfId="42882" xr:uid="{00000000-0005-0000-0000-0000682F0000}"/>
    <cellStyle name="Comma 2 4 2 2 6 4 4 3" xfId="36458" xr:uid="{00000000-0005-0000-0000-0000692F0000}"/>
    <cellStyle name="Comma 2 4 2 2 6 4 5" xfId="21251" xr:uid="{00000000-0005-0000-0000-00006A2F0000}"/>
    <cellStyle name="Comma 2 4 2 2 6 4 5 2" xfId="39675" xr:uid="{00000000-0005-0000-0000-00006B2F0000}"/>
    <cellStyle name="Comma 2 4 2 2 6 4 6" xfId="22324" xr:uid="{00000000-0005-0000-0000-00006C2F0000}"/>
    <cellStyle name="Comma 2 4 2 2 6 4 7" xfId="23453" xr:uid="{00000000-0005-0000-0000-00006D2F0000}"/>
    <cellStyle name="Comma 2 4 2 2 6 4 8" xfId="26646" xr:uid="{00000000-0005-0000-0000-00006E2F0000}"/>
    <cellStyle name="Comma 2 4 2 2 6 4 9" xfId="29979" xr:uid="{00000000-0005-0000-0000-00006F2F0000}"/>
    <cellStyle name="Comma 2 4 2 2 6 5" xfId="1028" xr:uid="{00000000-0005-0000-0000-0000702F0000}"/>
    <cellStyle name="Comma 2 4 2 2 6 5 10" xfId="33252" xr:uid="{00000000-0005-0000-0000-0000712F0000}"/>
    <cellStyle name="Comma 2 4 2 2 6 5 2" xfId="9798" xr:uid="{00000000-0005-0000-0000-0000722F0000}"/>
    <cellStyle name="Comma 2 4 2 2 6 5 2 2" xfId="25598" xr:uid="{00000000-0005-0000-0000-0000732F0000}"/>
    <cellStyle name="Comma 2 4 2 2 6 5 2 2 2" xfId="45025" xr:uid="{00000000-0005-0000-0000-0000742F0000}"/>
    <cellStyle name="Comma 2 4 2 2 6 5 2 2 3" xfId="38602" xr:uid="{00000000-0005-0000-0000-0000752F0000}"/>
    <cellStyle name="Comma 2 4 2 2 6 5 2 3" xfId="27776" xr:uid="{00000000-0005-0000-0000-0000762F0000}"/>
    <cellStyle name="Comma 2 4 2 2 6 5 2 3 2" xfId="41818" xr:uid="{00000000-0005-0000-0000-0000772F0000}"/>
    <cellStyle name="Comma 2 4 2 2 6 5 2 4" xfId="31111" xr:uid="{00000000-0005-0000-0000-0000782F0000}"/>
    <cellStyle name="Comma 2 4 2 2 6 5 2 5" xfId="35394" xr:uid="{00000000-0005-0000-0000-0000792F0000}"/>
    <cellStyle name="Comma 2 4 2 2 6 5 3" xfId="15445" xr:uid="{00000000-0005-0000-0000-00007A2F0000}"/>
    <cellStyle name="Comma 2 4 2 2 6 5 3 2" xfId="24460" xr:uid="{00000000-0005-0000-0000-00007B2F0000}"/>
    <cellStyle name="Comma 2 4 2 2 6 5 3 2 2" xfId="43889" xr:uid="{00000000-0005-0000-0000-00007C2F0000}"/>
    <cellStyle name="Comma 2 4 2 2 6 5 3 2 3" xfId="37466" xr:uid="{00000000-0005-0000-0000-00007D2F0000}"/>
    <cellStyle name="Comma 2 4 2 2 6 5 3 3" xfId="28781" xr:uid="{00000000-0005-0000-0000-00007E2F0000}"/>
    <cellStyle name="Comma 2 4 2 2 6 5 3 3 2" xfId="40682" xr:uid="{00000000-0005-0000-0000-00007F2F0000}"/>
    <cellStyle name="Comma 2 4 2 2 6 5 3 4" xfId="32116" xr:uid="{00000000-0005-0000-0000-0000802F0000}"/>
    <cellStyle name="Comma 2 4 2 2 6 5 3 5" xfId="34258" xr:uid="{00000000-0005-0000-0000-0000812F0000}"/>
    <cellStyle name="Comma 2 4 2 2 6 5 4" xfId="8263" xr:uid="{00000000-0005-0000-0000-0000822F0000}"/>
    <cellStyle name="Comma 2 4 2 2 6 5 4 2" xfId="42883" xr:uid="{00000000-0005-0000-0000-0000832F0000}"/>
    <cellStyle name="Comma 2 4 2 2 6 5 4 3" xfId="36459" xr:uid="{00000000-0005-0000-0000-0000842F0000}"/>
    <cellStyle name="Comma 2 4 2 2 6 5 5" xfId="21252" xr:uid="{00000000-0005-0000-0000-0000852F0000}"/>
    <cellStyle name="Comma 2 4 2 2 6 5 5 2" xfId="39676" xr:uid="{00000000-0005-0000-0000-0000862F0000}"/>
    <cellStyle name="Comma 2 4 2 2 6 5 6" xfId="22325" xr:uid="{00000000-0005-0000-0000-0000872F0000}"/>
    <cellStyle name="Comma 2 4 2 2 6 5 7" xfId="23454" xr:uid="{00000000-0005-0000-0000-0000882F0000}"/>
    <cellStyle name="Comma 2 4 2 2 6 5 8" xfId="26647" xr:uid="{00000000-0005-0000-0000-0000892F0000}"/>
    <cellStyle name="Comma 2 4 2 2 6 5 9" xfId="29980" xr:uid="{00000000-0005-0000-0000-00008A2F0000}"/>
    <cellStyle name="Comma 2 4 2 2 6 6" xfId="9794" xr:uid="{00000000-0005-0000-0000-00008B2F0000}"/>
    <cellStyle name="Comma 2 4 2 2 6 6 2" xfId="25594" xr:uid="{00000000-0005-0000-0000-00008C2F0000}"/>
    <cellStyle name="Comma 2 4 2 2 6 6 2 2" xfId="45021" xr:uid="{00000000-0005-0000-0000-00008D2F0000}"/>
    <cellStyle name="Comma 2 4 2 2 6 6 2 3" xfId="38598" xr:uid="{00000000-0005-0000-0000-00008E2F0000}"/>
    <cellStyle name="Comma 2 4 2 2 6 6 3" xfId="27772" xr:uid="{00000000-0005-0000-0000-00008F2F0000}"/>
    <cellStyle name="Comma 2 4 2 2 6 6 3 2" xfId="41814" xr:uid="{00000000-0005-0000-0000-0000902F0000}"/>
    <cellStyle name="Comma 2 4 2 2 6 6 4" xfId="31107" xr:uid="{00000000-0005-0000-0000-0000912F0000}"/>
    <cellStyle name="Comma 2 4 2 2 6 6 5" xfId="35390" xr:uid="{00000000-0005-0000-0000-0000922F0000}"/>
    <cellStyle name="Comma 2 4 2 2 6 7" xfId="15441" xr:uid="{00000000-0005-0000-0000-0000932F0000}"/>
    <cellStyle name="Comma 2 4 2 2 6 7 2" xfId="24456" xr:uid="{00000000-0005-0000-0000-0000942F0000}"/>
    <cellStyle name="Comma 2 4 2 2 6 7 2 2" xfId="43885" xr:uid="{00000000-0005-0000-0000-0000952F0000}"/>
    <cellStyle name="Comma 2 4 2 2 6 7 2 3" xfId="37462" xr:uid="{00000000-0005-0000-0000-0000962F0000}"/>
    <cellStyle name="Comma 2 4 2 2 6 7 3" xfId="28777" xr:uid="{00000000-0005-0000-0000-0000972F0000}"/>
    <cellStyle name="Comma 2 4 2 2 6 7 3 2" xfId="40678" xr:uid="{00000000-0005-0000-0000-0000982F0000}"/>
    <cellStyle name="Comma 2 4 2 2 6 7 4" xfId="32112" xr:uid="{00000000-0005-0000-0000-0000992F0000}"/>
    <cellStyle name="Comma 2 4 2 2 6 7 5" xfId="34254" xr:uid="{00000000-0005-0000-0000-00009A2F0000}"/>
    <cellStyle name="Comma 2 4 2 2 6 8" xfId="8259" xr:uid="{00000000-0005-0000-0000-00009B2F0000}"/>
    <cellStyle name="Comma 2 4 2 2 6 8 2" xfId="42879" xr:uid="{00000000-0005-0000-0000-00009C2F0000}"/>
    <cellStyle name="Comma 2 4 2 2 6 8 3" xfId="36455" xr:uid="{00000000-0005-0000-0000-00009D2F0000}"/>
    <cellStyle name="Comma 2 4 2 2 6 9" xfId="21248" xr:uid="{00000000-0005-0000-0000-00009E2F0000}"/>
    <cellStyle name="Comma 2 4 2 2 6 9 2" xfId="39672" xr:uid="{00000000-0005-0000-0000-00009F2F0000}"/>
    <cellStyle name="Comma 2 4 2 2 7" xfId="1029" xr:uid="{00000000-0005-0000-0000-0000A02F0000}"/>
    <cellStyle name="Comma 2 4 2 2 7 10" xfId="33253" xr:uid="{00000000-0005-0000-0000-0000A12F0000}"/>
    <cellStyle name="Comma 2 4 2 2 7 2" xfId="9799" xr:uid="{00000000-0005-0000-0000-0000A22F0000}"/>
    <cellStyle name="Comma 2 4 2 2 7 2 2" xfId="25599" xr:uid="{00000000-0005-0000-0000-0000A32F0000}"/>
    <cellStyle name="Comma 2 4 2 2 7 2 2 2" xfId="45026" xr:uid="{00000000-0005-0000-0000-0000A42F0000}"/>
    <cellStyle name="Comma 2 4 2 2 7 2 2 3" xfId="38603" xr:uid="{00000000-0005-0000-0000-0000A52F0000}"/>
    <cellStyle name="Comma 2 4 2 2 7 2 3" xfId="27777" xr:uid="{00000000-0005-0000-0000-0000A62F0000}"/>
    <cellStyle name="Comma 2 4 2 2 7 2 3 2" xfId="41819" xr:uid="{00000000-0005-0000-0000-0000A72F0000}"/>
    <cellStyle name="Comma 2 4 2 2 7 2 4" xfId="31112" xr:uid="{00000000-0005-0000-0000-0000A82F0000}"/>
    <cellStyle name="Comma 2 4 2 2 7 2 5" xfId="35395" xr:uid="{00000000-0005-0000-0000-0000A92F0000}"/>
    <cellStyle name="Comma 2 4 2 2 7 3" xfId="15446" xr:uid="{00000000-0005-0000-0000-0000AA2F0000}"/>
    <cellStyle name="Comma 2 4 2 2 7 3 2" xfId="24461" xr:uid="{00000000-0005-0000-0000-0000AB2F0000}"/>
    <cellStyle name="Comma 2 4 2 2 7 3 2 2" xfId="43890" xr:uid="{00000000-0005-0000-0000-0000AC2F0000}"/>
    <cellStyle name="Comma 2 4 2 2 7 3 2 3" xfId="37467" xr:uid="{00000000-0005-0000-0000-0000AD2F0000}"/>
    <cellStyle name="Comma 2 4 2 2 7 3 3" xfId="28782" xr:uid="{00000000-0005-0000-0000-0000AE2F0000}"/>
    <cellStyle name="Comma 2 4 2 2 7 3 3 2" xfId="40683" xr:uid="{00000000-0005-0000-0000-0000AF2F0000}"/>
    <cellStyle name="Comma 2 4 2 2 7 3 4" xfId="32117" xr:uid="{00000000-0005-0000-0000-0000B02F0000}"/>
    <cellStyle name="Comma 2 4 2 2 7 3 5" xfId="34259" xr:uid="{00000000-0005-0000-0000-0000B12F0000}"/>
    <cellStyle name="Comma 2 4 2 2 7 4" xfId="8264" xr:uid="{00000000-0005-0000-0000-0000B22F0000}"/>
    <cellStyle name="Comma 2 4 2 2 7 4 2" xfId="42884" xr:uid="{00000000-0005-0000-0000-0000B32F0000}"/>
    <cellStyle name="Comma 2 4 2 2 7 4 3" xfId="36460" xr:uid="{00000000-0005-0000-0000-0000B42F0000}"/>
    <cellStyle name="Comma 2 4 2 2 7 5" xfId="21253" xr:uid="{00000000-0005-0000-0000-0000B52F0000}"/>
    <cellStyle name="Comma 2 4 2 2 7 5 2" xfId="39677" xr:uid="{00000000-0005-0000-0000-0000B62F0000}"/>
    <cellStyle name="Comma 2 4 2 2 7 6" xfId="22326" xr:uid="{00000000-0005-0000-0000-0000B72F0000}"/>
    <cellStyle name="Comma 2 4 2 2 7 7" xfId="23455" xr:uid="{00000000-0005-0000-0000-0000B82F0000}"/>
    <cellStyle name="Comma 2 4 2 2 7 8" xfId="26648" xr:uid="{00000000-0005-0000-0000-0000B92F0000}"/>
    <cellStyle name="Comma 2 4 2 2 7 9" xfId="29981" xr:uid="{00000000-0005-0000-0000-0000BA2F0000}"/>
    <cellStyle name="Comma 2 4 2 2 8" xfId="1030" xr:uid="{00000000-0005-0000-0000-0000BB2F0000}"/>
    <cellStyle name="Comma 2 4 2 2 8 10" xfId="33254" xr:uid="{00000000-0005-0000-0000-0000BC2F0000}"/>
    <cellStyle name="Comma 2 4 2 2 8 2" xfId="9800" xr:uid="{00000000-0005-0000-0000-0000BD2F0000}"/>
    <cellStyle name="Comma 2 4 2 2 8 2 2" xfId="25600" xr:uid="{00000000-0005-0000-0000-0000BE2F0000}"/>
    <cellStyle name="Comma 2 4 2 2 8 2 2 2" xfId="45027" xr:uid="{00000000-0005-0000-0000-0000BF2F0000}"/>
    <cellStyle name="Comma 2 4 2 2 8 2 2 3" xfId="38604" xr:uid="{00000000-0005-0000-0000-0000C02F0000}"/>
    <cellStyle name="Comma 2 4 2 2 8 2 3" xfId="27778" xr:uid="{00000000-0005-0000-0000-0000C12F0000}"/>
    <cellStyle name="Comma 2 4 2 2 8 2 3 2" xfId="41820" xr:uid="{00000000-0005-0000-0000-0000C22F0000}"/>
    <cellStyle name="Comma 2 4 2 2 8 2 4" xfId="31113" xr:uid="{00000000-0005-0000-0000-0000C32F0000}"/>
    <cellStyle name="Comma 2 4 2 2 8 2 5" xfId="35396" xr:uid="{00000000-0005-0000-0000-0000C42F0000}"/>
    <cellStyle name="Comma 2 4 2 2 8 3" xfId="15447" xr:uid="{00000000-0005-0000-0000-0000C52F0000}"/>
    <cellStyle name="Comma 2 4 2 2 8 3 2" xfId="24462" xr:uid="{00000000-0005-0000-0000-0000C62F0000}"/>
    <cellStyle name="Comma 2 4 2 2 8 3 2 2" xfId="43891" xr:uid="{00000000-0005-0000-0000-0000C72F0000}"/>
    <cellStyle name="Comma 2 4 2 2 8 3 2 3" xfId="37468" xr:uid="{00000000-0005-0000-0000-0000C82F0000}"/>
    <cellStyle name="Comma 2 4 2 2 8 3 3" xfId="28783" xr:uid="{00000000-0005-0000-0000-0000C92F0000}"/>
    <cellStyle name="Comma 2 4 2 2 8 3 3 2" xfId="40684" xr:uid="{00000000-0005-0000-0000-0000CA2F0000}"/>
    <cellStyle name="Comma 2 4 2 2 8 3 4" xfId="32118" xr:uid="{00000000-0005-0000-0000-0000CB2F0000}"/>
    <cellStyle name="Comma 2 4 2 2 8 3 5" xfId="34260" xr:uid="{00000000-0005-0000-0000-0000CC2F0000}"/>
    <cellStyle name="Comma 2 4 2 2 8 4" xfId="8265" xr:uid="{00000000-0005-0000-0000-0000CD2F0000}"/>
    <cellStyle name="Comma 2 4 2 2 8 4 2" xfId="42885" xr:uid="{00000000-0005-0000-0000-0000CE2F0000}"/>
    <cellStyle name="Comma 2 4 2 2 8 4 3" xfId="36461" xr:uid="{00000000-0005-0000-0000-0000CF2F0000}"/>
    <cellStyle name="Comma 2 4 2 2 8 5" xfId="21254" xr:uid="{00000000-0005-0000-0000-0000D02F0000}"/>
    <cellStyle name="Comma 2 4 2 2 8 5 2" xfId="39678" xr:uid="{00000000-0005-0000-0000-0000D12F0000}"/>
    <cellStyle name="Comma 2 4 2 2 8 6" xfId="22327" xr:uid="{00000000-0005-0000-0000-0000D22F0000}"/>
    <cellStyle name="Comma 2 4 2 2 8 7" xfId="23456" xr:uid="{00000000-0005-0000-0000-0000D32F0000}"/>
    <cellStyle name="Comma 2 4 2 2 8 8" xfId="26649" xr:uid="{00000000-0005-0000-0000-0000D42F0000}"/>
    <cellStyle name="Comma 2 4 2 2 8 9" xfId="29982" xr:uid="{00000000-0005-0000-0000-0000D52F0000}"/>
    <cellStyle name="Comma 2 4 2 2 9" xfId="1031" xr:uid="{00000000-0005-0000-0000-0000D62F0000}"/>
    <cellStyle name="Comma 2 4 2 2 9 10" xfId="33255" xr:uid="{00000000-0005-0000-0000-0000D72F0000}"/>
    <cellStyle name="Comma 2 4 2 2 9 2" xfId="9801" xr:uid="{00000000-0005-0000-0000-0000D82F0000}"/>
    <cellStyle name="Comma 2 4 2 2 9 2 2" xfId="25601" xr:uid="{00000000-0005-0000-0000-0000D92F0000}"/>
    <cellStyle name="Comma 2 4 2 2 9 2 2 2" xfId="45028" xr:uid="{00000000-0005-0000-0000-0000DA2F0000}"/>
    <cellStyle name="Comma 2 4 2 2 9 2 2 3" xfId="38605" xr:uid="{00000000-0005-0000-0000-0000DB2F0000}"/>
    <cellStyle name="Comma 2 4 2 2 9 2 3" xfId="27779" xr:uid="{00000000-0005-0000-0000-0000DC2F0000}"/>
    <cellStyle name="Comma 2 4 2 2 9 2 3 2" xfId="41821" xr:uid="{00000000-0005-0000-0000-0000DD2F0000}"/>
    <cellStyle name="Comma 2 4 2 2 9 2 4" xfId="31114" xr:uid="{00000000-0005-0000-0000-0000DE2F0000}"/>
    <cellStyle name="Comma 2 4 2 2 9 2 5" xfId="35397" xr:uid="{00000000-0005-0000-0000-0000DF2F0000}"/>
    <cellStyle name="Comma 2 4 2 2 9 3" xfId="15448" xr:uid="{00000000-0005-0000-0000-0000E02F0000}"/>
    <cellStyle name="Comma 2 4 2 2 9 3 2" xfId="24463" xr:uid="{00000000-0005-0000-0000-0000E12F0000}"/>
    <cellStyle name="Comma 2 4 2 2 9 3 2 2" xfId="43892" xr:uid="{00000000-0005-0000-0000-0000E22F0000}"/>
    <cellStyle name="Comma 2 4 2 2 9 3 2 3" xfId="37469" xr:uid="{00000000-0005-0000-0000-0000E32F0000}"/>
    <cellStyle name="Comma 2 4 2 2 9 3 3" xfId="28784" xr:uid="{00000000-0005-0000-0000-0000E42F0000}"/>
    <cellStyle name="Comma 2 4 2 2 9 3 3 2" xfId="40685" xr:uid="{00000000-0005-0000-0000-0000E52F0000}"/>
    <cellStyle name="Comma 2 4 2 2 9 3 4" xfId="32119" xr:uid="{00000000-0005-0000-0000-0000E62F0000}"/>
    <cellStyle name="Comma 2 4 2 2 9 3 5" xfId="34261" xr:uid="{00000000-0005-0000-0000-0000E72F0000}"/>
    <cellStyle name="Comma 2 4 2 2 9 4" xfId="8266" xr:uid="{00000000-0005-0000-0000-0000E82F0000}"/>
    <cellStyle name="Comma 2 4 2 2 9 4 2" xfId="42886" xr:uid="{00000000-0005-0000-0000-0000E92F0000}"/>
    <cellStyle name="Comma 2 4 2 2 9 4 3" xfId="36462" xr:uid="{00000000-0005-0000-0000-0000EA2F0000}"/>
    <cellStyle name="Comma 2 4 2 2 9 5" xfId="21255" xr:uid="{00000000-0005-0000-0000-0000EB2F0000}"/>
    <cellStyle name="Comma 2 4 2 2 9 5 2" xfId="39679" xr:uid="{00000000-0005-0000-0000-0000EC2F0000}"/>
    <cellStyle name="Comma 2 4 2 2 9 6" xfId="22328" xr:uid="{00000000-0005-0000-0000-0000ED2F0000}"/>
    <cellStyle name="Comma 2 4 2 2 9 7" xfId="23457" xr:uid="{00000000-0005-0000-0000-0000EE2F0000}"/>
    <cellStyle name="Comma 2 4 2 2 9 8" xfId="26650" xr:uid="{00000000-0005-0000-0000-0000EF2F0000}"/>
    <cellStyle name="Comma 2 4 2 2 9 9" xfId="29983" xr:uid="{00000000-0005-0000-0000-0000F02F0000}"/>
    <cellStyle name="Comma 2 4 2 20" xfId="29902" xr:uid="{00000000-0005-0000-0000-0000F12F0000}"/>
    <cellStyle name="Comma 2 4 2 21" xfId="32837" xr:uid="{00000000-0005-0000-0000-0000F22F0000}"/>
    <cellStyle name="Comma 2 4 2 3" xfId="246" xr:uid="{00000000-0005-0000-0000-0000F32F0000}"/>
    <cellStyle name="Comma 2 4 2 3 10" xfId="1032" xr:uid="{00000000-0005-0000-0000-0000F42F0000}"/>
    <cellStyle name="Comma 2 4 2 3 10 10" xfId="33256" xr:uid="{00000000-0005-0000-0000-0000F52F0000}"/>
    <cellStyle name="Comma 2 4 2 3 10 2" xfId="9802" xr:uid="{00000000-0005-0000-0000-0000F62F0000}"/>
    <cellStyle name="Comma 2 4 2 3 10 2 2" xfId="25602" xr:uid="{00000000-0005-0000-0000-0000F72F0000}"/>
    <cellStyle name="Comma 2 4 2 3 10 2 2 2" xfId="45029" xr:uid="{00000000-0005-0000-0000-0000F82F0000}"/>
    <cellStyle name="Comma 2 4 2 3 10 2 2 3" xfId="38606" xr:uid="{00000000-0005-0000-0000-0000F92F0000}"/>
    <cellStyle name="Comma 2 4 2 3 10 2 3" xfId="27780" xr:uid="{00000000-0005-0000-0000-0000FA2F0000}"/>
    <cellStyle name="Comma 2 4 2 3 10 2 3 2" xfId="41822" xr:uid="{00000000-0005-0000-0000-0000FB2F0000}"/>
    <cellStyle name="Comma 2 4 2 3 10 2 4" xfId="31115" xr:uid="{00000000-0005-0000-0000-0000FC2F0000}"/>
    <cellStyle name="Comma 2 4 2 3 10 2 5" xfId="35398" xr:uid="{00000000-0005-0000-0000-0000FD2F0000}"/>
    <cellStyle name="Comma 2 4 2 3 10 3" xfId="15450" xr:uid="{00000000-0005-0000-0000-0000FE2F0000}"/>
    <cellStyle name="Comma 2 4 2 3 10 3 2" xfId="24465" xr:uid="{00000000-0005-0000-0000-0000FF2F0000}"/>
    <cellStyle name="Comma 2 4 2 3 10 3 2 2" xfId="43894" xr:uid="{00000000-0005-0000-0000-000000300000}"/>
    <cellStyle name="Comma 2 4 2 3 10 3 2 3" xfId="37471" xr:uid="{00000000-0005-0000-0000-000001300000}"/>
    <cellStyle name="Comma 2 4 2 3 10 3 3" xfId="28786" xr:uid="{00000000-0005-0000-0000-000002300000}"/>
    <cellStyle name="Comma 2 4 2 3 10 3 3 2" xfId="40687" xr:uid="{00000000-0005-0000-0000-000003300000}"/>
    <cellStyle name="Comma 2 4 2 3 10 3 4" xfId="32121" xr:uid="{00000000-0005-0000-0000-000004300000}"/>
    <cellStyle name="Comma 2 4 2 3 10 3 5" xfId="34263" xr:uid="{00000000-0005-0000-0000-000005300000}"/>
    <cellStyle name="Comma 2 4 2 3 10 4" xfId="8268" xr:uid="{00000000-0005-0000-0000-000006300000}"/>
    <cellStyle name="Comma 2 4 2 3 10 4 2" xfId="42887" xr:uid="{00000000-0005-0000-0000-000007300000}"/>
    <cellStyle name="Comma 2 4 2 3 10 4 3" xfId="36463" xr:uid="{00000000-0005-0000-0000-000008300000}"/>
    <cellStyle name="Comma 2 4 2 3 10 5" xfId="21257" xr:uid="{00000000-0005-0000-0000-000009300000}"/>
    <cellStyle name="Comma 2 4 2 3 10 5 2" xfId="39680" xr:uid="{00000000-0005-0000-0000-00000A300000}"/>
    <cellStyle name="Comma 2 4 2 3 10 6" xfId="22330" xr:uid="{00000000-0005-0000-0000-00000B300000}"/>
    <cellStyle name="Comma 2 4 2 3 10 7" xfId="23458" xr:uid="{00000000-0005-0000-0000-00000C300000}"/>
    <cellStyle name="Comma 2 4 2 3 10 8" xfId="26652" xr:uid="{00000000-0005-0000-0000-00000D300000}"/>
    <cellStyle name="Comma 2 4 2 3 10 9" xfId="29985" xr:uid="{00000000-0005-0000-0000-00000E300000}"/>
    <cellStyle name="Comma 2 4 2 3 11" xfId="9106" xr:uid="{00000000-0005-0000-0000-00000F300000}"/>
    <cellStyle name="Comma 2 4 2 3 11 2" xfId="25160" xr:uid="{00000000-0005-0000-0000-000010300000}"/>
    <cellStyle name="Comma 2 4 2 3 11 2 2" xfId="44587" xr:uid="{00000000-0005-0000-0000-000011300000}"/>
    <cellStyle name="Comma 2 4 2 3 11 2 3" xfId="38164" xr:uid="{00000000-0005-0000-0000-000012300000}"/>
    <cellStyle name="Comma 2 4 2 3 11 3" xfId="27339" xr:uid="{00000000-0005-0000-0000-000013300000}"/>
    <cellStyle name="Comma 2 4 2 3 11 3 2" xfId="41380" xr:uid="{00000000-0005-0000-0000-000014300000}"/>
    <cellStyle name="Comma 2 4 2 3 11 4" xfId="30674" xr:uid="{00000000-0005-0000-0000-000015300000}"/>
    <cellStyle name="Comma 2 4 2 3 11 5" xfId="34956" xr:uid="{00000000-0005-0000-0000-000016300000}"/>
    <cellStyle name="Comma 2 4 2 3 12" xfId="15449" xr:uid="{00000000-0005-0000-0000-000017300000}"/>
    <cellStyle name="Comma 2 4 2 3 12 2" xfId="24464" xr:uid="{00000000-0005-0000-0000-000018300000}"/>
    <cellStyle name="Comma 2 4 2 3 12 2 2" xfId="43893" xr:uid="{00000000-0005-0000-0000-000019300000}"/>
    <cellStyle name="Comma 2 4 2 3 12 2 3" xfId="37470" xr:uid="{00000000-0005-0000-0000-00001A300000}"/>
    <cellStyle name="Comma 2 4 2 3 12 3" xfId="28785" xr:uid="{00000000-0005-0000-0000-00001B300000}"/>
    <cellStyle name="Comma 2 4 2 3 12 3 2" xfId="40686" xr:uid="{00000000-0005-0000-0000-00001C300000}"/>
    <cellStyle name="Comma 2 4 2 3 12 4" xfId="32120" xr:uid="{00000000-0005-0000-0000-00001D300000}"/>
    <cellStyle name="Comma 2 4 2 3 12 5" xfId="34262" xr:uid="{00000000-0005-0000-0000-00001E300000}"/>
    <cellStyle name="Comma 2 4 2 3 13" xfId="8267" xr:uid="{00000000-0005-0000-0000-00001F300000}"/>
    <cellStyle name="Comma 2 4 2 3 13 2" xfId="42450" xr:uid="{00000000-0005-0000-0000-000020300000}"/>
    <cellStyle name="Comma 2 4 2 3 13 3" xfId="36026" xr:uid="{00000000-0005-0000-0000-000021300000}"/>
    <cellStyle name="Comma 2 4 2 3 14" xfId="21256" xr:uid="{00000000-0005-0000-0000-000022300000}"/>
    <cellStyle name="Comma 2 4 2 3 14 2" xfId="39243" xr:uid="{00000000-0005-0000-0000-000023300000}"/>
    <cellStyle name="Comma 2 4 2 3 15" xfId="22329" xr:uid="{00000000-0005-0000-0000-000024300000}"/>
    <cellStyle name="Comma 2 4 2 3 16" xfId="23021" xr:uid="{00000000-0005-0000-0000-000025300000}"/>
    <cellStyle name="Comma 2 4 2 3 17" xfId="26651" xr:uid="{00000000-0005-0000-0000-000026300000}"/>
    <cellStyle name="Comma 2 4 2 3 18" xfId="29984" xr:uid="{00000000-0005-0000-0000-000027300000}"/>
    <cellStyle name="Comma 2 4 2 3 19" xfId="32819" xr:uid="{00000000-0005-0000-0000-000028300000}"/>
    <cellStyle name="Comma 2 4 2 3 2" xfId="234" xr:uid="{00000000-0005-0000-0000-000029300000}"/>
    <cellStyle name="Comma 2 4 2 3 2 10" xfId="15451" xr:uid="{00000000-0005-0000-0000-00002A300000}"/>
    <cellStyle name="Comma 2 4 2 3 2 10 2" xfId="24466" xr:uid="{00000000-0005-0000-0000-00002B300000}"/>
    <cellStyle name="Comma 2 4 2 3 2 10 2 2" xfId="43895" xr:uid="{00000000-0005-0000-0000-00002C300000}"/>
    <cellStyle name="Comma 2 4 2 3 2 10 2 3" xfId="37472" xr:uid="{00000000-0005-0000-0000-00002D300000}"/>
    <cellStyle name="Comma 2 4 2 3 2 10 3" xfId="28787" xr:uid="{00000000-0005-0000-0000-00002E300000}"/>
    <cellStyle name="Comma 2 4 2 3 2 10 3 2" xfId="40688" xr:uid="{00000000-0005-0000-0000-00002F300000}"/>
    <cellStyle name="Comma 2 4 2 3 2 10 4" xfId="32122" xr:uid="{00000000-0005-0000-0000-000030300000}"/>
    <cellStyle name="Comma 2 4 2 3 2 10 5" xfId="34264" xr:uid="{00000000-0005-0000-0000-000031300000}"/>
    <cellStyle name="Comma 2 4 2 3 2 11" xfId="8269" xr:uid="{00000000-0005-0000-0000-000032300000}"/>
    <cellStyle name="Comma 2 4 2 3 2 11 2" xfId="42443" xr:uid="{00000000-0005-0000-0000-000033300000}"/>
    <cellStyle name="Comma 2 4 2 3 2 11 3" xfId="36019" xr:uid="{00000000-0005-0000-0000-000034300000}"/>
    <cellStyle name="Comma 2 4 2 3 2 12" xfId="21258" xr:uid="{00000000-0005-0000-0000-000035300000}"/>
    <cellStyle name="Comma 2 4 2 3 2 12 2" xfId="39236" xr:uid="{00000000-0005-0000-0000-000036300000}"/>
    <cellStyle name="Comma 2 4 2 3 2 13" xfId="22331" xr:uid="{00000000-0005-0000-0000-000037300000}"/>
    <cellStyle name="Comma 2 4 2 3 2 14" xfId="23014" xr:uid="{00000000-0005-0000-0000-000038300000}"/>
    <cellStyle name="Comma 2 4 2 3 2 15" xfId="26653" xr:uid="{00000000-0005-0000-0000-000039300000}"/>
    <cellStyle name="Comma 2 4 2 3 2 16" xfId="29986" xr:uid="{00000000-0005-0000-0000-00003A300000}"/>
    <cellStyle name="Comma 2 4 2 3 2 17" xfId="32812" xr:uid="{00000000-0005-0000-0000-00003B300000}"/>
    <cellStyle name="Comma 2 4 2 3 2 2" xfId="231" xr:uid="{00000000-0005-0000-0000-00003C300000}"/>
    <cellStyle name="Comma 2 4 2 3 2 2 10" xfId="21259" xr:uid="{00000000-0005-0000-0000-00003D300000}"/>
    <cellStyle name="Comma 2 4 2 3 2 2 10 2" xfId="39234" xr:uid="{00000000-0005-0000-0000-00003E300000}"/>
    <cellStyle name="Comma 2 4 2 3 2 2 11" xfId="22332" xr:uid="{00000000-0005-0000-0000-00003F300000}"/>
    <cellStyle name="Comma 2 4 2 3 2 2 12" xfId="23012" xr:uid="{00000000-0005-0000-0000-000040300000}"/>
    <cellStyle name="Comma 2 4 2 3 2 2 13" xfId="26654" xr:uid="{00000000-0005-0000-0000-000041300000}"/>
    <cellStyle name="Comma 2 4 2 3 2 2 14" xfId="29987" xr:uid="{00000000-0005-0000-0000-000042300000}"/>
    <cellStyle name="Comma 2 4 2 3 2 2 15" xfId="32810" xr:uid="{00000000-0005-0000-0000-000043300000}"/>
    <cellStyle name="Comma 2 4 2 3 2 2 2" xfId="1033" xr:uid="{00000000-0005-0000-0000-000044300000}"/>
    <cellStyle name="Comma 2 4 2 3 2 2 2 10" xfId="33257" xr:uid="{00000000-0005-0000-0000-000045300000}"/>
    <cellStyle name="Comma 2 4 2 3 2 2 2 2" xfId="9803" xr:uid="{00000000-0005-0000-0000-000046300000}"/>
    <cellStyle name="Comma 2 4 2 3 2 2 2 2 2" xfId="25603" xr:uid="{00000000-0005-0000-0000-000047300000}"/>
    <cellStyle name="Comma 2 4 2 3 2 2 2 2 2 2" xfId="45030" xr:uid="{00000000-0005-0000-0000-000048300000}"/>
    <cellStyle name="Comma 2 4 2 3 2 2 2 2 2 3" xfId="38607" xr:uid="{00000000-0005-0000-0000-000049300000}"/>
    <cellStyle name="Comma 2 4 2 3 2 2 2 2 3" xfId="27781" xr:uid="{00000000-0005-0000-0000-00004A300000}"/>
    <cellStyle name="Comma 2 4 2 3 2 2 2 2 3 2" xfId="41823" xr:uid="{00000000-0005-0000-0000-00004B300000}"/>
    <cellStyle name="Comma 2 4 2 3 2 2 2 2 4" xfId="31116" xr:uid="{00000000-0005-0000-0000-00004C300000}"/>
    <cellStyle name="Comma 2 4 2 3 2 2 2 2 5" xfId="35399" xr:uid="{00000000-0005-0000-0000-00004D300000}"/>
    <cellStyle name="Comma 2 4 2 3 2 2 2 3" xfId="15453" xr:uid="{00000000-0005-0000-0000-00004E300000}"/>
    <cellStyle name="Comma 2 4 2 3 2 2 2 3 2" xfId="24468" xr:uid="{00000000-0005-0000-0000-00004F300000}"/>
    <cellStyle name="Comma 2 4 2 3 2 2 2 3 2 2" xfId="43897" xr:uid="{00000000-0005-0000-0000-000050300000}"/>
    <cellStyle name="Comma 2 4 2 3 2 2 2 3 2 3" xfId="37474" xr:uid="{00000000-0005-0000-0000-000051300000}"/>
    <cellStyle name="Comma 2 4 2 3 2 2 2 3 3" xfId="28789" xr:uid="{00000000-0005-0000-0000-000052300000}"/>
    <cellStyle name="Comma 2 4 2 3 2 2 2 3 3 2" xfId="40690" xr:uid="{00000000-0005-0000-0000-000053300000}"/>
    <cellStyle name="Comma 2 4 2 3 2 2 2 3 4" xfId="32124" xr:uid="{00000000-0005-0000-0000-000054300000}"/>
    <cellStyle name="Comma 2 4 2 3 2 2 2 3 5" xfId="34266" xr:uid="{00000000-0005-0000-0000-000055300000}"/>
    <cellStyle name="Comma 2 4 2 3 2 2 2 4" xfId="8271" xr:uid="{00000000-0005-0000-0000-000056300000}"/>
    <cellStyle name="Comma 2 4 2 3 2 2 2 4 2" xfId="42888" xr:uid="{00000000-0005-0000-0000-000057300000}"/>
    <cellStyle name="Comma 2 4 2 3 2 2 2 4 3" xfId="36464" xr:uid="{00000000-0005-0000-0000-000058300000}"/>
    <cellStyle name="Comma 2 4 2 3 2 2 2 5" xfId="21260" xr:uid="{00000000-0005-0000-0000-000059300000}"/>
    <cellStyle name="Comma 2 4 2 3 2 2 2 5 2" xfId="39681" xr:uid="{00000000-0005-0000-0000-00005A300000}"/>
    <cellStyle name="Comma 2 4 2 3 2 2 2 6" xfId="22333" xr:uid="{00000000-0005-0000-0000-00005B300000}"/>
    <cellStyle name="Comma 2 4 2 3 2 2 2 7" xfId="23459" xr:uid="{00000000-0005-0000-0000-00005C300000}"/>
    <cellStyle name="Comma 2 4 2 3 2 2 2 8" xfId="26655" xr:uid="{00000000-0005-0000-0000-00005D300000}"/>
    <cellStyle name="Comma 2 4 2 3 2 2 2 9" xfId="29988" xr:uid="{00000000-0005-0000-0000-00005E300000}"/>
    <cellStyle name="Comma 2 4 2 3 2 2 3" xfId="1034" xr:uid="{00000000-0005-0000-0000-00005F300000}"/>
    <cellStyle name="Comma 2 4 2 3 2 2 3 10" xfId="33258" xr:uid="{00000000-0005-0000-0000-000060300000}"/>
    <cellStyle name="Comma 2 4 2 3 2 2 3 2" xfId="9804" xr:uid="{00000000-0005-0000-0000-000061300000}"/>
    <cellStyle name="Comma 2 4 2 3 2 2 3 2 2" xfId="25604" xr:uid="{00000000-0005-0000-0000-000062300000}"/>
    <cellStyle name="Comma 2 4 2 3 2 2 3 2 2 2" xfId="45031" xr:uid="{00000000-0005-0000-0000-000063300000}"/>
    <cellStyle name="Comma 2 4 2 3 2 2 3 2 2 3" xfId="38608" xr:uid="{00000000-0005-0000-0000-000064300000}"/>
    <cellStyle name="Comma 2 4 2 3 2 2 3 2 3" xfId="27782" xr:uid="{00000000-0005-0000-0000-000065300000}"/>
    <cellStyle name="Comma 2 4 2 3 2 2 3 2 3 2" xfId="41824" xr:uid="{00000000-0005-0000-0000-000066300000}"/>
    <cellStyle name="Comma 2 4 2 3 2 2 3 2 4" xfId="31117" xr:uid="{00000000-0005-0000-0000-000067300000}"/>
    <cellStyle name="Comma 2 4 2 3 2 2 3 2 5" xfId="35400" xr:uid="{00000000-0005-0000-0000-000068300000}"/>
    <cellStyle name="Comma 2 4 2 3 2 2 3 3" xfId="15454" xr:uid="{00000000-0005-0000-0000-000069300000}"/>
    <cellStyle name="Comma 2 4 2 3 2 2 3 3 2" xfId="24469" xr:uid="{00000000-0005-0000-0000-00006A300000}"/>
    <cellStyle name="Comma 2 4 2 3 2 2 3 3 2 2" xfId="43898" xr:uid="{00000000-0005-0000-0000-00006B300000}"/>
    <cellStyle name="Comma 2 4 2 3 2 2 3 3 2 3" xfId="37475" xr:uid="{00000000-0005-0000-0000-00006C300000}"/>
    <cellStyle name="Comma 2 4 2 3 2 2 3 3 3" xfId="28790" xr:uid="{00000000-0005-0000-0000-00006D300000}"/>
    <cellStyle name="Comma 2 4 2 3 2 2 3 3 3 2" xfId="40691" xr:uid="{00000000-0005-0000-0000-00006E300000}"/>
    <cellStyle name="Comma 2 4 2 3 2 2 3 3 4" xfId="32125" xr:uid="{00000000-0005-0000-0000-00006F300000}"/>
    <cellStyle name="Comma 2 4 2 3 2 2 3 3 5" xfId="34267" xr:uid="{00000000-0005-0000-0000-000070300000}"/>
    <cellStyle name="Comma 2 4 2 3 2 2 3 4" xfId="8272" xr:uid="{00000000-0005-0000-0000-000071300000}"/>
    <cellStyle name="Comma 2 4 2 3 2 2 3 4 2" xfId="42889" xr:uid="{00000000-0005-0000-0000-000072300000}"/>
    <cellStyle name="Comma 2 4 2 3 2 2 3 4 3" xfId="36465" xr:uid="{00000000-0005-0000-0000-000073300000}"/>
    <cellStyle name="Comma 2 4 2 3 2 2 3 5" xfId="21261" xr:uid="{00000000-0005-0000-0000-000074300000}"/>
    <cellStyle name="Comma 2 4 2 3 2 2 3 5 2" xfId="39682" xr:uid="{00000000-0005-0000-0000-000075300000}"/>
    <cellStyle name="Comma 2 4 2 3 2 2 3 6" xfId="22334" xr:uid="{00000000-0005-0000-0000-000076300000}"/>
    <cellStyle name="Comma 2 4 2 3 2 2 3 7" xfId="23460" xr:uid="{00000000-0005-0000-0000-000077300000}"/>
    <cellStyle name="Comma 2 4 2 3 2 2 3 8" xfId="26656" xr:uid="{00000000-0005-0000-0000-000078300000}"/>
    <cellStyle name="Comma 2 4 2 3 2 2 3 9" xfId="29989" xr:uid="{00000000-0005-0000-0000-000079300000}"/>
    <cellStyle name="Comma 2 4 2 3 2 2 4" xfId="1035" xr:uid="{00000000-0005-0000-0000-00007A300000}"/>
    <cellStyle name="Comma 2 4 2 3 2 2 4 10" xfId="33259" xr:uid="{00000000-0005-0000-0000-00007B300000}"/>
    <cellStyle name="Comma 2 4 2 3 2 2 4 2" xfId="9805" xr:uid="{00000000-0005-0000-0000-00007C300000}"/>
    <cellStyle name="Comma 2 4 2 3 2 2 4 2 2" xfId="25605" xr:uid="{00000000-0005-0000-0000-00007D300000}"/>
    <cellStyle name="Comma 2 4 2 3 2 2 4 2 2 2" xfId="45032" xr:uid="{00000000-0005-0000-0000-00007E300000}"/>
    <cellStyle name="Comma 2 4 2 3 2 2 4 2 2 3" xfId="38609" xr:uid="{00000000-0005-0000-0000-00007F300000}"/>
    <cellStyle name="Comma 2 4 2 3 2 2 4 2 3" xfId="27783" xr:uid="{00000000-0005-0000-0000-000080300000}"/>
    <cellStyle name="Comma 2 4 2 3 2 2 4 2 3 2" xfId="41825" xr:uid="{00000000-0005-0000-0000-000081300000}"/>
    <cellStyle name="Comma 2 4 2 3 2 2 4 2 4" xfId="31118" xr:uid="{00000000-0005-0000-0000-000082300000}"/>
    <cellStyle name="Comma 2 4 2 3 2 2 4 2 5" xfId="35401" xr:uid="{00000000-0005-0000-0000-000083300000}"/>
    <cellStyle name="Comma 2 4 2 3 2 2 4 3" xfId="15455" xr:uid="{00000000-0005-0000-0000-000084300000}"/>
    <cellStyle name="Comma 2 4 2 3 2 2 4 3 2" xfId="24470" xr:uid="{00000000-0005-0000-0000-000085300000}"/>
    <cellStyle name="Comma 2 4 2 3 2 2 4 3 2 2" xfId="43899" xr:uid="{00000000-0005-0000-0000-000086300000}"/>
    <cellStyle name="Comma 2 4 2 3 2 2 4 3 2 3" xfId="37476" xr:uid="{00000000-0005-0000-0000-000087300000}"/>
    <cellStyle name="Comma 2 4 2 3 2 2 4 3 3" xfId="28791" xr:uid="{00000000-0005-0000-0000-000088300000}"/>
    <cellStyle name="Comma 2 4 2 3 2 2 4 3 3 2" xfId="40692" xr:uid="{00000000-0005-0000-0000-000089300000}"/>
    <cellStyle name="Comma 2 4 2 3 2 2 4 3 4" xfId="32126" xr:uid="{00000000-0005-0000-0000-00008A300000}"/>
    <cellStyle name="Comma 2 4 2 3 2 2 4 3 5" xfId="34268" xr:uid="{00000000-0005-0000-0000-00008B300000}"/>
    <cellStyle name="Comma 2 4 2 3 2 2 4 4" xfId="8273" xr:uid="{00000000-0005-0000-0000-00008C300000}"/>
    <cellStyle name="Comma 2 4 2 3 2 2 4 4 2" xfId="42890" xr:uid="{00000000-0005-0000-0000-00008D300000}"/>
    <cellStyle name="Comma 2 4 2 3 2 2 4 4 3" xfId="36466" xr:uid="{00000000-0005-0000-0000-00008E300000}"/>
    <cellStyle name="Comma 2 4 2 3 2 2 4 5" xfId="21262" xr:uid="{00000000-0005-0000-0000-00008F300000}"/>
    <cellStyle name="Comma 2 4 2 3 2 2 4 5 2" xfId="39683" xr:uid="{00000000-0005-0000-0000-000090300000}"/>
    <cellStyle name="Comma 2 4 2 3 2 2 4 6" xfId="22335" xr:uid="{00000000-0005-0000-0000-000091300000}"/>
    <cellStyle name="Comma 2 4 2 3 2 2 4 7" xfId="23461" xr:uid="{00000000-0005-0000-0000-000092300000}"/>
    <cellStyle name="Comma 2 4 2 3 2 2 4 8" xfId="26657" xr:uid="{00000000-0005-0000-0000-000093300000}"/>
    <cellStyle name="Comma 2 4 2 3 2 2 4 9" xfId="29990" xr:uid="{00000000-0005-0000-0000-000094300000}"/>
    <cellStyle name="Comma 2 4 2 3 2 2 5" xfId="1036" xr:uid="{00000000-0005-0000-0000-000095300000}"/>
    <cellStyle name="Comma 2 4 2 3 2 2 5 10" xfId="33260" xr:uid="{00000000-0005-0000-0000-000096300000}"/>
    <cellStyle name="Comma 2 4 2 3 2 2 5 2" xfId="9806" xr:uid="{00000000-0005-0000-0000-000097300000}"/>
    <cellStyle name="Comma 2 4 2 3 2 2 5 2 2" xfId="25606" xr:uid="{00000000-0005-0000-0000-000098300000}"/>
    <cellStyle name="Comma 2 4 2 3 2 2 5 2 2 2" xfId="45033" xr:uid="{00000000-0005-0000-0000-000099300000}"/>
    <cellStyle name="Comma 2 4 2 3 2 2 5 2 2 3" xfId="38610" xr:uid="{00000000-0005-0000-0000-00009A300000}"/>
    <cellStyle name="Comma 2 4 2 3 2 2 5 2 3" xfId="27784" xr:uid="{00000000-0005-0000-0000-00009B300000}"/>
    <cellStyle name="Comma 2 4 2 3 2 2 5 2 3 2" xfId="41826" xr:uid="{00000000-0005-0000-0000-00009C300000}"/>
    <cellStyle name="Comma 2 4 2 3 2 2 5 2 4" xfId="31119" xr:uid="{00000000-0005-0000-0000-00009D300000}"/>
    <cellStyle name="Comma 2 4 2 3 2 2 5 2 5" xfId="35402" xr:uid="{00000000-0005-0000-0000-00009E300000}"/>
    <cellStyle name="Comma 2 4 2 3 2 2 5 3" xfId="15456" xr:uid="{00000000-0005-0000-0000-00009F300000}"/>
    <cellStyle name="Comma 2 4 2 3 2 2 5 3 2" xfId="24471" xr:uid="{00000000-0005-0000-0000-0000A0300000}"/>
    <cellStyle name="Comma 2 4 2 3 2 2 5 3 2 2" xfId="43900" xr:uid="{00000000-0005-0000-0000-0000A1300000}"/>
    <cellStyle name="Comma 2 4 2 3 2 2 5 3 2 3" xfId="37477" xr:uid="{00000000-0005-0000-0000-0000A2300000}"/>
    <cellStyle name="Comma 2 4 2 3 2 2 5 3 3" xfId="28792" xr:uid="{00000000-0005-0000-0000-0000A3300000}"/>
    <cellStyle name="Comma 2 4 2 3 2 2 5 3 3 2" xfId="40693" xr:uid="{00000000-0005-0000-0000-0000A4300000}"/>
    <cellStyle name="Comma 2 4 2 3 2 2 5 3 4" xfId="32127" xr:uid="{00000000-0005-0000-0000-0000A5300000}"/>
    <cellStyle name="Comma 2 4 2 3 2 2 5 3 5" xfId="34269" xr:uid="{00000000-0005-0000-0000-0000A6300000}"/>
    <cellStyle name="Comma 2 4 2 3 2 2 5 4" xfId="8274" xr:uid="{00000000-0005-0000-0000-0000A7300000}"/>
    <cellStyle name="Comma 2 4 2 3 2 2 5 4 2" xfId="42891" xr:uid="{00000000-0005-0000-0000-0000A8300000}"/>
    <cellStyle name="Comma 2 4 2 3 2 2 5 4 3" xfId="36467" xr:uid="{00000000-0005-0000-0000-0000A9300000}"/>
    <cellStyle name="Comma 2 4 2 3 2 2 5 5" xfId="21263" xr:uid="{00000000-0005-0000-0000-0000AA300000}"/>
    <cellStyle name="Comma 2 4 2 3 2 2 5 5 2" xfId="39684" xr:uid="{00000000-0005-0000-0000-0000AB300000}"/>
    <cellStyle name="Comma 2 4 2 3 2 2 5 6" xfId="22336" xr:uid="{00000000-0005-0000-0000-0000AC300000}"/>
    <cellStyle name="Comma 2 4 2 3 2 2 5 7" xfId="23462" xr:uid="{00000000-0005-0000-0000-0000AD300000}"/>
    <cellStyle name="Comma 2 4 2 3 2 2 5 8" xfId="26658" xr:uid="{00000000-0005-0000-0000-0000AE300000}"/>
    <cellStyle name="Comma 2 4 2 3 2 2 5 9" xfId="29991" xr:uid="{00000000-0005-0000-0000-0000AF300000}"/>
    <cellStyle name="Comma 2 4 2 3 2 2 6" xfId="1037" xr:uid="{00000000-0005-0000-0000-0000B0300000}"/>
    <cellStyle name="Comma 2 4 2 3 2 2 6 10" xfId="33261" xr:uid="{00000000-0005-0000-0000-0000B1300000}"/>
    <cellStyle name="Comma 2 4 2 3 2 2 6 2" xfId="9807" xr:uid="{00000000-0005-0000-0000-0000B2300000}"/>
    <cellStyle name="Comma 2 4 2 3 2 2 6 2 2" xfId="25607" xr:uid="{00000000-0005-0000-0000-0000B3300000}"/>
    <cellStyle name="Comma 2 4 2 3 2 2 6 2 2 2" xfId="45034" xr:uid="{00000000-0005-0000-0000-0000B4300000}"/>
    <cellStyle name="Comma 2 4 2 3 2 2 6 2 2 3" xfId="38611" xr:uid="{00000000-0005-0000-0000-0000B5300000}"/>
    <cellStyle name="Comma 2 4 2 3 2 2 6 2 3" xfId="27785" xr:uid="{00000000-0005-0000-0000-0000B6300000}"/>
    <cellStyle name="Comma 2 4 2 3 2 2 6 2 3 2" xfId="41827" xr:uid="{00000000-0005-0000-0000-0000B7300000}"/>
    <cellStyle name="Comma 2 4 2 3 2 2 6 2 4" xfId="31120" xr:uid="{00000000-0005-0000-0000-0000B8300000}"/>
    <cellStyle name="Comma 2 4 2 3 2 2 6 2 5" xfId="35403" xr:uid="{00000000-0005-0000-0000-0000B9300000}"/>
    <cellStyle name="Comma 2 4 2 3 2 2 6 3" xfId="15457" xr:uid="{00000000-0005-0000-0000-0000BA300000}"/>
    <cellStyle name="Comma 2 4 2 3 2 2 6 3 2" xfId="24472" xr:uid="{00000000-0005-0000-0000-0000BB300000}"/>
    <cellStyle name="Comma 2 4 2 3 2 2 6 3 2 2" xfId="43901" xr:uid="{00000000-0005-0000-0000-0000BC300000}"/>
    <cellStyle name="Comma 2 4 2 3 2 2 6 3 2 3" xfId="37478" xr:uid="{00000000-0005-0000-0000-0000BD300000}"/>
    <cellStyle name="Comma 2 4 2 3 2 2 6 3 3" xfId="28793" xr:uid="{00000000-0005-0000-0000-0000BE300000}"/>
    <cellStyle name="Comma 2 4 2 3 2 2 6 3 3 2" xfId="40694" xr:uid="{00000000-0005-0000-0000-0000BF300000}"/>
    <cellStyle name="Comma 2 4 2 3 2 2 6 3 4" xfId="32128" xr:uid="{00000000-0005-0000-0000-0000C0300000}"/>
    <cellStyle name="Comma 2 4 2 3 2 2 6 3 5" xfId="34270" xr:uid="{00000000-0005-0000-0000-0000C1300000}"/>
    <cellStyle name="Comma 2 4 2 3 2 2 6 4" xfId="8275" xr:uid="{00000000-0005-0000-0000-0000C2300000}"/>
    <cellStyle name="Comma 2 4 2 3 2 2 6 4 2" xfId="42892" xr:uid="{00000000-0005-0000-0000-0000C3300000}"/>
    <cellStyle name="Comma 2 4 2 3 2 2 6 4 3" xfId="36468" xr:uid="{00000000-0005-0000-0000-0000C4300000}"/>
    <cellStyle name="Comma 2 4 2 3 2 2 6 5" xfId="21264" xr:uid="{00000000-0005-0000-0000-0000C5300000}"/>
    <cellStyle name="Comma 2 4 2 3 2 2 6 5 2" xfId="39685" xr:uid="{00000000-0005-0000-0000-0000C6300000}"/>
    <cellStyle name="Comma 2 4 2 3 2 2 6 6" xfId="22337" xr:uid="{00000000-0005-0000-0000-0000C7300000}"/>
    <cellStyle name="Comma 2 4 2 3 2 2 6 7" xfId="23463" xr:uid="{00000000-0005-0000-0000-0000C8300000}"/>
    <cellStyle name="Comma 2 4 2 3 2 2 6 8" xfId="26659" xr:uid="{00000000-0005-0000-0000-0000C9300000}"/>
    <cellStyle name="Comma 2 4 2 3 2 2 6 9" xfId="29992" xr:uid="{00000000-0005-0000-0000-0000CA300000}"/>
    <cellStyle name="Comma 2 4 2 3 2 2 7" xfId="9096" xr:uid="{00000000-0005-0000-0000-0000CB300000}"/>
    <cellStyle name="Comma 2 4 2 3 2 2 7 2" xfId="25151" xr:uid="{00000000-0005-0000-0000-0000CC300000}"/>
    <cellStyle name="Comma 2 4 2 3 2 2 7 2 2" xfId="44578" xr:uid="{00000000-0005-0000-0000-0000CD300000}"/>
    <cellStyle name="Comma 2 4 2 3 2 2 7 2 3" xfId="38155" xr:uid="{00000000-0005-0000-0000-0000CE300000}"/>
    <cellStyle name="Comma 2 4 2 3 2 2 7 3" xfId="27330" xr:uid="{00000000-0005-0000-0000-0000CF300000}"/>
    <cellStyle name="Comma 2 4 2 3 2 2 7 3 2" xfId="41371" xr:uid="{00000000-0005-0000-0000-0000D0300000}"/>
    <cellStyle name="Comma 2 4 2 3 2 2 7 4" xfId="30665" xr:uid="{00000000-0005-0000-0000-0000D1300000}"/>
    <cellStyle name="Comma 2 4 2 3 2 2 7 5" xfId="34947" xr:uid="{00000000-0005-0000-0000-0000D2300000}"/>
    <cellStyle name="Comma 2 4 2 3 2 2 8" xfId="15452" xr:uid="{00000000-0005-0000-0000-0000D3300000}"/>
    <cellStyle name="Comma 2 4 2 3 2 2 8 2" xfId="24467" xr:uid="{00000000-0005-0000-0000-0000D4300000}"/>
    <cellStyle name="Comma 2 4 2 3 2 2 8 2 2" xfId="43896" xr:uid="{00000000-0005-0000-0000-0000D5300000}"/>
    <cellStyle name="Comma 2 4 2 3 2 2 8 2 3" xfId="37473" xr:uid="{00000000-0005-0000-0000-0000D6300000}"/>
    <cellStyle name="Comma 2 4 2 3 2 2 8 3" xfId="28788" xr:uid="{00000000-0005-0000-0000-0000D7300000}"/>
    <cellStyle name="Comma 2 4 2 3 2 2 8 3 2" xfId="40689" xr:uid="{00000000-0005-0000-0000-0000D8300000}"/>
    <cellStyle name="Comma 2 4 2 3 2 2 8 4" xfId="32123" xr:uid="{00000000-0005-0000-0000-0000D9300000}"/>
    <cellStyle name="Comma 2 4 2 3 2 2 8 5" xfId="34265" xr:uid="{00000000-0005-0000-0000-0000DA300000}"/>
    <cellStyle name="Comma 2 4 2 3 2 2 9" xfId="8270" xr:uid="{00000000-0005-0000-0000-0000DB300000}"/>
    <cellStyle name="Comma 2 4 2 3 2 2 9 2" xfId="42441" xr:uid="{00000000-0005-0000-0000-0000DC300000}"/>
    <cellStyle name="Comma 2 4 2 3 2 2 9 3" xfId="36017" xr:uid="{00000000-0005-0000-0000-0000DD300000}"/>
    <cellStyle name="Comma 2 4 2 3 2 3" xfId="1038" xr:uid="{00000000-0005-0000-0000-0000DE300000}"/>
    <cellStyle name="Comma 2 4 2 3 2 3 10" xfId="22338" xr:uid="{00000000-0005-0000-0000-0000DF300000}"/>
    <cellStyle name="Comma 2 4 2 3 2 3 11" xfId="23464" xr:uid="{00000000-0005-0000-0000-0000E0300000}"/>
    <cellStyle name="Comma 2 4 2 3 2 3 12" xfId="26660" xr:uid="{00000000-0005-0000-0000-0000E1300000}"/>
    <cellStyle name="Comma 2 4 2 3 2 3 13" xfId="29993" xr:uid="{00000000-0005-0000-0000-0000E2300000}"/>
    <cellStyle name="Comma 2 4 2 3 2 3 14" xfId="33262" xr:uid="{00000000-0005-0000-0000-0000E3300000}"/>
    <cellStyle name="Comma 2 4 2 3 2 3 2" xfId="1039" xr:uid="{00000000-0005-0000-0000-0000E4300000}"/>
    <cellStyle name="Comma 2 4 2 3 2 3 2 10" xfId="33263" xr:uid="{00000000-0005-0000-0000-0000E5300000}"/>
    <cellStyle name="Comma 2 4 2 3 2 3 2 2" xfId="9809" xr:uid="{00000000-0005-0000-0000-0000E6300000}"/>
    <cellStyle name="Comma 2 4 2 3 2 3 2 2 2" xfId="25609" xr:uid="{00000000-0005-0000-0000-0000E7300000}"/>
    <cellStyle name="Comma 2 4 2 3 2 3 2 2 2 2" xfId="45036" xr:uid="{00000000-0005-0000-0000-0000E8300000}"/>
    <cellStyle name="Comma 2 4 2 3 2 3 2 2 2 3" xfId="38613" xr:uid="{00000000-0005-0000-0000-0000E9300000}"/>
    <cellStyle name="Comma 2 4 2 3 2 3 2 2 3" xfId="27787" xr:uid="{00000000-0005-0000-0000-0000EA300000}"/>
    <cellStyle name="Comma 2 4 2 3 2 3 2 2 3 2" xfId="41829" xr:uid="{00000000-0005-0000-0000-0000EB300000}"/>
    <cellStyle name="Comma 2 4 2 3 2 3 2 2 4" xfId="31122" xr:uid="{00000000-0005-0000-0000-0000EC300000}"/>
    <cellStyle name="Comma 2 4 2 3 2 3 2 2 5" xfId="35405" xr:uid="{00000000-0005-0000-0000-0000ED300000}"/>
    <cellStyle name="Comma 2 4 2 3 2 3 2 3" xfId="15459" xr:uid="{00000000-0005-0000-0000-0000EE300000}"/>
    <cellStyle name="Comma 2 4 2 3 2 3 2 3 2" xfId="24474" xr:uid="{00000000-0005-0000-0000-0000EF300000}"/>
    <cellStyle name="Comma 2 4 2 3 2 3 2 3 2 2" xfId="43903" xr:uid="{00000000-0005-0000-0000-0000F0300000}"/>
    <cellStyle name="Comma 2 4 2 3 2 3 2 3 2 3" xfId="37480" xr:uid="{00000000-0005-0000-0000-0000F1300000}"/>
    <cellStyle name="Comma 2 4 2 3 2 3 2 3 3" xfId="28795" xr:uid="{00000000-0005-0000-0000-0000F2300000}"/>
    <cellStyle name="Comma 2 4 2 3 2 3 2 3 3 2" xfId="40696" xr:uid="{00000000-0005-0000-0000-0000F3300000}"/>
    <cellStyle name="Comma 2 4 2 3 2 3 2 3 4" xfId="32130" xr:uid="{00000000-0005-0000-0000-0000F4300000}"/>
    <cellStyle name="Comma 2 4 2 3 2 3 2 3 5" xfId="34272" xr:uid="{00000000-0005-0000-0000-0000F5300000}"/>
    <cellStyle name="Comma 2 4 2 3 2 3 2 4" xfId="8277" xr:uid="{00000000-0005-0000-0000-0000F6300000}"/>
    <cellStyle name="Comma 2 4 2 3 2 3 2 4 2" xfId="42894" xr:uid="{00000000-0005-0000-0000-0000F7300000}"/>
    <cellStyle name="Comma 2 4 2 3 2 3 2 4 3" xfId="36470" xr:uid="{00000000-0005-0000-0000-0000F8300000}"/>
    <cellStyle name="Comma 2 4 2 3 2 3 2 5" xfId="21266" xr:uid="{00000000-0005-0000-0000-0000F9300000}"/>
    <cellStyle name="Comma 2 4 2 3 2 3 2 5 2" xfId="39687" xr:uid="{00000000-0005-0000-0000-0000FA300000}"/>
    <cellStyle name="Comma 2 4 2 3 2 3 2 6" xfId="22339" xr:uid="{00000000-0005-0000-0000-0000FB300000}"/>
    <cellStyle name="Comma 2 4 2 3 2 3 2 7" xfId="23465" xr:uid="{00000000-0005-0000-0000-0000FC300000}"/>
    <cellStyle name="Comma 2 4 2 3 2 3 2 8" xfId="26661" xr:uid="{00000000-0005-0000-0000-0000FD300000}"/>
    <cellStyle name="Comma 2 4 2 3 2 3 2 9" xfId="29994" xr:uid="{00000000-0005-0000-0000-0000FE300000}"/>
    <cellStyle name="Comma 2 4 2 3 2 3 3" xfId="1040" xr:uid="{00000000-0005-0000-0000-0000FF300000}"/>
    <cellStyle name="Comma 2 4 2 3 2 3 3 10" xfId="33264" xr:uid="{00000000-0005-0000-0000-000000310000}"/>
    <cellStyle name="Comma 2 4 2 3 2 3 3 2" xfId="9810" xr:uid="{00000000-0005-0000-0000-000001310000}"/>
    <cellStyle name="Comma 2 4 2 3 2 3 3 2 2" xfId="25610" xr:uid="{00000000-0005-0000-0000-000002310000}"/>
    <cellStyle name="Comma 2 4 2 3 2 3 3 2 2 2" xfId="45037" xr:uid="{00000000-0005-0000-0000-000003310000}"/>
    <cellStyle name="Comma 2 4 2 3 2 3 3 2 2 3" xfId="38614" xr:uid="{00000000-0005-0000-0000-000004310000}"/>
    <cellStyle name="Comma 2 4 2 3 2 3 3 2 3" xfId="27788" xr:uid="{00000000-0005-0000-0000-000005310000}"/>
    <cellStyle name="Comma 2 4 2 3 2 3 3 2 3 2" xfId="41830" xr:uid="{00000000-0005-0000-0000-000006310000}"/>
    <cellStyle name="Comma 2 4 2 3 2 3 3 2 4" xfId="31123" xr:uid="{00000000-0005-0000-0000-000007310000}"/>
    <cellStyle name="Comma 2 4 2 3 2 3 3 2 5" xfId="35406" xr:uid="{00000000-0005-0000-0000-000008310000}"/>
    <cellStyle name="Comma 2 4 2 3 2 3 3 3" xfId="15460" xr:uid="{00000000-0005-0000-0000-000009310000}"/>
    <cellStyle name="Comma 2 4 2 3 2 3 3 3 2" xfId="24475" xr:uid="{00000000-0005-0000-0000-00000A310000}"/>
    <cellStyle name="Comma 2 4 2 3 2 3 3 3 2 2" xfId="43904" xr:uid="{00000000-0005-0000-0000-00000B310000}"/>
    <cellStyle name="Comma 2 4 2 3 2 3 3 3 2 3" xfId="37481" xr:uid="{00000000-0005-0000-0000-00000C310000}"/>
    <cellStyle name="Comma 2 4 2 3 2 3 3 3 3" xfId="28796" xr:uid="{00000000-0005-0000-0000-00000D310000}"/>
    <cellStyle name="Comma 2 4 2 3 2 3 3 3 3 2" xfId="40697" xr:uid="{00000000-0005-0000-0000-00000E310000}"/>
    <cellStyle name="Comma 2 4 2 3 2 3 3 3 4" xfId="32131" xr:uid="{00000000-0005-0000-0000-00000F310000}"/>
    <cellStyle name="Comma 2 4 2 3 2 3 3 3 5" xfId="34273" xr:uid="{00000000-0005-0000-0000-000010310000}"/>
    <cellStyle name="Comma 2 4 2 3 2 3 3 4" xfId="8278" xr:uid="{00000000-0005-0000-0000-000011310000}"/>
    <cellStyle name="Comma 2 4 2 3 2 3 3 4 2" xfId="42895" xr:uid="{00000000-0005-0000-0000-000012310000}"/>
    <cellStyle name="Comma 2 4 2 3 2 3 3 4 3" xfId="36471" xr:uid="{00000000-0005-0000-0000-000013310000}"/>
    <cellStyle name="Comma 2 4 2 3 2 3 3 5" xfId="21267" xr:uid="{00000000-0005-0000-0000-000014310000}"/>
    <cellStyle name="Comma 2 4 2 3 2 3 3 5 2" xfId="39688" xr:uid="{00000000-0005-0000-0000-000015310000}"/>
    <cellStyle name="Comma 2 4 2 3 2 3 3 6" xfId="22340" xr:uid="{00000000-0005-0000-0000-000016310000}"/>
    <cellStyle name="Comma 2 4 2 3 2 3 3 7" xfId="23466" xr:uid="{00000000-0005-0000-0000-000017310000}"/>
    <cellStyle name="Comma 2 4 2 3 2 3 3 8" xfId="26662" xr:uid="{00000000-0005-0000-0000-000018310000}"/>
    <cellStyle name="Comma 2 4 2 3 2 3 3 9" xfId="29995" xr:uid="{00000000-0005-0000-0000-000019310000}"/>
    <cellStyle name="Comma 2 4 2 3 2 3 4" xfId="1041" xr:uid="{00000000-0005-0000-0000-00001A310000}"/>
    <cellStyle name="Comma 2 4 2 3 2 3 4 10" xfId="33265" xr:uid="{00000000-0005-0000-0000-00001B310000}"/>
    <cellStyle name="Comma 2 4 2 3 2 3 4 2" xfId="9811" xr:uid="{00000000-0005-0000-0000-00001C310000}"/>
    <cellStyle name="Comma 2 4 2 3 2 3 4 2 2" xfId="25611" xr:uid="{00000000-0005-0000-0000-00001D310000}"/>
    <cellStyle name="Comma 2 4 2 3 2 3 4 2 2 2" xfId="45038" xr:uid="{00000000-0005-0000-0000-00001E310000}"/>
    <cellStyle name="Comma 2 4 2 3 2 3 4 2 2 3" xfId="38615" xr:uid="{00000000-0005-0000-0000-00001F310000}"/>
    <cellStyle name="Comma 2 4 2 3 2 3 4 2 3" xfId="27789" xr:uid="{00000000-0005-0000-0000-000020310000}"/>
    <cellStyle name="Comma 2 4 2 3 2 3 4 2 3 2" xfId="41831" xr:uid="{00000000-0005-0000-0000-000021310000}"/>
    <cellStyle name="Comma 2 4 2 3 2 3 4 2 4" xfId="31124" xr:uid="{00000000-0005-0000-0000-000022310000}"/>
    <cellStyle name="Comma 2 4 2 3 2 3 4 2 5" xfId="35407" xr:uid="{00000000-0005-0000-0000-000023310000}"/>
    <cellStyle name="Comma 2 4 2 3 2 3 4 3" xfId="15461" xr:uid="{00000000-0005-0000-0000-000024310000}"/>
    <cellStyle name="Comma 2 4 2 3 2 3 4 3 2" xfId="24476" xr:uid="{00000000-0005-0000-0000-000025310000}"/>
    <cellStyle name="Comma 2 4 2 3 2 3 4 3 2 2" xfId="43905" xr:uid="{00000000-0005-0000-0000-000026310000}"/>
    <cellStyle name="Comma 2 4 2 3 2 3 4 3 2 3" xfId="37482" xr:uid="{00000000-0005-0000-0000-000027310000}"/>
    <cellStyle name="Comma 2 4 2 3 2 3 4 3 3" xfId="28797" xr:uid="{00000000-0005-0000-0000-000028310000}"/>
    <cellStyle name="Comma 2 4 2 3 2 3 4 3 3 2" xfId="40698" xr:uid="{00000000-0005-0000-0000-000029310000}"/>
    <cellStyle name="Comma 2 4 2 3 2 3 4 3 4" xfId="32132" xr:uid="{00000000-0005-0000-0000-00002A310000}"/>
    <cellStyle name="Comma 2 4 2 3 2 3 4 3 5" xfId="34274" xr:uid="{00000000-0005-0000-0000-00002B310000}"/>
    <cellStyle name="Comma 2 4 2 3 2 3 4 4" xfId="8279" xr:uid="{00000000-0005-0000-0000-00002C310000}"/>
    <cellStyle name="Comma 2 4 2 3 2 3 4 4 2" xfId="42896" xr:uid="{00000000-0005-0000-0000-00002D310000}"/>
    <cellStyle name="Comma 2 4 2 3 2 3 4 4 3" xfId="36472" xr:uid="{00000000-0005-0000-0000-00002E310000}"/>
    <cellStyle name="Comma 2 4 2 3 2 3 4 5" xfId="21268" xr:uid="{00000000-0005-0000-0000-00002F310000}"/>
    <cellStyle name="Comma 2 4 2 3 2 3 4 5 2" xfId="39689" xr:uid="{00000000-0005-0000-0000-000030310000}"/>
    <cellStyle name="Comma 2 4 2 3 2 3 4 6" xfId="22341" xr:uid="{00000000-0005-0000-0000-000031310000}"/>
    <cellStyle name="Comma 2 4 2 3 2 3 4 7" xfId="23467" xr:uid="{00000000-0005-0000-0000-000032310000}"/>
    <cellStyle name="Comma 2 4 2 3 2 3 4 8" xfId="26663" xr:uid="{00000000-0005-0000-0000-000033310000}"/>
    <cellStyle name="Comma 2 4 2 3 2 3 4 9" xfId="29996" xr:uid="{00000000-0005-0000-0000-000034310000}"/>
    <cellStyle name="Comma 2 4 2 3 2 3 5" xfId="1042" xr:uid="{00000000-0005-0000-0000-000035310000}"/>
    <cellStyle name="Comma 2 4 2 3 2 3 5 10" xfId="33266" xr:uid="{00000000-0005-0000-0000-000036310000}"/>
    <cellStyle name="Comma 2 4 2 3 2 3 5 2" xfId="9812" xr:uid="{00000000-0005-0000-0000-000037310000}"/>
    <cellStyle name="Comma 2 4 2 3 2 3 5 2 2" xfId="25612" xr:uid="{00000000-0005-0000-0000-000038310000}"/>
    <cellStyle name="Comma 2 4 2 3 2 3 5 2 2 2" xfId="45039" xr:uid="{00000000-0005-0000-0000-000039310000}"/>
    <cellStyle name="Comma 2 4 2 3 2 3 5 2 2 3" xfId="38616" xr:uid="{00000000-0005-0000-0000-00003A310000}"/>
    <cellStyle name="Comma 2 4 2 3 2 3 5 2 3" xfId="27790" xr:uid="{00000000-0005-0000-0000-00003B310000}"/>
    <cellStyle name="Comma 2 4 2 3 2 3 5 2 3 2" xfId="41832" xr:uid="{00000000-0005-0000-0000-00003C310000}"/>
    <cellStyle name="Comma 2 4 2 3 2 3 5 2 4" xfId="31125" xr:uid="{00000000-0005-0000-0000-00003D310000}"/>
    <cellStyle name="Comma 2 4 2 3 2 3 5 2 5" xfId="35408" xr:uid="{00000000-0005-0000-0000-00003E310000}"/>
    <cellStyle name="Comma 2 4 2 3 2 3 5 3" xfId="15462" xr:uid="{00000000-0005-0000-0000-00003F310000}"/>
    <cellStyle name="Comma 2 4 2 3 2 3 5 3 2" xfId="24477" xr:uid="{00000000-0005-0000-0000-000040310000}"/>
    <cellStyle name="Comma 2 4 2 3 2 3 5 3 2 2" xfId="43906" xr:uid="{00000000-0005-0000-0000-000041310000}"/>
    <cellStyle name="Comma 2 4 2 3 2 3 5 3 2 3" xfId="37483" xr:uid="{00000000-0005-0000-0000-000042310000}"/>
    <cellStyle name="Comma 2 4 2 3 2 3 5 3 3" xfId="28798" xr:uid="{00000000-0005-0000-0000-000043310000}"/>
    <cellStyle name="Comma 2 4 2 3 2 3 5 3 3 2" xfId="40699" xr:uid="{00000000-0005-0000-0000-000044310000}"/>
    <cellStyle name="Comma 2 4 2 3 2 3 5 3 4" xfId="32133" xr:uid="{00000000-0005-0000-0000-000045310000}"/>
    <cellStyle name="Comma 2 4 2 3 2 3 5 3 5" xfId="34275" xr:uid="{00000000-0005-0000-0000-000046310000}"/>
    <cellStyle name="Comma 2 4 2 3 2 3 5 4" xfId="8280" xr:uid="{00000000-0005-0000-0000-000047310000}"/>
    <cellStyle name="Comma 2 4 2 3 2 3 5 4 2" xfId="42897" xr:uid="{00000000-0005-0000-0000-000048310000}"/>
    <cellStyle name="Comma 2 4 2 3 2 3 5 4 3" xfId="36473" xr:uid="{00000000-0005-0000-0000-000049310000}"/>
    <cellStyle name="Comma 2 4 2 3 2 3 5 5" xfId="21269" xr:uid="{00000000-0005-0000-0000-00004A310000}"/>
    <cellStyle name="Comma 2 4 2 3 2 3 5 5 2" xfId="39690" xr:uid="{00000000-0005-0000-0000-00004B310000}"/>
    <cellStyle name="Comma 2 4 2 3 2 3 5 6" xfId="22342" xr:uid="{00000000-0005-0000-0000-00004C310000}"/>
    <cellStyle name="Comma 2 4 2 3 2 3 5 7" xfId="23468" xr:uid="{00000000-0005-0000-0000-00004D310000}"/>
    <cellStyle name="Comma 2 4 2 3 2 3 5 8" xfId="26664" xr:uid="{00000000-0005-0000-0000-00004E310000}"/>
    <cellStyle name="Comma 2 4 2 3 2 3 5 9" xfId="29997" xr:uid="{00000000-0005-0000-0000-00004F310000}"/>
    <cellStyle name="Comma 2 4 2 3 2 3 6" xfId="9808" xr:uid="{00000000-0005-0000-0000-000050310000}"/>
    <cellStyle name="Comma 2 4 2 3 2 3 6 2" xfId="25608" xr:uid="{00000000-0005-0000-0000-000051310000}"/>
    <cellStyle name="Comma 2 4 2 3 2 3 6 2 2" xfId="45035" xr:uid="{00000000-0005-0000-0000-000052310000}"/>
    <cellStyle name="Comma 2 4 2 3 2 3 6 2 3" xfId="38612" xr:uid="{00000000-0005-0000-0000-000053310000}"/>
    <cellStyle name="Comma 2 4 2 3 2 3 6 3" xfId="27786" xr:uid="{00000000-0005-0000-0000-000054310000}"/>
    <cellStyle name="Comma 2 4 2 3 2 3 6 3 2" xfId="41828" xr:uid="{00000000-0005-0000-0000-000055310000}"/>
    <cellStyle name="Comma 2 4 2 3 2 3 6 4" xfId="31121" xr:uid="{00000000-0005-0000-0000-000056310000}"/>
    <cellStyle name="Comma 2 4 2 3 2 3 6 5" xfId="35404" xr:uid="{00000000-0005-0000-0000-000057310000}"/>
    <cellStyle name="Comma 2 4 2 3 2 3 7" xfId="15458" xr:uid="{00000000-0005-0000-0000-000058310000}"/>
    <cellStyle name="Comma 2 4 2 3 2 3 7 2" xfId="24473" xr:uid="{00000000-0005-0000-0000-000059310000}"/>
    <cellStyle name="Comma 2 4 2 3 2 3 7 2 2" xfId="43902" xr:uid="{00000000-0005-0000-0000-00005A310000}"/>
    <cellStyle name="Comma 2 4 2 3 2 3 7 2 3" xfId="37479" xr:uid="{00000000-0005-0000-0000-00005B310000}"/>
    <cellStyle name="Comma 2 4 2 3 2 3 7 3" xfId="28794" xr:uid="{00000000-0005-0000-0000-00005C310000}"/>
    <cellStyle name="Comma 2 4 2 3 2 3 7 3 2" xfId="40695" xr:uid="{00000000-0005-0000-0000-00005D310000}"/>
    <cellStyle name="Comma 2 4 2 3 2 3 7 4" xfId="32129" xr:uid="{00000000-0005-0000-0000-00005E310000}"/>
    <cellStyle name="Comma 2 4 2 3 2 3 7 5" xfId="34271" xr:uid="{00000000-0005-0000-0000-00005F310000}"/>
    <cellStyle name="Comma 2 4 2 3 2 3 8" xfId="8276" xr:uid="{00000000-0005-0000-0000-000060310000}"/>
    <cellStyle name="Comma 2 4 2 3 2 3 8 2" xfId="42893" xr:uid="{00000000-0005-0000-0000-000061310000}"/>
    <cellStyle name="Comma 2 4 2 3 2 3 8 3" xfId="36469" xr:uid="{00000000-0005-0000-0000-000062310000}"/>
    <cellStyle name="Comma 2 4 2 3 2 3 9" xfId="21265" xr:uid="{00000000-0005-0000-0000-000063310000}"/>
    <cellStyle name="Comma 2 4 2 3 2 3 9 2" xfId="39686" xr:uid="{00000000-0005-0000-0000-000064310000}"/>
    <cellStyle name="Comma 2 4 2 3 2 4" xfId="1043" xr:uid="{00000000-0005-0000-0000-000065310000}"/>
    <cellStyle name="Comma 2 4 2 3 2 4 10" xfId="33267" xr:uid="{00000000-0005-0000-0000-000066310000}"/>
    <cellStyle name="Comma 2 4 2 3 2 4 2" xfId="9813" xr:uid="{00000000-0005-0000-0000-000067310000}"/>
    <cellStyle name="Comma 2 4 2 3 2 4 2 2" xfId="25613" xr:uid="{00000000-0005-0000-0000-000068310000}"/>
    <cellStyle name="Comma 2 4 2 3 2 4 2 2 2" xfId="45040" xr:uid="{00000000-0005-0000-0000-000069310000}"/>
    <cellStyle name="Comma 2 4 2 3 2 4 2 2 3" xfId="38617" xr:uid="{00000000-0005-0000-0000-00006A310000}"/>
    <cellStyle name="Comma 2 4 2 3 2 4 2 3" xfId="27791" xr:uid="{00000000-0005-0000-0000-00006B310000}"/>
    <cellStyle name="Comma 2 4 2 3 2 4 2 3 2" xfId="41833" xr:uid="{00000000-0005-0000-0000-00006C310000}"/>
    <cellStyle name="Comma 2 4 2 3 2 4 2 4" xfId="31126" xr:uid="{00000000-0005-0000-0000-00006D310000}"/>
    <cellStyle name="Comma 2 4 2 3 2 4 2 5" xfId="35409" xr:uid="{00000000-0005-0000-0000-00006E310000}"/>
    <cellStyle name="Comma 2 4 2 3 2 4 3" xfId="15463" xr:uid="{00000000-0005-0000-0000-00006F310000}"/>
    <cellStyle name="Comma 2 4 2 3 2 4 3 2" xfId="24478" xr:uid="{00000000-0005-0000-0000-000070310000}"/>
    <cellStyle name="Comma 2 4 2 3 2 4 3 2 2" xfId="43907" xr:uid="{00000000-0005-0000-0000-000071310000}"/>
    <cellStyle name="Comma 2 4 2 3 2 4 3 2 3" xfId="37484" xr:uid="{00000000-0005-0000-0000-000072310000}"/>
    <cellStyle name="Comma 2 4 2 3 2 4 3 3" xfId="28799" xr:uid="{00000000-0005-0000-0000-000073310000}"/>
    <cellStyle name="Comma 2 4 2 3 2 4 3 3 2" xfId="40700" xr:uid="{00000000-0005-0000-0000-000074310000}"/>
    <cellStyle name="Comma 2 4 2 3 2 4 3 4" xfId="32134" xr:uid="{00000000-0005-0000-0000-000075310000}"/>
    <cellStyle name="Comma 2 4 2 3 2 4 3 5" xfId="34276" xr:uid="{00000000-0005-0000-0000-000076310000}"/>
    <cellStyle name="Comma 2 4 2 3 2 4 4" xfId="8281" xr:uid="{00000000-0005-0000-0000-000077310000}"/>
    <cellStyle name="Comma 2 4 2 3 2 4 4 2" xfId="42898" xr:uid="{00000000-0005-0000-0000-000078310000}"/>
    <cellStyle name="Comma 2 4 2 3 2 4 4 3" xfId="36474" xr:uid="{00000000-0005-0000-0000-000079310000}"/>
    <cellStyle name="Comma 2 4 2 3 2 4 5" xfId="21270" xr:uid="{00000000-0005-0000-0000-00007A310000}"/>
    <cellStyle name="Comma 2 4 2 3 2 4 5 2" xfId="39691" xr:uid="{00000000-0005-0000-0000-00007B310000}"/>
    <cellStyle name="Comma 2 4 2 3 2 4 6" xfId="22343" xr:uid="{00000000-0005-0000-0000-00007C310000}"/>
    <cellStyle name="Comma 2 4 2 3 2 4 7" xfId="23469" xr:uid="{00000000-0005-0000-0000-00007D310000}"/>
    <cellStyle name="Comma 2 4 2 3 2 4 8" xfId="26665" xr:uid="{00000000-0005-0000-0000-00007E310000}"/>
    <cellStyle name="Comma 2 4 2 3 2 4 9" xfId="29998" xr:uid="{00000000-0005-0000-0000-00007F310000}"/>
    <cellStyle name="Comma 2 4 2 3 2 5" xfId="1044" xr:uid="{00000000-0005-0000-0000-000080310000}"/>
    <cellStyle name="Comma 2 4 2 3 2 5 10" xfId="33268" xr:uid="{00000000-0005-0000-0000-000081310000}"/>
    <cellStyle name="Comma 2 4 2 3 2 5 2" xfId="9814" xr:uid="{00000000-0005-0000-0000-000082310000}"/>
    <cellStyle name="Comma 2 4 2 3 2 5 2 2" xfId="25614" xr:uid="{00000000-0005-0000-0000-000083310000}"/>
    <cellStyle name="Comma 2 4 2 3 2 5 2 2 2" xfId="45041" xr:uid="{00000000-0005-0000-0000-000084310000}"/>
    <cellStyle name="Comma 2 4 2 3 2 5 2 2 3" xfId="38618" xr:uid="{00000000-0005-0000-0000-000085310000}"/>
    <cellStyle name="Comma 2 4 2 3 2 5 2 3" xfId="27792" xr:uid="{00000000-0005-0000-0000-000086310000}"/>
    <cellStyle name="Comma 2 4 2 3 2 5 2 3 2" xfId="41834" xr:uid="{00000000-0005-0000-0000-000087310000}"/>
    <cellStyle name="Comma 2 4 2 3 2 5 2 4" xfId="31127" xr:uid="{00000000-0005-0000-0000-000088310000}"/>
    <cellStyle name="Comma 2 4 2 3 2 5 2 5" xfId="35410" xr:uid="{00000000-0005-0000-0000-000089310000}"/>
    <cellStyle name="Comma 2 4 2 3 2 5 3" xfId="15464" xr:uid="{00000000-0005-0000-0000-00008A310000}"/>
    <cellStyle name="Comma 2 4 2 3 2 5 3 2" xfId="24479" xr:uid="{00000000-0005-0000-0000-00008B310000}"/>
    <cellStyle name="Comma 2 4 2 3 2 5 3 2 2" xfId="43908" xr:uid="{00000000-0005-0000-0000-00008C310000}"/>
    <cellStyle name="Comma 2 4 2 3 2 5 3 2 3" xfId="37485" xr:uid="{00000000-0005-0000-0000-00008D310000}"/>
    <cellStyle name="Comma 2 4 2 3 2 5 3 3" xfId="28800" xr:uid="{00000000-0005-0000-0000-00008E310000}"/>
    <cellStyle name="Comma 2 4 2 3 2 5 3 3 2" xfId="40701" xr:uid="{00000000-0005-0000-0000-00008F310000}"/>
    <cellStyle name="Comma 2 4 2 3 2 5 3 4" xfId="32135" xr:uid="{00000000-0005-0000-0000-000090310000}"/>
    <cellStyle name="Comma 2 4 2 3 2 5 3 5" xfId="34277" xr:uid="{00000000-0005-0000-0000-000091310000}"/>
    <cellStyle name="Comma 2 4 2 3 2 5 4" xfId="8282" xr:uid="{00000000-0005-0000-0000-000092310000}"/>
    <cellStyle name="Comma 2 4 2 3 2 5 4 2" xfId="42899" xr:uid="{00000000-0005-0000-0000-000093310000}"/>
    <cellStyle name="Comma 2 4 2 3 2 5 4 3" xfId="36475" xr:uid="{00000000-0005-0000-0000-000094310000}"/>
    <cellStyle name="Comma 2 4 2 3 2 5 5" xfId="21271" xr:uid="{00000000-0005-0000-0000-000095310000}"/>
    <cellStyle name="Comma 2 4 2 3 2 5 5 2" xfId="39692" xr:uid="{00000000-0005-0000-0000-000096310000}"/>
    <cellStyle name="Comma 2 4 2 3 2 5 6" xfId="22344" xr:uid="{00000000-0005-0000-0000-000097310000}"/>
    <cellStyle name="Comma 2 4 2 3 2 5 7" xfId="23470" xr:uid="{00000000-0005-0000-0000-000098310000}"/>
    <cellStyle name="Comma 2 4 2 3 2 5 8" xfId="26666" xr:uid="{00000000-0005-0000-0000-000099310000}"/>
    <cellStyle name="Comma 2 4 2 3 2 5 9" xfId="29999" xr:uid="{00000000-0005-0000-0000-00009A310000}"/>
    <cellStyle name="Comma 2 4 2 3 2 6" xfId="1045" xr:uid="{00000000-0005-0000-0000-00009B310000}"/>
    <cellStyle name="Comma 2 4 2 3 2 6 10" xfId="33269" xr:uid="{00000000-0005-0000-0000-00009C310000}"/>
    <cellStyle name="Comma 2 4 2 3 2 6 2" xfId="9815" xr:uid="{00000000-0005-0000-0000-00009D310000}"/>
    <cellStyle name="Comma 2 4 2 3 2 6 2 2" xfId="25615" xr:uid="{00000000-0005-0000-0000-00009E310000}"/>
    <cellStyle name="Comma 2 4 2 3 2 6 2 2 2" xfId="45042" xr:uid="{00000000-0005-0000-0000-00009F310000}"/>
    <cellStyle name="Comma 2 4 2 3 2 6 2 2 3" xfId="38619" xr:uid="{00000000-0005-0000-0000-0000A0310000}"/>
    <cellStyle name="Comma 2 4 2 3 2 6 2 3" xfId="27793" xr:uid="{00000000-0005-0000-0000-0000A1310000}"/>
    <cellStyle name="Comma 2 4 2 3 2 6 2 3 2" xfId="41835" xr:uid="{00000000-0005-0000-0000-0000A2310000}"/>
    <cellStyle name="Comma 2 4 2 3 2 6 2 4" xfId="31128" xr:uid="{00000000-0005-0000-0000-0000A3310000}"/>
    <cellStyle name="Comma 2 4 2 3 2 6 2 5" xfId="35411" xr:uid="{00000000-0005-0000-0000-0000A4310000}"/>
    <cellStyle name="Comma 2 4 2 3 2 6 3" xfId="15465" xr:uid="{00000000-0005-0000-0000-0000A5310000}"/>
    <cellStyle name="Comma 2 4 2 3 2 6 3 2" xfId="24480" xr:uid="{00000000-0005-0000-0000-0000A6310000}"/>
    <cellStyle name="Comma 2 4 2 3 2 6 3 2 2" xfId="43909" xr:uid="{00000000-0005-0000-0000-0000A7310000}"/>
    <cellStyle name="Comma 2 4 2 3 2 6 3 2 3" xfId="37486" xr:uid="{00000000-0005-0000-0000-0000A8310000}"/>
    <cellStyle name="Comma 2 4 2 3 2 6 3 3" xfId="28801" xr:uid="{00000000-0005-0000-0000-0000A9310000}"/>
    <cellStyle name="Comma 2 4 2 3 2 6 3 3 2" xfId="40702" xr:uid="{00000000-0005-0000-0000-0000AA310000}"/>
    <cellStyle name="Comma 2 4 2 3 2 6 3 4" xfId="32136" xr:uid="{00000000-0005-0000-0000-0000AB310000}"/>
    <cellStyle name="Comma 2 4 2 3 2 6 3 5" xfId="34278" xr:uid="{00000000-0005-0000-0000-0000AC310000}"/>
    <cellStyle name="Comma 2 4 2 3 2 6 4" xfId="8283" xr:uid="{00000000-0005-0000-0000-0000AD310000}"/>
    <cellStyle name="Comma 2 4 2 3 2 6 4 2" xfId="42900" xr:uid="{00000000-0005-0000-0000-0000AE310000}"/>
    <cellStyle name="Comma 2 4 2 3 2 6 4 3" xfId="36476" xr:uid="{00000000-0005-0000-0000-0000AF310000}"/>
    <cellStyle name="Comma 2 4 2 3 2 6 5" xfId="21272" xr:uid="{00000000-0005-0000-0000-0000B0310000}"/>
    <cellStyle name="Comma 2 4 2 3 2 6 5 2" xfId="39693" xr:uid="{00000000-0005-0000-0000-0000B1310000}"/>
    <cellStyle name="Comma 2 4 2 3 2 6 6" xfId="22345" xr:uid="{00000000-0005-0000-0000-0000B2310000}"/>
    <cellStyle name="Comma 2 4 2 3 2 6 7" xfId="23471" xr:uid="{00000000-0005-0000-0000-0000B3310000}"/>
    <cellStyle name="Comma 2 4 2 3 2 6 8" xfId="26667" xr:uid="{00000000-0005-0000-0000-0000B4310000}"/>
    <cellStyle name="Comma 2 4 2 3 2 6 9" xfId="30000" xr:uid="{00000000-0005-0000-0000-0000B5310000}"/>
    <cellStyle name="Comma 2 4 2 3 2 7" xfId="1046" xr:uid="{00000000-0005-0000-0000-0000B6310000}"/>
    <cellStyle name="Comma 2 4 2 3 2 7 10" xfId="33270" xr:uid="{00000000-0005-0000-0000-0000B7310000}"/>
    <cellStyle name="Comma 2 4 2 3 2 7 2" xfId="9816" xr:uid="{00000000-0005-0000-0000-0000B8310000}"/>
    <cellStyle name="Comma 2 4 2 3 2 7 2 2" xfId="25616" xr:uid="{00000000-0005-0000-0000-0000B9310000}"/>
    <cellStyle name="Comma 2 4 2 3 2 7 2 2 2" xfId="45043" xr:uid="{00000000-0005-0000-0000-0000BA310000}"/>
    <cellStyle name="Comma 2 4 2 3 2 7 2 2 3" xfId="38620" xr:uid="{00000000-0005-0000-0000-0000BB310000}"/>
    <cellStyle name="Comma 2 4 2 3 2 7 2 3" xfId="27794" xr:uid="{00000000-0005-0000-0000-0000BC310000}"/>
    <cellStyle name="Comma 2 4 2 3 2 7 2 3 2" xfId="41836" xr:uid="{00000000-0005-0000-0000-0000BD310000}"/>
    <cellStyle name="Comma 2 4 2 3 2 7 2 4" xfId="31129" xr:uid="{00000000-0005-0000-0000-0000BE310000}"/>
    <cellStyle name="Comma 2 4 2 3 2 7 2 5" xfId="35412" xr:uid="{00000000-0005-0000-0000-0000BF310000}"/>
    <cellStyle name="Comma 2 4 2 3 2 7 3" xfId="15466" xr:uid="{00000000-0005-0000-0000-0000C0310000}"/>
    <cellStyle name="Comma 2 4 2 3 2 7 3 2" xfId="24481" xr:uid="{00000000-0005-0000-0000-0000C1310000}"/>
    <cellStyle name="Comma 2 4 2 3 2 7 3 2 2" xfId="43910" xr:uid="{00000000-0005-0000-0000-0000C2310000}"/>
    <cellStyle name="Comma 2 4 2 3 2 7 3 2 3" xfId="37487" xr:uid="{00000000-0005-0000-0000-0000C3310000}"/>
    <cellStyle name="Comma 2 4 2 3 2 7 3 3" xfId="28802" xr:uid="{00000000-0005-0000-0000-0000C4310000}"/>
    <cellStyle name="Comma 2 4 2 3 2 7 3 3 2" xfId="40703" xr:uid="{00000000-0005-0000-0000-0000C5310000}"/>
    <cellStyle name="Comma 2 4 2 3 2 7 3 4" xfId="32137" xr:uid="{00000000-0005-0000-0000-0000C6310000}"/>
    <cellStyle name="Comma 2 4 2 3 2 7 3 5" xfId="34279" xr:uid="{00000000-0005-0000-0000-0000C7310000}"/>
    <cellStyle name="Comma 2 4 2 3 2 7 4" xfId="8284" xr:uid="{00000000-0005-0000-0000-0000C8310000}"/>
    <cellStyle name="Comma 2 4 2 3 2 7 4 2" xfId="42901" xr:uid="{00000000-0005-0000-0000-0000C9310000}"/>
    <cellStyle name="Comma 2 4 2 3 2 7 4 3" xfId="36477" xr:uid="{00000000-0005-0000-0000-0000CA310000}"/>
    <cellStyle name="Comma 2 4 2 3 2 7 5" xfId="21273" xr:uid="{00000000-0005-0000-0000-0000CB310000}"/>
    <cellStyle name="Comma 2 4 2 3 2 7 5 2" xfId="39694" xr:uid="{00000000-0005-0000-0000-0000CC310000}"/>
    <cellStyle name="Comma 2 4 2 3 2 7 6" xfId="22346" xr:uid="{00000000-0005-0000-0000-0000CD310000}"/>
    <cellStyle name="Comma 2 4 2 3 2 7 7" xfId="23472" xr:uid="{00000000-0005-0000-0000-0000CE310000}"/>
    <cellStyle name="Comma 2 4 2 3 2 7 8" xfId="26668" xr:uid="{00000000-0005-0000-0000-0000CF310000}"/>
    <cellStyle name="Comma 2 4 2 3 2 7 9" xfId="30001" xr:uid="{00000000-0005-0000-0000-0000D0310000}"/>
    <cellStyle name="Comma 2 4 2 3 2 8" xfId="1047" xr:uid="{00000000-0005-0000-0000-0000D1310000}"/>
    <cellStyle name="Comma 2 4 2 3 2 8 10" xfId="33271" xr:uid="{00000000-0005-0000-0000-0000D2310000}"/>
    <cellStyle name="Comma 2 4 2 3 2 8 2" xfId="9817" xr:uid="{00000000-0005-0000-0000-0000D3310000}"/>
    <cellStyle name="Comma 2 4 2 3 2 8 2 2" xfId="25617" xr:uid="{00000000-0005-0000-0000-0000D4310000}"/>
    <cellStyle name="Comma 2 4 2 3 2 8 2 2 2" xfId="45044" xr:uid="{00000000-0005-0000-0000-0000D5310000}"/>
    <cellStyle name="Comma 2 4 2 3 2 8 2 2 3" xfId="38621" xr:uid="{00000000-0005-0000-0000-0000D6310000}"/>
    <cellStyle name="Comma 2 4 2 3 2 8 2 3" xfId="27795" xr:uid="{00000000-0005-0000-0000-0000D7310000}"/>
    <cellStyle name="Comma 2 4 2 3 2 8 2 3 2" xfId="41837" xr:uid="{00000000-0005-0000-0000-0000D8310000}"/>
    <cellStyle name="Comma 2 4 2 3 2 8 2 4" xfId="31130" xr:uid="{00000000-0005-0000-0000-0000D9310000}"/>
    <cellStyle name="Comma 2 4 2 3 2 8 2 5" xfId="35413" xr:uid="{00000000-0005-0000-0000-0000DA310000}"/>
    <cellStyle name="Comma 2 4 2 3 2 8 3" xfId="15467" xr:uid="{00000000-0005-0000-0000-0000DB310000}"/>
    <cellStyle name="Comma 2 4 2 3 2 8 3 2" xfId="24482" xr:uid="{00000000-0005-0000-0000-0000DC310000}"/>
    <cellStyle name="Comma 2 4 2 3 2 8 3 2 2" xfId="43911" xr:uid="{00000000-0005-0000-0000-0000DD310000}"/>
    <cellStyle name="Comma 2 4 2 3 2 8 3 2 3" xfId="37488" xr:uid="{00000000-0005-0000-0000-0000DE310000}"/>
    <cellStyle name="Comma 2 4 2 3 2 8 3 3" xfId="28803" xr:uid="{00000000-0005-0000-0000-0000DF310000}"/>
    <cellStyle name="Comma 2 4 2 3 2 8 3 3 2" xfId="40704" xr:uid="{00000000-0005-0000-0000-0000E0310000}"/>
    <cellStyle name="Comma 2 4 2 3 2 8 3 4" xfId="32138" xr:uid="{00000000-0005-0000-0000-0000E1310000}"/>
    <cellStyle name="Comma 2 4 2 3 2 8 3 5" xfId="34280" xr:uid="{00000000-0005-0000-0000-0000E2310000}"/>
    <cellStyle name="Comma 2 4 2 3 2 8 4" xfId="8285" xr:uid="{00000000-0005-0000-0000-0000E3310000}"/>
    <cellStyle name="Comma 2 4 2 3 2 8 4 2" xfId="42902" xr:uid="{00000000-0005-0000-0000-0000E4310000}"/>
    <cellStyle name="Comma 2 4 2 3 2 8 4 3" xfId="36478" xr:uid="{00000000-0005-0000-0000-0000E5310000}"/>
    <cellStyle name="Comma 2 4 2 3 2 8 5" xfId="21274" xr:uid="{00000000-0005-0000-0000-0000E6310000}"/>
    <cellStyle name="Comma 2 4 2 3 2 8 5 2" xfId="39695" xr:uid="{00000000-0005-0000-0000-0000E7310000}"/>
    <cellStyle name="Comma 2 4 2 3 2 8 6" xfId="22347" xr:uid="{00000000-0005-0000-0000-0000E8310000}"/>
    <cellStyle name="Comma 2 4 2 3 2 8 7" xfId="23473" xr:uid="{00000000-0005-0000-0000-0000E9310000}"/>
    <cellStyle name="Comma 2 4 2 3 2 8 8" xfId="26669" xr:uid="{00000000-0005-0000-0000-0000EA310000}"/>
    <cellStyle name="Comma 2 4 2 3 2 8 9" xfId="30002" xr:uid="{00000000-0005-0000-0000-0000EB310000}"/>
    <cellStyle name="Comma 2 4 2 3 2 9" xfId="9098" xr:uid="{00000000-0005-0000-0000-0000EC310000}"/>
    <cellStyle name="Comma 2 4 2 3 2 9 2" xfId="25153" xr:uid="{00000000-0005-0000-0000-0000ED310000}"/>
    <cellStyle name="Comma 2 4 2 3 2 9 2 2" xfId="44580" xr:uid="{00000000-0005-0000-0000-0000EE310000}"/>
    <cellStyle name="Comma 2 4 2 3 2 9 2 3" xfId="38157" xr:uid="{00000000-0005-0000-0000-0000EF310000}"/>
    <cellStyle name="Comma 2 4 2 3 2 9 3" xfId="27332" xr:uid="{00000000-0005-0000-0000-0000F0310000}"/>
    <cellStyle name="Comma 2 4 2 3 2 9 3 2" xfId="41373" xr:uid="{00000000-0005-0000-0000-0000F1310000}"/>
    <cellStyle name="Comma 2 4 2 3 2 9 4" xfId="30667" xr:uid="{00000000-0005-0000-0000-0000F2310000}"/>
    <cellStyle name="Comma 2 4 2 3 2 9 5" xfId="34949" xr:uid="{00000000-0005-0000-0000-0000F3310000}"/>
    <cellStyle name="Comma 2 4 2 3 3" xfId="223" xr:uid="{00000000-0005-0000-0000-0000F4310000}"/>
    <cellStyle name="Comma 2 4 2 3 3 10" xfId="21275" xr:uid="{00000000-0005-0000-0000-0000F5310000}"/>
    <cellStyle name="Comma 2 4 2 3 3 10 2" xfId="39230" xr:uid="{00000000-0005-0000-0000-0000F6310000}"/>
    <cellStyle name="Comma 2 4 2 3 3 11" xfId="22348" xr:uid="{00000000-0005-0000-0000-0000F7310000}"/>
    <cellStyle name="Comma 2 4 2 3 3 12" xfId="23008" xr:uid="{00000000-0005-0000-0000-0000F8310000}"/>
    <cellStyle name="Comma 2 4 2 3 3 13" xfId="26670" xr:uid="{00000000-0005-0000-0000-0000F9310000}"/>
    <cellStyle name="Comma 2 4 2 3 3 14" xfId="30003" xr:uid="{00000000-0005-0000-0000-0000FA310000}"/>
    <cellStyle name="Comma 2 4 2 3 3 15" xfId="32806" xr:uid="{00000000-0005-0000-0000-0000FB310000}"/>
    <cellStyle name="Comma 2 4 2 3 3 2" xfId="1048" xr:uid="{00000000-0005-0000-0000-0000FC310000}"/>
    <cellStyle name="Comma 2 4 2 3 3 2 10" xfId="33272" xr:uid="{00000000-0005-0000-0000-0000FD310000}"/>
    <cellStyle name="Comma 2 4 2 3 3 2 2" xfId="9818" xr:uid="{00000000-0005-0000-0000-0000FE310000}"/>
    <cellStyle name="Comma 2 4 2 3 3 2 2 2" xfId="25618" xr:uid="{00000000-0005-0000-0000-0000FF310000}"/>
    <cellStyle name="Comma 2 4 2 3 3 2 2 2 2" xfId="45045" xr:uid="{00000000-0005-0000-0000-000000320000}"/>
    <cellStyle name="Comma 2 4 2 3 3 2 2 2 3" xfId="38622" xr:uid="{00000000-0005-0000-0000-000001320000}"/>
    <cellStyle name="Comma 2 4 2 3 3 2 2 3" xfId="27796" xr:uid="{00000000-0005-0000-0000-000002320000}"/>
    <cellStyle name="Comma 2 4 2 3 3 2 2 3 2" xfId="41838" xr:uid="{00000000-0005-0000-0000-000003320000}"/>
    <cellStyle name="Comma 2 4 2 3 3 2 2 4" xfId="31131" xr:uid="{00000000-0005-0000-0000-000004320000}"/>
    <cellStyle name="Comma 2 4 2 3 3 2 2 5" xfId="35414" xr:uid="{00000000-0005-0000-0000-000005320000}"/>
    <cellStyle name="Comma 2 4 2 3 3 2 3" xfId="15469" xr:uid="{00000000-0005-0000-0000-000006320000}"/>
    <cellStyle name="Comma 2 4 2 3 3 2 3 2" xfId="24484" xr:uid="{00000000-0005-0000-0000-000007320000}"/>
    <cellStyle name="Comma 2 4 2 3 3 2 3 2 2" xfId="43913" xr:uid="{00000000-0005-0000-0000-000008320000}"/>
    <cellStyle name="Comma 2 4 2 3 3 2 3 2 3" xfId="37490" xr:uid="{00000000-0005-0000-0000-000009320000}"/>
    <cellStyle name="Comma 2 4 2 3 3 2 3 3" xfId="28805" xr:uid="{00000000-0005-0000-0000-00000A320000}"/>
    <cellStyle name="Comma 2 4 2 3 3 2 3 3 2" xfId="40706" xr:uid="{00000000-0005-0000-0000-00000B320000}"/>
    <cellStyle name="Comma 2 4 2 3 3 2 3 4" xfId="32140" xr:uid="{00000000-0005-0000-0000-00000C320000}"/>
    <cellStyle name="Comma 2 4 2 3 3 2 3 5" xfId="34282" xr:uid="{00000000-0005-0000-0000-00000D320000}"/>
    <cellStyle name="Comma 2 4 2 3 3 2 4" xfId="8287" xr:uid="{00000000-0005-0000-0000-00000E320000}"/>
    <cellStyle name="Comma 2 4 2 3 3 2 4 2" xfId="42903" xr:uid="{00000000-0005-0000-0000-00000F320000}"/>
    <cellStyle name="Comma 2 4 2 3 3 2 4 3" xfId="36479" xr:uid="{00000000-0005-0000-0000-000010320000}"/>
    <cellStyle name="Comma 2 4 2 3 3 2 5" xfId="21276" xr:uid="{00000000-0005-0000-0000-000011320000}"/>
    <cellStyle name="Comma 2 4 2 3 3 2 5 2" xfId="39696" xr:uid="{00000000-0005-0000-0000-000012320000}"/>
    <cellStyle name="Comma 2 4 2 3 3 2 6" xfId="22349" xr:uid="{00000000-0005-0000-0000-000013320000}"/>
    <cellStyle name="Comma 2 4 2 3 3 2 7" xfId="23474" xr:uid="{00000000-0005-0000-0000-000014320000}"/>
    <cellStyle name="Comma 2 4 2 3 3 2 8" xfId="26671" xr:uid="{00000000-0005-0000-0000-000015320000}"/>
    <cellStyle name="Comma 2 4 2 3 3 2 9" xfId="30004" xr:uid="{00000000-0005-0000-0000-000016320000}"/>
    <cellStyle name="Comma 2 4 2 3 3 3" xfId="1049" xr:uid="{00000000-0005-0000-0000-000017320000}"/>
    <cellStyle name="Comma 2 4 2 3 3 3 10" xfId="33273" xr:uid="{00000000-0005-0000-0000-000018320000}"/>
    <cellStyle name="Comma 2 4 2 3 3 3 2" xfId="9819" xr:uid="{00000000-0005-0000-0000-000019320000}"/>
    <cellStyle name="Comma 2 4 2 3 3 3 2 2" xfId="25619" xr:uid="{00000000-0005-0000-0000-00001A320000}"/>
    <cellStyle name="Comma 2 4 2 3 3 3 2 2 2" xfId="45046" xr:uid="{00000000-0005-0000-0000-00001B320000}"/>
    <cellStyle name="Comma 2 4 2 3 3 3 2 2 3" xfId="38623" xr:uid="{00000000-0005-0000-0000-00001C320000}"/>
    <cellStyle name="Comma 2 4 2 3 3 3 2 3" xfId="27797" xr:uid="{00000000-0005-0000-0000-00001D320000}"/>
    <cellStyle name="Comma 2 4 2 3 3 3 2 3 2" xfId="41839" xr:uid="{00000000-0005-0000-0000-00001E320000}"/>
    <cellStyle name="Comma 2 4 2 3 3 3 2 4" xfId="31132" xr:uid="{00000000-0005-0000-0000-00001F320000}"/>
    <cellStyle name="Comma 2 4 2 3 3 3 2 5" xfId="35415" xr:uid="{00000000-0005-0000-0000-000020320000}"/>
    <cellStyle name="Comma 2 4 2 3 3 3 3" xfId="15470" xr:uid="{00000000-0005-0000-0000-000021320000}"/>
    <cellStyle name="Comma 2 4 2 3 3 3 3 2" xfId="24485" xr:uid="{00000000-0005-0000-0000-000022320000}"/>
    <cellStyle name="Comma 2 4 2 3 3 3 3 2 2" xfId="43914" xr:uid="{00000000-0005-0000-0000-000023320000}"/>
    <cellStyle name="Comma 2 4 2 3 3 3 3 2 3" xfId="37491" xr:uid="{00000000-0005-0000-0000-000024320000}"/>
    <cellStyle name="Comma 2 4 2 3 3 3 3 3" xfId="28806" xr:uid="{00000000-0005-0000-0000-000025320000}"/>
    <cellStyle name="Comma 2 4 2 3 3 3 3 3 2" xfId="40707" xr:uid="{00000000-0005-0000-0000-000026320000}"/>
    <cellStyle name="Comma 2 4 2 3 3 3 3 4" xfId="32141" xr:uid="{00000000-0005-0000-0000-000027320000}"/>
    <cellStyle name="Comma 2 4 2 3 3 3 3 5" xfId="34283" xr:uid="{00000000-0005-0000-0000-000028320000}"/>
    <cellStyle name="Comma 2 4 2 3 3 3 4" xfId="8288" xr:uid="{00000000-0005-0000-0000-000029320000}"/>
    <cellStyle name="Comma 2 4 2 3 3 3 4 2" xfId="42904" xr:uid="{00000000-0005-0000-0000-00002A320000}"/>
    <cellStyle name="Comma 2 4 2 3 3 3 4 3" xfId="36480" xr:uid="{00000000-0005-0000-0000-00002B320000}"/>
    <cellStyle name="Comma 2 4 2 3 3 3 5" xfId="21277" xr:uid="{00000000-0005-0000-0000-00002C320000}"/>
    <cellStyle name="Comma 2 4 2 3 3 3 5 2" xfId="39697" xr:uid="{00000000-0005-0000-0000-00002D320000}"/>
    <cellStyle name="Comma 2 4 2 3 3 3 6" xfId="22350" xr:uid="{00000000-0005-0000-0000-00002E320000}"/>
    <cellStyle name="Comma 2 4 2 3 3 3 7" xfId="23475" xr:uid="{00000000-0005-0000-0000-00002F320000}"/>
    <cellStyle name="Comma 2 4 2 3 3 3 8" xfId="26672" xr:uid="{00000000-0005-0000-0000-000030320000}"/>
    <cellStyle name="Comma 2 4 2 3 3 3 9" xfId="30005" xr:uid="{00000000-0005-0000-0000-000031320000}"/>
    <cellStyle name="Comma 2 4 2 3 3 4" xfId="1050" xr:uid="{00000000-0005-0000-0000-000032320000}"/>
    <cellStyle name="Comma 2 4 2 3 3 4 10" xfId="33274" xr:uid="{00000000-0005-0000-0000-000033320000}"/>
    <cellStyle name="Comma 2 4 2 3 3 4 2" xfId="9820" xr:uid="{00000000-0005-0000-0000-000034320000}"/>
    <cellStyle name="Comma 2 4 2 3 3 4 2 2" xfId="25620" xr:uid="{00000000-0005-0000-0000-000035320000}"/>
    <cellStyle name="Comma 2 4 2 3 3 4 2 2 2" xfId="45047" xr:uid="{00000000-0005-0000-0000-000036320000}"/>
    <cellStyle name="Comma 2 4 2 3 3 4 2 2 3" xfId="38624" xr:uid="{00000000-0005-0000-0000-000037320000}"/>
    <cellStyle name="Comma 2 4 2 3 3 4 2 3" xfId="27798" xr:uid="{00000000-0005-0000-0000-000038320000}"/>
    <cellStyle name="Comma 2 4 2 3 3 4 2 3 2" xfId="41840" xr:uid="{00000000-0005-0000-0000-000039320000}"/>
    <cellStyle name="Comma 2 4 2 3 3 4 2 4" xfId="31133" xr:uid="{00000000-0005-0000-0000-00003A320000}"/>
    <cellStyle name="Comma 2 4 2 3 3 4 2 5" xfId="35416" xr:uid="{00000000-0005-0000-0000-00003B320000}"/>
    <cellStyle name="Comma 2 4 2 3 3 4 3" xfId="15471" xr:uid="{00000000-0005-0000-0000-00003C320000}"/>
    <cellStyle name="Comma 2 4 2 3 3 4 3 2" xfId="24486" xr:uid="{00000000-0005-0000-0000-00003D320000}"/>
    <cellStyle name="Comma 2 4 2 3 3 4 3 2 2" xfId="43915" xr:uid="{00000000-0005-0000-0000-00003E320000}"/>
    <cellStyle name="Comma 2 4 2 3 3 4 3 2 3" xfId="37492" xr:uid="{00000000-0005-0000-0000-00003F320000}"/>
    <cellStyle name="Comma 2 4 2 3 3 4 3 3" xfId="28807" xr:uid="{00000000-0005-0000-0000-000040320000}"/>
    <cellStyle name="Comma 2 4 2 3 3 4 3 3 2" xfId="40708" xr:uid="{00000000-0005-0000-0000-000041320000}"/>
    <cellStyle name="Comma 2 4 2 3 3 4 3 4" xfId="32142" xr:uid="{00000000-0005-0000-0000-000042320000}"/>
    <cellStyle name="Comma 2 4 2 3 3 4 3 5" xfId="34284" xr:uid="{00000000-0005-0000-0000-000043320000}"/>
    <cellStyle name="Comma 2 4 2 3 3 4 4" xfId="8289" xr:uid="{00000000-0005-0000-0000-000044320000}"/>
    <cellStyle name="Comma 2 4 2 3 3 4 4 2" xfId="42905" xr:uid="{00000000-0005-0000-0000-000045320000}"/>
    <cellStyle name="Comma 2 4 2 3 3 4 4 3" xfId="36481" xr:uid="{00000000-0005-0000-0000-000046320000}"/>
    <cellStyle name="Comma 2 4 2 3 3 4 5" xfId="21278" xr:uid="{00000000-0005-0000-0000-000047320000}"/>
    <cellStyle name="Comma 2 4 2 3 3 4 5 2" xfId="39698" xr:uid="{00000000-0005-0000-0000-000048320000}"/>
    <cellStyle name="Comma 2 4 2 3 3 4 6" xfId="22351" xr:uid="{00000000-0005-0000-0000-000049320000}"/>
    <cellStyle name="Comma 2 4 2 3 3 4 7" xfId="23476" xr:uid="{00000000-0005-0000-0000-00004A320000}"/>
    <cellStyle name="Comma 2 4 2 3 3 4 8" xfId="26673" xr:uid="{00000000-0005-0000-0000-00004B320000}"/>
    <cellStyle name="Comma 2 4 2 3 3 4 9" xfId="30006" xr:uid="{00000000-0005-0000-0000-00004C320000}"/>
    <cellStyle name="Comma 2 4 2 3 3 5" xfId="1051" xr:uid="{00000000-0005-0000-0000-00004D320000}"/>
    <cellStyle name="Comma 2 4 2 3 3 5 10" xfId="33275" xr:uid="{00000000-0005-0000-0000-00004E320000}"/>
    <cellStyle name="Comma 2 4 2 3 3 5 2" xfId="9821" xr:uid="{00000000-0005-0000-0000-00004F320000}"/>
    <cellStyle name="Comma 2 4 2 3 3 5 2 2" xfId="25621" xr:uid="{00000000-0005-0000-0000-000050320000}"/>
    <cellStyle name="Comma 2 4 2 3 3 5 2 2 2" xfId="45048" xr:uid="{00000000-0005-0000-0000-000051320000}"/>
    <cellStyle name="Comma 2 4 2 3 3 5 2 2 3" xfId="38625" xr:uid="{00000000-0005-0000-0000-000052320000}"/>
    <cellStyle name="Comma 2 4 2 3 3 5 2 3" xfId="27799" xr:uid="{00000000-0005-0000-0000-000053320000}"/>
    <cellStyle name="Comma 2 4 2 3 3 5 2 3 2" xfId="41841" xr:uid="{00000000-0005-0000-0000-000054320000}"/>
    <cellStyle name="Comma 2 4 2 3 3 5 2 4" xfId="31134" xr:uid="{00000000-0005-0000-0000-000055320000}"/>
    <cellStyle name="Comma 2 4 2 3 3 5 2 5" xfId="35417" xr:uid="{00000000-0005-0000-0000-000056320000}"/>
    <cellStyle name="Comma 2 4 2 3 3 5 3" xfId="15472" xr:uid="{00000000-0005-0000-0000-000057320000}"/>
    <cellStyle name="Comma 2 4 2 3 3 5 3 2" xfId="24487" xr:uid="{00000000-0005-0000-0000-000058320000}"/>
    <cellStyle name="Comma 2 4 2 3 3 5 3 2 2" xfId="43916" xr:uid="{00000000-0005-0000-0000-000059320000}"/>
    <cellStyle name="Comma 2 4 2 3 3 5 3 2 3" xfId="37493" xr:uid="{00000000-0005-0000-0000-00005A320000}"/>
    <cellStyle name="Comma 2 4 2 3 3 5 3 3" xfId="28808" xr:uid="{00000000-0005-0000-0000-00005B320000}"/>
    <cellStyle name="Comma 2 4 2 3 3 5 3 3 2" xfId="40709" xr:uid="{00000000-0005-0000-0000-00005C320000}"/>
    <cellStyle name="Comma 2 4 2 3 3 5 3 4" xfId="32143" xr:uid="{00000000-0005-0000-0000-00005D320000}"/>
    <cellStyle name="Comma 2 4 2 3 3 5 3 5" xfId="34285" xr:uid="{00000000-0005-0000-0000-00005E320000}"/>
    <cellStyle name="Comma 2 4 2 3 3 5 4" xfId="8290" xr:uid="{00000000-0005-0000-0000-00005F320000}"/>
    <cellStyle name="Comma 2 4 2 3 3 5 4 2" xfId="42906" xr:uid="{00000000-0005-0000-0000-000060320000}"/>
    <cellStyle name="Comma 2 4 2 3 3 5 4 3" xfId="36482" xr:uid="{00000000-0005-0000-0000-000061320000}"/>
    <cellStyle name="Comma 2 4 2 3 3 5 5" xfId="21279" xr:uid="{00000000-0005-0000-0000-000062320000}"/>
    <cellStyle name="Comma 2 4 2 3 3 5 5 2" xfId="39699" xr:uid="{00000000-0005-0000-0000-000063320000}"/>
    <cellStyle name="Comma 2 4 2 3 3 5 6" xfId="22352" xr:uid="{00000000-0005-0000-0000-000064320000}"/>
    <cellStyle name="Comma 2 4 2 3 3 5 7" xfId="23477" xr:uid="{00000000-0005-0000-0000-000065320000}"/>
    <cellStyle name="Comma 2 4 2 3 3 5 8" xfId="26674" xr:uid="{00000000-0005-0000-0000-000066320000}"/>
    <cellStyle name="Comma 2 4 2 3 3 5 9" xfId="30007" xr:uid="{00000000-0005-0000-0000-000067320000}"/>
    <cellStyle name="Comma 2 4 2 3 3 6" xfId="1052" xr:uid="{00000000-0005-0000-0000-000068320000}"/>
    <cellStyle name="Comma 2 4 2 3 3 6 10" xfId="33276" xr:uid="{00000000-0005-0000-0000-000069320000}"/>
    <cellStyle name="Comma 2 4 2 3 3 6 2" xfId="9822" xr:uid="{00000000-0005-0000-0000-00006A320000}"/>
    <cellStyle name="Comma 2 4 2 3 3 6 2 2" xfId="25622" xr:uid="{00000000-0005-0000-0000-00006B320000}"/>
    <cellStyle name="Comma 2 4 2 3 3 6 2 2 2" xfId="45049" xr:uid="{00000000-0005-0000-0000-00006C320000}"/>
    <cellStyle name="Comma 2 4 2 3 3 6 2 2 3" xfId="38626" xr:uid="{00000000-0005-0000-0000-00006D320000}"/>
    <cellStyle name="Comma 2 4 2 3 3 6 2 3" xfId="27800" xr:uid="{00000000-0005-0000-0000-00006E320000}"/>
    <cellStyle name="Comma 2 4 2 3 3 6 2 3 2" xfId="41842" xr:uid="{00000000-0005-0000-0000-00006F320000}"/>
    <cellStyle name="Comma 2 4 2 3 3 6 2 4" xfId="31135" xr:uid="{00000000-0005-0000-0000-000070320000}"/>
    <cellStyle name="Comma 2 4 2 3 3 6 2 5" xfId="35418" xr:uid="{00000000-0005-0000-0000-000071320000}"/>
    <cellStyle name="Comma 2 4 2 3 3 6 3" xfId="15473" xr:uid="{00000000-0005-0000-0000-000072320000}"/>
    <cellStyle name="Comma 2 4 2 3 3 6 3 2" xfId="24488" xr:uid="{00000000-0005-0000-0000-000073320000}"/>
    <cellStyle name="Comma 2 4 2 3 3 6 3 2 2" xfId="43917" xr:uid="{00000000-0005-0000-0000-000074320000}"/>
    <cellStyle name="Comma 2 4 2 3 3 6 3 2 3" xfId="37494" xr:uid="{00000000-0005-0000-0000-000075320000}"/>
    <cellStyle name="Comma 2 4 2 3 3 6 3 3" xfId="28809" xr:uid="{00000000-0005-0000-0000-000076320000}"/>
    <cellStyle name="Comma 2 4 2 3 3 6 3 3 2" xfId="40710" xr:uid="{00000000-0005-0000-0000-000077320000}"/>
    <cellStyle name="Comma 2 4 2 3 3 6 3 4" xfId="32144" xr:uid="{00000000-0005-0000-0000-000078320000}"/>
    <cellStyle name="Comma 2 4 2 3 3 6 3 5" xfId="34286" xr:uid="{00000000-0005-0000-0000-000079320000}"/>
    <cellStyle name="Comma 2 4 2 3 3 6 4" xfId="8291" xr:uid="{00000000-0005-0000-0000-00007A320000}"/>
    <cellStyle name="Comma 2 4 2 3 3 6 4 2" xfId="42907" xr:uid="{00000000-0005-0000-0000-00007B320000}"/>
    <cellStyle name="Comma 2 4 2 3 3 6 4 3" xfId="36483" xr:uid="{00000000-0005-0000-0000-00007C320000}"/>
    <cellStyle name="Comma 2 4 2 3 3 6 5" xfId="21280" xr:uid="{00000000-0005-0000-0000-00007D320000}"/>
    <cellStyle name="Comma 2 4 2 3 3 6 5 2" xfId="39700" xr:uid="{00000000-0005-0000-0000-00007E320000}"/>
    <cellStyle name="Comma 2 4 2 3 3 6 6" xfId="22353" xr:uid="{00000000-0005-0000-0000-00007F320000}"/>
    <cellStyle name="Comma 2 4 2 3 3 6 7" xfId="23478" xr:uid="{00000000-0005-0000-0000-000080320000}"/>
    <cellStyle name="Comma 2 4 2 3 3 6 8" xfId="26675" xr:uid="{00000000-0005-0000-0000-000081320000}"/>
    <cellStyle name="Comma 2 4 2 3 3 6 9" xfId="30008" xr:uid="{00000000-0005-0000-0000-000082320000}"/>
    <cellStyle name="Comma 2 4 2 3 3 7" xfId="9092" xr:uid="{00000000-0005-0000-0000-000083320000}"/>
    <cellStyle name="Comma 2 4 2 3 3 7 2" xfId="25147" xr:uid="{00000000-0005-0000-0000-000084320000}"/>
    <cellStyle name="Comma 2 4 2 3 3 7 2 2" xfId="44574" xr:uid="{00000000-0005-0000-0000-000085320000}"/>
    <cellStyle name="Comma 2 4 2 3 3 7 2 3" xfId="38151" xr:uid="{00000000-0005-0000-0000-000086320000}"/>
    <cellStyle name="Comma 2 4 2 3 3 7 3" xfId="27326" xr:uid="{00000000-0005-0000-0000-000087320000}"/>
    <cellStyle name="Comma 2 4 2 3 3 7 3 2" xfId="41367" xr:uid="{00000000-0005-0000-0000-000088320000}"/>
    <cellStyle name="Comma 2 4 2 3 3 7 4" xfId="30661" xr:uid="{00000000-0005-0000-0000-000089320000}"/>
    <cellStyle name="Comma 2 4 2 3 3 7 5" xfId="34943" xr:uid="{00000000-0005-0000-0000-00008A320000}"/>
    <cellStyle name="Comma 2 4 2 3 3 8" xfId="15468" xr:uid="{00000000-0005-0000-0000-00008B320000}"/>
    <cellStyle name="Comma 2 4 2 3 3 8 2" xfId="24483" xr:uid="{00000000-0005-0000-0000-00008C320000}"/>
    <cellStyle name="Comma 2 4 2 3 3 8 2 2" xfId="43912" xr:uid="{00000000-0005-0000-0000-00008D320000}"/>
    <cellStyle name="Comma 2 4 2 3 3 8 2 3" xfId="37489" xr:uid="{00000000-0005-0000-0000-00008E320000}"/>
    <cellStyle name="Comma 2 4 2 3 3 8 3" xfId="28804" xr:uid="{00000000-0005-0000-0000-00008F320000}"/>
    <cellStyle name="Comma 2 4 2 3 3 8 3 2" xfId="40705" xr:uid="{00000000-0005-0000-0000-000090320000}"/>
    <cellStyle name="Comma 2 4 2 3 3 8 4" xfId="32139" xr:uid="{00000000-0005-0000-0000-000091320000}"/>
    <cellStyle name="Comma 2 4 2 3 3 8 5" xfId="34281" xr:uid="{00000000-0005-0000-0000-000092320000}"/>
    <cellStyle name="Comma 2 4 2 3 3 9" xfId="8286" xr:uid="{00000000-0005-0000-0000-000093320000}"/>
    <cellStyle name="Comma 2 4 2 3 3 9 2" xfId="42437" xr:uid="{00000000-0005-0000-0000-000094320000}"/>
    <cellStyle name="Comma 2 4 2 3 3 9 3" xfId="36013" xr:uid="{00000000-0005-0000-0000-000095320000}"/>
    <cellStyle name="Comma 2 4 2 3 4" xfId="1053" xr:uid="{00000000-0005-0000-0000-000096320000}"/>
    <cellStyle name="Comma 2 4 2 3 4 10" xfId="22354" xr:uid="{00000000-0005-0000-0000-000097320000}"/>
    <cellStyle name="Comma 2 4 2 3 4 11" xfId="23479" xr:uid="{00000000-0005-0000-0000-000098320000}"/>
    <cellStyle name="Comma 2 4 2 3 4 12" xfId="26676" xr:uid="{00000000-0005-0000-0000-000099320000}"/>
    <cellStyle name="Comma 2 4 2 3 4 13" xfId="30009" xr:uid="{00000000-0005-0000-0000-00009A320000}"/>
    <cellStyle name="Comma 2 4 2 3 4 14" xfId="33277" xr:uid="{00000000-0005-0000-0000-00009B320000}"/>
    <cellStyle name="Comma 2 4 2 3 4 2" xfId="1054" xr:uid="{00000000-0005-0000-0000-00009C320000}"/>
    <cellStyle name="Comma 2 4 2 3 4 2 10" xfId="33278" xr:uid="{00000000-0005-0000-0000-00009D320000}"/>
    <cellStyle name="Comma 2 4 2 3 4 2 2" xfId="9824" xr:uid="{00000000-0005-0000-0000-00009E320000}"/>
    <cellStyle name="Comma 2 4 2 3 4 2 2 2" xfId="25624" xr:uid="{00000000-0005-0000-0000-00009F320000}"/>
    <cellStyle name="Comma 2 4 2 3 4 2 2 2 2" xfId="45051" xr:uid="{00000000-0005-0000-0000-0000A0320000}"/>
    <cellStyle name="Comma 2 4 2 3 4 2 2 2 3" xfId="38628" xr:uid="{00000000-0005-0000-0000-0000A1320000}"/>
    <cellStyle name="Comma 2 4 2 3 4 2 2 3" xfId="27802" xr:uid="{00000000-0005-0000-0000-0000A2320000}"/>
    <cellStyle name="Comma 2 4 2 3 4 2 2 3 2" xfId="41844" xr:uid="{00000000-0005-0000-0000-0000A3320000}"/>
    <cellStyle name="Comma 2 4 2 3 4 2 2 4" xfId="31137" xr:uid="{00000000-0005-0000-0000-0000A4320000}"/>
    <cellStyle name="Comma 2 4 2 3 4 2 2 5" xfId="35420" xr:uid="{00000000-0005-0000-0000-0000A5320000}"/>
    <cellStyle name="Comma 2 4 2 3 4 2 3" xfId="15475" xr:uid="{00000000-0005-0000-0000-0000A6320000}"/>
    <cellStyle name="Comma 2 4 2 3 4 2 3 2" xfId="24490" xr:uid="{00000000-0005-0000-0000-0000A7320000}"/>
    <cellStyle name="Comma 2 4 2 3 4 2 3 2 2" xfId="43919" xr:uid="{00000000-0005-0000-0000-0000A8320000}"/>
    <cellStyle name="Comma 2 4 2 3 4 2 3 2 3" xfId="37496" xr:uid="{00000000-0005-0000-0000-0000A9320000}"/>
    <cellStyle name="Comma 2 4 2 3 4 2 3 3" xfId="28811" xr:uid="{00000000-0005-0000-0000-0000AA320000}"/>
    <cellStyle name="Comma 2 4 2 3 4 2 3 3 2" xfId="40712" xr:uid="{00000000-0005-0000-0000-0000AB320000}"/>
    <cellStyle name="Comma 2 4 2 3 4 2 3 4" xfId="32146" xr:uid="{00000000-0005-0000-0000-0000AC320000}"/>
    <cellStyle name="Comma 2 4 2 3 4 2 3 5" xfId="34288" xr:uid="{00000000-0005-0000-0000-0000AD320000}"/>
    <cellStyle name="Comma 2 4 2 3 4 2 4" xfId="8293" xr:uid="{00000000-0005-0000-0000-0000AE320000}"/>
    <cellStyle name="Comma 2 4 2 3 4 2 4 2" xfId="42909" xr:uid="{00000000-0005-0000-0000-0000AF320000}"/>
    <cellStyle name="Comma 2 4 2 3 4 2 4 3" xfId="36485" xr:uid="{00000000-0005-0000-0000-0000B0320000}"/>
    <cellStyle name="Comma 2 4 2 3 4 2 5" xfId="21282" xr:uid="{00000000-0005-0000-0000-0000B1320000}"/>
    <cellStyle name="Comma 2 4 2 3 4 2 5 2" xfId="39702" xr:uid="{00000000-0005-0000-0000-0000B2320000}"/>
    <cellStyle name="Comma 2 4 2 3 4 2 6" xfId="22355" xr:uid="{00000000-0005-0000-0000-0000B3320000}"/>
    <cellStyle name="Comma 2 4 2 3 4 2 7" xfId="23480" xr:uid="{00000000-0005-0000-0000-0000B4320000}"/>
    <cellStyle name="Comma 2 4 2 3 4 2 8" xfId="26677" xr:uid="{00000000-0005-0000-0000-0000B5320000}"/>
    <cellStyle name="Comma 2 4 2 3 4 2 9" xfId="30010" xr:uid="{00000000-0005-0000-0000-0000B6320000}"/>
    <cellStyle name="Comma 2 4 2 3 4 3" xfId="1055" xr:uid="{00000000-0005-0000-0000-0000B7320000}"/>
    <cellStyle name="Comma 2 4 2 3 4 3 10" xfId="33279" xr:uid="{00000000-0005-0000-0000-0000B8320000}"/>
    <cellStyle name="Comma 2 4 2 3 4 3 2" xfId="9825" xr:uid="{00000000-0005-0000-0000-0000B9320000}"/>
    <cellStyle name="Comma 2 4 2 3 4 3 2 2" xfId="25625" xr:uid="{00000000-0005-0000-0000-0000BA320000}"/>
    <cellStyle name="Comma 2 4 2 3 4 3 2 2 2" xfId="45052" xr:uid="{00000000-0005-0000-0000-0000BB320000}"/>
    <cellStyle name="Comma 2 4 2 3 4 3 2 2 3" xfId="38629" xr:uid="{00000000-0005-0000-0000-0000BC320000}"/>
    <cellStyle name="Comma 2 4 2 3 4 3 2 3" xfId="27803" xr:uid="{00000000-0005-0000-0000-0000BD320000}"/>
    <cellStyle name="Comma 2 4 2 3 4 3 2 3 2" xfId="41845" xr:uid="{00000000-0005-0000-0000-0000BE320000}"/>
    <cellStyle name="Comma 2 4 2 3 4 3 2 4" xfId="31138" xr:uid="{00000000-0005-0000-0000-0000BF320000}"/>
    <cellStyle name="Comma 2 4 2 3 4 3 2 5" xfId="35421" xr:uid="{00000000-0005-0000-0000-0000C0320000}"/>
    <cellStyle name="Comma 2 4 2 3 4 3 3" xfId="15476" xr:uid="{00000000-0005-0000-0000-0000C1320000}"/>
    <cellStyle name="Comma 2 4 2 3 4 3 3 2" xfId="24491" xr:uid="{00000000-0005-0000-0000-0000C2320000}"/>
    <cellStyle name="Comma 2 4 2 3 4 3 3 2 2" xfId="43920" xr:uid="{00000000-0005-0000-0000-0000C3320000}"/>
    <cellStyle name="Comma 2 4 2 3 4 3 3 2 3" xfId="37497" xr:uid="{00000000-0005-0000-0000-0000C4320000}"/>
    <cellStyle name="Comma 2 4 2 3 4 3 3 3" xfId="28812" xr:uid="{00000000-0005-0000-0000-0000C5320000}"/>
    <cellStyle name="Comma 2 4 2 3 4 3 3 3 2" xfId="40713" xr:uid="{00000000-0005-0000-0000-0000C6320000}"/>
    <cellStyle name="Comma 2 4 2 3 4 3 3 4" xfId="32147" xr:uid="{00000000-0005-0000-0000-0000C7320000}"/>
    <cellStyle name="Comma 2 4 2 3 4 3 3 5" xfId="34289" xr:uid="{00000000-0005-0000-0000-0000C8320000}"/>
    <cellStyle name="Comma 2 4 2 3 4 3 4" xfId="8294" xr:uid="{00000000-0005-0000-0000-0000C9320000}"/>
    <cellStyle name="Comma 2 4 2 3 4 3 4 2" xfId="42910" xr:uid="{00000000-0005-0000-0000-0000CA320000}"/>
    <cellStyle name="Comma 2 4 2 3 4 3 4 3" xfId="36486" xr:uid="{00000000-0005-0000-0000-0000CB320000}"/>
    <cellStyle name="Comma 2 4 2 3 4 3 5" xfId="21283" xr:uid="{00000000-0005-0000-0000-0000CC320000}"/>
    <cellStyle name="Comma 2 4 2 3 4 3 5 2" xfId="39703" xr:uid="{00000000-0005-0000-0000-0000CD320000}"/>
    <cellStyle name="Comma 2 4 2 3 4 3 6" xfId="22356" xr:uid="{00000000-0005-0000-0000-0000CE320000}"/>
    <cellStyle name="Comma 2 4 2 3 4 3 7" xfId="23481" xr:uid="{00000000-0005-0000-0000-0000CF320000}"/>
    <cellStyle name="Comma 2 4 2 3 4 3 8" xfId="26678" xr:uid="{00000000-0005-0000-0000-0000D0320000}"/>
    <cellStyle name="Comma 2 4 2 3 4 3 9" xfId="30011" xr:uid="{00000000-0005-0000-0000-0000D1320000}"/>
    <cellStyle name="Comma 2 4 2 3 4 4" xfId="1056" xr:uid="{00000000-0005-0000-0000-0000D2320000}"/>
    <cellStyle name="Comma 2 4 2 3 4 4 10" xfId="33280" xr:uid="{00000000-0005-0000-0000-0000D3320000}"/>
    <cellStyle name="Comma 2 4 2 3 4 4 2" xfId="9826" xr:uid="{00000000-0005-0000-0000-0000D4320000}"/>
    <cellStyle name="Comma 2 4 2 3 4 4 2 2" xfId="25626" xr:uid="{00000000-0005-0000-0000-0000D5320000}"/>
    <cellStyle name="Comma 2 4 2 3 4 4 2 2 2" xfId="45053" xr:uid="{00000000-0005-0000-0000-0000D6320000}"/>
    <cellStyle name="Comma 2 4 2 3 4 4 2 2 3" xfId="38630" xr:uid="{00000000-0005-0000-0000-0000D7320000}"/>
    <cellStyle name="Comma 2 4 2 3 4 4 2 3" xfId="27804" xr:uid="{00000000-0005-0000-0000-0000D8320000}"/>
    <cellStyle name="Comma 2 4 2 3 4 4 2 3 2" xfId="41846" xr:uid="{00000000-0005-0000-0000-0000D9320000}"/>
    <cellStyle name="Comma 2 4 2 3 4 4 2 4" xfId="31139" xr:uid="{00000000-0005-0000-0000-0000DA320000}"/>
    <cellStyle name="Comma 2 4 2 3 4 4 2 5" xfId="35422" xr:uid="{00000000-0005-0000-0000-0000DB320000}"/>
    <cellStyle name="Comma 2 4 2 3 4 4 3" xfId="15477" xr:uid="{00000000-0005-0000-0000-0000DC320000}"/>
    <cellStyle name="Comma 2 4 2 3 4 4 3 2" xfId="24492" xr:uid="{00000000-0005-0000-0000-0000DD320000}"/>
    <cellStyle name="Comma 2 4 2 3 4 4 3 2 2" xfId="43921" xr:uid="{00000000-0005-0000-0000-0000DE320000}"/>
    <cellStyle name="Comma 2 4 2 3 4 4 3 2 3" xfId="37498" xr:uid="{00000000-0005-0000-0000-0000DF320000}"/>
    <cellStyle name="Comma 2 4 2 3 4 4 3 3" xfId="28813" xr:uid="{00000000-0005-0000-0000-0000E0320000}"/>
    <cellStyle name="Comma 2 4 2 3 4 4 3 3 2" xfId="40714" xr:uid="{00000000-0005-0000-0000-0000E1320000}"/>
    <cellStyle name="Comma 2 4 2 3 4 4 3 4" xfId="32148" xr:uid="{00000000-0005-0000-0000-0000E2320000}"/>
    <cellStyle name="Comma 2 4 2 3 4 4 3 5" xfId="34290" xr:uid="{00000000-0005-0000-0000-0000E3320000}"/>
    <cellStyle name="Comma 2 4 2 3 4 4 4" xfId="8295" xr:uid="{00000000-0005-0000-0000-0000E4320000}"/>
    <cellStyle name="Comma 2 4 2 3 4 4 4 2" xfId="42911" xr:uid="{00000000-0005-0000-0000-0000E5320000}"/>
    <cellStyle name="Comma 2 4 2 3 4 4 4 3" xfId="36487" xr:uid="{00000000-0005-0000-0000-0000E6320000}"/>
    <cellStyle name="Comma 2 4 2 3 4 4 5" xfId="21284" xr:uid="{00000000-0005-0000-0000-0000E7320000}"/>
    <cellStyle name="Comma 2 4 2 3 4 4 5 2" xfId="39704" xr:uid="{00000000-0005-0000-0000-0000E8320000}"/>
    <cellStyle name="Comma 2 4 2 3 4 4 6" xfId="22357" xr:uid="{00000000-0005-0000-0000-0000E9320000}"/>
    <cellStyle name="Comma 2 4 2 3 4 4 7" xfId="23482" xr:uid="{00000000-0005-0000-0000-0000EA320000}"/>
    <cellStyle name="Comma 2 4 2 3 4 4 8" xfId="26679" xr:uid="{00000000-0005-0000-0000-0000EB320000}"/>
    <cellStyle name="Comma 2 4 2 3 4 4 9" xfId="30012" xr:uid="{00000000-0005-0000-0000-0000EC320000}"/>
    <cellStyle name="Comma 2 4 2 3 4 5" xfId="1057" xr:uid="{00000000-0005-0000-0000-0000ED320000}"/>
    <cellStyle name="Comma 2 4 2 3 4 5 10" xfId="33281" xr:uid="{00000000-0005-0000-0000-0000EE320000}"/>
    <cellStyle name="Comma 2 4 2 3 4 5 2" xfId="9827" xr:uid="{00000000-0005-0000-0000-0000EF320000}"/>
    <cellStyle name="Comma 2 4 2 3 4 5 2 2" xfId="25627" xr:uid="{00000000-0005-0000-0000-0000F0320000}"/>
    <cellStyle name="Comma 2 4 2 3 4 5 2 2 2" xfId="45054" xr:uid="{00000000-0005-0000-0000-0000F1320000}"/>
    <cellStyle name="Comma 2 4 2 3 4 5 2 2 3" xfId="38631" xr:uid="{00000000-0005-0000-0000-0000F2320000}"/>
    <cellStyle name="Comma 2 4 2 3 4 5 2 3" xfId="27805" xr:uid="{00000000-0005-0000-0000-0000F3320000}"/>
    <cellStyle name="Comma 2 4 2 3 4 5 2 3 2" xfId="41847" xr:uid="{00000000-0005-0000-0000-0000F4320000}"/>
    <cellStyle name="Comma 2 4 2 3 4 5 2 4" xfId="31140" xr:uid="{00000000-0005-0000-0000-0000F5320000}"/>
    <cellStyle name="Comma 2 4 2 3 4 5 2 5" xfId="35423" xr:uid="{00000000-0005-0000-0000-0000F6320000}"/>
    <cellStyle name="Comma 2 4 2 3 4 5 3" xfId="15478" xr:uid="{00000000-0005-0000-0000-0000F7320000}"/>
    <cellStyle name="Comma 2 4 2 3 4 5 3 2" xfId="24493" xr:uid="{00000000-0005-0000-0000-0000F8320000}"/>
    <cellStyle name="Comma 2 4 2 3 4 5 3 2 2" xfId="43922" xr:uid="{00000000-0005-0000-0000-0000F9320000}"/>
    <cellStyle name="Comma 2 4 2 3 4 5 3 2 3" xfId="37499" xr:uid="{00000000-0005-0000-0000-0000FA320000}"/>
    <cellStyle name="Comma 2 4 2 3 4 5 3 3" xfId="28814" xr:uid="{00000000-0005-0000-0000-0000FB320000}"/>
    <cellStyle name="Comma 2 4 2 3 4 5 3 3 2" xfId="40715" xr:uid="{00000000-0005-0000-0000-0000FC320000}"/>
    <cellStyle name="Comma 2 4 2 3 4 5 3 4" xfId="32149" xr:uid="{00000000-0005-0000-0000-0000FD320000}"/>
    <cellStyle name="Comma 2 4 2 3 4 5 3 5" xfId="34291" xr:uid="{00000000-0005-0000-0000-0000FE320000}"/>
    <cellStyle name="Comma 2 4 2 3 4 5 4" xfId="8296" xr:uid="{00000000-0005-0000-0000-0000FF320000}"/>
    <cellStyle name="Comma 2 4 2 3 4 5 4 2" xfId="42912" xr:uid="{00000000-0005-0000-0000-000000330000}"/>
    <cellStyle name="Comma 2 4 2 3 4 5 4 3" xfId="36488" xr:uid="{00000000-0005-0000-0000-000001330000}"/>
    <cellStyle name="Comma 2 4 2 3 4 5 5" xfId="21285" xr:uid="{00000000-0005-0000-0000-000002330000}"/>
    <cellStyle name="Comma 2 4 2 3 4 5 5 2" xfId="39705" xr:uid="{00000000-0005-0000-0000-000003330000}"/>
    <cellStyle name="Comma 2 4 2 3 4 5 6" xfId="22358" xr:uid="{00000000-0005-0000-0000-000004330000}"/>
    <cellStyle name="Comma 2 4 2 3 4 5 7" xfId="23483" xr:uid="{00000000-0005-0000-0000-000005330000}"/>
    <cellStyle name="Comma 2 4 2 3 4 5 8" xfId="26680" xr:uid="{00000000-0005-0000-0000-000006330000}"/>
    <cellStyle name="Comma 2 4 2 3 4 5 9" xfId="30013" xr:uid="{00000000-0005-0000-0000-000007330000}"/>
    <cellStyle name="Comma 2 4 2 3 4 6" xfId="9823" xr:uid="{00000000-0005-0000-0000-000008330000}"/>
    <cellStyle name="Comma 2 4 2 3 4 6 2" xfId="25623" xr:uid="{00000000-0005-0000-0000-000009330000}"/>
    <cellStyle name="Comma 2 4 2 3 4 6 2 2" xfId="45050" xr:uid="{00000000-0005-0000-0000-00000A330000}"/>
    <cellStyle name="Comma 2 4 2 3 4 6 2 3" xfId="38627" xr:uid="{00000000-0005-0000-0000-00000B330000}"/>
    <cellStyle name="Comma 2 4 2 3 4 6 3" xfId="27801" xr:uid="{00000000-0005-0000-0000-00000C330000}"/>
    <cellStyle name="Comma 2 4 2 3 4 6 3 2" xfId="41843" xr:uid="{00000000-0005-0000-0000-00000D330000}"/>
    <cellStyle name="Comma 2 4 2 3 4 6 4" xfId="31136" xr:uid="{00000000-0005-0000-0000-00000E330000}"/>
    <cellStyle name="Comma 2 4 2 3 4 6 5" xfId="35419" xr:uid="{00000000-0005-0000-0000-00000F330000}"/>
    <cellStyle name="Comma 2 4 2 3 4 7" xfId="15474" xr:uid="{00000000-0005-0000-0000-000010330000}"/>
    <cellStyle name="Comma 2 4 2 3 4 7 2" xfId="24489" xr:uid="{00000000-0005-0000-0000-000011330000}"/>
    <cellStyle name="Comma 2 4 2 3 4 7 2 2" xfId="43918" xr:uid="{00000000-0005-0000-0000-000012330000}"/>
    <cellStyle name="Comma 2 4 2 3 4 7 2 3" xfId="37495" xr:uid="{00000000-0005-0000-0000-000013330000}"/>
    <cellStyle name="Comma 2 4 2 3 4 7 3" xfId="28810" xr:uid="{00000000-0005-0000-0000-000014330000}"/>
    <cellStyle name="Comma 2 4 2 3 4 7 3 2" xfId="40711" xr:uid="{00000000-0005-0000-0000-000015330000}"/>
    <cellStyle name="Comma 2 4 2 3 4 7 4" xfId="32145" xr:uid="{00000000-0005-0000-0000-000016330000}"/>
    <cellStyle name="Comma 2 4 2 3 4 7 5" xfId="34287" xr:uid="{00000000-0005-0000-0000-000017330000}"/>
    <cellStyle name="Comma 2 4 2 3 4 8" xfId="8292" xr:uid="{00000000-0005-0000-0000-000018330000}"/>
    <cellStyle name="Comma 2 4 2 3 4 8 2" xfId="42908" xr:uid="{00000000-0005-0000-0000-000019330000}"/>
    <cellStyle name="Comma 2 4 2 3 4 8 3" xfId="36484" xr:uid="{00000000-0005-0000-0000-00001A330000}"/>
    <cellStyle name="Comma 2 4 2 3 4 9" xfId="21281" xr:uid="{00000000-0005-0000-0000-00001B330000}"/>
    <cellStyle name="Comma 2 4 2 3 4 9 2" xfId="39701" xr:uid="{00000000-0005-0000-0000-00001C330000}"/>
    <cellStyle name="Comma 2 4 2 3 5" xfId="1058" xr:uid="{00000000-0005-0000-0000-00001D330000}"/>
    <cellStyle name="Comma 2 4 2 3 5 10" xfId="22359" xr:uid="{00000000-0005-0000-0000-00001E330000}"/>
    <cellStyle name="Comma 2 4 2 3 5 11" xfId="23484" xr:uid="{00000000-0005-0000-0000-00001F330000}"/>
    <cellStyle name="Comma 2 4 2 3 5 12" xfId="26681" xr:uid="{00000000-0005-0000-0000-000020330000}"/>
    <cellStyle name="Comma 2 4 2 3 5 13" xfId="30014" xr:uid="{00000000-0005-0000-0000-000021330000}"/>
    <cellStyle name="Comma 2 4 2 3 5 14" xfId="33282" xr:uid="{00000000-0005-0000-0000-000022330000}"/>
    <cellStyle name="Comma 2 4 2 3 5 2" xfId="1059" xr:uid="{00000000-0005-0000-0000-000023330000}"/>
    <cellStyle name="Comma 2 4 2 3 5 2 10" xfId="33283" xr:uid="{00000000-0005-0000-0000-000024330000}"/>
    <cellStyle name="Comma 2 4 2 3 5 2 2" xfId="9829" xr:uid="{00000000-0005-0000-0000-000025330000}"/>
    <cellStyle name="Comma 2 4 2 3 5 2 2 2" xfId="25629" xr:uid="{00000000-0005-0000-0000-000026330000}"/>
    <cellStyle name="Comma 2 4 2 3 5 2 2 2 2" xfId="45056" xr:uid="{00000000-0005-0000-0000-000027330000}"/>
    <cellStyle name="Comma 2 4 2 3 5 2 2 2 3" xfId="38633" xr:uid="{00000000-0005-0000-0000-000028330000}"/>
    <cellStyle name="Comma 2 4 2 3 5 2 2 3" xfId="27807" xr:uid="{00000000-0005-0000-0000-000029330000}"/>
    <cellStyle name="Comma 2 4 2 3 5 2 2 3 2" xfId="41849" xr:uid="{00000000-0005-0000-0000-00002A330000}"/>
    <cellStyle name="Comma 2 4 2 3 5 2 2 4" xfId="31142" xr:uid="{00000000-0005-0000-0000-00002B330000}"/>
    <cellStyle name="Comma 2 4 2 3 5 2 2 5" xfId="35425" xr:uid="{00000000-0005-0000-0000-00002C330000}"/>
    <cellStyle name="Comma 2 4 2 3 5 2 3" xfId="15480" xr:uid="{00000000-0005-0000-0000-00002D330000}"/>
    <cellStyle name="Comma 2 4 2 3 5 2 3 2" xfId="24495" xr:uid="{00000000-0005-0000-0000-00002E330000}"/>
    <cellStyle name="Comma 2 4 2 3 5 2 3 2 2" xfId="43924" xr:uid="{00000000-0005-0000-0000-00002F330000}"/>
    <cellStyle name="Comma 2 4 2 3 5 2 3 2 3" xfId="37501" xr:uid="{00000000-0005-0000-0000-000030330000}"/>
    <cellStyle name="Comma 2 4 2 3 5 2 3 3" xfId="28816" xr:uid="{00000000-0005-0000-0000-000031330000}"/>
    <cellStyle name="Comma 2 4 2 3 5 2 3 3 2" xfId="40717" xr:uid="{00000000-0005-0000-0000-000032330000}"/>
    <cellStyle name="Comma 2 4 2 3 5 2 3 4" xfId="32151" xr:uid="{00000000-0005-0000-0000-000033330000}"/>
    <cellStyle name="Comma 2 4 2 3 5 2 3 5" xfId="34293" xr:uid="{00000000-0005-0000-0000-000034330000}"/>
    <cellStyle name="Comma 2 4 2 3 5 2 4" xfId="8298" xr:uid="{00000000-0005-0000-0000-000035330000}"/>
    <cellStyle name="Comma 2 4 2 3 5 2 4 2" xfId="42914" xr:uid="{00000000-0005-0000-0000-000036330000}"/>
    <cellStyle name="Comma 2 4 2 3 5 2 4 3" xfId="36490" xr:uid="{00000000-0005-0000-0000-000037330000}"/>
    <cellStyle name="Comma 2 4 2 3 5 2 5" xfId="21287" xr:uid="{00000000-0005-0000-0000-000038330000}"/>
    <cellStyle name="Comma 2 4 2 3 5 2 5 2" xfId="39707" xr:uid="{00000000-0005-0000-0000-000039330000}"/>
    <cellStyle name="Comma 2 4 2 3 5 2 6" xfId="22360" xr:uid="{00000000-0005-0000-0000-00003A330000}"/>
    <cellStyle name="Comma 2 4 2 3 5 2 7" xfId="23485" xr:uid="{00000000-0005-0000-0000-00003B330000}"/>
    <cellStyle name="Comma 2 4 2 3 5 2 8" xfId="26682" xr:uid="{00000000-0005-0000-0000-00003C330000}"/>
    <cellStyle name="Comma 2 4 2 3 5 2 9" xfId="30015" xr:uid="{00000000-0005-0000-0000-00003D330000}"/>
    <cellStyle name="Comma 2 4 2 3 5 3" xfId="1060" xr:uid="{00000000-0005-0000-0000-00003E330000}"/>
    <cellStyle name="Comma 2 4 2 3 5 3 10" xfId="33284" xr:uid="{00000000-0005-0000-0000-00003F330000}"/>
    <cellStyle name="Comma 2 4 2 3 5 3 2" xfId="9830" xr:uid="{00000000-0005-0000-0000-000040330000}"/>
    <cellStyle name="Comma 2 4 2 3 5 3 2 2" xfId="25630" xr:uid="{00000000-0005-0000-0000-000041330000}"/>
    <cellStyle name="Comma 2 4 2 3 5 3 2 2 2" xfId="45057" xr:uid="{00000000-0005-0000-0000-000042330000}"/>
    <cellStyle name="Comma 2 4 2 3 5 3 2 2 3" xfId="38634" xr:uid="{00000000-0005-0000-0000-000043330000}"/>
    <cellStyle name="Comma 2 4 2 3 5 3 2 3" xfId="27808" xr:uid="{00000000-0005-0000-0000-000044330000}"/>
    <cellStyle name="Comma 2 4 2 3 5 3 2 3 2" xfId="41850" xr:uid="{00000000-0005-0000-0000-000045330000}"/>
    <cellStyle name="Comma 2 4 2 3 5 3 2 4" xfId="31143" xr:uid="{00000000-0005-0000-0000-000046330000}"/>
    <cellStyle name="Comma 2 4 2 3 5 3 2 5" xfId="35426" xr:uid="{00000000-0005-0000-0000-000047330000}"/>
    <cellStyle name="Comma 2 4 2 3 5 3 3" xfId="15481" xr:uid="{00000000-0005-0000-0000-000048330000}"/>
    <cellStyle name="Comma 2 4 2 3 5 3 3 2" xfId="24496" xr:uid="{00000000-0005-0000-0000-000049330000}"/>
    <cellStyle name="Comma 2 4 2 3 5 3 3 2 2" xfId="43925" xr:uid="{00000000-0005-0000-0000-00004A330000}"/>
    <cellStyle name="Comma 2 4 2 3 5 3 3 2 3" xfId="37502" xr:uid="{00000000-0005-0000-0000-00004B330000}"/>
    <cellStyle name="Comma 2 4 2 3 5 3 3 3" xfId="28817" xr:uid="{00000000-0005-0000-0000-00004C330000}"/>
    <cellStyle name="Comma 2 4 2 3 5 3 3 3 2" xfId="40718" xr:uid="{00000000-0005-0000-0000-00004D330000}"/>
    <cellStyle name="Comma 2 4 2 3 5 3 3 4" xfId="32152" xr:uid="{00000000-0005-0000-0000-00004E330000}"/>
    <cellStyle name="Comma 2 4 2 3 5 3 3 5" xfId="34294" xr:uid="{00000000-0005-0000-0000-00004F330000}"/>
    <cellStyle name="Comma 2 4 2 3 5 3 4" xfId="8299" xr:uid="{00000000-0005-0000-0000-000050330000}"/>
    <cellStyle name="Comma 2 4 2 3 5 3 4 2" xfId="42915" xr:uid="{00000000-0005-0000-0000-000051330000}"/>
    <cellStyle name="Comma 2 4 2 3 5 3 4 3" xfId="36491" xr:uid="{00000000-0005-0000-0000-000052330000}"/>
    <cellStyle name="Comma 2 4 2 3 5 3 5" xfId="21288" xr:uid="{00000000-0005-0000-0000-000053330000}"/>
    <cellStyle name="Comma 2 4 2 3 5 3 5 2" xfId="39708" xr:uid="{00000000-0005-0000-0000-000054330000}"/>
    <cellStyle name="Comma 2 4 2 3 5 3 6" xfId="22361" xr:uid="{00000000-0005-0000-0000-000055330000}"/>
    <cellStyle name="Comma 2 4 2 3 5 3 7" xfId="23486" xr:uid="{00000000-0005-0000-0000-000056330000}"/>
    <cellStyle name="Comma 2 4 2 3 5 3 8" xfId="26683" xr:uid="{00000000-0005-0000-0000-000057330000}"/>
    <cellStyle name="Comma 2 4 2 3 5 3 9" xfId="30016" xr:uid="{00000000-0005-0000-0000-000058330000}"/>
    <cellStyle name="Comma 2 4 2 3 5 4" xfId="1061" xr:uid="{00000000-0005-0000-0000-000059330000}"/>
    <cellStyle name="Comma 2 4 2 3 5 4 10" xfId="33285" xr:uid="{00000000-0005-0000-0000-00005A330000}"/>
    <cellStyle name="Comma 2 4 2 3 5 4 2" xfId="9831" xr:uid="{00000000-0005-0000-0000-00005B330000}"/>
    <cellStyle name="Comma 2 4 2 3 5 4 2 2" xfId="25631" xr:uid="{00000000-0005-0000-0000-00005C330000}"/>
    <cellStyle name="Comma 2 4 2 3 5 4 2 2 2" xfId="45058" xr:uid="{00000000-0005-0000-0000-00005D330000}"/>
    <cellStyle name="Comma 2 4 2 3 5 4 2 2 3" xfId="38635" xr:uid="{00000000-0005-0000-0000-00005E330000}"/>
    <cellStyle name="Comma 2 4 2 3 5 4 2 3" xfId="27809" xr:uid="{00000000-0005-0000-0000-00005F330000}"/>
    <cellStyle name="Comma 2 4 2 3 5 4 2 3 2" xfId="41851" xr:uid="{00000000-0005-0000-0000-000060330000}"/>
    <cellStyle name="Comma 2 4 2 3 5 4 2 4" xfId="31144" xr:uid="{00000000-0005-0000-0000-000061330000}"/>
    <cellStyle name="Comma 2 4 2 3 5 4 2 5" xfId="35427" xr:uid="{00000000-0005-0000-0000-000062330000}"/>
    <cellStyle name="Comma 2 4 2 3 5 4 3" xfId="15482" xr:uid="{00000000-0005-0000-0000-000063330000}"/>
    <cellStyle name="Comma 2 4 2 3 5 4 3 2" xfId="24497" xr:uid="{00000000-0005-0000-0000-000064330000}"/>
    <cellStyle name="Comma 2 4 2 3 5 4 3 2 2" xfId="43926" xr:uid="{00000000-0005-0000-0000-000065330000}"/>
    <cellStyle name="Comma 2 4 2 3 5 4 3 2 3" xfId="37503" xr:uid="{00000000-0005-0000-0000-000066330000}"/>
    <cellStyle name="Comma 2 4 2 3 5 4 3 3" xfId="28818" xr:uid="{00000000-0005-0000-0000-000067330000}"/>
    <cellStyle name="Comma 2 4 2 3 5 4 3 3 2" xfId="40719" xr:uid="{00000000-0005-0000-0000-000068330000}"/>
    <cellStyle name="Comma 2 4 2 3 5 4 3 4" xfId="32153" xr:uid="{00000000-0005-0000-0000-000069330000}"/>
    <cellStyle name="Comma 2 4 2 3 5 4 3 5" xfId="34295" xr:uid="{00000000-0005-0000-0000-00006A330000}"/>
    <cellStyle name="Comma 2 4 2 3 5 4 4" xfId="8300" xr:uid="{00000000-0005-0000-0000-00006B330000}"/>
    <cellStyle name="Comma 2 4 2 3 5 4 4 2" xfId="42916" xr:uid="{00000000-0005-0000-0000-00006C330000}"/>
    <cellStyle name="Comma 2 4 2 3 5 4 4 3" xfId="36492" xr:uid="{00000000-0005-0000-0000-00006D330000}"/>
    <cellStyle name="Comma 2 4 2 3 5 4 5" xfId="21289" xr:uid="{00000000-0005-0000-0000-00006E330000}"/>
    <cellStyle name="Comma 2 4 2 3 5 4 5 2" xfId="39709" xr:uid="{00000000-0005-0000-0000-00006F330000}"/>
    <cellStyle name="Comma 2 4 2 3 5 4 6" xfId="22362" xr:uid="{00000000-0005-0000-0000-000070330000}"/>
    <cellStyle name="Comma 2 4 2 3 5 4 7" xfId="23487" xr:uid="{00000000-0005-0000-0000-000071330000}"/>
    <cellStyle name="Comma 2 4 2 3 5 4 8" xfId="26684" xr:uid="{00000000-0005-0000-0000-000072330000}"/>
    <cellStyle name="Comma 2 4 2 3 5 4 9" xfId="30017" xr:uid="{00000000-0005-0000-0000-000073330000}"/>
    <cellStyle name="Comma 2 4 2 3 5 5" xfId="1062" xr:uid="{00000000-0005-0000-0000-000074330000}"/>
    <cellStyle name="Comma 2 4 2 3 5 5 10" xfId="33286" xr:uid="{00000000-0005-0000-0000-000075330000}"/>
    <cellStyle name="Comma 2 4 2 3 5 5 2" xfId="9832" xr:uid="{00000000-0005-0000-0000-000076330000}"/>
    <cellStyle name="Comma 2 4 2 3 5 5 2 2" xfId="25632" xr:uid="{00000000-0005-0000-0000-000077330000}"/>
    <cellStyle name="Comma 2 4 2 3 5 5 2 2 2" xfId="45059" xr:uid="{00000000-0005-0000-0000-000078330000}"/>
    <cellStyle name="Comma 2 4 2 3 5 5 2 2 3" xfId="38636" xr:uid="{00000000-0005-0000-0000-000079330000}"/>
    <cellStyle name="Comma 2 4 2 3 5 5 2 3" xfId="27810" xr:uid="{00000000-0005-0000-0000-00007A330000}"/>
    <cellStyle name="Comma 2 4 2 3 5 5 2 3 2" xfId="41852" xr:uid="{00000000-0005-0000-0000-00007B330000}"/>
    <cellStyle name="Comma 2 4 2 3 5 5 2 4" xfId="31145" xr:uid="{00000000-0005-0000-0000-00007C330000}"/>
    <cellStyle name="Comma 2 4 2 3 5 5 2 5" xfId="35428" xr:uid="{00000000-0005-0000-0000-00007D330000}"/>
    <cellStyle name="Comma 2 4 2 3 5 5 3" xfId="15483" xr:uid="{00000000-0005-0000-0000-00007E330000}"/>
    <cellStyle name="Comma 2 4 2 3 5 5 3 2" xfId="24498" xr:uid="{00000000-0005-0000-0000-00007F330000}"/>
    <cellStyle name="Comma 2 4 2 3 5 5 3 2 2" xfId="43927" xr:uid="{00000000-0005-0000-0000-000080330000}"/>
    <cellStyle name="Comma 2 4 2 3 5 5 3 2 3" xfId="37504" xr:uid="{00000000-0005-0000-0000-000081330000}"/>
    <cellStyle name="Comma 2 4 2 3 5 5 3 3" xfId="28819" xr:uid="{00000000-0005-0000-0000-000082330000}"/>
    <cellStyle name="Comma 2 4 2 3 5 5 3 3 2" xfId="40720" xr:uid="{00000000-0005-0000-0000-000083330000}"/>
    <cellStyle name="Comma 2 4 2 3 5 5 3 4" xfId="32154" xr:uid="{00000000-0005-0000-0000-000084330000}"/>
    <cellStyle name="Comma 2 4 2 3 5 5 3 5" xfId="34296" xr:uid="{00000000-0005-0000-0000-000085330000}"/>
    <cellStyle name="Comma 2 4 2 3 5 5 4" xfId="8301" xr:uid="{00000000-0005-0000-0000-000086330000}"/>
    <cellStyle name="Comma 2 4 2 3 5 5 4 2" xfId="42917" xr:uid="{00000000-0005-0000-0000-000087330000}"/>
    <cellStyle name="Comma 2 4 2 3 5 5 4 3" xfId="36493" xr:uid="{00000000-0005-0000-0000-000088330000}"/>
    <cellStyle name="Comma 2 4 2 3 5 5 5" xfId="21290" xr:uid="{00000000-0005-0000-0000-000089330000}"/>
    <cellStyle name="Comma 2 4 2 3 5 5 5 2" xfId="39710" xr:uid="{00000000-0005-0000-0000-00008A330000}"/>
    <cellStyle name="Comma 2 4 2 3 5 5 6" xfId="22363" xr:uid="{00000000-0005-0000-0000-00008B330000}"/>
    <cellStyle name="Comma 2 4 2 3 5 5 7" xfId="23488" xr:uid="{00000000-0005-0000-0000-00008C330000}"/>
    <cellStyle name="Comma 2 4 2 3 5 5 8" xfId="26685" xr:uid="{00000000-0005-0000-0000-00008D330000}"/>
    <cellStyle name="Comma 2 4 2 3 5 5 9" xfId="30018" xr:uid="{00000000-0005-0000-0000-00008E330000}"/>
    <cellStyle name="Comma 2 4 2 3 5 6" xfId="9828" xr:uid="{00000000-0005-0000-0000-00008F330000}"/>
    <cellStyle name="Comma 2 4 2 3 5 6 2" xfId="25628" xr:uid="{00000000-0005-0000-0000-000090330000}"/>
    <cellStyle name="Comma 2 4 2 3 5 6 2 2" xfId="45055" xr:uid="{00000000-0005-0000-0000-000091330000}"/>
    <cellStyle name="Comma 2 4 2 3 5 6 2 3" xfId="38632" xr:uid="{00000000-0005-0000-0000-000092330000}"/>
    <cellStyle name="Comma 2 4 2 3 5 6 3" xfId="27806" xr:uid="{00000000-0005-0000-0000-000093330000}"/>
    <cellStyle name="Comma 2 4 2 3 5 6 3 2" xfId="41848" xr:uid="{00000000-0005-0000-0000-000094330000}"/>
    <cellStyle name="Comma 2 4 2 3 5 6 4" xfId="31141" xr:uid="{00000000-0005-0000-0000-000095330000}"/>
    <cellStyle name="Comma 2 4 2 3 5 6 5" xfId="35424" xr:uid="{00000000-0005-0000-0000-000096330000}"/>
    <cellStyle name="Comma 2 4 2 3 5 7" xfId="15479" xr:uid="{00000000-0005-0000-0000-000097330000}"/>
    <cellStyle name="Comma 2 4 2 3 5 7 2" xfId="24494" xr:uid="{00000000-0005-0000-0000-000098330000}"/>
    <cellStyle name="Comma 2 4 2 3 5 7 2 2" xfId="43923" xr:uid="{00000000-0005-0000-0000-000099330000}"/>
    <cellStyle name="Comma 2 4 2 3 5 7 2 3" xfId="37500" xr:uid="{00000000-0005-0000-0000-00009A330000}"/>
    <cellStyle name="Comma 2 4 2 3 5 7 3" xfId="28815" xr:uid="{00000000-0005-0000-0000-00009B330000}"/>
    <cellStyle name="Comma 2 4 2 3 5 7 3 2" xfId="40716" xr:uid="{00000000-0005-0000-0000-00009C330000}"/>
    <cellStyle name="Comma 2 4 2 3 5 7 4" xfId="32150" xr:uid="{00000000-0005-0000-0000-00009D330000}"/>
    <cellStyle name="Comma 2 4 2 3 5 7 5" xfId="34292" xr:uid="{00000000-0005-0000-0000-00009E330000}"/>
    <cellStyle name="Comma 2 4 2 3 5 8" xfId="8297" xr:uid="{00000000-0005-0000-0000-00009F330000}"/>
    <cellStyle name="Comma 2 4 2 3 5 8 2" xfId="42913" xr:uid="{00000000-0005-0000-0000-0000A0330000}"/>
    <cellStyle name="Comma 2 4 2 3 5 8 3" xfId="36489" xr:uid="{00000000-0005-0000-0000-0000A1330000}"/>
    <cellStyle name="Comma 2 4 2 3 5 9" xfId="21286" xr:uid="{00000000-0005-0000-0000-0000A2330000}"/>
    <cellStyle name="Comma 2 4 2 3 5 9 2" xfId="39706" xr:uid="{00000000-0005-0000-0000-0000A3330000}"/>
    <cellStyle name="Comma 2 4 2 3 6" xfId="1063" xr:uid="{00000000-0005-0000-0000-0000A4330000}"/>
    <cellStyle name="Comma 2 4 2 3 6 10" xfId="33287" xr:uid="{00000000-0005-0000-0000-0000A5330000}"/>
    <cellStyle name="Comma 2 4 2 3 6 2" xfId="9833" xr:uid="{00000000-0005-0000-0000-0000A6330000}"/>
    <cellStyle name="Comma 2 4 2 3 6 2 2" xfId="25633" xr:uid="{00000000-0005-0000-0000-0000A7330000}"/>
    <cellStyle name="Comma 2 4 2 3 6 2 2 2" xfId="45060" xr:uid="{00000000-0005-0000-0000-0000A8330000}"/>
    <cellStyle name="Comma 2 4 2 3 6 2 2 3" xfId="38637" xr:uid="{00000000-0005-0000-0000-0000A9330000}"/>
    <cellStyle name="Comma 2 4 2 3 6 2 3" xfId="27811" xr:uid="{00000000-0005-0000-0000-0000AA330000}"/>
    <cellStyle name="Comma 2 4 2 3 6 2 3 2" xfId="41853" xr:uid="{00000000-0005-0000-0000-0000AB330000}"/>
    <cellStyle name="Comma 2 4 2 3 6 2 4" xfId="31146" xr:uid="{00000000-0005-0000-0000-0000AC330000}"/>
    <cellStyle name="Comma 2 4 2 3 6 2 5" xfId="35429" xr:uid="{00000000-0005-0000-0000-0000AD330000}"/>
    <cellStyle name="Comma 2 4 2 3 6 3" xfId="15484" xr:uid="{00000000-0005-0000-0000-0000AE330000}"/>
    <cellStyle name="Comma 2 4 2 3 6 3 2" xfId="24499" xr:uid="{00000000-0005-0000-0000-0000AF330000}"/>
    <cellStyle name="Comma 2 4 2 3 6 3 2 2" xfId="43928" xr:uid="{00000000-0005-0000-0000-0000B0330000}"/>
    <cellStyle name="Comma 2 4 2 3 6 3 2 3" xfId="37505" xr:uid="{00000000-0005-0000-0000-0000B1330000}"/>
    <cellStyle name="Comma 2 4 2 3 6 3 3" xfId="28820" xr:uid="{00000000-0005-0000-0000-0000B2330000}"/>
    <cellStyle name="Comma 2 4 2 3 6 3 3 2" xfId="40721" xr:uid="{00000000-0005-0000-0000-0000B3330000}"/>
    <cellStyle name="Comma 2 4 2 3 6 3 4" xfId="32155" xr:uid="{00000000-0005-0000-0000-0000B4330000}"/>
    <cellStyle name="Comma 2 4 2 3 6 3 5" xfId="34297" xr:uid="{00000000-0005-0000-0000-0000B5330000}"/>
    <cellStyle name="Comma 2 4 2 3 6 4" xfId="8302" xr:uid="{00000000-0005-0000-0000-0000B6330000}"/>
    <cellStyle name="Comma 2 4 2 3 6 4 2" xfId="42918" xr:uid="{00000000-0005-0000-0000-0000B7330000}"/>
    <cellStyle name="Comma 2 4 2 3 6 4 3" xfId="36494" xr:uid="{00000000-0005-0000-0000-0000B8330000}"/>
    <cellStyle name="Comma 2 4 2 3 6 5" xfId="21291" xr:uid="{00000000-0005-0000-0000-0000B9330000}"/>
    <cellStyle name="Comma 2 4 2 3 6 5 2" xfId="39711" xr:uid="{00000000-0005-0000-0000-0000BA330000}"/>
    <cellStyle name="Comma 2 4 2 3 6 6" xfId="22364" xr:uid="{00000000-0005-0000-0000-0000BB330000}"/>
    <cellStyle name="Comma 2 4 2 3 6 7" xfId="23489" xr:uid="{00000000-0005-0000-0000-0000BC330000}"/>
    <cellStyle name="Comma 2 4 2 3 6 8" xfId="26686" xr:uid="{00000000-0005-0000-0000-0000BD330000}"/>
    <cellStyle name="Comma 2 4 2 3 6 9" xfId="30019" xr:uid="{00000000-0005-0000-0000-0000BE330000}"/>
    <cellStyle name="Comma 2 4 2 3 7" xfId="1064" xr:uid="{00000000-0005-0000-0000-0000BF330000}"/>
    <cellStyle name="Comma 2 4 2 3 7 10" xfId="33288" xr:uid="{00000000-0005-0000-0000-0000C0330000}"/>
    <cellStyle name="Comma 2 4 2 3 7 2" xfId="9834" xr:uid="{00000000-0005-0000-0000-0000C1330000}"/>
    <cellStyle name="Comma 2 4 2 3 7 2 2" xfId="25634" xr:uid="{00000000-0005-0000-0000-0000C2330000}"/>
    <cellStyle name="Comma 2 4 2 3 7 2 2 2" xfId="45061" xr:uid="{00000000-0005-0000-0000-0000C3330000}"/>
    <cellStyle name="Comma 2 4 2 3 7 2 2 3" xfId="38638" xr:uid="{00000000-0005-0000-0000-0000C4330000}"/>
    <cellStyle name="Comma 2 4 2 3 7 2 3" xfId="27812" xr:uid="{00000000-0005-0000-0000-0000C5330000}"/>
    <cellStyle name="Comma 2 4 2 3 7 2 3 2" xfId="41854" xr:uid="{00000000-0005-0000-0000-0000C6330000}"/>
    <cellStyle name="Comma 2 4 2 3 7 2 4" xfId="31147" xr:uid="{00000000-0005-0000-0000-0000C7330000}"/>
    <cellStyle name="Comma 2 4 2 3 7 2 5" xfId="35430" xr:uid="{00000000-0005-0000-0000-0000C8330000}"/>
    <cellStyle name="Comma 2 4 2 3 7 3" xfId="15485" xr:uid="{00000000-0005-0000-0000-0000C9330000}"/>
    <cellStyle name="Comma 2 4 2 3 7 3 2" xfId="24500" xr:uid="{00000000-0005-0000-0000-0000CA330000}"/>
    <cellStyle name="Comma 2 4 2 3 7 3 2 2" xfId="43929" xr:uid="{00000000-0005-0000-0000-0000CB330000}"/>
    <cellStyle name="Comma 2 4 2 3 7 3 2 3" xfId="37506" xr:uid="{00000000-0005-0000-0000-0000CC330000}"/>
    <cellStyle name="Comma 2 4 2 3 7 3 3" xfId="28821" xr:uid="{00000000-0005-0000-0000-0000CD330000}"/>
    <cellStyle name="Comma 2 4 2 3 7 3 3 2" xfId="40722" xr:uid="{00000000-0005-0000-0000-0000CE330000}"/>
    <cellStyle name="Comma 2 4 2 3 7 3 4" xfId="32156" xr:uid="{00000000-0005-0000-0000-0000CF330000}"/>
    <cellStyle name="Comma 2 4 2 3 7 3 5" xfId="34298" xr:uid="{00000000-0005-0000-0000-0000D0330000}"/>
    <cellStyle name="Comma 2 4 2 3 7 4" xfId="8303" xr:uid="{00000000-0005-0000-0000-0000D1330000}"/>
    <cellStyle name="Comma 2 4 2 3 7 4 2" xfId="42919" xr:uid="{00000000-0005-0000-0000-0000D2330000}"/>
    <cellStyle name="Comma 2 4 2 3 7 4 3" xfId="36495" xr:uid="{00000000-0005-0000-0000-0000D3330000}"/>
    <cellStyle name="Comma 2 4 2 3 7 5" xfId="21292" xr:uid="{00000000-0005-0000-0000-0000D4330000}"/>
    <cellStyle name="Comma 2 4 2 3 7 5 2" xfId="39712" xr:uid="{00000000-0005-0000-0000-0000D5330000}"/>
    <cellStyle name="Comma 2 4 2 3 7 6" xfId="22365" xr:uid="{00000000-0005-0000-0000-0000D6330000}"/>
    <cellStyle name="Comma 2 4 2 3 7 7" xfId="23490" xr:uid="{00000000-0005-0000-0000-0000D7330000}"/>
    <cellStyle name="Comma 2 4 2 3 7 8" xfId="26687" xr:uid="{00000000-0005-0000-0000-0000D8330000}"/>
    <cellStyle name="Comma 2 4 2 3 7 9" xfId="30020" xr:uid="{00000000-0005-0000-0000-0000D9330000}"/>
    <cellStyle name="Comma 2 4 2 3 8" xfId="1065" xr:uid="{00000000-0005-0000-0000-0000DA330000}"/>
    <cellStyle name="Comma 2 4 2 3 8 10" xfId="33289" xr:uid="{00000000-0005-0000-0000-0000DB330000}"/>
    <cellStyle name="Comma 2 4 2 3 8 2" xfId="9835" xr:uid="{00000000-0005-0000-0000-0000DC330000}"/>
    <cellStyle name="Comma 2 4 2 3 8 2 2" xfId="25635" xr:uid="{00000000-0005-0000-0000-0000DD330000}"/>
    <cellStyle name="Comma 2 4 2 3 8 2 2 2" xfId="45062" xr:uid="{00000000-0005-0000-0000-0000DE330000}"/>
    <cellStyle name="Comma 2 4 2 3 8 2 2 3" xfId="38639" xr:uid="{00000000-0005-0000-0000-0000DF330000}"/>
    <cellStyle name="Comma 2 4 2 3 8 2 3" xfId="27813" xr:uid="{00000000-0005-0000-0000-0000E0330000}"/>
    <cellStyle name="Comma 2 4 2 3 8 2 3 2" xfId="41855" xr:uid="{00000000-0005-0000-0000-0000E1330000}"/>
    <cellStyle name="Comma 2 4 2 3 8 2 4" xfId="31148" xr:uid="{00000000-0005-0000-0000-0000E2330000}"/>
    <cellStyle name="Comma 2 4 2 3 8 2 5" xfId="35431" xr:uid="{00000000-0005-0000-0000-0000E3330000}"/>
    <cellStyle name="Comma 2 4 2 3 8 3" xfId="15486" xr:uid="{00000000-0005-0000-0000-0000E4330000}"/>
    <cellStyle name="Comma 2 4 2 3 8 3 2" xfId="24501" xr:uid="{00000000-0005-0000-0000-0000E5330000}"/>
    <cellStyle name="Comma 2 4 2 3 8 3 2 2" xfId="43930" xr:uid="{00000000-0005-0000-0000-0000E6330000}"/>
    <cellStyle name="Comma 2 4 2 3 8 3 2 3" xfId="37507" xr:uid="{00000000-0005-0000-0000-0000E7330000}"/>
    <cellStyle name="Comma 2 4 2 3 8 3 3" xfId="28822" xr:uid="{00000000-0005-0000-0000-0000E8330000}"/>
    <cellStyle name="Comma 2 4 2 3 8 3 3 2" xfId="40723" xr:uid="{00000000-0005-0000-0000-0000E9330000}"/>
    <cellStyle name="Comma 2 4 2 3 8 3 4" xfId="32157" xr:uid="{00000000-0005-0000-0000-0000EA330000}"/>
    <cellStyle name="Comma 2 4 2 3 8 3 5" xfId="34299" xr:uid="{00000000-0005-0000-0000-0000EB330000}"/>
    <cellStyle name="Comma 2 4 2 3 8 4" xfId="8304" xr:uid="{00000000-0005-0000-0000-0000EC330000}"/>
    <cellStyle name="Comma 2 4 2 3 8 4 2" xfId="42920" xr:uid="{00000000-0005-0000-0000-0000ED330000}"/>
    <cellStyle name="Comma 2 4 2 3 8 4 3" xfId="36496" xr:uid="{00000000-0005-0000-0000-0000EE330000}"/>
    <cellStyle name="Comma 2 4 2 3 8 5" xfId="21293" xr:uid="{00000000-0005-0000-0000-0000EF330000}"/>
    <cellStyle name="Comma 2 4 2 3 8 5 2" xfId="39713" xr:uid="{00000000-0005-0000-0000-0000F0330000}"/>
    <cellStyle name="Comma 2 4 2 3 8 6" xfId="22366" xr:uid="{00000000-0005-0000-0000-0000F1330000}"/>
    <cellStyle name="Comma 2 4 2 3 8 7" xfId="23491" xr:uid="{00000000-0005-0000-0000-0000F2330000}"/>
    <cellStyle name="Comma 2 4 2 3 8 8" xfId="26688" xr:uid="{00000000-0005-0000-0000-0000F3330000}"/>
    <cellStyle name="Comma 2 4 2 3 8 9" xfId="30021" xr:uid="{00000000-0005-0000-0000-0000F4330000}"/>
    <cellStyle name="Comma 2 4 2 3 9" xfId="1066" xr:uid="{00000000-0005-0000-0000-0000F5330000}"/>
    <cellStyle name="Comma 2 4 2 3 9 10" xfId="33290" xr:uid="{00000000-0005-0000-0000-0000F6330000}"/>
    <cellStyle name="Comma 2 4 2 3 9 2" xfId="9836" xr:uid="{00000000-0005-0000-0000-0000F7330000}"/>
    <cellStyle name="Comma 2 4 2 3 9 2 2" xfId="25636" xr:uid="{00000000-0005-0000-0000-0000F8330000}"/>
    <cellStyle name="Comma 2 4 2 3 9 2 2 2" xfId="45063" xr:uid="{00000000-0005-0000-0000-0000F9330000}"/>
    <cellStyle name="Comma 2 4 2 3 9 2 2 3" xfId="38640" xr:uid="{00000000-0005-0000-0000-0000FA330000}"/>
    <cellStyle name="Comma 2 4 2 3 9 2 3" xfId="27814" xr:uid="{00000000-0005-0000-0000-0000FB330000}"/>
    <cellStyle name="Comma 2 4 2 3 9 2 3 2" xfId="41856" xr:uid="{00000000-0005-0000-0000-0000FC330000}"/>
    <cellStyle name="Comma 2 4 2 3 9 2 4" xfId="31149" xr:uid="{00000000-0005-0000-0000-0000FD330000}"/>
    <cellStyle name="Comma 2 4 2 3 9 2 5" xfId="35432" xr:uid="{00000000-0005-0000-0000-0000FE330000}"/>
    <cellStyle name="Comma 2 4 2 3 9 3" xfId="15487" xr:uid="{00000000-0005-0000-0000-0000FF330000}"/>
    <cellStyle name="Comma 2 4 2 3 9 3 2" xfId="24502" xr:uid="{00000000-0005-0000-0000-000000340000}"/>
    <cellStyle name="Comma 2 4 2 3 9 3 2 2" xfId="43931" xr:uid="{00000000-0005-0000-0000-000001340000}"/>
    <cellStyle name="Comma 2 4 2 3 9 3 2 3" xfId="37508" xr:uid="{00000000-0005-0000-0000-000002340000}"/>
    <cellStyle name="Comma 2 4 2 3 9 3 3" xfId="28823" xr:uid="{00000000-0005-0000-0000-000003340000}"/>
    <cellStyle name="Comma 2 4 2 3 9 3 3 2" xfId="40724" xr:uid="{00000000-0005-0000-0000-000004340000}"/>
    <cellStyle name="Comma 2 4 2 3 9 3 4" xfId="32158" xr:uid="{00000000-0005-0000-0000-000005340000}"/>
    <cellStyle name="Comma 2 4 2 3 9 3 5" xfId="34300" xr:uid="{00000000-0005-0000-0000-000006340000}"/>
    <cellStyle name="Comma 2 4 2 3 9 4" xfId="8305" xr:uid="{00000000-0005-0000-0000-000007340000}"/>
    <cellStyle name="Comma 2 4 2 3 9 4 2" xfId="42921" xr:uid="{00000000-0005-0000-0000-000008340000}"/>
    <cellStyle name="Comma 2 4 2 3 9 4 3" xfId="36497" xr:uid="{00000000-0005-0000-0000-000009340000}"/>
    <cellStyle name="Comma 2 4 2 3 9 5" xfId="21294" xr:uid="{00000000-0005-0000-0000-00000A340000}"/>
    <cellStyle name="Comma 2 4 2 3 9 5 2" xfId="39714" xr:uid="{00000000-0005-0000-0000-00000B340000}"/>
    <cellStyle name="Comma 2 4 2 3 9 6" xfId="22367" xr:uid="{00000000-0005-0000-0000-00000C340000}"/>
    <cellStyle name="Comma 2 4 2 3 9 7" xfId="23492" xr:uid="{00000000-0005-0000-0000-00000D340000}"/>
    <cellStyle name="Comma 2 4 2 3 9 8" xfId="26689" xr:uid="{00000000-0005-0000-0000-00000E340000}"/>
    <cellStyle name="Comma 2 4 2 3 9 9" xfId="30022" xr:uid="{00000000-0005-0000-0000-00000F340000}"/>
    <cellStyle name="Comma 2 4 2 4" xfId="200" xr:uid="{00000000-0005-0000-0000-000010340000}"/>
    <cellStyle name="Comma 2 4 2 4 10" xfId="15488" xr:uid="{00000000-0005-0000-0000-000011340000}"/>
    <cellStyle name="Comma 2 4 2 4 10 2" xfId="24503" xr:uid="{00000000-0005-0000-0000-000012340000}"/>
    <cellStyle name="Comma 2 4 2 4 10 2 2" xfId="43932" xr:uid="{00000000-0005-0000-0000-000013340000}"/>
    <cellStyle name="Comma 2 4 2 4 10 2 3" xfId="37509" xr:uid="{00000000-0005-0000-0000-000014340000}"/>
    <cellStyle name="Comma 2 4 2 4 10 3" xfId="28824" xr:uid="{00000000-0005-0000-0000-000015340000}"/>
    <cellStyle name="Comma 2 4 2 4 10 3 2" xfId="40725" xr:uid="{00000000-0005-0000-0000-000016340000}"/>
    <cellStyle name="Comma 2 4 2 4 10 4" xfId="32159" xr:uid="{00000000-0005-0000-0000-000017340000}"/>
    <cellStyle name="Comma 2 4 2 4 10 5" xfId="34301" xr:uid="{00000000-0005-0000-0000-000018340000}"/>
    <cellStyle name="Comma 2 4 2 4 11" xfId="8306" xr:uid="{00000000-0005-0000-0000-000019340000}"/>
    <cellStyle name="Comma 2 4 2 4 11 2" xfId="42419" xr:uid="{00000000-0005-0000-0000-00001A340000}"/>
    <cellStyle name="Comma 2 4 2 4 11 3" xfId="35995" xr:uid="{00000000-0005-0000-0000-00001B340000}"/>
    <cellStyle name="Comma 2 4 2 4 12" xfId="21295" xr:uid="{00000000-0005-0000-0000-00001C340000}"/>
    <cellStyle name="Comma 2 4 2 4 12 2" xfId="39212" xr:uid="{00000000-0005-0000-0000-00001D340000}"/>
    <cellStyle name="Comma 2 4 2 4 13" xfId="22368" xr:uid="{00000000-0005-0000-0000-00001E340000}"/>
    <cellStyle name="Comma 2 4 2 4 14" xfId="22990" xr:uid="{00000000-0005-0000-0000-00001F340000}"/>
    <cellStyle name="Comma 2 4 2 4 15" xfId="26690" xr:uid="{00000000-0005-0000-0000-000020340000}"/>
    <cellStyle name="Comma 2 4 2 4 16" xfId="30023" xr:uid="{00000000-0005-0000-0000-000021340000}"/>
    <cellStyle name="Comma 2 4 2 4 17" xfId="32788" xr:uid="{00000000-0005-0000-0000-000022340000}"/>
    <cellStyle name="Comma 2 4 2 4 2" xfId="193" xr:uid="{00000000-0005-0000-0000-000023340000}"/>
    <cellStyle name="Comma 2 4 2 4 2 10" xfId="21296" xr:uid="{00000000-0005-0000-0000-000024340000}"/>
    <cellStyle name="Comma 2 4 2 4 2 10 2" xfId="39207" xr:uid="{00000000-0005-0000-0000-000025340000}"/>
    <cellStyle name="Comma 2 4 2 4 2 11" xfId="22369" xr:uid="{00000000-0005-0000-0000-000026340000}"/>
    <cellStyle name="Comma 2 4 2 4 2 12" xfId="22985" xr:uid="{00000000-0005-0000-0000-000027340000}"/>
    <cellStyle name="Comma 2 4 2 4 2 13" xfId="26691" xr:uid="{00000000-0005-0000-0000-000028340000}"/>
    <cellStyle name="Comma 2 4 2 4 2 14" xfId="30024" xr:uid="{00000000-0005-0000-0000-000029340000}"/>
    <cellStyle name="Comma 2 4 2 4 2 15" xfId="32783" xr:uid="{00000000-0005-0000-0000-00002A340000}"/>
    <cellStyle name="Comma 2 4 2 4 2 2" xfId="1067" xr:uid="{00000000-0005-0000-0000-00002B340000}"/>
    <cellStyle name="Comma 2 4 2 4 2 2 10" xfId="33291" xr:uid="{00000000-0005-0000-0000-00002C340000}"/>
    <cellStyle name="Comma 2 4 2 4 2 2 2" xfId="9837" xr:uid="{00000000-0005-0000-0000-00002D340000}"/>
    <cellStyle name="Comma 2 4 2 4 2 2 2 2" xfId="25637" xr:uid="{00000000-0005-0000-0000-00002E340000}"/>
    <cellStyle name="Comma 2 4 2 4 2 2 2 2 2" xfId="45064" xr:uid="{00000000-0005-0000-0000-00002F340000}"/>
    <cellStyle name="Comma 2 4 2 4 2 2 2 2 3" xfId="38641" xr:uid="{00000000-0005-0000-0000-000030340000}"/>
    <cellStyle name="Comma 2 4 2 4 2 2 2 3" xfId="27815" xr:uid="{00000000-0005-0000-0000-000031340000}"/>
    <cellStyle name="Comma 2 4 2 4 2 2 2 3 2" xfId="41857" xr:uid="{00000000-0005-0000-0000-000032340000}"/>
    <cellStyle name="Comma 2 4 2 4 2 2 2 4" xfId="31150" xr:uid="{00000000-0005-0000-0000-000033340000}"/>
    <cellStyle name="Comma 2 4 2 4 2 2 2 5" xfId="35433" xr:uid="{00000000-0005-0000-0000-000034340000}"/>
    <cellStyle name="Comma 2 4 2 4 2 2 3" xfId="15490" xr:uid="{00000000-0005-0000-0000-000035340000}"/>
    <cellStyle name="Comma 2 4 2 4 2 2 3 2" xfId="24505" xr:uid="{00000000-0005-0000-0000-000036340000}"/>
    <cellStyle name="Comma 2 4 2 4 2 2 3 2 2" xfId="43934" xr:uid="{00000000-0005-0000-0000-000037340000}"/>
    <cellStyle name="Comma 2 4 2 4 2 2 3 2 3" xfId="37511" xr:uid="{00000000-0005-0000-0000-000038340000}"/>
    <cellStyle name="Comma 2 4 2 4 2 2 3 3" xfId="28826" xr:uid="{00000000-0005-0000-0000-000039340000}"/>
    <cellStyle name="Comma 2 4 2 4 2 2 3 3 2" xfId="40727" xr:uid="{00000000-0005-0000-0000-00003A340000}"/>
    <cellStyle name="Comma 2 4 2 4 2 2 3 4" xfId="32161" xr:uid="{00000000-0005-0000-0000-00003B340000}"/>
    <cellStyle name="Comma 2 4 2 4 2 2 3 5" xfId="34303" xr:uid="{00000000-0005-0000-0000-00003C340000}"/>
    <cellStyle name="Comma 2 4 2 4 2 2 4" xfId="8308" xr:uid="{00000000-0005-0000-0000-00003D340000}"/>
    <cellStyle name="Comma 2 4 2 4 2 2 4 2" xfId="42922" xr:uid="{00000000-0005-0000-0000-00003E340000}"/>
    <cellStyle name="Comma 2 4 2 4 2 2 4 3" xfId="36498" xr:uid="{00000000-0005-0000-0000-00003F340000}"/>
    <cellStyle name="Comma 2 4 2 4 2 2 5" xfId="21297" xr:uid="{00000000-0005-0000-0000-000040340000}"/>
    <cellStyle name="Comma 2 4 2 4 2 2 5 2" xfId="39715" xr:uid="{00000000-0005-0000-0000-000041340000}"/>
    <cellStyle name="Comma 2 4 2 4 2 2 6" xfId="22370" xr:uid="{00000000-0005-0000-0000-000042340000}"/>
    <cellStyle name="Comma 2 4 2 4 2 2 7" xfId="23493" xr:uid="{00000000-0005-0000-0000-000043340000}"/>
    <cellStyle name="Comma 2 4 2 4 2 2 8" xfId="26692" xr:uid="{00000000-0005-0000-0000-000044340000}"/>
    <cellStyle name="Comma 2 4 2 4 2 2 9" xfId="30025" xr:uid="{00000000-0005-0000-0000-000045340000}"/>
    <cellStyle name="Comma 2 4 2 4 2 3" xfId="1068" xr:uid="{00000000-0005-0000-0000-000046340000}"/>
    <cellStyle name="Comma 2 4 2 4 2 3 10" xfId="33292" xr:uid="{00000000-0005-0000-0000-000047340000}"/>
    <cellStyle name="Comma 2 4 2 4 2 3 2" xfId="9838" xr:uid="{00000000-0005-0000-0000-000048340000}"/>
    <cellStyle name="Comma 2 4 2 4 2 3 2 2" xfId="25638" xr:uid="{00000000-0005-0000-0000-000049340000}"/>
    <cellStyle name="Comma 2 4 2 4 2 3 2 2 2" xfId="45065" xr:uid="{00000000-0005-0000-0000-00004A340000}"/>
    <cellStyle name="Comma 2 4 2 4 2 3 2 2 3" xfId="38642" xr:uid="{00000000-0005-0000-0000-00004B340000}"/>
    <cellStyle name="Comma 2 4 2 4 2 3 2 3" xfId="27816" xr:uid="{00000000-0005-0000-0000-00004C340000}"/>
    <cellStyle name="Comma 2 4 2 4 2 3 2 3 2" xfId="41858" xr:uid="{00000000-0005-0000-0000-00004D340000}"/>
    <cellStyle name="Comma 2 4 2 4 2 3 2 4" xfId="31151" xr:uid="{00000000-0005-0000-0000-00004E340000}"/>
    <cellStyle name="Comma 2 4 2 4 2 3 2 5" xfId="35434" xr:uid="{00000000-0005-0000-0000-00004F340000}"/>
    <cellStyle name="Comma 2 4 2 4 2 3 3" xfId="15491" xr:uid="{00000000-0005-0000-0000-000050340000}"/>
    <cellStyle name="Comma 2 4 2 4 2 3 3 2" xfId="24506" xr:uid="{00000000-0005-0000-0000-000051340000}"/>
    <cellStyle name="Comma 2 4 2 4 2 3 3 2 2" xfId="43935" xr:uid="{00000000-0005-0000-0000-000052340000}"/>
    <cellStyle name="Comma 2 4 2 4 2 3 3 2 3" xfId="37512" xr:uid="{00000000-0005-0000-0000-000053340000}"/>
    <cellStyle name="Comma 2 4 2 4 2 3 3 3" xfId="28827" xr:uid="{00000000-0005-0000-0000-000054340000}"/>
    <cellStyle name="Comma 2 4 2 4 2 3 3 3 2" xfId="40728" xr:uid="{00000000-0005-0000-0000-000055340000}"/>
    <cellStyle name="Comma 2 4 2 4 2 3 3 4" xfId="32162" xr:uid="{00000000-0005-0000-0000-000056340000}"/>
    <cellStyle name="Comma 2 4 2 4 2 3 3 5" xfId="34304" xr:uid="{00000000-0005-0000-0000-000057340000}"/>
    <cellStyle name="Comma 2 4 2 4 2 3 4" xfId="8309" xr:uid="{00000000-0005-0000-0000-000058340000}"/>
    <cellStyle name="Comma 2 4 2 4 2 3 4 2" xfId="42923" xr:uid="{00000000-0005-0000-0000-000059340000}"/>
    <cellStyle name="Comma 2 4 2 4 2 3 4 3" xfId="36499" xr:uid="{00000000-0005-0000-0000-00005A340000}"/>
    <cellStyle name="Comma 2 4 2 4 2 3 5" xfId="21298" xr:uid="{00000000-0005-0000-0000-00005B340000}"/>
    <cellStyle name="Comma 2 4 2 4 2 3 5 2" xfId="39716" xr:uid="{00000000-0005-0000-0000-00005C340000}"/>
    <cellStyle name="Comma 2 4 2 4 2 3 6" xfId="22371" xr:uid="{00000000-0005-0000-0000-00005D340000}"/>
    <cellStyle name="Comma 2 4 2 4 2 3 7" xfId="23494" xr:uid="{00000000-0005-0000-0000-00005E340000}"/>
    <cellStyle name="Comma 2 4 2 4 2 3 8" xfId="26693" xr:uid="{00000000-0005-0000-0000-00005F340000}"/>
    <cellStyle name="Comma 2 4 2 4 2 3 9" xfId="30026" xr:uid="{00000000-0005-0000-0000-000060340000}"/>
    <cellStyle name="Comma 2 4 2 4 2 4" xfId="1069" xr:uid="{00000000-0005-0000-0000-000061340000}"/>
    <cellStyle name="Comma 2 4 2 4 2 4 10" xfId="33293" xr:uid="{00000000-0005-0000-0000-000062340000}"/>
    <cellStyle name="Comma 2 4 2 4 2 4 2" xfId="9839" xr:uid="{00000000-0005-0000-0000-000063340000}"/>
    <cellStyle name="Comma 2 4 2 4 2 4 2 2" xfId="25639" xr:uid="{00000000-0005-0000-0000-000064340000}"/>
    <cellStyle name="Comma 2 4 2 4 2 4 2 2 2" xfId="45066" xr:uid="{00000000-0005-0000-0000-000065340000}"/>
    <cellStyle name="Comma 2 4 2 4 2 4 2 2 3" xfId="38643" xr:uid="{00000000-0005-0000-0000-000066340000}"/>
    <cellStyle name="Comma 2 4 2 4 2 4 2 3" xfId="27817" xr:uid="{00000000-0005-0000-0000-000067340000}"/>
    <cellStyle name="Comma 2 4 2 4 2 4 2 3 2" xfId="41859" xr:uid="{00000000-0005-0000-0000-000068340000}"/>
    <cellStyle name="Comma 2 4 2 4 2 4 2 4" xfId="31152" xr:uid="{00000000-0005-0000-0000-000069340000}"/>
    <cellStyle name="Comma 2 4 2 4 2 4 2 5" xfId="35435" xr:uid="{00000000-0005-0000-0000-00006A340000}"/>
    <cellStyle name="Comma 2 4 2 4 2 4 3" xfId="15492" xr:uid="{00000000-0005-0000-0000-00006B340000}"/>
    <cellStyle name="Comma 2 4 2 4 2 4 3 2" xfId="24507" xr:uid="{00000000-0005-0000-0000-00006C340000}"/>
    <cellStyle name="Comma 2 4 2 4 2 4 3 2 2" xfId="43936" xr:uid="{00000000-0005-0000-0000-00006D340000}"/>
    <cellStyle name="Comma 2 4 2 4 2 4 3 2 3" xfId="37513" xr:uid="{00000000-0005-0000-0000-00006E340000}"/>
    <cellStyle name="Comma 2 4 2 4 2 4 3 3" xfId="28828" xr:uid="{00000000-0005-0000-0000-00006F340000}"/>
    <cellStyle name="Comma 2 4 2 4 2 4 3 3 2" xfId="40729" xr:uid="{00000000-0005-0000-0000-000070340000}"/>
    <cellStyle name="Comma 2 4 2 4 2 4 3 4" xfId="32163" xr:uid="{00000000-0005-0000-0000-000071340000}"/>
    <cellStyle name="Comma 2 4 2 4 2 4 3 5" xfId="34305" xr:uid="{00000000-0005-0000-0000-000072340000}"/>
    <cellStyle name="Comma 2 4 2 4 2 4 4" xfId="8310" xr:uid="{00000000-0005-0000-0000-000073340000}"/>
    <cellStyle name="Comma 2 4 2 4 2 4 4 2" xfId="42924" xr:uid="{00000000-0005-0000-0000-000074340000}"/>
    <cellStyle name="Comma 2 4 2 4 2 4 4 3" xfId="36500" xr:uid="{00000000-0005-0000-0000-000075340000}"/>
    <cellStyle name="Comma 2 4 2 4 2 4 5" xfId="21299" xr:uid="{00000000-0005-0000-0000-000076340000}"/>
    <cellStyle name="Comma 2 4 2 4 2 4 5 2" xfId="39717" xr:uid="{00000000-0005-0000-0000-000077340000}"/>
    <cellStyle name="Comma 2 4 2 4 2 4 6" xfId="22372" xr:uid="{00000000-0005-0000-0000-000078340000}"/>
    <cellStyle name="Comma 2 4 2 4 2 4 7" xfId="23495" xr:uid="{00000000-0005-0000-0000-000079340000}"/>
    <cellStyle name="Comma 2 4 2 4 2 4 8" xfId="26694" xr:uid="{00000000-0005-0000-0000-00007A340000}"/>
    <cellStyle name="Comma 2 4 2 4 2 4 9" xfId="30027" xr:uid="{00000000-0005-0000-0000-00007B340000}"/>
    <cellStyle name="Comma 2 4 2 4 2 5" xfId="1070" xr:uid="{00000000-0005-0000-0000-00007C340000}"/>
    <cellStyle name="Comma 2 4 2 4 2 5 10" xfId="33294" xr:uid="{00000000-0005-0000-0000-00007D340000}"/>
    <cellStyle name="Comma 2 4 2 4 2 5 2" xfId="9840" xr:uid="{00000000-0005-0000-0000-00007E340000}"/>
    <cellStyle name="Comma 2 4 2 4 2 5 2 2" xfId="25640" xr:uid="{00000000-0005-0000-0000-00007F340000}"/>
    <cellStyle name="Comma 2 4 2 4 2 5 2 2 2" xfId="45067" xr:uid="{00000000-0005-0000-0000-000080340000}"/>
    <cellStyle name="Comma 2 4 2 4 2 5 2 2 3" xfId="38644" xr:uid="{00000000-0005-0000-0000-000081340000}"/>
    <cellStyle name="Comma 2 4 2 4 2 5 2 3" xfId="27818" xr:uid="{00000000-0005-0000-0000-000082340000}"/>
    <cellStyle name="Comma 2 4 2 4 2 5 2 3 2" xfId="41860" xr:uid="{00000000-0005-0000-0000-000083340000}"/>
    <cellStyle name="Comma 2 4 2 4 2 5 2 4" xfId="31153" xr:uid="{00000000-0005-0000-0000-000084340000}"/>
    <cellStyle name="Comma 2 4 2 4 2 5 2 5" xfId="35436" xr:uid="{00000000-0005-0000-0000-000085340000}"/>
    <cellStyle name="Comma 2 4 2 4 2 5 3" xfId="15493" xr:uid="{00000000-0005-0000-0000-000086340000}"/>
    <cellStyle name="Comma 2 4 2 4 2 5 3 2" xfId="24508" xr:uid="{00000000-0005-0000-0000-000087340000}"/>
    <cellStyle name="Comma 2 4 2 4 2 5 3 2 2" xfId="43937" xr:uid="{00000000-0005-0000-0000-000088340000}"/>
    <cellStyle name="Comma 2 4 2 4 2 5 3 2 3" xfId="37514" xr:uid="{00000000-0005-0000-0000-000089340000}"/>
    <cellStyle name="Comma 2 4 2 4 2 5 3 3" xfId="28829" xr:uid="{00000000-0005-0000-0000-00008A340000}"/>
    <cellStyle name="Comma 2 4 2 4 2 5 3 3 2" xfId="40730" xr:uid="{00000000-0005-0000-0000-00008B340000}"/>
    <cellStyle name="Comma 2 4 2 4 2 5 3 4" xfId="32164" xr:uid="{00000000-0005-0000-0000-00008C340000}"/>
    <cellStyle name="Comma 2 4 2 4 2 5 3 5" xfId="34306" xr:uid="{00000000-0005-0000-0000-00008D340000}"/>
    <cellStyle name="Comma 2 4 2 4 2 5 4" xfId="8311" xr:uid="{00000000-0005-0000-0000-00008E340000}"/>
    <cellStyle name="Comma 2 4 2 4 2 5 4 2" xfId="42925" xr:uid="{00000000-0005-0000-0000-00008F340000}"/>
    <cellStyle name="Comma 2 4 2 4 2 5 4 3" xfId="36501" xr:uid="{00000000-0005-0000-0000-000090340000}"/>
    <cellStyle name="Comma 2 4 2 4 2 5 5" xfId="21300" xr:uid="{00000000-0005-0000-0000-000091340000}"/>
    <cellStyle name="Comma 2 4 2 4 2 5 5 2" xfId="39718" xr:uid="{00000000-0005-0000-0000-000092340000}"/>
    <cellStyle name="Comma 2 4 2 4 2 5 6" xfId="22373" xr:uid="{00000000-0005-0000-0000-000093340000}"/>
    <cellStyle name="Comma 2 4 2 4 2 5 7" xfId="23496" xr:uid="{00000000-0005-0000-0000-000094340000}"/>
    <cellStyle name="Comma 2 4 2 4 2 5 8" xfId="26695" xr:uid="{00000000-0005-0000-0000-000095340000}"/>
    <cellStyle name="Comma 2 4 2 4 2 5 9" xfId="30028" xr:uid="{00000000-0005-0000-0000-000096340000}"/>
    <cellStyle name="Comma 2 4 2 4 2 6" xfId="1071" xr:uid="{00000000-0005-0000-0000-000097340000}"/>
    <cellStyle name="Comma 2 4 2 4 2 6 10" xfId="33295" xr:uid="{00000000-0005-0000-0000-000098340000}"/>
    <cellStyle name="Comma 2 4 2 4 2 6 2" xfId="9841" xr:uid="{00000000-0005-0000-0000-000099340000}"/>
    <cellStyle name="Comma 2 4 2 4 2 6 2 2" xfId="25641" xr:uid="{00000000-0005-0000-0000-00009A340000}"/>
    <cellStyle name="Comma 2 4 2 4 2 6 2 2 2" xfId="45068" xr:uid="{00000000-0005-0000-0000-00009B340000}"/>
    <cellStyle name="Comma 2 4 2 4 2 6 2 2 3" xfId="38645" xr:uid="{00000000-0005-0000-0000-00009C340000}"/>
    <cellStyle name="Comma 2 4 2 4 2 6 2 3" xfId="27819" xr:uid="{00000000-0005-0000-0000-00009D340000}"/>
    <cellStyle name="Comma 2 4 2 4 2 6 2 3 2" xfId="41861" xr:uid="{00000000-0005-0000-0000-00009E340000}"/>
    <cellStyle name="Comma 2 4 2 4 2 6 2 4" xfId="31154" xr:uid="{00000000-0005-0000-0000-00009F340000}"/>
    <cellStyle name="Comma 2 4 2 4 2 6 2 5" xfId="35437" xr:uid="{00000000-0005-0000-0000-0000A0340000}"/>
    <cellStyle name="Comma 2 4 2 4 2 6 3" xfId="15494" xr:uid="{00000000-0005-0000-0000-0000A1340000}"/>
    <cellStyle name="Comma 2 4 2 4 2 6 3 2" xfId="24509" xr:uid="{00000000-0005-0000-0000-0000A2340000}"/>
    <cellStyle name="Comma 2 4 2 4 2 6 3 2 2" xfId="43938" xr:uid="{00000000-0005-0000-0000-0000A3340000}"/>
    <cellStyle name="Comma 2 4 2 4 2 6 3 2 3" xfId="37515" xr:uid="{00000000-0005-0000-0000-0000A4340000}"/>
    <cellStyle name="Comma 2 4 2 4 2 6 3 3" xfId="28830" xr:uid="{00000000-0005-0000-0000-0000A5340000}"/>
    <cellStyle name="Comma 2 4 2 4 2 6 3 3 2" xfId="40731" xr:uid="{00000000-0005-0000-0000-0000A6340000}"/>
    <cellStyle name="Comma 2 4 2 4 2 6 3 4" xfId="32165" xr:uid="{00000000-0005-0000-0000-0000A7340000}"/>
    <cellStyle name="Comma 2 4 2 4 2 6 3 5" xfId="34307" xr:uid="{00000000-0005-0000-0000-0000A8340000}"/>
    <cellStyle name="Comma 2 4 2 4 2 6 4" xfId="8312" xr:uid="{00000000-0005-0000-0000-0000A9340000}"/>
    <cellStyle name="Comma 2 4 2 4 2 6 4 2" xfId="42926" xr:uid="{00000000-0005-0000-0000-0000AA340000}"/>
    <cellStyle name="Comma 2 4 2 4 2 6 4 3" xfId="36502" xr:uid="{00000000-0005-0000-0000-0000AB340000}"/>
    <cellStyle name="Comma 2 4 2 4 2 6 5" xfId="21301" xr:uid="{00000000-0005-0000-0000-0000AC340000}"/>
    <cellStyle name="Comma 2 4 2 4 2 6 5 2" xfId="39719" xr:uid="{00000000-0005-0000-0000-0000AD340000}"/>
    <cellStyle name="Comma 2 4 2 4 2 6 6" xfId="22374" xr:uid="{00000000-0005-0000-0000-0000AE340000}"/>
    <cellStyle name="Comma 2 4 2 4 2 6 7" xfId="23497" xr:uid="{00000000-0005-0000-0000-0000AF340000}"/>
    <cellStyle name="Comma 2 4 2 4 2 6 8" xfId="26696" xr:uid="{00000000-0005-0000-0000-0000B0340000}"/>
    <cellStyle name="Comma 2 4 2 4 2 6 9" xfId="30029" xr:uid="{00000000-0005-0000-0000-0000B1340000}"/>
    <cellStyle name="Comma 2 4 2 4 2 7" xfId="9069" xr:uid="{00000000-0005-0000-0000-0000B2340000}"/>
    <cellStyle name="Comma 2 4 2 4 2 7 2" xfId="25124" xr:uid="{00000000-0005-0000-0000-0000B3340000}"/>
    <cellStyle name="Comma 2 4 2 4 2 7 2 2" xfId="44551" xr:uid="{00000000-0005-0000-0000-0000B4340000}"/>
    <cellStyle name="Comma 2 4 2 4 2 7 2 3" xfId="38128" xr:uid="{00000000-0005-0000-0000-0000B5340000}"/>
    <cellStyle name="Comma 2 4 2 4 2 7 3" xfId="27303" xr:uid="{00000000-0005-0000-0000-0000B6340000}"/>
    <cellStyle name="Comma 2 4 2 4 2 7 3 2" xfId="41344" xr:uid="{00000000-0005-0000-0000-0000B7340000}"/>
    <cellStyle name="Comma 2 4 2 4 2 7 4" xfId="30638" xr:uid="{00000000-0005-0000-0000-0000B8340000}"/>
    <cellStyle name="Comma 2 4 2 4 2 7 5" xfId="34920" xr:uid="{00000000-0005-0000-0000-0000B9340000}"/>
    <cellStyle name="Comma 2 4 2 4 2 8" xfId="15489" xr:uid="{00000000-0005-0000-0000-0000BA340000}"/>
    <cellStyle name="Comma 2 4 2 4 2 8 2" xfId="24504" xr:uid="{00000000-0005-0000-0000-0000BB340000}"/>
    <cellStyle name="Comma 2 4 2 4 2 8 2 2" xfId="43933" xr:uid="{00000000-0005-0000-0000-0000BC340000}"/>
    <cellStyle name="Comma 2 4 2 4 2 8 2 3" xfId="37510" xr:uid="{00000000-0005-0000-0000-0000BD340000}"/>
    <cellStyle name="Comma 2 4 2 4 2 8 3" xfId="28825" xr:uid="{00000000-0005-0000-0000-0000BE340000}"/>
    <cellStyle name="Comma 2 4 2 4 2 8 3 2" xfId="40726" xr:uid="{00000000-0005-0000-0000-0000BF340000}"/>
    <cellStyle name="Comma 2 4 2 4 2 8 4" xfId="32160" xr:uid="{00000000-0005-0000-0000-0000C0340000}"/>
    <cellStyle name="Comma 2 4 2 4 2 8 5" xfId="34302" xr:uid="{00000000-0005-0000-0000-0000C1340000}"/>
    <cellStyle name="Comma 2 4 2 4 2 9" xfId="8307" xr:uid="{00000000-0005-0000-0000-0000C2340000}"/>
    <cellStyle name="Comma 2 4 2 4 2 9 2" xfId="42414" xr:uid="{00000000-0005-0000-0000-0000C3340000}"/>
    <cellStyle name="Comma 2 4 2 4 2 9 3" xfId="35990" xr:uid="{00000000-0005-0000-0000-0000C4340000}"/>
    <cellStyle name="Comma 2 4 2 4 3" xfId="1072" xr:uid="{00000000-0005-0000-0000-0000C5340000}"/>
    <cellStyle name="Comma 2 4 2 4 3 10" xfId="22375" xr:uid="{00000000-0005-0000-0000-0000C6340000}"/>
    <cellStyle name="Comma 2 4 2 4 3 11" xfId="23498" xr:uid="{00000000-0005-0000-0000-0000C7340000}"/>
    <cellStyle name="Comma 2 4 2 4 3 12" xfId="26697" xr:uid="{00000000-0005-0000-0000-0000C8340000}"/>
    <cellStyle name="Comma 2 4 2 4 3 13" xfId="30030" xr:uid="{00000000-0005-0000-0000-0000C9340000}"/>
    <cellStyle name="Comma 2 4 2 4 3 14" xfId="33296" xr:uid="{00000000-0005-0000-0000-0000CA340000}"/>
    <cellStyle name="Comma 2 4 2 4 3 2" xfId="1073" xr:uid="{00000000-0005-0000-0000-0000CB340000}"/>
    <cellStyle name="Comma 2 4 2 4 3 2 10" xfId="33297" xr:uid="{00000000-0005-0000-0000-0000CC340000}"/>
    <cellStyle name="Comma 2 4 2 4 3 2 2" xfId="9843" xr:uid="{00000000-0005-0000-0000-0000CD340000}"/>
    <cellStyle name="Comma 2 4 2 4 3 2 2 2" xfId="25643" xr:uid="{00000000-0005-0000-0000-0000CE340000}"/>
    <cellStyle name="Comma 2 4 2 4 3 2 2 2 2" xfId="45070" xr:uid="{00000000-0005-0000-0000-0000CF340000}"/>
    <cellStyle name="Comma 2 4 2 4 3 2 2 2 3" xfId="38647" xr:uid="{00000000-0005-0000-0000-0000D0340000}"/>
    <cellStyle name="Comma 2 4 2 4 3 2 2 3" xfId="27821" xr:uid="{00000000-0005-0000-0000-0000D1340000}"/>
    <cellStyle name="Comma 2 4 2 4 3 2 2 3 2" xfId="41863" xr:uid="{00000000-0005-0000-0000-0000D2340000}"/>
    <cellStyle name="Comma 2 4 2 4 3 2 2 4" xfId="31156" xr:uid="{00000000-0005-0000-0000-0000D3340000}"/>
    <cellStyle name="Comma 2 4 2 4 3 2 2 5" xfId="35439" xr:uid="{00000000-0005-0000-0000-0000D4340000}"/>
    <cellStyle name="Comma 2 4 2 4 3 2 3" xfId="15496" xr:uid="{00000000-0005-0000-0000-0000D5340000}"/>
    <cellStyle name="Comma 2 4 2 4 3 2 3 2" xfId="24511" xr:uid="{00000000-0005-0000-0000-0000D6340000}"/>
    <cellStyle name="Comma 2 4 2 4 3 2 3 2 2" xfId="43940" xr:uid="{00000000-0005-0000-0000-0000D7340000}"/>
    <cellStyle name="Comma 2 4 2 4 3 2 3 2 3" xfId="37517" xr:uid="{00000000-0005-0000-0000-0000D8340000}"/>
    <cellStyle name="Comma 2 4 2 4 3 2 3 3" xfId="28832" xr:uid="{00000000-0005-0000-0000-0000D9340000}"/>
    <cellStyle name="Comma 2 4 2 4 3 2 3 3 2" xfId="40733" xr:uid="{00000000-0005-0000-0000-0000DA340000}"/>
    <cellStyle name="Comma 2 4 2 4 3 2 3 4" xfId="32167" xr:uid="{00000000-0005-0000-0000-0000DB340000}"/>
    <cellStyle name="Comma 2 4 2 4 3 2 3 5" xfId="34309" xr:uid="{00000000-0005-0000-0000-0000DC340000}"/>
    <cellStyle name="Comma 2 4 2 4 3 2 4" xfId="8314" xr:uid="{00000000-0005-0000-0000-0000DD340000}"/>
    <cellStyle name="Comma 2 4 2 4 3 2 4 2" xfId="42928" xr:uid="{00000000-0005-0000-0000-0000DE340000}"/>
    <cellStyle name="Comma 2 4 2 4 3 2 4 3" xfId="36504" xr:uid="{00000000-0005-0000-0000-0000DF340000}"/>
    <cellStyle name="Comma 2 4 2 4 3 2 5" xfId="21303" xr:uid="{00000000-0005-0000-0000-0000E0340000}"/>
    <cellStyle name="Comma 2 4 2 4 3 2 5 2" xfId="39721" xr:uid="{00000000-0005-0000-0000-0000E1340000}"/>
    <cellStyle name="Comma 2 4 2 4 3 2 6" xfId="22376" xr:uid="{00000000-0005-0000-0000-0000E2340000}"/>
    <cellStyle name="Comma 2 4 2 4 3 2 7" xfId="23499" xr:uid="{00000000-0005-0000-0000-0000E3340000}"/>
    <cellStyle name="Comma 2 4 2 4 3 2 8" xfId="26698" xr:uid="{00000000-0005-0000-0000-0000E4340000}"/>
    <cellStyle name="Comma 2 4 2 4 3 2 9" xfId="30031" xr:uid="{00000000-0005-0000-0000-0000E5340000}"/>
    <cellStyle name="Comma 2 4 2 4 3 3" xfId="1074" xr:uid="{00000000-0005-0000-0000-0000E6340000}"/>
    <cellStyle name="Comma 2 4 2 4 3 3 10" xfId="33298" xr:uid="{00000000-0005-0000-0000-0000E7340000}"/>
    <cellStyle name="Comma 2 4 2 4 3 3 2" xfId="9844" xr:uid="{00000000-0005-0000-0000-0000E8340000}"/>
    <cellStyle name="Comma 2 4 2 4 3 3 2 2" xfId="25644" xr:uid="{00000000-0005-0000-0000-0000E9340000}"/>
    <cellStyle name="Comma 2 4 2 4 3 3 2 2 2" xfId="45071" xr:uid="{00000000-0005-0000-0000-0000EA340000}"/>
    <cellStyle name="Comma 2 4 2 4 3 3 2 2 3" xfId="38648" xr:uid="{00000000-0005-0000-0000-0000EB340000}"/>
    <cellStyle name="Comma 2 4 2 4 3 3 2 3" xfId="27822" xr:uid="{00000000-0005-0000-0000-0000EC340000}"/>
    <cellStyle name="Comma 2 4 2 4 3 3 2 3 2" xfId="41864" xr:uid="{00000000-0005-0000-0000-0000ED340000}"/>
    <cellStyle name="Comma 2 4 2 4 3 3 2 4" xfId="31157" xr:uid="{00000000-0005-0000-0000-0000EE340000}"/>
    <cellStyle name="Comma 2 4 2 4 3 3 2 5" xfId="35440" xr:uid="{00000000-0005-0000-0000-0000EF340000}"/>
    <cellStyle name="Comma 2 4 2 4 3 3 3" xfId="15497" xr:uid="{00000000-0005-0000-0000-0000F0340000}"/>
    <cellStyle name="Comma 2 4 2 4 3 3 3 2" xfId="24512" xr:uid="{00000000-0005-0000-0000-0000F1340000}"/>
    <cellStyle name="Comma 2 4 2 4 3 3 3 2 2" xfId="43941" xr:uid="{00000000-0005-0000-0000-0000F2340000}"/>
    <cellStyle name="Comma 2 4 2 4 3 3 3 2 3" xfId="37518" xr:uid="{00000000-0005-0000-0000-0000F3340000}"/>
    <cellStyle name="Comma 2 4 2 4 3 3 3 3" xfId="28833" xr:uid="{00000000-0005-0000-0000-0000F4340000}"/>
    <cellStyle name="Comma 2 4 2 4 3 3 3 3 2" xfId="40734" xr:uid="{00000000-0005-0000-0000-0000F5340000}"/>
    <cellStyle name="Comma 2 4 2 4 3 3 3 4" xfId="32168" xr:uid="{00000000-0005-0000-0000-0000F6340000}"/>
    <cellStyle name="Comma 2 4 2 4 3 3 3 5" xfId="34310" xr:uid="{00000000-0005-0000-0000-0000F7340000}"/>
    <cellStyle name="Comma 2 4 2 4 3 3 4" xfId="8315" xr:uid="{00000000-0005-0000-0000-0000F8340000}"/>
    <cellStyle name="Comma 2 4 2 4 3 3 4 2" xfId="42929" xr:uid="{00000000-0005-0000-0000-0000F9340000}"/>
    <cellStyle name="Comma 2 4 2 4 3 3 4 3" xfId="36505" xr:uid="{00000000-0005-0000-0000-0000FA340000}"/>
    <cellStyle name="Comma 2 4 2 4 3 3 5" xfId="21304" xr:uid="{00000000-0005-0000-0000-0000FB340000}"/>
    <cellStyle name="Comma 2 4 2 4 3 3 5 2" xfId="39722" xr:uid="{00000000-0005-0000-0000-0000FC340000}"/>
    <cellStyle name="Comma 2 4 2 4 3 3 6" xfId="22377" xr:uid="{00000000-0005-0000-0000-0000FD340000}"/>
    <cellStyle name="Comma 2 4 2 4 3 3 7" xfId="23500" xr:uid="{00000000-0005-0000-0000-0000FE340000}"/>
    <cellStyle name="Comma 2 4 2 4 3 3 8" xfId="26699" xr:uid="{00000000-0005-0000-0000-0000FF340000}"/>
    <cellStyle name="Comma 2 4 2 4 3 3 9" xfId="30032" xr:uid="{00000000-0005-0000-0000-000000350000}"/>
    <cellStyle name="Comma 2 4 2 4 3 4" xfId="1075" xr:uid="{00000000-0005-0000-0000-000001350000}"/>
    <cellStyle name="Comma 2 4 2 4 3 4 10" xfId="33299" xr:uid="{00000000-0005-0000-0000-000002350000}"/>
    <cellStyle name="Comma 2 4 2 4 3 4 2" xfId="9845" xr:uid="{00000000-0005-0000-0000-000003350000}"/>
    <cellStyle name="Comma 2 4 2 4 3 4 2 2" xfId="25645" xr:uid="{00000000-0005-0000-0000-000004350000}"/>
    <cellStyle name="Comma 2 4 2 4 3 4 2 2 2" xfId="45072" xr:uid="{00000000-0005-0000-0000-000005350000}"/>
    <cellStyle name="Comma 2 4 2 4 3 4 2 2 3" xfId="38649" xr:uid="{00000000-0005-0000-0000-000006350000}"/>
    <cellStyle name="Comma 2 4 2 4 3 4 2 3" xfId="27823" xr:uid="{00000000-0005-0000-0000-000007350000}"/>
    <cellStyle name="Comma 2 4 2 4 3 4 2 3 2" xfId="41865" xr:uid="{00000000-0005-0000-0000-000008350000}"/>
    <cellStyle name="Comma 2 4 2 4 3 4 2 4" xfId="31158" xr:uid="{00000000-0005-0000-0000-000009350000}"/>
    <cellStyle name="Comma 2 4 2 4 3 4 2 5" xfId="35441" xr:uid="{00000000-0005-0000-0000-00000A350000}"/>
    <cellStyle name="Comma 2 4 2 4 3 4 3" xfId="15498" xr:uid="{00000000-0005-0000-0000-00000B350000}"/>
    <cellStyle name="Comma 2 4 2 4 3 4 3 2" xfId="24513" xr:uid="{00000000-0005-0000-0000-00000C350000}"/>
    <cellStyle name="Comma 2 4 2 4 3 4 3 2 2" xfId="43942" xr:uid="{00000000-0005-0000-0000-00000D350000}"/>
    <cellStyle name="Comma 2 4 2 4 3 4 3 2 3" xfId="37519" xr:uid="{00000000-0005-0000-0000-00000E350000}"/>
    <cellStyle name="Comma 2 4 2 4 3 4 3 3" xfId="28834" xr:uid="{00000000-0005-0000-0000-00000F350000}"/>
    <cellStyle name="Comma 2 4 2 4 3 4 3 3 2" xfId="40735" xr:uid="{00000000-0005-0000-0000-000010350000}"/>
    <cellStyle name="Comma 2 4 2 4 3 4 3 4" xfId="32169" xr:uid="{00000000-0005-0000-0000-000011350000}"/>
    <cellStyle name="Comma 2 4 2 4 3 4 3 5" xfId="34311" xr:uid="{00000000-0005-0000-0000-000012350000}"/>
    <cellStyle name="Comma 2 4 2 4 3 4 4" xfId="8316" xr:uid="{00000000-0005-0000-0000-000013350000}"/>
    <cellStyle name="Comma 2 4 2 4 3 4 4 2" xfId="42930" xr:uid="{00000000-0005-0000-0000-000014350000}"/>
    <cellStyle name="Comma 2 4 2 4 3 4 4 3" xfId="36506" xr:uid="{00000000-0005-0000-0000-000015350000}"/>
    <cellStyle name="Comma 2 4 2 4 3 4 5" xfId="21305" xr:uid="{00000000-0005-0000-0000-000016350000}"/>
    <cellStyle name="Comma 2 4 2 4 3 4 5 2" xfId="39723" xr:uid="{00000000-0005-0000-0000-000017350000}"/>
    <cellStyle name="Comma 2 4 2 4 3 4 6" xfId="22378" xr:uid="{00000000-0005-0000-0000-000018350000}"/>
    <cellStyle name="Comma 2 4 2 4 3 4 7" xfId="23501" xr:uid="{00000000-0005-0000-0000-000019350000}"/>
    <cellStyle name="Comma 2 4 2 4 3 4 8" xfId="26700" xr:uid="{00000000-0005-0000-0000-00001A350000}"/>
    <cellStyle name="Comma 2 4 2 4 3 4 9" xfId="30033" xr:uid="{00000000-0005-0000-0000-00001B350000}"/>
    <cellStyle name="Comma 2 4 2 4 3 5" xfId="1076" xr:uid="{00000000-0005-0000-0000-00001C350000}"/>
    <cellStyle name="Comma 2 4 2 4 3 5 10" xfId="33300" xr:uid="{00000000-0005-0000-0000-00001D350000}"/>
    <cellStyle name="Comma 2 4 2 4 3 5 2" xfId="9846" xr:uid="{00000000-0005-0000-0000-00001E350000}"/>
    <cellStyle name="Comma 2 4 2 4 3 5 2 2" xfId="25646" xr:uid="{00000000-0005-0000-0000-00001F350000}"/>
    <cellStyle name="Comma 2 4 2 4 3 5 2 2 2" xfId="45073" xr:uid="{00000000-0005-0000-0000-000020350000}"/>
    <cellStyle name="Comma 2 4 2 4 3 5 2 2 3" xfId="38650" xr:uid="{00000000-0005-0000-0000-000021350000}"/>
    <cellStyle name="Comma 2 4 2 4 3 5 2 3" xfId="27824" xr:uid="{00000000-0005-0000-0000-000022350000}"/>
    <cellStyle name="Comma 2 4 2 4 3 5 2 3 2" xfId="41866" xr:uid="{00000000-0005-0000-0000-000023350000}"/>
    <cellStyle name="Comma 2 4 2 4 3 5 2 4" xfId="31159" xr:uid="{00000000-0005-0000-0000-000024350000}"/>
    <cellStyle name="Comma 2 4 2 4 3 5 2 5" xfId="35442" xr:uid="{00000000-0005-0000-0000-000025350000}"/>
    <cellStyle name="Comma 2 4 2 4 3 5 3" xfId="15499" xr:uid="{00000000-0005-0000-0000-000026350000}"/>
    <cellStyle name="Comma 2 4 2 4 3 5 3 2" xfId="24514" xr:uid="{00000000-0005-0000-0000-000027350000}"/>
    <cellStyle name="Comma 2 4 2 4 3 5 3 2 2" xfId="43943" xr:uid="{00000000-0005-0000-0000-000028350000}"/>
    <cellStyle name="Comma 2 4 2 4 3 5 3 2 3" xfId="37520" xr:uid="{00000000-0005-0000-0000-000029350000}"/>
    <cellStyle name="Comma 2 4 2 4 3 5 3 3" xfId="28835" xr:uid="{00000000-0005-0000-0000-00002A350000}"/>
    <cellStyle name="Comma 2 4 2 4 3 5 3 3 2" xfId="40736" xr:uid="{00000000-0005-0000-0000-00002B350000}"/>
    <cellStyle name="Comma 2 4 2 4 3 5 3 4" xfId="32170" xr:uid="{00000000-0005-0000-0000-00002C350000}"/>
    <cellStyle name="Comma 2 4 2 4 3 5 3 5" xfId="34312" xr:uid="{00000000-0005-0000-0000-00002D350000}"/>
    <cellStyle name="Comma 2 4 2 4 3 5 4" xfId="8317" xr:uid="{00000000-0005-0000-0000-00002E350000}"/>
    <cellStyle name="Comma 2 4 2 4 3 5 4 2" xfId="42931" xr:uid="{00000000-0005-0000-0000-00002F350000}"/>
    <cellStyle name="Comma 2 4 2 4 3 5 4 3" xfId="36507" xr:uid="{00000000-0005-0000-0000-000030350000}"/>
    <cellStyle name="Comma 2 4 2 4 3 5 5" xfId="21306" xr:uid="{00000000-0005-0000-0000-000031350000}"/>
    <cellStyle name="Comma 2 4 2 4 3 5 5 2" xfId="39724" xr:uid="{00000000-0005-0000-0000-000032350000}"/>
    <cellStyle name="Comma 2 4 2 4 3 5 6" xfId="22379" xr:uid="{00000000-0005-0000-0000-000033350000}"/>
    <cellStyle name="Comma 2 4 2 4 3 5 7" xfId="23502" xr:uid="{00000000-0005-0000-0000-000034350000}"/>
    <cellStyle name="Comma 2 4 2 4 3 5 8" xfId="26701" xr:uid="{00000000-0005-0000-0000-000035350000}"/>
    <cellStyle name="Comma 2 4 2 4 3 5 9" xfId="30034" xr:uid="{00000000-0005-0000-0000-000036350000}"/>
    <cellStyle name="Comma 2 4 2 4 3 6" xfId="9842" xr:uid="{00000000-0005-0000-0000-000037350000}"/>
    <cellStyle name="Comma 2 4 2 4 3 6 2" xfId="25642" xr:uid="{00000000-0005-0000-0000-000038350000}"/>
    <cellStyle name="Comma 2 4 2 4 3 6 2 2" xfId="45069" xr:uid="{00000000-0005-0000-0000-000039350000}"/>
    <cellStyle name="Comma 2 4 2 4 3 6 2 3" xfId="38646" xr:uid="{00000000-0005-0000-0000-00003A350000}"/>
    <cellStyle name="Comma 2 4 2 4 3 6 3" xfId="27820" xr:uid="{00000000-0005-0000-0000-00003B350000}"/>
    <cellStyle name="Comma 2 4 2 4 3 6 3 2" xfId="41862" xr:uid="{00000000-0005-0000-0000-00003C350000}"/>
    <cellStyle name="Comma 2 4 2 4 3 6 4" xfId="31155" xr:uid="{00000000-0005-0000-0000-00003D350000}"/>
    <cellStyle name="Comma 2 4 2 4 3 6 5" xfId="35438" xr:uid="{00000000-0005-0000-0000-00003E350000}"/>
    <cellStyle name="Comma 2 4 2 4 3 7" xfId="15495" xr:uid="{00000000-0005-0000-0000-00003F350000}"/>
    <cellStyle name="Comma 2 4 2 4 3 7 2" xfId="24510" xr:uid="{00000000-0005-0000-0000-000040350000}"/>
    <cellStyle name="Comma 2 4 2 4 3 7 2 2" xfId="43939" xr:uid="{00000000-0005-0000-0000-000041350000}"/>
    <cellStyle name="Comma 2 4 2 4 3 7 2 3" xfId="37516" xr:uid="{00000000-0005-0000-0000-000042350000}"/>
    <cellStyle name="Comma 2 4 2 4 3 7 3" xfId="28831" xr:uid="{00000000-0005-0000-0000-000043350000}"/>
    <cellStyle name="Comma 2 4 2 4 3 7 3 2" xfId="40732" xr:uid="{00000000-0005-0000-0000-000044350000}"/>
    <cellStyle name="Comma 2 4 2 4 3 7 4" xfId="32166" xr:uid="{00000000-0005-0000-0000-000045350000}"/>
    <cellStyle name="Comma 2 4 2 4 3 7 5" xfId="34308" xr:uid="{00000000-0005-0000-0000-000046350000}"/>
    <cellStyle name="Comma 2 4 2 4 3 8" xfId="8313" xr:uid="{00000000-0005-0000-0000-000047350000}"/>
    <cellStyle name="Comma 2 4 2 4 3 8 2" xfId="42927" xr:uid="{00000000-0005-0000-0000-000048350000}"/>
    <cellStyle name="Comma 2 4 2 4 3 8 3" xfId="36503" xr:uid="{00000000-0005-0000-0000-000049350000}"/>
    <cellStyle name="Comma 2 4 2 4 3 9" xfId="21302" xr:uid="{00000000-0005-0000-0000-00004A350000}"/>
    <cellStyle name="Comma 2 4 2 4 3 9 2" xfId="39720" xr:uid="{00000000-0005-0000-0000-00004B350000}"/>
    <cellStyle name="Comma 2 4 2 4 4" xfId="1077" xr:uid="{00000000-0005-0000-0000-00004C350000}"/>
    <cellStyle name="Comma 2 4 2 4 4 10" xfId="33301" xr:uid="{00000000-0005-0000-0000-00004D350000}"/>
    <cellStyle name="Comma 2 4 2 4 4 2" xfId="9847" xr:uid="{00000000-0005-0000-0000-00004E350000}"/>
    <cellStyle name="Comma 2 4 2 4 4 2 2" xfId="25647" xr:uid="{00000000-0005-0000-0000-00004F350000}"/>
    <cellStyle name="Comma 2 4 2 4 4 2 2 2" xfId="45074" xr:uid="{00000000-0005-0000-0000-000050350000}"/>
    <cellStyle name="Comma 2 4 2 4 4 2 2 3" xfId="38651" xr:uid="{00000000-0005-0000-0000-000051350000}"/>
    <cellStyle name="Comma 2 4 2 4 4 2 3" xfId="27825" xr:uid="{00000000-0005-0000-0000-000052350000}"/>
    <cellStyle name="Comma 2 4 2 4 4 2 3 2" xfId="41867" xr:uid="{00000000-0005-0000-0000-000053350000}"/>
    <cellStyle name="Comma 2 4 2 4 4 2 4" xfId="31160" xr:uid="{00000000-0005-0000-0000-000054350000}"/>
    <cellStyle name="Comma 2 4 2 4 4 2 5" xfId="35443" xr:uid="{00000000-0005-0000-0000-000055350000}"/>
    <cellStyle name="Comma 2 4 2 4 4 3" xfId="15500" xr:uid="{00000000-0005-0000-0000-000056350000}"/>
    <cellStyle name="Comma 2 4 2 4 4 3 2" xfId="24515" xr:uid="{00000000-0005-0000-0000-000057350000}"/>
    <cellStyle name="Comma 2 4 2 4 4 3 2 2" xfId="43944" xr:uid="{00000000-0005-0000-0000-000058350000}"/>
    <cellStyle name="Comma 2 4 2 4 4 3 2 3" xfId="37521" xr:uid="{00000000-0005-0000-0000-000059350000}"/>
    <cellStyle name="Comma 2 4 2 4 4 3 3" xfId="28836" xr:uid="{00000000-0005-0000-0000-00005A350000}"/>
    <cellStyle name="Comma 2 4 2 4 4 3 3 2" xfId="40737" xr:uid="{00000000-0005-0000-0000-00005B350000}"/>
    <cellStyle name="Comma 2 4 2 4 4 3 4" xfId="32171" xr:uid="{00000000-0005-0000-0000-00005C350000}"/>
    <cellStyle name="Comma 2 4 2 4 4 3 5" xfId="34313" xr:uid="{00000000-0005-0000-0000-00005D350000}"/>
    <cellStyle name="Comma 2 4 2 4 4 4" xfId="8318" xr:uid="{00000000-0005-0000-0000-00005E350000}"/>
    <cellStyle name="Comma 2 4 2 4 4 4 2" xfId="42932" xr:uid="{00000000-0005-0000-0000-00005F350000}"/>
    <cellStyle name="Comma 2 4 2 4 4 4 3" xfId="36508" xr:uid="{00000000-0005-0000-0000-000060350000}"/>
    <cellStyle name="Comma 2 4 2 4 4 5" xfId="21307" xr:uid="{00000000-0005-0000-0000-000061350000}"/>
    <cellStyle name="Comma 2 4 2 4 4 5 2" xfId="39725" xr:uid="{00000000-0005-0000-0000-000062350000}"/>
    <cellStyle name="Comma 2 4 2 4 4 6" xfId="22380" xr:uid="{00000000-0005-0000-0000-000063350000}"/>
    <cellStyle name="Comma 2 4 2 4 4 7" xfId="23503" xr:uid="{00000000-0005-0000-0000-000064350000}"/>
    <cellStyle name="Comma 2 4 2 4 4 8" xfId="26702" xr:uid="{00000000-0005-0000-0000-000065350000}"/>
    <cellStyle name="Comma 2 4 2 4 4 9" xfId="30035" xr:uid="{00000000-0005-0000-0000-000066350000}"/>
    <cellStyle name="Comma 2 4 2 4 5" xfId="1078" xr:uid="{00000000-0005-0000-0000-000067350000}"/>
    <cellStyle name="Comma 2 4 2 4 5 10" xfId="33302" xr:uid="{00000000-0005-0000-0000-000068350000}"/>
    <cellStyle name="Comma 2 4 2 4 5 2" xfId="9848" xr:uid="{00000000-0005-0000-0000-000069350000}"/>
    <cellStyle name="Comma 2 4 2 4 5 2 2" xfId="25648" xr:uid="{00000000-0005-0000-0000-00006A350000}"/>
    <cellStyle name="Comma 2 4 2 4 5 2 2 2" xfId="45075" xr:uid="{00000000-0005-0000-0000-00006B350000}"/>
    <cellStyle name="Comma 2 4 2 4 5 2 2 3" xfId="38652" xr:uid="{00000000-0005-0000-0000-00006C350000}"/>
    <cellStyle name="Comma 2 4 2 4 5 2 3" xfId="27826" xr:uid="{00000000-0005-0000-0000-00006D350000}"/>
    <cellStyle name="Comma 2 4 2 4 5 2 3 2" xfId="41868" xr:uid="{00000000-0005-0000-0000-00006E350000}"/>
    <cellStyle name="Comma 2 4 2 4 5 2 4" xfId="31161" xr:uid="{00000000-0005-0000-0000-00006F350000}"/>
    <cellStyle name="Comma 2 4 2 4 5 2 5" xfId="35444" xr:uid="{00000000-0005-0000-0000-000070350000}"/>
    <cellStyle name="Comma 2 4 2 4 5 3" xfId="15501" xr:uid="{00000000-0005-0000-0000-000071350000}"/>
    <cellStyle name="Comma 2 4 2 4 5 3 2" xfId="24516" xr:uid="{00000000-0005-0000-0000-000072350000}"/>
    <cellStyle name="Comma 2 4 2 4 5 3 2 2" xfId="43945" xr:uid="{00000000-0005-0000-0000-000073350000}"/>
    <cellStyle name="Comma 2 4 2 4 5 3 2 3" xfId="37522" xr:uid="{00000000-0005-0000-0000-000074350000}"/>
    <cellStyle name="Comma 2 4 2 4 5 3 3" xfId="28837" xr:uid="{00000000-0005-0000-0000-000075350000}"/>
    <cellStyle name="Comma 2 4 2 4 5 3 3 2" xfId="40738" xr:uid="{00000000-0005-0000-0000-000076350000}"/>
    <cellStyle name="Comma 2 4 2 4 5 3 4" xfId="32172" xr:uid="{00000000-0005-0000-0000-000077350000}"/>
    <cellStyle name="Comma 2 4 2 4 5 3 5" xfId="34314" xr:uid="{00000000-0005-0000-0000-000078350000}"/>
    <cellStyle name="Comma 2 4 2 4 5 4" xfId="8319" xr:uid="{00000000-0005-0000-0000-000079350000}"/>
    <cellStyle name="Comma 2 4 2 4 5 4 2" xfId="42933" xr:uid="{00000000-0005-0000-0000-00007A350000}"/>
    <cellStyle name="Comma 2 4 2 4 5 4 3" xfId="36509" xr:uid="{00000000-0005-0000-0000-00007B350000}"/>
    <cellStyle name="Comma 2 4 2 4 5 5" xfId="21308" xr:uid="{00000000-0005-0000-0000-00007C350000}"/>
    <cellStyle name="Comma 2 4 2 4 5 5 2" xfId="39726" xr:uid="{00000000-0005-0000-0000-00007D350000}"/>
    <cellStyle name="Comma 2 4 2 4 5 6" xfId="22381" xr:uid="{00000000-0005-0000-0000-00007E350000}"/>
    <cellStyle name="Comma 2 4 2 4 5 7" xfId="23504" xr:uid="{00000000-0005-0000-0000-00007F350000}"/>
    <cellStyle name="Comma 2 4 2 4 5 8" xfId="26703" xr:uid="{00000000-0005-0000-0000-000080350000}"/>
    <cellStyle name="Comma 2 4 2 4 5 9" xfId="30036" xr:uid="{00000000-0005-0000-0000-000081350000}"/>
    <cellStyle name="Comma 2 4 2 4 6" xfId="1079" xr:uid="{00000000-0005-0000-0000-000082350000}"/>
    <cellStyle name="Comma 2 4 2 4 6 10" xfId="33303" xr:uid="{00000000-0005-0000-0000-000083350000}"/>
    <cellStyle name="Comma 2 4 2 4 6 2" xfId="9849" xr:uid="{00000000-0005-0000-0000-000084350000}"/>
    <cellStyle name="Comma 2 4 2 4 6 2 2" xfId="25649" xr:uid="{00000000-0005-0000-0000-000085350000}"/>
    <cellStyle name="Comma 2 4 2 4 6 2 2 2" xfId="45076" xr:uid="{00000000-0005-0000-0000-000086350000}"/>
    <cellStyle name="Comma 2 4 2 4 6 2 2 3" xfId="38653" xr:uid="{00000000-0005-0000-0000-000087350000}"/>
    <cellStyle name="Comma 2 4 2 4 6 2 3" xfId="27827" xr:uid="{00000000-0005-0000-0000-000088350000}"/>
    <cellStyle name="Comma 2 4 2 4 6 2 3 2" xfId="41869" xr:uid="{00000000-0005-0000-0000-000089350000}"/>
    <cellStyle name="Comma 2 4 2 4 6 2 4" xfId="31162" xr:uid="{00000000-0005-0000-0000-00008A350000}"/>
    <cellStyle name="Comma 2 4 2 4 6 2 5" xfId="35445" xr:uid="{00000000-0005-0000-0000-00008B350000}"/>
    <cellStyle name="Comma 2 4 2 4 6 3" xfId="15502" xr:uid="{00000000-0005-0000-0000-00008C350000}"/>
    <cellStyle name="Comma 2 4 2 4 6 3 2" xfId="24517" xr:uid="{00000000-0005-0000-0000-00008D350000}"/>
    <cellStyle name="Comma 2 4 2 4 6 3 2 2" xfId="43946" xr:uid="{00000000-0005-0000-0000-00008E350000}"/>
    <cellStyle name="Comma 2 4 2 4 6 3 2 3" xfId="37523" xr:uid="{00000000-0005-0000-0000-00008F350000}"/>
    <cellStyle name="Comma 2 4 2 4 6 3 3" xfId="28838" xr:uid="{00000000-0005-0000-0000-000090350000}"/>
    <cellStyle name="Comma 2 4 2 4 6 3 3 2" xfId="40739" xr:uid="{00000000-0005-0000-0000-000091350000}"/>
    <cellStyle name="Comma 2 4 2 4 6 3 4" xfId="32173" xr:uid="{00000000-0005-0000-0000-000092350000}"/>
    <cellStyle name="Comma 2 4 2 4 6 3 5" xfId="34315" xr:uid="{00000000-0005-0000-0000-000093350000}"/>
    <cellStyle name="Comma 2 4 2 4 6 4" xfId="8320" xr:uid="{00000000-0005-0000-0000-000094350000}"/>
    <cellStyle name="Comma 2 4 2 4 6 4 2" xfId="42934" xr:uid="{00000000-0005-0000-0000-000095350000}"/>
    <cellStyle name="Comma 2 4 2 4 6 4 3" xfId="36510" xr:uid="{00000000-0005-0000-0000-000096350000}"/>
    <cellStyle name="Comma 2 4 2 4 6 5" xfId="21309" xr:uid="{00000000-0005-0000-0000-000097350000}"/>
    <cellStyle name="Comma 2 4 2 4 6 5 2" xfId="39727" xr:uid="{00000000-0005-0000-0000-000098350000}"/>
    <cellStyle name="Comma 2 4 2 4 6 6" xfId="22382" xr:uid="{00000000-0005-0000-0000-000099350000}"/>
    <cellStyle name="Comma 2 4 2 4 6 7" xfId="23505" xr:uid="{00000000-0005-0000-0000-00009A350000}"/>
    <cellStyle name="Comma 2 4 2 4 6 8" xfId="26704" xr:uid="{00000000-0005-0000-0000-00009B350000}"/>
    <cellStyle name="Comma 2 4 2 4 6 9" xfId="30037" xr:uid="{00000000-0005-0000-0000-00009C350000}"/>
    <cellStyle name="Comma 2 4 2 4 7" xfId="1080" xr:uid="{00000000-0005-0000-0000-00009D350000}"/>
    <cellStyle name="Comma 2 4 2 4 7 10" xfId="33304" xr:uid="{00000000-0005-0000-0000-00009E350000}"/>
    <cellStyle name="Comma 2 4 2 4 7 2" xfId="9850" xr:uid="{00000000-0005-0000-0000-00009F350000}"/>
    <cellStyle name="Comma 2 4 2 4 7 2 2" xfId="25650" xr:uid="{00000000-0005-0000-0000-0000A0350000}"/>
    <cellStyle name="Comma 2 4 2 4 7 2 2 2" xfId="45077" xr:uid="{00000000-0005-0000-0000-0000A1350000}"/>
    <cellStyle name="Comma 2 4 2 4 7 2 2 3" xfId="38654" xr:uid="{00000000-0005-0000-0000-0000A2350000}"/>
    <cellStyle name="Comma 2 4 2 4 7 2 3" xfId="27828" xr:uid="{00000000-0005-0000-0000-0000A3350000}"/>
    <cellStyle name="Comma 2 4 2 4 7 2 3 2" xfId="41870" xr:uid="{00000000-0005-0000-0000-0000A4350000}"/>
    <cellStyle name="Comma 2 4 2 4 7 2 4" xfId="31163" xr:uid="{00000000-0005-0000-0000-0000A5350000}"/>
    <cellStyle name="Comma 2 4 2 4 7 2 5" xfId="35446" xr:uid="{00000000-0005-0000-0000-0000A6350000}"/>
    <cellStyle name="Comma 2 4 2 4 7 3" xfId="15503" xr:uid="{00000000-0005-0000-0000-0000A7350000}"/>
    <cellStyle name="Comma 2 4 2 4 7 3 2" xfId="24518" xr:uid="{00000000-0005-0000-0000-0000A8350000}"/>
    <cellStyle name="Comma 2 4 2 4 7 3 2 2" xfId="43947" xr:uid="{00000000-0005-0000-0000-0000A9350000}"/>
    <cellStyle name="Comma 2 4 2 4 7 3 2 3" xfId="37524" xr:uid="{00000000-0005-0000-0000-0000AA350000}"/>
    <cellStyle name="Comma 2 4 2 4 7 3 3" xfId="28839" xr:uid="{00000000-0005-0000-0000-0000AB350000}"/>
    <cellStyle name="Comma 2 4 2 4 7 3 3 2" xfId="40740" xr:uid="{00000000-0005-0000-0000-0000AC350000}"/>
    <cellStyle name="Comma 2 4 2 4 7 3 4" xfId="32174" xr:uid="{00000000-0005-0000-0000-0000AD350000}"/>
    <cellStyle name="Comma 2 4 2 4 7 3 5" xfId="34316" xr:uid="{00000000-0005-0000-0000-0000AE350000}"/>
    <cellStyle name="Comma 2 4 2 4 7 4" xfId="8321" xr:uid="{00000000-0005-0000-0000-0000AF350000}"/>
    <cellStyle name="Comma 2 4 2 4 7 4 2" xfId="42935" xr:uid="{00000000-0005-0000-0000-0000B0350000}"/>
    <cellStyle name="Comma 2 4 2 4 7 4 3" xfId="36511" xr:uid="{00000000-0005-0000-0000-0000B1350000}"/>
    <cellStyle name="Comma 2 4 2 4 7 5" xfId="21310" xr:uid="{00000000-0005-0000-0000-0000B2350000}"/>
    <cellStyle name="Comma 2 4 2 4 7 5 2" xfId="39728" xr:uid="{00000000-0005-0000-0000-0000B3350000}"/>
    <cellStyle name="Comma 2 4 2 4 7 6" xfId="22383" xr:uid="{00000000-0005-0000-0000-0000B4350000}"/>
    <cellStyle name="Comma 2 4 2 4 7 7" xfId="23506" xr:uid="{00000000-0005-0000-0000-0000B5350000}"/>
    <cellStyle name="Comma 2 4 2 4 7 8" xfId="26705" xr:uid="{00000000-0005-0000-0000-0000B6350000}"/>
    <cellStyle name="Comma 2 4 2 4 7 9" xfId="30038" xr:uid="{00000000-0005-0000-0000-0000B7350000}"/>
    <cellStyle name="Comma 2 4 2 4 8" xfId="1081" xr:uid="{00000000-0005-0000-0000-0000B8350000}"/>
    <cellStyle name="Comma 2 4 2 4 8 10" xfId="33305" xr:uid="{00000000-0005-0000-0000-0000B9350000}"/>
    <cellStyle name="Comma 2 4 2 4 8 2" xfId="9851" xr:uid="{00000000-0005-0000-0000-0000BA350000}"/>
    <cellStyle name="Comma 2 4 2 4 8 2 2" xfId="25651" xr:uid="{00000000-0005-0000-0000-0000BB350000}"/>
    <cellStyle name="Comma 2 4 2 4 8 2 2 2" xfId="45078" xr:uid="{00000000-0005-0000-0000-0000BC350000}"/>
    <cellStyle name="Comma 2 4 2 4 8 2 2 3" xfId="38655" xr:uid="{00000000-0005-0000-0000-0000BD350000}"/>
    <cellStyle name="Comma 2 4 2 4 8 2 3" xfId="27829" xr:uid="{00000000-0005-0000-0000-0000BE350000}"/>
    <cellStyle name="Comma 2 4 2 4 8 2 3 2" xfId="41871" xr:uid="{00000000-0005-0000-0000-0000BF350000}"/>
    <cellStyle name="Comma 2 4 2 4 8 2 4" xfId="31164" xr:uid="{00000000-0005-0000-0000-0000C0350000}"/>
    <cellStyle name="Comma 2 4 2 4 8 2 5" xfId="35447" xr:uid="{00000000-0005-0000-0000-0000C1350000}"/>
    <cellStyle name="Comma 2 4 2 4 8 3" xfId="15504" xr:uid="{00000000-0005-0000-0000-0000C2350000}"/>
    <cellStyle name="Comma 2 4 2 4 8 3 2" xfId="24519" xr:uid="{00000000-0005-0000-0000-0000C3350000}"/>
    <cellStyle name="Comma 2 4 2 4 8 3 2 2" xfId="43948" xr:uid="{00000000-0005-0000-0000-0000C4350000}"/>
    <cellStyle name="Comma 2 4 2 4 8 3 2 3" xfId="37525" xr:uid="{00000000-0005-0000-0000-0000C5350000}"/>
    <cellStyle name="Comma 2 4 2 4 8 3 3" xfId="28840" xr:uid="{00000000-0005-0000-0000-0000C6350000}"/>
    <cellStyle name="Comma 2 4 2 4 8 3 3 2" xfId="40741" xr:uid="{00000000-0005-0000-0000-0000C7350000}"/>
    <cellStyle name="Comma 2 4 2 4 8 3 4" xfId="32175" xr:uid="{00000000-0005-0000-0000-0000C8350000}"/>
    <cellStyle name="Comma 2 4 2 4 8 3 5" xfId="34317" xr:uid="{00000000-0005-0000-0000-0000C9350000}"/>
    <cellStyle name="Comma 2 4 2 4 8 4" xfId="8322" xr:uid="{00000000-0005-0000-0000-0000CA350000}"/>
    <cellStyle name="Comma 2 4 2 4 8 4 2" xfId="42936" xr:uid="{00000000-0005-0000-0000-0000CB350000}"/>
    <cellStyle name="Comma 2 4 2 4 8 4 3" xfId="36512" xr:uid="{00000000-0005-0000-0000-0000CC350000}"/>
    <cellStyle name="Comma 2 4 2 4 8 5" xfId="21311" xr:uid="{00000000-0005-0000-0000-0000CD350000}"/>
    <cellStyle name="Comma 2 4 2 4 8 5 2" xfId="39729" xr:uid="{00000000-0005-0000-0000-0000CE350000}"/>
    <cellStyle name="Comma 2 4 2 4 8 6" xfId="22384" xr:uid="{00000000-0005-0000-0000-0000CF350000}"/>
    <cellStyle name="Comma 2 4 2 4 8 7" xfId="23507" xr:uid="{00000000-0005-0000-0000-0000D0350000}"/>
    <cellStyle name="Comma 2 4 2 4 8 8" xfId="26706" xr:uid="{00000000-0005-0000-0000-0000D1350000}"/>
    <cellStyle name="Comma 2 4 2 4 8 9" xfId="30039" xr:uid="{00000000-0005-0000-0000-0000D2350000}"/>
    <cellStyle name="Comma 2 4 2 4 9" xfId="9074" xr:uid="{00000000-0005-0000-0000-0000D3350000}"/>
    <cellStyle name="Comma 2 4 2 4 9 2" xfId="25129" xr:uid="{00000000-0005-0000-0000-0000D4350000}"/>
    <cellStyle name="Comma 2 4 2 4 9 2 2" xfId="44556" xr:uid="{00000000-0005-0000-0000-0000D5350000}"/>
    <cellStyle name="Comma 2 4 2 4 9 2 3" xfId="38133" xr:uid="{00000000-0005-0000-0000-0000D6350000}"/>
    <cellStyle name="Comma 2 4 2 4 9 3" xfId="27308" xr:uid="{00000000-0005-0000-0000-0000D7350000}"/>
    <cellStyle name="Comma 2 4 2 4 9 3 2" xfId="41349" xr:uid="{00000000-0005-0000-0000-0000D8350000}"/>
    <cellStyle name="Comma 2 4 2 4 9 4" xfId="30643" xr:uid="{00000000-0005-0000-0000-0000D9350000}"/>
    <cellStyle name="Comma 2 4 2 4 9 5" xfId="34925" xr:uid="{00000000-0005-0000-0000-0000DA350000}"/>
    <cellStyle name="Comma 2 4 2 5" xfId="265" xr:uid="{00000000-0005-0000-0000-0000DB350000}"/>
    <cellStyle name="Comma 2 4 2 5 10" xfId="21312" xr:uid="{00000000-0005-0000-0000-0000DC350000}"/>
    <cellStyle name="Comma 2 4 2 5 10 2" xfId="39259" xr:uid="{00000000-0005-0000-0000-0000DD350000}"/>
    <cellStyle name="Comma 2 4 2 5 11" xfId="22385" xr:uid="{00000000-0005-0000-0000-0000DE350000}"/>
    <cellStyle name="Comma 2 4 2 5 12" xfId="23037" xr:uid="{00000000-0005-0000-0000-0000DF350000}"/>
    <cellStyle name="Comma 2 4 2 5 13" xfId="26707" xr:uid="{00000000-0005-0000-0000-0000E0350000}"/>
    <cellStyle name="Comma 2 4 2 5 14" xfId="30040" xr:uid="{00000000-0005-0000-0000-0000E1350000}"/>
    <cellStyle name="Comma 2 4 2 5 15" xfId="32835" xr:uid="{00000000-0005-0000-0000-0000E2350000}"/>
    <cellStyle name="Comma 2 4 2 5 2" xfId="1082" xr:uid="{00000000-0005-0000-0000-0000E3350000}"/>
    <cellStyle name="Comma 2 4 2 5 2 10" xfId="33306" xr:uid="{00000000-0005-0000-0000-0000E4350000}"/>
    <cellStyle name="Comma 2 4 2 5 2 2" xfId="9852" xr:uid="{00000000-0005-0000-0000-0000E5350000}"/>
    <cellStyle name="Comma 2 4 2 5 2 2 2" xfId="25652" xr:uid="{00000000-0005-0000-0000-0000E6350000}"/>
    <cellStyle name="Comma 2 4 2 5 2 2 2 2" xfId="45079" xr:uid="{00000000-0005-0000-0000-0000E7350000}"/>
    <cellStyle name="Comma 2 4 2 5 2 2 2 3" xfId="38656" xr:uid="{00000000-0005-0000-0000-0000E8350000}"/>
    <cellStyle name="Comma 2 4 2 5 2 2 3" xfId="27830" xr:uid="{00000000-0005-0000-0000-0000E9350000}"/>
    <cellStyle name="Comma 2 4 2 5 2 2 3 2" xfId="41872" xr:uid="{00000000-0005-0000-0000-0000EA350000}"/>
    <cellStyle name="Comma 2 4 2 5 2 2 4" xfId="31165" xr:uid="{00000000-0005-0000-0000-0000EB350000}"/>
    <cellStyle name="Comma 2 4 2 5 2 2 5" xfId="35448" xr:uid="{00000000-0005-0000-0000-0000EC350000}"/>
    <cellStyle name="Comma 2 4 2 5 2 3" xfId="15506" xr:uid="{00000000-0005-0000-0000-0000ED350000}"/>
    <cellStyle name="Comma 2 4 2 5 2 3 2" xfId="24521" xr:uid="{00000000-0005-0000-0000-0000EE350000}"/>
    <cellStyle name="Comma 2 4 2 5 2 3 2 2" xfId="43950" xr:uid="{00000000-0005-0000-0000-0000EF350000}"/>
    <cellStyle name="Comma 2 4 2 5 2 3 2 3" xfId="37527" xr:uid="{00000000-0005-0000-0000-0000F0350000}"/>
    <cellStyle name="Comma 2 4 2 5 2 3 3" xfId="28842" xr:uid="{00000000-0005-0000-0000-0000F1350000}"/>
    <cellStyle name="Comma 2 4 2 5 2 3 3 2" xfId="40743" xr:uid="{00000000-0005-0000-0000-0000F2350000}"/>
    <cellStyle name="Comma 2 4 2 5 2 3 4" xfId="32177" xr:uid="{00000000-0005-0000-0000-0000F3350000}"/>
    <cellStyle name="Comma 2 4 2 5 2 3 5" xfId="34319" xr:uid="{00000000-0005-0000-0000-0000F4350000}"/>
    <cellStyle name="Comma 2 4 2 5 2 4" xfId="8324" xr:uid="{00000000-0005-0000-0000-0000F5350000}"/>
    <cellStyle name="Comma 2 4 2 5 2 4 2" xfId="42937" xr:uid="{00000000-0005-0000-0000-0000F6350000}"/>
    <cellStyle name="Comma 2 4 2 5 2 4 3" xfId="36513" xr:uid="{00000000-0005-0000-0000-0000F7350000}"/>
    <cellStyle name="Comma 2 4 2 5 2 5" xfId="21313" xr:uid="{00000000-0005-0000-0000-0000F8350000}"/>
    <cellStyle name="Comma 2 4 2 5 2 5 2" xfId="39730" xr:uid="{00000000-0005-0000-0000-0000F9350000}"/>
    <cellStyle name="Comma 2 4 2 5 2 6" xfId="22386" xr:uid="{00000000-0005-0000-0000-0000FA350000}"/>
    <cellStyle name="Comma 2 4 2 5 2 7" xfId="23508" xr:uid="{00000000-0005-0000-0000-0000FB350000}"/>
    <cellStyle name="Comma 2 4 2 5 2 8" xfId="26708" xr:uid="{00000000-0005-0000-0000-0000FC350000}"/>
    <cellStyle name="Comma 2 4 2 5 2 9" xfId="30041" xr:uid="{00000000-0005-0000-0000-0000FD350000}"/>
    <cellStyle name="Comma 2 4 2 5 3" xfId="1083" xr:uid="{00000000-0005-0000-0000-0000FE350000}"/>
    <cellStyle name="Comma 2 4 2 5 3 10" xfId="33307" xr:uid="{00000000-0005-0000-0000-0000FF350000}"/>
    <cellStyle name="Comma 2 4 2 5 3 2" xfId="9853" xr:uid="{00000000-0005-0000-0000-000000360000}"/>
    <cellStyle name="Comma 2 4 2 5 3 2 2" xfId="25653" xr:uid="{00000000-0005-0000-0000-000001360000}"/>
    <cellStyle name="Comma 2 4 2 5 3 2 2 2" xfId="45080" xr:uid="{00000000-0005-0000-0000-000002360000}"/>
    <cellStyle name="Comma 2 4 2 5 3 2 2 3" xfId="38657" xr:uid="{00000000-0005-0000-0000-000003360000}"/>
    <cellStyle name="Comma 2 4 2 5 3 2 3" xfId="27831" xr:uid="{00000000-0005-0000-0000-000004360000}"/>
    <cellStyle name="Comma 2 4 2 5 3 2 3 2" xfId="41873" xr:uid="{00000000-0005-0000-0000-000005360000}"/>
    <cellStyle name="Comma 2 4 2 5 3 2 4" xfId="31166" xr:uid="{00000000-0005-0000-0000-000006360000}"/>
    <cellStyle name="Comma 2 4 2 5 3 2 5" xfId="35449" xr:uid="{00000000-0005-0000-0000-000007360000}"/>
    <cellStyle name="Comma 2 4 2 5 3 3" xfId="15507" xr:uid="{00000000-0005-0000-0000-000008360000}"/>
    <cellStyle name="Comma 2 4 2 5 3 3 2" xfId="24522" xr:uid="{00000000-0005-0000-0000-000009360000}"/>
    <cellStyle name="Comma 2 4 2 5 3 3 2 2" xfId="43951" xr:uid="{00000000-0005-0000-0000-00000A360000}"/>
    <cellStyle name="Comma 2 4 2 5 3 3 2 3" xfId="37528" xr:uid="{00000000-0005-0000-0000-00000B360000}"/>
    <cellStyle name="Comma 2 4 2 5 3 3 3" xfId="28843" xr:uid="{00000000-0005-0000-0000-00000C360000}"/>
    <cellStyle name="Comma 2 4 2 5 3 3 3 2" xfId="40744" xr:uid="{00000000-0005-0000-0000-00000D360000}"/>
    <cellStyle name="Comma 2 4 2 5 3 3 4" xfId="32178" xr:uid="{00000000-0005-0000-0000-00000E360000}"/>
    <cellStyle name="Comma 2 4 2 5 3 3 5" xfId="34320" xr:uid="{00000000-0005-0000-0000-00000F360000}"/>
    <cellStyle name="Comma 2 4 2 5 3 4" xfId="8325" xr:uid="{00000000-0005-0000-0000-000010360000}"/>
    <cellStyle name="Comma 2 4 2 5 3 4 2" xfId="42938" xr:uid="{00000000-0005-0000-0000-000011360000}"/>
    <cellStyle name="Comma 2 4 2 5 3 4 3" xfId="36514" xr:uid="{00000000-0005-0000-0000-000012360000}"/>
    <cellStyle name="Comma 2 4 2 5 3 5" xfId="21314" xr:uid="{00000000-0005-0000-0000-000013360000}"/>
    <cellStyle name="Comma 2 4 2 5 3 5 2" xfId="39731" xr:uid="{00000000-0005-0000-0000-000014360000}"/>
    <cellStyle name="Comma 2 4 2 5 3 6" xfId="22387" xr:uid="{00000000-0005-0000-0000-000015360000}"/>
    <cellStyle name="Comma 2 4 2 5 3 7" xfId="23509" xr:uid="{00000000-0005-0000-0000-000016360000}"/>
    <cellStyle name="Comma 2 4 2 5 3 8" xfId="26709" xr:uid="{00000000-0005-0000-0000-000017360000}"/>
    <cellStyle name="Comma 2 4 2 5 3 9" xfId="30042" xr:uid="{00000000-0005-0000-0000-000018360000}"/>
    <cellStyle name="Comma 2 4 2 5 4" xfId="1084" xr:uid="{00000000-0005-0000-0000-000019360000}"/>
    <cellStyle name="Comma 2 4 2 5 4 10" xfId="33308" xr:uid="{00000000-0005-0000-0000-00001A360000}"/>
    <cellStyle name="Comma 2 4 2 5 4 2" xfId="9854" xr:uid="{00000000-0005-0000-0000-00001B360000}"/>
    <cellStyle name="Comma 2 4 2 5 4 2 2" xfId="25654" xr:uid="{00000000-0005-0000-0000-00001C360000}"/>
    <cellStyle name="Comma 2 4 2 5 4 2 2 2" xfId="45081" xr:uid="{00000000-0005-0000-0000-00001D360000}"/>
    <cellStyle name="Comma 2 4 2 5 4 2 2 3" xfId="38658" xr:uid="{00000000-0005-0000-0000-00001E360000}"/>
    <cellStyle name="Comma 2 4 2 5 4 2 3" xfId="27832" xr:uid="{00000000-0005-0000-0000-00001F360000}"/>
    <cellStyle name="Comma 2 4 2 5 4 2 3 2" xfId="41874" xr:uid="{00000000-0005-0000-0000-000020360000}"/>
    <cellStyle name="Comma 2 4 2 5 4 2 4" xfId="31167" xr:uid="{00000000-0005-0000-0000-000021360000}"/>
    <cellStyle name="Comma 2 4 2 5 4 2 5" xfId="35450" xr:uid="{00000000-0005-0000-0000-000022360000}"/>
    <cellStyle name="Comma 2 4 2 5 4 3" xfId="15508" xr:uid="{00000000-0005-0000-0000-000023360000}"/>
    <cellStyle name="Comma 2 4 2 5 4 3 2" xfId="24523" xr:uid="{00000000-0005-0000-0000-000024360000}"/>
    <cellStyle name="Comma 2 4 2 5 4 3 2 2" xfId="43952" xr:uid="{00000000-0005-0000-0000-000025360000}"/>
    <cellStyle name="Comma 2 4 2 5 4 3 2 3" xfId="37529" xr:uid="{00000000-0005-0000-0000-000026360000}"/>
    <cellStyle name="Comma 2 4 2 5 4 3 3" xfId="28844" xr:uid="{00000000-0005-0000-0000-000027360000}"/>
    <cellStyle name="Comma 2 4 2 5 4 3 3 2" xfId="40745" xr:uid="{00000000-0005-0000-0000-000028360000}"/>
    <cellStyle name="Comma 2 4 2 5 4 3 4" xfId="32179" xr:uid="{00000000-0005-0000-0000-000029360000}"/>
    <cellStyle name="Comma 2 4 2 5 4 3 5" xfId="34321" xr:uid="{00000000-0005-0000-0000-00002A360000}"/>
    <cellStyle name="Comma 2 4 2 5 4 4" xfId="8326" xr:uid="{00000000-0005-0000-0000-00002B360000}"/>
    <cellStyle name="Comma 2 4 2 5 4 4 2" xfId="42939" xr:uid="{00000000-0005-0000-0000-00002C360000}"/>
    <cellStyle name="Comma 2 4 2 5 4 4 3" xfId="36515" xr:uid="{00000000-0005-0000-0000-00002D360000}"/>
    <cellStyle name="Comma 2 4 2 5 4 5" xfId="21315" xr:uid="{00000000-0005-0000-0000-00002E360000}"/>
    <cellStyle name="Comma 2 4 2 5 4 5 2" xfId="39732" xr:uid="{00000000-0005-0000-0000-00002F360000}"/>
    <cellStyle name="Comma 2 4 2 5 4 6" xfId="22388" xr:uid="{00000000-0005-0000-0000-000030360000}"/>
    <cellStyle name="Comma 2 4 2 5 4 7" xfId="23510" xr:uid="{00000000-0005-0000-0000-000031360000}"/>
    <cellStyle name="Comma 2 4 2 5 4 8" xfId="26710" xr:uid="{00000000-0005-0000-0000-000032360000}"/>
    <cellStyle name="Comma 2 4 2 5 4 9" xfId="30043" xr:uid="{00000000-0005-0000-0000-000033360000}"/>
    <cellStyle name="Comma 2 4 2 5 5" xfId="1085" xr:uid="{00000000-0005-0000-0000-000034360000}"/>
    <cellStyle name="Comma 2 4 2 5 5 10" xfId="33309" xr:uid="{00000000-0005-0000-0000-000035360000}"/>
    <cellStyle name="Comma 2 4 2 5 5 2" xfId="9855" xr:uid="{00000000-0005-0000-0000-000036360000}"/>
    <cellStyle name="Comma 2 4 2 5 5 2 2" xfId="25655" xr:uid="{00000000-0005-0000-0000-000037360000}"/>
    <cellStyle name="Comma 2 4 2 5 5 2 2 2" xfId="45082" xr:uid="{00000000-0005-0000-0000-000038360000}"/>
    <cellStyle name="Comma 2 4 2 5 5 2 2 3" xfId="38659" xr:uid="{00000000-0005-0000-0000-000039360000}"/>
    <cellStyle name="Comma 2 4 2 5 5 2 3" xfId="27833" xr:uid="{00000000-0005-0000-0000-00003A360000}"/>
    <cellStyle name="Comma 2 4 2 5 5 2 3 2" xfId="41875" xr:uid="{00000000-0005-0000-0000-00003B360000}"/>
    <cellStyle name="Comma 2 4 2 5 5 2 4" xfId="31168" xr:uid="{00000000-0005-0000-0000-00003C360000}"/>
    <cellStyle name="Comma 2 4 2 5 5 2 5" xfId="35451" xr:uid="{00000000-0005-0000-0000-00003D360000}"/>
    <cellStyle name="Comma 2 4 2 5 5 3" xfId="15509" xr:uid="{00000000-0005-0000-0000-00003E360000}"/>
    <cellStyle name="Comma 2 4 2 5 5 3 2" xfId="24524" xr:uid="{00000000-0005-0000-0000-00003F360000}"/>
    <cellStyle name="Comma 2 4 2 5 5 3 2 2" xfId="43953" xr:uid="{00000000-0005-0000-0000-000040360000}"/>
    <cellStyle name="Comma 2 4 2 5 5 3 2 3" xfId="37530" xr:uid="{00000000-0005-0000-0000-000041360000}"/>
    <cellStyle name="Comma 2 4 2 5 5 3 3" xfId="28845" xr:uid="{00000000-0005-0000-0000-000042360000}"/>
    <cellStyle name="Comma 2 4 2 5 5 3 3 2" xfId="40746" xr:uid="{00000000-0005-0000-0000-000043360000}"/>
    <cellStyle name="Comma 2 4 2 5 5 3 4" xfId="32180" xr:uid="{00000000-0005-0000-0000-000044360000}"/>
    <cellStyle name="Comma 2 4 2 5 5 3 5" xfId="34322" xr:uid="{00000000-0005-0000-0000-000045360000}"/>
    <cellStyle name="Comma 2 4 2 5 5 4" xfId="8327" xr:uid="{00000000-0005-0000-0000-000046360000}"/>
    <cellStyle name="Comma 2 4 2 5 5 4 2" xfId="42940" xr:uid="{00000000-0005-0000-0000-000047360000}"/>
    <cellStyle name="Comma 2 4 2 5 5 4 3" xfId="36516" xr:uid="{00000000-0005-0000-0000-000048360000}"/>
    <cellStyle name="Comma 2 4 2 5 5 5" xfId="21316" xr:uid="{00000000-0005-0000-0000-000049360000}"/>
    <cellStyle name="Comma 2 4 2 5 5 5 2" xfId="39733" xr:uid="{00000000-0005-0000-0000-00004A360000}"/>
    <cellStyle name="Comma 2 4 2 5 5 6" xfId="22389" xr:uid="{00000000-0005-0000-0000-00004B360000}"/>
    <cellStyle name="Comma 2 4 2 5 5 7" xfId="23511" xr:uid="{00000000-0005-0000-0000-00004C360000}"/>
    <cellStyle name="Comma 2 4 2 5 5 8" xfId="26711" xr:uid="{00000000-0005-0000-0000-00004D360000}"/>
    <cellStyle name="Comma 2 4 2 5 5 9" xfId="30044" xr:uid="{00000000-0005-0000-0000-00004E360000}"/>
    <cellStyle name="Comma 2 4 2 5 6" xfId="1086" xr:uid="{00000000-0005-0000-0000-00004F360000}"/>
    <cellStyle name="Comma 2 4 2 5 6 10" xfId="33310" xr:uid="{00000000-0005-0000-0000-000050360000}"/>
    <cellStyle name="Comma 2 4 2 5 6 2" xfId="9856" xr:uid="{00000000-0005-0000-0000-000051360000}"/>
    <cellStyle name="Comma 2 4 2 5 6 2 2" xfId="25656" xr:uid="{00000000-0005-0000-0000-000052360000}"/>
    <cellStyle name="Comma 2 4 2 5 6 2 2 2" xfId="45083" xr:uid="{00000000-0005-0000-0000-000053360000}"/>
    <cellStyle name="Comma 2 4 2 5 6 2 2 3" xfId="38660" xr:uid="{00000000-0005-0000-0000-000054360000}"/>
    <cellStyle name="Comma 2 4 2 5 6 2 3" xfId="27834" xr:uid="{00000000-0005-0000-0000-000055360000}"/>
    <cellStyle name="Comma 2 4 2 5 6 2 3 2" xfId="41876" xr:uid="{00000000-0005-0000-0000-000056360000}"/>
    <cellStyle name="Comma 2 4 2 5 6 2 4" xfId="31169" xr:uid="{00000000-0005-0000-0000-000057360000}"/>
    <cellStyle name="Comma 2 4 2 5 6 2 5" xfId="35452" xr:uid="{00000000-0005-0000-0000-000058360000}"/>
    <cellStyle name="Comma 2 4 2 5 6 3" xfId="15510" xr:uid="{00000000-0005-0000-0000-000059360000}"/>
    <cellStyle name="Comma 2 4 2 5 6 3 2" xfId="24525" xr:uid="{00000000-0005-0000-0000-00005A360000}"/>
    <cellStyle name="Comma 2 4 2 5 6 3 2 2" xfId="43954" xr:uid="{00000000-0005-0000-0000-00005B360000}"/>
    <cellStyle name="Comma 2 4 2 5 6 3 2 3" xfId="37531" xr:uid="{00000000-0005-0000-0000-00005C360000}"/>
    <cellStyle name="Comma 2 4 2 5 6 3 3" xfId="28846" xr:uid="{00000000-0005-0000-0000-00005D360000}"/>
    <cellStyle name="Comma 2 4 2 5 6 3 3 2" xfId="40747" xr:uid="{00000000-0005-0000-0000-00005E360000}"/>
    <cellStyle name="Comma 2 4 2 5 6 3 4" xfId="32181" xr:uid="{00000000-0005-0000-0000-00005F360000}"/>
    <cellStyle name="Comma 2 4 2 5 6 3 5" xfId="34323" xr:uid="{00000000-0005-0000-0000-000060360000}"/>
    <cellStyle name="Comma 2 4 2 5 6 4" xfId="8328" xr:uid="{00000000-0005-0000-0000-000061360000}"/>
    <cellStyle name="Comma 2 4 2 5 6 4 2" xfId="42941" xr:uid="{00000000-0005-0000-0000-000062360000}"/>
    <cellStyle name="Comma 2 4 2 5 6 4 3" xfId="36517" xr:uid="{00000000-0005-0000-0000-000063360000}"/>
    <cellStyle name="Comma 2 4 2 5 6 5" xfId="21317" xr:uid="{00000000-0005-0000-0000-000064360000}"/>
    <cellStyle name="Comma 2 4 2 5 6 5 2" xfId="39734" xr:uid="{00000000-0005-0000-0000-000065360000}"/>
    <cellStyle name="Comma 2 4 2 5 6 6" xfId="22390" xr:uid="{00000000-0005-0000-0000-000066360000}"/>
    <cellStyle name="Comma 2 4 2 5 6 7" xfId="23512" xr:uid="{00000000-0005-0000-0000-000067360000}"/>
    <cellStyle name="Comma 2 4 2 5 6 8" xfId="26712" xr:uid="{00000000-0005-0000-0000-000068360000}"/>
    <cellStyle name="Comma 2 4 2 5 6 9" xfId="30045" xr:uid="{00000000-0005-0000-0000-000069360000}"/>
    <cellStyle name="Comma 2 4 2 5 7" xfId="9122" xr:uid="{00000000-0005-0000-0000-00006A360000}"/>
    <cellStyle name="Comma 2 4 2 5 7 2" xfId="25176" xr:uid="{00000000-0005-0000-0000-00006B360000}"/>
    <cellStyle name="Comma 2 4 2 5 7 2 2" xfId="44603" xr:uid="{00000000-0005-0000-0000-00006C360000}"/>
    <cellStyle name="Comma 2 4 2 5 7 2 3" xfId="38180" xr:uid="{00000000-0005-0000-0000-00006D360000}"/>
    <cellStyle name="Comma 2 4 2 5 7 3" xfId="27355" xr:uid="{00000000-0005-0000-0000-00006E360000}"/>
    <cellStyle name="Comma 2 4 2 5 7 3 2" xfId="41396" xr:uid="{00000000-0005-0000-0000-00006F360000}"/>
    <cellStyle name="Comma 2 4 2 5 7 4" xfId="30690" xr:uid="{00000000-0005-0000-0000-000070360000}"/>
    <cellStyle name="Comma 2 4 2 5 7 5" xfId="34972" xr:uid="{00000000-0005-0000-0000-000071360000}"/>
    <cellStyle name="Comma 2 4 2 5 8" xfId="15505" xr:uid="{00000000-0005-0000-0000-000072360000}"/>
    <cellStyle name="Comma 2 4 2 5 8 2" xfId="24520" xr:uid="{00000000-0005-0000-0000-000073360000}"/>
    <cellStyle name="Comma 2 4 2 5 8 2 2" xfId="43949" xr:uid="{00000000-0005-0000-0000-000074360000}"/>
    <cellStyle name="Comma 2 4 2 5 8 2 3" xfId="37526" xr:uid="{00000000-0005-0000-0000-000075360000}"/>
    <cellStyle name="Comma 2 4 2 5 8 3" xfId="28841" xr:uid="{00000000-0005-0000-0000-000076360000}"/>
    <cellStyle name="Comma 2 4 2 5 8 3 2" xfId="40742" xr:uid="{00000000-0005-0000-0000-000077360000}"/>
    <cellStyle name="Comma 2 4 2 5 8 4" xfId="32176" xr:uid="{00000000-0005-0000-0000-000078360000}"/>
    <cellStyle name="Comma 2 4 2 5 8 5" xfId="34318" xr:uid="{00000000-0005-0000-0000-000079360000}"/>
    <cellStyle name="Comma 2 4 2 5 9" xfId="8323" xr:uid="{00000000-0005-0000-0000-00007A360000}"/>
    <cellStyle name="Comma 2 4 2 5 9 2" xfId="42466" xr:uid="{00000000-0005-0000-0000-00007B360000}"/>
    <cellStyle name="Comma 2 4 2 5 9 3" xfId="36042" xr:uid="{00000000-0005-0000-0000-00007C360000}"/>
    <cellStyle name="Comma 2 4 2 6" xfId="1087" xr:uid="{00000000-0005-0000-0000-00007D360000}"/>
    <cellStyle name="Comma 2 4 2 6 10" xfId="22391" xr:uid="{00000000-0005-0000-0000-00007E360000}"/>
    <cellStyle name="Comma 2 4 2 6 11" xfId="23513" xr:uid="{00000000-0005-0000-0000-00007F360000}"/>
    <cellStyle name="Comma 2 4 2 6 12" xfId="26713" xr:uid="{00000000-0005-0000-0000-000080360000}"/>
    <cellStyle name="Comma 2 4 2 6 13" xfId="30046" xr:uid="{00000000-0005-0000-0000-000081360000}"/>
    <cellStyle name="Comma 2 4 2 6 14" xfId="33311" xr:uid="{00000000-0005-0000-0000-000082360000}"/>
    <cellStyle name="Comma 2 4 2 6 2" xfId="1088" xr:uid="{00000000-0005-0000-0000-000083360000}"/>
    <cellStyle name="Comma 2 4 2 6 2 10" xfId="33312" xr:uid="{00000000-0005-0000-0000-000084360000}"/>
    <cellStyle name="Comma 2 4 2 6 2 2" xfId="9858" xr:uid="{00000000-0005-0000-0000-000085360000}"/>
    <cellStyle name="Comma 2 4 2 6 2 2 2" xfId="25658" xr:uid="{00000000-0005-0000-0000-000086360000}"/>
    <cellStyle name="Comma 2 4 2 6 2 2 2 2" xfId="45085" xr:uid="{00000000-0005-0000-0000-000087360000}"/>
    <cellStyle name="Comma 2 4 2 6 2 2 2 3" xfId="38662" xr:uid="{00000000-0005-0000-0000-000088360000}"/>
    <cellStyle name="Comma 2 4 2 6 2 2 3" xfId="27836" xr:uid="{00000000-0005-0000-0000-000089360000}"/>
    <cellStyle name="Comma 2 4 2 6 2 2 3 2" xfId="41878" xr:uid="{00000000-0005-0000-0000-00008A360000}"/>
    <cellStyle name="Comma 2 4 2 6 2 2 4" xfId="31171" xr:uid="{00000000-0005-0000-0000-00008B360000}"/>
    <cellStyle name="Comma 2 4 2 6 2 2 5" xfId="35454" xr:uid="{00000000-0005-0000-0000-00008C360000}"/>
    <cellStyle name="Comma 2 4 2 6 2 3" xfId="15512" xr:uid="{00000000-0005-0000-0000-00008D360000}"/>
    <cellStyle name="Comma 2 4 2 6 2 3 2" xfId="24527" xr:uid="{00000000-0005-0000-0000-00008E360000}"/>
    <cellStyle name="Comma 2 4 2 6 2 3 2 2" xfId="43956" xr:uid="{00000000-0005-0000-0000-00008F360000}"/>
    <cellStyle name="Comma 2 4 2 6 2 3 2 3" xfId="37533" xr:uid="{00000000-0005-0000-0000-000090360000}"/>
    <cellStyle name="Comma 2 4 2 6 2 3 3" xfId="28848" xr:uid="{00000000-0005-0000-0000-000091360000}"/>
    <cellStyle name="Comma 2 4 2 6 2 3 3 2" xfId="40749" xr:uid="{00000000-0005-0000-0000-000092360000}"/>
    <cellStyle name="Comma 2 4 2 6 2 3 4" xfId="32183" xr:uid="{00000000-0005-0000-0000-000093360000}"/>
    <cellStyle name="Comma 2 4 2 6 2 3 5" xfId="34325" xr:uid="{00000000-0005-0000-0000-000094360000}"/>
    <cellStyle name="Comma 2 4 2 6 2 4" xfId="8330" xr:uid="{00000000-0005-0000-0000-000095360000}"/>
    <cellStyle name="Comma 2 4 2 6 2 4 2" xfId="42943" xr:uid="{00000000-0005-0000-0000-000096360000}"/>
    <cellStyle name="Comma 2 4 2 6 2 4 3" xfId="36519" xr:uid="{00000000-0005-0000-0000-000097360000}"/>
    <cellStyle name="Comma 2 4 2 6 2 5" xfId="21319" xr:uid="{00000000-0005-0000-0000-000098360000}"/>
    <cellStyle name="Comma 2 4 2 6 2 5 2" xfId="39736" xr:uid="{00000000-0005-0000-0000-000099360000}"/>
    <cellStyle name="Comma 2 4 2 6 2 6" xfId="22392" xr:uid="{00000000-0005-0000-0000-00009A360000}"/>
    <cellStyle name="Comma 2 4 2 6 2 7" xfId="23514" xr:uid="{00000000-0005-0000-0000-00009B360000}"/>
    <cellStyle name="Comma 2 4 2 6 2 8" xfId="26714" xr:uid="{00000000-0005-0000-0000-00009C360000}"/>
    <cellStyle name="Comma 2 4 2 6 2 9" xfId="30047" xr:uid="{00000000-0005-0000-0000-00009D360000}"/>
    <cellStyle name="Comma 2 4 2 6 3" xfId="1089" xr:uid="{00000000-0005-0000-0000-00009E360000}"/>
    <cellStyle name="Comma 2 4 2 6 3 10" xfId="33313" xr:uid="{00000000-0005-0000-0000-00009F360000}"/>
    <cellStyle name="Comma 2 4 2 6 3 2" xfId="9859" xr:uid="{00000000-0005-0000-0000-0000A0360000}"/>
    <cellStyle name="Comma 2 4 2 6 3 2 2" xfId="25659" xr:uid="{00000000-0005-0000-0000-0000A1360000}"/>
    <cellStyle name="Comma 2 4 2 6 3 2 2 2" xfId="45086" xr:uid="{00000000-0005-0000-0000-0000A2360000}"/>
    <cellStyle name="Comma 2 4 2 6 3 2 2 3" xfId="38663" xr:uid="{00000000-0005-0000-0000-0000A3360000}"/>
    <cellStyle name="Comma 2 4 2 6 3 2 3" xfId="27837" xr:uid="{00000000-0005-0000-0000-0000A4360000}"/>
    <cellStyle name="Comma 2 4 2 6 3 2 3 2" xfId="41879" xr:uid="{00000000-0005-0000-0000-0000A5360000}"/>
    <cellStyle name="Comma 2 4 2 6 3 2 4" xfId="31172" xr:uid="{00000000-0005-0000-0000-0000A6360000}"/>
    <cellStyle name="Comma 2 4 2 6 3 2 5" xfId="35455" xr:uid="{00000000-0005-0000-0000-0000A7360000}"/>
    <cellStyle name="Comma 2 4 2 6 3 3" xfId="15513" xr:uid="{00000000-0005-0000-0000-0000A8360000}"/>
    <cellStyle name="Comma 2 4 2 6 3 3 2" xfId="24528" xr:uid="{00000000-0005-0000-0000-0000A9360000}"/>
    <cellStyle name="Comma 2 4 2 6 3 3 2 2" xfId="43957" xr:uid="{00000000-0005-0000-0000-0000AA360000}"/>
    <cellStyle name="Comma 2 4 2 6 3 3 2 3" xfId="37534" xr:uid="{00000000-0005-0000-0000-0000AB360000}"/>
    <cellStyle name="Comma 2 4 2 6 3 3 3" xfId="28849" xr:uid="{00000000-0005-0000-0000-0000AC360000}"/>
    <cellStyle name="Comma 2 4 2 6 3 3 3 2" xfId="40750" xr:uid="{00000000-0005-0000-0000-0000AD360000}"/>
    <cellStyle name="Comma 2 4 2 6 3 3 4" xfId="32184" xr:uid="{00000000-0005-0000-0000-0000AE360000}"/>
    <cellStyle name="Comma 2 4 2 6 3 3 5" xfId="34326" xr:uid="{00000000-0005-0000-0000-0000AF360000}"/>
    <cellStyle name="Comma 2 4 2 6 3 4" xfId="8331" xr:uid="{00000000-0005-0000-0000-0000B0360000}"/>
    <cellStyle name="Comma 2 4 2 6 3 4 2" xfId="42944" xr:uid="{00000000-0005-0000-0000-0000B1360000}"/>
    <cellStyle name="Comma 2 4 2 6 3 4 3" xfId="36520" xr:uid="{00000000-0005-0000-0000-0000B2360000}"/>
    <cellStyle name="Comma 2 4 2 6 3 5" xfId="21320" xr:uid="{00000000-0005-0000-0000-0000B3360000}"/>
    <cellStyle name="Comma 2 4 2 6 3 5 2" xfId="39737" xr:uid="{00000000-0005-0000-0000-0000B4360000}"/>
    <cellStyle name="Comma 2 4 2 6 3 6" xfId="22393" xr:uid="{00000000-0005-0000-0000-0000B5360000}"/>
    <cellStyle name="Comma 2 4 2 6 3 7" xfId="23515" xr:uid="{00000000-0005-0000-0000-0000B6360000}"/>
    <cellStyle name="Comma 2 4 2 6 3 8" xfId="26715" xr:uid="{00000000-0005-0000-0000-0000B7360000}"/>
    <cellStyle name="Comma 2 4 2 6 3 9" xfId="30048" xr:uid="{00000000-0005-0000-0000-0000B8360000}"/>
    <cellStyle name="Comma 2 4 2 6 4" xfId="1090" xr:uid="{00000000-0005-0000-0000-0000B9360000}"/>
    <cellStyle name="Comma 2 4 2 6 4 10" xfId="33314" xr:uid="{00000000-0005-0000-0000-0000BA360000}"/>
    <cellStyle name="Comma 2 4 2 6 4 2" xfId="9860" xr:uid="{00000000-0005-0000-0000-0000BB360000}"/>
    <cellStyle name="Comma 2 4 2 6 4 2 2" xfId="25660" xr:uid="{00000000-0005-0000-0000-0000BC360000}"/>
    <cellStyle name="Comma 2 4 2 6 4 2 2 2" xfId="45087" xr:uid="{00000000-0005-0000-0000-0000BD360000}"/>
    <cellStyle name="Comma 2 4 2 6 4 2 2 3" xfId="38664" xr:uid="{00000000-0005-0000-0000-0000BE360000}"/>
    <cellStyle name="Comma 2 4 2 6 4 2 3" xfId="27838" xr:uid="{00000000-0005-0000-0000-0000BF360000}"/>
    <cellStyle name="Comma 2 4 2 6 4 2 3 2" xfId="41880" xr:uid="{00000000-0005-0000-0000-0000C0360000}"/>
    <cellStyle name="Comma 2 4 2 6 4 2 4" xfId="31173" xr:uid="{00000000-0005-0000-0000-0000C1360000}"/>
    <cellStyle name="Comma 2 4 2 6 4 2 5" xfId="35456" xr:uid="{00000000-0005-0000-0000-0000C2360000}"/>
    <cellStyle name="Comma 2 4 2 6 4 3" xfId="15514" xr:uid="{00000000-0005-0000-0000-0000C3360000}"/>
    <cellStyle name="Comma 2 4 2 6 4 3 2" xfId="24529" xr:uid="{00000000-0005-0000-0000-0000C4360000}"/>
    <cellStyle name="Comma 2 4 2 6 4 3 2 2" xfId="43958" xr:uid="{00000000-0005-0000-0000-0000C5360000}"/>
    <cellStyle name="Comma 2 4 2 6 4 3 2 3" xfId="37535" xr:uid="{00000000-0005-0000-0000-0000C6360000}"/>
    <cellStyle name="Comma 2 4 2 6 4 3 3" xfId="28850" xr:uid="{00000000-0005-0000-0000-0000C7360000}"/>
    <cellStyle name="Comma 2 4 2 6 4 3 3 2" xfId="40751" xr:uid="{00000000-0005-0000-0000-0000C8360000}"/>
    <cellStyle name="Comma 2 4 2 6 4 3 4" xfId="32185" xr:uid="{00000000-0005-0000-0000-0000C9360000}"/>
    <cellStyle name="Comma 2 4 2 6 4 3 5" xfId="34327" xr:uid="{00000000-0005-0000-0000-0000CA360000}"/>
    <cellStyle name="Comma 2 4 2 6 4 4" xfId="8332" xr:uid="{00000000-0005-0000-0000-0000CB360000}"/>
    <cellStyle name="Comma 2 4 2 6 4 4 2" xfId="42945" xr:uid="{00000000-0005-0000-0000-0000CC360000}"/>
    <cellStyle name="Comma 2 4 2 6 4 4 3" xfId="36521" xr:uid="{00000000-0005-0000-0000-0000CD360000}"/>
    <cellStyle name="Comma 2 4 2 6 4 5" xfId="21321" xr:uid="{00000000-0005-0000-0000-0000CE360000}"/>
    <cellStyle name="Comma 2 4 2 6 4 5 2" xfId="39738" xr:uid="{00000000-0005-0000-0000-0000CF360000}"/>
    <cellStyle name="Comma 2 4 2 6 4 6" xfId="22394" xr:uid="{00000000-0005-0000-0000-0000D0360000}"/>
    <cellStyle name="Comma 2 4 2 6 4 7" xfId="23516" xr:uid="{00000000-0005-0000-0000-0000D1360000}"/>
    <cellStyle name="Comma 2 4 2 6 4 8" xfId="26716" xr:uid="{00000000-0005-0000-0000-0000D2360000}"/>
    <cellStyle name="Comma 2 4 2 6 4 9" xfId="30049" xr:uid="{00000000-0005-0000-0000-0000D3360000}"/>
    <cellStyle name="Comma 2 4 2 6 5" xfId="1091" xr:uid="{00000000-0005-0000-0000-0000D4360000}"/>
    <cellStyle name="Comma 2 4 2 6 5 10" xfId="33315" xr:uid="{00000000-0005-0000-0000-0000D5360000}"/>
    <cellStyle name="Comma 2 4 2 6 5 2" xfId="9861" xr:uid="{00000000-0005-0000-0000-0000D6360000}"/>
    <cellStyle name="Comma 2 4 2 6 5 2 2" xfId="25661" xr:uid="{00000000-0005-0000-0000-0000D7360000}"/>
    <cellStyle name="Comma 2 4 2 6 5 2 2 2" xfId="45088" xr:uid="{00000000-0005-0000-0000-0000D8360000}"/>
    <cellStyle name="Comma 2 4 2 6 5 2 2 3" xfId="38665" xr:uid="{00000000-0005-0000-0000-0000D9360000}"/>
    <cellStyle name="Comma 2 4 2 6 5 2 3" xfId="27839" xr:uid="{00000000-0005-0000-0000-0000DA360000}"/>
    <cellStyle name="Comma 2 4 2 6 5 2 3 2" xfId="41881" xr:uid="{00000000-0005-0000-0000-0000DB360000}"/>
    <cellStyle name="Comma 2 4 2 6 5 2 4" xfId="31174" xr:uid="{00000000-0005-0000-0000-0000DC360000}"/>
    <cellStyle name="Comma 2 4 2 6 5 2 5" xfId="35457" xr:uid="{00000000-0005-0000-0000-0000DD360000}"/>
    <cellStyle name="Comma 2 4 2 6 5 3" xfId="15515" xr:uid="{00000000-0005-0000-0000-0000DE360000}"/>
    <cellStyle name="Comma 2 4 2 6 5 3 2" xfId="24530" xr:uid="{00000000-0005-0000-0000-0000DF360000}"/>
    <cellStyle name="Comma 2 4 2 6 5 3 2 2" xfId="43959" xr:uid="{00000000-0005-0000-0000-0000E0360000}"/>
    <cellStyle name="Comma 2 4 2 6 5 3 2 3" xfId="37536" xr:uid="{00000000-0005-0000-0000-0000E1360000}"/>
    <cellStyle name="Comma 2 4 2 6 5 3 3" xfId="28851" xr:uid="{00000000-0005-0000-0000-0000E2360000}"/>
    <cellStyle name="Comma 2 4 2 6 5 3 3 2" xfId="40752" xr:uid="{00000000-0005-0000-0000-0000E3360000}"/>
    <cellStyle name="Comma 2 4 2 6 5 3 4" xfId="32186" xr:uid="{00000000-0005-0000-0000-0000E4360000}"/>
    <cellStyle name="Comma 2 4 2 6 5 3 5" xfId="34328" xr:uid="{00000000-0005-0000-0000-0000E5360000}"/>
    <cellStyle name="Comma 2 4 2 6 5 4" xfId="8333" xr:uid="{00000000-0005-0000-0000-0000E6360000}"/>
    <cellStyle name="Comma 2 4 2 6 5 4 2" xfId="42946" xr:uid="{00000000-0005-0000-0000-0000E7360000}"/>
    <cellStyle name="Comma 2 4 2 6 5 4 3" xfId="36522" xr:uid="{00000000-0005-0000-0000-0000E8360000}"/>
    <cellStyle name="Comma 2 4 2 6 5 5" xfId="21322" xr:uid="{00000000-0005-0000-0000-0000E9360000}"/>
    <cellStyle name="Comma 2 4 2 6 5 5 2" xfId="39739" xr:uid="{00000000-0005-0000-0000-0000EA360000}"/>
    <cellStyle name="Comma 2 4 2 6 5 6" xfId="22395" xr:uid="{00000000-0005-0000-0000-0000EB360000}"/>
    <cellStyle name="Comma 2 4 2 6 5 7" xfId="23517" xr:uid="{00000000-0005-0000-0000-0000EC360000}"/>
    <cellStyle name="Comma 2 4 2 6 5 8" xfId="26717" xr:uid="{00000000-0005-0000-0000-0000ED360000}"/>
    <cellStyle name="Comma 2 4 2 6 5 9" xfId="30050" xr:uid="{00000000-0005-0000-0000-0000EE360000}"/>
    <cellStyle name="Comma 2 4 2 6 6" xfId="9857" xr:uid="{00000000-0005-0000-0000-0000EF360000}"/>
    <cellStyle name="Comma 2 4 2 6 6 2" xfId="25657" xr:uid="{00000000-0005-0000-0000-0000F0360000}"/>
    <cellStyle name="Comma 2 4 2 6 6 2 2" xfId="45084" xr:uid="{00000000-0005-0000-0000-0000F1360000}"/>
    <cellStyle name="Comma 2 4 2 6 6 2 3" xfId="38661" xr:uid="{00000000-0005-0000-0000-0000F2360000}"/>
    <cellStyle name="Comma 2 4 2 6 6 3" xfId="27835" xr:uid="{00000000-0005-0000-0000-0000F3360000}"/>
    <cellStyle name="Comma 2 4 2 6 6 3 2" xfId="41877" xr:uid="{00000000-0005-0000-0000-0000F4360000}"/>
    <cellStyle name="Comma 2 4 2 6 6 4" xfId="31170" xr:uid="{00000000-0005-0000-0000-0000F5360000}"/>
    <cellStyle name="Comma 2 4 2 6 6 5" xfId="35453" xr:uid="{00000000-0005-0000-0000-0000F6360000}"/>
    <cellStyle name="Comma 2 4 2 6 7" xfId="15511" xr:uid="{00000000-0005-0000-0000-0000F7360000}"/>
    <cellStyle name="Comma 2 4 2 6 7 2" xfId="24526" xr:uid="{00000000-0005-0000-0000-0000F8360000}"/>
    <cellStyle name="Comma 2 4 2 6 7 2 2" xfId="43955" xr:uid="{00000000-0005-0000-0000-0000F9360000}"/>
    <cellStyle name="Comma 2 4 2 6 7 2 3" xfId="37532" xr:uid="{00000000-0005-0000-0000-0000FA360000}"/>
    <cellStyle name="Comma 2 4 2 6 7 3" xfId="28847" xr:uid="{00000000-0005-0000-0000-0000FB360000}"/>
    <cellStyle name="Comma 2 4 2 6 7 3 2" xfId="40748" xr:uid="{00000000-0005-0000-0000-0000FC360000}"/>
    <cellStyle name="Comma 2 4 2 6 7 4" xfId="32182" xr:uid="{00000000-0005-0000-0000-0000FD360000}"/>
    <cellStyle name="Comma 2 4 2 6 7 5" xfId="34324" xr:uid="{00000000-0005-0000-0000-0000FE360000}"/>
    <cellStyle name="Comma 2 4 2 6 8" xfId="8329" xr:uid="{00000000-0005-0000-0000-0000FF360000}"/>
    <cellStyle name="Comma 2 4 2 6 8 2" xfId="42942" xr:uid="{00000000-0005-0000-0000-000000370000}"/>
    <cellStyle name="Comma 2 4 2 6 8 3" xfId="36518" xr:uid="{00000000-0005-0000-0000-000001370000}"/>
    <cellStyle name="Comma 2 4 2 6 9" xfId="21318" xr:uid="{00000000-0005-0000-0000-000002370000}"/>
    <cellStyle name="Comma 2 4 2 6 9 2" xfId="39735" xr:uid="{00000000-0005-0000-0000-000003370000}"/>
    <cellStyle name="Comma 2 4 2 7" xfId="1092" xr:uid="{00000000-0005-0000-0000-000004370000}"/>
    <cellStyle name="Comma 2 4 2 7 10" xfId="22396" xr:uid="{00000000-0005-0000-0000-000005370000}"/>
    <cellStyle name="Comma 2 4 2 7 11" xfId="23518" xr:uid="{00000000-0005-0000-0000-000006370000}"/>
    <cellStyle name="Comma 2 4 2 7 12" xfId="26718" xr:uid="{00000000-0005-0000-0000-000007370000}"/>
    <cellStyle name="Comma 2 4 2 7 13" xfId="30051" xr:uid="{00000000-0005-0000-0000-000008370000}"/>
    <cellStyle name="Comma 2 4 2 7 14" xfId="33316" xr:uid="{00000000-0005-0000-0000-000009370000}"/>
    <cellStyle name="Comma 2 4 2 7 2" xfId="1093" xr:uid="{00000000-0005-0000-0000-00000A370000}"/>
    <cellStyle name="Comma 2 4 2 7 2 10" xfId="33317" xr:uid="{00000000-0005-0000-0000-00000B370000}"/>
    <cellStyle name="Comma 2 4 2 7 2 2" xfId="9863" xr:uid="{00000000-0005-0000-0000-00000C370000}"/>
    <cellStyle name="Comma 2 4 2 7 2 2 2" xfId="25663" xr:uid="{00000000-0005-0000-0000-00000D370000}"/>
    <cellStyle name="Comma 2 4 2 7 2 2 2 2" xfId="45090" xr:uid="{00000000-0005-0000-0000-00000E370000}"/>
    <cellStyle name="Comma 2 4 2 7 2 2 2 3" xfId="38667" xr:uid="{00000000-0005-0000-0000-00000F370000}"/>
    <cellStyle name="Comma 2 4 2 7 2 2 3" xfId="27841" xr:uid="{00000000-0005-0000-0000-000010370000}"/>
    <cellStyle name="Comma 2 4 2 7 2 2 3 2" xfId="41883" xr:uid="{00000000-0005-0000-0000-000011370000}"/>
    <cellStyle name="Comma 2 4 2 7 2 2 4" xfId="31176" xr:uid="{00000000-0005-0000-0000-000012370000}"/>
    <cellStyle name="Comma 2 4 2 7 2 2 5" xfId="35459" xr:uid="{00000000-0005-0000-0000-000013370000}"/>
    <cellStyle name="Comma 2 4 2 7 2 3" xfId="15517" xr:uid="{00000000-0005-0000-0000-000014370000}"/>
    <cellStyle name="Comma 2 4 2 7 2 3 2" xfId="24532" xr:uid="{00000000-0005-0000-0000-000015370000}"/>
    <cellStyle name="Comma 2 4 2 7 2 3 2 2" xfId="43961" xr:uid="{00000000-0005-0000-0000-000016370000}"/>
    <cellStyle name="Comma 2 4 2 7 2 3 2 3" xfId="37538" xr:uid="{00000000-0005-0000-0000-000017370000}"/>
    <cellStyle name="Comma 2 4 2 7 2 3 3" xfId="28853" xr:uid="{00000000-0005-0000-0000-000018370000}"/>
    <cellStyle name="Comma 2 4 2 7 2 3 3 2" xfId="40754" xr:uid="{00000000-0005-0000-0000-000019370000}"/>
    <cellStyle name="Comma 2 4 2 7 2 3 4" xfId="32188" xr:uid="{00000000-0005-0000-0000-00001A370000}"/>
    <cellStyle name="Comma 2 4 2 7 2 3 5" xfId="34330" xr:uid="{00000000-0005-0000-0000-00001B370000}"/>
    <cellStyle name="Comma 2 4 2 7 2 4" xfId="8335" xr:uid="{00000000-0005-0000-0000-00001C370000}"/>
    <cellStyle name="Comma 2 4 2 7 2 4 2" xfId="42948" xr:uid="{00000000-0005-0000-0000-00001D370000}"/>
    <cellStyle name="Comma 2 4 2 7 2 4 3" xfId="36524" xr:uid="{00000000-0005-0000-0000-00001E370000}"/>
    <cellStyle name="Comma 2 4 2 7 2 5" xfId="21324" xr:uid="{00000000-0005-0000-0000-00001F370000}"/>
    <cellStyle name="Comma 2 4 2 7 2 5 2" xfId="39741" xr:uid="{00000000-0005-0000-0000-000020370000}"/>
    <cellStyle name="Comma 2 4 2 7 2 6" xfId="22397" xr:uid="{00000000-0005-0000-0000-000021370000}"/>
    <cellStyle name="Comma 2 4 2 7 2 7" xfId="23519" xr:uid="{00000000-0005-0000-0000-000022370000}"/>
    <cellStyle name="Comma 2 4 2 7 2 8" xfId="26719" xr:uid="{00000000-0005-0000-0000-000023370000}"/>
    <cellStyle name="Comma 2 4 2 7 2 9" xfId="30052" xr:uid="{00000000-0005-0000-0000-000024370000}"/>
    <cellStyle name="Comma 2 4 2 7 3" xfId="1094" xr:uid="{00000000-0005-0000-0000-000025370000}"/>
    <cellStyle name="Comma 2 4 2 7 3 10" xfId="33318" xr:uid="{00000000-0005-0000-0000-000026370000}"/>
    <cellStyle name="Comma 2 4 2 7 3 2" xfId="9864" xr:uid="{00000000-0005-0000-0000-000027370000}"/>
    <cellStyle name="Comma 2 4 2 7 3 2 2" xfId="25664" xr:uid="{00000000-0005-0000-0000-000028370000}"/>
    <cellStyle name="Comma 2 4 2 7 3 2 2 2" xfId="45091" xr:uid="{00000000-0005-0000-0000-000029370000}"/>
    <cellStyle name="Comma 2 4 2 7 3 2 2 3" xfId="38668" xr:uid="{00000000-0005-0000-0000-00002A370000}"/>
    <cellStyle name="Comma 2 4 2 7 3 2 3" xfId="27842" xr:uid="{00000000-0005-0000-0000-00002B370000}"/>
    <cellStyle name="Comma 2 4 2 7 3 2 3 2" xfId="41884" xr:uid="{00000000-0005-0000-0000-00002C370000}"/>
    <cellStyle name="Comma 2 4 2 7 3 2 4" xfId="31177" xr:uid="{00000000-0005-0000-0000-00002D370000}"/>
    <cellStyle name="Comma 2 4 2 7 3 2 5" xfId="35460" xr:uid="{00000000-0005-0000-0000-00002E370000}"/>
    <cellStyle name="Comma 2 4 2 7 3 3" xfId="15518" xr:uid="{00000000-0005-0000-0000-00002F370000}"/>
    <cellStyle name="Comma 2 4 2 7 3 3 2" xfId="24533" xr:uid="{00000000-0005-0000-0000-000030370000}"/>
    <cellStyle name="Comma 2 4 2 7 3 3 2 2" xfId="43962" xr:uid="{00000000-0005-0000-0000-000031370000}"/>
    <cellStyle name="Comma 2 4 2 7 3 3 2 3" xfId="37539" xr:uid="{00000000-0005-0000-0000-000032370000}"/>
    <cellStyle name="Comma 2 4 2 7 3 3 3" xfId="28854" xr:uid="{00000000-0005-0000-0000-000033370000}"/>
    <cellStyle name="Comma 2 4 2 7 3 3 3 2" xfId="40755" xr:uid="{00000000-0005-0000-0000-000034370000}"/>
    <cellStyle name="Comma 2 4 2 7 3 3 4" xfId="32189" xr:uid="{00000000-0005-0000-0000-000035370000}"/>
    <cellStyle name="Comma 2 4 2 7 3 3 5" xfId="34331" xr:uid="{00000000-0005-0000-0000-000036370000}"/>
    <cellStyle name="Comma 2 4 2 7 3 4" xfId="8336" xr:uid="{00000000-0005-0000-0000-000037370000}"/>
    <cellStyle name="Comma 2 4 2 7 3 4 2" xfId="42949" xr:uid="{00000000-0005-0000-0000-000038370000}"/>
    <cellStyle name="Comma 2 4 2 7 3 4 3" xfId="36525" xr:uid="{00000000-0005-0000-0000-000039370000}"/>
    <cellStyle name="Comma 2 4 2 7 3 5" xfId="21325" xr:uid="{00000000-0005-0000-0000-00003A370000}"/>
    <cellStyle name="Comma 2 4 2 7 3 5 2" xfId="39742" xr:uid="{00000000-0005-0000-0000-00003B370000}"/>
    <cellStyle name="Comma 2 4 2 7 3 6" xfId="22398" xr:uid="{00000000-0005-0000-0000-00003C370000}"/>
    <cellStyle name="Comma 2 4 2 7 3 7" xfId="23520" xr:uid="{00000000-0005-0000-0000-00003D370000}"/>
    <cellStyle name="Comma 2 4 2 7 3 8" xfId="26720" xr:uid="{00000000-0005-0000-0000-00003E370000}"/>
    <cellStyle name="Comma 2 4 2 7 3 9" xfId="30053" xr:uid="{00000000-0005-0000-0000-00003F370000}"/>
    <cellStyle name="Comma 2 4 2 7 4" xfId="1095" xr:uid="{00000000-0005-0000-0000-000040370000}"/>
    <cellStyle name="Comma 2 4 2 7 4 10" xfId="33319" xr:uid="{00000000-0005-0000-0000-000041370000}"/>
    <cellStyle name="Comma 2 4 2 7 4 2" xfId="9865" xr:uid="{00000000-0005-0000-0000-000042370000}"/>
    <cellStyle name="Comma 2 4 2 7 4 2 2" xfId="25665" xr:uid="{00000000-0005-0000-0000-000043370000}"/>
    <cellStyle name="Comma 2 4 2 7 4 2 2 2" xfId="45092" xr:uid="{00000000-0005-0000-0000-000044370000}"/>
    <cellStyle name="Comma 2 4 2 7 4 2 2 3" xfId="38669" xr:uid="{00000000-0005-0000-0000-000045370000}"/>
    <cellStyle name="Comma 2 4 2 7 4 2 3" xfId="27843" xr:uid="{00000000-0005-0000-0000-000046370000}"/>
    <cellStyle name="Comma 2 4 2 7 4 2 3 2" xfId="41885" xr:uid="{00000000-0005-0000-0000-000047370000}"/>
    <cellStyle name="Comma 2 4 2 7 4 2 4" xfId="31178" xr:uid="{00000000-0005-0000-0000-000048370000}"/>
    <cellStyle name="Comma 2 4 2 7 4 2 5" xfId="35461" xr:uid="{00000000-0005-0000-0000-000049370000}"/>
    <cellStyle name="Comma 2 4 2 7 4 3" xfId="15519" xr:uid="{00000000-0005-0000-0000-00004A370000}"/>
    <cellStyle name="Comma 2 4 2 7 4 3 2" xfId="24534" xr:uid="{00000000-0005-0000-0000-00004B370000}"/>
    <cellStyle name="Comma 2 4 2 7 4 3 2 2" xfId="43963" xr:uid="{00000000-0005-0000-0000-00004C370000}"/>
    <cellStyle name="Comma 2 4 2 7 4 3 2 3" xfId="37540" xr:uid="{00000000-0005-0000-0000-00004D370000}"/>
    <cellStyle name="Comma 2 4 2 7 4 3 3" xfId="28855" xr:uid="{00000000-0005-0000-0000-00004E370000}"/>
    <cellStyle name="Comma 2 4 2 7 4 3 3 2" xfId="40756" xr:uid="{00000000-0005-0000-0000-00004F370000}"/>
    <cellStyle name="Comma 2 4 2 7 4 3 4" xfId="32190" xr:uid="{00000000-0005-0000-0000-000050370000}"/>
    <cellStyle name="Comma 2 4 2 7 4 3 5" xfId="34332" xr:uid="{00000000-0005-0000-0000-000051370000}"/>
    <cellStyle name="Comma 2 4 2 7 4 4" xfId="8337" xr:uid="{00000000-0005-0000-0000-000052370000}"/>
    <cellStyle name="Comma 2 4 2 7 4 4 2" xfId="42950" xr:uid="{00000000-0005-0000-0000-000053370000}"/>
    <cellStyle name="Comma 2 4 2 7 4 4 3" xfId="36526" xr:uid="{00000000-0005-0000-0000-000054370000}"/>
    <cellStyle name="Comma 2 4 2 7 4 5" xfId="21326" xr:uid="{00000000-0005-0000-0000-000055370000}"/>
    <cellStyle name="Comma 2 4 2 7 4 5 2" xfId="39743" xr:uid="{00000000-0005-0000-0000-000056370000}"/>
    <cellStyle name="Comma 2 4 2 7 4 6" xfId="22399" xr:uid="{00000000-0005-0000-0000-000057370000}"/>
    <cellStyle name="Comma 2 4 2 7 4 7" xfId="23521" xr:uid="{00000000-0005-0000-0000-000058370000}"/>
    <cellStyle name="Comma 2 4 2 7 4 8" xfId="26721" xr:uid="{00000000-0005-0000-0000-000059370000}"/>
    <cellStyle name="Comma 2 4 2 7 4 9" xfId="30054" xr:uid="{00000000-0005-0000-0000-00005A370000}"/>
    <cellStyle name="Comma 2 4 2 7 5" xfId="1096" xr:uid="{00000000-0005-0000-0000-00005B370000}"/>
    <cellStyle name="Comma 2 4 2 7 5 10" xfId="33320" xr:uid="{00000000-0005-0000-0000-00005C370000}"/>
    <cellStyle name="Comma 2 4 2 7 5 2" xfId="9866" xr:uid="{00000000-0005-0000-0000-00005D370000}"/>
    <cellStyle name="Comma 2 4 2 7 5 2 2" xfId="25666" xr:uid="{00000000-0005-0000-0000-00005E370000}"/>
    <cellStyle name="Comma 2 4 2 7 5 2 2 2" xfId="45093" xr:uid="{00000000-0005-0000-0000-00005F370000}"/>
    <cellStyle name="Comma 2 4 2 7 5 2 2 3" xfId="38670" xr:uid="{00000000-0005-0000-0000-000060370000}"/>
    <cellStyle name="Comma 2 4 2 7 5 2 3" xfId="27844" xr:uid="{00000000-0005-0000-0000-000061370000}"/>
    <cellStyle name="Comma 2 4 2 7 5 2 3 2" xfId="41886" xr:uid="{00000000-0005-0000-0000-000062370000}"/>
    <cellStyle name="Comma 2 4 2 7 5 2 4" xfId="31179" xr:uid="{00000000-0005-0000-0000-000063370000}"/>
    <cellStyle name="Comma 2 4 2 7 5 2 5" xfId="35462" xr:uid="{00000000-0005-0000-0000-000064370000}"/>
    <cellStyle name="Comma 2 4 2 7 5 3" xfId="15520" xr:uid="{00000000-0005-0000-0000-000065370000}"/>
    <cellStyle name="Comma 2 4 2 7 5 3 2" xfId="24535" xr:uid="{00000000-0005-0000-0000-000066370000}"/>
    <cellStyle name="Comma 2 4 2 7 5 3 2 2" xfId="43964" xr:uid="{00000000-0005-0000-0000-000067370000}"/>
    <cellStyle name="Comma 2 4 2 7 5 3 2 3" xfId="37541" xr:uid="{00000000-0005-0000-0000-000068370000}"/>
    <cellStyle name="Comma 2 4 2 7 5 3 3" xfId="28856" xr:uid="{00000000-0005-0000-0000-000069370000}"/>
    <cellStyle name="Comma 2 4 2 7 5 3 3 2" xfId="40757" xr:uid="{00000000-0005-0000-0000-00006A370000}"/>
    <cellStyle name="Comma 2 4 2 7 5 3 4" xfId="32191" xr:uid="{00000000-0005-0000-0000-00006B370000}"/>
    <cellStyle name="Comma 2 4 2 7 5 3 5" xfId="34333" xr:uid="{00000000-0005-0000-0000-00006C370000}"/>
    <cellStyle name="Comma 2 4 2 7 5 4" xfId="8338" xr:uid="{00000000-0005-0000-0000-00006D370000}"/>
    <cellStyle name="Comma 2 4 2 7 5 4 2" xfId="42951" xr:uid="{00000000-0005-0000-0000-00006E370000}"/>
    <cellStyle name="Comma 2 4 2 7 5 4 3" xfId="36527" xr:uid="{00000000-0005-0000-0000-00006F370000}"/>
    <cellStyle name="Comma 2 4 2 7 5 5" xfId="21327" xr:uid="{00000000-0005-0000-0000-000070370000}"/>
    <cellStyle name="Comma 2 4 2 7 5 5 2" xfId="39744" xr:uid="{00000000-0005-0000-0000-000071370000}"/>
    <cellStyle name="Comma 2 4 2 7 5 6" xfId="22400" xr:uid="{00000000-0005-0000-0000-000072370000}"/>
    <cellStyle name="Comma 2 4 2 7 5 7" xfId="23522" xr:uid="{00000000-0005-0000-0000-000073370000}"/>
    <cellStyle name="Comma 2 4 2 7 5 8" xfId="26722" xr:uid="{00000000-0005-0000-0000-000074370000}"/>
    <cellStyle name="Comma 2 4 2 7 5 9" xfId="30055" xr:uid="{00000000-0005-0000-0000-000075370000}"/>
    <cellStyle name="Comma 2 4 2 7 6" xfId="9862" xr:uid="{00000000-0005-0000-0000-000076370000}"/>
    <cellStyle name="Comma 2 4 2 7 6 2" xfId="25662" xr:uid="{00000000-0005-0000-0000-000077370000}"/>
    <cellStyle name="Comma 2 4 2 7 6 2 2" xfId="45089" xr:uid="{00000000-0005-0000-0000-000078370000}"/>
    <cellStyle name="Comma 2 4 2 7 6 2 3" xfId="38666" xr:uid="{00000000-0005-0000-0000-000079370000}"/>
    <cellStyle name="Comma 2 4 2 7 6 3" xfId="27840" xr:uid="{00000000-0005-0000-0000-00007A370000}"/>
    <cellStyle name="Comma 2 4 2 7 6 3 2" xfId="41882" xr:uid="{00000000-0005-0000-0000-00007B370000}"/>
    <cellStyle name="Comma 2 4 2 7 6 4" xfId="31175" xr:uid="{00000000-0005-0000-0000-00007C370000}"/>
    <cellStyle name="Comma 2 4 2 7 6 5" xfId="35458" xr:uid="{00000000-0005-0000-0000-00007D370000}"/>
    <cellStyle name="Comma 2 4 2 7 7" xfId="15516" xr:uid="{00000000-0005-0000-0000-00007E370000}"/>
    <cellStyle name="Comma 2 4 2 7 7 2" xfId="24531" xr:uid="{00000000-0005-0000-0000-00007F370000}"/>
    <cellStyle name="Comma 2 4 2 7 7 2 2" xfId="43960" xr:uid="{00000000-0005-0000-0000-000080370000}"/>
    <cellStyle name="Comma 2 4 2 7 7 2 3" xfId="37537" xr:uid="{00000000-0005-0000-0000-000081370000}"/>
    <cellStyle name="Comma 2 4 2 7 7 3" xfId="28852" xr:uid="{00000000-0005-0000-0000-000082370000}"/>
    <cellStyle name="Comma 2 4 2 7 7 3 2" xfId="40753" xr:uid="{00000000-0005-0000-0000-000083370000}"/>
    <cellStyle name="Comma 2 4 2 7 7 4" xfId="32187" xr:uid="{00000000-0005-0000-0000-000084370000}"/>
    <cellStyle name="Comma 2 4 2 7 7 5" xfId="34329" xr:uid="{00000000-0005-0000-0000-000085370000}"/>
    <cellStyle name="Comma 2 4 2 7 8" xfId="8334" xr:uid="{00000000-0005-0000-0000-000086370000}"/>
    <cellStyle name="Comma 2 4 2 7 8 2" xfId="42947" xr:uid="{00000000-0005-0000-0000-000087370000}"/>
    <cellStyle name="Comma 2 4 2 7 8 3" xfId="36523" xr:uid="{00000000-0005-0000-0000-000088370000}"/>
    <cellStyle name="Comma 2 4 2 7 9" xfId="21323" xr:uid="{00000000-0005-0000-0000-000089370000}"/>
    <cellStyle name="Comma 2 4 2 7 9 2" xfId="39740" xr:uid="{00000000-0005-0000-0000-00008A370000}"/>
    <cellStyle name="Comma 2 4 2 8" xfId="1097" xr:uid="{00000000-0005-0000-0000-00008B370000}"/>
    <cellStyle name="Comma 2 4 2 8 10" xfId="33321" xr:uid="{00000000-0005-0000-0000-00008C370000}"/>
    <cellStyle name="Comma 2 4 2 8 2" xfId="9867" xr:uid="{00000000-0005-0000-0000-00008D370000}"/>
    <cellStyle name="Comma 2 4 2 8 2 2" xfId="25667" xr:uid="{00000000-0005-0000-0000-00008E370000}"/>
    <cellStyle name="Comma 2 4 2 8 2 2 2" xfId="45094" xr:uid="{00000000-0005-0000-0000-00008F370000}"/>
    <cellStyle name="Comma 2 4 2 8 2 2 3" xfId="38671" xr:uid="{00000000-0005-0000-0000-000090370000}"/>
    <cellStyle name="Comma 2 4 2 8 2 3" xfId="27845" xr:uid="{00000000-0005-0000-0000-000091370000}"/>
    <cellStyle name="Comma 2 4 2 8 2 3 2" xfId="41887" xr:uid="{00000000-0005-0000-0000-000092370000}"/>
    <cellStyle name="Comma 2 4 2 8 2 4" xfId="31180" xr:uid="{00000000-0005-0000-0000-000093370000}"/>
    <cellStyle name="Comma 2 4 2 8 2 5" xfId="35463" xr:uid="{00000000-0005-0000-0000-000094370000}"/>
    <cellStyle name="Comma 2 4 2 8 3" xfId="15521" xr:uid="{00000000-0005-0000-0000-000095370000}"/>
    <cellStyle name="Comma 2 4 2 8 3 2" xfId="24536" xr:uid="{00000000-0005-0000-0000-000096370000}"/>
    <cellStyle name="Comma 2 4 2 8 3 2 2" xfId="43965" xr:uid="{00000000-0005-0000-0000-000097370000}"/>
    <cellStyle name="Comma 2 4 2 8 3 2 3" xfId="37542" xr:uid="{00000000-0005-0000-0000-000098370000}"/>
    <cellStyle name="Comma 2 4 2 8 3 3" xfId="28857" xr:uid="{00000000-0005-0000-0000-000099370000}"/>
    <cellStyle name="Comma 2 4 2 8 3 3 2" xfId="40758" xr:uid="{00000000-0005-0000-0000-00009A370000}"/>
    <cellStyle name="Comma 2 4 2 8 3 4" xfId="32192" xr:uid="{00000000-0005-0000-0000-00009B370000}"/>
    <cellStyle name="Comma 2 4 2 8 3 5" xfId="34334" xr:uid="{00000000-0005-0000-0000-00009C370000}"/>
    <cellStyle name="Comma 2 4 2 8 4" xfId="8339" xr:uid="{00000000-0005-0000-0000-00009D370000}"/>
    <cellStyle name="Comma 2 4 2 8 4 2" xfId="42952" xr:uid="{00000000-0005-0000-0000-00009E370000}"/>
    <cellStyle name="Comma 2 4 2 8 4 3" xfId="36528" xr:uid="{00000000-0005-0000-0000-00009F370000}"/>
    <cellStyle name="Comma 2 4 2 8 5" xfId="21328" xr:uid="{00000000-0005-0000-0000-0000A0370000}"/>
    <cellStyle name="Comma 2 4 2 8 5 2" xfId="39745" xr:uid="{00000000-0005-0000-0000-0000A1370000}"/>
    <cellStyle name="Comma 2 4 2 8 6" xfId="22401" xr:uid="{00000000-0005-0000-0000-0000A2370000}"/>
    <cellStyle name="Comma 2 4 2 8 7" xfId="23523" xr:uid="{00000000-0005-0000-0000-0000A3370000}"/>
    <cellStyle name="Comma 2 4 2 8 8" xfId="26723" xr:uid="{00000000-0005-0000-0000-0000A4370000}"/>
    <cellStyle name="Comma 2 4 2 8 9" xfId="30056" xr:uid="{00000000-0005-0000-0000-0000A5370000}"/>
    <cellStyle name="Comma 2 4 2 9" xfId="1098" xr:uid="{00000000-0005-0000-0000-0000A6370000}"/>
    <cellStyle name="Comma 2 4 2 9 10" xfId="33322" xr:uid="{00000000-0005-0000-0000-0000A7370000}"/>
    <cellStyle name="Comma 2 4 2 9 2" xfId="9868" xr:uid="{00000000-0005-0000-0000-0000A8370000}"/>
    <cellStyle name="Comma 2 4 2 9 2 2" xfId="25668" xr:uid="{00000000-0005-0000-0000-0000A9370000}"/>
    <cellStyle name="Comma 2 4 2 9 2 2 2" xfId="45095" xr:uid="{00000000-0005-0000-0000-0000AA370000}"/>
    <cellStyle name="Comma 2 4 2 9 2 2 3" xfId="38672" xr:uid="{00000000-0005-0000-0000-0000AB370000}"/>
    <cellStyle name="Comma 2 4 2 9 2 3" xfId="27846" xr:uid="{00000000-0005-0000-0000-0000AC370000}"/>
    <cellStyle name="Comma 2 4 2 9 2 3 2" xfId="41888" xr:uid="{00000000-0005-0000-0000-0000AD370000}"/>
    <cellStyle name="Comma 2 4 2 9 2 4" xfId="31181" xr:uid="{00000000-0005-0000-0000-0000AE370000}"/>
    <cellStyle name="Comma 2 4 2 9 2 5" xfId="35464" xr:uid="{00000000-0005-0000-0000-0000AF370000}"/>
    <cellStyle name="Comma 2 4 2 9 3" xfId="15522" xr:uid="{00000000-0005-0000-0000-0000B0370000}"/>
    <cellStyle name="Comma 2 4 2 9 3 2" xfId="24537" xr:uid="{00000000-0005-0000-0000-0000B1370000}"/>
    <cellStyle name="Comma 2 4 2 9 3 2 2" xfId="43966" xr:uid="{00000000-0005-0000-0000-0000B2370000}"/>
    <cellStyle name="Comma 2 4 2 9 3 2 3" xfId="37543" xr:uid="{00000000-0005-0000-0000-0000B3370000}"/>
    <cellStyle name="Comma 2 4 2 9 3 3" xfId="28858" xr:uid="{00000000-0005-0000-0000-0000B4370000}"/>
    <cellStyle name="Comma 2 4 2 9 3 3 2" xfId="40759" xr:uid="{00000000-0005-0000-0000-0000B5370000}"/>
    <cellStyle name="Comma 2 4 2 9 3 4" xfId="32193" xr:uid="{00000000-0005-0000-0000-0000B6370000}"/>
    <cellStyle name="Comma 2 4 2 9 3 5" xfId="34335" xr:uid="{00000000-0005-0000-0000-0000B7370000}"/>
    <cellStyle name="Comma 2 4 2 9 4" xfId="8340" xr:uid="{00000000-0005-0000-0000-0000B8370000}"/>
    <cellStyle name="Comma 2 4 2 9 4 2" xfId="42953" xr:uid="{00000000-0005-0000-0000-0000B9370000}"/>
    <cellStyle name="Comma 2 4 2 9 4 3" xfId="36529" xr:uid="{00000000-0005-0000-0000-0000BA370000}"/>
    <cellStyle name="Comma 2 4 2 9 5" xfId="21329" xr:uid="{00000000-0005-0000-0000-0000BB370000}"/>
    <cellStyle name="Comma 2 4 2 9 5 2" xfId="39746" xr:uid="{00000000-0005-0000-0000-0000BC370000}"/>
    <cellStyle name="Comma 2 4 2 9 6" xfId="22402" xr:uid="{00000000-0005-0000-0000-0000BD370000}"/>
    <cellStyle name="Comma 2 4 2 9 7" xfId="23524" xr:uid="{00000000-0005-0000-0000-0000BE370000}"/>
    <cellStyle name="Comma 2 4 2 9 8" xfId="26724" xr:uid="{00000000-0005-0000-0000-0000BF370000}"/>
    <cellStyle name="Comma 2 4 2 9 9" xfId="30057" xr:uid="{00000000-0005-0000-0000-0000C0370000}"/>
    <cellStyle name="Comma 2 4 20" xfId="26564" xr:uid="{00000000-0005-0000-0000-0000C1370000}"/>
    <cellStyle name="Comma 2 4 21" xfId="29897" xr:uid="{00000000-0005-0000-0000-0000C2370000}"/>
    <cellStyle name="Comma 2 4 22" xfId="32786" xr:uid="{00000000-0005-0000-0000-0000C3370000}"/>
    <cellStyle name="Comma 2 4 3" xfId="262" xr:uid="{00000000-0005-0000-0000-0000C4370000}"/>
    <cellStyle name="Comma 2 4 3 10" xfId="1099" xr:uid="{00000000-0005-0000-0000-0000C5370000}"/>
    <cellStyle name="Comma 2 4 3 10 10" xfId="33323" xr:uid="{00000000-0005-0000-0000-0000C6370000}"/>
    <cellStyle name="Comma 2 4 3 10 2" xfId="9869" xr:uid="{00000000-0005-0000-0000-0000C7370000}"/>
    <cellStyle name="Comma 2 4 3 10 2 2" xfId="25669" xr:uid="{00000000-0005-0000-0000-0000C8370000}"/>
    <cellStyle name="Comma 2 4 3 10 2 2 2" xfId="45096" xr:uid="{00000000-0005-0000-0000-0000C9370000}"/>
    <cellStyle name="Comma 2 4 3 10 2 2 3" xfId="38673" xr:uid="{00000000-0005-0000-0000-0000CA370000}"/>
    <cellStyle name="Comma 2 4 3 10 2 3" xfId="27847" xr:uid="{00000000-0005-0000-0000-0000CB370000}"/>
    <cellStyle name="Comma 2 4 3 10 2 3 2" xfId="41889" xr:uid="{00000000-0005-0000-0000-0000CC370000}"/>
    <cellStyle name="Comma 2 4 3 10 2 4" xfId="31182" xr:uid="{00000000-0005-0000-0000-0000CD370000}"/>
    <cellStyle name="Comma 2 4 3 10 2 5" xfId="35465" xr:uid="{00000000-0005-0000-0000-0000CE370000}"/>
    <cellStyle name="Comma 2 4 3 10 3" xfId="15524" xr:uid="{00000000-0005-0000-0000-0000CF370000}"/>
    <cellStyle name="Comma 2 4 3 10 3 2" xfId="24539" xr:uid="{00000000-0005-0000-0000-0000D0370000}"/>
    <cellStyle name="Comma 2 4 3 10 3 2 2" xfId="43968" xr:uid="{00000000-0005-0000-0000-0000D1370000}"/>
    <cellStyle name="Comma 2 4 3 10 3 2 3" xfId="37545" xr:uid="{00000000-0005-0000-0000-0000D2370000}"/>
    <cellStyle name="Comma 2 4 3 10 3 3" xfId="28860" xr:uid="{00000000-0005-0000-0000-0000D3370000}"/>
    <cellStyle name="Comma 2 4 3 10 3 3 2" xfId="40761" xr:uid="{00000000-0005-0000-0000-0000D4370000}"/>
    <cellStyle name="Comma 2 4 3 10 3 4" xfId="32195" xr:uid="{00000000-0005-0000-0000-0000D5370000}"/>
    <cellStyle name="Comma 2 4 3 10 3 5" xfId="34337" xr:uid="{00000000-0005-0000-0000-0000D6370000}"/>
    <cellStyle name="Comma 2 4 3 10 4" xfId="8342" xr:uid="{00000000-0005-0000-0000-0000D7370000}"/>
    <cellStyle name="Comma 2 4 3 10 4 2" xfId="42954" xr:uid="{00000000-0005-0000-0000-0000D8370000}"/>
    <cellStyle name="Comma 2 4 3 10 4 3" xfId="36530" xr:uid="{00000000-0005-0000-0000-0000D9370000}"/>
    <cellStyle name="Comma 2 4 3 10 5" xfId="21331" xr:uid="{00000000-0005-0000-0000-0000DA370000}"/>
    <cellStyle name="Comma 2 4 3 10 5 2" xfId="39747" xr:uid="{00000000-0005-0000-0000-0000DB370000}"/>
    <cellStyle name="Comma 2 4 3 10 6" xfId="22404" xr:uid="{00000000-0005-0000-0000-0000DC370000}"/>
    <cellStyle name="Comma 2 4 3 10 7" xfId="23525" xr:uid="{00000000-0005-0000-0000-0000DD370000}"/>
    <cellStyle name="Comma 2 4 3 10 8" xfId="26726" xr:uid="{00000000-0005-0000-0000-0000DE370000}"/>
    <cellStyle name="Comma 2 4 3 10 9" xfId="30059" xr:uid="{00000000-0005-0000-0000-0000DF370000}"/>
    <cellStyle name="Comma 2 4 3 11" xfId="1100" xr:uid="{00000000-0005-0000-0000-0000E0370000}"/>
    <cellStyle name="Comma 2 4 3 11 10" xfId="33324" xr:uid="{00000000-0005-0000-0000-0000E1370000}"/>
    <cellStyle name="Comma 2 4 3 11 2" xfId="9870" xr:uid="{00000000-0005-0000-0000-0000E2370000}"/>
    <cellStyle name="Comma 2 4 3 11 2 2" xfId="25670" xr:uid="{00000000-0005-0000-0000-0000E3370000}"/>
    <cellStyle name="Comma 2 4 3 11 2 2 2" xfId="45097" xr:uid="{00000000-0005-0000-0000-0000E4370000}"/>
    <cellStyle name="Comma 2 4 3 11 2 2 3" xfId="38674" xr:uid="{00000000-0005-0000-0000-0000E5370000}"/>
    <cellStyle name="Comma 2 4 3 11 2 3" xfId="27848" xr:uid="{00000000-0005-0000-0000-0000E6370000}"/>
    <cellStyle name="Comma 2 4 3 11 2 3 2" xfId="41890" xr:uid="{00000000-0005-0000-0000-0000E7370000}"/>
    <cellStyle name="Comma 2 4 3 11 2 4" xfId="31183" xr:uid="{00000000-0005-0000-0000-0000E8370000}"/>
    <cellStyle name="Comma 2 4 3 11 2 5" xfId="35466" xr:uid="{00000000-0005-0000-0000-0000E9370000}"/>
    <cellStyle name="Comma 2 4 3 11 3" xfId="15525" xr:uid="{00000000-0005-0000-0000-0000EA370000}"/>
    <cellStyle name="Comma 2 4 3 11 3 2" xfId="24540" xr:uid="{00000000-0005-0000-0000-0000EB370000}"/>
    <cellStyle name="Comma 2 4 3 11 3 2 2" xfId="43969" xr:uid="{00000000-0005-0000-0000-0000EC370000}"/>
    <cellStyle name="Comma 2 4 3 11 3 2 3" xfId="37546" xr:uid="{00000000-0005-0000-0000-0000ED370000}"/>
    <cellStyle name="Comma 2 4 3 11 3 3" xfId="28861" xr:uid="{00000000-0005-0000-0000-0000EE370000}"/>
    <cellStyle name="Comma 2 4 3 11 3 3 2" xfId="40762" xr:uid="{00000000-0005-0000-0000-0000EF370000}"/>
    <cellStyle name="Comma 2 4 3 11 3 4" xfId="32196" xr:uid="{00000000-0005-0000-0000-0000F0370000}"/>
    <cellStyle name="Comma 2 4 3 11 3 5" xfId="34338" xr:uid="{00000000-0005-0000-0000-0000F1370000}"/>
    <cellStyle name="Comma 2 4 3 11 4" xfId="8343" xr:uid="{00000000-0005-0000-0000-0000F2370000}"/>
    <cellStyle name="Comma 2 4 3 11 4 2" xfId="42955" xr:uid="{00000000-0005-0000-0000-0000F3370000}"/>
    <cellStyle name="Comma 2 4 3 11 4 3" xfId="36531" xr:uid="{00000000-0005-0000-0000-0000F4370000}"/>
    <cellStyle name="Comma 2 4 3 11 5" xfId="21332" xr:uid="{00000000-0005-0000-0000-0000F5370000}"/>
    <cellStyle name="Comma 2 4 3 11 5 2" xfId="39748" xr:uid="{00000000-0005-0000-0000-0000F6370000}"/>
    <cellStyle name="Comma 2 4 3 11 6" xfId="22405" xr:uid="{00000000-0005-0000-0000-0000F7370000}"/>
    <cellStyle name="Comma 2 4 3 11 7" xfId="23526" xr:uid="{00000000-0005-0000-0000-0000F8370000}"/>
    <cellStyle name="Comma 2 4 3 11 8" xfId="26727" xr:uid="{00000000-0005-0000-0000-0000F9370000}"/>
    <cellStyle name="Comma 2 4 3 11 9" xfId="30060" xr:uid="{00000000-0005-0000-0000-0000FA370000}"/>
    <cellStyle name="Comma 2 4 3 12" xfId="9119" xr:uid="{00000000-0005-0000-0000-0000FB370000}"/>
    <cellStyle name="Comma 2 4 3 12 2" xfId="25173" xr:uid="{00000000-0005-0000-0000-0000FC370000}"/>
    <cellStyle name="Comma 2 4 3 12 2 2" xfId="44600" xr:uid="{00000000-0005-0000-0000-0000FD370000}"/>
    <cellStyle name="Comma 2 4 3 12 2 3" xfId="38177" xr:uid="{00000000-0005-0000-0000-0000FE370000}"/>
    <cellStyle name="Comma 2 4 3 12 3" xfId="27352" xr:uid="{00000000-0005-0000-0000-0000FF370000}"/>
    <cellStyle name="Comma 2 4 3 12 3 2" xfId="41393" xr:uid="{00000000-0005-0000-0000-000000380000}"/>
    <cellStyle name="Comma 2 4 3 12 4" xfId="30687" xr:uid="{00000000-0005-0000-0000-000001380000}"/>
    <cellStyle name="Comma 2 4 3 12 5" xfId="34969" xr:uid="{00000000-0005-0000-0000-000002380000}"/>
    <cellStyle name="Comma 2 4 3 13" xfId="15523" xr:uid="{00000000-0005-0000-0000-000003380000}"/>
    <cellStyle name="Comma 2 4 3 13 2" xfId="24538" xr:uid="{00000000-0005-0000-0000-000004380000}"/>
    <cellStyle name="Comma 2 4 3 13 2 2" xfId="43967" xr:uid="{00000000-0005-0000-0000-000005380000}"/>
    <cellStyle name="Comma 2 4 3 13 2 3" xfId="37544" xr:uid="{00000000-0005-0000-0000-000006380000}"/>
    <cellStyle name="Comma 2 4 3 13 3" xfId="28859" xr:uid="{00000000-0005-0000-0000-000007380000}"/>
    <cellStyle name="Comma 2 4 3 13 3 2" xfId="40760" xr:uid="{00000000-0005-0000-0000-000008380000}"/>
    <cellStyle name="Comma 2 4 3 13 4" xfId="32194" xr:uid="{00000000-0005-0000-0000-000009380000}"/>
    <cellStyle name="Comma 2 4 3 13 5" xfId="34336" xr:uid="{00000000-0005-0000-0000-00000A380000}"/>
    <cellStyle name="Comma 2 4 3 14" xfId="8341" xr:uid="{00000000-0005-0000-0000-00000B380000}"/>
    <cellStyle name="Comma 2 4 3 14 2" xfId="42463" xr:uid="{00000000-0005-0000-0000-00000C380000}"/>
    <cellStyle name="Comma 2 4 3 14 3" xfId="36039" xr:uid="{00000000-0005-0000-0000-00000D380000}"/>
    <cellStyle name="Comma 2 4 3 15" xfId="21330" xr:uid="{00000000-0005-0000-0000-00000E380000}"/>
    <cellStyle name="Comma 2 4 3 15 2" xfId="39256" xr:uid="{00000000-0005-0000-0000-00000F380000}"/>
    <cellStyle name="Comma 2 4 3 16" xfId="22403" xr:uid="{00000000-0005-0000-0000-000010380000}"/>
    <cellStyle name="Comma 2 4 3 17" xfId="23034" xr:uid="{00000000-0005-0000-0000-000011380000}"/>
    <cellStyle name="Comma 2 4 3 18" xfId="26725" xr:uid="{00000000-0005-0000-0000-000012380000}"/>
    <cellStyle name="Comma 2 4 3 19" xfId="30058" xr:uid="{00000000-0005-0000-0000-000013380000}"/>
    <cellStyle name="Comma 2 4 3 2" xfId="255" xr:uid="{00000000-0005-0000-0000-000014380000}"/>
    <cellStyle name="Comma 2 4 3 2 10" xfId="1101" xr:uid="{00000000-0005-0000-0000-000015380000}"/>
    <cellStyle name="Comma 2 4 3 2 10 10" xfId="33325" xr:uid="{00000000-0005-0000-0000-000016380000}"/>
    <cellStyle name="Comma 2 4 3 2 10 2" xfId="9871" xr:uid="{00000000-0005-0000-0000-000017380000}"/>
    <cellStyle name="Comma 2 4 3 2 10 2 2" xfId="25671" xr:uid="{00000000-0005-0000-0000-000018380000}"/>
    <cellStyle name="Comma 2 4 3 2 10 2 2 2" xfId="45098" xr:uid="{00000000-0005-0000-0000-000019380000}"/>
    <cellStyle name="Comma 2 4 3 2 10 2 2 3" xfId="38675" xr:uid="{00000000-0005-0000-0000-00001A380000}"/>
    <cellStyle name="Comma 2 4 3 2 10 2 3" xfId="27849" xr:uid="{00000000-0005-0000-0000-00001B380000}"/>
    <cellStyle name="Comma 2 4 3 2 10 2 3 2" xfId="41891" xr:uid="{00000000-0005-0000-0000-00001C380000}"/>
    <cellStyle name="Comma 2 4 3 2 10 2 4" xfId="31184" xr:uid="{00000000-0005-0000-0000-00001D380000}"/>
    <cellStyle name="Comma 2 4 3 2 10 2 5" xfId="35467" xr:uid="{00000000-0005-0000-0000-00001E380000}"/>
    <cellStyle name="Comma 2 4 3 2 10 3" xfId="15527" xr:uid="{00000000-0005-0000-0000-00001F380000}"/>
    <cellStyle name="Comma 2 4 3 2 10 3 2" xfId="24542" xr:uid="{00000000-0005-0000-0000-000020380000}"/>
    <cellStyle name="Comma 2 4 3 2 10 3 2 2" xfId="43971" xr:uid="{00000000-0005-0000-0000-000021380000}"/>
    <cellStyle name="Comma 2 4 3 2 10 3 2 3" xfId="37548" xr:uid="{00000000-0005-0000-0000-000022380000}"/>
    <cellStyle name="Comma 2 4 3 2 10 3 3" xfId="28863" xr:uid="{00000000-0005-0000-0000-000023380000}"/>
    <cellStyle name="Comma 2 4 3 2 10 3 3 2" xfId="40764" xr:uid="{00000000-0005-0000-0000-000024380000}"/>
    <cellStyle name="Comma 2 4 3 2 10 3 4" xfId="32198" xr:uid="{00000000-0005-0000-0000-000025380000}"/>
    <cellStyle name="Comma 2 4 3 2 10 3 5" xfId="34340" xr:uid="{00000000-0005-0000-0000-000026380000}"/>
    <cellStyle name="Comma 2 4 3 2 10 4" xfId="8345" xr:uid="{00000000-0005-0000-0000-000027380000}"/>
    <cellStyle name="Comma 2 4 3 2 10 4 2" xfId="42956" xr:uid="{00000000-0005-0000-0000-000028380000}"/>
    <cellStyle name="Comma 2 4 3 2 10 4 3" xfId="36532" xr:uid="{00000000-0005-0000-0000-000029380000}"/>
    <cellStyle name="Comma 2 4 3 2 10 5" xfId="21334" xr:uid="{00000000-0005-0000-0000-00002A380000}"/>
    <cellStyle name="Comma 2 4 3 2 10 5 2" xfId="39749" xr:uid="{00000000-0005-0000-0000-00002B380000}"/>
    <cellStyle name="Comma 2 4 3 2 10 6" xfId="22407" xr:uid="{00000000-0005-0000-0000-00002C380000}"/>
    <cellStyle name="Comma 2 4 3 2 10 7" xfId="23527" xr:uid="{00000000-0005-0000-0000-00002D380000}"/>
    <cellStyle name="Comma 2 4 3 2 10 8" xfId="26729" xr:uid="{00000000-0005-0000-0000-00002E380000}"/>
    <cellStyle name="Comma 2 4 3 2 10 9" xfId="30062" xr:uid="{00000000-0005-0000-0000-00002F380000}"/>
    <cellStyle name="Comma 2 4 3 2 11" xfId="9114" xr:uid="{00000000-0005-0000-0000-000030380000}"/>
    <cellStyle name="Comma 2 4 3 2 11 2" xfId="25168" xr:uid="{00000000-0005-0000-0000-000031380000}"/>
    <cellStyle name="Comma 2 4 3 2 11 2 2" xfId="44595" xr:uid="{00000000-0005-0000-0000-000032380000}"/>
    <cellStyle name="Comma 2 4 3 2 11 2 3" xfId="38172" xr:uid="{00000000-0005-0000-0000-000033380000}"/>
    <cellStyle name="Comma 2 4 3 2 11 3" xfId="27347" xr:uid="{00000000-0005-0000-0000-000034380000}"/>
    <cellStyle name="Comma 2 4 3 2 11 3 2" xfId="41388" xr:uid="{00000000-0005-0000-0000-000035380000}"/>
    <cellStyle name="Comma 2 4 3 2 11 4" xfId="30682" xr:uid="{00000000-0005-0000-0000-000036380000}"/>
    <cellStyle name="Comma 2 4 3 2 11 5" xfId="34964" xr:uid="{00000000-0005-0000-0000-000037380000}"/>
    <cellStyle name="Comma 2 4 3 2 12" xfId="15526" xr:uid="{00000000-0005-0000-0000-000038380000}"/>
    <cellStyle name="Comma 2 4 3 2 12 2" xfId="24541" xr:uid="{00000000-0005-0000-0000-000039380000}"/>
    <cellStyle name="Comma 2 4 3 2 12 2 2" xfId="43970" xr:uid="{00000000-0005-0000-0000-00003A380000}"/>
    <cellStyle name="Comma 2 4 3 2 12 2 3" xfId="37547" xr:uid="{00000000-0005-0000-0000-00003B380000}"/>
    <cellStyle name="Comma 2 4 3 2 12 3" xfId="28862" xr:uid="{00000000-0005-0000-0000-00003C380000}"/>
    <cellStyle name="Comma 2 4 3 2 12 3 2" xfId="40763" xr:uid="{00000000-0005-0000-0000-00003D380000}"/>
    <cellStyle name="Comma 2 4 3 2 12 4" xfId="32197" xr:uid="{00000000-0005-0000-0000-00003E380000}"/>
    <cellStyle name="Comma 2 4 3 2 12 5" xfId="34339" xr:uid="{00000000-0005-0000-0000-00003F380000}"/>
    <cellStyle name="Comma 2 4 3 2 13" xfId="8344" xr:uid="{00000000-0005-0000-0000-000040380000}"/>
    <cellStyle name="Comma 2 4 3 2 13 2" xfId="42458" xr:uid="{00000000-0005-0000-0000-000041380000}"/>
    <cellStyle name="Comma 2 4 3 2 13 3" xfId="36034" xr:uid="{00000000-0005-0000-0000-000042380000}"/>
    <cellStyle name="Comma 2 4 3 2 14" xfId="21333" xr:uid="{00000000-0005-0000-0000-000043380000}"/>
    <cellStyle name="Comma 2 4 3 2 14 2" xfId="39251" xr:uid="{00000000-0005-0000-0000-000044380000}"/>
    <cellStyle name="Comma 2 4 3 2 15" xfId="22406" xr:uid="{00000000-0005-0000-0000-000045380000}"/>
    <cellStyle name="Comma 2 4 3 2 16" xfId="23029" xr:uid="{00000000-0005-0000-0000-000046380000}"/>
    <cellStyle name="Comma 2 4 3 2 17" xfId="26728" xr:uid="{00000000-0005-0000-0000-000047380000}"/>
    <cellStyle name="Comma 2 4 3 2 18" xfId="30061" xr:uid="{00000000-0005-0000-0000-000048380000}"/>
    <cellStyle name="Comma 2 4 3 2 19" xfId="32827" xr:uid="{00000000-0005-0000-0000-000049380000}"/>
    <cellStyle name="Comma 2 4 3 2 2" xfId="183" xr:uid="{00000000-0005-0000-0000-00004A380000}"/>
    <cellStyle name="Comma 2 4 3 2 2 10" xfId="15528" xr:uid="{00000000-0005-0000-0000-00004B380000}"/>
    <cellStyle name="Comma 2 4 3 2 2 10 2" xfId="24543" xr:uid="{00000000-0005-0000-0000-00004C380000}"/>
    <cellStyle name="Comma 2 4 3 2 2 10 2 2" xfId="43972" xr:uid="{00000000-0005-0000-0000-00004D380000}"/>
    <cellStyle name="Comma 2 4 3 2 2 10 2 3" xfId="37549" xr:uid="{00000000-0005-0000-0000-00004E380000}"/>
    <cellStyle name="Comma 2 4 3 2 2 10 3" xfId="28864" xr:uid="{00000000-0005-0000-0000-00004F380000}"/>
    <cellStyle name="Comma 2 4 3 2 2 10 3 2" xfId="40765" xr:uid="{00000000-0005-0000-0000-000050380000}"/>
    <cellStyle name="Comma 2 4 3 2 2 10 4" xfId="32199" xr:uid="{00000000-0005-0000-0000-000051380000}"/>
    <cellStyle name="Comma 2 4 3 2 2 10 5" xfId="34341" xr:uid="{00000000-0005-0000-0000-000052380000}"/>
    <cellStyle name="Comma 2 4 3 2 2 11" xfId="8346" xr:uid="{00000000-0005-0000-0000-000053380000}"/>
    <cellStyle name="Comma 2 4 3 2 2 11 2" xfId="42411" xr:uid="{00000000-0005-0000-0000-000054380000}"/>
    <cellStyle name="Comma 2 4 3 2 2 11 3" xfId="35987" xr:uid="{00000000-0005-0000-0000-000055380000}"/>
    <cellStyle name="Comma 2 4 3 2 2 12" xfId="21335" xr:uid="{00000000-0005-0000-0000-000056380000}"/>
    <cellStyle name="Comma 2 4 3 2 2 12 2" xfId="39204" xr:uid="{00000000-0005-0000-0000-000057380000}"/>
    <cellStyle name="Comma 2 4 3 2 2 13" xfId="22408" xr:uid="{00000000-0005-0000-0000-000058380000}"/>
    <cellStyle name="Comma 2 4 3 2 2 14" xfId="22982" xr:uid="{00000000-0005-0000-0000-000059380000}"/>
    <cellStyle name="Comma 2 4 3 2 2 15" xfId="26730" xr:uid="{00000000-0005-0000-0000-00005A380000}"/>
    <cellStyle name="Comma 2 4 3 2 2 16" xfId="30063" xr:uid="{00000000-0005-0000-0000-00005B380000}"/>
    <cellStyle name="Comma 2 4 3 2 2 17" xfId="32780" xr:uid="{00000000-0005-0000-0000-00005C380000}"/>
    <cellStyle name="Comma 2 4 3 2 2 2" xfId="230" xr:uid="{00000000-0005-0000-0000-00005D380000}"/>
    <cellStyle name="Comma 2 4 3 2 2 2 10" xfId="21336" xr:uid="{00000000-0005-0000-0000-00005E380000}"/>
    <cellStyle name="Comma 2 4 3 2 2 2 10 2" xfId="39233" xr:uid="{00000000-0005-0000-0000-00005F380000}"/>
    <cellStyle name="Comma 2 4 3 2 2 2 11" xfId="22409" xr:uid="{00000000-0005-0000-0000-000060380000}"/>
    <cellStyle name="Comma 2 4 3 2 2 2 12" xfId="23011" xr:uid="{00000000-0005-0000-0000-000061380000}"/>
    <cellStyle name="Comma 2 4 3 2 2 2 13" xfId="26731" xr:uid="{00000000-0005-0000-0000-000062380000}"/>
    <cellStyle name="Comma 2 4 3 2 2 2 14" xfId="30064" xr:uid="{00000000-0005-0000-0000-000063380000}"/>
    <cellStyle name="Comma 2 4 3 2 2 2 15" xfId="32809" xr:uid="{00000000-0005-0000-0000-000064380000}"/>
    <cellStyle name="Comma 2 4 3 2 2 2 2" xfId="1102" xr:uid="{00000000-0005-0000-0000-000065380000}"/>
    <cellStyle name="Comma 2 4 3 2 2 2 2 10" xfId="33326" xr:uid="{00000000-0005-0000-0000-000066380000}"/>
    <cellStyle name="Comma 2 4 3 2 2 2 2 2" xfId="9872" xr:uid="{00000000-0005-0000-0000-000067380000}"/>
    <cellStyle name="Comma 2 4 3 2 2 2 2 2 2" xfId="25672" xr:uid="{00000000-0005-0000-0000-000068380000}"/>
    <cellStyle name="Comma 2 4 3 2 2 2 2 2 2 2" xfId="45099" xr:uid="{00000000-0005-0000-0000-000069380000}"/>
    <cellStyle name="Comma 2 4 3 2 2 2 2 2 2 3" xfId="38676" xr:uid="{00000000-0005-0000-0000-00006A380000}"/>
    <cellStyle name="Comma 2 4 3 2 2 2 2 2 3" xfId="27850" xr:uid="{00000000-0005-0000-0000-00006B380000}"/>
    <cellStyle name="Comma 2 4 3 2 2 2 2 2 3 2" xfId="41892" xr:uid="{00000000-0005-0000-0000-00006C380000}"/>
    <cellStyle name="Comma 2 4 3 2 2 2 2 2 4" xfId="31185" xr:uid="{00000000-0005-0000-0000-00006D380000}"/>
    <cellStyle name="Comma 2 4 3 2 2 2 2 2 5" xfId="35468" xr:uid="{00000000-0005-0000-0000-00006E380000}"/>
    <cellStyle name="Comma 2 4 3 2 2 2 2 3" xfId="15530" xr:uid="{00000000-0005-0000-0000-00006F380000}"/>
    <cellStyle name="Comma 2 4 3 2 2 2 2 3 2" xfId="24545" xr:uid="{00000000-0005-0000-0000-000070380000}"/>
    <cellStyle name="Comma 2 4 3 2 2 2 2 3 2 2" xfId="43974" xr:uid="{00000000-0005-0000-0000-000071380000}"/>
    <cellStyle name="Comma 2 4 3 2 2 2 2 3 2 3" xfId="37551" xr:uid="{00000000-0005-0000-0000-000072380000}"/>
    <cellStyle name="Comma 2 4 3 2 2 2 2 3 3" xfId="28866" xr:uid="{00000000-0005-0000-0000-000073380000}"/>
    <cellStyle name="Comma 2 4 3 2 2 2 2 3 3 2" xfId="40767" xr:uid="{00000000-0005-0000-0000-000074380000}"/>
    <cellStyle name="Comma 2 4 3 2 2 2 2 3 4" xfId="32201" xr:uid="{00000000-0005-0000-0000-000075380000}"/>
    <cellStyle name="Comma 2 4 3 2 2 2 2 3 5" xfId="34343" xr:uid="{00000000-0005-0000-0000-000076380000}"/>
    <cellStyle name="Comma 2 4 3 2 2 2 2 4" xfId="8348" xr:uid="{00000000-0005-0000-0000-000077380000}"/>
    <cellStyle name="Comma 2 4 3 2 2 2 2 4 2" xfId="42957" xr:uid="{00000000-0005-0000-0000-000078380000}"/>
    <cellStyle name="Comma 2 4 3 2 2 2 2 4 3" xfId="36533" xr:uid="{00000000-0005-0000-0000-000079380000}"/>
    <cellStyle name="Comma 2 4 3 2 2 2 2 5" xfId="21337" xr:uid="{00000000-0005-0000-0000-00007A380000}"/>
    <cellStyle name="Comma 2 4 3 2 2 2 2 5 2" xfId="39750" xr:uid="{00000000-0005-0000-0000-00007B380000}"/>
    <cellStyle name="Comma 2 4 3 2 2 2 2 6" xfId="22410" xr:uid="{00000000-0005-0000-0000-00007C380000}"/>
    <cellStyle name="Comma 2 4 3 2 2 2 2 7" xfId="23528" xr:uid="{00000000-0005-0000-0000-00007D380000}"/>
    <cellStyle name="Comma 2 4 3 2 2 2 2 8" xfId="26732" xr:uid="{00000000-0005-0000-0000-00007E380000}"/>
    <cellStyle name="Comma 2 4 3 2 2 2 2 9" xfId="30065" xr:uid="{00000000-0005-0000-0000-00007F380000}"/>
    <cellStyle name="Comma 2 4 3 2 2 2 3" xfId="1103" xr:uid="{00000000-0005-0000-0000-000080380000}"/>
    <cellStyle name="Comma 2 4 3 2 2 2 3 10" xfId="33327" xr:uid="{00000000-0005-0000-0000-000081380000}"/>
    <cellStyle name="Comma 2 4 3 2 2 2 3 2" xfId="9873" xr:uid="{00000000-0005-0000-0000-000082380000}"/>
    <cellStyle name="Comma 2 4 3 2 2 2 3 2 2" xfId="25673" xr:uid="{00000000-0005-0000-0000-000083380000}"/>
    <cellStyle name="Comma 2 4 3 2 2 2 3 2 2 2" xfId="45100" xr:uid="{00000000-0005-0000-0000-000084380000}"/>
    <cellStyle name="Comma 2 4 3 2 2 2 3 2 2 3" xfId="38677" xr:uid="{00000000-0005-0000-0000-000085380000}"/>
    <cellStyle name="Comma 2 4 3 2 2 2 3 2 3" xfId="27851" xr:uid="{00000000-0005-0000-0000-000086380000}"/>
    <cellStyle name="Comma 2 4 3 2 2 2 3 2 3 2" xfId="41893" xr:uid="{00000000-0005-0000-0000-000087380000}"/>
    <cellStyle name="Comma 2 4 3 2 2 2 3 2 4" xfId="31186" xr:uid="{00000000-0005-0000-0000-000088380000}"/>
    <cellStyle name="Comma 2 4 3 2 2 2 3 2 5" xfId="35469" xr:uid="{00000000-0005-0000-0000-000089380000}"/>
    <cellStyle name="Comma 2 4 3 2 2 2 3 3" xfId="15531" xr:uid="{00000000-0005-0000-0000-00008A380000}"/>
    <cellStyle name="Comma 2 4 3 2 2 2 3 3 2" xfId="24546" xr:uid="{00000000-0005-0000-0000-00008B380000}"/>
    <cellStyle name="Comma 2 4 3 2 2 2 3 3 2 2" xfId="43975" xr:uid="{00000000-0005-0000-0000-00008C380000}"/>
    <cellStyle name="Comma 2 4 3 2 2 2 3 3 2 3" xfId="37552" xr:uid="{00000000-0005-0000-0000-00008D380000}"/>
    <cellStyle name="Comma 2 4 3 2 2 2 3 3 3" xfId="28867" xr:uid="{00000000-0005-0000-0000-00008E380000}"/>
    <cellStyle name="Comma 2 4 3 2 2 2 3 3 3 2" xfId="40768" xr:uid="{00000000-0005-0000-0000-00008F380000}"/>
    <cellStyle name="Comma 2 4 3 2 2 2 3 3 4" xfId="32202" xr:uid="{00000000-0005-0000-0000-000090380000}"/>
    <cellStyle name="Comma 2 4 3 2 2 2 3 3 5" xfId="34344" xr:uid="{00000000-0005-0000-0000-000091380000}"/>
    <cellStyle name="Comma 2 4 3 2 2 2 3 4" xfId="8349" xr:uid="{00000000-0005-0000-0000-000092380000}"/>
    <cellStyle name="Comma 2 4 3 2 2 2 3 4 2" xfId="42958" xr:uid="{00000000-0005-0000-0000-000093380000}"/>
    <cellStyle name="Comma 2 4 3 2 2 2 3 4 3" xfId="36534" xr:uid="{00000000-0005-0000-0000-000094380000}"/>
    <cellStyle name="Comma 2 4 3 2 2 2 3 5" xfId="21338" xr:uid="{00000000-0005-0000-0000-000095380000}"/>
    <cellStyle name="Comma 2 4 3 2 2 2 3 5 2" xfId="39751" xr:uid="{00000000-0005-0000-0000-000096380000}"/>
    <cellStyle name="Comma 2 4 3 2 2 2 3 6" xfId="22411" xr:uid="{00000000-0005-0000-0000-000097380000}"/>
    <cellStyle name="Comma 2 4 3 2 2 2 3 7" xfId="23529" xr:uid="{00000000-0005-0000-0000-000098380000}"/>
    <cellStyle name="Comma 2 4 3 2 2 2 3 8" xfId="26733" xr:uid="{00000000-0005-0000-0000-000099380000}"/>
    <cellStyle name="Comma 2 4 3 2 2 2 3 9" xfId="30066" xr:uid="{00000000-0005-0000-0000-00009A380000}"/>
    <cellStyle name="Comma 2 4 3 2 2 2 4" xfId="1104" xr:uid="{00000000-0005-0000-0000-00009B380000}"/>
    <cellStyle name="Comma 2 4 3 2 2 2 4 10" xfId="33328" xr:uid="{00000000-0005-0000-0000-00009C380000}"/>
    <cellStyle name="Comma 2 4 3 2 2 2 4 2" xfId="9874" xr:uid="{00000000-0005-0000-0000-00009D380000}"/>
    <cellStyle name="Comma 2 4 3 2 2 2 4 2 2" xfId="25674" xr:uid="{00000000-0005-0000-0000-00009E380000}"/>
    <cellStyle name="Comma 2 4 3 2 2 2 4 2 2 2" xfId="45101" xr:uid="{00000000-0005-0000-0000-00009F380000}"/>
    <cellStyle name="Comma 2 4 3 2 2 2 4 2 2 3" xfId="38678" xr:uid="{00000000-0005-0000-0000-0000A0380000}"/>
    <cellStyle name="Comma 2 4 3 2 2 2 4 2 3" xfId="27852" xr:uid="{00000000-0005-0000-0000-0000A1380000}"/>
    <cellStyle name="Comma 2 4 3 2 2 2 4 2 3 2" xfId="41894" xr:uid="{00000000-0005-0000-0000-0000A2380000}"/>
    <cellStyle name="Comma 2 4 3 2 2 2 4 2 4" xfId="31187" xr:uid="{00000000-0005-0000-0000-0000A3380000}"/>
    <cellStyle name="Comma 2 4 3 2 2 2 4 2 5" xfId="35470" xr:uid="{00000000-0005-0000-0000-0000A4380000}"/>
    <cellStyle name="Comma 2 4 3 2 2 2 4 3" xfId="15532" xr:uid="{00000000-0005-0000-0000-0000A5380000}"/>
    <cellStyle name="Comma 2 4 3 2 2 2 4 3 2" xfId="24547" xr:uid="{00000000-0005-0000-0000-0000A6380000}"/>
    <cellStyle name="Comma 2 4 3 2 2 2 4 3 2 2" xfId="43976" xr:uid="{00000000-0005-0000-0000-0000A7380000}"/>
    <cellStyle name="Comma 2 4 3 2 2 2 4 3 2 3" xfId="37553" xr:uid="{00000000-0005-0000-0000-0000A8380000}"/>
    <cellStyle name="Comma 2 4 3 2 2 2 4 3 3" xfId="28868" xr:uid="{00000000-0005-0000-0000-0000A9380000}"/>
    <cellStyle name="Comma 2 4 3 2 2 2 4 3 3 2" xfId="40769" xr:uid="{00000000-0005-0000-0000-0000AA380000}"/>
    <cellStyle name="Comma 2 4 3 2 2 2 4 3 4" xfId="32203" xr:uid="{00000000-0005-0000-0000-0000AB380000}"/>
    <cellStyle name="Comma 2 4 3 2 2 2 4 3 5" xfId="34345" xr:uid="{00000000-0005-0000-0000-0000AC380000}"/>
    <cellStyle name="Comma 2 4 3 2 2 2 4 4" xfId="8350" xr:uid="{00000000-0005-0000-0000-0000AD380000}"/>
    <cellStyle name="Comma 2 4 3 2 2 2 4 4 2" xfId="42959" xr:uid="{00000000-0005-0000-0000-0000AE380000}"/>
    <cellStyle name="Comma 2 4 3 2 2 2 4 4 3" xfId="36535" xr:uid="{00000000-0005-0000-0000-0000AF380000}"/>
    <cellStyle name="Comma 2 4 3 2 2 2 4 5" xfId="21339" xr:uid="{00000000-0005-0000-0000-0000B0380000}"/>
    <cellStyle name="Comma 2 4 3 2 2 2 4 5 2" xfId="39752" xr:uid="{00000000-0005-0000-0000-0000B1380000}"/>
    <cellStyle name="Comma 2 4 3 2 2 2 4 6" xfId="22412" xr:uid="{00000000-0005-0000-0000-0000B2380000}"/>
    <cellStyle name="Comma 2 4 3 2 2 2 4 7" xfId="23530" xr:uid="{00000000-0005-0000-0000-0000B3380000}"/>
    <cellStyle name="Comma 2 4 3 2 2 2 4 8" xfId="26734" xr:uid="{00000000-0005-0000-0000-0000B4380000}"/>
    <cellStyle name="Comma 2 4 3 2 2 2 4 9" xfId="30067" xr:uid="{00000000-0005-0000-0000-0000B5380000}"/>
    <cellStyle name="Comma 2 4 3 2 2 2 5" xfId="1105" xr:uid="{00000000-0005-0000-0000-0000B6380000}"/>
    <cellStyle name="Comma 2 4 3 2 2 2 5 10" xfId="33329" xr:uid="{00000000-0005-0000-0000-0000B7380000}"/>
    <cellStyle name="Comma 2 4 3 2 2 2 5 2" xfId="9875" xr:uid="{00000000-0005-0000-0000-0000B8380000}"/>
    <cellStyle name="Comma 2 4 3 2 2 2 5 2 2" xfId="25675" xr:uid="{00000000-0005-0000-0000-0000B9380000}"/>
    <cellStyle name="Comma 2 4 3 2 2 2 5 2 2 2" xfId="45102" xr:uid="{00000000-0005-0000-0000-0000BA380000}"/>
    <cellStyle name="Comma 2 4 3 2 2 2 5 2 2 3" xfId="38679" xr:uid="{00000000-0005-0000-0000-0000BB380000}"/>
    <cellStyle name="Comma 2 4 3 2 2 2 5 2 3" xfId="27853" xr:uid="{00000000-0005-0000-0000-0000BC380000}"/>
    <cellStyle name="Comma 2 4 3 2 2 2 5 2 3 2" xfId="41895" xr:uid="{00000000-0005-0000-0000-0000BD380000}"/>
    <cellStyle name="Comma 2 4 3 2 2 2 5 2 4" xfId="31188" xr:uid="{00000000-0005-0000-0000-0000BE380000}"/>
    <cellStyle name="Comma 2 4 3 2 2 2 5 2 5" xfId="35471" xr:uid="{00000000-0005-0000-0000-0000BF380000}"/>
    <cellStyle name="Comma 2 4 3 2 2 2 5 3" xfId="15533" xr:uid="{00000000-0005-0000-0000-0000C0380000}"/>
    <cellStyle name="Comma 2 4 3 2 2 2 5 3 2" xfId="24548" xr:uid="{00000000-0005-0000-0000-0000C1380000}"/>
    <cellStyle name="Comma 2 4 3 2 2 2 5 3 2 2" xfId="43977" xr:uid="{00000000-0005-0000-0000-0000C2380000}"/>
    <cellStyle name="Comma 2 4 3 2 2 2 5 3 2 3" xfId="37554" xr:uid="{00000000-0005-0000-0000-0000C3380000}"/>
    <cellStyle name="Comma 2 4 3 2 2 2 5 3 3" xfId="28869" xr:uid="{00000000-0005-0000-0000-0000C4380000}"/>
    <cellStyle name="Comma 2 4 3 2 2 2 5 3 3 2" xfId="40770" xr:uid="{00000000-0005-0000-0000-0000C5380000}"/>
    <cellStyle name="Comma 2 4 3 2 2 2 5 3 4" xfId="32204" xr:uid="{00000000-0005-0000-0000-0000C6380000}"/>
    <cellStyle name="Comma 2 4 3 2 2 2 5 3 5" xfId="34346" xr:uid="{00000000-0005-0000-0000-0000C7380000}"/>
    <cellStyle name="Comma 2 4 3 2 2 2 5 4" xfId="8351" xr:uid="{00000000-0005-0000-0000-0000C8380000}"/>
    <cellStyle name="Comma 2 4 3 2 2 2 5 4 2" xfId="42960" xr:uid="{00000000-0005-0000-0000-0000C9380000}"/>
    <cellStyle name="Comma 2 4 3 2 2 2 5 4 3" xfId="36536" xr:uid="{00000000-0005-0000-0000-0000CA380000}"/>
    <cellStyle name="Comma 2 4 3 2 2 2 5 5" xfId="21340" xr:uid="{00000000-0005-0000-0000-0000CB380000}"/>
    <cellStyle name="Comma 2 4 3 2 2 2 5 5 2" xfId="39753" xr:uid="{00000000-0005-0000-0000-0000CC380000}"/>
    <cellStyle name="Comma 2 4 3 2 2 2 5 6" xfId="22413" xr:uid="{00000000-0005-0000-0000-0000CD380000}"/>
    <cellStyle name="Comma 2 4 3 2 2 2 5 7" xfId="23531" xr:uid="{00000000-0005-0000-0000-0000CE380000}"/>
    <cellStyle name="Comma 2 4 3 2 2 2 5 8" xfId="26735" xr:uid="{00000000-0005-0000-0000-0000CF380000}"/>
    <cellStyle name="Comma 2 4 3 2 2 2 5 9" xfId="30068" xr:uid="{00000000-0005-0000-0000-0000D0380000}"/>
    <cellStyle name="Comma 2 4 3 2 2 2 6" xfId="1106" xr:uid="{00000000-0005-0000-0000-0000D1380000}"/>
    <cellStyle name="Comma 2 4 3 2 2 2 6 10" xfId="33330" xr:uid="{00000000-0005-0000-0000-0000D2380000}"/>
    <cellStyle name="Comma 2 4 3 2 2 2 6 2" xfId="9876" xr:uid="{00000000-0005-0000-0000-0000D3380000}"/>
    <cellStyle name="Comma 2 4 3 2 2 2 6 2 2" xfId="25676" xr:uid="{00000000-0005-0000-0000-0000D4380000}"/>
    <cellStyle name="Comma 2 4 3 2 2 2 6 2 2 2" xfId="45103" xr:uid="{00000000-0005-0000-0000-0000D5380000}"/>
    <cellStyle name="Comma 2 4 3 2 2 2 6 2 2 3" xfId="38680" xr:uid="{00000000-0005-0000-0000-0000D6380000}"/>
    <cellStyle name="Comma 2 4 3 2 2 2 6 2 3" xfId="27854" xr:uid="{00000000-0005-0000-0000-0000D7380000}"/>
    <cellStyle name="Comma 2 4 3 2 2 2 6 2 3 2" xfId="41896" xr:uid="{00000000-0005-0000-0000-0000D8380000}"/>
    <cellStyle name="Comma 2 4 3 2 2 2 6 2 4" xfId="31189" xr:uid="{00000000-0005-0000-0000-0000D9380000}"/>
    <cellStyle name="Comma 2 4 3 2 2 2 6 2 5" xfId="35472" xr:uid="{00000000-0005-0000-0000-0000DA380000}"/>
    <cellStyle name="Comma 2 4 3 2 2 2 6 3" xfId="15534" xr:uid="{00000000-0005-0000-0000-0000DB380000}"/>
    <cellStyle name="Comma 2 4 3 2 2 2 6 3 2" xfId="24549" xr:uid="{00000000-0005-0000-0000-0000DC380000}"/>
    <cellStyle name="Comma 2 4 3 2 2 2 6 3 2 2" xfId="43978" xr:uid="{00000000-0005-0000-0000-0000DD380000}"/>
    <cellStyle name="Comma 2 4 3 2 2 2 6 3 2 3" xfId="37555" xr:uid="{00000000-0005-0000-0000-0000DE380000}"/>
    <cellStyle name="Comma 2 4 3 2 2 2 6 3 3" xfId="28870" xr:uid="{00000000-0005-0000-0000-0000DF380000}"/>
    <cellStyle name="Comma 2 4 3 2 2 2 6 3 3 2" xfId="40771" xr:uid="{00000000-0005-0000-0000-0000E0380000}"/>
    <cellStyle name="Comma 2 4 3 2 2 2 6 3 4" xfId="32205" xr:uid="{00000000-0005-0000-0000-0000E1380000}"/>
    <cellStyle name="Comma 2 4 3 2 2 2 6 3 5" xfId="34347" xr:uid="{00000000-0005-0000-0000-0000E2380000}"/>
    <cellStyle name="Comma 2 4 3 2 2 2 6 4" xfId="8352" xr:uid="{00000000-0005-0000-0000-0000E3380000}"/>
    <cellStyle name="Comma 2 4 3 2 2 2 6 4 2" xfId="42961" xr:uid="{00000000-0005-0000-0000-0000E4380000}"/>
    <cellStyle name="Comma 2 4 3 2 2 2 6 4 3" xfId="36537" xr:uid="{00000000-0005-0000-0000-0000E5380000}"/>
    <cellStyle name="Comma 2 4 3 2 2 2 6 5" xfId="21341" xr:uid="{00000000-0005-0000-0000-0000E6380000}"/>
    <cellStyle name="Comma 2 4 3 2 2 2 6 5 2" xfId="39754" xr:uid="{00000000-0005-0000-0000-0000E7380000}"/>
    <cellStyle name="Comma 2 4 3 2 2 2 6 6" xfId="22414" xr:uid="{00000000-0005-0000-0000-0000E8380000}"/>
    <cellStyle name="Comma 2 4 3 2 2 2 6 7" xfId="23532" xr:uid="{00000000-0005-0000-0000-0000E9380000}"/>
    <cellStyle name="Comma 2 4 3 2 2 2 6 8" xfId="26736" xr:uid="{00000000-0005-0000-0000-0000EA380000}"/>
    <cellStyle name="Comma 2 4 3 2 2 2 6 9" xfId="30069" xr:uid="{00000000-0005-0000-0000-0000EB380000}"/>
    <cellStyle name="Comma 2 4 3 2 2 2 7" xfId="9095" xr:uid="{00000000-0005-0000-0000-0000EC380000}"/>
    <cellStyle name="Comma 2 4 3 2 2 2 7 2" xfId="25150" xr:uid="{00000000-0005-0000-0000-0000ED380000}"/>
    <cellStyle name="Comma 2 4 3 2 2 2 7 2 2" xfId="44577" xr:uid="{00000000-0005-0000-0000-0000EE380000}"/>
    <cellStyle name="Comma 2 4 3 2 2 2 7 2 3" xfId="38154" xr:uid="{00000000-0005-0000-0000-0000EF380000}"/>
    <cellStyle name="Comma 2 4 3 2 2 2 7 3" xfId="27329" xr:uid="{00000000-0005-0000-0000-0000F0380000}"/>
    <cellStyle name="Comma 2 4 3 2 2 2 7 3 2" xfId="41370" xr:uid="{00000000-0005-0000-0000-0000F1380000}"/>
    <cellStyle name="Comma 2 4 3 2 2 2 7 4" xfId="30664" xr:uid="{00000000-0005-0000-0000-0000F2380000}"/>
    <cellStyle name="Comma 2 4 3 2 2 2 7 5" xfId="34946" xr:uid="{00000000-0005-0000-0000-0000F3380000}"/>
    <cellStyle name="Comma 2 4 3 2 2 2 8" xfId="15529" xr:uid="{00000000-0005-0000-0000-0000F4380000}"/>
    <cellStyle name="Comma 2 4 3 2 2 2 8 2" xfId="24544" xr:uid="{00000000-0005-0000-0000-0000F5380000}"/>
    <cellStyle name="Comma 2 4 3 2 2 2 8 2 2" xfId="43973" xr:uid="{00000000-0005-0000-0000-0000F6380000}"/>
    <cellStyle name="Comma 2 4 3 2 2 2 8 2 3" xfId="37550" xr:uid="{00000000-0005-0000-0000-0000F7380000}"/>
    <cellStyle name="Comma 2 4 3 2 2 2 8 3" xfId="28865" xr:uid="{00000000-0005-0000-0000-0000F8380000}"/>
    <cellStyle name="Comma 2 4 3 2 2 2 8 3 2" xfId="40766" xr:uid="{00000000-0005-0000-0000-0000F9380000}"/>
    <cellStyle name="Comma 2 4 3 2 2 2 8 4" xfId="32200" xr:uid="{00000000-0005-0000-0000-0000FA380000}"/>
    <cellStyle name="Comma 2 4 3 2 2 2 8 5" xfId="34342" xr:uid="{00000000-0005-0000-0000-0000FB380000}"/>
    <cellStyle name="Comma 2 4 3 2 2 2 9" xfId="8347" xr:uid="{00000000-0005-0000-0000-0000FC380000}"/>
    <cellStyle name="Comma 2 4 3 2 2 2 9 2" xfId="42440" xr:uid="{00000000-0005-0000-0000-0000FD380000}"/>
    <cellStyle name="Comma 2 4 3 2 2 2 9 3" xfId="36016" xr:uid="{00000000-0005-0000-0000-0000FE380000}"/>
    <cellStyle name="Comma 2 4 3 2 2 3" xfId="1107" xr:uid="{00000000-0005-0000-0000-0000FF380000}"/>
    <cellStyle name="Comma 2 4 3 2 2 3 10" xfId="22415" xr:uid="{00000000-0005-0000-0000-000000390000}"/>
    <cellStyle name="Comma 2 4 3 2 2 3 11" xfId="23533" xr:uid="{00000000-0005-0000-0000-000001390000}"/>
    <cellStyle name="Comma 2 4 3 2 2 3 12" xfId="26737" xr:uid="{00000000-0005-0000-0000-000002390000}"/>
    <cellStyle name="Comma 2 4 3 2 2 3 13" xfId="30070" xr:uid="{00000000-0005-0000-0000-000003390000}"/>
    <cellStyle name="Comma 2 4 3 2 2 3 14" xfId="33331" xr:uid="{00000000-0005-0000-0000-000004390000}"/>
    <cellStyle name="Comma 2 4 3 2 2 3 2" xfId="1108" xr:uid="{00000000-0005-0000-0000-000005390000}"/>
    <cellStyle name="Comma 2 4 3 2 2 3 2 10" xfId="33332" xr:uid="{00000000-0005-0000-0000-000006390000}"/>
    <cellStyle name="Comma 2 4 3 2 2 3 2 2" xfId="9878" xr:uid="{00000000-0005-0000-0000-000007390000}"/>
    <cellStyle name="Comma 2 4 3 2 2 3 2 2 2" xfId="25678" xr:uid="{00000000-0005-0000-0000-000008390000}"/>
    <cellStyle name="Comma 2 4 3 2 2 3 2 2 2 2" xfId="45105" xr:uid="{00000000-0005-0000-0000-000009390000}"/>
    <cellStyle name="Comma 2 4 3 2 2 3 2 2 2 3" xfId="38682" xr:uid="{00000000-0005-0000-0000-00000A390000}"/>
    <cellStyle name="Comma 2 4 3 2 2 3 2 2 3" xfId="27856" xr:uid="{00000000-0005-0000-0000-00000B390000}"/>
    <cellStyle name="Comma 2 4 3 2 2 3 2 2 3 2" xfId="41898" xr:uid="{00000000-0005-0000-0000-00000C390000}"/>
    <cellStyle name="Comma 2 4 3 2 2 3 2 2 4" xfId="31191" xr:uid="{00000000-0005-0000-0000-00000D390000}"/>
    <cellStyle name="Comma 2 4 3 2 2 3 2 2 5" xfId="35474" xr:uid="{00000000-0005-0000-0000-00000E390000}"/>
    <cellStyle name="Comma 2 4 3 2 2 3 2 3" xfId="15536" xr:uid="{00000000-0005-0000-0000-00000F390000}"/>
    <cellStyle name="Comma 2 4 3 2 2 3 2 3 2" xfId="24551" xr:uid="{00000000-0005-0000-0000-000010390000}"/>
    <cellStyle name="Comma 2 4 3 2 2 3 2 3 2 2" xfId="43980" xr:uid="{00000000-0005-0000-0000-000011390000}"/>
    <cellStyle name="Comma 2 4 3 2 2 3 2 3 2 3" xfId="37557" xr:uid="{00000000-0005-0000-0000-000012390000}"/>
    <cellStyle name="Comma 2 4 3 2 2 3 2 3 3" xfId="28872" xr:uid="{00000000-0005-0000-0000-000013390000}"/>
    <cellStyle name="Comma 2 4 3 2 2 3 2 3 3 2" xfId="40773" xr:uid="{00000000-0005-0000-0000-000014390000}"/>
    <cellStyle name="Comma 2 4 3 2 2 3 2 3 4" xfId="32207" xr:uid="{00000000-0005-0000-0000-000015390000}"/>
    <cellStyle name="Comma 2 4 3 2 2 3 2 3 5" xfId="34349" xr:uid="{00000000-0005-0000-0000-000016390000}"/>
    <cellStyle name="Comma 2 4 3 2 2 3 2 4" xfId="8354" xr:uid="{00000000-0005-0000-0000-000017390000}"/>
    <cellStyle name="Comma 2 4 3 2 2 3 2 4 2" xfId="42963" xr:uid="{00000000-0005-0000-0000-000018390000}"/>
    <cellStyle name="Comma 2 4 3 2 2 3 2 4 3" xfId="36539" xr:uid="{00000000-0005-0000-0000-000019390000}"/>
    <cellStyle name="Comma 2 4 3 2 2 3 2 5" xfId="21343" xr:uid="{00000000-0005-0000-0000-00001A390000}"/>
    <cellStyle name="Comma 2 4 3 2 2 3 2 5 2" xfId="39756" xr:uid="{00000000-0005-0000-0000-00001B390000}"/>
    <cellStyle name="Comma 2 4 3 2 2 3 2 6" xfId="22416" xr:uid="{00000000-0005-0000-0000-00001C390000}"/>
    <cellStyle name="Comma 2 4 3 2 2 3 2 7" xfId="23534" xr:uid="{00000000-0005-0000-0000-00001D390000}"/>
    <cellStyle name="Comma 2 4 3 2 2 3 2 8" xfId="26738" xr:uid="{00000000-0005-0000-0000-00001E390000}"/>
    <cellStyle name="Comma 2 4 3 2 2 3 2 9" xfId="30071" xr:uid="{00000000-0005-0000-0000-00001F390000}"/>
    <cellStyle name="Comma 2 4 3 2 2 3 3" xfId="1109" xr:uid="{00000000-0005-0000-0000-000020390000}"/>
    <cellStyle name="Comma 2 4 3 2 2 3 3 10" xfId="33333" xr:uid="{00000000-0005-0000-0000-000021390000}"/>
    <cellStyle name="Comma 2 4 3 2 2 3 3 2" xfId="9879" xr:uid="{00000000-0005-0000-0000-000022390000}"/>
    <cellStyle name="Comma 2 4 3 2 2 3 3 2 2" xfId="25679" xr:uid="{00000000-0005-0000-0000-000023390000}"/>
    <cellStyle name="Comma 2 4 3 2 2 3 3 2 2 2" xfId="45106" xr:uid="{00000000-0005-0000-0000-000024390000}"/>
    <cellStyle name="Comma 2 4 3 2 2 3 3 2 2 3" xfId="38683" xr:uid="{00000000-0005-0000-0000-000025390000}"/>
    <cellStyle name="Comma 2 4 3 2 2 3 3 2 3" xfId="27857" xr:uid="{00000000-0005-0000-0000-000026390000}"/>
    <cellStyle name="Comma 2 4 3 2 2 3 3 2 3 2" xfId="41899" xr:uid="{00000000-0005-0000-0000-000027390000}"/>
    <cellStyle name="Comma 2 4 3 2 2 3 3 2 4" xfId="31192" xr:uid="{00000000-0005-0000-0000-000028390000}"/>
    <cellStyle name="Comma 2 4 3 2 2 3 3 2 5" xfId="35475" xr:uid="{00000000-0005-0000-0000-000029390000}"/>
    <cellStyle name="Comma 2 4 3 2 2 3 3 3" xfId="15537" xr:uid="{00000000-0005-0000-0000-00002A390000}"/>
    <cellStyle name="Comma 2 4 3 2 2 3 3 3 2" xfId="24552" xr:uid="{00000000-0005-0000-0000-00002B390000}"/>
    <cellStyle name="Comma 2 4 3 2 2 3 3 3 2 2" xfId="43981" xr:uid="{00000000-0005-0000-0000-00002C390000}"/>
    <cellStyle name="Comma 2 4 3 2 2 3 3 3 2 3" xfId="37558" xr:uid="{00000000-0005-0000-0000-00002D390000}"/>
    <cellStyle name="Comma 2 4 3 2 2 3 3 3 3" xfId="28873" xr:uid="{00000000-0005-0000-0000-00002E390000}"/>
    <cellStyle name="Comma 2 4 3 2 2 3 3 3 3 2" xfId="40774" xr:uid="{00000000-0005-0000-0000-00002F390000}"/>
    <cellStyle name="Comma 2 4 3 2 2 3 3 3 4" xfId="32208" xr:uid="{00000000-0005-0000-0000-000030390000}"/>
    <cellStyle name="Comma 2 4 3 2 2 3 3 3 5" xfId="34350" xr:uid="{00000000-0005-0000-0000-000031390000}"/>
    <cellStyle name="Comma 2 4 3 2 2 3 3 4" xfId="8355" xr:uid="{00000000-0005-0000-0000-000032390000}"/>
    <cellStyle name="Comma 2 4 3 2 2 3 3 4 2" xfId="42964" xr:uid="{00000000-0005-0000-0000-000033390000}"/>
    <cellStyle name="Comma 2 4 3 2 2 3 3 4 3" xfId="36540" xr:uid="{00000000-0005-0000-0000-000034390000}"/>
    <cellStyle name="Comma 2 4 3 2 2 3 3 5" xfId="21344" xr:uid="{00000000-0005-0000-0000-000035390000}"/>
    <cellStyle name="Comma 2 4 3 2 2 3 3 5 2" xfId="39757" xr:uid="{00000000-0005-0000-0000-000036390000}"/>
    <cellStyle name="Comma 2 4 3 2 2 3 3 6" xfId="22417" xr:uid="{00000000-0005-0000-0000-000037390000}"/>
    <cellStyle name="Comma 2 4 3 2 2 3 3 7" xfId="23535" xr:uid="{00000000-0005-0000-0000-000038390000}"/>
    <cellStyle name="Comma 2 4 3 2 2 3 3 8" xfId="26739" xr:uid="{00000000-0005-0000-0000-000039390000}"/>
    <cellStyle name="Comma 2 4 3 2 2 3 3 9" xfId="30072" xr:uid="{00000000-0005-0000-0000-00003A390000}"/>
    <cellStyle name="Comma 2 4 3 2 2 3 4" xfId="1110" xr:uid="{00000000-0005-0000-0000-00003B390000}"/>
    <cellStyle name="Comma 2 4 3 2 2 3 4 10" xfId="33334" xr:uid="{00000000-0005-0000-0000-00003C390000}"/>
    <cellStyle name="Comma 2 4 3 2 2 3 4 2" xfId="9880" xr:uid="{00000000-0005-0000-0000-00003D390000}"/>
    <cellStyle name="Comma 2 4 3 2 2 3 4 2 2" xfId="25680" xr:uid="{00000000-0005-0000-0000-00003E390000}"/>
    <cellStyle name="Comma 2 4 3 2 2 3 4 2 2 2" xfId="45107" xr:uid="{00000000-0005-0000-0000-00003F390000}"/>
    <cellStyle name="Comma 2 4 3 2 2 3 4 2 2 3" xfId="38684" xr:uid="{00000000-0005-0000-0000-000040390000}"/>
    <cellStyle name="Comma 2 4 3 2 2 3 4 2 3" xfId="27858" xr:uid="{00000000-0005-0000-0000-000041390000}"/>
    <cellStyle name="Comma 2 4 3 2 2 3 4 2 3 2" xfId="41900" xr:uid="{00000000-0005-0000-0000-000042390000}"/>
    <cellStyle name="Comma 2 4 3 2 2 3 4 2 4" xfId="31193" xr:uid="{00000000-0005-0000-0000-000043390000}"/>
    <cellStyle name="Comma 2 4 3 2 2 3 4 2 5" xfId="35476" xr:uid="{00000000-0005-0000-0000-000044390000}"/>
    <cellStyle name="Comma 2 4 3 2 2 3 4 3" xfId="15538" xr:uid="{00000000-0005-0000-0000-000045390000}"/>
    <cellStyle name="Comma 2 4 3 2 2 3 4 3 2" xfId="24553" xr:uid="{00000000-0005-0000-0000-000046390000}"/>
    <cellStyle name="Comma 2 4 3 2 2 3 4 3 2 2" xfId="43982" xr:uid="{00000000-0005-0000-0000-000047390000}"/>
    <cellStyle name="Comma 2 4 3 2 2 3 4 3 2 3" xfId="37559" xr:uid="{00000000-0005-0000-0000-000048390000}"/>
    <cellStyle name="Comma 2 4 3 2 2 3 4 3 3" xfId="28874" xr:uid="{00000000-0005-0000-0000-000049390000}"/>
    <cellStyle name="Comma 2 4 3 2 2 3 4 3 3 2" xfId="40775" xr:uid="{00000000-0005-0000-0000-00004A390000}"/>
    <cellStyle name="Comma 2 4 3 2 2 3 4 3 4" xfId="32209" xr:uid="{00000000-0005-0000-0000-00004B390000}"/>
    <cellStyle name="Comma 2 4 3 2 2 3 4 3 5" xfId="34351" xr:uid="{00000000-0005-0000-0000-00004C390000}"/>
    <cellStyle name="Comma 2 4 3 2 2 3 4 4" xfId="8356" xr:uid="{00000000-0005-0000-0000-00004D390000}"/>
    <cellStyle name="Comma 2 4 3 2 2 3 4 4 2" xfId="42965" xr:uid="{00000000-0005-0000-0000-00004E390000}"/>
    <cellStyle name="Comma 2 4 3 2 2 3 4 4 3" xfId="36541" xr:uid="{00000000-0005-0000-0000-00004F390000}"/>
    <cellStyle name="Comma 2 4 3 2 2 3 4 5" xfId="21345" xr:uid="{00000000-0005-0000-0000-000050390000}"/>
    <cellStyle name="Comma 2 4 3 2 2 3 4 5 2" xfId="39758" xr:uid="{00000000-0005-0000-0000-000051390000}"/>
    <cellStyle name="Comma 2 4 3 2 2 3 4 6" xfId="22418" xr:uid="{00000000-0005-0000-0000-000052390000}"/>
    <cellStyle name="Comma 2 4 3 2 2 3 4 7" xfId="23536" xr:uid="{00000000-0005-0000-0000-000053390000}"/>
    <cellStyle name="Comma 2 4 3 2 2 3 4 8" xfId="26740" xr:uid="{00000000-0005-0000-0000-000054390000}"/>
    <cellStyle name="Comma 2 4 3 2 2 3 4 9" xfId="30073" xr:uid="{00000000-0005-0000-0000-000055390000}"/>
    <cellStyle name="Comma 2 4 3 2 2 3 5" xfId="1111" xr:uid="{00000000-0005-0000-0000-000056390000}"/>
    <cellStyle name="Comma 2 4 3 2 2 3 5 10" xfId="33335" xr:uid="{00000000-0005-0000-0000-000057390000}"/>
    <cellStyle name="Comma 2 4 3 2 2 3 5 2" xfId="9881" xr:uid="{00000000-0005-0000-0000-000058390000}"/>
    <cellStyle name="Comma 2 4 3 2 2 3 5 2 2" xfId="25681" xr:uid="{00000000-0005-0000-0000-000059390000}"/>
    <cellStyle name="Comma 2 4 3 2 2 3 5 2 2 2" xfId="45108" xr:uid="{00000000-0005-0000-0000-00005A390000}"/>
    <cellStyle name="Comma 2 4 3 2 2 3 5 2 2 3" xfId="38685" xr:uid="{00000000-0005-0000-0000-00005B390000}"/>
    <cellStyle name="Comma 2 4 3 2 2 3 5 2 3" xfId="27859" xr:uid="{00000000-0005-0000-0000-00005C390000}"/>
    <cellStyle name="Comma 2 4 3 2 2 3 5 2 3 2" xfId="41901" xr:uid="{00000000-0005-0000-0000-00005D390000}"/>
    <cellStyle name="Comma 2 4 3 2 2 3 5 2 4" xfId="31194" xr:uid="{00000000-0005-0000-0000-00005E390000}"/>
    <cellStyle name="Comma 2 4 3 2 2 3 5 2 5" xfId="35477" xr:uid="{00000000-0005-0000-0000-00005F390000}"/>
    <cellStyle name="Comma 2 4 3 2 2 3 5 3" xfId="15539" xr:uid="{00000000-0005-0000-0000-000060390000}"/>
    <cellStyle name="Comma 2 4 3 2 2 3 5 3 2" xfId="24554" xr:uid="{00000000-0005-0000-0000-000061390000}"/>
    <cellStyle name="Comma 2 4 3 2 2 3 5 3 2 2" xfId="43983" xr:uid="{00000000-0005-0000-0000-000062390000}"/>
    <cellStyle name="Comma 2 4 3 2 2 3 5 3 2 3" xfId="37560" xr:uid="{00000000-0005-0000-0000-000063390000}"/>
    <cellStyle name="Comma 2 4 3 2 2 3 5 3 3" xfId="28875" xr:uid="{00000000-0005-0000-0000-000064390000}"/>
    <cellStyle name="Comma 2 4 3 2 2 3 5 3 3 2" xfId="40776" xr:uid="{00000000-0005-0000-0000-000065390000}"/>
    <cellStyle name="Comma 2 4 3 2 2 3 5 3 4" xfId="32210" xr:uid="{00000000-0005-0000-0000-000066390000}"/>
    <cellStyle name="Comma 2 4 3 2 2 3 5 3 5" xfId="34352" xr:uid="{00000000-0005-0000-0000-000067390000}"/>
    <cellStyle name="Comma 2 4 3 2 2 3 5 4" xfId="8357" xr:uid="{00000000-0005-0000-0000-000068390000}"/>
    <cellStyle name="Comma 2 4 3 2 2 3 5 4 2" xfId="42966" xr:uid="{00000000-0005-0000-0000-000069390000}"/>
    <cellStyle name="Comma 2 4 3 2 2 3 5 4 3" xfId="36542" xr:uid="{00000000-0005-0000-0000-00006A390000}"/>
    <cellStyle name="Comma 2 4 3 2 2 3 5 5" xfId="21346" xr:uid="{00000000-0005-0000-0000-00006B390000}"/>
    <cellStyle name="Comma 2 4 3 2 2 3 5 5 2" xfId="39759" xr:uid="{00000000-0005-0000-0000-00006C390000}"/>
    <cellStyle name="Comma 2 4 3 2 2 3 5 6" xfId="22419" xr:uid="{00000000-0005-0000-0000-00006D390000}"/>
    <cellStyle name="Comma 2 4 3 2 2 3 5 7" xfId="23537" xr:uid="{00000000-0005-0000-0000-00006E390000}"/>
    <cellStyle name="Comma 2 4 3 2 2 3 5 8" xfId="26741" xr:uid="{00000000-0005-0000-0000-00006F390000}"/>
    <cellStyle name="Comma 2 4 3 2 2 3 5 9" xfId="30074" xr:uid="{00000000-0005-0000-0000-000070390000}"/>
    <cellStyle name="Comma 2 4 3 2 2 3 6" xfId="9877" xr:uid="{00000000-0005-0000-0000-000071390000}"/>
    <cellStyle name="Comma 2 4 3 2 2 3 6 2" xfId="25677" xr:uid="{00000000-0005-0000-0000-000072390000}"/>
    <cellStyle name="Comma 2 4 3 2 2 3 6 2 2" xfId="45104" xr:uid="{00000000-0005-0000-0000-000073390000}"/>
    <cellStyle name="Comma 2 4 3 2 2 3 6 2 3" xfId="38681" xr:uid="{00000000-0005-0000-0000-000074390000}"/>
    <cellStyle name="Comma 2 4 3 2 2 3 6 3" xfId="27855" xr:uid="{00000000-0005-0000-0000-000075390000}"/>
    <cellStyle name="Comma 2 4 3 2 2 3 6 3 2" xfId="41897" xr:uid="{00000000-0005-0000-0000-000076390000}"/>
    <cellStyle name="Comma 2 4 3 2 2 3 6 4" xfId="31190" xr:uid="{00000000-0005-0000-0000-000077390000}"/>
    <cellStyle name="Comma 2 4 3 2 2 3 6 5" xfId="35473" xr:uid="{00000000-0005-0000-0000-000078390000}"/>
    <cellStyle name="Comma 2 4 3 2 2 3 7" xfId="15535" xr:uid="{00000000-0005-0000-0000-000079390000}"/>
    <cellStyle name="Comma 2 4 3 2 2 3 7 2" xfId="24550" xr:uid="{00000000-0005-0000-0000-00007A390000}"/>
    <cellStyle name="Comma 2 4 3 2 2 3 7 2 2" xfId="43979" xr:uid="{00000000-0005-0000-0000-00007B390000}"/>
    <cellStyle name="Comma 2 4 3 2 2 3 7 2 3" xfId="37556" xr:uid="{00000000-0005-0000-0000-00007C390000}"/>
    <cellStyle name="Comma 2 4 3 2 2 3 7 3" xfId="28871" xr:uid="{00000000-0005-0000-0000-00007D390000}"/>
    <cellStyle name="Comma 2 4 3 2 2 3 7 3 2" xfId="40772" xr:uid="{00000000-0005-0000-0000-00007E390000}"/>
    <cellStyle name="Comma 2 4 3 2 2 3 7 4" xfId="32206" xr:uid="{00000000-0005-0000-0000-00007F390000}"/>
    <cellStyle name="Comma 2 4 3 2 2 3 7 5" xfId="34348" xr:uid="{00000000-0005-0000-0000-000080390000}"/>
    <cellStyle name="Comma 2 4 3 2 2 3 8" xfId="8353" xr:uid="{00000000-0005-0000-0000-000081390000}"/>
    <cellStyle name="Comma 2 4 3 2 2 3 8 2" xfId="42962" xr:uid="{00000000-0005-0000-0000-000082390000}"/>
    <cellStyle name="Comma 2 4 3 2 2 3 8 3" xfId="36538" xr:uid="{00000000-0005-0000-0000-000083390000}"/>
    <cellStyle name="Comma 2 4 3 2 2 3 9" xfId="21342" xr:uid="{00000000-0005-0000-0000-000084390000}"/>
    <cellStyle name="Comma 2 4 3 2 2 3 9 2" xfId="39755" xr:uid="{00000000-0005-0000-0000-000085390000}"/>
    <cellStyle name="Comma 2 4 3 2 2 4" xfId="1112" xr:uid="{00000000-0005-0000-0000-000086390000}"/>
    <cellStyle name="Comma 2 4 3 2 2 4 10" xfId="33336" xr:uid="{00000000-0005-0000-0000-000087390000}"/>
    <cellStyle name="Comma 2 4 3 2 2 4 2" xfId="9882" xr:uid="{00000000-0005-0000-0000-000088390000}"/>
    <cellStyle name="Comma 2 4 3 2 2 4 2 2" xfId="25682" xr:uid="{00000000-0005-0000-0000-000089390000}"/>
    <cellStyle name="Comma 2 4 3 2 2 4 2 2 2" xfId="45109" xr:uid="{00000000-0005-0000-0000-00008A390000}"/>
    <cellStyle name="Comma 2 4 3 2 2 4 2 2 3" xfId="38686" xr:uid="{00000000-0005-0000-0000-00008B390000}"/>
    <cellStyle name="Comma 2 4 3 2 2 4 2 3" xfId="27860" xr:uid="{00000000-0005-0000-0000-00008C390000}"/>
    <cellStyle name="Comma 2 4 3 2 2 4 2 3 2" xfId="41902" xr:uid="{00000000-0005-0000-0000-00008D390000}"/>
    <cellStyle name="Comma 2 4 3 2 2 4 2 4" xfId="31195" xr:uid="{00000000-0005-0000-0000-00008E390000}"/>
    <cellStyle name="Comma 2 4 3 2 2 4 2 5" xfId="35478" xr:uid="{00000000-0005-0000-0000-00008F390000}"/>
    <cellStyle name="Comma 2 4 3 2 2 4 3" xfId="15540" xr:uid="{00000000-0005-0000-0000-000090390000}"/>
    <cellStyle name="Comma 2 4 3 2 2 4 3 2" xfId="24555" xr:uid="{00000000-0005-0000-0000-000091390000}"/>
    <cellStyle name="Comma 2 4 3 2 2 4 3 2 2" xfId="43984" xr:uid="{00000000-0005-0000-0000-000092390000}"/>
    <cellStyle name="Comma 2 4 3 2 2 4 3 2 3" xfId="37561" xr:uid="{00000000-0005-0000-0000-000093390000}"/>
    <cellStyle name="Comma 2 4 3 2 2 4 3 3" xfId="28876" xr:uid="{00000000-0005-0000-0000-000094390000}"/>
    <cellStyle name="Comma 2 4 3 2 2 4 3 3 2" xfId="40777" xr:uid="{00000000-0005-0000-0000-000095390000}"/>
    <cellStyle name="Comma 2 4 3 2 2 4 3 4" xfId="32211" xr:uid="{00000000-0005-0000-0000-000096390000}"/>
    <cellStyle name="Comma 2 4 3 2 2 4 3 5" xfId="34353" xr:uid="{00000000-0005-0000-0000-000097390000}"/>
    <cellStyle name="Comma 2 4 3 2 2 4 4" xfId="8358" xr:uid="{00000000-0005-0000-0000-000098390000}"/>
    <cellStyle name="Comma 2 4 3 2 2 4 4 2" xfId="42967" xr:uid="{00000000-0005-0000-0000-000099390000}"/>
    <cellStyle name="Comma 2 4 3 2 2 4 4 3" xfId="36543" xr:uid="{00000000-0005-0000-0000-00009A390000}"/>
    <cellStyle name="Comma 2 4 3 2 2 4 5" xfId="21347" xr:uid="{00000000-0005-0000-0000-00009B390000}"/>
    <cellStyle name="Comma 2 4 3 2 2 4 5 2" xfId="39760" xr:uid="{00000000-0005-0000-0000-00009C390000}"/>
    <cellStyle name="Comma 2 4 3 2 2 4 6" xfId="22420" xr:uid="{00000000-0005-0000-0000-00009D390000}"/>
    <cellStyle name="Comma 2 4 3 2 2 4 7" xfId="23538" xr:uid="{00000000-0005-0000-0000-00009E390000}"/>
    <cellStyle name="Comma 2 4 3 2 2 4 8" xfId="26742" xr:uid="{00000000-0005-0000-0000-00009F390000}"/>
    <cellStyle name="Comma 2 4 3 2 2 4 9" xfId="30075" xr:uid="{00000000-0005-0000-0000-0000A0390000}"/>
    <cellStyle name="Comma 2 4 3 2 2 5" xfId="1113" xr:uid="{00000000-0005-0000-0000-0000A1390000}"/>
    <cellStyle name="Comma 2 4 3 2 2 5 10" xfId="33337" xr:uid="{00000000-0005-0000-0000-0000A2390000}"/>
    <cellStyle name="Comma 2 4 3 2 2 5 2" xfId="9883" xr:uid="{00000000-0005-0000-0000-0000A3390000}"/>
    <cellStyle name="Comma 2 4 3 2 2 5 2 2" xfId="25683" xr:uid="{00000000-0005-0000-0000-0000A4390000}"/>
    <cellStyle name="Comma 2 4 3 2 2 5 2 2 2" xfId="45110" xr:uid="{00000000-0005-0000-0000-0000A5390000}"/>
    <cellStyle name="Comma 2 4 3 2 2 5 2 2 3" xfId="38687" xr:uid="{00000000-0005-0000-0000-0000A6390000}"/>
    <cellStyle name="Comma 2 4 3 2 2 5 2 3" xfId="27861" xr:uid="{00000000-0005-0000-0000-0000A7390000}"/>
    <cellStyle name="Comma 2 4 3 2 2 5 2 3 2" xfId="41903" xr:uid="{00000000-0005-0000-0000-0000A8390000}"/>
    <cellStyle name="Comma 2 4 3 2 2 5 2 4" xfId="31196" xr:uid="{00000000-0005-0000-0000-0000A9390000}"/>
    <cellStyle name="Comma 2 4 3 2 2 5 2 5" xfId="35479" xr:uid="{00000000-0005-0000-0000-0000AA390000}"/>
    <cellStyle name="Comma 2 4 3 2 2 5 3" xfId="15541" xr:uid="{00000000-0005-0000-0000-0000AB390000}"/>
    <cellStyle name="Comma 2 4 3 2 2 5 3 2" xfId="24556" xr:uid="{00000000-0005-0000-0000-0000AC390000}"/>
    <cellStyle name="Comma 2 4 3 2 2 5 3 2 2" xfId="43985" xr:uid="{00000000-0005-0000-0000-0000AD390000}"/>
    <cellStyle name="Comma 2 4 3 2 2 5 3 2 3" xfId="37562" xr:uid="{00000000-0005-0000-0000-0000AE390000}"/>
    <cellStyle name="Comma 2 4 3 2 2 5 3 3" xfId="28877" xr:uid="{00000000-0005-0000-0000-0000AF390000}"/>
    <cellStyle name="Comma 2 4 3 2 2 5 3 3 2" xfId="40778" xr:uid="{00000000-0005-0000-0000-0000B0390000}"/>
    <cellStyle name="Comma 2 4 3 2 2 5 3 4" xfId="32212" xr:uid="{00000000-0005-0000-0000-0000B1390000}"/>
    <cellStyle name="Comma 2 4 3 2 2 5 3 5" xfId="34354" xr:uid="{00000000-0005-0000-0000-0000B2390000}"/>
    <cellStyle name="Comma 2 4 3 2 2 5 4" xfId="8359" xr:uid="{00000000-0005-0000-0000-0000B3390000}"/>
    <cellStyle name="Comma 2 4 3 2 2 5 4 2" xfId="42968" xr:uid="{00000000-0005-0000-0000-0000B4390000}"/>
    <cellStyle name="Comma 2 4 3 2 2 5 4 3" xfId="36544" xr:uid="{00000000-0005-0000-0000-0000B5390000}"/>
    <cellStyle name="Comma 2 4 3 2 2 5 5" xfId="21348" xr:uid="{00000000-0005-0000-0000-0000B6390000}"/>
    <cellStyle name="Comma 2 4 3 2 2 5 5 2" xfId="39761" xr:uid="{00000000-0005-0000-0000-0000B7390000}"/>
    <cellStyle name="Comma 2 4 3 2 2 5 6" xfId="22421" xr:uid="{00000000-0005-0000-0000-0000B8390000}"/>
    <cellStyle name="Comma 2 4 3 2 2 5 7" xfId="23539" xr:uid="{00000000-0005-0000-0000-0000B9390000}"/>
    <cellStyle name="Comma 2 4 3 2 2 5 8" xfId="26743" xr:uid="{00000000-0005-0000-0000-0000BA390000}"/>
    <cellStyle name="Comma 2 4 3 2 2 5 9" xfId="30076" xr:uid="{00000000-0005-0000-0000-0000BB390000}"/>
    <cellStyle name="Comma 2 4 3 2 2 6" xfId="1114" xr:uid="{00000000-0005-0000-0000-0000BC390000}"/>
    <cellStyle name="Comma 2 4 3 2 2 6 10" xfId="33338" xr:uid="{00000000-0005-0000-0000-0000BD390000}"/>
    <cellStyle name="Comma 2 4 3 2 2 6 2" xfId="9884" xr:uid="{00000000-0005-0000-0000-0000BE390000}"/>
    <cellStyle name="Comma 2 4 3 2 2 6 2 2" xfId="25684" xr:uid="{00000000-0005-0000-0000-0000BF390000}"/>
    <cellStyle name="Comma 2 4 3 2 2 6 2 2 2" xfId="45111" xr:uid="{00000000-0005-0000-0000-0000C0390000}"/>
    <cellStyle name="Comma 2 4 3 2 2 6 2 2 3" xfId="38688" xr:uid="{00000000-0005-0000-0000-0000C1390000}"/>
    <cellStyle name="Comma 2 4 3 2 2 6 2 3" xfId="27862" xr:uid="{00000000-0005-0000-0000-0000C2390000}"/>
    <cellStyle name="Comma 2 4 3 2 2 6 2 3 2" xfId="41904" xr:uid="{00000000-0005-0000-0000-0000C3390000}"/>
    <cellStyle name="Comma 2 4 3 2 2 6 2 4" xfId="31197" xr:uid="{00000000-0005-0000-0000-0000C4390000}"/>
    <cellStyle name="Comma 2 4 3 2 2 6 2 5" xfId="35480" xr:uid="{00000000-0005-0000-0000-0000C5390000}"/>
    <cellStyle name="Comma 2 4 3 2 2 6 3" xfId="15542" xr:uid="{00000000-0005-0000-0000-0000C6390000}"/>
    <cellStyle name="Comma 2 4 3 2 2 6 3 2" xfId="24557" xr:uid="{00000000-0005-0000-0000-0000C7390000}"/>
    <cellStyle name="Comma 2 4 3 2 2 6 3 2 2" xfId="43986" xr:uid="{00000000-0005-0000-0000-0000C8390000}"/>
    <cellStyle name="Comma 2 4 3 2 2 6 3 2 3" xfId="37563" xr:uid="{00000000-0005-0000-0000-0000C9390000}"/>
    <cellStyle name="Comma 2 4 3 2 2 6 3 3" xfId="28878" xr:uid="{00000000-0005-0000-0000-0000CA390000}"/>
    <cellStyle name="Comma 2 4 3 2 2 6 3 3 2" xfId="40779" xr:uid="{00000000-0005-0000-0000-0000CB390000}"/>
    <cellStyle name="Comma 2 4 3 2 2 6 3 4" xfId="32213" xr:uid="{00000000-0005-0000-0000-0000CC390000}"/>
    <cellStyle name="Comma 2 4 3 2 2 6 3 5" xfId="34355" xr:uid="{00000000-0005-0000-0000-0000CD390000}"/>
    <cellStyle name="Comma 2 4 3 2 2 6 4" xfId="8360" xr:uid="{00000000-0005-0000-0000-0000CE390000}"/>
    <cellStyle name="Comma 2 4 3 2 2 6 4 2" xfId="42969" xr:uid="{00000000-0005-0000-0000-0000CF390000}"/>
    <cellStyle name="Comma 2 4 3 2 2 6 4 3" xfId="36545" xr:uid="{00000000-0005-0000-0000-0000D0390000}"/>
    <cellStyle name="Comma 2 4 3 2 2 6 5" xfId="21349" xr:uid="{00000000-0005-0000-0000-0000D1390000}"/>
    <cellStyle name="Comma 2 4 3 2 2 6 5 2" xfId="39762" xr:uid="{00000000-0005-0000-0000-0000D2390000}"/>
    <cellStyle name="Comma 2 4 3 2 2 6 6" xfId="22422" xr:uid="{00000000-0005-0000-0000-0000D3390000}"/>
    <cellStyle name="Comma 2 4 3 2 2 6 7" xfId="23540" xr:uid="{00000000-0005-0000-0000-0000D4390000}"/>
    <cellStyle name="Comma 2 4 3 2 2 6 8" xfId="26744" xr:uid="{00000000-0005-0000-0000-0000D5390000}"/>
    <cellStyle name="Comma 2 4 3 2 2 6 9" xfId="30077" xr:uid="{00000000-0005-0000-0000-0000D6390000}"/>
    <cellStyle name="Comma 2 4 3 2 2 7" xfId="1115" xr:uid="{00000000-0005-0000-0000-0000D7390000}"/>
    <cellStyle name="Comma 2 4 3 2 2 7 10" xfId="33339" xr:uid="{00000000-0005-0000-0000-0000D8390000}"/>
    <cellStyle name="Comma 2 4 3 2 2 7 2" xfId="9885" xr:uid="{00000000-0005-0000-0000-0000D9390000}"/>
    <cellStyle name="Comma 2 4 3 2 2 7 2 2" xfId="25685" xr:uid="{00000000-0005-0000-0000-0000DA390000}"/>
    <cellStyle name="Comma 2 4 3 2 2 7 2 2 2" xfId="45112" xr:uid="{00000000-0005-0000-0000-0000DB390000}"/>
    <cellStyle name="Comma 2 4 3 2 2 7 2 2 3" xfId="38689" xr:uid="{00000000-0005-0000-0000-0000DC390000}"/>
    <cellStyle name="Comma 2 4 3 2 2 7 2 3" xfId="27863" xr:uid="{00000000-0005-0000-0000-0000DD390000}"/>
    <cellStyle name="Comma 2 4 3 2 2 7 2 3 2" xfId="41905" xr:uid="{00000000-0005-0000-0000-0000DE390000}"/>
    <cellStyle name="Comma 2 4 3 2 2 7 2 4" xfId="31198" xr:uid="{00000000-0005-0000-0000-0000DF390000}"/>
    <cellStyle name="Comma 2 4 3 2 2 7 2 5" xfId="35481" xr:uid="{00000000-0005-0000-0000-0000E0390000}"/>
    <cellStyle name="Comma 2 4 3 2 2 7 3" xfId="15543" xr:uid="{00000000-0005-0000-0000-0000E1390000}"/>
    <cellStyle name="Comma 2 4 3 2 2 7 3 2" xfId="24558" xr:uid="{00000000-0005-0000-0000-0000E2390000}"/>
    <cellStyle name="Comma 2 4 3 2 2 7 3 2 2" xfId="43987" xr:uid="{00000000-0005-0000-0000-0000E3390000}"/>
    <cellStyle name="Comma 2 4 3 2 2 7 3 2 3" xfId="37564" xr:uid="{00000000-0005-0000-0000-0000E4390000}"/>
    <cellStyle name="Comma 2 4 3 2 2 7 3 3" xfId="28879" xr:uid="{00000000-0005-0000-0000-0000E5390000}"/>
    <cellStyle name="Comma 2 4 3 2 2 7 3 3 2" xfId="40780" xr:uid="{00000000-0005-0000-0000-0000E6390000}"/>
    <cellStyle name="Comma 2 4 3 2 2 7 3 4" xfId="32214" xr:uid="{00000000-0005-0000-0000-0000E7390000}"/>
    <cellStyle name="Comma 2 4 3 2 2 7 3 5" xfId="34356" xr:uid="{00000000-0005-0000-0000-0000E8390000}"/>
    <cellStyle name="Comma 2 4 3 2 2 7 4" xfId="8361" xr:uid="{00000000-0005-0000-0000-0000E9390000}"/>
    <cellStyle name="Comma 2 4 3 2 2 7 4 2" xfId="42970" xr:uid="{00000000-0005-0000-0000-0000EA390000}"/>
    <cellStyle name="Comma 2 4 3 2 2 7 4 3" xfId="36546" xr:uid="{00000000-0005-0000-0000-0000EB390000}"/>
    <cellStyle name="Comma 2 4 3 2 2 7 5" xfId="21350" xr:uid="{00000000-0005-0000-0000-0000EC390000}"/>
    <cellStyle name="Comma 2 4 3 2 2 7 5 2" xfId="39763" xr:uid="{00000000-0005-0000-0000-0000ED390000}"/>
    <cellStyle name="Comma 2 4 3 2 2 7 6" xfId="22423" xr:uid="{00000000-0005-0000-0000-0000EE390000}"/>
    <cellStyle name="Comma 2 4 3 2 2 7 7" xfId="23541" xr:uid="{00000000-0005-0000-0000-0000EF390000}"/>
    <cellStyle name="Comma 2 4 3 2 2 7 8" xfId="26745" xr:uid="{00000000-0005-0000-0000-0000F0390000}"/>
    <cellStyle name="Comma 2 4 3 2 2 7 9" xfId="30078" xr:uid="{00000000-0005-0000-0000-0000F1390000}"/>
    <cellStyle name="Comma 2 4 3 2 2 8" xfId="1116" xr:uid="{00000000-0005-0000-0000-0000F2390000}"/>
    <cellStyle name="Comma 2 4 3 2 2 8 10" xfId="33340" xr:uid="{00000000-0005-0000-0000-0000F3390000}"/>
    <cellStyle name="Comma 2 4 3 2 2 8 2" xfId="9886" xr:uid="{00000000-0005-0000-0000-0000F4390000}"/>
    <cellStyle name="Comma 2 4 3 2 2 8 2 2" xfId="25686" xr:uid="{00000000-0005-0000-0000-0000F5390000}"/>
    <cellStyle name="Comma 2 4 3 2 2 8 2 2 2" xfId="45113" xr:uid="{00000000-0005-0000-0000-0000F6390000}"/>
    <cellStyle name="Comma 2 4 3 2 2 8 2 2 3" xfId="38690" xr:uid="{00000000-0005-0000-0000-0000F7390000}"/>
    <cellStyle name="Comma 2 4 3 2 2 8 2 3" xfId="27864" xr:uid="{00000000-0005-0000-0000-0000F8390000}"/>
    <cellStyle name="Comma 2 4 3 2 2 8 2 3 2" xfId="41906" xr:uid="{00000000-0005-0000-0000-0000F9390000}"/>
    <cellStyle name="Comma 2 4 3 2 2 8 2 4" xfId="31199" xr:uid="{00000000-0005-0000-0000-0000FA390000}"/>
    <cellStyle name="Comma 2 4 3 2 2 8 2 5" xfId="35482" xr:uid="{00000000-0005-0000-0000-0000FB390000}"/>
    <cellStyle name="Comma 2 4 3 2 2 8 3" xfId="15544" xr:uid="{00000000-0005-0000-0000-0000FC390000}"/>
    <cellStyle name="Comma 2 4 3 2 2 8 3 2" xfId="24559" xr:uid="{00000000-0005-0000-0000-0000FD390000}"/>
    <cellStyle name="Comma 2 4 3 2 2 8 3 2 2" xfId="43988" xr:uid="{00000000-0005-0000-0000-0000FE390000}"/>
    <cellStyle name="Comma 2 4 3 2 2 8 3 2 3" xfId="37565" xr:uid="{00000000-0005-0000-0000-0000FF390000}"/>
    <cellStyle name="Comma 2 4 3 2 2 8 3 3" xfId="28880" xr:uid="{00000000-0005-0000-0000-0000003A0000}"/>
    <cellStyle name="Comma 2 4 3 2 2 8 3 3 2" xfId="40781" xr:uid="{00000000-0005-0000-0000-0000013A0000}"/>
    <cellStyle name="Comma 2 4 3 2 2 8 3 4" xfId="32215" xr:uid="{00000000-0005-0000-0000-0000023A0000}"/>
    <cellStyle name="Comma 2 4 3 2 2 8 3 5" xfId="34357" xr:uid="{00000000-0005-0000-0000-0000033A0000}"/>
    <cellStyle name="Comma 2 4 3 2 2 8 4" xfId="8362" xr:uid="{00000000-0005-0000-0000-0000043A0000}"/>
    <cellStyle name="Comma 2 4 3 2 2 8 4 2" xfId="42971" xr:uid="{00000000-0005-0000-0000-0000053A0000}"/>
    <cellStyle name="Comma 2 4 3 2 2 8 4 3" xfId="36547" xr:uid="{00000000-0005-0000-0000-0000063A0000}"/>
    <cellStyle name="Comma 2 4 3 2 2 8 5" xfId="21351" xr:uid="{00000000-0005-0000-0000-0000073A0000}"/>
    <cellStyle name="Comma 2 4 3 2 2 8 5 2" xfId="39764" xr:uid="{00000000-0005-0000-0000-0000083A0000}"/>
    <cellStyle name="Comma 2 4 3 2 2 8 6" xfId="22424" xr:uid="{00000000-0005-0000-0000-0000093A0000}"/>
    <cellStyle name="Comma 2 4 3 2 2 8 7" xfId="23542" xr:uid="{00000000-0005-0000-0000-00000A3A0000}"/>
    <cellStyle name="Comma 2 4 3 2 2 8 8" xfId="26746" xr:uid="{00000000-0005-0000-0000-00000B3A0000}"/>
    <cellStyle name="Comma 2 4 3 2 2 8 9" xfId="30079" xr:uid="{00000000-0005-0000-0000-00000C3A0000}"/>
    <cellStyle name="Comma 2 4 3 2 2 9" xfId="9064" xr:uid="{00000000-0005-0000-0000-00000D3A0000}"/>
    <cellStyle name="Comma 2 4 3 2 2 9 2" xfId="25120" xr:uid="{00000000-0005-0000-0000-00000E3A0000}"/>
    <cellStyle name="Comma 2 4 3 2 2 9 2 2" xfId="44547" xr:uid="{00000000-0005-0000-0000-00000F3A0000}"/>
    <cellStyle name="Comma 2 4 3 2 2 9 2 3" xfId="38124" xr:uid="{00000000-0005-0000-0000-0000103A0000}"/>
    <cellStyle name="Comma 2 4 3 2 2 9 3" xfId="27299" xr:uid="{00000000-0005-0000-0000-0000113A0000}"/>
    <cellStyle name="Comma 2 4 3 2 2 9 3 2" xfId="41340" xr:uid="{00000000-0005-0000-0000-0000123A0000}"/>
    <cellStyle name="Comma 2 4 3 2 2 9 4" xfId="30634" xr:uid="{00000000-0005-0000-0000-0000133A0000}"/>
    <cellStyle name="Comma 2 4 3 2 2 9 5" xfId="34916" xr:uid="{00000000-0005-0000-0000-0000143A0000}"/>
    <cellStyle name="Comma 2 4 3 2 3" xfId="222" xr:uid="{00000000-0005-0000-0000-0000153A0000}"/>
    <cellStyle name="Comma 2 4 3 2 3 10" xfId="21352" xr:uid="{00000000-0005-0000-0000-0000163A0000}"/>
    <cellStyle name="Comma 2 4 3 2 3 10 2" xfId="39229" xr:uid="{00000000-0005-0000-0000-0000173A0000}"/>
    <cellStyle name="Comma 2 4 3 2 3 11" xfId="22425" xr:uid="{00000000-0005-0000-0000-0000183A0000}"/>
    <cellStyle name="Comma 2 4 3 2 3 12" xfId="23007" xr:uid="{00000000-0005-0000-0000-0000193A0000}"/>
    <cellStyle name="Comma 2 4 3 2 3 13" xfId="26747" xr:uid="{00000000-0005-0000-0000-00001A3A0000}"/>
    <cellStyle name="Comma 2 4 3 2 3 14" xfId="30080" xr:uid="{00000000-0005-0000-0000-00001B3A0000}"/>
    <cellStyle name="Comma 2 4 3 2 3 15" xfId="32805" xr:uid="{00000000-0005-0000-0000-00001C3A0000}"/>
    <cellStyle name="Comma 2 4 3 2 3 2" xfId="1117" xr:uid="{00000000-0005-0000-0000-00001D3A0000}"/>
    <cellStyle name="Comma 2 4 3 2 3 2 10" xfId="33341" xr:uid="{00000000-0005-0000-0000-00001E3A0000}"/>
    <cellStyle name="Comma 2 4 3 2 3 2 2" xfId="9887" xr:uid="{00000000-0005-0000-0000-00001F3A0000}"/>
    <cellStyle name="Comma 2 4 3 2 3 2 2 2" xfId="25687" xr:uid="{00000000-0005-0000-0000-0000203A0000}"/>
    <cellStyle name="Comma 2 4 3 2 3 2 2 2 2" xfId="45114" xr:uid="{00000000-0005-0000-0000-0000213A0000}"/>
    <cellStyle name="Comma 2 4 3 2 3 2 2 2 3" xfId="38691" xr:uid="{00000000-0005-0000-0000-0000223A0000}"/>
    <cellStyle name="Comma 2 4 3 2 3 2 2 3" xfId="27865" xr:uid="{00000000-0005-0000-0000-0000233A0000}"/>
    <cellStyle name="Comma 2 4 3 2 3 2 2 3 2" xfId="41907" xr:uid="{00000000-0005-0000-0000-0000243A0000}"/>
    <cellStyle name="Comma 2 4 3 2 3 2 2 4" xfId="31200" xr:uid="{00000000-0005-0000-0000-0000253A0000}"/>
    <cellStyle name="Comma 2 4 3 2 3 2 2 5" xfId="35483" xr:uid="{00000000-0005-0000-0000-0000263A0000}"/>
    <cellStyle name="Comma 2 4 3 2 3 2 3" xfId="15546" xr:uid="{00000000-0005-0000-0000-0000273A0000}"/>
    <cellStyle name="Comma 2 4 3 2 3 2 3 2" xfId="24561" xr:uid="{00000000-0005-0000-0000-0000283A0000}"/>
    <cellStyle name="Comma 2 4 3 2 3 2 3 2 2" xfId="43990" xr:uid="{00000000-0005-0000-0000-0000293A0000}"/>
    <cellStyle name="Comma 2 4 3 2 3 2 3 2 3" xfId="37567" xr:uid="{00000000-0005-0000-0000-00002A3A0000}"/>
    <cellStyle name="Comma 2 4 3 2 3 2 3 3" xfId="28882" xr:uid="{00000000-0005-0000-0000-00002B3A0000}"/>
    <cellStyle name="Comma 2 4 3 2 3 2 3 3 2" xfId="40783" xr:uid="{00000000-0005-0000-0000-00002C3A0000}"/>
    <cellStyle name="Comma 2 4 3 2 3 2 3 4" xfId="32217" xr:uid="{00000000-0005-0000-0000-00002D3A0000}"/>
    <cellStyle name="Comma 2 4 3 2 3 2 3 5" xfId="34359" xr:uid="{00000000-0005-0000-0000-00002E3A0000}"/>
    <cellStyle name="Comma 2 4 3 2 3 2 4" xfId="8364" xr:uid="{00000000-0005-0000-0000-00002F3A0000}"/>
    <cellStyle name="Comma 2 4 3 2 3 2 4 2" xfId="42972" xr:uid="{00000000-0005-0000-0000-0000303A0000}"/>
    <cellStyle name="Comma 2 4 3 2 3 2 4 3" xfId="36548" xr:uid="{00000000-0005-0000-0000-0000313A0000}"/>
    <cellStyle name="Comma 2 4 3 2 3 2 5" xfId="21353" xr:uid="{00000000-0005-0000-0000-0000323A0000}"/>
    <cellStyle name="Comma 2 4 3 2 3 2 5 2" xfId="39765" xr:uid="{00000000-0005-0000-0000-0000333A0000}"/>
    <cellStyle name="Comma 2 4 3 2 3 2 6" xfId="22426" xr:uid="{00000000-0005-0000-0000-0000343A0000}"/>
    <cellStyle name="Comma 2 4 3 2 3 2 7" xfId="23543" xr:uid="{00000000-0005-0000-0000-0000353A0000}"/>
    <cellStyle name="Comma 2 4 3 2 3 2 8" xfId="26748" xr:uid="{00000000-0005-0000-0000-0000363A0000}"/>
    <cellStyle name="Comma 2 4 3 2 3 2 9" xfId="30081" xr:uid="{00000000-0005-0000-0000-0000373A0000}"/>
    <cellStyle name="Comma 2 4 3 2 3 3" xfId="1118" xr:uid="{00000000-0005-0000-0000-0000383A0000}"/>
    <cellStyle name="Comma 2 4 3 2 3 3 10" xfId="33342" xr:uid="{00000000-0005-0000-0000-0000393A0000}"/>
    <cellStyle name="Comma 2 4 3 2 3 3 2" xfId="9888" xr:uid="{00000000-0005-0000-0000-00003A3A0000}"/>
    <cellStyle name="Comma 2 4 3 2 3 3 2 2" xfId="25688" xr:uid="{00000000-0005-0000-0000-00003B3A0000}"/>
    <cellStyle name="Comma 2 4 3 2 3 3 2 2 2" xfId="45115" xr:uid="{00000000-0005-0000-0000-00003C3A0000}"/>
    <cellStyle name="Comma 2 4 3 2 3 3 2 2 3" xfId="38692" xr:uid="{00000000-0005-0000-0000-00003D3A0000}"/>
    <cellStyle name="Comma 2 4 3 2 3 3 2 3" xfId="27866" xr:uid="{00000000-0005-0000-0000-00003E3A0000}"/>
    <cellStyle name="Comma 2 4 3 2 3 3 2 3 2" xfId="41908" xr:uid="{00000000-0005-0000-0000-00003F3A0000}"/>
    <cellStyle name="Comma 2 4 3 2 3 3 2 4" xfId="31201" xr:uid="{00000000-0005-0000-0000-0000403A0000}"/>
    <cellStyle name="Comma 2 4 3 2 3 3 2 5" xfId="35484" xr:uid="{00000000-0005-0000-0000-0000413A0000}"/>
    <cellStyle name="Comma 2 4 3 2 3 3 3" xfId="15547" xr:uid="{00000000-0005-0000-0000-0000423A0000}"/>
    <cellStyle name="Comma 2 4 3 2 3 3 3 2" xfId="24562" xr:uid="{00000000-0005-0000-0000-0000433A0000}"/>
    <cellStyle name="Comma 2 4 3 2 3 3 3 2 2" xfId="43991" xr:uid="{00000000-0005-0000-0000-0000443A0000}"/>
    <cellStyle name="Comma 2 4 3 2 3 3 3 2 3" xfId="37568" xr:uid="{00000000-0005-0000-0000-0000453A0000}"/>
    <cellStyle name="Comma 2 4 3 2 3 3 3 3" xfId="28883" xr:uid="{00000000-0005-0000-0000-0000463A0000}"/>
    <cellStyle name="Comma 2 4 3 2 3 3 3 3 2" xfId="40784" xr:uid="{00000000-0005-0000-0000-0000473A0000}"/>
    <cellStyle name="Comma 2 4 3 2 3 3 3 4" xfId="32218" xr:uid="{00000000-0005-0000-0000-0000483A0000}"/>
    <cellStyle name="Comma 2 4 3 2 3 3 3 5" xfId="34360" xr:uid="{00000000-0005-0000-0000-0000493A0000}"/>
    <cellStyle name="Comma 2 4 3 2 3 3 4" xfId="8365" xr:uid="{00000000-0005-0000-0000-00004A3A0000}"/>
    <cellStyle name="Comma 2 4 3 2 3 3 4 2" xfId="42973" xr:uid="{00000000-0005-0000-0000-00004B3A0000}"/>
    <cellStyle name="Comma 2 4 3 2 3 3 4 3" xfId="36549" xr:uid="{00000000-0005-0000-0000-00004C3A0000}"/>
    <cellStyle name="Comma 2 4 3 2 3 3 5" xfId="21354" xr:uid="{00000000-0005-0000-0000-00004D3A0000}"/>
    <cellStyle name="Comma 2 4 3 2 3 3 5 2" xfId="39766" xr:uid="{00000000-0005-0000-0000-00004E3A0000}"/>
    <cellStyle name="Comma 2 4 3 2 3 3 6" xfId="22427" xr:uid="{00000000-0005-0000-0000-00004F3A0000}"/>
    <cellStyle name="Comma 2 4 3 2 3 3 7" xfId="23544" xr:uid="{00000000-0005-0000-0000-0000503A0000}"/>
    <cellStyle name="Comma 2 4 3 2 3 3 8" xfId="26749" xr:uid="{00000000-0005-0000-0000-0000513A0000}"/>
    <cellStyle name="Comma 2 4 3 2 3 3 9" xfId="30082" xr:uid="{00000000-0005-0000-0000-0000523A0000}"/>
    <cellStyle name="Comma 2 4 3 2 3 4" xfId="1119" xr:uid="{00000000-0005-0000-0000-0000533A0000}"/>
    <cellStyle name="Comma 2 4 3 2 3 4 10" xfId="33343" xr:uid="{00000000-0005-0000-0000-0000543A0000}"/>
    <cellStyle name="Comma 2 4 3 2 3 4 2" xfId="9889" xr:uid="{00000000-0005-0000-0000-0000553A0000}"/>
    <cellStyle name="Comma 2 4 3 2 3 4 2 2" xfId="25689" xr:uid="{00000000-0005-0000-0000-0000563A0000}"/>
    <cellStyle name="Comma 2 4 3 2 3 4 2 2 2" xfId="45116" xr:uid="{00000000-0005-0000-0000-0000573A0000}"/>
    <cellStyle name="Comma 2 4 3 2 3 4 2 2 3" xfId="38693" xr:uid="{00000000-0005-0000-0000-0000583A0000}"/>
    <cellStyle name="Comma 2 4 3 2 3 4 2 3" xfId="27867" xr:uid="{00000000-0005-0000-0000-0000593A0000}"/>
    <cellStyle name="Comma 2 4 3 2 3 4 2 3 2" xfId="41909" xr:uid="{00000000-0005-0000-0000-00005A3A0000}"/>
    <cellStyle name="Comma 2 4 3 2 3 4 2 4" xfId="31202" xr:uid="{00000000-0005-0000-0000-00005B3A0000}"/>
    <cellStyle name="Comma 2 4 3 2 3 4 2 5" xfId="35485" xr:uid="{00000000-0005-0000-0000-00005C3A0000}"/>
    <cellStyle name="Comma 2 4 3 2 3 4 3" xfId="15548" xr:uid="{00000000-0005-0000-0000-00005D3A0000}"/>
    <cellStyle name="Comma 2 4 3 2 3 4 3 2" xfId="24563" xr:uid="{00000000-0005-0000-0000-00005E3A0000}"/>
    <cellStyle name="Comma 2 4 3 2 3 4 3 2 2" xfId="43992" xr:uid="{00000000-0005-0000-0000-00005F3A0000}"/>
    <cellStyle name="Comma 2 4 3 2 3 4 3 2 3" xfId="37569" xr:uid="{00000000-0005-0000-0000-0000603A0000}"/>
    <cellStyle name="Comma 2 4 3 2 3 4 3 3" xfId="28884" xr:uid="{00000000-0005-0000-0000-0000613A0000}"/>
    <cellStyle name="Comma 2 4 3 2 3 4 3 3 2" xfId="40785" xr:uid="{00000000-0005-0000-0000-0000623A0000}"/>
    <cellStyle name="Comma 2 4 3 2 3 4 3 4" xfId="32219" xr:uid="{00000000-0005-0000-0000-0000633A0000}"/>
    <cellStyle name="Comma 2 4 3 2 3 4 3 5" xfId="34361" xr:uid="{00000000-0005-0000-0000-0000643A0000}"/>
    <cellStyle name="Comma 2 4 3 2 3 4 4" xfId="8366" xr:uid="{00000000-0005-0000-0000-0000653A0000}"/>
    <cellStyle name="Comma 2 4 3 2 3 4 4 2" xfId="42974" xr:uid="{00000000-0005-0000-0000-0000663A0000}"/>
    <cellStyle name="Comma 2 4 3 2 3 4 4 3" xfId="36550" xr:uid="{00000000-0005-0000-0000-0000673A0000}"/>
    <cellStyle name="Comma 2 4 3 2 3 4 5" xfId="21355" xr:uid="{00000000-0005-0000-0000-0000683A0000}"/>
    <cellStyle name="Comma 2 4 3 2 3 4 5 2" xfId="39767" xr:uid="{00000000-0005-0000-0000-0000693A0000}"/>
    <cellStyle name="Comma 2 4 3 2 3 4 6" xfId="22428" xr:uid="{00000000-0005-0000-0000-00006A3A0000}"/>
    <cellStyle name="Comma 2 4 3 2 3 4 7" xfId="23545" xr:uid="{00000000-0005-0000-0000-00006B3A0000}"/>
    <cellStyle name="Comma 2 4 3 2 3 4 8" xfId="26750" xr:uid="{00000000-0005-0000-0000-00006C3A0000}"/>
    <cellStyle name="Comma 2 4 3 2 3 4 9" xfId="30083" xr:uid="{00000000-0005-0000-0000-00006D3A0000}"/>
    <cellStyle name="Comma 2 4 3 2 3 5" xfId="1120" xr:uid="{00000000-0005-0000-0000-00006E3A0000}"/>
    <cellStyle name="Comma 2 4 3 2 3 5 10" xfId="33344" xr:uid="{00000000-0005-0000-0000-00006F3A0000}"/>
    <cellStyle name="Comma 2 4 3 2 3 5 2" xfId="9890" xr:uid="{00000000-0005-0000-0000-0000703A0000}"/>
    <cellStyle name="Comma 2 4 3 2 3 5 2 2" xfId="25690" xr:uid="{00000000-0005-0000-0000-0000713A0000}"/>
    <cellStyle name="Comma 2 4 3 2 3 5 2 2 2" xfId="45117" xr:uid="{00000000-0005-0000-0000-0000723A0000}"/>
    <cellStyle name="Comma 2 4 3 2 3 5 2 2 3" xfId="38694" xr:uid="{00000000-0005-0000-0000-0000733A0000}"/>
    <cellStyle name="Comma 2 4 3 2 3 5 2 3" xfId="27868" xr:uid="{00000000-0005-0000-0000-0000743A0000}"/>
    <cellStyle name="Comma 2 4 3 2 3 5 2 3 2" xfId="41910" xr:uid="{00000000-0005-0000-0000-0000753A0000}"/>
    <cellStyle name="Comma 2 4 3 2 3 5 2 4" xfId="31203" xr:uid="{00000000-0005-0000-0000-0000763A0000}"/>
    <cellStyle name="Comma 2 4 3 2 3 5 2 5" xfId="35486" xr:uid="{00000000-0005-0000-0000-0000773A0000}"/>
    <cellStyle name="Comma 2 4 3 2 3 5 3" xfId="15549" xr:uid="{00000000-0005-0000-0000-0000783A0000}"/>
    <cellStyle name="Comma 2 4 3 2 3 5 3 2" xfId="24564" xr:uid="{00000000-0005-0000-0000-0000793A0000}"/>
    <cellStyle name="Comma 2 4 3 2 3 5 3 2 2" xfId="43993" xr:uid="{00000000-0005-0000-0000-00007A3A0000}"/>
    <cellStyle name="Comma 2 4 3 2 3 5 3 2 3" xfId="37570" xr:uid="{00000000-0005-0000-0000-00007B3A0000}"/>
    <cellStyle name="Comma 2 4 3 2 3 5 3 3" xfId="28885" xr:uid="{00000000-0005-0000-0000-00007C3A0000}"/>
    <cellStyle name="Comma 2 4 3 2 3 5 3 3 2" xfId="40786" xr:uid="{00000000-0005-0000-0000-00007D3A0000}"/>
    <cellStyle name="Comma 2 4 3 2 3 5 3 4" xfId="32220" xr:uid="{00000000-0005-0000-0000-00007E3A0000}"/>
    <cellStyle name="Comma 2 4 3 2 3 5 3 5" xfId="34362" xr:uid="{00000000-0005-0000-0000-00007F3A0000}"/>
    <cellStyle name="Comma 2 4 3 2 3 5 4" xfId="8367" xr:uid="{00000000-0005-0000-0000-0000803A0000}"/>
    <cellStyle name="Comma 2 4 3 2 3 5 4 2" xfId="42975" xr:uid="{00000000-0005-0000-0000-0000813A0000}"/>
    <cellStyle name="Comma 2 4 3 2 3 5 4 3" xfId="36551" xr:uid="{00000000-0005-0000-0000-0000823A0000}"/>
    <cellStyle name="Comma 2 4 3 2 3 5 5" xfId="21356" xr:uid="{00000000-0005-0000-0000-0000833A0000}"/>
    <cellStyle name="Comma 2 4 3 2 3 5 5 2" xfId="39768" xr:uid="{00000000-0005-0000-0000-0000843A0000}"/>
    <cellStyle name="Comma 2 4 3 2 3 5 6" xfId="22429" xr:uid="{00000000-0005-0000-0000-0000853A0000}"/>
    <cellStyle name="Comma 2 4 3 2 3 5 7" xfId="23546" xr:uid="{00000000-0005-0000-0000-0000863A0000}"/>
    <cellStyle name="Comma 2 4 3 2 3 5 8" xfId="26751" xr:uid="{00000000-0005-0000-0000-0000873A0000}"/>
    <cellStyle name="Comma 2 4 3 2 3 5 9" xfId="30084" xr:uid="{00000000-0005-0000-0000-0000883A0000}"/>
    <cellStyle name="Comma 2 4 3 2 3 6" xfId="1121" xr:uid="{00000000-0005-0000-0000-0000893A0000}"/>
    <cellStyle name="Comma 2 4 3 2 3 6 10" xfId="33345" xr:uid="{00000000-0005-0000-0000-00008A3A0000}"/>
    <cellStyle name="Comma 2 4 3 2 3 6 2" xfId="9891" xr:uid="{00000000-0005-0000-0000-00008B3A0000}"/>
    <cellStyle name="Comma 2 4 3 2 3 6 2 2" xfId="25691" xr:uid="{00000000-0005-0000-0000-00008C3A0000}"/>
    <cellStyle name="Comma 2 4 3 2 3 6 2 2 2" xfId="45118" xr:uid="{00000000-0005-0000-0000-00008D3A0000}"/>
    <cellStyle name="Comma 2 4 3 2 3 6 2 2 3" xfId="38695" xr:uid="{00000000-0005-0000-0000-00008E3A0000}"/>
    <cellStyle name="Comma 2 4 3 2 3 6 2 3" xfId="27869" xr:uid="{00000000-0005-0000-0000-00008F3A0000}"/>
    <cellStyle name="Comma 2 4 3 2 3 6 2 3 2" xfId="41911" xr:uid="{00000000-0005-0000-0000-0000903A0000}"/>
    <cellStyle name="Comma 2 4 3 2 3 6 2 4" xfId="31204" xr:uid="{00000000-0005-0000-0000-0000913A0000}"/>
    <cellStyle name="Comma 2 4 3 2 3 6 2 5" xfId="35487" xr:uid="{00000000-0005-0000-0000-0000923A0000}"/>
    <cellStyle name="Comma 2 4 3 2 3 6 3" xfId="15550" xr:uid="{00000000-0005-0000-0000-0000933A0000}"/>
    <cellStyle name="Comma 2 4 3 2 3 6 3 2" xfId="24565" xr:uid="{00000000-0005-0000-0000-0000943A0000}"/>
    <cellStyle name="Comma 2 4 3 2 3 6 3 2 2" xfId="43994" xr:uid="{00000000-0005-0000-0000-0000953A0000}"/>
    <cellStyle name="Comma 2 4 3 2 3 6 3 2 3" xfId="37571" xr:uid="{00000000-0005-0000-0000-0000963A0000}"/>
    <cellStyle name="Comma 2 4 3 2 3 6 3 3" xfId="28886" xr:uid="{00000000-0005-0000-0000-0000973A0000}"/>
    <cellStyle name="Comma 2 4 3 2 3 6 3 3 2" xfId="40787" xr:uid="{00000000-0005-0000-0000-0000983A0000}"/>
    <cellStyle name="Comma 2 4 3 2 3 6 3 4" xfId="32221" xr:uid="{00000000-0005-0000-0000-0000993A0000}"/>
    <cellStyle name="Comma 2 4 3 2 3 6 3 5" xfId="34363" xr:uid="{00000000-0005-0000-0000-00009A3A0000}"/>
    <cellStyle name="Comma 2 4 3 2 3 6 4" xfId="8368" xr:uid="{00000000-0005-0000-0000-00009B3A0000}"/>
    <cellStyle name="Comma 2 4 3 2 3 6 4 2" xfId="42976" xr:uid="{00000000-0005-0000-0000-00009C3A0000}"/>
    <cellStyle name="Comma 2 4 3 2 3 6 4 3" xfId="36552" xr:uid="{00000000-0005-0000-0000-00009D3A0000}"/>
    <cellStyle name="Comma 2 4 3 2 3 6 5" xfId="21357" xr:uid="{00000000-0005-0000-0000-00009E3A0000}"/>
    <cellStyle name="Comma 2 4 3 2 3 6 5 2" xfId="39769" xr:uid="{00000000-0005-0000-0000-00009F3A0000}"/>
    <cellStyle name="Comma 2 4 3 2 3 6 6" xfId="22430" xr:uid="{00000000-0005-0000-0000-0000A03A0000}"/>
    <cellStyle name="Comma 2 4 3 2 3 6 7" xfId="23547" xr:uid="{00000000-0005-0000-0000-0000A13A0000}"/>
    <cellStyle name="Comma 2 4 3 2 3 6 8" xfId="26752" xr:uid="{00000000-0005-0000-0000-0000A23A0000}"/>
    <cellStyle name="Comma 2 4 3 2 3 6 9" xfId="30085" xr:uid="{00000000-0005-0000-0000-0000A33A0000}"/>
    <cellStyle name="Comma 2 4 3 2 3 7" xfId="9091" xr:uid="{00000000-0005-0000-0000-0000A43A0000}"/>
    <cellStyle name="Comma 2 4 3 2 3 7 2" xfId="25146" xr:uid="{00000000-0005-0000-0000-0000A53A0000}"/>
    <cellStyle name="Comma 2 4 3 2 3 7 2 2" xfId="44573" xr:uid="{00000000-0005-0000-0000-0000A63A0000}"/>
    <cellStyle name="Comma 2 4 3 2 3 7 2 3" xfId="38150" xr:uid="{00000000-0005-0000-0000-0000A73A0000}"/>
    <cellStyle name="Comma 2 4 3 2 3 7 3" xfId="27325" xr:uid="{00000000-0005-0000-0000-0000A83A0000}"/>
    <cellStyle name="Comma 2 4 3 2 3 7 3 2" xfId="41366" xr:uid="{00000000-0005-0000-0000-0000A93A0000}"/>
    <cellStyle name="Comma 2 4 3 2 3 7 4" xfId="30660" xr:uid="{00000000-0005-0000-0000-0000AA3A0000}"/>
    <cellStyle name="Comma 2 4 3 2 3 7 5" xfId="34942" xr:uid="{00000000-0005-0000-0000-0000AB3A0000}"/>
    <cellStyle name="Comma 2 4 3 2 3 8" xfId="15545" xr:uid="{00000000-0005-0000-0000-0000AC3A0000}"/>
    <cellStyle name="Comma 2 4 3 2 3 8 2" xfId="24560" xr:uid="{00000000-0005-0000-0000-0000AD3A0000}"/>
    <cellStyle name="Comma 2 4 3 2 3 8 2 2" xfId="43989" xr:uid="{00000000-0005-0000-0000-0000AE3A0000}"/>
    <cellStyle name="Comma 2 4 3 2 3 8 2 3" xfId="37566" xr:uid="{00000000-0005-0000-0000-0000AF3A0000}"/>
    <cellStyle name="Comma 2 4 3 2 3 8 3" xfId="28881" xr:uid="{00000000-0005-0000-0000-0000B03A0000}"/>
    <cellStyle name="Comma 2 4 3 2 3 8 3 2" xfId="40782" xr:uid="{00000000-0005-0000-0000-0000B13A0000}"/>
    <cellStyle name="Comma 2 4 3 2 3 8 4" xfId="32216" xr:uid="{00000000-0005-0000-0000-0000B23A0000}"/>
    <cellStyle name="Comma 2 4 3 2 3 8 5" xfId="34358" xr:uid="{00000000-0005-0000-0000-0000B33A0000}"/>
    <cellStyle name="Comma 2 4 3 2 3 9" xfId="8363" xr:uid="{00000000-0005-0000-0000-0000B43A0000}"/>
    <cellStyle name="Comma 2 4 3 2 3 9 2" xfId="42436" xr:uid="{00000000-0005-0000-0000-0000B53A0000}"/>
    <cellStyle name="Comma 2 4 3 2 3 9 3" xfId="36012" xr:uid="{00000000-0005-0000-0000-0000B63A0000}"/>
    <cellStyle name="Comma 2 4 3 2 4" xfId="1122" xr:uid="{00000000-0005-0000-0000-0000B73A0000}"/>
    <cellStyle name="Comma 2 4 3 2 4 10" xfId="22431" xr:uid="{00000000-0005-0000-0000-0000B83A0000}"/>
    <cellStyle name="Comma 2 4 3 2 4 11" xfId="23548" xr:uid="{00000000-0005-0000-0000-0000B93A0000}"/>
    <cellStyle name="Comma 2 4 3 2 4 12" xfId="26753" xr:uid="{00000000-0005-0000-0000-0000BA3A0000}"/>
    <cellStyle name="Comma 2 4 3 2 4 13" xfId="30086" xr:uid="{00000000-0005-0000-0000-0000BB3A0000}"/>
    <cellStyle name="Comma 2 4 3 2 4 14" xfId="33346" xr:uid="{00000000-0005-0000-0000-0000BC3A0000}"/>
    <cellStyle name="Comma 2 4 3 2 4 2" xfId="1123" xr:uid="{00000000-0005-0000-0000-0000BD3A0000}"/>
    <cellStyle name="Comma 2 4 3 2 4 2 10" xfId="33347" xr:uid="{00000000-0005-0000-0000-0000BE3A0000}"/>
    <cellStyle name="Comma 2 4 3 2 4 2 2" xfId="9893" xr:uid="{00000000-0005-0000-0000-0000BF3A0000}"/>
    <cellStyle name="Comma 2 4 3 2 4 2 2 2" xfId="25693" xr:uid="{00000000-0005-0000-0000-0000C03A0000}"/>
    <cellStyle name="Comma 2 4 3 2 4 2 2 2 2" xfId="45120" xr:uid="{00000000-0005-0000-0000-0000C13A0000}"/>
    <cellStyle name="Comma 2 4 3 2 4 2 2 2 3" xfId="38697" xr:uid="{00000000-0005-0000-0000-0000C23A0000}"/>
    <cellStyle name="Comma 2 4 3 2 4 2 2 3" xfId="27871" xr:uid="{00000000-0005-0000-0000-0000C33A0000}"/>
    <cellStyle name="Comma 2 4 3 2 4 2 2 3 2" xfId="41913" xr:uid="{00000000-0005-0000-0000-0000C43A0000}"/>
    <cellStyle name="Comma 2 4 3 2 4 2 2 4" xfId="31206" xr:uid="{00000000-0005-0000-0000-0000C53A0000}"/>
    <cellStyle name="Comma 2 4 3 2 4 2 2 5" xfId="35489" xr:uid="{00000000-0005-0000-0000-0000C63A0000}"/>
    <cellStyle name="Comma 2 4 3 2 4 2 3" xfId="15552" xr:uid="{00000000-0005-0000-0000-0000C73A0000}"/>
    <cellStyle name="Comma 2 4 3 2 4 2 3 2" xfId="24567" xr:uid="{00000000-0005-0000-0000-0000C83A0000}"/>
    <cellStyle name="Comma 2 4 3 2 4 2 3 2 2" xfId="43996" xr:uid="{00000000-0005-0000-0000-0000C93A0000}"/>
    <cellStyle name="Comma 2 4 3 2 4 2 3 2 3" xfId="37573" xr:uid="{00000000-0005-0000-0000-0000CA3A0000}"/>
    <cellStyle name="Comma 2 4 3 2 4 2 3 3" xfId="28888" xr:uid="{00000000-0005-0000-0000-0000CB3A0000}"/>
    <cellStyle name="Comma 2 4 3 2 4 2 3 3 2" xfId="40789" xr:uid="{00000000-0005-0000-0000-0000CC3A0000}"/>
    <cellStyle name="Comma 2 4 3 2 4 2 3 4" xfId="32223" xr:uid="{00000000-0005-0000-0000-0000CD3A0000}"/>
    <cellStyle name="Comma 2 4 3 2 4 2 3 5" xfId="34365" xr:uid="{00000000-0005-0000-0000-0000CE3A0000}"/>
    <cellStyle name="Comma 2 4 3 2 4 2 4" xfId="8370" xr:uid="{00000000-0005-0000-0000-0000CF3A0000}"/>
    <cellStyle name="Comma 2 4 3 2 4 2 4 2" xfId="42978" xr:uid="{00000000-0005-0000-0000-0000D03A0000}"/>
    <cellStyle name="Comma 2 4 3 2 4 2 4 3" xfId="36554" xr:uid="{00000000-0005-0000-0000-0000D13A0000}"/>
    <cellStyle name="Comma 2 4 3 2 4 2 5" xfId="21359" xr:uid="{00000000-0005-0000-0000-0000D23A0000}"/>
    <cellStyle name="Comma 2 4 3 2 4 2 5 2" xfId="39771" xr:uid="{00000000-0005-0000-0000-0000D33A0000}"/>
    <cellStyle name="Comma 2 4 3 2 4 2 6" xfId="22432" xr:uid="{00000000-0005-0000-0000-0000D43A0000}"/>
    <cellStyle name="Comma 2 4 3 2 4 2 7" xfId="23549" xr:uid="{00000000-0005-0000-0000-0000D53A0000}"/>
    <cellStyle name="Comma 2 4 3 2 4 2 8" xfId="26754" xr:uid="{00000000-0005-0000-0000-0000D63A0000}"/>
    <cellStyle name="Comma 2 4 3 2 4 2 9" xfId="30087" xr:uid="{00000000-0005-0000-0000-0000D73A0000}"/>
    <cellStyle name="Comma 2 4 3 2 4 3" xfId="1124" xr:uid="{00000000-0005-0000-0000-0000D83A0000}"/>
    <cellStyle name="Comma 2 4 3 2 4 3 10" xfId="33348" xr:uid="{00000000-0005-0000-0000-0000D93A0000}"/>
    <cellStyle name="Comma 2 4 3 2 4 3 2" xfId="9894" xr:uid="{00000000-0005-0000-0000-0000DA3A0000}"/>
    <cellStyle name="Comma 2 4 3 2 4 3 2 2" xfId="25694" xr:uid="{00000000-0005-0000-0000-0000DB3A0000}"/>
    <cellStyle name="Comma 2 4 3 2 4 3 2 2 2" xfId="45121" xr:uid="{00000000-0005-0000-0000-0000DC3A0000}"/>
    <cellStyle name="Comma 2 4 3 2 4 3 2 2 3" xfId="38698" xr:uid="{00000000-0005-0000-0000-0000DD3A0000}"/>
    <cellStyle name="Comma 2 4 3 2 4 3 2 3" xfId="27872" xr:uid="{00000000-0005-0000-0000-0000DE3A0000}"/>
    <cellStyle name="Comma 2 4 3 2 4 3 2 3 2" xfId="41914" xr:uid="{00000000-0005-0000-0000-0000DF3A0000}"/>
    <cellStyle name="Comma 2 4 3 2 4 3 2 4" xfId="31207" xr:uid="{00000000-0005-0000-0000-0000E03A0000}"/>
    <cellStyle name="Comma 2 4 3 2 4 3 2 5" xfId="35490" xr:uid="{00000000-0005-0000-0000-0000E13A0000}"/>
    <cellStyle name="Comma 2 4 3 2 4 3 3" xfId="15553" xr:uid="{00000000-0005-0000-0000-0000E23A0000}"/>
    <cellStyle name="Comma 2 4 3 2 4 3 3 2" xfId="24568" xr:uid="{00000000-0005-0000-0000-0000E33A0000}"/>
    <cellStyle name="Comma 2 4 3 2 4 3 3 2 2" xfId="43997" xr:uid="{00000000-0005-0000-0000-0000E43A0000}"/>
    <cellStyle name="Comma 2 4 3 2 4 3 3 2 3" xfId="37574" xr:uid="{00000000-0005-0000-0000-0000E53A0000}"/>
    <cellStyle name="Comma 2 4 3 2 4 3 3 3" xfId="28889" xr:uid="{00000000-0005-0000-0000-0000E63A0000}"/>
    <cellStyle name="Comma 2 4 3 2 4 3 3 3 2" xfId="40790" xr:uid="{00000000-0005-0000-0000-0000E73A0000}"/>
    <cellStyle name="Comma 2 4 3 2 4 3 3 4" xfId="32224" xr:uid="{00000000-0005-0000-0000-0000E83A0000}"/>
    <cellStyle name="Comma 2 4 3 2 4 3 3 5" xfId="34366" xr:uid="{00000000-0005-0000-0000-0000E93A0000}"/>
    <cellStyle name="Comma 2 4 3 2 4 3 4" xfId="8371" xr:uid="{00000000-0005-0000-0000-0000EA3A0000}"/>
    <cellStyle name="Comma 2 4 3 2 4 3 4 2" xfId="42979" xr:uid="{00000000-0005-0000-0000-0000EB3A0000}"/>
    <cellStyle name="Comma 2 4 3 2 4 3 4 3" xfId="36555" xr:uid="{00000000-0005-0000-0000-0000EC3A0000}"/>
    <cellStyle name="Comma 2 4 3 2 4 3 5" xfId="21360" xr:uid="{00000000-0005-0000-0000-0000ED3A0000}"/>
    <cellStyle name="Comma 2 4 3 2 4 3 5 2" xfId="39772" xr:uid="{00000000-0005-0000-0000-0000EE3A0000}"/>
    <cellStyle name="Comma 2 4 3 2 4 3 6" xfId="22433" xr:uid="{00000000-0005-0000-0000-0000EF3A0000}"/>
    <cellStyle name="Comma 2 4 3 2 4 3 7" xfId="23550" xr:uid="{00000000-0005-0000-0000-0000F03A0000}"/>
    <cellStyle name="Comma 2 4 3 2 4 3 8" xfId="26755" xr:uid="{00000000-0005-0000-0000-0000F13A0000}"/>
    <cellStyle name="Comma 2 4 3 2 4 3 9" xfId="30088" xr:uid="{00000000-0005-0000-0000-0000F23A0000}"/>
    <cellStyle name="Comma 2 4 3 2 4 4" xfId="1125" xr:uid="{00000000-0005-0000-0000-0000F33A0000}"/>
    <cellStyle name="Comma 2 4 3 2 4 4 10" xfId="33349" xr:uid="{00000000-0005-0000-0000-0000F43A0000}"/>
    <cellStyle name="Comma 2 4 3 2 4 4 2" xfId="9895" xr:uid="{00000000-0005-0000-0000-0000F53A0000}"/>
    <cellStyle name="Comma 2 4 3 2 4 4 2 2" xfId="25695" xr:uid="{00000000-0005-0000-0000-0000F63A0000}"/>
    <cellStyle name="Comma 2 4 3 2 4 4 2 2 2" xfId="45122" xr:uid="{00000000-0005-0000-0000-0000F73A0000}"/>
    <cellStyle name="Comma 2 4 3 2 4 4 2 2 3" xfId="38699" xr:uid="{00000000-0005-0000-0000-0000F83A0000}"/>
    <cellStyle name="Comma 2 4 3 2 4 4 2 3" xfId="27873" xr:uid="{00000000-0005-0000-0000-0000F93A0000}"/>
    <cellStyle name="Comma 2 4 3 2 4 4 2 3 2" xfId="41915" xr:uid="{00000000-0005-0000-0000-0000FA3A0000}"/>
    <cellStyle name="Comma 2 4 3 2 4 4 2 4" xfId="31208" xr:uid="{00000000-0005-0000-0000-0000FB3A0000}"/>
    <cellStyle name="Comma 2 4 3 2 4 4 2 5" xfId="35491" xr:uid="{00000000-0005-0000-0000-0000FC3A0000}"/>
    <cellStyle name="Comma 2 4 3 2 4 4 3" xfId="15554" xr:uid="{00000000-0005-0000-0000-0000FD3A0000}"/>
    <cellStyle name="Comma 2 4 3 2 4 4 3 2" xfId="24569" xr:uid="{00000000-0005-0000-0000-0000FE3A0000}"/>
    <cellStyle name="Comma 2 4 3 2 4 4 3 2 2" xfId="43998" xr:uid="{00000000-0005-0000-0000-0000FF3A0000}"/>
    <cellStyle name="Comma 2 4 3 2 4 4 3 2 3" xfId="37575" xr:uid="{00000000-0005-0000-0000-0000003B0000}"/>
    <cellStyle name="Comma 2 4 3 2 4 4 3 3" xfId="28890" xr:uid="{00000000-0005-0000-0000-0000013B0000}"/>
    <cellStyle name="Comma 2 4 3 2 4 4 3 3 2" xfId="40791" xr:uid="{00000000-0005-0000-0000-0000023B0000}"/>
    <cellStyle name="Comma 2 4 3 2 4 4 3 4" xfId="32225" xr:uid="{00000000-0005-0000-0000-0000033B0000}"/>
    <cellStyle name="Comma 2 4 3 2 4 4 3 5" xfId="34367" xr:uid="{00000000-0005-0000-0000-0000043B0000}"/>
    <cellStyle name="Comma 2 4 3 2 4 4 4" xfId="8372" xr:uid="{00000000-0005-0000-0000-0000053B0000}"/>
    <cellStyle name="Comma 2 4 3 2 4 4 4 2" xfId="42980" xr:uid="{00000000-0005-0000-0000-0000063B0000}"/>
    <cellStyle name="Comma 2 4 3 2 4 4 4 3" xfId="36556" xr:uid="{00000000-0005-0000-0000-0000073B0000}"/>
    <cellStyle name="Comma 2 4 3 2 4 4 5" xfId="21361" xr:uid="{00000000-0005-0000-0000-0000083B0000}"/>
    <cellStyle name="Comma 2 4 3 2 4 4 5 2" xfId="39773" xr:uid="{00000000-0005-0000-0000-0000093B0000}"/>
    <cellStyle name="Comma 2 4 3 2 4 4 6" xfId="22434" xr:uid="{00000000-0005-0000-0000-00000A3B0000}"/>
    <cellStyle name="Comma 2 4 3 2 4 4 7" xfId="23551" xr:uid="{00000000-0005-0000-0000-00000B3B0000}"/>
    <cellStyle name="Comma 2 4 3 2 4 4 8" xfId="26756" xr:uid="{00000000-0005-0000-0000-00000C3B0000}"/>
    <cellStyle name="Comma 2 4 3 2 4 4 9" xfId="30089" xr:uid="{00000000-0005-0000-0000-00000D3B0000}"/>
    <cellStyle name="Comma 2 4 3 2 4 5" xfId="1126" xr:uid="{00000000-0005-0000-0000-00000E3B0000}"/>
    <cellStyle name="Comma 2 4 3 2 4 5 10" xfId="33350" xr:uid="{00000000-0005-0000-0000-00000F3B0000}"/>
    <cellStyle name="Comma 2 4 3 2 4 5 2" xfId="9896" xr:uid="{00000000-0005-0000-0000-0000103B0000}"/>
    <cellStyle name="Comma 2 4 3 2 4 5 2 2" xfId="25696" xr:uid="{00000000-0005-0000-0000-0000113B0000}"/>
    <cellStyle name="Comma 2 4 3 2 4 5 2 2 2" xfId="45123" xr:uid="{00000000-0005-0000-0000-0000123B0000}"/>
    <cellStyle name="Comma 2 4 3 2 4 5 2 2 3" xfId="38700" xr:uid="{00000000-0005-0000-0000-0000133B0000}"/>
    <cellStyle name="Comma 2 4 3 2 4 5 2 3" xfId="27874" xr:uid="{00000000-0005-0000-0000-0000143B0000}"/>
    <cellStyle name="Comma 2 4 3 2 4 5 2 3 2" xfId="41916" xr:uid="{00000000-0005-0000-0000-0000153B0000}"/>
    <cellStyle name="Comma 2 4 3 2 4 5 2 4" xfId="31209" xr:uid="{00000000-0005-0000-0000-0000163B0000}"/>
    <cellStyle name="Comma 2 4 3 2 4 5 2 5" xfId="35492" xr:uid="{00000000-0005-0000-0000-0000173B0000}"/>
    <cellStyle name="Comma 2 4 3 2 4 5 3" xfId="15555" xr:uid="{00000000-0005-0000-0000-0000183B0000}"/>
    <cellStyle name="Comma 2 4 3 2 4 5 3 2" xfId="24570" xr:uid="{00000000-0005-0000-0000-0000193B0000}"/>
    <cellStyle name="Comma 2 4 3 2 4 5 3 2 2" xfId="43999" xr:uid="{00000000-0005-0000-0000-00001A3B0000}"/>
    <cellStyle name="Comma 2 4 3 2 4 5 3 2 3" xfId="37576" xr:uid="{00000000-0005-0000-0000-00001B3B0000}"/>
    <cellStyle name="Comma 2 4 3 2 4 5 3 3" xfId="28891" xr:uid="{00000000-0005-0000-0000-00001C3B0000}"/>
    <cellStyle name="Comma 2 4 3 2 4 5 3 3 2" xfId="40792" xr:uid="{00000000-0005-0000-0000-00001D3B0000}"/>
    <cellStyle name="Comma 2 4 3 2 4 5 3 4" xfId="32226" xr:uid="{00000000-0005-0000-0000-00001E3B0000}"/>
    <cellStyle name="Comma 2 4 3 2 4 5 3 5" xfId="34368" xr:uid="{00000000-0005-0000-0000-00001F3B0000}"/>
    <cellStyle name="Comma 2 4 3 2 4 5 4" xfId="8373" xr:uid="{00000000-0005-0000-0000-0000203B0000}"/>
    <cellStyle name="Comma 2 4 3 2 4 5 4 2" xfId="42981" xr:uid="{00000000-0005-0000-0000-0000213B0000}"/>
    <cellStyle name="Comma 2 4 3 2 4 5 4 3" xfId="36557" xr:uid="{00000000-0005-0000-0000-0000223B0000}"/>
    <cellStyle name="Comma 2 4 3 2 4 5 5" xfId="21362" xr:uid="{00000000-0005-0000-0000-0000233B0000}"/>
    <cellStyle name="Comma 2 4 3 2 4 5 5 2" xfId="39774" xr:uid="{00000000-0005-0000-0000-0000243B0000}"/>
    <cellStyle name="Comma 2 4 3 2 4 5 6" xfId="22435" xr:uid="{00000000-0005-0000-0000-0000253B0000}"/>
    <cellStyle name="Comma 2 4 3 2 4 5 7" xfId="23552" xr:uid="{00000000-0005-0000-0000-0000263B0000}"/>
    <cellStyle name="Comma 2 4 3 2 4 5 8" xfId="26757" xr:uid="{00000000-0005-0000-0000-0000273B0000}"/>
    <cellStyle name="Comma 2 4 3 2 4 5 9" xfId="30090" xr:uid="{00000000-0005-0000-0000-0000283B0000}"/>
    <cellStyle name="Comma 2 4 3 2 4 6" xfId="9892" xr:uid="{00000000-0005-0000-0000-0000293B0000}"/>
    <cellStyle name="Comma 2 4 3 2 4 6 2" xfId="25692" xr:uid="{00000000-0005-0000-0000-00002A3B0000}"/>
    <cellStyle name="Comma 2 4 3 2 4 6 2 2" xfId="45119" xr:uid="{00000000-0005-0000-0000-00002B3B0000}"/>
    <cellStyle name="Comma 2 4 3 2 4 6 2 3" xfId="38696" xr:uid="{00000000-0005-0000-0000-00002C3B0000}"/>
    <cellStyle name="Comma 2 4 3 2 4 6 3" xfId="27870" xr:uid="{00000000-0005-0000-0000-00002D3B0000}"/>
    <cellStyle name="Comma 2 4 3 2 4 6 3 2" xfId="41912" xr:uid="{00000000-0005-0000-0000-00002E3B0000}"/>
    <cellStyle name="Comma 2 4 3 2 4 6 4" xfId="31205" xr:uid="{00000000-0005-0000-0000-00002F3B0000}"/>
    <cellStyle name="Comma 2 4 3 2 4 6 5" xfId="35488" xr:uid="{00000000-0005-0000-0000-0000303B0000}"/>
    <cellStyle name="Comma 2 4 3 2 4 7" xfId="15551" xr:uid="{00000000-0005-0000-0000-0000313B0000}"/>
    <cellStyle name="Comma 2 4 3 2 4 7 2" xfId="24566" xr:uid="{00000000-0005-0000-0000-0000323B0000}"/>
    <cellStyle name="Comma 2 4 3 2 4 7 2 2" xfId="43995" xr:uid="{00000000-0005-0000-0000-0000333B0000}"/>
    <cellStyle name="Comma 2 4 3 2 4 7 2 3" xfId="37572" xr:uid="{00000000-0005-0000-0000-0000343B0000}"/>
    <cellStyle name="Comma 2 4 3 2 4 7 3" xfId="28887" xr:uid="{00000000-0005-0000-0000-0000353B0000}"/>
    <cellStyle name="Comma 2 4 3 2 4 7 3 2" xfId="40788" xr:uid="{00000000-0005-0000-0000-0000363B0000}"/>
    <cellStyle name="Comma 2 4 3 2 4 7 4" xfId="32222" xr:uid="{00000000-0005-0000-0000-0000373B0000}"/>
    <cellStyle name="Comma 2 4 3 2 4 7 5" xfId="34364" xr:uid="{00000000-0005-0000-0000-0000383B0000}"/>
    <cellStyle name="Comma 2 4 3 2 4 8" xfId="8369" xr:uid="{00000000-0005-0000-0000-0000393B0000}"/>
    <cellStyle name="Comma 2 4 3 2 4 8 2" xfId="42977" xr:uid="{00000000-0005-0000-0000-00003A3B0000}"/>
    <cellStyle name="Comma 2 4 3 2 4 8 3" xfId="36553" xr:uid="{00000000-0005-0000-0000-00003B3B0000}"/>
    <cellStyle name="Comma 2 4 3 2 4 9" xfId="21358" xr:uid="{00000000-0005-0000-0000-00003C3B0000}"/>
    <cellStyle name="Comma 2 4 3 2 4 9 2" xfId="39770" xr:uid="{00000000-0005-0000-0000-00003D3B0000}"/>
    <cellStyle name="Comma 2 4 3 2 5" xfId="1127" xr:uid="{00000000-0005-0000-0000-00003E3B0000}"/>
    <cellStyle name="Comma 2 4 3 2 5 10" xfId="22436" xr:uid="{00000000-0005-0000-0000-00003F3B0000}"/>
    <cellStyle name="Comma 2 4 3 2 5 11" xfId="23553" xr:uid="{00000000-0005-0000-0000-0000403B0000}"/>
    <cellStyle name="Comma 2 4 3 2 5 12" xfId="26758" xr:uid="{00000000-0005-0000-0000-0000413B0000}"/>
    <cellStyle name="Comma 2 4 3 2 5 13" xfId="30091" xr:uid="{00000000-0005-0000-0000-0000423B0000}"/>
    <cellStyle name="Comma 2 4 3 2 5 14" xfId="33351" xr:uid="{00000000-0005-0000-0000-0000433B0000}"/>
    <cellStyle name="Comma 2 4 3 2 5 2" xfId="1128" xr:uid="{00000000-0005-0000-0000-0000443B0000}"/>
    <cellStyle name="Comma 2 4 3 2 5 2 10" xfId="33352" xr:uid="{00000000-0005-0000-0000-0000453B0000}"/>
    <cellStyle name="Comma 2 4 3 2 5 2 2" xfId="9898" xr:uid="{00000000-0005-0000-0000-0000463B0000}"/>
    <cellStyle name="Comma 2 4 3 2 5 2 2 2" xfId="25698" xr:uid="{00000000-0005-0000-0000-0000473B0000}"/>
    <cellStyle name="Comma 2 4 3 2 5 2 2 2 2" xfId="45125" xr:uid="{00000000-0005-0000-0000-0000483B0000}"/>
    <cellStyle name="Comma 2 4 3 2 5 2 2 2 3" xfId="38702" xr:uid="{00000000-0005-0000-0000-0000493B0000}"/>
    <cellStyle name="Comma 2 4 3 2 5 2 2 3" xfId="27876" xr:uid="{00000000-0005-0000-0000-00004A3B0000}"/>
    <cellStyle name="Comma 2 4 3 2 5 2 2 3 2" xfId="41918" xr:uid="{00000000-0005-0000-0000-00004B3B0000}"/>
    <cellStyle name="Comma 2 4 3 2 5 2 2 4" xfId="31211" xr:uid="{00000000-0005-0000-0000-00004C3B0000}"/>
    <cellStyle name="Comma 2 4 3 2 5 2 2 5" xfId="35494" xr:uid="{00000000-0005-0000-0000-00004D3B0000}"/>
    <cellStyle name="Comma 2 4 3 2 5 2 3" xfId="15557" xr:uid="{00000000-0005-0000-0000-00004E3B0000}"/>
    <cellStyle name="Comma 2 4 3 2 5 2 3 2" xfId="24572" xr:uid="{00000000-0005-0000-0000-00004F3B0000}"/>
    <cellStyle name="Comma 2 4 3 2 5 2 3 2 2" xfId="44001" xr:uid="{00000000-0005-0000-0000-0000503B0000}"/>
    <cellStyle name="Comma 2 4 3 2 5 2 3 2 3" xfId="37578" xr:uid="{00000000-0005-0000-0000-0000513B0000}"/>
    <cellStyle name="Comma 2 4 3 2 5 2 3 3" xfId="28893" xr:uid="{00000000-0005-0000-0000-0000523B0000}"/>
    <cellStyle name="Comma 2 4 3 2 5 2 3 3 2" xfId="40794" xr:uid="{00000000-0005-0000-0000-0000533B0000}"/>
    <cellStyle name="Comma 2 4 3 2 5 2 3 4" xfId="32228" xr:uid="{00000000-0005-0000-0000-0000543B0000}"/>
    <cellStyle name="Comma 2 4 3 2 5 2 3 5" xfId="34370" xr:uid="{00000000-0005-0000-0000-0000553B0000}"/>
    <cellStyle name="Comma 2 4 3 2 5 2 4" xfId="8375" xr:uid="{00000000-0005-0000-0000-0000563B0000}"/>
    <cellStyle name="Comma 2 4 3 2 5 2 4 2" xfId="42983" xr:uid="{00000000-0005-0000-0000-0000573B0000}"/>
    <cellStyle name="Comma 2 4 3 2 5 2 4 3" xfId="36559" xr:uid="{00000000-0005-0000-0000-0000583B0000}"/>
    <cellStyle name="Comma 2 4 3 2 5 2 5" xfId="21364" xr:uid="{00000000-0005-0000-0000-0000593B0000}"/>
    <cellStyle name="Comma 2 4 3 2 5 2 5 2" xfId="39776" xr:uid="{00000000-0005-0000-0000-00005A3B0000}"/>
    <cellStyle name="Comma 2 4 3 2 5 2 6" xfId="22437" xr:uid="{00000000-0005-0000-0000-00005B3B0000}"/>
    <cellStyle name="Comma 2 4 3 2 5 2 7" xfId="23554" xr:uid="{00000000-0005-0000-0000-00005C3B0000}"/>
    <cellStyle name="Comma 2 4 3 2 5 2 8" xfId="26759" xr:uid="{00000000-0005-0000-0000-00005D3B0000}"/>
    <cellStyle name="Comma 2 4 3 2 5 2 9" xfId="30092" xr:uid="{00000000-0005-0000-0000-00005E3B0000}"/>
    <cellStyle name="Comma 2 4 3 2 5 3" xfId="1129" xr:uid="{00000000-0005-0000-0000-00005F3B0000}"/>
    <cellStyle name="Comma 2 4 3 2 5 3 10" xfId="33353" xr:uid="{00000000-0005-0000-0000-0000603B0000}"/>
    <cellStyle name="Comma 2 4 3 2 5 3 2" xfId="9899" xr:uid="{00000000-0005-0000-0000-0000613B0000}"/>
    <cellStyle name="Comma 2 4 3 2 5 3 2 2" xfId="25699" xr:uid="{00000000-0005-0000-0000-0000623B0000}"/>
    <cellStyle name="Comma 2 4 3 2 5 3 2 2 2" xfId="45126" xr:uid="{00000000-0005-0000-0000-0000633B0000}"/>
    <cellStyle name="Comma 2 4 3 2 5 3 2 2 3" xfId="38703" xr:uid="{00000000-0005-0000-0000-0000643B0000}"/>
    <cellStyle name="Comma 2 4 3 2 5 3 2 3" xfId="27877" xr:uid="{00000000-0005-0000-0000-0000653B0000}"/>
    <cellStyle name="Comma 2 4 3 2 5 3 2 3 2" xfId="41919" xr:uid="{00000000-0005-0000-0000-0000663B0000}"/>
    <cellStyle name="Comma 2 4 3 2 5 3 2 4" xfId="31212" xr:uid="{00000000-0005-0000-0000-0000673B0000}"/>
    <cellStyle name="Comma 2 4 3 2 5 3 2 5" xfId="35495" xr:uid="{00000000-0005-0000-0000-0000683B0000}"/>
    <cellStyle name="Comma 2 4 3 2 5 3 3" xfId="15558" xr:uid="{00000000-0005-0000-0000-0000693B0000}"/>
    <cellStyle name="Comma 2 4 3 2 5 3 3 2" xfId="24573" xr:uid="{00000000-0005-0000-0000-00006A3B0000}"/>
    <cellStyle name="Comma 2 4 3 2 5 3 3 2 2" xfId="44002" xr:uid="{00000000-0005-0000-0000-00006B3B0000}"/>
    <cellStyle name="Comma 2 4 3 2 5 3 3 2 3" xfId="37579" xr:uid="{00000000-0005-0000-0000-00006C3B0000}"/>
    <cellStyle name="Comma 2 4 3 2 5 3 3 3" xfId="28894" xr:uid="{00000000-0005-0000-0000-00006D3B0000}"/>
    <cellStyle name="Comma 2 4 3 2 5 3 3 3 2" xfId="40795" xr:uid="{00000000-0005-0000-0000-00006E3B0000}"/>
    <cellStyle name="Comma 2 4 3 2 5 3 3 4" xfId="32229" xr:uid="{00000000-0005-0000-0000-00006F3B0000}"/>
    <cellStyle name="Comma 2 4 3 2 5 3 3 5" xfId="34371" xr:uid="{00000000-0005-0000-0000-0000703B0000}"/>
    <cellStyle name="Comma 2 4 3 2 5 3 4" xfId="8376" xr:uid="{00000000-0005-0000-0000-0000713B0000}"/>
    <cellStyle name="Comma 2 4 3 2 5 3 4 2" xfId="42984" xr:uid="{00000000-0005-0000-0000-0000723B0000}"/>
    <cellStyle name="Comma 2 4 3 2 5 3 4 3" xfId="36560" xr:uid="{00000000-0005-0000-0000-0000733B0000}"/>
    <cellStyle name="Comma 2 4 3 2 5 3 5" xfId="21365" xr:uid="{00000000-0005-0000-0000-0000743B0000}"/>
    <cellStyle name="Comma 2 4 3 2 5 3 5 2" xfId="39777" xr:uid="{00000000-0005-0000-0000-0000753B0000}"/>
    <cellStyle name="Comma 2 4 3 2 5 3 6" xfId="22438" xr:uid="{00000000-0005-0000-0000-0000763B0000}"/>
    <cellStyle name="Comma 2 4 3 2 5 3 7" xfId="23555" xr:uid="{00000000-0005-0000-0000-0000773B0000}"/>
    <cellStyle name="Comma 2 4 3 2 5 3 8" xfId="26760" xr:uid="{00000000-0005-0000-0000-0000783B0000}"/>
    <cellStyle name="Comma 2 4 3 2 5 3 9" xfId="30093" xr:uid="{00000000-0005-0000-0000-0000793B0000}"/>
    <cellStyle name="Comma 2 4 3 2 5 4" xfId="1130" xr:uid="{00000000-0005-0000-0000-00007A3B0000}"/>
    <cellStyle name="Comma 2 4 3 2 5 4 10" xfId="33354" xr:uid="{00000000-0005-0000-0000-00007B3B0000}"/>
    <cellStyle name="Comma 2 4 3 2 5 4 2" xfId="9900" xr:uid="{00000000-0005-0000-0000-00007C3B0000}"/>
    <cellStyle name="Comma 2 4 3 2 5 4 2 2" xfId="25700" xr:uid="{00000000-0005-0000-0000-00007D3B0000}"/>
    <cellStyle name="Comma 2 4 3 2 5 4 2 2 2" xfId="45127" xr:uid="{00000000-0005-0000-0000-00007E3B0000}"/>
    <cellStyle name="Comma 2 4 3 2 5 4 2 2 3" xfId="38704" xr:uid="{00000000-0005-0000-0000-00007F3B0000}"/>
    <cellStyle name="Comma 2 4 3 2 5 4 2 3" xfId="27878" xr:uid="{00000000-0005-0000-0000-0000803B0000}"/>
    <cellStyle name="Comma 2 4 3 2 5 4 2 3 2" xfId="41920" xr:uid="{00000000-0005-0000-0000-0000813B0000}"/>
    <cellStyle name="Comma 2 4 3 2 5 4 2 4" xfId="31213" xr:uid="{00000000-0005-0000-0000-0000823B0000}"/>
    <cellStyle name="Comma 2 4 3 2 5 4 2 5" xfId="35496" xr:uid="{00000000-0005-0000-0000-0000833B0000}"/>
    <cellStyle name="Comma 2 4 3 2 5 4 3" xfId="15559" xr:uid="{00000000-0005-0000-0000-0000843B0000}"/>
    <cellStyle name="Comma 2 4 3 2 5 4 3 2" xfId="24574" xr:uid="{00000000-0005-0000-0000-0000853B0000}"/>
    <cellStyle name="Comma 2 4 3 2 5 4 3 2 2" xfId="44003" xr:uid="{00000000-0005-0000-0000-0000863B0000}"/>
    <cellStyle name="Comma 2 4 3 2 5 4 3 2 3" xfId="37580" xr:uid="{00000000-0005-0000-0000-0000873B0000}"/>
    <cellStyle name="Comma 2 4 3 2 5 4 3 3" xfId="28895" xr:uid="{00000000-0005-0000-0000-0000883B0000}"/>
    <cellStyle name="Comma 2 4 3 2 5 4 3 3 2" xfId="40796" xr:uid="{00000000-0005-0000-0000-0000893B0000}"/>
    <cellStyle name="Comma 2 4 3 2 5 4 3 4" xfId="32230" xr:uid="{00000000-0005-0000-0000-00008A3B0000}"/>
    <cellStyle name="Comma 2 4 3 2 5 4 3 5" xfId="34372" xr:uid="{00000000-0005-0000-0000-00008B3B0000}"/>
    <cellStyle name="Comma 2 4 3 2 5 4 4" xfId="8377" xr:uid="{00000000-0005-0000-0000-00008C3B0000}"/>
    <cellStyle name="Comma 2 4 3 2 5 4 4 2" xfId="42985" xr:uid="{00000000-0005-0000-0000-00008D3B0000}"/>
    <cellStyle name="Comma 2 4 3 2 5 4 4 3" xfId="36561" xr:uid="{00000000-0005-0000-0000-00008E3B0000}"/>
    <cellStyle name="Comma 2 4 3 2 5 4 5" xfId="21366" xr:uid="{00000000-0005-0000-0000-00008F3B0000}"/>
    <cellStyle name="Comma 2 4 3 2 5 4 5 2" xfId="39778" xr:uid="{00000000-0005-0000-0000-0000903B0000}"/>
    <cellStyle name="Comma 2 4 3 2 5 4 6" xfId="22439" xr:uid="{00000000-0005-0000-0000-0000913B0000}"/>
    <cellStyle name="Comma 2 4 3 2 5 4 7" xfId="23556" xr:uid="{00000000-0005-0000-0000-0000923B0000}"/>
    <cellStyle name="Comma 2 4 3 2 5 4 8" xfId="26761" xr:uid="{00000000-0005-0000-0000-0000933B0000}"/>
    <cellStyle name="Comma 2 4 3 2 5 4 9" xfId="30094" xr:uid="{00000000-0005-0000-0000-0000943B0000}"/>
    <cellStyle name="Comma 2 4 3 2 5 5" xfId="1131" xr:uid="{00000000-0005-0000-0000-0000953B0000}"/>
    <cellStyle name="Comma 2 4 3 2 5 5 10" xfId="33355" xr:uid="{00000000-0005-0000-0000-0000963B0000}"/>
    <cellStyle name="Comma 2 4 3 2 5 5 2" xfId="9901" xr:uid="{00000000-0005-0000-0000-0000973B0000}"/>
    <cellStyle name="Comma 2 4 3 2 5 5 2 2" xfId="25701" xr:uid="{00000000-0005-0000-0000-0000983B0000}"/>
    <cellStyle name="Comma 2 4 3 2 5 5 2 2 2" xfId="45128" xr:uid="{00000000-0005-0000-0000-0000993B0000}"/>
    <cellStyle name="Comma 2 4 3 2 5 5 2 2 3" xfId="38705" xr:uid="{00000000-0005-0000-0000-00009A3B0000}"/>
    <cellStyle name="Comma 2 4 3 2 5 5 2 3" xfId="27879" xr:uid="{00000000-0005-0000-0000-00009B3B0000}"/>
    <cellStyle name="Comma 2 4 3 2 5 5 2 3 2" xfId="41921" xr:uid="{00000000-0005-0000-0000-00009C3B0000}"/>
    <cellStyle name="Comma 2 4 3 2 5 5 2 4" xfId="31214" xr:uid="{00000000-0005-0000-0000-00009D3B0000}"/>
    <cellStyle name="Comma 2 4 3 2 5 5 2 5" xfId="35497" xr:uid="{00000000-0005-0000-0000-00009E3B0000}"/>
    <cellStyle name="Comma 2 4 3 2 5 5 3" xfId="15560" xr:uid="{00000000-0005-0000-0000-00009F3B0000}"/>
    <cellStyle name="Comma 2 4 3 2 5 5 3 2" xfId="24575" xr:uid="{00000000-0005-0000-0000-0000A03B0000}"/>
    <cellStyle name="Comma 2 4 3 2 5 5 3 2 2" xfId="44004" xr:uid="{00000000-0005-0000-0000-0000A13B0000}"/>
    <cellStyle name="Comma 2 4 3 2 5 5 3 2 3" xfId="37581" xr:uid="{00000000-0005-0000-0000-0000A23B0000}"/>
    <cellStyle name="Comma 2 4 3 2 5 5 3 3" xfId="28896" xr:uid="{00000000-0005-0000-0000-0000A33B0000}"/>
    <cellStyle name="Comma 2 4 3 2 5 5 3 3 2" xfId="40797" xr:uid="{00000000-0005-0000-0000-0000A43B0000}"/>
    <cellStyle name="Comma 2 4 3 2 5 5 3 4" xfId="32231" xr:uid="{00000000-0005-0000-0000-0000A53B0000}"/>
    <cellStyle name="Comma 2 4 3 2 5 5 3 5" xfId="34373" xr:uid="{00000000-0005-0000-0000-0000A63B0000}"/>
    <cellStyle name="Comma 2 4 3 2 5 5 4" xfId="8378" xr:uid="{00000000-0005-0000-0000-0000A73B0000}"/>
    <cellStyle name="Comma 2 4 3 2 5 5 4 2" xfId="42986" xr:uid="{00000000-0005-0000-0000-0000A83B0000}"/>
    <cellStyle name="Comma 2 4 3 2 5 5 4 3" xfId="36562" xr:uid="{00000000-0005-0000-0000-0000A93B0000}"/>
    <cellStyle name="Comma 2 4 3 2 5 5 5" xfId="21367" xr:uid="{00000000-0005-0000-0000-0000AA3B0000}"/>
    <cellStyle name="Comma 2 4 3 2 5 5 5 2" xfId="39779" xr:uid="{00000000-0005-0000-0000-0000AB3B0000}"/>
    <cellStyle name="Comma 2 4 3 2 5 5 6" xfId="22440" xr:uid="{00000000-0005-0000-0000-0000AC3B0000}"/>
    <cellStyle name="Comma 2 4 3 2 5 5 7" xfId="23557" xr:uid="{00000000-0005-0000-0000-0000AD3B0000}"/>
    <cellStyle name="Comma 2 4 3 2 5 5 8" xfId="26762" xr:uid="{00000000-0005-0000-0000-0000AE3B0000}"/>
    <cellStyle name="Comma 2 4 3 2 5 5 9" xfId="30095" xr:uid="{00000000-0005-0000-0000-0000AF3B0000}"/>
    <cellStyle name="Comma 2 4 3 2 5 6" xfId="9897" xr:uid="{00000000-0005-0000-0000-0000B03B0000}"/>
    <cellStyle name="Comma 2 4 3 2 5 6 2" xfId="25697" xr:uid="{00000000-0005-0000-0000-0000B13B0000}"/>
    <cellStyle name="Comma 2 4 3 2 5 6 2 2" xfId="45124" xr:uid="{00000000-0005-0000-0000-0000B23B0000}"/>
    <cellStyle name="Comma 2 4 3 2 5 6 2 3" xfId="38701" xr:uid="{00000000-0005-0000-0000-0000B33B0000}"/>
    <cellStyle name="Comma 2 4 3 2 5 6 3" xfId="27875" xr:uid="{00000000-0005-0000-0000-0000B43B0000}"/>
    <cellStyle name="Comma 2 4 3 2 5 6 3 2" xfId="41917" xr:uid="{00000000-0005-0000-0000-0000B53B0000}"/>
    <cellStyle name="Comma 2 4 3 2 5 6 4" xfId="31210" xr:uid="{00000000-0005-0000-0000-0000B63B0000}"/>
    <cellStyle name="Comma 2 4 3 2 5 6 5" xfId="35493" xr:uid="{00000000-0005-0000-0000-0000B73B0000}"/>
    <cellStyle name="Comma 2 4 3 2 5 7" xfId="15556" xr:uid="{00000000-0005-0000-0000-0000B83B0000}"/>
    <cellStyle name="Comma 2 4 3 2 5 7 2" xfId="24571" xr:uid="{00000000-0005-0000-0000-0000B93B0000}"/>
    <cellStyle name="Comma 2 4 3 2 5 7 2 2" xfId="44000" xr:uid="{00000000-0005-0000-0000-0000BA3B0000}"/>
    <cellStyle name="Comma 2 4 3 2 5 7 2 3" xfId="37577" xr:uid="{00000000-0005-0000-0000-0000BB3B0000}"/>
    <cellStyle name="Comma 2 4 3 2 5 7 3" xfId="28892" xr:uid="{00000000-0005-0000-0000-0000BC3B0000}"/>
    <cellStyle name="Comma 2 4 3 2 5 7 3 2" xfId="40793" xr:uid="{00000000-0005-0000-0000-0000BD3B0000}"/>
    <cellStyle name="Comma 2 4 3 2 5 7 4" xfId="32227" xr:uid="{00000000-0005-0000-0000-0000BE3B0000}"/>
    <cellStyle name="Comma 2 4 3 2 5 7 5" xfId="34369" xr:uid="{00000000-0005-0000-0000-0000BF3B0000}"/>
    <cellStyle name="Comma 2 4 3 2 5 8" xfId="8374" xr:uid="{00000000-0005-0000-0000-0000C03B0000}"/>
    <cellStyle name="Comma 2 4 3 2 5 8 2" xfId="42982" xr:uid="{00000000-0005-0000-0000-0000C13B0000}"/>
    <cellStyle name="Comma 2 4 3 2 5 8 3" xfId="36558" xr:uid="{00000000-0005-0000-0000-0000C23B0000}"/>
    <cellStyle name="Comma 2 4 3 2 5 9" xfId="21363" xr:uid="{00000000-0005-0000-0000-0000C33B0000}"/>
    <cellStyle name="Comma 2 4 3 2 5 9 2" xfId="39775" xr:uid="{00000000-0005-0000-0000-0000C43B0000}"/>
    <cellStyle name="Comma 2 4 3 2 6" xfId="1132" xr:uid="{00000000-0005-0000-0000-0000C53B0000}"/>
    <cellStyle name="Comma 2 4 3 2 6 10" xfId="33356" xr:uid="{00000000-0005-0000-0000-0000C63B0000}"/>
    <cellStyle name="Comma 2 4 3 2 6 2" xfId="9902" xr:uid="{00000000-0005-0000-0000-0000C73B0000}"/>
    <cellStyle name="Comma 2 4 3 2 6 2 2" xfId="25702" xr:uid="{00000000-0005-0000-0000-0000C83B0000}"/>
    <cellStyle name="Comma 2 4 3 2 6 2 2 2" xfId="45129" xr:uid="{00000000-0005-0000-0000-0000C93B0000}"/>
    <cellStyle name="Comma 2 4 3 2 6 2 2 3" xfId="38706" xr:uid="{00000000-0005-0000-0000-0000CA3B0000}"/>
    <cellStyle name="Comma 2 4 3 2 6 2 3" xfId="27880" xr:uid="{00000000-0005-0000-0000-0000CB3B0000}"/>
    <cellStyle name="Comma 2 4 3 2 6 2 3 2" xfId="41922" xr:uid="{00000000-0005-0000-0000-0000CC3B0000}"/>
    <cellStyle name="Comma 2 4 3 2 6 2 4" xfId="31215" xr:uid="{00000000-0005-0000-0000-0000CD3B0000}"/>
    <cellStyle name="Comma 2 4 3 2 6 2 5" xfId="35498" xr:uid="{00000000-0005-0000-0000-0000CE3B0000}"/>
    <cellStyle name="Comma 2 4 3 2 6 3" xfId="15561" xr:uid="{00000000-0005-0000-0000-0000CF3B0000}"/>
    <cellStyle name="Comma 2 4 3 2 6 3 2" xfId="24576" xr:uid="{00000000-0005-0000-0000-0000D03B0000}"/>
    <cellStyle name="Comma 2 4 3 2 6 3 2 2" xfId="44005" xr:uid="{00000000-0005-0000-0000-0000D13B0000}"/>
    <cellStyle name="Comma 2 4 3 2 6 3 2 3" xfId="37582" xr:uid="{00000000-0005-0000-0000-0000D23B0000}"/>
    <cellStyle name="Comma 2 4 3 2 6 3 3" xfId="28897" xr:uid="{00000000-0005-0000-0000-0000D33B0000}"/>
    <cellStyle name="Comma 2 4 3 2 6 3 3 2" xfId="40798" xr:uid="{00000000-0005-0000-0000-0000D43B0000}"/>
    <cellStyle name="Comma 2 4 3 2 6 3 4" xfId="32232" xr:uid="{00000000-0005-0000-0000-0000D53B0000}"/>
    <cellStyle name="Comma 2 4 3 2 6 3 5" xfId="34374" xr:uid="{00000000-0005-0000-0000-0000D63B0000}"/>
    <cellStyle name="Comma 2 4 3 2 6 4" xfId="8379" xr:uid="{00000000-0005-0000-0000-0000D73B0000}"/>
    <cellStyle name="Comma 2 4 3 2 6 4 2" xfId="42987" xr:uid="{00000000-0005-0000-0000-0000D83B0000}"/>
    <cellStyle name="Comma 2 4 3 2 6 4 3" xfId="36563" xr:uid="{00000000-0005-0000-0000-0000D93B0000}"/>
    <cellStyle name="Comma 2 4 3 2 6 5" xfId="21368" xr:uid="{00000000-0005-0000-0000-0000DA3B0000}"/>
    <cellStyle name="Comma 2 4 3 2 6 5 2" xfId="39780" xr:uid="{00000000-0005-0000-0000-0000DB3B0000}"/>
    <cellStyle name="Comma 2 4 3 2 6 6" xfId="22441" xr:uid="{00000000-0005-0000-0000-0000DC3B0000}"/>
    <cellStyle name="Comma 2 4 3 2 6 7" xfId="23558" xr:uid="{00000000-0005-0000-0000-0000DD3B0000}"/>
    <cellStyle name="Comma 2 4 3 2 6 8" xfId="26763" xr:uid="{00000000-0005-0000-0000-0000DE3B0000}"/>
    <cellStyle name="Comma 2 4 3 2 6 9" xfId="30096" xr:uid="{00000000-0005-0000-0000-0000DF3B0000}"/>
    <cellStyle name="Comma 2 4 3 2 7" xfId="1133" xr:uid="{00000000-0005-0000-0000-0000E03B0000}"/>
    <cellStyle name="Comma 2 4 3 2 7 10" xfId="33357" xr:uid="{00000000-0005-0000-0000-0000E13B0000}"/>
    <cellStyle name="Comma 2 4 3 2 7 2" xfId="9903" xr:uid="{00000000-0005-0000-0000-0000E23B0000}"/>
    <cellStyle name="Comma 2 4 3 2 7 2 2" xfId="25703" xr:uid="{00000000-0005-0000-0000-0000E33B0000}"/>
    <cellStyle name="Comma 2 4 3 2 7 2 2 2" xfId="45130" xr:uid="{00000000-0005-0000-0000-0000E43B0000}"/>
    <cellStyle name="Comma 2 4 3 2 7 2 2 3" xfId="38707" xr:uid="{00000000-0005-0000-0000-0000E53B0000}"/>
    <cellStyle name="Comma 2 4 3 2 7 2 3" xfId="27881" xr:uid="{00000000-0005-0000-0000-0000E63B0000}"/>
    <cellStyle name="Comma 2 4 3 2 7 2 3 2" xfId="41923" xr:uid="{00000000-0005-0000-0000-0000E73B0000}"/>
    <cellStyle name="Comma 2 4 3 2 7 2 4" xfId="31216" xr:uid="{00000000-0005-0000-0000-0000E83B0000}"/>
    <cellStyle name="Comma 2 4 3 2 7 2 5" xfId="35499" xr:uid="{00000000-0005-0000-0000-0000E93B0000}"/>
    <cellStyle name="Comma 2 4 3 2 7 3" xfId="15562" xr:uid="{00000000-0005-0000-0000-0000EA3B0000}"/>
    <cellStyle name="Comma 2 4 3 2 7 3 2" xfId="24577" xr:uid="{00000000-0005-0000-0000-0000EB3B0000}"/>
    <cellStyle name="Comma 2 4 3 2 7 3 2 2" xfId="44006" xr:uid="{00000000-0005-0000-0000-0000EC3B0000}"/>
    <cellStyle name="Comma 2 4 3 2 7 3 2 3" xfId="37583" xr:uid="{00000000-0005-0000-0000-0000ED3B0000}"/>
    <cellStyle name="Comma 2 4 3 2 7 3 3" xfId="28898" xr:uid="{00000000-0005-0000-0000-0000EE3B0000}"/>
    <cellStyle name="Comma 2 4 3 2 7 3 3 2" xfId="40799" xr:uid="{00000000-0005-0000-0000-0000EF3B0000}"/>
    <cellStyle name="Comma 2 4 3 2 7 3 4" xfId="32233" xr:uid="{00000000-0005-0000-0000-0000F03B0000}"/>
    <cellStyle name="Comma 2 4 3 2 7 3 5" xfId="34375" xr:uid="{00000000-0005-0000-0000-0000F13B0000}"/>
    <cellStyle name="Comma 2 4 3 2 7 4" xfId="8380" xr:uid="{00000000-0005-0000-0000-0000F23B0000}"/>
    <cellStyle name="Comma 2 4 3 2 7 4 2" xfId="42988" xr:uid="{00000000-0005-0000-0000-0000F33B0000}"/>
    <cellStyle name="Comma 2 4 3 2 7 4 3" xfId="36564" xr:uid="{00000000-0005-0000-0000-0000F43B0000}"/>
    <cellStyle name="Comma 2 4 3 2 7 5" xfId="21369" xr:uid="{00000000-0005-0000-0000-0000F53B0000}"/>
    <cellStyle name="Comma 2 4 3 2 7 5 2" xfId="39781" xr:uid="{00000000-0005-0000-0000-0000F63B0000}"/>
    <cellStyle name="Comma 2 4 3 2 7 6" xfId="22442" xr:uid="{00000000-0005-0000-0000-0000F73B0000}"/>
    <cellStyle name="Comma 2 4 3 2 7 7" xfId="23559" xr:uid="{00000000-0005-0000-0000-0000F83B0000}"/>
    <cellStyle name="Comma 2 4 3 2 7 8" xfId="26764" xr:uid="{00000000-0005-0000-0000-0000F93B0000}"/>
    <cellStyle name="Comma 2 4 3 2 7 9" xfId="30097" xr:uid="{00000000-0005-0000-0000-0000FA3B0000}"/>
    <cellStyle name="Comma 2 4 3 2 8" xfId="1134" xr:uid="{00000000-0005-0000-0000-0000FB3B0000}"/>
    <cellStyle name="Comma 2 4 3 2 8 10" xfId="33358" xr:uid="{00000000-0005-0000-0000-0000FC3B0000}"/>
    <cellStyle name="Comma 2 4 3 2 8 2" xfId="9904" xr:uid="{00000000-0005-0000-0000-0000FD3B0000}"/>
    <cellStyle name="Comma 2 4 3 2 8 2 2" xfId="25704" xr:uid="{00000000-0005-0000-0000-0000FE3B0000}"/>
    <cellStyle name="Comma 2 4 3 2 8 2 2 2" xfId="45131" xr:uid="{00000000-0005-0000-0000-0000FF3B0000}"/>
    <cellStyle name="Comma 2 4 3 2 8 2 2 3" xfId="38708" xr:uid="{00000000-0005-0000-0000-0000003C0000}"/>
    <cellStyle name="Comma 2 4 3 2 8 2 3" xfId="27882" xr:uid="{00000000-0005-0000-0000-0000013C0000}"/>
    <cellStyle name="Comma 2 4 3 2 8 2 3 2" xfId="41924" xr:uid="{00000000-0005-0000-0000-0000023C0000}"/>
    <cellStyle name="Comma 2 4 3 2 8 2 4" xfId="31217" xr:uid="{00000000-0005-0000-0000-0000033C0000}"/>
    <cellStyle name="Comma 2 4 3 2 8 2 5" xfId="35500" xr:uid="{00000000-0005-0000-0000-0000043C0000}"/>
    <cellStyle name="Comma 2 4 3 2 8 3" xfId="15563" xr:uid="{00000000-0005-0000-0000-0000053C0000}"/>
    <cellStyle name="Comma 2 4 3 2 8 3 2" xfId="24578" xr:uid="{00000000-0005-0000-0000-0000063C0000}"/>
    <cellStyle name="Comma 2 4 3 2 8 3 2 2" xfId="44007" xr:uid="{00000000-0005-0000-0000-0000073C0000}"/>
    <cellStyle name="Comma 2 4 3 2 8 3 2 3" xfId="37584" xr:uid="{00000000-0005-0000-0000-0000083C0000}"/>
    <cellStyle name="Comma 2 4 3 2 8 3 3" xfId="28899" xr:uid="{00000000-0005-0000-0000-0000093C0000}"/>
    <cellStyle name="Comma 2 4 3 2 8 3 3 2" xfId="40800" xr:uid="{00000000-0005-0000-0000-00000A3C0000}"/>
    <cellStyle name="Comma 2 4 3 2 8 3 4" xfId="32234" xr:uid="{00000000-0005-0000-0000-00000B3C0000}"/>
    <cellStyle name="Comma 2 4 3 2 8 3 5" xfId="34376" xr:uid="{00000000-0005-0000-0000-00000C3C0000}"/>
    <cellStyle name="Comma 2 4 3 2 8 4" xfId="8381" xr:uid="{00000000-0005-0000-0000-00000D3C0000}"/>
    <cellStyle name="Comma 2 4 3 2 8 4 2" xfId="42989" xr:uid="{00000000-0005-0000-0000-00000E3C0000}"/>
    <cellStyle name="Comma 2 4 3 2 8 4 3" xfId="36565" xr:uid="{00000000-0005-0000-0000-00000F3C0000}"/>
    <cellStyle name="Comma 2 4 3 2 8 5" xfId="21370" xr:uid="{00000000-0005-0000-0000-0000103C0000}"/>
    <cellStyle name="Comma 2 4 3 2 8 5 2" xfId="39782" xr:uid="{00000000-0005-0000-0000-0000113C0000}"/>
    <cellStyle name="Comma 2 4 3 2 8 6" xfId="22443" xr:uid="{00000000-0005-0000-0000-0000123C0000}"/>
    <cellStyle name="Comma 2 4 3 2 8 7" xfId="23560" xr:uid="{00000000-0005-0000-0000-0000133C0000}"/>
    <cellStyle name="Comma 2 4 3 2 8 8" xfId="26765" xr:uid="{00000000-0005-0000-0000-0000143C0000}"/>
    <cellStyle name="Comma 2 4 3 2 8 9" xfId="30098" xr:uid="{00000000-0005-0000-0000-0000153C0000}"/>
    <cellStyle name="Comma 2 4 3 2 9" xfId="1135" xr:uid="{00000000-0005-0000-0000-0000163C0000}"/>
    <cellStyle name="Comma 2 4 3 2 9 10" xfId="33359" xr:uid="{00000000-0005-0000-0000-0000173C0000}"/>
    <cellStyle name="Comma 2 4 3 2 9 2" xfId="9905" xr:uid="{00000000-0005-0000-0000-0000183C0000}"/>
    <cellStyle name="Comma 2 4 3 2 9 2 2" xfId="25705" xr:uid="{00000000-0005-0000-0000-0000193C0000}"/>
    <cellStyle name="Comma 2 4 3 2 9 2 2 2" xfId="45132" xr:uid="{00000000-0005-0000-0000-00001A3C0000}"/>
    <cellStyle name="Comma 2 4 3 2 9 2 2 3" xfId="38709" xr:uid="{00000000-0005-0000-0000-00001B3C0000}"/>
    <cellStyle name="Comma 2 4 3 2 9 2 3" xfId="27883" xr:uid="{00000000-0005-0000-0000-00001C3C0000}"/>
    <cellStyle name="Comma 2 4 3 2 9 2 3 2" xfId="41925" xr:uid="{00000000-0005-0000-0000-00001D3C0000}"/>
    <cellStyle name="Comma 2 4 3 2 9 2 4" xfId="31218" xr:uid="{00000000-0005-0000-0000-00001E3C0000}"/>
    <cellStyle name="Comma 2 4 3 2 9 2 5" xfId="35501" xr:uid="{00000000-0005-0000-0000-00001F3C0000}"/>
    <cellStyle name="Comma 2 4 3 2 9 3" xfId="15564" xr:uid="{00000000-0005-0000-0000-0000203C0000}"/>
    <cellStyle name="Comma 2 4 3 2 9 3 2" xfId="24579" xr:uid="{00000000-0005-0000-0000-0000213C0000}"/>
    <cellStyle name="Comma 2 4 3 2 9 3 2 2" xfId="44008" xr:uid="{00000000-0005-0000-0000-0000223C0000}"/>
    <cellStyle name="Comma 2 4 3 2 9 3 2 3" xfId="37585" xr:uid="{00000000-0005-0000-0000-0000233C0000}"/>
    <cellStyle name="Comma 2 4 3 2 9 3 3" xfId="28900" xr:uid="{00000000-0005-0000-0000-0000243C0000}"/>
    <cellStyle name="Comma 2 4 3 2 9 3 3 2" xfId="40801" xr:uid="{00000000-0005-0000-0000-0000253C0000}"/>
    <cellStyle name="Comma 2 4 3 2 9 3 4" xfId="32235" xr:uid="{00000000-0005-0000-0000-0000263C0000}"/>
    <cellStyle name="Comma 2 4 3 2 9 3 5" xfId="34377" xr:uid="{00000000-0005-0000-0000-0000273C0000}"/>
    <cellStyle name="Comma 2 4 3 2 9 4" xfId="8382" xr:uid="{00000000-0005-0000-0000-0000283C0000}"/>
    <cellStyle name="Comma 2 4 3 2 9 4 2" xfId="42990" xr:uid="{00000000-0005-0000-0000-0000293C0000}"/>
    <cellStyle name="Comma 2 4 3 2 9 4 3" xfId="36566" xr:uid="{00000000-0005-0000-0000-00002A3C0000}"/>
    <cellStyle name="Comma 2 4 3 2 9 5" xfId="21371" xr:uid="{00000000-0005-0000-0000-00002B3C0000}"/>
    <cellStyle name="Comma 2 4 3 2 9 5 2" xfId="39783" xr:uid="{00000000-0005-0000-0000-00002C3C0000}"/>
    <cellStyle name="Comma 2 4 3 2 9 6" xfId="22444" xr:uid="{00000000-0005-0000-0000-00002D3C0000}"/>
    <cellStyle name="Comma 2 4 3 2 9 7" xfId="23561" xr:uid="{00000000-0005-0000-0000-00002E3C0000}"/>
    <cellStyle name="Comma 2 4 3 2 9 8" xfId="26766" xr:uid="{00000000-0005-0000-0000-00002F3C0000}"/>
    <cellStyle name="Comma 2 4 3 2 9 9" xfId="30099" xr:uid="{00000000-0005-0000-0000-0000303C0000}"/>
    <cellStyle name="Comma 2 4 3 20" xfId="32832" xr:uid="{00000000-0005-0000-0000-0000313C0000}"/>
    <cellStyle name="Comma 2 4 3 3" xfId="219" xr:uid="{00000000-0005-0000-0000-0000323C0000}"/>
    <cellStyle name="Comma 2 4 3 3 10" xfId="15565" xr:uid="{00000000-0005-0000-0000-0000333C0000}"/>
    <cellStyle name="Comma 2 4 3 3 10 2" xfId="24580" xr:uid="{00000000-0005-0000-0000-0000343C0000}"/>
    <cellStyle name="Comma 2 4 3 3 10 2 2" xfId="44009" xr:uid="{00000000-0005-0000-0000-0000353C0000}"/>
    <cellStyle name="Comma 2 4 3 3 10 2 3" xfId="37586" xr:uid="{00000000-0005-0000-0000-0000363C0000}"/>
    <cellStyle name="Comma 2 4 3 3 10 3" xfId="28901" xr:uid="{00000000-0005-0000-0000-0000373C0000}"/>
    <cellStyle name="Comma 2 4 3 3 10 3 2" xfId="40802" xr:uid="{00000000-0005-0000-0000-0000383C0000}"/>
    <cellStyle name="Comma 2 4 3 3 10 4" xfId="32236" xr:uid="{00000000-0005-0000-0000-0000393C0000}"/>
    <cellStyle name="Comma 2 4 3 3 10 5" xfId="34378" xr:uid="{00000000-0005-0000-0000-00003A3C0000}"/>
    <cellStyle name="Comma 2 4 3 3 11" xfId="8383" xr:uid="{00000000-0005-0000-0000-00003B3C0000}"/>
    <cellStyle name="Comma 2 4 3 3 11 2" xfId="42434" xr:uid="{00000000-0005-0000-0000-00003C3C0000}"/>
    <cellStyle name="Comma 2 4 3 3 11 3" xfId="36010" xr:uid="{00000000-0005-0000-0000-00003D3C0000}"/>
    <cellStyle name="Comma 2 4 3 3 12" xfId="21372" xr:uid="{00000000-0005-0000-0000-00003E3C0000}"/>
    <cellStyle name="Comma 2 4 3 3 12 2" xfId="39227" xr:uid="{00000000-0005-0000-0000-00003F3C0000}"/>
    <cellStyle name="Comma 2 4 3 3 13" xfId="22445" xr:uid="{00000000-0005-0000-0000-0000403C0000}"/>
    <cellStyle name="Comma 2 4 3 3 14" xfId="23005" xr:uid="{00000000-0005-0000-0000-0000413C0000}"/>
    <cellStyle name="Comma 2 4 3 3 15" xfId="26767" xr:uid="{00000000-0005-0000-0000-0000423C0000}"/>
    <cellStyle name="Comma 2 4 3 3 16" xfId="30100" xr:uid="{00000000-0005-0000-0000-0000433C0000}"/>
    <cellStyle name="Comma 2 4 3 3 17" xfId="32803" xr:uid="{00000000-0005-0000-0000-0000443C0000}"/>
    <cellStyle name="Comma 2 4 3 3 2" xfId="210" xr:uid="{00000000-0005-0000-0000-0000453C0000}"/>
    <cellStyle name="Comma 2 4 3 3 2 10" xfId="21373" xr:uid="{00000000-0005-0000-0000-0000463C0000}"/>
    <cellStyle name="Comma 2 4 3 3 2 10 2" xfId="39221" xr:uid="{00000000-0005-0000-0000-0000473C0000}"/>
    <cellStyle name="Comma 2 4 3 3 2 11" xfId="22446" xr:uid="{00000000-0005-0000-0000-0000483C0000}"/>
    <cellStyle name="Comma 2 4 3 3 2 12" xfId="22999" xr:uid="{00000000-0005-0000-0000-0000493C0000}"/>
    <cellStyle name="Comma 2 4 3 3 2 13" xfId="26768" xr:uid="{00000000-0005-0000-0000-00004A3C0000}"/>
    <cellStyle name="Comma 2 4 3 3 2 14" xfId="30101" xr:uid="{00000000-0005-0000-0000-00004B3C0000}"/>
    <cellStyle name="Comma 2 4 3 3 2 15" xfId="32797" xr:uid="{00000000-0005-0000-0000-00004C3C0000}"/>
    <cellStyle name="Comma 2 4 3 3 2 2" xfId="1136" xr:uid="{00000000-0005-0000-0000-00004D3C0000}"/>
    <cellStyle name="Comma 2 4 3 3 2 2 10" xfId="33360" xr:uid="{00000000-0005-0000-0000-00004E3C0000}"/>
    <cellStyle name="Comma 2 4 3 3 2 2 2" xfId="9906" xr:uid="{00000000-0005-0000-0000-00004F3C0000}"/>
    <cellStyle name="Comma 2 4 3 3 2 2 2 2" xfId="25706" xr:uid="{00000000-0005-0000-0000-0000503C0000}"/>
    <cellStyle name="Comma 2 4 3 3 2 2 2 2 2" xfId="45133" xr:uid="{00000000-0005-0000-0000-0000513C0000}"/>
    <cellStyle name="Comma 2 4 3 3 2 2 2 2 3" xfId="38710" xr:uid="{00000000-0005-0000-0000-0000523C0000}"/>
    <cellStyle name="Comma 2 4 3 3 2 2 2 3" xfId="27884" xr:uid="{00000000-0005-0000-0000-0000533C0000}"/>
    <cellStyle name="Comma 2 4 3 3 2 2 2 3 2" xfId="41926" xr:uid="{00000000-0005-0000-0000-0000543C0000}"/>
    <cellStyle name="Comma 2 4 3 3 2 2 2 4" xfId="31219" xr:uid="{00000000-0005-0000-0000-0000553C0000}"/>
    <cellStyle name="Comma 2 4 3 3 2 2 2 5" xfId="35502" xr:uid="{00000000-0005-0000-0000-0000563C0000}"/>
    <cellStyle name="Comma 2 4 3 3 2 2 3" xfId="15567" xr:uid="{00000000-0005-0000-0000-0000573C0000}"/>
    <cellStyle name="Comma 2 4 3 3 2 2 3 2" xfId="24582" xr:uid="{00000000-0005-0000-0000-0000583C0000}"/>
    <cellStyle name="Comma 2 4 3 3 2 2 3 2 2" xfId="44011" xr:uid="{00000000-0005-0000-0000-0000593C0000}"/>
    <cellStyle name="Comma 2 4 3 3 2 2 3 2 3" xfId="37588" xr:uid="{00000000-0005-0000-0000-00005A3C0000}"/>
    <cellStyle name="Comma 2 4 3 3 2 2 3 3" xfId="28903" xr:uid="{00000000-0005-0000-0000-00005B3C0000}"/>
    <cellStyle name="Comma 2 4 3 3 2 2 3 3 2" xfId="40804" xr:uid="{00000000-0005-0000-0000-00005C3C0000}"/>
    <cellStyle name="Comma 2 4 3 3 2 2 3 4" xfId="32238" xr:uid="{00000000-0005-0000-0000-00005D3C0000}"/>
    <cellStyle name="Comma 2 4 3 3 2 2 3 5" xfId="34380" xr:uid="{00000000-0005-0000-0000-00005E3C0000}"/>
    <cellStyle name="Comma 2 4 3 3 2 2 4" xfId="8385" xr:uid="{00000000-0005-0000-0000-00005F3C0000}"/>
    <cellStyle name="Comma 2 4 3 3 2 2 4 2" xfId="42991" xr:uid="{00000000-0005-0000-0000-0000603C0000}"/>
    <cellStyle name="Comma 2 4 3 3 2 2 4 3" xfId="36567" xr:uid="{00000000-0005-0000-0000-0000613C0000}"/>
    <cellStyle name="Comma 2 4 3 3 2 2 5" xfId="21374" xr:uid="{00000000-0005-0000-0000-0000623C0000}"/>
    <cellStyle name="Comma 2 4 3 3 2 2 5 2" xfId="39784" xr:uid="{00000000-0005-0000-0000-0000633C0000}"/>
    <cellStyle name="Comma 2 4 3 3 2 2 6" xfId="22447" xr:uid="{00000000-0005-0000-0000-0000643C0000}"/>
    <cellStyle name="Comma 2 4 3 3 2 2 7" xfId="23562" xr:uid="{00000000-0005-0000-0000-0000653C0000}"/>
    <cellStyle name="Comma 2 4 3 3 2 2 8" xfId="26769" xr:uid="{00000000-0005-0000-0000-0000663C0000}"/>
    <cellStyle name="Comma 2 4 3 3 2 2 9" xfId="30102" xr:uid="{00000000-0005-0000-0000-0000673C0000}"/>
    <cellStyle name="Comma 2 4 3 3 2 3" xfId="1137" xr:uid="{00000000-0005-0000-0000-0000683C0000}"/>
    <cellStyle name="Comma 2 4 3 3 2 3 10" xfId="33361" xr:uid="{00000000-0005-0000-0000-0000693C0000}"/>
    <cellStyle name="Comma 2 4 3 3 2 3 2" xfId="9907" xr:uid="{00000000-0005-0000-0000-00006A3C0000}"/>
    <cellStyle name="Comma 2 4 3 3 2 3 2 2" xfId="25707" xr:uid="{00000000-0005-0000-0000-00006B3C0000}"/>
    <cellStyle name="Comma 2 4 3 3 2 3 2 2 2" xfId="45134" xr:uid="{00000000-0005-0000-0000-00006C3C0000}"/>
    <cellStyle name="Comma 2 4 3 3 2 3 2 2 3" xfId="38711" xr:uid="{00000000-0005-0000-0000-00006D3C0000}"/>
    <cellStyle name="Comma 2 4 3 3 2 3 2 3" xfId="27885" xr:uid="{00000000-0005-0000-0000-00006E3C0000}"/>
    <cellStyle name="Comma 2 4 3 3 2 3 2 3 2" xfId="41927" xr:uid="{00000000-0005-0000-0000-00006F3C0000}"/>
    <cellStyle name="Comma 2 4 3 3 2 3 2 4" xfId="31220" xr:uid="{00000000-0005-0000-0000-0000703C0000}"/>
    <cellStyle name="Comma 2 4 3 3 2 3 2 5" xfId="35503" xr:uid="{00000000-0005-0000-0000-0000713C0000}"/>
    <cellStyle name="Comma 2 4 3 3 2 3 3" xfId="15568" xr:uid="{00000000-0005-0000-0000-0000723C0000}"/>
    <cellStyle name="Comma 2 4 3 3 2 3 3 2" xfId="24583" xr:uid="{00000000-0005-0000-0000-0000733C0000}"/>
    <cellStyle name="Comma 2 4 3 3 2 3 3 2 2" xfId="44012" xr:uid="{00000000-0005-0000-0000-0000743C0000}"/>
    <cellStyle name="Comma 2 4 3 3 2 3 3 2 3" xfId="37589" xr:uid="{00000000-0005-0000-0000-0000753C0000}"/>
    <cellStyle name="Comma 2 4 3 3 2 3 3 3" xfId="28904" xr:uid="{00000000-0005-0000-0000-0000763C0000}"/>
    <cellStyle name="Comma 2 4 3 3 2 3 3 3 2" xfId="40805" xr:uid="{00000000-0005-0000-0000-0000773C0000}"/>
    <cellStyle name="Comma 2 4 3 3 2 3 3 4" xfId="32239" xr:uid="{00000000-0005-0000-0000-0000783C0000}"/>
    <cellStyle name="Comma 2 4 3 3 2 3 3 5" xfId="34381" xr:uid="{00000000-0005-0000-0000-0000793C0000}"/>
    <cellStyle name="Comma 2 4 3 3 2 3 4" xfId="8386" xr:uid="{00000000-0005-0000-0000-00007A3C0000}"/>
    <cellStyle name="Comma 2 4 3 3 2 3 4 2" xfId="42992" xr:uid="{00000000-0005-0000-0000-00007B3C0000}"/>
    <cellStyle name="Comma 2 4 3 3 2 3 4 3" xfId="36568" xr:uid="{00000000-0005-0000-0000-00007C3C0000}"/>
    <cellStyle name="Comma 2 4 3 3 2 3 5" xfId="21375" xr:uid="{00000000-0005-0000-0000-00007D3C0000}"/>
    <cellStyle name="Comma 2 4 3 3 2 3 5 2" xfId="39785" xr:uid="{00000000-0005-0000-0000-00007E3C0000}"/>
    <cellStyle name="Comma 2 4 3 3 2 3 6" xfId="22448" xr:uid="{00000000-0005-0000-0000-00007F3C0000}"/>
    <cellStyle name="Comma 2 4 3 3 2 3 7" xfId="23563" xr:uid="{00000000-0005-0000-0000-0000803C0000}"/>
    <cellStyle name="Comma 2 4 3 3 2 3 8" xfId="26770" xr:uid="{00000000-0005-0000-0000-0000813C0000}"/>
    <cellStyle name="Comma 2 4 3 3 2 3 9" xfId="30103" xr:uid="{00000000-0005-0000-0000-0000823C0000}"/>
    <cellStyle name="Comma 2 4 3 3 2 4" xfId="1138" xr:uid="{00000000-0005-0000-0000-0000833C0000}"/>
    <cellStyle name="Comma 2 4 3 3 2 4 10" xfId="33362" xr:uid="{00000000-0005-0000-0000-0000843C0000}"/>
    <cellStyle name="Comma 2 4 3 3 2 4 2" xfId="9908" xr:uid="{00000000-0005-0000-0000-0000853C0000}"/>
    <cellStyle name="Comma 2 4 3 3 2 4 2 2" xfId="25708" xr:uid="{00000000-0005-0000-0000-0000863C0000}"/>
    <cellStyle name="Comma 2 4 3 3 2 4 2 2 2" xfId="45135" xr:uid="{00000000-0005-0000-0000-0000873C0000}"/>
    <cellStyle name="Comma 2 4 3 3 2 4 2 2 3" xfId="38712" xr:uid="{00000000-0005-0000-0000-0000883C0000}"/>
    <cellStyle name="Comma 2 4 3 3 2 4 2 3" xfId="27886" xr:uid="{00000000-0005-0000-0000-0000893C0000}"/>
    <cellStyle name="Comma 2 4 3 3 2 4 2 3 2" xfId="41928" xr:uid="{00000000-0005-0000-0000-00008A3C0000}"/>
    <cellStyle name="Comma 2 4 3 3 2 4 2 4" xfId="31221" xr:uid="{00000000-0005-0000-0000-00008B3C0000}"/>
    <cellStyle name="Comma 2 4 3 3 2 4 2 5" xfId="35504" xr:uid="{00000000-0005-0000-0000-00008C3C0000}"/>
    <cellStyle name="Comma 2 4 3 3 2 4 3" xfId="15569" xr:uid="{00000000-0005-0000-0000-00008D3C0000}"/>
    <cellStyle name="Comma 2 4 3 3 2 4 3 2" xfId="24584" xr:uid="{00000000-0005-0000-0000-00008E3C0000}"/>
    <cellStyle name="Comma 2 4 3 3 2 4 3 2 2" xfId="44013" xr:uid="{00000000-0005-0000-0000-00008F3C0000}"/>
    <cellStyle name="Comma 2 4 3 3 2 4 3 2 3" xfId="37590" xr:uid="{00000000-0005-0000-0000-0000903C0000}"/>
    <cellStyle name="Comma 2 4 3 3 2 4 3 3" xfId="28905" xr:uid="{00000000-0005-0000-0000-0000913C0000}"/>
    <cellStyle name="Comma 2 4 3 3 2 4 3 3 2" xfId="40806" xr:uid="{00000000-0005-0000-0000-0000923C0000}"/>
    <cellStyle name="Comma 2 4 3 3 2 4 3 4" xfId="32240" xr:uid="{00000000-0005-0000-0000-0000933C0000}"/>
    <cellStyle name="Comma 2 4 3 3 2 4 3 5" xfId="34382" xr:uid="{00000000-0005-0000-0000-0000943C0000}"/>
    <cellStyle name="Comma 2 4 3 3 2 4 4" xfId="8387" xr:uid="{00000000-0005-0000-0000-0000953C0000}"/>
    <cellStyle name="Comma 2 4 3 3 2 4 4 2" xfId="42993" xr:uid="{00000000-0005-0000-0000-0000963C0000}"/>
    <cellStyle name="Comma 2 4 3 3 2 4 4 3" xfId="36569" xr:uid="{00000000-0005-0000-0000-0000973C0000}"/>
    <cellStyle name="Comma 2 4 3 3 2 4 5" xfId="21376" xr:uid="{00000000-0005-0000-0000-0000983C0000}"/>
    <cellStyle name="Comma 2 4 3 3 2 4 5 2" xfId="39786" xr:uid="{00000000-0005-0000-0000-0000993C0000}"/>
    <cellStyle name="Comma 2 4 3 3 2 4 6" xfId="22449" xr:uid="{00000000-0005-0000-0000-00009A3C0000}"/>
    <cellStyle name="Comma 2 4 3 3 2 4 7" xfId="23564" xr:uid="{00000000-0005-0000-0000-00009B3C0000}"/>
    <cellStyle name="Comma 2 4 3 3 2 4 8" xfId="26771" xr:uid="{00000000-0005-0000-0000-00009C3C0000}"/>
    <cellStyle name="Comma 2 4 3 3 2 4 9" xfId="30104" xr:uid="{00000000-0005-0000-0000-00009D3C0000}"/>
    <cellStyle name="Comma 2 4 3 3 2 5" xfId="1139" xr:uid="{00000000-0005-0000-0000-00009E3C0000}"/>
    <cellStyle name="Comma 2 4 3 3 2 5 10" xfId="33363" xr:uid="{00000000-0005-0000-0000-00009F3C0000}"/>
    <cellStyle name="Comma 2 4 3 3 2 5 2" xfId="9909" xr:uid="{00000000-0005-0000-0000-0000A03C0000}"/>
    <cellStyle name="Comma 2 4 3 3 2 5 2 2" xfId="25709" xr:uid="{00000000-0005-0000-0000-0000A13C0000}"/>
    <cellStyle name="Comma 2 4 3 3 2 5 2 2 2" xfId="45136" xr:uid="{00000000-0005-0000-0000-0000A23C0000}"/>
    <cellStyle name="Comma 2 4 3 3 2 5 2 2 3" xfId="38713" xr:uid="{00000000-0005-0000-0000-0000A33C0000}"/>
    <cellStyle name="Comma 2 4 3 3 2 5 2 3" xfId="27887" xr:uid="{00000000-0005-0000-0000-0000A43C0000}"/>
    <cellStyle name="Comma 2 4 3 3 2 5 2 3 2" xfId="41929" xr:uid="{00000000-0005-0000-0000-0000A53C0000}"/>
    <cellStyle name="Comma 2 4 3 3 2 5 2 4" xfId="31222" xr:uid="{00000000-0005-0000-0000-0000A63C0000}"/>
    <cellStyle name="Comma 2 4 3 3 2 5 2 5" xfId="35505" xr:uid="{00000000-0005-0000-0000-0000A73C0000}"/>
    <cellStyle name="Comma 2 4 3 3 2 5 3" xfId="15570" xr:uid="{00000000-0005-0000-0000-0000A83C0000}"/>
    <cellStyle name="Comma 2 4 3 3 2 5 3 2" xfId="24585" xr:uid="{00000000-0005-0000-0000-0000A93C0000}"/>
    <cellStyle name="Comma 2 4 3 3 2 5 3 2 2" xfId="44014" xr:uid="{00000000-0005-0000-0000-0000AA3C0000}"/>
    <cellStyle name="Comma 2 4 3 3 2 5 3 2 3" xfId="37591" xr:uid="{00000000-0005-0000-0000-0000AB3C0000}"/>
    <cellStyle name="Comma 2 4 3 3 2 5 3 3" xfId="28906" xr:uid="{00000000-0005-0000-0000-0000AC3C0000}"/>
    <cellStyle name="Comma 2 4 3 3 2 5 3 3 2" xfId="40807" xr:uid="{00000000-0005-0000-0000-0000AD3C0000}"/>
    <cellStyle name="Comma 2 4 3 3 2 5 3 4" xfId="32241" xr:uid="{00000000-0005-0000-0000-0000AE3C0000}"/>
    <cellStyle name="Comma 2 4 3 3 2 5 3 5" xfId="34383" xr:uid="{00000000-0005-0000-0000-0000AF3C0000}"/>
    <cellStyle name="Comma 2 4 3 3 2 5 4" xfId="8388" xr:uid="{00000000-0005-0000-0000-0000B03C0000}"/>
    <cellStyle name="Comma 2 4 3 3 2 5 4 2" xfId="42994" xr:uid="{00000000-0005-0000-0000-0000B13C0000}"/>
    <cellStyle name="Comma 2 4 3 3 2 5 4 3" xfId="36570" xr:uid="{00000000-0005-0000-0000-0000B23C0000}"/>
    <cellStyle name="Comma 2 4 3 3 2 5 5" xfId="21377" xr:uid="{00000000-0005-0000-0000-0000B33C0000}"/>
    <cellStyle name="Comma 2 4 3 3 2 5 5 2" xfId="39787" xr:uid="{00000000-0005-0000-0000-0000B43C0000}"/>
    <cellStyle name="Comma 2 4 3 3 2 5 6" xfId="22450" xr:uid="{00000000-0005-0000-0000-0000B53C0000}"/>
    <cellStyle name="Comma 2 4 3 3 2 5 7" xfId="23565" xr:uid="{00000000-0005-0000-0000-0000B63C0000}"/>
    <cellStyle name="Comma 2 4 3 3 2 5 8" xfId="26772" xr:uid="{00000000-0005-0000-0000-0000B73C0000}"/>
    <cellStyle name="Comma 2 4 3 3 2 5 9" xfId="30105" xr:uid="{00000000-0005-0000-0000-0000B83C0000}"/>
    <cellStyle name="Comma 2 4 3 3 2 6" xfId="1140" xr:uid="{00000000-0005-0000-0000-0000B93C0000}"/>
    <cellStyle name="Comma 2 4 3 3 2 6 10" xfId="33364" xr:uid="{00000000-0005-0000-0000-0000BA3C0000}"/>
    <cellStyle name="Comma 2 4 3 3 2 6 2" xfId="9910" xr:uid="{00000000-0005-0000-0000-0000BB3C0000}"/>
    <cellStyle name="Comma 2 4 3 3 2 6 2 2" xfId="25710" xr:uid="{00000000-0005-0000-0000-0000BC3C0000}"/>
    <cellStyle name="Comma 2 4 3 3 2 6 2 2 2" xfId="45137" xr:uid="{00000000-0005-0000-0000-0000BD3C0000}"/>
    <cellStyle name="Comma 2 4 3 3 2 6 2 2 3" xfId="38714" xr:uid="{00000000-0005-0000-0000-0000BE3C0000}"/>
    <cellStyle name="Comma 2 4 3 3 2 6 2 3" xfId="27888" xr:uid="{00000000-0005-0000-0000-0000BF3C0000}"/>
    <cellStyle name="Comma 2 4 3 3 2 6 2 3 2" xfId="41930" xr:uid="{00000000-0005-0000-0000-0000C03C0000}"/>
    <cellStyle name="Comma 2 4 3 3 2 6 2 4" xfId="31223" xr:uid="{00000000-0005-0000-0000-0000C13C0000}"/>
    <cellStyle name="Comma 2 4 3 3 2 6 2 5" xfId="35506" xr:uid="{00000000-0005-0000-0000-0000C23C0000}"/>
    <cellStyle name="Comma 2 4 3 3 2 6 3" xfId="15571" xr:uid="{00000000-0005-0000-0000-0000C33C0000}"/>
    <cellStyle name="Comma 2 4 3 3 2 6 3 2" xfId="24586" xr:uid="{00000000-0005-0000-0000-0000C43C0000}"/>
    <cellStyle name="Comma 2 4 3 3 2 6 3 2 2" xfId="44015" xr:uid="{00000000-0005-0000-0000-0000C53C0000}"/>
    <cellStyle name="Comma 2 4 3 3 2 6 3 2 3" xfId="37592" xr:uid="{00000000-0005-0000-0000-0000C63C0000}"/>
    <cellStyle name="Comma 2 4 3 3 2 6 3 3" xfId="28907" xr:uid="{00000000-0005-0000-0000-0000C73C0000}"/>
    <cellStyle name="Comma 2 4 3 3 2 6 3 3 2" xfId="40808" xr:uid="{00000000-0005-0000-0000-0000C83C0000}"/>
    <cellStyle name="Comma 2 4 3 3 2 6 3 4" xfId="32242" xr:uid="{00000000-0005-0000-0000-0000C93C0000}"/>
    <cellStyle name="Comma 2 4 3 3 2 6 3 5" xfId="34384" xr:uid="{00000000-0005-0000-0000-0000CA3C0000}"/>
    <cellStyle name="Comma 2 4 3 3 2 6 4" xfId="8389" xr:uid="{00000000-0005-0000-0000-0000CB3C0000}"/>
    <cellStyle name="Comma 2 4 3 3 2 6 4 2" xfId="42995" xr:uid="{00000000-0005-0000-0000-0000CC3C0000}"/>
    <cellStyle name="Comma 2 4 3 3 2 6 4 3" xfId="36571" xr:uid="{00000000-0005-0000-0000-0000CD3C0000}"/>
    <cellStyle name="Comma 2 4 3 3 2 6 5" xfId="21378" xr:uid="{00000000-0005-0000-0000-0000CE3C0000}"/>
    <cellStyle name="Comma 2 4 3 3 2 6 5 2" xfId="39788" xr:uid="{00000000-0005-0000-0000-0000CF3C0000}"/>
    <cellStyle name="Comma 2 4 3 3 2 6 6" xfId="22451" xr:uid="{00000000-0005-0000-0000-0000D03C0000}"/>
    <cellStyle name="Comma 2 4 3 3 2 6 7" xfId="23566" xr:uid="{00000000-0005-0000-0000-0000D13C0000}"/>
    <cellStyle name="Comma 2 4 3 3 2 6 8" xfId="26773" xr:uid="{00000000-0005-0000-0000-0000D23C0000}"/>
    <cellStyle name="Comma 2 4 3 3 2 6 9" xfId="30106" xr:uid="{00000000-0005-0000-0000-0000D33C0000}"/>
    <cellStyle name="Comma 2 4 3 3 2 7" xfId="9083" xr:uid="{00000000-0005-0000-0000-0000D43C0000}"/>
    <cellStyle name="Comma 2 4 3 3 2 7 2" xfId="25138" xr:uid="{00000000-0005-0000-0000-0000D53C0000}"/>
    <cellStyle name="Comma 2 4 3 3 2 7 2 2" xfId="44565" xr:uid="{00000000-0005-0000-0000-0000D63C0000}"/>
    <cellStyle name="Comma 2 4 3 3 2 7 2 3" xfId="38142" xr:uid="{00000000-0005-0000-0000-0000D73C0000}"/>
    <cellStyle name="Comma 2 4 3 3 2 7 3" xfId="27317" xr:uid="{00000000-0005-0000-0000-0000D83C0000}"/>
    <cellStyle name="Comma 2 4 3 3 2 7 3 2" xfId="41358" xr:uid="{00000000-0005-0000-0000-0000D93C0000}"/>
    <cellStyle name="Comma 2 4 3 3 2 7 4" xfId="30652" xr:uid="{00000000-0005-0000-0000-0000DA3C0000}"/>
    <cellStyle name="Comma 2 4 3 3 2 7 5" xfId="34934" xr:uid="{00000000-0005-0000-0000-0000DB3C0000}"/>
    <cellStyle name="Comma 2 4 3 3 2 8" xfId="15566" xr:uid="{00000000-0005-0000-0000-0000DC3C0000}"/>
    <cellStyle name="Comma 2 4 3 3 2 8 2" xfId="24581" xr:uid="{00000000-0005-0000-0000-0000DD3C0000}"/>
    <cellStyle name="Comma 2 4 3 3 2 8 2 2" xfId="44010" xr:uid="{00000000-0005-0000-0000-0000DE3C0000}"/>
    <cellStyle name="Comma 2 4 3 3 2 8 2 3" xfId="37587" xr:uid="{00000000-0005-0000-0000-0000DF3C0000}"/>
    <cellStyle name="Comma 2 4 3 3 2 8 3" xfId="28902" xr:uid="{00000000-0005-0000-0000-0000E03C0000}"/>
    <cellStyle name="Comma 2 4 3 3 2 8 3 2" xfId="40803" xr:uid="{00000000-0005-0000-0000-0000E13C0000}"/>
    <cellStyle name="Comma 2 4 3 3 2 8 4" xfId="32237" xr:uid="{00000000-0005-0000-0000-0000E23C0000}"/>
    <cellStyle name="Comma 2 4 3 3 2 8 5" xfId="34379" xr:uid="{00000000-0005-0000-0000-0000E33C0000}"/>
    <cellStyle name="Comma 2 4 3 3 2 9" xfId="8384" xr:uid="{00000000-0005-0000-0000-0000E43C0000}"/>
    <cellStyle name="Comma 2 4 3 3 2 9 2" xfId="42428" xr:uid="{00000000-0005-0000-0000-0000E53C0000}"/>
    <cellStyle name="Comma 2 4 3 3 2 9 3" xfId="36004" xr:uid="{00000000-0005-0000-0000-0000E63C0000}"/>
    <cellStyle name="Comma 2 4 3 3 3" xfId="1141" xr:uid="{00000000-0005-0000-0000-0000E73C0000}"/>
    <cellStyle name="Comma 2 4 3 3 3 10" xfId="22452" xr:uid="{00000000-0005-0000-0000-0000E83C0000}"/>
    <cellStyle name="Comma 2 4 3 3 3 11" xfId="23567" xr:uid="{00000000-0005-0000-0000-0000E93C0000}"/>
    <cellStyle name="Comma 2 4 3 3 3 12" xfId="26774" xr:uid="{00000000-0005-0000-0000-0000EA3C0000}"/>
    <cellStyle name="Comma 2 4 3 3 3 13" xfId="30107" xr:uid="{00000000-0005-0000-0000-0000EB3C0000}"/>
    <cellStyle name="Comma 2 4 3 3 3 14" xfId="33365" xr:uid="{00000000-0005-0000-0000-0000EC3C0000}"/>
    <cellStyle name="Comma 2 4 3 3 3 2" xfId="1142" xr:uid="{00000000-0005-0000-0000-0000ED3C0000}"/>
    <cellStyle name="Comma 2 4 3 3 3 2 10" xfId="33366" xr:uid="{00000000-0005-0000-0000-0000EE3C0000}"/>
    <cellStyle name="Comma 2 4 3 3 3 2 2" xfId="9912" xr:uid="{00000000-0005-0000-0000-0000EF3C0000}"/>
    <cellStyle name="Comma 2 4 3 3 3 2 2 2" xfId="25712" xr:uid="{00000000-0005-0000-0000-0000F03C0000}"/>
    <cellStyle name="Comma 2 4 3 3 3 2 2 2 2" xfId="45139" xr:uid="{00000000-0005-0000-0000-0000F13C0000}"/>
    <cellStyle name="Comma 2 4 3 3 3 2 2 2 3" xfId="38716" xr:uid="{00000000-0005-0000-0000-0000F23C0000}"/>
    <cellStyle name="Comma 2 4 3 3 3 2 2 3" xfId="27890" xr:uid="{00000000-0005-0000-0000-0000F33C0000}"/>
    <cellStyle name="Comma 2 4 3 3 3 2 2 3 2" xfId="41932" xr:uid="{00000000-0005-0000-0000-0000F43C0000}"/>
    <cellStyle name="Comma 2 4 3 3 3 2 2 4" xfId="31225" xr:uid="{00000000-0005-0000-0000-0000F53C0000}"/>
    <cellStyle name="Comma 2 4 3 3 3 2 2 5" xfId="35508" xr:uid="{00000000-0005-0000-0000-0000F63C0000}"/>
    <cellStyle name="Comma 2 4 3 3 3 2 3" xfId="15573" xr:uid="{00000000-0005-0000-0000-0000F73C0000}"/>
    <cellStyle name="Comma 2 4 3 3 3 2 3 2" xfId="24588" xr:uid="{00000000-0005-0000-0000-0000F83C0000}"/>
    <cellStyle name="Comma 2 4 3 3 3 2 3 2 2" xfId="44017" xr:uid="{00000000-0005-0000-0000-0000F93C0000}"/>
    <cellStyle name="Comma 2 4 3 3 3 2 3 2 3" xfId="37594" xr:uid="{00000000-0005-0000-0000-0000FA3C0000}"/>
    <cellStyle name="Comma 2 4 3 3 3 2 3 3" xfId="28909" xr:uid="{00000000-0005-0000-0000-0000FB3C0000}"/>
    <cellStyle name="Comma 2 4 3 3 3 2 3 3 2" xfId="40810" xr:uid="{00000000-0005-0000-0000-0000FC3C0000}"/>
    <cellStyle name="Comma 2 4 3 3 3 2 3 4" xfId="32244" xr:uid="{00000000-0005-0000-0000-0000FD3C0000}"/>
    <cellStyle name="Comma 2 4 3 3 3 2 3 5" xfId="34386" xr:uid="{00000000-0005-0000-0000-0000FE3C0000}"/>
    <cellStyle name="Comma 2 4 3 3 3 2 4" xfId="8391" xr:uid="{00000000-0005-0000-0000-0000FF3C0000}"/>
    <cellStyle name="Comma 2 4 3 3 3 2 4 2" xfId="42997" xr:uid="{00000000-0005-0000-0000-0000003D0000}"/>
    <cellStyle name="Comma 2 4 3 3 3 2 4 3" xfId="36573" xr:uid="{00000000-0005-0000-0000-0000013D0000}"/>
    <cellStyle name="Comma 2 4 3 3 3 2 5" xfId="21380" xr:uid="{00000000-0005-0000-0000-0000023D0000}"/>
    <cellStyle name="Comma 2 4 3 3 3 2 5 2" xfId="39790" xr:uid="{00000000-0005-0000-0000-0000033D0000}"/>
    <cellStyle name="Comma 2 4 3 3 3 2 6" xfId="22453" xr:uid="{00000000-0005-0000-0000-0000043D0000}"/>
    <cellStyle name="Comma 2 4 3 3 3 2 7" xfId="23568" xr:uid="{00000000-0005-0000-0000-0000053D0000}"/>
    <cellStyle name="Comma 2 4 3 3 3 2 8" xfId="26775" xr:uid="{00000000-0005-0000-0000-0000063D0000}"/>
    <cellStyle name="Comma 2 4 3 3 3 2 9" xfId="30108" xr:uid="{00000000-0005-0000-0000-0000073D0000}"/>
    <cellStyle name="Comma 2 4 3 3 3 3" xfId="1143" xr:uid="{00000000-0005-0000-0000-0000083D0000}"/>
    <cellStyle name="Comma 2 4 3 3 3 3 10" xfId="33367" xr:uid="{00000000-0005-0000-0000-0000093D0000}"/>
    <cellStyle name="Comma 2 4 3 3 3 3 2" xfId="9913" xr:uid="{00000000-0005-0000-0000-00000A3D0000}"/>
    <cellStyle name="Comma 2 4 3 3 3 3 2 2" xfId="25713" xr:uid="{00000000-0005-0000-0000-00000B3D0000}"/>
    <cellStyle name="Comma 2 4 3 3 3 3 2 2 2" xfId="45140" xr:uid="{00000000-0005-0000-0000-00000C3D0000}"/>
    <cellStyle name="Comma 2 4 3 3 3 3 2 2 3" xfId="38717" xr:uid="{00000000-0005-0000-0000-00000D3D0000}"/>
    <cellStyle name="Comma 2 4 3 3 3 3 2 3" xfId="27891" xr:uid="{00000000-0005-0000-0000-00000E3D0000}"/>
    <cellStyle name="Comma 2 4 3 3 3 3 2 3 2" xfId="41933" xr:uid="{00000000-0005-0000-0000-00000F3D0000}"/>
    <cellStyle name="Comma 2 4 3 3 3 3 2 4" xfId="31226" xr:uid="{00000000-0005-0000-0000-0000103D0000}"/>
    <cellStyle name="Comma 2 4 3 3 3 3 2 5" xfId="35509" xr:uid="{00000000-0005-0000-0000-0000113D0000}"/>
    <cellStyle name="Comma 2 4 3 3 3 3 3" xfId="15574" xr:uid="{00000000-0005-0000-0000-0000123D0000}"/>
    <cellStyle name="Comma 2 4 3 3 3 3 3 2" xfId="24589" xr:uid="{00000000-0005-0000-0000-0000133D0000}"/>
    <cellStyle name="Comma 2 4 3 3 3 3 3 2 2" xfId="44018" xr:uid="{00000000-0005-0000-0000-0000143D0000}"/>
    <cellStyle name="Comma 2 4 3 3 3 3 3 2 3" xfId="37595" xr:uid="{00000000-0005-0000-0000-0000153D0000}"/>
    <cellStyle name="Comma 2 4 3 3 3 3 3 3" xfId="28910" xr:uid="{00000000-0005-0000-0000-0000163D0000}"/>
    <cellStyle name="Comma 2 4 3 3 3 3 3 3 2" xfId="40811" xr:uid="{00000000-0005-0000-0000-0000173D0000}"/>
    <cellStyle name="Comma 2 4 3 3 3 3 3 4" xfId="32245" xr:uid="{00000000-0005-0000-0000-0000183D0000}"/>
    <cellStyle name="Comma 2 4 3 3 3 3 3 5" xfId="34387" xr:uid="{00000000-0005-0000-0000-0000193D0000}"/>
    <cellStyle name="Comma 2 4 3 3 3 3 4" xfId="8392" xr:uid="{00000000-0005-0000-0000-00001A3D0000}"/>
    <cellStyle name="Comma 2 4 3 3 3 3 4 2" xfId="42998" xr:uid="{00000000-0005-0000-0000-00001B3D0000}"/>
    <cellStyle name="Comma 2 4 3 3 3 3 4 3" xfId="36574" xr:uid="{00000000-0005-0000-0000-00001C3D0000}"/>
    <cellStyle name="Comma 2 4 3 3 3 3 5" xfId="21381" xr:uid="{00000000-0005-0000-0000-00001D3D0000}"/>
    <cellStyle name="Comma 2 4 3 3 3 3 5 2" xfId="39791" xr:uid="{00000000-0005-0000-0000-00001E3D0000}"/>
    <cellStyle name="Comma 2 4 3 3 3 3 6" xfId="22454" xr:uid="{00000000-0005-0000-0000-00001F3D0000}"/>
    <cellStyle name="Comma 2 4 3 3 3 3 7" xfId="23569" xr:uid="{00000000-0005-0000-0000-0000203D0000}"/>
    <cellStyle name="Comma 2 4 3 3 3 3 8" xfId="26776" xr:uid="{00000000-0005-0000-0000-0000213D0000}"/>
    <cellStyle name="Comma 2 4 3 3 3 3 9" xfId="30109" xr:uid="{00000000-0005-0000-0000-0000223D0000}"/>
    <cellStyle name="Comma 2 4 3 3 3 4" xfId="1144" xr:uid="{00000000-0005-0000-0000-0000233D0000}"/>
    <cellStyle name="Comma 2 4 3 3 3 4 10" xfId="33368" xr:uid="{00000000-0005-0000-0000-0000243D0000}"/>
    <cellStyle name="Comma 2 4 3 3 3 4 2" xfId="9914" xr:uid="{00000000-0005-0000-0000-0000253D0000}"/>
    <cellStyle name="Comma 2 4 3 3 3 4 2 2" xfId="25714" xr:uid="{00000000-0005-0000-0000-0000263D0000}"/>
    <cellStyle name="Comma 2 4 3 3 3 4 2 2 2" xfId="45141" xr:uid="{00000000-0005-0000-0000-0000273D0000}"/>
    <cellStyle name="Comma 2 4 3 3 3 4 2 2 3" xfId="38718" xr:uid="{00000000-0005-0000-0000-0000283D0000}"/>
    <cellStyle name="Comma 2 4 3 3 3 4 2 3" xfId="27892" xr:uid="{00000000-0005-0000-0000-0000293D0000}"/>
    <cellStyle name="Comma 2 4 3 3 3 4 2 3 2" xfId="41934" xr:uid="{00000000-0005-0000-0000-00002A3D0000}"/>
    <cellStyle name="Comma 2 4 3 3 3 4 2 4" xfId="31227" xr:uid="{00000000-0005-0000-0000-00002B3D0000}"/>
    <cellStyle name="Comma 2 4 3 3 3 4 2 5" xfId="35510" xr:uid="{00000000-0005-0000-0000-00002C3D0000}"/>
    <cellStyle name="Comma 2 4 3 3 3 4 3" xfId="15575" xr:uid="{00000000-0005-0000-0000-00002D3D0000}"/>
    <cellStyle name="Comma 2 4 3 3 3 4 3 2" xfId="24590" xr:uid="{00000000-0005-0000-0000-00002E3D0000}"/>
    <cellStyle name="Comma 2 4 3 3 3 4 3 2 2" xfId="44019" xr:uid="{00000000-0005-0000-0000-00002F3D0000}"/>
    <cellStyle name="Comma 2 4 3 3 3 4 3 2 3" xfId="37596" xr:uid="{00000000-0005-0000-0000-0000303D0000}"/>
    <cellStyle name="Comma 2 4 3 3 3 4 3 3" xfId="28911" xr:uid="{00000000-0005-0000-0000-0000313D0000}"/>
    <cellStyle name="Comma 2 4 3 3 3 4 3 3 2" xfId="40812" xr:uid="{00000000-0005-0000-0000-0000323D0000}"/>
    <cellStyle name="Comma 2 4 3 3 3 4 3 4" xfId="32246" xr:uid="{00000000-0005-0000-0000-0000333D0000}"/>
    <cellStyle name="Comma 2 4 3 3 3 4 3 5" xfId="34388" xr:uid="{00000000-0005-0000-0000-0000343D0000}"/>
    <cellStyle name="Comma 2 4 3 3 3 4 4" xfId="8393" xr:uid="{00000000-0005-0000-0000-0000353D0000}"/>
    <cellStyle name="Comma 2 4 3 3 3 4 4 2" xfId="42999" xr:uid="{00000000-0005-0000-0000-0000363D0000}"/>
    <cellStyle name="Comma 2 4 3 3 3 4 4 3" xfId="36575" xr:uid="{00000000-0005-0000-0000-0000373D0000}"/>
    <cellStyle name="Comma 2 4 3 3 3 4 5" xfId="21382" xr:uid="{00000000-0005-0000-0000-0000383D0000}"/>
    <cellStyle name="Comma 2 4 3 3 3 4 5 2" xfId="39792" xr:uid="{00000000-0005-0000-0000-0000393D0000}"/>
    <cellStyle name="Comma 2 4 3 3 3 4 6" xfId="22455" xr:uid="{00000000-0005-0000-0000-00003A3D0000}"/>
    <cellStyle name="Comma 2 4 3 3 3 4 7" xfId="23570" xr:uid="{00000000-0005-0000-0000-00003B3D0000}"/>
    <cellStyle name="Comma 2 4 3 3 3 4 8" xfId="26777" xr:uid="{00000000-0005-0000-0000-00003C3D0000}"/>
    <cellStyle name="Comma 2 4 3 3 3 4 9" xfId="30110" xr:uid="{00000000-0005-0000-0000-00003D3D0000}"/>
    <cellStyle name="Comma 2 4 3 3 3 5" xfId="1145" xr:uid="{00000000-0005-0000-0000-00003E3D0000}"/>
    <cellStyle name="Comma 2 4 3 3 3 5 10" xfId="33369" xr:uid="{00000000-0005-0000-0000-00003F3D0000}"/>
    <cellStyle name="Comma 2 4 3 3 3 5 2" xfId="9915" xr:uid="{00000000-0005-0000-0000-0000403D0000}"/>
    <cellStyle name="Comma 2 4 3 3 3 5 2 2" xfId="25715" xr:uid="{00000000-0005-0000-0000-0000413D0000}"/>
    <cellStyle name="Comma 2 4 3 3 3 5 2 2 2" xfId="45142" xr:uid="{00000000-0005-0000-0000-0000423D0000}"/>
    <cellStyle name="Comma 2 4 3 3 3 5 2 2 3" xfId="38719" xr:uid="{00000000-0005-0000-0000-0000433D0000}"/>
    <cellStyle name="Comma 2 4 3 3 3 5 2 3" xfId="27893" xr:uid="{00000000-0005-0000-0000-0000443D0000}"/>
    <cellStyle name="Comma 2 4 3 3 3 5 2 3 2" xfId="41935" xr:uid="{00000000-0005-0000-0000-0000453D0000}"/>
    <cellStyle name="Comma 2 4 3 3 3 5 2 4" xfId="31228" xr:uid="{00000000-0005-0000-0000-0000463D0000}"/>
    <cellStyle name="Comma 2 4 3 3 3 5 2 5" xfId="35511" xr:uid="{00000000-0005-0000-0000-0000473D0000}"/>
    <cellStyle name="Comma 2 4 3 3 3 5 3" xfId="15576" xr:uid="{00000000-0005-0000-0000-0000483D0000}"/>
    <cellStyle name="Comma 2 4 3 3 3 5 3 2" xfId="24591" xr:uid="{00000000-0005-0000-0000-0000493D0000}"/>
    <cellStyle name="Comma 2 4 3 3 3 5 3 2 2" xfId="44020" xr:uid="{00000000-0005-0000-0000-00004A3D0000}"/>
    <cellStyle name="Comma 2 4 3 3 3 5 3 2 3" xfId="37597" xr:uid="{00000000-0005-0000-0000-00004B3D0000}"/>
    <cellStyle name="Comma 2 4 3 3 3 5 3 3" xfId="28912" xr:uid="{00000000-0005-0000-0000-00004C3D0000}"/>
    <cellStyle name="Comma 2 4 3 3 3 5 3 3 2" xfId="40813" xr:uid="{00000000-0005-0000-0000-00004D3D0000}"/>
    <cellStyle name="Comma 2 4 3 3 3 5 3 4" xfId="32247" xr:uid="{00000000-0005-0000-0000-00004E3D0000}"/>
    <cellStyle name="Comma 2 4 3 3 3 5 3 5" xfId="34389" xr:uid="{00000000-0005-0000-0000-00004F3D0000}"/>
    <cellStyle name="Comma 2 4 3 3 3 5 4" xfId="8394" xr:uid="{00000000-0005-0000-0000-0000503D0000}"/>
    <cellStyle name="Comma 2 4 3 3 3 5 4 2" xfId="43000" xr:uid="{00000000-0005-0000-0000-0000513D0000}"/>
    <cellStyle name="Comma 2 4 3 3 3 5 4 3" xfId="36576" xr:uid="{00000000-0005-0000-0000-0000523D0000}"/>
    <cellStyle name="Comma 2 4 3 3 3 5 5" xfId="21383" xr:uid="{00000000-0005-0000-0000-0000533D0000}"/>
    <cellStyle name="Comma 2 4 3 3 3 5 5 2" xfId="39793" xr:uid="{00000000-0005-0000-0000-0000543D0000}"/>
    <cellStyle name="Comma 2 4 3 3 3 5 6" xfId="22456" xr:uid="{00000000-0005-0000-0000-0000553D0000}"/>
    <cellStyle name="Comma 2 4 3 3 3 5 7" xfId="23571" xr:uid="{00000000-0005-0000-0000-0000563D0000}"/>
    <cellStyle name="Comma 2 4 3 3 3 5 8" xfId="26778" xr:uid="{00000000-0005-0000-0000-0000573D0000}"/>
    <cellStyle name="Comma 2 4 3 3 3 5 9" xfId="30111" xr:uid="{00000000-0005-0000-0000-0000583D0000}"/>
    <cellStyle name="Comma 2 4 3 3 3 6" xfId="9911" xr:uid="{00000000-0005-0000-0000-0000593D0000}"/>
    <cellStyle name="Comma 2 4 3 3 3 6 2" xfId="25711" xr:uid="{00000000-0005-0000-0000-00005A3D0000}"/>
    <cellStyle name="Comma 2 4 3 3 3 6 2 2" xfId="45138" xr:uid="{00000000-0005-0000-0000-00005B3D0000}"/>
    <cellStyle name="Comma 2 4 3 3 3 6 2 3" xfId="38715" xr:uid="{00000000-0005-0000-0000-00005C3D0000}"/>
    <cellStyle name="Comma 2 4 3 3 3 6 3" xfId="27889" xr:uid="{00000000-0005-0000-0000-00005D3D0000}"/>
    <cellStyle name="Comma 2 4 3 3 3 6 3 2" xfId="41931" xr:uid="{00000000-0005-0000-0000-00005E3D0000}"/>
    <cellStyle name="Comma 2 4 3 3 3 6 4" xfId="31224" xr:uid="{00000000-0005-0000-0000-00005F3D0000}"/>
    <cellStyle name="Comma 2 4 3 3 3 6 5" xfId="35507" xr:uid="{00000000-0005-0000-0000-0000603D0000}"/>
    <cellStyle name="Comma 2 4 3 3 3 7" xfId="15572" xr:uid="{00000000-0005-0000-0000-0000613D0000}"/>
    <cellStyle name="Comma 2 4 3 3 3 7 2" xfId="24587" xr:uid="{00000000-0005-0000-0000-0000623D0000}"/>
    <cellStyle name="Comma 2 4 3 3 3 7 2 2" xfId="44016" xr:uid="{00000000-0005-0000-0000-0000633D0000}"/>
    <cellStyle name="Comma 2 4 3 3 3 7 2 3" xfId="37593" xr:uid="{00000000-0005-0000-0000-0000643D0000}"/>
    <cellStyle name="Comma 2 4 3 3 3 7 3" xfId="28908" xr:uid="{00000000-0005-0000-0000-0000653D0000}"/>
    <cellStyle name="Comma 2 4 3 3 3 7 3 2" xfId="40809" xr:uid="{00000000-0005-0000-0000-0000663D0000}"/>
    <cellStyle name="Comma 2 4 3 3 3 7 4" xfId="32243" xr:uid="{00000000-0005-0000-0000-0000673D0000}"/>
    <cellStyle name="Comma 2 4 3 3 3 7 5" xfId="34385" xr:uid="{00000000-0005-0000-0000-0000683D0000}"/>
    <cellStyle name="Comma 2 4 3 3 3 8" xfId="8390" xr:uid="{00000000-0005-0000-0000-0000693D0000}"/>
    <cellStyle name="Comma 2 4 3 3 3 8 2" xfId="42996" xr:uid="{00000000-0005-0000-0000-00006A3D0000}"/>
    <cellStyle name="Comma 2 4 3 3 3 8 3" xfId="36572" xr:uid="{00000000-0005-0000-0000-00006B3D0000}"/>
    <cellStyle name="Comma 2 4 3 3 3 9" xfId="21379" xr:uid="{00000000-0005-0000-0000-00006C3D0000}"/>
    <cellStyle name="Comma 2 4 3 3 3 9 2" xfId="39789" xr:uid="{00000000-0005-0000-0000-00006D3D0000}"/>
    <cellStyle name="Comma 2 4 3 3 4" xfId="1146" xr:uid="{00000000-0005-0000-0000-00006E3D0000}"/>
    <cellStyle name="Comma 2 4 3 3 4 10" xfId="33370" xr:uid="{00000000-0005-0000-0000-00006F3D0000}"/>
    <cellStyle name="Comma 2 4 3 3 4 2" xfId="9916" xr:uid="{00000000-0005-0000-0000-0000703D0000}"/>
    <cellStyle name="Comma 2 4 3 3 4 2 2" xfId="25716" xr:uid="{00000000-0005-0000-0000-0000713D0000}"/>
    <cellStyle name="Comma 2 4 3 3 4 2 2 2" xfId="45143" xr:uid="{00000000-0005-0000-0000-0000723D0000}"/>
    <cellStyle name="Comma 2 4 3 3 4 2 2 3" xfId="38720" xr:uid="{00000000-0005-0000-0000-0000733D0000}"/>
    <cellStyle name="Comma 2 4 3 3 4 2 3" xfId="27894" xr:uid="{00000000-0005-0000-0000-0000743D0000}"/>
    <cellStyle name="Comma 2 4 3 3 4 2 3 2" xfId="41936" xr:uid="{00000000-0005-0000-0000-0000753D0000}"/>
    <cellStyle name="Comma 2 4 3 3 4 2 4" xfId="31229" xr:uid="{00000000-0005-0000-0000-0000763D0000}"/>
    <cellStyle name="Comma 2 4 3 3 4 2 5" xfId="35512" xr:uid="{00000000-0005-0000-0000-0000773D0000}"/>
    <cellStyle name="Comma 2 4 3 3 4 3" xfId="15577" xr:uid="{00000000-0005-0000-0000-0000783D0000}"/>
    <cellStyle name="Comma 2 4 3 3 4 3 2" xfId="24592" xr:uid="{00000000-0005-0000-0000-0000793D0000}"/>
    <cellStyle name="Comma 2 4 3 3 4 3 2 2" xfId="44021" xr:uid="{00000000-0005-0000-0000-00007A3D0000}"/>
    <cellStyle name="Comma 2 4 3 3 4 3 2 3" xfId="37598" xr:uid="{00000000-0005-0000-0000-00007B3D0000}"/>
    <cellStyle name="Comma 2 4 3 3 4 3 3" xfId="28913" xr:uid="{00000000-0005-0000-0000-00007C3D0000}"/>
    <cellStyle name="Comma 2 4 3 3 4 3 3 2" xfId="40814" xr:uid="{00000000-0005-0000-0000-00007D3D0000}"/>
    <cellStyle name="Comma 2 4 3 3 4 3 4" xfId="32248" xr:uid="{00000000-0005-0000-0000-00007E3D0000}"/>
    <cellStyle name="Comma 2 4 3 3 4 3 5" xfId="34390" xr:uid="{00000000-0005-0000-0000-00007F3D0000}"/>
    <cellStyle name="Comma 2 4 3 3 4 4" xfId="8395" xr:uid="{00000000-0005-0000-0000-0000803D0000}"/>
    <cellStyle name="Comma 2 4 3 3 4 4 2" xfId="43001" xr:uid="{00000000-0005-0000-0000-0000813D0000}"/>
    <cellStyle name="Comma 2 4 3 3 4 4 3" xfId="36577" xr:uid="{00000000-0005-0000-0000-0000823D0000}"/>
    <cellStyle name="Comma 2 4 3 3 4 5" xfId="21384" xr:uid="{00000000-0005-0000-0000-0000833D0000}"/>
    <cellStyle name="Comma 2 4 3 3 4 5 2" xfId="39794" xr:uid="{00000000-0005-0000-0000-0000843D0000}"/>
    <cellStyle name="Comma 2 4 3 3 4 6" xfId="22457" xr:uid="{00000000-0005-0000-0000-0000853D0000}"/>
    <cellStyle name="Comma 2 4 3 3 4 7" xfId="23572" xr:uid="{00000000-0005-0000-0000-0000863D0000}"/>
    <cellStyle name="Comma 2 4 3 3 4 8" xfId="26779" xr:uid="{00000000-0005-0000-0000-0000873D0000}"/>
    <cellStyle name="Comma 2 4 3 3 4 9" xfId="30112" xr:uid="{00000000-0005-0000-0000-0000883D0000}"/>
    <cellStyle name="Comma 2 4 3 3 5" xfId="1147" xr:uid="{00000000-0005-0000-0000-0000893D0000}"/>
    <cellStyle name="Comma 2 4 3 3 5 10" xfId="33371" xr:uid="{00000000-0005-0000-0000-00008A3D0000}"/>
    <cellStyle name="Comma 2 4 3 3 5 2" xfId="9917" xr:uid="{00000000-0005-0000-0000-00008B3D0000}"/>
    <cellStyle name="Comma 2 4 3 3 5 2 2" xfId="25717" xr:uid="{00000000-0005-0000-0000-00008C3D0000}"/>
    <cellStyle name="Comma 2 4 3 3 5 2 2 2" xfId="45144" xr:uid="{00000000-0005-0000-0000-00008D3D0000}"/>
    <cellStyle name="Comma 2 4 3 3 5 2 2 3" xfId="38721" xr:uid="{00000000-0005-0000-0000-00008E3D0000}"/>
    <cellStyle name="Comma 2 4 3 3 5 2 3" xfId="27895" xr:uid="{00000000-0005-0000-0000-00008F3D0000}"/>
    <cellStyle name="Comma 2 4 3 3 5 2 3 2" xfId="41937" xr:uid="{00000000-0005-0000-0000-0000903D0000}"/>
    <cellStyle name="Comma 2 4 3 3 5 2 4" xfId="31230" xr:uid="{00000000-0005-0000-0000-0000913D0000}"/>
    <cellStyle name="Comma 2 4 3 3 5 2 5" xfId="35513" xr:uid="{00000000-0005-0000-0000-0000923D0000}"/>
    <cellStyle name="Comma 2 4 3 3 5 3" xfId="15578" xr:uid="{00000000-0005-0000-0000-0000933D0000}"/>
    <cellStyle name="Comma 2 4 3 3 5 3 2" xfId="24593" xr:uid="{00000000-0005-0000-0000-0000943D0000}"/>
    <cellStyle name="Comma 2 4 3 3 5 3 2 2" xfId="44022" xr:uid="{00000000-0005-0000-0000-0000953D0000}"/>
    <cellStyle name="Comma 2 4 3 3 5 3 2 3" xfId="37599" xr:uid="{00000000-0005-0000-0000-0000963D0000}"/>
    <cellStyle name="Comma 2 4 3 3 5 3 3" xfId="28914" xr:uid="{00000000-0005-0000-0000-0000973D0000}"/>
    <cellStyle name="Comma 2 4 3 3 5 3 3 2" xfId="40815" xr:uid="{00000000-0005-0000-0000-0000983D0000}"/>
    <cellStyle name="Comma 2 4 3 3 5 3 4" xfId="32249" xr:uid="{00000000-0005-0000-0000-0000993D0000}"/>
    <cellStyle name="Comma 2 4 3 3 5 3 5" xfId="34391" xr:uid="{00000000-0005-0000-0000-00009A3D0000}"/>
    <cellStyle name="Comma 2 4 3 3 5 4" xfId="8396" xr:uid="{00000000-0005-0000-0000-00009B3D0000}"/>
    <cellStyle name="Comma 2 4 3 3 5 4 2" xfId="43002" xr:uid="{00000000-0005-0000-0000-00009C3D0000}"/>
    <cellStyle name="Comma 2 4 3 3 5 4 3" xfId="36578" xr:uid="{00000000-0005-0000-0000-00009D3D0000}"/>
    <cellStyle name="Comma 2 4 3 3 5 5" xfId="21385" xr:uid="{00000000-0005-0000-0000-00009E3D0000}"/>
    <cellStyle name="Comma 2 4 3 3 5 5 2" xfId="39795" xr:uid="{00000000-0005-0000-0000-00009F3D0000}"/>
    <cellStyle name="Comma 2 4 3 3 5 6" xfId="22458" xr:uid="{00000000-0005-0000-0000-0000A03D0000}"/>
    <cellStyle name="Comma 2 4 3 3 5 7" xfId="23573" xr:uid="{00000000-0005-0000-0000-0000A13D0000}"/>
    <cellStyle name="Comma 2 4 3 3 5 8" xfId="26780" xr:uid="{00000000-0005-0000-0000-0000A23D0000}"/>
    <cellStyle name="Comma 2 4 3 3 5 9" xfId="30113" xr:uid="{00000000-0005-0000-0000-0000A33D0000}"/>
    <cellStyle name="Comma 2 4 3 3 6" xfId="1148" xr:uid="{00000000-0005-0000-0000-0000A43D0000}"/>
    <cellStyle name="Comma 2 4 3 3 6 10" xfId="33372" xr:uid="{00000000-0005-0000-0000-0000A53D0000}"/>
    <cellStyle name="Comma 2 4 3 3 6 2" xfId="9918" xr:uid="{00000000-0005-0000-0000-0000A63D0000}"/>
    <cellStyle name="Comma 2 4 3 3 6 2 2" xfId="25718" xr:uid="{00000000-0005-0000-0000-0000A73D0000}"/>
    <cellStyle name="Comma 2 4 3 3 6 2 2 2" xfId="45145" xr:uid="{00000000-0005-0000-0000-0000A83D0000}"/>
    <cellStyle name="Comma 2 4 3 3 6 2 2 3" xfId="38722" xr:uid="{00000000-0005-0000-0000-0000A93D0000}"/>
    <cellStyle name="Comma 2 4 3 3 6 2 3" xfId="27896" xr:uid="{00000000-0005-0000-0000-0000AA3D0000}"/>
    <cellStyle name="Comma 2 4 3 3 6 2 3 2" xfId="41938" xr:uid="{00000000-0005-0000-0000-0000AB3D0000}"/>
    <cellStyle name="Comma 2 4 3 3 6 2 4" xfId="31231" xr:uid="{00000000-0005-0000-0000-0000AC3D0000}"/>
    <cellStyle name="Comma 2 4 3 3 6 2 5" xfId="35514" xr:uid="{00000000-0005-0000-0000-0000AD3D0000}"/>
    <cellStyle name="Comma 2 4 3 3 6 3" xfId="15579" xr:uid="{00000000-0005-0000-0000-0000AE3D0000}"/>
    <cellStyle name="Comma 2 4 3 3 6 3 2" xfId="24594" xr:uid="{00000000-0005-0000-0000-0000AF3D0000}"/>
    <cellStyle name="Comma 2 4 3 3 6 3 2 2" xfId="44023" xr:uid="{00000000-0005-0000-0000-0000B03D0000}"/>
    <cellStyle name="Comma 2 4 3 3 6 3 2 3" xfId="37600" xr:uid="{00000000-0005-0000-0000-0000B13D0000}"/>
    <cellStyle name="Comma 2 4 3 3 6 3 3" xfId="28915" xr:uid="{00000000-0005-0000-0000-0000B23D0000}"/>
    <cellStyle name="Comma 2 4 3 3 6 3 3 2" xfId="40816" xr:uid="{00000000-0005-0000-0000-0000B33D0000}"/>
    <cellStyle name="Comma 2 4 3 3 6 3 4" xfId="32250" xr:uid="{00000000-0005-0000-0000-0000B43D0000}"/>
    <cellStyle name="Comma 2 4 3 3 6 3 5" xfId="34392" xr:uid="{00000000-0005-0000-0000-0000B53D0000}"/>
    <cellStyle name="Comma 2 4 3 3 6 4" xfId="8397" xr:uid="{00000000-0005-0000-0000-0000B63D0000}"/>
    <cellStyle name="Comma 2 4 3 3 6 4 2" xfId="43003" xr:uid="{00000000-0005-0000-0000-0000B73D0000}"/>
    <cellStyle name="Comma 2 4 3 3 6 4 3" xfId="36579" xr:uid="{00000000-0005-0000-0000-0000B83D0000}"/>
    <cellStyle name="Comma 2 4 3 3 6 5" xfId="21386" xr:uid="{00000000-0005-0000-0000-0000B93D0000}"/>
    <cellStyle name="Comma 2 4 3 3 6 5 2" xfId="39796" xr:uid="{00000000-0005-0000-0000-0000BA3D0000}"/>
    <cellStyle name="Comma 2 4 3 3 6 6" xfId="22459" xr:uid="{00000000-0005-0000-0000-0000BB3D0000}"/>
    <cellStyle name="Comma 2 4 3 3 6 7" xfId="23574" xr:uid="{00000000-0005-0000-0000-0000BC3D0000}"/>
    <cellStyle name="Comma 2 4 3 3 6 8" xfId="26781" xr:uid="{00000000-0005-0000-0000-0000BD3D0000}"/>
    <cellStyle name="Comma 2 4 3 3 6 9" xfId="30114" xr:uid="{00000000-0005-0000-0000-0000BE3D0000}"/>
    <cellStyle name="Comma 2 4 3 3 7" xfId="1149" xr:uid="{00000000-0005-0000-0000-0000BF3D0000}"/>
    <cellStyle name="Comma 2 4 3 3 7 10" xfId="33373" xr:uid="{00000000-0005-0000-0000-0000C03D0000}"/>
    <cellStyle name="Comma 2 4 3 3 7 2" xfId="9919" xr:uid="{00000000-0005-0000-0000-0000C13D0000}"/>
    <cellStyle name="Comma 2 4 3 3 7 2 2" xfId="25719" xr:uid="{00000000-0005-0000-0000-0000C23D0000}"/>
    <cellStyle name="Comma 2 4 3 3 7 2 2 2" xfId="45146" xr:uid="{00000000-0005-0000-0000-0000C33D0000}"/>
    <cellStyle name="Comma 2 4 3 3 7 2 2 3" xfId="38723" xr:uid="{00000000-0005-0000-0000-0000C43D0000}"/>
    <cellStyle name="Comma 2 4 3 3 7 2 3" xfId="27897" xr:uid="{00000000-0005-0000-0000-0000C53D0000}"/>
    <cellStyle name="Comma 2 4 3 3 7 2 3 2" xfId="41939" xr:uid="{00000000-0005-0000-0000-0000C63D0000}"/>
    <cellStyle name="Comma 2 4 3 3 7 2 4" xfId="31232" xr:uid="{00000000-0005-0000-0000-0000C73D0000}"/>
    <cellStyle name="Comma 2 4 3 3 7 2 5" xfId="35515" xr:uid="{00000000-0005-0000-0000-0000C83D0000}"/>
    <cellStyle name="Comma 2 4 3 3 7 3" xfId="15580" xr:uid="{00000000-0005-0000-0000-0000C93D0000}"/>
    <cellStyle name="Comma 2 4 3 3 7 3 2" xfId="24595" xr:uid="{00000000-0005-0000-0000-0000CA3D0000}"/>
    <cellStyle name="Comma 2 4 3 3 7 3 2 2" xfId="44024" xr:uid="{00000000-0005-0000-0000-0000CB3D0000}"/>
    <cellStyle name="Comma 2 4 3 3 7 3 2 3" xfId="37601" xr:uid="{00000000-0005-0000-0000-0000CC3D0000}"/>
    <cellStyle name="Comma 2 4 3 3 7 3 3" xfId="28916" xr:uid="{00000000-0005-0000-0000-0000CD3D0000}"/>
    <cellStyle name="Comma 2 4 3 3 7 3 3 2" xfId="40817" xr:uid="{00000000-0005-0000-0000-0000CE3D0000}"/>
    <cellStyle name="Comma 2 4 3 3 7 3 4" xfId="32251" xr:uid="{00000000-0005-0000-0000-0000CF3D0000}"/>
    <cellStyle name="Comma 2 4 3 3 7 3 5" xfId="34393" xr:uid="{00000000-0005-0000-0000-0000D03D0000}"/>
    <cellStyle name="Comma 2 4 3 3 7 4" xfId="8398" xr:uid="{00000000-0005-0000-0000-0000D13D0000}"/>
    <cellStyle name="Comma 2 4 3 3 7 4 2" xfId="43004" xr:uid="{00000000-0005-0000-0000-0000D23D0000}"/>
    <cellStyle name="Comma 2 4 3 3 7 4 3" xfId="36580" xr:uid="{00000000-0005-0000-0000-0000D33D0000}"/>
    <cellStyle name="Comma 2 4 3 3 7 5" xfId="21387" xr:uid="{00000000-0005-0000-0000-0000D43D0000}"/>
    <cellStyle name="Comma 2 4 3 3 7 5 2" xfId="39797" xr:uid="{00000000-0005-0000-0000-0000D53D0000}"/>
    <cellStyle name="Comma 2 4 3 3 7 6" xfId="22460" xr:uid="{00000000-0005-0000-0000-0000D63D0000}"/>
    <cellStyle name="Comma 2 4 3 3 7 7" xfId="23575" xr:uid="{00000000-0005-0000-0000-0000D73D0000}"/>
    <cellStyle name="Comma 2 4 3 3 7 8" xfId="26782" xr:uid="{00000000-0005-0000-0000-0000D83D0000}"/>
    <cellStyle name="Comma 2 4 3 3 7 9" xfId="30115" xr:uid="{00000000-0005-0000-0000-0000D93D0000}"/>
    <cellStyle name="Comma 2 4 3 3 8" xfId="1150" xr:uid="{00000000-0005-0000-0000-0000DA3D0000}"/>
    <cellStyle name="Comma 2 4 3 3 8 10" xfId="33374" xr:uid="{00000000-0005-0000-0000-0000DB3D0000}"/>
    <cellStyle name="Comma 2 4 3 3 8 2" xfId="9920" xr:uid="{00000000-0005-0000-0000-0000DC3D0000}"/>
    <cellStyle name="Comma 2 4 3 3 8 2 2" xfId="25720" xr:uid="{00000000-0005-0000-0000-0000DD3D0000}"/>
    <cellStyle name="Comma 2 4 3 3 8 2 2 2" xfId="45147" xr:uid="{00000000-0005-0000-0000-0000DE3D0000}"/>
    <cellStyle name="Comma 2 4 3 3 8 2 2 3" xfId="38724" xr:uid="{00000000-0005-0000-0000-0000DF3D0000}"/>
    <cellStyle name="Comma 2 4 3 3 8 2 3" xfId="27898" xr:uid="{00000000-0005-0000-0000-0000E03D0000}"/>
    <cellStyle name="Comma 2 4 3 3 8 2 3 2" xfId="41940" xr:uid="{00000000-0005-0000-0000-0000E13D0000}"/>
    <cellStyle name="Comma 2 4 3 3 8 2 4" xfId="31233" xr:uid="{00000000-0005-0000-0000-0000E23D0000}"/>
    <cellStyle name="Comma 2 4 3 3 8 2 5" xfId="35516" xr:uid="{00000000-0005-0000-0000-0000E33D0000}"/>
    <cellStyle name="Comma 2 4 3 3 8 3" xfId="15581" xr:uid="{00000000-0005-0000-0000-0000E43D0000}"/>
    <cellStyle name="Comma 2 4 3 3 8 3 2" xfId="24596" xr:uid="{00000000-0005-0000-0000-0000E53D0000}"/>
    <cellStyle name="Comma 2 4 3 3 8 3 2 2" xfId="44025" xr:uid="{00000000-0005-0000-0000-0000E63D0000}"/>
    <cellStyle name="Comma 2 4 3 3 8 3 2 3" xfId="37602" xr:uid="{00000000-0005-0000-0000-0000E73D0000}"/>
    <cellStyle name="Comma 2 4 3 3 8 3 3" xfId="28917" xr:uid="{00000000-0005-0000-0000-0000E83D0000}"/>
    <cellStyle name="Comma 2 4 3 3 8 3 3 2" xfId="40818" xr:uid="{00000000-0005-0000-0000-0000E93D0000}"/>
    <cellStyle name="Comma 2 4 3 3 8 3 4" xfId="32252" xr:uid="{00000000-0005-0000-0000-0000EA3D0000}"/>
    <cellStyle name="Comma 2 4 3 3 8 3 5" xfId="34394" xr:uid="{00000000-0005-0000-0000-0000EB3D0000}"/>
    <cellStyle name="Comma 2 4 3 3 8 4" xfId="8399" xr:uid="{00000000-0005-0000-0000-0000EC3D0000}"/>
    <cellStyle name="Comma 2 4 3 3 8 4 2" xfId="43005" xr:uid="{00000000-0005-0000-0000-0000ED3D0000}"/>
    <cellStyle name="Comma 2 4 3 3 8 4 3" xfId="36581" xr:uid="{00000000-0005-0000-0000-0000EE3D0000}"/>
    <cellStyle name="Comma 2 4 3 3 8 5" xfId="21388" xr:uid="{00000000-0005-0000-0000-0000EF3D0000}"/>
    <cellStyle name="Comma 2 4 3 3 8 5 2" xfId="39798" xr:uid="{00000000-0005-0000-0000-0000F03D0000}"/>
    <cellStyle name="Comma 2 4 3 3 8 6" xfId="22461" xr:uid="{00000000-0005-0000-0000-0000F13D0000}"/>
    <cellStyle name="Comma 2 4 3 3 8 7" xfId="23576" xr:uid="{00000000-0005-0000-0000-0000F23D0000}"/>
    <cellStyle name="Comma 2 4 3 3 8 8" xfId="26783" xr:uid="{00000000-0005-0000-0000-0000F33D0000}"/>
    <cellStyle name="Comma 2 4 3 3 8 9" xfId="30116" xr:uid="{00000000-0005-0000-0000-0000F43D0000}"/>
    <cellStyle name="Comma 2 4 3 3 9" xfId="9089" xr:uid="{00000000-0005-0000-0000-0000F53D0000}"/>
    <cellStyle name="Comma 2 4 3 3 9 2" xfId="25144" xr:uid="{00000000-0005-0000-0000-0000F63D0000}"/>
    <cellStyle name="Comma 2 4 3 3 9 2 2" xfId="44571" xr:uid="{00000000-0005-0000-0000-0000F73D0000}"/>
    <cellStyle name="Comma 2 4 3 3 9 2 3" xfId="38148" xr:uid="{00000000-0005-0000-0000-0000F83D0000}"/>
    <cellStyle name="Comma 2 4 3 3 9 3" xfId="27323" xr:uid="{00000000-0005-0000-0000-0000F93D0000}"/>
    <cellStyle name="Comma 2 4 3 3 9 3 2" xfId="41364" xr:uid="{00000000-0005-0000-0000-0000FA3D0000}"/>
    <cellStyle name="Comma 2 4 3 3 9 4" xfId="30658" xr:uid="{00000000-0005-0000-0000-0000FB3D0000}"/>
    <cellStyle name="Comma 2 4 3 3 9 5" xfId="34940" xr:uid="{00000000-0005-0000-0000-0000FC3D0000}"/>
    <cellStyle name="Comma 2 4 3 4" xfId="241" xr:uid="{00000000-0005-0000-0000-0000FD3D0000}"/>
    <cellStyle name="Comma 2 4 3 4 10" xfId="21389" xr:uid="{00000000-0005-0000-0000-0000FE3D0000}"/>
    <cellStyle name="Comma 2 4 3 4 10 2" xfId="39241" xr:uid="{00000000-0005-0000-0000-0000FF3D0000}"/>
    <cellStyle name="Comma 2 4 3 4 11" xfId="22462" xr:uid="{00000000-0005-0000-0000-0000003E0000}"/>
    <cellStyle name="Comma 2 4 3 4 12" xfId="23019" xr:uid="{00000000-0005-0000-0000-0000013E0000}"/>
    <cellStyle name="Comma 2 4 3 4 13" xfId="26784" xr:uid="{00000000-0005-0000-0000-0000023E0000}"/>
    <cellStyle name="Comma 2 4 3 4 14" xfId="30117" xr:uid="{00000000-0005-0000-0000-0000033E0000}"/>
    <cellStyle name="Comma 2 4 3 4 15" xfId="32817" xr:uid="{00000000-0005-0000-0000-0000043E0000}"/>
    <cellStyle name="Comma 2 4 3 4 2" xfId="1151" xr:uid="{00000000-0005-0000-0000-0000053E0000}"/>
    <cellStyle name="Comma 2 4 3 4 2 10" xfId="33375" xr:uid="{00000000-0005-0000-0000-0000063E0000}"/>
    <cellStyle name="Comma 2 4 3 4 2 2" xfId="9921" xr:uid="{00000000-0005-0000-0000-0000073E0000}"/>
    <cellStyle name="Comma 2 4 3 4 2 2 2" xfId="25721" xr:uid="{00000000-0005-0000-0000-0000083E0000}"/>
    <cellStyle name="Comma 2 4 3 4 2 2 2 2" xfId="45148" xr:uid="{00000000-0005-0000-0000-0000093E0000}"/>
    <cellStyle name="Comma 2 4 3 4 2 2 2 3" xfId="38725" xr:uid="{00000000-0005-0000-0000-00000A3E0000}"/>
    <cellStyle name="Comma 2 4 3 4 2 2 3" xfId="27899" xr:uid="{00000000-0005-0000-0000-00000B3E0000}"/>
    <cellStyle name="Comma 2 4 3 4 2 2 3 2" xfId="41941" xr:uid="{00000000-0005-0000-0000-00000C3E0000}"/>
    <cellStyle name="Comma 2 4 3 4 2 2 4" xfId="31234" xr:uid="{00000000-0005-0000-0000-00000D3E0000}"/>
    <cellStyle name="Comma 2 4 3 4 2 2 5" xfId="35517" xr:uid="{00000000-0005-0000-0000-00000E3E0000}"/>
    <cellStyle name="Comma 2 4 3 4 2 3" xfId="15583" xr:uid="{00000000-0005-0000-0000-00000F3E0000}"/>
    <cellStyle name="Comma 2 4 3 4 2 3 2" xfId="24598" xr:uid="{00000000-0005-0000-0000-0000103E0000}"/>
    <cellStyle name="Comma 2 4 3 4 2 3 2 2" xfId="44027" xr:uid="{00000000-0005-0000-0000-0000113E0000}"/>
    <cellStyle name="Comma 2 4 3 4 2 3 2 3" xfId="37604" xr:uid="{00000000-0005-0000-0000-0000123E0000}"/>
    <cellStyle name="Comma 2 4 3 4 2 3 3" xfId="28919" xr:uid="{00000000-0005-0000-0000-0000133E0000}"/>
    <cellStyle name="Comma 2 4 3 4 2 3 3 2" xfId="40820" xr:uid="{00000000-0005-0000-0000-0000143E0000}"/>
    <cellStyle name="Comma 2 4 3 4 2 3 4" xfId="32254" xr:uid="{00000000-0005-0000-0000-0000153E0000}"/>
    <cellStyle name="Comma 2 4 3 4 2 3 5" xfId="34396" xr:uid="{00000000-0005-0000-0000-0000163E0000}"/>
    <cellStyle name="Comma 2 4 3 4 2 4" xfId="8401" xr:uid="{00000000-0005-0000-0000-0000173E0000}"/>
    <cellStyle name="Comma 2 4 3 4 2 4 2" xfId="43006" xr:uid="{00000000-0005-0000-0000-0000183E0000}"/>
    <cellStyle name="Comma 2 4 3 4 2 4 3" xfId="36582" xr:uid="{00000000-0005-0000-0000-0000193E0000}"/>
    <cellStyle name="Comma 2 4 3 4 2 5" xfId="21390" xr:uid="{00000000-0005-0000-0000-00001A3E0000}"/>
    <cellStyle name="Comma 2 4 3 4 2 5 2" xfId="39799" xr:uid="{00000000-0005-0000-0000-00001B3E0000}"/>
    <cellStyle name="Comma 2 4 3 4 2 6" xfId="22463" xr:uid="{00000000-0005-0000-0000-00001C3E0000}"/>
    <cellStyle name="Comma 2 4 3 4 2 7" xfId="23577" xr:uid="{00000000-0005-0000-0000-00001D3E0000}"/>
    <cellStyle name="Comma 2 4 3 4 2 8" xfId="26785" xr:uid="{00000000-0005-0000-0000-00001E3E0000}"/>
    <cellStyle name="Comma 2 4 3 4 2 9" xfId="30118" xr:uid="{00000000-0005-0000-0000-00001F3E0000}"/>
    <cellStyle name="Comma 2 4 3 4 3" xfId="1152" xr:uid="{00000000-0005-0000-0000-0000203E0000}"/>
    <cellStyle name="Comma 2 4 3 4 3 10" xfId="33376" xr:uid="{00000000-0005-0000-0000-0000213E0000}"/>
    <cellStyle name="Comma 2 4 3 4 3 2" xfId="9922" xr:uid="{00000000-0005-0000-0000-0000223E0000}"/>
    <cellStyle name="Comma 2 4 3 4 3 2 2" xfId="25722" xr:uid="{00000000-0005-0000-0000-0000233E0000}"/>
    <cellStyle name="Comma 2 4 3 4 3 2 2 2" xfId="45149" xr:uid="{00000000-0005-0000-0000-0000243E0000}"/>
    <cellStyle name="Comma 2 4 3 4 3 2 2 3" xfId="38726" xr:uid="{00000000-0005-0000-0000-0000253E0000}"/>
    <cellStyle name="Comma 2 4 3 4 3 2 3" xfId="27900" xr:uid="{00000000-0005-0000-0000-0000263E0000}"/>
    <cellStyle name="Comma 2 4 3 4 3 2 3 2" xfId="41942" xr:uid="{00000000-0005-0000-0000-0000273E0000}"/>
    <cellStyle name="Comma 2 4 3 4 3 2 4" xfId="31235" xr:uid="{00000000-0005-0000-0000-0000283E0000}"/>
    <cellStyle name="Comma 2 4 3 4 3 2 5" xfId="35518" xr:uid="{00000000-0005-0000-0000-0000293E0000}"/>
    <cellStyle name="Comma 2 4 3 4 3 3" xfId="15584" xr:uid="{00000000-0005-0000-0000-00002A3E0000}"/>
    <cellStyle name="Comma 2 4 3 4 3 3 2" xfId="24599" xr:uid="{00000000-0005-0000-0000-00002B3E0000}"/>
    <cellStyle name="Comma 2 4 3 4 3 3 2 2" xfId="44028" xr:uid="{00000000-0005-0000-0000-00002C3E0000}"/>
    <cellStyle name="Comma 2 4 3 4 3 3 2 3" xfId="37605" xr:uid="{00000000-0005-0000-0000-00002D3E0000}"/>
    <cellStyle name="Comma 2 4 3 4 3 3 3" xfId="28920" xr:uid="{00000000-0005-0000-0000-00002E3E0000}"/>
    <cellStyle name="Comma 2 4 3 4 3 3 3 2" xfId="40821" xr:uid="{00000000-0005-0000-0000-00002F3E0000}"/>
    <cellStyle name="Comma 2 4 3 4 3 3 4" xfId="32255" xr:uid="{00000000-0005-0000-0000-0000303E0000}"/>
    <cellStyle name="Comma 2 4 3 4 3 3 5" xfId="34397" xr:uid="{00000000-0005-0000-0000-0000313E0000}"/>
    <cellStyle name="Comma 2 4 3 4 3 4" xfId="8402" xr:uid="{00000000-0005-0000-0000-0000323E0000}"/>
    <cellStyle name="Comma 2 4 3 4 3 4 2" xfId="43007" xr:uid="{00000000-0005-0000-0000-0000333E0000}"/>
    <cellStyle name="Comma 2 4 3 4 3 4 3" xfId="36583" xr:uid="{00000000-0005-0000-0000-0000343E0000}"/>
    <cellStyle name="Comma 2 4 3 4 3 5" xfId="21391" xr:uid="{00000000-0005-0000-0000-0000353E0000}"/>
    <cellStyle name="Comma 2 4 3 4 3 5 2" xfId="39800" xr:uid="{00000000-0005-0000-0000-0000363E0000}"/>
    <cellStyle name="Comma 2 4 3 4 3 6" xfId="22464" xr:uid="{00000000-0005-0000-0000-0000373E0000}"/>
    <cellStyle name="Comma 2 4 3 4 3 7" xfId="23578" xr:uid="{00000000-0005-0000-0000-0000383E0000}"/>
    <cellStyle name="Comma 2 4 3 4 3 8" xfId="26786" xr:uid="{00000000-0005-0000-0000-0000393E0000}"/>
    <cellStyle name="Comma 2 4 3 4 3 9" xfId="30119" xr:uid="{00000000-0005-0000-0000-00003A3E0000}"/>
    <cellStyle name="Comma 2 4 3 4 4" xfId="1153" xr:uid="{00000000-0005-0000-0000-00003B3E0000}"/>
    <cellStyle name="Comma 2 4 3 4 4 10" xfId="33377" xr:uid="{00000000-0005-0000-0000-00003C3E0000}"/>
    <cellStyle name="Comma 2 4 3 4 4 2" xfId="9923" xr:uid="{00000000-0005-0000-0000-00003D3E0000}"/>
    <cellStyle name="Comma 2 4 3 4 4 2 2" xfId="25723" xr:uid="{00000000-0005-0000-0000-00003E3E0000}"/>
    <cellStyle name="Comma 2 4 3 4 4 2 2 2" xfId="45150" xr:uid="{00000000-0005-0000-0000-00003F3E0000}"/>
    <cellStyle name="Comma 2 4 3 4 4 2 2 3" xfId="38727" xr:uid="{00000000-0005-0000-0000-0000403E0000}"/>
    <cellStyle name="Comma 2 4 3 4 4 2 3" xfId="27901" xr:uid="{00000000-0005-0000-0000-0000413E0000}"/>
    <cellStyle name="Comma 2 4 3 4 4 2 3 2" xfId="41943" xr:uid="{00000000-0005-0000-0000-0000423E0000}"/>
    <cellStyle name="Comma 2 4 3 4 4 2 4" xfId="31236" xr:uid="{00000000-0005-0000-0000-0000433E0000}"/>
    <cellStyle name="Comma 2 4 3 4 4 2 5" xfId="35519" xr:uid="{00000000-0005-0000-0000-0000443E0000}"/>
    <cellStyle name="Comma 2 4 3 4 4 3" xfId="15585" xr:uid="{00000000-0005-0000-0000-0000453E0000}"/>
    <cellStyle name="Comma 2 4 3 4 4 3 2" xfId="24600" xr:uid="{00000000-0005-0000-0000-0000463E0000}"/>
    <cellStyle name="Comma 2 4 3 4 4 3 2 2" xfId="44029" xr:uid="{00000000-0005-0000-0000-0000473E0000}"/>
    <cellStyle name="Comma 2 4 3 4 4 3 2 3" xfId="37606" xr:uid="{00000000-0005-0000-0000-0000483E0000}"/>
    <cellStyle name="Comma 2 4 3 4 4 3 3" xfId="28921" xr:uid="{00000000-0005-0000-0000-0000493E0000}"/>
    <cellStyle name="Comma 2 4 3 4 4 3 3 2" xfId="40822" xr:uid="{00000000-0005-0000-0000-00004A3E0000}"/>
    <cellStyle name="Comma 2 4 3 4 4 3 4" xfId="32256" xr:uid="{00000000-0005-0000-0000-00004B3E0000}"/>
    <cellStyle name="Comma 2 4 3 4 4 3 5" xfId="34398" xr:uid="{00000000-0005-0000-0000-00004C3E0000}"/>
    <cellStyle name="Comma 2 4 3 4 4 4" xfId="8403" xr:uid="{00000000-0005-0000-0000-00004D3E0000}"/>
    <cellStyle name="Comma 2 4 3 4 4 4 2" xfId="43008" xr:uid="{00000000-0005-0000-0000-00004E3E0000}"/>
    <cellStyle name="Comma 2 4 3 4 4 4 3" xfId="36584" xr:uid="{00000000-0005-0000-0000-00004F3E0000}"/>
    <cellStyle name="Comma 2 4 3 4 4 5" xfId="21392" xr:uid="{00000000-0005-0000-0000-0000503E0000}"/>
    <cellStyle name="Comma 2 4 3 4 4 5 2" xfId="39801" xr:uid="{00000000-0005-0000-0000-0000513E0000}"/>
    <cellStyle name="Comma 2 4 3 4 4 6" xfId="22465" xr:uid="{00000000-0005-0000-0000-0000523E0000}"/>
    <cellStyle name="Comma 2 4 3 4 4 7" xfId="23579" xr:uid="{00000000-0005-0000-0000-0000533E0000}"/>
    <cellStyle name="Comma 2 4 3 4 4 8" xfId="26787" xr:uid="{00000000-0005-0000-0000-0000543E0000}"/>
    <cellStyle name="Comma 2 4 3 4 4 9" xfId="30120" xr:uid="{00000000-0005-0000-0000-0000553E0000}"/>
    <cellStyle name="Comma 2 4 3 4 5" xfId="1154" xr:uid="{00000000-0005-0000-0000-0000563E0000}"/>
    <cellStyle name="Comma 2 4 3 4 5 10" xfId="33378" xr:uid="{00000000-0005-0000-0000-0000573E0000}"/>
    <cellStyle name="Comma 2 4 3 4 5 2" xfId="9924" xr:uid="{00000000-0005-0000-0000-0000583E0000}"/>
    <cellStyle name="Comma 2 4 3 4 5 2 2" xfId="25724" xr:uid="{00000000-0005-0000-0000-0000593E0000}"/>
    <cellStyle name="Comma 2 4 3 4 5 2 2 2" xfId="45151" xr:uid="{00000000-0005-0000-0000-00005A3E0000}"/>
    <cellStyle name="Comma 2 4 3 4 5 2 2 3" xfId="38728" xr:uid="{00000000-0005-0000-0000-00005B3E0000}"/>
    <cellStyle name="Comma 2 4 3 4 5 2 3" xfId="27902" xr:uid="{00000000-0005-0000-0000-00005C3E0000}"/>
    <cellStyle name="Comma 2 4 3 4 5 2 3 2" xfId="41944" xr:uid="{00000000-0005-0000-0000-00005D3E0000}"/>
    <cellStyle name="Comma 2 4 3 4 5 2 4" xfId="31237" xr:uid="{00000000-0005-0000-0000-00005E3E0000}"/>
    <cellStyle name="Comma 2 4 3 4 5 2 5" xfId="35520" xr:uid="{00000000-0005-0000-0000-00005F3E0000}"/>
    <cellStyle name="Comma 2 4 3 4 5 3" xfId="15586" xr:uid="{00000000-0005-0000-0000-0000603E0000}"/>
    <cellStyle name="Comma 2 4 3 4 5 3 2" xfId="24601" xr:uid="{00000000-0005-0000-0000-0000613E0000}"/>
    <cellStyle name="Comma 2 4 3 4 5 3 2 2" xfId="44030" xr:uid="{00000000-0005-0000-0000-0000623E0000}"/>
    <cellStyle name="Comma 2 4 3 4 5 3 2 3" xfId="37607" xr:uid="{00000000-0005-0000-0000-0000633E0000}"/>
    <cellStyle name="Comma 2 4 3 4 5 3 3" xfId="28922" xr:uid="{00000000-0005-0000-0000-0000643E0000}"/>
    <cellStyle name="Comma 2 4 3 4 5 3 3 2" xfId="40823" xr:uid="{00000000-0005-0000-0000-0000653E0000}"/>
    <cellStyle name="Comma 2 4 3 4 5 3 4" xfId="32257" xr:uid="{00000000-0005-0000-0000-0000663E0000}"/>
    <cellStyle name="Comma 2 4 3 4 5 3 5" xfId="34399" xr:uid="{00000000-0005-0000-0000-0000673E0000}"/>
    <cellStyle name="Comma 2 4 3 4 5 4" xfId="8404" xr:uid="{00000000-0005-0000-0000-0000683E0000}"/>
    <cellStyle name="Comma 2 4 3 4 5 4 2" xfId="43009" xr:uid="{00000000-0005-0000-0000-0000693E0000}"/>
    <cellStyle name="Comma 2 4 3 4 5 4 3" xfId="36585" xr:uid="{00000000-0005-0000-0000-00006A3E0000}"/>
    <cellStyle name="Comma 2 4 3 4 5 5" xfId="21393" xr:uid="{00000000-0005-0000-0000-00006B3E0000}"/>
    <cellStyle name="Comma 2 4 3 4 5 5 2" xfId="39802" xr:uid="{00000000-0005-0000-0000-00006C3E0000}"/>
    <cellStyle name="Comma 2 4 3 4 5 6" xfId="22466" xr:uid="{00000000-0005-0000-0000-00006D3E0000}"/>
    <cellStyle name="Comma 2 4 3 4 5 7" xfId="23580" xr:uid="{00000000-0005-0000-0000-00006E3E0000}"/>
    <cellStyle name="Comma 2 4 3 4 5 8" xfId="26788" xr:uid="{00000000-0005-0000-0000-00006F3E0000}"/>
    <cellStyle name="Comma 2 4 3 4 5 9" xfId="30121" xr:uid="{00000000-0005-0000-0000-0000703E0000}"/>
    <cellStyle name="Comma 2 4 3 4 6" xfId="1155" xr:uid="{00000000-0005-0000-0000-0000713E0000}"/>
    <cellStyle name="Comma 2 4 3 4 6 10" xfId="33379" xr:uid="{00000000-0005-0000-0000-0000723E0000}"/>
    <cellStyle name="Comma 2 4 3 4 6 2" xfId="9925" xr:uid="{00000000-0005-0000-0000-0000733E0000}"/>
    <cellStyle name="Comma 2 4 3 4 6 2 2" xfId="25725" xr:uid="{00000000-0005-0000-0000-0000743E0000}"/>
    <cellStyle name="Comma 2 4 3 4 6 2 2 2" xfId="45152" xr:uid="{00000000-0005-0000-0000-0000753E0000}"/>
    <cellStyle name="Comma 2 4 3 4 6 2 2 3" xfId="38729" xr:uid="{00000000-0005-0000-0000-0000763E0000}"/>
    <cellStyle name="Comma 2 4 3 4 6 2 3" xfId="27903" xr:uid="{00000000-0005-0000-0000-0000773E0000}"/>
    <cellStyle name="Comma 2 4 3 4 6 2 3 2" xfId="41945" xr:uid="{00000000-0005-0000-0000-0000783E0000}"/>
    <cellStyle name="Comma 2 4 3 4 6 2 4" xfId="31238" xr:uid="{00000000-0005-0000-0000-0000793E0000}"/>
    <cellStyle name="Comma 2 4 3 4 6 2 5" xfId="35521" xr:uid="{00000000-0005-0000-0000-00007A3E0000}"/>
    <cellStyle name="Comma 2 4 3 4 6 3" xfId="15587" xr:uid="{00000000-0005-0000-0000-00007B3E0000}"/>
    <cellStyle name="Comma 2 4 3 4 6 3 2" xfId="24602" xr:uid="{00000000-0005-0000-0000-00007C3E0000}"/>
    <cellStyle name="Comma 2 4 3 4 6 3 2 2" xfId="44031" xr:uid="{00000000-0005-0000-0000-00007D3E0000}"/>
    <cellStyle name="Comma 2 4 3 4 6 3 2 3" xfId="37608" xr:uid="{00000000-0005-0000-0000-00007E3E0000}"/>
    <cellStyle name="Comma 2 4 3 4 6 3 3" xfId="28923" xr:uid="{00000000-0005-0000-0000-00007F3E0000}"/>
    <cellStyle name="Comma 2 4 3 4 6 3 3 2" xfId="40824" xr:uid="{00000000-0005-0000-0000-0000803E0000}"/>
    <cellStyle name="Comma 2 4 3 4 6 3 4" xfId="32258" xr:uid="{00000000-0005-0000-0000-0000813E0000}"/>
    <cellStyle name="Comma 2 4 3 4 6 3 5" xfId="34400" xr:uid="{00000000-0005-0000-0000-0000823E0000}"/>
    <cellStyle name="Comma 2 4 3 4 6 4" xfId="8405" xr:uid="{00000000-0005-0000-0000-0000833E0000}"/>
    <cellStyle name="Comma 2 4 3 4 6 4 2" xfId="43010" xr:uid="{00000000-0005-0000-0000-0000843E0000}"/>
    <cellStyle name="Comma 2 4 3 4 6 4 3" xfId="36586" xr:uid="{00000000-0005-0000-0000-0000853E0000}"/>
    <cellStyle name="Comma 2 4 3 4 6 5" xfId="21394" xr:uid="{00000000-0005-0000-0000-0000863E0000}"/>
    <cellStyle name="Comma 2 4 3 4 6 5 2" xfId="39803" xr:uid="{00000000-0005-0000-0000-0000873E0000}"/>
    <cellStyle name="Comma 2 4 3 4 6 6" xfId="22467" xr:uid="{00000000-0005-0000-0000-0000883E0000}"/>
    <cellStyle name="Comma 2 4 3 4 6 7" xfId="23581" xr:uid="{00000000-0005-0000-0000-0000893E0000}"/>
    <cellStyle name="Comma 2 4 3 4 6 8" xfId="26789" xr:uid="{00000000-0005-0000-0000-00008A3E0000}"/>
    <cellStyle name="Comma 2 4 3 4 6 9" xfId="30122" xr:uid="{00000000-0005-0000-0000-00008B3E0000}"/>
    <cellStyle name="Comma 2 4 3 4 7" xfId="9104" xr:uid="{00000000-0005-0000-0000-00008C3E0000}"/>
    <cellStyle name="Comma 2 4 3 4 7 2" xfId="25158" xr:uid="{00000000-0005-0000-0000-00008D3E0000}"/>
    <cellStyle name="Comma 2 4 3 4 7 2 2" xfId="44585" xr:uid="{00000000-0005-0000-0000-00008E3E0000}"/>
    <cellStyle name="Comma 2 4 3 4 7 2 3" xfId="38162" xr:uid="{00000000-0005-0000-0000-00008F3E0000}"/>
    <cellStyle name="Comma 2 4 3 4 7 3" xfId="27337" xr:uid="{00000000-0005-0000-0000-0000903E0000}"/>
    <cellStyle name="Comma 2 4 3 4 7 3 2" xfId="41378" xr:uid="{00000000-0005-0000-0000-0000913E0000}"/>
    <cellStyle name="Comma 2 4 3 4 7 4" xfId="30672" xr:uid="{00000000-0005-0000-0000-0000923E0000}"/>
    <cellStyle name="Comma 2 4 3 4 7 5" xfId="34954" xr:uid="{00000000-0005-0000-0000-0000933E0000}"/>
    <cellStyle name="Comma 2 4 3 4 8" xfId="15582" xr:uid="{00000000-0005-0000-0000-0000943E0000}"/>
    <cellStyle name="Comma 2 4 3 4 8 2" xfId="24597" xr:uid="{00000000-0005-0000-0000-0000953E0000}"/>
    <cellStyle name="Comma 2 4 3 4 8 2 2" xfId="44026" xr:uid="{00000000-0005-0000-0000-0000963E0000}"/>
    <cellStyle name="Comma 2 4 3 4 8 2 3" xfId="37603" xr:uid="{00000000-0005-0000-0000-0000973E0000}"/>
    <cellStyle name="Comma 2 4 3 4 8 3" xfId="28918" xr:uid="{00000000-0005-0000-0000-0000983E0000}"/>
    <cellStyle name="Comma 2 4 3 4 8 3 2" xfId="40819" xr:uid="{00000000-0005-0000-0000-0000993E0000}"/>
    <cellStyle name="Comma 2 4 3 4 8 4" xfId="32253" xr:uid="{00000000-0005-0000-0000-00009A3E0000}"/>
    <cellStyle name="Comma 2 4 3 4 8 5" xfId="34395" xr:uid="{00000000-0005-0000-0000-00009B3E0000}"/>
    <cellStyle name="Comma 2 4 3 4 9" xfId="8400" xr:uid="{00000000-0005-0000-0000-00009C3E0000}"/>
    <cellStyle name="Comma 2 4 3 4 9 2" xfId="42448" xr:uid="{00000000-0005-0000-0000-00009D3E0000}"/>
    <cellStyle name="Comma 2 4 3 4 9 3" xfId="36024" xr:uid="{00000000-0005-0000-0000-00009E3E0000}"/>
    <cellStyle name="Comma 2 4 3 5" xfId="1156" xr:uid="{00000000-0005-0000-0000-00009F3E0000}"/>
    <cellStyle name="Comma 2 4 3 5 10" xfId="22468" xr:uid="{00000000-0005-0000-0000-0000A03E0000}"/>
    <cellStyle name="Comma 2 4 3 5 11" xfId="23582" xr:uid="{00000000-0005-0000-0000-0000A13E0000}"/>
    <cellStyle name="Comma 2 4 3 5 12" xfId="26790" xr:uid="{00000000-0005-0000-0000-0000A23E0000}"/>
    <cellStyle name="Comma 2 4 3 5 13" xfId="30123" xr:uid="{00000000-0005-0000-0000-0000A33E0000}"/>
    <cellStyle name="Comma 2 4 3 5 14" xfId="33380" xr:uid="{00000000-0005-0000-0000-0000A43E0000}"/>
    <cellStyle name="Comma 2 4 3 5 2" xfId="1157" xr:uid="{00000000-0005-0000-0000-0000A53E0000}"/>
    <cellStyle name="Comma 2 4 3 5 2 10" xfId="33381" xr:uid="{00000000-0005-0000-0000-0000A63E0000}"/>
    <cellStyle name="Comma 2 4 3 5 2 2" xfId="9927" xr:uid="{00000000-0005-0000-0000-0000A73E0000}"/>
    <cellStyle name="Comma 2 4 3 5 2 2 2" xfId="25727" xr:uid="{00000000-0005-0000-0000-0000A83E0000}"/>
    <cellStyle name="Comma 2 4 3 5 2 2 2 2" xfId="45154" xr:uid="{00000000-0005-0000-0000-0000A93E0000}"/>
    <cellStyle name="Comma 2 4 3 5 2 2 2 3" xfId="38731" xr:uid="{00000000-0005-0000-0000-0000AA3E0000}"/>
    <cellStyle name="Comma 2 4 3 5 2 2 3" xfId="27905" xr:uid="{00000000-0005-0000-0000-0000AB3E0000}"/>
    <cellStyle name="Comma 2 4 3 5 2 2 3 2" xfId="41947" xr:uid="{00000000-0005-0000-0000-0000AC3E0000}"/>
    <cellStyle name="Comma 2 4 3 5 2 2 4" xfId="31240" xr:uid="{00000000-0005-0000-0000-0000AD3E0000}"/>
    <cellStyle name="Comma 2 4 3 5 2 2 5" xfId="35523" xr:uid="{00000000-0005-0000-0000-0000AE3E0000}"/>
    <cellStyle name="Comma 2 4 3 5 2 3" xfId="15589" xr:uid="{00000000-0005-0000-0000-0000AF3E0000}"/>
    <cellStyle name="Comma 2 4 3 5 2 3 2" xfId="24604" xr:uid="{00000000-0005-0000-0000-0000B03E0000}"/>
    <cellStyle name="Comma 2 4 3 5 2 3 2 2" xfId="44033" xr:uid="{00000000-0005-0000-0000-0000B13E0000}"/>
    <cellStyle name="Comma 2 4 3 5 2 3 2 3" xfId="37610" xr:uid="{00000000-0005-0000-0000-0000B23E0000}"/>
    <cellStyle name="Comma 2 4 3 5 2 3 3" xfId="28925" xr:uid="{00000000-0005-0000-0000-0000B33E0000}"/>
    <cellStyle name="Comma 2 4 3 5 2 3 3 2" xfId="40826" xr:uid="{00000000-0005-0000-0000-0000B43E0000}"/>
    <cellStyle name="Comma 2 4 3 5 2 3 4" xfId="32260" xr:uid="{00000000-0005-0000-0000-0000B53E0000}"/>
    <cellStyle name="Comma 2 4 3 5 2 3 5" xfId="34402" xr:uid="{00000000-0005-0000-0000-0000B63E0000}"/>
    <cellStyle name="Comma 2 4 3 5 2 4" xfId="8407" xr:uid="{00000000-0005-0000-0000-0000B73E0000}"/>
    <cellStyle name="Comma 2 4 3 5 2 4 2" xfId="43012" xr:uid="{00000000-0005-0000-0000-0000B83E0000}"/>
    <cellStyle name="Comma 2 4 3 5 2 4 3" xfId="36588" xr:uid="{00000000-0005-0000-0000-0000B93E0000}"/>
    <cellStyle name="Comma 2 4 3 5 2 5" xfId="21396" xr:uid="{00000000-0005-0000-0000-0000BA3E0000}"/>
    <cellStyle name="Comma 2 4 3 5 2 5 2" xfId="39805" xr:uid="{00000000-0005-0000-0000-0000BB3E0000}"/>
    <cellStyle name="Comma 2 4 3 5 2 6" xfId="22469" xr:uid="{00000000-0005-0000-0000-0000BC3E0000}"/>
    <cellStyle name="Comma 2 4 3 5 2 7" xfId="23583" xr:uid="{00000000-0005-0000-0000-0000BD3E0000}"/>
    <cellStyle name="Comma 2 4 3 5 2 8" xfId="26791" xr:uid="{00000000-0005-0000-0000-0000BE3E0000}"/>
    <cellStyle name="Comma 2 4 3 5 2 9" xfId="30124" xr:uid="{00000000-0005-0000-0000-0000BF3E0000}"/>
    <cellStyle name="Comma 2 4 3 5 3" xfId="1158" xr:uid="{00000000-0005-0000-0000-0000C03E0000}"/>
    <cellStyle name="Comma 2 4 3 5 3 10" xfId="33382" xr:uid="{00000000-0005-0000-0000-0000C13E0000}"/>
    <cellStyle name="Comma 2 4 3 5 3 2" xfId="9928" xr:uid="{00000000-0005-0000-0000-0000C23E0000}"/>
    <cellStyle name="Comma 2 4 3 5 3 2 2" xfId="25728" xr:uid="{00000000-0005-0000-0000-0000C33E0000}"/>
    <cellStyle name="Comma 2 4 3 5 3 2 2 2" xfId="45155" xr:uid="{00000000-0005-0000-0000-0000C43E0000}"/>
    <cellStyle name="Comma 2 4 3 5 3 2 2 3" xfId="38732" xr:uid="{00000000-0005-0000-0000-0000C53E0000}"/>
    <cellStyle name="Comma 2 4 3 5 3 2 3" xfId="27906" xr:uid="{00000000-0005-0000-0000-0000C63E0000}"/>
    <cellStyle name="Comma 2 4 3 5 3 2 3 2" xfId="41948" xr:uid="{00000000-0005-0000-0000-0000C73E0000}"/>
    <cellStyle name="Comma 2 4 3 5 3 2 4" xfId="31241" xr:uid="{00000000-0005-0000-0000-0000C83E0000}"/>
    <cellStyle name="Comma 2 4 3 5 3 2 5" xfId="35524" xr:uid="{00000000-0005-0000-0000-0000C93E0000}"/>
    <cellStyle name="Comma 2 4 3 5 3 3" xfId="15590" xr:uid="{00000000-0005-0000-0000-0000CA3E0000}"/>
    <cellStyle name="Comma 2 4 3 5 3 3 2" xfId="24605" xr:uid="{00000000-0005-0000-0000-0000CB3E0000}"/>
    <cellStyle name="Comma 2 4 3 5 3 3 2 2" xfId="44034" xr:uid="{00000000-0005-0000-0000-0000CC3E0000}"/>
    <cellStyle name="Comma 2 4 3 5 3 3 2 3" xfId="37611" xr:uid="{00000000-0005-0000-0000-0000CD3E0000}"/>
    <cellStyle name="Comma 2 4 3 5 3 3 3" xfId="28926" xr:uid="{00000000-0005-0000-0000-0000CE3E0000}"/>
    <cellStyle name="Comma 2 4 3 5 3 3 3 2" xfId="40827" xr:uid="{00000000-0005-0000-0000-0000CF3E0000}"/>
    <cellStyle name="Comma 2 4 3 5 3 3 4" xfId="32261" xr:uid="{00000000-0005-0000-0000-0000D03E0000}"/>
    <cellStyle name="Comma 2 4 3 5 3 3 5" xfId="34403" xr:uid="{00000000-0005-0000-0000-0000D13E0000}"/>
    <cellStyle name="Comma 2 4 3 5 3 4" xfId="8408" xr:uid="{00000000-0005-0000-0000-0000D23E0000}"/>
    <cellStyle name="Comma 2 4 3 5 3 4 2" xfId="43013" xr:uid="{00000000-0005-0000-0000-0000D33E0000}"/>
    <cellStyle name="Comma 2 4 3 5 3 4 3" xfId="36589" xr:uid="{00000000-0005-0000-0000-0000D43E0000}"/>
    <cellStyle name="Comma 2 4 3 5 3 5" xfId="21397" xr:uid="{00000000-0005-0000-0000-0000D53E0000}"/>
    <cellStyle name="Comma 2 4 3 5 3 5 2" xfId="39806" xr:uid="{00000000-0005-0000-0000-0000D63E0000}"/>
    <cellStyle name="Comma 2 4 3 5 3 6" xfId="22470" xr:uid="{00000000-0005-0000-0000-0000D73E0000}"/>
    <cellStyle name="Comma 2 4 3 5 3 7" xfId="23584" xr:uid="{00000000-0005-0000-0000-0000D83E0000}"/>
    <cellStyle name="Comma 2 4 3 5 3 8" xfId="26792" xr:uid="{00000000-0005-0000-0000-0000D93E0000}"/>
    <cellStyle name="Comma 2 4 3 5 3 9" xfId="30125" xr:uid="{00000000-0005-0000-0000-0000DA3E0000}"/>
    <cellStyle name="Comma 2 4 3 5 4" xfId="1159" xr:uid="{00000000-0005-0000-0000-0000DB3E0000}"/>
    <cellStyle name="Comma 2 4 3 5 4 10" xfId="33383" xr:uid="{00000000-0005-0000-0000-0000DC3E0000}"/>
    <cellStyle name="Comma 2 4 3 5 4 2" xfId="9929" xr:uid="{00000000-0005-0000-0000-0000DD3E0000}"/>
    <cellStyle name="Comma 2 4 3 5 4 2 2" xfId="25729" xr:uid="{00000000-0005-0000-0000-0000DE3E0000}"/>
    <cellStyle name="Comma 2 4 3 5 4 2 2 2" xfId="45156" xr:uid="{00000000-0005-0000-0000-0000DF3E0000}"/>
    <cellStyle name="Comma 2 4 3 5 4 2 2 3" xfId="38733" xr:uid="{00000000-0005-0000-0000-0000E03E0000}"/>
    <cellStyle name="Comma 2 4 3 5 4 2 3" xfId="27907" xr:uid="{00000000-0005-0000-0000-0000E13E0000}"/>
    <cellStyle name="Comma 2 4 3 5 4 2 3 2" xfId="41949" xr:uid="{00000000-0005-0000-0000-0000E23E0000}"/>
    <cellStyle name="Comma 2 4 3 5 4 2 4" xfId="31242" xr:uid="{00000000-0005-0000-0000-0000E33E0000}"/>
    <cellStyle name="Comma 2 4 3 5 4 2 5" xfId="35525" xr:uid="{00000000-0005-0000-0000-0000E43E0000}"/>
    <cellStyle name="Comma 2 4 3 5 4 3" xfId="15591" xr:uid="{00000000-0005-0000-0000-0000E53E0000}"/>
    <cellStyle name="Comma 2 4 3 5 4 3 2" xfId="24606" xr:uid="{00000000-0005-0000-0000-0000E63E0000}"/>
    <cellStyle name="Comma 2 4 3 5 4 3 2 2" xfId="44035" xr:uid="{00000000-0005-0000-0000-0000E73E0000}"/>
    <cellStyle name="Comma 2 4 3 5 4 3 2 3" xfId="37612" xr:uid="{00000000-0005-0000-0000-0000E83E0000}"/>
    <cellStyle name="Comma 2 4 3 5 4 3 3" xfId="28927" xr:uid="{00000000-0005-0000-0000-0000E93E0000}"/>
    <cellStyle name="Comma 2 4 3 5 4 3 3 2" xfId="40828" xr:uid="{00000000-0005-0000-0000-0000EA3E0000}"/>
    <cellStyle name="Comma 2 4 3 5 4 3 4" xfId="32262" xr:uid="{00000000-0005-0000-0000-0000EB3E0000}"/>
    <cellStyle name="Comma 2 4 3 5 4 3 5" xfId="34404" xr:uid="{00000000-0005-0000-0000-0000EC3E0000}"/>
    <cellStyle name="Comma 2 4 3 5 4 4" xfId="8409" xr:uid="{00000000-0005-0000-0000-0000ED3E0000}"/>
    <cellStyle name="Comma 2 4 3 5 4 4 2" xfId="43014" xr:uid="{00000000-0005-0000-0000-0000EE3E0000}"/>
    <cellStyle name="Comma 2 4 3 5 4 4 3" xfId="36590" xr:uid="{00000000-0005-0000-0000-0000EF3E0000}"/>
    <cellStyle name="Comma 2 4 3 5 4 5" xfId="21398" xr:uid="{00000000-0005-0000-0000-0000F03E0000}"/>
    <cellStyle name="Comma 2 4 3 5 4 5 2" xfId="39807" xr:uid="{00000000-0005-0000-0000-0000F13E0000}"/>
    <cellStyle name="Comma 2 4 3 5 4 6" xfId="22471" xr:uid="{00000000-0005-0000-0000-0000F23E0000}"/>
    <cellStyle name="Comma 2 4 3 5 4 7" xfId="23585" xr:uid="{00000000-0005-0000-0000-0000F33E0000}"/>
    <cellStyle name="Comma 2 4 3 5 4 8" xfId="26793" xr:uid="{00000000-0005-0000-0000-0000F43E0000}"/>
    <cellStyle name="Comma 2 4 3 5 4 9" xfId="30126" xr:uid="{00000000-0005-0000-0000-0000F53E0000}"/>
    <cellStyle name="Comma 2 4 3 5 5" xfId="1160" xr:uid="{00000000-0005-0000-0000-0000F63E0000}"/>
    <cellStyle name="Comma 2 4 3 5 5 10" xfId="33384" xr:uid="{00000000-0005-0000-0000-0000F73E0000}"/>
    <cellStyle name="Comma 2 4 3 5 5 2" xfId="9930" xr:uid="{00000000-0005-0000-0000-0000F83E0000}"/>
    <cellStyle name="Comma 2 4 3 5 5 2 2" xfId="25730" xr:uid="{00000000-0005-0000-0000-0000F93E0000}"/>
    <cellStyle name="Comma 2 4 3 5 5 2 2 2" xfId="45157" xr:uid="{00000000-0005-0000-0000-0000FA3E0000}"/>
    <cellStyle name="Comma 2 4 3 5 5 2 2 3" xfId="38734" xr:uid="{00000000-0005-0000-0000-0000FB3E0000}"/>
    <cellStyle name="Comma 2 4 3 5 5 2 3" xfId="27908" xr:uid="{00000000-0005-0000-0000-0000FC3E0000}"/>
    <cellStyle name="Comma 2 4 3 5 5 2 3 2" xfId="41950" xr:uid="{00000000-0005-0000-0000-0000FD3E0000}"/>
    <cellStyle name="Comma 2 4 3 5 5 2 4" xfId="31243" xr:uid="{00000000-0005-0000-0000-0000FE3E0000}"/>
    <cellStyle name="Comma 2 4 3 5 5 2 5" xfId="35526" xr:uid="{00000000-0005-0000-0000-0000FF3E0000}"/>
    <cellStyle name="Comma 2 4 3 5 5 3" xfId="15592" xr:uid="{00000000-0005-0000-0000-0000003F0000}"/>
    <cellStyle name="Comma 2 4 3 5 5 3 2" xfId="24607" xr:uid="{00000000-0005-0000-0000-0000013F0000}"/>
    <cellStyle name="Comma 2 4 3 5 5 3 2 2" xfId="44036" xr:uid="{00000000-0005-0000-0000-0000023F0000}"/>
    <cellStyle name="Comma 2 4 3 5 5 3 2 3" xfId="37613" xr:uid="{00000000-0005-0000-0000-0000033F0000}"/>
    <cellStyle name="Comma 2 4 3 5 5 3 3" xfId="28928" xr:uid="{00000000-0005-0000-0000-0000043F0000}"/>
    <cellStyle name="Comma 2 4 3 5 5 3 3 2" xfId="40829" xr:uid="{00000000-0005-0000-0000-0000053F0000}"/>
    <cellStyle name="Comma 2 4 3 5 5 3 4" xfId="32263" xr:uid="{00000000-0005-0000-0000-0000063F0000}"/>
    <cellStyle name="Comma 2 4 3 5 5 3 5" xfId="34405" xr:uid="{00000000-0005-0000-0000-0000073F0000}"/>
    <cellStyle name="Comma 2 4 3 5 5 4" xfId="8410" xr:uid="{00000000-0005-0000-0000-0000083F0000}"/>
    <cellStyle name="Comma 2 4 3 5 5 4 2" xfId="43015" xr:uid="{00000000-0005-0000-0000-0000093F0000}"/>
    <cellStyle name="Comma 2 4 3 5 5 4 3" xfId="36591" xr:uid="{00000000-0005-0000-0000-00000A3F0000}"/>
    <cellStyle name="Comma 2 4 3 5 5 5" xfId="21399" xr:uid="{00000000-0005-0000-0000-00000B3F0000}"/>
    <cellStyle name="Comma 2 4 3 5 5 5 2" xfId="39808" xr:uid="{00000000-0005-0000-0000-00000C3F0000}"/>
    <cellStyle name="Comma 2 4 3 5 5 6" xfId="22472" xr:uid="{00000000-0005-0000-0000-00000D3F0000}"/>
    <cellStyle name="Comma 2 4 3 5 5 7" xfId="23586" xr:uid="{00000000-0005-0000-0000-00000E3F0000}"/>
    <cellStyle name="Comma 2 4 3 5 5 8" xfId="26794" xr:uid="{00000000-0005-0000-0000-00000F3F0000}"/>
    <cellStyle name="Comma 2 4 3 5 5 9" xfId="30127" xr:uid="{00000000-0005-0000-0000-0000103F0000}"/>
    <cellStyle name="Comma 2 4 3 5 6" xfId="9926" xr:uid="{00000000-0005-0000-0000-0000113F0000}"/>
    <cellStyle name="Comma 2 4 3 5 6 2" xfId="25726" xr:uid="{00000000-0005-0000-0000-0000123F0000}"/>
    <cellStyle name="Comma 2 4 3 5 6 2 2" xfId="45153" xr:uid="{00000000-0005-0000-0000-0000133F0000}"/>
    <cellStyle name="Comma 2 4 3 5 6 2 3" xfId="38730" xr:uid="{00000000-0005-0000-0000-0000143F0000}"/>
    <cellStyle name="Comma 2 4 3 5 6 3" xfId="27904" xr:uid="{00000000-0005-0000-0000-0000153F0000}"/>
    <cellStyle name="Comma 2 4 3 5 6 3 2" xfId="41946" xr:uid="{00000000-0005-0000-0000-0000163F0000}"/>
    <cellStyle name="Comma 2 4 3 5 6 4" xfId="31239" xr:uid="{00000000-0005-0000-0000-0000173F0000}"/>
    <cellStyle name="Comma 2 4 3 5 6 5" xfId="35522" xr:uid="{00000000-0005-0000-0000-0000183F0000}"/>
    <cellStyle name="Comma 2 4 3 5 7" xfId="15588" xr:uid="{00000000-0005-0000-0000-0000193F0000}"/>
    <cellStyle name="Comma 2 4 3 5 7 2" xfId="24603" xr:uid="{00000000-0005-0000-0000-00001A3F0000}"/>
    <cellStyle name="Comma 2 4 3 5 7 2 2" xfId="44032" xr:uid="{00000000-0005-0000-0000-00001B3F0000}"/>
    <cellStyle name="Comma 2 4 3 5 7 2 3" xfId="37609" xr:uid="{00000000-0005-0000-0000-00001C3F0000}"/>
    <cellStyle name="Comma 2 4 3 5 7 3" xfId="28924" xr:uid="{00000000-0005-0000-0000-00001D3F0000}"/>
    <cellStyle name="Comma 2 4 3 5 7 3 2" xfId="40825" xr:uid="{00000000-0005-0000-0000-00001E3F0000}"/>
    <cellStyle name="Comma 2 4 3 5 7 4" xfId="32259" xr:uid="{00000000-0005-0000-0000-00001F3F0000}"/>
    <cellStyle name="Comma 2 4 3 5 7 5" xfId="34401" xr:uid="{00000000-0005-0000-0000-0000203F0000}"/>
    <cellStyle name="Comma 2 4 3 5 8" xfId="8406" xr:uid="{00000000-0005-0000-0000-0000213F0000}"/>
    <cellStyle name="Comma 2 4 3 5 8 2" xfId="43011" xr:uid="{00000000-0005-0000-0000-0000223F0000}"/>
    <cellStyle name="Comma 2 4 3 5 8 3" xfId="36587" xr:uid="{00000000-0005-0000-0000-0000233F0000}"/>
    <cellStyle name="Comma 2 4 3 5 9" xfId="21395" xr:uid="{00000000-0005-0000-0000-0000243F0000}"/>
    <cellStyle name="Comma 2 4 3 5 9 2" xfId="39804" xr:uid="{00000000-0005-0000-0000-0000253F0000}"/>
    <cellStyle name="Comma 2 4 3 6" xfId="1161" xr:uid="{00000000-0005-0000-0000-0000263F0000}"/>
    <cellStyle name="Comma 2 4 3 6 10" xfId="22473" xr:uid="{00000000-0005-0000-0000-0000273F0000}"/>
    <cellStyle name="Comma 2 4 3 6 11" xfId="23587" xr:uid="{00000000-0005-0000-0000-0000283F0000}"/>
    <cellStyle name="Comma 2 4 3 6 12" xfId="26795" xr:uid="{00000000-0005-0000-0000-0000293F0000}"/>
    <cellStyle name="Comma 2 4 3 6 13" xfId="30128" xr:uid="{00000000-0005-0000-0000-00002A3F0000}"/>
    <cellStyle name="Comma 2 4 3 6 14" xfId="33385" xr:uid="{00000000-0005-0000-0000-00002B3F0000}"/>
    <cellStyle name="Comma 2 4 3 6 2" xfId="1162" xr:uid="{00000000-0005-0000-0000-00002C3F0000}"/>
    <cellStyle name="Comma 2 4 3 6 2 10" xfId="33386" xr:uid="{00000000-0005-0000-0000-00002D3F0000}"/>
    <cellStyle name="Comma 2 4 3 6 2 2" xfId="9932" xr:uid="{00000000-0005-0000-0000-00002E3F0000}"/>
    <cellStyle name="Comma 2 4 3 6 2 2 2" xfId="25732" xr:uid="{00000000-0005-0000-0000-00002F3F0000}"/>
    <cellStyle name="Comma 2 4 3 6 2 2 2 2" xfId="45159" xr:uid="{00000000-0005-0000-0000-0000303F0000}"/>
    <cellStyle name="Comma 2 4 3 6 2 2 2 3" xfId="38736" xr:uid="{00000000-0005-0000-0000-0000313F0000}"/>
    <cellStyle name="Comma 2 4 3 6 2 2 3" xfId="27910" xr:uid="{00000000-0005-0000-0000-0000323F0000}"/>
    <cellStyle name="Comma 2 4 3 6 2 2 3 2" xfId="41952" xr:uid="{00000000-0005-0000-0000-0000333F0000}"/>
    <cellStyle name="Comma 2 4 3 6 2 2 4" xfId="31245" xr:uid="{00000000-0005-0000-0000-0000343F0000}"/>
    <cellStyle name="Comma 2 4 3 6 2 2 5" xfId="35528" xr:uid="{00000000-0005-0000-0000-0000353F0000}"/>
    <cellStyle name="Comma 2 4 3 6 2 3" xfId="15594" xr:uid="{00000000-0005-0000-0000-0000363F0000}"/>
    <cellStyle name="Comma 2 4 3 6 2 3 2" xfId="24609" xr:uid="{00000000-0005-0000-0000-0000373F0000}"/>
    <cellStyle name="Comma 2 4 3 6 2 3 2 2" xfId="44038" xr:uid="{00000000-0005-0000-0000-0000383F0000}"/>
    <cellStyle name="Comma 2 4 3 6 2 3 2 3" xfId="37615" xr:uid="{00000000-0005-0000-0000-0000393F0000}"/>
    <cellStyle name="Comma 2 4 3 6 2 3 3" xfId="28930" xr:uid="{00000000-0005-0000-0000-00003A3F0000}"/>
    <cellStyle name="Comma 2 4 3 6 2 3 3 2" xfId="40831" xr:uid="{00000000-0005-0000-0000-00003B3F0000}"/>
    <cellStyle name="Comma 2 4 3 6 2 3 4" xfId="32265" xr:uid="{00000000-0005-0000-0000-00003C3F0000}"/>
    <cellStyle name="Comma 2 4 3 6 2 3 5" xfId="34407" xr:uid="{00000000-0005-0000-0000-00003D3F0000}"/>
    <cellStyle name="Comma 2 4 3 6 2 4" xfId="8412" xr:uid="{00000000-0005-0000-0000-00003E3F0000}"/>
    <cellStyle name="Comma 2 4 3 6 2 4 2" xfId="43017" xr:uid="{00000000-0005-0000-0000-00003F3F0000}"/>
    <cellStyle name="Comma 2 4 3 6 2 4 3" xfId="36593" xr:uid="{00000000-0005-0000-0000-0000403F0000}"/>
    <cellStyle name="Comma 2 4 3 6 2 5" xfId="21401" xr:uid="{00000000-0005-0000-0000-0000413F0000}"/>
    <cellStyle name="Comma 2 4 3 6 2 5 2" xfId="39810" xr:uid="{00000000-0005-0000-0000-0000423F0000}"/>
    <cellStyle name="Comma 2 4 3 6 2 6" xfId="22474" xr:uid="{00000000-0005-0000-0000-0000433F0000}"/>
    <cellStyle name="Comma 2 4 3 6 2 7" xfId="23588" xr:uid="{00000000-0005-0000-0000-0000443F0000}"/>
    <cellStyle name="Comma 2 4 3 6 2 8" xfId="26796" xr:uid="{00000000-0005-0000-0000-0000453F0000}"/>
    <cellStyle name="Comma 2 4 3 6 2 9" xfId="30129" xr:uid="{00000000-0005-0000-0000-0000463F0000}"/>
    <cellStyle name="Comma 2 4 3 6 3" xfId="1163" xr:uid="{00000000-0005-0000-0000-0000473F0000}"/>
    <cellStyle name="Comma 2 4 3 6 3 10" xfId="33387" xr:uid="{00000000-0005-0000-0000-0000483F0000}"/>
    <cellStyle name="Comma 2 4 3 6 3 2" xfId="9933" xr:uid="{00000000-0005-0000-0000-0000493F0000}"/>
    <cellStyle name="Comma 2 4 3 6 3 2 2" xfId="25733" xr:uid="{00000000-0005-0000-0000-00004A3F0000}"/>
    <cellStyle name="Comma 2 4 3 6 3 2 2 2" xfId="45160" xr:uid="{00000000-0005-0000-0000-00004B3F0000}"/>
    <cellStyle name="Comma 2 4 3 6 3 2 2 3" xfId="38737" xr:uid="{00000000-0005-0000-0000-00004C3F0000}"/>
    <cellStyle name="Comma 2 4 3 6 3 2 3" xfId="27911" xr:uid="{00000000-0005-0000-0000-00004D3F0000}"/>
    <cellStyle name="Comma 2 4 3 6 3 2 3 2" xfId="41953" xr:uid="{00000000-0005-0000-0000-00004E3F0000}"/>
    <cellStyle name="Comma 2 4 3 6 3 2 4" xfId="31246" xr:uid="{00000000-0005-0000-0000-00004F3F0000}"/>
    <cellStyle name="Comma 2 4 3 6 3 2 5" xfId="35529" xr:uid="{00000000-0005-0000-0000-0000503F0000}"/>
    <cellStyle name="Comma 2 4 3 6 3 3" xfId="15595" xr:uid="{00000000-0005-0000-0000-0000513F0000}"/>
    <cellStyle name="Comma 2 4 3 6 3 3 2" xfId="24610" xr:uid="{00000000-0005-0000-0000-0000523F0000}"/>
    <cellStyle name="Comma 2 4 3 6 3 3 2 2" xfId="44039" xr:uid="{00000000-0005-0000-0000-0000533F0000}"/>
    <cellStyle name="Comma 2 4 3 6 3 3 2 3" xfId="37616" xr:uid="{00000000-0005-0000-0000-0000543F0000}"/>
    <cellStyle name="Comma 2 4 3 6 3 3 3" xfId="28931" xr:uid="{00000000-0005-0000-0000-0000553F0000}"/>
    <cellStyle name="Comma 2 4 3 6 3 3 3 2" xfId="40832" xr:uid="{00000000-0005-0000-0000-0000563F0000}"/>
    <cellStyle name="Comma 2 4 3 6 3 3 4" xfId="32266" xr:uid="{00000000-0005-0000-0000-0000573F0000}"/>
    <cellStyle name="Comma 2 4 3 6 3 3 5" xfId="34408" xr:uid="{00000000-0005-0000-0000-0000583F0000}"/>
    <cellStyle name="Comma 2 4 3 6 3 4" xfId="8413" xr:uid="{00000000-0005-0000-0000-0000593F0000}"/>
    <cellStyle name="Comma 2 4 3 6 3 4 2" xfId="43018" xr:uid="{00000000-0005-0000-0000-00005A3F0000}"/>
    <cellStyle name="Comma 2 4 3 6 3 4 3" xfId="36594" xr:uid="{00000000-0005-0000-0000-00005B3F0000}"/>
    <cellStyle name="Comma 2 4 3 6 3 5" xfId="21402" xr:uid="{00000000-0005-0000-0000-00005C3F0000}"/>
    <cellStyle name="Comma 2 4 3 6 3 5 2" xfId="39811" xr:uid="{00000000-0005-0000-0000-00005D3F0000}"/>
    <cellStyle name="Comma 2 4 3 6 3 6" xfId="22475" xr:uid="{00000000-0005-0000-0000-00005E3F0000}"/>
    <cellStyle name="Comma 2 4 3 6 3 7" xfId="23589" xr:uid="{00000000-0005-0000-0000-00005F3F0000}"/>
    <cellStyle name="Comma 2 4 3 6 3 8" xfId="26797" xr:uid="{00000000-0005-0000-0000-0000603F0000}"/>
    <cellStyle name="Comma 2 4 3 6 3 9" xfId="30130" xr:uid="{00000000-0005-0000-0000-0000613F0000}"/>
    <cellStyle name="Comma 2 4 3 6 4" xfId="1164" xr:uid="{00000000-0005-0000-0000-0000623F0000}"/>
    <cellStyle name="Comma 2 4 3 6 4 10" xfId="33388" xr:uid="{00000000-0005-0000-0000-0000633F0000}"/>
    <cellStyle name="Comma 2 4 3 6 4 2" xfId="9934" xr:uid="{00000000-0005-0000-0000-0000643F0000}"/>
    <cellStyle name="Comma 2 4 3 6 4 2 2" xfId="25734" xr:uid="{00000000-0005-0000-0000-0000653F0000}"/>
    <cellStyle name="Comma 2 4 3 6 4 2 2 2" xfId="45161" xr:uid="{00000000-0005-0000-0000-0000663F0000}"/>
    <cellStyle name="Comma 2 4 3 6 4 2 2 3" xfId="38738" xr:uid="{00000000-0005-0000-0000-0000673F0000}"/>
    <cellStyle name="Comma 2 4 3 6 4 2 3" xfId="27912" xr:uid="{00000000-0005-0000-0000-0000683F0000}"/>
    <cellStyle name="Comma 2 4 3 6 4 2 3 2" xfId="41954" xr:uid="{00000000-0005-0000-0000-0000693F0000}"/>
    <cellStyle name="Comma 2 4 3 6 4 2 4" xfId="31247" xr:uid="{00000000-0005-0000-0000-00006A3F0000}"/>
    <cellStyle name="Comma 2 4 3 6 4 2 5" xfId="35530" xr:uid="{00000000-0005-0000-0000-00006B3F0000}"/>
    <cellStyle name="Comma 2 4 3 6 4 3" xfId="15596" xr:uid="{00000000-0005-0000-0000-00006C3F0000}"/>
    <cellStyle name="Comma 2 4 3 6 4 3 2" xfId="24611" xr:uid="{00000000-0005-0000-0000-00006D3F0000}"/>
    <cellStyle name="Comma 2 4 3 6 4 3 2 2" xfId="44040" xr:uid="{00000000-0005-0000-0000-00006E3F0000}"/>
    <cellStyle name="Comma 2 4 3 6 4 3 2 3" xfId="37617" xr:uid="{00000000-0005-0000-0000-00006F3F0000}"/>
    <cellStyle name="Comma 2 4 3 6 4 3 3" xfId="28932" xr:uid="{00000000-0005-0000-0000-0000703F0000}"/>
    <cellStyle name="Comma 2 4 3 6 4 3 3 2" xfId="40833" xr:uid="{00000000-0005-0000-0000-0000713F0000}"/>
    <cellStyle name="Comma 2 4 3 6 4 3 4" xfId="32267" xr:uid="{00000000-0005-0000-0000-0000723F0000}"/>
    <cellStyle name="Comma 2 4 3 6 4 3 5" xfId="34409" xr:uid="{00000000-0005-0000-0000-0000733F0000}"/>
    <cellStyle name="Comma 2 4 3 6 4 4" xfId="8414" xr:uid="{00000000-0005-0000-0000-0000743F0000}"/>
    <cellStyle name="Comma 2 4 3 6 4 4 2" xfId="43019" xr:uid="{00000000-0005-0000-0000-0000753F0000}"/>
    <cellStyle name="Comma 2 4 3 6 4 4 3" xfId="36595" xr:uid="{00000000-0005-0000-0000-0000763F0000}"/>
    <cellStyle name="Comma 2 4 3 6 4 5" xfId="21403" xr:uid="{00000000-0005-0000-0000-0000773F0000}"/>
    <cellStyle name="Comma 2 4 3 6 4 5 2" xfId="39812" xr:uid="{00000000-0005-0000-0000-0000783F0000}"/>
    <cellStyle name="Comma 2 4 3 6 4 6" xfId="22476" xr:uid="{00000000-0005-0000-0000-0000793F0000}"/>
    <cellStyle name="Comma 2 4 3 6 4 7" xfId="23590" xr:uid="{00000000-0005-0000-0000-00007A3F0000}"/>
    <cellStyle name="Comma 2 4 3 6 4 8" xfId="26798" xr:uid="{00000000-0005-0000-0000-00007B3F0000}"/>
    <cellStyle name="Comma 2 4 3 6 4 9" xfId="30131" xr:uid="{00000000-0005-0000-0000-00007C3F0000}"/>
    <cellStyle name="Comma 2 4 3 6 5" xfId="1165" xr:uid="{00000000-0005-0000-0000-00007D3F0000}"/>
    <cellStyle name="Comma 2 4 3 6 5 10" xfId="33389" xr:uid="{00000000-0005-0000-0000-00007E3F0000}"/>
    <cellStyle name="Comma 2 4 3 6 5 2" xfId="9935" xr:uid="{00000000-0005-0000-0000-00007F3F0000}"/>
    <cellStyle name="Comma 2 4 3 6 5 2 2" xfId="25735" xr:uid="{00000000-0005-0000-0000-0000803F0000}"/>
    <cellStyle name="Comma 2 4 3 6 5 2 2 2" xfId="45162" xr:uid="{00000000-0005-0000-0000-0000813F0000}"/>
    <cellStyle name="Comma 2 4 3 6 5 2 2 3" xfId="38739" xr:uid="{00000000-0005-0000-0000-0000823F0000}"/>
    <cellStyle name="Comma 2 4 3 6 5 2 3" xfId="27913" xr:uid="{00000000-0005-0000-0000-0000833F0000}"/>
    <cellStyle name="Comma 2 4 3 6 5 2 3 2" xfId="41955" xr:uid="{00000000-0005-0000-0000-0000843F0000}"/>
    <cellStyle name="Comma 2 4 3 6 5 2 4" xfId="31248" xr:uid="{00000000-0005-0000-0000-0000853F0000}"/>
    <cellStyle name="Comma 2 4 3 6 5 2 5" xfId="35531" xr:uid="{00000000-0005-0000-0000-0000863F0000}"/>
    <cellStyle name="Comma 2 4 3 6 5 3" xfId="15597" xr:uid="{00000000-0005-0000-0000-0000873F0000}"/>
    <cellStyle name="Comma 2 4 3 6 5 3 2" xfId="24612" xr:uid="{00000000-0005-0000-0000-0000883F0000}"/>
    <cellStyle name="Comma 2 4 3 6 5 3 2 2" xfId="44041" xr:uid="{00000000-0005-0000-0000-0000893F0000}"/>
    <cellStyle name="Comma 2 4 3 6 5 3 2 3" xfId="37618" xr:uid="{00000000-0005-0000-0000-00008A3F0000}"/>
    <cellStyle name="Comma 2 4 3 6 5 3 3" xfId="28933" xr:uid="{00000000-0005-0000-0000-00008B3F0000}"/>
    <cellStyle name="Comma 2 4 3 6 5 3 3 2" xfId="40834" xr:uid="{00000000-0005-0000-0000-00008C3F0000}"/>
    <cellStyle name="Comma 2 4 3 6 5 3 4" xfId="32268" xr:uid="{00000000-0005-0000-0000-00008D3F0000}"/>
    <cellStyle name="Comma 2 4 3 6 5 3 5" xfId="34410" xr:uid="{00000000-0005-0000-0000-00008E3F0000}"/>
    <cellStyle name="Comma 2 4 3 6 5 4" xfId="8415" xr:uid="{00000000-0005-0000-0000-00008F3F0000}"/>
    <cellStyle name="Comma 2 4 3 6 5 4 2" xfId="43020" xr:uid="{00000000-0005-0000-0000-0000903F0000}"/>
    <cellStyle name="Comma 2 4 3 6 5 4 3" xfId="36596" xr:uid="{00000000-0005-0000-0000-0000913F0000}"/>
    <cellStyle name="Comma 2 4 3 6 5 5" xfId="21404" xr:uid="{00000000-0005-0000-0000-0000923F0000}"/>
    <cellStyle name="Comma 2 4 3 6 5 5 2" xfId="39813" xr:uid="{00000000-0005-0000-0000-0000933F0000}"/>
    <cellStyle name="Comma 2 4 3 6 5 6" xfId="22477" xr:uid="{00000000-0005-0000-0000-0000943F0000}"/>
    <cellStyle name="Comma 2 4 3 6 5 7" xfId="23591" xr:uid="{00000000-0005-0000-0000-0000953F0000}"/>
    <cellStyle name="Comma 2 4 3 6 5 8" xfId="26799" xr:uid="{00000000-0005-0000-0000-0000963F0000}"/>
    <cellStyle name="Comma 2 4 3 6 5 9" xfId="30132" xr:uid="{00000000-0005-0000-0000-0000973F0000}"/>
    <cellStyle name="Comma 2 4 3 6 6" xfId="9931" xr:uid="{00000000-0005-0000-0000-0000983F0000}"/>
    <cellStyle name="Comma 2 4 3 6 6 2" xfId="25731" xr:uid="{00000000-0005-0000-0000-0000993F0000}"/>
    <cellStyle name="Comma 2 4 3 6 6 2 2" xfId="45158" xr:uid="{00000000-0005-0000-0000-00009A3F0000}"/>
    <cellStyle name="Comma 2 4 3 6 6 2 3" xfId="38735" xr:uid="{00000000-0005-0000-0000-00009B3F0000}"/>
    <cellStyle name="Comma 2 4 3 6 6 3" xfId="27909" xr:uid="{00000000-0005-0000-0000-00009C3F0000}"/>
    <cellStyle name="Comma 2 4 3 6 6 3 2" xfId="41951" xr:uid="{00000000-0005-0000-0000-00009D3F0000}"/>
    <cellStyle name="Comma 2 4 3 6 6 4" xfId="31244" xr:uid="{00000000-0005-0000-0000-00009E3F0000}"/>
    <cellStyle name="Comma 2 4 3 6 6 5" xfId="35527" xr:uid="{00000000-0005-0000-0000-00009F3F0000}"/>
    <cellStyle name="Comma 2 4 3 6 7" xfId="15593" xr:uid="{00000000-0005-0000-0000-0000A03F0000}"/>
    <cellStyle name="Comma 2 4 3 6 7 2" xfId="24608" xr:uid="{00000000-0005-0000-0000-0000A13F0000}"/>
    <cellStyle name="Comma 2 4 3 6 7 2 2" xfId="44037" xr:uid="{00000000-0005-0000-0000-0000A23F0000}"/>
    <cellStyle name="Comma 2 4 3 6 7 2 3" xfId="37614" xr:uid="{00000000-0005-0000-0000-0000A33F0000}"/>
    <cellStyle name="Comma 2 4 3 6 7 3" xfId="28929" xr:uid="{00000000-0005-0000-0000-0000A43F0000}"/>
    <cellStyle name="Comma 2 4 3 6 7 3 2" xfId="40830" xr:uid="{00000000-0005-0000-0000-0000A53F0000}"/>
    <cellStyle name="Comma 2 4 3 6 7 4" xfId="32264" xr:uid="{00000000-0005-0000-0000-0000A63F0000}"/>
    <cellStyle name="Comma 2 4 3 6 7 5" xfId="34406" xr:uid="{00000000-0005-0000-0000-0000A73F0000}"/>
    <cellStyle name="Comma 2 4 3 6 8" xfId="8411" xr:uid="{00000000-0005-0000-0000-0000A83F0000}"/>
    <cellStyle name="Comma 2 4 3 6 8 2" xfId="43016" xr:uid="{00000000-0005-0000-0000-0000A93F0000}"/>
    <cellStyle name="Comma 2 4 3 6 8 3" xfId="36592" xr:uid="{00000000-0005-0000-0000-0000AA3F0000}"/>
    <cellStyle name="Comma 2 4 3 6 9" xfId="21400" xr:uid="{00000000-0005-0000-0000-0000AB3F0000}"/>
    <cellStyle name="Comma 2 4 3 6 9 2" xfId="39809" xr:uid="{00000000-0005-0000-0000-0000AC3F0000}"/>
    <cellStyle name="Comma 2 4 3 7" xfId="1166" xr:uid="{00000000-0005-0000-0000-0000AD3F0000}"/>
    <cellStyle name="Comma 2 4 3 7 10" xfId="33390" xr:uid="{00000000-0005-0000-0000-0000AE3F0000}"/>
    <cellStyle name="Comma 2 4 3 7 2" xfId="9936" xr:uid="{00000000-0005-0000-0000-0000AF3F0000}"/>
    <cellStyle name="Comma 2 4 3 7 2 2" xfId="25736" xr:uid="{00000000-0005-0000-0000-0000B03F0000}"/>
    <cellStyle name="Comma 2 4 3 7 2 2 2" xfId="45163" xr:uid="{00000000-0005-0000-0000-0000B13F0000}"/>
    <cellStyle name="Comma 2 4 3 7 2 2 3" xfId="38740" xr:uid="{00000000-0005-0000-0000-0000B23F0000}"/>
    <cellStyle name="Comma 2 4 3 7 2 3" xfId="27914" xr:uid="{00000000-0005-0000-0000-0000B33F0000}"/>
    <cellStyle name="Comma 2 4 3 7 2 3 2" xfId="41956" xr:uid="{00000000-0005-0000-0000-0000B43F0000}"/>
    <cellStyle name="Comma 2 4 3 7 2 4" xfId="31249" xr:uid="{00000000-0005-0000-0000-0000B53F0000}"/>
    <cellStyle name="Comma 2 4 3 7 2 5" xfId="35532" xr:uid="{00000000-0005-0000-0000-0000B63F0000}"/>
    <cellStyle name="Comma 2 4 3 7 3" xfId="15598" xr:uid="{00000000-0005-0000-0000-0000B73F0000}"/>
    <cellStyle name="Comma 2 4 3 7 3 2" xfId="24613" xr:uid="{00000000-0005-0000-0000-0000B83F0000}"/>
    <cellStyle name="Comma 2 4 3 7 3 2 2" xfId="44042" xr:uid="{00000000-0005-0000-0000-0000B93F0000}"/>
    <cellStyle name="Comma 2 4 3 7 3 2 3" xfId="37619" xr:uid="{00000000-0005-0000-0000-0000BA3F0000}"/>
    <cellStyle name="Comma 2 4 3 7 3 3" xfId="28934" xr:uid="{00000000-0005-0000-0000-0000BB3F0000}"/>
    <cellStyle name="Comma 2 4 3 7 3 3 2" xfId="40835" xr:uid="{00000000-0005-0000-0000-0000BC3F0000}"/>
    <cellStyle name="Comma 2 4 3 7 3 4" xfId="32269" xr:uid="{00000000-0005-0000-0000-0000BD3F0000}"/>
    <cellStyle name="Comma 2 4 3 7 3 5" xfId="34411" xr:uid="{00000000-0005-0000-0000-0000BE3F0000}"/>
    <cellStyle name="Comma 2 4 3 7 4" xfId="8416" xr:uid="{00000000-0005-0000-0000-0000BF3F0000}"/>
    <cellStyle name="Comma 2 4 3 7 4 2" xfId="43021" xr:uid="{00000000-0005-0000-0000-0000C03F0000}"/>
    <cellStyle name="Comma 2 4 3 7 4 3" xfId="36597" xr:uid="{00000000-0005-0000-0000-0000C13F0000}"/>
    <cellStyle name="Comma 2 4 3 7 5" xfId="21405" xr:uid="{00000000-0005-0000-0000-0000C23F0000}"/>
    <cellStyle name="Comma 2 4 3 7 5 2" xfId="39814" xr:uid="{00000000-0005-0000-0000-0000C33F0000}"/>
    <cellStyle name="Comma 2 4 3 7 6" xfId="22478" xr:uid="{00000000-0005-0000-0000-0000C43F0000}"/>
    <cellStyle name="Comma 2 4 3 7 7" xfId="23592" xr:uid="{00000000-0005-0000-0000-0000C53F0000}"/>
    <cellStyle name="Comma 2 4 3 7 8" xfId="26800" xr:uid="{00000000-0005-0000-0000-0000C63F0000}"/>
    <cellStyle name="Comma 2 4 3 7 9" xfId="30133" xr:uid="{00000000-0005-0000-0000-0000C73F0000}"/>
    <cellStyle name="Comma 2 4 3 8" xfId="1167" xr:uid="{00000000-0005-0000-0000-0000C83F0000}"/>
    <cellStyle name="Comma 2 4 3 8 10" xfId="33391" xr:uid="{00000000-0005-0000-0000-0000C93F0000}"/>
    <cellStyle name="Comma 2 4 3 8 2" xfId="9937" xr:uid="{00000000-0005-0000-0000-0000CA3F0000}"/>
    <cellStyle name="Comma 2 4 3 8 2 2" xfId="25737" xr:uid="{00000000-0005-0000-0000-0000CB3F0000}"/>
    <cellStyle name="Comma 2 4 3 8 2 2 2" xfId="45164" xr:uid="{00000000-0005-0000-0000-0000CC3F0000}"/>
    <cellStyle name="Comma 2 4 3 8 2 2 3" xfId="38741" xr:uid="{00000000-0005-0000-0000-0000CD3F0000}"/>
    <cellStyle name="Comma 2 4 3 8 2 3" xfId="27915" xr:uid="{00000000-0005-0000-0000-0000CE3F0000}"/>
    <cellStyle name="Comma 2 4 3 8 2 3 2" xfId="41957" xr:uid="{00000000-0005-0000-0000-0000CF3F0000}"/>
    <cellStyle name="Comma 2 4 3 8 2 4" xfId="31250" xr:uid="{00000000-0005-0000-0000-0000D03F0000}"/>
    <cellStyle name="Comma 2 4 3 8 2 5" xfId="35533" xr:uid="{00000000-0005-0000-0000-0000D13F0000}"/>
    <cellStyle name="Comma 2 4 3 8 3" xfId="15599" xr:uid="{00000000-0005-0000-0000-0000D23F0000}"/>
    <cellStyle name="Comma 2 4 3 8 3 2" xfId="24614" xr:uid="{00000000-0005-0000-0000-0000D33F0000}"/>
    <cellStyle name="Comma 2 4 3 8 3 2 2" xfId="44043" xr:uid="{00000000-0005-0000-0000-0000D43F0000}"/>
    <cellStyle name="Comma 2 4 3 8 3 2 3" xfId="37620" xr:uid="{00000000-0005-0000-0000-0000D53F0000}"/>
    <cellStyle name="Comma 2 4 3 8 3 3" xfId="28935" xr:uid="{00000000-0005-0000-0000-0000D63F0000}"/>
    <cellStyle name="Comma 2 4 3 8 3 3 2" xfId="40836" xr:uid="{00000000-0005-0000-0000-0000D73F0000}"/>
    <cellStyle name="Comma 2 4 3 8 3 4" xfId="32270" xr:uid="{00000000-0005-0000-0000-0000D83F0000}"/>
    <cellStyle name="Comma 2 4 3 8 3 5" xfId="34412" xr:uid="{00000000-0005-0000-0000-0000D93F0000}"/>
    <cellStyle name="Comma 2 4 3 8 4" xfId="8417" xr:uid="{00000000-0005-0000-0000-0000DA3F0000}"/>
    <cellStyle name="Comma 2 4 3 8 4 2" xfId="43022" xr:uid="{00000000-0005-0000-0000-0000DB3F0000}"/>
    <cellStyle name="Comma 2 4 3 8 4 3" xfId="36598" xr:uid="{00000000-0005-0000-0000-0000DC3F0000}"/>
    <cellStyle name="Comma 2 4 3 8 5" xfId="21406" xr:uid="{00000000-0005-0000-0000-0000DD3F0000}"/>
    <cellStyle name="Comma 2 4 3 8 5 2" xfId="39815" xr:uid="{00000000-0005-0000-0000-0000DE3F0000}"/>
    <cellStyle name="Comma 2 4 3 8 6" xfId="22479" xr:uid="{00000000-0005-0000-0000-0000DF3F0000}"/>
    <cellStyle name="Comma 2 4 3 8 7" xfId="23593" xr:uid="{00000000-0005-0000-0000-0000E03F0000}"/>
    <cellStyle name="Comma 2 4 3 8 8" xfId="26801" xr:uid="{00000000-0005-0000-0000-0000E13F0000}"/>
    <cellStyle name="Comma 2 4 3 8 9" xfId="30134" xr:uid="{00000000-0005-0000-0000-0000E23F0000}"/>
    <cellStyle name="Comma 2 4 3 9" xfId="1168" xr:uid="{00000000-0005-0000-0000-0000E33F0000}"/>
    <cellStyle name="Comma 2 4 3 9 10" xfId="33392" xr:uid="{00000000-0005-0000-0000-0000E43F0000}"/>
    <cellStyle name="Comma 2 4 3 9 2" xfId="9938" xr:uid="{00000000-0005-0000-0000-0000E53F0000}"/>
    <cellStyle name="Comma 2 4 3 9 2 2" xfId="25738" xr:uid="{00000000-0005-0000-0000-0000E63F0000}"/>
    <cellStyle name="Comma 2 4 3 9 2 2 2" xfId="45165" xr:uid="{00000000-0005-0000-0000-0000E73F0000}"/>
    <cellStyle name="Comma 2 4 3 9 2 2 3" xfId="38742" xr:uid="{00000000-0005-0000-0000-0000E83F0000}"/>
    <cellStyle name="Comma 2 4 3 9 2 3" xfId="27916" xr:uid="{00000000-0005-0000-0000-0000E93F0000}"/>
    <cellStyle name="Comma 2 4 3 9 2 3 2" xfId="41958" xr:uid="{00000000-0005-0000-0000-0000EA3F0000}"/>
    <cellStyle name="Comma 2 4 3 9 2 4" xfId="31251" xr:uid="{00000000-0005-0000-0000-0000EB3F0000}"/>
    <cellStyle name="Comma 2 4 3 9 2 5" xfId="35534" xr:uid="{00000000-0005-0000-0000-0000EC3F0000}"/>
    <cellStyle name="Comma 2 4 3 9 3" xfId="15600" xr:uid="{00000000-0005-0000-0000-0000ED3F0000}"/>
    <cellStyle name="Comma 2 4 3 9 3 2" xfId="24615" xr:uid="{00000000-0005-0000-0000-0000EE3F0000}"/>
    <cellStyle name="Comma 2 4 3 9 3 2 2" xfId="44044" xr:uid="{00000000-0005-0000-0000-0000EF3F0000}"/>
    <cellStyle name="Comma 2 4 3 9 3 2 3" xfId="37621" xr:uid="{00000000-0005-0000-0000-0000F03F0000}"/>
    <cellStyle name="Comma 2 4 3 9 3 3" xfId="28936" xr:uid="{00000000-0005-0000-0000-0000F13F0000}"/>
    <cellStyle name="Comma 2 4 3 9 3 3 2" xfId="40837" xr:uid="{00000000-0005-0000-0000-0000F23F0000}"/>
    <cellStyle name="Comma 2 4 3 9 3 4" xfId="32271" xr:uid="{00000000-0005-0000-0000-0000F33F0000}"/>
    <cellStyle name="Comma 2 4 3 9 3 5" xfId="34413" xr:uid="{00000000-0005-0000-0000-0000F43F0000}"/>
    <cellStyle name="Comma 2 4 3 9 4" xfId="8418" xr:uid="{00000000-0005-0000-0000-0000F53F0000}"/>
    <cellStyle name="Comma 2 4 3 9 4 2" xfId="43023" xr:uid="{00000000-0005-0000-0000-0000F63F0000}"/>
    <cellStyle name="Comma 2 4 3 9 4 3" xfId="36599" xr:uid="{00000000-0005-0000-0000-0000F73F0000}"/>
    <cellStyle name="Comma 2 4 3 9 5" xfId="21407" xr:uid="{00000000-0005-0000-0000-0000F83F0000}"/>
    <cellStyle name="Comma 2 4 3 9 5 2" xfId="39816" xr:uid="{00000000-0005-0000-0000-0000F93F0000}"/>
    <cellStyle name="Comma 2 4 3 9 6" xfId="22480" xr:uid="{00000000-0005-0000-0000-0000FA3F0000}"/>
    <cellStyle name="Comma 2 4 3 9 7" xfId="23594" xr:uid="{00000000-0005-0000-0000-0000FB3F0000}"/>
    <cellStyle name="Comma 2 4 3 9 8" xfId="26802" xr:uid="{00000000-0005-0000-0000-0000FC3F0000}"/>
    <cellStyle name="Comma 2 4 3 9 9" xfId="30135" xr:uid="{00000000-0005-0000-0000-0000FD3F0000}"/>
    <cellStyle name="Comma 2 4 4" xfId="261" xr:uid="{00000000-0005-0000-0000-0000FE3F0000}"/>
    <cellStyle name="Comma 2 4 4 10" xfId="1169" xr:uid="{00000000-0005-0000-0000-0000FF3F0000}"/>
    <cellStyle name="Comma 2 4 4 10 10" xfId="33393" xr:uid="{00000000-0005-0000-0000-000000400000}"/>
    <cellStyle name="Comma 2 4 4 10 2" xfId="9939" xr:uid="{00000000-0005-0000-0000-000001400000}"/>
    <cellStyle name="Comma 2 4 4 10 2 2" xfId="25739" xr:uid="{00000000-0005-0000-0000-000002400000}"/>
    <cellStyle name="Comma 2 4 4 10 2 2 2" xfId="45166" xr:uid="{00000000-0005-0000-0000-000003400000}"/>
    <cellStyle name="Comma 2 4 4 10 2 2 3" xfId="38743" xr:uid="{00000000-0005-0000-0000-000004400000}"/>
    <cellStyle name="Comma 2 4 4 10 2 3" xfId="27917" xr:uid="{00000000-0005-0000-0000-000005400000}"/>
    <cellStyle name="Comma 2 4 4 10 2 3 2" xfId="41959" xr:uid="{00000000-0005-0000-0000-000006400000}"/>
    <cellStyle name="Comma 2 4 4 10 2 4" xfId="31252" xr:uid="{00000000-0005-0000-0000-000007400000}"/>
    <cellStyle name="Comma 2 4 4 10 2 5" xfId="35535" xr:uid="{00000000-0005-0000-0000-000008400000}"/>
    <cellStyle name="Comma 2 4 4 10 3" xfId="15602" xr:uid="{00000000-0005-0000-0000-000009400000}"/>
    <cellStyle name="Comma 2 4 4 10 3 2" xfId="24617" xr:uid="{00000000-0005-0000-0000-00000A400000}"/>
    <cellStyle name="Comma 2 4 4 10 3 2 2" xfId="44046" xr:uid="{00000000-0005-0000-0000-00000B400000}"/>
    <cellStyle name="Comma 2 4 4 10 3 2 3" xfId="37623" xr:uid="{00000000-0005-0000-0000-00000C400000}"/>
    <cellStyle name="Comma 2 4 4 10 3 3" xfId="28938" xr:uid="{00000000-0005-0000-0000-00000D400000}"/>
    <cellStyle name="Comma 2 4 4 10 3 3 2" xfId="40839" xr:uid="{00000000-0005-0000-0000-00000E400000}"/>
    <cellStyle name="Comma 2 4 4 10 3 4" xfId="32273" xr:uid="{00000000-0005-0000-0000-00000F400000}"/>
    <cellStyle name="Comma 2 4 4 10 3 5" xfId="34415" xr:uid="{00000000-0005-0000-0000-000010400000}"/>
    <cellStyle name="Comma 2 4 4 10 4" xfId="8420" xr:uid="{00000000-0005-0000-0000-000011400000}"/>
    <cellStyle name="Comma 2 4 4 10 4 2" xfId="43024" xr:uid="{00000000-0005-0000-0000-000012400000}"/>
    <cellStyle name="Comma 2 4 4 10 4 3" xfId="36600" xr:uid="{00000000-0005-0000-0000-000013400000}"/>
    <cellStyle name="Comma 2 4 4 10 5" xfId="21409" xr:uid="{00000000-0005-0000-0000-000014400000}"/>
    <cellStyle name="Comma 2 4 4 10 5 2" xfId="39817" xr:uid="{00000000-0005-0000-0000-000015400000}"/>
    <cellStyle name="Comma 2 4 4 10 6" xfId="22482" xr:uid="{00000000-0005-0000-0000-000016400000}"/>
    <cellStyle name="Comma 2 4 4 10 7" xfId="23595" xr:uid="{00000000-0005-0000-0000-000017400000}"/>
    <cellStyle name="Comma 2 4 4 10 8" xfId="26804" xr:uid="{00000000-0005-0000-0000-000018400000}"/>
    <cellStyle name="Comma 2 4 4 10 9" xfId="30137" xr:uid="{00000000-0005-0000-0000-000019400000}"/>
    <cellStyle name="Comma 2 4 4 11" xfId="9118" xr:uid="{00000000-0005-0000-0000-00001A400000}"/>
    <cellStyle name="Comma 2 4 4 11 2" xfId="25172" xr:uid="{00000000-0005-0000-0000-00001B400000}"/>
    <cellStyle name="Comma 2 4 4 11 2 2" xfId="44599" xr:uid="{00000000-0005-0000-0000-00001C400000}"/>
    <cellStyle name="Comma 2 4 4 11 2 3" xfId="38176" xr:uid="{00000000-0005-0000-0000-00001D400000}"/>
    <cellStyle name="Comma 2 4 4 11 3" xfId="27351" xr:uid="{00000000-0005-0000-0000-00001E400000}"/>
    <cellStyle name="Comma 2 4 4 11 3 2" xfId="41392" xr:uid="{00000000-0005-0000-0000-00001F400000}"/>
    <cellStyle name="Comma 2 4 4 11 4" xfId="30686" xr:uid="{00000000-0005-0000-0000-000020400000}"/>
    <cellStyle name="Comma 2 4 4 11 5" xfId="34968" xr:uid="{00000000-0005-0000-0000-000021400000}"/>
    <cellStyle name="Comma 2 4 4 12" xfId="15601" xr:uid="{00000000-0005-0000-0000-000022400000}"/>
    <cellStyle name="Comma 2 4 4 12 2" xfId="24616" xr:uid="{00000000-0005-0000-0000-000023400000}"/>
    <cellStyle name="Comma 2 4 4 12 2 2" xfId="44045" xr:uid="{00000000-0005-0000-0000-000024400000}"/>
    <cellStyle name="Comma 2 4 4 12 2 3" xfId="37622" xr:uid="{00000000-0005-0000-0000-000025400000}"/>
    <cellStyle name="Comma 2 4 4 12 3" xfId="28937" xr:uid="{00000000-0005-0000-0000-000026400000}"/>
    <cellStyle name="Comma 2 4 4 12 3 2" xfId="40838" xr:uid="{00000000-0005-0000-0000-000027400000}"/>
    <cellStyle name="Comma 2 4 4 12 4" xfId="32272" xr:uid="{00000000-0005-0000-0000-000028400000}"/>
    <cellStyle name="Comma 2 4 4 12 5" xfId="34414" xr:uid="{00000000-0005-0000-0000-000029400000}"/>
    <cellStyle name="Comma 2 4 4 13" xfId="8419" xr:uid="{00000000-0005-0000-0000-00002A400000}"/>
    <cellStyle name="Comma 2 4 4 13 2" xfId="42462" xr:uid="{00000000-0005-0000-0000-00002B400000}"/>
    <cellStyle name="Comma 2 4 4 13 3" xfId="36038" xr:uid="{00000000-0005-0000-0000-00002C400000}"/>
    <cellStyle name="Comma 2 4 4 14" xfId="21408" xr:uid="{00000000-0005-0000-0000-00002D400000}"/>
    <cellStyle name="Comma 2 4 4 14 2" xfId="39255" xr:uid="{00000000-0005-0000-0000-00002E400000}"/>
    <cellStyle name="Comma 2 4 4 15" xfId="22481" xr:uid="{00000000-0005-0000-0000-00002F400000}"/>
    <cellStyle name="Comma 2 4 4 16" xfId="23033" xr:uid="{00000000-0005-0000-0000-000030400000}"/>
    <cellStyle name="Comma 2 4 4 17" xfId="26803" xr:uid="{00000000-0005-0000-0000-000031400000}"/>
    <cellStyle name="Comma 2 4 4 18" xfId="30136" xr:uid="{00000000-0005-0000-0000-000032400000}"/>
    <cellStyle name="Comma 2 4 4 19" xfId="32831" xr:uid="{00000000-0005-0000-0000-000033400000}"/>
    <cellStyle name="Comma 2 4 4 2" xfId="254" xr:uid="{00000000-0005-0000-0000-000034400000}"/>
    <cellStyle name="Comma 2 4 4 2 10" xfId="15603" xr:uid="{00000000-0005-0000-0000-000035400000}"/>
    <cellStyle name="Comma 2 4 4 2 10 2" xfId="24618" xr:uid="{00000000-0005-0000-0000-000036400000}"/>
    <cellStyle name="Comma 2 4 4 2 10 2 2" xfId="44047" xr:uid="{00000000-0005-0000-0000-000037400000}"/>
    <cellStyle name="Comma 2 4 4 2 10 2 3" xfId="37624" xr:uid="{00000000-0005-0000-0000-000038400000}"/>
    <cellStyle name="Comma 2 4 4 2 10 3" xfId="28939" xr:uid="{00000000-0005-0000-0000-000039400000}"/>
    <cellStyle name="Comma 2 4 4 2 10 3 2" xfId="40840" xr:uid="{00000000-0005-0000-0000-00003A400000}"/>
    <cellStyle name="Comma 2 4 4 2 10 4" xfId="32274" xr:uid="{00000000-0005-0000-0000-00003B400000}"/>
    <cellStyle name="Comma 2 4 4 2 10 5" xfId="34416" xr:uid="{00000000-0005-0000-0000-00003C400000}"/>
    <cellStyle name="Comma 2 4 4 2 11" xfId="8421" xr:uid="{00000000-0005-0000-0000-00003D400000}"/>
    <cellStyle name="Comma 2 4 4 2 11 2" xfId="42457" xr:uid="{00000000-0005-0000-0000-00003E400000}"/>
    <cellStyle name="Comma 2 4 4 2 11 3" xfId="36033" xr:uid="{00000000-0005-0000-0000-00003F400000}"/>
    <cellStyle name="Comma 2 4 4 2 12" xfId="21410" xr:uid="{00000000-0005-0000-0000-000040400000}"/>
    <cellStyle name="Comma 2 4 4 2 12 2" xfId="39250" xr:uid="{00000000-0005-0000-0000-000041400000}"/>
    <cellStyle name="Comma 2 4 4 2 13" xfId="22483" xr:uid="{00000000-0005-0000-0000-000042400000}"/>
    <cellStyle name="Comma 2 4 4 2 14" xfId="23028" xr:uid="{00000000-0005-0000-0000-000043400000}"/>
    <cellStyle name="Comma 2 4 4 2 15" xfId="26805" xr:uid="{00000000-0005-0000-0000-000044400000}"/>
    <cellStyle name="Comma 2 4 4 2 16" xfId="30138" xr:uid="{00000000-0005-0000-0000-000045400000}"/>
    <cellStyle name="Comma 2 4 4 2 17" xfId="32826" xr:uid="{00000000-0005-0000-0000-000046400000}"/>
    <cellStyle name="Comma 2 4 4 2 2" xfId="251" xr:uid="{00000000-0005-0000-0000-000047400000}"/>
    <cellStyle name="Comma 2 4 4 2 2 10" xfId="21411" xr:uid="{00000000-0005-0000-0000-000048400000}"/>
    <cellStyle name="Comma 2 4 4 2 2 10 2" xfId="39247" xr:uid="{00000000-0005-0000-0000-000049400000}"/>
    <cellStyle name="Comma 2 4 4 2 2 11" xfId="22484" xr:uid="{00000000-0005-0000-0000-00004A400000}"/>
    <cellStyle name="Comma 2 4 4 2 2 12" xfId="23025" xr:uid="{00000000-0005-0000-0000-00004B400000}"/>
    <cellStyle name="Comma 2 4 4 2 2 13" xfId="26806" xr:uid="{00000000-0005-0000-0000-00004C400000}"/>
    <cellStyle name="Comma 2 4 4 2 2 14" xfId="30139" xr:uid="{00000000-0005-0000-0000-00004D400000}"/>
    <cellStyle name="Comma 2 4 4 2 2 15" xfId="32823" xr:uid="{00000000-0005-0000-0000-00004E400000}"/>
    <cellStyle name="Comma 2 4 4 2 2 2" xfId="1170" xr:uid="{00000000-0005-0000-0000-00004F400000}"/>
    <cellStyle name="Comma 2 4 4 2 2 2 10" xfId="33394" xr:uid="{00000000-0005-0000-0000-000050400000}"/>
    <cellStyle name="Comma 2 4 4 2 2 2 2" xfId="9940" xr:uid="{00000000-0005-0000-0000-000051400000}"/>
    <cellStyle name="Comma 2 4 4 2 2 2 2 2" xfId="25740" xr:uid="{00000000-0005-0000-0000-000052400000}"/>
    <cellStyle name="Comma 2 4 4 2 2 2 2 2 2" xfId="45167" xr:uid="{00000000-0005-0000-0000-000053400000}"/>
    <cellStyle name="Comma 2 4 4 2 2 2 2 2 3" xfId="38744" xr:uid="{00000000-0005-0000-0000-000054400000}"/>
    <cellStyle name="Comma 2 4 4 2 2 2 2 3" xfId="27918" xr:uid="{00000000-0005-0000-0000-000055400000}"/>
    <cellStyle name="Comma 2 4 4 2 2 2 2 3 2" xfId="41960" xr:uid="{00000000-0005-0000-0000-000056400000}"/>
    <cellStyle name="Comma 2 4 4 2 2 2 2 4" xfId="31253" xr:uid="{00000000-0005-0000-0000-000057400000}"/>
    <cellStyle name="Comma 2 4 4 2 2 2 2 5" xfId="35536" xr:uid="{00000000-0005-0000-0000-000058400000}"/>
    <cellStyle name="Comma 2 4 4 2 2 2 3" xfId="15605" xr:uid="{00000000-0005-0000-0000-000059400000}"/>
    <cellStyle name="Comma 2 4 4 2 2 2 3 2" xfId="24620" xr:uid="{00000000-0005-0000-0000-00005A400000}"/>
    <cellStyle name="Comma 2 4 4 2 2 2 3 2 2" xfId="44049" xr:uid="{00000000-0005-0000-0000-00005B400000}"/>
    <cellStyle name="Comma 2 4 4 2 2 2 3 2 3" xfId="37626" xr:uid="{00000000-0005-0000-0000-00005C400000}"/>
    <cellStyle name="Comma 2 4 4 2 2 2 3 3" xfId="28941" xr:uid="{00000000-0005-0000-0000-00005D400000}"/>
    <cellStyle name="Comma 2 4 4 2 2 2 3 3 2" xfId="40842" xr:uid="{00000000-0005-0000-0000-00005E400000}"/>
    <cellStyle name="Comma 2 4 4 2 2 2 3 4" xfId="32276" xr:uid="{00000000-0005-0000-0000-00005F400000}"/>
    <cellStyle name="Comma 2 4 4 2 2 2 3 5" xfId="34418" xr:uid="{00000000-0005-0000-0000-000060400000}"/>
    <cellStyle name="Comma 2 4 4 2 2 2 4" xfId="8423" xr:uid="{00000000-0005-0000-0000-000061400000}"/>
    <cellStyle name="Comma 2 4 4 2 2 2 4 2" xfId="43025" xr:uid="{00000000-0005-0000-0000-000062400000}"/>
    <cellStyle name="Comma 2 4 4 2 2 2 4 3" xfId="36601" xr:uid="{00000000-0005-0000-0000-000063400000}"/>
    <cellStyle name="Comma 2 4 4 2 2 2 5" xfId="21412" xr:uid="{00000000-0005-0000-0000-000064400000}"/>
    <cellStyle name="Comma 2 4 4 2 2 2 5 2" xfId="39818" xr:uid="{00000000-0005-0000-0000-000065400000}"/>
    <cellStyle name="Comma 2 4 4 2 2 2 6" xfId="22485" xr:uid="{00000000-0005-0000-0000-000066400000}"/>
    <cellStyle name="Comma 2 4 4 2 2 2 7" xfId="23596" xr:uid="{00000000-0005-0000-0000-000067400000}"/>
    <cellStyle name="Comma 2 4 4 2 2 2 8" xfId="26807" xr:uid="{00000000-0005-0000-0000-000068400000}"/>
    <cellStyle name="Comma 2 4 4 2 2 2 9" xfId="30140" xr:uid="{00000000-0005-0000-0000-000069400000}"/>
    <cellStyle name="Comma 2 4 4 2 2 3" xfId="1171" xr:uid="{00000000-0005-0000-0000-00006A400000}"/>
    <cellStyle name="Comma 2 4 4 2 2 3 10" xfId="33395" xr:uid="{00000000-0005-0000-0000-00006B400000}"/>
    <cellStyle name="Comma 2 4 4 2 2 3 2" xfId="9941" xr:uid="{00000000-0005-0000-0000-00006C400000}"/>
    <cellStyle name="Comma 2 4 4 2 2 3 2 2" xfId="25741" xr:uid="{00000000-0005-0000-0000-00006D400000}"/>
    <cellStyle name="Comma 2 4 4 2 2 3 2 2 2" xfId="45168" xr:uid="{00000000-0005-0000-0000-00006E400000}"/>
    <cellStyle name="Comma 2 4 4 2 2 3 2 2 3" xfId="38745" xr:uid="{00000000-0005-0000-0000-00006F400000}"/>
    <cellStyle name="Comma 2 4 4 2 2 3 2 3" xfId="27919" xr:uid="{00000000-0005-0000-0000-000070400000}"/>
    <cellStyle name="Comma 2 4 4 2 2 3 2 3 2" xfId="41961" xr:uid="{00000000-0005-0000-0000-000071400000}"/>
    <cellStyle name="Comma 2 4 4 2 2 3 2 4" xfId="31254" xr:uid="{00000000-0005-0000-0000-000072400000}"/>
    <cellStyle name="Comma 2 4 4 2 2 3 2 5" xfId="35537" xr:uid="{00000000-0005-0000-0000-000073400000}"/>
    <cellStyle name="Comma 2 4 4 2 2 3 3" xfId="15606" xr:uid="{00000000-0005-0000-0000-000074400000}"/>
    <cellStyle name="Comma 2 4 4 2 2 3 3 2" xfId="24621" xr:uid="{00000000-0005-0000-0000-000075400000}"/>
    <cellStyle name="Comma 2 4 4 2 2 3 3 2 2" xfId="44050" xr:uid="{00000000-0005-0000-0000-000076400000}"/>
    <cellStyle name="Comma 2 4 4 2 2 3 3 2 3" xfId="37627" xr:uid="{00000000-0005-0000-0000-000077400000}"/>
    <cellStyle name="Comma 2 4 4 2 2 3 3 3" xfId="28942" xr:uid="{00000000-0005-0000-0000-000078400000}"/>
    <cellStyle name="Comma 2 4 4 2 2 3 3 3 2" xfId="40843" xr:uid="{00000000-0005-0000-0000-000079400000}"/>
    <cellStyle name="Comma 2 4 4 2 2 3 3 4" xfId="32277" xr:uid="{00000000-0005-0000-0000-00007A400000}"/>
    <cellStyle name="Comma 2 4 4 2 2 3 3 5" xfId="34419" xr:uid="{00000000-0005-0000-0000-00007B400000}"/>
    <cellStyle name="Comma 2 4 4 2 2 3 4" xfId="8424" xr:uid="{00000000-0005-0000-0000-00007C400000}"/>
    <cellStyle name="Comma 2 4 4 2 2 3 4 2" xfId="43026" xr:uid="{00000000-0005-0000-0000-00007D400000}"/>
    <cellStyle name="Comma 2 4 4 2 2 3 4 3" xfId="36602" xr:uid="{00000000-0005-0000-0000-00007E400000}"/>
    <cellStyle name="Comma 2 4 4 2 2 3 5" xfId="21413" xr:uid="{00000000-0005-0000-0000-00007F400000}"/>
    <cellStyle name="Comma 2 4 4 2 2 3 5 2" xfId="39819" xr:uid="{00000000-0005-0000-0000-000080400000}"/>
    <cellStyle name="Comma 2 4 4 2 2 3 6" xfId="22486" xr:uid="{00000000-0005-0000-0000-000081400000}"/>
    <cellStyle name="Comma 2 4 4 2 2 3 7" xfId="23597" xr:uid="{00000000-0005-0000-0000-000082400000}"/>
    <cellStyle name="Comma 2 4 4 2 2 3 8" xfId="26808" xr:uid="{00000000-0005-0000-0000-000083400000}"/>
    <cellStyle name="Comma 2 4 4 2 2 3 9" xfId="30141" xr:uid="{00000000-0005-0000-0000-000084400000}"/>
    <cellStyle name="Comma 2 4 4 2 2 4" xfId="1172" xr:uid="{00000000-0005-0000-0000-000085400000}"/>
    <cellStyle name="Comma 2 4 4 2 2 4 10" xfId="33396" xr:uid="{00000000-0005-0000-0000-000086400000}"/>
    <cellStyle name="Comma 2 4 4 2 2 4 2" xfId="9942" xr:uid="{00000000-0005-0000-0000-000087400000}"/>
    <cellStyle name="Comma 2 4 4 2 2 4 2 2" xfId="25742" xr:uid="{00000000-0005-0000-0000-000088400000}"/>
    <cellStyle name="Comma 2 4 4 2 2 4 2 2 2" xfId="45169" xr:uid="{00000000-0005-0000-0000-000089400000}"/>
    <cellStyle name="Comma 2 4 4 2 2 4 2 2 3" xfId="38746" xr:uid="{00000000-0005-0000-0000-00008A400000}"/>
    <cellStyle name="Comma 2 4 4 2 2 4 2 3" xfId="27920" xr:uid="{00000000-0005-0000-0000-00008B400000}"/>
    <cellStyle name="Comma 2 4 4 2 2 4 2 3 2" xfId="41962" xr:uid="{00000000-0005-0000-0000-00008C400000}"/>
    <cellStyle name="Comma 2 4 4 2 2 4 2 4" xfId="31255" xr:uid="{00000000-0005-0000-0000-00008D400000}"/>
    <cellStyle name="Comma 2 4 4 2 2 4 2 5" xfId="35538" xr:uid="{00000000-0005-0000-0000-00008E400000}"/>
    <cellStyle name="Comma 2 4 4 2 2 4 3" xfId="15607" xr:uid="{00000000-0005-0000-0000-00008F400000}"/>
    <cellStyle name="Comma 2 4 4 2 2 4 3 2" xfId="24622" xr:uid="{00000000-0005-0000-0000-000090400000}"/>
    <cellStyle name="Comma 2 4 4 2 2 4 3 2 2" xfId="44051" xr:uid="{00000000-0005-0000-0000-000091400000}"/>
    <cellStyle name="Comma 2 4 4 2 2 4 3 2 3" xfId="37628" xr:uid="{00000000-0005-0000-0000-000092400000}"/>
    <cellStyle name="Comma 2 4 4 2 2 4 3 3" xfId="28943" xr:uid="{00000000-0005-0000-0000-000093400000}"/>
    <cellStyle name="Comma 2 4 4 2 2 4 3 3 2" xfId="40844" xr:uid="{00000000-0005-0000-0000-000094400000}"/>
    <cellStyle name="Comma 2 4 4 2 2 4 3 4" xfId="32278" xr:uid="{00000000-0005-0000-0000-000095400000}"/>
    <cellStyle name="Comma 2 4 4 2 2 4 3 5" xfId="34420" xr:uid="{00000000-0005-0000-0000-000096400000}"/>
    <cellStyle name="Comma 2 4 4 2 2 4 4" xfId="8425" xr:uid="{00000000-0005-0000-0000-000097400000}"/>
    <cellStyle name="Comma 2 4 4 2 2 4 4 2" xfId="43027" xr:uid="{00000000-0005-0000-0000-000098400000}"/>
    <cellStyle name="Comma 2 4 4 2 2 4 4 3" xfId="36603" xr:uid="{00000000-0005-0000-0000-000099400000}"/>
    <cellStyle name="Comma 2 4 4 2 2 4 5" xfId="21414" xr:uid="{00000000-0005-0000-0000-00009A400000}"/>
    <cellStyle name="Comma 2 4 4 2 2 4 5 2" xfId="39820" xr:uid="{00000000-0005-0000-0000-00009B400000}"/>
    <cellStyle name="Comma 2 4 4 2 2 4 6" xfId="22487" xr:uid="{00000000-0005-0000-0000-00009C400000}"/>
    <cellStyle name="Comma 2 4 4 2 2 4 7" xfId="23598" xr:uid="{00000000-0005-0000-0000-00009D400000}"/>
    <cellStyle name="Comma 2 4 4 2 2 4 8" xfId="26809" xr:uid="{00000000-0005-0000-0000-00009E400000}"/>
    <cellStyle name="Comma 2 4 4 2 2 4 9" xfId="30142" xr:uid="{00000000-0005-0000-0000-00009F400000}"/>
    <cellStyle name="Comma 2 4 4 2 2 5" xfId="1173" xr:uid="{00000000-0005-0000-0000-0000A0400000}"/>
    <cellStyle name="Comma 2 4 4 2 2 5 10" xfId="33397" xr:uid="{00000000-0005-0000-0000-0000A1400000}"/>
    <cellStyle name="Comma 2 4 4 2 2 5 2" xfId="9943" xr:uid="{00000000-0005-0000-0000-0000A2400000}"/>
    <cellStyle name="Comma 2 4 4 2 2 5 2 2" xfId="25743" xr:uid="{00000000-0005-0000-0000-0000A3400000}"/>
    <cellStyle name="Comma 2 4 4 2 2 5 2 2 2" xfId="45170" xr:uid="{00000000-0005-0000-0000-0000A4400000}"/>
    <cellStyle name="Comma 2 4 4 2 2 5 2 2 3" xfId="38747" xr:uid="{00000000-0005-0000-0000-0000A5400000}"/>
    <cellStyle name="Comma 2 4 4 2 2 5 2 3" xfId="27921" xr:uid="{00000000-0005-0000-0000-0000A6400000}"/>
    <cellStyle name="Comma 2 4 4 2 2 5 2 3 2" xfId="41963" xr:uid="{00000000-0005-0000-0000-0000A7400000}"/>
    <cellStyle name="Comma 2 4 4 2 2 5 2 4" xfId="31256" xr:uid="{00000000-0005-0000-0000-0000A8400000}"/>
    <cellStyle name="Comma 2 4 4 2 2 5 2 5" xfId="35539" xr:uid="{00000000-0005-0000-0000-0000A9400000}"/>
    <cellStyle name="Comma 2 4 4 2 2 5 3" xfId="15608" xr:uid="{00000000-0005-0000-0000-0000AA400000}"/>
    <cellStyle name="Comma 2 4 4 2 2 5 3 2" xfId="24623" xr:uid="{00000000-0005-0000-0000-0000AB400000}"/>
    <cellStyle name="Comma 2 4 4 2 2 5 3 2 2" xfId="44052" xr:uid="{00000000-0005-0000-0000-0000AC400000}"/>
    <cellStyle name="Comma 2 4 4 2 2 5 3 2 3" xfId="37629" xr:uid="{00000000-0005-0000-0000-0000AD400000}"/>
    <cellStyle name="Comma 2 4 4 2 2 5 3 3" xfId="28944" xr:uid="{00000000-0005-0000-0000-0000AE400000}"/>
    <cellStyle name="Comma 2 4 4 2 2 5 3 3 2" xfId="40845" xr:uid="{00000000-0005-0000-0000-0000AF400000}"/>
    <cellStyle name="Comma 2 4 4 2 2 5 3 4" xfId="32279" xr:uid="{00000000-0005-0000-0000-0000B0400000}"/>
    <cellStyle name="Comma 2 4 4 2 2 5 3 5" xfId="34421" xr:uid="{00000000-0005-0000-0000-0000B1400000}"/>
    <cellStyle name="Comma 2 4 4 2 2 5 4" xfId="8426" xr:uid="{00000000-0005-0000-0000-0000B2400000}"/>
    <cellStyle name="Comma 2 4 4 2 2 5 4 2" xfId="43028" xr:uid="{00000000-0005-0000-0000-0000B3400000}"/>
    <cellStyle name="Comma 2 4 4 2 2 5 4 3" xfId="36604" xr:uid="{00000000-0005-0000-0000-0000B4400000}"/>
    <cellStyle name="Comma 2 4 4 2 2 5 5" xfId="21415" xr:uid="{00000000-0005-0000-0000-0000B5400000}"/>
    <cellStyle name="Comma 2 4 4 2 2 5 5 2" xfId="39821" xr:uid="{00000000-0005-0000-0000-0000B6400000}"/>
    <cellStyle name="Comma 2 4 4 2 2 5 6" xfId="22488" xr:uid="{00000000-0005-0000-0000-0000B7400000}"/>
    <cellStyle name="Comma 2 4 4 2 2 5 7" xfId="23599" xr:uid="{00000000-0005-0000-0000-0000B8400000}"/>
    <cellStyle name="Comma 2 4 4 2 2 5 8" xfId="26810" xr:uid="{00000000-0005-0000-0000-0000B9400000}"/>
    <cellStyle name="Comma 2 4 4 2 2 5 9" xfId="30143" xr:uid="{00000000-0005-0000-0000-0000BA400000}"/>
    <cellStyle name="Comma 2 4 4 2 2 6" xfId="1174" xr:uid="{00000000-0005-0000-0000-0000BB400000}"/>
    <cellStyle name="Comma 2 4 4 2 2 6 10" xfId="33398" xr:uid="{00000000-0005-0000-0000-0000BC400000}"/>
    <cellStyle name="Comma 2 4 4 2 2 6 2" xfId="9944" xr:uid="{00000000-0005-0000-0000-0000BD400000}"/>
    <cellStyle name="Comma 2 4 4 2 2 6 2 2" xfId="25744" xr:uid="{00000000-0005-0000-0000-0000BE400000}"/>
    <cellStyle name="Comma 2 4 4 2 2 6 2 2 2" xfId="45171" xr:uid="{00000000-0005-0000-0000-0000BF400000}"/>
    <cellStyle name="Comma 2 4 4 2 2 6 2 2 3" xfId="38748" xr:uid="{00000000-0005-0000-0000-0000C0400000}"/>
    <cellStyle name="Comma 2 4 4 2 2 6 2 3" xfId="27922" xr:uid="{00000000-0005-0000-0000-0000C1400000}"/>
    <cellStyle name="Comma 2 4 4 2 2 6 2 3 2" xfId="41964" xr:uid="{00000000-0005-0000-0000-0000C2400000}"/>
    <cellStyle name="Comma 2 4 4 2 2 6 2 4" xfId="31257" xr:uid="{00000000-0005-0000-0000-0000C3400000}"/>
    <cellStyle name="Comma 2 4 4 2 2 6 2 5" xfId="35540" xr:uid="{00000000-0005-0000-0000-0000C4400000}"/>
    <cellStyle name="Comma 2 4 4 2 2 6 3" xfId="15609" xr:uid="{00000000-0005-0000-0000-0000C5400000}"/>
    <cellStyle name="Comma 2 4 4 2 2 6 3 2" xfId="24624" xr:uid="{00000000-0005-0000-0000-0000C6400000}"/>
    <cellStyle name="Comma 2 4 4 2 2 6 3 2 2" xfId="44053" xr:uid="{00000000-0005-0000-0000-0000C7400000}"/>
    <cellStyle name="Comma 2 4 4 2 2 6 3 2 3" xfId="37630" xr:uid="{00000000-0005-0000-0000-0000C8400000}"/>
    <cellStyle name="Comma 2 4 4 2 2 6 3 3" xfId="28945" xr:uid="{00000000-0005-0000-0000-0000C9400000}"/>
    <cellStyle name="Comma 2 4 4 2 2 6 3 3 2" xfId="40846" xr:uid="{00000000-0005-0000-0000-0000CA400000}"/>
    <cellStyle name="Comma 2 4 4 2 2 6 3 4" xfId="32280" xr:uid="{00000000-0005-0000-0000-0000CB400000}"/>
    <cellStyle name="Comma 2 4 4 2 2 6 3 5" xfId="34422" xr:uid="{00000000-0005-0000-0000-0000CC400000}"/>
    <cellStyle name="Comma 2 4 4 2 2 6 4" xfId="8427" xr:uid="{00000000-0005-0000-0000-0000CD400000}"/>
    <cellStyle name="Comma 2 4 4 2 2 6 4 2" xfId="43029" xr:uid="{00000000-0005-0000-0000-0000CE400000}"/>
    <cellStyle name="Comma 2 4 4 2 2 6 4 3" xfId="36605" xr:uid="{00000000-0005-0000-0000-0000CF400000}"/>
    <cellStyle name="Comma 2 4 4 2 2 6 5" xfId="21416" xr:uid="{00000000-0005-0000-0000-0000D0400000}"/>
    <cellStyle name="Comma 2 4 4 2 2 6 5 2" xfId="39822" xr:uid="{00000000-0005-0000-0000-0000D1400000}"/>
    <cellStyle name="Comma 2 4 4 2 2 6 6" xfId="22489" xr:uid="{00000000-0005-0000-0000-0000D2400000}"/>
    <cellStyle name="Comma 2 4 4 2 2 6 7" xfId="23600" xr:uid="{00000000-0005-0000-0000-0000D3400000}"/>
    <cellStyle name="Comma 2 4 4 2 2 6 8" xfId="26811" xr:uid="{00000000-0005-0000-0000-0000D4400000}"/>
    <cellStyle name="Comma 2 4 4 2 2 6 9" xfId="30144" xr:uid="{00000000-0005-0000-0000-0000D5400000}"/>
    <cellStyle name="Comma 2 4 4 2 2 7" xfId="9110" xr:uid="{00000000-0005-0000-0000-0000D6400000}"/>
    <cellStyle name="Comma 2 4 4 2 2 7 2" xfId="25164" xr:uid="{00000000-0005-0000-0000-0000D7400000}"/>
    <cellStyle name="Comma 2 4 4 2 2 7 2 2" xfId="44591" xr:uid="{00000000-0005-0000-0000-0000D8400000}"/>
    <cellStyle name="Comma 2 4 4 2 2 7 2 3" xfId="38168" xr:uid="{00000000-0005-0000-0000-0000D9400000}"/>
    <cellStyle name="Comma 2 4 4 2 2 7 3" xfId="27343" xr:uid="{00000000-0005-0000-0000-0000DA400000}"/>
    <cellStyle name="Comma 2 4 4 2 2 7 3 2" xfId="41384" xr:uid="{00000000-0005-0000-0000-0000DB400000}"/>
    <cellStyle name="Comma 2 4 4 2 2 7 4" xfId="30678" xr:uid="{00000000-0005-0000-0000-0000DC400000}"/>
    <cellStyle name="Comma 2 4 4 2 2 7 5" xfId="34960" xr:uid="{00000000-0005-0000-0000-0000DD400000}"/>
    <cellStyle name="Comma 2 4 4 2 2 8" xfId="15604" xr:uid="{00000000-0005-0000-0000-0000DE400000}"/>
    <cellStyle name="Comma 2 4 4 2 2 8 2" xfId="24619" xr:uid="{00000000-0005-0000-0000-0000DF400000}"/>
    <cellStyle name="Comma 2 4 4 2 2 8 2 2" xfId="44048" xr:uid="{00000000-0005-0000-0000-0000E0400000}"/>
    <cellStyle name="Comma 2 4 4 2 2 8 2 3" xfId="37625" xr:uid="{00000000-0005-0000-0000-0000E1400000}"/>
    <cellStyle name="Comma 2 4 4 2 2 8 3" xfId="28940" xr:uid="{00000000-0005-0000-0000-0000E2400000}"/>
    <cellStyle name="Comma 2 4 4 2 2 8 3 2" xfId="40841" xr:uid="{00000000-0005-0000-0000-0000E3400000}"/>
    <cellStyle name="Comma 2 4 4 2 2 8 4" xfId="32275" xr:uid="{00000000-0005-0000-0000-0000E4400000}"/>
    <cellStyle name="Comma 2 4 4 2 2 8 5" xfId="34417" xr:uid="{00000000-0005-0000-0000-0000E5400000}"/>
    <cellStyle name="Comma 2 4 4 2 2 9" xfId="8422" xr:uid="{00000000-0005-0000-0000-0000E6400000}"/>
    <cellStyle name="Comma 2 4 4 2 2 9 2" xfId="42454" xr:uid="{00000000-0005-0000-0000-0000E7400000}"/>
    <cellStyle name="Comma 2 4 4 2 2 9 3" xfId="36030" xr:uid="{00000000-0005-0000-0000-0000E8400000}"/>
    <cellStyle name="Comma 2 4 4 2 3" xfId="1175" xr:uid="{00000000-0005-0000-0000-0000E9400000}"/>
    <cellStyle name="Comma 2 4 4 2 3 10" xfId="22490" xr:uid="{00000000-0005-0000-0000-0000EA400000}"/>
    <cellStyle name="Comma 2 4 4 2 3 11" xfId="23601" xr:uid="{00000000-0005-0000-0000-0000EB400000}"/>
    <cellStyle name="Comma 2 4 4 2 3 12" xfId="26812" xr:uid="{00000000-0005-0000-0000-0000EC400000}"/>
    <cellStyle name="Comma 2 4 4 2 3 13" xfId="30145" xr:uid="{00000000-0005-0000-0000-0000ED400000}"/>
    <cellStyle name="Comma 2 4 4 2 3 14" xfId="33399" xr:uid="{00000000-0005-0000-0000-0000EE400000}"/>
    <cellStyle name="Comma 2 4 4 2 3 2" xfId="1176" xr:uid="{00000000-0005-0000-0000-0000EF400000}"/>
    <cellStyle name="Comma 2 4 4 2 3 2 10" xfId="33400" xr:uid="{00000000-0005-0000-0000-0000F0400000}"/>
    <cellStyle name="Comma 2 4 4 2 3 2 2" xfId="9946" xr:uid="{00000000-0005-0000-0000-0000F1400000}"/>
    <cellStyle name="Comma 2 4 4 2 3 2 2 2" xfId="25746" xr:uid="{00000000-0005-0000-0000-0000F2400000}"/>
    <cellStyle name="Comma 2 4 4 2 3 2 2 2 2" xfId="45173" xr:uid="{00000000-0005-0000-0000-0000F3400000}"/>
    <cellStyle name="Comma 2 4 4 2 3 2 2 2 3" xfId="38750" xr:uid="{00000000-0005-0000-0000-0000F4400000}"/>
    <cellStyle name="Comma 2 4 4 2 3 2 2 3" xfId="27924" xr:uid="{00000000-0005-0000-0000-0000F5400000}"/>
    <cellStyle name="Comma 2 4 4 2 3 2 2 3 2" xfId="41966" xr:uid="{00000000-0005-0000-0000-0000F6400000}"/>
    <cellStyle name="Comma 2 4 4 2 3 2 2 4" xfId="31259" xr:uid="{00000000-0005-0000-0000-0000F7400000}"/>
    <cellStyle name="Comma 2 4 4 2 3 2 2 5" xfId="35542" xr:uid="{00000000-0005-0000-0000-0000F8400000}"/>
    <cellStyle name="Comma 2 4 4 2 3 2 3" xfId="15611" xr:uid="{00000000-0005-0000-0000-0000F9400000}"/>
    <cellStyle name="Comma 2 4 4 2 3 2 3 2" xfId="24626" xr:uid="{00000000-0005-0000-0000-0000FA400000}"/>
    <cellStyle name="Comma 2 4 4 2 3 2 3 2 2" xfId="44055" xr:uid="{00000000-0005-0000-0000-0000FB400000}"/>
    <cellStyle name="Comma 2 4 4 2 3 2 3 2 3" xfId="37632" xr:uid="{00000000-0005-0000-0000-0000FC400000}"/>
    <cellStyle name="Comma 2 4 4 2 3 2 3 3" xfId="28947" xr:uid="{00000000-0005-0000-0000-0000FD400000}"/>
    <cellStyle name="Comma 2 4 4 2 3 2 3 3 2" xfId="40848" xr:uid="{00000000-0005-0000-0000-0000FE400000}"/>
    <cellStyle name="Comma 2 4 4 2 3 2 3 4" xfId="32282" xr:uid="{00000000-0005-0000-0000-0000FF400000}"/>
    <cellStyle name="Comma 2 4 4 2 3 2 3 5" xfId="34424" xr:uid="{00000000-0005-0000-0000-000000410000}"/>
    <cellStyle name="Comma 2 4 4 2 3 2 4" xfId="8429" xr:uid="{00000000-0005-0000-0000-000001410000}"/>
    <cellStyle name="Comma 2 4 4 2 3 2 4 2" xfId="43031" xr:uid="{00000000-0005-0000-0000-000002410000}"/>
    <cellStyle name="Comma 2 4 4 2 3 2 4 3" xfId="36607" xr:uid="{00000000-0005-0000-0000-000003410000}"/>
    <cellStyle name="Comma 2 4 4 2 3 2 5" xfId="21418" xr:uid="{00000000-0005-0000-0000-000004410000}"/>
    <cellStyle name="Comma 2 4 4 2 3 2 5 2" xfId="39824" xr:uid="{00000000-0005-0000-0000-000005410000}"/>
    <cellStyle name="Comma 2 4 4 2 3 2 6" xfId="22491" xr:uid="{00000000-0005-0000-0000-000006410000}"/>
    <cellStyle name="Comma 2 4 4 2 3 2 7" xfId="23602" xr:uid="{00000000-0005-0000-0000-000007410000}"/>
    <cellStyle name="Comma 2 4 4 2 3 2 8" xfId="26813" xr:uid="{00000000-0005-0000-0000-000008410000}"/>
    <cellStyle name="Comma 2 4 4 2 3 2 9" xfId="30146" xr:uid="{00000000-0005-0000-0000-000009410000}"/>
    <cellStyle name="Comma 2 4 4 2 3 3" xfId="1177" xr:uid="{00000000-0005-0000-0000-00000A410000}"/>
    <cellStyle name="Comma 2 4 4 2 3 3 10" xfId="33401" xr:uid="{00000000-0005-0000-0000-00000B410000}"/>
    <cellStyle name="Comma 2 4 4 2 3 3 2" xfId="9947" xr:uid="{00000000-0005-0000-0000-00000C410000}"/>
    <cellStyle name="Comma 2 4 4 2 3 3 2 2" xfId="25747" xr:uid="{00000000-0005-0000-0000-00000D410000}"/>
    <cellStyle name="Comma 2 4 4 2 3 3 2 2 2" xfId="45174" xr:uid="{00000000-0005-0000-0000-00000E410000}"/>
    <cellStyle name="Comma 2 4 4 2 3 3 2 2 3" xfId="38751" xr:uid="{00000000-0005-0000-0000-00000F410000}"/>
    <cellStyle name="Comma 2 4 4 2 3 3 2 3" xfId="27925" xr:uid="{00000000-0005-0000-0000-000010410000}"/>
    <cellStyle name="Comma 2 4 4 2 3 3 2 3 2" xfId="41967" xr:uid="{00000000-0005-0000-0000-000011410000}"/>
    <cellStyle name="Comma 2 4 4 2 3 3 2 4" xfId="31260" xr:uid="{00000000-0005-0000-0000-000012410000}"/>
    <cellStyle name="Comma 2 4 4 2 3 3 2 5" xfId="35543" xr:uid="{00000000-0005-0000-0000-000013410000}"/>
    <cellStyle name="Comma 2 4 4 2 3 3 3" xfId="15612" xr:uid="{00000000-0005-0000-0000-000014410000}"/>
    <cellStyle name="Comma 2 4 4 2 3 3 3 2" xfId="24627" xr:uid="{00000000-0005-0000-0000-000015410000}"/>
    <cellStyle name="Comma 2 4 4 2 3 3 3 2 2" xfId="44056" xr:uid="{00000000-0005-0000-0000-000016410000}"/>
    <cellStyle name="Comma 2 4 4 2 3 3 3 2 3" xfId="37633" xr:uid="{00000000-0005-0000-0000-000017410000}"/>
    <cellStyle name="Comma 2 4 4 2 3 3 3 3" xfId="28948" xr:uid="{00000000-0005-0000-0000-000018410000}"/>
    <cellStyle name="Comma 2 4 4 2 3 3 3 3 2" xfId="40849" xr:uid="{00000000-0005-0000-0000-000019410000}"/>
    <cellStyle name="Comma 2 4 4 2 3 3 3 4" xfId="32283" xr:uid="{00000000-0005-0000-0000-00001A410000}"/>
    <cellStyle name="Comma 2 4 4 2 3 3 3 5" xfId="34425" xr:uid="{00000000-0005-0000-0000-00001B410000}"/>
    <cellStyle name="Comma 2 4 4 2 3 3 4" xfId="8430" xr:uid="{00000000-0005-0000-0000-00001C410000}"/>
    <cellStyle name="Comma 2 4 4 2 3 3 4 2" xfId="43032" xr:uid="{00000000-0005-0000-0000-00001D410000}"/>
    <cellStyle name="Comma 2 4 4 2 3 3 4 3" xfId="36608" xr:uid="{00000000-0005-0000-0000-00001E410000}"/>
    <cellStyle name="Comma 2 4 4 2 3 3 5" xfId="21419" xr:uid="{00000000-0005-0000-0000-00001F410000}"/>
    <cellStyle name="Comma 2 4 4 2 3 3 5 2" xfId="39825" xr:uid="{00000000-0005-0000-0000-000020410000}"/>
    <cellStyle name="Comma 2 4 4 2 3 3 6" xfId="22492" xr:uid="{00000000-0005-0000-0000-000021410000}"/>
    <cellStyle name="Comma 2 4 4 2 3 3 7" xfId="23603" xr:uid="{00000000-0005-0000-0000-000022410000}"/>
    <cellStyle name="Comma 2 4 4 2 3 3 8" xfId="26814" xr:uid="{00000000-0005-0000-0000-000023410000}"/>
    <cellStyle name="Comma 2 4 4 2 3 3 9" xfId="30147" xr:uid="{00000000-0005-0000-0000-000024410000}"/>
    <cellStyle name="Comma 2 4 4 2 3 4" xfId="1178" xr:uid="{00000000-0005-0000-0000-000025410000}"/>
    <cellStyle name="Comma 2 4 4 2 3 4 10" xfId="33402" xr:uid="{00000000-0005-0000-0000-000026410000}"/>
    <cellStyle name="Comma 2 4 4 2 3 4 2" xfId="9948" xr:uid="{00000000-0005-0000-0000-000027410000}"/>
    <cellStyle name="Comma 2 4 4 2 3 4 2 2" xfId="25748" xr:uid="{00000000-0005-0000-0000-000028410000}"/>
    <cellStyle name="Comma 2 4 4 2 3 4 2 2 2" xfId="45175" xr:uid="{00000000-0005-0000-0000-000029410000}"/>
    <cellStyle name="Comma 2 4 4 2 3 4 2 2 3" xfId="38752" xr:uid="{00000000-0005-0000-0000-00002A410000}"/>
    <cellStyle name="Comma 2 4 4 2 3 4 2 3" xfId="27926" xr:uid="{00000000-0005-0000-0000-00002B410000}"/>
    <cellStyle name="Comma 2 4 4 2 3 4 2 3 2" xfId="41968" xr:uid="{00000000-0005-0000-0000-00002C410000}"/>
    <cellStyle name="Comma 2 4 4 2 3 4 2 4" xfId="31261" xr:uid="{00000000-0005-0000-0000-00002D410000}"/>
    <cellStyle name="Comma 2 4 4 2 3 4 2 5" xfId="35544" xr:uid="{00000000-0005-0000-0000-00002E410000}"/>
    <cellStyle name="Comma 2 4 4 2 3 4 3" xfId="15613" xr:uid="{00000000-0005-0000-0000-00002F410000}"/>
    <cellStyle name="Comma 2 4 4 2 3 4 3 2" xfId="24628" xr:uid="{00000000-0005-0000-0000-000030410000}"/>
    <cellStyle name="Comma 2 4 4 2 3 4 3 2 2" xfId="44057" xr:uid="{00000000-0005-0000-0000-000031410000}"/>
    <cellStyle name="Comma 2 4 4 2 3 4 3 2 3" xfId="37634" xr:uid="{00000000-0005-0000-0000-000032410000}"/>
    <cellStyle name="Comma 2 4 4 2 3 4 3 3" xfId="28949" xr:uid="{00000000-0005-0000-0000-000033410000}"/>
    <cellStyle name="Comma 2 4 4 2 3 4 3 3 2" xfId="40850" xr:uid="{00000000-0005-0000-0000-000034410000}"/>
    <cellStyle name="Comma 2 4 4 2 3 4 3 4" xfId="32284" xr:uid="{00000000-0005-0000-0000-000035410000}"/>
    <cellStyle name="Comma 2 4 4 2 3 4 3 5" xfId="34426" xr:uid="{00000000-0005-0000-0000-000036410000}"/>
    <cellStyle name="Comma 2 4 4 2 3 4 4" xfId="8431" xr:uid="{00000000-0005-0000-0000-000037410000}"/>
    <cellStyle name="Comma 2 4 4 2 3 4 4 2" xfId="43033" xr:uid="{00000000-0005-0000-0000-000038410000}"/>
    <cellStyle name="Comma 2 4 4 2 3 4 4 3" xfId="36609" xr:uid="{00000000-0005-0000-0000-000039410000}"/>
    <cellStyle name="Comma 2 4 4 2 3 4 5" xfId="21420" xr:uid="{00000000-0005-0000-0000-00003A410000}"/>
    <cellStyle name="Comma 2 4 4 2 3 4 5 2" xfId="39826" xr:uid="{00000000-0005-0000-0000-00003B410000}"/>
    <cellStyle name="Comma 2 4 4 2 3 4 6" xfId="22493" xr:uid="{00000000-0005-0000-0000-00003C410000}"/>
    <cellStyle name="Comma 2 4 4 2 3 4 7" xfId="23604" xr:uid="{00000000-0005-0000-0000-00003D410000}"/>
    <cellStyle name="Comma 2 4 4 2 3 4 8" xfId="26815" xr:uid="{00000000-0005-0000-0000-00003E410000}"/>
    <cellStyle name="Comma 2 4 4 2 3 4 9" xfId="30148" xr:uid="{00000000-0005-0000-0000-00003F410000}"/>
    <cellStyle name="Comma 2 4 4 2 3 5" xfId="1179" xr:uid="{00000000-0005-0000-0000-000040410000}"/>
    <cellStyle name="Comma 2 4 4 2 3 5 10" xfId="33403" xr:uid="{00000000-0005-0000-0000-000041410000}"/>
    <cellStyle name="Comma 2 4 4 2 3 5 2" xfId="9949" xr:uid="{00000000-0005-0000-0000-000042410000}"/>
    <cellStyle name="Comma 2 4 4 2 3 5 2 2" xfId="25749" xr:uid="{00000000-0005-0000-0000-000043410000}"/>
    <cellStyle name="Comma 2 4 4 2 3 5 2 2 2" xfId="45176" xr:uid="{00000000-0005-0000-0000-000044410000}"/>
    <cellStyle name="Comma 2 4 4 2 3 5 2 2 3" xfId="38753" xr:uid="{00000000-0005-0000-0000-000045410000}"/>
    <cellStyle name="Comma 2 4 4 2 3 5 2 3" xfId="27927" xr:uid="{00000000-0005-0000-0000-000046410000}"/>
    <cellStyle name="Comma 2 4 4 2 3 5 2 3 2" xfId="41969" xr:uid="{00000000-0005-0000-0000-000047410000}"/>
    <cellStyle name="Comma 2 4 4 2 3 5 2 4" xfId="31262" xr:uid="{00000000-0005-0000-0000-000048410000}"/>
    <cellStyle name="Comma 2 4 4 2 3 5 2 5" xfId="35545" xr:uid="{00000000-0005-0000-0000-000049410000}"/>
    <cellStyle name="Comma 2 4 4 2 3 5 3" xfId="15614" xr:uid="{00000000-0005-0000-0000-00004A410000}"/>
    <cellStyle name="Comma 2 4 4 2 3 5 3 2" xfId="24629" xr:uid="{00000000-0005-0000-0000-00004B410000}"/>
    <cellStyle name="Comma 2 4 4 2 3 5 3 2 2" xfId="44058" xr:uid="{00000000-0005-0000-0000-00004C410000}"/>
    <cellStyle name="Comma 2 4 4 2 3 5 3 2 3" xfId="37635" xr:uid="{00000000-0005-0000-0000-00004D410000}"/>
    <cellStyle name="Comma 2 4 4 2 3 5 3 3" xfId="28950" xr:uid="{00000000-0005-0000-0000-00004E410000}"/>
    <cellStyle name="Comma 2 4 4 2 3 5 3 3 2" xfId="40851" xr:uid="{00000000-0005-0000-0000-00004F410000}"/>
    <cellStyle name="Comma 2 4 4 2 3 5 3 4" xfId="32285" xr:uid="{00000000-0005-0000-0000-000050410000}"/>
    <cellStyle name="Comma 2 4 4 2 3 5 3 5" xfId="34427" xr:uid="{00000000-0005-0000-0000-000051410000}"/>
    <cellStyle name="Comma 2 4 4 2 3 5 4" xfId="8432" xr:uid="{00000000-0005-0000-0000-000052410000}"/>
    <cellStyle name="Comma 2 4 4 2 3 5 4 2" xfId="43034" xr:uid="{00000000-0005-0000-0000-000053410000}"/>
    <cellStyle name="Comma 2 4 4 2 3 5 4 3" xfId="36610" xr:uid="{00000000-0005-0000-0000-000054410000}"/>
    <cellStyle name="Comma 2 4 4 2 3 5 5" xfId="21421" xr:uid="{00000000-0005-0000-0000-000055410000}"/>
    <cellStyle name="Comma 2 4 4 2 3 5 5 2" xfId="39827" xr:uid="{00000000-0005-0000-0000-000056410000}"/>
    <cellStyle name="Comma 2 4 4 2 3 5 6" xfId="22494" xr:uid="{00000000-0005-0000-0000-000057410000}"/>
    <cellStyle name="Comma 2 4 4 2 3 5 7" xfId="23605" xr:uid="{00000000-0005-0000-0000-000058410000}"/>
    <cellStyle name="Comma 2 4 4 2 3 5 8" xfId="26816" xr:uid="{00000000-0005-0000-0000-000059410000}"/>
    <cellStyle name="Comma 2 4 4 2 3 5 9" xfId="30149" xr:uid="{00000000-0005-0000-0000-00005A410000}"/>
    <cellStyle name="Comma 2 4 4 2 3 6" xfId="9945" xr:uid="{00000000-0005-0000-0000-00005B410000}"/>
    <cellStyle name="Comma 2 4 4 2 3 6 2" xfId="25745" xr:uid="{00000000-0005-0000-0000-00005C410000}"/>
    <cellStyle name="Comma 2 4 4 2 3 6 2 2" xfId="45172" xr:uid="{00000000-0005-0000-0000-00005D410000}"/>
    <cellStyle name="Comma 2 4 4 2 3 6 2 3" xfId="38749" xr:uid="{00000000-0005-0000-0000-00005E410000}"/>
    <cellStyle name="Comma 2 4 4 2 3 6 3" xfId="27923" xr:uid="{00000000-0005-0000-0000-00005F410000}"/>
    <cellStyle name="Comma 2 4 4 2 3 6 3 2" xfId="41965" xr:uid="{00000000-0005-0000-0000-000060410000}"/>
    <cellStyle name="Comma 2 4 4 2 3 6 4" xfId="31258" xr:uid="{00000000-0005-0000-0000-000061410000}"/>
    <cellStyle name="Comma 2 4 4 2 3 6 5" xfId="35541" xr:uid="{00000000-0005-0000-0000-000062410000}"/>
    <cellStyle name="Comma 2 4 4 2 3 7" xfId="15610" xr:uid="{00000000-0005-0000-0000-000063410000}"/>
    <cellStyle name="Comma 2 4 4 2 3 7 2" xfId="24625" xr:uid="{00000000-0005-0000-0000-000064410000}"/>
    <cellStyle name="Comma 2 4 4 2 3 7 2 2" xfId="44054" xr:uid="{00000000-0005-0000-0000-000065410000}"/>
    <cellStyle name="Comma 2 4 4 2 3 7 2 3" xfId="37631" xr:uid="{00000000-0005-0000-0000-000066410000}"/>
    <cellStyle name="Comma 2 4 4 2 3 7 3" xfId="28946" xr:uid="{00000000-0005-0000-0000-000067410000}"/>
    <cellStyle name="Comma 2 4 4 2 3 7 3 2" xfId="40847" xr:uid="{00000000-0005-0000-0000-000068410000}"/>
    <cellStyle name="Comma 2 4 4 2 3 7 4" xfId="32281" xr:uid="{00000000-0005-0000-0000-000069410000}"/>
    <cellStyle name="Comma 2 4 4 2 3 7 5" xfId="34423" xr:uid="{00000000-0005-0000-0000-00006A410000}"/>
    <cellStyle name="Comma 2 4 4 2 3 8" xfId="8428" xr:uid="{00000000-0005-0000-0000-00006B410000}"/>
    <cellStyle name="Comma 2 4 4 2 3 8 2" xfId="43030" xr:uid="{00000000-0005-0000-0000-00006C410000}"/>
    <cellStyle name="Comma 2 4 4 2 3 8 3" xfId="36606" xr:uid="{00000000-0005-0000-0000-00006D410000}"/>
    <cellStyle name="Comma 2 4 4 2 3 9" xfId="21417" xr:uid="{00000000-0005-0000-0000-00006E410000}"/>
    <cellStyle name="Comma 2 4 4 2 3 9 2" xfId="39823" xr:uid="{00000000-0005-0000-0000-00006F410000}"/>
    <cellStyle name="Comma 2 4 4 2 4" xfId="1180" xr:uid="{00000000-0005-0000-0000-000070410000}"/>
    <cellStyle name="Comma 2 4 4 2 4 10" xfId="33404" xr:uid="{00000000-0005-0000-0000-000071410000}"/>
    <cellStyle name="Comma 2 4 4 2 4 2" xfId="9950" xr:uid="{00000000-0005-0000-0000-000072410000}"/>
    <cellStyle name="Comma 2 4 4 2 4 2 2" xfId="25750" xr:uid="{00000000-0005-0000-0000-000073410000}"/>
    <cellStyle name="Comma 2 4 4 2 4 2 2 2" xfId="45177" xr:uid="{00000000-0005-0000-0000-000074410000}"/>
    <cellStyle name="Comma 2 4 4 2 4 2 2 3" xfId="38754" xr:uid="{00000000-0005-0000-0000-000075410000}"/>
    <cellStyle name="Comma 2 4 4 2 4 2 3" xfId="27928" xr:uid="{00000000-0005-0000-0000-000076410000}"/>
    <cellStyle name="Comma 2 4 4 2 4 2 3 2" xfId="41970" xr:uid="{00000000-0005-0000-0000-000077410000}"/>
    <cellStyle name="Comma 2 4 4 2 4 2 4" xfId="31263" xr:uid="{00000000-0005-0000-0000-000078410000}"/>
    <cellStyle name="Comma 2 4 4 2 4 2 5" xfId="35546" xr:uid="{00000000-0005-0000-0000-000079410000}"/>
    <cellStyle name="Comma 2 4 4 2 4 3" xfId="15615" xr:uid="{00000000-0005-0000-0000-00007A410000}"/>
    <cellStyle name="Comma 2 4 4 2 4 3 2" xfId="24630" xr:uid="{00000000-0005-0000-0000-00007B410000}"/>
    <cellStyle name="Comma 2 4 4 2 4 3 2 2" xfId="44059" xr:uid="{00000000-0005-0000-0000-00007C410000}"/>
    <cellStyle name="Comma 2 4 4 2 4 3 2 3" xfId="37636" xr:uid="{00000000-0005-0000-0000-00007D410000}"/>
    <cellStyle name="Comma 2 4 4 2 4 3 3" xfId="28951" xr:uid="{00000000-0005-0000-0000-00007E410000}"/>
    <cellStyle name="Comma 2 4 4 2 4 3 3 2" xfId="40852" xr:uid="{00000000-0005-0000-0000-00007F410000}"/>
    <cellStyle name="Comma 2 4 4 2 4 3 4" xfId="32286" xr:uid="{00000000-0005-0000-0000-000080410000}"/>
    <cellStyle name="Comma 2 4 4 2 4 3 5" xfId="34428" xr:uid="{00000000-0005-0000-0000-000081410000}"/>
    <cellStyle name="Comma 2 4 4 2 4 4" xfId="8433" xr:uid="{00000000-0005-0000-0000-000082410000}"/>
    <cellStyle name="Comma 2 4 4 2 4 4 2" xfId="43035" xr:uid="{00000000-0005-0000-0000-000083410000}"/>
    <cellStyle name="Comma 2 4 4 2 4 4 3" xfId="36611" xr:uid="{00000000-0005-0000-0000-000084410000}"/>
    <cellStyle name="Comma 2 4 4 2 4 5" xfId="21422" xr:uid="{00000000-0005-0000-0000-000085410000}"/>
    <cellStyle name="Comma 2 4 4 2 4 5 2" xfId="39828" xr:uid="{00000000-0005-0000-0000-000086410000}"/>
    <cellStyle name="Comma 2 4 4 2 4 6" xfId="22495" xr:uid="{00000000-0005-0000-0000-000087410000}"/>
    <cellStyle name="Comma 2 4 4 2 4 7" xfId="23606" xr:uid="{00000000-0005-0000-0000-000088410000}"/>
    <cellStyle name="Comma 2 4 4 2 4 8" xfId="26817" xr:uid="{00000000-0005-0000-0000-000089410000}"/>
    <cellStyle name="Comma 2 4 4 2 4 9" xfId="30150" xr:uid="{00000000-0005-0000-0000-00008A410000}"/>
    <cellStyle name="Comma 2 4 4 2 5" xfId="1181" xr:uid="{00000000-0005-0000-0000-00008B410000}"/>
    <cellStyle name="Comma 2 4 4 2 5 10" xfId="33405" xr:uid="{00000000-0005-0000-0000-00008C410000}"/>
    <cellStyle name="Comma 2 4 4 2 5 2" xfId="9951" xr:uid="{00000000-0005-0000-0000-00008D410000}"/>
    <cellStyle name="Comma 2 4 4 2 5 2 2" xfId="25751" xr:uid="{00000000-0005-0000-0000-00008E410000}"/>
    <cellStyle name="Comma 2 4 4 2 5 2 2 2" xfId="45178" xr:uid="{00000000-0005-0000-0000-00008F410000}"/>
    <cellStyle name="Comma 2 4 4 2 5 2 2 3" xfId="38755" xr:uid="{00000000-0005-0000-0000-000090410000}"/>
    <cellStyle name="Comma 2 4 4 2 5 2 3" xfId="27929" xr:uid="{00000000-0005-0000-0000-000091410000}"/>
    <cellStyle name="Comma 2 4 4 2 5 2 3 2" xfId="41971" xr:uid="{00000000-0005-0000-0000-000092410000}"/>
    <cellStyle name="Comma 2 4 4 2 5 2 4" xfId="31264" xr:uid="{00000000-0005-0000-0000-000093410000}"/>
    <cellStyle name="Comma 2 4 4 2 5 2 5" xfId="35547" xr:uid="{00000000-0005-0000-0000-000094410000}"/>
    <cellStyle name="Comma 2 4 4 2 5 3" xfId="15616" xr:uid="{00000000-0005-0000-0000-000095410000}"/>
    <cellStyle name="Comma 2 4 4 2 5 3 2" xfId="24631" xr:uid="{00000000-0005-0000-0000-000096410000}"/>
    <cellStyle name="Comma 2 4 4 2 5 3 2 2" xfId="44060" xr:uid="{00000000-0005-0000-0000-000097410000}"/>
    <cellStyle name="Comma 2 4 4 2 5 3 2 3" xfId="37637" xr:uid="{00000000-0005-0000-0000-000098410000}"/>
    <cellStyle name="Comma 2 4 4 2 5 3 3" xfId="28952" xr:uid="{00000000-0005-0000-0000-000099410000}"/>
    <cellStyle name="Comma 2 4 4 2 5 3 3 2" xfId="40853" xr:uid="{00000000-0005-0000-0000-00009A410000}"/>
    <cellStyle name="Comma 2 4 4 2 5 3 4" xfId="32287" xr:uid="{00000000-0005-0000-0000-00009B410000}"/>
    <cellStyle name="Comma 2 4 4 2 5 3 5" xfId="34429" xr:uid="{00000000-0005-0000-0000-00009C410000}"/>
    <cellStyle name="Comma 2 4 4 2 5 4" xfId="8434" xr:uid="{00000000-0005-0000-0000-00009D410000}"/>
    <cellStyle name="Comma 2 4 4 2 5 4 2" xfId="43036" xr:uid="{00000000-0005-0000-0000-00009E410000}"/>
    <cellStyle name="Comma 2 4 4 2 5 4 3" xfId="36612" xr:uid="{00000000-0005-0000-0000-00009F410000}"/>
    <cellStyle name="Comma 2 4 4 2 5 5" xfId="21423" xr:uid="{00000000-0005-0000-0000-0000A0410000}"/>
    <cellStyle name="Comma 2 4 4 2 5 5 2" xfId="39829" xr:uid="{00000000-0005-0000-0000-0000A1410000}"/>
    <cellStyle name="Comma 2 4 4 2 5 6" xfId="22496" xr:uid="{00000000-0005-0000-0000-0000A2410000}"/>
    <cellStyle name="Comma 2 4 4 2 5 7" xfId="23607" xr:uid="{00000000-0005-0000-0000-0000A3410000}"/>
    <cellStyle name="Comma 2 4 4 2 5 8" xfId="26818" xr:uid="{00000000-0005-0000-0000-0000A4410000}"/>
    <cellStyle name="Comma 2 4 4 2 5 9" xfId="30151" xr:uid="{00000000-0005-0000-0000-0000A5410000}"/>
    <cellStyle name="Comma 2 4 4 2 6" xfId="1182" xr:uid="{00000000-0005-0000-0000-0000A6410000}"/>
    <cellStyle name="Comma 2 4 4 2 6 10" xfId="33406" xr:uid="{00000000-0005-0000-0000-0000A7410000}"/>
    <cellStyle name="Comma 2 4 4 2 6 2" xfId="9952" xr:uid="{00000000-0005-0000-0000-0000A8410000}"/>
    <cellStyle name="Comma 2 4 4 2 6 2 2" xfId="25752" xr:uid="{00000000-0005-0000-0000-0000A9410000}"/>
    <cellStyle name="Comma 2 4 4 2 6 2 2 2" xfId="45179" xr:uid="{00000000-0005-0000-0000-0000AA410000}"/>
    <cellStyle name="Comma 2 4 4 2 6 2 2 3" xfId="38756" xr:uid="{00000000-0005-0000-0000-0000AB410000}"/>
    <cellStyle name="Comma 2 4 4 2 6 2 3" xfId="27930" xr:uid="{00000000-0005-0000-0000-0000AC410000}"/>
    <cellStyle name="Comma 2 4 4 2 6 2 3 2" xfId="41972" xr:uid="{00000000-0005-0000-0000-0000AD410000}"/>
    <cellStyle name="Comma 2 4 4 2 6 2 4" xfId="31265" xr:uid="{00000000-0005-0000-0000-0000AE410000}"/>
    <cellStyle name="Comma 2 4 4 2 6 2 5" xfId="35548" xr:uid="{00000000-0005-0000-0000-0000AF410000}"/>
    <cellStyle name="Comma 2 4 4 2 6 3" xfId="15617" xr:uid="{00000000-0005-0000-0000-0000B0410000}"/>
    <cellStyle name="Comma 2 4 4 2 6 3 2" xfId="24632" xr:uid="{00000000-0005-0000-0000-0000B1410000}"/>
    <cellStyle name="Comma 2 4 4 2 6 3 2 2" xfId="44061" xr:uid="{00000000-0005-0000-0000-0000B2410000}"/>
    <cellStyle name="Comma 2 4 4 2 6 3 2 3" xfId="37638" xr:uid="{00000000-0005-0000-0000-0000B3410000}"/>
    <cellStyle name="Comma 2 4 4 2 6 3 3" xfId="28953" xr:uid="{00000000-0005-0000-0000-0000B4410000}"/>
    <cellStyle name="Comma 2 4 4 2 6 3 3 2" xfId="40854" xr:uid="{00000000-0005-0000-0000-0000B5410000}"/>
    <cellStyle name="Comma 2 4 4 2 6 3 4" xfId="32288" xr:uid="{00000000-0005-0000-0000-0000B6410000}"/>
    <cellStyle name="Comma 2 4 4 2 6 3 5" xfId="34430" xr:uid="{00000000-0005-0000-0000-0000B7410000}"/>
    <cellStyle name="Comma 2 4 4 2 6 4" xfId="8435" xr:uid="{00000000-0005-0000-0000-0000B8410000}"/>
    <cellStyle name="Comma 2 4 4 2 6 4 2" xfId="43037" xr:uid="{00000000-0005-0000-0000-0000B9410000}"/>
    <cellStyle name="Comma 2 4 4 2 6 4 3" xfId="36613" xr:uid="{00000000-0005-0000-0000-0000BA410000}"/>
    <cellStyle name="Comma 2 4 4 2 6 5" xfId="21424" xr:uid="{00000000-0005-0000-0000-0000BB410000}"/>
    <cellStyle name="Comma 2 4 4 2 6 5 2" xfId="39830" xr:uid="{00000000-0005-0000-0000-0000BC410000}"/>
    <cellStyle name="Comma 2 4 4 2 6 6" xfId="22497" xr:uid="{00000000-0005-0000-0000-0000BD410000}"/>
    <cellStyle name="Comma 2 4 4 2 6 7" xfId="23608" xr:uid="{00000000-0005-0000-0000-0000BE410000}"/>
    <cellStyle name="Comma 2 4 4 2 6 8" xfId="26819" xr:uid="{00000000-0005-0000-0000-0000BF410000}"/>
    <cellStyle name="Comma 2 4 4 2 6 9" xfId="30152" xr:uid="{00000000-0005-0000-0000-0000C0410000}"/>
    <cellStyle name="Comma 2 4 4 2 7" xfId="1183" xr:uid="{00000000-0005-0000-0000-0000C1410000}"/>
    <cellStyle name="Comma 2 4 4 2 7 10" xfId="33407" xr:uid="{00000000-0005-0000-0000-0000C2410000}"/>
    <cellStyle name="Comma 2 4 4 2 7 2" xfId="9953" xr:uid="{00000000-0005-0000-0000-0000C3410000}"/>
    <cellStyle name="Comma 2 4 4 2 7 2 2" xfId="25753" xr:uid="{00000000-0005-0000-0000-0000C4410000}"/>
    <cellStyle name="Comma 2 4 4 2 7 2 2 2" xfId="45180" xr:uid="{00000000-0005-0000-0000-0000C5410000}"/>
    <cellStyle name="Comma 2 4 4 2 7 2 2 3" xfId="38757" xr:uid="{00000000-0005-0000-0000-0000C6410000}"/>
    <cellStyle name="Comma 2 4 4 2 7 2 3" xfId="27931" xr:uid="{00000000-0005-0000-0000-0000C7410000}"/>
    <cellStyle name="Comma 2 4 4 2 7 2 3 2" xfId="41973" xr:uid="{00000000-0005-0000-0000-0000C8410000}"/>
    <cellStyle name="Comma 2 4 4 2 7 2 4" xfId="31266" xr:uid="{00000000-0005-0000-0000-0000C9410000}"/>
    <cellStyle name="Comma 2 4 4 2 7 2 5" xfId="35549" xr:uid="{00000000-0005-0000-0000-0000CA410000}"/>
    <cellStyle name="Comma 2 4 4 2 7 3" xfId="15618" xr:uid="{00000000-0005-0000-0000-0000CB410000}"/>
    <cellStyle name="Comma 2 4 4 2 7 3 2" xfId="24633" xr:uid="{00000000-0005-0000-0000-0000CC410000}"/>
    <cellStyle name="Comma 2 4 4 2 7 3 2 2" xfId="44062" xr:uid="{00000000-0005-0000-0000-0000CD410000}"/>
    <cellStyle name="Comma 2 4 4 2 7 3 2 3" xfId="37639" xr:uid="{00000000-0005-0000-0000-0000CE410000}"/>
    <cellStyle name="Comma 2 4 4 2 7 3 3" xfId="28954" xr:uid="{00000000-0005-0000-0000-0000CF410000}"/>
    <cellStyle name="Comma 2 4 4 2 7 3 3 2" xfId="40855" xr:uid="{00000000-0005-0000-0000-0000D0410000}"/>
    <cellStyle name="Comma 2 4 4 2 7 3 4" xfId="32289" xr:uid="{00000000-0005-0000-0000-0000D1410000}"/>
    <cellStyle name="Comma 2 4 4 2 7 3 5" xfId="34431" xr:uid="{00000000-0005-0000-0000-0000D2410000}"/>
    <cellStyle name="Comma 2 4 4 2 7 4" xfId="8436" xr:uid="{00000000-0005-0000-0000-0000D3410000}"/>
    <cellStyle name="Comma 2 4 4 2 7 4 2" xfId="43038" xr:uid="{00000000-0005-0000-0000-0000D4410000}"/>
    <cellStyle name="Comma 2 4 4 2 7 4 3" xfId="36614" xr:uid="{00000000-0005-0000-0000-0000D5410000}"/>
    <cellStyle name="Comma 2 4 4 2 7 5" xfId="21425" xr:uid="{00000000-0005-0000-0000-0000D6410000}"/>
    <cellStyle name="Comma 2 4 4 2 7 5 2" xfId="39831" xr:uid="{00000000-0005-0000-0000-0000D7410000}"/>
    <cellStyle name="Comma 2 4 4 2 7 6" xfId="22498" xr:uid="{00000000-0005-0000-0000-0000D8410000}"/>
    <cellStyle name="Comma 2 4 4 2 7 7" xfId="23609" xr:uid="{00000000-0005-0000-0000-0000D9410000}"/>
    <cellStyle name="Comma 2 4 4 2 7 8" xfId="26820" xr:uid="{00000000-0005-0000-0000-0000DA410000}"/>
    <cellStyle name="Comma 2 4 4 2 7 9" xfId="30153" xr:uid="{00000000-0005-0000-0000-0000DB410000}"/>
    <cellStyle name="Comma 2 4 4 2 8" xfId="1184" xr:uid="{00000000-0005-0000-0000-0000DC410000}"/>
    <cellStyle name="Comma 2 4 4 2 8 10" xfId="33408" xr:uid="{00000000-0005-0000-0000-0000DD410000}"/>
    <cellStyle name="Comma 2 4 4 2 8 2" xfId="9954" xr:uid="{00000000-0005-0000-0000-0000DE410000}"/>
    <cellStyle name="Comma 2 4 4 2 8 2 2" xfId="25754" xr:uid="{00000000-0005-0000-0000-0000DF410000}"/>
    <cellStyle name="Comma 2 4 4 2 8 2 2 2" xfId="45181" xr:uid="{00000000-0005-0000-0000-0000E0410000}"/>
    <cellStyle name="Comma 2 4 4 2 8 2 2 3" xfId="38758" xr:uid="{00000000-0005-0000-0000-0000E1410000}"/>
    <cellStyle name="Comma 2 4 4 2 8 2 3" xfId="27932" xr:uid="{00000000-0005-0000-0000-0000E2410000}"/>
    <cellStyle name="Comma 2 4 4 2 8 2 3 2" xfId="41974" xr:uid="{00000000-0005-0000-0000-0000E3410000}"/>
    <cellStyle name="Comma 2 4 4 2 8 2 4" xfId="31267" xr:uid="{00000000-0005-0000-0000-0000E4410000}"/>
    <cellStyle name="Comma 2 4 4 2 8 2 5" xfId="35550" xr:uid="{00000000-0005-0000-0000-0000E5410000}"/>
    <cellStyle name="Comma 2 4 4 2 8 3" xfId="15619" xr:uid="{00000000-0005-0000-0000-0000E6410000}"/>
    <cellStyle name="Comma 2 4 4 2 8 3 2" xfId="24634" xr:uid="{00000000-0005-0000-0000-0000E7410000}"/>
    <cellStyle name="Comma 2 4 4 2 8 3 2 2" xfId="44063" xr:uid="{00000000-0005-0000-0000-0000E8410000}"/>
    <cellStyle name="Comma 2 4 4 2 8 3 2 3" xfId="37640" xr:uid="{00000000-0005-0000-0000-0000E9410000}"/>
    <cellStyle name="Comma 2 4 4 2 8 3 3" xfId="28955" xr:uid="{00000000-0005-0000-0000-0000EA410000}"/>
    <cellStyle name="Comma 2 4 4 2 8 3 3 2" xfId="40856" xr:uid="{00000000-0005-0000-0000-0000EB410000}"/>
    <cellStyle name="Comma 2 4 4 2 8 3 4" xfId="32290" xr:uid="{00000000-0005-0000-0000-0000EC410000}"/>
    <cellStyle name="Comma 2 4 4 2 8 3 5" xfId="34432" xr:uid="{00000000-0005-0000-0000-0000ED410000}"/>
    <cellStyle name="Comma 2 4 4 2 8 4" xfId="8437" xr:uid="{00000000-0005-0000-0000-0000EE410000}"/>
    <cellStyle name="Comma 2 4 4 2 8 4 2" xfId="43039" xr:uid="{00000000-0005-0000-0000-0000EF410000}"/>
    <cellStyle name="Comma 2 4 4 2 8 4 3" xfId="36615" xr:uid="{00000000-0005-0000-0000-0000F0410000}"/>
    <cellStyle name="Comma 2 4 4 2 8 5" xfId="21426" xr:uid="{00000000-0005-0000-0000-0000F1410000}"/>
    <cellStyle name="Comma 2 4 4 2 8 5 2" xfId="39832" xr:uid="{00000000-0005-0000-0000-0000F2410000}"/>
    <cellStyle name="Comma 2 4 4 2 8 6" xfId="22499" xr:uid="{00000000-0005-0000-0000-0000F3410000}"/>
    <cellStyle name="Comma 2 4 4 2 8 7" xfId="23610" xr:uid="{00000000-0005-0000-0000-0000F4410000}"/>
    <cellStyle name="Comma 2 4 4 2 8 8" xfId="26821" xr:uid="{00000000-0005-0000-0000-0000F5410000}"/>
    <cellStyle name="Comma 2 4 4 2 8 9" xfId="30154" xr:uid="{00000000-0005-0000-0000-0000F6410000}"/>
    <cellStyle name="Comma 2 4 4 2 9" xfId="9113" xr:uid="{00000000-0005-0000-0000-0000F7410000}"/>
    <cellStyle name="Comma 2 4 4 2 9 2" xfId="25167" xr:uid="{00000000-0005-0000-0000-0000F8410000}"/>
    <cellStyle name="Comma 2 4 4 2 9 2 2" xfId="44594" xr:uid="{00000000-0005-0000-0000-0000F9410000}"/>
    <cellStyle name="Comma 2 4 4 2 9 2 3" xfId="38171" xr:uid="{00000000-0005-0000-0000-0000FA410000}"/>
    <cellStyle name="Comma 2 4 4 2 9 3" xfId="27346" xr:uid="{00000000-0005-0000-0000-0000FB410000}"/>
    <cellStyle name="Comma 2 4 4 2 9 3 2" xfId="41387" xr:uid="{00000000-0005-0000-0000-0000FC410000}"/>
    <cellStyle name="Comma 2 4 4 2 9 4" xfId="30681" xr:uid="{00000000-0005-0000-0000-0000FD410000}"/>
    <cellStyle name="Comma 2 4 4 2 9 5" xfId="34963" xr:uid="{00000000-0005-0000-0000-0000FE410000}"/>
    <cellStyle name="Comma 2 4 4 3" xfId="239" xr:uid="{00000000-0005-0000-0000-0000FF410000}"/>
    <cellStyle name="Comma 2 4 4 3 10" xfId="21427" xr:uid="{00000000-0005-0000-0000-000000420000}"/>
    <cellStyle name="Comma 2 4 4 3 10 2" xfId="39239" xr:uid="{00000000-0005-0000-0000-000001420000}"/>
    <cellStyle name="Comma 2 4 4 3 11" xfId="22500" xr:uid="{00000000-0005-0000-0000-000002420000}"/>
    <cellStyle name="Comma 2 4 4 3 12" xfId="23017" xr:uid="{00000000-0005-0000-0000-000003420000}"/>
    <cellStyle name="Comma 2 4 4 3 13" xfId="26822" xr:uid="{00000000-0005-0000-0000-000004420000}"/>
    <cellStyle name="Comma 2 4 4 3 14" xfId="30155" xr:uid="{00000000-0005-0000-0000-000005420000}"/>
    <cellStyle name="Comma 2 4 4 3 15" xfId="32815" xr:uid="{00000000-0005-0000-0000-000006420000}"/>
    <cellStyle name="Comma 2 4 4 3 2" xfId="1185" xr:uid="{00000000-0005-0000-0000-000007420000}"/>
    <cellStyle name="Comma 2 4 4 3 2 10" xfId="33409" xr:uid="{00000000-0005-0000-0000-000008420000}"/>
    <cellStyle name="Comma 2 4 4 3 2 2" xfId="9955" xr:uid="{00000000-0005-0000-0000-000009420000}"/>
    <cellStyle name="Comma 2 4 4 3 2 2 2" xfId="25755" xr:uid="{00000000-0005-0000-0000-00000A420000}"/>
    <cellStyle name="Comma 2 4 4 3 2 2 2 2" xfId="45182" xr:uid="{00000000-0005-0000-0000-00000B420000}"/>
    <cellStyle name="Comma 2 4 4 3 2 2 2 3" xfId="38759" xr:uid="{00000000-0005-0000-0000-00000C420000}"/>
    <cellStyle name="Comma 2 4 4 3 2 2 3" xfId="27933" xr:uid="{00000000-0005-0000-0000-00000D420000}"/>
    <cellStyle name="Comma 2 4 4 3 2 2 3 2" xfId="41975" xr:uid="{00000000-0005-0000-0000-00000E420000}"/>
    <cellStyle name="Comma 2 4 4 3 2 2 4" xfId="31268" xr:uid="{00000000-0005-0000-0000-00000F420000}"/>
    <cellStyle name="Comma 2 4 4 3 2 2 5" xfId="35551" xr:uid="{00000000-0005-0000-0000-000010420000}"/>
    <cellStyle name="Comma 2 4 4 3 2 3" xfId="15621" xr:uid="{00000000-0005-0000-0000-000011420000}"/>
    <cellStyle name="Comma 2 4 4 3 2 3 2" xfId="24636" xr:uid="{00000000-0005-0000-0000-000012420000}"/>
    <cellStyle name="Comma 2 4 4 3 2 3 2 2" xfId="44065" xr:uid="{00000000-0005-0000-0000-000013420000}"/>
    <cellStyle name="Comma 2 4 4 3 2 3 2 3" xfId="37642" xr:uid="{00000000-0005-0000-0000-000014420000}"/>
    <cellStyle name="Comma 2 4 4 3 2 3 3" xfId="28957" xr:uid="{00000000-0005-0000-0000-000015420000}"/>
    <cellStyle name="Comma 2 4 4 3 2 3 3 2" xfId="40858" xr:uid="{00000000-0005-0000-0000-000016420000}"/>
    <cellStyle name="Comma 2 4 4 3 2 3 4" xfId="32292" xr:uid="{00000000-0005-0000-0000-000017420000}"/>
    <cellStyle name="Comma 2 4 4 3 2 3 5" xfId="34434" xr:uid="{00000000-0005-0000-0000-000018420000}"/>
    <cellStyle name="Comma 2 4 4 3 2 4" xfId="8439" xr:uid="{00000000-0005-0000-0000-000019420000}"/>
    <cellStyle name="Comma 2 4 4 3 2 4 2" xfId="43040" xr:uid="{00000000-0005-0000-0000-00001A420000}"/>
    <cellStyle name="Comma 2 4 4 3 2 4 3" xfId="36616" xr:uid="{00000000-0005-0000-0000-00001B420000}"/>
    <cellStyle name="Comma 2 4 4 3 2 5" xfId="21428" xr:uid="{00000000-0005-0000-0000-00001C420000}"/>
    <cellStyle name="Comma 2 4 4 3 2 5 2" xfId="39833" xr:uid="{00000000-0005-0000-0000-00001D420000}"/>
    <cellStyle name="Comma 2 4 4 3 2 6" xfId="22501" xr:uid="{00000000-0005-0000-0000-00001E420000}"/>
    <cellStyle name="Comma 2 4 4 3 2 7" xfId="23611" xr:uid="{00000000-0005-0000-0000-00001F420000}"/>
    <cellStyle name="Comma 2 4 4 3 2 8" xfId="26823" xr:uid="{00000000-0005-0000-0000-000020420000}"/>
    <cellStyle name="Comma 2 4 4 3 2 9" xfId="30156" xr:uid="{00000000-0005-0000-0000-000021420000}"/>
    <cellStyle name="Comma 2 4 4 3 3" xfId="1186" xr:uid="{00000000-0005-0000-0000-000022420000}"/>
    <cellStyle name="Comma 2 4 4 3 3 10" xfId="33410" xr:uid="{00000000-0005-0000-0000-000023420000}"/>
    <cellStyle name="Comma 2 4 4 3 3 2" xfId="9956" xr:uid="{00000000-0005-0000-0000-000024420000}"/>
    <cellStyle name="Comma 2 4 4 3 3 2 2" xfId="25756" xr:uid="{00000000-0005-0000-0000-000025420000}"/>
    <cellStyle name="Comma 2 4 4 3 3 2 2 2" xfId="45183" xr:uid="{00000000-0005-0000-0000-000026420000}"/>
    <cellStyle name="Comma 2 4 4 3 3 2 2 3" xfId="38760" xr:uid="{00000000-0005-0000-0000-000027420000}"/>
    <cellStyle name="Comma 2 4 4 3 3 2 3" xfId="27934" xr:uid="{00000000-0005-0000-0000-000028420000}"/>
    <cellStyle name="Comma 2 4 4 3 3 2 3 2" xfId="41976" xr:uid="{00000000-0005-0000-0000-000029420000}"/>
    <cellStyle name="Comma 2 4 4 3 3 2 4" xfId="31269" xr:uid="{00000000-0005-0000-0000-00002A420000}"/>
    <cellStyle name="Comma 2 4 4 3 3 2 5" xfId="35552" xr:uid="{00000000-0005-0000-0000-00002B420000}"/>
    <cellStyle name="Comma 2 4 4 3 3 3" xfId="15622" xr:uid="{00000000-0005-0000-0000-00002C420000}"/>
    <cellStyle name="Comma 2 4 4 3 3 3 2" xfId="24637" xr:uid="{00000000-0005-0000-0000-00002D420000}"/>
    <cellStyle name="Comma 2 4 4 3 3 3 2 2" xfId="44066" xr:uid="{00000000-0005-0000-0000-00002E420000}"/>
    <cellStyle name="Comma 2 4 4 3 3 3 2 3" xfId="37643" xr:uid="{00000000-0005-0000-0000-00002F420000}"/>
    <cellStyle name="Comma 2 4 4 3 3 3 3" xfId="28958" xr:uid="{00000000-0005-0000-0000-000030420000}"/>
    <cellStyle name="Comma 2 4 4 3 3 3 3 2" xfId="40859" xr:uid="{00000000-0005-0000-0000-000031420000}"/>
    <cellStyle name="Comma 2 4 4 3 3 3 4" xfId="32293" xr:uid="{00000000-0005-0000-0000-000032420000}"/>
    <cellStyle name="Comma 2 4 4 3 3 3 5" xfId="34435" xr:uid="{00000000-0005-0000-0000-000033420000}"/>
    <cellStyle name="Comma 2 4 4 3 3 4" xfId="8440" xr:uid="{00000000-0005-0000-0000-000034420000}"/>
    <cellStyle name="Comma 2 4 4 3 3 4 2" xfId="43041" xr:uid="{00000000-0005-0000-0000-000035420000}"/>
    <cellStyle name="Comma 2 4 4 3 3 4 3" xfId="36617" xr:uid="{00000000-0005-0000-0000-000036420000}"/>
    <cellStyle name="Comma 2 4 4 3 3 5" xfId="21429" xr:uid="{00000000-0005-0000-0000-000037420000}"/>
    <cellStyle name="Comma 2 4 4 3 3 5 2" xfId="39834" xr:uid="{00000000-0005-0000-0000-000038420000}"/>
    <cellStyle name="Comma 2 4 4 3 3 6" xfId="22502" xr:uid="{00000000-0005-0000-0000-000039420000}"/>
    <cellStyle name="Comma 2 4 4 3 3 7" xfId="23612" xr:uid="{00000000-0005-0000-0000-00003A420000}"/>
    <cellStyle name="Comma 2 4 4 3 3 8" xfId="26824" xr:uid="{00000000-0005-0000-0000-00003B420000}"/>
    <cellStyle name="Comma 2 4 4 3 3 9" xfId="30157" xr:uid="{00000000-0005-0000-0000-00003C420000}"/>
    <cellStyle name="Comma 2 4 4 3 4" xfId="1187" xr:uid="{00000000-0005-0000-0000-00003D420000}"/>
    <cellStyle name="Comma 2 4 4 3 4 10" xfId="33411" xr:uid="{00000000-0005-0000-0000-00003E420000}"/>
    <cellStyle name="Comma 2 4 4 3 4 2" xfId="9957" xr:uid="{00000000-0005-0000-0000-00003F420000}"/>
    <cellStyle name="Comma 2 4 4 3 4 2 2" xfId="25757" xr:uid="{00000000-0005-0000-0000-000040420000}"/>
    <cellStyle name="Comma 2 4 4 3 4 2 2 2" xfId="45184" xr:uid="{00000000-0005-0000-0000-000041420000}"/>
    <cellStyle name="Comma 2 4 4 3 4 2 2 3" xfId="38761" xr:uid="{00000000-0005-0000-0000-000042420000}"/>
    <cellStyle name="Comma 2 4 4 3 4 2 3" xfId="27935" xr:uid="{00000000-0005-0000-0000-000043420000}"/>
    <cellStyle name="Comma 2 4 4 3 4 2 3 2" xfId="41977" xr:uid="{00000000-0005-0000-0000-000044420000}"/>
    <cellStyle name="Comma 2 4 4 3 4 2 4" xfId="31270" xr:uid="{00000000-0005-0000-0000-000045420000}"/>
    <cellStyle name="Comma 2 4 4 3 4 2 5" xfId="35553" xr:uid="{00000000-0005-0000-0000-000046420000}"/>
    <cellStyle name="Comma 2 4 4 3 4 3" xfId="15623" xr:uid="{00000000-0005-0000-0000-000047420000}"/>
    <cellStyle name="Comma 2 4 4 3 4 3 2" xfId="24638" xr:uid="{00000000-0005-0000-0000-000048420000}"/>
    <cellStyle name="Comma 2 4 4 3 4 3 2 2" xfId="44067" xr:uid="{00000000-0005-0000-0000-000049420000}"/>
    <cellStyle name="Comma 2 4 4 3 4 3 2 3" xfId="37644" xr:uid="{00000000-0005-0000-0000-00004A420000}"/>
    <cellStyle name="Comma 2 4 4 3 4 3 3" xfId="28959" xr:uid="{00000000-0005-0000-0000-00004B420000}"/>
    <cellStyle name="Comma 2 4 4 3 4 3 3 2" xfId="40860" xr:uid="{00000000-0005-0000-0000-00004C420000}"/>
    <cellStyle name="Comma 2 4 4 3 4 3 4" xfId="32294" xr:uid="{00000000-0005-0000-0000-00004D420000}"/>
    <cellStyle name="Comma 2 4 4 3 4 3 5" xfId="34436" xr:uid="{00000000-0005-0000-0000-00004E420000}"/>
    <cellStyle name="Comma 2 4 4 3 4 4" xfId="8441" xr:uid="{00000000-0005-0000-0000-00004F420000}"/>
    <cellStyle name="Comma 2 4 4 3 4 4 2" xfId="43042" xr:uid="{00000000-0005-0000-0000-000050420000}"/>
    <cellStyle name="Comma 2 4 4 3 4 4 3" xfId="36618" xr:uid="{00000000-0005-0000-0000-000051420000}"/>
    <cellStyle name="Comma 2 4 4 3 4 5" xfId="21430" xr:uid="{00000000-0005-0000-0000-000052420000}"/>
    <cellStyle name="Comma 2 4 4 3 4 5 2" xfId="39835" xr:uid="{00000000-0005-0000-0000-000053420000}"/>
    <cellStyle name="Comma 2 4 4 3 4 6" xfId="22503" xr:uid="{00000000-0005-0000-0000-000054420000}"/>
    <cellStyle name="Comma 2 4 4 3 4 7" xfId="23613" xr:uid="{00000000-0005-0000-0000-000055420000}"/>
    <cellStyle name="Comma 2 4 4 3 4 8" xfId="26825" xr:uid="{00000000-0005-0000-0000-000056420000}"/>
    <cellStyle name="Comma 2 4 4 3 4 9" xfId="30158" xr:uid="{00000000-0005-0000-0000-000057420000}"/>
    <cellStyle name="Comma 2 4 4 3 5" xfId="1188" xr:uid="{00000000-0005-0000-0000-000058420000}"/>
    <cellStyle name="Comma 2 4 4 3 5 10" xfId="33412" xr:uid="{00000000-0005-0000-0000-000059420000}"/>
    <cellStyle name="Comma 2 4 4 3 5 2" xfId="9958" xr:uid="{00000000-0005-0000-0000-00005A420000}"/>
    <cellStyle name="Comma 2 4 4 3 5 2 2" xfId="25758" xr:uid="{00000000-0005-0000-0000-00005B420000}"/>
    <cellStyle name="Comma 2 4 4 3 5 2 2 2" xfId="45185" xr:uid="{00000000-0005-0000-0000-00005C420000}"/>
    <cellStyle name="Comma 2 4 4 3 5 2 2 3" xfId="38762" xr:uid="{00000000-0005-0000-0000-00005D420000}"/>
    <cellStyle name="Comma 2 4 4 3 5 2 3" xfId="27936" xr:uid="{00000000-0005-0000-0000-00005E420000}"/>
    <cellStyle name="Comma 2 4 4 3 5 2 3 2" xfId="41978" xr:uid="{00000000-0005-0000-0000-00005F420000}"/>
    <cellStyle name="Comma 2 4 4 3 5 2 4" xfId="31271" xr:uid="{00000000-0005-0000-0000-000060420000}"/>
    <cellStyle name="Comma 2 4 4 3 5 2 5" xfId="35554" xr:uid="{00000000-0005-0000-0000-000061420000}"/>
    <cellStyle name="Comma 2 4 4 3 5 3" xfId="15624" xr:uid="{00000000-0005-0000-0000-000062420000}"/>
    <cellStyle name="Comma 2 4 4 3 5 3 2" xfId="24639" xr:uid="{00000000-0005-0000-0000-000063420000}"/>
    <cellStyle name="Comma 2 4 4 3 5 3 2 2" xfId="44068" xr:uid="{00000000-0005-0000-0000-000064420000}"/>
    <cellStyle name="Comma 2 4 4 3 5 3 2 3" xfId="37645" xr:uid="{00000000-0005-0000-0000-000065420000}"/>
    <cellStyle name="Comma 2 4 4 3 5 3 3" xfId="28960" xr:uid="{00000000-0005-0000-0000-000066420000}"/>
    <cellStyle name="Comma 2 4 4 3 5 3 3 2" xfId="40861" xr:uid="{00000000-0005-0000-0000-000067420000}"/>
    <cellStyle name="Comma 2 4 4 3 5 3 4" xfId="32295" xr:uid="{00000000-0005-0000-0000-000068420000}"/>
    <cellStyle name="Comma 2 4 4 3 5 3 5" xfId="34437" xr:uid="{00000000-0005-0000-0000-000069420000}"/>
    <cellStyle name="Comma 2 4 4 3 5 4" xfId="8442" xr:uid="{00000000-0005-0000-0000-00006A420000}"/>
    <cellStyle name="Comma 2 4 4 3 5 4 2" xfId="43043" xr:uid="{00000000-0005-0000-0000-00006B420000}"/>
    <cellStyle name="Comma 2 4 4 3 5 4 3" xfId="36619" xr:uid="{00000000-0005-0000-0000-00006C420000}"/>
    <cellStyle name="Comma 2 4 4 3 5 5" xfId="21431" xr:uid="{00000000-0005-0000-0000-00006D420000}"/>
    <cellStyle name="Comma 2 4 4 3 5 5 2" xfId="39836" xr:uid="{00000000-0005-0000-0000-00006E420000}"/>
    <cellStyle name="Comma 2 4 4 3 5 6" xfId="22504" xr:uid="{00000000-0005-0000-0000-00006F420000}"/>
    <cellStyle name="Comma 2 4 4 3 5 7" xfId="23614" xr:uid="{00000000-0005-0000-0000-000070420000}"/>
    <cellStyle name="Comma 2 4 4 3 5 8" xfId="26826" xr:uid="{00000000-0005-0000-0000-000071420000}"/>
    <cellStyle name="Comma 2 4 4 3 5 9" xfId="30159" xr:uid="{00000000-0005-0000-0000-000072420000}"/>
    <cellStyle name="Comma 2 4 4 3 6" xfId="1189" xr:uid="{00000000-0005-0000-0000-000073420000}"/>
    <cellStyle name="Comma 2 4 4 3 6 10" xfId="33413" xr:uid="{00000000-0005-0000-0000-000074420000}"/>
    <cellStyle name="Comma 2 4 4 3 6 2" xfId="9959" xr:uid="{00000000-0005-0000-0000-000075420000}"/>
    <cellStyle name="Comma 2 4 4 3 6 2 2" xfId="25759" xr:uid="{00000000-0005-0000-0000-000076420000}"/>
    <cellStyle name="Comma 2 4 4 3 6 2 2 2" xfId="45186" xr:uid="{00000000-0005-0000-0000-000077420000}"/>
    <cellStyle name="Comma 2 4 4 3 6 2 2 3" xfId="38763" xr:uid="{00000000-0005-0000-0000-000078420000}"/>
    <cellStyle name="Comma 2 4 4 3 6 2 3" xfId="27937" xr:uid="{00000000-0005-0000-0000-000079420000}"/>
    <cellStyle name="Comma 2 4 4 3 6 2 3 2" xfId="41979" xr:uid="{00000000-0005-0000-0000-00007A420000}"/>
    <cellStyle name="Comma 2 4 4 3 6 2 4" xfId="31272" xr:uid="{00000000-0005-0000-0000-00007B420000}"/>
    <cellStyle name="Comma 2 4 4 3 6 2 5" xfId="35555" xr:uid="{00000000-0005-0000-0000-00007C420000}"/>
    <cellStyle name="Comma 2 4 4 3 6 3" xfId="15625" xr:uid="{00000000-0005-0000-0000-00007D420000}"/>
    <cellStyle name="Comma 2 4 4 3 6 3 2" xfId="24640" xr:uid="{00000000-0005-0000-0000-00007E420000}"/>
    <cellStyle name="Comma 2 4 4 3 6 3 2 2" xfId="44069" xr:uid="{00000000-0005-0000-0000-00007F420000}"/>
    <cellStyle name="Comma 2 4 4 3 6 3 2 3" xfId="37646" xr:uid="{00000000-0005-0000-0000-000080420000}"/>
    <cellStyle name="Comma 2 4 4 3 6 3 3" xfId="28961" xr:uid="{00000000-0005-0000-0000-000081420000}"/>
    <cellStyle name="Comma 2 4 4 3 6 3 3 2" xfId="40862" xr:uid="{00000000-0005-0000-0000-000082420000}"/>
    <cellStyle name="Comma 2 4 4 3 6 3 4" xfId="32296" xr:uid="{00000000-0005-0000-0000-000083420000}"/>
    <cellStyle name="Comma 2 4 4 3 6 3 5" xfId="34438" xr:uid="{00000000-0005-0000-0000-000084420000}"/>
    <cellStyle name="Comma 2 4 4 3 6 4" xfId="8443" xr:uid="{00000000-0005-0000-0000-000085420000}"/>
    <cellStyle name="Comma 2 4 4 3 6 4 2" xfId="43044" xr:uid="{00000000-0005-0000-0000-000086420000}"/>
    <cellStyle name="Comma 2 4 4 3 6 4 3" xfId="36620" xr:uid="{00000000-0005-0000-0000-000087420000}"/>
    <cellStyle name="Comma 2 4 4 3 6 5" xfId="21432" xr:uid="{00000000-0005-0000-0000-000088420000}"/>
    <cellStyle name="Comma 2 4 4 3 6 5 2" xfId="39837" xr:uid="{00000000-0005-0000-0000-000089420000}"/>
    <cellStyle name="Comma 2 4 4 3 6 6" xfId="22505" xr:uid="{00000000-0005-0000-0000-00008A420000}"/>
    <cellStyle name="Comma 2 4 4 3 6 7" xfId="23615" xr:uid="{00000000-0005-0000-0000-00008B420000}"/>
    <cellStyle name="Comma 2 4 4 3 6 8" xfId="26827" xr:uid="{00000000-0005-0000-0000-00008C420000}"/>
    <cellStyle name="Comma 2 4 4 3 6 9" xfId="30160" xr:uid="{00000000-0005-0000-0000-00008D420000}"/>
    <cellStyle name="Comma 2 4 4 3 7" xfId="9102" xr:uid="{00000000-0005-0000-0000-00008E420000}"/>
    <cellStyle name="Comma 2 4 4 3 7 2" xfId="25156" xr:uid="{00000000-0005-0000-0000-00008F420000}"/>
    <cellStyle name="Comma 2 4 4 3 7 2 2" xfId="44583" xr:uid="{00000000-0005-0000-0000-000090420000}"/>
    <cellStyle name="Comma 2 4 4 3 7 2 3" xfId="38160" xr:uid="{00000000-0005-0000-0000-000091420000}"/>
    <cellStyle name="Comma 2 4 4 3 7 3" xfId="27335" xr:uid="{00000000-0005-0000-0000-000092420000}"/>
    <cellStyle name="Comma 2 4 4 3 7 3 2" xfId="41376" xr:uid="{00000000-0005-0000-0000-000093420000}"/>
    <cellStyle name="Comma 2 4 4 3 7 4" xfId="30670" xr:uid="{00000000-0005-0000-0000-000094420000}"/>
    <cellStyle name="Comma 2 4 4 3 7 5" xfId="34952" xr:uid="{00000000-0005-0000-0000-000095420000}"/>
    <cellStyle name="Comma 2 4 4 3 8" xfId="15620" xr:uid="{00000000-0005-0000-0000-000096420000}"/>
    <cellStyle name="Comma 2 4 4 3 8 2" xfId="24635" xr:uid="{00000000-0005-0000-0000-000097420000}"/>
    <cellStyle name="Comma 2 4 4 3 8 2 2" xfId="44064" xr:uid="{00000000-0005-0000-0000-000098420000}"/>
    <cellStyle name="Comma 2 4 4 3 8 2 3" xfId="37641" xr:uid="{00000000-0005-0000-0000-000099420000}"/>
    <cellStyle name="Comma 2 4 4 3 8 3" xfId="28956" xr:uid="{00000000-0005-0000-0000-00009A420000}"/>
    <cellStyle name="Comma 2 4 4 3 8 3 2" xfId="40857" xr:uid="{00000000-0005-0000-0000-00009B420000}"/>
    <cellStyle name="Comma 2 4 4 3 8 4" xfId="32291" xr:uid="{00000000-0005-0000-0000-00009C420000}"/>
    <cellStyle name="Comma 2 4 4 3 8 5" xfId="34433" xr:uid="{00000000-0005-0000-0000-00009D420000}"/>
    <cellStyle name="Comma 2 4 4 3 9" xfId="8438" xr:uid="{00000000-0005-0000-0000-00009E420000}"/>
    <cellStyle name="Comma 2 4 4 3 9 2" xfId="42446" xr:uid="{00000000-0005-0000-0000-00009F420000}"/>
    <cellStyle name="Comma 2 4 4 3 9 3" xfId="36022" xr:uid="{00000000-0005-0000-0000-0000A0420000}"/>
    <cellStyle name="Comma 2 4 4 4" xfId="1190" xr:uid="{00000000-0005-0000-0000-0000A1420000}"/>
    <cellStyle name="Comma 2 4 4 4 10" xfId="22506" xr:uid="{00000000-0005-0000-0000-0000A2420000}"/>
    <cellStyle name="Comma 2 4 4 4 11" xfId="23616" xr:uid="{00000000-0005-0000-0000-0000A3420000}"/>
    <cellStyle name="Comma 2 4 4 4 12" xfId="26828" xr:uid="{00000000-0005-0000-0000-0000A4420000}"/>
    <cellStyle name="Comma 2 4 4 4 13" xfId="30161" xr:uid="{00000000-0005-0000-0000-0000A5420000}"/>
    <cellStyle name="Comma 2 4 4 4 14" xfId="33414" xr:uid="{00000000-0005-0000-0000-0000A6420000}"/>
    <cellStyle name="Comma 2 4 4 4 2" xfId="1191" xr:uid="{00000000-0005-0000-0000-0000A7420000}"/>
    <cellStyle name="Comma 2 4 4 4 2 10" xfId="33415" xr:uid="{00000000-0005-0000-0000-0000A8420000}"/>
    <cellStyle name="Comma 2 4 4 4 2 2" xfId="9961" xr:uid="{00000000-0005-0000-0000-0000A9420000}"/>
    <cellStyle name="Comma 2 4 4 4 2 2 2" xfId="25761" xr:uid="{00000000-0005-0000-0000-0000AA420000}"/>
    <cellStyle name="Comma 2 4 4 4 2 2 2 2" xfId="45188" xr:uid="{00000000-0005-0000-0000-0000AB420000}"/>
    <cellStyle name="Comma 2 4 4 4 2 2 2 3" xfId="38765" xr:uid="{00000000-0005-0000-0000-0000AC420000}"/>
    <cellStyle name="Comma 2 4 4 4 2 2 3" xfId="27939" xr:uid="{00000000-0005-0000-0000-0000AD420000}"/>
    <cellStyle name="Comma 2 4 4 4 2 2 3 2" xfId="41981" xr:uid="{00000000-0005-0000-0000-0000AE420000}"/>
    <cellStyle name="Comma 2 4 4 4 2 2 4" xfId="31274" xr:uid="{00000000-0005-0000-0000-0000AF420000}"/>
    <cellStyle name="Comma 2 4 4 4 2 2 5" xfId="35557" xr:uid="{00000000-0005-0000-0000-0000B0420000}"/>
    <cellStyle name="Comma 2 4 4 4 2 3" xfId="15627" xr:uid="{00000000-0005-0000-0000-0000B1420000}"/>
    <cellStyle name="Comma 2 4 4 4 2 3 2" xfId="24642" xr:uid="{00000000-0005-0000-0000-0000B2420000}"/>
    <cellStyle name="Comma 2 4 4 4 2 3 2 2" xfId="44071" xr:uid="{00000000-0005-0000-0000-0000B3420000}"/>
    <cellStyle name="Comma 2 4 4 4 2 3 2 3" xfId="37648" xr:uid="{00000000-0005-0000-0000-0000B4420000}"/>
    <cellStyle name="Comma 2 4 4 4 2 3 3" xfId="28963" xr:uid="{00000000-0005-0000-0000-0000B5420000}"/>
    <cellStyle name="Comma 2 4 4 4 2 3 3 2" xfId="40864" xr:uid="{00000000-0005-0000-0000-0000B6420000}"/>
    <cellStyle name="Comma 2 4 4 4 2 3 4" xfId="32298" xr:uid="{00000000-0005-0000-0000-0000B7420000}"/>
    <cellStyle name="Comma 2 4 4 4 2 3 5" xfId="34440" xr:uid="{00000000-0005-0000-0000-0000B8420000}"/>
    <cellStyle name="Comma 2 4 4 4 2 4" xfId="8445" xr:uid="{00000000-0005-0000-0000-0000B9420000}"/>
    <cellStyle name="Comma 2 4 4 4 2 4 2" xfId="43046" xr:uid="{00000000-0005-0000-0000-0000BA420000}"/>
    <cellStyle name="Comma 2 4 4 4 2 4 3" xfId="36622" xr:uid="{00000000-0005-0000-0000-0000BB420000}"/>
    <cellStyle name="Comma 2 4 4 4 2 5" xfId="21434" xr:uid="{00000000-0005-0000-0000-0000BC420000}"/>
    <cellStyle name="Comma 2 4 4 4 2 5 2" xfId="39839" xr:uid="{00000000-0005-0000-0000-0000BD420000}"/>
    <cellStyle name="Comma 2 4 4 4 2 6" xfId="22507" xr:uid="{00000000-0005-0000-0000-0000BE420000}"/>
    <cellStyle name="Comma 2 4 4 4 2 7" xfId="23617" xr:uid="{00000000-0005-0000-0000-0000BF420000}"/>
    <cellStyle name="Comma 2 4 4 4 2 8" xfId="26829" xr:uid="{00000000-0005-0000-0000-0000C0420000}"/>
    <cellStyle name="Comma 2 4 4 4 2 9" xfId="30162" xr:uid="{00000000-0005-0000-0000-0000C1420000}"/>
    <cellStyle name="Comma 2 4 4 4 3" xfId="1192" xr:uid="{00000000-0005-0000-0000-0000C2420000}"/>
    <cellStyle name="Comma 2 4 4 4 3 10" xfId="33416" xr:uid="{00000000-0005-0000-0000-0000C3420000}"/>
    <cellStyle name="Comma 2 4 4 4 3 2" xfId="9962" xr:uid="{00000000-0005-0000-0000-0000C4420000}"/>
    <cellStyle name="Comma 2 4 4 4 3 2 2" xfId="25762" xr:uid="{00000000-0005-0000-0000-0000C5420000}"/>
    <cellStyle name="Comma 2 4 4 4 3 2 2 2" xfId="45189" xr:uid="{00000000-0005-0000-0000-0000C6420000}"/>
    <cellStyle name="Comma 2 4 4 4 3 2 2 3" xfId="38766" xr:uid="{00000000-0005-0000-0000-0000C7420000}"/>
    <cellStyle name="Comma 2 4 4 4 3 2 3" xfId="27940" xr:uid="{00000000-0005-0000-0000-0000C8420000}"/>
    <cellStyle name="Comma 2 4 4 4 3 2 3 2" xfId="41982" xr:uid="{00000000-0005-0000-0000-0000C9420000}"/>
    <cellStyle name="Comma 2 4 4 4 3 2 4" xfId="31275" xr:uid="{00000000-0005-0000-0000-0000CA420000}"/>
    <cellStyle name="Comma 2 4 4 4 3 2 5" xfId="35558" xr:uid="{00000000-0005-0000-0000-0000CB420000}"/>
    <cellStyle name="Comma 2 4 4 4 3 3" xfId="15628" xr:uid="{00000000-0005-0000-0000-0000CC420000}"/>
    <cellStyle name="Comma 2 4 4 4 3 3 2" xfId="24643" xr:uid="{00000000-0005-0000-0000-0000CD420000}"/>
    <cellStyle name="Comma 2 4 4 4 3 3 2 2" xfId="44072" xr:uid="{00000000-0005-0000-0000-0000CE420000}"/>
    <cellStyle name="Comma 2 4 4 4 3 3 2 3" xfId="37649" xr:uid="{00000000-0005-0000-0000-0000CF420000}"/>
    <cellStyle name="Comma 2 4 4 4 3 3 3" xfId="28964" xr:uid="{00000000-0005-0000-0000-0000D0420000}"/>
    <cellStyle name="Comma 2 4 4 4 3 3 3 2" xfId="40865" xr:uid="{00000000-0005-0000-0000-0000D1420000}"/>
    <cellStyle name="Comma 2 4 4 4 3 3 4" xfId="32299" xr:uid="{00000000-0005-0000-0000-0000D2420000}"/>
    <cellStyle name="Comma 2 4 4 4 3 3 5" xfId="34441" xr:uid="{00000000-0005-0000-0000-0000D3420000}"/>
    <cellStyle name="Comma 2 4 4 4 3 4" xfId="8446" xr:uid="{00000000-0005-0000-0000-0000D4420000}"/>
    <cellStyle name="Comma 2 4 4 4 3 4 2" xfId="43047" xr:uid="{00000000-0005-0000-0000-0000D5420000}"/>
    <cellStyle name="Comma 2 4 4 4 3 4 3" xfId="36623" xr:uid="{00000000-0005-0000-0000-0000D6420000}"/>
    <cellStyle name="Comma 2 4 4 4 3 5" xfId="21435" xr:uid="{00000000-0005-0000-0000-0000D7420000}"/>
    <cellStyle name="Comma 2 4 4 4 3 5 2" xfId="39840" xr:uid="{00000000-0005-0000-0000-0000D8420000}"/>
    <cellStyle name="Comma 2 4 4 4 3 6" xfId="22508" xr:uid="{00000000-0005-0000-0000-0000D9420000}"/>
    <cellStyle name="Comma 2 4 4 4 3 7" xfId="23618" xr:uid="{00000000-0005-0000-0000-0000DA420000}"/>
    <cellStyle name="Comma 2 4 4 4 3 8" xfId="26830" xr:uid="{00000000-0005-0000-0000-0000DB420000}"/>
    <cellStyle name="Comma 2 4 4 4 3 9" xfId="30163" xr:uid="{00000000-0005-0000-0000-0000DC420000}"/>
    <cellStyle name="Comma 2 4 4 4 4" xfId="1193" xr:uid="{00000000-0005-0000-0000-0000DD420000}"/>
    <cellStyle name="Comma 2 4 4 4 4 10" xfId="33417" xr:uid="{00000000-0005-0000-0000-0000DE420000}"/>
    <cellStyle name="Comma 2 4 4 4 4 2" xfId="9963" xr:uid="{00000000-0005-0000-0000-0000DF420000}"/>
    <cellStyle name="Comma 2 4 4 4 4 2 2" xfId="25763" xr:uid="{00000000-0005-0000-0000-0000E0420000}"/>
    <cellStyle name="Comma 2 4 4 4 4 2 2 2" xfId="45190" xr:uid="{00000000-0005-0000-0000-0000E1420000}"/>
    <cellStyle name="Comma 2 4 4 4 4 2 2 3" xfId="38767" xr:uid="{00000000-0005-0000-0000-0000E2420000}"/>
    <cellStyle name="Comma 2 4 4 4 4 2 3" xfId="27941" xr:uid="{00000000-0005-0000-0000-0000E3420000}"/>
    <cellStyle name="Comma 2 4 4 4 4 2 3 2" xfId="41983" xr:uid="{00000000-0005-0000-0000-0000E4420000}"/>
    <cellStyle name="Comma 2 4 4 4 4 2 4" xfId="31276" xr:uid="{00000000-0005-0000-0000-0000E5420000}"/>
    <cellStyle name="Comma 2 4 4 4 4 2 5" xfId="35559" xr:uid="{00000000-0005-0000-0000-0000E6420000}"/>
    <cellStyle name="Comma 2 4 4 4 4 3" xfId="15629" xr:uid="{00000000-0005-0000-0000-0000E7420000}"/>
    <cellStyle name="Comma 2 4 4 4 4 3 2" xfId="24644" xr:uid="{00000000-0005-0000-0000-0000E8420000}"/>
    <cellStyle name="Comma 2 4 4 4 4 3 2 2" xfId="44073" xr:uid="{00000000-0005-0000-0000-0000E9420000}"/>
    <cellStyle name="Comma 2 4 4 4 4 3 2 3" xfId="37650" xr:uid="{00000000-0005-0000-0000-0000EA420000}"/>
    <cellStyle name="Comma 2 4 4 4 4 3 3" xfId="28965" xr:uid="{00000000-0005-0000-0000-0000EB420000}"/>
    <cellStyle name="Comma 2 4 4 4 4 3 3 2" xfId="40866" xr:uid="{00000000-0005-0000-0000-0000EC420000}"/>
    <cellStyle name="Comma 2 4 4 4 4 3 4" xfId="32300" xr:uid="{00000000-0005-0000-0000-0000ED420000}"/>
    <cellStyle name="Comma 2 4 4 4 4 3 5" xfId="34442" xr:uid="{00000000-0005-0000-0000-0000EE420000}"/>
    <cellStyle name="Comma 2 4 4 4 4 4" xfId="8447" xr:uid="{00000000-0005-0000-0000-0000EF420000}"/>
    <cellStyle name="Comma 2 4 4 4 4 4 2" xfId="43048" xr:uid="{00000000-0005-0000-0000-0000F0420000}"/>
    <cellStyle name="Comma 2 4 4 4 4 4 3" xfId="36624" xr:uid="{00000000-0005-0000-0000-0000F1420000}"/>
    <cellStyle name="Comma 2 4 4 4 4 5" xfId="21436" xr:uid="{00000000-0005-0000-0000-0000F2420000}"/>
    <cellStyle name="Comma 2 4 4 4 4 5 2" xfId="39841" xr:uid="{00000000-0005-0000-0000-0000F3420000}"/>
    <cellStyle name="Comma 2 4 4 4 4 6" xfId="22509" xr:uid="{00000000-0005-0000-0000-0000F4420000}"/>
    <cellStyle name="Comma 2 4 4 4 4 7" xfId="23619" xr:uid="{00000000-0005-0000-0000-0000F5420000}"/>
    <cellStyle name="Comma 2 4 4 4 4 8" xfId="26831" xr:uid="{00000000-0005-0000-0000-0000F6420000}"/>
    <cellStyle name="Comma 2 4 4 4 4 9" xfId="30164" xr:uid="{00000000-0005-0000-0000-0000F7420000}"/>
    <cellStyle name="Comma 2 4 4 4 5" xfId="1194" xr:uid="{00000000-0005-0000-0000-0000F8420000}"/>
    <cellStyle name="Comma 2 4 4 4 5 10" xfId="33418" xr:uid="{00000000-0005-0000-0000-0000F9420000}"/>
    <cellStyle name="Comma 2 4 4 4 5 2" xfId="9964" xr:uid="{00000000-0005-0000-0000-0000FA420000}"/>
    <cellStyle name="Comma 2 4 4 4 5 2 2" xfId="25764" xr:uid="{00000000-0005-0000-0000-0000FB420000}"/>
    <cellStyle name="Comma 2 4 4 4 5 2 2 2" xfId="45191" xr:uid="{00000000-0005-0000-0000-0000FC420000}"/>
    <cellStyle name="Comma 2 4 4 4 5 2 2 3" xfId="38768" xr:uid="{00000000-0005-0000-0000-0000FD420000}"/>
    <cellStyle name="Comma 2 4 4 4 5 2 3" xfId="27942" xr:uid="{00000000-0005-0000-0000-0000FE420000}"/>
    <cellStyle name="Comma 2 4 4 4 5 2 3 2" xfId="41984" xr:uid="{00000000-0005-0000-0000-0000FF420000}"/>
    <cellStyle name="Comma 2 4 4 4 5 2 4" xfId="31277" xr:uid="{00000000-0005-0000-0000-000000430000}"/>
    <cellStyle name="Comma 2 4 4 4 5 2 5" xfId="35560" xr:uid="{00000000-0005-0000-0000-000001430000}"/>
    <cellStyle name="Comma 2 4 4 4 5 3" xfId="15630" xr:uid="{00000000-0005-0000-0000-000002430000}"/>
    <cellStyle name="Comma 2 4 4 4 5 3 2" xfId="24645" xr:uid="{00000000-0005-0000-0000-000003430000}"/>
    <cellStyle name="Comma 2 4 4 4 5 3 2 2" xfId="44074" xr:uid="{00000000-0005-0000-0000-000004430000}"/>
    <cellStyle name="Comma 2 4 4 4 5 3 2 3" xfId="37651" xr:uid="{00000000-0005-0000-0000-000005430000}"/>
    <cellStyle name="Comma 2 4 4 4 5 3 3" xfId="28966" xr:uid="{00000000-0005-0000-0000-000006430000}"/>
    <cellStyle name="Comma 2 4 4 4 5 3 3 2" xfId="40867" xr:uid="{00000000-0005-0000-0000-000007430000}"/>
    <cellStyle name="Comma 2 4 4 4 5 3 4" xfId="32301" xr:uid="{00000000-0005-0000-0000-000008430000}"/>
    <cellStyle name="Comma 2 4 4 4 5 3 5" xfId="34443" xr:uid="{00000000-0005-0000-0000-000009430000}"/>
    <cellStyle name="Comma 2 4 4 4 5 4" xfId="8448" xr:uid="{00000000-0005-0000-0000-00000A430000}"/>
    <cellStyle name="Comma 2 4 4 4 5 4 2" xfId="43049" xr:uid="{00000000-0005-0000-0000-00000B430000}"/>
    <cellStyle name="Comma 2 4 4 4 5 4 3" xfId="36625" xr:uid="{00000000-0005-0000-0000-00000C430000}"/>
    <cellStyle name="Comma 2 4 4 4 5 5" xfId="21437" xr:uid="{00000000-0005-0000-0000-00000D430000}"/>
    <cellStyle name="Comma 2 4 4 4 5 5 2" xfId="39842" xr:uid="{00000000-0005-0000-0000-00000E430000}"/>
    <cellStyle name="Comma 2 4 4 4 5 6" xfId="22510" xr:uid="{00000000-0005-0000-0000-00000F430000}"/>
    <cellStyle name="Comma 2 4 4 4 5 7" xfId="23620" xr:uid="{00000000-0005-0000-0000-000010430000}"/>
    <cellStyle name="Comma 2 4 4 4 5 8" xfId="26832" xr:uid="{00000000-0005-0000-0000-000011430000}"/>
    <cellStyle name="Comma 2 4 4 4 5 9" xfId="30165" xr:uid="{00000000-0005-0000-0000-000012430000}"/>
    <cellStyle name="Comma 2 4 4 4 6" xfId="9960" xr:uid="{00000000-0005-0000-0000-000013430000}"/>
    <cellStyle name="Comma 2 4 4 4 6 2" xfId="25760" xr:uid="{00000000-0005-0000-0000-000014430000}"/>
    <cellStyle name="Comma 2 4 4 4 6 2 2" xfId="45187" xr:uid="{00000000-0005-0000-0000-000015430000}"/>
    <cellStyle name="Comma 2 4 4 4 6 2 3" xfId="38764" xr:uid="{00000000-0005-0000-0000-000016430000}"/>
    <cellStyle name="Comma 2 4 4 4 6 3" xfId="27938" xr:uid="{00000000-0005-0000-0000-000017430000}"/>
    <cellStyle name="Comma 2 4 4 4 6 3 2" xfId="41980" xr:uid="{00000000-0005-0000-0000-000018430000}"/>
    <cellStyle name="Comma 2 4 4 4 6 4" xfId="31273" xr:uid="{00000000-0005-0000-0000-000019430000}"/>
    <cellStyle name="Comma 2 4 4 4 6 5" xfId="35556" xr:uid="{00000000-0005-0000-0000-00001A430000}"/>
    <cellStyle name="Comma 2 4 4 4 7" xfId="15626" xr:uid="{00000000-0005-0000-0000-00001B430000}"/>
    <cellStyle name="Comma 2 4 4 4 7 2" xfId="24641" xr:uid="{00000000-0005-0000-0000-00001C430000}"/>
    <cellStyle name="Comma 2 4 4 4 7 2 2" xfId="44070" xr:uid="{00000000-0005-0000-0000-00001D430000}"/>
    <cellStyle name="Comma 2 4 4 4 7 2 3" xfId="37647" xr:uid="{00000000-0005-0000-0000-00001E430000}"/>
    <cellStyle name="Comma 2 4 4 4 7 3" xfId="28962" xr:uid="{00000000-0005-0000-0000-00001F430000}"/>
    <cellStyle name="Comma 2 4 4 4 7 3 2" xfId="40863" xr:uid="{00000000-0005-0000-0000-000020430000}"/>
    <cellStyle name="Comma 2 4 4 4 7 4" xfId="32297" xr:uid="{00000000-0005-0000-0000-000021430000}"/>
    <cellStyle name="Comma 2 4 4 4 7 5" xfId="34439" xr:uid="{00000000-0005-0000-0000-000022430000}"/>
    <cellStyle name="Comma 2 4 4 4 8" xfId="8444" xr:uid="{00000000-0005-0000-0000-000023430000}"/>
    <cellStyle name="Comma 2 4 4 4 8 2" xfId="43045" xr:uid="{00000000-0005-0000-0000-000024430000}"/>
    <cellStyle name="Comma 2 4 4 4 8 3" xfId="36621" xr:uid="{00000000-0005-0000-0000-000025430000}"/>
    <cellStyle name="Comma 2 4 4 4 9" xfId="21433" xr:uid="{00000000-0005-0000-0000-000026430000}"/>
    <cellStyle name="Comma 2 4 4 4 9 2" xfId="39838" xr:uid="{00000000-0005-0000-0000-000027430000}"/>
    <cellStyle name="Comma 2 4 4 5" xfId="1195" xr:uid="{00000000-0005-0000-0000-000028430000}"/>
    <cellStyle name="Comma 2 4 4 5 10" xfId="22511" xr:uid="{00000000-0005-0000-0000-000029430000}"/>
    <cellStyle name="Comma 2 4 4 5 11" xfId="23621" xr:uid="{00000000-0005-0000-0000-00002A430000}"/>
    <cellStyle name="Comma 2 4 4 5 12" xfId="26833" xr:uid="{00000000-0005-0000-0000-00002B430000}"/>
    <cellStyle name="Comma 2 4 4 5 13" xfId="30166" xr:uid="{00000000-0005-0000-0000-00002C430000}"/>
    <cellStyle name="Comma 2 4 4 5 14" xfId="33419" xr:uid="{00000000-0005-0000-0000-00002D430000}"/>
    <cellStyle name="Comma 2 4 4 5 2" xfId="1196" xr:uid="{00000000-0005-0000-0000-00002E430000}"/>
    <cellStyle name="Comma 2 4 4 5 2 10" xfId="33420" xr:uid="{00000000-0005-0000-0000-00002F430000}"/>
    <cellStyle name="Comma 2 4 4 5 2 2" xfId="9966" xr:uid="{00000000-0005-0000-0000-000030430000}"/>
    <cellStyle name="Comma 2 4 4 5 2 2 2" xfId="25766" xr:uid="{00000000-0005-0000-0000-000031430000}"/>
    <cellStyle name="Comma 2 4 4 5 2 2 2 2" xfId="45193" xr:uid="{00000000-0005-0000-0000-000032430000}"/>
    <cellStyle name="Comma 2 4 4 5 2 2 2 3" xfId="38770" xr:uid="{00000000-0005-0000-0000-000033430000}"/>
    <cellStyle name="Comma 2 4 4 5 2 2 3" xfId="27944" xr:uid="{00000000-0005-0000-0000-000034430000}"/>
    <cellStyle name="Comma 2 4 4 5 2 2 3 2" xfId="41986" xr:uid="{00000000-0005-0000-0000-000035430000}"/>
    <cellStyle name="Comma 2 4 4 5 2 2 4" xfId="31279" xr:uid="{00000000-0005-0000-0000-000036430000}"/>
    <cellStyle name="Comma 2 4 4 5 2 2 5" xfId="35562" xr:uid="{00000000-0005-0000-0000-000037430000}"/>
    <cellStyle name="Comma 2 4 4 5 2 3" xfId="15632" xr:uid="{00000000-0005-0000-0000-000038430000}"/>
    <cellStyle name="Comma 2 4 4 5 2 3 2" xfId="24647" xr:uid="{00000000-0005-0000-0000-000039430000}"/>
    <cellStyle name="Comma 2 4 4 5 2 3 2 2" xfId="44076" xr:uid="{00000000-0005-0000-0000-00003A430000}"/>
    <cellStyle name="Comma 2 4 4 5 2 3 2 3" xfId="37653" xr:uid="{00000000-0005-0000-0000-00003B430000}"/>
    <cellStyle name="Comma 2 4 4 5 2 3 3" xfId="28968" xr:uid="{00000000-0005-0000-0000-00003C430000}"/>
    <cellStyle name="Comma 2 4 4 5 2 3 3 2" xfId="40869" xr:uid="{00000000-0005-0000-0000-00003D430000}"/>
    <cellStyle name="Comma 2 4 4 5 2 3 4" xfId="32303" xr:uid="{00000000-0005-0000-0000-00003E430000}"/>
    <cellStyle name="Comma 2 4 4 5 2 3 5" xfId="34445" xr:uid="{00000000-0005-0000-0000-00003F430000}"/>
    <cellStyle name="Comma 2 4 4 5 2 4" xfId="8450" xr:uid="{00000000-0005-0000-0000-000040430000}"/>
    <cellStyle name="Comma 2 4 4 5 2 4 2" xfId="43051" xr:uid="{00000000-0005-0000-0000-000041430000}"/>
    <cellStyle name="Comma 2 4 4 5 2 4 3" xfId="36627" xr:uid="{00000000-0005-0000-0000-000042430000}"/>
    <cellStyle name="Comma 2 4 4 5 2 5" xfId="21439" xr:uid="{00000000-0005-0000-0000-000043430000}"/>
    <cellStyle name="Comma 2 4 4 5 2 5 2" xfId="39844" xr:uid="{00000000-0005-0000-0000-000044430000}"/>
    <cellStyle name="Comma 2 4 4 5 2 6" xfId="22512" xr:uid="{00000000-0005-0000-0000-000045430000}"/>
    <cellStyle name="Comma 2 4 4 5 2 7" xfId="23622" xr:uid="{00000000-0005-0000-0000-000046430000}"/>
    <cellStyle name="Comma 2 4 4 5 2 8" xfId="26834" xr:uid="{00000000-0005-0000-0000-000047430000}"/>
    <cellStyle name="Comma 2 4 4 5 2 9" xfId="30167" xr:uid="{00000000-0005-0000-0000-000048430000}"/>
    <cellStyle name="Comma 2 4 4 5 3" xfId="1197" xr:uid="{00000000-0005-0000-0000-000049430000}"/>
    <cellStyle name="Comma 2 4 4 5 3 10" xfId="33421" xr:uid="{00000000-0005-0000-0000-00004A430000}"/>
    <cellStyle name="Comma 2 4 4 5 3 2" xfId="9967" xr:uid="{00000000-0005-0000-0000-00004B430000}"/>
    <cellStyle name="Comma 2 4 4 5 3 2 2" xfId="25767" xr:uid="{00000000-0005-0000-0000-00004C430000}"/>
    <cellStyle name="Comma 2 4 4 5 3 2 2 2" xfId="45194" xr:uid="{00000000-0005-0000-0000-00004D430000}"/>
    <cellStyle name="Comma 2 4 4 5 3 2 2 3" xfId="38771" xr:uid="{00000000-0005-0000-0000-00004E430000}"/>
    <cellStyle name="Comma 2 4 4 5 3 2 3" xfId="27945" xr:uid="{00000000-0005-0000-0000-00004F430000}"/>
    <cellStyle name="Comma 2 4 4 5 3 2 3 2" xfId="41987" xr:uid="{00000000-0005-0000-0000-000050430000}"/>
    <cellStyle name="Comma 2 4 4 5 3 2 4" xfId="31280" xr:uid="{00000000-0005-0000-0000-000051430000}"/>
    <cellStyle name="Comma 2 4 4 5 3 2 5" xfId="35563" xr:uid="{00000000-0005-0000-0000-000052430000}"/>
    <cellStyle name="Comma 2 4 4 5 3 3" xfId="15633" xr:uid="{00000000-0005-0000-0000-000053430000}"/>
    <cellStyle name="Comma 2 4 4 5 3 3 2" xfId="24648" xr:uid="{00000000-0005-0000-0000-000054430000}"/>
    <cellStyle name="Comma 2 4 4 5 3 3 2 2" xfId="44077" xr:uid="{00000000-0005-0000-0000-000055430000}"/>
    <cellStyle name="Comma 2 4 4 5 3 3 2 3" xfId="37654" xr:uid="{00000000-0005-0000-0000-000056430000}"/>
    <cellStyle name="Comma 2 4 4 5 3 3 3" xfId="28969" xr:uid="{00000000-0005-0000-0000-000057430000}"/>
    <cellStyle name="Comma 2 4 4 5 3 3 3 2" xfId="40870" xr:uid="{00000000-0005-0000-0000-000058430000}"/>
    <cellStyle name="Comma 2 4 4 5 3 3 4" xfId="32304" xr:uid="{00000000-0005-0000-0000-000059430000}"/>
    <cellStyle name="Comma 2 4 4 5 3 3 5" xfId="34446" xr:uid="{00000000-0005-0000-0000-00005A430000}"/>
    <cellStyle name="Comma 2 4 4 5 3 4" xfId="8451" xr:uid="{00000000-0005-0000-0000-00005B430000}"/>
    <cellStyle name="Comma 2 4 4 5 3 4 2" xfId="43052" xr:uid="{00000000-0005-0000-0000-00005C430000}"/>
    <cellStyle name="Comma 2 4 4 5 3 4 3" xfId="36628" xr:uid="{00000000-0005-0000-0000-00005D430000}"/>
    <cellStyle name="Comma 2 4 4 5 3 5" xfId="21440" xr:uid="{00000000-0005-0000-0000-00005E430000}"/>
    <cellStyle name="Comma 2 4 4 5 3 5 2" xfId="39845" xr:uid="{00000000-0005-0000-0000-00005F430000}"/>
    <cellStyle name="Comma 2 4 4 5 3 6" xfId="22513" xr:uid="{00000000-0005-0000-0000-000060430000}"/>
    <cellStyle name="Comma 2 4 4 5 3 7" xfId="23623" xr:uid="{00000000-0005-0000-0000-000061430000}"/>
    <cellStyle name="Comma 2 4 4 5 3 8" xfId="26835" xr:uid="{00000000-0005-0000-0000-000062430000}"/>
    <cellStyle name="Comma 2 4 4 5 3 9" xfId="30168" xr:uid="{00000000-0005-0000-0000-000063430000}"/>
    <cellStyle name="Comma 2 4 4 5 4" xfId="1198" xr:uid="{00000000-0005-0000-0000-000064430000}"/>
    <cellStyle name="Comma 2 4 4 5 4 10" xfId="33422" xr:uid="{00000000-0005-0000-0000-000065430000}"/>
    <cellStyle name="Comma 2 4 4 5 4 2" xfId="9968" xr:uid="{00000000-0005-0000-0000-000066430000}"/>
    <cellStyle name="Comma 2 4 4 5 4 2 2" xfId="25768" xr:uid="{00000000-0005-0000-0000-000067430000}"/>
    <cellStyle name="Comma 2 4 4 5 4 2 2 2" xfId="45195" xr:uid="{00000000-0005-0000-0000-000068430000}"/>
    <cellStyle name="Comma 2 4 4 5 4 2 2 3" xfId="38772" xr:uid="{00000000-0005-0000-0000-000069430000}"/>
    <cellStyle name="Comma 2 4 4 5 4 2 3" xfId="27946" xr:uid="{00000000-0005-0000-0000-00006A430000}"/>
    <cellStyle name="Comma 2 4 4 5 4 2 3 2" xfId="41988" xr:uid="{00000000-0005-0000-0000-00006B430000}"/>
    <cellStyle name="Comma 2 4 4 5 4 2 4" xfId="31281" xr:uid="{00000000-0005-0000-0000-00006C430000}"/>
    <cellStyle name="Comma 2 4 4 5 4 2 5" xfId="35564" xr:uid="{00000000-0005-0000-0000-00006D430000}"/>
    <cellStyle name="Comma 2 4 4 5 4 3" xfId="15634" xr:uid="{00000000-0005-0000-0000-00006E430000}"/>
    <cellStyle name="Comma 2 4 4 5 4 3 2" xfId="24649" xr:uid="{00000000-0005-0000-0000-00006F430000}"/>
    <cellStyle name="Comma 2 4 4 5 4 3 2 2" xfId="44078" xr:uid="{00000000-0005-0000-0000-000070430000}"/>
    <cellStyle name="Comma 2 4 4 5 4 3 2 3" xfId="37655" xr:uid="{00000000-0005-0000-0000-000071430000}"/>
    <cellStyle name="Comma 2 4 4 5 4 3 3" xfId="28970" xr:uid="{00000000-0005-0000-0000-000072430000}"/>
    <cellStyle name="Comma 2 4 4 5 4 3 3 2" xfId="40871" xr:uid="{00000000-0005-0000-0000-000073430000}"/>
    <cellStyle name="Comma 2 4 4 5 4 3 4" xfId="32305" xr:uid="{00000000-0005-0000-0000-000074430000}"/>
    <cellStyle name="Comma 2 4 4 5 4 3 5" xfId="34447" xr:uid="{00000000-0005-0000-0000-000075430000}"/>
    <cellStyle name="Comma 2 4 4 5 4 4" xfId="8452" xr:uid="{00000000-0005-0000-0000-000076430000}"/>
    <cellStyle name="Comma 2 4 4 5 4 4 2" xfId="43053" xr:uid="{00000000-0005-0000-0000-000077430000}"/>
    <cellStyle name="Comma 2 4 4 5 4 4 3" xfId="36629" xr:uid="{00000000-0005-0000-0000-000078430000}"/>
    <cellStyle name="Comma 2 4 4 5 4 5" xfId="21441" xr:uid="{00000000-0005-0000-0000-000079430000}"/>
    <cellStyle name="Comma 2 4 4 5 4 5 2" xfId="39846" xr:uid="{00000000-0005-0000-0000-00007A430000}"/>
    <cellStyle name="Comma 2 4 4 5 4 6" xfId="22514" xr:uid="{00000000-0005-0000-0000-00007B430000}"/>
    <cellStyle name="Comma 2 4 4 5 4 7" xfId="23624" xr:uid="{00000000-0005-0000-0000-00007C430000}"/>
    <cellStyle name="Comma 2 4 4 5 4 8" xfId="26836" xr:uid="{00000000-0005-0000-0000-00007D430000}"/>
    <cellStyle name="Comma 2 4 4 5 4 9" xfId="30169" xr:uid="{00000000-0005-0000-0000-00007E430000}"/>
    <cellStyle name="Comma 2 4 4 5 5" xfId="1199" xr:uid="{00000000-0005-0000-0000-00007F430000}"/>
    <cellStyle name="Comma 2 4 4 5 5 10" xfId="33423" xr:uid="{00000000-0005-0000-0000-000080430000}"/>
    <cellStyle name="Comma 2 4 4 5 5 2" xfId="9969" xr:uid="{00000000-0005-0000-0000-000081430000}"/>
    <cellStyle name="Comma 2 4 4 5 5 2 2" xfId="25769" xr:uid="{00000000-0005-0000-0000-000082430000}"/>
    <cellStyle name="Comma 2 4 4 5 5 2 2 2" xfId="45196" xr:uid="{00000000-0005-0000-0000-000083430000}"/>
    <cellStyle name="Comma 2 4 4 5 5 2 2 3" xfId="38773" xr:uid="{00000000-0005-0000-0000-000084430000}"/>
    <cellStyle name="Comma 2 4 4 5 5 2 3" xfId="27947" xr:uid="{00000000-0005-0000-0000-000085430000}"/>
    <cellStyle name="Comma 2 4 4 5 5 2 3 2" xfId="41989" xr:uid="{00000000-0005-0000-0000-000086430000}"/>
    <cellStyle name="Comma 2 4 4 5 5 2 4" xfId="31282" xr:uid="{00000000-0005-0000-0000-000087430000}"/>
    <cellStyle name="Comma 2 4 4 5 5 2 5" xfId="35565" xr:uid="{00000000-0005-0000-0000-000088430000}"/>
    <cellStyle name="Comma 2 4 4 5 5 3" xfId="15635" xr:uid="{00000000-0005-0000-0000-000089430000}"/>
    <cellStyle name="Comma 2 4 4 5 5 3 2" xfId="24650" xr:uid="{00000000-0005-0000-0000-00008A430000}"/>
    <cellStyle name="Comma 2 4 4 5 5 3 2 2" xfId="44079" xr:uid="{00000000-0005-0000-0000-00008B430000}"/>
    <cellStyle name="Comma 2 4 4 5 5 3 2 3" xfId="37656" xr:uid="{00000000-0005-0000-0000-00008C430000}"/>
    <cellStyle name="Comma 2 4 4 5 5 3 3" xfId="28971" xr:uid="{00000000-0005-0000-0000-00008D430000}"/>
    <cellStyle name="Comma 2 4 4 5 5 3 3 2" xfId="40872" xr:uid="{00000000-0005-0000-0000-00008E430000}"/>
    <cellStyle name="Comma 2 4 4 5 5 3 4" xfId="32306" xr:uid="{00000000-0005-0000-0000-00008F430000}"/>
    <cellStyle name="Comma 2 4 4 5 5 3 5" xfId="34448" xr:uid="{00000000-0005-0000-0000-000090430000}"/>
    <cellStyle name="Comma 2 4 4 5 5 4" xfId="8453" xr:uid="{00000000-0005-0000-0000-000091430000}"/>
    <cellStyle name="Comma 2 4 4 5 5 4 2" xfId="43054" xr:uid="{00000000-0005-0000-0000-000092430000}"/>
    <cellStyle name="Comma 2 4 4 5 5 4 3" xfId="36630" xr:uid="{00000000-0005-0000-0000-000093430000}"/>
    <cellStyle name="Comma 2 4 4 5 5 5" xfId="21442" xr:uid="{00000000-0005-0000-0000-000094430000}"/>
    <cellStyle name="Comma 2 4 4 5 5 5 2" xfId="39847" xr:uid="{00000000-0005-0000-0000-000095430000}"/>
    <cellStyle name="Comma 2 4 4 5 5 6" xfId="22515" xr:uid="{00000000-0005-0000-0000-000096430000}"/>
    <cellStyle name="Comma 2 4 4 5 5 7" xfId="23625" xr:uid="{00000000-0005-0000-0000-000097430000}"/>
    <cellStyle name="Comma 2 4 4 5 5 8" xfId="26837" xr:uid="{00000000-0005-0000-0000-000098430000}"/>
    <cellStyle name="Comma 2 4 4 5 5 9" xfId="30170" xr:uid="{00000000-0005-0000-0000-000099430000}"/>
    <cellStyle name="Comma 2 4 4 5 6" xfId="9965" xr:uid="{00000000-0005-0000-0000-00009A430000}"/>
    <cellStyle name="Comma 2 4 4 5 6 2" xfId="25765" xr:uid="{00000000-0005-0000-0000-00009B430000}"/>
    <cellStyle name="Comma 2 4 4 5 6 2 2" xfId="45192" xr:uid="{00000000-0005-0000-0000-00009C430000}"/>
    <cellStyle name="Comma 2 4 4 5 6 2 3" xfId="38769" xr:uid="{00000000-0005-0000-0000-00009D430000}"/>
    <cellStyle name="Comma 2 4 4 5 6 3" xfId="27943" xr:uid="{00000000-0005-0000-0000-00009E430000}"/>
    <cellStyle name="Comma 2 4 4 5 6 3 2" xfId="41985" xr:uid="{00000000-0005-0000-0000-00009F430000}"/>
    <cellStyle name="Comma 2 4 4 5 6 4" xfId="31278" xr:uid="{00000000-0005-0000-0000-0000A0430000}"/>
    <cellStyle name="Comma 2 4 4 5 6 5" xfId="35561" xr:uid="{00000000-0005-0000-0000-0000A1430000}"/>
    <cellStyle name="Comma 2 4 4 5 7" xfId="15631" xr:uid="{00000000-0005-0000-0000-0000A2430000}"/>
    <cellStyle name="Comma 2 4 4 5 7 2" xfId="24646" xr:uid="{00000000-0005-0000-0000-0000A3430000}"/>
    <cellStyle name="Comma 2 4 4 5 7 2 2" xfId="44075" xr:uid="{00000000-0005-0000-0000-0000A4430000}"/>
    <cellStyle name="Comma 2 4 4 5 7 2 3" xfId="37652" xr:uid="{00000000-0005-0000-0000-0000A5430000}"/>
    <cellStyle name="Comma 2 4 4 5 7 3" xfId="28967" xr:uid="{00000000-0005-0000-0000-0000A6430000}"/>
    <cellStyle name="Comma 2 4 4 5 7 3 2" xfId="40868" xr:uid="{00000000-0005-0000-0000-0000A7430000}"/>
    <cellStyle name="Comma 2 4 4 5 7 4" xfId="32302" xr:uid="{00000000-0005-0000-0000-0000A8430000}"/>
    <cellStyle name="Comma 2 4 4 5 7 5" xfId="34444" xr:uid="{00000000-0005-0000-0000-0000A9430000}"/>
    <cellStyle name="Comma 2 4 4 5 8" xfId="8449" xr:uid="{00000000-0005-0000-0000-0000AA430000}"/>
    <cellStyle name="Comma 2 4 4 5 8 2" xfId="43050" xr:uid="{00000000-0005-0000-0000-0000AB430000}"/>
    <cellStyle name="Comma 2 4 4 5 8 3" xfId="36626" xr:uid="{00000000-0005-0000-0000-0000AC430000}"/>
    <cellStyle name="Comma 2 4 4 5 9" xfId="21438" xr:uid="{00000000-0005-0000-0000-0000AD430000}"/>
    <cellStyle name="Comma 2 4 4 5 9 2" xfId="39843" xr:uid="{00000000-0005-0000-0000-0000AE430000}"/>
    <cellStyle name="Comma 2 4 4 6" xfId="1200" xr:uid="{00000000-0005-0000-0000-0000AF430000}"/>
    <cellStyle name="Comma 2 4 4 6 10" xfId="33424" xr:uid="{00000000-0005-0000-0000-0000B0430000}"/>
    <cellStyle name="Comma 2 4 4 6 2" xfId="9970" xr:uid="{00000000-0005-0000-0000-0000B1430000}"/>
    <cellStyle name="Comma 2 4 4 6 2 2" xfId="25770" xr:uid="{00000000-0005-0000-0000-0000B2430000}"/>
    <cellStyle name="Comma 2 4 4 6 2 2 2" xfId="45197" xr:uid="{00000000-0005-0000-0000-0000B3430000}"/>
    <cellStyle name="Comma 2 4 4 6 2 2 3" xfId="38774" xr:uid="{00000000-0005-0000-0000-0000B4430000}"/>
    <cellStyle name="Comma 2 4 4 6 2 3" xfId="27948" xr:uid="{00000000-0005-0000-0000-0000B5430000}"/>
    <cellStyle name="Comma 2 4 4 6 2 3 2" xfId="41990" xr:uid="{00000000-0005-0000-0000-0000B6430000}"/>
    <cellStyle name="Comma 2 4 4 6 2 4" xfId="31283" xr:uid="{00000000-0005-0000-0000-0000B7430000}"/>
    <cellStyle name="Comma 2 4 4 6 2 5" xfId="35566" xr:uid="{00000000-0005-0000-0000-0000B8430000}"/>
    <cellStyle name="Comma 2 4 4 6 3" xfId="15636" xr:uid="{00000000-0005-0000-0000-0000B9430000}"/>
    <cellStyle name="Comma 2 4 4 6 3 2" xfId="24651" xr:uid="{00000000-0005-0000-0000-0000BA430000}"/>
    <cellStyle name="Comma 2 4 4 6 3 2 2" xfId="44080" xr:uid="{00000000-0005-0000-0000-0000BB430000}"/>
    <cellStyle name="Comma 2 4 4 6 3 2 3" xfId="37657" xr:uid="{00000000-0005-0000-0000-0000BC430000}"/>
    <cellStyle name="Comma 2 4 4 6 3 3" xfId="28972" xr:uid="{00000000-0005-0000-0000-0000BD430000}"/>
    <cellStyle name="Comma 2 4 4 6 3 3 2" xfId="40873" xr:uid="{00000000-0005-0000-0000-0000BE430000}"/>
    <cellStyle name="Comma 2 4 4 6 3 4" xfId="32307" xr:uid="{00000000-0005-0000-0000-0000BF430000}"/>
    <cellStyle name="Comma 2 4 4 6 3 5" xfId="34449" xr:uid="{00000000-0005-0000-0000-0000C0430000}"/>
    <cellStyle name="Comma 2 4 4 6 4" xfId="8454" xr:uid="{00000000-0005-0000-0000-0000C1430000}"/>
    <cellStyle name="Comma 2 4 4 6 4 2" xfId="43055" xr:uid="{00000000-0005-0000-0000-0000C2430000}"/>
    <cellStyle name="Comma 2 4 4 6 4 3" xfId="36631" xr:uid="{00000000-0005-0000-0000-0000C3430000}"/>
    <cellStyle name="Comma 2 4 4 6 5" xfId="21443" xr:uid="{00000000-0005-0000-0000-0000C4430000}"/>
    <cellStyle name="Comma 2 4 4 6 5 2" xfId="39848" xr:uid="{00000000-0005-0000-0000-0000C5430000}"/>
    <cellStyle name="Comma 2 4 4 6 6" xfId="22516" xr:uid="{00000000-0005-0000-0000-0000C6430000}"/>
    <cellStyle name="Comma 2 4 4 6 7" xfId="23626" xr:uid="{00000000-0005-0000-0000-0000C7430000}"/>
    <cellStyle name="Comma 2 4 4 6 8" xfId="26838" xr:uid="{00000000-0005-0000-0000-0000C8430000}"/>
    <cellStyle name="Comma 2 4 4 6 9" xfId="30171" xr:uid="{00000000-0005-0000-0000-0000C9430000}"/>
    <cellStyle name="Comma 2 4 4 7" xfId="1201" xr:uid="{00000000-0005-0000-0000-0000CA430000}"/>
    <cellStyle name="Comma 2 4 4 7 10" xfId="33425" xr:uid="{00000000-0005-0000-0000-0000CB430000}"/>
    <cellStyle name="Comma 2 4 4 7 2" xfId="9971" xr:uid="{00000000-0005-0000-0000-0000CC430000}"/>
    <cellStyle name="Comma 2 4 4 7 2 2" xfId="25771" xr:uid="{00000000-0005-0000-0000-0000CD430000}"/>
    <cellStyle name="Comma 2 4 4 7 2 2 2" xfId="45198" xr:uid="{00000000-0005-0000-0000-0000CE430000}"/>
    <cellStyle name="Comma 2 4 4 7 2 2 3" xfId="38775" xr:uid="{00000000-0005-0000-0000-0000CF430000}"/>
    <cellStyle name="Comma 2 4 4 7 2 3" xfId="27949" xr:uid="{00000000-0005-0000-0000-0000D0430000}"/>
    <cellStyle name="Comma 2 4 4 7 2 3 2" xfId="41991" xr:uid="{00000000-0005-0000-0000-0000D1430000}"/>
    <cellStyle name="Comma 2 4 4 7 2 4" xfId="31284" xr:uid="{00000000-0005-0000-0000-0000D2430000}"/>
    <cellStyle name="Comma 2 4 4 7 2 5" xfId="35567" xr:uid="{00000000-0005-0000-0000-0000D3430000}"/>
    <cellStyle name="Comma 2 4 4 7 3" xfId="15637" xr:uid="{00000000-0005-0000-0000-0000D4430000}"/>
    <cellStyle name="Comma 2 4 4 7 3 2" xfId="24652" xr:uid="{00000000-0005-0000-0000-0000D5430000}"/>
    <cellStyle name="Comma 2 4 4 7 3 2 2" xfId="44081" xr:uid="{00000000-0005-0000-0000-0000D6430000}"/>
    <cellStyle name="Comma 2 4 4 7 3 2 3" xfId="37658" xr:uid="{00000000-0005-0000-0000-0000D7430000}"/>
    <cellStyle name="Comma 2 4 4 7 3 3" xfId="28973" xr:uid="{00000000-0005-0000-0000-0000D8430000}"/>
    <cellStyle name="Comma 2 4 4 7 3 3 2" xfId="40874" xr:uid="{00000000-0005-0000-0000-0000D9430000}"/>
    <cellStyle name="Comma 2 4 4 7 3 4" xfId="32308" xr:uid="{00000000-0005-0000-0000-0000DA430000}"/>
    <cellStyle name="Comma 2 4 4 7 3 5" xfId="34450" xr:uid="{00000000-0005-0000-0000-0000DB430000}"/>
    <cellStyle name="Comma 2 4 4 7 4" xfId="8455" xr:uid="{00000000-0005-0000-0000-0000DC430000}"/>
    <cellStyle name="Comma 2 4 4 7 4 2" xfId="43056" xr:uid="{00000000-0005-0000-0000-0000DD430000}"/>
    <cellStyle name="Comma 2 4 4 7 4 3" xfId="36632" xr:uid="{00000000-0005-0000-0000-0000DE430000}"/>
    <cellStyle name="Comma 2 4 4 7 5" xfId="21444" xr:uid="{00000000-0005-0000-0000-0000DF430000}"/>
    <cellStyle name="Comma 2 4 4 7 5 2" xfId="39849" xr:uid="{00000000-0005-0000-0000-0000E0430000}"/>
    <cellStyle name="Comma 2 4 4 7 6" xfId="22517" xr:uid="{00000000-0005-0000-0000-0000E1430000}"/>
    <cellStyle name="Comma 2 4 4 7 7" xfId="23627" xr:uid="{00000000-0005-0000-0000-0000E2430000}"/>
    <cellStyle name="Comma 2 4 4 7 8" xfId="26839" xr:uid="{00000000-0005-0000-0000-0000E3430000}"/>
    <cellStyle name="Comma 2 4 4 7 9" xfId="30172" xr:uid="{00000000-0005-0000-0000-0000E4430000}"/>
    <cellStyle name="Comma 2 4 4 8" xfId="1202" xr:uid="{00000000-0005-0000-0000-0000E5430000}"/>
    <cellStyle name="Comma 2 4 4 8 10" xfId="33426" xr:uid="{00000000-0005-0000-0000-0000E6430000}"/>
    <cellStyle name="Comma 2 4 4 8 2" xfId="9972" xr:uid="{00000000-0005-0000-0000-0000E7430000}"/>
    <cellStyle name="Comma 2 4 4 8 2 2" xfId="25772" xr:uid="{00000000-0005-0000-0000-0000E8430000}"/>
    <cellStyle name="Comma 2 4 4 8 2 2 2" xfId="45199" xr:uid="{00000000-0005-0000-0000-0000E9430000}"/>
    <cellStyle name="Comma 2 4 4 8 2 2 3" xfId="38776" xr:uid="{00000000-0005-0000-0000-0000EA430000}"/>
    <cellStyle name="Comma 2 4 4 8 2 3" xfId="27950" xr:uid="{00000000-0005-0000-0000-0000EB430000}"/>
    <cellStyle name="Comma 2 4 4 8 2 3 2" xfId="41992" xr:uid="{00000000-0005-0000-0000-0000EC430000}"/>
    <cellStyle name="Comma 2 4 4 8 2 4" xfId="31285" xr:uid="{00000000-0005-0000-0000-0000ED430000}"/>
    <cellStyle name="Comma 2 4 4 8 2 5" xfId="35568" xr:uid="{00000000-0005-0000-0000-0000EE430000}"/>
    <cellStyle name="Comma 2 4 4 8 3" xfId="15638" xr:uid="{00000000-0005-0000-0000-0000EF430000}"/>
    <cellStyle name="Comma 2 4 4 8 3 2" xfId="24653" xr:uid="{00000000-0005-0000-0000-0000F0430000}"/>
    <cellStyle name="Comma 2 4 4 8 3 2 2" xfId="44082" xr:uid="{00000000-0005-0000-0000-0000F1430000}"/>
    <cellStyle name="Comma 2 4 4 8 3 2 3" xfId="37659" xr:uid="{00000000-0005-0000-0000-0000F2430000}"/>
    <cellStyle name="Comma 2 4 4 8 3 3" xfId="28974" xr:uid="{00000000-0005-0000-0000-0000F3430000}"/>
    <cellStyle name="Comma 2 4 4 8 3 3 2" xfId="40875" xr:uid="{00000000-0005-0000-0000-0000F4430000}"/>
    <cellStyle name="Comma 2 4 4 8 3 4" xfId="32309" xr:uid="{00000000-0005-0000-0000-0000F5430000}"/>
    <cellStyle name="Comma 2 4 4 8 3 5" xfId="34451" xr:uid="{00000000-0005-0000-0000-0000F6430000}"/>
    <cellStyle name="Comma 2 4 4 8 4" xfId="8456" xr:uid="{00000000-0005-0000-0000-0000F7430000}"/>
    <cellStyle name="Comma 2 4 4 8 4 2" xfId="43057" xr:uid="{00000000-0005-0000-0000-0000F8430000}"/>
    <cellStyle name="Comma 2 4 4 8 4 3" xfId="36633" xr:uid="{00000000-0005-0000-0000-0000F9430000}"/>
    <cellStyle name="Comma 2 4 4 8 5" xfId="21445" xr:uid="{00000000-0005-0000-0000-0000FA430000}"/>
    <cellStyle name="Comma 2 4 4 8 5 2" xfId="39850" xr:uid="{00000000-0005-0000-0000-0000FB430000}"/>
    <cellStyle name="Comma 2 4 4 8 6" xfId="22518" xr:uid="{00000000-0005-0000-0000-0000FC430000}"/>
    <cellStyle name="Comma 2 4 4 8 7" xfId="23628" xr:uid="{00000000-0005-0000-0000-0000FD430000}"/>
    <cellStyle name="Comma 2 4 4 8 8" xfId="26840" xr:uid="{00000000-0005-0000-0000-0000FE430000}"/>
    <cellStyle name="Comma 2 4 4 8 9" xfId="30173" xr:uid="{00000000-0005-0000-0000-0000FF430000}"/>
    <cellStyle name="Comma 2 4 4 9" xfId="1203" xr:uid="{00000000-0005-0000-0000-000000440000}"/>
    <cellStyle name="Comma 2 4 4 9 10" xfId="33427" xr:uid="{00000000-0005-0000-0000-000001440000}"/>
    <cellStyle name="Comma 2 4 4 9 2" xfId="9973" xr:uid="{00000000-0005-0000-0000-000002440000}"/>
    <cellStyle name="Comma 2 4 4 9 2 2" xfId="25773" xr:uid="{00000000-0005-0000-0000-000003440000}"/>
    <cellStyle name="Comma 2 4 4 9 2 2 2" xfId="45200" xr:uid="{00000000-0005-0000-0000-000004440000}"/>
    <cellStyle name="Comma 2 4 4 9 2 2 3" xfId="38777" xr:uid="{00000000-0005-0000-0000-000005440000}"/>
    <cellStyle name="Comma 2 4 4 9 2 3" xfId="27951" xr:uid="{00000000-0005-0000-0000-000006440000}"/>
    <cellStyle name="Comma 2 4 4 9 2 3 2" xfId="41993" xr:uid="{00000000-0005-0000-0000-000007440000}"/>
    <cellStyle name="Comma 2 4 4 9 2 4" xfId="31286" xr:uid="{00000000-0005-0000-0000-000008440000}"/>
    <cellStyle name="Comma 2 4 4 9 2 5" xfId="35569" xr:uid="{00000000-0005-0000-0000-000009440000}"/>
    <cellStyle name="Comma 2 4 4 9 3" xfId="15639" xr:uid="{00000000-0005-0000-0000-00000A440000}"/>
    <cellStyle name="Comma 2 4 4 9 3 2" xfId="24654" xr:uid="{00000000-0005-0000-0000-00000B440000}"/>
    <cellStyle name="Comma 2 4 4 9 3 2 2" xfId="44083" xr:uid="{00000000-0005-0000-0000-00000C440000}"/>
    <cellStyle name="Comma 2 4 4 9 3 2 3" xfId="37660" xr:uid="{00000000-0005-0000-0000-00000D440000}"/>
    <cellStyle name="Comma 2 4 4 9 3 3" xfId="28975" xr:uid="{00000000-0005-0000-0000-00000E440000}"/>
    <cellStyle name="Comma 2 4 4 9 3 3 2" xfId="40876" xr:uid="{00000000-0005-0000-0000-00000F440000}"/>
    <cellStyle name="Comma 2 4 4 9 3 4" xfId="32310" xr:uid="{00000000-0005-0000-0000-000010440000}"/>
    <cellStyle name="Comma 2 4 4 9 3 5" xfId="34452" xr:uid="{00000000-0005-0000-0000-000011440000}"/>
    <cellStyle name="Comma 2 4 4 9 4" xfId="8457" xr:uid="{00000000-0005-0000-0000-000012440000}"/>
    <cellStyle name="Comma 2 4 4 9 4 2" xfId="43058" xr:uid="{00000000-0005-0000-0000-000013440000}"/>
    <cellStyle name="Comma 2 4 4 9 4 3" xfId="36634" xr:uid="{00000000-0005-0000-0000-000014440000}"/>
    <cellStyle name="Comma 2 4 4 9 5" xfId="21446" xr:uid="{00000000-0005-0000-0000-000015440000}"/>
    <cellStyle name="Comma 2 4 4 9 5 2" xfId="39851" xr:uid="{00000000-0005-0000-0000-000016440000}"/>
    <cellStyle name="Comma 2 4 4 9 6" xfId="22519" xr:uid="{00000000-0005-0000-0000-000017440000}"/>
    <cellStyle name="Comma 2 4 4 9 7" xfId="23629" xr:uid="{00000000-0005-0000-0000-000018440000}"/>
    <cellStyle name="Comma 2 4 4 9 8" xfId="26841" xr:uid="{00000000-0005-0000-0000-000019440000}"/>
    <cellStyle name="Comma 2 4 4 9 9" xfId="30174" xr:uid="{00000000-0005-0000-0000-00001A440000}"/>
    <cellStyle name="Comma 2 4 5" xfId="179" xr:uid="{00000000-0005-0000-0000-00001B440000}"/>
    <cellStyle name="Comma 2 4 5 10" xfId="15640" xr:uid="{00000000-0005-0000-0000-00001C440000}"/>
    <cellStyle name="Comma 2 4 5 10 2" xfId="24655" xr:uid="{00000000-0005-0000-0000-00001D440000}"/>
    <cellStyle name="Comma 2 4 5 10 2 2" xfId="44084" xr:uid="{00000000-0005-0000-0000-00001E440000}"/>
    <cellStyle name="Comma 2 4 5 10 2 3" xfId="37661" xr:uid="{00000000-0005-0000-0000-00001F440000}"/>
    <cellStyle name="Comma 2 4 5 10 3" xfId="28976" xr:uid="{00000000-0005-0000-0000-000020440000}"/>
    <cellStyle name="Comma 2 4 5 10 3 2" xfId="40877" xr:uid="{00000000-0005-0000-0000-000021440000}"/>
    <cellStyle name="Comma 2 4 5 10 4" xfId="32311" xr:uid="{00000000-0005-0000-0000-000022440000}"/>
    <cellStyle name="Comma 2 4 5 10 5" xfId="34453" xr:uid="{00000000-0005-0000-0000-000023440000}"/>
    <cellStyle name="Comma 2 4 5 11" xfId="8458" xr:uid="{00000000-0005-0000-0000-000024440000}"/>
    <cellStyle name="Comma 2 4 5 11 2" xfId="42409" xr:uid="{00000000-0005-0000-0000-000025440000}"/>
    <cellStyle name="Comma 2 4 5 11 3" xfId="35985" xr:uid="{00000000-0005-0000-0000-000026440000}"/>
    <cellStyle name="Comma 2 4 5 12" xfId="21447" xr:uid="{00000000-0005-0000-0000-000027440000}"/>
    <cellStyle name="Comma 2 4 5 12 2" xfId="39202" xr:uid="{00000000-0005-0000-0000-000028440000}"/>
    <cellStyle name="Comma 2 4 5 13" xfId="22520" xr:uid="{00000000-0005-0000-0000-000029440000}"/>
    <cellStyle name="Comma 2 4 5 14" xfId="22980" xr:uid="{00000000-0005-0000-0000-00002A440000}"/>
    <cellStyle name="Comma 2 4 5 15" xfId="26842" xr:uid="{00000000-0005-0000-0000-00002B440000}"/>
    <cellStyle name="Comma 2 4 5 16" xfId="30175" xr:uid="{00000000-0005-0000-0000-00002C440000}"/>
    <cellStyle name="Comma 2 4 5 17" xfId="32778" xr:uid="{00000000-0005-0000-0000-00002D440000}"/>
    <cellStyle name="Comma 2 4 5 2" xfId="218" xr:uid="{00000000-0005-0000-0000-00002E440000}"/>
    <cellStyle name="Comma 2 4 5 2 10" xfId="21448" xr:uid="{00000000-0005-0000-0000-00002F440000}"/>
    <cellStyle name="Comma 2 4 5 2 10 2" xfId="39226" xr:uid="{00000000-0005-0000-0000-000030440000}"/>
    <cellStyle name="Comma 2 4 5 2 11" xfId="22521" xr:uid="{00000000-0005-0000-0000-000031440000}"/>
    <cellStyle name="Comma 2 4 5 2 12" xfId="23004" xr:uid="{00000000-0005-0000-0000-000032440000}"/>
    <cellStyle name="Comma 2 4 5 2 13" xfId="26843" xr:uid="{00000000-0005-0000-0000-000033440000}"/>
    <cellStyle name="Comma 2 4 5 2 14" xfId="30176" xr:uid="{00000000-0005-0000-0000-000034440000}"/>
    <cellStyle name="Comma 2 4 5 2 15" xfId="32802" xr:uid="{00000000-0005-0000-0000-000035440000}"/>
    <cellStyle name="Comma 2 4 5 2 2" xfId="1204" xr:uid="{00000000-0005-0000-0000-000036440000}"/>
    <cellStyle name="Comma 2 4 5 2 2 10" xfId="33428" xr:uid="{00000000-0005-0000-0000-000037440000}"/>
    <cellStyle name="Comma 2 4 5 2 2 2" xfId="9974" xr:uid="{00000000-0005-0000-0000-000038440000}"/>
    <cellStyle name="Comma 2 4 5 2 2 2 2" xfId="25774" xr:uid="{00000000-0005-0000-0000-000039440000}"/>
    <cellStyle name="Comma 2 4 5 2 2 2 2 2" xfId="45201" xr:uid="{00000000-0005-0000-0000-00003A440000}"/>
    <cellStyle name="Comma 2 4 5 2 2 2 2 3" xfId="38778" xr:uid="{00000000-0005-0000-0000-00003B440000}"/>
    <cellStyle name="Comma 2 4 5 2 2 2 3" xfId="27952" xr:uid="{00000000-0005-0000-0000-00003C440000}"/>
    <cellStyle name="Comma 2 4 5 2 2 2 3 2" xfId="41994" xr:uid="{00000000-0005-0000-0000-00003D440000}"/>
    <cellStyle name="Comma 2 4 5 2 2 2 4" xfId="31287" xr:uid="{00000000-0005-0000-0000-00003E440000}"/>
    <cellStyle name="Comma 2 4 5 2 2 2 5" xfId="35570" xr:uid="{00000000-0005-0000-0000-00003F440000}"/>
    <cellStyle name="Comma 2 4 5 2 2 3" xfId="15642" xr:uid="{00000000-0005-0000-0000-000040440000}"/>
    <cellStyle name="Comma 2 4 5 2 2 3 2" xfId="24657" xr:uid="{00000000-0005-0000-0000-000041440000}"/>
    <cellStyle name="Comma 2 4 5 2 2 3 2 2" xfId="44086" xr:uid="{00000000-0005-0000-0000-000042440000}"/>
    <cellStyle name="Comma 2 4 5 2 2 3 2 3" xfId="37663" xr:uid="{00000000-0005-0000-0000-000043440000}"/>
    <cellStyle name="Comma 2 4 5 2 2 3 3" xfId="28978" xr:uid="{00000000-0005-0000-0000-000044440000}"/>
    <cellStyle name="Comma 2 4 5 2 2 3 3 2" xfId="40879" xr:uid="{00000000-0005-0000-0000-000045440000}"/>
    <cellStyle name="Comma 2 4 5 2 2 3 4" xfId="32313" xr:uid="{00000000-0005-0000-0000-000046440000}"/>
    <cellStyle name="Comma 2 4 5 2 2 3 5" xfId="34455" xr:uid="{00000000-0005-0000-0000-000047440000}"/>
    <cellStyle name="Comma 2 4 5 2 2 4" xfId="8460" xr:uid="{00000000-0005-0000-0000-000048440000}"/>
    <cellStyle name="Comma 2 4 5 2 2 4 2" xfId="43059" xr:uid="{00000000-0005-0000-0000-000049440000}"/>
    <cellStyle name="Comma 2 4 5 2 2 4 3" xfId="36635" xr:uid="{00000000-0005-0000-0000-00004A440000}"/>
    <cellStyle name="Comma 2 4 5 2 2 5" xfId="21449" xr:uid="{00000000-0005-0000-0000-00004B440000}"/>
    <cellStyle name="Comma 2 4 5 2 2 5 2" xfId="39852" xr:uid="{00000000-0005-0000-0000-00004C440000}"/>
    <cellStyle name="Comma 2 4 5 2 2 6" xfId="22522" xr:uid="{00000000-0005-0000-0000-00004D440000}"/>
    <cellStyle name="Comma 2 4 5 2 2 7" xfId="23630" xr:uid="{00000000-0005-0000-0000-00004E440000}"/>
    <cellStyle name="Comma 2 4 5 2 2 8" xfId="26844" xr:uid="{00000000-0005-0000-0000-00004F440000}"/>
    <cellStyle name="Comma 2 4 5 2 2 9" xfId="30177" xr:uid="{00000000-0005-0000-0000-000050440000}"/>
    <cellStyle name="Comma 2 4 5 2 3" xfId="1205" xr:uid="{00000000-0005-0000-0000-000051440000}"/>
    <cellStyle name="Comma 2 4 5 2 3 10" xfId="33429" xr:uid="{00000000-0005-0000-0000-000052440000}"/>
    <cellStyle name="Comma 2 4 5 2 3 2" xfId="9975" xr:uid="{00000000-0005-0000-0000-000053440000}"/>
    <cellStyle name="Comma 2 4 5 2 3 2 2" xfId="25775" xr:uid="{00000000-0005-0000-0000-000054440000}"/>
    <cellStyle name="Comma 2 4 5 2 3 2 2 2" xfId="45202" xr:uid="{00000000-0005-0000-0000-000055440000}"/>
    <cellStyle name="Comma 2 4 5 2 3 2 2 3" xfId="38779" xr:uid="{00000000-0005-0000-0000-000056440000}"/>
    <cellStyle name="Comma 2 4 5 2 3 2 3" xfId="27953" xr:uid="{00000000-0005-0000-0000-000057440000}"/>
    <cellStyle name="Comma 2 4 5 2 3 2 3 2" xfId="41995" xr:uid="{00000000-0005-0000-0000-000058440000}"/>
    <cellStyle name="Comma 2 4 5 2 3 2 4" xfId="31288" xr:uid="{00000000-0005-0000-0000-000059440000}"/>
    <cellStyle name="Comma 2 4 5 2 3 2 5" xfId="35571" xr:uid="{00000000-0005-0000-0000-00005A440000}"/>
    <cellStyle name="Comma 2 4 5 2 3 3" xfId="15643" xr:uid="{00000000-0005-0000-0000-00005B440000}"/>
    <cellStyle name="Comma 2 4 5 2 3 3 2" xfId="24658" xr:uid="{00000000-0005-0000-0000-00005C440000}"/>
    <cellStyle name="Comma 2 4 5 2 3 3 2 2" xfId="44087" xr:uid="{00000000-0005-0000-0000-00005D440000}"/>
    <cellStyle name="Comma 2 4 5 2 3 3 2 3" xfId="37664" xr:uid="{00000000-0005-0000-0000-00005E440000}"/>
    <cellStyle name="Comma 2 4 5 2 3 3 3" xfId="28979" xr:uid="{00000000-0005-0000-0000-00005F440000}"/>
    <cellStyle name="Comma 2 4 5 2 3 3 3 2" xfId="40880" xr:uid="{00000000-0005-0000-0000-000060440000}"/>
    <cellStyle name="Comma 2 4 5 2 3 3 4" xfId="32314" xr:uid="{00000000-0005-0000-0000-000061440000}"/>
    <cellStyle name="Comma 2 4 5 2 3 3 5" xfId="34456" xr:uid="{00000000-0005-0000-0000-000062440000}"/>
    <cellStyle name="Comma 2 4 5 2 3 4" xfId="8461" xr:uid="{00000000-0005-0000-0000-000063440000}"/>
    <cellStyle name="Comma 2 4 5 2 3 4 2" xfId="43060" xr:uid="{00000000-0005-0000-0000-000064440000}"/>
    <cellStyle name="Comma 2 4 5 2 3 4 3" xfId="36636" xr:uid="{00000000-0005-0000-0000-000065440000}"/>
    <cellStyle name="Comma 2 4 5 2 3 5" xfId="21450" xr:uid="{00000000-0005-0000-0000-000066440000}"/>
    <cellStyle name="Comma 2 4 5 2 3 5 2" xfId="39853" xr:uid="{00000000-0005-0000-0000-000067440000}"/>
    <cellStyle name="Comma 2 4 5 2 3 6" xfId="22523" xr:uid="{00000000-0005-0000-0000-000068440000}"/>
    <cellStyle name="Comma 2 4 5 2 3 7" xfId="23631" xr:uid="{00000000-0005-0000-0000-000069440000}"/>
    <cellStyle name="Comma 2 4 5 2 3 8" xfId="26845" xr:uid="{00000000-0005-0000-0000-00006A440000}"/>
    <cellStyle name="Comma 2 4 5 2 3 9" xfId="30178" xr:uid="{00000000-0005-0000-0000-00006B440000}"/>
    <cellStyle name="Comma 2 4 5 2 4" xfId="1206" xr:uid="{00000000-0005-0000-0000-00006C440000}"/>
    <cellStyle name="Comma 2 4 5 2 4 10" xfId="33430" xr:uid="{00000000-0005-0000-0000-00006D440000}"/>
    <cellStyle name="Comma 2 4 5 2 4 2" xfId="9976" xr:uid="{00000000-0005-0000-0000-00006E440000}"/>
    <cellStyle name="Comma 2 4 5 2 4 2 2" xfId="25776" xr:uid="{00000000-0005-0000-0000-00006F440000}"/>
    <cellStyle name="Comma 2 4 5 2 4 2 2 2" xfId="45203" xr:uid="{00000000-0005-0000-0000-000070440000}"/>
    <cellStyle name="Comma 2 4 5 2 4 2 2 3" xfId="38780" xr:uid="{00000000-0005-0000-0000-000071440000}"/>
    <cellStyle name="Comma 2 4 5 2 4 2 3" xfId="27954" xr:uid="{00000000-0005-0000-0000-000072440000}"/>
    <cellStyle name="Comma 2 4 5 2 4 2 3 2" xfId="41996" xr:uid="{00000000-0005-0000-0000-000073440000}"/>
    <cellStyle name="Comma 2 4 5 2 4 2 4" xfId="31289" xr:uid="{00000000-0005-0000-0000-000074440000}"/>
    <cellStyle name="Comma 2 4 5 2 4 2 5" xfId="35572" xr:uid="{00000000-0005-0000-0000-000075440000}"/>
    <cellStyle name="Comma 2 4 5 2 4 3" xfId="15644" xr:uid="{00000000-0005-0000-0000-000076440000}"/>
    <cellStyle name="Comma 2 4 5 2 4 3 2" xfId="24659" xr:uid="{00000000-0005-0000-0000-000077440000}"/>
    <cellStyle name="Comma 2 4 5 2 4 3 2 2" xfId="44088" xr:uid="{00000000-0005-0000-0000-000078440000}"/>
    <cellStyle name="Comma 2 4 5 2 4 3 2 3" xfId="37665" xr:uid="{00000000-0005-0000-0000-000079440000}"/>
    <cellStyle name="Comma 2 4 5 2 4 3 3" xfId="28980" xr:uid="{00000000-0005-0000-0000-00007A440000}"/>
    <cellStyle name="Comma 2 4 5 2 4 3 3 2" xfId="40881" xr:uid="{00000000-0005-0000-0000-00007B440000}"/>
    <cellStyle name="Comma 2 4 5 2 4 3 4" xfId="32315" xr:uid="{00000000-0005-0000-0000-00007C440000}"/>
    <cellStyle name="Comma 2 4 5 2 4 3 5" xfId="34457" xr:uid="{00000000-0005-0000-0000-00007D440000}"/>
    <cellStyle name="Comma 2 4 5 2 4 4" xfId="8462" xr:uid="{00000000-0005-0000-0000-00007E440000}"/>
    <cellStyle name="Comma 2 4 5 2 4 4 2" xfId="43061" xr:uid="{00000000-0005-0000-0000-00007F440000}"/>
    <cellStyle name="Comma 2 4 5 2 4 4 3" xfId="36637" xr:uid="{00000000-0005-0000-0000-000080440000}"/>
    <cellStyle name="Comma 2 4 5 2 4 5" xfId="21451" xr:uid="{00000000-0005-0000-0000-000081440000}"/>
    <cellStyle name="Comma 2 4 5 2 4 5 2" xfId="39854" xr:uid="{00000000-0005-0000-0000-000082440000}"/>
    <cellStyle name="Comma 2 4 5 2 4 6" xfId="22524" xr:uid="{00000000-0005-0000-0000-000083440000}"/>
    <cellStyle name="Comma 2 4 5 2 4 7" xfId="23632" xr:uid="{00000000-0005-0000-0000-000084440000}"/>
    <cellStyle name="Comma 2 4 5 2 4 8" xfId="26846" xr:uid="{00000000-0005-0000-0000-000085440000}"/>
    <cellStyle name="Comma 2 4 5 2 4 9" xfId="30179" xr:uid="{00000000-0005-0000-0000-000086440000}"/>
    <cellStyle name="Comma 2 4 5 2 5" xfId="1207" xr:uid="{00000000-0005-0000-0000-000087440000}"/>
    <cellStyle name="Comma 2 4 5 2 5 10" xfId="33431" xr:uid="{00000000-0005-0000-0000-000088440000}"/>
    <cellStyle name="Comma 2 4 5 2 5 2" xfId="9977" xr:uid="{00000000-0005-0000-0000-000089440000}"/>
    <cellStyle name="Comma 2 4 5 2 5 2 2" xfId="25777" xr:uid="{00000000-0005-0000-0000-00008A440000}"/>
    <cellStyle name="Comma 2 4 5 2 5 2 2 2" xfId="45204" xr:uid="{00000000-0005-0000-0000-00008B440000}"/>
    <cellStyle name="Comma 2 4 5 2 5 2 2 3" xfId="38781" xr:uid="{00000000-0005-0000-0000-00008C440000}"/>
    <cellStyle name="Comma 2 4 5 2 5 2 3" xfId="27955" xr:uid="{00000000-0005-0000-0000-00008D440000}"/>
    <cellStyle name="Comma 2 4 5 2 5 2 3 2" xfId="41997" xr:uid="{00000000-0005-0000-0000-00008E440000}"/>
    <cellStyle name="Comma 2 4 5 2 5 2 4" xfId="31290" xr:uid="{00000000-0005-0000-0000-00008F440000}"/>
    <cellStyle name="Comma 2 4 5 2 5 2 5" xfId="35573" xr:uid="{00000000-0005-0000-0000-000090440000}"/>
    <cellStyle name="Comma 2 4 5 2 5 3" xfId="15645" xr:uid="{00000000-0005-0000-0000-000091440000}"/>
    <cellStyle name="Comma 2 4 5 2 5 3 2" xfId="24660" xr:uid="{00000000-0005-0000-0000-000092440000}"/>
    <cellStyle name="Comma 2 4 5 2 5 3 2 2" xfId="44089" xr:uid="{00000000-0005-0000-0000-000093440000}"/>
    <cellStyle name="Comma 2 4 5 2 5 3 2 3" xfId="37666" xr:uid="{00000000-0005-0000-0000-000094440000}"/>
    <cellStyle name="Comma 2 4 5 2 5 3 3" xfId="28981" xr:uid="{00000000-0005-0000-0000-000095440000}"/>
    <cellStyle name="Comma 2 4 5 2 5 3 3 2" xfId="40882" xr:uid="{00000000-0005-0000-0000-000096440000}"/>
    <cellStyle name="Comma 2 4 5 2 5 3 4" xfId="32316" xr:uid="{00000000-0005-0000-0000-000097440000}"/>
    <cellStyle name="Comma 2 4 5 2 5 3 5" xfId="34458" xr:uid="{00000000-0005-0000-0000-000098440000}"/>
    <cellStyle name="Comma 2 4 5 2 5 4" xfId="8463" xr:uid="{00000000-0005-0000-0000-000099440000}"/>
    <cellStyle name="Comma 2 4 5 2 5 4 2" xfId="43062" xr:uid="{00000000-0005-0000-0000-00009A440000}"/>
    <cellStyle name="Comma 2 4 5 2 5 4 3" xfId="36638" xr:uid="{00000000-0005-0000-0000-00009B440000}"/>
    <cellStyle name="Comma 2 4 5 2 5 5" xfId="21452" xr:uid="{00000000-0005-0000-0000-00009C440000}"/>
    <cellStyle name="Comma 2 4 5 2 5 5 2" xfId="39855" xr:uid="{00000000-0005-0000-0000-00009D440000}"/>
    <cellStyle name="Comma 2 4 5 2 5 6" xfId="22525" xr:uid="{00000000-0005-0000-0000-00009E440000}"/>
    <cellStyle name="Comma 2 4 5 2 5 7" xfId="23633" xr:uid="{00000000-0005-0000-0000-00009F440000}"/>
    <cellStyle name="Comma 2 4 5 2 5 8" xfId="26847" xr:uid="{00000000-0005-0000-0000-0000A0440000}"/>
    <cellStyle name="Comma 2 4 5 2 5 9" xfId="30180" xr:uid="{00000000-0005-0000-0000-0000A1440000}"/>
    <cellStyle name="Comma 2 4 5 2 6" xfId="1208" xr:uid="{00000000-0005-0000-0000-0000A2440000}"/>
    <cellStyle name="Comma 2 4 5 2 6 10" xfId="33432" xr:uid="{00000000-0005-0000-0000-0000A3440000}"/>
    <cellStyle name="Comma 2 4 5 2 6 2" xfId="9978" xr:uid="{00000000-0005-0000-0000-0000A4440000}"/>
    <cellStyle name="Comma 2 4 5 2 6 2 2" xfId="25778" xr:uid="{00000000-0005-0000-0000-0000A5440000}"/>
    <cellStyle name="Comma 2 4 5 2 6 2 2 2" xfId="45205" xr:uid="{00000000-0005-0000-0000-0000A6440000}"/>
    <cellStyle name="Comma 2 4 5 2 6 2 2 3" xfId="38782" xr:uid="{00000000-0005-0000-0000-0000A7440000}"/>
    <cellStyle name="Comma 2 4 5 2 6 2 3" xfId="27956" xr:uid="{00000000-0005-0000-0000-0000A8440000}"/>
    <cellStyle name="Comma 2 4 5 2 6 2 3 2" xfId="41998" xr:uid="{00000000-0005-0000-0000-0000A9440000}"/>
    <cellStyle name="Comma 2 4 5 2 6 2 4" xfId="31291" xr:uid="{00000000-0005-0000-0000-0000AA440000}"/>
    <cellStyle name="Comma 2 4 5 2 6 2 5" xfId="35574" xr:uid="{00000000-0005-0000-0000-0000AB440000}"/>
    <cellStyle name="Comma 2 4 5 2 6 3" xfId="15646" xr:uid="{00000000-0005-0000-0000-0000AC440000}"/>
    <cellStyle name="Comma 2 4 5 2 6 3 2" xfId="24661" xr:uid="{00000000-0005-0000-0000-0000AD440000}"/>
    <cellStyle name="Comma 2 4 5 2 6 3 2 2" xfId="44090" xr:uid="{00000000-0005-0000-0000-0000AE440000}"/>
    <cellStyle name="Comma 2 4 5 2 6 3 2 3" xfId="37667" xr:uid="{00000000-0005-0000-0000-0000AF440000}"/>
    <cellStyle name="Comma 2 4 5 2 6 3 3" xfId="28982" xr:uid="{00000000-0005-0000-0000-0000B0440000}"/>
    <cellStyle name="Comma 2 4 5 2 6 3 3 2" xfId="40883" xr:uid="{00000000-0005-0000-0000-0000B1440000}"/>
    <cellStyle name="Comma 2 4 5 2 6 3 4" xfId="32317" xr:uid="{00000000-0005-0000-0000-0000B2440000}"/>
    <cellStyle name="Comma 2 4 5 2 6 3 5" xfId="34459" xr:uid="{00000000-0005-0000-0000-0000B3440000}"/>
    <cellStyle name="Comma 2 4 5 2 6 4" xfId="8464" xr:uid="{00000000-0005-0000-0000-0000B4440000}"/>
    <cellStyle name="Comma 2 4 5 2 6 4 2" xfId="43063" xr:uid="{00000000-0005-0000-0000-0000B5440000}"/>
    <cellStyle name="Comma 2 4 5 2 6 4 3" xfId="36639" xr:uid="{00000000-0005-0000-0000-0000B6440000}"/>
    <cellStyle name="Comma 2 4 5 2 6 5" xfId="21453" xr:uid="{00000000-0005-0000-0000-0000B7440000}"/>
    <cellStyle name="Comma 2 4 5 2 6 5 2" xfId="39856" xr:uid="{00000000-0005-0000-0000-0000B8440000}"/>
    <cellStyle name="Comma 2 4 5 2 6 6" xfId="22526" xr:uid="{00000000-0005-0000-0000-0000B9440000}"/>
    <cellStyle name="Comma 2 4 5 2 6 7" xfId="23634" xr:uid="{00000000-0005-0000-0000-0000BA440000}"/>
    <cellStyle name="Comma 2 4 5 2 6 8" xfId="26848" xr:uid="{00000000-0005-0000-0000-0000BB440000}"/>
    <cellStyle name="Comma 2 4 5 2 6 9" xfId="30181" xr:uid="{00000000-0005-0000-0000-0000BC440000}"/>
    <cellStyle name="Comma 2 4 5 2 7" xfId="9088" xr:uid="{00000000-0005-0000-0000-0000BD440000}"/>
    <cellStyle name="Comma 2 4 5 2 7 2" xfId="25143" xr:uid="{00000000-0005-0000-0000-0000BE440000}"/>
    <cellStyle name="Comma 2 4 5 2 7 2 2" xfId="44570" xr:uid="{00000000-0005-0000-0000-0000BF440000}"/>
    <cellStyle name="Comma 2 4 5 2 7 2 3" xfId="38147" xr:uid="{00000000-0005-0000-0000-0000C0440000}"/>
    <cellStyle name="Comma 2 4 5 2 7 3" xfId="27322" xr:uid="{00000000-0005-0000-0000-0000C1440000}"/>
    <cellStyle name="Comma 2 4 5 2 7 3 2" xfId="41363" xr:uid="{00000000-0005-0000-0000-0000C2440000}"/>
    <cellStyle name="Comma 2 4 5 2 7 4" xfId="30657" xr:uid="{00000000-0005-0000-0000-0000C3440000}"/>
    <cellStyle name="Comma 2 4 5 2 7 5" xfId="34939" xr:uid="{00000000-0005-0000-0000-0000C4440000}"/>
    <cellStyle name="Comma 2 4 5 2 8" xfId="15641" xr:uid="{00000000-0005-0000-0000-0000C5440000}"/>
    <cellStyle name="Comma 2 4 5 2 8 2" xfId="24656" xr:uid="{00000000-0005-0000-0000-0000C6440000}"/>
    <cellStyle name="Comma 2 4 5 2 8 2 2" xfId="44085" xr:uid="{00000000-0005-0000-0000-0000C7440000}"/>
    <cellStyle name="Comma 2 4 5 2 8 2 3" xfId="37662" xr:uid="{00000000-0005-0000-0000-0000C8440000}"/>
    <cellStyle name="Comma 2 4 5 2 8 3" xfId="28977" xr:uid="{00000000-0005-0000-0000-0000C9440000}"/>
    <cellStyle name="Comma 2 4 5 2 8 3 2" xfId="40878" xr:uid="{00000000-0005-0000-0000-0000CA440000}"/>
    <cellStyle name="Comma 2 4 5 2 8 4" xfId="32312" xr:uid="{00000000-0005-0000-0000-0000CB440000}"/>
    <cellStyle name="Comma 2 4 5 2 8 5" xfId="34454" xr:uid="{00000000-0005-0000-0000-0000CC440000}"/>
    <cellStyle name="Comma 2 4 5 2 9" xfId="8459" xr:uid="{00000000-0005-0000-0000-0000CD440000}"/>
    <cellStyle name="Comma 2 4 5 2 9 2" xfId="42433" xr:uid="{00000000-0005-0000-0000-0000CE440000}"/>
    <cellStyle name="Comma 2 4 5 2 9 3" xfId="36009" xr:uid="{00000000-0005-0000-0000-0000CF440000}"/>
    <cellStyle name="Comma 2 4 5 3" xfId="1209" xr:uid="{00000000-0005-0000-0000-0000D0440000}"/>
    <cellStyle name="Comma 2 4 5 3 10" xfId="22527" xr:uid="{00000000-0005-0000-0000-0000D1440000}"/>
    <cellStyle name="Comma 2 4 5 3 11" xfId="23635" xr:uid="{00000000-0005-0000-0000-0000D2440000}"/>
    <cellStyle name="Comma 2 4 5 3 12" xfId="26849" xr:uid="{00000000-0005-0000-0000-0000D3440000}"/>
    <cellStyle name="Comma 2 4 5 3 13" xfId="30182" xr:uid="{00000000-0005-0000-0000-0000D4440000}"/>
    <cellStyle name="Comma 2 4 5 3 14" xfId="33433" xr:uid="{00000000-0005-0000-0000-0000D5440000}"/>
    <cellStyle name="Comma 2 4 5 3 2" xfId="1210" xr:uid="{00000000-0005-0000-0000-0000D6440000}"/>
    <cellStyle name="Comma 2 4 5 3 2 10" xfId="33434" xr:uid="{00000000-0005-0000-0000-0000D7440000}"/>
    <cellStyle name="Comma 2 4 5 3 2 2" xfId="9980" xr:uid="{00000000-0005-0000-0000-0000D8440000}"/>
    <cellStyle name="Comma 2 4 5 3 2 2 2" xfId="25780" xr:uid="{00000000-0005-0000-0000-0000D9440000}"/>
    <cellStyle name="Comma 2 4 5 3 2 2 2 2" xfId="45207" xr:uid="{00000000-0005-0000-0000-0000DA440000}"/>
    <cellStyle name="Comma 2 4 5 3 2 2 2 3" xfId="38784" xr:uid="{00000000-0005-0000-0000-0000DB440000}"/>
    <cellStyle name="Comma 2 4 5 3 2 2 3" xfId="27958" xr:uid="{00000000-0005-0000-0000-0000DC440000}"/>
    <cellStyle name="Comma 2 4 5 3 2 2 3 2" xfId="42000" xr:uid="{00000000-0005-0000-0000-0000DD440000}"/>
    <cellStyle name="Comma 2 4 5 3 2 2 4" xfId="31293" xr:uid="{00000000-0005-0000-0000-0000DE440000}"/>
    <cellStyle name="Comma 2 4 5 3 2 2 5" xfId="35576" xr:uid="{00000000-0005-0000-0000-0000DF440000}"/>
    <cellStyle name="Comma 2 4 5 3 2 3" xfId="15648" xr:uid="{00000000-0005-0000-0000-0000E0440000}"/>
    <cellStyle name="Comma 2 4 5 3 2 3 2" xfId="24663" xr:uid="{00000000-0005-0000-0000-0000E1440000}"/>
    <cellStyle name="Comma 2 4 5 3 2 3 2 2" xfId="44092" xr:uid="{00000000-0005-0000-0000-0000E2440000}"/>
    <cellStyle name="Comma 2 4 5 3 2 3 2 3" xfId="37669" xr:uid="{00000000-0005-0000-0000-0000E3440000}"/>
    <cellStyle name="Comma 2 4 5 3 2 3 3" xfId="28984" xr:uid="{00000000-0005-0000-0000-0000E4440000}"/>
    <cellStyle name="Comma 2 4 5 3 2 3 3 2" xfId="40885" xr:uid="{00000000-0005-0000-0000-0000E5440000}"/>
    <cellStyle name="Comma 2 4 5 3 2 3 4" xfId="32319" xr:uid="{00000000-0005-0000-0000-0000E6440000}"/>
    <cellStyle name="Comma 2 4 5 3 2 3 5" xfId="34461" xr:uid="{00000000-0005-0000-0000-0000E7440000}"/>
    <cellStyle name="Comma 2 4 5 3 2 4" xfId="8466" xr:uid="{00000000-0005-0000-0000-0000E8440000}"/>
    <cellStyle name="Comma 2 4 5 3 2 4 2" xfId="43065" xr:uid="{00000000-0005-0000-0000-0000E9440000}"/>
    <cellStyle name="Comma 2 4 5 3 2 4 3" xfId="36641" xr:uid="{00000000-0005-0000-0000-0000EA440000}"/>
    <cellStyle name="Comma 2 4 5 3 2 5" xfId="21455" xr:uid="{00000000-0005-0000-0000-0000EB440000}"/>
    <cellStyle name="Comma 2 4 5 3 2 5 2" xfId="39858" xr:uid="{00000000-0005-0000-0000-0000EC440000}"/>
    <cellStyle name="Comma 2 4 5 3 2 6" xfId="22528" xr:uid="{00000000-0005-0000-0000-0000ED440000}"/>
    <cellStyle name="Comma 2 4 5 3 2 7" xfId="23636" xr:uid="{00000000-0005-0000-0000-0000EE440000}"/>
    <cellStyle name="Comma 2 4 5 3 2 8" xfId="26850" xr:uid="{00000000-0005-0000-0000-0000EF440000}"/>
    <cellStyle name="Comma 2 4 5 3 2 9" xfId="30183" xr:uid="{00000000-0005-0000-0000-0000F0440000}"/>
    <cellStyle name="Comma 2 4 5 3 3" xfId="1211" xr:uid="{00000000-0005-0000-0000-0000F1440000}"/>
    <cellStyle name="Comma 2 4 5 3 3 10" xfId="33435" xr:uid="{00000000-0005-0000-0000-0000F2440000}"/>
    <cellStyle name="Comma 2 4 5 3 3 2" xfId="9981" xr:uid="{00000000-0005-0000-0000-0000F3440000}"/>
    <cellStyle name="Comma 2 4 5 3 3 2 2" xfId="25781" xr:uid="{00000000-0005-0000-0000-0000F4440000}"/>
    <cellStyle name="Comma 2 4 5 3 3 2 2 2" xfId="45208" xr:uid="{00000000-0005-0000-0000-0000F5440000}"/>
    <cellStyle name="Comma 2 4 5 3 3 2 2 3" xfId="38785" xr:uid="{00000000-0005-0000-0000-0000F6440000}"/>
    <cellStyle name="Comma 2 4 5 3 3 2 3" xfId="27959" xr:uid="{00000000-0005-0000-0000-0000F7440000}"/>
    <cellStyle name="Comma 2 4 5 3 3 2 3 2" xfId="42001" xr:uid="{00000000-0005-0000-0000-0000F8440000}"/>
    <cellStyle name="Comma 2 4 5 3 3 2 4" xfId="31294" xr:uid="{00000000-0005-0000-0000-0000F9440000}"/>
    <cellStyle name="Comma 2 4 5 3 3 2 5" xfId="35577" xr:uid="{00000000-0005-0000-0000-0000FA440000}"/>
    <cellStyle name="Comma 2 4 5 3 3 3" xfId="15649" xr:uid="{00000000-0005-0000-0000-0000FB440000}"/>
    <cellStyle name="Comma 2 4 5 3 3 3 2" xfId="24664" xr:uid="{00000000-0005-0000-0000-0000FC440000}"/>
    <cellStyle name="Comma 2 4 5 3 3 3 2 2" xfId="44093" xr:uid="{00000000-0005-0000-0000-0000FD440000}"/>
    <cellStyle name="Comma 2 4 5 3 3 3 2 3" xfId="37670" xr:uid="{00000000-0005-0000-0000-0000FE440000}"/>
    <cellStyle name="Comma 2 4 5 3 3 3 3" xfId="28985" xr:uid="{00000000-0005-0000-0000-0000FF440000}"/>
    <cellStyle name="Comma 2 4 5 3 3 3 3 2" xfId="40886" xr:uid="{00000000-0005-0000-0000-000000450000}"/>
    <cellStyle name="Comma 2 4 5 3 3 3 4" xfId="32320" xr:uid="{00000000-0005-0000-0000-000001450000}"/>
    <cellStyle name="Comma 2 4 5 3 3 3 5" xfId="34462" xr:uid="{00000000-0005-0000-0000-000002450000}"/>
    <cellStyle name="Comma 2 4 5 3 3 4" xfId="8467" xr:uid="{00000000-0005-0000-0000-000003450000}"/>
    <cellStyle name="Comma 2 4 5 3 3 4 2" xfId="43066" xr:uid="{00000000-0005-0000-0000-000004450000}"/>
    <cellStyle name="Comma 2 4 5 3 3 4 3" xfId="36642" xr:uid="{00000000-0005-0000-0000-000005450000}"/>
    <cellStyle name="Comma 2 4 5 3 3 5" xfId="21456" xr:uid="{00000000-0005-0000-0000-000006450000}"/>
    <cellStyle name="Comma 2 4 5 3 3 5 2" xfId="39859" xr:uid="{00000000-0005-0000-0000-000007450000}"/>
    <cellStyle name="Comma 2 4 5 3 3 6" xfId="22529" xr:uid="{00000000-0005-0000-0000-000008450000}"/>
    <cellStyle name="Comma 2 4 5 3 3 7" xfId="23637" xr:uid="{00000000-0005-0000-0000-000009450000}"/>
    <cellStyle name="Comma 2 4 5 3 3 8" xfId="26851" xr:uid="{00000000-0005-0000-0000-00000A450000}"/>
    <cellStyle name="Comma 2 4 5 3 3 9" xfId="30184" xr:uid="{00000000-0005-0000-0000-00000B450000}"/>
    <cellStyle name="Comma 2 4 5 3 4" xfId="1212" xr:uid="{00000000-0005-0000-0000-00000C450000}"/>
    <cellStyle name="Comma 2 4 5 3 4 10" xfId="33436" xr:uid="{00000000-0005-0000-0000-00000D450000}"/>
    <cellStyle name="Comma 2 4 5 3 4 2" xfId="9982" xr:uid="{00000000-0005-0000-0000-00000E450000}"/>
    <cellStyle name="Comma 2 4 5 3 4 2 2" xfId="25782" xr:uid="{00000000-0005-0000-0000-00000F450000}"/>
    <cellStyle name="Comma 2 4 5 3 4 2 2 2" xfId="45209" xr:uid="{00000000-0005-0000-0000-000010450000}"/>
    <cellStyle name="Comma 2 4 5 3 4 2 2 3" xfId="38786" xr:uid="{00000000-0005-0000-0000-000011450000}"/>
    <cellStyle name="Comma 2 4 5 3 4 2 3" xfId="27960" xr:uid="{00000000-0005-0000-0000-000012450000}"/>
    <cellStyle name="Comma 2 4 5 3 4 2 3 2" xfId="42002" xr:uid="{00000000-0005-0000-0000-000013450000}"/>
    <cellStyle name="Comma 2 4 5 3 4 2 4" xfId="31295" xr:uid="{00000000-0005-0000-0000-000014450000}"/>
    <cellStyle name="Comma 2 4 5 3 4 2 5" xfId="35578" xr:uid="{00000000-0005-0000-0000-000015450000}"/>
    <cellStyle name="Comma 2 4 5 3 4 3" xfId="15650" xr:uid="{00000000-0005-0000-0000-000016450000}"/>
    <cellStyle name="Comma 2 4 5 3 4 3 2" xfId="24665" xr:uid="{00000000-0005-0000-0000-000017450000}"/>
    <cellStyle name="Comma 2 4 5 3 4 3 2 2" xfId="44094" xr:uid="{00000000-0005-0000-0000-000018450000}"/>
    <cellStyle name="Comma 2 4 5 3 4 3 2 3" xfId="37671" xr:uid="{00000000-0005-0000-0000-000019450000}"/>
    <cellStyle name="Comma 2 4 5 3 4 3 3" xfId="28986" xr:uid="{00000000-0005-0000-0000-00001A450000}"/>
    <cellStyle name="Comma 2 4 5 3 4 3 3 2" xfId="40887" xr:uid="{00000000-0005-0000-0000-00001B450000}"/>
    <cellStyle name="Comma 2 4 5 3 4 3 4" xfId="32321" xr:uid="{00000000-0005-0000-0000-00001C450000}"/>
    <cellStyle name="Comma 2 4 5 3 4 3 5" xfId="34463" xr:uid="{00000000-0005-0000-0000-00001D450000}"/>
    <cellStyle name="Comma 2 4 5 3 4 4" xfId="8468" xr:uid="{00000000-0005-0000-0000-00001E450000}"/>
    <cellStyle name="Comma 2 4 5 3 4 4 2" xfId="43067" xr:uid="{00000000-0005-0000-0000-00001F450000}"/>
    <cellStyle name="Comma 2 4 5 3 4 4 3" xfId="36643" xr:uid="{00000000-0005-0000-0000-000020450000}"/>
    <cellStyle name="Comma 2 4 5 3 4 5" xfId="21457" xr:uid="{00000000-0005-0000-0000-000021450000}"/>
    <cellStyle name="Comma 2 4 5 3 4 5 2" xfId="39860" xr:uid="{00000000-0005-0000-0000-000022450000}"/>
    <cellStyle name="Comma 2 4 5 3 4 6" xfId="22530" xr:uid="{00000000-0005-0000-0000-000023450000}"/>
    <cellStyle name="Comma 2 4 5 3 4 7" xfId="23638" xr:uid="{00000000-0005-0000-0000-000024450000}"/>
    <cellStyle name="Comma 2 4 5 3 4 8" xfId="26852" xr:uid="{00000000-0005-0000-0000-000025450000}"/>
    <cellStyle name="Comma 2 4 5 3 4 9" xfId="30185" xr:uid="{00000000-0005-0000-0000-000026450000}"/>
    <cellStyle name="Comma 2 4 5 3 5" xfId="1213" xr:uid="{00000000-0005-0000-0000-000027450000}"/>
    <cellStyle name="Comma 2 4 5 3 5 10" xfId="33437" xr:uid="{00000000-0005-0000-0000-000028450000}"/>
    <cellStyle name="Comma 2 4 5 3 5 2" xfId="9983" xr:uid="{00000000-0005-0000-0000-000029450000}"/>
    <cellStyle name="Comma 2 4 5 3 5 2 2" xfId="25783" xr:uid="{00000000-0005-0000-0000-00002A450000}"/>
    <cellStyle name="Comma 2 4 5 3 5 2 2 2" xfId="45210" xr:uid="{00000000-0005-0000-0000-00002B450000}"/>
    <cellStyle name="Comma 2 4 5 3 5 2 2 3" xfId="38787" xr:uid="{00000000-0005-0000-0000-00002C450000}"/>
    <cellStyle name="Comma 2 4 5 3 5 2 3" xfId="27961" xr:uid="{00000000-0005-0000-0000-00002D450000}"/>
    <cellStyle name="Comma 2 4 5 3 5 2 3 2" xfId="42003" xr:uid="{00000000-0005-0000-0000-00002E450000}"/>
    <cellStyle name="Comma 2 4 5 3 5 2 4" xfId="31296" xr:uid="{00000000-0005-0000-0000-00002F450000}"/>
    <cellStyle name="Comma 2 4 5 3 5 2 5" xfId="35579" xr:uid="{00000000-0005-0000-0000-000030450000}"/>
    <cellStyle name="Comma 2 4 5 3 5 3" xfId="15651" xr:uid="{00000000-0005-0000-0000-000031450000}"/>
    <cellStyle name="Comma 2 4 5 3 5 3 2" xfId="24666" xr:uid="{00000000-0005-0000-0000-000032450000}"/>
    <cellStyle name="Comma 2 4 5 3 5 3 2 2" xfId="44095" xr:uid="{00000000-0005-0000-0000-000033450000}"/>
    <cellStyle name="Comma 2 4 5 3 5 3 2 3" xfId="37672" xr:uid="{00000000-0005-0000-0000-000034450000}"/>
    <cellStyle name="Comma 2 4 5 3 5 3 3" xfId="28987" xr:uid="{00000000-0005-0000-0000-000035450000}"/>
    <cellStyle name="Comma 2 4 5 3 5 3 3 2" xfId="40888" xr:uid="{00000000-0005-0000-0000-000036450000}"/>
    <cellStyle name="Comma 2 4 5 3 5 3 4" xfId="32322" xr:uid="{00000000-0005-0000-0000-000037450000}"/>
    <cellStyle name="Comma 2 4 5 3 5 3 5" xfId="34464" xr:uid="{00000000-0005-0000-0000-000038450000}"/>
    <cellStyle name="Comma 2 4 5 3 5 4" xfId="8469" xr:uid="{00000000-0005-0000-0000-000039450000}"/>
    <cellStyle name="Comma 2 4 5 3 5 4 2" xfId="43068" xr:uid="{00000000-0005-0000-0000-00003A450000}"/>
    <cellStyle name="Comma 2 4 5 3 5 4 3" xfId="36644" xr:uid="{00000000-0005-0000-0000-00003B450000}"/>
    <cellStyle name="Comma 2 4 5 3 5 5" xfId="21458" xr:uid="{00000000-0005-0000-0000-00003C450000}"/>
    <cellStyle name="Comma 2 4 5 3 5 5 2" xfId="39861" xr:uid="{00000000-0005-0000-0000-00003D450000}"/>
    <cellStyle name="Comma 2 4 5 3 5 6" xfId="22531" xr:uid="{00000000-0005-0000-0000-00003E450000}"/>
    <cellStyle name="Comma 2 4 5 3 5 7" xfId="23639" xr:uid="{00000000-0005-0000-0000-00003F450000}"/>
    <cellStyle name="Comma 2 4 5 3 5 8" xfId="26853" xr:uid="{00000000-0005-0000-0000-000040450000}"/>
    <cellStyle name="Comma 2 4 5 3 5 9" xfId="30186" xr:uid="{00000000-0005-0000-0000-000041450000}"/>
    <cellStyle name="Comma 2 4 5 3 6" xfId="9979" xr:uid="{00000000-0005-0000-0000-000042450000}"/>
    <cellStyle name="Comma 2 4 5 3 6 2" xfId="25779" xr:uid="{00000000-0005-0000-0000-000043450000}"/>
    <cellStyle name="Comma 2 4 5 3 6 2 2" xfId="45206" xr:uid="{00000000-0005-0000-0000-000044450000}"/>
    <cellStyle name="Comma 2 4 5 3 6 2 3" xfId="38783" xr:uid="{00000000-0005-0000-0000-000045450000}"/>
    <cellStyle name="Comma 2 4 5 3 6 3" xfId="27957" xr:uid="{00000000-0005-0000-0000-000046450000}"/>
    <cellStyle name="Comma 2 4 5 3 6 3 2" xfId="41999" xr:uid="{00000000-0005-0000-0000-000047450000}"/>
    <cellStyle name="Comma 2 4 5 3 6 4" xfId="31292" xr:uid="{00000000-0005-0000-0000-000048450000}"/>
    <cellStyle name="Comma 2 4 5 3 6 5" xfId="35575" xr:uid="{00000000-0005-0000-0000-000049450000}"/>
    <cellStyle name="Comma 2 4 5 3 7" xfId="15647" xr:uid="{00000000-0005-0000-0000-00004A450000}"/>
    <cellStyle name="Comma 2 4 5 3 7 2" xfId="24662" xr:uid="{00000000-0005-0000-0000-00004B450000}"/>
    <cellStyle name="Comma 2 4 5 3 7 2 2" xfId="44091" xr:uid="{00000000-0005-0000-0000-00004C450000}"/>
    <cellStyle name="Comma 2 4 5 3 7 2 3" xfId="37668" xr:uid="{00000000-0005-0000-0000-00004D450000}"/>
    <cellStyle name="Comma 2 4 5 3 7 3" xfId="28983" xr:uid="{00000000-0005-0000-0000-00004E450000}"/>
    <cellStyle name="Comma 2 4 5 3 7 3 2" xfId="40884" xr:uid="{00000000-0005-0000-0000-00004F450000}"/>
    <cellStyle name="Comma 2 4 5 3 7 4" xfId="32318" xr:uid="{00000000-0005-0000-0000-000050450000}"/>
    <cellStyle name="Comma 2 4 5 3 7 5" xfId="34460" xr:uid="{00000000-0005-0000-0000-000051450000}"/>
    <cellStyle name="Comma 2 4 5 3 8" xfId="8465" xr:uid="{00000000-0005-0000-0000-000052450000}"/>
    <cellStyle name="Comma 2 4 5 3 8 2" xfId="43064" xr:uid="{00000000-0005-0000-0000-000053450000}"/>
    <cellStyle name="Comma 2 4 5 3 8 3" xfId="36640" xr:uid="{00000000-0005-0000-0000-000054450000}"/>
    <cellStyle name="Comma 2 4 5 3 9" xfId="21454" xr:uid="{00000000-0005-0000-0000-000055450000}"/>
    <cellStyle name="Comma 2 4 5 3 9 2" xfId="39857" xr:uid="{00000000-0005-0000-0000-000056450000}"/>
    <cellStyle name="Comma 2 4 5 4" xfId="1214" xr:uid="{00000000-0005-0000-0000-000057450000}"/>
    <cellStyle name="Comma 2 4 5 4 10" xfId="33438" xr:uid="{00000000-0005-0000-0000-000058450000}"/>
    <cellStyle name="Comma 2 4 5 4 2" xfId="9984" xr:uid="{00000000-0005-0000-0000-000059450000}"/>
    <cellStyle name="Comma 2 4 5 4 2 2" xfId="25784" xr:uid="{00000000-0005-0000-0000-00005A450000}"/>
    <cellStyle name="Comma 2 4 5 4 2 2 2" xfId="45211" xr:uid="{00000000-0005-0000-0000-00005B450000}"/>
    <cellStyle name="Comma 2 4 5 4 2 2 3" xfId="38788" xr:uid="{00000000-0005-0000-0000-00005C450000}"/>
    <cellStyle name="Comma 2 4 5 4 2 3" xfId="27962" xr:uid="{00000000-0005-0000-0000-00005D450000}"/>
    <cellStyle name="Comma 2 4 5 4 2 3 2" xfId="42004" xr:uid="{00000000-0005-0000-0000-00005E450000}"/>
    <cellStyle name="Comma 2 4 5 4 2 4" xfId="31297" xr:uid="{00000000-0005-0000-0000-00005F450000}"/>
    <cellStyle name="Comma 2 4 5 4 2 5" xfId="35580" xr:uid="{00000000-0005-0000-0000-000060450000}"/>
    <cellStyle name="Comma 2 4 5 4 3" xfId="15652" xr:uid="{00000000-0005-0000-0000-000061450000}"/>
    <cellStyle name="Comma 2 4 5 4 3 2" xfId="24667" xr:uid="{00000000-0005-0000-0000-000062450000}"/>
    <cellStyle name="Comma 2 4 5 4 3 2 2" xfId="44096" xr:uid="{00000000-0005-0000-0000-000063450000}"/>
    <cellStyle name="Comma 2 4 5 4 3 2 3" xfId="37673" xr:uid="{00000000-0005-0000-0000-000064450000}"/>
    <cellStyle name="Comma 2 4 5 4 3 3" xfId="28988" xr:uid="{00000000-0005-0000-0000-000065450000}"/>
    <cellStyle name="Comma 2 4 5 4 3 3 2" xfId="40889" xr:uid="{00000000-0005-0000-0000-000066450000}"/>
    <cellStyle name="Comma 2 4 5 4 3 4" xfId="32323" xr:uid="{00000000-0005-0000-0000-000067450000}"/>
    <cellStyle name="Comma 2 4 5 4 3 5" xfId="34465" xr:uid="{00000000-0005-0000-0000-000068450000}"/>
    <cellStyle name="Comma 2 4 5 4 4" xfId="8470" xr:uid="{00000000-0005-0000-0000-000069450000}"/>
    <cellStyle name="Comma 2 4 5 4 4 2" xfId="43069" xr:uid="{00000000-0005-0000-0000-00006A450000}"/>
    <cellStyle name="Comma 2 4 5 4 4 3" xfId="36645" xr:uid="{00000000-0005-0000-0000-00006B450000}"/>
    <cellStyle name="Comma 2 4 5 4 5" xfId="21459" xr:uid="{00000000-0005-0000-0000-00006C450000}"/>
    <cellStyle name="Comma 2 4 5 4 5 2" xfId="39862" xr:uid="{00000000-0005-0000-0000-00006D450000}"/>
    <cellStyle name="Comma 2 4 5 4 6" xfId="22532" xr:uid="{00000000-0005-0000-0000-00006E450000}"/>
    <cellStyle name="Comma 2 4 5 4 7" xfId="23640" xr:uid="{00000000-0005-0000-0000-00006F450000}"/>
    <cellStyle name="Comma 2 4 5 4 8" xfId="26854" xr:uid="{00000000-0005-0000-0000-000070450000}"/>
    <cellStyle name="Comma 2 4 5 4 9" xfId="30187" xr:uid="{00000000-0005-0000-0000-000071450000}"/>
    <cellStyle name="Comma 2 4 5 5" xfId="1215" xr:uid="{00000000-0005-0000-0000-000072450000}"/>
    <cellStyle name="Comma 2 4 5 5 10" xfId="33439" xr:uid="{00000000-0005-0000-0000-000073450000}"/>
    <cellStyle name="Comma 2 4 5 5 2" xfId="9985" xr:uid="{00000000-0005-0000-0000-000074450000}"/>
    <cellStyle name="Comma 2 4 5 5 2 2" xfId="25785" xr:uid="{00000000-0005-0000-0000-000075450000}"/>
    <cellStyle name="Comma 2 4 5 5 2 2 2" xfId="45212" xr:uid="{00000000-0005-0000-0000-000076450000}"/>
    <cellStyle name="Comma 2 4 5 5 2 2 3" xfId="38789" xr:uid="{00000000-0005-0000-0000-000077450000}"/>
    <cellStyle name="Comma 2 4 5 5 2 3" xfId="27963" xr:uid="{00000000-0005-0000-0000-000078450000}"/>
    <cellStyle name="Comma 2 4 5 5 2 3 2" xfId="42005" xr:uid="{00000000-0005-0000-0000-000079450000}"/>
    <cellStyle name="Comma 2 4 5 5 2 4" xfId="31298" xr:uid="{00000000-0005-0000-0000-00007A450000}"/>
    <cellStyle name="Comma 2 4 5 5 2 5" xfId="35581" xr:uid="{00000000-0005-0000-0000-00007B450000}"/>
    <cellStyle name="Comma 2 4 5 5 3" xfId="15653" xr:uid="{00000000-0005-0000-0000-00007C450000}"/>
    <cellStyle name="Comma 2 4 5 5 3 2" xfId="24668" xr:uid="{00000000-0005-0000-0000-00007D450000}"/>
    <cellStyle name="Comma 2 4 5 5 3 2 2" xfId="44097" xr:uid="{00000000-0005-0000-0000-00007E450000}"/>
    <cellStyle name="Comma 2 4 5 5 3 2 3" xfId="37674" xr:uid="{00000000-0005-0000-0000-00007F450000}"/>
    <cellStyle name="Comma 2 4 5 5 3 3" xfId="28989" xr:uid="{00000000-0005-0000-0000-000080450000}"/>
    <cellStyle name="Comma 2 4 5 5 3 3 2" xfId="40890" xr:uid="{00000000-0005-0000-0000-000081450000}"/>
    <cellStyle name="Comma 2 4 5 5 3 4" xfId="32324" xr:uid="{00000000-0005-0000-0000-000082450000}"/>
    <cellStyle name="Comma 2 4 5 5 3 5" xfId="34466" xr:uid="{00000000-0005-0000-0000-000083450000}"/>
    <cellStyle name="Comma 2 4 5 5 4" xfId="8471" xr:uid="{00000000-0005-0000-0000-000084450000}"/>
    <cellStyle name="Comma 2 4 5 5 4 2" xfId="43070" xr:uid="{00000000-0005-0000-0000-000085450000}"/>
    <cellStyle name="Comma 2 4 5 5 4 3" xfId="36646" xr:uid="{00000000-0005-0000-0000-000086450000}"/>
    <cellStyle name="Comma 2 4 5 5 5" xfId="21460" xr:uid="{00000000-0005-0000-0000-000087450000}"/>
    <cellStyle name="Comma 2 4 5 5 5 2" xfId="39863" xr:uid="{00000000-0005-0000-0000-000088450000}"/>
    <cellStyle name="Comma 2 4 5 5 6" xfId="22533" xr:uid="{00000000-0005-0000-0000-000089450000}"/>
    <cellStyle name="Comma 2 4 5 5 7" xfId="23641" xr:uid="{00000000-0005-0000-0000-00008A450000}"/>
    <cellStyle name="Comma 2 4 5 5 8" xfId="26855" xr:uid="{00000000-0005-0000-0000-00008B450000}"/>
    <cellStyle name="Comma 2 4 5 5 9" xfId="30188" xr:uid="{00000000-0005-0000-0000-00008C450000}"/>
    <cellStyle name="Comma 2 4 5 6" xfId="1216" xr:uid="{00000000-0005-0000-0000-00008D450000}"/>
    <cellStyle name="Comma 2 4 5 6 10" xfId="33440" xr:uid="{00000000-0005-0000-0000-00008E450000}"/>
    <cellStyle name="Comma 2 4 5 6 2" xfId="9986" xr:uid="{00000000-0005-0000-0000-00008F450000}"/>
    <cellStyle name="Comma 2 4 5 6 2 2" xfId="25786" xr:uid="{00000000-0005-0000-0000-000090450000}"/>
    <cellStyle name="Comma 2 4 5 6 2 2 2" xfId="45213" xr:uid="{00000000-0005-0000-0000-000091450000}"/>
    <cellStyle name="Comma 2 4 5 6 2 2 3" xfId="38790" xr:uid="{00000000-0005-0000-0000-000092450000}"/>
    <cellStyle name="Comma 2 4 5 6 2 3" xfId="27964" xr:uid="{00000000-0005-0000-0000-000093450000}"/>
    <cellStyle name="Comma 2 4 5 6 2 3 2" xfId="42006" xr:uid="{00000000-0005-0000-0000-000094450000}"/>
    <cellStyle name="Comma 2 4 5 6 2 4" xfId="31299" xr:uid="{00000000-0005-0000-0000-000095450000}"/>
    <cellStyle name="Comma 2 4 5 6 2 5" xfId="35582" xr:uid="{00000000-0005-0000-0000-000096450000}"/>
    <cellStyle name="Comma 2 4 5 6 3" xfId="15654" xr:uid="{00000000-0005-0000-0000-000097450000}"/>
    <cellStyle name="Comma 2 4 5 6 3 2" xfId="24669" xr:uid="{00000000-0005-0000-0000-000098450000}"/>
    <cellStyle name="Comma 2 4 5 6 3 2 2" xfId="44098" xr:uid="{00000000-0005-0000-0000-000099450000}"/>
    <cellStyle name="Comma 2 4 5 6 3 2 3" xfId="37675" xr:uid="{00000000-0005-0000-0000-00009A450000}"/>
    <cellStyle name="Comma 2 4 5 6 3 3" xfId="28990" xr:uid="{00000000-0005-0000-0000-00009B450000}"/>
    <cellStyle name="Comma 2 4 5 6 3 3 2" xfId="40891" xr:uid="{00000000-0005-0000-0000-00009C450000}"/>
    <cellStyle name="Comma 2 4 5 6 3 4" xfId="32325" xr:uid="{00000000-0005-0000-0000-00009D450000}"/>
    <cellStyle name="Comma 2 4 5 6 3 5" xfId="34467" xr:uid="{00000000-0005-0000-0000-00009E450000}"/>
    <cellStyle name="Comma 2 4 5 6 4" xfId="8472" xr:uid="{00000000-0005-0000-0000-00009F450000}"/>
    <cellStyle name="Comma 2 4 5 6 4 2" xfId="43071" xr:uid="{00000000-0005-0000-0000-0000A0450000}"/>
    <cellStyle name="Comma 2 4 5 6 4 3" xfId="36647" xr:uid="{00000000-0005-0000-0000-0000A1450000}"/>
    <cellStyle name="Comma 2 4 5 6 5" xfId="21461" xr:uid="{00000000-0005-0000-0000-0000A2450000}"/>
    <cellStyle name="Comma 2 4 5 6 5 2" xfId="39864" xr:uid="{00000000-0005-0000-0000-0000A3450000}"/>
    <cellStyle name="Comma 2 4 5 6 6" xfId="22534" xr:uid="{00000000-0005-0000-0000-0000A4450000}"/>
    <cellStyle name="Comma 2 4 5 6 7" xfId="23642" xr:uid="{00000000-0005-0000-0000-0000A5450000}"/>
    <cellStyle name="Comma 2 4 5 6 8" xfId="26856" xr:uid="{00000000-0005-0000-0000-0000A6450000}"/>
    <cellStyle name="Comma 2 4 5 6 9" xfId="30189" xr:uid="{00000000-0005-0000-0000-0000A7450000}"/>
    <cellStyle name="Comma 2 4 5 7" xfId="1217" xr:uid="{00000000-0005-0000-0000-0000A8450000}"/>
    <cellStyle name="Comma 2 4 5 7 10" xfId="33441" xr:uid="{00000000-0005-0000-0000-0000A9450000}"/>
    <cellStyle name="Comma 2 4 5 7 2" xfId="9987" xr:uid="{00000000-0005-0000-0000-0000AA450000}"/>
    <cellStyle name="Comma 2 4 5 7 2 2" xfId="25787" xr:uid="{00000000-0005-0000-0000-0000AB450000}"/>
    <cellStyle name="Comma 2 4 5 7 2 2 2" xfId="45214" xr:uid="{00000000-0005-0000-0000-0000AC450000}"/>
    <cellStyle name="Comma 2 4 5 7 2 2 3" xfId="38791" xr:uid="{00000000-0005-0000-0000-0000AD450000}"/>
    <cellStyle name="Comma 2 4 5 7 2 3" xfId="27965" xr:uid="{00000000-0005-0000-0000-0000AE450000}"/>
    <cellStyle name="Comma 2 4 5 7 2 3 2" xfId="42007" xr:uid="{00000000-0005-0000-0000-0000AF450000}"/>
    <cellStyle name="Comma 2 4 5 7 2 4" xfId="31300" xr:uid="{00000000-0005-0000-0000-0000B0450000}"/>
    <cellStyle name="Comma 2 4 5 7 2 5" xfId="35583" xr:uid="{00000000-0005-0000-0000-0000B1450000}"/>
    <cellStyle name="Comma 2 4 5 7 3" xfId="15655" xr:uid="{00000000-0005-0000-0000-0000B2450000}"/>
    <cellStyle name="Comma 2 4 5 7 3 2" xfId="24670" xr:uid="{00000000-0005-0000-0000-0000B3450000}"/>
    <cellStyle name="Comma 2 4 5 7 3 2 2" xfId="44099" xr:uid="{00000000-0005-0000-0000-0000B4450000}"/>
    <cellStyle name="Comma 2 4 5 7 3 2 3" xfId="37676" xr:uid="{00000000-0005-0000-0000-0000B5450000}"/>
    <cellStyle name="Comma 2 4 5 7 3 3" xfId="28991" xr:uid="{00000000-0005-0000-0000-0000B6450000}"/>
    <cellStyle name="Comma 2 4 5 7 3 3 2" xfId="40892" xr:uid="{00000000-0005-0000-0000-0000B7450000}"/>
    <cellStyle name="Comma 2 4 5 7 3 4" xfId="32326" xr:uid="{00000000-0005-0000-0000-0000B8450000}"/>
    <cellStyle name="Comma 2 4 5 7 3 5" xfId="34468" xr:uid="{00000000-0005-0000-0000-0000B9450000}"/>
    <cellStyle name="Comma 2 4 5 7 4" xfId="8473" xr:uid="{00000000-0005-0000-0000-0000BA450000}"/>
    <cellStyle name="Comma 2 4 5 7 4 2" xfId="43072" xr:uid="{00000000-0005-0000-0000-0000BB450000}"/>
    <cellStyle name="Comma 2 4 5 7 4 3" xfId="36648" xr:uid="{00000000-0005-0000-0000-0000BC450000}"/>
    <cellStyle name="Comma 2 4 5 7 5" xfId="21462" xr:uid="{00000000-0005-0000-0000-0000BD450000}"/>
    <cellStyle name="Comma 2 4 5 7 5 2" xfId="39865" xr:uid="{00000000-0005-0000-0000-0000BE450000}"/>
    <cellStyle name="Comma 2 4 5 7 6" xfId="22535" xr:uid="{00000000-0005-0000-0000-0000BF450000}"/>
    <cellStyle name="Comma 2 4 5 7 7" xfId="23643" xr:uid="{00000000-0005-0000-0000-0000C0450000}"/>
    <cellStyle name="Comma 2 4 5 7 8" xfId="26857" xr:uid="{00000000-0005-0000-0000-0000C1450000}"/>
    <cellStyle name="Comma 2 4 5 7 9" xfId="30190" xr:uid="{00000000-0005-0000-0000-0000C2450000}"/>
    <cellStyle name="Comma 2 4 5 8" xfId="1218" xr:uid="{00000000-0005-0000-0000-0000C3450000}"/>
    <cellStyle name="Comma 2 4 5 8 10" xfId="33442" xr:uid="{00000000-0005-0000-0000-0000C4450000}"/>
    <cellStyle name="Comma 2 4 5 8 2" xfId="9988" xr:uid="{00000000-0005-0000-0000-0000C5450000}"/>
    <cellStyle name="Comma 2 4 5 8 2 2" xfId="25788" xr:uid="{00000000-0005-0000-0000-0000C6450000}"/>
    <cellStyle name="Comma 2 4 5 8 2 2 2" xfId="45215" xr:uid="{00000000-0005-0000-0000-0000C7450000}"/>
    <cellStyle name="Comma 2 4 5 8 2 2 3" xfId="38792" xr:uid="{00000000-0005-0000-0000-0000C8450000}"/>
    <cellStyle name="Comma 2 4 5 8 2 3" xfId="27966" xr:uid="{00000000-0005-0000-0000-0000C9450000}"/>
    <cellStyle name="Comma 2 4 5 8 2 3 2" xfId="42008" xr:uid="{00000000-0005-0000-0000-0000CA450000}"/>
    <cellStyle name="Comma 2 4 5 8 2 4" xfId="31301" xr:uid="{00000000-0005-0000-0000-0000CB450000}"/>
    <cellStyle name="Comma 2 4 5 8 2 5" xfId="35584" xr:uid="{00000000-0005-0000-0000-0000CC450000}"/>
    <cellStyle name="Comma 2 4 5 8 3" xfId="15656" xr:uid="{00000000-0005-0000-0000-0000CD450000}"/>
    <cellStyle name="Comma 2 4 5 8 3 2" xfId="24671" xr:uid="{00000000-0005-0000-0000-0000CE450000}"/>
    <cellStyle name="Comma 2 4 5 8 3 2 2" xfId="44100" xr:uid="{00000000-0005-0000-0000-0000CF450000}"/>
    <cellStyle name="Comma 2 4 5 8 3 2 3" xfId="37677" xr:uid="{00000000-0005-0000-0000-0000D0450000}"/>
    <cellStyle name="Comma 2 4 5 8 3 3" xfId="28992" xr:uid="{00000000-0005-0000-0000-0000D1450000}"/>
    <cellStyle name="Comma 2 4 5 8 3 3 2" xfId="40893" xr:uid="{00000000-0005-0000-0000-0000D2450000}"/>
    <cellStyle name="Comma 2 4 5 8 3 4" xfId="32327" xr:uid="{00000000-0005-0000-0000-0000D3450000}"/>
    <cellStyle name="Comma 2 4 5 8 3 5" xfId="34469" xr:uid="{00000000-0005-0000-0000-0000D4450000}"/>
    <cellStyle name="Comma 2 4 5 8 4" xfId="8474" xr:uid="{00000000-0005-0000-0000-0000D5450000}"/>
    <cellStyle name="Comma 2 4 5 8 4 2" xfId="43073" xr:uid="{00000000-0005-0000-0000-0000D6450000}"/>
    <cellStyle name="Comma 2 4 5 8 4 3" xfId="36649" xr:uid="{00000000-0005-0000-0000-0000D7450000}"/>
    <cellStyle name="Comma 2 4 5 8 5" xfId="21463" xr:uid="{00000000-0005-0000-0000-0000D8450000}"/>
    <cellStyle name="Comma 2 4 5 8 5 2" xfId="39866" xr:uid="{00000000-0005-0000-0000-0000D9450000}"/>
    <cellStyle name="Comma 2 4 5 8 6" xfId="22536" xr:uid="{00000000-0005-0000-0000-0000DA450000}"/>
    <cellStyle name="Comma 2 4 5 8 7" xfId="23644" xr:uid="{00000000-0005-0000-0000-0000DB450000}"/>
    <cellStyle name="Comma 2 4 5 8 8" xfId="26858" xr:uid="{00000000-0005-0000-0000-0000DC450000}"/>
    <cellStyle name="Comma 2 4 5 8 9" xfId="30191" xr:uid="{00000000-0005-0000-0000-0000DD450000}"/>
    <cellStyle name="Comma 2 4 5 9" xfId="9062" xr:uid="{00000000-0005-0000-0000-0000DE450000}"/>
    <cellStyle name="Comma 2 4 5 9 2" xfId="25118" xr:uid="{00000000-0005-0000-0000-0000DF450000}"/>
    <cellStyle name="Comma 2 4 5 9 2 2" xfId="44545" xr:uid="{00000000-0005-0000-0000-0000E0450000}"/>
    <cellStyle name="Comma 2 4 5 9 2 3" xfId="38122" xr:uid="{00000000-0005-0000-0000-0000E1450000}"/>
    <cellStyle name="Comma 2 4 5 9 3" xfId="27297" xr:uid="{00000000-0005-0000-0000-0000E2450000}"/>
    <cellStyle name="Comma 2 4 5 9 3 2" xfId="41338" xr:uid="{00000000-0005-0000-0000-0000E3450000}"/>
    <cellStyle name="Comma 2 4 5 9 4" xfId="30632" xr:uid="{00000000-0005-0000-0000-0000E4450000}"/>
    <cellStyle name="Comma 2 4 5 9 5" xfId="34914" xr:uid="{00000000-0005-0000-0000-0000E5450000}"/>
    <cellStyle name="Comma 2 4 6" xfId="209" xr:uid="{00000000-0005-0000-0000-0000E6450000}"/>
    <cellStyle name="Comma 2 4 6 10" xfId="21464" xr:uid="{00000000-0005-0000-0000-0000E7450000}"/>
    <cellStyle name="Comma 2 4 6 10 2" xfId="39220" xr:uid="{00000000-0005-0000-0000-0000E8450000}"/>
    <cellStyle name="Comma 2 4 6 11" xfId="22537" xr:uid="{00000000-0005-0000-0000-0000E9450000}"/>
    <cellStyle name="Comma 2 4 6 12" xfId="22998" xr:uid="{00000000-0005-0000-0000-0000EA450000}"/>
    <cellStyle name="Comma 2 4 6 13" xfId="26859" xr:uid="{00000000-0005-0000-0000-0000EB450000}"/>
    <cellStyle name="Comma 2 4 6 14" xfId="30192" xr:uid="{00000000-0005-0000-0000-0000EC450000}"/>
    <cellStyle name="Comma 2 4 6 15" xfId="32796" xr:uid="{00000000-0005-0000-0000-0000ED450000}"/>
    <cellStyle name="Comma 2 4 6 2" xfId="1219" xr:uid="{00000000-0005-0000-0000-0000EE450000}"/>
    <cellStyle name="Comma 2 4 6 2 10" xfId="33443" xr:uid="{00000000-0005-0000-0000-0000EF450000}"/>
    <cellStyle name="Comma 2 4 6 2 2" xfId="9989" xr:uid="{00000000-0005-0000-0000-0000F0450000}"/>
    <cellStyle name="Comma 2 4 6 2 2 2" xfId="25789" xr:uid="{00000000-0005-0000-0000-0000F1450000}"/>
    <cellStyle name="Comma 2 4 6 2 2 2 2" xfId="45216" xr:uid="{00000000-0005-0000-0000-0000F2450000}"/>
    <cellStyle name="Comma 2 4 6 2 2 2 3" xfId="38793" xr:uid="{00000000-0005-0000-0000-0000F3450000}"/>
    <cellStyle name="Comma 2 4 6 2 2 3" xfId="27967" xr:uid="{00000000-0005-0000-0000-0000F4450000}"/>
    <cellStyle name="Comma 2 4 6 2 2 3 2" xfId="42009" xr:uid="{00000000-0005-0000-0000-0000F5450000}"/>
    <cellStyle name="Comma 2 4 6 2 2 4" xfId="31302" xr:uid="{00000000-0005-0000-0000-0000F6450000}"/>
    <cellStyle name="Comma 2 4 6 2 2 5" xfId="35585" xr:uid="{00000000-0005-0000-0000-0000F7450000}"/>
    <cellStyle name="Comma 2 4 6 2 3" xfId="15658" xr:uid="{00000000-0005-0000-0000-0000F8450000}"/>
    <cellStyle name="Comma 2 4 6 2 3 2" xfId="24673" xr:uid="{00000000-0005-0000-0000-0000F9450000}"/>
    <cellStyle name="Comma 2 4 6 2 3 2 2" xfId="44102" xr:uid="{00000000-0005-0000-0000-0000FA450000}"/>
    <cellStyle name="Comma 2 4 6 2 3 2 3" xfId="37679" xr:uid="{00000000-0005-0000-0000-0000FB450000}"/>
    <cellStyle name="Comma 2 4 6 2 3 3" xfId="28994" xr:uid="{00000000-0005-0000-0000-0000FC450000}"/>
    <cellStyle name="Comma 2 4 6 2 3 3 2" xfId="40895" xr:uid="{00000000-0005-0000-0000-0000FD450000}"/>
    <cellStyle name="Comma 2 4 6 2 3 4" xfId="32329" xr:uid="{00000000-0005-0000-0000-0000FE450000}"/>
    <cellStyle name="Comma 2 4 6 2 3 5" xfId="34471" xr:uid="{00000000-0005-0000-0000-0000FF450000}"/>
    <cellStyle name="Comma 2 4 6 2 4" xfId="8476" xr:uid="{00000000-0005-0000-0000-000000460000}"/>
    <cellStyle name="Comma 2 4 6 2 4 2" xfId="43074" xr:uid="{00000000-0005-0000-0000-000001460000}"/>
    <cellStyle name="Comma 2 4 6 2 4 3" xfId="36650" xr:uid="{00000000-0005-0000-0000-000002460000}"/>
    <cellStyle name="Comma 2 4 6 2 5" xfId="21465" xr:uid="{00000000-0005-0000-0000-000003460000}"/>
    <cellStyle name="Comma 2 4 6 2 5 2" xfId="39867" xr:uid="{00000000-0005-0000-0000-000004460000}"/>
    <cellStyle name="Comma 2 4 6 2 6" xfId="22538" xr:uid="{00000000-0005-0000-0000-000005460000}"/>
    <cellStyle name="Comma 2 4 6 2 7" xfId="23645" xr:uid="{00000000-0005-0000-0000-000006460000}"/>
    <cellStyle name="Comma 2 4 6 2 8" xfId="26860" xr:uid="{00000000-0005-0000-0000-000007460000}"/>
    <cellStyle name="Comma 2 4 6 2 9" xfId="30193" xr:uid="{00000000-0005-0000-0000-000008460000}"/>
    <cellStyle name="Comma 2 4 6 3" xfId="1220" xr:uid="{00000000-0005-0000-0000-000009460000}"/>
    <cellStyle name="Comma 2 4 6 3 10" xfId="33444" xr:uid="{00000000-0005-0000-0000-00000A460000}"/>
    <cellStyle name="Comma 2 4 6 3 2" xfId="9990" xr:uid="{00000000-0005-0000-0000-00000B460000}"/>
    <cellStyle name="Comma 2 4 6 3 2 2" xfId="25790" xr:uid="{00000000-0005-0000-0000-00000C460000}"/>
    <cellStyle name="Comma 2 4 6 3 2 2 2" xfId="45217" xr:uid="{00000000-0005-0000-0000-00000D460000}"/>
    <cellStyle name="Comma 2 4 6 3 2 2 3" xfId="38794" xr:uid="{00000000-0005-0000-0000-00000E460000}"/>
    <cellStyle name="Comma 2 4 6 3 2 3" xfId="27968" xr:uid="{00000000-0005-0000-0000-00000F460000}"/>
    <cellStyle name="Comma 2 4 6 3 2 3 2" xfId="42010" xr:uid="{00000000-0005-0000-0000-000010460000}"/>
    <cellStyle name="Comma 2 4 6 3 2 4" xfId="31303" xr:uid="{00000000-0005-0000-0000-000011460000}"/>
    <cellStyle name="Comma 2 4 6 3 2 5" xfId="35586" xr:uid="{00000000-0005-0000-0000-000012460000}"/>
    <cellStyle name="Comma 2 4 6 3 3" xfId="15659" xr:uid="{00000000-0005-0000-0000-000013460000}"/>
    <cellStyle name="Comma 2 4 6 3 3 2" xfId="24674" xr:uid="{00000000-0005-0000-0000-000014460000}"/>
    <cellStyle name="Comma 2 4 6 3 3 2 2" xfId="44103" xr:uid="{00000000-0005-0000-0000-000015460000}"/>
    <cellStyle name="Comma 2 4 6 3 3 2 3" xfId="37680" xr:uid="{00000000-0005-0000-0000-000016460000}"/>
    <cellStyle name="Comma 2 4 6 3 3 3" xfId="28995" xr:uid="{00000000-0005-0000-0000-000017460000}"/>
    <cellStyle name="Comma 2 4 6 3 3 3 2" xfId="40896" xr:uid="{00000000-0005-0000-0000-000018460000}"/>
    <cellStyle name="Comma 2 4 6 3 3 4" xfId="32330" xr:uid="{00000000-0005-0000-0000-000019460000}"/>
    <cellStyle name="Comma 2 4 6 3 3 5" xfId="34472" xr:uid="{00000000-0005-0000-0000-00001A460000}"/>
    <cellStyle name="Comma 2 4 6 3 4" xfId="8477" xr:uid="{00000000-0005-0000-0000-00001B460000}"/>
    <cellStyle name="Comma 2 4 6 3 4 2" xfId="43075" xr:uid="{00000000-0005-0000-0000-00001C460000}"/>
    <cellStyle name="Comma 2 4 6 3 4 3" xfId="36651" xr:uid="{00000000-0005-0000-0000-00001D460000}"/>
    <cellStyle name="Comma 2 4 6 3 5" xfId="21466" xr:uid="{00000000-0005-0000-0000-00001E460000}"/>
    <cellStyle name="Comma 2 4 6 3 5 2" xfId="39868" xr:uid="{00000000-0005-0000-0000-00001F460000}"/>
    <cellStyle name="Comma 2 4 6 3 6" xfId="22539" xr:uid="{00000000-0005-0000-0000-000020460000}"/>
    <cellStyle name="Comma 2 4 6 3 7" xfId="23646" xr:uid="{00000000-0005-0000-0000-000021460000}"/>
    <cellStyle name="Comma 2 4 6 3 8" xfId="26861" xr:uid="{00000000-0005-0000-0000-000022460000}"/>
    <cellStyle name="Comma 2 4 6 3 9" xfId="30194" xr:uid="{00000000-0005-0000-0000-000023460000}"/>
    <cellStyle name="Comma 2 4 6 4" xfId="1221" xr:uid="{00000000-0005-0000-0000-000024460000}"/>
    <cellStyle name="Comma 2 4 6 4 10" xfId="33445" xr:uid="{00000000-0005-0000-0000-000025460000}"/>
    <cellStyle name="Comma 2 4 6 4 2" xfId="9991" xr:uid="{00000000-0005-0000-0000-000026460000}"/>
    <cellStyle name="Comma 2 4 6 4 2 2" xfId="25791" xr:uid="{00000000-0005-0000-0000-000027460000}"/>
    <cellStyle name="Comma 2 4 6 4 2 2 2" xfId="45218" xr:uid="{00000000-0005-0000-0000-000028460000}"/>
    <cellStyle name="Comma 2 4 6 4 2 2 3" xfId="38795" xr:uid="{00000000-0005-0000-0000-000029460000}"/>
    <cellStyle name="Comma 2 4 6 4 2 3" xfId="27969" xr:uid="{00000000-0005-0000-0000-00002A460000}"/>
    <cellStyle name="Comma 2 4 6 4 2 3 2" xfId="42011" xr:uid="{00000000-0005-0000-0000-00002B460000}"/>
    <cellStyle name="Comma 2 4 6 4 2 4" xfId="31304" xr:uid="{00000000-0005-0000-0000-00002C460000}"/>
    <cellStyle name="Comma 2 4 6 4 2 5" xfId="35587" xr:uid="{00000000-0005-0000-0000-00002D460000}"/>
    <cellStyle name="Comma 2 4 6 4 3" xfId="15660" xr:uid="{00000000-0005-0000-0000-00002E460000}"/>
    <cellStyle name="Comma 2 4 6 4 3 2" xfId="24675" xr:uid="{00000000-0005-0000-0000-00002F460000}"/>
    <cellStyle name="Comma 2 4 6 4 3 2 2" xfId="44104" xr:uid="{00000000-0005-0000-0000-000030460000}"/>
    <cellStyle name="Comma 2 4 6 4 3 2 3" xfId="37681" xr:uid="{00000000-0005-0000-0000-000031460000}"/>
    <cellStyle name="Comma 2 4 6 4 3 3" xfId="28996" xr:uid="{00000000-0005-0000-0000-000032460000}"/>
    <cellStyle name="Comma 2 4 6 4 3 3 2" xfId="40897" xr:uid="{00000000-0005-0000-0000-000033460000}"/>
    <cellStyle name="Comma 2 4 6 4 3 4" xfId="32331" xr:uid="{00000000-0005-0000-0000-000034460000}"/>
    <cellStyle name="Comma 2 4 6 4 3 5" xfId="34473" xr:uid="{00000000-0005-0000-0000-000035460000}"/>
    <cellStyle name="Comma 2 4 6 4 4" xfId="8478" xr:uid="{00000000-0005-0000-0000-000036460000}"/>
    <cellStyle name="Comma 2 4 6 4 4 2" xfId="43076" xr:uid="{00000000-0005-0000-0000-000037460000}"/>
    <cellStyle name="Comma 2 4 6 4 4 3" xfId="36652" xr:uid="{00000000-0005-0000-0000-000038460000}"/>
    <cellStyle name="Comma 2 4 6 4 5" xfId="21467" xr:uid="{00000000-0005-0000-0000-000039460000}"/>
    <cellStyle name="Comma 2 4 6 4 5 2" xfId="39869" xr:uid="{00000000-0005-0000-0000-00003A460000}"/>
    <cellStyle name="Comma 2 4 6 4 6" xfId="22540" xr:uid="{00000000-0005-0000-0000-00003B460000}"/>
    <cellStyle name="Comma 2 4 6 4 7" xfId="23647" xr:uid="{00000000-0005-0000-0000-00003C460000}"/>
    <cellStyle name="Comma 2 4 6 4 8" xfId="26862" xr:uid="{00000000-0005-0000-0000-00003D460000}"/>
    <cellStyle name="Comma 2 4 6 4 9" xfId="30195" xr:uid="{00000000-0005-0000-0000-00003E460000}"/>
    <cellStyle name="Comma 2 4 6 5" xfId="1222" xr:uid="{00000000-0005-0000-0000-00003F460000}"/>
    <cellStyle name="Comma 2 4 6 5 10" xfId="33446" xr:uid="{00000000-0005-0000-0000-000040460000}"/>
    <cellStyle name="Comma 2 4 6 5 2" xfId="9992" xr:uid="{00000000-0005-0000-0000-000041460000}"/>
    <cellStyle name="Comma 2 4 6 5 2 2" xfId="25792" xr:uid="{00000000-0005-0000-0000-000042460000}"/>
    <cellStyle name="Comma 2 4 6 5 2 2 2" xfId="45219" xr:uid="{00000000-0005-0000-0000-000043460000}"/>
    <cellStyle name="Comma 2 4 6 5 2 2 3" xfId="38796" xr:uid="{00000000-0005-0000-0000-000044460000}"/>
    <cellStyle name="Comma 2 4 6 5 2 3" xfId="27970" xr:uid="{00000000-0005-0000-0000-000045460000}"/>
    <cellStyle name="Comma 2 4 6 5 2 3 2" xfId="42012" xr:uid="{00000000-0005-0000-0000-000046460000}"/>
    <cellStyle name="Comma 2 4 6 5 2 4" xfId="31305" xr:uid="{00000000-0005-0000-0000-000047460000}"/>
    <cellStyle name="Comma 2 4 6 5 2 5" xfId="35588" xr:uid="{00000000-0005-0000-0000-000048460000}"/>
    <cellStyle name="Comma 2 4 6 5 3" xfId="15661" xr:uid="{00000000-0005-0000-0000-000049460000}"/>
    <cellStyle name="Comma 2 4 6 5 3 2" xfId="24676" xr:uid="{00000000-0005-0000-0000-00004A460000}"/>
    <cellStyle name="Comma 2 4 6 5 3 2 2" xfId="44105" xr:uid="{00000000-0005-0000-0000-00004B460000}"/>
    <cellStyle name="Comma 2 4 6 5 3 2 3" xfId="37682" xr:uid="{00000000-0005-0000-0000-00004C460000}"/>
    <cellStyle name="Comma 2 4 6 5 3 3" xfId="28997" xr:uid="{00000000-0005-0000-0000-00004D460000}"/>
    <cellStyle name="Comma 2 4 6 5 3 3 2" xfId="40898" xr:uid="{00000000-0005-0000-0000-00004E460000}"/>
    <cellStyle name="Comma 2 4 6 5 3 4" xfId="32332" xr:uid="{00000000-0005-0000-0000-00004F460000}"/>
    <cellStyle name="Comma 2 4 6 5 3 5" xfId="34474" xr:uid="{00000000-0005-0000-0000-000050460000}"/>
    <cellStyle name="Comma 2 4 6 5 4" xfId="8479" xr:uid="{00000000-0005-0000-0000-000051460000}"/>
    <cellStyle name="Comma 2 4 6 5 4 2" xfId="43077" xr:uid="{00000000-0005-0000-0000-000052460000}"/>
    <cellStyle name="Comma 2 4 6 5 4 3" xfId="36653" xr:uid="{00000000-0005-0000-0000-000053460000}"/>
    <cellStyle name="Comma 2 4 6 5 5" xfId="21468" xr:uid="{00000000-0005-0000-0000-000054460000}"/>
    <cellStyle name="Comma 2 4 6 5 5 2" xfId="39870" xr:uid="{00000000-0005-0000-0000-000055460000}"/>
    <cellStyle name="Comma 2 4 6 5 6" xfId="22541" xr:uid="{00000000-0005-0000-0000-000056460000}"/>
    <cellStyle name="Comma 2 4 6 5 7" xfId="23648" xr:uid="{00000000-0005-0000-0000-000057460000}"/>
    <cellStyle name="Comma 2 4 6 5 8" xfId="26863" xr:uid="{00000000-0005-0000-0000-000058460000}"/>
    <cellStyle name="Comma 2 4 6 5 9" xfId="30196" xr:uid="{00000000-0005-0000-0000-000059460000}"/>
    <cellStyle name="Comma 2 4 6 6" xfId="1223" xr:uid="{00000000-0005-0000-0000-00005A460000}"/>
    <cellStyle name="Comma 2 4 6 6 10" xfId="33447" xr:uid="{00000000-0005-0000-0000-00005B460000}"/>
    <cellStyle name="Comma 2 4 6 6 2" xfId="9993" xr:uid="{00000000-0005-0000-0000-00005C460000}"/>
    <cellStyle name="Comma 2 4 6 6 2 2" xfId="25793" xr:uid="{00000000-0005-0000-0000-00005D460000}"/>
    <cellStyle name="Comma 2 4 6 6 2 2 2" xfId="45220" xr:uid="{00000000-0005-0000-0000-00005E460000}"/>
    <cellStyle name="Comma 2 4 6 6 2 2 3" xfId="38797" xr:uid="{00000000-0005-0000-0000-00005F460000}"/>
    <cellStyle name="Comma 2 4 6 6 2 3" xfId="27971" xr:uid="{00000000-0005-0000-0000-000060460000}"/>
    <cellStyle name="Comma 2 4 6 6 2 3 2" xfId="42013" xr:uid="{00000000-0005-0000-0000-000061460000}"/>
    <cellStyle name="Comma 2 4 6 6 2 4" xfId="31306" xr:uid="{00000000-0005-0000-0000-000062460000}"/>
    <cellStyle name="Comma 2 4 6 6 2 5" xfId="35589" xr:uid="{00000000-0005-0000-0000-000063460000}"/>
    <cellStyle name="Comma 2 4 6 6 3" xfId="15662" xr:uid="{00000000-0005-0000-0000-000064460000}"/>
    <cellStyle name="Comma 2 4 6 6 3 2" xfId="24677" xr:uid="{00000000-0005-0000-0000-000065460000}"/>
    <cellStyle name="Comma 2 4 6 6 3 2 2" xfId="44106" xr:uid="{00000000-0005-0000-0000-000066460000}"/>
    <cellStyle name="Comma 2 4 6 6 3 2 3" xfId="37683" xr:uid="{00000000-0005-0000-0000-000067460000}"/>
    <cellStyle name="Comma 2 4 6 6 3 3" xfId="28998" xr:uid="{00000000-0005-0000-0000-000068460000}"/>
    <cellStyle name="Comma 2 4 6 6 3 3 2" xfId="40899" xr:uid="{00000000-0005-0000-0000-000069460000}"/>
    <cellStyle name="Comma 2 4 6 6 3 4" xfId="32333" xr:uid="{00000000-0005-0000-0000-00006A460000}"/>
    <cellStyle name="Comma 2 4 6 6 3 5" xfId="34475" xr:uid="{00000000-0005-0000-0000-00006B460000}"/>
    <cellStyle name="Comma 2 4 6 6 4" xfId="8480" xr:uid="{00000000-0005-0000-0000-00006C460000}"/>
    <cellStyle name="Comma 2 4 6 6 4 2" xfId="43078" xr:uid="{00000000-0005-0000-0000-00006D460000}"/>
    <cellStyle name="Comma 2 4 6 6 4 3" xfId="36654" xr:uid="{00000000-0005-0000-0000-00006E460000}"/>
    <cellStyle name="Comma 2 4 6 6 5" xfId="21469" xr:uid="{00000000-0005-0000-0000-00006F460000}"/>
    <cellStyle name="Comma 2 4 6 6 5 2" xfId="39871" xr:uid="{00000000-0005-0000-0000-000070460000}"/>
    <cellStyle name="Comma 2 4 6 6 6" xfId="22542" xr:uid="{00000000-0005-0000-0000-000071460000}"/>
    <cellStyle name="Comma 2 4 6 6 7" xfId="23649" xr:uid="{00000000-0005-0000-0000-000072460000}"/>
    <cellStyle name="Comma 2 4 6 6 8" xfId="26864" xr:uid="{00000000-0005-0000-0000-000073460000}"/>
    <cellStyle name="Comma 2 4 6 6 9" xfId="30197" xr:uid="{00000000-0005-0000-0000-000074460000}"/>
    <cellStyle name="Comma 2 4 6 7" xfId="9082" xr:uid="{00000000-0005-0000-0000-000075460000}"/>
    <cellStyle name="Comma 2 4 6 7 2" xfId="25137" xr:uid="{00000000-0005-0000-0000-000076460000}"/>
    <cellStyle name="Comma 2 4 6 7 2 2" xfId="44564" xr:uid="{00000000-0005-0000-0000-000077460000}"/>
    <cellStyle name="Comma 2 4 6 7 2 3" xfId="38141" xr:uid="{00000000-0005-0000-0000-000078460000}"/>
    <cellStyle name="Comma 2 4 6 7 3" xfId="27316" xr:uid="{00000000-0005-0000-0000-000079460000}"/>
    <cellStyle name="Comma 2 4 6 7 3 2" xfId="41357" xr:uid="{00000000-0005-0000-0000-00007A460000}"/>
    <cellStyle name="Comma 2 4 6 7 4" xfId="30651" xr:uid="{00000000-0005-0000-0000-00007B460000}"/>
    <cellStyle name="Comma 2 4 6 7 5" xfId="34933" xr:uid="{00000000-0005-0000-0000-00007C460000}"/>
    <cellStyle name="Comma 2 4 6 8" xfId="15657" xr:uid="{00000000-0005-0000-0000-00007D460000}"/>
    <cellStyle name="Comma 2 4 6 8 2" xfId="24672" xr:uid="{00000000-0005-0000-0000-00007E460000}"/>
    <cellStyle name="Comma 2 4 6 8 2 2" xfId="44101" xr:uid="{00000000-0005-0000-0000-00007F460000}"/>
    <cellStyle name="Comma 2 4 6 8 2 3" xfId="37678" xr:uid="{00000000-0005-0000-0000-000080460000}"/>
    <cellStyle name="Comma 2 4 6 8 3" xfId="28993" xr:uid="{00000000-0005-0000-0000-000081460000}"/>
    <cellStyle name="Comma 2 4 6 8 3 2" xfId="40894" xr:uid="{00000000-0005-0000-0000-000082460000}"/>
    <cellStyle name="Comma 2 4 6 8 4" xfId="32328" xr:uid="{00000000-0005-0000-0000-000083460000}"/>
    <cellStyle name="Comma 2 4 6 8 5" xfId="34470" xr:uid="{00000000-0005-0000-0000-000084460000}"/>
    <cellStyle name="Comma 2 4 6 9" xfId="8475" xr:uid="{00000000-0005-0000-0000-000085460000}"/>
    <cellStyle name="Comma 2 4 6 9 2" xfId="42427" xr:uid="{00000000-0005-0000-0000-000086460000}"/>
    <cellStyle name="Comma 2 4 6 9 3" xfId="36003" xr:uid="{00000000-0005-0000-0000-000087460000}"/>
    <cellStyle name="Comma 2 4 7" xfId="1224" xr:uid="{00000000-0005-0000-0000-000088460000}"/>
    <cellStyle name="Comma 2 4 7 10" xfId="22543" xr:uid="{00000000-0005-0000-0000-000089460000}"/>
    <cellStyle name="Comma 2 4 7 11" xfId="23650" xr:uid="{00000000-0005-0000-0000-00008A460000}"/>
    <cellStyle name="Comma 2 4 7 12" xfId="26865" xr:uid="{00000000-0005-0000-0000-00008B460000}"/>
    <cellStyle name="Comma 2 4 7 13" xfId="30198" xr:uid="{00000000-0005-0000-0000-00008C460000}"/>
    <cellStyle name="Comma 2 4 7 14" xfId="33448" xr:uid="{00000000-0005-0000-0000-00008D460000}"/>
    <cellStyle name="Comma 2 4 7 2" xfId="1225" xr:uid="{00000000-0005-0000-0000-00008E460000}"/>
    <cellStyle name="Comma 2 4 7 2 10" xfId="33449" xr:uid="{00000000-0005-0000-0000-00008F460000}"/>
    <cellStyle name="Comma 2 4 7 2 2" xfId="9995" xr:uid="{00000000-0005-0000-0000-000090460000}"/>
    <cellStyle name="Comma 2 4 7 2 2 2" xfId="25795" xr:uid="{00000000-0005-0000-0000-000091460000}"/>
    <cellStyle name="Comma 2 4 7 2 2 2 2" xfId="45222" xr:uid="{00000000-0005-0000-0000-000092460000}"/>
    <cellStyle name="Comma 2 4 7 2 2 2 3" xfId="38799" xr:uid="{00000000-0005-0000-0000-000093460000}"/>
    <cellStyle name="Comma 2 4 7 2 2 3" xfId="27973" xr:uid="{00000000-0005-0000-0000-000094460000}"/>
    <cellStyle name="Comma 2 4 7 2 2 3 2" xfId="42015" xr:uid="{00000000-0005-0000-0000-000095460000}"/>
    <cellStyle name="Comma 2 4 7 2 2 4" xfId="31308" xr:uid="{00000000-0005-0000-0000-000096460000}"/>
    <cellStyle name="Comma 2 4 7 2 2 5" xfId="35591" xr:uid="{00000000-0005-0000-0000-000097460000}"/>
    <cellStyle name="Comma 2 4 7 2 3" xfId="15664" xr:uid="{00000000-0005-0000-0000-000098460000}"/>
    <cellStyle name="Comma 2 4 7 2 3 2" xfId="24679" xr:uid="{00000000-0005-0000-0000-000099460000}"/>
    <cellStyle name="Comma 2 4 7 2 3 2 2" xfId="44108" xr:uid="{00000000-0005-0000-0000-00009A460000}"/>
    <cellStyle name="Comma 2 4 7 2 3 2 3" xfId="37685" xr:uid="{00000000-0005-0000-0000-00009B460000}"/>
    <cellStyle name="Comma 2 4 7 2 3 3" xfId="29000" xr:uid="{00000000-0005-0000-0000-00009C460000}"/>
    <cellStyle name="Comma 2 4 7 2 3 3 2" xfId="40901" xr:uid="{00000000-0005-0000-0000-00009D460000}"/>
    <cellStyle name="Comma 2 4 7 2 3 4" xfId="32335" xr:uid="{00000000-0005-0000-0000-00009E460000}"/>
    <cellStyle name="Comma 2 4 7 2 3 5" xfId="34477" xr:uid="{00000000-0005-0000-0000-00009F460000}"/>
    <cellStyle name="Comma 2 4 7 2 4" xfId="8482" xr:uid="{00000000-0005-0000-0000-0000A0460000}"/>
    <cellStyle name="Comma 2 4 7 2 4 2" xfId="43080" xr:uid="{00000000-0005-0000-0000-0000A1460000}"/>
    <cellStyle name="Comma 2 4 7 2 4 3" xfId="36656" xr:uid="{00000000-0005-0000-0000-0000A2460000}"/>
    <cellStyle name="Comma 2 4 7 2 5" xfId="21471" xr:uid="{00000000-0005-0000-0000-0000A3460000}"/>
    <cellStyle name="Comma 2 4 7 2 5 2" xfId="39873" xr:uid="{00000000-0005-0000-0000-0000A4460000}"/>
    <cellStyle name="Comma 2 4 7 2 6" xfId="22544" xr:uid="{00000000-0005-0000-0000-0000A5460000}"/>
    <cellStyle name="Comma 2 4 7 2 7" xfId="23651" xr:uid="{00000000-0005-0000-0000-0000A6460000}"/>
    <cellStyle name="Comma 2 4 7 2 8" xfId="26866" xr:uid="{00000000-0005-0000-0000-0000A7460000}"/>
    <cellStyle name="Comma 2 4 7 2 9" xfId="30199" xr:uid="{00000000-0005-0000-0000-0000A8460000}"/>
    <cellStyle name="Comma 2 4 7 3" xfId="1226" xr:uid="{00000000-0005-0000-0000-0000A9460000}"/>
    <cellStyle name="Comma 2 4 7 3 10" xfId="33450" xr:uid="{00000000-0005-0000-0000-0000AA460000}"/>
    <cellStyle name="Comma 2 4 7 3 2" xfId="9996" xr:uid="{00000000-0005-0000-0000-0000AB460000}"/>
    <cellStyle name="Comma 2 4 7 3 2 2" xfId="25796" xr:uid="{00000000-0005-0000-0000-0000AC460000}"/>
    <cellStyle name="Comma 2 4 7 3 2 2 2" xfId="45223" xr:uid="{00000000-0005-0000-0000-0000AD460000}"/>
    <cellStyle name="Comma 2 4 7 3 2 2 3" xfId="38800" xr:uid="{00000000-0005-0000-0000-0000AE460000}"/>
    <cellStyle name="Comma 2 4 7 3 2 3" xfId="27974" xr:uid="{00000000-0005-0000-0000-0000AF460000}"/>
    <cellStyle name="Comma 2 4 7 3 2 3 2" xfId="42016" xr:uid="{00000000-0005-0000-0000-0000B0460000}"/>
    <cellStyle name="Comma 2 4 7 3 2 4" xfId="31309" xr:uid="{00000000-0005-0000-0000-0000B1460000}"/>
    <cellStyle name="Comma 2 4 7 3 2 5" xfId="35592" xr:uid="{00000000-0005-0000-0000-0000B2460000}"/>
    <cellStyle name="Comma 2 4 7 3 3" xfId="15665" xr:uid="{00000000-0005-0000-0000-0000B3460000}"/>
    <cellStyle name="Comma 2 4 7 3 3 2" xfId="24680" xr:uid="{00000000-0005-0000-0000-0000B4460000}"/>
    <cellStyle name="Comma 2 4 7 3 3 2 2" xfId="44109" xr:uid="{00000000-0005-0000-0000-0000B5460000}"/>
    <cellStyle name="Comma 2 4 7 3 3 2 3" xfId="37686" xr:uid="{00000000-0005-0000-0000-0000B6460000}"/>
    <cellStyle name="Comma 2 4 7 3 3 3" xfId="29001" xr:uid="{00000000-0005-0000-0000-0000B7460000}"/>
    <cellStyle name="Comma 2 4 7 3 3 3 2" xfId="40902" xr:uid="{00000000-0005-0000-0000-0000B8460000}"/>
    <cellStyle name="Comma 2 4 7 3 3 4" xfId="32336" xr:uid="{00000000-0005-0000-0000-0000B9460000}"/>
    <cellStyle name="Comma 2 4 7 3 3 5" xfId="34478" xr:uid="{00000000-0005-0000-0000-0000BA460000}"/>
    <cellStyle name="Comma 2 4 7 3 4" xfId="8483" xr:uid="{00000000-0005-0000-0000-0000BB460000}"/>
    <cellStyle name="Comma 2 4 7 3 4 2" xfId="43081" xr:uid="{00000000-0005-0000-0000-0000BC460000}"/>
    <cellStyle name="Comma 2 4 7 3 4 3" xfId="36657" xr:uid="{00000000-0005-0000-0000-0000BD460000}"/>
    <cellStyle name="Comma 2 4 7 3 5" xfId="21472" xr:uid="{00000000-0005-0000-0000-0000BE460000}"/>
    <cellStyle name="Comma 2 4 7 3 5 2" xfId="39874" xr:uid="{00000000-0005-0000-0000-0000BF460000}"/>
    <cellStyle name="Comma 2 4 7 3 6" xfId="22545" xr:uid="{00000000-0005-0000-0000-0000C0460000}"/>
    <cellStyle name="Comma 2 4 7 3 7" xfId="23652" xr:uid="{00000000-0005-0000-0000-0000C1460000}"/>
    <cellStyle name="Comma 2 4 7 3 8" xfId="26867" xr:uid="{00000000-0005-0000-0000-0000C2460000}"/>
    <cellStyle name="Comma 2 4 7 3 9" xfId="30200" xr:uid="{00000000-0005-0000-0000-0000C3460000}"/>
    <cellStyle name="Comma 2 4 7 4" xfId="1227" xr:uid="{00000000-0005-0000-0000-0000C4460000}"/>
    <cellStyle name="Comma 2 4 7 4 10" xfId="33451" xr:uid="{00000000-0005-0000-0000-0000C5460000}"/>
    <cellStyle name="Comma 2 4 7 4 2" xfId="9997" xr:uid="{00000000-0005-0000-0000-0000C6460000}"/>
    <cellStyle name="Comma 2 4 7 4 2 2" xfId="25797" xr:uid="{00000000-0005-0000-0000-0000C7460000}"/>
    <cellStyle name="Comma 2 4 7 4 2 2 2" xfId="45224" xr:uid="{00000000-0005-0000-0000-0000C8460000}"/>
    <cellStyle name="Comma 2 4 7 4 2 2 3" xfId="38801" xr:uid="{00000000-0005-0000-0000-0000C9460000}"/>
    <cellStyle name="Comma 2 4 7 4 2 3" xfId="27975" xr:uid="{00000000-0005-0000-0000-0000CA460000}"/>
    <cellStyle name="Comma 2 4 7 4 2 3 2" xfId="42017" xr:uid="{00000000-0005-0000-0000-0000CB460000}"/>
    <cellStyle name="Comma 2 4 7 4 2 4" xfId="31310" xr:uid="{00000000-0005-0000-0000-0000CC460000}"/>
    <cellStyle name="Comma 2 4 7 4 2 5" xfId="35593" xr:uid="{00000000-0005-0000-0000-0000CD460000}"/>
    <cellStyle name="Comma 2 4 7 4 3" xfId="15666" xr:uid="{00000000-0005-0000-0000-0000CE460000}"/>
    <cellStyle name="Comma 2 4 7 4 3 2" xfId="24681" xr:uid="{00000000-0005-0000-0000-0000CF460000}"/>
    <cellStyle name="Comma 2 4 7 4 3 2 2" xfId="44110" xr:uid="{00000000-0005-0000-0000-0000D0460000}"/>
    <cellStyle name="Comma 2 4 7 4 3 2 3" xfId="37687" xr:uid="{00000000-0005-0000-0000-0000D1460000}"/>
    <cellStyle name="Comma 2 4 7 4 3 3" xfId="29002" xr:uid="{00000000-0005-0000-0000-0000D2460000}"/>
    <cellStyle name="Comma 2 4 7 4 3 3 2" xfId="40903" xr:uid="{00000000-0005-0000-0000-0000D3460000}"/>
    <cellStyle name="Comma 2 4 7 4 3 4" xfId="32337" xr:uid="{00000000-0005-0000-0000-0000D4460000}"/>
    <cellStyle name="Comma 2 4 7 4 3 5" xfId="34479" xr:uid="{00000000-0005-0000-0000-0000D5460000}"/>
    <cellStyle name="Comma 2 4 7 4 4" xfId="8484" xr:uid="{00000000-0005-0000-0000-0000D6460000}"/>
    <cellStyle name="Comma 2 4 7 4 4 2" xfId="43082" xr:uid="{00000000-0005-0000-0000-0000D7460000}"/>
    <cellStyle name="Comma 2 4 7 4 4 3" xfId="36658" xr:uid="{00000000-0005-0000-0000-0000D8460000}"/>
    <cellStyle name="Comma 2 4 7 4 5" xfId="21473" xr:uid="{00000000-0005-0000-0000-0000D9460000}"/>
    <cellStyle name="Comma 2 4 7 4 5 2" xfId="39875" xr:uid="{00000000-0005-0000-0000-0000DA460000}"/>
    <cellStyle name="Comma 2 4 7 4 6" xfId="22546" xr:uid="{00000000-0005-0000-0000-0000DB460000}"/>
    <cellStyle name="Comma 2 4 7 4 7" xfId="23653" xr:uid="{00000000-0005-0000-0000-0000DC460000}"/>
    <cellStyle name="Comma 2 4 7 4 8" xfId="26868" xr:uid="{00000000-0005-0000-0000-0000DD460000}"/>
    <cellStyle name="Comma 2 4 7 4 9" xfId="30201" xr:uid="{00000000-0005-0000-0000-0000DE460000}"/>
    <cellStyle name="Comma 2 4 7 5" xfId="1228" xr:uid="{00000000-0005-0000-0000-0000DF460000}"/>
    <cellStyle name="Comma 2 4 7 5 10" xfId="33452" xr:uid="{00000000-0005-0000-0000-0000E0460000}"/>
    <cellStyle name="Comma 2 4 7 5 2" xfId="9998" xr:uid="{00000000-0005-0000-0000-0000E1460000}"/>
    <cellStyle name="Comma 2 4 7 5 2 2" xfId="25798" xr:uid="{00000000-0005-0000-0000-0000E2460000}"/>
    <cellStyle name="Comma 2 4 7 5 2 2 2" xfId="45225" xr:uid="{00000000-0005-0000-0000-0000E3460000}"/>
    <cellStyle name="Comma 2 4 7 5 2 2 3" xfId="38802" xr:uid="{00000000-0005-0000-0000-0000E4460000}"/>
    <cellStyle name="Comma 2 4 7 5 2 3" xfId="27976" xr:uid="{00000000-0005-0000-0000-0000E5460000}"/>
    <cellStyle name="Comma 2 4 7 5 2 3 2" xfId="42018" xr:uid="{00000000-0005-0000-0000-0000E6460000}"/>
    <cellStyle name="Comma 2 4 7 5 2 4" xfId="31311" xr:uid="{00000000-0005-0000-0000-0000E7460000}"/>
    <cellStyle name="Comma 2 4 7 5 2 5" xfId="35594" xr:uid="{00000000-0005-0000-0000-0000E8460000}"/>
    <cellStyle name="Comma 2 4 7 5 3" xfId="15667" xr:uid="{00000000-0005-0000-0000-0000E9460000}"/>
    <cellStyle name="Comma 2 4 7 5 3 2" xfId="24682" xr:uid="{00000000-0005-0000-0000-0000EA460000}"/>
    <cellStyle name="Comma 2 4 7 5 3 2 2" xfId="44111" xr:uid="{00000000-0005-0000-0000-0000EB460000}"/>
    <cellStyle name="Comma 2 4 7 5 3 2 3" xfId="37688" xr:uid="{00000000-0005-0000-0000-0000EC460000}"/>
    <cellStyle name="Comma 2 4 7 5 3 3" xfId="29003" xr:uid="{00000000-0005-0000-0000-0000ED460000}"/>
    <cellStyle name="Comma 2 4 7 5 3 3 2" xfId="40904" xr:uid="{00000000-0005-0000-0000-0000EE460000}"/>
    <cellStyle name="Comma 2 4 7 5 3 4" xfId="32338" xr:uid="{00000000-0005-0000-0000-0000EF460000}"/>
    <cellStyle name="Comma 2 4 7 5 3 5" xfId="34480" xr:uid="{00000000-0005-0000-0000-0000F0460000}"/>
    <cellStyle name="Comma 2 4 7 5 4" xfId="8485" xr:uid="{00000000-0005-0000-0000-0000F1460000}"/>
    <cellStyle name="Comma 2 4 7 5 4 2" xfId="43083" xr:uid="{00000000-0005-0000-0000-0000F2460000}"/>
    <cellStyle name="Comma 2 4 7 5 4 3" xfId="36659" xr:uid="{00000000-0005-0000-0000-0000F3460000}"/>
    <cellStyle name="Comma 2 4 7 5 5" xfId="21474" xr:uid="{00000000-0005-0000-0000-0000F4460000}"/>
    <cellStyle name="Comma 2 4 7 5 5 2" xfId="39876" xr:uid="{00000000-0005-0000-0000-0000F5460000}"/>
    <cellStyle name="Comma 2 4 7 5 6" xfId="22547" xr:uid="{00000000-0005-0000-0000-0000F6460000}"/>
    <cellStyle name="Comma 2 4 7 5 7" xfId="23654" xr:uid="{00000000-0005-0000-0000-0000F7460000}"/>
    <cellStyle name="Comma 2 4 7 5 8" xfId="26869" xr:uid="{00000000-0005-0000-0000-0000F8460000}"/>
    <cellStyle name="Comma 2 4 7 5 9" xfId="30202" xr:uid="{00000000-0005-0000-0000-0000F9460000}"/>
    <cellStyle name="Comma 2 4 7 6" xfId="9994" xr:uid="{00000000-0005-0000-0000-0000FA460000}"/>
    <cellStyle name="Comma 2 4 7 6 2" xfId="25794" xr:uid="{00000000-0005-0000-0000-0000FB460000}"/>
    <cellStyle name="Comma 2 4 7 6 2 2" xfId="45221" xr:uid="{00000000-0005-0000-0000-0000FC460000}"/>
    <cellStyle name="Comma 2 4 7 6 2 3" xfId="38798" xr:uid="{00000000-0005-0000-0000-0000FD460000}"/>
    <cellStyle name="Comma 2 4 7 6 3" xfId="27972" xr:uid="{00000000-0005-0000-0000-0000FE460000}"/>
    <cellStyle name="Comma 2 4 7 6 3 2" xfId="42014" xr:uid="{00000000-0005-0000-0000-0000FF460000}"/>
    <cellStyle name="Comma 2 4 7 6 4" xfId="31307" xr:uid="{00000000-0005-0000-0000-000000470000}"/>
    <cellStyle name="Comma 2 4 7 6 5" xfId="35590" xr:uid="{00000000-0005-0000-0000-000001470000}"/>
    <cellStyle name="Comma 2 4 7 7" xfId="15663" xr:uid="{00000000-0005-0000-0000-000002470000}"/>
    <cellStyle name="Comma 2 4 7 7 2" xfId="24678" xr:uid="{00000000-0005-0000-0000-000003470000}"/>
    <cellStyle name="Comma 2 4 7 7 2 2" xfId="44107" xr:uid="{00000000-0005-0000-0000-000004470000}"/>
    <cellStyle name="Comma 2 4 7 7 2 3" xfId="37684" xr:uid="{00000000-0005-0000-0000-000005470000}"/>
    <cellStyle name="Comma 2 4 7 7 3" xfId="28999" xr:uid="{00000000-0005-0000-0000-000006470000}"/>
    <cellStyle name="Comma 2 4 7 7 3 2" xfId="40900" xr:uid="{00000000-0005-0000-0000-000007470000}"/>
    <cellStyle name="Comma 2 4 7 7 4" xfId="32334" xr:uid="{00000000-0005-0000-0000-000008470000}"/>
    <cellStyle name="Comma 2 4 7 7 5" xfId="34476" xr:uid="{00000000-0005-0000-0000-000009470000}"/>
    <cellStyle name="Comma 2 4 7 8" xfId="8481" xr:uid="{00000000-0005-0000-0000-00000A470000}"/>
    <cellStyle name="Comma 2 4 7 8 2" xfId="43079" xr:uid="{00000000-0005-0000-0000-00000B470000}"/>
    <cellStyle name="Comma 2 4 7 8 3" xfId="36655" xr:uid="{00000000-0005-0000-0000-00000C470000}"/>
    <cellStyle name="Comma 2 4 7 9" xfId="21470" xr:uid="{00000000-0005-0000-0000-00000D470000}"/>
    <cellStyle name="Comma 2 4 7 9 2" xfId="39872" xr:uid="{00000000-0005-0000-0000-00000E470000}"/>
    <cellStyle name="Comma 2 4 8" xfId="1229" xr:uid="{00000000-0005-0000-0000-00000F470000}"/>
    <cellStyle name="Comma 2 4 8 10" xfId="22548" xr:uid="{00000000-0005-0000-0000-000010470000}"/>
    <cellStyle name="Comma 2 4 8 11" xfId="23655" xr:uid="{00000000-0005-0000-0000-000011470000}"/>
    <cellStyle name="Comma 2 4 8 12" xfId="26870" xr:uid="{00000000-0005-0000-0000-000012470000}"/>
    <cellStyle name="Comma 2 4 8 13" xfId="30203" xr:uid="{00000000-0005-0000-0000-000013470000}"/>
    <cellStyle name="Comma 2 4 8 14" xfId="33453" xr:uid="{00000000-0005-0000-0000-000014470000}"/>
    <cellStyle name="Comma 2 4 8 2" xfId="1230" xr:uid="{00000000-0005-0000-0000-000015470000}"/>
    <cellStyle name="Comma 2 4 8 2 10" xfId="33454" xr:uid="{00000000-0005-0000-0000-000016470000}"/>
    <cellStyle name="Comma 2 4 8 2 2" xfId="10000" xr:uid="{00000000-0005-0000-0000-000017470000}"/>
    <cellStyle name="Comma 2 4 8 2 2 2" xfId="25800" xr:uid="{00000000-0005-0000-0000-000018470000}"/>
    <cellStyle name="Comma 2 4 8 2 2 2 2" xfId="45227" xr:uid="{00000000-0005-0000-0000-000019470000}"/>
    <cellStyle name="Comma 2 4 8 2 2 2 3" xfId="38804" xr:uid="{00000000-0005-0000-0000-00001A470000}"/>
    <cellStyle name="Comma 2 4 8 2 2 3" xfId="27978" xr:uid="{00000000-0005-0000-0000-00001B470000}"/>
    <cellStyle name="Comma 2 4 8 2 2 3 2" xfId="42020" xr:uid="{00000000-0005-0000-0000-00001C470000}"/>
    <cellStyle name="Comma 2 4 8 2 2 4" xfId="31313" xr:uid="{00000000-0005-0000-0000-00001D470000}"/>
    <cellStyle name="Comma 2 4 8 2 2 5" xfId="35596" xr:uid="{00000000-0005-0000-0000-00001E470000}"/>
    <cellStyle name="Comma 2 4 8 2 3" xfId="15669" xr:uid="{00000000-0005-0000-0000-00001F470000}"/>
    <cellStyle name="Comma 2 4 8 2 3 2" xfId="24684" xr:uid="{00000000-0005-0000-0000-000020470000}"/>
    <cellStyle name="Comma 2 4 8 2 3 2 2" xfId="44113" xr:uid="{00000000-0005-0000-0000-000021470000}"/>
    <cellStyle name="Comma 2 4 8 2 3 2 3" xfId="37690" xr:uid="{00000000-0005-0000-0000-000022470000}"/>
    <cellStyle name="Comma 2 4 8 2 3 3" xfId="29005" xr:uid="{00000000-0005-0000-0000-000023470000}"/>
    <cellStyle name="Comma 2 4 8 2 3 3 2" xfId="40906" xr:uid="{00000000-0005-0000-0000-000024470000}"/>
    <cellStyle name="Comma 2 4 8 2 3 4" xfId="32340" xr:uid="{00000000-0005-0000-0000-000025470000}"/>
    <cellStyle name="Comma 2 4 8 2 3 5" xfId="34482" xr:uid="{00000000-0005-0000-0000-000026470000}"/>
    <cellStyle name="Comma 2 4 8 2 4" xfId="8487" xr:uid="{00000000-0005-0000-0000-000027470000}"/>
    <cellStyle name="Comma 2 4 8 2 4 2" xfId="43085" xr:uid="{00000000-0005-0000-0000-000028470000}"/>
    <cellStyle name="Comma 2 4 8 2 4 3" xfId="36661" xr:uid="{00000000-0005-0000-0000-000029470000}"/>
    <cellStyle name="Comma 2 4 8 2 5" xfId="21476" xr:uid="{00000000-0005-0000-0000-00002A470000}"/>
    <cellStyle name="Comma 2 4 8 2 5 2" xfId="39878" xr:uid="{00000000-0005-0000-0000-00002B470000}"/>
    <cellStyle name="Comma 2 4 8 2 6" xfId="22549" xr:uid="{00000000-0005-0000-0000-00002C470000}"/>
    <cellStyle name="Comma 2 4 8 2 7" xfId="23656" xr:uid="{00000000-0005-0000-0000-00002D470000}"/>
    <cellStyle name="Comma 2 4 8 2 8" xfId="26871" xr:uid="{00000000-0005-0000-0000-00002E470000}"/>
    <cellStyle name="Comma 2 4 8 2 9" xfId="30204" xr:uid="{00000000-0005-0000-0000-00002F470000}"/>
    <cellStyle name="Comma 2 4 8 3" xfId="1231" xr:uid="{00000000-0005-0000-0000-000030470000}"/>
    <cellStyle name="Comma 2 4 8 3 10" xfId="33455" xr:uid="{00000000-0005-0000-0000-000031470000}"/>
    <cellStyle name="Comma 2 4 8 3 2" xfId="10001" xr:uid="{00000000-0005-0000-0000-000032470000}"/>
    <cellStyle name="Comma 2 4 8 3 2 2" xfId="25801" xr:uid="{00000000-0005-0000-0000-000033470000}"/>
    <cellStyle name="Comma 2 4 8 3 2 2 2" xfId="45228" xr:uid="{00000000-0005-0000-0000-000034470000}"/>
    <cellStyle name="Comma 2 4 8 3 2 2 3" xfId="38805" xr:uid="{00000000-0005-0000-0000-000035470000}"/>
    <cellStyle name="Comma 2 4 8 3 2 3" xfId="27979" xr:uid="{00000000-0005-0000-0000-000036470000}"/>
    <cellStyle name="Comma 2 4 8 3 2 3 2" xfId="42021" xr:uid="{00000000-0005-0000-0000-000037470000}"/>
    <cellStyle name="Comma 2 4 8 3 2 4" xfId="31314" xr:uid="{00000000-0005-0000-0000-000038470000}"/>
    <cellStyle name="Comma 2 4 8 3 2 5" xfId="35597" xr:uid="{00000000-0005-0000-0000-000039470000}"/>
    <cellStyle name="Comma 2 4 8 3 3" xfId="15670" xr:uid="{00000000-0005-0000-0000-00003A470000}"/>
    <cellStyle name="Comma 2 4 8 3 3 2" xfId="24685" xr:uid="{00000000-0005-0000-0000-00003B470000}"/>
    <cellStyle name="Comma 2 4 8 3 3 2 2" xfId="44114" xr:uid="{00000000-0005-0000-0000-00003C470000}"/>
    <cellStyle name="Comma 2 4 8 3 3 2 3" xfId="37691" xr:uid="{00000000-0005-0000-0000-00003D470000}"/>
    <cellStyle name="Comma 2 4 8 3 3 3" xfId="29006" xr:uid="{00000000-0005-0000-0000-00003E470000}"/>
    <cellStyle name="Comma 2 4 8 3 3 3 2" xfId="40907" xr:uid="{00000000-0005-0000-0000-00003F470000}"/>
    <cellStyle name="Comma 2 4 8 3 3 4" xfId="32341" xr:uid="{00000000-0005-0000-0000-000040470000}"/>
    <cellStyle name="Comma 2 4 8 3 3 5" xfId="34483" xr:uid="{00000000-0005-0000-0000-000041470000}"/>
    <cellStyle name="Comma 2 4 8 3 4" xfId="8488" xr:uid="{00000000-0005-0000-0000-000042470000}"/>
    <cellStyle name="Comma 2 4 8 3 4 2" xfId="43086" xr:uid="{00000000-0005-0000-0000-000043470000}"/>
    <cellStyle name="Comma 2 4 8 3 4 3" xfId="36662" xr:uid="{00000000-0005-0000-0000-000044470000}"/>
    <cellStyle name="Comma 2 4 8 3 5" xfId="21477" xr:uid="{00000000-0005-0000-0000-000045470000}"/>
    <cellStyle name="Comma 2 4 8 3 5 2" xfId="39879" xr:uid="{00000000-0005-0000-0000-000046470000}"/>
    <cellStyle name="Comma 2 4 8 3 6" xfId="22550" xr:uid="{00000000-0005-0000-0000-000047470000}"/>
    <cellStyle name="Comma 2 4 8 3 7" xfId="23657" xr:uid="{00000000-0005-0000-0000-000048470000}"/>
    <cellStyle name="Comma 2 4 8 3 8" xfId="26872" xr:uid="{00000000-0005-0000-0000-000049470000}"/>
    <cellStyle name="Comma 2 4 8 3 9" xfId="30205" xr:uid="{00000000-0005-0000-0000-00004A470000}"/>
    <cellStyle name="Comma 2 4 8 4" xfId="1232" xr:uid="{00000000-0005-0000-0000-00004B470000}"/>
    <cellStyle name="Comma 2 4 8 4 10" xfId="33456" xr:uid="{00000000-0005-0000-0000-00004C470000}"/>
    <cellStyle name="Comma 2 4 8 4 2" xfId="10002" xr:uid="{00000000-0005-0000-0000-00004D470000}"/>
    <cellStyle name="Comma 2 4 8 4 2 2" xfId="25802" xr:uid="{00000000-0005-0000-0000-00004E470000}"/>
    <cellStyle name="Comma 2 4 8 4 2 2 2" xfId="45229" xr:uid="{00000000-0005-0000-0000-00004F470000}"/>
    <cellStyle name="Comma 2 4 8 4 2 2 3" xfId="38806" xr:uid="{00000000-0005-0000-0000-000050470000}"/>
    <cellStyle name="Comma 2 4 8 4 2 3" xfId="27980" xr:uid="{00000000-0005-0000-0000-000051470000}"/>
    <cellStyle name="Comma 2 4 8 4 2 3 2" xfId="42022" xr:uid="{00000000-0005-0000-0000-000052470000}"/>
    <cellStyle name="Comma 2 4 8 4 2 4" xfId="31315" xr:uid="{00000000-0005-0000-0000-000053470000}"/>
    <cellStyle name="Comma 2 4 8 4 2 5" xfId="35598" xr:uid="{00000000-0005-0000-0000-000054470000}"/>
    <cellStyle name="Comma 2 4 8 4 3" xfId="15671" xr:uid="{00000000-0005-0000-0000-000055470000}"/>
    <cellStyle name="Comma 2 4 8 4 3 2" xfId="24686" xr:uid="{00000000-0005-0000-0000-000056470000}"/>
    <cellStyle name="Comma 2 4 8 4 3 2 2" xfId="44115" xr:uid="{00000000-0005-0000-0000-000057470000}"/>
    <cellStyle name="Comma 2 4 8 4 3 2 3" xfId="37692" xr:uid="{00000000-0005-0000-0000-000058470000}"/>
    <cellStyle name="Comma 2 4 8 4 3 3" xfId="29007" xr:uid="{00000000-0005-0000-0000-000059470000}"/>
    <cellStyle name="Comma 2 4 8 4 3 3 2" xfId="40908" xr:uid="{00000000-0005-0000-0000-00005A470000}"/>
    <cellStyle name="Comma 2 4 8 4 3 4" xfId="32342" xr:uid="{00000000-0005-0000-0000-00005B470000}"/>
    <cellStyle name="Comma 2 4 8 4 3 5" xfId="34484" xr:uid="{00000000-0005-0000-0000-00005C470000}"/>
    <cellStyle name="Comma 2 4 8 4 4" xfId="8489" xr:uid="{00000000-0005-0000-0000-00005D470000}"/>
    <cellStyle name="Comma 2 4 8 4 4 2" xfId="43087" xr:uid="{00000000-0005-0000-0000-00005E470000}"/>
    <cellStyle name="Comma 2 4 8 4 4 3" xfId="36663" xr:uid="{00000000-0005-0000-0000-00005F470000}"/>
    <cellStyle name="Comma 2 4 8 4 5" xfId="21478" xr:uid="{00000000-0005-0000-0000-000060470000}"/>
    <cellStyle name="Comma 2 4 8 4 5 2" xfId="39880" xr:uid="{00000000-0005-0000-0000-000061470000}"/>
    <cellStyle name="Comma 2 4 8 4 6" xfId="22551" xr:uid="{00000000-0005-0000-0000-000062470000}"/>
    <cellStyle name="Comma 2 4 8 4 7" xfId="23658" xr:uid="{00000000-0005-0000-0000-000063470000}"/>
    <cellStyle name="Comma 2 4 8 4 8" xfId="26873" xr:uid="{00000000-0005-0000-0000-000064470000}"/>
    <cellStyle name="Comma 2 4 8 4 9" xfId="30206" xr:uid="{00000000-0005-0000-0000-000065470000}"/>
    <cellStyle name="Comma 2 4 8 5" xfId="1233" xr:uid="{00000000-0005-0000-0000-000066470000}"/>
    <cellStyle name="Comma 2 4 8 5 10" xfId="33457" xr:uid="{00000000-0005-0000-0000-000067470000}"/>
    <cellStyle name="Comma 2 4 8 5 2" xfId="10003" xr:uid="{00000000-0005-0000-0000-000068470000}"/>
    <cellStyle name="Comma 2 4 8 5 2 2" xfId="25803" xr:uid="{00000000-0005-0000-0000-000069470000}"/>
    <cellStyle name="Comma 2 4 8 5 2 2 2" xfId="45230" xr:uid="{00000000-0005-0000-0000-00006A470000}"/>
    <cellStyle name="Comma 2 4 8 5 2 2 3" xfId="38807" xr:uid="{00000000-0005-0000-0000-00006B470000}"/>
    <cellStyle name="Comma 2 4 8 5 2 3" xfId="27981" xr:uid="{00000000-0005-0000-0000-00006C470000}"/>
    <cellStyle name="Comma 2 4 8 5 2 3 2" xfId="42023" xr:uid="{00000000-0005-0000-0000-00006D470000}"/>
    <cellStyle name="Comma 2 4 8 5 2 4" xfId="31316" xr:uid="{00000000-0005-0000-0000-00006E470000}"/>
    <cellStyle name="Comma 2 4 8 5 2 5" xfId="35599" xr:uid="{00000000-0005-0000-0000-00006F470000}"/>
    <cellStyle name="Comma 2 4 8 5 3" xfId="15672" xr:uid="{00000000-0005-0000-0000-000070470000}"/>
    <cellStyle name="Comma 2 4 8 5 3 2" xfId="24687" xr:uid="{00000000-0005-0000-0000-000071470000}"/>
    <cellStyle name="Comma 2 4 8 5 3 2 2" xfId="44116" xr:uid="{00000000-0005-0000-0000-000072470000}"/>
    <cellStyle name="Comma 2 4 8 5 3 2 3" xfId="37693" xr:uid="{00000000-0005-0000-0000-000073470000}"/>
    <cellStyle name="Comma 2 4 8 5 3 3" xfId="29008" xr:uid="{00000000-0005-0000-0000-000074470000}"/>
    <cellStyle name="Comma 2 4 8 5 3 3 2" xfId="40909" xr:uid="{00000000-0005-0000-0000-000075470000}"/>
    <cellStyle name="Comma 2 4 8 5 3 4" xfId="32343" xr:uid="{00000000-0005-0000-0000-000076470000}"/>
    <cellStyle name="Comma 2 4 8 5 3 5" xfId="34485" xr:uid="{00000000-0005-0000-0000-000077470000}"/>
    <cellStyle name="Comma 2 4 8 5 4" xfId="8490" xr:uid="{00000000-0005-0000-0000-000078470000}"/>
    <cellStyle name="Comma 2 4 8 5 4 2" xfId="43088" xr:uid="{00000000-0005-0000-0000-000079470000}"/>
    <cellStyle name="Comma 2 4 8 5 4 3" xfId="36664" xr:uid="{00000000-0005-0000-0000-00007A470000}"/>
    <cellStyle name="Comma 2 4 8 5 5" xfId="21479" xr:uid="{00000000-0005-0000-0000-00007B470000}"/>
    <cellStyle name="Comma 2 4 8 5 5 2" xfId="39881" xr:uid="{00000000-0005-0000-0000-00007C470000}"/>
    <cellStyle name="Comma 2 4 8 5 6" xfId="22552" xr:uid="{00000000-0005-0000-0000-00007D470000}"/>
    <cellStyle name="Comma 2 4 8 5 7" xfId="23659" xr:uid="{00000000-0005-0000-0000-00007E470000}"/>
    <cellStyle name="Comma 2 4 8 5 8" xfId="26874" xr:uid="{00000000-0005-0000-0000-00007F470000}"/>
    <cellStyle name="Comma 2 4 8 5 9" xfId="30207" xr:uid="{00000000-0005-0000-0000-000080470000}"/>
    <cellStyle name="Comma 2 4 8 6" xfId="9999" xr:uid="{00000000-0005-0000-0000-000081470000}"/>
    <cellStyle name="Comma 2 4 8 6 2" xfId="25799" xr:uid="{00000000-0005-0000-0000-000082470000}"/>
    <cellStyle name="Comma 2 4 8 6 2 2" xfId="45226" xr:uid="{00000000-0005-0000-0000-000083470000}"/>
    <cellStyle name="Comma 2 4 8 6 2 3" xfId="38803" xr:uid="{00000000-0005-0000-0000-000084470000}"/>
    <cellStyle name="Comma 2 4 8 6 3" xfId="27977" xr:uid="{00000000-0005-0000-0000-000085470000}"/>
    <cellStyle name="Comma 2 4 8 6 3 2" xfId="42019" xr:uid="{00000000-0005-0000-0000-000086470000}"/>
    <cellStyle name="Comma 2 4 8 6 4" xfId="31312" xr:uid="{00000000-0005-0000-0000-000087470000}"/>
    <cellStyle name="Comma 2 4 8 6 5" xfId="35595" xr:uid="{00000000-0005-0000-0000-000088470000}"/>
    <cellStyle name="Comma 2 4 8 7" xfId="15668" xr:uid="{00000000-0005-0000-0000-000089470000}"/>
    <cellStyle name="Comma 2 4 8 7 2" xfId="24683" xr:uid="{00000000-0005-0000-0000-00008A470000}"/>
    <cellStyle name="Comma 2 4 8 7 2 2" xfId="44112" xr:uid="{00000000-0005-0000-0000-00008B470000}"/>
    <cellStyle name="Comma 2 4 8 7 2 3" xfId="37689" xr:uid="{00000000-0005-0000-0000-00008C470000}"/>
    <cellStyle name="Comma 2 4 8 7 3" xfId="29004" xr:uid="{00000000-0005-0000-0000-00008D470000}"/>
    <cellStyle name="Comma 2 4 8 7 3 2" xfId="40905" xr:uid="{00000000-0005-0000-0000-00008E470000}"/>
    <cellStyle name="Comma 2 4 8 7 4" xfId="32339" xr:uid="{00000000-0005-0000-0000-00008F470000}"/>
    <cellStyle name="Comma 2 4 8 7 5" xfId="34481" xr:uid="{00000000-0005-0000-0000-000090470000}"/>
    <cellStyle name="Comma 2 4 8 8" xfId="8486" xr:uid="{00000000-0005-0000-0000-000091470000}"/>
    <cellStyle name="Comma 2 4 8 8 2" xfId="43084" xr:uid="{00000000-0005-0000-0000-000092470000}"/>
    <cellStyle name="Comma 2 4 8 8 3" xfId="36660" xr:uid="{00000000-0005-0000-0000-000093470000}"/>
    <cellStyle name="Comma 2 4 8 9" xfId="21475" xr:uid="{00000000-0005-0000-0000-000094470000}"/>
    <cellStyle name="Comma 2 4 8 9 2" xfId="39877" xr:uid="{00000000-0005-0000-0000-000095470000}"/>
    <cellStyle name="Comma 2 4 9" xfId="1234" xr:uid="{00000000-0005-0000-0000-000096470000}"/>
    <cellStyle name="Comma 2 4 9 10" xfId="33458" xr:uid="{00000000-0005-0000-0000-000097470000}"/>
    <cellStyle name="Comma 2 4 9 2" xfId="10004" xr:uid="{00000000-0005-0000-0000-000098470000}"/>
    <cellStyle name="Comma 2 4 9 2 2" xfId="25804" xr:uid="{00000000-0005-0000-0000-000099470000}"/>
    <cellStyle name="Comma 2 4 9 2 2 2" xfId="45231" xr:uid="{00000000-0005-0000-0000-00009A470000}"/>
    <cellStyle name="Comma 2 4 9 2 2 3" xfId="38808" xr:uid="{00000000-0005-0000-0000-00009B470000}"/>
    <cellStyle name="Comma 2 4 9 2 3" xfId="27982" xr:uid="{00000000-0005-0000-0000-00009C470000}"/>
    <cellStyle name="Comma 2 4 9 2 3 2" xfId="42024" xr:uid="{00000000-0005-0000-0000-00009D470000}"/>
    <cellStyle name="Comma 2 4 9 2 4" xfId="31317" xr:uid="{00000000-0005-0000-0000-00009E470000}"/>
    <cellStyle name="Comma 2 4 9 2 5" xfId="35600" xr:uid="{00000000-0005-0000-0000-00009F470000}"/>
    <cellStyle name="Comma 2 4 9 3" xfId="15673" xr:uid="{00000000-0005-0000-0000-0000A0470000}"/>
    <cellStyle name="Comma 2 4 9 3 2" xfId="24688" xr:uid="{00000000-0005-0000-0000-0000A1470000}"/>
    <cellStyle name="Comma 2 4 9 3 2 2" xfId="44117" xr:uid="{00000000-0005-0000-0000-0000A2470000}"/>
    <cellStyle name="Comma 2 4 9 3 2 3" xfId="37694" xr:uid="{00000000-0005-0000-0000-0000A3470000}"/>
    <cellStyle name="Comma 2 4 9 3 3" xfId="29009" xr:uid="{00000000-0005-0000-0000-0000A4470000}"/>
    <cellStyle name="Comma 2 4 9 3 3 2" xfId="40910" xr:uid="{00000000-0005-0000-0000-0000A5470000}"/>
    <cellStyle name="Comma 2 4 9 3 4" xfId="32344" xr:uid="{00000000-0005-0000-0000-0000A6470000}"/>
    <cellStyle name="Comma 2 4 9 3 5" xfId="34486" xr:uid="{00000000-0005-0000-0000-0000A7470000}"/>
    <cellStyle name="Comma 2 4 9 4" xfId="8491" xr:uid="{00000000-0005-0000-0000-0000A8470000}"/>
    <cellStyle name="Comma 2 4 9 4 2" xfId="43089" xr:uid="{00000000-0005-0000-0000-0000A9470000}"/>
    <cellStyle name="Comma 2 4 9 4 3" xfId="36665" xr:uid="{00000000-0005-0000-0000-0000AA470000}"/>
    <cellStyle name="Comma 2 4 9 5" xfId="21480" xr:uid="{00000000-0005-0000-0000-0000AB470000}"/>
    <cellStyle name="Comma 2 4 9 5 2" xfId="39882" xr:uid="{00000000-0005-0000-0000-0000AC470000}"/>
    <cellStyle name="Comma 2 4 9 6" xfId="22553" xr:uid="{00000000-0005-0000-0000-0000AD470000}"/>
    <cellStyle name="Comma 2 4 9 7" xfId="23660" xr:uid="{00000000-0005-0000-0000-0000AE470000}"/>
    <cellStyle name="Comma 2 4 9 8" xfId="26875" xr:uid="{00000000-0005-0000-0000-0000AF470000}"/>
    <cellStyle name="Comma 2 4 9 9" xfId="30208" xr:uid="{00000000-0005-0000-0000-0000B0470000}"/>
    <cellStyle name="Comma 2 5" xfId="202" xr:uid="{00000000-0005-0000-0000-0000B1470000}"/>
    <cellStyle name="Comma 2 5 10" xfId="1235" xr:uid="{00000000-0005-0000-0000-0000B2470000}"/>
    <cellStyle name="Comma 2 5 10 10" xfId="33459" xr:uid="{00000000-0005-0000-0000-0000B3470000}"/>
    <cellStyle name="Comma 2 5 10 2" xfId="10005" xr:uid="{00000000-0005-0000-0000-0000B4470000}"/>
    <cellStyle name="Comma 2 5 10 2 2" xfId="25805" xr:uid="{00000000-0005-0000-0000-0000B5470000}"/>
    <cellStyle name="Comma 2 5 10 2 2 2" xfId="45232" xr:uid="{00000000-0005-0000-0000-0000B6470000}"/>
    <cellStyle name="Comma 2 5 10 2 2 3" xfId="38809" xr:uid="{00000000-0005-0000-0000-0000B7470000}"/>
    <cellStyle name="Comma 2 5 10 2 3" xfId="27983" xr:uid="{00000000-0005-0000-0000-0000B8470000}"/>
    <cellStyle name="Comma 2 5 10 2 3 2" xfId="42025" xr:uid="{00000000-0005-0000-0000-0000B9470000}"/>
    <cellStyle name="Comma 2 5 10 2 4" xfId="31318" xr:uid="{00000000-0005-0000-0000-0000BA470000}"/>
    <cellStyle name="Comma 2 5 10 2 5" xfId="35601" xr:uid="{00000000-0005-0000-0000-0000BB470000}"/>
    <cellStyle name="Comma 2 5 10 3" xfId="15675" xr:uid="{00000000-0005-0000-0000-0000BC470000}"/>
    <cellStyle name="Comma 2 5 10 3 2" xfId="24690" xr:uid="{00000000-0005-0000-0000-0000BD470000}"/>
    <cellStyle name="Comma 2 5 10 3 2 2" xfId="44119" xr:uid="{00000000-0005-0000-0000-0000BE470000}"/>
    <cellStyle name="Comma 2 5 10 3 2 3" xfId="37696" xr:uid="{00000000-0005-0000-0000-0000BF470000}"/>
    <cellStyle name="Comma 2 5 10 3 3" xfId="29011" xr:uid="{00000000-0005-0000-0000-0000C0470000}"/>
    <cellStyle name="Comma 2 5 10 3 3 2" xfId="40912" xr:uid="{00000000-0005-0000-0000-0000C1470000}"/>
    <cellStyle name="Comma 2 5 10 3 4" xfId="32346" xr:uid="{00000000-0005-0000-0000-0000C2470000}"/>
    <cellStyle name="Comma 2 5 10 3 5" xfId="34488" xr:uid="{00000000-0005-0000-0000-0000C3470000}"/>
    <cellStyle name="Comma 2 5 10 4" xfId="8493" xr:uid="{00000000-0005-0000-0000-0000C4470000}"/>
    <cellStyle name="Comma 2 5 10 4 2" xfId="43090" xr:uid="{00000000-0005-0000-0000-0000C5470000}"/>
    <cellStyle name="Comma 2 5 10 4 3" xfId="36666" xr:uid="{00000000-0005-0000-0000-0000C6470000}"/>
    <cellStyle name="Comma 2 5 10 5" xfId="21482" xr:uid="{00000000-0005-0000-0000-0000C7470000}"/>
    <cellStyle name="Comma 2 5 10 5 2" xfId="39883" xr:uid="{00000000-0005-0000-0000-0000C8470000}"/>
    <cellStyle name="Comma 2 5 10 6" xfId="22555" xr:uid="{00000000-0005-0000-0000-0000C9470000}"/>
    <cellStyle name="Comma 2 5 10 7" xfId="23661" xr:uid="{00000000-0005-0000-0000-0000CA470000}"/>
    <cellStyle name="Comma 2 5 10 8" xfId="26877" xr:uid="{00000000-0005-0000-0000-0000CB470000}"/>
    <cellStyle name="Comma 2 5 10 9" xfId="30210" xr:uid="{00000000-0005-0000-0000-0000CC470000}"/>
    <cellStyle name="Comma 2 5 11" xfId="1236" xr:uid="{00000000-0005-0000-0000-0000CD470000}"/>
    <cellStyle name="Comma 2 5 11 10" xfId="33460" xr:uid="{00000000-0005-0000-0000-0000CE470000}"/>
    <cellStyle name="Comma 2 5 11 2" xfId="10006" xr:uid="{00000000-0005-0000-0000-0000CF470000}"/>
    <cellStyle name="Comma 2 5 11 2 2" xfId="25806" xr:uid="{00000000-0005-0000-0000-0000D0470000}"/>
    <cellStyle name="Comma 2 5 11 2 2 2" xfId="45233" xr:uid="{00000000-0005-0000-0000-0000D1470000}"/>
    <cellStyle name="Comma 2 5 11 2 2 3" xfId="38810" xr:uid="{00000000-0005-0000-0000-0000D2470000}"/>
    <cellStyle name="Comma 2 5 11 2 3" xfId="27984" xr:uid="{00000000-0005-0000-0000-0000D3470000}"/>
    <cellStyle name="Comma 2 5 11 2 3 2" xfId="42026" xr:uid="{00000000-0005-0000-0000-0000D4470000}"/>
    <cellStyle name="Comma 2 5 11 2 4" xfId="31319" xr:uid="{00000000-0005-0000-0000-0000D5470000}"/>
    <cellStyle name="Comma 2 5 11 2 5" xfId="35602" xr:uid="{00000000-0005-0000-0000-0000D6470000}"/>
    <cellStyle name="Comma 2 5 11 3" xfId="15676" xr:uid="{00000000-0005-0000-0000-0000D7470000}"/>
    <cellStyle name="Comma 2 5 11 3 2" xfId="24691" xr:uid="{00000000-0005-0000-0000-0000D8470000}"/>
    <cellStyle name="Comma 2 5 11 3 2 2" xfId="44120" xr:uid="{00000000-0005-0000-0000-0000D9470000}"/>
    <cellStyle name="Comma 2 5 11 3 2 3" xfId="37697" xr:uid="{00000000-0005-0000-0000-0000DA470000}"/>
    <cellStyle name="Comma 2 5 11 3 3" xfId="29012" xr:uid="{00000000-0005-0000-0000-0000DB470000}"/>
    <cellStyle name="Comma 2 5 11 3 3 2" xfId="40913" xr:uid="{00000000-0005-0000-0000-0000DC470000}"/>
    <cellStyle name="Comma 2 5 11 3 4" xfId="32347" xr:uid="{00000000-0005-0000-0000-0000DD470000}"/>
    <cellStyle name="Comma 2 5 11 3 5" xfId="34489" xr:uid="{00000000-0005-0000-0000-0000DE470000}"/>
    <cellStyle name="Comma 2 5 11 4" xfId="8494" xr:uid="{00000000-0005-0000-0000-0000DF470000}"/>
    <cellStyle name="Comma 2 5 11 4 2" xfId="43091" xr:uid="{00000000-0005-0000-0000-0000E0470000}"/>
    <cellStyle name="Comma 2 5 11 4 3" xfId="36667" xr:uid="{00000000-0005-0000-0000-0000E1470000}"/>
    <cellStyle name="Comma 2 5 11 5" xfId="21483" xr:uid="{00000000-0005-0000-0000-0000E2470000}"/>
    <cellStyle name="Comma 2 5 11 5 2" xfId="39884" xr:uid="{00000000-0005-0000-0000-0000E3470000}"/>
    <cellStyle name="Comma 2 5 11 6" xfId="22556" xr:uid="{00000000-0005-0000-0000-0000E4470000}"/>
    <cellStyle name="Comma 2 5 11 7" xfId="23662" xr:uid="{00000000-0005-0000-0000-0000E5470000}"/>
    <cellStyle name="Comma 2 5 11 8" xfId="26878" xr:uid="{00000000-0005-0000-0000-0000E6470000}"/>
    <cellStyle name="Comma 2 5 11 9" xfId="30211" xr:uid="{00000000-0005-0000-0000-0000E7470000}"/>
    <cellStyle name="Comma 2 5 12" xfId="1237" xr:uid="{00000000-0005-0000-0000-0000E8470000}"/>
    <cellStyle name="Comma 2 5 12 10" xfId="33461" xr:uid="{00000000-0005-0000-0000-0000E9470000}"/>
    <cellStyle name="Comma 2 5 12 2" xfId="10007" xr:uid="{00000000-0005-0000-0000-0000EA470000}"/>
    <cellStyle name="Comma 2 5 12 2 2" xfId="25807" xr:uid="{00000000-0005-0000-0000-0000EB470000}"/>
    <cellStyle name="Comma 2 5 12 2 2 2" xfId="45234" xr:uid="{00000000-0005-0000-0000-0000EC470000}"/>
    <cellStyle name="Comma 2 5 12 2 2 3" xfId="38811" xr:uid="{00000000-0005-0000-0000-0000ED470000}"/>
    <cellStyle name="Comma 2 5 12 2 3" xfId="27985" xr:uid="{00000000-0005-0000-0000-0000EE470000}"/>
    <cellStyle name="Comma 2 5 12 2 3 2" xfId="42027" xr:uid="{00000000-0005-0000-0000-0000EF470000}"/>
    <cellStyle name="Comma 2 5 12 2 4" xfId="31320" xr:uid="{00000000-0005-0000-0000-0000F0470000}"/>
    <cellStyle name="Comma 2 5 12 2 5" xfId="35603" xr:uid="{00000000-0005-0000-0000-0000F1470000}"/>
    <cellStyle name="Comma 2 5 12 3" xfId="15677" xr:uid="{00000000-0005-0000-0000-0000F2470000}"/>
    <cellStyle name="Comma 2 5 12 3 2" xfId="24692" xr:uid="{00000000-0005-0000-0000-0000F3470000}"/>
    <cellStyle name="Comma 2 5 12 3 2 2" xfId="44121" xr:uid="{00000000-0005-0000-0000-0000F4470000}"/>
    <cellStyle name="Comma 2 5 12 3 2 3" xfId="37698" xr:uid="{00000000-0005-0000-0000-0000F5470000}"/>
    <cellStyle name="Comma 2 5 12 3 3" xfId="29013" xr:uid="{00000000-0005-0000-0000-0000F6470000}"/>
    <cellStyle name="Comma 2 5 12 3 3 2" xfId="40914" xr:uid="{00000000-0005-0000-0000-0000F7470000}"/>
    <cellStyle name="Comma 2 5 12 3 4" xfId="32348" xr:uid="{00000000-0005-0000-0000-0000F8470000}"/>
    <cellStyle name="Comma 2 5 12 3 5" xfId="34490" xr:uid="{00000000-0005-0000-0000-0000F9470000}"/>
    <cellStyle name="Comma 2 5 12 4" xfId="8495" xr:uid="{00000000-0005-0000-0000-0000FA470000}"/>
    <cellStyle name="Comma 2 5 12 4 2" xfId="43092" xr:uid="{00000000-0005-0000-0000-0000FB470000}"/>
    <cellStyle name="Comma 2 5 12 4 3" xfId="36668" xr:uid="{00000000-0005-0000-0000-0000FC470000}"/>
    <cellStyle name="Comma 2 5 12 5" xfId="21484" xr:uid="{00000000-0005-0000-0000-0000FD470000}"/>
    <cellStyle name="Comma 2 5 12 5 2" xfId="39885" xr:uid="{00000000-0005-0000-0000-0000FE470000}"/>
    <cellStyle name="Comma 2 5 12 6" xfId="22557" xr:uid="{00000000-0005-0000-0000-0000FF470000}"/>
    <cellStyle name="Comma 2 5 12 7" xfId="23663" xr:uid="{00000000-0005-0000-0000-000000480000}"/>
    <cellStyle name="Comma 2 5 12 8" xfId="26879" xr:uid="{00000000-0005-0000-0000-000001480000}"/>
    <cellStyle name="Comma 2 5 12 9" xfId="30212" xr:uid="{00000000-0005-0000-0000-000002480000}"/>
    <cellStyle name="Comma 2 5 13" xfId="1238" xr:uid="{00000000-0005-0000-0000-000003480000}"/>
    <cellStyle name="Comma 2 5 13 10" xfId="33462" xr:uid="{00000000-0005-0000-0000-000004480000}"/>
    <cellStyle name="Comma 2 5 13 2" xfId="10008" xr:uid="{00000000-0005-0000-0000-000005480000}"/>
    <cellStyle name="Comma 2 5 13 2 2" xfId="25808" xr:uid="{00000000-0005-0000-0000-000006480000}"/>
    <cellStyle name="Comma 2 5 13 2 2 2" xfId="45235" xr:uid="{00000000-0005-0000-0000-000007480000}"/>
    <cellStyle name="Comma 2 5 13 2 2 3" xfId="38812" xr:uid="{00000000-0005-0000-0000-000008480000}"/>
    <cellStyle name="Comma 2 5 13 2 3" xfId="27986" xr:uid="{00000000-0005-0000-0000-000009480000}"/>
    <cellStyle name="Comma 2 5 13 2 3 2" xfId="42028" xr:uid="{00000000-0005-0000-0000-00000A480000}"/>
    <cellStyle name="Comma 2 5 13 2 4" xfId="31321" xr:uid="{00000000-0005-0000-0000-00000B480000}"/>
    <cellStyle name="Comma 2 5 13 2 5" xfId="35604" xr:uid="{00000000-0005-0000-0000-00000C480000}"/>
    <cellStyle name="Comma 2 5 13 3" xfId="15678" xr:uid="{00000000-0005-0000-0000-00000D480000}"/>
    <cellStyle name="Comma 2 5 13 3 2" xfId="24693" xr:uid="{00000000-0005-0000-0000-00000E480000}"/>
    <cellStyle name="Comma 2 5 13 3 2 2" xfId="44122" xr:uid="{00000000-0005-0000-0000-00000F480000}"/>
    <cellStyle name="Comma 2 5 13 3 2 3" xfId="37699" xr:uid="{00000000-0005-0000-0000-000010480000}"/>
    <cellStyle name="Comma 2 5 13 3 3" xfId="29014" xr:uid="{00000000-0005-0000-0000-000011480000}"/>
    <cellStyle name="Comma 2 5 13 3 3 2" xfId="40915" xr:uid="{00000000-0005-0000-0000-000012480000}"/>
    <cellStyle name="Comma 2 5 13 3 4" xfId="32349" xr:uid="{00000000-0005-0000-0000-000013480000}"/>
    <cellStyle name="Comma 2 5 13 3 5" xfId="34491" xr:uid="{00000000-0005-0000-0000-000014480000}"/>
    <cellStyle name="Comma 2 5 13 4" xfId="8496" xr:uid="{00000000-0005-0000-0000-000015480000}"/>
    <cellStyle name="Comma 2 5 13 4 2" xfId="43093" xr:uid="{00000000-0005-0000-0000-000016480000}"/>
    <cellStyle name="Comma 2 5 13 4 3" xfId="36669" xr:uid="{00000000-0005-0000-0000-000017480000}"/>
    <cellStyle name="Comma 2 5 13 5" xfId="21485" xr:uid="{00000000-0005-0000-0000-000018480000}"/>
    <cellStyle name="Comma 2 5 13 5 2" xfId="39886" xr:uid="{00000000-0005-0000-0000-000019480000}"/>
    <cellStyle name="Comma 2 5 13 6" xfId="22558" xr:uid="{00000000-0005-0000-0000-00001A480000}"/>
    <cellStyle name="Comma 2 5 13 7" xfId="23664" xr:uid="{00000000-0005-0000-0000-00001B480000}"/>
    <cellStyle name="Comma 2 5 13 8" xfId="26880" xr:uid="{00000000-0005-0000-0000-00001C480000}"/>
    <cellStyle name="Comma 2 5 13 9" xfId="30213" xr:uid="{00000000-0005-0000-0000-00001D480000}"/>
    <cellStyle name="Comma 2 5 14" xfId="9076" xr:uid="{00000000-0005-0000-0000-00001E480000}"/>
    <cellStyle name="Comma 2 5 14 2" xfId="25131" xr:uid="{00000000-0005-0000-0000-00001F480000}"/>
    <cellStyle name="Comma 2 5 14 2 2" xfId="44558" xr:uid="{00000000-0005-0000-0000-000020480000}"/>
    <cellStyle name="Comma 2 5 14 2 3" xfId="38135" xr:uid="{00000000-0005-0000-0000-000021480000}"/>
    <cellStyle name="Comma 2 5 14 3" xfId="27310" xr:uid="{00000000-0005-0000-0000-000022480000}"/>
    <cellStyle name="Comma 2 5 14 3 2" xfId="41351" xr:uid="{00000000-0005-0000-0000-000023480000}"/>
    <cellStyle name="Comma 2 5 14 4" xfId="30645" xr:uid="{00000000-0005-0000-0000-000024480000}"/>
    <cellStyle name="Comma 2 5 14 5" xfId="34927" xr:uid="{00000000-0005-0000-0000-000025480000}"/>
    <cellStyle name="Comma 2 5 15" xfId="15674" xr:uid="{00000000-0005-0000-0000-000026480000}"/>
    <cellStyle name="Comma 2 5 15 2" xfId="24689" xr:uid="{00000000-0005-0000-0000-000027480000}"/>
    <cellStyle name="Comma 2 5 15 2 2" xfId="44118" xr:uid="{00000000-0005-0000-0000-000028480000}"/>
    <cellStyle name="Comma 2 5 15 2 3" xfId="37695" xr:uid="{00000000-0005-0000-0000-000029480000}"/>
    <cellStyle name="Comma 2 5 15 3" xfId="29010" xr:uid="{00000000-0005-0000-0000-00002A480000}"/>
    <cellStyle name="Comma 2 5 15 3 2" xfId="40911" xr:uid="{00000000-0005-0000-0000-00002B480000}"/>
    <cellStyle name="Comma 2 5 15 4" xfId="32345" xr:uid="{00000000-0005-0000-0000-00002C480000}"/>
    <cellStyle name="Comma 2 5 15 5" xfId="34487" xr:uid="{00000000-0005-0000-0000-00002D480000}"/>
    <cellStyle name="Comma 2 5 16" xfId="8492" xr:uid="{00000000-0005-0000-0000-00002E480000}"/>
    <cellStyle name="Comma 2 5 16 2" xfId="42421" xr:uid="{00000000-0005-0000-0000-00002F480000}"/>
    <cellStyle name="Comma 2 5 16 3" xfId="35997" xr:uid="{00000000-0005-0000-0000-000030480000}"/>
    <cellStyle name="Comma 2 5 17" xfId="21481" xr:uid="{00000000-0005-0000-0000-000031480000}"/>
    <cellStyle name="Comma 2 5 17 2" xfId="39214" xr:uid="{00000000-0005-0000-0000-000032480000}"/>
    <cellStyle name="Comma 2 5 18" xfId="22554" xr:uid="{00000000-0005-0000-0000-000033480000}"/>
    <cellStyle name="Comma 2 5 19" xfId="22992" xr:uid="{00000000-0005-0000-0000-000034480000}"/>
    <cellStyle name="Comma 2 5 2" xfId="270" xr:uid="{00000000-0005-0000-0000-000035480000}"/>
    <cellStyle name="Comma 2 5 2 10" xfId="1239" xr:uid="{00000000-0005-0000-0000-000036480000}"/>
    <cellStyle name="Comma 2 5 2 10 10" xfId="33463" xr:uid="{00000000-0005-0000-0000-000037480000}"/>
    <cellStyle name="Comma 2 5 2 10 2" xfId="10009" xr:uid="{00000000-0005-0000-0000-000038480000}"/>
    <cellStyle name="Comma 2 5 2 10 2 2" xfId="25809" xr:uid="{00000000-0005-0000-0000-000039480000}"/>
    <cellStyle name="Comma 2 5 2 10 2 2 2" xfId="45236" xr:uid="{00000000-0005-0000-0000-00003A480000}"/>
    <cellStyle name="Comma 2 5 2 10 2 2 3" xfId="38813" xr:uid="{00000000-0005-0000-0000-00003B480000}"/>
    <cellStyle name="Comma 2 5 2 10 2 3" xfId="27987" xr:uid="{00000000-0005-0000-0000-00003C480000}"/>
    <cellStyle name="Comma 2 5 2 10 2 3 2" xfId="42029" xr:uid="{00000000-0005-0000-0000-00003D480000}"/>
    <cellStyle name="Comma 2 5 2 10 2 4" xfId="31322" xr:uid="{00000000-0005-0000-0000-00003E480000}"/>
    <cellStyle name="Comma 2 5 2 10 2 5" xfId="35605" xr:uid="{00000000-0005-0000-0000-00003F480000}"/>
    <cellStyle name="Comma 2 5 2 10 3" xfId="15680" xr:uid="{00000000-0005-0000-0000-000040480000}"/>
    <cellStyle name="Comma 2 5 2 10 3 2" xfId="24695" xr:uid="{00000000-0005-0000-0000-000041480000}"/>
    <cellStyle name="Comma 2 5 2 10 3 2 2" xfId="44124" xr:uid="{00000000-0005-0000-0000-000042480000}"/>
    <cellStyle name="Comma 2 5 2 10 3 2 3" xfId="37701" xr:uid="{00000000-0005-0000-0000-000043480000}"/>
    <cellStyle name="Comma 2 5 2 10 3 3" xfId="29016" xr:uid="{00000000-0005-0000-0000-000044480000}"/>
    <cellStyle name="Comma 2 5 2 10 3 3 2" xfId="40917" xr:uid="{00000000-0005-0000-0000-000045480000}"/>
    <cellStyle name="Comma 2 5 2 10 3 4" xfId="32351" xr:uid="{00000000-0005-0000-0000-000046480000}"/>
    <cellStyle name="Comma 2 5 2 10 3 5" xfId="34493" xr:uid="{00000000-0005-0000-0000-000047480000}"/>
    <cellStyle name="Comma 2 5 2 10 4" xfId="8498" xr:uid="{00000000-0005-0000-0000-000048480000}"/>
    <cellStyle name="Comma 2 5 2 10 4 2" xfId="43094" xr:uid="{00000000-0005-0000-0000-000049480000}"/>
    <cellStyle name="Comma 2 5 2 10 4 3" xfId="36670" xr:uid="{00000000-0005-0000-0000-00004A480000}"/>
    <cellStyle name="Comma 2 5 2 10 5" xfId="21487" xr:uid="{00000000-0005-0000-0000-00004B480000}"/>
    <cellStyle name="Comma 2 5 2 10 5 2" xfId="39887" xr:uid="{00000000-0005-0000-0000-00004C480000}"/>
    <cellStyle name="Comma 2 5 2 10 6" xfId="22560" xr:uid="{00000000-0005-0000-0000-00004D480000}"/>
    <cellStyle name="Comma 2 5 2 10 7" xfId="23665" xr:uid="{00000000-0005-0000-0000-00004E480000}"/>
    <cellStyle name="Comma 2 5 2 10 8" xfId="26882" xr:uid="{00000000-0005-0000-0000-00004F480000}"/>
    <cellStyle name="Comma 2 5 2 10 9" xfId="30215" xr:uid="{00000000-0005-0000-0000-000050480000}"/>
    <cellStyle name="Comma 2 5 2 11" xfId="1240" xr:uid="{00000000-0005-0000-0000-000051480000}"/>
    <cellStyle name="Comma 2 5 2 11 10" xfId="33464" xr:uid="{00000000-0005-0000-0000-000052480000}"/>
    <cellStyle name="Comma 2 5 2 11 2" xfId="10010" xr:uid="{00000000-0005-0000-0000-000053480000}"/>
    <cellStyle name="Comma 2 5 2 11 2 2" xfId="25810" xr:uid="{00000000-0005-0000-0000-000054480000}"/>
    <cellStyle name="Comma 2 5 2 11 2 2 2" xfId="45237" xr:uid="{00000000-0005-0000-0000-000055480000}"/>
    <cellStyle name="Comma 2 5 2 11 2 2 3" xfId="38814" xr:uid="{00000000-0005-0000-0000-000056480000}"/>
    <cellStyle name="Comma 2 5 2 11 2 3" xfId="27988" xr:uid="{00000000-0005-0000-0000-000057480000}"/>
    <cellStyle name="Comma 2 5 2 11 2 3 2" xfId="42030" xr:uid="{00000000-0005-0000-0000-000058480000}"/>
    <cellStyle name="Comma 2 5 2 11 2 4" xfId="31323" xr:uid="{00000000-0005-0000-0000-000059480000}"/>
    <cellStyle name="Comma 2 5 2 11 2 5" xfId="35606" xr:uid="{00000000-0005-0000-0000-00005A480000}"/>
    <cellStyle name="Comma 2 5 2 11 3" xfId="15681" xr:uid="{00000000-0005-0000-0000-00005B480000}"/>
    <cellStyle name="Comma 2 5 2 11 3 2" xfId="24696" xr:uid="{00000000-0005-0000-0000-00005C480000}"/>
    <cellStyle name="Comma 2 5 2 11 3 2 2" xfId="44125" xr:uid="{00000000-0005-0000-0000-00005D480000}"/>
    <cellStyle name="Comma 2 5 2 11 3 2 3" xfId="37702" xr:uid="{00000000-0005-0000-0000-00005E480000}"/>
    <cellStyle name="Comma 2 5 2 11 3 3" xfId="29017" xr:uid="{00000000-0005-0000-0000-00005F480000}"/>
    <cellStyle name="Comma 2 5 2 11 3 3 2" xfId="40918" xr:uid="{00000000-0005-0000-0000-000060480000}"/>
    <cellStyle name="Comma 2 5 2 11 3 4" xfId="32352" xr:uid="{00000000-0005-0000-0000-000061480000}"/>
    <cellStyle name="Comma 2 5 2 11 3 5" xfId="34494" xr:uid="{00000000-0005-0000-0000-000062480000}"/>
    <cellStyle name="Comma 2 5 2 11 4" xfId="8499" xr:uid="{00000000-0005-0000-0000-000063480000}"/>
    <cellStyle name="Comma 2 5 2 11 4 2" xfId="43095" xr:uid="{00000000-0005-0000-0000-000064480000}"/>
    <cellStyle name="Comma 2 5 2 11 4 3" xfId="36671" xr:uid="{00000000-0005-0000-0000-000065480000}"/>
    <cellStyle name="Comma 2 5 2 11 5" xfId="21488" xr:uid="{00000000-0005-0000-0000-000066480000}"/>
    <cellStyle name="Comma 2 5 2 11 5 2" xfId="39888" xr:uid="{00000000-0005-0000-0000-000067480000}"/>
    <cellStyle name="Comma 2 5 2 11 6" xfId="22561" xr:uid="{00000000-0005-0000-0000-000068480000}"/>
    <cellStyle name="Comma 2 5 2 11 7" xfId="23666" xr:uid="{00000000-0005-0000-0000-000069480000}"/>
    <cellStyle name="Comma 2 5 2 11 8" xfId="26883" xr:uid="{00000000-0005-0000-0000-00006A480000}"/>
    <cellStyle name="Comma 2 5 2 11 9" xfId="30216" xr:uid="{00000000-0005-0000-0000-00006B480000}"/>
    <cellStyle name="Comma 2 5 2 12" xfId="1241" xr:uid="{00000000-0005-0000-0000-00006C480000}"/>
    <cellStyle name="Comma 2 5 2 12 10" xfId="33465" xr:uid="{00000000-0005-0000-0000-00006D480000}"/>
    <cellStyle name="Comma 2 5 2 12 2" xfId="10011" xr:uid="{00000000-0005-0000-0000-00006E480000}"/>
    <cellStyle name="Comma 2 5 2 12 2 2" xfId="25811" xr:uid="{00000000-0005-0000-0000-00006F480000}"/>
    <cellStyle name="Comma 2 5 2 12 2 2 2" xfId="45238" xr:uid="{00000000-0005-0000-0000-000070480000}"/>
    <cellStyle name="Comma 2 5 2 12 2 2 3" xfId="38815" xr:uid="{00000000-0005-0000-0000-000071480000}"/>
    <cellStyle name="Comma 2 5 2 12 2 3" xfId="27989" xr:uid="{00000000-0005-0000-0000-000072480000}"/>
    <cellStyle name="Comma 2 5 2 12 2 3 2" xfId="42031" xr:uid="{00000000-0005-0000-0000-000073480000}"/>
    <cellStyle name="Comma 2 5 2 12 2 4" xfId="31324" xr:uid="{00000000-0005-0000-0000-000074480000}"/>
    <cellStyle name="Comma 2 5 2 12 2 5" xfId="35607" xr:uid="{00000000-0005-0000-0000-000075480000}"/>
    <cellStyle name="Comma 2 5 2 12 3" xfId="15682" xr:uid="{00000000-0005-0000-0000-000076480000}"/>
    <cellStyle name="Comma 2 5 2 12 3 2" xfId="24697" xr:uid="{00000000-0005-0000-0000-000077480000}"/>
    <cellStyle name="Comma 2 5 2 12 3 2 2" xfId="44126" xr:uid="{00000000-0005-0000-0000-000078480000}"/>
    <cellStyle name="Comma 2 5 2 12 3 2 3" xfId="37703" xr:uid="{00000000-0005-0000-0000-000079480000}"/>
    <cellStyle name="Comma 2 5 2 12 3 3" xfId="29018" xr:uid="{00000000-0005-0000-0000-00007A480000}"/>
    <cellStyle name="Comma 2 5 2 12 3 3 2" xfId="40919" xr:uid="{00000000-0005-0000-0000-00007B480000}"/>
    <cellStyle name="Comma 2 5 2 12 3 4" xfId="32353" xr:uid="{00000000-0005-0000-0000-00007C480000}"/>
    <cellStyle name="Comma 2 5 2 12 3 5" xfId="34495" xr:uid="{00000000-0005-0000-0000-00007D480000}"/>
    <cellStyle name="Comma 2 5 2 12 4" xfId="8500" xr:uid="{00000000-0005-0000-0000-00007E480000}"/>
    <cellStyle name="Comma 2 5 2 12 4 2" xfId="43096" xr:uid="{00000000-0005-0000-0000-00007F480000}"/>
    <cellStyle name="Comma 2 5 2 12 4 3" xfId="36672" xr:uid="{00000000-0005-0000-0000-000080480000}"/>
    <cellStyle name="Comma 2 5 2 12 5" xfId="21489" xr:uid="{00000000-0005-0000-0000-000081480000}"/>
    <cellStyle name="Comma 2 5 2 12 5 2" xfId="39889" xr:uid="{00000000-0005-0000-0000-000082480000}"/>
    <cellStyle name="Comma 2 5 2 12 6" xfId="22562" xr:uid="{00000000-0005-0000-0000-000083480000}"/>
    <cellStyle name="Comma 2 5 2 12 7" xfId="23667" xr:uid="{00000000-0005-0000-0000-000084480000}"/>
    <cellStyle name="Comma 2 5 2 12 8" xfId="26884" xr:uid="{00000000-0005-0000-0000-000085480000}"/>
    <cellStyle name="Comma 2 5 2 12 9" xfId="30217" xr:uid="{00000000-0005-0000-0000-000086480000}"/>
    <cellStyle name="Comma 2 5 2 13" xfId="9126" xr:uid="{00000000-0005-0000-0000-000087480000}"/>
    <cellStyle name="Comma 2 5 2 13 2" xfId="25180" xr:uid="{00000000-0005-0000-0000-000088480000}"/>
    <cellStyle name="Comma 2 5 2 13 2 2" xfId="44607" xr:uid="{00000000-0005-0000-0000-000089480000}"/>
    <cellStyle name="Comma 2 5 2 13 2 3" xfId="38184" xr:uid="{00000000-0005-0000-0000-00008A480000}"/>
    <cellStyle name="Comma 2 5 2 13 3" xfId="27359" xr:uid="{00000000-0005-0000-0000-00008B480000}"/>
    <cellStyle name="Comma 2 5 2 13 3 2" xfId="41400" xr:uid="{00000000-0005-0000-0000-00008C480000}"/>
    <cellStyle name="Comma 2 5 2 13 4" xfId="30694" xr:uid="{00000000-0005-0000-0000-00008D480000}"/>
    <cellStyle name="Comma 2 5 2 13 5" xfId="34976" xr:uid="{00000000-0005-0000-0000-00008E480000}"/>
    <cellStyle name="Comma 2 5 2 14" xfId="15679" xr:uid="{00000000-0005-0000-0000-00008F480000}"/>
    <cellStyle name="Comma 2 5 2 14 2" xfId="24694" xr:uid="{00000000-0005-0000-0000-000090480000}"/>
    <cellStyle name="Comma 2 5 2 14 2 2" xfId="44123" xr:uid="{00000000-0005-0000-0000-000091480000}"/>
    <cellStyle name="Comma 2 5 2 14 2 3" xfId="37700" xr:uid="{00000000-0005-0000-0000-000092480000}"/>
    <cellStyle name="Comma 2 5 2 14 3" xfId="29015" xr:uid="{00000000-0005-0000-0000-000093480000}"/>
    <cellStyle name="Comma 2 5 2 14 3 2" xfId="40916" xr:uid="{00000000-0005-0000-0000-000094480000}"/>
    <cellStyle name="Comma 2 5 2 14 4" xfId="32350" xr:uid="{00000000-0005-0000-0000-000095480000}"/>
    <cellStyle name="Comma 2 5 2 14 5" xfId="34492" xr:uid="{00000000-0005-0000-0000-000096480000}"/>
    <cellStyle name="Comma 2 5 2 15" xfId="8497" xr:uid="{00000000-0005-0000-0000-000097480000}"/>
    <cellStyle name="Comma 2 5 2 15 2" xfId="42470" xr:uid="{00000000-0005-0000-0000-000098480000}"/>
    <cellStyle name="Comma 2 5 2 15 3" xfId="36046" xr:uid="{00000000-0005-0000-0000-000099480000}"/>
    <cellStyle name="Comma 2 5 2 16" xfId="21486" xr:uid="{00000000-0005-0000-0000-00009A480000}"/>
    <cellStyle name="Comma 2 5 2 16 2" xfId="39263" xr:uid="{00000000-0005-0000-0000-00009B480000}"/>
    <cellStyle name="Comma 2 5 2 17" xfId="22559" xr:uid="{00000000-0005-0000-0000-00009C480000}"/>
    <cellStyle name="Comma 2 5 2 18" xfId="23041" xr:uid="{00000000-0005-0000-0000-00009D480000}"/>
    <cellStyle name="Comma 2 5 2 19" xfId="26881" xr:uid="{00000000-0005-0000-0000-00009E480000}"/>
    <cellStyle name="Comma 2 5 2 2" xfId="178" xr:uid="{00000000-0005-0000-0000-00009F480000}"/>
    <cellStyle name="Comma 2 5 2 2 10" xfId="1242" xr:uid="{00000000-0005-0000-0000-0000A0480000}"/>
    <cellStyle name="Comma 2 5 2 2 10 10" xfId="33466" xr:uid="{00000000-0005-0000-0000-0000A1480000}"/>
    <cellStyle name="Comma 2 5 2 2 10 2" xfId="10012" xr:uid="{00000000-0005-0000-0000-0000A2480000}"/>
    <cellStyle name="Comma 2 5 2 2 10 2 2" xfId="25812" xr:uid="{00000000-0005-0000-0000-0000A3480000}"/>
    <cellStyle name="Comma 2 5 2 2 10 2 2 2" xfId="45239" xr:uid="{00000000-0005-0000-0000-0000A4480000}"/>
    <cellStyle name="Comma 2 5 2 2 10 2 2 3" xfId="38816" xr:uid="{00000000-0005-0000-0000-0000A5480000}"/>
    <cellStyle name="Comma 2 5 2 2 10 2 3" xfId="27990" xr:uid="{00000000-0005-0000-0000-0000A6480000}"/>
    <cellStyle name="Comma 2 5 2 2 10 2 3 2" xfId="42032" xr:uid="{00000000-0005-0000-0000-0000A7480000}"/>
    <cellStyle name="Comma 2 5 2 2 10 2 4" xfId="31325" xr:uid="{00000000-0005-0000-0000-0000A8480000}"/>
    <cellStyle name="Comma 2 5 2 2 10 2 5" xfId="35608" xr:uid="{00000000-0005-0000-0000-0000A9480000}"/>
    <cellStyle name="Comma 2 5 2 2 10 3" xfId="15684" xr:uid="{00000000-0005-0000-0000-0000AA480000}"/>
    <cellStyle name="Comma 2 5 2 2 10 3 2" xfId="24699" xr:uid="{00000000-0005-0000-0000-0000AB480000}"/>
    <cellStyle name="Comma 2 5 2 2 10 3 2 2" xfId="44128" xr:uid="{00000000-0005-0000-0000-0000AC480000}"/>
    <cellStyle name="Comma 2 5 2 2 10 3 2 3" xfId="37705" xr:uid="{00000000-0005-0000-0000-0000AD480000}"/>
    <cellStyle name="Comma 2 5 2 2 10 3 3" xfId="29020" xr:uid="{00000000-0005-0000-0000-0000AE480000}"/>
    <cellStyle name="Comma 2 5 2 2 10 3 3 2" xfId="40921" xr:uid="{00000000-0005-0000-0000-0000AF480000}"/>
    <cellStyle name="Comma 2 5 2 2 10 3 4" xfId="32355" xr:uid="{00000000-0005-0000-0000-0000B0480000}"/>
    <cellStyle name="Comma 2 5 2 2 10 3 5" xfId="34497" xr:uid="{00000000-0005-0000-0000-0000B1480000}"/>
    <cellStyle name="Comma 2 5 2 2 10 4" xfId="8502" xr:uid="{00000000-0005-0000-0000-0000B2480000}"/>
    <cellStyle name="Comma 2 5 2 2 10 4 2" xfId="43097" xr:uid="{00000000-0005-0000-0000-0000B3480000}"/>
    <cellStyle name="Comma 2 5 2 2 10 4 3" xfId="36673" xr:uid="{00000000-0005-0000-0000-0000B4480000}"/>
    <cellStyle name="Comma 2 5 2 2 10 5" xfId="21491" xr:uid="{00000000-0005-0000-0000-0000B5480000}"/>
    <cellStyle name="Comma 2 5 2 2 10 5 2" xfId="39890" xr:uid="{00000000-0005-0000-0000-0000B6480000}"/>
    <cellStyle name="Comma 2 5 2 2 10 6" xfId="22564" xr:uid="{00000000-0005-0000-0000-0000B7480000}"/>
    <cellStyle name="Comma 2 5 2 2 10 7" xfId="23668" xr:uid="{00000000-0005-0000-0000-0000B8480000}"/>
    <cellStyle name="Comma 2 5 2 2 10 8" xfId="26886" xr:uid="{00000000-0005-0000-0000-0000B9480000}"/>
    <cellStyle name="Comma 2 5 2 2 10 9" xfId="30219" xr:uid="{00000000-0005-0000-0000-0000BA480000}"/>
    <cellStyle name="Comma 2 5 2 2 11" xfId="1243" xr:uid="{00000000-0005-0000-0000-0000BB480000}"/>
    <cellStyle name="Comma 2 5 2 2 11 10" xfId="33467" xr:uid="{00000000-0005-0000-0000-0000BC480000}"/>
    <cellStyle name="Comma 2 5 2 2 11 2" xfId="10013" xr:uid="{00000000-0005-0000-0000-0000BD480000}"/>
    <cellStyle name="Comma 2 5 2 2 11 2 2" xfId="25813" xr:uid="{00000000-0005-0000-0000-0000BE480000}"/>
    <cellStyle name="Comma 2 5 2 2 11 2 2 2" xfId="45240" xr:uid="{00000000-0005-0000-0000-0000BF480000}"/>
    <cellStyle name="Comma 2 5 2 2 11 2 2 3" xfId="38817" xr:uid="{00000000-0005-0000-0000-0000C0480000}"/>
    <cellStyle name="Comma 2 5 2 2 11 2 3" xfId="27991" xr:uid="{00000000-0005-0000-0000-0000C1480000}"/>
    <cellStyle name="Comma 2 5 2 2 11 2 3 2" xfId="42033" xr:uid="{00000000-0005-0000-0000-0000C2480000}"/>
    <cellStyle name="Comma 2 5 2 2 11 2 4" xfId="31326" xr:uid="{00000000-0005-0000-0000-0000C3480000}"/>
    <cellStyle name="Comma 2 5 2 2 11 2 5" xfId="35609" xr:uid="{00000000-0005-0000-0000-0000C4480000}"/>
    <cellStyle name="Comma 2 5 2 2 11 3" xfId="15685" xr:uid="{00000000-0005-0000-0000-0000C5480000}"/>
    <cellStyle name="Comma 2 5 2 2 11 3 2" xfId="24700" xr:uid="{00000000-0005-0000-0000-0000C6480000}"/>
    <cellStyle name="Comma 2 5 2 2 11 3 2 2" xfId="44129" xr:uid="{00000000-0005-0000-0000-0000C7480000}"/>
    <cellStyle name="Comma 2 5 2 2 11 3 2 3" xfId="37706" xr:uid="{00000000-0005-0000-0000-0000C8480000}"/>
    <cellStyle name="Comma 2 5 2 2 11 3 3" xfId="29021" xr:uid="{00000000-0005-0000-0000-0000C9480000}"/>
    <cellStyle name="Comma 2 5 2 2 11 3 3 2" xfId="40922" xr:uid="{00000000-0005-0000-0000-0000CA480000}"/>
    <cellStyle name="Comma 2 5 2 2 11 3 4" xfId="32356" xr:uid="{00000000-0005-0000-0000-0000CB480000}"/>
    <cellStyle name="Comma 2 5 2 2 11 3 5" xfId="34498" xr:uid="{00000000-0005-0000-0000-0000CC480000}"/>
    <cellStyle name="Comma 2 5 2 2 11 4" xfId="8503" xr:uid="{00000000-0005-0000-0000-0000CD480000}"/>
    <cellStyle name="Comma 2 5 2 2 11 4 2" xfId="43098" xr:uid="{00000000-0005-0000-0000-0000CE480000}"/>
    <cellStyle name="Comma 2 5 2 2 11 4 3" xfId="36674" xr:uid="{00000000-0005-0000-0000-0000CF480000}"/>
    <cellStyle name="Comma 2 5 2 2 11 5" xfId="21492" xr:uid="{00000000-0005-0000-0000-0000D0480000}"/>
    <cellStyle name="Comma 2 5 2 2 11 5 2" xfId="39891" xr:uid="{00000000-0005-0000-0000-0000D1480000}"/>
    <cellStyle name="Comma 2 5 2 2 11 6" xfId="22565" xr:uid="{00000000-0005-0000-0000-0000D2480000}"/>
    <cellStyle name="Comma 2 5 2 2 11 7" xfId="23669" xr:uid="{00000000-0005-0000-0000-0000D3480000}"/>
    <cellStyle name="Comma 2 5 2 2 11 8" xfId="26887" xr:uid="{00000000-0005-0000-0000-0000D4480000}"/>
    <cellStyle name="Comma 2 5 2 2 11 9" xfId="30220" xr:uid="{00000000-0005-0000-0000-0000D5480000}"/>
    <cellStyle name="Comma 2 5 2 2 12" xfId="9061" xr:uid="{00000000-0005-0000-0000-0000D6480000}"/>
    <cellStyle name="Comma 2 5 2 2 12 2" xfId="25117" xr:uid="{00000000-0005-0000-0000-0000D7480000}"/>
    <cellStyle name="Comma 2 5 2 2 12 2 2" xfId="44544" xr:uid="{00000000-0005-0000-0000-0000D8480000}"/>
    <cellStyle name="Comma 2 5 2 2 12 2 3" xfId="38121" xr:uid="{00000000-0005-0000-0000-0000D9480000}"/>
    <cellStyle name="Comma 2 5 2 2 12 3" xfId="27296" xr:uid="{00000000-0005-0000-0000-0000DA480000}"/>
    <cellStyle name="Comma 2 5 2 2 12 3 2" xfId="41337" xr:uid="{00000000-0005-0000-0000-0000DB480000}"/>
    <cellStyle name="Comma 2 5 2 2 12 4" xfId="30631" xr:uid="{00000000-0005-0000-0000-0000DC480000}"/>
    <cellStyle name="Comma 2 5 2 2 12 5" xfId="34913" xr:uid="{00000000-0005-0000-0000-0000DD480000}"/>
    <cellStyle name="Comma 2 5 2 2 13" xfId="15683" xr:uid="{00000000-0005-0000-0000-0000DE480000}"/>
    <cellStyle name="Comma 2 5 2 2 13 2" xfId="24698" xr:uid="{00000000-0005-0000-0000-0000DF480000}"/>
    <cellStyle name="Comma 2 5 2 2 13 2 2" xfId="44127" xr:uid="{00000000-0005-0000-0000-0000E0480000}"/>
    <cellStyle name="Comma 2 5 2 2 13 2 3" xfId="37704" xr:uid="{00000000-0005-0000-0000-0000E1480000}"/>
    <cellStyle name="Comma 2 5 2 2 13 3" xfId="29019" xr:uid="{00000000-0005-0000-0000-0000E2480000}"/>
    <cellStyle name="Comma 2 5 2 2 13 3 2" xfId="40920" xr:uid="{00000000-0005-0000-0000-0000E3480000}"/>
    <cellStyle name="Comma 2 5 2 2 13 4" xfId="32354" xr:uid="{00000000-0005-0000-0000-0000E4480000}"/>
    <cellStyle name="Comma 2 5 2 2 13 5" xfId="34496" xr:uid="{00000000-0005-0000-0000-0000E5480000}"/>
    <cellStyle name="Comma 2 5 2 2 14" xfId="8501" xr:uid="{00000000-0005-0000-0000-0000E6480000}"/>
    <cellStyle name="Comma 2 5 2 2 14 2" xfId="42408" xr:uid="{00000000-0005-0000-0000-0000E7480000}"/>
    <cellStyle name="Comma 2 5 2 2 14 3" xfId="35984" xr:uid="{00000000-0005-0000-0000-0000E8480000}"/>
    <cellStyle name="Comma 2 5 2 2 15" xfId="21490" xr:uid="{00000000-0005-0000-0000-0000E9480000}"/>
    <cellStyle name="Comma 2 5 2 2 15 2" xfId="39201" xr:uid="{00000000-0005-0000-0000-0000EA480000}"/>
    <cellStyle name="Comma 2 5 2 2 16" xfId="22563" xr:uid="{00000000-0005-0000-0000-0000EB480000}"/>
    <cellStyle name="Comma 2 5 2 2 17" xfId="22979" xr:uid="{00000000-0005-0000-0000-0000EC480000}"/>
    <cellStyle name="Comma 2 5 2 2 18" xfId="26885" xr:uid="{00000000-0005-0000-0000-0000ED480000}"/>
    <cellStyle name="Comma 2 5 2 2 19" xfId="30218" xr:uid="{00000000-0005-0000-0000-0000EE480000}"/>
    <cellStyle name="Comma 2 5 2 2 2" xfId="271" xr:uid="{00000000-0005-0000-0000-0000EF480000}"/>
    <cellStyle name="Comma 2 5 2 2 2 10" xfId="1244" xr:uid="{00000000-0005-0000-0000-0000F0480000}"/>
    <cellStyle name="Comma 2 5 2 2 2 10 10" xfId="33468" xr:uid="{00000000-0005-0000-0000-0000F1480000}"/>
    <cellStyle name="Comma 2 5 2 2 2 10 2" xfId="10014" xr:uid="{00000000-0005-0000-0000-0000F2480000}"/>
    <cellStyle name="Comma 2 5 2 2 2 10 2 2" xfId="25814" xr:uid="{00000000-0005-0000-0000-0000F3480000}"/>
    <cellStyle name="Comma 2 5 2 2 2 10 2 2 2" xfId="45241" xr:uid="{00000000-0005-0000-0000-0000F4480000}"/>
    <cellStyle name="Comma 2 5 2 2 2 10 2 2 3" xfId="38818" xr:uid="{00000000-0005-0000-0000-0000F5480000}"/>
    <cellStyle name="Comma 2 5 2 2 2 10 2 3" xfId="27992" xr:uid="{00000000-0005-0000-0000-0000F6480000}"/>
    <cellStyle name="Comma 2 5 2 2 2 10 2 3 2" xfId="42034" xr:uid="{00000000-0005-0000-0000-0000F7480000}"/>
    <cellStyle name="Comma 2 5 2 2 2 10 2 4" xfId="31327" xr:uid="{00000000-0005-0000-0000-0000F8480000}"/>
    <cellStyle name="Comma 2 5 2 2 2 10 2 5" xfId="35610" xr:uid="{00000000-0005-0000-0000-0000F9480000}"/>
    <cellStyle name="Comma 2 5 2 2 2 10 3" xfId="15687" xr:uid="{00000000-0005-0000-0000-0000FA480000}"/>
    <cellStyle name="Comma 2 5 2 2 2 10 3 2" xfId="24702" xr:uid="{00000000-0005-0000-0000-0000FB480000}"/>
    <cellStyle name="Comma 2 5 2 2 2 10 3 2 2" xfId="44131" xr:uid="{00000000-0005-0000-0000-0000FC480000}"/>
    <cellStyle name="Comma 2 5 2 2 2 10 3 2 3" xfId="37708" xr:uid="{00000000-0005-0000-0000-0000FD480000}"/>
    <cellStyle name="Comma 2 5 2 2 2 10 3 3" xfId="29023" xr:uid="{00000000-0005-0000-0000-0000FE480000}"/>
    <cellStyle name="Comma 2 5 2 2 2 10 3 3 2" xfId="40924" xr:uid="{00000000-0005-0000-0000-0000FF480000}"/>
    <cellStyle name="Comma 2 5 2 2 2 10 3 4" xfId="32358" xr:uid="{00000000-0005-0000-0000-000000490000}"/>
    <cellStyle name="Comma 2 5 2 2 2 10 3 5" xfId="34500" xr:uid="{00000000-0005-0000-0000-000001490000}"/>
    <cellStyle name="Comma 2 5 2 2 2 10 4" xfId="8505" xr:uid="{00000000-0005-0000-0000-000002490000}"/>
    <cellStyle name="Comma 2 5 2 2 2 10 4 2" xfId="43099" xr:uid="{00000000-0005-0000-0000-000003490000}"/>
    <cellStyle name="Comma 2 5 2 2 2 10 4 3" xfId="36675" xr:uid="{00000000-0005-0000-0000-000004490000}"/>
    <cellStyle name="Comma 2 5 2 2 2 10 5" xfId="21494" xr:uid="{00000000-0005-0000-0000-000005490000}"/>
    <cellStyle name="Comma 2 5 2 2 2 10 5 2" xfId="39892" xr:uid="{00000000-0005-0000-0000-000006490000}"/>
    <cellStyle name="Comma 2 5 2 2 2 10 6" xfId="22567" xr:uid="{00000000-0005-0000-0000-000007490000}"/>
    <cellStyle name="Comma 2 5 2 2 2 10 7" xfId="23670" xr:uid="{00000000-0005-0000-0000-000008490000}"/>
    <cellStyle name="Comma 2 5 2 2 2 10 8" xfId="26889" xr:uid="{00000000-0005-0000-0000-000009490000}"/>
    <cellStyle name="Comma 2 5 2 2 2 10 9" xfId="30222" xr:uid="{00000000-0005-0000-0000-00000A490000}"/>
    <cellStyle name="Comma 2 5 2 2 2 11" xfId="9127" xr:uid="{00000000-0005-0000-0000-00000B490000}"/>
    <cellStyle name="Comma 2 5 2 2 2 11 2" xfId="25181" xr:uid="{00000000-0005-0000-0000-00000C490000}"/>
    <cellStyle name="Comma 2 5 2 2 2 11 2 2" xfId="44608" xr:uid="{00000000-0005-0000-0000-00000D490000}"/>
    <cellStyle name="Comma 2 5 2 2 2 11 2 3" xfId="38185" xr:uid="{00000000-0005-0000-0000-00000E490000}"/>
    <cellStyle name="Comma 2 5 2 2 2 11 3" xfId="27360" xr:uid="{00000000-0005-0000-0000-00000F490000}"/>
    <cellStyle name="Comma 2 5 2 2 2 11 3 2" xfId="41401" xr:uid="{00000000-0005-0000-0000-000010490000}"/>
    <cellStyle name="Comma 2 5 2 2 2 11 4" xfId="30695" xr:uid="{00000000-0005-0000-0000-000011490000}"/>
    <cellStyle name="Comma 2 5 2 2 2 11 5" xfId="34977" xr:uid="{00000000-0005-0000-0000-000012490000}"/>
    <cellStyle name="Comma 2 5 2 2 2 12" xfId="15686" xr:uid="{00000000-0005-0000-0000-000013490000}"/>
    <cellStyle name="Comma 2 5 2 2 2 12 2" xfId="24701" xr:uid="{00000000-0005-0000-0000-000014490000}"/>
    <cellStyle name="Comma 2 5 2 2 2 12 2 2" xfId="44130" xr:uid="{00000000-0005-0000-0000-000015490000}"/>
    <cellStyle name="Comma 2 5 2 2 2 12 2 3" xfId="37707" xr:uid="{00000000-0005-0000-0000-000016490000}"/>
    <cellStyle name="Comma 2 5 2 2 2 12 3" xfId="29022" xr:uid="{00000000-0005-0000-0000-000017490000}"/>
    <cellStyle name="Comma 2 5 2 2 2 12 3 2" xfId="40923" xr:uid="{00000000-0005-0000-0000-000018490000}"/>
    <cellStyle name="Comma 2 5 2 2 2 12 4" xfId="32357" xr:uid="{00000000-0005-0000-0000-000019490000}"/>
    <cellStyle name="Comma 2 5 2 2 2 12 5" xfId="34499" xr:uid="{00000000-0005-0000-0000-00001A490000}"/>
    <cellStyle name="Comma 2 5 2 2 2 13" xfId="8504" xr:uid="{00000000-0005-0000-0000-00001B490000}"/>
    <cellStyle name="Comma 2 5 2 2 2 13 2" xfId="42471" xr:uid="{00000000-0005-0000-0000-00001C490000}"/>
    <cellStyle name="Comma 2 5 2 2 2 13 3" xfId="36047" xr:uid="{00000000-0005-0000-0000-00001D490000}"/>
    <cellStyle name="Comma 2 5 2 2 2 14" xfId="21493" xr:uid="{00000000-0005-0000-0000-00001E490000}"/>
    <cellStyle name="Comma 2 5 2 2 2 14 2" xfId="39264" xr:uid="{00000000-0005-0000-0000-00001F490000}"/>
    <cellStyle name="Comma 2 5 2 2 2 15" xfId="22566" xr:uid="{00000000-0005-0000-0000-000020490000}"/>
    <cellStyle name="Comma 2 5 2 2 2 16" xfId="23042" xr:uid="{00000000-0005-0000-0000-000021490000}"/>
    <cellStyle name="Comma 2 5 2 2 2 17" xfId="26888" xr:uid="{00000000-0005-0000-0000-000022490000}"/>
    <cellStyle name="Comma 2 5 2 2 2 18" xfId="30221" xr:uid="{00000000-0005-0000-0000-000023490000}"/>
    <cellStyle name="Comma 2 5 2 2 2 19" xfId="32840" xr:uid="{00000000-0005-0000-0000-000024490000}"/>
    <cellStyle name="Comma 2 5 2 2 2 2" xfId="272" xr:uid="{00000000-0005-0000-0000-000025490000}"/>
    <cellStyle name="Comma 2 5 2 2 2 2 10" xfId="15688" xr:uid="{00000000-0005-0000-0000-000026490000}"/>
    <cellStyle name="Comma 2 5 2 2 2 2 10 2" xfId="24703" xr:uid="{00000000-0005-0000-0000-000027490000}"/>
    <cellStyle name="Comma 2 5 2 2 2 2 10 2 2" xfId="44132" xr:uid="{00000000-0005-0000-0000-000028490000}"/>
    <cellStyle name="Comma 2 5 2 2 2 2 10 2 3" xfId="37709" xr:uid="{00000000-0005-0000-0000-000029490000}"/>
    <cellStyle name="Comma 2 5 2 2 2 2 10 3" xfId="29024" xr:uid="{00000000-0005-0000-0000-00002A490000}"/>
    <cellStyle name="Comma 2 5 2 2 2 2 10 3 2" xfId="40925" xr:uid="{00000000-0005-0000-0000-00002B490000}"/>
    <cellStyle name="Comma 2 5 2 2 2 2 10 4" xfId="32359" xr:uid="{00000000-0005-0000-0000-00002C490000}"/>
    <cellStyle name="Comma 2 5 2 2 2 2 10 5" xfId="34501" xr:uid="{00000000-0005-0000-0000-00002D490000}"/>
    <cellStyle name="Comma 2 5 2 2 2 2 11" xfId="8506" xr:uid="{00000000-0005-0000-0000-00002E490000}"/>
    <cellStyle name="Comma 2 5 2 2 2 2 11 2" xfId="42472" xr:uid="{00000000-0005-0000-0000-00002F490000}"/>
    <cellStyle name="Comma 2 5 2 2 2 2 11 3" xfId="36048" xr:uid="{00000000-0005-0000-0000-000030490000}"/>
    <cellStyle name="Comma 2 5 2 2 2 2 12" xfId="21495" xr:uid="{00000000-0005-0000-0000-000031490000}"/>
    <cellStyle name="Comma 2 5 2 2 2 2 12 2" xfId="39265" xr:uid="{00000000-0005-0000-0000-000032490000}"/>
    <cellStyle name="Comma 2 5 2 2 2 2 13" xfId="22568" xr:uid="{00000000-0005-0000-0000-000033490000}"/>
    <cellStyle name="Comma 2 5 2 2 2 2 14" xfId="23043" xr:uid="{00000000-0005-0000-0000-000034490000}"/>
    <cellStyle name="Comma 2 5 2 2 2 2 15" xfId="26890" xr:uid="{00000000-0005-0000-0000-000035490000}"/>
    <cellStyle name="Comma 2 5 2 2 2 2 16" xfId="30223" xr:uid="{00000000-0005-0000-0000-000036490000}"/>
    <cellStyle name="Comma 2 5 2 2 2 2 17" xfId="32841" xr:uid="{00000000-0005-0000-0000-000037490000}"/>
    <cellStyle name="Comma 2 5 2 2 2 2 2" xfId="273" xr:uid="{00000000-0005-0000-0000-000038490000}"/>
    <cellStyle name="Comma 2 5 2 2 2 2 2 10" xfId="21496" xr:uid="{00000000-0005-0000-0000-000039490000}"/>
    <cellStyle name="Comma 2 5 2 2 2 2 2 10 2" xfId="39266" xr:uid="{00000000-0005-0000-0000-00003A490000}"/>
    <cellStyle name="Comma 2 5 2 2 2 2 2 11" xfId="22569" xr:uid="{00000000-0005-0000-0000-00003B490000}"/>
    <cellStyle name="Comma 2 5 2 2 2 2 2 12" xfId="23044" xr:uid="{00000000-0005-0000-0000-00003C490000}"/>
    <cellStyle name="Comma 2 5 2 2 2 2 2 13" xfId="26891" xr:uid="{00000000-0005-0000-0000-00003D490000}"/>
    <cellStyle name="Comma 2 5 2 2 2 2 2 14" xfId="30224" xr:uid="{00000000-0005-0000-0000-00003E490000}"/>
    <cellStyle name="Comma 2 5 2 2 2 2 2 15" xfId="32842" xr:uid="{00000000-0005-0000-0000-00003F490000}"/>
    <cellStyle name="Comma 2 5 2 2 2 2 2 2" xfId="1245" xr:uid="{00000000-0005-0000-0000-000040490000}"/>
    <cellStyle name="Comma 2 5 2 2 2 2 2 2 10" xfId="33469" xr:uid="{00000000-0005-0000-0000-000041490000}"/>
    <cellStyle name="Comma 2 5 2 2 2 2 2 2 2" xfId="10015" xr:uid="{00000000-0005-0000-0000-000042490000}"/>
    <cellStyle name="Comma 2 5 2 2 2 2 2 2 2 2" xfId="25815" xr:uid="{00000000-0005-0000-0000-000043490000}"/>
    <cellStyle name="Comma 2 5 2 2 2 2 2 2 2 2 2" xfId="45242" xr:uid="{00000000-0005-0000-0000-000044490000}"/>
    <cellStyle name="Comma 2 5 2 2 2 2 2 2 2 2 3" xfId="38819" xr:uid="{00000000-0005-0000-0000-000045490000}"/>
    <cellStyle name="Comma 2 5 2 2 2 2 2 2 2 3" xfId="27993" xr:uid="{00000000-0005-0000-0000-000046490000}"/>
    <cellStyle name="Comma 2 5 2 2 2 2 2 2 2 3 2" xfId="42035" xr:uid="{00000000-0005-0000-0000-000047490000}"/>
    <cellStyle name="Comma 2 5 2 2 2 2 2 2 2 4" xfId="31328" xr:uid="{00000000-0005-0000-0000-000048490000}"/>
    <cellStyle name="Comma 2 5 2 2 2 2 2 2 2 5" xfId="35611" xr:uid="{00000000-0005-0000-0000-000049490000}"/>
    <cellStyle name="Comma 2 5 2 2 2 2 2 2 3" xfId="15690" xr:uid="{00000000-0005-0000-0000-00004A490000}"/>
    <cellStyle name="Comma 2 5 2 2 2 2 2 2 3 2" xfId="24705" xr:uid="{00000000-0005-0000-0000-00004B490000}"/>
    <cellStyle name="Comma 2 5 2 2 2 2 2 2 3 2 2" xfId="44134" xr:uid="{00000000-0005-0000-0000-00004C490000}"/>
    <cellStyle name="Comma 2 5 2 2 2 2 2 2 3 2 3" xfId="37711" xr:uid="{00000000-0005-0000-0000-00004D490000}"/>
    <cellStyle name="Comma 2 5 2 2 2 2 2 2 3 3" xfId="29026" xr:uid="{00000000-0005-0000-0000-00004E490000}"/>
    <cellStyle name="Comma 2 5 2 2 2 2 2 2 3 3 2" xfId="40927" xr:uid="{00000000-0005-0000-0000-00004F490000}"/>
    <cellStyle name="Comma 2 5 2 2 2 2 2 2 3 4" xfId="32361" xr:uid="{00000000-0005-0000-0000-000050490000}"/>
    <cellStyle name="Comma 2 5 2 2 2 2 2 2 3 5" xfId="34503" xr:uid="{00000000-0005-0000-0000-000051490000}"/>
    <cellStyle name="Comma 2 5 2 2 2 2 2 2 4" xfId="8508" xr:uid="{00000000-0005-0000-0000-000052490000}"/>
    <cellStyle name="Comma 2 5 2 2 2 2 2 2 4 2" xfId="43100" xr:uid="{00000000-0005-0000-0000-000053490000}"/>
    <cellStyle name="Comma 2 5 2 2 2 2 2 2 4 3" xfId="36676" xr:uid="{00000000-0005-0000-0000-000054490000}"/>
    <cellStyle name="Comma 2 5 2 2 2 2 2 2 5" xfId="21497" xr:uid="{00000000-0005-0000-0000-000055490000}"/>
    <cellStyle name="Comma 2 5 2 2 2 2 2 2 5 2" xfId="39893" xr:uid="{00000000-0005-0000-0000-000056490000}"/>
    <cellStyle name="Comma 2 5 2 2 2 2 2 2 6" xfId="22570" xr:uid="{00000000-0005-0000-0000-000057490000}"/>
    <cellStyle name="Comma 2 5 2 2 2 2 2 2 7" xfId="23671" xr:uid="{00000000-0005-0000-0000-000058490000}"/>
    <cellStyle name="Comma 2 5 2 2 2 2 2 2 8" xfId="26892" xr:uid="{00000000-0005-0000-0000-000059490000}"/>
    <cellStyle name="Comma 2 5 2 2 2 2 2 2 9" xfId="30225" xr:uid="{00000000-0005-0000-0000-00005A490000}"/>
    <cellStyle name="Comma 2 5 2 2 2 2 2 3" xfId="1246" xr:uid="{00000000-0005-0000-0000-00005B490000}"/>
    <cellStyle name="Comma 2 5 2 2 2 2 2 3 10" xfId="33470" xr:uid="{00000000-0005-0000-0000-00005C490000}"/>
    <cellStyle name="Comma 2 5 2 2 2 2 2 3 2" xfId="10016" xr:uid="{00000000-0005-0000-0000-00005D490000}"/>
    <cellStyle name="Comma 2 5 2 2 2 2 2 3 2 2" xfId="25816" xr:uid="{00000000-0005-0000-0000-00005E490000}"/>
    <cellStyle name="Comma 2 5 2 2 2 2 2 3 2 2 2" xfId="45243" xr:uid="{00000000-0005-0000-0000-00005F490000}"/>
    <cellStyle name="Comma 2 5 2 2 2 2 2 3 2 2 3" xfId="38820" xr:uid="{00000000-0005-0000-0000-000060490000}"/>
    <cellStyle name="Comma 2 5 2 2 2 2 2 3 2 3" xfId="27994" xr:uid="{00000000-0005-0000-0000-000061490000}"/>
    <cellStyle name="Comma 2 5 2 2 2 2 2 3 2 3 2" xfId="42036" xr:uid="{00000000-0005-0000-0000-000062490000}"/>
    <cellStyle name="Comma 2 5 2 2 2 2 2 3 2 4" xfId="31329" xr:uid="{00000000-0005-0000-0000-000063490000}"/>
    <cellStyle name="Comma 2 5 2 2 2 2 2 3 2 5" xfId="35612" xr:uid="{00000000-0005-0000-0000-000064490000}"/>
    <cellStyle name="Comma 2 5 2 2 2 2 2 3 3" xfId="15691" xr:uid="{00000000-0005-0000-0000-000065490000}"/>
    <cellStyle name="Comma 2 5 2 2 2 2 2 3 3 2" xfId="24706" xr:uid="{00000000-0005-0000-0000-000066490000}"/>
    <cellStyle name="Comma 2 5 2 2 2 2 2 3 3 2 2" xfId="44135" xr:uid="{00000000-0005-0000-0000-000067490000}"/>
    <cellStyle name="Comma 2 5 2 2 2 2 2 3 3 2 3" xfId="37712" xr:uid="{00000000-0005-0000-0000-000068490000}"/>
    <cellStyle name="Comma 2 5 2 2 2 2 2 3 3 3" xfId="29027" xr:uid="{00000000-0005-0000-0000-000069490000}"/>
    <cellStyle name="Comma 2 5 2 2 2 2 2 3 3 3 2" xfId="40928" xr:uid="{00000000-0005-0000-0000-00006A490000}"/>
    <cellStyle name="Comma 2 5 2 2 2 2 2 3 3 4" xfId="32362" xr:uid="{00000000-0005-0000-0000-00006B490000}"/>
    <cellStyle name="Comma 2 5 2 2 2 2 2 3 3 5" xfId="34504" xr:uid="{00000000-0005-0000-0000-00006C490000}"/>
    <cellStyle name="Comma 2 5 2 2 2 2 2 3 4" xfId="8509" xr:uid="{00000000-0005-0000-0000-00006D490000}"/>
    <cellStyle name="Comma 2 5 2 2 2 2 2 3 4 2" xfId="43101" xr:uid="{00000000-0005-0000-0000-00006E490000}"/>
    <cellStyle name="Comma 2 5 2 2 2 2 2 3 4 3" xfId="36677" xr:uid="{00000000-0005-0000-0000-00006F490000}"/>
    <cellStyle name="Comma 2 5 2 2 2 2 2 3 5" xfId="21498" xr:uid="{00000000-0005-0000-0000-000070490000}"/>
    <cellStyle name="Comma 2 5 2 2 2 2 2 3 5 2" xfId="39894" xr:uid="{00000000-0005-0000-0000-000071490000}"/>
    <cellStyle name="Comma 2 5 2 2 2 2 2 3 6" xfId="22571" xr:uid="{00000000-0005-0000-0000-000072490000}"/>
    <cellStyle name="Comma 2 5 2 2 2 2 2 3 7" xfId="23672" xr:uid="{00000000-0005-0000-0000-000073490000}"/>
    <cellStyle name="Comma 2 5 2 2 2 2 2 3 8" xfId="26893" xr:uid="{00000000-0005-0000-0000-000074490000}"/>
    <cellStyle name="Comma 2 5 2 2 2 2 2 3 9" xfId="30226" xr:uid="{00000000-0005-0000-0000-000075490000}"/>
    <cellStyle name="Comma 2 5 2 2 2 2 2 4" xfId="1247" xr:uid="{00000000-0005-0000-0000-000076490000}"/>
    <cellStyle name="Comma 2 5 2 2 2 2 2 4 10" xfId="33471" xr:uid="{00000000-0005-0000-0000-000077490000}"/>
    <cellStyle name="Comma 2 5 2 2 2 2 2 4 2" xfId="10017" xr:uid="{00000000-0005-0000-0000-000078490000}"/>
    <cellStyle name="Comma 2 5 2 2 2 2 2 4 2 2" xfId="25817" xr:uid="{00000000-0005-0000-0000-000079490000}"/>
    <cellStyle name="Comma 2 5 2 2 2 2 2 4 2 2 2" xfId="45244" xr:uid="{00000000-0005-0000-0000-00007A490000}"/>
    <cellStyle name="Comma 2 5 2 2 2 2 2 4 2 2 3" xfId="38821" xr:uid="{00000000-0005-0000-0000-00007B490000}"/>
    <cellStyle name="Comma 2 5 2 2 2 2 2 4 2 3" xfId="27995" xr:uid="{00000000-0005-0000-0000-00007C490000}"/>
    <cellStyle name="Comma 2 5 2 2 2 2 2 4 2 3 2" xfId="42037" xr:uid="{00000000-0005-0000-0000-00007D490000}"/>
    <cellStyle name="Comma 2 5 2 2 2 2 2 4 2 4" xfId="31330" xr:uid="{00000000-0005-0000-0000-00007E490000}"/>
    <cellStyle name="Comma 2 5 2 2 2 2 2 4 2 5" xfId="35613" xr:uid="{00000000-0005-0000-0000-00007F490000}"/>
    <cellStyle name="Comma 2 5 2 2 2 2 2 4 3" xfId="15692" xr:uid="{00000000-0005-0000-0000-000080490000}"/>
    <cellStyle name="Comma 2 5 2 2 2 2 2 4 3 2" xfId="24707" xr:uid="{00000000-0005-0000-0000-000081490000}"/>
    <cellStyle name="Comma 2 5 2 2 2 2 2 4 3 2 2" xfId="44136" xr:uid="{00000000-0005-0000-0000-000082490000}"/>
    <cellStyle name="Comma 2 5 2 2 2 2 2 4 3 2 3" xfId="37713" xr:uid="{00000000-0005-0000-0000-000083490000}"/>
    <cellStyle name="Comma 2 5 2 2 2 2 2 4 3 3" xfId="29028" xr:uid="{00000000-0005-0000-0000-000084490000}"/>
    <cellStyle name="Comma 2 5 2 2 2 2 2 4 3 3 2" xfId="40929" xr:uid="{00000000-0005-0000-0000-000085490000}"/>
    <cellStyle name="Comma 2 5 2 2 2 2 2 4 3 4" xfId="32363" xr:uid="{00000000-0005-0000-0000-000086490000}"/>
    <cellStyle name="Comma 2 5 2 2 2 2 2 4 3 5" xfId="34505" xr:uid="{00000000-0005-0000-0000-000087490000}"/>
    <cellStyle name="Comma 2 5 2 2 2 2 2 4 4" xfId="8510" xr:uid="{00000000-0005-0000-0000-000088490000}"/>
    <cellStyle name="Comma 2 5 2 2 2 2 2 4 4 2" xfId="43102" xr:uid="{00000000-0005-0000-0000-000089490000}"/>
    <cellStyle name="Comma 2 5 2 2 2 2 2 4 4 3" xfId="36678" xr:uid="{00000000-0005-0000-0000-00008A490000}"/>
    <cellStyle name="Comma 2 5 2 2 2 2 2 4 5" xfId="21499" xr:uid="{00000000-0005-0000-0000-00008B490000}"/>
    <cellStyle name="Comma 2 5 2 2 2 2 2 4 5 2" xfId="39895" xr:uid="{00000000-0005-0000-0000-00008C490000}"/>
    <cellStyle name="Comma 2 5 2 2 2 2 2 4 6" xfId="22572" xr:uid="{00000000-0005-0000-0000-00008D490000}"/>
    <cellStyle name="Comma 2 5 2 2 2 2 2 4 7" xfId="23673" xr:uid="{00000000-0005-0000-0000-00008E490000}"/>
    <cellStyle name="Comma 2 5 2 2 2 2 2 4 8" xfId="26894" xr:uid="{00000000-0005-0000-0000-00008F490000}"/>
    <cellStyle name="Comma 2 5 2 2 2 2 2 4 9" xfId="30227" xr:uid="{00000000-0005-0000-0000-000090490000}"/>
    <cellStyle name="Comma 2 5 2 2 2 2 2 5" xfId="1248" xr:uid="{00000000-0005-0000-0000-000091490000}"/>
    <cellStyle name="Comma 2 5 2 2 2 2 2 5 10" xfId="33472" xr:uid="{00000000-0005-0000-0000-000092490000}"/>
    <cellStyle name="Comma 2 5 2 2 2 2 2 5 2" xfId="10018" xr:uid="{00000000-0005-0000-0000-000093490000}"/>
    <cellStyle name="Comma 2 5 2 2 2 2 2 5 2 2" xfId="25818" xr:uid="{00000000-0005-0000-0000-000094490000}"/>
    <cellStyle name="Comma 2 5 2 2 2 2 2 5 2 2 2" xfId="45245" xr:uid="{00000000-0005-0000-0000-000095490000}"/>
    <cellStyle name="Comma 2 5 2 2 2 2 2 5 2 2 3" xfId="38822" xr:uid="{00000000-0005-0000-0000-000096490000}"/>
    <cellStyle name="Comma 2 5 2 2 2 2 2 5 2 3" xfId="27996" xr:uid="{00000000-0005-0000-0000-000097490000}"/>
    <cellStyle name="Comma 2 5 2 2 2 2 2 5 2 3 2" xfId="42038" xr:uid="{00000000-0005-0000-0000-000098490000}"/>
    <cellStyle name="Comma 2 5 2 2 2 2 2 5 2 4" xfId="31331" xr:uid="{00000000-0005-0000-0000-000099490000}"/>
    <cellStyle name="Comma 2 5 2 2 2 2 2 5 2 5" xfId="35614" xr:uid="{00000000-0005-0000-0000-00009A490000}"/>
    <cellStyle name="Comma 2 5 2 2 2 2 2 5 3" xfId="15693" xr:uid="{00000000-0005-0000-0000-00009B490000}"/>
    <cellStyle name="Comma 2 5 2 2 2 2 2 5 3 2" xfId="24708" xr:uid="{00000000-0005-0000-0000-00009C490000}"/>
    <cellStyle name="Comma 2 5 2 2 2 2 2 5 3 2 2" xfId="44137" xr:uid="{00000000-0005-0000-0000-00009D490000}"/>
    <cellStyle name="Comma 2 5 2 2 2 2 2 5 3 2 3" xfId="37714" xr:uid="{00000000-0005-0000-0000-00009E490000}"/>
    <cellStyle name="Comma 2 5 2 2 2 2 2 5 3 3" xfId="29029" xr:uid="{00000000-0005-0000-0000-00009F490000}"/>
    <cellStyle name="Comma 2 5 2 2 2 2 2 5 3 3 2" xfId="40930" xr:uid="{00000000-0005-0000-0000-0000A0490000}"/>
    <cellStyle name="Comma 2 5 2 2 2 2 2 5 3 4" xfId="32364" xr:uid="{00000000-0005-0000-0000-0000A1490000}"/>
    <cellStyle name="Comma 2 5 2 2 2 2 2 5 3 5" xfId="34506" xr:uid="{00000000-0005-0000-0000-0000A2490000}"/>
    <cellStyle name="Comma 2 5 2 2 2 2 2 5 4" xfId="8511" xr:uid="{00000000-0005-0000-0000-0000A3490000}"/>
    <cellStyle name="Comma 2 5 2 2 2 2 2 5 4 2" xfId="43103" xr:uid="{00000000-0005-0000-0000-0000A4490000}"/>
    <cellStyle name="Comma 2 5 2 2 2 2 2 5 4 3" xfId="36679" xr:uid="{00000000-0005-0000-0000-0000A5490000}"/>
    <cellStyle name="Comma 2 5 2 2 2 2 2 5 5" xfId="21500" xr:uid="{00000000-0005-0000-0000-0000A6490000}"/>
    <cellStyle name="Comma 2 5 2 2 2 2 2 5 5 2" xfId="39896" xr:uid="{00000000-0005-0000-0000-0000A7490000}"/>
    <cellStyle name="Comma 2 5 2 2 2 2 2 5 6" xfId="22573" xr:uid="{00000000-0005-0000-0000-0000A8490000}"/>
    <cellStyle name="Comma 2 5 2 2 2 2 2 5 7" xfId="23674" xr:uid="{00000000-0005-0000-0000-0000A9490000}"/>
    <cellStyle name="Comma 2 5 2 2 2 2 2 5 8" xfId="26895" xr:uid="{00000000-0005-0000-0000-0000AA490000}"/>
    <cellStyle name="Comma 2 5 2 2 2 2 2 5 9" xfId="30228" xr:uid="{00000000-0005-0000-0000-0000AB490000}"/>
    <cellStyle name="Comma 2 5 2 2 2 2 2 6" xfId="1249" xr:uid="{00000000-0005-0000-0000-0000AC490000}"/>
    <cellStyle name="Comma 2 5 2 2 2 2 2 6 10" xfId="33473" xr:uid="{00000000-0005-0000-0000-0000AD490000}"/>
    <cellStyle name="Comma 2 5 2 2 2 2 2 6 2" xfId="10019" xr:uid="{00000000-0005-0000-0000-0000AE490000}"/>
    <cellStyle name="Comma 2 5 2 2 2 2 2 6 2 2" xfId="25819" xr:uid="{00000000-0005-0000-0000-0000AF490000}"/>
    <cellStyle name="Comma 2 5 2 2 2 2 2 6 2 2 2" xfId="45246" xr:uid="{00000000-0005-0000-0000-0000B0490000}"/>
    <cellStyle name="Comma 2 5 2 2 2 2 2 6 2 2 3" xfId="38823" xr:uid="{00000000-0005-0000-0000-0000B1490000}"/>
    <cellStyle name="Comma 2 5 2 2 2 2 2 6 2 3" xfId="27997" xr:uid="{00000000-0005-0000-0000-0000B2490000}"/>
    <cellStyle name="Comma 2 5 2 2 2 2 2 6 2 3 2" xfId="42039" xr:uid="{00000000-0005-0000-0000-0000B3490000}"/>
    <cellStyle name="Comma 2 5 2 2 2 2 2 6 2 4" xfId="31332" xr:uid="{00000000-0005-0000-0000-0000B4490000}"/>
    <cellStyle name="Comma 2 5 2 2 2 2 2 6 2 5" xfId="35615" xr:uid="{00000000-0005-0000-0000-0000B5490000}"/>
    <cellStyle name="Comma 2 5 2 2 2 2 2 6 3" xfId="15694" xr:uid="{00000000-0005-0000-0000-0000B6490000}"/>
    <cellStyle name="Comma 2 5 2 2 2 2 2 6 3 2" xfId="24709" xr:uid="{00000000-0005-0000-0000-0000B7490000}"/>
    <cellStyle name="Comma 2 5 2 2 2 2 2 6 3 2 2" xfId="44138" xr:uid="{00000000-0005-0000-0000-0000B8490000}"/>
    <cellStyle name="Comma 2 5 2 2 2 2 2 6 3 2 3" xfId="37715" xr:uid="{00000000-0005-0000-0000-0000B9490000}"/>
    <cellStyle name="Comma 2 5 2 2 2 2 2 6 3 3" xfId="29030" xr:uid="{00000000-0005-0000-0000-0000BA490000}"/>
    <cellStyle name="Comma 2 5 2 2 2 2 2 6 3 3 2" xfId="40931" xr:uid="{00000000-0005-0000-0000-0000BB490000}"/>
    <cellStyle name="Comma 2 5 2 2 2 2 2 6 3 4" xfId="32365" xr:uid="{00000000-0005-0000-0000-0000BC490000}"/>
    <cellStyle name="Comma 2 5 2 2 2 2 2 6 3 5" xfId="34507" xr:uid="{00000000-0005-0000-0000-0000BD490000}"/>
    <cellStyle name="Comma 2 5 2 2 2 2 2 6 4" xfId="8512" xr:uid="{00000000-0005-0000-0000-0000BE490000}"/>
    <cellStyle name="Comma 2 5 2 2 2 2 2 6 4 2" xfId="43104" xr:uid="{00000000-0005-0000-0000-0000BF490000}"/>
    <cellStyle name="Comma 2 5 2 2 2 2 2 6 4 3" xfId="36680" xr:uid="{00000000-0005-0000-0000-0000C0490000}"/>
    <cellStyle name="Comma 2 5 2 2 2 2 2 6 5" xfId="21501" xr:uid="{00000000-0005-0000-0000-0000C1490000}"/>
    <cellStyle name="Comma 2 5 2 2 2 2 2 6 5 2" xfId="39897" xr:uid="{00000000-0005-0000-0000-0000C2490000}"/>
    <cellStyle name="Comma 2 5 2 2 2 2 2 6 6" xfId="22574" xr:uid="{00000000-0005-0000-0000-0000C3490000}"/>
    <cellStyle name="Comma 2 5 2 2 2 2 2 6 7" xfId="23675" xr:uid="{00000000-0005-0000-0000-0000C4490000}"/>
    <cellStyle name="Comma 2 5 2 2 2 2 2 6 8" xfId="26896" xr:uid="{00000000-0005-0000-0000-0000C5490000}"/>
    <cellStyle name="Comma 2 5 2 2 2 2 2 6 9" xfId="30229" xr:uid="{00000000-0005-0000-0000-0000C6490000}"/>
    <cellStyle name="Comma 2 5 2 2 2 2 2 7" xfId="9129" xr:uid="{00000000-0005-0000-0000-0000C7490000}"/>
    <cellStyle name="Comma 2 5 2 2 2 2 2 7 2" xfId="25183" xr:uid="{00000000-0005-0000-0000-0000C8490000}"/>
    <cellStyle name="Comma 2 5 2 2 2 2 2 7 2 2" xfId="44610" xr:uid="{00000000-0005-0000-0000-0000C9490000}"/>
    <cellStyle name="Comma 2 5 2 2 2 2 2 7 2 3" xfId="38187" xr:uid="{00000000-0005-0000-0000-0000CA490000}"/>
    <cellStyle name="Comma 2 5 2 2 2 2 2 7 3" xfId="27362" xr:uid="{00000000-0005-0000-0000-0000CB490000}"/>
    <cellStyle name="Comma 2 5 2 2 2 2 2 7 3 2" xfId="41403" xr:uid="{00000000-0005-0000-0000-0000CC490000}"/>
    <cellStyle name="Comma 2 5 2 2 2 2 2 7 4" xfId="30697" xr:uid="{00000000-0005-0000-0000-0000CD490000}"/>
    <cellStyle name="Comma 2 5 2 2 2 2 2 7 5" xfId="34979" xr:uid="{00000000-0005-0000-0000-0000CE490000}"/>
    <cellStyle name="Comma 2 5 2 2 2 2 2 8" xfId="15689" xr:uid="{00000000-0005-0000-0000-0000CF490000}"/>
    <cellStyle name="Comma 2 5 2 2 2 2 2 8 2" xfId="24704" xr:uid="{00000000-0005-0000-0000-0000D0490000}"/>
    <cellStyle name="Comma 2 5 2 2 2 2 2 8 2 2" xfId="44133" xr:uid="{00000000-0005-0000-0000-0000D1490000}"/>
    <cellStyle name="Comma 2 5 2 2 2 2 2 8 2 3" xfId="37710" xr:uid="{00000000-0005-0000-0000-0000D2490000}"/>
    <cellStyle name="Comma 2 5 2 2 2 2 2 8 3" xfId="29025" xr:uid="{00000000-0005-0000-0000-0000D3490000}"/>
    <cellStyle name="Comma 2 5 2 2 2 2 2 8 3 2" xfId="40926" xr:uid="{00000000-0005-0000-0000-0000D4490000}"/>
    <cellStyle name="Comma 2 5 2 2 2 2 2 8 4" xfId="32360" xr:uid="{00000000-0005-0000-0000-0000D5490000}"/>
    <cellStyle name="Comma 2 5 2 2 2 2 2 8 5" xfId="34502" xr:uid="{00000000-0005-0000-0000-0000D6490000}"/>
    <cellStyle name="Comma 2 5 2 2 2 2 2 9" xfId="8507" xr:uid="{00000000-0005-0000-0000-0000D7490000}"/>
    <cellStyle name="Comma 2 5 2 2 2 2 2 9 2" xfId="42473" xr:uid="{00000000-0005-0000-0000-0000D8490000}"/>
    <cellStyle name="Comma 2 5 2 2 2 2 2 9 3" xfId="36049" xr:uid="{00000000-0005-0000-0000-0000D9490000}"/>
    <cellStyle name="Comma 2 5 2 2 2 2 3" xfId="1250" xr:uid="{00000000-0005-0000-0000-0000DA490000}"/>
    <cellStyle name="Comma 2 5 2 2 2 2 3 10" xfId="22575" xr:uid="{00000000-0005-0000-0000-0000DB490000}"/>
    <cellStyle name="Comma 2 5 2 2 2 2 3 11" xfId="23676" xr:uid="{00000000-0005-0000-0000-0000DC490000}"/>
    <cellStyle name="Comma 2 5 2 2 2 2 3 12" xfId="26897" xr:uid="{00000000-0005-0000-0000-0000DD490000}"/>
    <cellStyle name="Comma 2 5 2 2 2 2 3 13" xfId="30230" xr:uid="{00000000-0005-0000-0000-0000DE490000}"/>
    <cellStyle name="Comma 2 5 2 2 2 2 3 14" xfId="33474" xr:uid="{00000000-0005-0000-0000-0000DF490000}"/>
    <cellStyle name="Comma 2 5 2 2 2 2 3 2" xfId="1251" xr:uid="{00000000-0005-0000-0000-0000E0490000}"/>
    <cellStyle name="Comma 2 5 2 2 2 2 3 2 10" xfId="33475" xr:uid="{00000000-0005-0000-0000-0000E1490000}"/>
    <cellStyle name="Comma 2 5 2 2 2 2 3 2 2" xfId="10021" xr:uid="{00000000-0005-0000-0000-0000E2490000}"/>
    <cellStyle name="Comma 2 5 2 2 2 2 3 2 2 2" xfId="25821" xr:uid="{00000000-0005-0000-0000-0000E3490000}"/>
    <cellStyle name="Comma 2 5 2 2 2 2 3 2 2 2 2" xfId="45248" xr:uid="{00000000-0005-0000-0000-0000E4490000}"/>
    <cellStyle name="Comma 2 5 2 2 2 2 3 2 2 2 3" xfId="38825" xr:uid="{00000000-0005-0000-0000-0000E5490000}"/>
    <cellStyle name="Comma 2 5 2 2 2 2 3 2 2 3" xfId="27999" xr:uid="{00000000-0005-0000-0000-0000E6490000}"/>
    <cellStyle name="Comma 2 5 2 2 2 2 3 2 2 3 2" xfId="42041" xr:uid="{00000000-0005-0000-0000-0000E7490000}"/>
    <cellStyle name="Comma 2 5 2 2 2 2 3 2 2 4" xfId="31334" xr:uid="{00000000-0005-0000-0000-0000E8490000}"/>
    <cellStyle name="Comma 2 5 2 2 2 2 3 2 2 5" xfId="35617" xr:uid="{00000000-0005-0000-0000-0000E9490000}"/>
    <cellStyle name="Comma 2 5 2 2 2 2 3 2 3" xfId="15696" xr:uid="{00000000-0005-0000-0000-0000EA490000}"/>
    <cellStyle name="Comma 2 5 2 2 2 2 3 2 3 2" xfId="24711" xr:uid="{00000000-0005-0000-0000-0000EB490000}"/>
    <cellStyle name="Comma 2 5 2 2 2 2 3 2 3 2 2" xfId="44140" xr:uid="{00000000-0005-0000-0000-0000EC490000}"/>
    <cellStyle name="Comma 2 5 2 2 2 2 3 2 3 2 3" xfId="37717" xr:uid="{00000000-0005-0000-0000-0000ED490000}"/>
    <cellStyle name="Comma 2 5 2 2 2 2 3 2 3 3" xfId="29032" xr:uid="{00000000-0005-0000-0000-0000EE490000}"/>
    <cellStyle name="Comma 2 5 2 2 2 2 3 2 3 3 2" xfId="40933" xr:uid="{00000000-0005-0000-0000-0000EF490000}"/>
    <cellStyle name="Comma 2 5 2 2 2 2 3 2 3 4" xfId="32367" xr:uid="{00000000-0005-0000-0000-0000F0490000}"/>
    <cellStyle name="Comma 2 5 2 2 2 2 3 2 3 5" xfId="34509" xr:uid="{00000000-0005-0000-0000-0000F1490000}"/>
    <cellStyle name="Comma 2 5 2 2 2 2 3 2 4" xfId="8514" xr:uid="{00000000-0005-0000-0000-0000F2490000}"/>
    <cellStyle name="Comma 2 5 2 2 2 2 3 2 4 2" xfId="43106" xr:uid="{00000000-0005-0000-0000-0000F3490000}"/>
    <cellStyle name="Comma 2 5 2 2 2 2 3 2 4 3" xfId="36682" xr:uid="{00000000-0005-0000-0000-0000F4490000}"/>
    <cellStyle name="Comma 2 5 2 2 2 2 3 2 5" xfId="21503" xr:uid="{00000000-0005-0000-0000-0000F5490000}"/>
    <cellStyle name="Comma 2 5 2 2 2 2 3 2 5 2" xfId="39899" xr:uid="{00000000-0005-0000-0000-0000F6490000}"/>
    <cellStyle name="Comma 2 5 2 2 2 2 3 2 6" xfId="22576" xr:uid="{00000000-0005-0000-0000-0000F7490000}"/>
    <cellStyle name="Comma 2 5 2 2 2 2 3 2 7" xfId="23677" xr:uid="{00000000-0005-0000-0000-0000F8490000}"/>
    <cellStyle name="Comma 2 5 2 2 2 2 3 2 8" xfId="26898" xr:uid="{00000000-0005-0000-0000-0000F9490000}"/>
    <cellStyle name="Comma 2 5 2 2 2 2 3 2 9" xfId="30231" xr:uid="{00000000-0005-0000-0000-0000FA490000}"/>
    <cellStyle name="Comma 2 5 2 2 2 2 3 3" xfId="1252" xr:uid="{00000000-0005-0000-0000-0000FB490000}"/>
    <cellStyle name="Comma 2 5 2 2 2 2 3 3 10" xfId="33476" xr:uid="{00000000-0005-0000-0000-0000FC490000}"/>
    <cellStyle name="Comma 2 5 2 2 2 2 3 3 2" xfId="10022" xr:uid="{00000000-0005-0000-0000-0000FD490000}"/>
    <cellStyle name="Comma 2 5 2 2 2 2 3 3 2 2" xfId="25822" xr:uid="{00000000-0005-0000-0000-0000FE490000}"/>
    <cellStyle name="Comma 2 5 2 2 2 2 3 3 2 2 2" xfId="45249" xr:uid="{00000000-0005-0000-0000-0000FF490000}"/>
    <cellStyle name="Comma 2 5 2 2 2 2 3 3 2 2 3" xfId="38826" xr:uid="{00000000-0005-0000-0000-0000004A0000}"/>
    <cellStyle name="Comma 2 5 2 2 2 2 3 3 2 3" xfId="28000" xr:uid="{00000000-0005-0000-0000-0000014A0000}"/>
    <cellStyle name="Comma 2 5 2 2 2 2 3 3 2 3 2" xfId="42042" xr:uid="{00000000-0005-0000-0000-0000024A0000}"/>
    <cellStyle name="Comma 2 5 2 2 2 2 3 3 2 4" xfId="31335" xr:uid="{00000000-0005-0000-0000-0000034A0000}"/>
    <cellStyle name="Comma 2 5 2 2 2 2 3 3 2 5" xfId="35618" xr:uid="{00000000-0005-0000-0000-0000044A0000}"/>
    <cellStyle name="Comma 2 5 2 2 2 2 3 3 3" xfId="15697" xr:uid="{00000000-0005-0000-0000-0000054A0000}"/>
    <cellStyle name="Comma 2 5 2 2 2 2 3 3 3 2" xfId="24712" xr:uid="{00000000-0005-0000-0000-0000064A0000}"/>
    <cellStyle name="Comma 2 5 2 2 2 2 3 3 3 2 2" xfId="44141" xr:uid="{00000000-0005-0000-0000-0000074A0000}"/>
    <cellStyle name="Comma 2 5 2 2 2 2 3 3 3 2 3" xfId="37718" xr:uid="{00000000-0005-0000-0000-0000084A0000}"/>
    <cellStyle name="Comma 2 5 2 2 2 2 3 3 3 3" xfId="29033" xr:uid="{00000000-0005-0000-0000-0000094A0000}"/>
    <cellStyle name="Comma 2 5 2 2 2 2 3 3 3 3 2" xfId="40934" xr:uid="{00000000-0005-0000-0000-00000A4A0000}"/>
    <cellStyle name="Comma 2 5 2 2 2 2 3 3 3 4" xfId="32368" xr:uid="{00000000-0005-0000-0000-00000B4A0000}"/>
    <cellStyle name="Comma 2 5 2 2 2 2 3 3 3 5" xfId="34510" xr:uid="{00000000-0005-0000-0000-00000C4A0000}"/>
    <cellStyle name="Comma 2 5 2 2 2 2 3 3 4" xfId="8515" xr:uid="{00000000-0005-0000-0000-00000D4A0000}"/>
    <cellStyle name="Comma 2 5 2 2 2 2 3 3 4 2" xfId="43107" xr:uid="{00000000-0005-0000-0000-00000E4A0000}"/>
    <cellStyle name="Comma 2 5 2 2 2 2 3 3 4 3" xfId="36683" xr:uid="{00000000-0005-0000-0000-00000F4A0000}"/>
    <cellStyle name="Comma 2 5 2 2 2 2 3 3 5" xfId="21504" xr:uid="{00000000-0005-0000-0000-0000104A0000}"/>
    <cellStyle name="Comma 2 5 2 2 2 2 3 3 5 2" xfId="39900" xr:uid="{00000000-0005-0000-0000-0000114A0000}"/>
    <cellStyle name="Comma 2 5 2 2 2 2 3 3 6" xfId="22577" xr:uid="{00000000-0005-0000-0000-0000124A0000}"/>
    <cellStyle name="Comma 2 5 2 2 2 2 3 3 7" xfId="23678" xr:uid="{00000000-0005-0000-0000-0000134A0000}"/>
    <cellStyle name="Comma 2 5 2 2 2 2 3 3 8" xfId="26899" xr:uid="{00000000-0005-0000-0000-0000144A0000}"/>
    <cellStyle name="Comma 2 5 2 2 2 2 3 3 9" xfId="30232" xr:uid="{00000000-0005-0000-0000-0000154A0000}"/>
    <cellStyle name="Comma 2 5 2 2 2 2 3 4" xfId="1253" xr:uid="{00000000-0005-0000-0000-0000164A0000}"/>
    <cellStyle name="Comma 2 5 2 2 2 2 3 4 10" xfId="33477" xr:uid="{00000000-0005-0000-0000-0000174A0000}"/>
    <cellStyle name="Comma 2 5 2 2 2 2 3 4 2" xfId="10023" xr:uid="{00000000-0005-0000-0000-0000184A0000}"/>
    <cellStyle name="Comma 2 5 2 2 2 2 3 4 2 2" xfId="25823" xr:uid="{00000000-0005-0000-0000-0000194A0000}"/>
    <cellStyle name="Comma 2 5 2 2 2 2 3 4 2 2 2" xfId="45250" xr:uid="{00000000-0005-0000-0000-00001A4A0000}"/>
    <cellStyle name="Comma 2 5 2 2 2 2 3 4 2 2 3" xfId="38827" xr:uid="{00000000-0005-0000-0000-00001B4A0000}"/>
    <cellStyle name="Comma 2 5 2 2 2 2 3 4 2 3" xfId="28001" xr:uid="{00000000-0005-0000-0000-00001C4A0000}"/>
    <cellStyle name="Comma 2 5 2 2 2 2 3 4 2 3 2" xfId="42043" xr:uid="{00000000-0005-0000-0000-00001D4A0000}"/>
    <cellStyle name="Comma 2 5 2 2 2 2 3 4 2 4" xfId="31336" xr:uid="{00000000-0005-0000-0000-00001E4A0000}"/>
    <cellStyle name="Comma 2 5 2 2 2 2 3 4 2 5" xfId="35619" xr:uid="{00000000-0005-0000-0000-00001F4A0000}"/>
    <cellStyle name="Comma 2 5 2 2 2 2 3 4 3" xfId="15698" xr:uid="{00000000-0005-0000-0000-0000204A0000}"/>
    <cellStyle name="Comma 2 5 2 2 2 2 3 4 3 2" xfId="24713" xr:uid="{00000000-0005-0000-0000-0000214A0000}"/>
    <cellStyle name="Comma 2 5 2 2 2 2 3 4 3 2 2" xfId="44142" xr:uid="{00000000-0005-0000-0000-0000224A0000}"/>
    <cellStyle name="Comma 2 5 2 2 2 2 3 4 3 2 3" xfId="37719" xr:uid="{00000000-0005-0000-0000-0000234A0000}"/>
    <cellStyle name="Comma 2 5 2 2 2 2 3 4 3 3" xfId="29034" xr:uid="{00000000-0005-0000-0000-0000244A0000}"/>
    <cellStyle name="Comma 2 5 2 2 2 2 3 4 3 3 2" xfId="40935" xr:uid="{00000000-0005-0000-0000-0000254A0000}"/>
    <cellStyle name="Comma 2 5 2 2 2 2 3 4 3 4" xfId="32369" xr:uid="{00000000-0005-0000-0000-0000264A0000}"/>
    <cellStyle name="Comma 2 5 2 2 2 2 3 4 3 5" xfId="34511" xr:uid="{00000000-0005-0000-0000-0000274A0000}"/>
    <cellStyle name="Comma 2 5 2 2 2 2 3 4 4" xfId="8516" xr:uid="{00000000-0005-0000-0000-0000284A0000}"/>
    <cellStyle name="Comma 2 5 2 2 2 2 3 4 4 2" xfId="43108" xr:uid="{00000000-0005-0000-0000-0000294A0000}"/>
    <cellStyle name="Comma 2 5 2 2 2 2 3 4 4 3" xfId="36684" xr:uid="{00000000-0005-0000-0000-00002A4A0000}"/>
    <cellStyle name="Comma 2 5 2 2 2 2 3 4 5" xfId="21505" xr:uid="{00000000-0005-0000-0000-00002B4A0000}"/>
    <cellStyle name="Comma 2 5 2 2 2 2 3 4 5 2" xfId="39901" xr:uid="{00000000-0005-0000-0000-00002C4A0000}"/>
    <cellStyle name="Comma 2 5 2 2 2 2 3 4 6" xfId="22578" xr:uid="{00000000-0005-0000-0000-00002D4A0000}"/>
    <cellStyle name="Comma 2 5 2 2 2 2 3 4 7" xfId="23679" xr:uid="{00000000-0005-0000-0000-00002E4A0000}"/>
    <cellStyle name="Comma 2 5 2 2 2 2 3 4 8" xfId="26900" xr:uid="{00000000-0005-0000-0000-00002F4A0000}"/>
    <cellStyle name="Comma 2 5 2 2 2 2 3 4 9" xfId="30233" xr:uid="{00000000-0005-0000-0000-0000304A0000}"/>
    <cellStyle name="Comma 2 5 2 2 2 2 3 5" xfId="1254" xr:uid="{00000000-0005-0000-0000-0000314A0000}"/>
    <cellStyle name="Comma 2 5 2 2 2 2 3 5 10" xfId="33478" xr:uid="{00000000-0005-0000-0000-0000324A0000}"/>
    <cellStyle name="Comma 2 5 2 2 2 2 3 5 2" xfId="10024" xr:uid="{00000000-0005-0000-0000-0000334A0000}"/>
    <cellStyle name="Comma 2 5 2 2 2 2 3 5 2 2" xfId="25824" xr:uid="{00000000-0005-0000-0000-0000344A0000}"/>
    <cellStyle name="Comma 2 5 2 2 2 2 3 5 2 2 2" xfId="45251" xr:uid="{00000000-0005-0000-0000-0000354A0000}"/>
    <cellStyle name="Comma 2 5 2 2 2 2 3 5 2 2 3" xfId="38828" xr:uid="{00000000-0005-0000-0000-0000364A0000}"/>
    <cellStyle name="Comma 2 5 2 2 2 2 3 5 2 3" xfId="28002" xr:uid="{00000000-0005-0000-0000-0000374A0000}"/>
    <cellStyle name="Comma 2 5 2 2 2 2 3 5 2 3 2" xfId="42044" xr:uid="{00000000-0005-0000-0000-0000384A0000}"/>
    <cellStyle name="Comma 2 5 2 2 2 2 3 5 2 4" xfId="31337" xr:uid="{00000000-0005-0000-0000-0000394A0000}"/>
    <cellStyle name="Comma 2 5 2 2 2 2 3 5 2 5" xfId="35620" xr:uid="{00000000-0005-0000-0000-00003A4A0000}"/>
    <cellStyle name="Comma 2 5 2 2 2 2 3 5 3" xfId="15699" xr:uid="{00000000-0005-0000-0000-00003B4A0000}"/>
    <cellStyle name="Comma 2 5 2 2 2 2 3 5 3 2" xfId="24714" xr:uid="{00000000-0005-0000-0000-00003C4A0000}"/>
    <cellStyle name="Comma 2 5 2 2 2 2 3 5 3 2 2" xfId="44143" xr:uid="{00000000-0005-0000-0000-00003D4A0000}"/>
    <cellStyle name="Comma 2 5 2 2 2 2 3 5 3 2 3" xfId="37720" xr:uid="{00000000-0005-0000-0000-00003E4A0000}"/>
    <cellStyle name="Comma 2 5 2 2 2 2 3 5 3 3" xfId="29035" xr:uid="{00000000-0005-0000-0000-00003F4A0000}"/>
    <cellStyle name="Comma 2 5 2 2 2 2 3 5 3 3 2" xfId="40936" xr:uid="{00000000-0005-0000-0000-0000404A0000}"/>
    <cellStyle name="Comma 2 5 2 2 2 2 3 5 3 4" xfId="32370" xr:uid="{00000000-0005-0000-0000-0000414A0000}"/>
    <cellStyle name="Comma 2 5 2 2 2 2 3 5 3 5" xfId="34512" xr:uid="{00000000-0005-0000-0000-0000424A0000}"/>
    <cellStyle name="Comma 2 5 2 2 2 2 3 5 4" xfId="8517" xr:uid="{00000000-0005-0000-0000-0000434A0000}"/>
    <cellStyle name="Comma 2 5 2 2 2 2 3 5 4 2" xfId="43109" xr:uid="{00000000-0005-0000-0000-0000444A0000}"/>
    <cellStyle name="Comma 2 5 2 2 2 2 3 5 4 3" xfId="36685" xr:uid="{00000000-0005-0000-0000-0000454A0000}"/>
    <cellStyle name="Comma 2 5 2 2 2 2 3 5 5" xfId="21506" xr:uid="{00000000-0005-0000-0000-0000464A0000}"/>
    <cellStyle name="Comma 2 5 2 2 2 2 3 5 5 2" xfId="39902" xr:uid="{00000000-0005-0000-0000-0000474A0000}"/>
    <cellStyle name="Comma 2 5 2 2 2 2 3 5 6" xfId="22579" xr:uid="{00000000-0005-0000-0000-0000484A0000}"/>
    <cellStyle name="Comma 2 5 2 2 2 2 3 5 7" xfId="23680" xr:uid="{00000000-0005-0000-0000-0000494A0000}"/>
    <cellStyle name="Comma 2 5 2 2 2 2 3 5 8" xfId="26901" xr:uid="{00000000-0005-0000-0000-00004A4A0000}"/>
    <cellStyle name="Comma 2 5 2 2 2 2 3 5 9" xfId="30234" xr:uid="{00000000-0005-0000-0000-00004B4A0000}"/>
    <cellStyle name="Comma 2 5 2 2 2 2 3 6" xfId="10020" xr:uid="{00000000-0005-0000-0000-00004C4A0000}"/>
    <cellStyle name="Comma 2 5 2 2 2 2 3 6 2" xfId="25820" xr:uid="{00000000-0005-0000-0000-00004D4A0000}"/>
    <cellStyle name="Comma 2 5 2 2 2 2 3 6 2 2" xfId="45247" xr:uid="{00000000-0005-0000-0000-00004E4A0000}"/>
    <cellStyle name="Comma 2 5 2 2 2 2 3 6 2 3" xfId="38824" xr:uid="{00000000-0005-0000-0000-00004F4A0000}"/>
    <cellStyle name="Comma 2 5 2 2 2 2 3 6 3" xfId="27998" xr:uid="{00000000-0005-0000-0000-0000504A0000}"/>
    <cellStyle name="Comma 2 5 2 2 2 2 3 6 3 2" xfId="42040" xr:uid="{00000000-0005-0000-0000-0000514A0000}"/>
    <cellStyle name="Comma 2 5 2 2 2 2 3 6 4" xfId="31333" xr:uid="{00000000-0005-0000-0000-0000524A0000}"/>
    <cellStyle name="Comma 2 5 2 2 2 2 3 6 5" xfId="35616" xr:uid="{00000000-0005-0000-0000-0000534A0000}"/>
    <cellStyle name="Comma 2 5 2 2 2 2 3 7" xfId="15695" xr:uid="{00000000-0005-0000-0000-0000544A0000}"/>
    <cellStyle name="Comma 2 5 2 2 2 2 3 7 2" xfId="24710" xr:uid="{00000000-0005-0000-0000-0000554A0000}"/>
    <cellStyle name="Comma 2 5 2 2 2 2 3 7 2 2" xfId="44139" xr:uid="{00000000-0005-0000-0000-0000564A0000}"/>
    <cellStyle name="Comma 2 5 2 2 2 2 3 7 2 3" xfId="37716" xr:uid="{00000000-0005-0000-0000-0000574A0000}"/>
    <cellStyle name="Comma 2 5 2 2 2 2 3 7 3" xfId="29031" xr:uid="{00000000-0005-0000-0000-0000584A0000}"/>
    <cellStyle name="Comma 2 5 2 2 2 2 3 7 3 2" xfId="40932" xr:uid="{00000000-0005-0000-0000-0000594A0000}"/>
    <cellStyle name="Comma 2 5 2 2 2 2 3 7 4" xfId="32366" xr:uid="{00000000-0005-0000-0000-00005A4A0000}"/>
    <cellStyle name="Comma 2 5 2 2 2 2 3 7 5" xfId="34508" xr:uid="{00000000-0005-0000-0000-00005B4A0000}"/>
    <cellStyle name="Comma 2 5 2 2 2 2 3 8" xfId="8513" xr:uid="{00000000-0005-0000-0000-00005C4A0000}"/>
    <cellStyle name="Comma 2 5 2 2 2 2 3 8 2" xfId="43105" xr:uid="{00000000-0005-0000-0000-00005D4A0000}"/>
    <cellStyle name="Comma 2 5 2 2 2 2 3 8 3" xfId="36681" xr:uid="{00000000-0005-0000-0000-00005E4A0000}"/>
    <cellStyle name="Comma 2 5 2 2 2 2 3 9" xfId="21502" xr:uid="{00000000-0005-0000-0000-00005F4A0000}"/>
    <cellStyle name="Comma 2 5 2 2 2 2 3 9 2" xfId="39898" xr:uid="{00000000-0005-0000-0000-0000604A0000}"/>
    <cellStyle name="Comma 2 5 2 2 2 2 4" xfId="1255" xr:uid="{00000000-0005-0000-0000-0000614A0000}"/>
    <cellStyle name="Comma 2 5 2 2 2 2 4 10" xfId="33479" xr:uid="{00000000-0005-0000-0000-0000624A0000}"/>
    <cellStyle name="Comma 2 5 2 2 2 2 4 2" xfId="10025" xr:uid="{00000000-0005-0000-0000-0000634A0000}"/>
    <cellStyle name="Comma 2 5 2 2 2 2 4 2 2" xfId="25825" xr:uid="{00000000-0005-0000-0000-0000644A0000}"/>
    <cellStyle name="Comma 2 5 2 2 2 2 4 2 2 2" xfId="45252" xr:uid="{00000000-0005-0000-0000-0000654A0000}"/>
    <cellStyle name="Comma 2 5 2 2 2 2 4 2 2 3" xfId="38829" xr:uid="{00000000-0005-0000-0000-0000664A0000}"/>
    <cellStyle name="Comma 2 5 2 2 2 2 4 2 3" xfId="28003" xr:uid="{00000000-0005-0000-0000-0000674A0000}"/>
    <cellStyle name="Comma 2 5 2 2 2 2 4 2 3 2" xfId="42045" xr:uid="{00000000-0005-0000-0000-0000684A0000}"/>
    <cellStyle name="Comma 2 5 2 2 2 2 4 2 4" xfId="31338" xr:uid="{00000000-0005-0000-0000-0000694A0000}"/>
    <cellStyle name="Comma 2 5 2 2 2 2 4 2 5" xfId="35621" xr:uid="{00000000-0005-0000-0000-00006A4A0000}"/>
    <cellStyle name="Comma 2 5 2 2 2 2 4 3" xfId="15700" xr:uid="{00000000-0005-0000-0000-00006B4A0000}"/>
    <cellStyle name="Comma 2 5 2 2 2 2 4 3 2" xfId="24715" xr:uid="{00000000-0005-0000-0000-00006C4A0000}"/>
    <cellStyle name="Comma 2 5 2 2 2 2 4 3 2 2" xfId="44144" xr:uid="{00000000-0005-0000-0000-00006D4A0000}"/>
    <cellStyle name="Comma 2 5 2 2 2 2 4 3 2 3" xfId="37721" xr:uid="{00000000-0005-0000-0000-00006E4A0000}"/>
    <cellStyle name="Comma 2 5 2 2 2 2 4 3 3" xfId="29036" xr:uid="{00000000-0005-0000-0000-00006F4A0000}"/>
    <cellStyle name="Comma 2 5 2 2 2 2 4 3 3 2" xfId="40937" xr:uid="{00000000-0005-0000-0000-0000704A0000}"/>
    <cellStyle name="Comma 2 5 2 2 2 2 4 3 4" xfId="32371" xr:uid="{00000000-0005-0000-0000-0000714A0000}"/>
    <cellStyle name="Comma 2 5 2 2 2 2 4 3 5" xfId="34513" xr:uid="{00000000-0005-0000-0000-0000724A0000}"/>
    <cellStyle name="Comma 2 5 2 2 2 2 4 4" xfId="8518" xr:uid="{00000000-0005-0000-0000-0000734A0000}"/>
    <cellStyle name="Comma 2 5 2 2 2 2 4 4 2" xfId="43110" xr:uid="{00000000-0005-0000-0000-0000744A0000}"/>
    <cellStyle name="Comma 2 5 2 2 2 2 4 4 3" xfId="36686" xr:uid="{00000000-0005-0000-0000-0000754A0000}"/>
    <cellStyle name="Comma 2 5 2 2 2 2 4 5" xfId="21507" xr:uid="{00000000-0005-0000-0000-0000764A0000}"/>
    <cellStyle name="Comma 2 5 2 2 2 2 4 5 2" xfId="39903" xr:uid="{00000000-0005-0000-0000-0000774A0000}"/>
    <cellStyle name="Comma 2 5 2 2 2 2 4 6" xfId="22580" xr:uid="{00000000-0005-0000-0000-0000784A0000}"/>
    <cellStyle name="Comma 2 5 2 2 2 2 4 7" xfId="23681" xr:uid="{00000000-0005-0000-0000-0000794A0000}"/>
    <cellStyle name="Comma 2 5 2 2 2 2 4 8" xfId="26902" xr:uid="{00000000-0005-0000-0000-00007A4A0000}"/>
    <cellStyle name="Comma 2 5 2 2 2 2 4 9" xfId="30235" xr:uid="{00000000-0005-0000-0000-00007B4A0000}"/>
    <cellStyle name="Comma 2 5 2 2 2 2 5" xfId="1256" xr:uid="{00000000-0005-0000-0000-00007C4A0000}"/>
    <cellStyle name="Comma 2 5 2 2 2 2 5 10" xfId="33480" xr:uid="{00000000-0005-0000-0000-00007D4A0000}"/>
    <cellStyle name="Comma 2 5 2 2 2 2 5 2" xfId="10026" xr:uid="{00000000-0005-0000-0000-00007E4A0000}"/>
    <cellStyle name="Comma 2 5 2 2 2 2 5 2 2" xfId="25826" xr:uid="{00000000-0005-0000-0000-00007F4A0000}"/>
    <cellStyle name="Comma 2 5 2 2 2 2 5 2 2 2" xfId="45253" xr:uid="{00000000-0005-0000-0000-0000804A0000}"/>
    <cellStyle name="Comma 2 5 2 2 2 2 5 2 2 3" xfId="38830" xr:uid="{00000000-0005-0000-0000-0000814A0000}"/>
    <cellStyle name="Comma 2 5 2 2 2 2 5 2 3" xfId="28004" xr:uid="{00000000-0005-0000-0000-0000824A0000}"/>
    <cellStyle name="Comma 2 5 2 2 2 2 5 2 3 2" xfId="42046" xr:uid="{00000000-0005-0000-0000-0000834A0000}"/>
    <cellStyle name="Comma 2 5 2 2 2 2 5 2 4" xfId="31339" xr:uid="{00000000-0005-0000-0000-0000844A0000}"/>
    <cellStyle name="Comma 2 5 2 2 2 2 5 2 5" xfId="35622" xr:uid="{00000000-0005-0000-0000-0000854A0000}"/>
    <cellStyle name="Comma 2 5 2 2 2 2 5 3" xfId="15701" xr:uid="{00000000-0005-0000-0000-0000864A0000}"/>
    <cellStyle name="Comma 2 5 2 2 2 2 5 3 2" xfId="24716" xr:uid="{00000000-0005-0000-0000-0000874A0000}"/>
    <cellStyle name="Comma 2 5 2 2 2 2 5 3 2 2" xfId="44145" xr:uid="{00000000-0005-0000-0000-0000884A0000}"/>
    <cellStyle name="Comma 2 5 2 2 2 2 5 3 2 3" xfId="37722" xr:uid="{00000000-0005-0000-0000-0000894A0000}"/>
    <cellStyle name="Comma 2 5 2 2 2 2 5 3 3" xfId="29037" xr:uid="{00000000-0005-0000-0000-00008A4A0000}"/>
    <cellStyle name="Comma 2 5 2 2 2 2 5 3 3 2" xfId="40938" xr:uid="{00000000-0005-0000-0000-00008B4A0000}"/>
    <cellStyle name="Comma 2 5 2 2 2 2 5 3 4" xfId="32372" xr:uid="{00000000-0005-0000-0000-00008C4A0000}"/>
    <cellStyle name="Comma 2 5 2 2 2 2 5 3 5" xfId="34514" xr:uid="{00000000-0005-0000-0000-00008D4A0000}"/>
    <cellStyle name="Comma 2 5 2 2 2 2 5 4" xfId="8519" xr:uid="{00000000-0005-0000-0000-00008E4A0000}"/>
    <cellStyle name="Comma 2 5 2 2 2 2 5 4 2" xfId="43111" xr:uid="{00000000-0005-0000-0000-00008F4A0000}"/>
    <cellStyle name="Comma 2 5 2 2 2 2 5 4 3" xfId="36687" xr:uid="{00000000-0005-0000-0000-0000904A0000}"/>
    <cellStyle name="Comma 2 5 2 2 2 2 5 5" xfId="21508" xr:uid="{00000000-0005-0000-0000-0000914A0000}"/>
    <cellStyle name="Comma 2 5 2 2 2 2 5 5 2" xfId="39904" xr:uid="{00000000-0005-0000-0000-0000924A0000}"/>
    <cellStyle name="Comma 2 5 2 2 2 2 5 6" xfId="22581" xr:uid="{00000000-0005-0000-0000-0000934A0000}"/>
    <cellStyle name="Comma 2 5 2 2 2 2 5 7" xfId="23682" xr:uid="{00000000-0005-0000-0000-0000944A0000}"/>
    <cellStyle name="Comma 2 5 2 2 2 2 5 8" xfId="26903" xr:uid="{00000000-0005-0000-0000-0000954A0000}"/>
    <cellStyle name="Comma 2 5 2 2 2 2 5 9" xfId="30236" xr:uid="{00000000-0005-0000-0000-0000964A0000}"/>
    <cellStyle name="Comma 2 5 2 2 2 2 6" xfId="1257" xr:uid="{00000000-0005-0000-0000-0000974A0000}"/>
    <cellStyle name="Comma 2 5 2 2 2 2 6 10" xfId="33481" xr:uid="{00000000-0005-0000-0000-0000984A0000}"/>
    <cellStyle name="Comma 2 5 2 2 2 2 6 2" xfId="10027" xr:uid="{00000000-0005-0000-0000-0000994A0000}"/>
    <cellStyle name="Comma 2 5 2 2 2 2 6 2 2" xfId="25827" xr:uid="{00000000-0005-0000-0000-00009A4A0000}"/>
    <cellStyle name="Comma 2 5 2 2 2 2 6 2 2 2" xfId="45254" xr:uid="{00000000-0005-0000-0000-00009B4A0000}"/>
    <cellStyle name="Comma 2 5 2 2 2 2 6 2 2 3" xfId="38831" xr:uid="{00000000-0005-0000-0000-00009C4A0000}"/>
    <cellStyle name="Comma 2 5 2 2 2 2 6 2 3" xfId="28005" xr:uid="{00000000-0005-0000-0000-00009D4A0000}"/>
    <cellStyle name="Comma 2 5 2 2 2 2 6 2 3 2" xfId="42047" xr:uid="{00000000-0005-0000-0000-00009E4A0000}"/>
    <cellStyle name="Comma 2 5 2 2 2 2 6 2 4" xfId="31340" xr:uid="{00000000-0005-0000-0000-00009F4A0000}"/>
    <cellStyle name="Comma 2 5 2 2 2 2 6 2 5" xfId="35623" xr:uid="{00000000-0005-0000-0000-0000A04A0000}"/>
    <cellStyle name="Comma 2 5 2 2 2 2 6 3" xfId="15702" xr:uid="{00000000-0005-0000-0000-0000A14A0000}"/>
    <cellStyle name="Comma 2 5 2 2 2 2 6 3 2" xfId="24717" xr:uid="{00000000-0005-0000-0000-0000A24A0000}"/>
    <cellStyle name="Comma 2 5 2 2 2 2 6 3 2 2" xfId="44146" xr:uid="{00000000-0005-0000-0000-0000A34A0000}"/>
    <cellStyle name="Comma 2 5 2 2 2 2 6 3 2 3" xfId="37723" xr:uid="{00000000-0005-0000-0000-0000A44A0000}"/>
    <cellStyle name="Comma 2 5 2 2 2 2 6 3 3" xfId="29038" xr:uid="{00000000-0005-0000-0000-0000A54A0000}"/>
    <cellStyle name="Comma 2 5 2 2 2 2 6 3 3 2" xfId="40939" xr:uid="{00000000-0005-0000-0000-0000A64A0000}"/>
    <cellStyle name="Comma 2 5 2 2 2 2 6 3 4" xfId="32373" xr:uid="{00000000-0005-0000-0000-0000A74A0000}"/>
    <cellStyle name="Comma 2 5 2 2 2 2 6 3 5" xfId="34515" xr:uid="{00000000-0005-0000-0000-0000A84A0000}"/>
    <cellStyle name="Comma 2 5 2 2 2 2 6 4" xfId="8520" xr:uid="{00000000-0005-0000-0000-0000A94A0000}"/>
    <cellStyle name="Comma 2 5 2 2 2 2 6 4 2" xfId="43112" xr:uid="{00000000-0005-0000-0000-0000AA4A0000}"/>
    <cellStyle name="Comma 2 5 2 2 2 2 6 4 3" xfId="36688" xr:uid="{00000000-0005-0000-0000-0000AB4A0000}"/>
    <cellStyle name="Comma 2 5 2 2 2 2 6 5" xfId="21509" xr:uid="{00000000-0005-0000-0000-0000AC4A0000}"/>
    <cellStyle name="Comma 2 5 2 2 2 2 6 5 2" xfId="39905" xr:uid="{00000000-0005-0000-0000-0000AD4A0000}"/>
    <cellStyle name="Comma 2 5 2 2 2 2 6 6" xfId="22582" xr:uid="{00000000-0005-0000-0000-0000AE4A0000}"/>
    <cellStyle name="Comma 2 5 2 2 2 2 6 7" xfId="23683" xr:uid="{00000000-0005-0000-0000-0000AF4A0000}"/>
    <cellStyle name="Comma 2 5 2 2 2 2 6 8" xfId="26904" xr:uid="{00000000-0005-0000-0000-0000B04A0000}"/>
    <cellStyle name="Comma 2 5 2 2 2 2 6 9" xfId="30237" xr:uid="{00000000-0005-0000-0000-0000B14A0000}"/>
    <cellStyle name="Comma 2 5 2 2 2 2 7" xfId="1258" xr:uid="{00000000-0005-0000-0000-0000B24A0000}"/>
    <cellStyle name="Comma 2 5 2 2 2 2 7 10" xfId="33482" xr:uid="{00000000-0005-0000-0000-0000B34A0000}"/>
    <cellStyle name="Comma 2 5 2 2 2 2 7 2" xfId="10028" xr:uid="{00000000-0005-0000-0000-0000B44A0000}"/>
    <cellStyle name="Comma 2 5 2 2 2 2 7 2 2" xfId="25828" xr:uid="{00000000-0005-0000-0000-0000B54A0000}"/>
    <cellStyle name="Comma 2 5 2 2 2 2 7 2 2 2" xfId="45255" xr:uid="{00000000-0005-0000-0000-0000B64A0000}"/>
    <cellStyle name="Comma 2 5 2 2 2 2 7 2 2 3" xfId="38832" xr:uid="{00000000-0005-0000-0000-0000B74A0000}"/>
    <cellStyle name="Comma 2 5 2 2 2 2 7 2 3" xfId="28006" xr:uid="{00000000-0005-0000-0000-0000B84A0000}"/>
    <cellStyle name="Comma 2 5 2 2 2 2 7 2 3 2" xfId="42048" xr:uid="{00000000-0005-0000-0000-0000B94A0000}"/>
    <cellStyle name="Comma 2 5 2 2 2 2 7 2 4" xfId="31341" xr:uid="{00000000-0005-0000-0000-0000BA4A0000}"/>
    <cellStyle name="Comma 2 5 2 2 2 2 7 2 5" xfId="35624" xr:uid="{00000000-0005-0000-0000-0000BB4A0000}"/>
    <cellStyle name="Comma 2 5 2 2 2 2 7 3" xfId="15703" xr:uid="{00000000-0005-0000-0000-0000BC4A0000}"/>
    <cellStyle name="Comma 2 5 2 2 2 2 7 3 2" xfId="24718" xr:uid="{00000000-0005-0000-0000-0000BD4A0000}"/>
    <cellStyle name="Comma 2 5 2 2 2 2 7 3 2 2" xfId="44147" xr:uid="{00000000-0005-0000-0000-0000BE4A0000}"/>
    <cellStyle name="Comma 2 5 2 2 2 2 7 3 2 3" xfId="37724" xr:uid="{00000000-0005-0000-0000-0000BF4A0000}"/>
    <cellStyle name="Comma 2 5 2 2 2 2 7 3 3" xfId="29039" xr:uid="{00000000-0005-0000-0000-0000C04A0000}"/>
    <cellStyle name="Comma 2 5 2 2 2 2 7 3 3 2" xfId="40940" xr:uid="{00000000-0005-0000-0000-0000C14A0000}"/>
    <cellStyle name="Comma 2 5 2 2 2 2 7 3 4" xfId="32374" xr:uid="{00000000-0005-0000-0000-0000C24A0000}"/>
    <cellStyle name="Comma 2 5 2 2 2 2 7 3 5" xfId="34516" xr:uid="{00000000-0005-0000-0000-0000C34A0000}"/>
    <cellStyle name="Comma 2 5 2 2 2 2 7 4" xfId="8521" xr:uid="{00000000-0005-0000-0000-0000C44A0000}"/>
    <cellStyle name="Comma 2 5 2 2 2 2 7 4 2" xfId="43113" xr:uid="{00000000-0005-0000-0000-0000C54A0000}"/>
    <cellStyle name="Comma 2 5 2 2 2 2 7 4 3" xfId="36689" xr:uid="{00000000-0005-0000-0000-0000C64A0000}"/>
    <cellStyle name="Comma 2 5 2 2 2 2 7 5" xfId="21510" xr:uid="{00000000-0005-0000-0000-0000C74A0000}"/>
    <cellStyle name="Comma 2 5 2 2 2 2 7 5 2" xfId="39906" xr:uid="{00000000-0005-0000-0000-0000C84A0000}"/>
    <cellStyle name="Comma 2 5 2 2 2 2 7 6" xfId="22583" xr:uid="{00000000-0005-0000-0000-0000C94A0000}"/>
    <cellStyle name="Comma 2 5 2 2 2 2 7 7" xfId="23684" xr:uid="{00000000-0005-0000-0000-0000CA4A0000}"/>
    <cellStyle name="Comma 2 5 2 2 2 2 7 8" xfId="26905" xr:uid="{00000000-0005-0000-0000-0000CB4A0000}"/>
    <cellStyle name="Comma 2 5 2 2 2 2 7 9" xfId="30238" xr:uid="{00000000-0005-0000-0000-0000CC4A0000}"/>
    <cellStyle name="Comma 2 5 2 2 2 2 8" xfId="1259" xr:uid="{00000000-0005-0000-0000-0000CD4A0000}"/>
    <cellStyle name="Comma 2 5 2 2 2 2 8 10" xfId="33483" xr:uid="{00000000-0005-0000-0000-0000CE4A0000}"/>
    <cellStyle name="Comma 2 5 2 2 2 2 8 2" xfId="10029" xr:uid="{00000000-0005-0000-0000-0000CF4A0000}"/>
    <cellStyle name="Comma 2 5 2 2 2 2 8 2 2" xfId="25829" xr:uid="{00000000-0005-0000-0000-0000D04A0000}"/>
    <cellStyle name="Comma 2 5 2 2 2 2 8 2 2 2" xfId="45256" xr:uid="{00000000-0005-0000-0000-0000D14A0000}"/>
    <cellStyle name="Comma 2 5 2 2 2 2 8 2 2 3" xfId="38833" xr:uid="{00000000-0005-0000-0000-0000D24A0000}"/>
    <cellStyle name="Comma 2 5 2 2 2 2 8 2 3" xfId="28007" xr:uid="{00000000-0005-0000-0000-0000D34A0000}"/>
    <cellStyle name="Comma 2 5 2 2 2 2 8 2 3 2" xfId="42049" xr:uid="{00000000-0005-0000-0000-0000D44A0000}"/>
    <cellStyle name="Comma 2 5 2 2 2 2 8 2 4" xfId="31342" xr:uid="{00000000-0005-0000-0000-0000D54A0000}"/>
    <cellStyle name="Comma 2 5 2 2 2 2 8 2 5" xfId="35625" xr:uid="{00000000-0005-0000-0000-0000D64A0000}"/>
    <cellStyle name="Comma 2 5 2 2 2 2 8 3" xfId="15704" xr:uid="{00000000-0005-0000-0000-0000D74A0000}"/>
    <cellStyle name="Comma 2 5 2 2 2 2 8 3 2" xfId="24719" xr:uid="{00000000-0005-0000-0000-0000D84A0000}"/>
    <cellStyle name="Comma 2 5 2 2 2 2 8 3 2 2" xfId="44148" xr:uid="{00000000-0005-0000-0000-0000D94A0000}"/>
    <cellStyle name="Comma 2 5 2 2 2 2 8 3 2 3" xfId="37725" xr:uid="{00000000-0005-0000-0000-0000DA4A0000}"/>
    <cellStyle name="Comma 2 5 2 2 2 2 8 3 3" xfId="29040" xr:uid="{00000000-0005-0000-0000-0000DB4A0000}"/>
    <cellStyle name="Comma 2 5 2 2 2 2 8 3 3 2" xfId="40941" xr:uid="{00000000-0005-0000-0000-0000DC4A0000}"/>
    <cellStyle name="Comma 2 5 2 2 2 2 8 3 4" xfId="32375" xr:uid="{00000000-0005-0000-0000-0000DD4A0000}"/>
    <cellStyle name="Comma 2 5 2 2 2 2 8 3 5" xfId="34517" xr:uid="{00000000-0005-0000-0000-0000DE4A0000}"/>
    <cellStyle name="Comma 2 5 2 2 2 2 8 4" xfId="8522" xr:uid="{00000000-0005-0000-0000-0000DF4A0000}"/>
    <cellStyle name="Comma 2 5 2 2 2 2 8 4 2" xfId="43114" xr:uid="{00000000-0005-0000-0000-0000E04A0000}"/>
    <cellStyle name="Comma 2 5 2 2 2 2 8 4 3" xfId="36690" xr:uid="{00000000-0005-0000-0000-0000E14A0000}"/>
    <cellStyle name="Comma 2 5 2 2 2 2 8 5" xfId="21511" xr:uid="{00000000-0005-0000-0000-0000E24A0000}"/>
    <cellStyle name="Comma 2 5 2 2 2 2 8 5 2" xfId="39907" xr:uid="{00000000-0005-0000-0000-0000E34A0000}"/>
    <cellStyle name="Comma 2 5 2 2 2 2 8 6" xfId="22584" xr:uid="{00000000-0005-0000-0000-0000E44A0000}"/>
    <cellStyle name="Comma 2 5 2 2 2 2 8 7" xfId="23685" xr:uid="{00000000-0005-0000-0000-0000E54A0000}"/>
    <cellStyle name="Comma 2 5 2 2 2 2 8 8" xfId="26906" xr:uid="{00000000-0005-0000-0000-0000E64A0000}"/>
    <cellStyle name="Comma 2 5 2 2 2 2 8 9" xfId="30239" xr:uid="{00000000-0005-0000-0000-0000E74A0000}"/>
    <cellStyle name="Comma 2 5 2 2 2 2 9" xfId="9128" xr:uid="{00000000-0005-0000-0000-0000E84A0000}"/>
    <cellStyle name="Comma 2 5 2 2 2 2 9 2" xfId="25182" xr:uid="{00000000-0005-0000-0000-0000E94A0000}"/>
    <cellStyle name="Comma 2 5 2 2 2 2 9 2 2" xfId="44609" xr:uid="{00000000-0005-0000-0000-0000EA4A0000}"/>
    <cellStyle name="Comma 2 5 2 2 2 2 9 2 3" xfId="38186" xr:uid="{00000000-0005-0000-0000-0000EB4A0000}"/>
    <cellStyle name="Comma 2 5 2 2 2 2 9 3" xfId="27361" xr:uid="{00000000-0005-0000-0000-0000EC4A0000}"/>
    <cellStyle name="Comma 2 5 2 2 2 2 9 3 2" xfId="41402" xr:uid="{00000000-0005-0000-0000-0000ED4A0000}"/>
    <cellStyle name="Comma 2 5 2 2 2 2 9 4" xfId="30696" xr:uid="{00000000-0005-0000-0000-0000EE4A0000}"/>
    <cellStyle name="Comma 2 5 2 2 2 2 9 5" xfId="34978" xr:uid="{00000000-0005-0000-0000-0000EF4A0000}"/>
    <cellStyle name="Comma 2 5 2 2 2 3" xfId="274" xr:uid="{00000000-0005-0000-0000-0000F04A0000}"/>
    <cellStyle name="Comma 2 5 2 2 2 3 10" xfId="21512" xr:uid="{00000000-0005-0000-0000-0000F14A0000}"/>
    <cellStyle name="Comma 2 5 2 2 2 3 10 2" xfId="39267" xr:uid="{00000000-0005-0000-0000-0000F24A0000}"/>
    <cellStyle name="Comma 2 5 2 2 2 3 11" xfId="22585" xr:uid="{00000000-0005-0000-0000-0000F34A0000}"/>
    <cellStyle name="Comma 2 5 2 2 2 3 12" xfId="23045" xr:uid="{00000000-0005-0000-0000-0000F44A0000}"/>
    <cellStyle name="Comma 2 5 2 2 2 3 13" xfId="26907" xr:uid="{00000000-0005-0000-0000-0000F54A0000}"/>
    <cellStyle name="Comma 2 5 2 2 2 3 14" xfId="30240" xr:uid="{00000000-0005-0000-0000-0000F64A0000}"/>
    <cellStyle name="Comma 2 5 2 2 2 3 15" xfId="32843" xr:uid="{00000000-0005-0000-0000-0000F74A0000}"/>
    <cellStyle name="Comma 2 5 2 2 2 3 2" xfId="1260" xr:uid="{00000000-0005-0000-0000-0000F84A0000}"/>
    <cellStyle name="Comma 2 5 2 2 2 3 2 10" xfId="33484" xr:uid="{00000000-0005-0000-0000-0000F94A0000}"/>
    <cellStyle name="Comma 2 5 2 2 2 3 2 2" xfId="10030" xr:uid="{00000000-0005-0000-0000-0000FA4A0000}"/>
    <cellStyle name="Comma 2 5 2 2 2 3 2 2 2" xfId="25830" xr:uid="{00000000-0005-0000-0000-0000FB4A0000}"/>
    <cellStyle name="Comma 2 5 2 2 2 3 2 2 2 2" xfId="45257" xr:uid="{00000000-0005-0000-0000-0000FC4A0000}"/>
    <cellStyle name="Comma 2 5 2 2 2 3 2 2 2 3" xfId="38834" xr:uid="{00000000-0005-0000-0000-0000FD4A0000}"/>
    <cellStyle name="Comma 2 5 2 2 2 3 2 2 3" xfId="28008" xr:uid="{00000000-0005-0000-0000-0000FE4A0000}"/>
    <cellStyle name="Comma 2 5 2 2 2 3 2 2 3 2" xfId="42050" xr:uid="{00000000-0005-0000-0000-0000FF4A0000}"/>
    <cellStyle name="Comma 2 5 2 2 2 3 2 2 4" xfId="31343" xr:uid="{00000000-0005-0000-0000-0000004B0000}"/>
    <cellStyle name="Comma 2 5 2 2 2 3 2 2 5" xfId="35626" xr:uid="{00000000-0005-0000-0000-0000014B0000}"/>
    <cellStyle name="Comma 2 5 2 2 2 3 2 3" xfId="15706" xr:uid="{00000000-0005-0000-0000-0000024B0000}"/>
    <cellStyle name="Comma 2 5 2 2 2 3 2 3 2" xfId="24721" xr:uid="{00000000-0005-0000-0000-0000034B0000}"/>
    <cellStyle name="Comma 2 5 2 2 2 3 2 3 2 2" xfId="44150" xr:uid="{00000000-0005-0000-0000-0000044B0000}"/>
    <cellStyle name="Comma 2 5 2 2 2 3 2 3 2 3" xfId="37727" xr:uid="{00000000-0005-0000-0000-0000054B0000}"/>
    <cellStyle name="Comma 2 5 2 2 2 3 2 3 3" xfId="29042" xr:uid="{00000000-0005-0000-0000-0000064B0000}"/>
    <cellStyle name="Comma 2 5 2 2 2 3 2 3 3 2" xfId="40943" xr:uid="{00000000-0005-0000-0000-0000074B0000}"/>
    <cellStyle name="Comma 2 5 2 2 2 3 2 3 4" xfId="32377" xr:uid="{00000000-0005-0000-0000-0000084B0000}"/>
    <cellStyle name="Comma 2 5 2 2 2 3 2 3 5" xfId="34519" xr:uid="{00000000-0005-0000-0000-0000094B0000}"/>
    <cellStyle name="Comma 2 5 2 2 2 3 2 4" xfId="8524" xr:uid="{00000000-0005-0000-0000-00000A4B0000}"/>
    <cellStyle name="Comma 2 5 2 2 2 3 2 4 2" xfId="43115" xr:uid="{00000000-0005-0000-0000-00000B4B0000}"/>
    <cellStyle name="Comma 2 5 2 2 2 3 2 4 3" xfId="36691" xr:uid="{00000000-0005-0000-0000-00000C4B0000}"/>
    <cellStyle name="Comma 2 5 2 2 2 3 2 5" xfId="21513" xr:uid="{00000000-0005-0000-0000-00000D4B0000}"/>
    <cellStyle name="Comma 2 5 2 2 2 3 2 5 2" xfId="39908" xr:uid="{00000000-0005-0000-0000-00000E4B0000}"/>
    <cellStyle name="Comma 2 5 2 2 2 3 2 6" xfId="22586" xr:uid="{00000000-0005-0000-0000-00000F4B0000}"/>
    <cellStyle name="Comma 2 5 2 2 2 3 2 7" xfId="23686" xr:uid="{00000000-0005-0000-0000-0000104B0000}"/>
    <cellStyle name="Comma 2 5 2 2 2 3 2 8" xfId="26908" xr:uid="{00000000-0005-0000-0000-0000114B0000}"/>
    <cellStyle name="Comma 2 5 2 2 2 3 2 9" xfId="30241" xr:uid="{00000000-0005-0000-0000-0000124B0000}"/>
    <cellStyle name="Comma 2 5 2 2 2 3 3" xfId="1261" xr:uid="{00000000-0005-0000-0000-0000134B0000}"/>
    <cellStyle name="Comma 2 5 2 2 2 3 3 10" xfId="33485" xr:uid="{00000000-0005-0000-0000-0000144B0000}"/>
    <cellStyle name="Comma 2 5 2 2 2 3 3 2" xfId="10031" xr:uid="{00000000-0005-0000-0000-0000154B0000}"/>
    <cellStyle name="Comma 2 5 2 2 2 3 3 2 2" xfId="25831" xr:uid="{00000000-0005-0000-0000-0000164B0000}"/>
    <cellStyle name="Comma 2 5 2 2 2 3 3 2 2 2" xfId="45258" xr:uid="{00000000-0005-0000-0000-0000174B0000}"/>
    <cellStyle name="Comma 2 5 2 2 2 3 3 2 2 3" xfId="38835" xr:uid="{00000000-0005-0000-0000-0000184B0000}"/>
    <cellStyle name="Comma 2 5 2 2 2 3 3 2 3" xfId="28009" xr:uid="{00000000-0005-0000-0000-0000194B0000}"/>
    <cellStyle name="Comma 2 5 2 2 2 3 3 2 3 2" xfId="42051" xr:uid="{00000000-0005-0000-0000-00001A4B0000}"/>
    <cellStyle name="Comma 2 5 2 2 2 3 3 2 4" xfId="31344" xr:uid="{00000000-0005-0000-0000-00001B4B0000}"/>
    <cellStyle name="Comma 2 5 2 2 2 3 3 2 5" xfId="35627" xr:uid="{00000000-0005-0000-0000-00001C4B0000}"/>
    <cellStyle name="Comma 2 5 2 2 2 3 3 3" xfId="15707" xr:uid="{00000000-0005-0000-0000-00001D4B0000}"/>
    <cellStyle name="Comma 2 5 2 2 2 3 3 3 2" xfId="24722" xr:uid="{00000000-0005-0000-0000-00001E4B0000}"/>
    <cellStyle name="Comma 2 5 2 2 2 3 3 3 2 2" xfId="44151" xr:uid="{00000000-0005-0000-0000-00001F4B0000}"/>
    <cellStyle name="Comma 2 5 2 2 2 3 3 3 2 3" xfId="37728" xr:uid="{00000000-0005-0000-0000-0000204B0000}"/>
    <cellStyle name="Comma 2 5 2 2 2 3 3 3 3" xfId="29043" xr:uid="{00000000-0005-0000-0000-0000214B0000}"/>
    <cellStyle name="Comma 2 5 2 2 2 3 3 3 3 2" xfId="40944" xr:uid="{00000000-0005-0000-0000-0000224B0000}"/>
    <cellStyle name="Comma 2 5 2 2 2 3 3 3 4" xfId="32378" xr:uid="{00000000-0005-0000-0000-0000234B0000}"/>
    <cellStyle name="Comma 2 5 2 2 2 3 3 3 5" xfId="34520" xr:uid="{00000000-0005-0000-0000-0000244B0000}"/>
    <cellStyle name="Comma 2 5 2 2 2 3 3 4" xfId="8525" xr:uid="{00000000-0005-0000-0000-0000254B0000}"/>
    <cellStyle name="Comma 2 5 2 2 2 3 3 4 2" xfId="43116" xr:uid="{00000000-0005-0000-0000-0000264B0000}"/>
    <cellStyle name="Comma 2 5 2 2 2 3 3 4 3" xfId="36692" xr:uid="{00000000-0005-0000-0000-0000274B0000}"/>
    <cellStyle name="Comma 2 5 2 2 2 3 3 5" xfId="21514" xr:uid="{00000000-0005-0000-0000-0000284B0000}"/>
    <cellStyle name="Comma 2 5 2 2 2 3 3 5 2" xfId="39909" xr:uid="{00000000-0005-0000-0000-0000294B0000}"/>
    <cellStyle name="Comma 2 5 2 2 2 3 3 6" xfId="22587" xr:uid="{00000000-0005-0000-0000-00002A4B0000}"/>
    <cellStyle name="Comma 2 5 2 2 2 3 3 7" xfId="23687" xr:uid="{00000000-0005-0000-0000-00002B4B0000}"/>
    <cellStyle name="Comma 2 5 2 2 2 3 3 8" xfId="26909" xr:uid="{00000000-0005-0000-0000-00002C4B0000}"/>
    <cellStyle name="Comma 2 5 2 2 2 3 3 9" xfId="30242" xr:uid="{00000000-0005-0000-0000-00002D4B0000}"/>
    <cellStyle name="Comma 2 5 2 2 2 3 4" xfId="1262" xr:uid="{00000000-0005-0000-0000-00002E4B0000}"/>
    <cellStyle name="Comma 2 5 2 2 2 3 4 10" xfId="33486" xr:uid="{00000000-0005-0000-0000-00002F4B0000}"/>
    <cellStyle name="Comma 2 5 2 2 2 3 4 2" xfId="10032" xr:uid="{00000000-0005-0000-0000-0000304B0000}"/>
    <cellStyle name="Comma 2 5 2 2 2 3 4 2 2" xfId="25832" xr:uid="{00000000-0005-0000-0000-0000314B0000}"/>
    <cellStyle name="Comma 2 5 2 2 2 3 4 2 2 2" xfId="45259" xr:uid="{00000000-0005-0000-0000-0000324B0000}"/>
    <cellStyle name="Comma 2 5 2 2 2 3 4 2 2 3" xfId="38836" xr:uid="{00000000-0005-0000-0000-0000334B0000}"/>
    <cellStyle name="Comma 2 5 2 2 2 3 4 2 3" xfId="28010" xr:uid="{00000000-0005-0000-0000-0000344B0000}"/>
    <cellStyle name="Comma 2 5 2 2 2 3 4 2 3 2" xfId="42052" xr:uid="{00000000-0005-0000-0000-0000354B0000}"/>
    <cellStyle name="Comma 2 5 2 2 2 3 4 2 4" xfId="31345" xr:uid="{00000000-0005-0000-0000-0000364B0000}"/>
    <cellStyle name="Comma 2 5 2 2 2 3 4 2 5" xfId="35628" xr:uid="{00000000-0005-0000-0000-0000374B0000}"/>
    <cellStyle name="Comma 2 5 2 2 2 3 4 3" xfId="15708" xr:uid="{00000000-0005-0000-0000-0000384B0000}"/>
    <cellStyle name="Comma 2 5 2 2 2 3 4 3 2" xfId="24723" xr:uid="{00000000-0005-0000-0000-0000394B0000}"/>
    <cellStyle name="Comma 2 5 2 2 2 3 4 3 2 2" xfId="44152" xr:uid="{00000000-0005-0000-0000-00003A4B0000}"/>
    <cellStyle name="Comma 2 5 2 2 2 3 4 3 2 3" xfId="37729" xr:uid="{00000000-0005-0000-0000-00003B4B0000}"/>
    <cellStyle name="Comma 2 5 2 2 2 3 4 3 3" xfId="29044" xr:uid="{00000000-0005-0000-0000-00003C4B0000}"/>
    <cellStyle name="Comma 2 5 2 2 2 3 4 3 3 2" xfId="40945" xr:uid="{00000000-0005-0000-0000-00003D4B0000}"/>
    <cellStyle name="Comma 2 5 2 2 2 3 4 3 4" xfId="32379" xr:uid="{00000000-0005-0000-0000-00003E4B0000}"/>
    <cellStyle name="Comma 2 5 2 2 2 3 4 3 5" xfId="34521" xr:uid="{00000000-0005-0000-0000-00003F4B0000}"/>
    <cellStyle name="Comma 2 5 2 2 2 3 4 4" xfId="8526" xr:uid="{00000000-0005-0000-0000-0000404B0000}"/>
    <cellStyle name="Comma 2 5 2 2 2 3 4 4 2" xfId="43117" xr:uid="{00000000-0005-0000-0000-0000414B0000}"/>
    <cellStyle name="Comma 2 5 2 2 2 3 4 4 3" xfId="36693" xr:uid="{00000000-0005-0000-0000-0000424B0000}"/>
    <cellStyle name="Comma 2 5 2 2 2 3 4 5" xfId="21515" xr:uid="{00000000-0005-0000-0000-0000434B0000}"/>
    <cellStyle name="Comma 2 5 2 2 2 3 4 5 2" xfId="39910" xr:uid="{00000000-0005-0000-0000-0000444B0000}"/>
    <cellStyle name="Comma 2 5 2 2 2 3 4 6" xfId="22588" xr:uid="{00000000-0005-0000-0000-0000454B0000}"/>
    <cellStyle name="Comma 2 5 2 2 2 3 4 7" xfId="23688" xr:uid="{00000000-0005-0000-0000-0000464B0000}"/>
    <cellStyle name="Comma 2 5 2 2 2 3 4 8" xfId="26910" xr:uid="{00000000-0005-0000-0000-0000474B0000}"/>
    <cellStyle name="Comma 2 5 2 2 2 3 4 9" xfId="30243" xr:uid="{00000000-0005-0000-0000-0000484B0000}"/>
    <cellStyle name="Comma 2 5 2 2 2 3 5" xfId="1263" xr:uid="{00000000-0005-0000-0000-0000494B0000}"/>
    <cellStyle name="Comma 2 5 2 2 2 3 5 10" xfId="33487" xr:uid="{00000000-0005-0000-0000-00004A4B0000}"/>
    <cellStyle name="Comma 2 5 2 2 2 3 5 2" xfId="10033" xr:uid="{00000000-0005-0000-0000-00004B4B0000}"/>
    <cellStyle name="Comma 2 5 2 2 2 3 5 2 2" xfId="25833" xr:uid="{00000000-0005-0000-0000-00004C4B0000}"/>
    <cellStyle name="Comma 2 5 2 2 2 3 5 2 2 2" xfId="45260" xr:uid="{00000000-0005-0000-0000-00004D4B0000}"/>
    <cellStyle name="Comma 2 5 2 2 2 3 5 2 2 3" xfId="38837" xr:uid="{00000000-0005-0000-0000-00004E4B0000}"/>
    <cellStyle name="Comma 2 5 2 2 2 3 5 2 3" xfId="28011" xr:uid="{00000000-0005-0000-0000-00004F4B0000}"/>
    <cellStyle name="Comma 2 5 2 2 2 3 5 2 3 2" xfId="42053" xr:uid="{00000000-0005-0000-0000-0000504B0000}"/>
    <cellStyle name="Comma 2 5 2 2 2 3 5 2 4" xfId="31346" xr:uid="{00000000-0005-0000-0000-0000514B0000}"/>
    <cellStyle name="Comma 2 5 2 2 2 3 5 2 5" xfId="35629" xr:uid="{00000000-0005-0000-0000-0000524B0000}"/>
    <cellStyle name="Comma 2 5 2 2 2 3 5 3" xfId="15709" xr:uid="{00000000-0005-0000-0000-0000534B0000}"/>
    <cellStyle name="Comma 2 5 2 2 2 3 5 3 2" xfId="24724" xr:uid="{00000000-0005-0000-0000-0000544B0000}"/>
    <cellStyle name="Comma 2 5 2 2 2 3 5 3 2 2" xfId="44153" xr:uid="{00000000-0005-0000-0000-0000554B0000}"/>
    <cellStyle name="Comma 2 5 2 2 2 3 5 3 2 3" xfId="37730" xr:uid="{00000000-0005-0000-0000-0000564B0000}"/>
    <cellStyle name="Comma 2 5 2 2 2 3 5 3 3" xfId="29045" xr:uid="{00000000-0005-0000-0000-0000574B0000}"/>
    <cellStyle name="Comma 2 5 2 2 2 3 5 3 3 2" xfId="40946" xr:uid="{00000000-0005-0000-0000-0000584B0000}"/>
    <cellStyle name="Comma 2 5 2 2 2 3 5 3 4" xfId="32380" xr:uid="{00000000-0005-0000-0000-0000594B0000}"/>
    <cellStyle name="Comma 2 5 2 2 2 3 5 3 5" xfId="34522" xr:uid="{00000000-0005-0000-0000-00005A4B0000}"/>
    <cellStyle name="Comma 2 5 2 2 2 3 5 4" xfId="8527" xr:uid="{00000000-0005-0000-0000-00005B4B0000}"/>
    <cellStyle name="Comma 2 5 2 2 2 3 5 4 2" xfId="43118" xr:uid="{00000000-0005-0000-0000-00005C4B0000}"/>
    <cellStyle name="Comma 2 5 2 2 2 3 5 4 3" xfId="36694" xr:uid="{00000000-0005-0000-0000-00005D4B0000}"/>
    <cellStyle name="Comma 2 5 2 2 2 3 5 5" xfId="21516" xr:uid="{00000000-0005-0000-0000-00005E4B0000}"/>
    <cellStyle name="Comma 2 5 2 2 2 3 5 5 2" xfId="39911" xr:uid="{00000000-0005-0000-0000-00005F4B0000}"/>
    <cellStyle name="Comma 2 5 2 2 2 3 5 6" xfId="22589" xr:uid="{00000000-0005-0000-0000-0000604B0000}"/>
    <cellStyle name="Comma 2 5 2 2 2 3 5 7" xfId="23689" xr:uid="{00000000-0005-0000-0000-0000614B0000}"/>
    <cellStyle name="Comma 2 5 2 2 2 3 5 8" xfId="26911" xr:uid="{00000000-0005-0000-0000-0000624B0000}"/>
    <cellStyle name="Comma 2 5 2 2 2 3 5 9" xfId="30244" xr:uid="{00000000-0005-0000-0000-0000634B0000}"/>
    <cellStyle name="Comma 2 5 2 2 2 3 6" xfId="1264" xr:uid="{00000000-0005-0000-0000-0000644B0000}"/>
    <cellStyle name="Comma 2 5 2 2 2 3 6 10" xfId="33488" xr:uid="{00000000-0005-0000-0000-0000654B0000}"/>
    <cellStyle name="Comma 2 5 2 2 2 3 6 2" xfId="10034" xr:uid="{00000000-0005-0000-0000-0000664B0000}"/>
    <cellStyle name="Comma 2 5 2 2 2 3 6 2 2" xfId="25834" xr:uid="{00000000-0005-0000-0000-0000674B0000}"/>
    <cellStyle name="Comma 2 5 2 2 2 3 6 2 2 2" xfId="45261" xr:uid="{00000000-0005-0000-0000-0000684B0000}"/>
    <cellStyle name="Comma 2 5 2 2 2 3 6 2 2 3" xfId="38838" xr:uid="{00000000-0005-0000-0000-0000694B0000}"/>
    <cellStyle name="Comma 2 5 2 2 2 3 6 2 3" xfId="28012" xr:uid="{00000000-0005-0000-0000-00006A4B0000}"/>
    <cellStyle name="Comma 2 5 2 2 2 3 6 2 3 2" xfId="42054" xr:uid="{00000000-0005-0000-0000-00006B4B0000}"/>
    <cellStyle name="Comma 2 5 2 2 2 3 6 2 4" xfId="31347" xr:uid="{00000000-0005-0000-0000-00006C4B0000}"/>
    <cellStyle name="Comma 2 5 2 2 2 3 6 2 5" xfId="35630" xr:uid="{00000000-0005-0000-0000-00006D4B0000}"/>
    <cellStyle name="Comma 2 5 2 2 2 3 6 3" xfId="15710" xr:uid="{00000000-0005-0000-0000-00006E4B0000}"/>
    <cellStyle name="Comma 2 5 2 2 2 3 6 3 2" xfId="24725" xr:uid="{00000000-0005-0000-0000-00006F4B0000}"/>
    <cellStyle name="Comma 2 5 2 2 2 3 6 3 2 2" xfId="44154" xr:uid="{00000000-0005-0000-0000-0000704B0000}"/>
    <cellStyle name="Comma 2 5 2 2 2 3 6 3 2 3" xfId="37731" xr:uid="{00000000-0005-0000-0000-0000714B0000}"/>
    <cellStyle name="Comma 2 5 2 2 2 3 6 3 3" xfId="29046" xr:uid="{00000000-0005-0000-0000-0000724B0000}"/>
    <cellStyle name="Comma 2 5 2 2 2 3 6 3 3 2" xfId="40947" xr:uid="{00000000-0005-0000-0000-0000734B0000}"/>
    <cellStyle name="Comma 2 5 2 2 2 3 6 3 4" xfId="32381" xr:uid="{00000000-0005-0000-0000-0000744B0000}"/>
    <cellStyle name="Comma 2 5 2 2 2 3 6 3 5" xfId="34523" xr:uid="{00000000-0005-0000-0000-0000754B0000}"/>
    <cellStyle name="Comma 2 5 2 2 2 3 6 4" xfId="8528" xr:uid="{00000000-0005-0000-0000-0000764B0000}"/>
    <cellStyle name="Comma 2 5 2 2 2 3 6 4 2" xfId="43119" xr:uid="{00000000-0005-0000-0000-0000774B0000}"/>
    <cellStyle name="Comma 2 5 2 2 2 3 6 4 3" xfId="36695" xr:uid="{00000000-0005-0000-0000-0000784B0000}"/>
    <cellStyle name="Comma 2 5 2 2 2 3 6 5" xfId="21517" xr:uid="{00000000-0005-0000-0000-0000794B0000}"/>
    <cellStyle name="Comma 2 5 2 2 2 3 6 5 2" xfId="39912" xr:uid="{00000000-0005-0000-0000-00007A4B0000}"/>
    <cellStyle name="Comma 2 5 2 2 2 3 6 6" xfId="22590" xr:uid="{00000000-0005-0000-0000-00007B4B0000}"/>
    <cellStyle name="Comma 2 5 2 2 2 3 6 7" xfId="23690" xr:uid="{00000000-0005-0000-0000-00007C4B0000}"/>
    <cellStyle name="Comma 2 5 2 2 2 3 6 8" xfId="26912" xr:uid="{00000000-0005-0000-0000-00007D4B0000}"/>
    <cellStyle name="Comma 2 5 2 2 2 3 6 9" xfId="30245" xr:uid="{00000000-0005-0000-0000-00007E4B0000}"/>
    <cellStyle name="Comma 2 5 2 2 2 3 7" xfId="9130" xr:uid="{00000000-0005-0000-0000-00007F4B0000}"/>
    <cellStyle name="Comma 2 5 2 2 2 3 7 2" xfId="25184" xr:uid="{00000000-0005-0000-0000-0000804B0000}"/>
    <cellStyle name="Comma 2 5 2 2 2 3 7 2 2" xfId="44611" xr:uid="{00000000-0005-0000-0000-0000814B0000}"/>
    <cellStyle name="Comma 2 5 2 2 2 3 7 2 3" xfId="38188" xr:uid="{00000000-0005-0000-0000-0000824B0000}"/>
    <cellStyle name="Comma 2 5 2 2 2 3 7 3" xfId="27363" xr:uid="{00000000-0005-0000-0000-0000834B0000}"/>
    <cellStyle name="Comma 2 5 2 2 2 3 7 3 2" xfId="41404" xr:uid="{00000000-0005-0000-0000-0000844B0000}"/>
    <cellStyle name="Comma 2 5 2 2 2 3 7 4" xfId="30698" xr:uid="{00000000-0005-0000-0000-0000854B0000}"/>
    <cellStyle name="Comma 2 5 2 2 2 3 7 5" xfId="34980" xr:uid="{00000000-0005-0000-0000-0000864B0000}"/>
    <cellStyle name="Comma 2 5 2 2 2 3 8" xfId="15705" xr:uid="{00000000-0005-0000-0000-0000874B0000}"/>
    <cellStyle name="Comma 2 5 2 2 2 3 8 2" xfId="24720" xr:uid="{00000000-0005-0000-0000-0000884B0000}"/>
    <cellStyle name="Comma 2 5 2 2 2 3 8 2 2" xfId="44149" xr:uid="{00000000-0005-0000-0000-0000894B0000}"/>
    <cellStyle name="Comma 2 5 2 2 2 3 8 2 3" xfId="37726" xr:uid="{00000000-0005-0000-0000-00008A4B0000}"/>
    <cellStyle name="Comma 2 5 2 2 2 3 8 3" xfId="29041" xr:uid="{00000000-0005-0000-0000-00008B4B0000}"/>
    <cellStyle name="Comma 2 5 2 2 2 3 8 3 2" xfId="40942" xr:uid="{00000000-0005-0000-0000-00008C4B0000}"/>
    <cellStyle name="Comma 2 5 2 2 2 3 8 4" xfId="32376" xr:uid="{00000000-0005-0000-0000-00008D4B0000}"/>
    <cellStyle name="Comma 2 5 2 2 2 3 8 5" xfId="34518" xr:uid="{00000000-0005-0000-0000-00008E4B0000}"/>
    <cellStyle name="Comma 2 5 2 2 2 3 9" xfId="8523" xr:uid="{00000000-0005-0000-0000-00008F4B0000}"/>
    <cellStyle name="Comma 2 5 2 2 2 3 9 2" xfId="42474" xr:uid="{00000000-0005-0000-0000-0000904B0000}"/>
    <cellStyle name="Comma 2 5 2 2 2 3 9 3" xfId="36050" xr:uid="{00000000-0005-0000-0000-0000914B0000}"/>
    <cellStyle name="Comma 2 5 2 2 2 4" xfId="1265" xr:uid="{00000000-0005-0000-0000-0000924B0000}"/>
    <cellStyle name="Comma 2 5 2 2 2 4 10" xfId="22591" xr:uid="{00000000-0005-0000-0000-0000934B0000}"/>
    <cellStyle name="Comma 2 5 2 2 2 4 11" xfId="23691" xr:uid="{00000000-0005-0000-0000-0000944B0000}"/>
    <cellStyle name="Comma 2 5 2 2 2 4 12" xfId="26913" xr:uid="{00000000-0005-0000-0000-0000954B0000}"/>
    <cellStyle name="Comma 2 5 2 2 2 4 13" xfId="30246" xr:uid="{00000000-0005-0000-0000-0000964B0000}"/>
    <cellStyle name="Comma 2 5 2 2 2 4 14" xfId="33489" xr:uid="{00000000-0005-0000-0000-0000974B0000}"/>
    <cellStyle name="Comma 2 5 2 2 2 4 2" xfId="1266" xr:uid="{00000000-0005-0000-0000-0000984B0000}"/>
    <cellStyle name="Comma 2 5 2 2 2 4 2 10" xfId="33490" xr:uid="{00000000-0005-0000-0000-0000994B0000}"/>
    <cellStyle name="Comma 2 5 2 2 2 4 2 2" xfId="10036" xr:uid="{00000000-0005-0000-0000-00009A4B0000}"/>
    <cellStyle name="Comma 2 5 2 2 2 4 2 2 2" xfId="25836" xr:uid="{00000000-0005-0000-0000-00009B4B0000}"/>
    <cellStyle name="Comma 2 5 2 2 2 4 2 2 2 2" xfId="45263" xr:uid="{00000000-0005-0000-0000-00009C4B0000}"/>
    <cellStyle name="Comma 2 5 2 2 2 4 2 2 2 3" xfId="38840" xr:uid="{00000000-0005-0000-0000-00009D4B0000}"/>
    <cellStyle name="Comma 2 5 2 2 2 4 2 2 3" xfId="28014" xr:uid="{00000000-0005-0000-0000-00009E4B0000}"/>
    <cellStyle name="Comma 2 5 2 2 2 4 2 2 3 2" xfId="42056" xr:uid="{00000000-0005-0000-0000-00009F4B0000}"/>
    <cellStyle name="Comma 2 5 2 2 2 4 2 2 4" xfId="31349" xr:uid="{00000000-0005-0000-0000-0000A04B0000}"/>
    <cellStyle name="Comma 2 5 2 2 2 4 2 2 5" xfId="35632" xr:uid="{00000000-0005-0000-0000-0000A14B0000}"/>
    <cellStyle name="Comma 2 5 2 2 2 4 2 3" xfId="15712" xr:uid="{00000000-0005-0000-0000-0000A24B0000}"/>
    <cellStyle name="Comma 2 5 2 2 2 4 2 3 2" xfId="24727" xr:uid="{00000000-0005-0000-0000-0000A34B0000}"/>
    <cellStyle name="Comma 2 5 2 2 2 4 2 3 2 2" xfId="44156" xr:uid="{00000000-0005-0000-0000-0000A44B0000}"/>
    <cellStyle name="Comma 2 5 2 2 2 4 2 3 2 3" xfId="37733" xr:uid="{00000000-0005-0000-0000-0000A54B0000}"/>
    <cellStyle name="Comma 2 5 2 2 2 4 2 3 3" xfId="29048" xr:uid="{00000000-0005-0000-0000-0000A64B0000}"/>
    <cellStyle name="Comma 2 5 2 2 2 4 2 3 3 2" xfId="40949" xr:uid="{00000000-0005-0000-0000-0000A74B0000}"/>
    <cellStyle name="Comma 2 5 2 2 2 4 2 3 4" xfId="32383" xr:uid="{00000000-0005-0000-0000-0000A84B0000}"/>
    <cellStyle name="Comma 2 5 2 2 2 4 2 3 5" xfId="34525" xr:uid="{00000000-0005-0000-0000-0000A94B0000}"/>
    <cellStyle name="Comma 2 5 2 2 2 4 2 4" xfId="8530" xr:uid="{00000000-0005-0000-0000-0000AA4B0000}"/>
    <cellStyle name="Comma 2 5 2 2 2 4 2 4 2" xfId="43121" xr:uid="{00000000-0005-0000-0000-0000AB4B0000}"/>
    <cellStyle name="Comma 2 5 2 2 2 4 2 4 3" xfId="36697" xr:uid="{00000000-0005-0000-0000-0000AC4B0000}"/>
    <cellStyle name="Comma 2 5 2 2 2 4 2 5" xfId="21519" xr:uid="{00000000-0005-0000-0000-0000AD4B0000}"/>
    <cellStyle name="Comma 2 5 2 2 2 4 2 5 2" xfId="39914" xr:uid="{00000000-0005-0000-0000-0000AE4B0000}"/>
    <cellStyle name="Comma 2 5 2 2 2 4 2 6" xfId="22592" xr:uid="{00000000-0005-0000-0000-0000AF4B0000}"/>
    <cellStyle name="Comma 2 5 2 2 2 4 2 7" xfId="23692" xr:uid="{00000000-0005-0000-0000-0000B04B0000}"/>
    <cellStyle name="Comma 2 5 2 2 2 4 2 8" xfId="26914" xr:uid="{00000000-0005-0000-0000-0000B14B0000}"/>
    <cellStyle name="Comma 2 5 2 2 2 4 2 9" xfId="30247" xr:uid="{00000000-0005-0000-0000-0000B24B0000}"/>
    <cellStyle name="Comma 2 5 2 2 2 4 3" xfId="1267" xr:uid="{00000000-0005-0000-0000-0000B34B0000}"/>
    <cellStyle name="Comma 2 5 2 2 2 4 3 10" xfId="33491" xr:uid="{00000000-0005-0000-0000-0000B44B0000}"/>
    <cellStyle name="Comma 2 5 2 2 2 4 3 2" xfId="10037" xr:uid="{00000000-0005-0000-0000-0000B54B0000}"/>
    <cellStyle name="Comma 2 5 2 2 2 4 3 2 2" xfId="25837" xr:uid="{00000000-0005-0000-0000-0000B64B0000}"/>
    <cellStyle name="Comma 2 5 2 2 2 4 3 2 2 2" xfId="45264" xr:uid="{00000000-0005-0000-0000-0000B74B0000}"/>
    <cellStyle name="Comma 2 5 2 2 2 4 3 2 2 3" xfId="38841" xr:uid="{00000000-0005-0000-0000-0000B84B0000}"/>
    <cellStyle name="Comma 2 5 2 2 2 4 3 2 3" xfId="28015" xr:uid="{00000000-0005-0000-0000-0000B94B0000}"/>
    <cellStyle name="Comma 2 5 2 2 2 4 3 2 3 2" xfId="42057" xr:uid="{00000000-0005-0000-0000-0000BA4B0000}"/>
    <cellStyle name="Comma 2 5 2 2 2 4 3 2 4" xfId="31350" xr:uid="{00000000-0005-0000-0000-0000BB4B0000}"/>
    <cellStyle name="Comma 2 5 2 2 2 4 3 2 5" xfId="35633" xr:uid="{00000000-0005-0000-0000-0000BC4B0000}"/>
    <cellStyle name="Comma 2 5 2 2 2 4 3 3" xfId="15713" xr:uid="{00000000-0005-0000-0000-0000BD4B0000}"/>
    <cellStyle name="Comma 2 5 2 2 2 4 3 3 2" xfId="24728" xr:uid="{00000000-0005-0000-0000-0000BE4B0000}"/>
    <cellStyle name="Comma 2 5 2 2 2 4 3 3 2 2" xfId="44157" xr:uid="{00000000-0005-0000-0000-0000BF4B0000}"/>
    <cellStyle name="Comma 2 5 2 2 2 4 3 3 2 3" xfId="37734" xr:uid="{00000000-0005-0000-0000-0000C04B0000}"/>
    <cellStyle name="Comma 2 5 2 2 2 4 3 3 3" xfId="29049" xr:uid="{00000000-0005-0000-0000-0000C14B0000}"/>
    <cellStyle name="Comma 2 5 2 2 2 4 3 3 3 2" xfId="40950" xr:uid="{00000000-0005-0000-0000-0000C24B0000}"/>
    <cellStyle name="Comma 2 5 2 2 2 4 3 3 4" xfId="32384" xr:uid="{00000000-0005-0000-0000-0000C34B0000}"/>
    <cellStyle name="Comma 2 5 2 2 2 4 3 3 5" xfId="34526" xr:uid="{00000000-0005-0000-0000-0000C44B0000}"/>
    <cellStyle name="Comma 2 5 2 2 2 4 3 4" xfId="8531" xr:uid="{00000000-0005-0000-0000-0000C54B0000}"/>
    <cellStyle name="Comma 2 5 2 2 2 4 3 4 2" xfId="43122" xr:uid="{00000000-0005-0000-0000-0000C64B0000}"/>
    <cellStyle name="Comma 2 5 2 2 2 4 3 4 3" xfId="36698" xr:uid="{00000000-0005-0000-0000-0000C74B0000}"/>
    <cellStyle name="Comma 2 5 2 2 2 4 3 5" xfId="21520" xr:uid="{00000000-0005-0000-0000-0000C84B0000}"/>
    <cellStyle name="Comma 2 5 2 2 2 4 3 5 2" xfId="39915" xr:uid="{00000000-0005-0000-0000-0000C94B0000}"/>
    <cellStyle name="Comma 2 5 2 2 2 4 3 6" xfId="22593" xr:uid="{00000000-0005-0000-0000-0000CA4B0000}"/>
    <cellStyle name="Comma 2 5 2 2 2 4 3 7" xfId="23693" xr:uid="{00000000-0005-0000-0000-0000CB4B0000}"/>
    <cellStyle name="Comma 2 5 2 2 2 4 3 8" xfId="26915" xr:uid="{00000000-0005-0000-0000-0000CC4B0000}"/>
    <cellStyle name="Comma 2 5 2 2 2 4 3 9" xfId="30248" xr:uid="{00000000-0005-0000-0000-0000CD4B0000}"/>
    <cellStyle name="Comma 2 5 2 2 2 4 4" xfId="1268" xr:uid="{00000000-0005-0000-0000-0000CE4B0000}"/>
    <cellStyle name="Comma 2 5 2 2 2 4 4 10" xfId="33492" xr:uid="{00000000-0005-0000-0000-0000CF4B0000}"/>
    <cellStyle name="Comma 2 5 2 2 2 4 4 2" xfId="10038" xr:uid="{00000000-0005-0000-0000-0000D04B0000}"/>
    <cellStyle name="Comma 2 5 2 2 2 4 4 2 2" xfId="25838" xr:uid="{00000000-0005-0000-0000-0000D14B0000}"/>
    <cellStyle name="Comma 2 5 2 2 2 4 4 2 2 2" xfId="45265" xr:uid="{00000000-0005-0000-0000-0000D24B0000}"/>
    <cellStyle name="Comma 2 5 2 2 2 4 4 2 2 3" xfId="38842" xr:uid="{00000000-0005-0000-0000-0000D34B0000}"/>
    <cellStyle name="Comma 2 5 2 2 2 4 4 2 3" xfId="28016" xr:uid="{00000000-0005-0000-0000-0000D44B0000}"/>
    <cellStyle name="Comma 2 5 2 2 2 4 4 2 3 2" xfId="42058" xr:uid="{00000000-0005-0000-0000-0000D54B0000}"/>
    <cellStyle name="Comma 2 5 2 2 2 4 4 2 4" xfId="31351" xr:uid="{00000000-0005-0000-0000-0000D64B0000}"/>
    <cellStyle name="Comma 2 5 2 2 2 4 4 2 5" xfId="35634" xr:uid="{00000000-0005-0000-0000-0000D74B0000}"/>
    <cellStyle name="Comma 2 5 2 2 2 4 4 3" xfId="15714" xr:uid="{00000000-0005-0000-0000-0000D84B0000}"/>
    <cellStyle name="Comma 2 5 2 2 2 4 4 3 2" xfId="24729" xr:uid="{00000000-0005-0000-0000-0000D94B0000}"/>
    <cellStyle name="Comma 2 5 2 2 2 4 4 3 2 2" xfId="44158" xr:uid="{00000000-0005-0000-0000-0000DA4B0000}"/>
    <cellStyle name="Comma 2 5 2 2 2 4 4 3 2 3" xfId="37735" xr:uid="{00000000-0005-0000-0000-0000DB4B0000}"/>
    <cellStyle name="Comma 2 5 2 2 2 4 4 3 3" xfId="29050" xr:uid="{00000000-0005-0000-0000-0000DC4B0000}"/>
    <cellStyle name="Comma 2 5 2 2 2 4 4 3 3 2" xfId="40951" xr:uid="{00000000-0005-0000-0000-0000DD4B0000}"/>
    <cellStyle name="Comma 2 5 2 2 2 4 4 3 4" xfId="32385" xr:uid="{00000000-0005-0000-0000-0000DE4B0000}"/>
    <cellStyle name="Comma 2 5 2 2 2 4 4 3 5" xfId="34527" xr:uid="{00000000-0005-0000-0000-0000DF4B0000}"/>
    <cellStyle name="Comma 2 5 2 2 2 4 4 4" xfId="8532" xr:uid="{00000000-0005-0000-0000-0000E04B0000}"/>
    <cellStyle name="Comma 2 5 2 2 2 4 4 4 2" xfId="43123" xr:uid="{00000000-0005-0000-0000-0000E14B0000}"/>
    <cellStyle name="Comma 2 5 2 2 2 4 4 4 3" xfId="36699" xr:uid="{00000000-0005-0000-0000-0000E24B0000}"/>
    <cellStyle name="Comma 2 5 2 2 2 4 4 5" xfId="21521" xr:uid="{00000000-0005-0000-0000-0000E34B0000}"/>
    <cellStyle name="Comma 2 5 2 2 2 4 4 5 2" xfId="39916" xr:uid="{00000000-0005-0000-0000-0000E44B0000}"/>
    <cellStyle name="Comma 2 5 2 2 2 4 4 6" xfId="22594" xr:uid="{00000000-0005-0000-0000-0000E54B0000}"/>
    <cellStyle name="Comma 2 5 2 2 2 4 4 7" xfId="23694" xr:uid="{00000000-0005-0000-0000-0000E64B0000}"/>
    <cellStyle name="Comma 2 5 2 2 2 4 4 8" xfId="26916" xr:uid="{00000000-0005-0000-0000-0000E74B0000}"/>
    <cellStyle name="Comma 2 5 2 2 2 4 4 9" xfId="30249" xr:uid="{00000000-0005-0000-0000-0000E84B0000}"/>
    <cellStyle name="Comma 2 5 2 2 2 4 5" xfId="1269" xr:uid="{00000000-0005-0000-0000-0000E94B0000}"/>
    <cellStyle name="Comma 2 5 2 2 2 4 5 10" xfId="33493" xr:uid="{00000000-0005-0000-0000-0000EA4B0000}"/>
    <cellStyle name="Comma 2 5 2 2 2 4 5 2" xfId="10039" xr:uid="{00000000-0005-0000-0000-0000EB4B0000}"/>
    <cellStyle name="Comma 2 5 2 2 2 4 5 2 2" xfId="25839" xr:uid="{00000000-0005-0000-0000-0000EC4B0000}"/>
    <cellStyle name="Comma 2 5 2 2 2 4 5 2 2 2" xfId="45266" xr:uid="{00000000-0005-0000-0000-0000ED4B0000}"/>
    <cellStyle name="Comma 2 5 2 2 2 4 5 2 2 3" xfId="38843" xr:uid="{00000000-0005-0000-0000-0000EE4B0000}"/>
    <cellStyle name="Comma 2 5 2 2 2 4 5 2 3" xfId="28017" xr:uid="{00000000-0005-0000-0000-0000EF4B0000}"/>
    <cellStyle name="Comma 2 5 2 2 2 4 5 2 3 2" xfId="42059" xr:uid="{00000000-0005-0000-0000-0000F04B0000}"/>
    <cellStyle name="Comma 2 5 2 2 2 4 5 2 4" xfId="31352" xr:uid="{00000000-0005-0000-0000-0000F14B0000}"/>
    <cellStyle name="Comma 2 5 2 2 2 4 5 2 5" xfId="35635" xr:uid="{00000000-0005-0000-0000-0000F24B0000}"/>
    <cellStyle name="Comma 2 5 2 2 2 4 5 3" xfId="15715" xr:uid="{00000000-0005-0000-0000-0000F34B0000}"/>
    <cellStyle name="Comma 2 5 2 2 2 4 5 3 2" xfId="24730" xr:uid="{00000000-0005-0000-0000-0000F44B0000}"/>
    <cellStyle name="Comma 2 5 2 2 2 4 5 3 2 2" xfId="44159" xr:uid="{00000000-0005-0000-0000-0000F54B0000}"/>
    <cellStyle name="Comma 2 5 2 2 2 4 5 3 2 3" xfId="37736" xr:uid="{00000000-0005-0000-0000-0000F64B0000}"/>
    <cellStyle name="Comma 2 5 2 2 2 4 5 3 3" xfId="29051" xr:uid="{00000000-0005-0000-0000-0000F74B0000}"/>
    <cellStyle name="Comma 2 5 2 2 2 4 5 3 3 2" xfId="40952" xr:uid="{00000000-0005-0000-0000-0000F84B0000}"/>
    <cellStyle name="Comma 2 5 2 2 2 4 5 3 4" xfId="32386" xr:uid="{00000000-0005-0000-0000-0000F94B0000}"/>
    <cellStyle name="Comma 2 5 2 2 2 4 5 3 5" xfId="34528" xr:uid="{00000000-0005-0000-0000-0000FA4B0000}"/>
    <cellStyle name="Comma 2 5 2 2 2 4 5 4" xfId="8533" xr:uid="{00000000-0005-0000-0000-0000FB4B0000}"/>
    <cellStyle name="Comma 2 5 2 2 2 4 5 4 2" xfId="43124" xr:uid="{00000000-0005-0000-0000-0000FC4B0000}"/>
    <cellStyle name="Comma 2 5 2 2 2 4 5 4 3" xfId="36700" xr:uid="{00000000-0005-0000-0000-0000FD4B0000}"/>
    <cellStyle name="Comma 2 5 2 2 2 4 5 5" xfId="21522" xr:uid="{00000000-0005-0000-0000-0000FE4B0000}"/>
    <cellStyle name="Comma 2 5 2 2 2 4 5 5 2" xfId="39917" xr:uid="{00000000-0005-0000-0000-0000FF4B0000}"/>
    <cellStyle name="Comma 2 5 2 2 2 4 5 6" xfId="22595" xr:uid="{00000000-0005-0000-0000-0000004C0000}"/>
    <cellStyle name="Comma 2 5 2 2 2 4 5 7" xfId="23695" xr:uid="{00000000-0005-0000-0000-0000014C0000}"/>
    <cellStyle name="Comma 2 5 2 2 2 4 5 8" xfId="26917" xr:uid="{00000000-0005-0000-0000-0000024C0000}"/>
    <cellStyle name="Comma 2 5 2 2 2 4 5 9" xfId="30250" xr:uid="{00000000-0005-0000-0000-0000034C0000}"/>
    <cellStyle name="Comma 2 5 2 2 2 4 6" xfId="10035" xr:uid="{00000000-0005-0000-0000-0000044C0000}"/>
    <cellStyle name="Comma 2 5 2 2 2 4 6 2" xfId="25835" xr:uid="{00000000-0005-0000-0000-0000054C0000}"/>
    <cellStyle name="Comma 2 5 2 2 2 4 6 2 2" xfId="45262" xr:uid="{00000000-0005-0000-0000-0000064C0000}"/>
    <cellStyle name="Comma 2 5 2 2 2 4 6 2 3" xfId="38839" xr:uid="{00000000-0005-0000-0000-0000074C0000}"/>
    <cellStyle name="Comma 2 5 2 2 2 4 6 3" xfId="28013" xr:uid="{00000000-0005-0000-0000-0000084C0000}"/>
    <cellStyle name="Comma 2 5 2 2 2 4 6 3 2" xfId="42055" xr:uid="{00000000-0005-0000-0000-0000094C0000}"/>
    <cellStyle name="Comma 2 5 2 2 2 4 6 4" xfId="31348" xr:uid="{00000000-0005-0000-0000-00000A4C0000}"/>
    <cellStyle name="Comma 2 5 2 2 2 4 6 5" xfId="35631" xr:uid="{00000000-0005-0000-0000-00000B4C0000}"/>
    <cellStyle name="Comma 2 5 2 2 2 4 7" xfId="15711" xr:uid="{00000000-0005-0000-0000-00000C4C0000}"/>
    <cellStyle name="Comma 2 5 2 2 2 4 7 2" xfId="24726" xr:uid="{00000000-0005-0000-0000-00000D4C0000}"/>
    <cellStyle name="Comma 2 5 2 2 2 4 7 2 2" xfId="44155" xr:uid="{00000000-0005-0000-0000-00000E4C0000}"/>
    <cellStyle name="Comma 2 5 2 2 2 4 7 2 3" xfId="37732" xr:uid="{00000000-0005-0000-0000-00000F4C0000}"/>
    <cellStyle name="Comma 2 5 2 2 2 4 7 3" xfId="29047" xr:uid="{00000000-0005-0000-0000-0000104C0000}"/>
    <cellStyle name="Comma 2 5 2 2 2 4 7 3 2" xfId="40948" xr:uid="{00000000-0005-0000-0000-0000114C0000}"/>
    <cellStyle name="Comma 2 5 2 2 2 4 7 4" xfId="32382" xr:uid="{00000000-0005-0000-0000-0000124C0000}"/>
    <cellStyle name="Comma 2 5 2 2 2 4 7 5" xfId="34524" xr:uid="{00000000-0005-0000-0000-0000134C0000}"/>
    <cellStyle name="Comma 2 5 2 2 2 4 8" xfId="8529" xr:uid="{00000000-0005-0000-0000-0000144C0000}"/>
    <cellStyle name="Comma 2 5 2 2 2 4 8 2" xfId="43120" xr:uid="{00000000-0005-0000-0000-0000154C0000}"/>
    <cellStyle name="Comma 2 5 2 2 2 4 8 3" xfId="36696" xr:uid="{00000000-0005-0000-0000-0000164C0000}"/>
    <cellStyle name="Comma 2 5 2 2 2 4 9" xfId="21518" xr:uid="{00000000-0005-0000-0000-0000174C0000}"/>
    <cellStyle name="Comma 2 5 2 2 2 4 9 2" xfId="39913" xr:uid="{00000000-0005-0000-0000-0000184C0000}"/>
    <cellStyle name="Comma 2 5 2 2 2 5" xfId="1270" xr:uid="{00000000-0005-0000-0000-0000194C0000}"/>
    <cellStyle name="Comma 2 5 2 2 2 5 10" xfId="22596" xr:uid="{00000000-0005-0000-0000-00001A4C0000}"/>
    <cellStyle name="Comma 2 5 2 2 2 5 11" xfId="23696" xr:uid="{00000000-0005-0000-0000-00001B4C0000}"/>
    <cellStyle name="Comma 2 5 2 2 2 5 12" xfId="26918" xr:uid="{00000000-0005-0000-0000-00001C4C0000}"/>
    <cellStyle name="Comma 2 5 2 2 2 5 13" xfId="30251" xr:uid="{00000000-0005-0000-0000-00001D4C0000}"/>
    <cellStyle name="Comma 2 5 2 2 2 5 14" xfId="33494" xr:uid="{00000000-0005-0000-0000-00001E4C0000}"/>
    <cellStyle name="Comma 2 5 2 2 2 5 2" xfId="1271" xr:uid="{00000000-0005-0000-0000-00001F4C0000}"/>
    <cellStyle name="Comma 2 5 2 2 2 5 2 10" xfId="33495" xr:uid="{00000000-0005-0000-0000-0000204C0000}"/>
    <cellStyle name="Comma 2 5 2 2 2 5 2 2" xfId="10041" xr:uid="{00000000-0005-0000-0000-0000214C0000}"/>
    <cellStyle name="Comma 2 5 2 2 2 5 2 2 2" xfId="25841" xr:uid="{00000000-0005-0000-0000-0000224C0000}"/>
    <cellStyle name="Comma 2 5 2 2 2 5 2 2 2 2" xfId="45268" xr:uid="{00000000-0005-0000-0000-0000234C0000}"/>
    <cellStyle name="Comma 2 5 2 2 2 5 2 2 2 3" xfId="38845" xr:uid="{00000000-0005-0000-0000-0000244C0000}"/>
    <cellStyle name="Comma 2 5 2 2 2 5 2 2 3" xfId="28019" xr:uid="{00000000-0005-0000-0000-0000254C0000}"/>
    <cellStyle name="Comma 2 5 2 2 2 5 2 2 3 2" xfId="42061" xr:uid="{00000000-0005-0000-0000-0000264C0000}"/>
    <cellStyle name="Comma 2 5 2 2 2 5 2 2 4" xfId="31354" xr:uid="{00000000-0005-0000-0000-0000274C0000}"/>
    <cellStyle name="Comma 2 5 2 2 2 5 2 2 5" xfId="35637" xr:uid="{00000000-0005-0000-0000-0000284C0000}"/>
    <cellStyle name="Comma 2 5 2 2 2 5 2 3" xfId="15717" xr:uid="{00000000-0005-0000-0000-0000294C0000}"/>
    <cellStyle name="Comma 2 5 2 2 2 5 2 3 2" xfId="24732" xr:uid="{00000000-0005-0000-0000-00002A4C0000}"/>
    <cellStyle name="Comma 2 5 2 2 2 5 2 3 2 2" xfId="44161" xr:uid="{00000000-0005-0000-0000-00002B4C0000}"/>
    <cellStyle name="Comma 2 5 2 2 2 5 2 3 2 3" xfId="37738" xr:uid="{00000000-0005-0000-0000-00002C4C0000}"/>
    <cellStyle name="Comma 2 5 2 2 2 5 2 3 3" xfId="29053" xr:uid="{00000000-0005-0000-0000-00002D4C0000}"/>
    <cellStyle name="Comma 2 5 2 2 2 5 2 3 3 2" xfId="40954" xr:uid="{00000000-0005-0000-0000-00002E4C0000}"/>
    <cellStyle name="Comma 2 5 2 2 2 5 2 3 4" xfId="32388" xr:uid="{00000000-0005-0000-0000-00002F4C0000}"/>
    <cellStyle name="Comma 2 5 2 2 2 5 2 3 5" xfId="34530" xr:uid="{00000000-0005-0000-0000-0000304C0000}"/>
    <cellStyle name="Comma 2 5 2 2 2 5 2 4" xfId="8535" xr:uid="{00000000-0005-0000-0000-0000314C0000}"/>
    <cellStyle name="Comma 2 5 2 2 2 5 2 4 2" xfId="43126" xr:uid="{00000000-0005-0000-0000-0000324C0000}"/>
    <cellStyle name="Comma 2 5 2 2 2 5 2 4 3" xfId="36702" xr:uid="{00000000-0005-0000-0000-0000334C0000}"/>
    <cellStyle name="Comma 2 5 2 2 2 5 2 5" xfId="21524" xr:uid="{00000000-0005-0000-0000-0000344C0000}"/>
    <cellStyle name="Comma 2 5 2 2 2 5 2 5 2" xfId="39919" xr:uid="{00000000-0005-0000-0000-0000354C0000}"/>
    <cellStyle name="Comma 2 5 2 2 2 5 2 6" xfId="22597" xr:uid="{00000000-0005-0000-0000-0000364C0000}"/>
    <cellStyle name="Comma 2 5 2 2 2 5 2 7" xfId="23697" xr:uid="{00000000-0005-0000-0000-0000374C0000}"/>
    <cellStyle name="Comma 2 5 2 2 2 5 2 8" xfId="26919" xr:uid="{00000000-0005-0000-0000-0000384C0000}"/>
    <cellStyle name="Comma 2 5 2 2 2 5 2 9" xfId="30252" xr:uid="{00000000-0005-0000-0000-0000394C0000}"/>
    <cellStyle name="Comma 2 5 2 2 2 5 3" xfId="1272" xr:uid="{00000000-0005-0000-0000-00003A4C0000}"/>
    <cellStyle name="Comma 2 5 2 2 2 5 3 10" xfId="33496" xr:uid="{00000000-0005-0000-0000-00003B4C0000}"/>
    <cellStyle name="Comma 2 5 2 2 2 5 3 2" xfId="10042" xr:uid="{00000000-0005-0000-0000-00003C4C0000}"/>
    <cellStyle name="Comma 2 5 2 2 2 5 3 2 2" xfId="25842" xr:uid="{00000000-0005-0000-0000-00003D4C0000}"/>
    <cellStyle name="Comma 2 5 2 2 2 5 3 2 2 2" xfId="45269" xr:uid="{00000000-0005-0000-0000-00003E4C0000}"/>
    <cellStyle name="Comma 2 5 2 2 2 5 3 2 2 3" xfId="38846" xr:uid="{00000000-0005-0000-0000-00003F4C0000}"/>
    <cellStyle name="Comma 2 5 2 2 2 5 3 2 3" xfId="28020" xr:uid="{00000000-0005-0000-0000-0000404C0000}"/>
    <cellStyle name="Comma 2 5 2 2 2 5 3 2 3 2" xfId="42062" xr:uid="{00000000-0005-0000-0000-0000414C0000}"/>
    <cellStyle name="Comma 2 5 2 2 2 5 3 2 4" xfId="31355" xr:uid="{00000000-0005-0000-0000-0000424C0000}"/>
    <cellStyle name="Comma 2 5 2 2 2 5 3 2 5" xfId="35638" xr:uid="{00000000-0005-0000-0000-0000434C0000}"/>
    <cellStyle name="Comma 2 5 2 2 2 5 3 3" xfId="15718" xr:uid="{00000000-0005-0000-0000-0000444C0000}"/>
    <cellStyle name="Comma 2 5 2 2 2 5 3 3 2" xfId="24733" xr:uid="{00000000-0005-0000-0000-0000454C0000}"/>
    <cellStyle name="Comma 2 5 2 2 2 5 3 3 2 2" xfId="44162" xr:uid="{00000000-0005-0000-0000-0000464C0000}"/>
    <cellStyle name="Comma 2 5 2 2 2 5 3 3 2 3" xfId="37739" xr:uid="{00000000-0005-0000-0000-0000474C0000}"/>
    <cellStyle name="Comma 2 5 2 2 2 5 3 3 3" xfId="29054" xr:uid="{00000000-0005-0000-0000-0000484C0000}"/>
    <cellStyle name="Comma 2 5 2 2 2 5 3 3 3 2" xfId="40955" xr:uid="{00000000-0005-0000-0000-0000494C0000}"/>
    <cellStyle name="Comma 2 5 2 2 2 5 3 3 4" xfId="32389" xr:uid="{00000000-0005-0000-0000-00004A4C0000}"/>
    <cellStyle name="Comma 2 5 2 2 2 5 3 3 5" xfId="34531" xr:uid="{00000000-0005-0000-0000-00004B4C0000}"/>
    <cellStyle name="Comma 2 5 2 2 2 5 3 4" xfId="8536" xr:uid="{00000000-0005-0000-0000-00004C4C0000}"/>
    <cellStyle name="Comma 2 5 2 2 2 5 3 4 2" xfId="43127" xr:uid="{00000000-0005-0000-0000-00004D4C0000}"/>
    <cellStyle name="Comma 2 5 2 2 2 5 3 4 3" xfId="36703" xr:uid="{00000000-0005-0000-0000-00004E4C0000}"/>
    <cellStyle name="Comma 2 5 2 2 2 5 3 5" xfId="21525" xr:uid="{00000000-0005-0000-0000-00004F4C0000}"/>
    <cellStyle name="Comma 2 5 2 2 2 5 3 5 2" xfId="39920" xr:uid="{00000000-0005-0000-0000-0000504C0000}"/>
    <cellStyle name="Comma 2 5 2 2 2 5 3 6" xfId="22598" xr:uid="{00000000-0005-0000-0000-0000514C0000}"/>
    <cellStyle name="Comma 2 5 2 2 2 5 3 7" xfId="23698" xr:uid="{00000000-0005-0000-0000-0000524C0000}"/>
    <cellStyle name="Comma 2 5 2 2 2 5 3 8" xfId="26920" xr:uid="{00000000-0005-0000-0000-0000534C0000}"/>
    <cellStyle name="Comma 2 5 2 2 2 5 3 9" xfId="30253" xr:uid="{00000000-0005-0000-0000-0000544C0000}"/>
    <cellStyle name="Comma 2 5 2 2 2 5 4" xfId="1273" xr:uid="{00000000-0005-0000-0000-0000554C0000}"/>
    <cellStyle name="Comma 2 5 2 2 2 5 4 10" xfId="33497" xr:uid="{00000000-0005-0000-0000-0000564C0000}"/>
    <cellStyle name="Comma 2 5 2 2 2 5 4 2" xfId="10043" xr:uid="{00000000-0005-0000-0000-0000574C0000}"/>
    <cellStyle name="Comma 2 5 2 2 2 5 4 2 2" xfId="25843" xr:uid="{00000000-0005-0000-0000-0000584C0000}"/>
    <cellStyle name="Comma 2 5 2 2 2 5 4 2 2 2" xfId="45270" xr:uid="{00000000-0005-0000-0000-0000594C0000}"/>
    <cellStyle name="Comma 2 5 2 2 2 5 4 2 2 3" xfId="38847" xr:uid="{00000000-0005-0000-0000-00005A4C0000}"/>
    <cellStyle name="Comma 2 5 2 2 2 5 4 2 3" xfId="28021" xr:uid="{00000000-0005-0000-0000-00005B4C0000}"/>
    <cellStyle name="Comma 2 5 2 2 2 5 4 2 3 2" xfId="42063" xr:uid="{00000000-0005-0000-0000-00005C4C0000}"/>
    <cellStyle name="Comma 2 5 2 2 2 5 4 2 4" xfId="31356" xr:uid="{00000000-0005-0000-0000-00005D4C0000}"/>
    <cellStyle name="Comma 2 5 2 2 2 5 4 2 5" xfId="35639" xr:uid="{00000000-0005-0000-0000-00005E4C0000}"/>
    <cellStyle name="Comma 2 5 2 2 2 5 4 3" xfId="15719" xr:uid="{00000000-0005-0000-0000-00005F4C0000}"/>
    <cellStyle name="Comma 2 5 2 2 2 5 4 3 2" xfId="24734" xr:uid="{00000000-0005-0000-0000-0000604C0000}"/>
    <cellStyle name="Comma 2 5 2 2 2 5 4 3 2 2" xfId="44163" xr:uid="{00000000-0005-0000-0000-0000614C0000}"/>
    <cellStyle name="Comma 2 5 2 2 2 5 4 3 2 3" xfId="37740" xr:uid="{00000000-0005-0000-0000-0000624C0000}"/>
    <cellStyle name="Comma 2 5 2 2 2 5 4 3 3" xfId="29055" xr:uid="{00000000-0005-0000-0000-0000634C0000}"/>
    <cellStyle name="Comma 2 5 2 2 2 5 4 3 3 2" xfId="40956" xr:uid="{00000000-0005-0000-0000-0000644C0000}"/>
    <cellStyle name="Comma 2 5 2 2 2 5 4 3 4" xfId="32390" xr:uid="{00000000-0005-0000-0000-0000654C0000}"/>
    <cellStyle name="Comma 2 5 2 2 2 5 4 3 5" xfId="34532" xr:uid="{00000000-0005-0000-0000-0000664C0000}"/>
    <cellStyle name="Comma 2 5 2 2 2 5 4 4" xfId="8537" xr:uid="{00000000-0005-0000-0000-0000674C0000}"/>
    <cellStyle name="Comma 2 5 2 2 2 5 4 4 2" xfId="43128" xr:uid="{00000000-0005-0000-0000-0000684C0000}"/>
    <cellStyle name="Comma 2 5 2 2 2 5 4 4 3" xfId="36704" xr:uid="{00000000-0005-0000-0000-0000694C0000}"/>
    <cellStyle name="Comma 2 5 2 2 2 5 4 5" xfId="21526" xr:uid="{00000000-0005-0000-0000-00006A4C0000}"/>
    <cellStyle name="Comma 2 5 2 2 2 5 4 5 2" xfId="39921" xr:uid="{00000000-0005-0000-0000-00006B4C0000}"/>
    <cellStyle name="Comma 2 5 2 2 2 5 4 6" xfId="22599" xr:uid="{00000000-0005-0000-0000-00006C4C0000}"/>
    <cellStyle name="Comma 2 5 2 2 2 5 4 7" xfId="23699" xr:uid="{00000000-0005-0000-0000-00006D4C0000}"/>
    <cellStyle name="Comma 2 5 2 2 2 5 4 8" xfId="26921" xr:uid="{00000000-0005-0000-0000-00006E4C0000}"/>
    <cellStyle name="Comma 2 5 2 2 2 5 4 9" xfId="30254" xr:uid="{00000000-0005-0000-0000-00006F4C0000}"/>
    <cellStyle name="Comma 2 5 2 2 2 5 5" xfId="1274" xr:uid="{00000000-0005-0000-0000-0000704C0000}"/>
    <cellStyle name="Comma 2 5 2 2 2 5 5 10" xfId="33498" xr:uid="{00000000-0005-0000-0000-0000714C0000}"/>
    <cellStyle name="Comma 2 5 2 2 2 5 5 2" xfId="10044" xr:uid="{00000000-0005-0000-0000-0000724C0000}"/>
    <cellStyle name="Comma 2 5 2 2 2 5 5 2 2" xfId="25844" xr:uid="{00000000-0005-0000-0000-0000734C0000}"/>
    <cellStyle name="Comma 2 5 2 2 2 5 5 2 2 2" xfId="45271" xr:uid="{00000000-0005-0000-0000-0000744C0000}"/>
    <cellStyle name="Comma 2 5 2 2 2 5 5 2 2 3" xfId="38848" xr:uid="{00000000-0005-0000-0000-0000754C0000}"/>
    <cellStyle name="Comma 2 5 2 2 2 5 5 2 3" xfId="28022" xr:uid="{00000000-0005-0000-0000-0000764C0000}"/>
    <cellStyle name="Comma 2 5 2 2 2 5 5 2 3 2" xfId="42064" xr:uid="{00000000-0005-0000-0000-0000774C0000}"/>
    <cellStyle name="Comma 2 5 2 2 2 5 5 2 4" xfId="31357" xr:uid="{00000000-0005-0000-0000-0000784C0000}"/>
    <cellStyle name="Comma 2 5 2 2 2 5 5 2 5" xfId="35640" xr:uid="{00000000-0005-0000-0000-0000794C0000}"/>
    <cellStyle name="Comma 2 5 2 2 2 5 5 3" xfId="15720" xr:uid="{00000000-0005-0000-0000-00007A4C0000}"/>
    <cellStyle name="Comma 2 5 2 2 2 5 5 3 2" xfId="24735" xr:uid="{00000000-0005-0000-0000-00007B4C0000}"/>
    <cellStyle name="Comma 2 5 2 2 2 5 5 3 2 2" xfId="44164" xr:uid="{00000000-0005-0000-0000-00007C4C0000}"/>
    <cellStyle name="Comma 2 5 2 2 2 5 5 3 2 3" xfId="37741" xr:uid="{00000000-0005-0000-0000-00007D4C0000}"/>
    <cellStyle name="Comma 2 5 2 2 2 5 5 3 3" xfId="29056" xr:uid="{00000000-0005-0000-0000-00007E4C0000}"/>
    <cellStyle name="Comma 2 5 2 2 2 5 5 3 3 2" xfId="40957" xr:uid="{00000000-0005-0000-0000-00007F4C0000}"/>
    <cellStyle name="Comma 2 5 2 2 2 5 5 3 4" xfId="32391" xr:uid="{00000000-0005-0000-0000-0000804C0000}"/>
    <cellStyle name="Comma 2 5 2 2 2 5 5 3 5" xfId="34533" xr:uid="{00000000-0005-0000-0000-0000814C0000}"/>
    <cellStyle name="Comma 2 5 2 2 2 5 5 4" xfId="8538" xr:uid="{00000000-0005-0000-0000-0000824C0000}"/>
    <cellStyle name="Comma 2 5 2 2 2 5 5 4 2" xfId="43129" xr:uid="{00000000-0005-0000-0000-0000834C0000}"/>
    <cellStyle name="Comma 2 5 2 2 2 5 5 4 3" xfId="36705" xr:uid="{00000000-0005-0000-0000-0000844C0000}"/>
    <cellStyle name="Comma 2 5 2 2 2 5 5 5" xfId="21527" xr:uid="{00000000-0005-0000-0000-0000854C0000}"/>
    <cellStyle name="Comma 2 5 2 2 2 5 5 5 2" xfId="39922" xr:uid="{00000000-0005-0000-0000-0000864C0000}"/>
    <cellStyle name="Comma 2 5 2 2 2 5 5 6" xfId="22600" xr:uid="{00000000-0005-0000-0000-0000874C0000}"/>
    <cellStyle name="Comma 2 5 2 2 2 5 5 7" xfId="23700" xr:uid="{00000000-0005-0000-0000-0000884C0000}"/>
    <cellStyle name="Comma 2 5 2 2 2 5 5 8" xfId="26922" xr:uid="{00000000-0005-0000-0000-0000894C0000}"/>
    <cellStyle name="Comma 2 5 2 2 2 5 5 9" xfId="30255" xr:uid="{00000000-0005-0000-0000-00008A4C0000}"/>
    <cellStyle name="Comma 2 5 2 2 2 5 6" xfId="10040" xr:uid="{00000000-0005-0000-0000-00008B4C0000}"/>
    <cellStyle name="Comma 2 5 2 2 2 5 6 2" xfId="25840" xr:uid="{00000000-0005-0000-0000-00008C4C0000}"/>
    <cellStyle name="Comma 2 5 2 2 2 5 6 2 2" xfId="45267" xr:uid="{00000000-0005-0000-0000-00008D4C0000}"/>
    <cellStyle name="Comma 2 5 2 2 2 5 6 2 3" xfId="38844" xr:uid="{00000000-0005-0000-0000-00008E4C0000}"/>
    <cellStyle name="Comma 2 5 2 2 2 5 6 3" xfId="28018" xr:uid="{00000000-0005-0000-0000-00008F4C0000}"/>
    <cellStyle name="Comma 2 5 2 2 2 5 6 3 2" xfId="42060" xr:uid="{00000000-0005-0000-0000-0000904C0000}"/>
    <cellStyle name="Comma 2 5 2 2 2 5 6 4" xfId="31353" xr:uid="{00000000-0005-0000-0000-0000914C0000}"/>
    <cellStyle name="Comma 2 5 2 2 2 5 6 5" xfId="35636" xr:uid="{00000000-0005-0000-0000-0000924C0000}"/>
    <cellStyle name="Comma 2 5 2 2 2 5 7" xfId="15716" xr:uid="{00000000-0005-0000-0000-0000934C0000}"/>
    <cellStyle name="Comma 2 5 2 2 2 5 7 2" xfId="24731" xr:uid="{00000000-0005-0000-0000-0000944C0000}"/>
    <cellStyle name="Comma 2 5 2 2 2 5 7 2 2" xfId="44160" xr:uid="{00000000-0005-0000-0000-0000954C0000}"/>
    <cellStyle name="Comma 2 5 2 2 2 5 7 2 3" xfId="37737" xr:uid="{00000000-0005-0000-0000-0000964C0000}"/>
    <cellStyle name="Comma 2 5 2 2 2 5 7 3" xfId="29052" xr:uid="{00000000-0005-0000-0000-0000974C0000}"/>
    <cellStyle name="Comma 2 5 2 2 2 5 7 3 2" xfId="40953" xr:uid="{00000000-0005-0000-0000-0000984C0000}"/>
    <cellStyle name="Comma 2 5 2 2 2 5 7 4" xfId="32387" xr:uid="{00000000-0005-0000-0000-0000994C0000}"/>
    <cellStyle name="Comma 2 5 2 2 2 5 7 5" xfId="34529" xr:uid="{00000000-0005-0000-0000-00009A4C0000}"/>
    <cellStyle name="Comma 2 5 2 2 2 5 8" xfId="8534" xr:uid="{00000000-0005-0000-0000-00009B4C0000}"/>
    <cellStyle name="Comma 2 5 2 2 2 5 8 2" xfId="43125" xr:uid="{00000000-0005-0000-0000-00009C4C0000}"/>
    <cellStyle name="Comma 2 5 2 2 2 5 8 3" xfId="36701" xr:uid="{00000000-0005-0000-0000-00009D4C0000}"/>
    <cellStyle name="Comma 2 5 2 2 2 5 9" xfId="21523" xr:uid="{00000000-0005-0000-0000-00009E4C0000}"/>
    <cellStyle name="Comma 2 5 2 2 2 5 9 2" xfId="39918" xr:uid="{00000000-0005-0000-0000-00009F4C0000}"/>
    <cellStyle name="Comma 2 5 2 2 2 6" xfId="1275" xr:uid="{00000000-0005-0000-0000-0000A04C0000}"/>
    <cellStyle name="Comma 2 5 2 2 2 6 10" xfId="33499" xr:uid="{00000000-0005-0000-0000-0000A14C0000}"/>
    <cellStyle name="Comma 2 5 2 2 2 6 2" xfId="10045" xr:uid="{00000000-0005-0000-0000-0000A24C0000}"/>
    <cellStyle name="Comma 2 5 2 2 2 6 2 2" xfId="25845" xr:uid="{00000000-0005-0000-0000-0000A34C0000}"/>
    <cellStyle name="Comma 2 5 2 2 2 6 2 2 2" xfId="45272" xr:uid="{00000000-0005-0000-0000-0000A44C0000}"/>
    <cellStyle name="Comma 2 5 2 2 2 6 2 2 3" xfId="38849" xr:uid="{00000000-0005-0000-0000-0000A54C0000}"/>
    <cellStyle name="Comma 2 5 2 2 2 6 2 3" xfId="28023" xr:uid="{00000000-0005-0000-0000-0000A64C0000}"/>
    <cellStyle name="Comma 2 5 2 2 2 6 2 3 2" xfId="42065" xr:uid="{00000000-0005-0000-0000-0000A74C0000}"/>
    <cellStyle name="Comma 2 5 2 2 2 6 2 4" xfId="31358" xr:uid="{00000000-0005-0000-0000-0000A84C0000}"/>
    <cellStyle name="Comma 2 5 2 2 2 6 2 5" xfId="35641" xr:uid="{00000000-0005-0000-0000-0000A94C0000}"/>
    <cellStyle name="Comma 2 5 2 2 2 6 3" xfId="15721" xr:uid="{00000000-0005-0000-0000-0000AA4C0000}"/>
    <cellStyle name="Comma 2 5 2 2 2 6 3 2" xfId="24736" xr:uid="{00000000-0005-0000-0000-0000AB4C0000}"/>
    <cellStyle name="Comma 2 5 2 2 2 6 3 2 2" xfId="44165" xr:uid="{00000000-0005-0000-0000-0000AC4C0000}"/>
    <cellStyle name="Comma 2 5 2 2 2 6 3 2 3" xfId="37742" xr:uid="{00000000-0005-0000-0000-0000AD4C0000}"/>
    <cellStyle name="Comma 2 5 2 2 2 6 3 3" xfId="29057" xr:uid="{00000000-0005-0000-0000-0000AE4C0000}"/>
    <cellStyle name="Comma 2 5 2 2 2 6 3 3 2" xfId="40958" xr:uid="{00000000-0005-0000-0000-0000AF4C0000}"/>
    <cellStyle name="Comma 2 5 2 2 2 6 3 4" xfId="32392" xr:uid="{00000000-0005-0000-0000-0000B04C0000}"/>
    <cellStyle name="Comma 2 5 2 2 2 6 3 5" xfId="34534" xr:uid="{00000000-0005-0000-0000-0000B14C0000}"/>
    <cellStyle name="Comma 2 5 2 2 2 6 4" xfId="8539" xr:uid="{00000000-0005-0000-0000-0000B24C0000}"/>
    <cellStyle name="Comma 2 5 2 2 2 6 4 2" xfId="43130" xr:uid="{00000000-0005-0000-0000-0000B34C0000}"/>
    <cellStyle name="Comma 2 5 2 2 2 6 4 3" xfId="36706" xr:uid="{00000000-0005-0000-0000-0000B44C0000}"/>
    <cellStyle name="Comma 2 5 2 2 2 6 5" xfId="21528" xr:uid="{00000000-0005-0000-0000-0000B54C0000}"/>
    <cellStyle name="Comma 2 5 2 2 2 6 5 2" xfId="39923" xr:uid="{00000000-0005-0000-0000-0000B64C0000}"/>
    <cellStyle name="Comma 2 5 2 2 2 6 6" xfId="22601" xr:uid="{00000000-0005-0000-0000-0000B74C0000}"/>
    <cellStyle name="Comma 2 5 2 2 2 6 7" xfId="23701" xr:uid="{00000000-0005-0000-0000-0000B84C0000}"/>
    <cellStyle name="Comma 2 5 2 2 2 6 8" xfId="26923" xr:uid="{00000000-0005-0000-0000-0000B94C0000}"/>
    <cellStyle name="Comma 2 5 2 2 2 6 9" xfId="30256" xr:uid="{00000000-0005-0000-0000-0000BA4C0000}"/>
    <cellStyle name="Comma 2 5 2 2 2 7" xfId="1276" xr:uid="{00000000-0005-0000-0000-0000BB4C0000}"/>
    <cellStyle name="Comma 2 5 2 2 2 7 10" xfId="33500" xr:uid="{00000000-0005-0000-0000-0000BC4C0000}"/>
    <cellStyle name="Comma 2 5 2 2 2 7 2" xfId="10046" xr:uid="{00000000-0005-0000-0000-0000BD4C0000}"/>
    <cellStyle name="Comma 2 5 2 2 2 7 2 2" xfId="25846" xr:uid="{00000000-0005-0000-0000-0000BE4C0000}"/>
    <cellStyle name="Comma 2 5 2 2 2 7 2 2 2" xfId="45273" xr:uid="{00000000-0005-0000-0000-0000BF4C0000}"/>
    <cellStyle name="Comma 2 5 2 2 2 7 2 2 3" xfId="38850" xr:uid="{00000000-0005-0000-0000-0000C04C0000}"/>
    <cellStyle name="Comma 2 5 2 2 2 7 2 3" xfId="28024" xr:uid="{00000000-0005-0000-0000-0000C14C0000}"/>
    <cellStyle name="Comma 2 5 2 2 2 7 2 3 2" xfId="42066" xr:uid="{00000000-0005-0000-0000-0000C24C0000}"/>
    <cellStyle name="Comma 2 5 2 2 2 7 2 4" xfId="31359" xr:uid="{00000000-0005-0000-0000-0000C34C0000}"/>
    <cellStyle name="Comma 2 5 2 2 2 7 2 5" xfId="35642" xr:uid="{00000000-0005-0000-0000-0000C44C0000}"/>
    <cellStyle name="Comma 2 5 2 2 2 7 3" xfId="15722" xr:uid="{00000000-0005-0000-0000-0000C54C0000}"/>
    <cellStyle name="Comma 2 5 2 2 2 7 3 2" xfId="24737" xr:uid="{00000000-0005-0000-0000-0000C64C0000}"/>
    <cellStyle name="Comma 2 5 2 2 2 7 3 2 2" xfId="44166" xr:uid="{00000000-0005-0000-0000-0000C74C0000}"/>
    <cellStyle name="Comma 2 5 2 2 2 7 3 2 3" xfId="37743" xr:uid="{00000000-0005-0000-0000-0000C84C0000}"/>
    <cellStyle name="Comma 2 5 2 2 2 7 3 3" xfId="29058" xr:uid="{00000000-0005-0000-0000-0000C94C0000}"/>
    <cellStyle name="Comma 2 5 2 2 2 7 3 3 2" xfId="40959" xr:uid="{00000000-0005-0000-0000-0000CA4C0000}"/>
    <cellStyle name="Comma 2 5 2 2 2 7 3 4" xfId="32393" xr:uid="{00000000-0005-0000-0000-0000CB4C0000}"/>
    <cellStyle name="Comma 2 5 2 2 2 7 3 5" xfId="34535" xr:uid="{00000000-0005-0000-0000-0000CC4C0000}"/>
    <cellStyle name="Comma 2 5 2 2 2 7 4" xfId="8540" xr:uid="{00000000-0005-0000-0000-0000CD4C0000}"/>
    <cellStyle name="Comma 2 5 2 2 2 7 4 2" xfId="43131" xr:uid="{00000000-0005-0000-0000-0000CE4C0000}"/>
    <cellStyle name="Comma 2 5 2 2 2 7 4 3" xfId="36707" xr:uid="{00000000-0005-0000-0000-0000CF4C0000}"/>
    <cellStyle name="Comma 2 5 2 2 2 7 5" xfId="21529" xr:uid="{00000000-0005-0000-0000-0000D04C0000}"/>
    <cellStyle name="Comma 2 5 2 2 2 7 5 2" xfId="39924" xr:uid="{00000000-0005-0000-0000-0000D14C0000}"/>
    <cellStyle name="Comma 2 5 2 2 2 7 6" xfId="22602" xr:uid="{00000000-0005-0000-0000-0000D24C0000}"/>
    <cellStyle name="Comma 2 5 2 2 2 7 7" xfId="23702" xr:uid="{00000000-0005-0000-0000-0000D34C0000}"/>
    <cellStyle name="Comma 2 5 2 2 2 7 8" xfId="26924" xr:uid="{00000000-0005-0000-0000-0000D44C0000}"/>
    <cellStyle name="Comma 2 5 2 2 2 7 9" xfId="30257" xr:uid="{00000000-0005-0000-0000-0000D54C0000}"/>
    <cellStyle name="Comma 2 5 2 2 2 8" xfId="1277" xr:uid="{00000000-0005-0000-0000-0000D64C0000}"/>
    <cellStyle name="Comma 2 5 2 2 2 8 10" xfId="33501" xr:uid="{00000000-0005-0000-0000-0000D74C0000}"/>
    <cellStyle name="Comma 2 5 2 2 2 8 2" xfId="10047" xr:uid="{00000000-0005-0000-0000-0000D84C0000}"/>
    <cellStyle name="Comma 2 5 2 2 2 8 2 2" xfId="25847" xr:uid="{00000000-0005-0000-0000-0000D94C0000}"/>
    <cellStyle name="Comma 2 5 2 2 2 8 2 2 2" xfId="45274" xr:uid="{00000000-0005-0000-0000-0000DA4C0000}"/>
    <cellStyle name="Comma 2 5 2 2 2 8 2 2 3" xfId="38851" xr:uid="{00000000-0005-0000-0000-0000DB4C0000}"/>
    <cellStyle name="Comma 2 5 2 2 2 8 2 3" xfId="28025" xr:uid="{00000000-0005-0000-0000-0000DC4C0000}"/>
    <cellStyle name="Comma 2 5 2 2 2 8 2 3 2" xfId="42067" xr:uid="{00000000-0005-0000-0000-0000DD4C0000}"/>
    <cellStyle name="Comma 2 5 2 2 2 8 2 4" xfId="31360" xr:uid="{00000000-0005-0000-0000-0000DE4C0000}"/>
    <cellStyle name="Comma 2 5 2 2 2 8 2 5" xfId="35643" xr:uid="{00000000-0005-0000-0000-0000DF4C0000}"/>
    <cellStyle name="Comma 2 5 2 2 2 8 3" xfId="15723" xr:uid="{00000000-0005-0000-0000-0000E04C0000}"/>
    <cellStyle name="Comma 2 5 2 2 2 8 3 2" xfId="24738" xr:uid="{00000000-0005-0000-0000-0000E14C0000}"/>
    <cellStyle name="Comma 2 5 2 2 2 8 3 2 2" xfId="44167" xr:uid="{00000000-0005-0000-0000-0000E24C0000}"/>
    <cellStyle name="Comma 2 5 2 2 2 8 3 2 3" xfId="37744" xr:uid="{00000000-0005-0000-0000-0000E34C0000}"/>
    <cellStyle name="Comma 2 5 2 2 2 8 3 3" xfId="29059" xr:uid="{00000000-0005-0000-0000-0000E44C0000}"/>
    <cellStyle name="Comma 2 5 2 2 2 8 3 3 2" xfId="40960" xr:uid="{00000000-0005-0000-0000-0000E54C0000}"/>
    <cellStyle name="Comma 2 5 2 2 2 8 3 4" xfId="32394" xr:uid="{00000000-0005-0000-0000-0000E64C0000}"/>
    <cellStyle name="Comma 2 5 2 2 2 8 3 5" xfId="34536" xr:uid="{00000000-0005-0000-0000-0000E74C0000}"/>
    <cellStyle name="Comma 2 5 2 2 2 8 4" xfId="8541" xr:uid="{00000000-0005-0000-0000-0000E84C0000}"/>
    <cellStyle name="Comma 2 5 2 2 2 8 4 2" xfId="43132" xr:uid="{00000000-0005-0000-0000-0000E94C0000}"/>
    <cellStyle name="Comma 2 5 2 2 2 8 4 3" xfId="36708" xr:uid="{00000000-0005-0000-0000-0000EA4C0000}"/>
    <cellStyle name="Comma 2 5 2 2 2 8 5" xfId="21530" xr:uid="{00000000-0005-0000-0000-0000EB4C0000}"/>
    <cellStyle name="Comma 2 5 2 2 2 8 5 2" xfId="39925" xr:uid="{00000000-0005-0000-0000-0000EC4C0000}"/>
    <cellStyle name="Comma 2 5 2 2 2 8 6" xfId="22603" xr:uid="{00000000-0005-0000-0000-0000ED4C0000}"/>
    <cellStyle name="Comma 2 5 2 2 2 8 7" xfId="23703" xr:uid="{00000000-0005-0000-0000-0000EE4C0000}"/>
    <cellStyle name="Comma 2 5 2 2 2 8 8" xfId="26925" xr:uid="{00000000-0005-0000-0000-0000EF4C0000}"/>
    <cellStyle name="Comma 2 5 2 2 2 8 9" xfId="30258" xr:uid="{00000000-0005-0000-0000-0000F04C0000}"/>
    <cellStyle name="Comma 2 5 2 2 2 9" xfId="1278" xr:uid="{00000000-0005-0000-0000-0000F14C0000}"/>
    <cellStyle name="Comma 2 5 2 2 2 9 10" xfId="33502" xr:uid="{00000000-0005-0000-0000-0000F24C0000}"/>
    <cellStyle name="Comma 2 5 2 2 2 9 2" xfId="10048" xr:uid="{00000000-0005-0000-0000-0000F34C0000}"/>
    <cellStyle name="Comma 2 5 2 2 2 9 2 2" xfId="25848" xr:uid="{00000000-0005-0000-0000-0000F44C0000}"/>
    <cellStyle name="Comma 2 5 2 2 2 9 2 2 2" xfId="45275" xr:uid="{00000000-0005-0000-0000-0000F54C0000}"/>
    <cellStyle name="Comma 2 5 2 2 2 9 2 2 3" xfId="38852" xr:uid="{00000000-0005-0000-0000-0000F64C0000}"/>
    <cellStyle name="Comma 2 5 2 2 2 9 2 3" xfId="28026" xr:uid="{00000000-0005-0000-0000-0000F74C0000}"/>
    <cellStyle name="Comma 2 5 2 2 2 9 2 3 2" xfId="42068" xr:uid="{00000000-0005-0000-0000-0000F84C0000}"/>
    <cellStyle name="Comma 2 5 2 2 2 9 2 4" xfId="31361" xr:uid="{00000000-0005-0000-0000-0000F94C0000}"/>
    <cellStyle name="Comma 2 5 2 2 2 9 2 5" xfId="35644" xr:uid="{00000000-0005-0000-0000-0000FA4C0000}"/>
    <cellStyle name="Comma 2 5 2 2 2 9 3" xfId="15724" xr:uid="{00000000-0005-0000-0000-0000FB4C0000}"/>
    <cellStyle name="Comma 2 5 2 2 2 9 3 2" xfId="24739" xr:uid="{00000000-0005-0000-0000-0000FC4C0000}"/>
    <cellStyle name="Comma 2 5 2 2 2 9 3 2 2" xfId="44168" xr:uid="{00000000-0005-0000-0000-0000FD4C0000}"/>
    <cellStyle name="Comma 2 5 2 2 2 9 3 2 3" xfId="37745" xr:uid="{00000000-0005-0000-0000-0000FE4C0000}"/>
    <cellStyle name="Comma 2 5 2 2 2 9 3 3" xfId="29060" xr:uid="{00000000-0005-0000-0000-0000FF4C0000}"/>
    <cellStyle name="Comma 2 5 2 2 2 9 3 3 2" xfId="40961" xr:uid="{00000000-0005-0000-0000-0000004D0000}"/>
    <cellStyle name="Comma 2 5 2 2 2 9 3 4" xfId="32395" xr:uid="{00000000-0005-0000-0000-0000014D0000}"/>
    <cellStyle name="Comma 2 5 2 2 2 9 3 5" xfId="34537" xr:uid="{00000000-0005-0000-0000-0000024D0000}"/>
    <cellStyle name="Comma 2 5 2 2 2 9 4" xfId="8542" xr:uid="{00000000-0005-0000-0000-0000034D0000}"/>
    <cellStyle name="Comma 2 5 2 2 2 9 4 2" xfId="43133" xr:uid="{00000000-0005-0000-0000-0000044D0000}"/>
    <cellStyle name="Comma 2 5 2 2 2 9 4 3" xfId="36709" xr:uid="{00000000-0005-0000-0000-0000054D0000}"/>
    <cellStyle name="Comma 2 5 2 2 2 9 5" xfId="21531" xr:uid="{00000000-0005-0000-0000-0000064D0000}"/>
    <cellStyle name="Comma 2 5 2 2 2 9 5 2" xfId="39926" xr:uid="{00000000-0005-0000-0000-0000074D0000}"/>
    <cellStyle name="Comma 2 5 2 2 2 9 6" xfId="22604" xr:uid="{00000000-0005-0000-0000-0000084D0000}"/>
    <cellStyle name="Comma 2 5 2 2 2 9 7" xfId="23704" xr:uid="{00000000-0005-0000-0000-0000094D0000}"/>
    <cellStyle name="Comma 2 5 2 2 2 9 8" xfId="26926" xr:uid="{00000000-0005-0000-0000-00000A4D0000}"/>
    <cellStyle name="Comma 2 5 2 2 2 9 9" xfId="30259" xr:uid="{00000000-0005-0000-0000-00000B4D0000}"/>
    <cellStyle name="Comma 2 5 2 2 20" xfId="32777" xr:uid="{00000000-0005-0000-0000-00000C4D0000}"/>
    <cellStyle name="Comma 2 5 2 2 3" xfId="275" xr:uid="{00000000-0005-0000-0000-00000D4D0000}"/>
    <cellStyle name="Comma 2 5 2 2 3 10" xfId="15725" xr:uid="{00000000-0005-0000-0000-00000E4D0000}"/>
    <cellStyle name="Comma 2 5 2 2 3 10 2" xfId="24740" xr:uid="{00000000-0005-0000-0000-00000F4D0000}"/>
    <cellStyle name="Comma 2 5 2 2 3 10 2 2" xfId="44169" xr:uid="{00000000-0005-0000-0000-0000104D0000}"/>
    <cellStyle name="Comma 2 5 2 2 3 10 2 3" xfId="37746" xr:uid="{00000000-0005-0000-0000-0000114D0000}"/>
    <cellStyle name="Comma 2 5 2 2 3 10 3" xfId="29061" xr:uid="{00000000-0005-0000-0000-0000124D0000}"/>
    <cellStyle name="Comma 2 5 2 2 3 10 3 2" xfId="40962" xr:uid="{00000000-0005-0000-0000-0000134D0000}"/>
    <cellStyle name="Comma 2 5 2 2 3 10 4" xfId="32396" xr:uid="{00000000-0005-0000-0000-0000144D0000}"/>
    <cellStyle name="Comma 2 5 2 2 3 10 5" xfId="34538" xr:uid="{00000000-0005-0000-0000-0000154D0000}"/>
    <cellStyle name="Comma 2 5 2 2 3 11" xfId="8543" xr:uid="{00000000-0005-0000-0000-0000164D0000}"/>
    <cellStyle name="Comma 2 5 2 2 3 11 2" xfId="42475" xr:uid="{00000000-0005-0000-0000-0000174D0000}"/>
    <cellStyle name="Comma 2 5 2 2 3 11 3" xfId="36051" xr:uid="{00000000-0005-0000-0000-0000184D0000}"/>
    <cellStyle name="Comma 2 5 2 2 3 12" xfId="21532" xr:uid="{00000000-0005-0000-0000-0000194D0000}"/>
    <cellStyle name="Comma 2 5 2 2 3 12 2" xfId="39268" xr:uid="{00000000-0005-0000-0000-00001A4D0000}"/>
    <cellStyle name="Comma 2 5 2 2 3 13" xfId="22605" xr:uid="{00000000-0005-0000-0000-00001B4D0000}"/>
    <cellStyle name="Comma 2 5 2 2 3 14" xfId="23046" xr:uid="{00000000-0005-0000-0000-00001C4D0000}"/>
    <cellStyle name="Comma 2 5 2 2 3 15" xfId="26927" xr:uid="{00000000-0005-0000-0000-00001D4D0000}"/>
    <cellStyle name="Comma 2 5 2 2 3 16" xfId="30260" xr:uid="{00000000-0005-0000-0000-00001E4D0000}"/>
    <cellStyle name="Comma 2 5 2 2 3 17" xfId="32844" xr:uid="{00000000-0005-0000-0000-00001F4D0000}"/>
    <cellStyle name="Comma 2 5 2 2 3 2" xfId="276" xr:uid="{00000000-0005-0000-0000-0000204D0000}"/>
    <cellStyle name="Comma 2 5 2 2 3 2 10" xfId="21533" xr:uid="{00000000-0005-0000-0000-0000214D0000}"/>
    <cellStyle name="Comma 2 5 2 2 3 2 10 2" xfId="39269" xr:uid="{00000000-0005-0000-0000-0000224D0000}"/>
    <cellStyle name="Comma 2 5 2 2 3 2 11" xfId="22606" xr:uid="{00000000-0005-0000-0000-0000234D0000}"/>
    <cellStyle name="Comma 2 5 2 2 3 2 12" xfId="23047" xr:uid="{00000000-0005-0000-0000-0000244D0000}"/>
    <cellStyle name="Comma 2 5 2 2 3 2 13" xfId="26928" xr:uid="{00000000-0005-0000-0000-0000254D0000}"/>
    <cellStyle name="Comma 2 5 2 2 3 2 14" xfId="30261" xr:uid="{00000000-0005-0000-0000-0000264D0000}"/>
    <cellStyle name="Comma 2 5 2 2 3 2 15" xfId="32845" xr:uid="{00000000-0005-0000-0000-0000274D0000}"/>
    <cellStyle name="Comma 2 5 2 2 3 2 2" xfId="1279" xr:uid="{00000000-0005-0000-0000-0000284D0000}"/>
    <cellStyle name="Comma 2 5 2 2 3 2 2 10" xfId="33503" xr:uid="{00000000-0005-0000-0000-0000294D0000}"/>
    <cellStyle name="Comma 2 5 2 2 3 2 2 2" xfId="10049" xr:uid="{00000000-0005-0000-0000-00002A4D0000}"/>
    <cellStyle name="Comma 2 5 2 2 3 2 2 2 2" xfId="25849" xr:uid="{00000000-0005-0000-0000-00002B4D0000}"/>
    <cellStyle name="Comma 2 5 2 2 3 2 2 2 2 2" xfId="45276" xr:uid="{00000000-0005-0000-0000-00002C4D0000}"/>
    <cellStyle name="Comma 2 5 2 2 3 2 2 2 2 3" xfId="38853" xr:uid="{00000000-0005-0000-0000-00002D4D0000}"/>
    <cellStyle name="Comma 2 5 2 2 3 2 2 2 3" xfId="28027" xr:uid="{00000000-0005-0000-0000-00002E4D0000}"/>
    <cellStyle name="Comma 2 5 2 2 3 2 2 2 3 2" xfId="42069" xr:uid="{00000000-0005-0000-0000-00002F4D0000}"/>
    <cellStyle name="Comma 2 5 2 2 3 2 2 2 4" xfId="31362" xr:uid="{00000000-0005-0000-0000-0000304D0000}"/>
    <cellStyle name="Comma 2 5 2 2 3 2 2 2 5" xfId="35645" xr:uid="{00000000-0005-0000-0000-0000314D0000}"/>
    <cellStyle name="Comma 2 5 2 2 3 2 2 3" xfId="15727" xr:uid="{00000000-0005-0000-0000-0000324D0000}"/>
    <cellStyle name="Comma 2 5 2 2 3 2 2 3 2" xfId="24742" xr:uid="{00000000-0005-0000-0000-0000334D0000}"/>
    <cellStyle name="Comma 2 5 2 2 3 2 2 3 2 2" xfId="44171" xr:uid="{00000000-0005-0000-0000-0000344D0000}"/>
    <cellStyle name="Comma 2 5 2 2 3 2 2 3 2 3" xfId="37748" xr:uid="{00000000-0005-0000-0000-0000354D0000}"/>
    <cellStyle name="Comma 2 5 2 2 3 2 2 3 3" xfId="29063" xr:uid="{00000000-0005-0000-0000-0000364D0000}"/>
    <cellStyle name="Comma 2 5 2 2 3 2 2 3 3 2" xfId="40964" xr:uid="{00000000-0005-0000-0000-0000374D0000}"/>
    <cellStyle name="Comma 2 5 2 2 3 2 2 3 4" xfId="32398" xr:uid="{00000000-0005-0000-0000-0000384D0000}"/>
    <cellStyle name="Comma 2 5 2 2 3 2 2 3 5" xfId="34540" xr:uid="{00000000-0005-0000-0000-0000394D0000}"/>
    <cellStyle name="Comma 2 5 2 2 3 2 2 4" xfId="8545" xr:uid="{00000000-0005-0000-0000-00003A4D0000}"/>
    <cellStyle name="Comma 2 5 2 2 3 2 2 4 2" xfId="43134" xr:uid="{00000000-0005-0000-0000-00003B4D0000}"/>
    <cellStyle name="Comma 2 5 2 2 3 2 2 4 3" xfId="36710" xr:uid="{00000000-0005-0000-0000-00003C4D0000}"/>
    <cellStyle name="Comma 2 5 2 2 3 2 2 5" xfId="21534" xr:uid="{00000000-0005-0000-0000-00003D4D0000}"/>
    <cellStyle name="Comma 2 5 2 2 3 2 2 5 2" xfId="39927" xr:uid="{00000000-0005-0000-0000-00003E4D0000}"/>
    <cellStyle name="Comma 2 5 2 2 3 2 2 6" xfId="22607" xr:uid="{00000000-0005-0000-0000-00003F4D0000}"/>
    <cellStyle name="Comma 2 5 2 2 3 2 2 7" xfId="23705" xr:uid="{00000000-0005-0000-0000-0000404D0000}"/>
    <cellStyle name="Comma 2 5 2 2 3 2 2 8" xfId="26929" xr:uid="{00000000-0005-0000-0000-0000414D0000}"/>
    <cellStyle name="Comma 2 5 2 2 3 2 2 9" xfId="30262" xr:uid="{00000000-0005-0000-0000-0000424D0000}"/>
    <cellStyle name="Comma 2 5 2 2 3 2 3" xfId="1280" xr:uid="{00000000-0005-0000-0000-0000434D0000}"/>
    <cellStyle name="Comma 2 5 2 2 3 2 3 10" xfId="33504" xr:uid="{00000000-0005-0000-0000-0000444D0000}"/>
    <cellStyle name="Comma 2 5 2 2 3 2 3 2" xfId="10050" xr:uid="{00000000-0005-0000-0000-0000454D0000}"/>
    <cellStyle name="Comma 2 5 2 2 3 2 3 2 2" xfId="25850" xr:uid="{00000000-0005-0000-0000-0000464D0000}"/>
    <cellStyle name="Comma 2 5 2 2 3 2 3 2 2 2" xfId="45277" xr:uid="{00000000-0005-0000-0000-0000474D0000}"/>
    <cellStyle name="Comma 2 5 2 2 3 2 3 2 2 3" xfId="38854" xr:uid="{00000000-0005-0000-0000-0000484D0000}"/>
    <cellStyle name="Comma 2 5 2 2 3 2 3 2 3" xfId="28028" xr:uid="{00000000-0005-0000-0000-0000494D0000}"/>
    <cellStyle name="Comma 2 5 2 2 3 2 3 2 3 2" xfId="42070" xr:uid="{00000000-0005-0000-0000-00004A4D0000}"/>
    <cellStyle name="Comma 2 5 2 2 3 2 3 2 4" xfId="31363" xr:uid="{00000000-0005-0000-0000-00004B4D0000}"/>
    <cellStyle name="Comma 2 5 2 2 3 2 3 2 5" xfId="35646" xr:uid="{00000000-0005-0000-0000-00004C4D0000}"/>
    <cellStyle name="Comma 2 5 2 2 3 2 3 3" xfId="15728" xr:uid="{00000000-0005-0000-0000-00004D4D0000}"/>
    <cellStyle name="Comma 2 5 2 2 3 2 3 3 2" xfId="24743" xr:uid="{00000000-0005-0000-0000-00004E4D0000}"/>
    <cellStyle name="Comma 2 5 2 2 3 2 3 3 2 2" xfId="44172" xr:uid="{00000000-0005-0000-0000-00004F4D0000}"/>
    <cellStyle name="Comma 2 5 2 2 3 2 3 3 2 3" xfId="37749" xr:uid="{00000000-0005-0000-0000-0000504D0000}"/>
    <cellStyle name="Comma 2 5 2 2 3 2 3 3 3" xfId="29064" xr:uid="{00000000-0005-0000-0000-0000514D0000}"/>
    <cellStyle name="Comma 2 5 2 2 3 2 3 3 3 2" xfId="40965" xr:uid="{00000000-0005-0000-0000-0000524D0000}"/>
    <cellStyle name="Comma 2 5 2 2 3 2 3 3 4" xfId="32399" xr:uid="{00000000-0005-0000-0000-0000534D0000}"/>
    <cellStyle name="Comma 2 5 2 2 3 2 3 3 5" xfId="34541" xr:uid="{00000000-0005-0000-0000-0000544D0000}"/>
    <cellStyle name="Comma 2 5 2 2 3 2 3 4" xfId="8546" xr:uid="{00000000-0005-0000-0000-0000554D0000}"/>
    <cellStyle name="Comma 2 5 2 2 3 2 3 4 2" xfId="43135" xr:uid="{00000000-0005-0000-0000-0000564D0000}"/>
    <cellStyle name="Comma 2 5 2 2 3 2 3 4 3" xfId="36711" xr:uid="{00000000-0005-0000-0000-0000574D0000}"/>
    <cellStyle name="Comma 2 5 2 2 3 2 3 5" xfId="21535" xr:uid="{00000000-0005-0000-0000-0000584D0000}"/>
    <cellStyle name="Comma 2 5 2 2 3 2 3 5 2" xfId="39928" xr:uid="{00000000-0005-0000-0000-0000594D0000}"/>
    <cellStyle name="Comma 2 5 2 2 3 2 3 6" xfId="22608" xr:uid="{00000000-0005-0000-0000-00005A4D0000}"/>
    <cellStyle name="Comma 2 5 2 2 3 2 3 7" xfId="23706" xr:uid="{00000000-0005-0000-0000-00005B4D0000}"/>
    <cellStyle name="Comma 2 5 2 2 3 2 3 8" xfId="26930" xr:uid="{00000000-0005-0000-0000-00005C4D0000}"/>
    <cellStyle name="Comma 2 5 2 2 3 2 3 9" xfId="30263" xr:uid="{00000000-0005-0000-0000-00005D4D0000}"/>
    <cellStyle name="Comma 2 5 2 2 3 2 4" xfId="1281" xr:uid="{00000000-0005-0000-0000-00005E4D0000}"/>
    <cellStyle name="Comma 2 5 2 2 3 2 4 10" xfId="33505" xr:uid="{00000000-0005-0000-0000-00005F4D0000}"/>
    <cellStyle name="Comma 2 5 2 2 3 2 4 2" xfId="10051" xr:uid="{00000000-0005-0000-0000-0000604D0000}"/>
    <cellStyle name="Comma 2 5 2 2 3 2 4 2 2" xfId="25851" xr:uid="{00000000-0005-0000-0000-0000614D0000}"/>
    <cellStyle name="Comma 2 5 2 2 3 2 4 2 2 2" xfId="45278" xr:uid="{00000000-0005-0000-0000-0000624D0000}"/>
    <cellStyle name="Comma 2 5 2 2 3 2 4 2 2 3" xfId="38855" xr:uid="{00000000-0005-0000-0000-0000634D0000}"/>
    <cellStyle name="Comma 2 5 2 2 3 2 4 2 3" xfId="28029" xr:uid="{00000000-0005-0000-0000-0000644D0000}"/>
    <cellStyle name="Comma 2 5 2 2 3 2 4 2 3 2" xfId="42071" xr:uid="{00000000-0005-0000-0000-0000654D0000}"/>
    <cellStyle name="Comma 2 5 2 2 3 2 4 2 4" xfId="31364" xr:uid="{00000000-0005-0000-0000-0000664D0000}"/>
    <cellStyle name="Comma 2 5 2 2 3 2 4 2 5" xfId="35647" xr:uid="{00000000-0005-0000-0000-0000674D0000}"/>
    <cellStyle name="Comma 2 5 2 2 3 2 4 3" xfId="15729" xr:uid="{00000000-0005-0000-0000-0000684D0000}"/>
    <cellStyle name="Comma 2 5 2 2 3 2 4 3 2" xfId="24744" xr:uid="{00000000-0005-0000-0000-0000694D0000}"/>
    <cellStyle name="Comma 2 5 2 2 3 2 4 3 2 2" xfId="44173" xr:uid="{00000000-0005-0000-0000-00006A4D0000}"/>
    <cellStyle name="Comma 2 5 2 2 3 2 4 3 2 3" xfId="37750" xr:uid="{00000000-0005-0000-0000-00006B4D0000}"/>
    <cellStyle name="Comma 2 5 2 2 3 2 4 3 3" xfId="29065" xr:uid="{00000000-0005-0000-0000-00006C4D0000}"/>
    <cellStyle name="Comma 2 5 2 2 3 2 4 3 3 2" xfId="40966" xr:uid="{00000000-0005-0000-0000-00006D4D0000}"/>
    <cellStyle name="Comma 2 5 2 2 3 2 4 3 4" xfId="32400" xr:uid="{00000000-0005-0000-0000-00006E4D0000}"/>
    <cellStyle name="Comma 2 5 2 2 3 2 4 3 5" xfId="34542" xr:uid="{00000000-0005-0000-0000-00006F4D0000}"/>
    <cellStyle name="Comma 2 5 2 2 3 2 4 4" xfId="8547" xr:uid="{00000000-0005-0000-0000-0000704D0000}"/>
    <cellStyle name="Comma 2 5 2 2 3 2 4 4 2" xfId="43136" xr:uid="{00000000-0005-0000-0000-0000714D0000}"/>
    <cellStyle name="Comma 2 5 2 2 3 2 4 4 3" xfId="36712" xr:uid="{00000000-0005-0000-0000-0000724D0000}"/>
    <cellStyle name="Comma 2 5 2 2 3 2 4 5" xfId="21536" xr:uid="{00000000-0005-0000-0000-0000734D0000}"/>
    <cellStyle name="Comma 2 5 2 2 3 2 4 5 2" xfId="39929" xr:uid="{00000000-0005-0000-0000-0000744D0000}"/>
    <cellStyle name="Comma 2 5 2 2 3 2 4 6" xfId="22609" xr:uid="{00000000-0005-0000-0000-0000754D0000}"/>
    <cellStyle name="Comma 2 5 2 2 3 2 4 7" xfId="23707" xr:uid="{00000000-0005-0000-0000-0000764D0000}"/>
    <cellStyle name="Comma 2 5 2 2 3 2 4 8" xfId="26931" xr:uid="{00000000-0005-0000-0000-0000774D0000}"/>
    <cellStyle name="Comma 2 5 2 2 3 2 4 9" xfId="30264" xr:uid="{00000000-0005-0000-0000-0000784D0000}"/>
    <cellStyle name="Comma 2 5 2 2 3 2 5" xfId="1282" xr:uid="{00000000-0005-0000-0000-0000794D0000}"/>
    <cellStyle name="Comma 2 5 2 2 3 2 5 10" xfId="33506" xr:uid="{00000000-0005-0000-0000-00007A4D0000}"/>
    <cellStyle name="Comma 2 5 2 2 3 2 5 2" xfId="10052" xr:uid="{00000000-0005-0000-0000-00007B4D0000}"/>
    <cellStyle name="Comma 2 5 2 2 3 2 5 2 2" xfId="25852" xr:uid="{00000000-0005-0000-0000-00007C4D0000}"/>
    <cellStyle name="Comma 2 5 2 2 3 2 5 2 2 2" xfId="45279" xr:uid="{00000000-0005-0000-0000-00007D4D0000}"/>
    <cellStyle name="Comma 2 5 2 2 3 2 5 2 2 3" xfId="38856" xr:uid="{00000000-0005-0000-0000-00007E4D0000}"/>
    <cellStyle name="Comma 2 5 2 2 3 2 5 2 3" xfId="28030" xr:uid="{00000000-0005-0000-0000-00007F4D0000}"/>
    <cellStyle name="Comma 2 5 2 2 3 2 5 2 3 2" xfId="42072" xr:uid="{00000000-0005-0000-0000-0000804D0000}"/>
    <cellStyle name="Comma 2 5 2 2 3 2 5 2 4" xfId="31365" xr:uid="{00000000-0005-0000-0000-0000814D0000}"/>
    <cellStyle name="Comma 2 5 2 2 3 2 5 2 5" xfId="35648" xr:uid="{00000000-0005-0000-0000-0000824D0000}"/>
    <cellStyle name="Comma 2 5 2 2 3 2 5 3" xfId="15730" xr:uid="{00000000-0005-0000-0000-0000834D0000}"/>
    <cellStyle name="Comma 2 5 2 2 3 2 5 3 2" xfId="24745" xr:uid="{00000000-0005-0000-0000-0000844D0000}"/>
    <cellStyle name="Comma 2 5 2 2 3 2 5 3 2 2" xfId="44174" xr:uid="{00000000-0005-0000-0000-0000854D0000}"/>
    <cellStyle name="Comma 2 5 2 2 3 2 5 3 2 3" xfId="37751" xr:uid="{00000000-0005-0000-0000-0000864D0000}"/>
    <cellStyle name="Comma 2 5 2 2 3 2 5 3 3" xfId="29066" xr:uid="{00000000-0005-0000-0000-0000874D0000}"/>
    <cellStyle name="Comma 2 5 2 2 3 2 5 3 3 2" xfId="40967" xr:uid="{00000000-0005-0000-0000-0000884D0000}"/>
    <cellStyle name="Comma 2 5 2 2 3 2 5 3 4" xfId="32401" xr:uid="{00000000-0005-0000-0000-0000894D0000}"/>
    <cellStyle name="Comma 2 5 2 2 3 2 5 3 5" xfId="34543" xr:uid="{00000000-0005-0000-0000-00008A4D0000}"/>
    <cellStyle name="Comma 2 5 2 2 3 2 5 4" xfId="8548" xr:uid="{00000000-0005-0000-0000-00008B4D0000}"/>
    <cellStyle name="Comma 2 5 2 2 3 2 5 4 2" xfId="43137" xr:uid="{00000000-0005-0000-0000-00008C4D0000}"/>
    <cellStyle name="Comma 2 5 2 2 3 2 5 4 3" xfId="36713" xr:uid="{00000000-0005-0000-0000-00008D4D0000}"/>
    <cellStyle name="Comma 2 5 2 2 3 2 5 5" xfId="21537" xr:uid="{00000000-0005-0000-0000-00008E4D0000}"/>
    <cellStyle name="Comma 2 5 2 2 3 2 5 5 2" xfId="39930" xr:uid="{00000000-0005-0000-0000-00008F4D0000}"/>
    <cellStyle name="Comma 2 5 2 2 3 2 5 6" xfId="22610" xr:uid="{00000000-0005-0000-0000-0000904D0000}"/>
    <cellStyle name="Comma 2 5 2 2 3 2 5 7" xfId="23708" xr:uid="{00000000-0005-0000-0000-0000914D0000}"/>
    <cellStyle name="Comma 2 5 2 2 3 2 5 8" xfId="26932" xr:uid="{00000000-0005-0000-0000-0000924D0000}"/>
    <cellStyle name="Comma 2 5 2 2 3 2 5 9" xfId="30265" xr:uid="{00000000-0005-0000-0000-0000934D0000}"/>
    <cellStyle name="Comma 2 5 2 2 3 2 6" xfId="1283" xr:uid="{00000000-0005-0000-0000-0000944D0000}"/>
    <cellStyle name="Comma 2 5 2 2 3 2 6 10" xfId="33507" xr:uid="{00000000-0005-0000-0000-0000954D0000}"/>
    <cellStyle name="Comma 2 5 2 2 3 2 6 2" xfId="10053" xr:uid="{00000000-0005-0000-0000-0000964D0000}"/>
    <cellStyle name="Comma 2 5 2 2 3 2 6 2 2" xfId="25853" xr:uid="{00000000-0005-0000-0000-0000974D0000}"/>
    <cellStyle name="Comma 2 5 2 2 3 2 6 2 2 2" xfId="45280" xr:uid="{00000000-0005-0000-0000-0000984D0000}"/>
    <cellStyle name="Comma 2 5 2 2 3 2 6 2 2 3" xfId="38857" xr:uid="{00000000-0005-0000-0000-0000994D0000}"/>
    <cellStyle name="Comma 2 5 2 2 3 2 6 2 3" xfId="28031" xr:uid="{00000000-0005-0000-0000-00009A4D0000}"/>
    <cellStyle name="Comma 2 5 2 2 3 2 6 2 3 2" xfId="42073" xr:uid="{00000000-0005-0000-0000-00009B4D0000}"/>
    <cellStyle name="Comma 2 5 2 2 3 2 6 2 4" xfId="31366" xr:uid="{00000000-0005-0000-0000-00009C4D0000}"/>
    <cellStyle name="Comma 2 5 2 2 3 2 6 2 5" xfId="35649" xr:uid="{00000000-0005-0000-0000-00009D4D0000}"/>
    <cellStyle name="Comma 2 5 2 2 3 2 6 3" xfId="15731" xr:uid="{00000000-0005-0000-0000-00009E4D0000}"/>
    <cellStyle name="Comma 2 5 2 2 3 2 6 3 2" xfId="24746" xr:uid="{00000000-0005-0000-0000-00009F4D0000}"/>
    <cellStyle name="Comma 2 5 2 2 3 2 6 3 2 2" xfId="44175" xr:uid="{00000000-0005-0000-0000-0000A04D0000}"/>
    <cellStyle name="Comma 2 5 2 2 3 2 6 3 2 3" xfId="37752" xr:uid="{00000000-0005-0000-0000-0000A14D0000}"/>
    <cellStyle name="Comma 2 5 2 2 3 2 6 3 3" xfId="29067" xr:uid="{00000000-0005-0000-0000-0000A24D0000}"/>
    <cellStyle name="Comma 2 5 2 2 3 2 6 3 3 2" xfId="40968" xr:uid="{00000000-0005-0000-0000-0000A34D0000}"/>
    <cellStyle name="Comma 2 5 2 2 3 2 6 3 4" xfId="32402" xr:uid="{00000000-0005-0000-0000-0000A44D0000}"/>
    <cellStyle name="Comma 2 5 2 2 3 2 6 3 5" xfId="34544" xr:uid="{00000000-0005-0000-0000-0000A54D0000}"/>
    <cellStyle name="Comma 2 5 2 2 3 2 6 4" xfId="8549" xr:uid="{00000000-0005-0000-0000-0000A64D0000}"/>
    <cellStyle name="Comma 2 5 2 2 3 2 6 4 2" xfId="43138" xr:uid="{00000000-0005-0000-0000-0000A74D0000}"/>
    <cellStyle name="Comma 2 5 2 2 3 2 6 4 3" xfId="36714" xr:uid="{00000000-0005-0000-0000-0000A84D0000}"/>
    <cellStyle name="Comma 2 5 2 2 3 2 6 5" xfId="21538" xr:uid="{00000000-0005-0000-0000-0000A94D0000}"/>
    <cellStyle name="Comma 2 5 2 2 3 2 6 5 2" xfId="39931" xr:uid="{00000000-0005-0000-0000-0000AA4D0000}"/>
    <cellStyle name="Comma 2 5 2 2 3 2 6 6" xfId="22611" xr:uid="{00000000-0005-0000-0000-0000AB4D0000}"/>
    <cellStyle name="Comma 2 5 2 2 3 2 6 7" xfId="23709" xr:uid="{00000000-0005-0000-0000-0000AC4D0000}"/>
    <cellStyle name="Comma 2 5 2 2 3 2 6 8" xfId="26933" xr:uid="{00000000-0005-0000-0000-0000AD4D0000}"/>
    <cellStyle name="Comma 2 5 2 2 3 2 6 9" xfId="30266" xr:uid="{00000000-0005-0000-0000-0000AE4D0000}"/>
    <cellStyle name="Comma 2 5 2 2 3 2 7" xfId="9132" xr:uid="{00000000-0005-0000-0000-0000AF4D0000}"/>
    <cellStyle name="Comma 2 5 2 2 3 2 7 2" xfId="25186" xr:uid="{00000000-0005-0000-0000-0000B04D0000}"/>
    <cellStyle name="Comma 2 5 2 2 3 2 7 2 2" xfId="44613" xr:uid="{00000000-0005-0000-0000-0000B14D0000}"/>
    <cellStyle name="Comma 2 5 2 2 3 2 7 2 3" xfId="38190" xr:uid="{00000000-0005-0000-0000-0000B24D0000}"/>
    <cellStyle name="Comma 2 5 2 2 3 2 7 3" xfId="27365" xr:uid="{00000000-0005-0000-0000-0000B34D0000}"/>
    <cellStyle name="Comma 2 5 2 2 3 2 7 3 2" xfId="41406" xr:uid="{00000000-0005-0000-0000-0000B44D0000}"/>
    <cellStyle name="Comma 2 5 2 2 3 2 7 4" xfId="30700" xr:uid="{00000000-0005-0000-0000-0000B54D0000}"/>
    <cellStyle name="Comma 2 5 2 2 3 2 7 5" xfId="34982" xr:uid="{00000000-0005-0000-0000-0000B64D0000}"/>
    <cellStyle name="Comma 2 5 2 2 3 2 8" xfId="15726" xr:uid="{00000000-0005-0000-0000-0000B74D0000}"/>
    <cellStyle name="Comma 2 5 2 2 3 2 8 2" xfId="24741" xr:uid="{00000000-0005-0000-0000-0000B84D0000}"/>
    <cellStyle name="Comma 2 5 2 2 3 2 8 2 2" xfId="44170" xr:uid="{00000000-0005-0000-0000-0000B94D0000}"/>
    <cellStyle name="Comma 2 5 2 2 3 2 8 2 3" xfId="37747" xr:uid="{00000000-0005-0000-0000-0000BA4D0000}"/>
    <cellStyle name="Comma 2 5 2 2 3 2 8 3" xfId="29062" xr:uid="{00000000-0005-0000-0000-0000BB4D0000}"/>
    <cellStyle name="Comma 2 5 2 2 3 2 8 3 2" xfId="40963" xr:uid="{00000000-0005-0000-0000-0000BC4D0000}"/>
    <cellStyle name="Comma 2 5 2 2 3 2 8 4" xfId="32397" xr:uid="{00000000-0005-0000-0000-0000BD4D0000}"/>
    <cellStyle name="Comma 2 5 2 2 3 2 8 5" xfId="34539" xr:uid="{00000000-0005-0000-0000-0000BE4D0000}"/>
    <cellStyle name="Comma 2 5 2 2 3 2 9" xfId="8544" xr:uid="{00000000-0005-0000-0000-0000BF4D0000}"/>
    <cellStyle name="Comma 2 5 2 2 3 2 9 2" xfId="42476" xr:uid="{00000000-0005-0000-0000-0000C04D0000}"/>
    <cellStyle name="Comma 2 5 2 2 3 2 9 3" xfId="36052" xr:uid="{00000000-0005-0000-0000-0000C14D0000}"/>
    <cellStyle name="Comma 2 5 2 2 3 3" xfId="1284" xr:uid="{00000000-0005-0000-0000-0000C24D0000}"/>
    <cellStyle name="Comma 2 5 2 2 3 3 10" xfId="22612" xr:uid="{00000000-0005-0000-0000-0000C34D0000}"/>
    <cellStyle name="Comma 2 5 2 2 3 3 11" xfId="23710" xr:uid="{00000000-0005-0000-0000-0000C44D0000}"/>
    <cellStyle name="Comma 2 5 2 2 3 3 12" xfId="26934" xr:uid="{00000000-0005-0000-0000-0000C54D0000}"/>
    <cellStyle name="Comma 2 5 2 2 3 3 13" xfId="30267" xr:uid="{00000000-0005-0000-0000-0000C64D0000}"/>
    <cellStyle name="Comma 2 5 2 2 3 3 14" xfId="33508" xr:uid="{00000000-0005-0000-0000-0000C74D0000}"/>
    <cellStyle name="Comma 2 5 2 2 3 3 2" xfId="1285" xr:uid="{00000000-0005-0000-0000-0000C84D0000}"/>
    <cellStyle name="Comma 2 5 2 2 3 3 2 10" xfId="33509" xr:uid="{00000000-0005-0000-0000-0000C94D0000}"/>
    <cellStyle name="Comma 2 5 2 2 3 3 2 2" xfId="10055" xr:uid="{00000000-0005-0000-0000-0000CA4D0000}"/>
    <cellStyle name="Comma 2 5 2 2 3 3 2 2 2" xfId="25855" xr:uid="{00000000-0005-0000-0000-0000CB4D0000}"/>
    <cellStyle name="Comma 2 5 2 2 3 3 2 2 2 2" xfId="45282" xr:uid="{00000000-0005-0000-0000-0000CC4D0000}"/>
    <cellStyle name="Comma 2 5 2 2 3 3 2 2 2 3" xfId="38859" xr:uid="{00000000-0005-0000-0000-0000CD4D0000}"/>
    <cellStyle name="Comma 2 5 2 2 3 3 2 2 3" xfId="28033" xr:uid="{00000000-0005-0000-0000-0000CE4D0000}"/>
    <cellStyle name="Comma 2 5 2 2 3 3 2 2 3 2" xfId="42075" xr:uid="{00000000-0005-0000-0000-0000CF4D0000}"/>
    <cellStyle name="Comma 2 5 2 2 3 3 2 2 4" xfId="31368" xr:uid="{00000000-0005-0000-0000-0000D04D0000}"/>
    <cellStyle name="Comma 2 5 2 2 3 3 2 2 5" xfId="35651" xr:uid="{00000000-0005-0000-0000-0000D14D0000}"/>
    <cellStyle name="Comma 2 5 2 2 3 3 2 3" xfId="15733" xr:uid="{00000000-0005-0000-0000-0000D24D0000}"/>
    <cellStyle name="Comma 2 5 2 2 3 3 2 3 2" xfId="24748" xr:uid="{00000000-0005-0000-0000-0000D34D0000}"/>
    <cellStyle name="Comma 2 5 2 2 3 3 2 3 2 2" xfId="44177" xr:uid="{00000000-0005-0000-0000-0000D44D0000}"/>
    <cellStyle name="Comma 2 5 2 2 3 3 2 3 2 3" xfId="37754" xr:uid="{00000000-0005-0000-0000-0000D54D0000}"/>
    <cellStyle name="Comma 2 5 2 2 3 3 2 3 3" xfId="29069" xr:uid="{00000000-0005-0000-0000-0000D64D0000}"/>
    <cellStyle name="Comma 2 5 2 2 3 3 2 3 3 2" xfId="40970" xr:uid="{00000000-0005-0000-0000-0000D74D0000}"/>
    <cellStyle name="Comma 2 5 2 2 3 3 2 3 4" xfId="32404" xr:uid="{00000000-0005-0000-0000-0000D84D0000}"/>
    <cellStyle name="Comma 2 5 2 2 3 3 2 3 5" xfId="34546" xr:uid="{00000000-0005-0000-0000-0000D94D0000}"/>
    <cellStyle name="Comma 2 5 2 2 3 3 2 4" xfId="8551" xr:uid="{00000000-0005-0000-0000-0000DA4D0000}"/>
    <cellStyle name="Comma 2 5 2 2 3 3 2 4 2" xfId="43140" xr:uid="{00000000-0005-0000-0000-0000DB4D0000}"/>
    <cellStyle name="Comma 2 5 2 2 3 3 2 4 3" xfId="36716" xr:uid="{00000000-0005-0000-0000-0000DC4D0000}"/>
    <cellStyle name="Comma 2 5 2 2 3 3 2 5" xfId="21540" xr:uid="{00000000-0005-0000-0000-0000DD4D0000}"/>
    <cellStyle name="Comma 2 5 2 2 3 3 2 5 2" xfId="39933" xr:uid="{00000000-0005-0000-0000-0000DE4D0000}"/>
    <cellStyle name="Comma 2 5 2 2 3 3 2 6" xfId="22613" xr:uid="{00000000-0005-0000-0000-0000DF4D0000}"/>
    <cellStyle name="Comma 2 5 2 2 3 3 2 7" xfId="23711" xr:uid="{00000000-0005-0000-0000-0000E04D0000}"/>
    <cellStyle name="Comma 2 5 2 2 3 3 2 8" xfId="26935" xr:uid="{00000000-0005-0000-0000-0000E14D0000}"/>
    <cellStyle name="Comma 2 5 2 2 3 3 2 9" xfId="30268" xr:uid="{00000000-0005-0000-0000-0000E24D0000}"/>
    <cellStyle name="Comma 2 5 2 2 3 3 3" xfId="1286" xr:uid="{00000000-0005-0000-0000-0000E34D0000}"/>
    <cellStyle name="Comma 2 5 2 2 3 3 3 10" xfId="33510" xr:uid="{00000000-0005-0000-0000-0000E44D0000}"/>
    <cellStyle name="Comma 2 5 2 2 3 3 3 2" xfId="10056" xr:uid="{00000000-0005-0000-0000-0000E54D0000}"/>
    <cellStyle name="Comma 2 5 2 2 3 3 3 2 2" xfId="25856" xr:uid="{00000000-0005-0000-0000-0000E64D0000}"/>
    <cellStyle name="Comma 2 5 2 2 3 3 3 2 2 2" xfId="45283" xr:uid="{00000000-0005-0000-0000-0000E74D0000}"/>
    <cellStyle name="Comma 2 5 2 2 3 3 3 2 2 3" xfId="38860" xr:uid="{00000000-0005-0000-0000-0000E84D0000}"/>
    <cellStyle name="Comma 2 5 2 2 3 3 3 2 3" xfId="28034" xr:uid="{00000000-0005-0000-0000-0000E94D0000}"/>
    <cellStyle name="Comma 2 5 2 2 3 3 3 2 3 2" xfId="42076" xr:uid="{00000000-0005-0000-0000-0000EA4D0000}"/>
    <cellStyle name="Comma 2 5 2 2 3 3 3 2 4" xfId="31369" xr:uid="{00000000-0005-0000-0000-0000EB4D0000}"/>
    <cellStyle name="Comma 2 5 2 2 3 3 3 2 5" xfId="35652" xr:uid="{00000000-0005-0000-0000-0000EC4D0000}"/>
    <cellStyle name="Comma 2 5 2 2 3 3 3 3" xfId="15734" xr:uid="{00000000-0005-0000-0000-0000ED4D0000}"/>
    <cellStyle name="Comma 2 5 2 2 3 3 3 3 2" xfId="24749" xr:uid="{00000000-0005-0000-0000-0000EE4D0000}"/>
    <cellStyle name="Comma 2 5 2 2 3 3 3 3 2 2" xfId="44178" xr:uid="{00000000-0005-0000-0000-0000EF4D0000}"/>
    <cellStyle name="Comma 2 5 2 2 3 3 3 3 2 3" xfId="37755" xr:uid="{00000000-0005-0000-0000-0000F04D0000}"/>
    <cellStyle name="Comma 2 5 2 2 3 3 3 3 3" xfId="29070" xr:uid="{00000000-0005-0000-0000-0000F14D0000}"/>
    <cellStyle name="Comma 2 5 2 2 3 3 3 3 3 2" xfId="40971" xr:uid="{00000000-0005-0000-0000-0000F24D0000}"/>
    <cellStyle name="Comma 2 5 2 2 3 3 3 3 4" xfId="32405" xr:uid="{00000000-0005-0000-0000-0000F34D0000}"/>
    <cellStyle name="Comma 2 5 2 2 3 3 3 3 5" xfId="34547" xr:uid="{00000000-0005-0000-0000-0000F44D0000}"/>
    <cellStyle name="Comma 2 5 2 2 3 3 3 4" xfId="8552" xr:uid="{00000000-0005-0000-0000-0000F54D0000}"/>
    <cellStyle name="Comma 2 5 2 2 3 3 3 4 2" xfId="43141" xr:uid="{00000000-0005-0000-0000-0000F64D0000}"/>
    <cellStyle name="Comma 2 5 2 2 3 3 3 4 3" xfId="36717" xr:uid="{00000000-0005-0000-0000-0000F74D0000}"/>
    <cellStyle name="Comma 2 5 2 2 3 3 3 5" xfId="21541" xr:uid="{00000000-0005-0000-0000-0000F84D0000}"/>
    <cellStyle name="Comma 2 5 2 2 3 3 3 5 2" xfId="39934" xr:uid="{00000000-0005-0000-0000-0000F94D0000}"/>
    <cellStyle name="Comma 2 5 2 2 3 3 3 6" xfId="22614" xr:uid="{00000000-0005-0000-0000-0000FA4D0000}"/>
    <cellStyle name="Comma 2 5 2 2 3 3 3 7" xfId="23712" xr:uid="{00000000-0005-0000-0000-0000FB4D0000}"/>
    <cellStyle name="Comma 2 5 2 2 3 3 3 8" xfId="26936" xr:uid="{00000000-0005-0000-0000-0000FC4D0000}"/>
    <cellStyle name="Comma 2 5 2 2 3 3 3 9" xfId="30269" xr:uid="{00000000-0005-0000-0000-0000FD4D0000}"/>
    <cellStyle name="Comma 2 5 2 2 3 3 4" xfId="1287" xr:uid="{00000000-0005-0000-0000-0000FE4D0000}"/>
    <cellStyle name="Comma 2 5 2 2 3 3 4 10" xfId="33511" xr:uid="{00000000-0005-0000-0000-0000FF4D0000}"/>
    <cellStyle name="Comma 2 5 2 2 3 3 4 2" xfId="10057" xr:uid="{00000000-0005-0000-0000-0000004E0000}"/>
    <cellStyle name="Comma 2 5 2 2 3 3 4 2 2" xfId="25857" xr:uid="{00000000-0005-0000-0000-0000014E0000}"/>
    <cellStyle name="Comma 2 5 2 2 3 3 4 2 2 2" xfId="45284" xr:uid="{00000000-0005-0000-0000-0000024E0000}"/>
    <cellStyle name="Comma 2 5 2 2 3 3 4 2 2 3" xfId="38861" xr:uid="{00000000-0005-0000-0000-0000034E0000}"/>
    <cellStyle name="Comma 2 5 2 2 3 3 4 2 3" xfId="28035" xr:uid="{00000000-0005-0000-0000-0000044E0000}"/>
    <cellStyle name="Comma 2 5 2 2 3 3 4 2 3 2" xfId="42077" xr:uid="{00000000-0005-0000-0000-0000054E0000}"/>
    <cellStyle name="Comma 2 5 2 2 3 3 4 2 4" xfId="31370" xr:uid="{00000000-0005-0000-0000-0000064E0000}"/>
    <cellStyle name="Comma 2 5 2 2 3 3 4 2 5" xfId="35653" xr:uid="{00000000-0005-0000-0000-0000074E0000}"/>
    <cellStyle name="Comma 2 5 2 2 3 3 4 3" xfId="15735" xr:uid="{00000000-0005-0000-0000-0000084E0000}"/>
    <cellStyle name="Comma 2 5 2 2 3 3 4 3 2" xfId="24750" xr:uid="{00000000-0005-0000-0000-0000094E0000}"/>
    <cellStyle name="Comma 2 5 2 2 3 3 4 3 2 2" xfId="44179" xr:uid="{00000000-0005-0000-0000-00000A4E0000}"/>
    <cellStyle name="Comma 2 5 2 2 3 3 4 3 2 3" xfId="37756" xr:uid="{00000000-0005-0000-0000-00000B4E0000}"/>
    <cellStyle name="Comma 2 5 2 2 3 3 4 3 3" xfId="29071" xr:uid="{00000000-0005-0000-0000-00000C4E0000}"/>
    <cellStyle name="Comma 2 5 2 2 3 3 4 3 3 2" xfId="40972" xr:uid="{00000000-0005-0000-0000-00000D4E0000}"/>
    <cellStyle name="Comma 2 5 2 2 3 3 4 3 4" xfId="32406" xr:uid="{00000000-0005-0000-0000-00000E4E0000}"/>
    <cellStyle name="Comma 2 5 2 2 3 3 4 3 5" xfId="34548" xr:uid="{00000000-0005-0000-0000-00000F4E0000}"/>
    <cellStyle name="Comma 2 5 2 2 3 3 4 4" xfId="8553" xr:uid="{00000000-0005-0000-0000-0000104E0000}"/>
    <cellStyle name="Comma 2 5 2 2 3 3 4 4 2" xfId="43142" xr:uid="{00000000-0005-0000-0000-0000114E0000}"/>
    <cellStyle name="Comma 2 5 2 2 3 3 4 4 3" xfId="36718" xr:uid="{00000000-0005-0000-0000-0000124E0000}"/>
    <cellStyle name="Comma 2 5 2 2 3 3 4 5" xfId="21542" xr:uid="{00000000-0005-0000-0000-0000134E0000}"/>
    <cellStyle name="Comma 2 5 2 2 3 3 4 5 2" xfId="39935" xr:uid="{00000000-0005-0000-0000-0000144E0000}"/>
    <cellStyle name="Comma 2 5 2 2 3 3 4 6" xfId="22615" xr:uid="{00000000-0005-0000-0000-0000154E0000}"/>
    <cellStyle name="Comma 2 5 2 2 3 3 4 7" xfId="23713" xr:uid="{00000000-0005-0000-0000-0000164E0000}"/>
    <cellStyle name="Comma 2 5 2 2 3 3 4 8" xfId="26937" xr:uid="{00000000-0005-0000-0000-0000174E0000}"/>
    <cellStyle name="Comma 2 5 2 2 3 3 4 9" xfId="30270" xr:uid="{00000000-0005-0000-0000-0000184E0000}"/>
    <cellStyle name="Comma 2 5 2 2 3 3 5" xfId="1288" xr:uid="{00000000-0005-0000-0000-0000194E0000}"/>
    <cellStyle name="Comma 2 5 2 2 3 3 5 10" xfId="33512" xr:uid="{00000000-0005-0000-0000-00001A4E0000}"/>
    <cellStyle name="Comma 2 5 2 2 3 3 5 2" xfId="10058" xr:uid="{00000000-0005-0000-0000-00001B4E0000}"/>
    <cellStyle name="Comma 2 5 2 2 3 3 5 2 2" xfId="25858" xr:uid="{00000000-0005-0000-0000-00001C4E0000}"/>
    <cellStyle name="Comma 2 5 2 2 3 3 5 2 2 2" xfId="45285" xr:uid="{00000000-0005-0000-0000-00001D4E0000}"/>
    <cellStyle name="Comma 2 5 2 2 3 3 5 2 2 3" xfId="38862" xr:uid="{00000000-0005-0000-0000-00001E4E0000}"/>
    <cellStyle name="Comma 2 5 2 2 3 3 5 2 3" xfId="28036" xr:uid="{00000000-0005-0000-0000-00001F4E0000}"/>
    <cellStyle name="Comma 2 5 2 2 3 3 5 2 3 2" xfId="42078" xr:uid="{00000000-0005-0000-0000-0000204E0000}"/>
    <cellStyle name="Comma 2 5 2 2 3 3 5 2 4" xfId="31371" xr:uid="{00000000-0005-0000-0000-0000214E0000}"/>
    <cellStyle name="Comma 2 5 2 2 3 3 5 2 5" xfId="35654" xr:uid="{00000000-0005-0000-0000-0000224E0000}"/>
    <cellStyle name="Comma 2 5 2 2 3 3 5 3" xfId="15736" xr:uid="{00000000-0005-0000-0000-0000234E0000}"/>
    <cellStyle name="Comma 2 5 2 2 3 3 5 3 2" xfId="24751" xr:uid="{00000000-0005-0000-0000-0000244E0000}"/>
    <cellStyle name="Comma 2 5 2 2 3 3 5 3 2 2" xfId="44180" xr:uid="{00000000-0005-0000-0000-0000254E0000}"/>
    <cellStyle name="Comma 2 5 2 2 3 3 5 3 2 3" xfId="37757" xr:uid="{00000000-0005-0000-0000-0000264E0000}"/>
    <cellStyle name="Comma 2 5 2 2 3 3 5 3 3" xfId="29072" xr:uid="{00000000-0005-0000-0000-0000274E0000}"/>
    <cellStyle name="Comma 2 5 2 2 3 3 5 3 3 2" xfId="40973" xr:uid="{00000000-0005-0000-0000-0000284E0000}"/>
    <cellStyle name="Comma 2 5 2 2 3 3 5 3 4" xfId="32407" xr:uid="{00000000-0005-0000-0000-0000294E0000}"/>
    <cellStyle name="Comma 2 5 2 2 3 3 5 3 5" xfId="34549" xr:uid="{00000000-0005-0000-0000-00002A4E0000}"/>
    <cellStyle name="Comma 2 5 2 2 3 3 5 4" xfId="8554" xr:uid="{00000000-0005-0000-0000-00002B4E0000}"/>
    <cellStyle name="Comma 2 5 2 2 3 3 5 4 2" xfId="43143" xr:uid="{00000000-0005-0000-0000-00002C4E0000}"/>
    <cellStyle name="Comma 2 5 2 2 3 3 5 4 3" xfId="36719" xr:uid="{00000000-0005-0000-0000-00002D4E0000}"/>
    <cellStyle name="Comma 2 5 2 2 3 3 5 5" xfId="21543" xr:uid="{00000000-0005-0000-0000-00002E4E0000}"/>
    <cellStyle name="Comma 2 5 2 2 3 3 5 5 2" xfId="39936" xr:uid="{00000000-0005-0000-0000-00002F4E0000}"/>
    <cellStyle name="Comma 2 5 2 2 3 3 5 6" xfId="22616" xr:uid="{00000000-0005-0000-0000-0000304E0000}"/>
    <cellStyle name="Comma 2 5 2 2 3 3 5 7" xfId="23714" xr:uid="{00000000-0005-0000-0000-0000314E0000}"/>
    <cellStyle name="Comma 2 5 2 2 3 3 5 8" xfId="26938" xr:uid="{00000000-0005-0000-0000-0000324E0000}"/>
    <cellStyle name="Comma 2 5 2 2 3 3 5 9" xfId="30271" xr:uid="{00000000-0005-0000-0000-0000334E0000}"/>
    <cellStyle name="Comma 2 5 2 2 3 3 6" xfId="10054" xr:uid="{00000000-0005-0000-0000-0000344E0000}"/>
    <cellStyle name="Comma 2 5 2 2 3 3 6 2" xfId="25854" xr:uid="{00000000-0005-0000-0000-0000354E0000}"/>
    <cellStyle name="Comma 2 5 2 2 3 3 6 2 2" xfId="45281" xr:uid="{00000000-0005-0000-0000-0000364E0000}"/>
    <cellStyle name="Comma 2 5 2 2 3 3 6 2 3" xfId="38858" xr:uid="{00000000-0005-0000-0000-0000374E0000}"/>
    <cellStyle name="Comma 2 5 2 2 3 3 6 3" xfId="28032" xr:uid="{00000000-0005-0000-0000-0000384E0000}"/>
    <cellStyle name="Comma 2 5 2 2 3 3 6 3 2" xfId="42074" xr:uid="{00000000-0005-0000-0000-0000394E0000}"/>
    <cellStyle name="Comma 2 5 2 2 3 3 6 4" xfId="31367" xr:uid="{00000000-0005-0000-0000-00003A4E0000}"/>
    <cellStyle name="Comma 2 5 2 2 3 3 6 5" xfId="35650" xr:uid="{00000000-0005-0000-0000-00003B4E0000}"/>
    <cellStyle name="Comma 2 5 2 2 3 3 7" xfId="15732" xr:uid="{00000000-0005-0000-0000-00003C4E0000}"/>
    <cellStyle name="Comma 2 5 2 2 3 3 7 2" xfId="24747" xr:uid="{00000000-0005-0000-0000-00003D4E0000}"/>
    <cellStyle name="Comma 2 5 2 2 3 3 7 2 2" xfId="44176" xr:uid="{00000000-0005-0000-0000-00003E4E0000}"/>
    <cellStyle name="Comma 2 5 2 2 3 3 7 2 3" xfId="37753" xr:uid="{00000000-0005-0000-0000-00003F4E0000}"/>
    <cellStyle name="Comma 2 5 2 2 3 3 7 3" xfId="29068" xr:uid="{00000000-0005-0000-0000-0000404E0000}"/>
    <cellStyle name="Comma 2 5 2 2 3 3 7 3 2" xfId="40969" xr:uid="{00000000-0005-0000-0000-0000414E0000}"/>
    <cellStyle name="Comma 2 5 2 2 3 3 7 4" xfId="32403" xr:uid="{00000000-0005-0000-0000-0000424E0000}"/>
    <cellStyle name="Comma 2 5 2 2 3 3 7 5" xfId="34545" xr:uid="{00000000-0005-0000-0000-0000434E0000}"/>
    <cellStyle name="Comma 2 5 2 2 3 3 8" xfId="8550" xr:uid="{00000000-0005-0000-0000-0000444E0000}"/>
    <cellStyle name="Comma 2 5 2 2 3 3 8 2" xfId="43139" xr:uid="{00000000-0005-0000-0000-0000454E0000}"/>
    <cellStyle name="Comma 2 5 2 2 3 3 8 3" xfId="36715" xr:uid="{00000000-0005-0000-0000-0000464E0000}"/>
    <cellStyle name="Comma 2 5 2 2 3 3 9" xfId="21539" xr:uid="{00000000-0005-0000-0000-0000474E0000}"/>
    <cellStyle name="Comma 2 5 2 2 3 3 9 2" xfId="39932" xr:uid="{00000000-0005-0000-0000-0000484E0000}"/>
    <cellStyle name="Comma 2 5 2 2 3 4" xfId="1289" xr:uid="{00000000-0005-0000-0000-0000494E0000}"/>
    <cellStyle name="Comma 2 5 2 2 3 4 10" xfId="33513" xr:uid="{00000000-0005-0000-0000-00004A4E0000}"/>
    <cellStyle name="Comma 2 5 2 2 3 4 2" xfId="10059" xr:uid="{00000000-0005-0000-0000-00004B4E0000}"/>
    <cellStyle name="Comma 2 5 2 2 3 4 2 2" xfId="25859" xr:uid="{00000000-0005-0000-0000-00004C4E0000}"/>
    <cellStyle name="Comma 2 5 2 2 3 4 2 2 2" xfId="45286" xr:uid="{00000000-0005-0000-0000-00004D4E0000}"/>
    <cellStyle name="Comma 2 5 2 2 3 4 2 2 3" xfId="38863" xr:uid="{00000000-0005-0000-0000-00004E4E0000}"/>
    <cellStyle name="Comma 2 5 2 2 3 4 2 3" xfId="28037" xr:uid="{00000000-0005-0000-0000-00004F4E0000}"/>
    <cellStyle name="Comma 2 5 2 2 3 4 2 3 2" xfId="42079" xr:uid="{00000000-0005-0000-0000-0000504E0000}"/>
    <cellStyle name="Comma 2 5 2 2 3 4 2 4" xfId="31372" xr:uid="{00000000-0005-0000-0000-0000514E0000}"/>
    <cellStyle name="Comma 2 5 2 2 3 4 2 5" xfId="35655" xr:uid="{00000000-0005-0000-0000-0000524E0000}"/>
    <cellStyle name="Comma 2 5 2 2 3 4 3" xfId="15737" xr:uid="{00000000-0005-0000-0000-0000534E0000}"/>
    <cellStyle name="Comma 2 5 2 2 3 4 3 2" xfId="24752" xr:uid="{00000000-0005-0000-0000-0000544E0000}"/>
    <cellStyle name="Comma 2 5 2 2 3 4 3 2 2" xfId="44181" xr:uid="{00000000-0005-0000-0000-0000554E0000}"/>
    <cellStyle name="Comma 2 5 2 2 3 4 3 2 3" xfId="37758" xr:uid="{00000000-0005-0000-0000-0000564E0000}"/>
    <cellStyle name="Comma 2 5 2 2 3 4 3 3" xfId="29073" xr:uid="{00000000-0005-0000-0000-0000574E0000}"/>
    <cellStyle name="Comma 2 5 2 2 3 4 3 3 2" xfId="40974" xr:uid="{00000000-0005-0000-0000-0000584E0000}"/>
    <cellStyle name="Comma 2 5 2 2 3 4 3 4" xfId="32408" xr:uid="{00000000-0005-0000-0000-0000594E0000}"/>
    <cellStyle name="Comma 2 5 2 2 3 4 3 5" xfId="34550" xr:uid="{00000000-0005-0000-0000-00005A4E0000}"/>
    <cellStyle name="Comma 2 5 2 2 3 4 4" xfId="8555" xr:uid="{00000000-0005-0000-0000-00005B4E0000}"/>
    <cellStyle name="Comma 2 5 2 2 3 4 4 2" xfId="43144" xr:uid="{00000000-0005-0000-0000-00005C4E0000}"/>
    <cellStyle name="Comma 2 5 2 2 3 4 4 3" xfId="36720" xr:uid="{00000000-0005-0000-0000-00005D4E0000}"/>
    <cellStyle name="Comma 2 5 2 2 3 4 5" xfId="21544" xr:uid="{00000000-0005-0000-0000-00005E4E0000}"/>
    <cellStyle name="Comma 2 5 2 2 3 4 5 2" xfId="39937" xr:uid="{00000000-0005-0000-0000-00005F4E0000}"/>
    <cellStyle name="Comma 2 5 2 2 3 4 6" xfId="22617" xr:uid="{00000000-0005-0000-0000-0000604E0000}"/>
    <cellStyle name="Comma 2 5 2 2 3 4 7" xfId="23715" xr:uid="{00000000-0005-0000-0000-0000614E0000}"/>
    <cellStyle name="Comma 2 5 2 2 3 4 8" xfId="26939" xr:uid="{00000000-0005-0000-0000-0000624E0000}"/>
    <cellStyle name="Comma 2 5 2 2 3 4 9" xfId="30272" xr:uid="{00000000-0005-0000-0000-0000634E0000}"/>
    <cellStyle name="Comma 2 5 2 2 3 5" xfId="1290" xr:uid="{00000000-0005-0000-0000-0000644E0000}"/>
    <cellStyle name="Comma 2 5 2 2 3 5 10" xfId="33514" xr:uid="{00000000-0005-0000-0000-0000654E0000}"/>
    <cellStyle name="Comma 2 5 2 2 3 5 2" xfId="10060" xr:uid="{00000000-0005-0000-0000-0000664E0000}"/>
    <cellStyle name="Comma 2 5 2 2 3 5 2 2" xfId="25860" xr:uid="{00000000-0005-0000-0000-0000674E0000}"/>
    <cellStyle name="Comma 2 5 2 2 3 5 2 2 2" xfId="45287" xr:uid="{00000000-0005-0000-0000-0000684E0000}"/>
    <cellStyle name="Comma 2 5 2 2 3 5 2 2 3" xfId="38864" xr:uid="{00000000-0005-0000-0000-0000694E0000}"/>
    <cellStyle name="Comma 2 5 2 2 3 5 2 3" xfId="28038" xr:uid="{00000000-0005-0000-0000-00006A4E0000}"/>
    <cellStyle name="Comma 2 5 2 2 3 5 2 3 2" xfId="42080" xr:uid="{00000000-0005-0000-0000-00006B4E0000}"/>
    <cellStyle name="Comma 2 5 2 2 3 5 2 4" xfId="31373" xr:uid="{00000000-0005-0000-0000-00006C4E0000}"/>
    <cellStyle name="Comma 2 5 2 2 3 5 2 5" xfId="35656" xr:uid="{00000000-0005-0000-0000-00006D4E0000}"/>
    <cellStyle name="Comma 2 5 2 2 3 5 3" xfId="15738" xr:uid="{00000000-0005-0000-0000-00006E4E0000}"/>
    <cellStyle name="Comma 2 5 2 2 3 5 3 2" xfId="24753" xr:uid="{00000000-0005-0000-0000-00006F4E0000}"/>
    <cellStyle name="Comma 2 5 2 2 3 5 3 2 2" xfId="44182" xr:uid="{00000000-0005-0000-0000-0000704E0000}"/>
    <cellStyle name="Comma 2 5 2 2 3 5 3 2 3" xfId="37759" xr:uid="{00000000-0005-0000-0000-0000714E0000}"/>
    <cellStyle name="Comma 2 5 2 2 3 5 3 3" xfId="29074" xr:uid="{00000000-0005-0000-0000-0000724E0000}"/>
    <cellStyle name="Comma 2 5 2 2 3 5 3 3 2" xfId="40975" xr:uid="{00000000-0005-0000-0000-0000734E0000}"/>
    <cellStyle name="Comma 2 5 2 2 3 5 3 4" xfId="32409" xr:uid="{00000000-0005-0000-0000-0000744E0000}"/>
    <cellStyle name="Comma 2 5 2 2 3 5 3 5" xfId="34551" xr:uid="{00000000-0005-0000-0000-0000754E0000}"/>
    <cellStyle name="Comma 2 5 2 2 3 5 4" xfId="8556" xr:uid="{00000000-0005-0000-0000-0000764E0000}"/>
    <cellStyle name="Comma 2 5 2 2 3 5 4 2" xfId="43145" xr:uid="{00000000-0005-0000-0000-0000774E0000}"/>
    <cellStyle name="Comma 2 5 2 2 3 5 4 3" xfId="36721" xr:uid="{00000000-0005-0000-0000-0000784E0000}"/>
    <cellStyle name="Comma 2 5 2 2 3 5 5" xfId="21545" xr:uid="{00000000-0005-0000-0000-0000794E0000}"/>
    <cellStyle name="Comma 2 5 2 2 3 5 5 2" xfId="39938" xr:uid="{00000000-0005-0000-0000-00007A4E0000}"/>
    <cellStyle name="Comma 2 5 2 2 3 5 6" xfId="22618" xr:uid="{00000000-0005-0000-0000-00007B4E0000}"/>
    <cellStyle name="Comma 2 5 2 2 3 5 7" xfId="23716" xr:uid="{00000000-0005-0000-0000-00007C4E0000}"/>
    <cellStyle name="Comma 2 5 2 2 3 5 8" xfId="26940" xr:uid="{00000000-0005-0000-0000-00007D4E0000}"/>
    <cellStyle name="Comma 2 5 2 2 3 5 9" xfId="30273" xr:uid="{00000000-0005-0000-0000-00007E4E0000}"/>
    <cellStyle name="Comma 2 5 2 2 3 6" xfId="1291" xr:uid="{00000000-0005-0000-0000-00007F4E0000}"/>
    <cellStyle name="Comma 2 5 2 2 3 6 10" xfId="33515" xr:uid="{00000000-0005-0000-0000-0000804E0000}"/>
    <cellStyle name="Comma 2 5 2 2 3 6 2" xfId="10061" xr:uid="{00000000-0005-0000-0000-0000814E0000}"/>
    <cellStyle name="Comma 2 5 2 2 3 6 2 2" xfId="25861" xr:uid="{00000000-0005-0000-0000-0000824E0000}"/>
    <cellStyle name="Comma 2 5 2 2 3 6 2 2 2" xfId="45288" xr:uid="{00000000-0005-0000-0000-0000834E0000}"/>
    <cellStyle name="Comma 2 5 2 2 3 6 2 2 3" xfId="38865" xr:uid="{00000000-0005-0000-0000-0000844E0000}"/>
    <cellStyle name="Comma 2 5 2 2 3 6 2 3" xfId="28039" xr:uid="{00000000-0005-0000-0000-0000854E0000}"/>
    <cellStyle name="Comma 2 5 2 2 3 6 2 3 2" xfId="42081" xr:uid="{00000000-0005-0000-0000-0000864E0000}"/>
    <cellStyle name="Comma 2 5 2 2 3 6 2 4" xfId="31374" xr:uid="{00000000-0005-0000-0000-0000874E0000}"/>
    <cellStyle name="Comma 2 5 2 2 3 6 2 5" xfId="35657" xr:uid="{00000000-0005-0000-0000-0000884E0000}"/>
    <cellStyle name="Comma 2 5 2 2 3 6 3" xfId="15739" xr:uid="{00000000-0005-0000-0000-0000894E0000}"/>
    <cellStyle name="Comma 2 5 2 2 3 6 3 2" xfId="24754" xr:uid="{00000000-0005-0000-0000-00008A4E0000}"/>
    <cellStyle name="Comma 2 5 2 2 3 6 3 2 2" xfId="44183" xr:uid="{00000000-0005-0000-0000-00008B4E0000}"/>
    <cellStyle name="Comma 2 5 2 2 3 6 3 2 3" xfId="37760" xr:uid="{00000000-0005-0000-0000-00008C4E0000}"/>
    <cellStyle name="Comma 2 5 2 2 3 6 3 3" xfId="29075" xr:uid="{00000000-0005-0000-0000-00008D4E0000}"/>
    <cellStyle name="Comma 2 5 2 2 3 6 3 3 2" xfId="40976" xr:uid="{00000000-0005-0000-0000-00008E4E0000}"/>
    <cellStyle name="Comma 2 5 2 2 3 6 3 4" xfId="32410" xr:uid="{00000000-0005-0000-0000-00008F4E0000}"/>
    <cellStyle name="Comma 2 5 2 2 3 6 3 5" xfId="34552" xr:uid="{00000000-0005-0000-0000-0000904E0000}"/>
    <cellStyle name="Comma 2 5 2 2 3 6 4" xfId="8557" xr:uid="{00000000-0005-0000-0000-0000914E0000}"/>
    <cellStyle name="Comma 2 5 2 2 3 6 4 2" xfId="43146" xr:uid="{00000000-0005-0000-0000-0000924E0000}"/>
    <cellStyle name="Comma 2 5 2 2 3 6 4 3" xfId="36722" xr:uid="{00000000-0005-0000-0000-0000934E0000}"/>
    <cellStyle name="Comma 2 5 2 2 3 6 5" xfId="21546" xr:uid="{00000000-0005-0000-0000-0000944E0000}"/>
    <cellStyle name="Comma 2 5 2 2 3 6 5 2" xfId="39939" xr:uid="{00000000-0005-0000-0000-0000954E0000}"/>
    <cellStyle name="Comma 2 5 2 2 3 6 6" xfId="22619" xr:uid="{00000000-0005-0000-0000-0000964E0000}"/>
    <cellStyle name="Comma 2 5 2 2 3 6 7" xfId="23717" xr:uid="{00000000-0005-0000-0000-0000974E0000}"/>
    <cellStyle name="Comma 2 5 2 2 3 6 8" xfId="26941" xr:uid="{00000000-0005-0000-0000-0000984E0000}"/>
    <cellStyle name="Comma 2 5 2 2 3 6 9" xfId="30274" xr:uid="{00000000-0005-0000-0000-0000994E0000}"/>
    <cellStyle name="Comma 2 5 2 2 3 7" xfId="1292" xr:uid="{00000000-0005-0000-0000-00009A4E0000}"/>
    <cellStyle name="Comma 2 5 2 2 3 7 10" xfId="33516" xr:uid="{00000000-0005-0000-0000-00009B4E0000}"/>
    <cellStyle name="Comma 2 5 2 2 3 7 2" xfId="10062" xr:uid="{00000000-0005-0000-0000-00009C4E0000}"/>
    <cellStyle name="Comma 2 5 2 2 3 7 2 2" xfId="25862" xr:uid="{00000000-0005-0000-0000-00009D4E0000}"/>
    <cellStyle name="Comma 2 5 2 2 3 7 2 2 2" xfId="45289" xr:uid="{00000000-0005-0000-0000-00009E4E0000}"/>
    <cellStyle name="Comma 2 5 2 2 3 7 2 2 3" xfId="38866" xr:uid="{00000000-0005-0000-0000-00009F4E0000}"/>
    <cellStyle name="Comma 2 5 2 2 3 7 2 3" xfId="28040" xr:uid="{00000000-0005-0000-0000-0000A04E0000}"/>
    <cellStyle name="Comma 2 5 2 2 3 7 2 3 2" xfId="42082" xr:uid="{00000000-0005-0000-0000-0000A14E0000}"/>
    <cellStyle name="Comma 2 5 2 2 3 7 2 4" xfId="31375" xr:uid="{00000000-0005-0000-0000-0000A24E0000}"/>
    <cellStyle name="Comma 2 5 2 2 3 7 2 5" xfId="35658" xr:uid="{00000000-0005-0000-0000-0000A34E0000}"/>
    <cellStyle name="Comma 2 5 2 2 3 7 3" xfId="15740" xr:uid="{00000000-0005-0000-0000-0000A44E0000}"/>
    <cellStyle name="Comma 2 5 2 2 3 7 3 2" xfId="24755" xr:uid="{00000000-0005-0000-0000-0000A54E0000}"/>
    <cellStyle name="Comma 2 5 2 2 3 7 3 2 2" xfId="44184" xr:uid="{00000000-0005-0000-0000-0000A64E0000}"/>
    <cellStyle name="Comma 2 5 2 2 3 7 3 2 3" xfId="37761" xr:uid="{00000000-0005-0000-0000-0000A74E0000}"/>
    <cellStyle name="Comma 2 5 2 2 3 7 3 3" xfId="29076" xr:uid="{00000000-0005-0000-0000-0000A84E0000}"/>
    <cellStyle name="Comma 2 5 2 2 3 7 3 3 2" xfId="40977" xr:uid="{00000000-0005-0000-0000-0000A94E0000}"/>
    <cellStyle name="Comma 2 5 2 2 3 7 3 4" xfId="32411" xr:uid="{00000000-0005-0000-0000-0000AA4E0000}"/>
    <cellStyle name="Comma 2 5 2 2 3 7 3 5" xfId="34553" xr:uid="{00000000-0005-0000-0000-0000AB4E0000}"/>
    <cellStyle name="Comma 2 5 2 2 3 7 4" xfId="8558" xr:uid="{00000000-0005-0000-0000-0000AC4E0000}"/>
    <cellStyle name="Comma 2 5 2 2 3 7 4 2" xfId="43147" xr:uid="{00000000-0005-0000-0000-0000AD4E0000}"/>
    <cellStyle name="Comma 2 5 2 2 3 7 4 3" xfId="36723" xr:uid="{00000000-0005-0000-0000-0000AE4E0000}"/>
    <cellStyle name="Comma 2 5 2 2 3 7 5" xfId="21547" xr:uid="{00000000-0005-0000-0000-0000AF4E0000}"/>
    <cellStyle name="Comma 2 5 2 2 3 7 5 2" xfId="39940" xr:uid="{00000000-0005-0000-0000-0000B04E0000}"/>
    <cellStyle name="Comma 2 5 2 2 3 7 6" xfId="22620" xr:uid="{00000000-0005-0000-0000-0000B14E0000}"/>
    <cellStyle name="Comma 2 5 2 2 3 7 7" xfId="23718" xr:uid="{00000000-0005-0000-0000-0000B24E0000}"/>
    <cellStyle name="Comma 2 5 2 2 3 7 8" xfId="26942" xr:uid="{00000000-0005-0000-0000-0000B34E0000}"/>
    <cellStyle name="Comma 2 5 2 2 3 7 9" xfId="30275" xr:uid="{00000000-0005-0000-0000-0000B44E0000}"/>
    <cellStyle name="Comma 2 5 2 2 3 8" xfId="1293" xr:uid="{00000000-0005-0000-0000-0000B54E0000}"/>
    <cellStyle name="Comma 2 5 2 2 3 8 10" xfId="33517" xr:uid="{00000000-0005-0000-0000-0000B64E0000}"/>
    <cellStyle name="Comma 2 5 2 2 3 8 2" xfId="10063" xr:uid="{00000000-0005-0000-0000-0000B74E0000}"/>
    <cellStyle name="Comma 2 5 2 2 3 8 2 2" xfId="25863" xr:uid="{00000000-0005-0000-0000-0000B84E0000}"/>
    <cellStyle name="Comma 2 5 2 2 3 8 2 2 2" xfId="45290" xr:uid="{00000000-0005-0000-0000-0000B94E0000}"/>
    <cellStyle name="Comma 2 5 2 2 3 8 2 2 3" xfId="38867" xr:uid="{00000000-0005-0000-0000-0000BA4E0000}"/>
    <cellStyle name="Comma 2 5 2 2 3 8 2 3" xfId="28041" xr:uid="{00000000-0005-0000-0000-0000BB4E0000}"/>
    <cellStyle name="Comma 2 5 2 2 3 8 2 3 2" xfId="42083" xr:uid="{00000000-0005-0000-0000-0000BC4E0000}"/>
    <cellStyle name="Comma 2 5 2 2 3 8 2 4" xfId="31376" xr:uid="{00000000-0005-0000-0000-0000BD4E0000}"/>
    <cellStyle name="Comma 2 5 2 2 3 8 2 5" xfId="35659" xr:uid="{00000000-0005-0000-0000-0000BE4E0000}"/>
    <cellStyle name="Comma 2 5 2 2 3 8 3" xfId="15741" xr:uid="{00000000-0005-0000-0000-0000BF4E0000}"/>
    <cellStyle name="Comma 2 5 2 2 3 8 3 2" xfId="24756" xr:uid="{00000000-0005-0000-0000-0000C04E0000}"/>
    <cellStyle name="Comma 2 5 2 2 3 8 3 2 2" xfId="44185" xr:uid="{00000000-0005-0000-0000-0000C14E0000}"/>
    <cellStyle name="Comma 2 5 2 2 3 8 3 2 3" xfId="37762" xr:uid="{00000000-0005-0000-0000-0000C24E0000}"/>
    <cellStyle name="Comma 2 5 2 2 3 8 3 3" xfId="29077" xr:uid="{00000000-0005-0000-0000-0000C34E0000}"/>
    <cellStyle name="Comma 2 5 2 2 3 8 3 3 2" xfId="40978" xr:uid="{00000000-0005-0000-0000-0000C44E0000}"/>
    <cellStyle name="Comma 2 5 2 2 3 8 3 4" xfId="32412" xr:uid="{00000000-0005-0000-0000-0000C54E0000}"/>
    <cellStyle name="Comma 2 5 2 2 3 8 3 5" xfId="34554" xr:uid="{00000000-0005-0000-0000-0000C64E0000}"/>
    <cellStyle name="Comma 2 5 2 2 3 8 4" xfId="8559" xr:uid="{00000000-0005-0000-0000-0000C74E0000}"/>
    <cellStyle name="Comma 2 5 2 2 3 8 4 2" xfId="43148" xr:uid="{00000000-0005-0000-0000-0000C84E0000}"/>
    <cellStyle name="Comma 2 5 2 2 3 8 4 3" xfId="36724" xr:uid="{00000000-0005-0000-0000-0000C94E0000}"/>
    <cellStyle name="Comma 2 5 2 2 3 8 5" xfId="21548" xr:uid="{00000000-0005-0000-0000-0000CA4E0000}"/>
    <cellStyle name="Comma 2 5 2 2 3 8 5 2" xfId="39941" xr:uid="{00000000-0005-0000-0000-0000CB4E0000}"/>
    <cellStyle name="Comma 2 5 2 2 3 8 6" xfId="22621" xr:uid="{00000000-0005-0000-0000-0000CC4E0000}"/>
    <cellStyle name="Comma 2 5 2 2 3 8 7" xfId="23719" xr:uid="{00000000-0005-0000-0000-0000CD4E0000}"/>
    <cellStyle name="Comma 2 5 2 2 3 8 8" xfId="26943" xr:uid="{00000000-0005-0000-0000-0000CE4E0000}"/>
    <cellStyle name="Comma 2 5 2 2 3 8 9" xfId="30276" xr:uid="{00000000-0005-0000-0000-0000CF4E0000}"/>
    <cellStyle name="Comma 2 5 2 2 3 9" xfId="9131" xr:uid="{00000000-0005-0000-0000-0000D04E0000}"/>
    <cellStyle name="Comma 2 5 2 2 3 9 2" xfId="25185" xr:uid="{00000000-0005-0000-0000-0000D14E0000}"/>
    <cellStyle name="Comma 2 5 2 2 3 9 2 2" xfId="44612" xr:uid="{00000000-0005-0000-0000-0000D24E0000}"/>
    <cellStyle name="Comma 2 5 2 2 3 9 2 3" xfId="38189" xr:uid="{00000000-0005-0000-0000-0000D34E0000}"/>
    <cellStyle name="Comma 2 5 2 2 3 9 3" xfId="27364" xr:uid="{00000000-0005-0000-0000-0000D44E0000}"/>
    <cellStyle name="Comma 2 5 2 2 3 9 3 2" xfId="41405" xr:uid="{00000000-0005-0000-0000-0000D54E0000}"/>
    <cellStyle name="Comma 2 5 2 2 3 9 4" xfId="30699" xr:uid="{00000000-0005-0000-0000-0000D64E0000}"/>
    <cellStyle name="Comma 2 5 2 2 3 9 5" xfId="34981" xr:uid="{00000000-0005-0000-0000-0000D74E0000}"/>
    <cellStyle name="Comma 2 5 2 2 4" xfId="277" xr:uid="{00000000-0005-0000-0000-0000D84E0000}"/>
    <cellStyle name="Comma 2 5 2 2 4 10" xfId="21549" xr:uid="{00000000-0005-0000-0000-0000D94E0000}"/>
    <cellStyle name="Comma 2 5 2 2 4 10 2" xfId="39270" xr:uid="{00000000-0005-0000-0000-0000DA4E0000}"/>
    <cellStyle name="Comma 2 5 2 2 4 11" xfId="22622" xr:uid="{00000000-0005-0000-0000-0000DB4E0000}"/>
    <cellStyle name="Comma 2 5 2 2 4 12" xfId="23048" xr:uid="{00000000-0005-0000-0000-0000DC4E0000}"/>
    <cellStyle name="Comma 2 5 2 2 4 13" xfId="26944" xr:uid="{00000000-0005-0000-0000-0000DD4E0000}"/>
    <cellStyle name="Comma 2 5 2 2 4 14" xfId="30277" xr:uid="{00000000-0005-0000-0000-0000DE4E0000}"/>
    <cellStyle name="Comma 2 5 2 2 4 15" xfId="32846" xr:uid="{00000000-0005-0000-0000-0000DF4E0000}"/>
    <cellStyle name="Comma 2 5 2 2 4 2" xfId="1294" xr:uid="{00000000-0005-0000-0000-0000E04E0000}"/>
    <cellStyle name="Comma 2 5 2 2 4 2 10" xfId="33518" xr:uid="{00000000-0005-0000-0000-0000E14E0000}"/>
    <cellStyle name="Comma 2 5 2 2 4 2 2" xfId="10064" xr:uid="{00000000-0005-0000-0000-0000E24E0000}"/>
    <cellStyle name="Comma 2 5 2 2 4 2 2 2" xfId="25864" xr:uid="{00000000-0005-0000-0000-0000E34E0000}"/>
    <cellStyle name="Comma 2 5 2 2 4 2 2 2 2" xfId="45291" xr:uid="{00000000-0005-0000-0000-0000E44E0000}"/>
    <cellStyle name="Comma 2 5 2 2 4 2 2 2 3" xfId="38868" xr:uid="{00000000-0005-0000-0000-0000E54E0000}"/>
    <cellStyle name="Comma 2 5 2 2 4 2 2 3" xfId="28042" xr:uid="{00000000-0005-0000-0000-0000E64E0000}"/>
    <cellStyle name="Comma 2 5 2 2 4 2 2 3 2" xfId="42084" xr:uid="{00000000-0005-0000-0000-0000E74E0000}"/>
    <cellStyle name="Comma 2 5 2 2 4 2 2 4" xfId="31377" xr:uid="{00000000-0005-0000-0000-0000E84E0000}"/>
    <cellStyle name="Comma 2 5 2 2 4 2 2 5" xfId="35660" xr:uid="{00000000-0005-0000-0000-0000E94E0000}"/>
    <cellStyle name="Comma 2 5 2 2 4 2 3" xfId="15743" xr:uid="{00000000-0005-0000-0000-0000EA4E0000}"/>
    <cellStyle name="Comma 2 5 2 2 4 2 3 2" xfId="24758" xr:uid="{00000000-0005-0000-0000-0000EB4E0000}"/>
    <cellStyle name="Comma 2 5 2 2 4 2 3 2 2" xfId="44187" xr:uid="{00000000-0005-0000-0000-0000EC4E0000}"/>
    <cellStyle name="Comma 2 5 2 2 4 2 3 2 3" xfId="37764" xr:uid="{00000000-0005-0000-0000-0000ED4E0000}"/>
    <cellStyle name="Comma 2 5 2 2 4 2 3 3" xfId="29079" xr:uid="{00000000-0005-0000-0000-0000EE4E0000}"/>
    <cellStyle name="Comma 2 5 2 2 4 2 3 3 2" xfId="40980" xr:uid="{00000000-0005-0000-0000-0000EF4E0000}"/>
    <cellStyle name="Comma 2 5 2 2 4 2 3 4" xfId="32414" xr:uid="{00000000-0005-0000-0000-0000F04E0000}"/>
    <cellStyle name="Comma 2 5 2 2 4 2 3 5" xfId="34556" xr:uid="{00000000-0005-0000-0000-0000F14E0000}"/>
    <cellStyle name="Comma 2 5 2 2 4 2 4" xfId="8561" xr:uid="{00000000-0005-0000-0000-0000F24E0000}"/>
    <cellStyle name="Comma 2 5 2 2 4 2 4 2" xfId="43149" xr:uid="{00000000-0005-0000-0000-0000F34E0000}"/>
    <cellStyle name="Comma 2 5 2 2 4 2 4 3" xfId="36725" xr:uid="{00000000-0005-0000-0000-0000F44E0000}"/>
    <cellStyle name="Comma 2 5 2 2 4 2 5" xfId="21550" xr:uid="{00000000-0005-0000-0000-0000F54E0000}"/>
    <cellStyle name="Comma 2 5 2 2 4 2 5 2" xfId="39942" xr:uid="{00000000-0005-0000-0000-0000F64E0000}"/>
    <cellStyle name="Comma 2 5 2 2 4 2 6" xfId="22623" xr:uid="{00000000-0005-0000-0000-0000F74E0000}"/>
    <cellStyle name="Comma 2 5 2 2 4 2 7" xfId="23720" xr:uid="{00000000-0005-0000-0000-0000F84E0000}"/>
    <cellStyle name="Comma 2 5 2 2 4 2 8" xfId="26945" xr:uid="{00000000-0005-0000-0000-0000F94E0000}"/>
    <cellStyle name="Comma 2 5 2 2 4 2 9" xfId="30278" xr:uid="{00000000-0005-0000-0000-0000FA4E0000}"/>
    <cellStyle name="Comma 2 5 2 2 4 3" xfId="1295" xr:uid="{00000000-0005-0000-0000-0000FB4E0000}"/>
    <cellStyle name="Comma 2 5 2 2 4 3 10" xfId="33519" xr:uid="{00000000-0005-0000-0000-0000FC4E0000}"/>
    <cellStyle name="Comma 2 5 2 2 4 3 2" xfId="10065" xr:uid="{00000000-0005-0000-0000-0000FD4E0000}"/>
    <cellStyle name="Comma 2 5 2 2 4 3 2 2" xfId="25865" xr:uid="{00000000-0005-0000-0000-0000FE4E0000}"/>
    <cellStyle name="Comma 2 5 2 2 4 3 2 2 2" xfId="45292" xr:uid="{00000000-0005-0000-0000-0000FF4E0000}"/>
    <cellStyle name="Comma 2 5 2 2 4 3 2 2 3" xfId="38869" xr:uid="{00000000-0005-0000-0000-0000004F0000}"/>
    <cellStyle name="Comma 2 5 2 2 4 3 2 3" xfId="28043" xr:uid="{00000000-0005-0000-0000-0000014F0000}"/>
    <cellStyle name="Comma 2 5 2 2 4 3 2 3 2" xfId="42085" xr:uid="{00000000-0005-0000-0000-0000024F0000}"/>
    <cellStyle name="Comma 2 5 2 2 4 3 2 4" xfId="31378" xr:uid="{00000000-0005-0000-0000-0000034F0000}"/>
    <cellStyle name="Comma 2 5 2 2 4 3 2 5" xfId="35661" xr:uid="{00000000-0005-0000-0000-0000044F0000}"/>
    <cellStyle name="Comma 2 5 2 2 4 3 3" xfId="15744" xr:uid="{00000000-0005-0000-0000-0000054F0000}"/>
    <cellStyle name="Comma 2 5 2 2 4 3 3 2" xfId="24759" xr:uid="{00000000-0005-0000-0000-0000064F0000}"/>
    <cellStyle name="Comma 2 5 2 2 4 3 3 2 2" xfId="44188" xr:uid="{00000000-0005-0000-0000-0000074F0000}"/>
    <cellStyle name="Comma 2 5 2 2 4 3 3 2 3" xfId="37765" xr:uid="{00000000-0005-0000-0000-0000084F0000}"/>
    <cellStyle name="Comma 2 5 2 2 4 3 3 3" xfId="29080" xr:uid="{00000000-0005-0000-0000-0000094F0000}"/>
    <cellStyle name="Comma 2 5 2 2 4 3 3 3 2" xfId="40981" xr:uid="{00000000-0005-0000-0000-00000A4F0000}"/>
    <cellStyle name="Comma 2 5 2 2 4 3 3 4" xfId="32415" xr:uid="{00000000-0005-0000-0000-00000B4F0000}"/>
    <cellStyle name="Comma 2 5 2 2 4 3 3 5" xfId="34557" xr:uid="{00000000-0005-0000-0000-00000C4F0000}"/>
    <cellStyle name="Comma 2 5 2 2 4 3 4" xfId="8562" xr:uid="{00000000-0005-0000-0000-00000D4F0000}"/>
    <cellStyle name="Comma 2 5 2 2 4 3 4 2" xfId="43150" xr:uid="{00000000-0005-0000-0000-00000E4F0000}"/>
    <cellStyle name="Comma 2 5 2 2 4 3 4 3" xfId="36726" xr:uid="{00000000-0005-0000-0000-00000F4F0000}"/>
    <cellStyle name="Comma 2 5 2 2 4 3 5" xfId="21551" xr:uid="{00000000-0005-0000-0000-0000104F0000}"/>
    <cellStyle name="Comma 2 5 2 2 4 3 5 2" xfId="39943" xr:uid="{00000000-0005-0000-0000-0000114F0000}"/>
    <cellStyle name="Comma 2 5 2 2 4 3 6" xfId="22624" xr:uid="{00000000-0005-0000-0000-0000124F0000}"/>
    <cellStyle name="Comma 2 5 2 2 4 3 7" xfId="23721" xr:uid="{00000000-0005-0000-0000-0000134F0000}"/>
    <cellStyle name="Comma 2 5 2 2 4 3 8" xfId="26946" xr:uid="{00000000-0005-0000-0000-0000144F0000}"/>
    <cellStyle name="Comma 2 5 2 2 4 3 9" xfId="30279" xr:uid="{00000000-0005-0000-0000-0000154F0000}"/>
    <cellStyle name="Comma 2 5 2 2 4 4" xfId="1296" xr:uid="{00000000-0005-0000-0000-0000164F0000}"/>
    <cellStyle name="Comma 2 5 2 2 4 4 10" xfId="33520" xr:uid="{00000000-0005-0000-0000-0000174F0000}"/>
    <cellStyle name="Comma 2 5 2 2 4 4 2" xfId="10066" xr:uid="{00000000-0005-0000-0000-0000184F0000}"/>
    <cellStyle name="Comma 2 5 2 2 4 4 2 2" xfId="25866" xr:uid="{00000000-0005-0000-0000-0000194F0000}"/>
    <cellStyle name="Comma 2 5 2 2 4 4 2 2 2" xfId="45293" xr:uid="{00000000-0005-0000-0000-00001A4F0000}"/>
    <cellStyle name="Comma 2 5 2 2 4 4 2 2 3" xfId="38870" xr:uid="{00000000-0005-0000-0000-00001B4F0000}"/>
    <cellStyle name="Comma 2 5 2 2 4 4 2 3" xfId="28044" xr:uid="{00000000-0005-0000-0000-00001C4F0000}"/>
    <cellStyle name="Comma 2 5 2 2 4 4 2 3 2" xfId="42086" xr:uid="{00000000-0005-0000-0000-00001D4F0000}"/>
    <cellStyle name="Comma 2 5 2 2 4 4 2 4" xfId="31379" xr:uid="{00000000-0005-0000-0000-00001E4F0000}"/>
    <cellStyle name="Comma 2 5 2 2 4 4 2 5" xfId="35662" xr:uid="{00000000-0005-0000-0000-00001F4F0000}"/>
    <cellStyle name="Comma 2 5 2 2 4 4 3" xfId="15745" xr:uid="{00000000-0005-0000-0000-0000204F0000}"/>
    <cellStyle name="Comma 2 5 2 2 4 4 3 2" xfId="24760" xr:uid="{00000000-0005-0000-0000-0000214F0000}"/>
    <cellStyle name="Comma 2 5 2 2 4 4 3 2 2" xfId="44189" xr:uid="{00000000-0005-0000-0000-0000224F0000}"/>
    <cellStyle name="Comma 2 5 2 2 4 4 3 2 3" xfId="37766" xr:uid="{00000000-0005-0000-0000-0000234F0000}"/>
    <cellStyle name="Comma 2 5 2 2 4 4 3 3" xfId="29081" xr:uid="{00000000-0005-0000-0000-0000244F0000}"/>
    <cellStyle name="Comma 2 5 2 2 4 4 3 3 2" xfId="40982" xr:uid="{00000000-0005-0000-0000-0000254F0000}"/>
    <cellStyle name="Comma 2 5 2 2 4 4 3 4" xfId="32416" xr:uid="{00000000-0005-0000-0000-0000264F0000}"/>
    <cellStyle name="Comma 2 5 2 2 4 4 3 5" xfId="34558" xr:uid="{00000000-0005-0000-0000-0000274F0000}"/>
    <cellStyle name="Comma 2 5 2 2 4 4 4" xfId="8563" xr:uid="{00000000-0005-0000-0000-0000284F0000}"/>
    <cellStyle name="Comma 2 5 2 2 4 4 4 2" xfId="43151" xr:uid="{00000000-0005-0000-0000-0000294F0000}"/>
    <cellStyle name="Comma 2 5 2 2 4 4 4 3" xfId="36727" xr:uid="{00000000-0005-0000-0000-00002A4F0000}"/>
    <cellStyle name="Comma 2 5 2 2 4 4 5" xfId="21552" xr:uid="{00000000-0005-0000-0000-00002B4F0000}"/>
    <cellStyle name="Comma 2 5 2 2 4 4 5 2" xfId="39944" xr:uid="{00000000-0005-0000-0000-00002C4F0000}"/>
    <cellStyle name="Comma 2 5 2 2 4 4 6" xfId="22625" xr:uid="{00000000-0005-0000-0000-00002D4F0000}"/>
    <cellStyle name="Comma 2 5 2 2 4 4 7" xfId="23722" xr:uid="{00000000-0005-0000-0000-00002E4F0000}"/>
    <cellStyle name="Comma 2 5 2 2 4 4 8" xfId="26947" xr:uid="{00000000-0005-0000-0000-00002F4F0000}"/>
    <cellStyle name="Comma 2 5 2 2 4 4 9" xfId="30280" xr:uid="{00000000-0005-0000-0000-0000304F0000}"/>
    <cellStyle name="Comma 2 5 2 2 4 5" xfId="1297" xr:uid="{00000000-0005-0000-0000-0000314F0000}"/>
    <cellStyle name="Comma 2 5 2 2 4 5 10" xfId="33521" xr:uid="{00000000-0005-0000-0000-0000324F0000}"/>
    <cellStyle name="Comma 2 5 2 2 4 5 2" xfId="10067" xr:uid="{00000000-0005-0000-0000-0000334F0000}"/>
    <cellStyle name="Comma 2 5 2 2 4 5 2 2" xfId="25867" xr:uid="{00000000-0005-0000-0000-0000344F0000}"/>
    <cellStyle name="Comma 2 5 2 2 4 5 2 2 2" xfId="45294" xr:uid="{00000000-0005-0000-0000-0000354F0000}"/>
    <cellStyle name="Comma 2 5 2 2 4 5 2 2 3" xfId="38871" xr:uid="{00000000-0005-0000-0000-0000364F0000}"/>
    <cellStyle name="Comma 2 5 2 2 4 5 2 3" xfId="28045" xr:uid="{00000000-0005-0000-0000-0000374F0000}"/>
    <cellStyle name="Comma 2 5 2 2 4 5 2 3 2" xfId="42087" xr:uid="{00000000-0005-0000-0000-0000384F0000}"/>
    <cellStyle name="Comma 2 5 2 2 4 5 2 4" xfId="31380" xr:uid="{00000000-0005-0000-0000-0000394F0000}"/>
    <cellStyle name="Comma 2 5 2 2 4 5 2 5" xfId="35663" xr:uid="{00000000-0005-0000-0000-00003A4F0000}"/>
    <cellStyle name="Comma 2 5 2 2 4 5 3" xfId="15746" xr:uid="{00000000-0005-0000-0000-00003B4F0000}"/>
    <cellStyle name="Comma 2 5 2 2 4 5 3 2" xfId="24761" xr:uid="{00000000-0005-0000-0000-00003C4F0000}"/>
    <cellStyle name="Comma 2 5 2 2 4 5 3 2 2" xfId="44190" xr:uid="{00000000-0005-0000-0000-00003D4F0000}"/>
    <cellStyle name="Comma 2 5 2 2 4 5 3 2 3" xfId="37767" xr:uid="{00000000-0005-0000-0000-00003E4F0000}"/>
    <cellStyle name="Comma 2 5 2 2 4 5 3 3" xfId="29082" xr:uid="{00000000-0005-0000-0000-00003F4F0000}"/>
    <cellStyle name="Comma 2 5 2 2 4 5 3 3 2" xfId="40983" xr:uid="{00000000-0005-0000-0000-0000404F0000}"/>
    <cellStyle name="Comma 2 5 2 2 4 5 3 4" xfId="32417" xr:uid="{00000000-0005-0000-0000-0000414F0000}"/>
    <cellStyle name="Comma 2 5 2 2 4 5 3 5" xfId="34559" xr:uid="{00000000-0005-0000-0000-0000424F0000}"/>
    <cellStyle name="Comma 2 5 2 2 4 5 4" xfId="8564" xr:uid="{00000000-0005-0000-0000-0000434F0000}"/>
    <cellStyle name="Comma 2 5 2 2 4 5 4 2" xfId="43152" xr:uid="{00000000-0005-0000-0000-0000444F0000}"/>
    <cellStyle name="Comma 2 5 2 2 4 5 4 3" xfId="36728" xr:uid="{00000000-0005-0000-0000-0000454F0000}"/>
    <cellStyle name="Comma 2 5 2 2 4 5 5" xfId="21553" xr:uid="{00000000-0005-0000-0000-0000464F0000}"/>
    <cellStyle name="Comma 2 5 2 2 4 5 5 2" xfId="39945" xr:uid="{00000000-0005-0000-0000-0000474F0000}"/>
    <cellStyle name="Comma 2 5 2 2 4 5 6" xfId="22626" xr:uid="{00000000-0005-0000-0000-0000484F0000}"/>
    <cellStyle name="Comma 2 5 2 2 4 5 7" xfId="23723" xr:uid="{00000000-0005-0000-0000-0000494F0000}"/>
    <cellStyle name="Comma 2 5 2 2 4 5 8" xfId="26948" xr:uid="{00000000-0005-0000-0000-00004A4F0000}"/>
    <cellStyle name="Comma 2 5 2 2 4 5 9" xfId="30281" xr:uid="{00000000-0005-0000-0000-00004B4F0000}"/>
    <cellStyle name="Comma 2 5 2 2 4 6" xfId="1298" xr:uid="{00000000-0005-0000-0000-00004C4F0000}"/>
    <cellStyle name="Comma 2 5 2 2 4 6 10" xfId="33522" xr:uid="{00000000-0005-0000-0000-00004D4F0000}"/>
    <cellStyle name="Comma 2 5 2 2 4 6 2" xfId="10068" xr:uid="{00000000-0005-0000-0000-00004E4F0000}"/>
    <cellStyle name="Comma 2 5 2 2 4 6 2 2" xfId="25868" xr:uid="{00000000-0005-0000-0000-00004F4F0000}"/>
    <cellStyle name="Comma 2 5 2 2 4 6 2 2 2" xfId="45295" xr:uid="{00000000-0005-0000-0000-0000504F0000}"/>
    <cellStyle name="Comma 2 5 2 2 4 6 2 2 3" xfId="38872" xr:uid="{00000000-0005-0000-0000-0000514F0000}"/>
    <cellStyle name="Comma 2 5 2 2 4 6 2 3" xfId="28046" xr:uid="{00000000-0005-0000-0000-0000524F0000}"/>
    <cellStyle name="Comma 2 5 2 2 4 6 2 3 2" xfId="42088" xr:uid="{00000000-0005-0000-0000-0000534F0000}"/>
    <cellStyle name="Comma 2 5 2 2 4 6 2 4" xfId="31381" xr:uid="{00000000-0005-0000-0000-0000544F0000}"/>
    <cellStyle name="Comma 2 5 2 2 4 6 2 5" xfId="35664" xr:uid="{00000000-0005-0000-0000-0000554F0000}"/>
    <cellStyle name="Comma 2 5 2 2 4 6 3" xfId="15747" xr:uid="{00000000-0005-0000-0000-0000564F0000}"/>
    <cellStyle name="Comma 2 5 2 2 4 6 3 2" xfId="24762" xr:uid="{00000000-0005-0000-0000-0000574F0000}"/>
    <cellStyle name="Comma 2 5 2 2 4 6 3 2 2" xfId="44191" xr:uid="{00000000-0005-0000-0000-0000584F0000}"/>
    <cellStyle name="Comma 2 5 2 2 4 6 3 2 3" xfId="37768" xr:uid="{00000000-0005-0000-0000-0000594F0000}"/>
    <cellStyle name="Comma 2 5 2 2 4 6 3 3" xfId="29083" xr:uid="{00000000-0005-0000-0000-00005A4F0000}"/>
    <cellStyle name="Comma 2 5 2 2 4 6 3 3 2" xfId="40984" xr:uid="{00000000-0005-0000-0000-00005B4F0000}"/>
    <cellStyle name="Comma 2 5 2 2 4 6 3 4" xfId="32418" xr:uid="{00000000-0005-0000-0000-00005C4F0000}"/>
    <cellStyle name="Comma 2 5 2 2 4 6 3 5" xfId="34560" xr:uid="{00000000-0005-0000-0000-00005D4F0000}"/>
    <cellStyle name="Comma 2 5 2 2 4 6 4" xfId="8565" xr:uid="{00000000-0005-0000-0000-00005E4F0000}"/>
    <cellStyle name="Comma 2 5 2 2 4 6 4 2" xfId="43153" xr:uid="{00000000-0005-0000-0000-00005F4F0000}"/>
    <cellStyle name="Comma 2 5 2 2 4 6 4 3" xfId="36729" xr:uid="{00000000-0005-0000-0000-0000604F0000}"/>
    <cellStyle name="Comma 2 5 2 2 4 6 5" xfId="21554" xr:uid="{00000000-0005-0000-0000-0000614F0000}"/>
    <cellStyle name="Comma 2 5 2 2 4 6 5 2" xfId="39946" xr:uid="{00000000-0005-0000-0000-0000624F0000}"/>
    <cellStyle name="Comma 2 5 2 2 4 6 6" xfId="22627" xr:uid="{00000000-0005-0000-0000-0000634F0000}"/>
    <cellStyle name="Comma 2 5 2 2 4 6 7" xfId="23724" xr:uid="{00000000-0005-0000-0000-0000644F0000}"/>
    <cellStyle name="Comma 2 5 2 2 4 6 8" xfId="26949" xr:uid="{00000000-0005-0000-0000-0000654F0000}"/>
    <cellStyle name="Comma 2 5 2 2 4 6 9" xfId="30282" xr:uid="{00000000-0005-0000-0000-0000664F0000}"/>
    <cellStyle name="Comma 2 5 2 2 4 7" xfId="9133" xr:uid="{00000000-0005-0000-0000-0000674F0000}"/>
    <cellStyle name="Comma 2 5 2 2 4 7 2" xfId="25187" xr:uid="{00000000-0005-0000-0000-0000684F0000}"/>
    <cellStyle name="Comma 2 5 2 2 4 7 2 2" xfId="44614" xr:uid="{00000000-0005-0000-0000-0000694F0000}"/>
    <cellStyle name="Comma 2 5 2 2 4 7 2 3" xfId="38191" xr:uid="{00000000-0005-0000-0000-00006A4F0000}"/>
    <cellStyle name="Comma 2 5 2 2 4 7 3" xfId="27366" xr:uid="{00000000-0005-0000-0000-00006B4F0000}"/>
    <cellStyle name="Comma 2 5 2 2 4 7 3 2" xfId="41407" xr:uid="{00000000-0005-0000-0000-00006C4F0000}"/>
    <cellStyle name="Comma 2 5 2 2 4 7 4" xfId="30701" xr:uid="{00000000-0005-0000-0000-00006D4F0000}"/>
    <cellStyle name="Comma 2 5 2 2 4 7 5" xfId="34983" xr:uid="{00000000-0005-0000-0000-00006E4F0000}"/>
    <cellStyle name="Comma 2 5 2 2 4 8" xfId="15742" xr:uid="{00000000-0005-0000-0000-00006F4F0000}"/>
    <cellStyle name="Comma 2 5 2 2 4 8 2" xfId="24757" xr:uid="{00000000-0005-0000-0000-0000704F0000}"/>
    <cellStyle name="Comma 2 5 2 2 4 8 2 2" xfId="44186" xr:uid="{00000000-0005-0000-0000-0000714F0000}"/>
    <cellStyle name="Comma 2 5 2 2 4 8 2 3" xfId="37763" xr:uid="{00000000-0005-0000-0000-0000724F0000}"/>
    <cellStyle name="Comma 2 5 2 2 4 8 3" xfId="29078" xr:uid="{00000000-0005-0000-0000-0000734F0000}"/>
    <cellStyle name="Comma 2 5 2 2 4 8 3 2" xfId="40979" xr:uid="{00000000-0005-0000-0000-0000744F0000}"/>
    <cellStyle name="Comma 2 5 2 2 4 8 4" xfId="32413" xr:uid="{00000000-0005-0000-0000-0000754F0000}"/>
    <cellStyle name="Comma 2 5 2 2 4 8 5" xfId="34555" xr:uid="{00000000-0005-0000-0000-0000764F0000}"/>
    <cellStyle name="Comma 2 5 2 2 4 9" xfId="8560" xr:uid="{00000000-0005-0000-0000-0000774F0000}"/>
    <cellStyle name="Comma 2 5 2 2 4 9 2" xfId="42477" xr:uid="{00000000-0005-0000-0000-0000784F0000}"/>
    <cellStyle name="Comma 2 5 2 2 4 9 3" xfId="36053" xr:uid="{00000000-0005-0000-0000-0000794F0000}"/>
    <cellStyle name="Comma 2 5 2 2 5" xfId="1299" xr:uid="{00000000-0005-0000-0000-00007A4F0000}"/>
    <cellStyle name="Comma 2 5 2 2 5 10" xfId="22628" xr:uid="{00000000-0005-0000-0000-00007B4F0000}"/>
    <cellStyle name="Comma 2 5 2 2 5 11" xfId="23725" xr:uid="{00000000-0005-0000-0000-00007C4F0000}"/>
    <cellStyle name="Comma 2 5 2 2 5 12" xfId="26950" xr:uid="{00000000-0005-0000-0000-00007D4F0000}"/>
    <cellStyle name="Comma 2 5 2 2 5 13" xfId="30283" xr:uid="{00000000-0005-0000-0000-00007E4F0000}"/>
    <cellStyle name="Comma 2 5 2 2 5 14" xfId="33523" xr:uid="{00000000-0005-0000-0000-00007F4F0000}"/>
    <cellStyle name="Comma 2 5 2 2 5 2" xfId="1300" xr:uid="{00000000-0005-0000-0000-0000804F0000}"/>
    <cellStyle name="Comma 2 5 2 2 5 2 10" xfId="33524" xr:uid="{00000000-0005-0000-0000-0000814F0000}"/>
    <cellStyle name="Comma 2 5 2 2 5 2 2" xfId="10070" xr:uid="{00000000-0005-0000-0000-0000824F0000}"/>
    <cellStyle name="Comma 2 5 2 2 5 2 2 2" xfId="25870" xr:uid="{00000000-0005-0000-0000-0000834F0000}"/>
    <cellStyle name="Comma 2 5 2 2 5 2 2 2 2" xfId="45297" xr:uid="{00000000-0005-0000-0000-0000844F0000}"/>
    <cellStyle name="Comma 2 5 2 2 5 2 2 2 3" xfId="38874" xr:uid="{00000000-0005-0000-0000-0000854F0000}"/>
    <cellStyle name="Comma 2 5 2 2 5 2 2 3" xfId="28048" xr:uid="{00000000-0005-0000-0000-0000864F0000}"/>
    <cellStyle name="Comma 2 5 2 2 5 2 2 3 2" xfId="42090" xr:uid="{00000000-0005-0000-0000-0000874F0000}"/>
    <cellStyle name="Comma 2 5 2 2 5 2 2 4" xfId="31383" xr:uid="{00000000-0005-0000-0000-0000884F0000}"/>
    <cellStyle name="Comma 2 5 2 2 5 2 2 5" xfId="35666" xr:uid="{00000000-0005-0000-0000-0000894F0000}"/>
    <cellStyle name="Comma 2 5 2 2 5 2 3" xfId="15749" xr:uid="{00000000-0005-0000-0000-00008A4F0000}"/>
    <cellStyle name="Comma 2 5 2 2 5 2 3 2" xfId="24764" xr:uid="{00000000-0005-0000-0000-00008B4F0000}"/>
    <cellStyle name="Comma 2 5 2 2 5 2 3 2 2" xfId="44193" xr:uid="{00000000-0005-0000-0000-00008C4F0000}"/>
    <cellStyle name="Comma 2 5 2 2 5 2 3 2 3" xfId="37770" xr:uid="{00000000-0005-0000-0000-00008D4F0000}"/>
    <cellStyle name="Comma 2 5 2 2 5 2 3 3" xfId="29085" xr:uid="{00000000-0005-0000-0000-00008E4F0000}"/>
    <cellStyle name="Comma 2 5 2 2 5 2 3 3 2" xfId="40986" xr:uid="{00000000-0005-0000-0000-00008F4F0000}"/>
    <cellStyle name="Comma 2 5 2 2 5 2 3 4" xfId="32420" xr:uid="{00000000-0005-0000-0000-0000904F0000}"/>
    <cellStyle name="Comma 2 5 2 2 5 2 3 5" xfId="34562" xr:uid="{00000000-0005-0000-0000-0000914F0000}"/>
    <cellStyle name="Comma 2 5 2 2 5 2 4" xfId="8567" xr:uid="{00000000-0005-0000-0000-0000924F0000}"/>
    <cellStyle name="Comma 2 5 2 2 5 2 4 2" xfId="43155" xr:uid="{00000000-0005-0000-0000-0000934F0000}"/>
    <cellStyle name="Comma 2 5 2 2 5 2 4 3" xfId="36731" xr:uid="{00000000-0005-0000-0000-0000944F0000}"/>
    <cellStyle name="Comma 2 5 2 2 5 2 5" xfId="21556" xr:uid="{00000000-0005-0000-0000-0000954F0000}"/>
    <cellStyle name="Comma 2 5 2 2 5 2 5 2" xfId="39948" xr:uid="{00000000-0005-0000-0000-0000964F0000}"/>
    <cellStyle name="Comma 2 5 2 2 5 2 6" xfId="22629" xr:uid="{00000000-0005-0000-0000-0000974F0000}"/>
    <cellStyle name="Comma 2 5 2 2 5 2 7" xfId="23726" xr:uid="{00000000-0005-0000-0000-0000984F0000}"/>
    <cellStyle name="Comma 2 5 2 2 5 2 8" xfId="26951" xr:uid="{00000000-0005-0000-0000-0000994F0000}"/>
    <cellStyle name="Comma 2 5 2 2 5 2 9" xfId="30284" xr:uid="{00000000-0005-0000-0000-00009A4F0000}"/>
    <cellStyle name="Comma 2 5 2 2 5 3" xfId="1301" xr:uid="{00000000-0005-0000-0000-00009B4F0000}"/>
    <cellStyle name="Comma 2 5 2 2 5 3 10" xfId="33525" xr:uid="{00000000-0005-0000-0000-00009C4F0000}"/>
    <cellStyle name="Comma 2 5 2 2 5 3 2" xfId="10071" xr:uid="{00000000-0005-0000-0000-00009D4F0000}"/>
    <cellStyle name="Comma 2 5 2 2 5 3 2 2" xfId="25871" xr:uid="{00000000-0005-0000-0000-00009E4F0000}"/>
    <cellStyle name="Comma 2 5 2 2 5 3 2 2 2" xfId="45298" xr:uid="{00000000-0005-0000-0000-00009F4F0000}"/>
    <cellStyle name="Comma 2 5 2 2 5 3 2 2 3" xfId="38875" xr:uid="{00000000-0005-0000-0000-0000A04F0000}"/>
    <cellStyle name="Comma 2 5 2 2 5 3 2 3" xfId="28049" xr:uid="{00000000-0005-0000-0000-0000A14F0000}"/>
    <cellStyle name="Comma 2 5 2 2 5 3 2 3 2" xfId="42091" xr:uid="{00000000-0005-0000-0000-0000A24F0000}"/>
    <cellStyle name="Comma 2 5 2 2 5 3 2 4" xfId="31384" xr:uid="{00000000-0005-0000-0000-0000A34F0000}"/>
    <cellStyle name="Comma 2 5 2 2 5 3 2 5" xfId="35667" xr:uid="{00000000-0005-0000-0000-0000A44F0000}"/>
    <cellStyle name="Comma 2 5 2 2 5 3 3" xfId="15750" xr:uid="{00000000-0005-0000-0000-0000A54F0000}"/>
    <cellStyle name="Comma 2 5 2 2 5 3 3 2" xfId="24765" xr:uid="{00000000-0005-0000-0000-0000A64F0000}"/>
    <cellStyle name="Comma 2 5 2 2 5 3 3 2 2" xfId="44194" xr:uid="{00000000-0005-0000-0000-0000A74F0000}"/>
    <cellStyle name="Comma 2 5 2 2 5 3 3 2 3" xfId="37771" xr:uid="{00000000-0005-0000-0000-0000A84F0000}"/>
    <cellStyle name="Comma 2 5 2 2 5 3 3 3" xfId="29086" xr:uid="{00000000-0005-0000-0000-0000A94F0000}"/>
    <cellStyle name="Comma 2 5 2 2 5 3 3 3 2" xfId="40987" xr:uid="{00000000-0005-0000-0000-0000AA4F0000}"/>
    <cellStyle name="Comma 2 5 2 2 5 3 3 4" xfId="32421" xr:uid="{00000000-0005-0000-0000-0000AB4F0000}"/>
    <cellStyle name="Comma 2 5 2 2 5 3 3 5" xfId="34563" xr:uid="{00000000-0005-0000-0000-0000AC4F0000}"/>
    <cellStyle name="Comma 2 5 2 2 5 3 4" xfId="8568" xr:uid="{00000000-0005-0000-0000-0000AD4F0000}"/>
    <cellStyle name="Comma 2 5 2 2 5 3 4 2" xfId="43156" xr:uid="{00000000-0005-0000-0000-0000AE4F0000}"/>
    <cellStyle name="Comma 2 5 2 2 5 3 4 3" xfId="36732" xr:uid="{00000000-0005-0000-0000-0000AF4F0000}"/>
    <cellStyle name="Comma 2 5 2 2 5 3 5" xfId="21557" xr:uid="{00000000-0005-0000-0000-0000B04F0000}"/>
    <cellStyle name="Comma 2 5 2 2 5 3 5 2" xfId="39949" xr:uid="{00000000-0005-0000-0000-0000B14F0000}"/>
    <cellStyle name="Comma 2 5 2 2 5 3 6" xfId="22630" xr:uid="{00000000-0005-0000-0000-0000B24F0000}"/>
    <cellStyle name="Comma 2 5 2 2 5 3 7" xfId="23727" xr:uid="{00000000-0005-0000-0000-0000B34F0000}"/>
    <cellStyle name="Comma 2 5 2 2 5 3 8" xfId="26952" xr:uid="{00000000-0005-0000-0000-0000B44F0000}"/>
    <cellStyle name="Comma 2 5 2 2 5 3 9" xfId="30285" xr:uid="{00000000-0005-0000-0000-0000B54F0000}"/>
    <cellStyle name="Comma 2 5 2 2 5 4" xfId="1302" xr:uid="{00000000-0005-0000-0000-0000B64F0000}"/>
    <cellStyle name="Comma 2 5 2 2 5 4 10" xfId="33526" xr:uid="{00000000-0005-0000-0000-0000B74F0000}"/>
    <cellStyle name="Comma 2 5 2 2 5 4 2" xfId="10072" xr:uid="{00000000-0005-0000-0000-0000B84F0000}"/>
    <cellStyle name="Comma 2 5 2 2 5 4 2 2" xfId="25872" xr:uid="{00000000-0005-0000-0000-0000B94F0000}"/>
    <cellStyle name="Comma 2 5 2 2 5 4 2 2 2" xfId="45299" xr:uid="{00000000-0005-0000-0000-0000BA4F0000}"/>
    <cellStyle name="Comma 2 5 2 2 5 4 2 2 3" xfId="38876" xr:uid="{00000000-0005-0000-0000-0000BB4F0000}"/>
    <cellStyle name="Comma 2 5 2 2 5 4 2 3" xfId="28050" xr:uid="{00000000-0005-0000-0000-0000BC4F0000}"/>
    <cellStyle name="Comma 2 5 2 2 5 4 2 3 2" xfId="42092" xr:uid="{00000000-0005-0000-0000-0000BD4F0000}"/>
    <cellStyle name="Comma 2 5 2 2 5 4 2 4" xfId="31385" xr:uid="{00000000-0005-0000-0000-0000BE4F0000}"/>
    <cellStyle name="Comma 2 5 2 2 5 4 2 5" xfId="35668" xr:uid="{00000000-0005-0000-0000-0000BF4F0000}"/>
    <cellStyle name="Comma 2 5 2 2 5 4 3" xfId="15751" xr:uid="{00000000-0005-0000-0000-0000C04F0000}"/>
    <cellStyle name="Comma 2 5 2 2 5 4 3 2" xfId="24766" xr:uid="{00000000-0005-0000-0000-0000C14F0000}"/>
    <cellStyle name="Comma 2 5 2 2 5 4 3 2 2" xfId="44195" xr:uid="{00000000-0005-0000-0000-0000C24F0000}"/>
    <cellStyle name="Comma 2 5 2 2 5 4 3 2 3" xfId="37772" xr:uid="{00000000-0005-0000-0000-0000C34F0000}"/>
    <cellStyle name="Comma 2 5 2 2 5 4 3 3" xfId="29087" xr:uid="{00000000-0005-0000-0000-0000C44F0000}"/>
    <cellStyle name="Comma 2 5 2 2 5 4 3 3 2" xfId="40988" xr:uid="{00000000-0005-0000-0000-0000C54F0000}"/>
    <cellStyle name="Comma 2 5 2 2 5 4 3 4" xfId="32422" xr:uid="{00000000-0005-0000-0000-0000C64F0000}"/>
    <cellStyle name="Comma 2 5 2 2 5 4 3 5" xfId="34564" xr:uid="{00000000-0005-0000-0000-0000C74F0000}"/>
    <cellStyle name="Comma 2 5 2 2 5 4 4" xfId="8569" xr:uid="{00000000-0005-0000-0000-0000C84F0000}"/>
    <cellStyle name="Comma 2 5 2 2 5 4 4 2" xfId="43157" xr:uid="{00000000-0005-0000-0000-0000C94F0000}"/>
    <cellStyle name="Comma 2 5 2 2 5 4 4 3" xfId="36733" xr:uid="{00000000-0005-0000-0000-0000CA4F0000}"/>
    <cellStyle name="Comma 2 5 2 2 5 4 5" xfId="21558" xr:uid="{00000000-0005-0000-0000-0000CB4F0000}"/>
    <cellStyle name="Comma 2 5 2 2 5 4 5 2" xfId="39950" xr:uid="{00000000-0005-0000-0000-0000CC4F0000}"/>
    <cellStyle name="Comma 2 5 2 2 5 4 6" xfId="22631" xr:uid="{00000000-0005-0000-0000-0000CD4F0000}"/>
    <cellStyle name="Comma 2 5 2 2 5 4 7" xfId="23728" xr:uid="{00000000-0005-0000-0000-0000CE4F0000}"/>
    <cellStyle name="Comma 2 5 2 2 5 4 8" xfId="26953" xr:uid="{00000000-0005-0000-0000-0000CF4F0000}"/>
    <cellStyle name="Comma 2 5 2 2 5 4 9" xfId="30286" xr:uid="{00000000-0005-0000-0000-0000D04F0000}"/>
    <cellStyle name="Comma 2 5 2 2 5 5" xfId="1303" xr:uid="{00000000-0005-0000-0000-0000D14F0000}"/>
    <cellStyle name="Comma 2 5 2 2 5 5 10" xfId="33527" xr:uid="{00000000-0005-0000-0000-0000D24F0000}"/>
    <cellStyle name="Comma 2 5 2 2 5 5 2" xfId="10073" xr:uid="{00000000-0005-0000-0000-0000D34F0000}"/>
    <cellStyle name="Comma 2 5 2 2 5 5 2 2" xfId="25873" xr:uid="{00000000-0005-0000-0000-0000D44F0000}"/>
    <cellStyle name="Comma 2 5 2 2 5 5 2 2 2" xfId="45300" xr:uid="{00000000-0005-0000-0000-0000D54F0000}"/>
    <cellStyle name="Comma 2 5 2 2 5 5 2 2 3" xfId="38877" xr:uid="{00000000-0005-0000-0000-0000D64F0000}"/>
    <cellStyle name="Comma 2 5 2 2 5 5 2 3" xfId="28051" xr:uid="{00000000-0005-0000-0000-0000D74F0000}"/>
    <cellStyle name="Comma 2 5 2 2 5 5 2 3 2" xfId="42093" xr:uid="{00000000-0005-0000-0000-0000D84F0000}"/>
    <cellStyle name="Comma 2 5 2 2 5 5 2 4" xfId="31386" xr:uid="{00000000-0005-0000-0000-0000D94F0000}"/>
    <cellStyle name="Comma 2 5 2 2 5 5 2 5" xfId="35669" xr:uid="{00000000-0005-0000-0000-0000DA4F0000}"/>
    <cellStyle name="Comma 2 5 2 2 5 5 3" xfId="15752" xr:uid="{00000000-0005-0000-0000-0000DB4F0000}"/>
    <cellStyle name="Comma 2 5 2 2 5 5 3 2" xfId="24767" xr:uid="{00000000-0005-0000-0000-0000DC4F0000}"/>
    <cellStyle name="Comma 2 5 2 2 5 5 3 2 2" xfId="44196" xr:uid="{00000000-0005-0000-0000-0000DD4F0000}"/>
    <cellStyle name="Comma 2 5 2 2 5 5 3 2 3" xfId="37773" xr:uid="{00000000-0005-0000-0000-0000DE4F0000}"/>
    <cellStyle name="Comma 2 5 2 2 5 5 3 3" xfId="29088" xr:uid="{00000000-0005-0000-0000-0000DF4F0000}"/>
    <cellStyle name="Comma 2 5 2 2 5 5 3 3 2" xfId="40989" xr:uid="{00000000-0005-0000-0000-0000E04F0000}"/>
    <cellStyle name="Comma 2 5 2 2 5 5 3 4" xfId="32423" xr:uid="{00000000-0005-0000-0000-0000E14F0000}"/>
    <cellStyle name="Comma 2 5 2 2 5 5 3 5" xfId="34565" xr:uid="{00000000-0005-0000-0000-0000E24F0000}"/>
    <cellStyle name="Comma 2 5 2 2 5 5 4" xfId="8570" xr:uid="{00000000-0005-0000-0000-0000E34F0000}"/>
    <cellStyle name="Comma 2 5 2 2 5 5 4 2" xfId="43158" xr:uid="{00000000-0005-0000-0000-0000E44F0000}"/>
    <cellStyle name="Comma 2 5 2 2 5 5 4 3" xfId="36734" xr:uid="{00000000-0005-0000-0000-0000E54F0000}"/>
    <cellStyle name="Comma 2 5 2 2 5 5 5" xfId="21559" xr:uid="{00000000-0005-0000-0000-0000E64F0000}"/>
    <cellStyle name="Comma 2 5 2 2 5 5 5 2" xfId="39951" xr:uid="{00000000-0005-0000-0000-0000E74F0000}"/>
    <cellStyle name="Comma 2 5 2 2 5 5 6" xfId="22632" xr:uid="{00000000-0005-0000-0000-0000E84F0000}"/>
    <cellStyle name="Comma 2 5 2 2 5 5 7" xfId="23729" xr:uid="{00000000-0005-0000-0000-0000E94F0000}"/>
    <cellStyle name="Comma 2 5 2 2 5 5 8" xfId="26954" xr:uid="{00000000-0005-0000-0000-0000EA4F0000}"/>
    <cellStyle name="Comma 2 5 2 2 5 5 9" xfId="30287" xr:uid="{00000000-0005-0000-0000-0000EB4F0000}"/>
    <cellStyle name="Comma 2 5 2 2 5 6" xfId="10069" xr:uid="{00000000-0005-0000-0000-0000EC4F0000}"/>
    <cellStyle name="Comma 2 5 2 2 5 6 2" xfId="25869" xr:uid="{00000000-0005-0000-0000-0000ED4F0000}"/>
    <cellStyle name="Comma 2 5 2 2 5 6 2 2" xfId="45296" xr:uid="{00000000-0005-0000-0000-0000EE4F0000}"/>
    <cellStyle name="Comma 2 5 2 2 5 6 2 3" xfId="38873" xr:uid="{00000000-0005-0000-0000-0000EF4F0000}"/>
    <cellStyle name="Comma 2 5 2 2 5 6 3" xfId="28047" xr:uid="{00000000-0005-0000-0000-0000F04F0000}"/>
    <cellStyle name="Comma 2 5 2 2 5 6 3 2" xfId="42089" xr:uid="{00000000-0005-0000-0000-0000F14F0000}"/>
    <cellStyle name="Comma 2 5 2 2 5 6 4" xfId="31382" xr:uid="{00000000-0005-0000-0000-0000F24F0000}"/>
    <cellStyle name="Comma 2 5 2 2 5 6 5" xfId="35665" xr:uid="{00000000-0005-0000-0000-0000F34F0000}"/>
    <cellStyle name="Comma 2 5 2 2 5 7" xfId="15748" xr:uid="{00000000-0005-0000-0000-0000F44F0000}"/>
    <cellStyle name="Comma 2 5 2 2 5 7 2" xfId="24763" xr:uid="{00000000-0005-0000-0000-0000F54F0000}"/>
    <cellStyle name="Comma 2 5 2 2 5 7 2 2" xfId="44192" xr:uid="{00000000-0005-0000-0000-0000F64F0000}"/>
    <cellStyle name="Comma 2 5 2 2 5 7 2 3" xfId="37769" xr:uid="{00000000-0005-0000-0000-0000F74F0000}"/>
    <cellStyle name="Comma 2 5 2 2 5 7 3" xfId="29084" xr:uid="{00000000-0005-0000-0000-0000F84F0000}"/>
    <cellStyle name="Comma 2 5 2 2 5 7 3 2" xfId="40985" xr:uid="{00000000-0005-0000-0000-0000F94F0000}"/>
    <cellStyle name="Comma 2 5 2 2 5 7 4" xfId="32419" xr:uid="{00000000-0005-0000-0000-0000FA4F0000}"/>
    <cellStyle name="Comma 2 5 2 2 5 7 5" xfId="34561" xr:uid="{00000000-0005-0000-0000-0000FB4F0000}"/>
    <cellStyle name="Comma 2 5 2 2 5 8" xfId="8566" xr:uid="{00000000-0005-0000-0000-0000FC4F0000}"/>
    <cellStyle name="Comma 2 5 2 2 5 8 2" xfId="43154" xr:uid="{00000000-0005-0000-0000-0000FD4F0000}"/>
    <cellStyle name="Comma 2 5 2 2 5 8 3" xfId="36730" xr:uid="{00000000-0005-0000-0000-0000FE4F0000}"/>
    <cellStyle name="Comma 2 5 2 2 5 9" xfId="21555" xr:uid="{00000000-0005-0000-0000-0000FF4F0000}"/>
    <cellStyle name="Comma 2 5 2 2 5 9 2" xfId="39947" xr:uid="{00000000-0005-0000-0000-000000500000}"/>
    <cellStyle name="Comma 2 5 2 2 6" xfId="1304" xr:uid="{00000000-0005-0000-0000-000001500000}"/>
    <cellStyle name="Comma 2 5 2 2 6 10" xfId="22633" xr:uid="{00000000-0005-0000-0000-000002500000}"/>
    <cellStyle name="Comma 2 5 2 2 6 11" xfId="23730" xr:uid="{00000000-0005-0000-0000-000003500000}"/>
    <cellStyle name="Comma 2 5 2 2 6 12" xfId="26955" xr:uid="{00000000-0005-0000-0000-000004500000}"/>
    <cellStyle name="Comma 2 5 2 2 6 13" xfId="30288" xr:uid="{00000000-0005-0000-0000-000005500000}"/>
    <cellStyle name="Comma 2 5 2 2 6 14" xfId="33528" xr:uid="{00000000-0005-0000-0000-000006500000}"/>
    <cellStyle name="Comma 2 5 2 2 6 2" xfId="1305" xr:uid="{00000000-0005-0000-0000-000007500000}"/>
    <cellStyle name="Comma 2 5 2 2 6 2 10" xfId="33529" xr:uid="{00000000-0005-0000-0000-000008500000}"/>
    <cellStyle name="Comma 2 5 2 2 6 2 2" xfId="10075" xr:uid="{00000000-0005-0000-0000-000009500000}"/>
    <cellStyle name="Comma 2 5 2 2 6 2 2 2" xfId="25875" xr:uid="{00000000-0005-0000-0000-00000A500000}"/>
    <cellStyle name="Comma 2 5 2 2 6 2 2 2 2" xfId="45302" xr:uid="{00000000-0005-0000-0000-00000B500000}"/>
    <cellStyle name="Comma 2 5 2 2 6 2 2 2 3" xfId="38879" xr:uid="{00000000-0005-0000-0000-00000C500000}"/>
    <cellStyle name="Comma 2 5 2 2 6 2 2 3" xfId="28053" xr:uid="{00000000-0005-0000-0000-00000D500000}"/>
    <cellStyle name="Comma 2 5 2 2 6 2 2 3 2" xfId="42095" xr:uid="{00000000-0005-0000-0000-00000E500000}"/>
    <cellStyle name="Comma 2 5 2 2 6 2 2 4" xfId="31388" xr:uid="{00000000-0005-0000-0000-00000F500000}"/>
    <cellStyle name="Comma 2 5 2 2 6 2 2 5" xfId="35671" xr:uid="{00000000-0005-0000-0000-000010500000}"/>
    <cellStyle name="Comma 2 5 2 2 6 2 3" xfId="15754" xr:uid="{00000000-0005-0000-0000-000011500000}"/>
    <cellStyle name="Comma 2 5 2 2 6 2 3 2" xfId="24769" xr:uid="{00000000-0005-0000-0000-000012500000}"/>
    <cellStyle name="Comma 2 5 2 2 6 2 3 2 2" xfId="44198" xr:uid="{00000000-0005-0000-0000-000013500000}"/>
    <cellStyle name="Comma 2 5 2 2 6 2 3 2 3" xfId="37775" xr:uid="{00000000-0005-0000-0000-000014500000}"/>
    <cellStyle name="Comma 2 5 2 2 6 2 3 3" xfId="29090" xr:uid="{00000000-0005-0000-0000-000015500000}"/>
    <cellStyle name="Comma 2 5 2 2 6 2 3 3 2" xfId="40991" xr:uid="{00000000-0005-0000-0000-000016500000}"/>
    <cellStyle name="Comma 2 5 2 2 6 2 3 4" xfId="32425" xr:uid="{00000000-0005-0000-0000-000017500000}"/>
    <cellStyle name="Comma 2 5 2 2 6 2 3 5" xfId="34567" xr:uid="{00000000-0005-0000-0000-000018500000}"/>
    <cellStyle name="Comma 2 5 2 2 6 2 4" xfId="8572" xr:uid="{00000000-0005-0000-0000-000019500000}"/>
    <cellStyle name="Comma 2 5 2 2 6 2 4 2" xfId="43160" xr:uid="{00000000-0005-0000-0000-00001A500000}"/>
    <cellStyle name="Comma 2 5 2 2 6 2 4 3" xfId="36736" xr:uid="{00000000-0005-0000-0000-00001B500000}"/>
    <cellStyle name="Comma 2 5 2 2 6 2 5" xfId="21561" xr:uid="{00000000-0005-0000-0000-00001C500000}"/>
    <cellStyle name="Comma 2 5 2 2 6 2 5 2" xfId="39953" xr:uid="{00000000-0005-0000-0000-00001D500000}"/>
    <cellStyle name="Comma 2 5 2 2 6 2 6" xfId="22634" xr:uid="{00000000-0005-0000-0000-00001E500000}"/>
    <cellStyle name="Comma 2 5 2 2 6 2 7" xfId="23731" xr:uid="{00000000-0005-0000-0000-00001F500000}"/>
    <cellStyle name="Comma 2 5 2 2 6 2 8" xfId="26956" xr:uid="{00000000-0005-0000-0000-000020500000}"/>
    <cellStyle name="Comma 2 5 2 2 6 2 9" xfId="30289" xr:uid="{00000000-0005-0000-0000-000021500000}"/>
    <cellStyle name="Comma 2 5 2 2 6 3" xfId="1306" xr:uid="{00000000-0005-0000-0000-000022500000}"/>
    <cellStyle name="Comma 2 5 2 2 6 3 10" xfId="33530" xr:uid="{00000000-0005-0000-0000-000023500000}"/>
    <cellStyle name="Comma 2 5 2 2 6 3 2" xfId="10076" xr:uid="{00000000-0005-0000-0000-000024500000}"/>
    <cellStyle name="Comma 2 5 2 2 6 3 2 2" xfId="25876" xr:uid="{00000000-0005-0000-0000-000025500000}"/>
    <cellStyle name="Comma 2 5 2 2 6 3 2 2 2" xfId="45303" xr:uid="{00000000-0005-0000-0000-000026500000}"/>
    <cellStyle name="Comma 2 5 2 2 6 3 2 2 3" xfId="38880" xr:uid="{00000000-0005-0000-0000-000027500000}"/>
    <cellStyle name="Comma 2 5 2 2 6 3 2 3" xfId="28054" xr:uid="{00000000-0005-0000-0000-000028500000}"/>
    <cellStyle name="Comma 2 5 2 2 6 3 2 3 2" xfId="42096" xr:uid="{00000000-0005-0000-0000-000029500000}"/>
    <cellStyle name="Comma 2 5 2 2 6 3 2 4" xfId="31389" xr:uid="{00000000-0005-0000-0000-00002A500000}"/>
    <cellStyle name="Comma 2 5 2 2 6 3 2 5" xfId="35672" xr:uid="{00000000-0005-0000-0000-00002B500000}"/>
    <cellStyle name="Comma 2 5 2 2 6 3 3" xfId="15755" xr:uid="{00000000-0005-0000-0000-00002C500000}"/>
    <cellStyle name="Comma 2 5 2 2 6 3 3 2" xfId="24770" xr:uid="{00000000-0005-0000-0000-00002D500000}"/>
    <cellStyle name="Comma 2 5 2 2 6 3 3 2 2" xfId="44199" xr:uid="{00000000-0005-0000-0000-00002E500000}"/>
    <cellStyle name="Comma 2 5 2 2 6 3 3 2 3" xfId="37776" xr:uid="{00000000-0005-0000-0000-00002F500000}"/>
    <cellStyle name="Comma 2 5 2 2 6 3 3 3" xfId="29091" xr:uid="{00000000-0005-0000-0000-000030500000}"/>
    <cellStyle name="Comma 2 5 2 2 6 3 3 3 2" xfId="40992" xr:uid="{00000000-0005-0000-0000-000031500000}"/>
    <cellStyle name="Comma 2 5 2 2 6 3 3 4" xfId="32426" xr:uid="{00000000-0005-0000-0000-000032500000}"/>
    <cellStyle name="Comma 2 5 2 2 6 3 3 5" xfId="34568" xr:uid="{00000000-0005-0000-0000-000033500000}"/>
    <cellStyle name="Comma 2 5 2 2 6 3 4" xfId="8573" xr:uid="{00000000-0005-0000-0000-000034500000}"/>
    <cellStyle name="Comma 2 5 2 2 6 3 4 2" xfId="43161" xr:uid="{00000000-0005-0000-0000-000035500000}"/>
    <cellStyle name="Comma 2 5 2 2 6 3 4 3" xfId="36737" xr:uid="{00000000-0005-0000-0000-000036500000}"/>
    <cellStyle name="Comma 2 5 2 2 6 3 5" xfId="21562" xr:uid="{00000000-0005-0000-0000-000037500000}"/>
    <cellStyle name="Comma 2 5 2 2 6 3 5 2" xfId="39954" xr:uid="{00000000-0005-0000-0000-000038500000}"/>
    <cellStyle name="Comma 2 5 2 2 6 3 6" xfId="22635" xr:uid="{00000000-0005-0000-0000-000039500000}"/>
    <cellStyle name="Comma 2 5 2 2 6 3 7" xfId="23732" xr:uid="{00000000-0005-0000-0000-00003A500000}"/>
    <cellStyle name="Comma 2 5 2 2 6 3 8" xfId="26957" xr:uid="{00000000-0005-0000-0000-00003B500000}"/>
    <cellStyle name="Comma 2 5 2 2 6 3 9" xfId="30290" xr:uid="{00000000-0005-0000-0000-00003C500000}"/>
    <cellStyle name="Comma 2 5 2 2 6 4" xfId="1307" xr:uid="{00000000-0005-0000-0000-00003D500000}"/>
    <cellStyle name="Comma 2 5 2 2 6 4 10" xfId="33531" xr:uid="{00000000-0005-0000-0000-00003E500000}"/>
    <cellStyle name="Comma 2 5 2 2 6 4 2" xfId="10077" xr:uid="{00000000-0005-0000-0000-00003F500000}"/>
    <cellStyle name="Comma 2 5 2 2 6 4 2 2" xfId="25877" xr:uid="{00000000-0005-0000-0000-000040500000}"/>
    <cellStyle name="Comma 2 5 2 2 6 4 2 2 2" xfId="45304" xr:uid="{00000000-0005-0000-0000-000041500000}"/>
    <cellStyle name="Comma 2 5 2 2 6 4 2 2 3" xfId="38881" xr:uid="{00000000-0005-0000-0000-000042500000}"/>
    <cellStyle name="Comma 2 5 2 2 6 4 2 3" xfId="28055" xr:uid="{00000000-0005-0000-0000-000043500000}"/>
    <cellStyle name="Comma 2 5 2 2 6 4 2 3 2" xfId="42097" xr:uid="{00000000-0005-0000-0000-000044500000}"/>
    <cellStyle name="Comma 2 5 2 2 6 4 2 4" xfId="31390" xr:uid="{00000000-0005-0000-0000-000045500000}"/>
    <cellStyle name="Comma 2 5 2 2 6 4 2 5" xfId="35673" xr:uid="{00000000-0005-0000-0000-000046500000}"/>
    <cellStyle name="Comma 2 5 2 2 6 4 3" xfId="15756" xr:uid="{00000000-0005-0000-0000-000047500000}"/>
    <cellStyle name="Comma 2 5 2 2 6 4 3 2" xfId="24771" xr:uid="{00000000-0005-0000-0000-000048500000}"/>
    <cellStyle name="Comma 2 5 2 2 6 4 3 2 2" xfId="44200" xr:uid="{00000000-0005-0000-0000-000049500000}"/>
    <cellStyle name="Comma 2 5 2 2 6 4 3 2 3" xfId="37777" xr:uid="{00000000-0005-0000-0000-00004A500000}"/>
    <cellStyle name="Comma 2 5 2 2 6 4 3 3" xfId="29092" xr:uid="{00000000-0005-0000-0000-00004B500000}"/>
    <cellStyle name="Comma 2 5 2 2 6 4 3 3 2" xfId="40993" xr:uid="{00000000-0005-0000-0000-00004C500000}"/>
    <cellStyle name="Comma 2 5 2 2 6 4 3 4" xfId="32427" xr:uid="{00000000-0005-0000-0000-00004D500000}"/>
    <cellStyle name="Comma 2 5 2 2 6 4 3 5" xfId="34569" xr:uid="{00000000-0005-0000-0000-00004E500000}"/>
    <cellStyle name="Comma 2 5 2 2 6 4 4" xfId="8574" xr:uid="{00000000-0005-0000-0000-00004F500000}"/>
    <cellStyle name="Comma 2 5 2 2 6 4 4 2" xfId="43162" xr:uid="{00000000-0005-0000-0000-000050500000}"/>
    <cellStyle name="Comma 2 5 2 2 6 4 4 3" xfId="36738" xr:uid="{00000000-0005-0000-0000-000051500000}"/>
    <cellStyle name="Comma 2 5 2 2 6 4 5" xfId="21563" xr:uid="{00000000-0005-0000-0000-000052500000}"/>
    <cellStyle name="Comma 2 5 2 2 6 4 5 2" xfId="39955" xr:uid="{00000000-0005-0000-0000-000053500000}"/>
    <cellStyle name="Comma 2 5 2 2 6 4 6" xfId="22636" xr:uid="{00000000-0005-0000-0000-000054500000}"/>
    <cellStyle name="Comma 2 5 2 2 6 4 7" xfId="23733" xr:uid="{00000000-0005-0000-0000-000055500000}"/>
    <cellStyle name="Comma 2 5 2 2 6 4 8" xfId="26958" xr:uid="{00000000-0005-0000-0000-000056500000}"/>
    <cellStyle name="Comma 2 5 2 2 6 4 9" xfId="30291" xr:uid="{00000000-0005-0000-0000-000057500000}"/>
    <cellStyle name="Comma 2 5 2 2 6 5" xfId="1308" xr:uid="{00000000-0005-0000-0000-000058500000}"/>
    <cellStyle name="Comma 2 5 2 2 6 5 10" xfId="33532" xr:uid="{00000000-0005-0000-0000-000059500000}"/>
    <cellStyle name="Comma 2 5 2 2 6 5 2" xfId="10078" xr:uid="{00000000-0005-0000-0000-00005A500000}"/>
    <cellStyle name="Comma 2 5 2 2 6 5 2 2" xfId="25878" xr:uid="{00000000-0005-0000-0000-00005B500000}"/>
    <cellStyle name="Comma 2 5 2 2 6 5 2 2 2" xfId="45305" xr:uid="{00000000-0005-0000-0000-00005C500000}"/>
    <cellStyle name="Comma 2 5 2 2 6 5 2 2 3" xfId="38882" xr:uid="{00000000-0005-0000-0000-00005D500000}"/>
    <cellStyle name="Comma 2 5 2 2 6 5 2 3" xfId="28056" xr:uid="{00000000-0005-0000-0000-00005E500000}"/>
    <cellStyle name="Comma 2 5 2 2 6 5 2 3 2" xfId="42098" xr:uid="{00000000-0005-0000-0000-00005F500000}"/>
    <cellStyle name="Comma 2 5 2 2 6 5 2 4" xfId="31391" xr:uid="{00000000-0005-0000-0000-000060500000}"/>
    <cellStyle name="Comma 2 5 2 2 6 5 2 5" xfId="35674" xr:uid="{00000000-0005-0000-0000-000061500000}"/>
    <cellStyle name="Comma 2 5 2 2 6 5 3" xfId="15757" xr:uid="{00000000-0005-0000-0000-000062500000}"/>
    <cellStyle name="Comma 2 5 2 2 6 5 3 2" xfId="24772" xr:uid="{00000000-0005-0000-0000-000063500000}"/>
    <cellStyle name="Comma 2 5 2 2 6 5 3 2 2" xfId="44201" xr:uid="{00000000-0005-0000-0000-000064500000}"/>
    <cellStyle name="Comma 2 5 2 2 6 5 3 2 3" xfId="37778" xr:uid="{00000000-0005-0000-0000-000065500000}"/>
    <cellStyle name="Comma 2 5 2 2 6 5 3 3" xfId="29093" xr:uid="{00000000-0005-0000-0000-000066500000}"/>
    <cellStyle name="Comma 2 5 2 2 6 5 3 3 2" xfId="40994" xr:uid="{00000000-0005-0000-0000-000067500000}"/>
    <cellStyle name="Comma 2 5 2 2 6 5 3 4" xfId="32428" xr:uid="{00000000-0005-0000-0000-000068500000}"/>
    <cellStyle name="Comma 2 5 2 2 6 5 3 5" xfId="34570" xr:uid="{00000000-0005-0000-0000-000069500000}"/>
    <cellStyle name="Comma 2 5 2 2 6 5 4" xfId="8575" xr:uid="{00000000-0005-0000-0000-00006A500000}"/>
    <cellStyle name="Comma 2 5 2 2 6 5 4 2" xfId="43163" xr:uid="{00000000-0005-0000-0000-00006B500000}"/>
    <cellStyle name="Comma 2 5 2 2 6 5 4 3" xfId="36739" xr:uid="{00000000-0005-0000-0000-00006C500000}"/>
    <cellStyle name="Comma 2 5 2 2 6 5 5" xfId="21564" xr:uid="{00000000-0005-0000-0000-00006D500000}"/>
    <cellStyle name="Comma 2 5 2 2 6 5 5 2" xfId="39956" xr:uid="{00000000-0005-0000-0000-00006E500000}"/>
    <cellStyle name="Comma 2 5 2 2 6 5 6" xfId="22637" xr:uid="{00000000-0005-0000-0000-00006F500000}"/>
    <cellStyle name="Comma 2 5 2 2 6 5 7" xfId="23734" xr:uid="{00000000-0005-0000-0000-000070500000}"/>
    <cellStyle name="Comma 2 5 2 2 6 5 8" xfId="26959" xr:uid="{00000000-0005-0000-0000-000071500000}"/>
    <cellStyle name="Comma 2 5 2 2 6 5 9" xfId="30292" xr:uid="{00000000-0005-0000-0000-000072500000}"/>
    <cellStyle name="Comma 2 5 2 2 6 6" xfId="10074" xr:uid="{00000000-0005-0000-0000-000073500000}"/>
    <cellStyle name="Comma 2 5 2 2 6 6 2" xfId="25874" xr:uid="{00000000-0005-0000-0000-000074500000}"/>
    <cellStyle name="Comma 2 5 2 2 6 6 2 2" xfId="45301" xr:uid="{00000000-0005-0000-0000-000075500000}"/>
    <cellStyle name="Comma 2 5 2 2 6 6 2 3" xfId="38878" xr:uid="{00000000-0005-0000-0000-000076500000}"/>
    <cellStyle name="Comma 2 5 2 2 6 6 3" xfId="28052" xr:uid="{00000000-0005-0000-0000-000077500000}"/>
    <cellStyle name="Comma 2 5 2 2 6 6 3 2" xfId="42094" xr:uid="{00000000-0005-0000-0000-000078500000}"/>
    <cellStyle name="Comma 2 5 2 2 6 6 4" xfId="31387" xr:uid="{00000000-0005-0000-0000-000079500000}"/>
    <cellStyle name="Comma 2 5 2 2 6 6 5" xfId="35670" xr:uid="{00000000-0005-0000-0000-00007A500000}"/>
    <cellStyle name="Comma 2 5 2 2 6 7" xfId="15753" xr:uid="{00000000-0005-0000-0000-00007B500000}"/>
    <cellStyle name="Comma 2 5 2 2 6 7 2" xfId="24768" xr:uid="{00000000-0005-0000-0000-00007C500000}"/>
    <cellStyle name="Comma 2 5 2 2 6 7 2 2" xfId="44197" xr:uid="{00000000-0005-0000-0000-00007D500000}"/>
    <cellStyle name="Comma 2 5 2 2 6 7 2 3" xfId="37774" xr:uid="{00000000-0005-0000-0000-00007E500000}"/>
    <cellStyle name="Comma 2 5 2 2 6 7 3" xfId="29089" xr:uid="{00000000-0005-0000-0000-00007F500000}"/>
    <cellStyle name="Comma 2 5 2 2 6 7 3 2" xfId="40990" xr:uid="{00000000-0005-0000-0000-000080500000}"/>
    <cellStyle name="Comma 2 5 2 2 6 7 4" xfId="32424" xr:uid="{00000000-0005-0000-0000-000081500000}"/>
    <cellStyle name="Comma 2 5 2 2 6 7 5" xfId="34566" xr:uid="{00000000-0005-0000-0000-000082500000}"/>
    <cellStyle name="Comma 2 5 2 2 6 8" xfId="8571" xr:uid="{00000000-0005-0000-0000-000083500000}"/>
    <cellStyle name="Comma 2 5 2 2 6 8 2" xfId="43159" xr:uid="{00000000-0005-0000-0000-000084500000}"/>
    <cellStyle name="Comma 2 5 2 2 6 8 3" xfId="36735" xr:uid="{00000000-0005-0000-0000-000085500000}"/>
    <cellStyle name="Comma 2 5 2 2 6 9" xfId="21560" xr:uid="{00000000-0005-0000-0000-000086500000}"/>
    <cellStyle name="Comma 2 5 2 2 6 9 2" xfId="39952" xr:uid="{00000000-0005-0000-0000-000087500000}"/>
    <cellStyle name="Comma 2 5 2 2 7" xfId="1309" xr:uid="{00000000-0005-0000-0000-000088500000}"/>
    <cellStyle name="Comma 2 5 2 2 7 10" xfId="33533" xr:uid="{00000000-0005-0000-0000-000089500000}"/>
    <cellStyle name="Comma 2 5 2 2 7 2" xfId="10079" xr:uid="{00000000-0005-0000-0000-00008A500000}"/>
    <cellStyle name="Comma 2 5 2 2 7 2 2" xfId="25879" xr:uid="{00000000-0005-0000-0000-00008B500000}"/>
    <cellStyle name="Comma 2 5 2 2 7 2 2 2" xfId="45306" xr:uid="{00000000-0005-0000-0000-00008C500000}"/>
    <cellStyle name="Comma 2 5 2 2 7 2 2 3" xfId="38883" xr:uid="{00000000-0005-0000-0000-00008D500000}"/>
    <cellStyle name="Comma 2 5 2 2 7 2 3" xfId="28057" xr:uid="{00000000-0005-0000-0000-00008E500000}"/>
    <cellStyle name="Comma 2 5 2 2 7 2 3 2" xfId="42099" xr:uid="{00000000-0005-0000-0000-00008F500000}"/>
    <cellStyle name="Comma 2 5 2 2 7 2 4" xfId="31392" xr:uid="{00000000-0005-0000-0000-000090500000}"/>
    <cellStyle name="Comma 2 5 2 2 7 2 5" xfId="35675" xr:uid="{00000000-0005-0000-0000-000091500000}"/>
    <cellStyle name="Comma 2 5 2 2 7 3" xfId="15758" xr:uid="{00000000-0005-0000-0000-000092500000}"/>
    <cellStyle name="Comma 2 5 2 2 7 3 2" xfId="24773" xr:uid="{00000000-0005-0000-0000-000093500000}"/>
    <cellStyle name="Comma 2 5 2 2 7 3 2 2" xfId="44202" xr:uid="{00000000-0005-0000-0000-000094500000}"/>
    <cellStyle name="Comma 2 5 2 2 7 3 2 3" xfId="37779" xr:uid="{00000000-0005-0000-0000-000095500000}"/>
    <cellStyle name="Comma 2 5 2 2 7 3 3" xfId="29094" xr:uid="{00000000-0005-0000-0000-000096500000}"/>
    <cellStyle name="Comma 2 5 2 2 7 3 3 2" xfId="40995" xr:uid="{00000000-0005-0000-0000-000097500000}"/>
    <cellStyle name="Comma 2 5 2 2 7 3 4" xfId="32429" xr:uid="{00000000-0005-0000-0000-000098500000}"/>
    <cellStyle name="Comma 2 5 2 2 7 3 5" xfId="34571" xr:uid="{00000000-0005-0000-0000-000099500000}"/>
    <cellStyle name="Comma 2 5 2 2 7 4" xfId="8576" xr:uid="{00000000-0005-0000-0000-00009A500000}"/>
    <cellStyle name="Comma 2 5 2 2 7 4 2" xfId="43164" xr:uid="{00000000-0005-0000-0000-00009B500000}"/>
    <cellStyle name="Comma 2 5 2 2 7 4 3" xfId="36740" xr:uid="{00000000-0005-0000-0000-00009C500000}"/>
    <cellStyle name="Comma 2 5 2 2 7 5" xfId="21565" xr:uid="{00000000-0005-0000-0000-00009D500000}"/>
    <cellStyle name="Comma 2 5 2 2 7 5 2" xfId="39957" xr:uid="{00000000-0005-0000-0000-00009E500000}"/>
    <cellStyle name="Comma 2 5 2 2 7 6" xfId="22638" xr:uid="{00000000-0005-0000-0000-00009F500000}"/>
    <cellStyle name="Comma 2 5 2 2 7 7" xfId="23735" xr:uid="{00000000-0005-0000-0000-0000A0500000}"/>
    <cellStyle name="Comma 2 5 2 2 7 8" xfId="26960" xr:uid="{00000000-0005-0000-0000-0000A1500000}"/>
    <cellStyle name="Comma 2 5 2 2 7 9" xfId="30293" xr:uid="{00000000-0005-0000-0000-0000A2500000}"/>
    <cellStyle name="Comma 2 5 2 2 8" xfId="1310" xr:uid="{00000000-0005-0000-0000-0000A3500000}"/>
    <cellStyle name="Comma 2 5 2 2 8 10" xfId="33534" xr:uid="{00000000-0005-0000-0000-0000A4500000}"/>
    <cellStyle name="Comma 2 5 2 2 8 2" xfId="10080" xr:uid="{00000000-0005-0000-0000-0000A5500000}"/>
    <cellStyle name="Comma 2 5 2 2 8 2 2" xfId="25880" xr:uid="{00000000-0005-0000-0000-0000A6500000}"/>
    <cellStyle name="Comma 2 5 2 2 8 2 2 2" xfId="45307" xr:uid="{00000000-0005-0000-0000-0000A7500000}"/>
    <cellStyle name="Comma 2 5 2 2 8 2 2 3" xfId="38884" xr:uid="{00000000-0005-0000-0000-0000A8500000}"/>
    <cellStyle name="Comma 2 5 2 2 8 2 3" xfId="28058" xr:uid="{00000000-0005-0000-0000-0000A9500000}"/>
    <cellStyle name="Comma 2 5 2 2 8 2 3 2" xfId="42100" xr:uid="{00000000-0005-0000-0000-0000AA500000}"/>
    <cellStyle name="Comma 2 5 2 2 8 2 4" xfId="31393" xr:uid="{00000000-0005-0000-0000-0000AB500000}"/>
    <cellStyle name="Comma 2 5 2 2 8 2 5" xfId="35676" xr:uid="{00000000-0005-0000-0000-0000AC500000}"/>
    <cellStyle name="Comma 2 5 2 2 8 3" xfId="15759" xr:uid="{00000000-0005-0000-0000-0000AD500000}"/>
    <cellStyle name="Comma 2 5 2 2 8 3 2" xfId="24774" xr:uid="{00000000-0005-0000-0000-0000AE500000}"/>
    <cellStyle name="Comma 2 5 2 2 8 3 2 2" xfId="44203" xr:uid="{00000000-0005-0000-0000-0000AF500000}"/>
    <cellStyle name="Comma 2 5 2 2 8 3 2 3" xfId="37780" xr:uid="{00000000-0005-0000-0000-0000B0500000}"/>
    <cellStyle name="Comma 2 5 2 2 8 3 3" xfId="29095" xr:uid="{00000000-0005-0000-0000-0000B1500000}"/>
    <cellStyle name="Comma 2 5 2 2 8 3 3 2" xfId="40996" xr:uid="{00000000-0005-0000-0000-0000B2500000}"/>
    <cellStyle name="Comma 2 5 2 2 8 3 4" xfId="32430" xr:uid="{00000000-0005-0000-0000-0000B3500000}"/>
    <cellStyle name="Comma 2 5 2 2 8 3 5" xfId="34572" xr:uid="{00000000-0005-0000-0000-0000B4500000}"/>
    <cellStyle name="Comma 2 5 2 2 8 4" xfId="8577" xr:uid="{00000000-0005-0000-0000-0000B5500000}"/>
    <cellStyle name="Comma 2 5 2 2 8 4 2" xfId="43165" xr:uid="{00000000-0005-0000-0000-0000B6500000}"/>
    <cellStyle name="Comma 2 5 2 2 8 4 3" xfId="36741" xr:uid="{00000000-0005-0000-0000-0000B7500000}"/>
    <cellStyle name="Comma 2 5 2 2 8 5" xfId="21566" xr:uid="{00000000-0005-0000-0000-0000B8500000}"/>
    <cellStyle name="Comma 2 5 2 2 8 5 2" xfId="39958" xr:uid="{00000000-0005-0000-0000-0000B9500000}"/>
    <cellStyle name="Comma 2 5 2 2 8 6" xfId="22639" xr:uid="{00000000-0005-0000-0000-0000BA500000}"/>
    <cellStyle name="Comma 2 5 2 2 8 7" xfId="23736" xr:uid="{00000000-0005-0000-0000-0000BB500000}"/>
    <cellStyle name="Comma 2 5 2 2 8 8" xfId="26961" xr:uid="{00000000-0005-0000-0000-0000BC500000}"/>
    <cellStyle name="Comma 2 5 2 2 8 9" xfId="30294" xr:uid="{00000000-0005-0000-0000-0000BD500000}"/>
    <cellStyle name="Comma 2 5 2 2 9" xfId="1311" xr:uid="{00000000-0005-0000-0000-0000BE500000}"/>
    <cellStyle name="Comma 2 5 2 2 9 10" xfId="33535" xr:uid="{00000000-0005-0000-0000-0000BF500000}"/>
    <cellStyle name="Comma 2 5 2 2 9 2" xfId="10081" xr:uid="{00000000-0005-0000-0000-0000C0500000}"/>
    <cellStyle name="Comma 2 5 2 2 9 2 2" xfId="25881" xr:uid="{00000000-0005-0000-0000-0000C1500000}"/>
    <cellStyle name="Comma 2 5 2 2 9 2 2 2" xfId="45308" xr:uid="{00000000-0005-0000-0000-0000C2500000}"/>
    <cellStyle name="Comma 2 5 2 2 9 2 2 3" xfId="38885" xr:uid="{00000000-0005-0000-0000-0000C3500000}"/>
    <cellStyle name="Comma 2 5 2 2 9 2 3" xfId="28059" xr:uid="{00000000-0005-0000-0000-0000C4500000}"/>
    <cellStyle name="Comma 2 5 2 2 9 2 3 2" xfId="42101" xr:uid="{00000000-0005-0000-0000-0000C5500000}"/>
    <cellStyle name="Comma 2 5 2 2 9 2 4" xfId="31394" xr:uid="{00000000-0005-0000-0000-0000C6500000}"/>
    <cellStyle name="Comma 2 5 2 2 9 2 5" xfId="35677" xr:uid="{00000000-0005-0000-0000-0000C7500000}"/>
    <cellStyle name="Comma 2 5 2 2 9 3" xfId="15760" xr:uid="{00000000-0005-0000-0000-0000C8500000}"/>
    <cellStyle name="Comma 2 5 2 2 9 3 2" xfId="24775" xr:uid="{00000000-0005-0000-0000-0000C9500000}"/>
    <cellStyle name="Comma 2 5 2 2 9 3 2 2" xfId="44204" xr:uid="{00000000-0005-0000-0000-0000CA500000}"/>
    <cellStyle name="Comma 2 5 2 2 9 3 2 3" xfId="37781" xr:uid="{00000000-0005-0000-0000-0000CB500000}"/>
    <cellStyle name="Comma 2 5 2 2 9 3 3" xfId="29096" xr:uid="{00000000-0005-0000-0000-0000CC500000}"/>
    <cellStyle name="Comma 2 5 2 2 9 3 3 2" xfId="40997" xr:uid="{00000000-0005-0000-0000-0000CD500000}"/>
    <cellStyle name="Comma 2 5 2 2 9 3 4" xfId="32431" xr:uid="{00000000-0005-0000-0000-0000CE500000}"/>
    <cellStyle name="Comma 2 5 2 2 9 3 5" xfId="34573" xr:uid="{00000000-0005-0000-0000-0000CF500000}"/>
    <cellStyle name="Comma 2 5 2 2 9 4" xfId="8578" xr:uid="{00000000-0005-0000-0000-0000D0500000}"/>
    <cellStyle name="Comma 2 5 2 2 9 4 2" xfId="43166" xr:uid="{00000000-0005-0000-0000-0000D1500000}"/>
    <cellStyle name="Comma 2 5 2 2 9 4 3" xfId="36742" xr:uid="{00000000-0005-0000-0000-0000D2500000}"/>
    <cellStyle name="Comma 2 5 2 2 9 5" xfId="21567" xr:uid="{00000000-0005-0000-0000-0000D3500000}"/>
    <cellStyle name="Comma 2 5 2 2 9 5 2" xfId="39959" xr:uid="{00000000-0005-0000-0000-0000D4500000}"/>
    <cellStyle name="Comma 2 5 2 2 9 6" xfId="22640" xr:uid="{00000000-0005-0000-0000-0000D5500000}"/>
    <cellStyle name="Comma 2 5 2 2 9 7" xfId="23737" xr:uid="{00000000-0005-0000-0000-0000D6500000}"/>
    <cellStyle name="Comma 2 5 2 2 9 8" xfId="26962" xr:uid="{00000000-0005-0000-0000-0000D7500000}"/>
    <cellStyle name="Comma 2 5 2 2 9 9" xfId="30295" xr:uid="{00000000-0005-0000-0000-0000D8500000}"/>
    <cellStyle name="Comma 2 5 2 20" xfId="30214" xr:uid="{00000000-0005-0000-0000-0000D9500000}"/>
    <cellStyle name="Comma 2 5 2 21" xfId="32839" xr:uid="{00000000-0005-0000-0000-0000DA500000}"/>
    <cellStyle name="Comma 2 5 2 3" xfId="278" xr:uid="{00000000-0005-0000-0000-0000DB500000}"/>
    <cellStyle name="Comma 2 5 2 3 10" xfId="1312" xr:uid="{00000000-0005-0000-0000-0000DC500000}"/>
    <cellStyle name="Comma 2 5 2 3 10 10" xfId="33536" xr:uid="{00000000-0005-0000-0000-0000DD500000}"/>
    <cellStyle name="Comma 2 5 2 3 10 2" xfId="10082" xr:uid="{00000000-0005-0000-0000-0000DE500000}"/>
    <cellStyle name="Comma 2 5 2 3 10 2 2" xfId="25882" xr:uid="{00000000-0005-0000-0000-0000DF500000}"/>
    <cellStyle name="Comma 2 5 2 3 10 2 2 2" xfId="45309" xr:uid="{00000000-0005-0000-0000-0000E0500000}"/>
    <cellStyle name="Comma 2 5 2 3 10 2 2 3" xfId="38886" xr:uid="{00000000-0005-0000-0000-0000E1500000}"/>
    <cellStyle name="Comma 2 5 2 3 10 2 3" xfId="28060" xr:uid="{00000000-0005-0000-0000-0000E2500000}"/>
    <cellStyle name="Comma 2 5 2 3 10 2 3 2" xfId="42102" xr:uid="{00000000-0005-0000-0000-0000E3500000}"/>
    <cellStyle name="Comma 2 5 2 3 10 2 4" xfId="31395" xr:uid="{00000000-0005-0000-0000-0000E4500000}"/>
    <cellStyle name="Comma 2 5 2 3 10 2 5" xfId="35678" xr:uid="{00000000-0005-0000-0000-0000E5500000}"/>
    <cellStyle name="Comma 2 5 2 3 10 3" xfId="15762" xr:uid="{00000000-0005-0000-0000-0000E6500000}"/>
    <cellStyle name="Comma 2 5 2 3 10 3 2" xfId="24777" xr:uid="{00000000-0005-0000-0000-0000E7500000}"/>
    <cellStyle name="Comma 2 5 2 3 10 3 2 2" xfId="44206" xr:uid="{00000000-0005-0000-0000-0000E8500000}"/>
    <cellStyle name="Comma 2 5 2 3 10 3 2 3" xfId="37783" xr:uid="{00000000-0005-0000-0000-0000E9500000}"/>
    <cellStyle name="Comma 2 5 2 3 10 3 3" xfId="29098" xr:uid="{00000000-0005-0000-0000-0000EA500000}"/>
    <cellStyle name="Comma 2 5 2 3 10 3 3 2" xfId="40999" xr:uid="{00000000-0005-0000-0000-0000EB500000}"/>
    <cellStyle name="Comma 2 5 2 3 10 3 4" xfId="32433" xr:uid="{00000000-0005-0000-0000-0000EC500000}"/>
    <cellStyle name="Comma 2 5 2 3 10 3 5" xfId="34575" xr:uid="{00000000-0005-0000-0000-0000ED500000}"/>
    <cellStyle name="Comma 2 5 2 3 10 4" xfId="8580" xr:uid="{00000000-0005-0000-0000-0000EE500000}"/>
    <cellStyle name="Comma 2 5 2 3 10 4 2" xfId="43167" xr:uid="{00000000-0005-0000-0000-0000EF500000}"/>
    <cellStyle name="Comma 2 5 2 3 10 4 3" xfId="36743" xr:uid="{00000000-0005-0000-0000-0000F0500000}"/>
    <cellStyle name="Comma 2 5 2 3 10 5" xfId="21569" xr:uid="{00000000-0005-0000-0000-0000F1500000}"/>
    <cellStyle name="Comma 2 5 2 3 10 5 2" xfId="39960" xr:uid="{00000000-0005-0000-0000-0000F2500000}"/>
    <cellStyle name="Comma 2 5 2 3 10 6" xfId="22642" xr:uid="{00000000-0005-0000-0000-0000F3500000}"/>
    <cellStyle name="Comma 2 5 2 3 10 7" xfId="23738" xr:uid="{00000000-0005-0000-0000-0000F4500000}"/>
    <cellStyle name="Comma 2 5 2 3 10 8" xfId="26964" xr:uid="{00000000-0005-0000-0000-0000F5500000}"/>
    <cellStyle name="Comma 2 5 2 3 10 9" xfId="30297" xr:uid="{00000000-0005-0000-0000-0000F6500000}"/>
    <cellStyle name="Comma 2 5 2 3 11" xfId="9134" xr:uid="{00000000-0005-0000-0000-0000F7500000}"/>
    <cellStyle name="Comma 2 5 2 3 11 2" xfId="25188" xr:uid="{00000000-0005-0000-0000-0000F8500000}"/>
    <cellStyle name="Comma 2 5 2 3 11 2 2" xfId="44615" xr:uid="{00000000-0005-0000-0000-0000F9500000}"/>
    <cellStyle name="Comma 2 5 2 3 11 2 3" xfId="38192" xr:uid="{00000000-0005-0000-0000-0000FA500000}"/>
    <cellStyle name="Comma 2 5 2 3 11 3" xfId="27367" xr:uid="{00000000-0005-0000-0000-0000FB500000}"/>
    <cellStyle name="Comma 2 5 2 3 11 3 2" xfId="41408" xr:uid="{00000000-0005-0000-0000-0000FC500000}"/>
    <cellStyle name="Comma 2 5 2 3 11 4" xfId="30702" xr:uid="{00000000-0005-0000-0000-0000FD500000}"/>
    <cellStyle name="Comma 2 5 2 3 11 5" xfId="34984" xr:uid="{00000000-0005-0000-0000-0000FE500000}"/>
    <cellStyle name="Comma 2 5 2 3 12" xfId="15761" xr:uid="{00000000-0005-0000-0000-0000FF500000}"/>
    <cellStyle name="Comma 2 5 2 3 12 2" xfId="24776" xr:uid="{00000000-0005-0000-0000-000000510000}"/>
    <cellStyle name="Comma 2 5 2 3 12 2 2" xfId="44205" xr:uid="{00000000-0005-0000-0000-000001510000}"/>
    <cellStyle name="Comma 2 5 2 3 12 2 3" xfId="37782" xr:uid="{00000000-0005-0000-0000-000002510000}"/>
    <cellStyle name="Comma 2 5 2 3 12 3" xfId="29097" xr:uid="{00000000-0005-0000-0000-000003510000}"/>
    <cellStyle name="Comma 2 5 2 3 12 3 2" xfId="40998" xr:uid="{00000000-0005-0000-0000-000004510000}"/>
    <cellStyle name="Comma 2 5 2 3 12 4" xfId="32432" xr:uid="{00000000-0005-0000-0000-000005510000}"/>
    <cellStyle name="Comma 2 5 2 3 12 5" xfId="34574" xr:uid="{00000000-0005-0000-0000-000006510000}"/>
    <cellStyle name="Comma 2 5 2 3 13" xfId="8579" xr:uid="{00000000-0005-0000-0000-000007510000}"/>
    <cellStyle name="Comma 2 5 2 3 13 2" xfId="42478" xr:uid="{00000000-0005-0000-0000-000008510000}"/>
    <cellStyle name="Comma 2 5 2 3 13 3" xfId="36054" xr:uid="{00000000-0005-0000-0000-000009510000}"/>
    <cellStyle name="Comma 2 5 2 3 14" xfId="21568" xr:uid="{00000000-0005-0000-0000-00000A510000}"/>
    <cellStyle name="Comma 2 5 2 3 14 2" xfId="39271" xr:uid="{00000000-0005-0000-0000-00000B510000}"/>
    <cellStyle name="Comma 2 5 2 3 15" xfId="22641" xr:uid="{00000000-0005-0000-0000-00000C510000}"/>
    <cellStyle name="Comma 2 5 2 3 16" xfId="23049" xr:uid="{00000000-0005-0000-0000-00000D510000}"/>
    <cellStyle name="Comma 2 5 2 3 17" xfId="26963" xr:uid="{00000000-0005-0000-0000-00000E510000}"/>
    <cellStyle name="Comma 2 5 2 3 18" xfId="30296" xr:uid="{00000000-0005-0000-0000-00000F510000}"/>
    <cellStyle name="Comma 2 5 2 3 19" xfId="32847" xr:uid="{00000000-0005-0000-0000-000010510000}"/>
    <cellStyle name="Comma 2 5 2 3 2" xfId="279" xr:uid="{00000000-0005-0000-0000-000011510000}"/>
    <cellStyle name="Comma 2 5 2 3 2 10" xfId="15763" xr:uid="{00000000-0005-0000-0000-000012510000}"/>
    <cellStyle name="Comma 2 5 2 3 2 10 2" xfId="24778" xr:uid="{00000000-0005-0000-0000-000013510000}"/>
    <cellStyle name="Comma 2 5 2 3 2 10 2 2" xfId="44207" xr:uid="{00000000-0005-0000-0000-000014510000}"/>
    <cellStyle name="Comma 2 5 2 3 2 10 2 3" xfId="37784" xr:uid="{00000000-0005-0000-0000-000015510000}"/>
    <cellStyle name="Comma 2 5 2 3 2 10 3" xfId="29099" xr:uid="{00000000-0005-0000-0000-000016510000}"/>
    <cellStyle name="Comma 2 5 2 3 2 10 3 2" xfId="41000" xr:uid="{00000000-0005-0000-0000-000017510000}"/>
    <cellStyle name="Comma 2 5 2 3 2 10 4" xfId="32434" xr:uid="{00000000-0005-0000-0000-000018510000}"/>
    <cellStyle name="Comma 2 5 2 3 2 10 5" xfId="34576" xr:uid="{00000000-0005-0000-0000-000019510000}"/>
    <cellStyle name="Comma 2 5 2 3 2 11" xfId="8581" xr:uid="{00000000-0005-0000-0000-00001A510000}"/>
    <cellStyle name="Comma 2 5 2 3 2 11 2" xfId="42479" xr:uid="{00000000-0005-0000-0000-00001B510000}"/>
    <cellStyle name="Comma 2 5 2 3 2 11 3" xfId="36055" xr:uid="{00000000-0005-0000-0000-00001C510000}"/>
    <cellStyle name="Comma 2 5 2 3 2 12" xfId="21570" xr:uid="{00000000-0005-0000-0000-00001D510000}"/>
    <cellStyle name="Comma 2 5 2 3 2 12 2" xfId="39272" xr:uid="{00000000-0005-0000-0000-00001E510000}"/>
    <cellStyle name="Comma 2 5 2 3 2 13" xfId="22643" xr:uid="{00000000-0005-0000-0000-00001F510000}"/>
    <cellStyle name="Comma 2 5 2 3 2 14" xfId="23050" xr:uid="{00000000-0005-0000-0000-000020510000}"/>
    <cellStyle name="Comma 2 5 2 3 2 15" xfId="26965" xr:uid="{00000000-0005-0000-0000-000021510000}"/>
    <cellStyle name="Comma 2 5 2 3 2 16" xfId="30298" xr:uid="{00000000-0005-0000-0000-000022510000}"/>
    <cellStyle name="Comma 2 5 2 3 2 17" xfId="32848" xr:uid="{00000000-0005-0000-0000-000023510000}"/>
    <cellStyle name="Comma 2 5 2 3 2 2" xfId="280" xr:uid="{00000000-0005-0000-0000-000024510000}"/>
    <cellStyle name="Comma 2 5 2 3 2 2 10" xfId="21571" xr:uid="{00000000-0005-0000-0000-000025510000}"/>
    <cellStyle name="Comma 2 5 2 3 2 2 10 2" xfId="39273" xr:uid="{00000000-0005-0000-0000-000026510000}"/>
    <cellStyle name="Comma 2 5 2 3 2 2 11" xfId="22644" xr:uid="{00000000-0005-0000-0000-000027510000}"/>
    <cellStyle name="Comma 2 5 2 3 2 2 12" xfId="23051" xr:uid="{00000000-0005-0000-0000-000028510000}"/>
    <cellStyle name="Comma 2 5 2 3 2 2 13" xfId="26966" xr:uid="{00000000-0005-0000-0000-000029510000}"/>
    <cellStyle name="Comma 2 5 2 3 2 2 14" xfId="30299" xr:uid="{00000000-0005-0000-0000-00002A510000}"/>
    <cellStyle name="Comma 2 5 2 3 2 2 15" xfId="32849" xr:uid="{00000000-0005-0000-0000-00002B510000}"/>
    <cellStyle name="Comma 2 5 2 3 2 2 2" xfId="1313" xr:uid="{00000000-0005-0000-0000-00002C510000}"/>
    <cellStyle name="Comma 2 5 2 3 2 2 2 10" xfId="33537" xr:uid="{00000000-0005-0000-0000-00002D510000}"/>
    <cellStyle name="Comma 2 5 2 3 2 2 2 2" xfId="10083" xr:uid="{00000000-0005-0000-0000-00002E510000}"/>
    <cellStyle name="Comma 2 5 2 3 2 2 2 2 2" xfId="25883" xr:uid="{00000000-0005-0000-0000-00002F510000}"/>
    <cellStyle name="Comma 2 5 2 3 2 2 2 2 2 2" xfId="45310" xr:uid="{00000000-0005-0000-0000-000030510000}"/>
    <cellStyle name="Comma 2 5 2 3 2 2 2 2 2 3" xfId="38887" xr:uid="{00000000-0005-0000-0000-000031510000}"/>
    <cellStyle name="Comma 2 5 2 3 2 2 2 2 3" xfId="28061" xr:uid="{00000000-0005-0000-0000-000032510000}"/>
    <cellStyle name="Comma 2 5 2 3 2 2 2 2 3 2" xfId="42103" xr:uid="{00000000-0005-0000-0000-000033510000}"/>
    <cellStyle name="Comma 2 5 2 3 2 2 2 2 4" xfId="31396" xr:uid="{00000000-0005-0000-0000-000034510000}"/>
    <cellStyle name="Comma 2 5 2 3 2 2 2 2 5" xfId="35679" xr:uid="{00000000-0005-0000-0000-000035510000}"/>
    <cellStyle name="Comma 2 5 2 3 2 2 2 3" xfId="15765" xr:uid="{00000000-0005-0000-0000-000036510000}"/>
    <cellStyle name="Comma 2 5 2 3 2 2 2 3 2" xfId="24780" xr:uid="{00000000-0005-0000-0000-000037510000}"/>
    <cellStyle name="Comma 2 5 2 3 2 2 2 3 2 2" xfId="44209" xr:uid="{00000000-0005-0000-0000-000038510000}"/>
    <cellStyle name="Comma 2 5 2 3 2 2 2 3 2 3" xfId="37786" xr:uid="{00000000-0005-0000-0000-000039510000}"/>
    <cellStyle name="Comma 2 5 2 3 2 2 2 3 3" xfId="29101" xr:uid="{00000000-0005-0000-0000-00003A510000}"/>
    <cellStyle name="Comma 2 5 2 3 2 2 2 3 3 2" xfId="41002" xr:uid="{00000000-0005-0000-0000-00003B510000}"/>
    <cellStyle name="Comma 2 5 2 3 2 2 2 3 4" xfId="32436" xr:uid="{00000000-0005-0000-0000-00003C510000}"/>
    <cellStyle name="Comma 2 5 2 3 2 2 2 3 5" xfId="34578" xr:uid="{00000000-0005-0000-0000-00003D510000}"/>
    <cellStyle name="Comma 2 5 2 3 2 2 2 4" xfId="8583" xr:uid="{00000000-0005-0000-0000-00003E510000}"/>
    <cellStyle name="Comma 2 5 2 3 2 2 2 4 2" xfId="43168" xr:uid="{00000000-0005-0000-0000-00003F510000}"/>
    <cellStyle name="Comma 2 5 2 3 2 2 2 4 3" xfId="36744" xr:uid="{00000000-0005-0000-0000-000040510000}"/>
    <cellStyle name="Comma 2 5 2 3 2 2 2 5" xfId="21572" xr:uid="{00000000-0005-0000-0000-000041510000}"/>
    <cellStyle name="Comma 2 5 2 3 2 2 2 5 2" xfId="39961" xr:uid="{00000000-0005-0000-0000-000042510000}"/>
    <cellStyle name="Comma 2 5 2 3 2 2 2 6" xfId="22645" xr:uid="{00000000-0005-0000-0000-000043510000}"/>
    <cellStyle name="Comma 2 5 2 3 2 2 2 7" xfId="23739" xr:uid="{00000000-0005-0000-0000-000044510000}"/>
    <cellStyle name="Comma 2 5 2 3 2 2 2 8" xfId="26967" xr:uid="{00000000-0005-0000-0000-000045510000}"/>
    <cellStyle name="Comma 2 5 2 3 2 2 2 9" xfId="30300" xr:uid="{00000000-0005-0000-0000-000046510000}"/>
    <cellStyle name="Comma 2 5 2 3 2 2 3" xfId="1314" xr:uid="{00000000-0005-0000-0000-000047510000}"/>
    <cellStyle name="Comma 2 5 2 3 2 2 3 10" xfId="33538" xr:uid="{00000000-0005-0000-0000-000048510000}"/>
    <cellStyle name="Comma 2 5 2 3 2 2 3 2" xfId="10084" xr:uid="{00000000-0005-0000-0000-000049510000}"/>
    <cellStyle name="Comma 2 5 2 3 2 2 3 2 2" xfId="25884" xr:uid="{00000000-0005-0000-0000-00004A510000}"/>
    <cellStyle name="Comma 2 5 2 3 2 2 3 2 2 2" xfId="45311" xr:uid="{00000000-0005-0000-0000-00004B510000}"/>
    <cellStyle name="Comma 2 5 2 3 2 2 3 2 2 3" xfId="38888" xr:uid="{00000000-0005-0000-0000-00004C510000}"/>
    <cellStyle name="Comma 2 5 2 3 2 2 3 2 3" xfId="28062" xr:uid="{00000000-0005-0000-0000-00004D510000}"/>
    <cellStyle name="Comma 2 5 2 3 2 2 3 2 3 2" xfId="42104" xr:uid="{00000000-0005-0000-0000-00004E510000}"/>
    <cellStyle name="Comma 2 5 2 3 2 2 3 2 4" xfId="31397" xr:uid="{00000000-0005-0000-0000-00004F510000}"/>
    <cellStyle name="Comma 2 5 2 3 2 2 3 2 5" xfId="35680" xr:uid="{00000000-0005-0000-0000-000050510000}"/>
    <cellStyle name="Comma 2 5 2 3 2 2 3 3" xfId="15766" xr:uid="{00000000-0005-0000-0000-000051510000}"/>
    <cellStyle name="Comma 2 5 2 3 2 2 3 3 2" xfId="24781" xr:uid="{00000000-0005-0000-0000-000052510000}"/>
    <cellStyle name="Comma 2 5 2 3 2 2 3 3 2 2" xfId="44210" xr:uid="{00000000-0005-0000-0000-000053510000}"/>
    <cellStyle name="Comma 2 5 2 3 2 2 3 3 2 3" xfId="37787" xr:uid="{00000000-0005-0000-0000-000054510000}"/>
    <cellStyle name="Comma 2 5 2 3 2 2 3 3 3" xfId="29102" xr:uid="{00000000-0005-0000-0000-000055510000}"/>
    <cellStyle name="Comma 2 5 2 3 2 2 3 3 3 2" xfId="41003" xr:uid="{00000000-0005-0000-0000-000056510000}"/>
    <cellStyle name="Comma 2 5 2 3 2 2 3 3 4" xfId="32437" xr:uid="{00000000-0005-0000-0000-000057510000}"/>
    <cellStyle name="Comma 2 5 2 3 2 2 3 3 5" xfId="34579" xr:uid="{00000000-0005-0000-0000-000058510000}"/>
    <cellStyle name="Comma 2 5 2 3 2 2 3 4" xfId="8584" xr:uid="{00000000-0005-0000-0000-000059510000}"/>
    <cellStyle name="Comma 2 5 2 3 2 2 3 4 2" xfId="43169" xr:uid="{00000000-0005-0000-0000-00005A510000}"/>
    <cellStyle name="Comma 2 5 2 3 2 2 3 4 3" xfId="36745" xr:uid="{00000000-0005-0000-0000-00005B510000}"/>
    <cellStyle name="Comma 2 5 2 3 2 2 3 5" xfId="21573" xr:uid="{00000000-0005-0000-0000-00005C510000}"/>
    <cellStyle name="Comma 2 5 2 3 2 2 3 5 2" xfId="39962" xr:uid="{00000000-0005-0000-0000-00005D510000}"/>
    <cellStyle name="Comma 2 5 2 3 2 2 3 6" xfId="22646" xr:uid="{00000000-0005-0000-0000-00005E510000}"/>
    <cellStyle name="Comma 2 5 2 3 2 2 3 7" xfId="23740" xr:uid="{00000000-0005-0000-0000-00005F510000}"/>
    <cellStyle name="Comma 2 5 2 3 2 2 3 8" xfId="26968" xr:uid="{00000000-0005-0000-0000-000060510000}"/>
    <cellStyle name="Comma 2 5 2 3 2 2 3 9" xfId="30301" xr:uid="{00000000-0005-0000-0000-000061510000}"/>
    <cellStyle name="Comma 2 5 2 3 2 2 4" xfId="1315" xr:uid="{00000000-0005-0000-0000-000062510000}"/>
    <cellStyle name="Comma 2 5 2 3 2 2 4 10" xfId="33539" xr:uid="{00000000-0005-0000-0000-000063510000}"/>
    <cellStyle name="Comma 2 5 2 3 2 2 4 2" xfId="10085" xr:uid="{00000000-0005-0000-0000-000064510000}"/>
    <cellStyle name="Comma 2 5 2 3 2 2 4 2 2" xfId="25885" xr:uid="{00000000-0005-0000-0000-000065510000}"/>
    <cellStyle name="Comma 2 5 2 3 2 2 4 2 2 2" xfId="45312" xr:uid="{00000000-0005-0000-0000-000066510000}"/>
    <cellStyle name="Comma 2 5 2 3 2 2 4 2 2 3" xfId="38889" xr:uid="{00000000-0005-0000-0000-000067510000}"/>
    <cellStyle name="Comma 2 5 2 3 2 2 4 2 3" xfId="28063" xr:uid="{00000000-0005-0000-0000-000068510000}"/>
    <cellStyle name="Comma 2 5 2 3 2 2 4 2 3 2" xfId="42105" xr:uid="{00000000-0005-0000-0000-000069510000}"/>
    <cellStyle name="Comma 2 5 2 3 2 2 4 2 4" xfId="31398" xr:uid="{00000000-0005-0000-0000-00006A510000}"/>
    <cellStyle name="Comma 2 5 2 3 2 2 4 2 5" xfId="35681" xr:uid="{00000000-0005-0000-0000-00006B510000}"/>
    <cellStyle name="Comma 2 5 2 3 2 2 4 3" xfId="15767" xr:uid="{00000000-0005-0000-0000-00006C510000}"/>
    <cellStyle name="Comma 2 5 2 3 2 2 4 3 2" xfId="24782" xr:uid="{00000000-0005-0000-0000-00006D510000}"/>
    <cellStyle name="Comma 2 5 2 3 2 2 4 3 2 2" xfId="44211" xr:uid="{00000000-0005-0000-0000-00006E510000}"/>
    <cellStyle name="Comma 2 5 2 3 2 2 4 3 2 3" xfId="37788" xr:uid="{00000000-0005-0000-0000-00006F510000}"/>
    <cellStyle name="Comma 2 5 2 3 2 2 4 3 3" xfId="29103" xr:uid="{00000000-0005-0000-0000-000070510000}"/>
    <cellStyle name="Comma 2 5 2 3 2 2 4 3 3 2" xfId="41004" xr:uid="{00000000-0005-0000-0000-000071510000}"/>
    <cellStyle name="Comma 2 5 2 3 2 2 4 3 4" xfId="32438" xr:uid="{00000000-0005-0000-0000-000072510000}"/>
    <cellStyle name="Comma 2 5 2 3 2 2 4 3 5" xfId="34580" xr:uid="{00000000-0005-0000-0000-000073510000}"/>
    <cellStyle name="Comma 2 5 2 3 2 2 4 4" xfId="8585" xr:uid="{00000000-0005-0000-0000-000074510000}"/>
    <cellStyle name="Comma 2 5 2 3 2 2 4 4 2" xfId="43170" xr:uid="{00000000-0005-0000-0000-000075510000}"/>
    <cellStyle name="Comma 2 5 2 3 2 2 4 4 3" xfId="36746" xr:uid="{00000000-0005-0000-0000-000076510000}"/>
    <cellStyle name="Comma 2 5 2 3 2 2 4 5" xfId="21574" xr:uid="{00000000-0005-0000-0000-000077510000}"/>
    <cellStyle name="Comma 2 5 2 3 2 2 4 5 2" xfId="39963" xr:uid="{00000000-0005-0000-0000-000078510000}"/>
    <cellStyle name="Comma 2 5 2 3 2 2 4 6" xfId="22647" xr:uid="{00000000-0005-0000-0000-000079510000}"/>
    <cellStyle name="Comma 2 5 2 3 2 2 4 7" xfId="23741" xr:uid="{00000000-0005-0000-0000-00007A510000}"/>
    <cellStyle name="Comma 2 5 2 3 2 2 4 8" xfId="26969" xr:uid="{00000000-0005-0000-0000-00007B510000}"/>
    <cellStyle name="Comma 2 5 2 3 2 2 4 9" xfId="30302" xr:uid="{00000000-0005-0000-0000-00007C510000}"/>
    <cellStyle name="Comma 2 5 2 3 2 2 5" xfId="1316" xr:uid="{00000000-0005-0000-0000-00007D510000}"/>
    <cellStyle name="Comma 2 5 2 3 2 2 5 10" xfId="33540" xr:uid="{00000000-0005-0000-0000-00007E510000}"/>
    <cellStyle name="Comma 2 5 2 3 2 2 5 2" xfId="10086" xr:uid="{00000000-0005-0000-0000-00007F510000}"/>
    <cellStyle name="Comma 2 5 2 3 2 2 5 2 2" xfId="25886" xr:uid="{00000000-0005-0000-0000-000080510000}"/>
    <cellStyle name="Comma 2 5 2 3 2 2 5 2 2 2" xfId="45313" xr:uid="{00000000-0005-0000-0000-000081510000}"/>
    <cellStyle name="Comma 2 5 2 3 2 2 5 2 2 3" xfId="38890" xr:uid="{00000000-0005-0000-0000-000082510000}"/>
    <cellStyle name="Comma 2 5 2 3 2 2 5 2 3" xfId="28064" xr:uid="{00000000-0005-0000-0000-000083510000}"/>
    <cellStyle name="Comma 2 5 2 3 2 2 5 2 3 2" xfId="42106" xr:uid="{00000000-0005-0000-0000-000084510000}"/>
    <cellStyle name="Comma 2 5 2 3 2 2 5 2 4" xfId="31399" xr:uid="{00000000-0005-0000-0000-000085510000}"/>
    <cellStyle name="Comma 2 5 2 3 2 2 5 2 5" xfId="35682" xr:uid="{00000000-0005-0000-0000-000086510000}"/>
    <cellStyle name="Comma 2 5 2 3 2 2 5 3" xfId="15768" xr:uid="{00000000-0005-0000-0000-000087510000}"/>
    <cellStyle name="Comma 2 5 2 3 2 2 5 3 2" xfId="24783" xr:uid="{00000000-0005-0000-0000-000088510000}"/>
    <cellStyle name="Comma 2 5 2 3 2 2 5 3 2 2" xfId="44212" xr:uid="{00000000-0005-0000-0000-000089510000}"/>
    <cellStyle name="Comma 2 5 2 3 2 2 5 3 2 3" xfId="37789" xr:uid="{00000000-0005-0000-0000-00008A510000}"/>
    <cellStyle name="Comma 2 5 2 3 2 2 5 3 3" xfId="29104" xr:uid="{00000000-0005-0000-0000-00008B510000}"/>
    <cellStyle name="Comma 2 5 2 3 2 2 5 3 3 2" xfId="41005" xr:uid="{00000000-0005-0000-0000-00008C510000}"/>
    <cellStyle name="Comma 2 5 2 3 2 2 5 3 4" xfId="32439" xr:uid="{00000000-0005-0000-0000-00008D510000}"/>
    <cellStyle name="Comma 2 5 2 3 2 2 5 3 5" xfId="34581" xr:uid="{00000000-0005-0000-0000-00008E510000}"/>
    <cellStyle name="Comma 2 5 2 3 2 2 5 4" xfId="8586" xr:uid="{00000000-0005-0000-0000-00008F510000}"/>
    <cellStyle name="Comma 2 5 2 3 2 2 5 4 2" xfId="43171" xr:uid="{00000000-0005-0000-0000-000090510000}"/>
    <cellStyle name="Comma 2 5 2 3 2 2 5 4 3" xfId="36747" xr:uid="{00000000-0005-0000-0000-000091510000}"/>
    <cellStyle name="Comma 2 5 2 3 2 2 5 5" xfId="21575" xr:uid="{00000000-0005-0000-0000-000092510000}"/>
    <cellStyle name="Comma 2 5 2 3 2 2 5 5 2" xfId="39964" xr:uid="{00000000-0005-0000-0000-000093510000}"/>
    <cellStyle name="Comma 2 5 2 3 2 2 5 6" xfId="22648" xr:uid="{00000000-0005-0000-0000-000094510000}"/>
    <cellStyle name="Comma 2 5 2 3 2 2 5 7" xfId="23742" xr:uid="{00000000-0005-0000-0000-000095510000}"/>
    <cellStyle name="Comma 2 5 2 3 2 2 5 8" xfId="26970" xr:uid="{00000000-0005-0000-0000-000096510000}"/>
    <cellStyle name="Comma 2 5 2 3 2 2 5 9" xfId="30303" xr:uid="{00000000-0005-0000-0000-000097510000}"/>
    <cellStyle name="Comma 2 5 2 3 2 2 6" xfId="1317" xr:uid="{00000000-0005-0000-0000-000098510000}"/>
    <cellStyle name="Comma 2 5 2 3 2 2 6 10" xfId="33541" xr:uid="{00000000-0005-0000-0000-000099510000}"/>
    <cellStyle name="Comma 2 5 2 3 2 2 6 2" xfId="10087" xr:uid="{00000000-0005-0000-0000-00009A510000}"/>
    <cellStyle name="Comma 2 5 2 3 2 2 6 2 2" xfId="25887" xr:uid="{00000000-0005-0000-0000-00009B510000}"/>
    <cellStyle name="Comma 2 5 2 3 2 2 6 2 2 2" xfId="45314" xr:uid="{00000000-0005-0000-0000-00009C510000}"/>
    <cellStyle name="Comma 2 5 2 3 2 2 6 2 2 3" xfId="38891" xr:uid="{00000000-0005-0000-0000-00009D510000}"/>
    <cellStyle name="Comma 2 5 2 3 2 2 6 2 3" xfId="28065" xr:uid="{00000000-0005-0000-0000-00009E510000}"/>
    <cellStyle name="Comma 2 5 2 3 2 2 6 2 3 2" xfId="42107" xr:uid="{00000000-0005-0000-0000-00009F510000}"/>
    <cellStyle name="Comma 2 5 2 3 2 2 6 2 4" xfId="31400" xr:uid="{00000000-0005-0000-0000-0000A0510000}"/>
    <cellStyle name="Comma 2 5 2 3 2 2 6 2 5" xfId="35683" xr:uid="{00000000-0005-0000-0000-0000A1510000}"/>
    <cellStyle name="Comma 2 5 2 3 2 2 6 3" xfId="15769" xr:uid="{00000000-0005-0000-0000-0000A2510000}"/>
    <cellStyle name="Comma 2 5 2 3 2 2 6 3 2" xfId="24784" xr:uid="{00000000-0005-0000-0000-0000A3510000}"/>
    <cellStyle name="Comma 2 5 2 3 2 2 6 3 2 2" xfId="44213" xr:uid="{00000000-0005-0000-0000-0000A4510000}"/>
    <cellStyle name="Comma 2 5 2 3 2 2 6 3 2 3" xfId="37790" xr:uid="{00000000-0005-0000-0000-0000A5510000}"/>
    <cellStyle name="Comma 2 5 2 3 2 2 6 3 3" xfId="29105" xr:uid="{00000000-0005-0000-0000-0000A6510000}"/>
    <cellStyle name="Comma 2 5 2 3 2 2 6 3 3 2" xfId="41006" xr:uid="{00000000-0005-0000-0000-0000A7510000}"/>
    <cellStyle name="Comma 2 5 2 3 2 2 6 3 4" xfId="32440" xr:uid="{00000000-0005-0000-0000-0000A8510000}"/>
    <cellStyle name="Comma 2 5 2 3 2 2 6 3 5" xfId="34582" xr:uid="{00000000-0005-0000-0000-0000A9510000}"/>
    <cellStyle name="Comma 2 5 2 3 2 2 6 4" xfId="8587" xr:uid="{00000000-0005-0000-0000-0000AA510000}"/>
    <cellStyle name="Comma 2 5 2 3 2 2 6 4 2" xfId="43172" xr:uid="{00000000-0005-0000-0000-0000AB510000}"/>
    <cellStyle name="Comma 2 5 2 3 2 2 6 4 3" xfId="36748" xr:uid="{00000000-0005-0000-0000-0000AC510000}"/>
    <cellStyle name="Comma 2 5 2 3 2 2 6 5" xfId="21576" xr:uid="{00000000-0005-0000-0000-0000AD510000}"/>
    <cellStyle name="Comma 2 5 2 3 2 2 6 5 2" xfId="39965" xr:uid="{00000000-0005-0000-0000-0000AE510000}"/>
    <cellStyle name="Comma 2 5 2 3 2 2 6 6" xfId="22649" xr:uid="{00000000-0005-0000-0000-0000AF510000}"/>
    <cellStyle name="Comma 2 5 2 3 2 2 6 7" xfId="23743" xr:uid="{00000000-0005-0000-0000-0000B0510000}"/>
    <cellStyle name="Comma 2 5 2 3 2 2 6 8" xfId="26971" xr:uid="{00000000-0005-0000-0000-0000B1510000}"/>
    <cellStyle name="Comma 2 5 2 3 2 2 6 9" xfId="30304" xr:uid="{00000000-0005-0000-0000-0000B2510000}"/>
    <cellStyle name="Comma 2 5 2 3 2 2 7" xfId="9136" xr:uid="{00000000-0005-0000-0000-0000B3510000}"/>
    <cellStyle name="Comma 2 5 2 3 2 2 7 2" xfId="25190" xr:uid="{00000000-0005-0000-0000-0000B4510000}"/>
    <cellStyle name="Comma 2 5 2 3 2 2 7 2 2" xfId="44617" xr:uid="{00000000-0005-0000-0000-0000B5510000}"/>
    <cellStyle name="Comma 2 5 2 3 2 2 7 2 3" xfId="38194" xr:uid="{00000000-0005-0000-0000-0000B6510000}"/>
    <cellStyle name="Comma 2 5 2 3 2 2 7 3" xfId="27369" xr:uid="{00000000-0005-0000-0000-0000B7510000}"/>
    <cellStyle name="Comma 2 5 2 3 2 2 7 3 2" xfId="41410" xr:uid="{00000000-0005-0000-0000-0000B8510000}"/>
    <cellStyle name="Comma 2 5 2 3 2 2 7 4" xfId="30704" xr:uid="{00000000-0005-0000-0000-0000B9510000}"/>
    <cellStyle name="Comma 2 5 2 3 2 2 7 5" xfId="34986" xr:uid="{00000000-0005-0000-0000-0000BA510000}"/>
    <cellStyle name="Comma 2 5 2 3 2 2 8" xfId="15764" xr:uid="{00000000-0005-0000-0000-0000BB510000}"/>
    <cellStyle name="Comma 2 5 2 3 2 2 8 2" xfId="24779" xr:uid="{00000000-0005-0000-0000-0000BC510000}"/>
    <cellStyle name="Comma 2 5 2 3 2 2 8 2 2" xfId="44208" xr:uid="{00000000-0005-0000-0000-0000BD510000}"/>
    <cellStyle name="Comma 2 5 2 3 2 2 8 2 3" xfId="37785" xr:uid="{00000000-0005-0000-0000-0000BE510000}"/>
    <cellStyle name="Comma 2 5 2 3 2 2 8 3" xfId="29100" xr:uid="{00000000-0005-0000-0000-0000BF510000}"/>
    <cellStyle name="Comma 2 5 2 3 2 2 8 3 2" xfId="41001" xr:uid="{00000000-0005-0000-0000-0000C0510000}"/>
    <cellStyle name="Comma 2 5 2 3 2 2 8 4" xfId="32435" xr:uid="{00000000-0005-0000-0000-0000C1510000}"/>
    <cellStyle name="Comma 2 5 2 3 2 2 8 5" xfId="34577" xr:uid="{00000000-0005-0000-0000-0000C2510000}"/>
    <cellStyle name="Comma 2 5 2 3 2 2 9" xfId="8582" xr:uid="{00000000-0005-0000-0000-0000C3510000}"/>
    <cellStyle name="Comma 2 5 2 3 2 2 9 2" xfId="42480" xr:uid="{00000000-0005-0000-0000-0000C4510000}"/>
    <cellStyle name="Comma 2 5 2 3 2 2 9 3" xfId="36056" xr:uid="{00000000-0005-0000-0000-0000C5510000}"/>
    <cellStyle name="Comma 2 5 2 3 2 3" xfId="1318" xr:uid="{00000000-0005-0000-0000-0000C6510000}"/>
    <cellStyle name="Comma 2 5 2 3 2 3 10" xfId="22650" xr:uid="{00000000-0005-0000-0000-0000C7510000}"/>
    <cellStyle name="Comma 2 5 2 3 2 3 11" xfId="23744" xr:uid="{00000000-0005-0000-0000-0000C8510000}"/>
    <cellStyle name="Comma 2 5 2 3 2 3 12" xfId="26972" xr:uid="{00000000-0005-0000-0000-0000C9510000}"/>
    <cellStyle name="Comma 2 5 2 3 2 3 13" xfId="30305" xr:uid="{00000000-0005-0000-0000-0000CA510000}"/>
    <cellStyle name="Comma 2 5 2 3 2 3 14" xfId="33542" xr:uid="{00000000-0005-0000-0000-0000CB510000}"/>
    <cellStyle name="Comma 2 5 2 3 2 3 2" xfId="1319" xr:uid="{00000000-0005-0000-0000-0000CC510000}"/>
    <cellStyle name="Comma 2 5 2 3 2 3 2 10" xfId="33543" xr:uid="{00000000-0005-0000-0000-0000CD510000}"/>
    <cellStyle name="Comma 2 5 2 3 2 3 2 2" xfId="10089" xr:uid="{00000000-0005-0000-0000-0000CE510000}"/>
    <cellStyle name="Comma 2 5 2 3 2 3 2 2 2" xfId="25889" xr:uid="{00000000-0005-0000-0000-0000CF510000}"/>
    <cellStyle name="Comma 2 5 2 3 2 3 2 2 2 2" xfId="45316" xr:uid="{00000000-0005-0000-0000-0000D0510000}"/>
    <cellStyle name="Comma 2 5 2 3 2 3 2 2 2 3" xfId="38893" xr:uid="{00000000-0005-0000-0000-0000D1510000}"/>
    <cellStyle name="Comma 2 5 2 3 2 3 2 2 3" xfId="28067" xr:uid="{00000000-0005-0000-0000-0000D2510000}"/>
    <cellStyle name="Comma 2 5 2 3 2 3 2 2 3 2" xfId="42109" xr:uid="{00000000-0005-0000-0000-0000D3510000}"/>
    <cellStyle name="Comma 2 5 2 3 2 3 2 2 4" xfId="31402" xr:uid="{00000000-0005-0000-0000-0000D4510000}"/>
    <cellStyle name="Comma 2 5 2 3 2 3 2 2 5" xfId="35685" xr:uid="{00000000-0005-0000-0000-0000D5510000}"/>
    <cellStyle name="Comma 2 5 2 3 2 3 2 3" xfId="15771" xr:uid="{00000000-0005-0000-0000-0000D6510000}"/>
    <cellStyle name="Comma 2 5 2 3 2 3 2 3 2" xfId="24786" xr:uid="{00000000-0005-0000-0000-0000D7510000}"/>
    <cellStyle name="Comma 2 5 2 3 2 3 2 3 2 2" xfId="44215" xr:uid="{00000000-0005-0000-0000-0000D8510000}"/>
    <cellStyle name="Comma 2 5 2 3 2 3 2 3 2 3" xfId="37792" xr:uid="{00000000-0005-0000-0000-0000D9510000}"/>
    <cellStyle name="Comma 2 5 2 3 2 3 2 3 3" xfId="29107" xr:uid="{00000000-0005-0000-0000-0000DA510000}"/>
    <cellStyle name="Comma 2 5 2 3 2 3 2 3 3 2" xfId="41008" xr:uid="{00000000-0005-0000-0000-0000DB510000}"/>
    <cellStyle name="Comma 2 5 2 3 2 3 2 3 4" xfId="32442" xr:uid="{00000000-0005-0000-0000-0000DC510000}"/>
    <cellStyle name="Comma 2 5 2 3 2 3 2 3 5" xfId="34584" xr:uid="{00000000-0005-0000-0000-0000DD510000}"/>
    <cellStyle name="Comma 2 5 2 3 2 3 2 4" xfId="8589" xr:uid="{00000000-0005-0000-0000-0000DE510000}"/>
    <cellStyle name="Comma 2 5 2 3 2 3 2 4 2" xfId="43174" xr:uid="{00000000-0005-0000-0000-0000DF510000}"/>
    <cellStyle name="Comma 2 5 2 3 2 3 2 4 3" xfId="36750" xr:uid="{00000000-0005-0000-0000-0000E0510000}"/>
    <cellStyle name="Comma 2 5 2 3 2 3 2 5" xfId="21578" xr:uid="{00000000-0005-0000-0000-0000E1510000}"/>
    <cellStyle name="Comma 2 5 2 3 2 3 2 5 2" xfId="39967" xr:uid="{00000000-0005-0000-0000-0000E2510000}"/>
    <cellStyle name="Comma 2 5 2 3 2 3 2 6" xfId="22651" xr:uid="{00000000-0005-0000-0000-0000E3510000}"/>
    <cellStyle name="Comma 2 5 2 3 2 3 2 7" xfId="23745" xr:uid="{00000000-0005-0000-0000-0000E4510000}"/>
    <cellStyle name="Comma 2 5 2 3 2 3 2 8" xfId="26973" xr:uid="{00000000-0005-0000-0000-0000E5510000}"/>
    <cellStyle name="Comma 2 5 2 3 2 3 2 9" xfId="30306" xr:uid="{00000000-0005-0000-0000-0000E6510000}"/>
    <cellStyle name="Comma 2 5 2 3 2 3 3" xfId="1320" xr:uid="{00000000-0005-0000-0000-0000E7510000}"/>
    <cellStyle name="Comma 2 5 2 3 2 3 3 10" xfId="33544" xr:uid="{00000000-0005-0000-0000-0000E8510000}"/>
    <cellStyle name="Comma 2 5 2 3 2 3 3 2" xfId="10090" xr:uid="{00000000-0005-0000-0000-0000E9510000}"/>
    <cellStyle name="Comma 2 5 2 3 2 3 3 2 2" xfId="25890" xr:uid="{00000000-0005-0000-0000-0000EA510000}"/>
    <cellStyle name="Comma 2 5 2 3 2 3 3 2 2 2" xfId="45317" xr:uid="{00000000-0005-0000-0000-0000EB510000}"/>
    <cellStyle name="Comma 2 5 2 3 2 3 3 2 2 3" xfId="38894" xr:uid="{00000000-0005-0000-0000-0000EC510000}"/>
    <cellStyle name="Comma 2 5 2 3 2 3 3 2 3" xfId="28068" xr:uid="{00000000-0005-0000-0000-0000ED510000}"/>
    <cellStyle name="Comma 2 5 2 3 2 3 3 2 3 2" xfId="42110" xr:uid="{00000000-0005-0000-0000-0000EE510000}"/>
    <cellStyle name="Comma 2 5 2 3 2 3 3 2 4" xfId="31403" xr:uid="{00000000-0005-0000-0000-0000EF510000}"/>
    <cellStyle name="Comma 2 5 2 3 2 3 3 2 5" xfId="35686" xr:uid="{00000000-0005-0000-0000-0000F0510000}"/>
    <cellStyle name="Comma 2 5 2 3 2 3 3 3" xfId="15772" xr:uid="{00000000-0005-0000-0000-0000F1510000}"/>
    <cellStyle name="Comma 2 5 2 3 2 3 3 3 2" xfId="24787" xr:uid="{00000000-0005-0000-0000-0000F2510000}"/>
    <cellStyle name="Comma 2 5 2 3 2 3 3 3 2 2" xfId="44216" xr:uid="{00000000-0005-0000-0000-0000F3510000}"/>
    <cellStyle name="Comma 2 5 2 3 2 3 3 3 2 3" xfId="37793" xr:uid="{00000000-0005-0000-0000-0000F4510000}"/>
    <cellStyle name="Comma 2 5 2 3 2 3 3 3 3" xfId="29108" xr:uid="{00000000-0005-0000-0000-0000F5510000}"/>
    <cellStyle name="Comma 2 5 2 3 2 3 3 3 3 2" xfId="41009" xr:uid="{00000000-0005-0000-0000-0000F6510000}"/>
    <cellStyle name="Comma 2 5 2 3 2 3 3 3 4" xfId="32443" xr:uid="{00000000-0005-0000-0000-0000F7510000}"/>
    <cellStyle name="Comma 2 5 2 3 2 3 3 3 5" xfId="34585" xr:uid="{00000000-0005-0000-0000-0000F8510000}"/>
    <cellStyle name="Comma 2 5 2 3 2 3 3 4" xfId="8590" xr:uid="{00000000-0005-0000-0000-0000F9510000}"/>
    <cellStyle name="Comma 2 5 2 3 2 3 3 4 2" xfId="43175" xr:uid="{00000000-0005-0000-0000-0000FA510000}"/>
    <cellStyle name="Comma 2 5 2 3 2 3 3 4 3" xfId="36751" xr:uid="{00000000-0005-0000-0000-0000FB510000}"/>
    <cellStyle name="Comma 2 5 2 3 2 3 3 5" xfId="21579" xr:uid="{00000000-0005-0000-0000-0000FC510000}"/>
    <cellStyle name="Comma 2 5 2 3 2 3 3 5 2" xfId="39968" xr:uid="{00000000-0005-0000-0000-0000FD510000}"/>
    <cellStyle name="Comma 2 5 2 3 2 3 3 6" xfId="22652" xr:uid="{00000000-0005-0000-0000-0000FE510000}"/>
    <cellStyle name="Comma 2 5 2 3 2 3 3 7" xfId="23746" xr:uid="{00000000-0005-0000-0000-0000FF510000}"/>
    <cellStyle name="Comma 2 5 2 3 2 3 3 8" xfId="26974" xr:uid="{00000000-0005-0000-0000-000000520000}"/>
    <cellStyle name="Comma 2 5 2 3 2 3 3 9" xfId="30307" xr:uid="{00000000-0005-0000-0000-000001520000}"/>
    <cellStyle name="Comma 2 5 2 3 2 3 4" xfId="1321" xr:uid="{00000000-0005-0000-0000-000002520000}"/>
    <cellStyle name="Comma 2 5 2 3 2 3 4 10" xfId="33545" xr:uid="{00000000-0005-0000-0000-000003520000}"/>
    <cellStyle name="Comma 2 5 2 3 2 3 4 2" xfId="10091" xr:uid="{00000000-0005-0000-0000-000004520000}"/>
    <cellStyle name="Comma 2 5 2 3 2 3 4 2 2" xfId="25891" xr:uid="{00000000-0005-0000-0000-000005520000}"/>
    <cellStyle name="Comma 2 5 2 3 2 3 4 2 2 2" xfId="45318" xr:uid="{00000000-0005-0000-0000-000006520000}"/>
    <cellStyle name="Comma 2 5 2 3 2 3 4 2 2 3" xfId="38895" xr:uid="{00000000-0005-0000-0000-000007520000}"/>
    <cellStyle name="Comma 2 5 2 3 2 3 4 2 3" xfId="28069" xr:uid="{00000000-0005-0000-0000-000008520000}"/>
    <cellStyle name="Comma 2 5 2 3 2 3 4 2 3 2" xfId="42111" xr:uid="{00000000-0005-0000-0000-000009520000}"/>
    <cellStyle name="Comma 2 5 2 3 2 3 4 2 4" xfId="31404" xr:uid="{00000000-0005-0000-0000-00000A520000}"/>
    <cellStyle name="Comma 2 5 2 3 2 3 4 2 5" xfId="35687" xr:uid="{00000000-0005-0000-0000-00000B520000}"/>
    <cellStyle name="Comma 2 5 2 3 2 3 4 3" xfId="15773" xr:uid="{00000000-0005-0000-0000-00000C520000}"/>
    <cellStyle name="Comma 2 5 2 3 2 3 4 3 2" xfId="24788" xr:uid="{00000000-0005-0000-0000-00000D520000}"/>
    <cellStyle name="Comma 2 5 2 3 2 3 4 3 2 2" xfId="44217" xr:uid="{00000000-0005-0000-0000-00000E520000}"/>
    <cellStyle name="Comma 2 5 2 3 2 3 4 3 2 3" xfId="37794" xr:uid="{00000000-0005-0000-0000-00000F520000}"/>
    <cellStyle name="Comma 2 5 2 3 2 3 4 3 3" xfId="29109" xr:uid="{00000000-0005-0000-0000-000010520000}"/>
    <cellStyle name="Comma 2 5 2 3 2 3 4 3 3 2" xfId="41010" xr:uid="{00000000-0005-0000-0000-000011520000}"/>
    <cellStyle name="Comma 2 5 2 3 2 3 4 3 4" xfId="32444" xr:uid="{00000000-0005-0000-0000-000012520000}"/>
    <cellStyle name="Comma 2 5 2 3 2 3 4 3 5" xfId="34586" xr:uid="{00000000-0005-0000-0000-000013520000}"/>
    <cellStyle name="Comma 2 5 2 3 2 3 4 4" xfId="8591" xr:uid="{00000000-0005-0000-0000-000014520000}"/>
    <cellStyle name="Comma 2 5 2 3 2 3 4 4 2" xfId="43176" xr:uid="{00000000-0005-0000-0000-000015520000}"/>
    <cellStyle name="Comma 2 5 2 3 2 3 4 4 3" xfId="36752" xr:uid="{00000000-0005-0000-0000-000016520000}"/>
    <cellStyle name="Comma 2 5 2 3 2 3 4 5" xfId="21580" xr:uid="{00000000-0005-0000-0000-000017520000}"/>
    <cellStyle name="Comma 2 5 2 3 2 3 4 5 2" xfId="39969" xr:uid="{00000000-0005-0000-0000-000018520000}"/>
    <cellStyle name="Comma 2 5 2 3 2 3 4 6" xfId="22653" xr:uid="{00000000-0005-0000-0000-000019520000}"/>
    <cellStyle name="Comma 2 5 2 3 2 3 4 7" xfId="23747" xr:uid="{00000000-0005-0000-0000-00001A520000}"/>
    <cellStyle name="Comma 2 5 2 3 2 3 4 8" xfId="26975" xr:uid="{00000000-0005-0000-0000-00001B520000}"/>
    <cellStyle name="Comma 2 5 2 3 2 3 4 9" xfId="30308" xr:uid="{00000000-0005-0000-0000-00001C520000}"/>
    <cellStyle name="Comma 2 5 2 3 2 3 5" xfId="1322" xr:uid="{00000000-0005-0000-0000-00001D520000}"/>
    <cellStyle name="Comma 2 5 2 3 2 3 5 10" xfId="33546" xr:uid="{00000000-0005-0000-0000-00001E520000}"/>
    <cellStyle name="Comma 2 5 2 3 2 3 5 2" xfId="10092" xr:uid="{00000000-0005-0000-0000-00001F520000}"/>
    <cellStyle name="Comma 2 5 2 3 2 3 5 2 2" xfId="25892" xr:uid="{00000000-0005-0000-0000-000020520000}"/>
    <cellStyle name="Comma 2 5 2 3 2 3 5 2 2 2" xfId="45319" xr:uid="{00000000-0005-0000-0000-000021520000}"/>
    <cellStyle name="Comma 2 5 2 3 2 3 5 2 2 3" xfId="38896" xr:uid="{00000000-0005-0000-0000-000022520000}"/>
    <cellStyle name="Comma 2 5 2 3 2 3 5 2 3" xfId="28070" xr:uid="{00000000-0005-0000-0000-000023520000}"/>
    <cellStyle name="Comma 2 5 2 3 2 3 5 2 3 2" xfId="42112" xr:uid="{00000000-0005-0000-0000-000024520000}"/>
    <cellStyle name="Comma 2 5 2 3 2 3 5 2 4" xfId="31405" xr:uid="{00000000-0005-0000-0000-000025520000}"/>
    <cellStyle name="Comma 2 5 2 3 2 3 5 2 5" xfId="35688" xr:uid="{00000000-0005-0000-0000-000026520000}"/>
    <cellStyle name="Comma 2 5 2 3 2 3 5 3" xfId="15774" xr:uid="{00000000-0005-0000-0000-000027520000}"/>
    <cellStyle name="Comma 2 5 2 3 2 3 5 3 2" xfId="24789" xr:uid="{00000000-0005-0000-0000-000028520000}"/>
    <cellStyle name="Comma 2 5 2 3 2 3 5 3 2 2" xfId="44218" xr:uid="{00000000-0005-0000-0000-000029520000}"/>
    <cellStyle name="Comma 2 5 2 3 2 3 5 3 2 3" xfId="37795" xr:uid="{00000000-0005-0000-0000-00002A520000}"/>
    <cellStyle name="Comma 2 5 2 3 2 3 5 3 3" xfId="29110" xr:uid="{00000000-0005-0000-0000-00002B520000}"/>
    <cellStyle name="Comma 2 5 2 3 2 3 5 3 3 2" xfId="41011" xr:uid="{00000000-0005-0000-0000-00002C520000}"/>
    <cellStyle name="Comma 2 5 2 3 2 3 5 3 4" xfId="32445" xr:uid="{00000000-0005-0000-0000-00002D520000}"/>
    <cellStyle name="Comma 2 5 2 3 2 3 5 3 5" xfId="34587" xr:uid="{00000000-0005-0000-0000-00002E520000}"/>
    <cellStyle name="Comma 2 5 2 3 2 3 5 4" xfId="8592" xr:uid="{00000000-0005-0000-0000-00002F520000}"/>
    <cellStyle name="Comma 2 5 2 3 2 3 5 4 2" xfId="43177" xr:uid="{00000000-0005-0000-0000-000030520000}"/>
    <cellStyle name="Comma 2 5 2 3 2 3 5 4 3" xfId="36753" xr:uid="{00000000-0005-0000-0000-000031520000}"/>
    <cellStyle name="Comma 2 5 2 3 2 3 5 5" xfId="21581" xr:uid="{00000000-0005-0000-0000-000032520000}"/>
    <cellStyle name="Comma 2 5 2 3 2 3 5 5 2" xfId="39970" xr:uid="{00000000-0005-0000-0000-000033520000}"/>
    <cellStyle name="Comma 2 5 2 3 2 3 5 6" xfId="22654" xr:uid="{00000000-0005-0000-0000-000034520000}"/>
    <cellStyle name="Comma 2 5 2 3 2 3 5 7" xfId="23748" xr:uid="{00000000-0005-0000-0000-000035520000}"/>
    <cellStyle name="Comma 2 5 2 3 2 3 5 8" xfId="26976" xr:uid="{00000000-0005-0000-0000-000036520000}"/>
    <cellStyle name="Comma 2 5 2 3 2 3 5 9" xfId="30309" xr:uid="{00000000-0005-0000-0000-000037520000}"/>
    <cellStyle name="Comma 2 5 2 3 2 3 6" xfId="10088" xr:uid="{00000000-0005-0000-0000-000038520000}"/>
    <cellStyle name="Comma 2 5 2 3 2 3 6 2" xfId="25888" xr:uid="{00000000-0005-0000-0000-000039520000}"/>
    <cellStyle name="Comma 2 5 2 3 2 3 6 2 2" xfId="45315" xr:uid="{00000000-0005-0000-0000-00003A520000}"/>
    <cellStyle name="Comma 2 5 2 3 2 3 6 2 3" xfId="38892" xr:uid="{00000000-0005-0000-0000-00003B520000}"/>
    <cellStyle name="Comma 2 5 2 3 2 3 6 3" xfId="28066" xr:uid="{00000000-0005-0000-0000-00003C520000}"/>
    <cellStyle name="Comma 2 5 2 3 2 3 6 3 2" xfId="42108" xr:uid="{00000000-0005-0000-0000-00003D520000}"/>
    <cellStyle name="Comma 2 5 2 3 2 3 6 4" xfId="31401" xr:uid="{00000000-0005-0000-0000-00003E520000}"/>
    <cellStyle name="Comma 2 5 2 3 2 3 6 5" xfId="35684" xr:uid="{00000000-0005-0000-0000-00003F520000}"/>
    <cellStyle name="Comma 2 5 2 3 2 3 7" xfId="15770" xr:uid="{00000000-0005-0000-0000-000040520000}"/>
    <cellStyle name="Comma 2 5 2 3 2 3 7 2" xfId="24785" xr:uid="{00000000-0005-0000-0000-000041520000}"/>
    <cellStyle name="Comma 2 5 2 3 2 3 7 2 2" xfId="44214" xr:uid="{00000000-0005-0000-0000-000042520000}"/>
    <cellStyle name="Comma 2 5 2 3 2 3 7 2 3" xfId="37791" xr:uid="{00000000-0005-0000-0000-000043520000}"/>
    <cellStyle name="Comma 2 5 2 3 2 3 7 3" xfId="29106" xr:uid="{00000000-0005-0000-0000-000044520000}"/>
    <cellStyle name="Comma 2 5 2 3 2 3 7 3 2" xfId="41007" xr:uid="{00000000-0005-0000-0000-000045520000}"/>
    <cellStyle name="Comma 2 5 2 3 2 3 7 4" xfId="32441" xr:uid="{00000000-0005-0000-0000-000046520000}"/>
    <cellStyle name="Comma 2 5 2 3 2 3 7 5" xfId="34583" xr:uid="{00000000-0005-0000-0000-000047520000}"/>
    <cellStyle name="Comma 2 5 2 3 2 3 8" xfId="8588" xr:uid="{00000000-0005-0000-0000-000048520000}"/>
    <cellStyle name="Comma 2 5 2 3 2 3 8 2" xfId="43173" xr:uid="{00000000-0005-0000-0000-000049520000}"/>
    <cellStyle name="Comma 2 5 2 3 2 3 8 3" xfId="36749" xr:uid="{00000000-0005-0000-0000-00004A520000}"/>
    <cellStyle name="Comma 2 5 2 3 2 3 9" xfId="21577" xr:uid="{00000000-0005-0000-0000-00004B520000}"/>
    <cellStyle name="Comma 2 5 2 3 2 3 9 2" xfId="39966" xr:uid="{00000000-0005-0000-0000-00004C520000}"/>
    <cellStyle name="Comma 2 5 2 3 2 4" xfId="1323" xr:uid="{00000000-0005-0000-0000-00004D520000}"/>
    <cellStyle name="Comma 2 5 2 3 2 4 10" xfId="33547" xr:uid="{00000000-0005-0000-0000-00004E520000}"/>
    <cellStyle name="Comma 2 5 2 3 2 4 2" xfId="10093" xr:uid="{00000000-0005-0000-0000-00004F520000}"/>
    <cellStyle name="Comma 2 5 2 3 2 4 2 2" xfId="25893" xr:uid="{00000000-0005-0000-0000-000050520000}"/>
    <cellStyle name="Comma 2 5 2 3 2 4 2 2 2" xfId="45320" xr:uid="{00000000-0005-0000-0000-000051520000}"/>
    <cellStyle name="Comma 2 5 2 3 2 4 2 2 3" xfId="38897" xr:uid="{00000000-0005-0000-0000-000052520000}"/>
    <cellStyle name="Comma 2 5 2 3 2 4 2 3" xfId="28071" xr:uid="{00000000-0005-0000-0000-000053520000}"/>
    <cellStyle name="Comma 2 5 2 3 2 4 2 3 2" xfId="42113" xr:uid="{00000000-0005-0000-0000-000054520000}"/>
    <cellStyle name="Comma 2 5 2 3 2 4 2 4" xfId="31406" xr:uid="{00000000-0005-0000-0000-000055520000}"/>
    <cellStyle name="Comma 2 5 2 3 2 4 2 5" xfId="35689" xr:uid="{00000000-0005-0000-0000-000056520000}"/>
    <cellStyle name="Comma 2 5 2 3 2 4 3" xfId="15775" xr:uid="{00000000-0005-0000-0000-000057520000}"/>
    <cellStyle name="Comma 2 5 2 3 2 4 3 2" xfId="24790" xr:uid="{00000000-0005-0000-0000-000058520000}"/>
    <cellStyle name="Comma 2 5 2 3 2 4 3 2 2" xfId="44219" xr:uid="{00000000-0005-0000-0000-000059520000}"/>
    <cellStyle name="Comma 2 5 2 3 2 4 3 2 3" xfId="37796" xr:uid="{00000000-0005-0000-0000-00005A520000}"/>
    <cellStyle name="Comma 2 5 2 3 2 4 3 3" xfId="29111" xr:uid="{00000000-0005-0000-0000-00005B520000}"/>
    <cellStyle name="Comma 2 5 2 3 2 4 3 3 2" xfId="41012" xr:uid="{00000000-0005-0000-0000-00005C520000}"/>
    <cellStyle name="Comma 2 5 2 3 2 4 3 4" xfId="32446" xr:uid="{00000000-0005-0000-0000-00005D520000}"/>
    <cellStyle name="Comma 2 5 2 3 2 4 3 5" xfId="34588" xr:uid="{00000000-0005-0000-0000-00005E520000}"/>
    <cellStyle name="Comma 2 5 2 3 2 4 4" xfId="8593" xr:uid="{00000000-0005-0000-0000-00005F520000}"/>
    <cellStyle name="Comma 2 5 2 3 2 4 4 2" xfId="43178" xr:uid="{00000000-0005-0000-0000-000060520000}"/>
    <cellStyle name="Comma 2 5 2 3 2 4 4 3" xfId="36754" xr:uid="{00000000-0005-0000-0000-000061520000}"/>
    <cellStyle name="Comma 2 5 2 3 2 4 5" xfId="21582" xr:uid="{00000000-0005-0000-0000-000062520000}"/>
    <cellStyle name="Comma 2 5 2 3 2 4 5 2" xfId="39971" xr:uid="{00000000-0005-0000-0000-000063520000}"/>
    <cellStyle name="Comma 2 5 2 3 2 4 6" xfId="22655" xr:uid="{00000000-0005-0000-0000-000064520000}"/>
    <cellStyle name="Comma 2 5 2 3 2 4 7" xfId="23749" xr:uid="{00000000-0005-0000-0000-000065520000}"/>
    <cellStyle name="Comma 2 5 2 3 2 4 8" xfId="26977" xr:uid="{00000000-0005-0000-0000-000066520000}"/>
    <cellStyle name="Comma 2 5 2 3 2 4 9" xfId="30310" xr:uid="{00000000-0005-0000-0000-000067520000}"/>
    <cellStyle name="Comma 2 5 2 3 2 5" xfId="1324" xr:uid="{00000000-0005-0000-0000-000068520000}"/>
    <cellStyle name="Comma 2 5 2 3 2 5 10" xfId="33548" xr:uid="{00000000-0005-0000-0000-000069520000}"/>
    <cellStyle name="Comma 2 5 2 3 2 5 2" xfId="10094" xr:uid="{00000000-0005-0000-0000-00006A520000}"/>
    <cellStyle name="Comma 2 5 2 3 2 5 2 2" xfId="25894" xr:uid="{00000000-0005-0000-0000-00006B520000}"/>
    <cellStyle name="Comma 2 5 2 3 2 5 2 2 2" xfId="45321" xr:uid="{00000000-0005-0000-0000-00006C520000}"/>
    <cellStyle name="Comma 2 5 2 3 2 5 2 2 3" xfId="38898" xr:uid="{00000000-0005-0000-0000-00006D520000}"/>
    <cellStyle name="Comma 2 5 2 3 2 5 2 3" xfId="28072" xr:uid="{00000000-0005-0000-0000-00006E520000}"/>
    <cellStyle name="Comma 2 5 2 3 2 5 2 3 2" xfId="42114" xr:uid="{00000000-0005-0000-0000-00006F520000}"/>
    <cellStyle name="Comma 2 5 2 3 2 5 2 4" xfId="31407" xr:uid="{00000000-0005-0000-0000-000070520000}"/>
    <cellStyle name="Comma 2 5 2 3 2 5 2 5" xfId="35690" xr:uid="{00000000-0005-0000-0000-000071520000}"/>
    <cellStyle name="Comma 2 5 2 3 2 5 3" xfId="15776" xr:uid="{00000000-0005-0000-0000-000072520000}"/>
    <cellStyle name="Comma 2 5 2 3 2 5 3 2" xfId="24791" xr:uid="{00000000-0005-0000-0000-000073520000}"/>
    <cellStyle name="Comma 2 5 2 3 2 5 3 2 2" xfId="44220" xr:uid="{00000000-0005-0000-0000-000074520000}"/>
    <cellStyle name="Comma 2 5 2 3 2 5 3 2 3" xfId="37797" xr:uid="{00000000-0005-0000-0000-000075520000}"/>
    <cellStyle name="Comma 2 5 2 3 2 5 3 3" xfId="29112" xr:uid="{00000000-0005-0000-0000-000076520000}"/>
    <cellStyle name="Comma 2 5 2 3 2 5 3 3 2" xfId="41013" xr:uid="{00000000-0005-0000-0000-000077520000}"/>
    <cellStyle name="Comma 2 5 2 3 2 5 3 4" xfId="32447" xr:uid="{00000000-0005-0000-0000-000078520000}"/>
    <cellStyle name="Comma 2 5 2 3 2 5 3 5" xfId="34589" xr:uid="{00000000-0005-0000-0000-000079520000}"/>
    <cellStyle name="Comma 2 5 2 3 2 5 4" xfId="8594" xr:uid="{00000000-0005-0000-0000-00007A520000}"/>
    <cellStyle name="Comma 2 5 2 3 2 5 4 2" xfId="43179" xr:uid="{00000000-0005-0000-0000-00007B520000}"/>
    <cellStyle name="Comma 2 5 2 3 2 5 4 3" xfId="36755" xr:uid="{00000000-0005-0000-0000-00007C520000}"/>
    <cellStyle name="Comma 2 5 2 3 2 5 5" xfId="21583" xr:uid="{00000000-0005-0000-0000-00007D520000}"/>
    <cellStyle name="Comma 2 5 2 3 2 5 5 2" xfId="39972" xr:uid="{00000000-0005-0000-0000-00007E520000}"/>
    <cellStyle name="Comma 2 5 2 3 2 5 6" xfId="22656" xr:uid="{00000000-0005-0000-0000-00007F520000}"/>
    <cellStyle name="Comma 2 5 2 3 2 5 7" xfId="23750" xr:uid="{00000000-0005-0000-0000-000080520000}"/>
    <cellStyle name="Comma 2 5 2 3 2 5 8" xfId="26978" xr:uid="{00000000-0005-0000-0000-000081520000}"/>
    <cellStyle name="Comma 2 5 2 3 2 5 9" xfId="30311" xr:uid="{00000000-0005-0000-0000-000082520000}"/>
    <cellStyle name="Comma 2 5 2 3 2 6" xfId="1325" xr:uid="{00000000-0005-0000-0000-000083520000}"/>
    <cellStyle name="Comma 2 5 2 3 2 6 10" xfId="33549" xr:uid="{00000000-0005-0000-0000-000084520000}"/>
    <cellStyle name="Comma 2 5 2 3 2 6 2" xfId="10095" xr:uid="{00000000-0005-0000-0000-000085520000}"/>
    <cellStyle name="Comma 2 5 2 3 2 6 2 2" xfId="25895" xr:uid="{00000000-0005-0000-0000-000086520000}"/>
    <cellStyle name="Comma 2 5 2 3 2 6 2 2 2" xfId="45322" xr:uid="{00000000-0005-0000-0000-000087520000}"/>
    <cellStyle name="Comma 2 5 2 3 2 6 2 2 3" xfId="38899" xr:uid="{00000000-0005-0000-0000-000088520000}"/>
    <cellStyle name="Comma 2 5 2 3 2 6 2 3" xfId="28073" xr:uid="{00000000-0005-0000-0000-000089520000}"/>
    <cellStyle name="Comma 2 5 2 3 2 6 2 3 2" xfId="42115" xr:uid="{00000000-0005-0000-0000-00008A520000}"/>
    <cellStyle name="Comma 2 5 2 3 2 6 2 4" xfId="31408" xr:uid="{00000000-0005-0000-0000-00008B520000}"/>
    <cellStyle name="Comma 2 5 2 3 2 6 2 5" xfId="35691" xr:uid="{00000000-0005-0000-0000-00008C520000}"/>
    <cellStyle name="Comma 2 5 2 3 2 6 3" xfId="15777" xr:uid="{00000000-0005-0000-0000-00008D520000}"/>
    <cellStyle name="Comma 2 5 2 3 2 6 3 2" xfId="24792" xr:uid="{00000000-0005-0000-0000-00008E520000}"/>
    <cellStyle name="Comma 2 5 2 3 2 6 3 2 2" xfId="44221" xr:uid="{00000000-0005-0000-0000-00008F520000}"/>
    <cellStyle name="Comma 2 5 2 3 2 6 3 2 3" xfId="37798" xr:uid="{00000000-0005-0000-0000-000090520000}"/>
    <cellStyle name="Comma 2 5 2 3 2 6 3 3" xfId="29113" xr:uid="{00000000-0005-0000-0000-000091520000}"/>
    <cellStyle name="Comma 2 5 2 3 2 6 3 3 2" xfId="41014" xr:uid="{00000000-0005-0000-0000-000092520000}"/>
    <cellStyle name="Comma 2 5 2 3 2 6 3 4" xfId="32448" xr:uid="{00000000-0005-0000-0000-000093520000}"/>
    <cellStyle name="Comma 2 5 2 3 2 6 3 5" xfId="34590" xr:uid="{00000000-0005-0000-0000-000094520000}"/>
    <cellStyle name="Comma 2 5 2 3 2 6 4" xfId="8595" xr:uid="{00000000-0005-0000-0000-000095520000}"/>
    <cellStyle name="Comma 2 5 2 3 2 6 4 2" xfId="43180" xr:uid="{00000000-0005-0000-0000-000096520000}"/>
    <cellStyle name="Comma 2 5 2 3 2 6 4 3" xfId="36756" xr:uid="{00000000-0005-0000-0000-000097520000}"/>
    <cellStyle name="Comma 2 5 2 3 2 6 5" xfId="21584" xr:uid="{00000000-0005-0000-0000-000098520000}"/>
    <cellStyle name="Comma 2 5 2 3 2 6 5 2" xfId="39973" xr:uid="{00000000-0005-0000-0000-000099520000}"/>
    <cellStyle name="Comma 2 5 2 3 2 6 6" xfId="22657" xr:uid="{00000000-0005-0000-0000-00009A520000}"/>
    <cellStyle name="Comma 2 5 2 3 2 6 7" xfId="23751" xr:uid="{00000000-0005-0000-0000-00009B520000}"/>
    <cellStyle name="Comma 2 5 2 3 2 6 8" xfId="26979" xr:uid="{00000000-0005-0000-0000-00009C520000}"/>
    <cellStyle name="Comma 2 5 2 3 2 6 9" xfId="30312" xr:uid="{00000000-0005-0000-0000-00009D520000}"/>
    <cellStyle name="Comma 2 5 2 3 2 7" xfId="1326" xr:uid="{00000000-0005-0000-0000-00009E520000}"/>
    <cellStyle name="Comma 2 5 2 3 2 7 10" xfId="33550" xr:uid="{00000000-0005-0000-0000-00009F520000}"/>
    <cellStyle name="Comma 2 5 2 3 2 7 2" xfId="10096" xr:uid="{00000000-0005-0000-0000-0000A0520000}"/>
    <cellStyle name="Comma 2 5 2 3 2 7 2 2" xfId="25896" xr:uid="{00000000-0005-0000-0000-0000A1520000}"/>
    <cellStyle name="Comma 2 5 2 3 2 7 2 2 2" xfId="45323" xr:uid="{00000000-0005-0000-0000-0000A2520000}"/>
    <cellStyle name="Comma 2 5 2 3 2 7 2 2 3" xfId="38900" xr:uid="{00000000-0005-0000-0000-0000A3520000}"/>
    <cellStyle name="Comma 2 5 2 3 2 7 2 3" xfId="28074" xr:uid="{00000000-0005-0000-0000-0000A4520000}"/>
    <cellStyle name="Comma 2 5 2 3 2 7 2 3 2" xfId="42116" xr:uid="{00000000-0005-0000-0000-0000A5520000}"/>
    <cellStyle name="Comma 2 5 2 3 2 7 2 4" xfId="31409" xr:uid="{00000000-0005-0000-0000-0000A6520000}"/>
    <cellStyle name="Comma 2 5 2 3 2 7 2 5" xfId="35692" xr:uid="{00000000-0005-0000-0000-0000A7520000}"/>
    <cellStyle name="Comma 2 5 2 3 2 7 3" xfId="15778" xr:uid="{00000000-0005-0000-0000-0000A8520000}"/>
    <cellStyle name="Comma 2 5 2 3 2 7 3 2" xfId="24793" xr:uid="{00000000-0005-0000-0000-0000A9520000}"/>
    <cellStyle name="Comma 2 5 2 3 2 7 3 2 2" xfId="44222" xr:uid="{00000000-0005-0000-0000-0000AA520000}"/>
    <cellStyle name="Comma 2 5 2 3 2 7 3 2 3" xfId="37799" xr:uid="{00000000-0005-0000-0000-0000AB520000}"/>
    <cellStyle name="Comma 2 5 2 3 2 7 3 3" xfId="29114" xr:uid="{00000000-0005-0000-0000-0000AC520000}"/>
    <cellStyle name="Comma 2 5 2 3 2 7 3 3 2" xfId="41015" xr:uid="{00000000-0005-0000-0000-0000AD520000}"/>
    <cellStyle name="Comma 2 5 2 3 2 7 3 4" xfId="32449" xr:uid="{00000000-0005-0000-0000-0000AE520000}"/>
    <cellStyle name="Comma 2 5 2 3 2 7 3 5" xfId="34591" xr:uid="{00000000-0005-0000-0000-0000AF520000}"/>
    <cellStyle name="Comma 2 5 2 3 2 7 4" xfId="8596" xr:uid="{00000000-0005-0000-0000-0000B0520000}"/>
    <cellStyle name="Comma 2 5 2 3 2 7 4 2" xfId="43181" xr:uid="{00000000-0005-0000-0000-0000B1520000}"/>
    <cellStyle name="Comma 2 5 2 3 2 7 4 3" xfId="36757" xr:uid="{00000000-0005-0000-0000-0000B2520000}"/>
    <cellStyle name="Comma 2 5 2 3 2 7 5" xfId="21585" xr:uid="{00000000-0005-0000-0000-0000B3520000}"/>
    <cellStyle name="Comma 2 5 2 3 2 7 5 2" xfId="39974" xr:uid="{00000000-0005-0000-0000-0000B4520000}"/>
    <cellStyle name="Comma 2 5 2 3 2 7 6" xfId="22658" xr:uid="{00000000-0005-0000-0000-0000B5520000}"/>
    <cellStyle name="Comma 2 5 2 3 2 7 7" xfId="23752" xr:uid="{00000000-0005-0000-0000-0000B6520000}"/>
    <cellStyle name="Comma 2 5 2 3 2 7 8" xfId="26980" xr:uid="{00000000-0005-0000-0000-0000B7520000}"/>
    <cellStyle name="Comma 2 5 2 3 2 7 9" xfId="30313" xr:uid="{00000000-0005-0000-0000-0000B8520000}"/>
    <cellStyle name="Comma 2 5 2 3 2 8" xfId="1327" xr:uid="{00000000-0005-0000-0000-0000B9520000}"/>
    <cellStyle name="Comma 2 5 2 3 2 8 10" xfId="33551" xr:uid="{00000000-0005-0000-0000-0000BA520000}"/>
    <cellStyle name="Comma 2 5 2 3 2 8 2" xfId="10097" xr:uid="{00000000-0005-0000-0000-0000BB520000}"/>
    <cellStyle name="Comma 2 5 2 3 2 8 2 2" xfId="25897" xr:uid="{00000000-0005-0000-0000-0000BC520000}"/>
    <cellStyle name="Comma 2 5 2 3 2 8 2 2 2" xfId="45324" xr:uid="{00000000-0005-0000-0000-0000BD520000}"/>
    <cellStyle name="Comma 2 5 2 3 2 8 2 2 3" xfId="38901" xr:uid="{00000000-0005-0000-0000-0000BE520000}"/>
    <cellStyle name="Comma 2 5 2 3 2 8 2 3" xfId="28075" xr:uid="{00000000-0005-0000-0000-0000BF520000}"/>
    <cellStyle name="Comma 2 5 2 3 2 8 2 3 2" xfId="42117" xr:uid="{00000000-0005-0000-0000-0000C0520000}"/>
    <cellStyle name="Comma 2 5 2 3 2 8 2 4" xfId="31410" xr:uid="{00000000-0005-0000-0000-0000C1520000}"/>
    <cellStyle name="Comma 2 5 2 3 2 8 2 5" xfId="35693" xr:uid="{00000000-0005-0000-0000-0000C2520000}"/>
    <cellStyle name="Comma 2 5 2 3 2 8 3" xfId="15779" xr:uid="{00000000-0005-0000-0000-0000C3520000}"/>
    <cellStyle name="Comma 2 5 2 3 2 8 3 2" xfId="24794" xr:uid="{00000000-0005-0000-0000-0000C4520000}"/>
    <cellStyle name="Comma 2 5 2 3 2 8 3 2 2" xfId="44223" xr:uid="{00000000-0005-0000-0000-0000C5520000}"/>
    <cellStyle name="Comma 2 5 2 3 2 8 3 2 3" xfId="37800" xr:uid="{00000000-0005-0000-0000-0000C6520000}"/>
    <cellStyle name="Comma 2 5 2 3 2 8 3 3" xfId="29115" xr:uid="{00000000-0005-0000-0000-0000C7520000}"/>
    <cellStyle name="Comma 2 5 2 3 2 8 3 3 2" xfId="41016" xr:uid="{00000000-0005-0000-0000-0000C8520000}"/>
    <cellStyle name="Comma 2 5 2 3 2 8 3 4" xfId="32450" xr:uid="{00000000-0005-0000-0000-0000C9520000}"/>
    <cellStyle name="Comma 2 5 2 3 2 8 3 5" xfId="34592" xr:uid="{00000000-0005-0000-0000-0000CA520000}"/>
    <cellStyle name="Comma 2 5 2 3 2 8 4" xfId="8597" xr:uid="{00000000-0005-0000-0000-0000CB520000}"/>
    <cellStyle name="Comma 2 5 2 3 2 8 4 2" xfId="43182" xr:uid="{00000000-0005-0000-0000-0000CC520000}"/>
    <cellStyle name="Comma 2 5 2 3 2 8 4 3" xfId="36758" xr:uid="{00000000-0005-0000-0000-0000CD520000}"/>
    <cellStyle name="Comma 2 5 2 3 2 8 5" xfId="21586" xr:uid="{00000000-0005-0000-0000-0000CE520000}"/>
    <cellStyle name="Comma 2 5 2 3 2 8 5 2" xfId="39975" xr:uid="{00000000-0005-0000-0000-0000CF520000}"/>
    <cellStyle name="Comma 2 5 2 3 2 8 6" xfId="22659" xr:uid="{00000000-0005-0000-0000-0000D0520000}"/>
    <cellStyle name="Comma 2 5 2 3 2 8 7" xfId="23753" xr:uid="{00000000-0005-0000-0000-0000D1520000}"/>
    <cellStyle name="Comma 2 5 2 3 2 8 8" xfId="26981" xr:uid="{00000000-0005-0000-0000-0000D2520000}"/>
    <cellStyle name="Comma 2 5 2 3 2 8 9" xfId="30314" xr:uid="{00000000-0005-0000-0000-0000D3520000}"/>
    <cellStyle name="Comma 2 5 2 3 2 9" xfId="9135" xr:uid="{00000000-0005-0000-0000-0000D4520000}"/>
    <cellStyle name="Comma 2 5 2 3 2 9 2" xfId="25189" xr:uid="{00000000-0005-0000-0000-0000D5520000}"/>
    <cellStyle name="Comma 2 5 2 3 2 9 2 2" xfId="44616" xr:uid="{00000000-0005-0000-0000-0000D6520000}"/>
    <cellStyle name="Comma 2 5 2 3 2 9 2 3" xfId="38193" xr:uid="{00000000-0005-0000-0000-0000D7520000}"/>
    <cellStyle name="Comma 2 5 2 3 2 9 3" xfId="27368" xr:uid="{00000000-0005-0000-0000-0000D8520000}"/>
    <cellStyle name="Comma 2 5 2 3 2 9 3 2" xfId="41409" xr:uid="{00000000-0005-0000-0000-0000D9520000}"/>
    <cellStyle name="Comma 2 5 2 3 2 9 4" xfId="30703" xr:uid="{00000000-0005-0000-0000-0000DA520000}"/>
    <cellStyle name="Comma 2 5 2 3 2 9 5" xfId="34985" xr:uid="{00000000-0005-0000-0000-0000DB520000}"/>
    <cellStyle name="Comma 2 5 2 3 3" xfId="281" xr:uid="{00000000-0005-0000-0000-0000DC520000}"/>
    <cellStyle name="Comma 2 5 2 3 3 10" xfId="21587" xr:uid="{00000000-0005-0000-0000-0000DD520000}"/>
    <cellStyle name="Comma 2 5 2 3 3 10 2" xfId="39274" xr:uid="{00000000-0005-0000-0000-0000DE520000}"/>
    <cellStyle name="Comma 2 5 2 3 3 11" xfId="22660" xr:uid="{00000000-0005-0000-0000-0000DF520000}"/>
    <cellStyle name="Comma 2 5 2 3 3 12" xfId="23052" xr:uid="{00000000-0005-0000-0000-0000E0520000}"/>
    <cellStyle name="Comma 2 5 2 3 3 13" xfId="26982" xr:uid="{00000000-0005-0000-0000-0000E1520000}"/>
    <cellStyle name="Comma 2 5 2 3 3 14" xfId="30315" xr:uid="{00000000-0005-0000-0000-0000E2520000}"/>
    <cellStyle name="Comma 2 5 2 3 3 15" xfId="32850" xr:uid="{00000000-0005-0000-0000-0000E3520000}"/>
    <cellStyle name="Comma 2 5 2 3 3 2" xfId="1328" xr:uid="{00000000-0005-0000-0000-0000E4520000}"/>
    <cellStyle name="Comma 2 5 2 3 3 2 10" xfId="33552" xr:uid="{00000000-0005-0000-0000-0000E5520000}"/>
    <cellStyle name="Comma 2 5 2 3 3 2 2" xfId="10098" xr:uid="{00000000-0005-0000-0000-0000E6520000}"/>
    <cellStyle name="Comma 2 5 2 3 3 2 2 2" xfId="25898" xr:uid="{00000000-0005-0000-0000-0000E7520000}"/>
    <cellStyle name="Comma 2 5 2 3 3 2 2 2 2" xfId="45325" xr:uid="{00000000-0005-0000-0000-0000E8520000}"/>
    <cellStyle name="Comma 2 5 2 3 3 2 2 2 3" xfId="38902" xr:uid="{00000000-0005-0000-0000-0000E9520000}"/>
    <cellStyle name="Comma 2 5 2 3 3 2 2 3" xfId="28076" xr:uid="{00000000-0005-0000-0000-0000EA520000}"/>
    <cellStyle name="Comma 2 5 2 3 3 2 2 3 2" xfId="42118" xr:uid="{00000000-0005-0000-0000-0000EB520000}"/>
    <cellStyle name="Comma 2 5 2 3 3 2 2 4" xfId="31411" xr:uid="{00000000-0005-0000-0000-0000EC520000}"/>
    <cellStyle name="Comma 2 5 2 3 3 2 2 5" xfId="35694" xr:uid="{00000000-0005-0000-0000-0000ED520000}"/>
    <cellStyle name="Comma 2 5 2 3 3 2 3" xfId="15781" xr:uid="{00000000-0005-0000-0000-0000EE520000}"/>
    <cellStyle name="Comma 2 5 2 3 3 2 3 2" xfId="24796" xr:uid="{00000000-0005-0000-0000-0000EF520000}"/>
    <cellStyle name="Comma 2 5 2 3 3 2 3 2 2" xfId="44225" xr:uid="{00000000-0005-0000-0000-0000F0520000}"/>
    <cellStyle name="Comma 2 5 2 3 3 2 3 2 3" xfId="37802" xr:uid="{00000000-0005-0000-0000-0000F1520000}"/>
    <cellStyle name="Comma 2 5 2 3 3 2 3 3" xfId="29117" xr:uid="{00000000-0005-0000-0000-0000F2520000}"/>
    <cellStyle name="Comma 2 5 2 3 3 2 3 3 2" xfId="41018" xr:uid="{00000000-0005-0000-0000-0000F3520000}"/>
    <cellStyle name="Comma 2 5 2 3 3 2 3 4" xfId="32452" xr:uid="{00000000-0005-0000-0000-0000F4520000}"/>
    <cellStyle name="Comma 2 5 2 3 3 2 3 5" xfId="34594" xr:uid="{00000000-0005-0000-0000-0000F5520000}"/>
    <cellStyle name="Comma 2 5 2 3 3 2 4" xfId="8599" xr:uid="{00000000-0005-0000-0000-0000F6520000}"/>
    <cellStyle name="Comma 2 5 2 3 3 2 4 2" xfId="43183" xr:uid="{00000000-0005-0000-0000-0000F7520000}"/>
    <cellStyle name="Comma 2 5 2 3 3 2 4 3" xfId="36759" xr:uid="{00000000-0005-0000-0000-0000F8520000}"/>
    <cellStyle name="Comma 2 5 2 3 3 2 5" xfId="21588" xr:uid="{00000000-0005-0000-0000-0000F9520000}"/>
    <cellStyle name="Comma 2 5 2 3 3 2 5 2" xfId="39976" xr:uid="{00000000-0005-0000-0000-0000FA520000}"/>
    <cellStyle name="Comma 2 5 2 3 3 2 6" xfId="22661" xr:uid="{00000000-0005-0000-0000-0000FB520000}"/>
    <cellStyle name="Comma 2 5 2 3 3 2 7" xfId="23754" xr:uid="{00000000-0005-0000-0000-0000FC520000}"/>
    <cellStyle name="Comma 2 5 2 3 3 2 8" xfId="26983" xr:uid="{00000000-0005-0000-0000-0000FD520000}"/>
    <cellStyle name="Comma 2 5 2 3 3 2 9" xfId="30316" xr:uid="{00000000-0005-0000-0000-0000FE520000}"/>
    <cellStyle name="Comma 2 5 2 3 3 3" xfId="1329" xr:uid="{00000000-0005-0000-0000-0000FF520000}"/>
    <cellStyle name="Comma 2 5 2 3 3 3 10" xfId="33553" xr:uid="{00000000-0005-0000-0000-000000530000}"/>
    <cellStyle name="Comma 2 5 2 3 3 3 2" xfId="10099" xr:uid="{00000000-0005-0000-0000-000001530000}"/>
    <cellStyle name="Comma 2 5 2 3 3 3 2 2" xfId="25899" xr:uid="{00000000-0005-0000-0000-000002530000}"/>
    <cellStyle name="Comma 2 5 2 3 3 3 2 2 2" xfId="45326" xr:uid="{00000000-0005-0000-0000-000003530000}"/>
    <cellStyle name="Comma 2 5 2 3 3 3 2 2 3" xfId="38903" xr:uid="{00000000-0005-0000-0000-000004530000}"/>
    <cellStyle name="Comma 2 5 2 3 3 3 2 3" xfId="28077" xr:uid="{00000000-0005-0000-0000-000005530000}"/>
    <cellStyle name="Comma 2 5 2 3 3 3 2 3 2" xfId="42119" xr:uid="{00000000-0005-0000-0000-000006530000}"/>
    <cellStyle name="Comma 2 5 2 3 3 3 2 4" xfId="31412" xr:uid="{00000000-0005-0000-0000-000007530000}"/>
    <cellStyle name="Comma 2 5 2 3 3 3 2 5" xfId="35695" xr:uid="{00000000-0005-0000-0000-000008530000}"/>
    <cellStyle name="Comma 2 5 2 3 3 3 3" xfId="15782" xr:uid="{00000000-0005-0000-0000-000009530000}"/>
    <cellStyle name="Comma 2 5 2 3 3 3 3 2" xfId="24797" xr:uid="{00000000-0005-0000-0000-00000A530000}"/>
    <cellStyle name="Comma 2 5 2 3 3 3 3 2 2" xfId="44226" xr:uid="{00000000-0005-0000-0000-00000B530000}"/>
    <cellStyle name="Comma 2 5 2 3 3 3 3 2 3" xfId="37803" xr:uid="{00000000-0005-0000-0000-00000C530000}"/>
    <cellStyle name="Comma 2 5 2 3 3 3 3 3" xfId="29118" xr:uid="{00000000-0005-0000-0000-00000D530000}"/>
    <cellStyle name="Comma 2 5 2 3 3 3 3 3 2" xfId="41019" xr:uid="{00000000-0005-0000-0000-00000E530000}"/>
    <cellStyle name="Comma 2 5 2 3 3 3 3 4" xfId="32453" xr:uid="{00000000-0005-0000-0000-00000F530000}"/>
    <cellStyle name="Comma 2 5 2 3 3 3 3 5" xfId="34595" xr:uid="{00000000-0005-0000-0000-000010530000}"/>
    <cellStyle name="Comma 2 5 2 3 3 3 4" xfId="8600" xr:uid="{00000000-0005-0000-0000-000011530000}"/>
    <cellStyle name="Comma 2 5 2 3 3 3 4 2" xfId="43184" xr:uid="{00000000-0005-0000-0000-000012530000}"/>
    <cellStyle name="Comma 2 5 2 3 3 3 4 3" xfId="36760" xr:uid="{00000000-0005-0000-0000-000013530000}"/>
    <cellStyle name="Comma 2 5 2 3 3 3 5" xfId="21589" xr:uid="{00000000-0005-0000-0000-000014530000}"/>
    <cellStyle name="Comma 2 5 2 3 3 3 5 2" xfId="39977" xr:uid="{00000000-0005-0000-0000-000015530000}"/>
    <cellStyle name="Comma 2 5 2 3 3 3 6" xfId="22662" xr:uid="{00000000-0005-0000-0000-000016530000}"/>
    <cellStyle name="Comma 2 5 2 3 3 3 7" xfId="23755" xr:uid="{00000000-0005-0000-0000-000017530000}"/>
    <cellStyle name="Comma 2 5 2 3 3 3 8" xfId="26984" xr:uid="{00000000-0005-0000-0000-000018530000}"/>
    <cellStyle name="Comma 2 5 2 3 3 3 9" xfId="30317" xr:uid="{00000000-0005-0000-0000-000019530000}"/>
    <cellStyle name="Comma 2 5 2 3 3 4" xfId="1330" xr:uid="{00000000-0005-0000-0000-00001A530000}"/>
    <cellStyle name="Comma 2 5 2 3 3 4 10" xfId="33554" xr:uid="{00000000-0005-0000-0000-00001B530000}"/>
    <cellStyle name="Comma 2 5 2 3 3 4 2" xfId="10100" xr:uid="{00000000-0005-0000-0000-00001C530000}"/>
    <cellStyle name="Comma 2 5 2 3 3 4 2 2" xfId="25900" xr:uid="{00000000-0005-0000-0000-00001D530000}"/>
    <cellStyle name="Comma 2 5 2 3 3 4 2 2 2" xfId="45327" xr:uid="{00000000-0005-0000-0000-00001E530000}"/>
    <cellStyle name="Comma 2 5 2 3 3 4 2 2 3" xfId="38904" xr:uid="{00000000-0005-0000-0000-00001F530000}"/>
    <cellStyle name="Comma 2 5 2 3 3 4 2 3" xfId="28078" xr:uid="{00000000-0005-0000-0000-000020530000}"/>
    <cellStyle name="Comma 2 5 2 3 3 4 2 3 2" xfId="42120" xr:uid="{00000000-0005-0000-0000-000021530000}"/>
    <cellStyle name="Comma 2 5 2 3 3 4 2 4" xfId="31413" xr:uid="{00000000-0005-0000-0000-000022530000}"/>
    <cellStyle name="Comma 2 5 2 3 3 4 2 5" xfId="35696" xr:uid="{00000000-0005-0000-0000-000023530000}"/>
    <cellStyle name="Comma 2 5 2 3 3 4 3" xfId="15783" xr:uid="{00000000-0005-0000-0000-000024530000}"/>
    <cellStyle name="Comma 2 5 2 3 3 4 3 2" xfId="24798" xr:uid="{00000000-0005-0000-0000-000025530000}"/>
    <cellStyle name="Comma 2 5 2 3 3 4 3 2 2" xfId="44227" xr:uid="{00000000-0005-0000-0000-000026530000}"/>
    <cellStyle name="Comma 2 5 2 3 3 4 3 2 3" xfId="37804" xr:uid="{00000000-0005-0000-0000-000027530000}"/>
    <cellStyle name="Comma 2 5 2 3 3 4 3 3" xfId="29119" xr:uid="{00000000-0005-0000-0000-000028530000}"/>
    <cellStyle name="Comma 2 5 2 3 3 4 3 3 2" xfId="41020" xr:uid="{00000000-0005-0000-0000-000029530000}"/>
    <cellStyle name="Comma 2 5 2 3 3 4 3 4" xfId="32454" xr:uid="{00000000-0005-0000-0000-00002A530000}"/>
    <cellStyle name="Comma 2 5 2 3 3 4 3 5" xfId="34596" xr:uid="{00000000-0005-0000-0000-00002B530000}"/>
    <cellStyle name="Comma 2 5 2 3 3 4 4" xfId="8601" xr:uid="{00000000-0005-0000-0000-00002C530000}"/>
    <cellStyle name="Comma 2 5 2 3 3 4 4 2" xfId="43185" xr:uid="{00000000-0005-0000-0000-00002D530000}"/>
    <cellStyle name="Comma 2 5 2 3 3 4 4 3" xfId="36761" xr:uid="{00000000-0005-0000-0000-00002E530000}"/>
    <cellStyle name="Comma 2 5 2 3 3 4 5" xfId="21590" xr:uid="{00000000-0005-0000-0000-00002F530000}"/>
    <cellStyle name="Comma 2 5 2 3 3 4 5 2" xfId="39978" xr:uid="{00000000-0005-0000-0000-000030530000}"/>
    <cellStyle name="Comma 2 5 2 3 3 4 6" xfId="22663" xr:uid="{00000000-0005-0000-0000-000031530000}"/>
    <cellStyle name="Comma 2 5 2 3 3 4 7" xfId="23756" xr:uid="{00000000-0005-0000-0000-000032530000}"/>
    <cellStyle name="Comma 2 5 2 3 3 4 8" xfId="26985" xr:uid="{00000000-0005-0000-0000-000033530000}"/>
    <cellStyle name="Comma 2 5 2 3 3 4 9" xfId="30318" xr:uid="{00000000-0005-0000-0000-000034530000}"/>
    <cellStyle name="Comma 2 5 2 3 3 5" xfId="1331" xr:uid="{00000000-0005-0000-0000-000035530000}"/>
    <cellStyle name="Comma 2 5 2 3 3 5 10" xfId="33555" xr:uid="{00000000-0005-0000-0000-000036530000}"/>
    <cellStyle name="Comma 2 5 2 3 3 5 2" xfId="10101" xr:uid="{00000000-0005-0000-0000-000037530000}"/>
    <cellStyle name="Comma 2 5 2 3 3 5 2 2" xfId="25901" xr:uid="{00000000-0005-0000-0000-000038530000}"/>
    <cellStyle name="Comma 2 5 2 3 3 5 2 2 2" xfId="45328" xr:uid="{00000000-0005-0000-0000-000039530000}"/>
    <cellStyle name="Comma 2 5 2 3 3 5 2 2 3" xfId="38905" xr:uid="{00000000-0005-0000-0000-00003A530000}"/>
    <cellStyle name="Comma 2 5 2 3 3 5 2 3" xfId="28079" xr:uid="{00000000-0005-0000-0000-00003B530000}"/>
    <cellStyle name="Comma 2 5 2 3 3 5 2 3 2" xfId="42121" xr:uid="{00000000-0005-0000-0000-00003C530000}"/>
    <cellStyle name="Comma 2 5 2 3 3 5 2 4" xfId="31414" xr:uid="{00000000-0005-0000-0000-00003D530000}"/>
    <cellStyle name="Comma 2 5 2 3 3 5 2 5" xfId="35697" xr:uid="{00000000-0005-0000-0000-00003E530000}"/>
    <cellStyle name="Comma 2 5 2 3 3 5 3" xfId="15784" xr:uid="{00000000-0005-0000-0000-00003F530000}"/>
    <cellStyle name="Comma 2 5 2 3 3 5 3 2" xfId="24799" xr:uid="{00000000-0005-0000-0000-000040530000}"/>
    <cellStyle name="Comma 2 5 2 3 3 5 3 2 2" xfId="44228" xr:uid="{00000000-0005-0000-0000-000041530000}"/>
    <cellStyle name="Comma 2 5 2 3 3 5 3 2 3" xfId="37805" xr:uid="{00000000-0005-0000-0000-000042530000}"/>
    <cellStyle name="Comma 2 5 2 3 3 5 3 3" xfId="29120" xr:uid="{00000000-0005-0000-0000-000043530000}"/>
    <cellStyle name="Comma 2 5 2 3 3 5 3 3 2" xfId="41021" xr:uid="{00000000-0005-0000-0000-000044530000}"/>
    <cellStyle name="Comma 2 5 2 3 3 5 3 4" xfId="32455" xr:uid="{00000000-0005-0000-0000-000045530000}"/>
    <cellStyle name="Comma 2 5 2 3 3 5 3 5" xfId="34597" xr:uid="{00000000-0005-0000-0000-000046530000}"/>
    <cellStyle name="Comma 2 5 2 3 3 5 4" xfId="8602" xr:uid="{00000000-0005-0000-0000-000047530000}"/>
    <cellStyle name="Comma 2 5 2 3 3 5 4 2" xfId="43186" xr:uid="{00000000-0005-0000-0000-000048530000}"/>
    <cellStyle name="Comma 2 5 2 3 3 5 4 3" xfId="36762" xr:uid="{00000000-0005-0000-0000-000049530000}"/>
    <cellStyle name="Comma 2 5 2 3 3 5 5" xfId="21591" xr:uid="{00000000-0005-0000-0000-00004A530000}"/>
    <cellStyle name="Comma 2 5 2 3 3 5 5 2" xfId="39979" xr:uid="{00000000-0005-0000-0000-00004B530000}"/>
    <cellStyle name="Comma 2 5 2 3 3 5 6" xfId="22664" xr:uid="{00000000-0005-0000-0000-00004C530000}"/>
    <cellStyle name="Comma 2 5 2 3 3 5 7" xfId="23757" xr:uid="{00000000-0005-0000-0000-00004D530000}"/>
    <cellStyle name="Comma 2 5 2 3 3 5 8" xfId="26986" xr:uid="{00000000-0005-0000-0000-00004E530000}"/>
    <cellStyle name="Comma 2 5 2 3 3 5 9" xfId="30319" xr:uid="{00000000-0005-0000-0000-00004F530000}"/>
    <cellStyle name="Comma 2 5 2 3 3 6" xfId="1332" xr:uid="{00000000-0005-0000-0000-000050530000}"/>
    <cellStyle name="Comma 2 5 2 3 3 6 10" xfId="33556" xr:uid="{00000000-0005-0000-0000-000051530000}"/>
    <cellStyle name="Comma 2 5 2 3 3 6 2" xfId="10102" xr:uid="{00000000-0005-0000-0000-000052530000}"/>
    <cellStyle name="Comma 2 5 2 3 3 6 2 2" xfId="25902" xr:uid="{00000000-0005-0000-0000-000053530000}"/>
    <cellStyle name="Comma 2 5 2 3 3 6 2 2 2" xfId="45329" xr:uid="{00000000-0005-0000-0000-000054530000}"/>
    <cellStyle name="Comma 2 5 2 3 3 6 2 2 3" xfId="38906" xr:uid="{00000000-0005-0000-0000-000055530000}"/>
    <cellStyle name="Comma 2 5 2 3 3 6 2 3" xfId="28080" xr:uid="{00000000-0005-0000-0000-000056530000}"/>
    <cellStyle name="Comma 2 5 2 3 3 6 2 3 2" xfId="42122" xr:uid="{00000000-0005-0000-0000-000057530000}"/>
    <cellStyle name="Comma 2 5 2 3 3 6 2 4" xfId="31415" xr:uid="{00000000-0005-0000-0000-000058530000}"/>
    <cellStyle name="Comma 2 5 2 3 3 6 2 5" xfId="35698" xr:uid="{00000000-0005-0000-0000-000059530000}"/>
    <cellStyle name="Comma 2 5 2 3 3 6 3" xfId="15785" xr:uid="{00000000-0005-0000-0000-00005A530000}"/>
    <cellStyle name="Comma 2 5 2 3 3 6 3 2" xfId="24800" xr:uid="{00000000-0005-0000-0000-00005B530000}"/>
    <cellStyle name="Comma 2 5 2 3 3 6 3 2 2" xfId="44229" xr:uid="{00000000-0005-0000-0000-00005C530000}"/>
    <cellStyle name="Comma 2 5 2 3 3 6 3 2 3" xfId="37806" xr:uid="{00000000-0005-0000-0000-00005D530000}"/>
    <cellStyle name="Comma 2 5 2 3 3 6 3 3" xfId="29121" xr:uid="{00000000-0005-0000-0000-00005E530000}"/>
    <cellStyle name="Comma 2 5 2 3 3 6 3 3 2" xfId="41022" xr:uid="{00000000-0005-0000-0000-00005F530000}"/>
    <cellStyle name="Comma 2 5 2 3 3 6 3 4" xfId="32456" xr:uid="{00000000-0005-0000-0000-000060530000}"/>
    <cellStyle name="Comma 2 5 2 3 3 6 3 5" xfId="34598" xr:uid="{00000000-0005-0000-0000-000061530000}"/>
    <cellStyle name="Comma 2 5 2 3 3 6 4" xfId="8603" xr:uid="{00000000-0005-0000-0000-000062530000}"/>
    <cellStyle name="Comma 2 5 2 3 3 6 4 2" xfId="43187" xr:uid="{00000000-0005-0000-0000-000063530000}"/>
    <cellStyle name="Comma 2 5 2 3 3 6 4 3" xfId="36763" xr:uid="{00000000-0005-0000-0000-000064530000}"/>
    <cellStyle name="Comma 2 5 2 3 3 6 5" xfId="21592" xr:uid="{00000000-0005-0000-0000-000065530000}"/>
    <cellStyle name="Comma 2 5 2 3 3 6 5 2" xfId="39980" xr:uid="{00000000-0005-0000-0000-000066530000}"/>
    <cellStyle name="Comma 2 5 2 3 3 6 6" xfId="22665" xr:uid="{00000000-0005-0000-0000-000067530000}"/>
    <cellStyle name="Comma 2 5 2 3 3 6 7" xfId="23758" xr:uid="{00000000-0005-0000-0000-000068530000}"/>
    <cellStyle name="Comma 2 5 2 3 3 6 8" xfId="26987" xr:uid="{00000000-0005-0000-0000-000069530000}"/>
    <cellStyle name="Comma 2 5 2 3 3 6 9" xfId="30320" xr:uid="{00000000-0005-0000-0000-00006A530000}"/>
    <cellStyle name="Comma 2 5 2 3 3 7" xfId="9137" xr:uid="{00000000-0005-0000-0000-00006B530000}"/>
    <cellStyle name="Comma 2 5 2 3 3 7 2" xfId="25191" xr:uid="{00000000-0005-0000-0000-00006C530000}"/>
    <cellStyle name="Comma 2 5 2 3 3 7 2 2" xfId="44618" xr:uid="{00000000-0005-0000-0000-00006D530000}"/>
    <cellStyle name="Comma 2 5 2 3 3 7 2 3" xfId="38195" xr:uid="{00000000-0005-0000-0000-00006E530000}"/>
    <cellStyle name="Comma 2 5 2 3 3 7 3" xfId="27370" xr:uid="{00000000-0005-0000-0000-00006F530000}"/>
    <cellStyle name="Comma 2 5 2 3 3 7 3 2" xfId="41411" xr:uid="{00000000-0005-0000-0000-000070530000}"/>
    <cellStyle name="Comma 2 5 2 3 3 7 4" xfId="30705" xr:uid="{00000000-0005-0000-0000-000071530000}"/>
    <cellStyle name="Comma 2 5 2 3 3 7 5" xfId="34987" xr:uid="{00000000-0005-0000-0000-000072530000}"/>
    <cellStyle name="Comma 2 5 2 3 3 8" xfId="15780" xr:uid="{00000000-0005-0000-0000-000073530000}"/>
    <cellStyle name="Comma 2 5 2 3 3 8 2" xfId="24795" xr:uid="{00000000-0005-0000-0000-000074530000}"/>
    <cellStyle name="Comma 2 5 2 3 3 8 2 2" xfId="44224" xr:uid="{00000000-0005-0000-0000-000075530000}"/>
    <cellStyle name="Comma 2 5 2 3 3 8 2 3" xfId="37801" xr:uid="{00000000-0005-0000-0000-000076530000}"/>
    <cellStyle name="Comma 2 5 2 3 3 8 3" xfId="29116" xr:uid="{00000000-0005-0000-0000-000077530000}"/>
    <cellStyle name="Comma 2 5 2 3 3 8 3 2" xfId="41017" xr:uid="{00000000-0005-0000-0000-000078530000}"/>
    <cellStyle name="Comma 2 5 2 3 3 8 4" xfId="32451" xr:uid="{00000000-0005-0000-0000-000079530000}"/>
    <cellStyle name="Comma 2 5 2 3 3 8 5" xfId="34593" xr:uid="{00000000-0005-0000-0000-00007A530000}"/>
    <cellStyle name="Comma 2 5 2 3 3 9" xfId="8598" xr:uid="{00000000-0005-0000-0000-00007B530000}"/>
    <cellStyle name="Comma 2 5 2 3 3 9 2" xfId="42481" xr:uid="{00000000-0005-0000-0000-00007C530000}"/>
    <cellStyle name="Comma 2 5 2 3 3 9 3" xfId="36057" xr:uid="{00000000-0005-0000-0000-00007D530000}"/>
    <cellStyle name="Comma 2 5 2 3 4" xfId="1333" xr:uid="{00000000-0005-0000-0000-00007E530000}"/>
    <cellStyle name="Comma 2 5 2 3 4 10" xfId="22666" xr:uid="{00000000-0005-0000-0000-00007F530000}"/>
    <cellStyle name="Comma 2 5 2 3 4 11" xfId="23759" xr:uid="{00000000-0005-0000-0000-000080530000}"/>
    <cellStyle name="Comma 2 5 2 3 4 12" xfId="26988" xr:uid="{00000000-0005-0000-0000-000081530000}"/>
    <cellStyle name="Comma 2 5 2 3 4 13" xfId="30321" xr:uid="{00000000-0005-0000-0000-000082530000}"/>
    <cellStyle name="Comma 2 5 2 3 4 14" xfId="33557" xr:uid="{00000000-0005-0000-0000-000083530000}"/>
    <cellStyle name="Comma 2 5 2 3 4 2" xfId="1334" xr:uid="{00000000-0005-0000-0000-000084530000}"/>
    <cellStyle name="Comma 2 5 2 3 4 2 10" xfId="33558" xr:uid="{00000000-0005-0000-0000-000085530000}"/>
    <cellStyle name="Comma 2 5 2 3 4 2 2" xfId="10104" xr:uid="{00000000-0005-0000-0000-000086530000}"/>
    <cellStyle name="Comma 2 5 2 3 4 2 2 2" xfId="25904" xr:uid="{00000000-0005-0000-0000-000087530000}"/>
    <cellStyle name="Comma 2 5 2 3 4 2 2 2 2" xfId="45331" xr:uid="{00000000-0005-0000-0000-000088530000}"/>
    <cellStyle name="Comma 2 5 2 3 4 2 2 2 3" xfId="38908" xr:uid="{00000000-0005-0000-0000-000089530000}"/>
    <cellStyle name="Comma 2 5 2 3 4 2 2 3" xfId="28082" xr:uid="{00000000-0005-0000-0000-00008A530000}"/>
    <cellStyle name="Comma 2 5 2 3 4 2 2 3 2" xfId="42124" xr:uid="{00000000-0005-0000-0000-00008B530000}"/>
    <cellStyle name="Comma 2 5 2 3 4 2 2 4" xfId="31417" xr:uid="{00000000-0005-0000-0000-00008C530000}"/>
    <cellStyle name="Comma 2 5 2 3 4 2 2 5" xfId="35700" xr:uid="{00000000-0005-0000-0000-00008D530000}"/>
    <cellStyle name="Comma 2 5 2 3 4 2 3" xfId="15787" xr:uid="{00000000-0005-0000-0000-00008E530000}"/>
    <cellStyle name="Comma 2 5 2 3 4 2 3 2" xfId="24802" xr:uid="{00000000-0005-0000-0000-00008F530000}"/>
    <cellStyle name="Comma 2 5 2 3 4 2 3 2 2" xfId="44231" xr:uid="{00000000-0005-0000-0000-000090530000}"/>
    <cellStyle name="Comma 2 5 2 3 4 2 3 2 3" xfId="37808" xr:uid="{00000000-0005-0000-0000-000091530000}"/>
    <cellStyle name="Comma 2 5 2 3 4 2 3 3" xfId="29123" xr:uid="{00000000-0005-0000-0000-000092530000}"/>
    <cellStyle name="Comma 2 5 2 3 4 2 3 3 2" xfId="41024" xr:uid="{00000000-0005-0000-0000-000093530000}"/>
    <cellStyle name="Comma 2 5 2 3 4 2 3 4" xfId="32458" xr:uid="{00000000-0005-0000-0000-000094530000}"/>
    <cellStyle name="Comma 2 5 2 3 4 2 3 5" xfId="34600" xr:uid="{00000000-0005-0000-0000-000095530000}"/>
    <cellStyle name="Comma 2 5 2 3 4 2 4" xfId="8605" xr:uid="{00000000-0005-0000-0000-000096530000}"/>
    <cellStyle name="Comma 2 5 2 3 4 2 4 2" xfId="43189" xr:uid="{00000000-0005-0000-0000-000097530000}"/>
    <cellStyle name="Comma 2 5 2 3 4 2 4 3" xfId="36765" xr:uid="{00000000-0005-0000-0000-000098530000}"/>
    <cellStyle name="Comma 2 5 2 3 4 2 5" xfId="21594" xr:uid="{00000000-0005-0000-0000-000099530000}"/>
    <cellStyle name="Comma 2 5 2 3 4 2 5 2" xfId="39982" xr:uid="{00000000-0005-0000-0000-00009A530000}"/>
    <cellStyle name="Comma 2 5 2 3 4 2 6" xfId="22667" xr:uid="{00000000-0005-0000-0000-00009B530000}"/>
    <cellStyle name="Comma 2 5 2 3 4 2 7" xfId="23760" xr:uid="{00000000-0005-0000-0000-00009C530000}"/>
    <cellStyle name="Comma 2 5 2 3 4 2 8" xfId="26989" xr:uid="{00000000-0005-0000-0000-00009D530000}"/>
    <cellStyle name="Comma 2 5 2 3 4 2 9" xfId="30322" xr:uid="{00000000-0005-0000-0000-00009E530000}"/>
    <cellStyle name="Comma 2 5 2 3 4 3" xfId="1335" xr:uid="{00000000-0005-0000-0000-00009F530000}"/>
    <cellStyle name="Comma 2 5 2 3 4 3 10" xfId="33559" xr:uid="{00000000-0005-0000-0000-0000A0530000}"/>
    <cellStyle name="Comma 2 5 2 3 4 3 2" xfId="10105" xr:uid="{00000000-0005-0000-0000-0000A1530000}"/>
    <cellStyle name="Comma 2 5 2 3 4 3 2 2" xfId="25905" xr:uid="{00000000-0005-0000-0000-0000A2530000}"/>
    <cellStyle name="Comma 2 5 2 3 4 3 2 2 2" xfId="45332" xr:uid="{00000000-0005-0000-0000-0000A3530000}"/>
    <cellStyle name="Comma 2 5 2 3 4 3 2 2 3" xfId="38909" xr:uid="{00000000-0005-0000-0000-0000A4530000}"/>
    <cellStyle name="Comma 2 5 2 3 4 3 2 3" xfId="28083" xr:uid="{00000000-0005-0000-0000-0000A5530000}"/>
    <cellStyle name="Comma 2 5 2 3 4 3 2 3 2" xfId="42125" xr:uid="{00000000-0005-0000-0000-0000A6530000}"/>
    <cellStyle name="Comma 2 5 2 3 4 3 2 4" xfId="31418" xr:uid="{00000000-0005-0000-0000-0000A7530000}"/>
    <cellStyle name="Comma 2 5 2 3 4 3 2 5" xfId="35701" xr:uid="{00000000-0005-0000-0000-0000A8530000}"/>
    <cellStyle name="Comma 2 5 2 3 4 3 3" xfId="15788" xr:uid="{00000000-0005-0000-0000-0000A9530000}"/>
    <cellStyle name="Comma 2 5 2 3 4 3 3 2" xfId="24803" xr:uid="{00000000-0005-0000-0000-0000AA530000}"/>
    <cellStyle name="Comma 2 5 2 3 4 3 3 2 2" xfId="44232" xr:uid="{00000000-0005-0000-0000-0000AB530000}"/>
    <cellStyle name="Comma 2 5 2 3 4 3 3 2 3" xfId="37809" xr:uid="{00000000-0005-0000-0000-0000AC530000}"/>
    <cellStyle name="Comma 2 5 2 3 4 3 3 3" xfId="29124" xr:uid="{00000000-0005-0000-0000-0000AD530000}"/>
    <cellStyle name="Comma 2 5 2 3 4 3 3 3 2" xfId="41025" xr:uid="{00000000-0005-0000-0000-0000AE530000}"/>
    <cellStyle name="Comma 2 5 2 3 4 3 3 4" xfId="32459" xr:uid="{00000000-0005-0000-0000-0000AF530000}"/>
    <cellStyle name="Comma 2 5 2 3 4 3 3 5" xfId="34601" xr:uid="{00000000-0005-0000-0000-0000B0530000}"/>
    <cellStyle name="Comma 2 5 2 3 4 3 4" xfId="8606" xr:uid="{00000000-0005-0000-0000-0000B1530000}"/>
    <cellStyle name="Comma 2 5 2 3 4 3 4 2" xfId="43190" xr:uid="{00000000-0005-0000-0000-0000B2530000}"/>
    <cellStyle name="Comma 2 5 2 3 4 3 4 3" xfId="36766" xr:uid="{00000000-0005-0000-0000-0000B3530000}"/>
    <cellStyle name="Comma 2 5 2 3 4 3 5" xfId="21595" xr:uid="{00000000-0005-0000-0000-0000B4530000}"/>
    <cellStyle name="Comma 2 5 2 3 4 3 5 2" xfId="39983" xr:uid="{00000000-0005-0000-0000-0000B5530000}"/>
    <cellStyle name="Comma 2 5 2 3 4 3 6" xfId="22668" xr:uid="{00000000-0005-0000-0000-0000B6530000}"/>
    <cellStyle name="Comma 2 5 2 3 4 3 7" xfId="23761" xr:uid="{00000000-0005-0000-0000-0000B7530000}"/>
    <cellStyle name="Comma 2 5 2 3 4 3 8" xfId="26990" xr:uid="{00000000-0005-0000-0000-0000B8530000}"/>
    <cellStyle name="Comma 2 5 2 3 4 3 9" xfId="30323" xr:uid="{00000000-0005-0000-0000-0000B9530000}"/>
    <cellStyle name="Comma 2 5 2 3 4 4" xfId="1336" xr:uid="{00000000-0005-0000-0000-0000BA530000}"/>
    <cellStyle name="Comma 2 5 2 3 4 4 10" xfId="33560" xr:uid="{00000000-0005-0000-0000-0000BB530000}"/>
    <cellStyle name="Comma 2 5 2 3 4 4 2" xfId="10106" xr:uid="{00000000-0005-0000-0000-0000BC530000}"/>
    <cellStyle name="Comma 2 5 2 3 4 4 2 2" xfId="25906" xr:uid="{00000000-0005-0000-0000-0000BD530000}"/>
    <cellStyle name="Comma 2 5 2 3 4 4 2 2 2" xfId="45333" xr:uid="{00000000-0005-0000-0000-0000BE530000}"/>
    <cellStyle name="Comma 2 5 2 3 4 4 2 2 3" xfId="38910" xr:uid="{00000000-0005-0000-0000-0000BF530000}"/>
    <cellStyle name="Comma 2 5 2 3 4 4 2 3" xfId="28084" xr:uid="{00000000-0005-0000-0000-0000C0530000}"/>
    <cellStyle name="Comma 2 5 2 3 4 4 2 3 2" xfId="42126" xr:uid="{00000000-0005-0000-0000-0000C1530000}"/>
    <cellStyle name="Comma 2 5 2 3 4 4 2 4" xfId="31419" xr:uid="{00000000-0005-0000-0000-0000C2530000}"/>
    <cellStyle name="Comma 2 5 2 3 4 4 2 5" xfId="35702" xr:uid="{00000000-0005-0000-0000-0000C3530000}"/>
    <cellStyle name="Comma 2 5 2 3 4 4 3" xfId="15789" xr:uid="{00000000-0005-0000-0000-0000C4530000}"/>
    <cellStyle name="Comma 2 5 2 3 4 4 3 2" xfId="24804" xr:uid="{00000000-0005-0000-0000-0000C5530000}"/>
    <cellStyle name="Comma 2 5 2 3 4 4 3 2 2" xfId="44233" xr:uid="{00000000-0005-0000-0000-0000C6530000}"/>
    <cellStyle name="Comma 2 5 2 3 4 4 3 2 3" xfId="37810" xr:uid="{00000000-0005-0000-0000-0000C7530000}"/>
    <cellStyle name="Comma 2 5 2 3 4 4 3 3" xfId="29125" xr:uid="{00000000-0005-0000-0000-0000C8530000}"/>
    <cellStyle name="Comma 2 5 2 3 4 4 3 3 2" xfId="41026" xr:uid="{00000000-0005-0000-0000-0000C9530000}"/>
    <cellStyle name="Comma 2 5 2 3 4 4 3 4" xfId="32460" xr:uid="{00000000-0005-0000-0000-0000CA530000}"/>
    <cellStyle name="Comma 2 5 2 3 4 4 3 5" xfId="34602" xr:uid="{00000000-0005-0000-0000-0000CB530000}"/>
    <cellStyle name="Comma 2 5 2 3 4 4 4" xfId="8607" xr:uid="{00000000-0005-0000-0000-0000CC530000}"/>
    <cellStyle name="Comma 2 5 2 3 4 4 4 2" xfId="43191" xr:uid="{00000000-0005-0000-0000-0000CD530000}"/>
    <cellStyle name="Comma 2 5 2 3 4 4 4 3" xfId="36767" xr:uid="{00000000-0005-0000-0000-0000CE530000}"/>
    <cellStyle name="Comma 2 5 2 3 4 4 5" xfId="21596" xr:uid="{00000000-0005-0000-0000-0000CF530000}"/>
    <cellStyle name="Comma 2 5 2 3 4 4 5 2" xfId="39984" xr:uid="{00000000-0005-0000-0000-0000D0530000}"/>
    <cellStyle name="Comma 2 5 2 3 4 4 6" xfId="22669" xr:uid="{00000000-0005-0000-0000-0000D1530000}"/>
    <cellStyle name="Comma 2 5 2 3 4 4 7" xfId="23762" xr:uid="{00000000-0005-0000-0000-0000D2530000}"/>
    <cellStyle name="Comma 2 5 2 3 4 4 8" xfId="26991" xr:uid="{00000000-0005-0000-0000-0000D3530000}"/>
    <cellStyle name="Comma 2 5 2 3 4 4 9" xfId="30324" xr:uid="{00000000-0005-0000-0000-0000D4530000}"/>
    <cellStyle name="Comma 2 5 2 3 4 5" xfId="1337" xr:uid="{00000000-0005-0000-0000-0000D5530000}"/>
    <cellStyle name="Comma 2 5 2 3 4 5 10" xfId="33561" xr:uid="{00000000-0005-0000-0000-0000D6530000}"/>
    <cellStyle name="Comma 2 5 2 3 4 5 2" xfId="10107" xr:uid="{00000000-0005-0000-0000-0000D7530000}"/>
    <cellStyle name="Comma 2 5 2 3 4 5 2 2" xfId="25907" xr:uid="{00000000-0005-0000-0000-0000D8530000}"/>
    <cellStyle name="Comma 2 5 2 3 4 5 2 2 2" xfId="45334" xr:uid="{00000000-0005-0000-0000-0000D9530000}"/>
    <cellStyle name="Comma 2 5 2 3 4 5 2 2 3" xfId="38911" xr:uid="{00000000-0005-0000-0000-0000DA530000}"/>
    <cellStyle name="Comma 2 5 2 3 4 5 2 3" xfId="28085" xr:uid="{00000000-0005-0000-0000-0000DB530000}"/>
    <cellStyle name="Comma 2 5 2 3 4 5 2 3 2" xfId="42127" xr:uid="{00000000-0005-0000-0000-0000DC530000}"/>
    <cellStyle name="Comma 2 5 2 3 4 5 2 4" xfId="31420" xr:uid="{00000000-0005-0000-0000-0000DD530000}"/>
    <cellStyle name="Comma 2 5 2 3 4 5 2 5" xfId="35703" xr:uid="{00000000-0005-0000-0000-0000DE530000}"/>
    <cellStyle name="Comma 2 5 2 3 4 5 3" xfId="15790" xr:uid="{00000000-0005-0000-0000-0000DF530000}"/>
    <cellStyle name="Comma 2 5 2 3 4 5 3 2" xfId="24805" xr:uid="{00000000-0005-0000-0000-0000E0530000}"/>
    <cellStyle name="Comma 2 5 2 3 4 5 3 2 2" xfId="44234" xr:uid="{00000000-0005-0000-0000-0000E1530000}"/>
    <cellStyle name="Comma 2 5 2 3 4 5 3 2 3" xfId="37811" xr:uid="{00000000-0005-0000-0000-0000E2530000}"/>
    <cellStyle name="Comma 2 5 2 3 4 5 3 3" xfId="29126" xr:uid="{00000000-0005-0000-0000-0000E3530000}"/>
    <cellStyle name="Comma 2 5 2 3 4 5 3 3 2" xfId="41027" xr:uid="{00000000-0005-0000-0000-0000E4530000}"/>
    <cellStyle name="Comma 2 5 2 3 4 5 3 4" xfId="32461" xr:uid="{00000000-0005-0000-0000-0000E5530000}"/>
    <cellStyle name="Comma 2 5 2 3 4 5 3 5" xfId="34603" xr:uid="{00000000-0005-0000-0000-0000E6530000}"/>
    <cellStyle name="Comma 2 5 2 3 4 5 4" xfId="8608" xr:uid="{00000000-0005-0000-0000-0000E7530000}"/>
    <cellStyle name="Comma 2 5 2 3 4 5 4 2" xfId="43192" xr:uid="{00000000-0005-0000-0000-0000E8530000}"/>
    <cellStyle name="Comma 2 5 2 3 4 5 4 3" xfId="36768" xr:uid="{00000000-0005-0000-0000-0000E9530000}"/>
    <cellStyle name="Comma 2 5 2 3 4 5 5" xfId="21597" xr:uid="{00000000-0005-0000-0000-0000EA530000}"/>
    <cellStyle name="Comma 2 5 2 3 4 5 5 2" xfId="39985" xr:uid="{00000000-0005-0000-0000-0000EB530000}"/>
    <cellStyle name="Comma 2 5 2 3 4 5 6" xfId="22670" xr:uid="{00000000-0005-0000-0000-0000EC530000}"/>
    <cellStyle name="Comma 2 5 2 3 4 5 7" xfId="23763" xr:uid="{00000000-0005-0000-0000-0000ED530000}"/>
    <cellStyle name="Comma 2 5 2 3 4 5 8" xfId="26992" xr:uid="{00000000-0005-0000-0000-0000EE530000}"/>
    <cellStyle name="Comma 2 5 2 3 4 5 9" xfId="30325" xr:uid="{00000000-0005-0000-0000-0000EF530000}"/>
    <cellStyle name="Comma 2 5 2 3 4 6" xfId="10103" xr:uid="{00000000-0005-0000-0000-0000F0530000}"/>
    <cellStyle name="Comma 2 5 2 3 4 6 2" xfId="25903" xr:uid="{00000000-0005-0000-0000-0000F1530000}"/>
    <cellStyle name="Comma 2 5 2 3 4 6 2 2" xfId="45330" xr:uid="{00000000-0005-0000-0000-0000F2530000}"/>
    <cellStyle name="Comma 2 5 2 3 4 6 2 3" xfId="38907" xr:uid="{00000000-0005-0000-0000-0000F3530000}"/>
    <cellStyle name="Comma 2 5 2 3 4 6 3" xfId="28081" xr:uid="{00000000-0005-0000-0000-0000F4530000}"/>
    <cellStyle name="Comma 2 5 2 3 4 6 3 2" xfId="42123" xr:uid="{00000000-0005-0000-0000-0000F5530000}"/>
    <cellStyle name="Comma 2 5 2 3 4 6 4" xfId="31416" xr:uid="{00000000-0005-0000-0000-0000F6530000}"/>
    <cellStyle name="Comma 2 5 2 3 4 6 5" xfId="35699" xr:uid="{00000000-0005-0000-0000-0000F7530000}"/>
    <cellStyle name="Comma 2 5 2 3 4 7" xfId="15786" xr:uid="{00000000-0005-0000-0000-0000F8530000}"/>
    <cellStyle name="Comma 2 5 2 3 4 7 2" xfId="24801" xr:uid="{00000000-0005-0000-0000-0000F9530000}"/>
    <cellStyle name="Comma 2 5 2 3 4 7 2 2" xfId="44230" xr:uid="{00000000-0005-0000-0000-0000FA530000}"/>
    <cellStyle name="Comma 2 5 2 3 4 7 2 3" xfId="37807" xr:uid="{00000000-0005-0000-0000-0000FB530000}"/>
    <cellStyle name="Comma 2 5 2 3 4 7 3" xfId="29122" xr:uid="{00000000-0005-0000-0000-0000FC530000}"/>
    <cellStyle name="Comma 2 5 2 3 4 7 3 2" xfId="41023" xr:uid="{00000000-0005-0000-0000-0000FD530000}"/>
    <cellStyle name="Comma 2 5 2 3 4 7 4" xfId="32457" xr:uid="{00000000-0005-0000-0000-0000FE530000}"/>
    <cellStyle name="Comma 2 5 2 3 4 7 5" xfId="34599" xr:uid="{00000000-0005-0000-0000-0000FF530000}"/>
    <cellStyle name="Comma 2 5 2 3 4 8" xfId="8604" xr:uid="{00000000-0005-0000-0000-000000540000}"/>
    <cellStyle name="Comma 2 5 2 3 4 8 2" xfId="43188" xr:uid="{00000000-0005-0000-0000-000001540000}"/>
    <cellStyle name="Comma 2 5 2 3 4 8 3" xfId="36764" xr:uid="{00000000-0005-0000-0000-000002540000}"/>
    <cellStyle name="Comma 2 5 2 3 4 9" xfId="21593" xr:uid="{00000000-0005-0000-0000-000003540000}"/>
    <cellStyle name="Comma 2 5 2 3 4 9 2" xfId="39981" xr:uid="{00000000-0005-0000-0000-000004540000}"/>
    <cellStyle name="Comma 2 5 2 3 5" xfId="1338" xr:uid="{00000000-0005-0000-0000-000005540000}"/>
    <cellStyle name="Comma 2 5 2 3 5 10" xfId="22671" xr:uid="{00000000-0005-0000-0000-000006540000}"/>
    <cellStyle name="Comma 2 5 2 3 5 11" xfId="23764" xr:uid="{00000000-0005-0000-0000-000007540000}"/>
    <cellStyle name="Comma 2 5 2 3 5 12" xfId="26993" xr:uid="{00000000-0005-0000-0000-000008540000}"/>
    <cellStyle name="Comma 2 5 2 3 5 13" xfId="30326" xr:uid="{00000000-0005-0000-0000-000009540000}"/>
    <cellStyle name="Comma 2 5 2 3 5 14" xfId="33562" xr:uid="{00000000-0005-0000-0000-00000A540000}"/>
    <cellStyle name="Comma 2 5 2 3 5 2" xfId="1339" xr:uid="{00000000-0005-0000-0000-00000B540000}"/>
    <cellStyle name="Comma 2 5 2 3 5 2 10" xfId="33563" xr:uid="{00000000-0005-0000-0000-00000C540000}"/>
    <cellStyle name="Comma 2 5 2 3 5 2 2" xfId="10109" xr:uid="{00000000-0005-0000-0000-00000D540000}"/>
    <cellStyle name="Comma 2 5 2 3 5 2 2 2" xfId="25909" xr:uid="{00000000-0005-0000-0000-00000E540000}"/>
    <cellStyle name="Comma 2 5 2 3 5 2 2 2 2" xfId="45336" xr:uid="{00000000-0005-0000-0000-00000F540000}"/>
    <cellStyle name="Comma 2 5 2 3 5 2 2 2 3" xfId="38913" xr:uid="{00000000-0005-0000-0000-000010540000}"/>
    <cellStyle name="Comma 2 5 2 3 5 2 2 3" xfId="28087" xr:uid="{00000000-0005-0000-0000-000011540000}"/>
    <cellStyle name="Comma 2 5 2 3 5 2 2 3 2" xfId="42129" xr:uid="{00000000-0005-0000-0000-000012540000}"/>
    <cellStyle name="Comma 2 5 2 3 5 2 2 4" xfId="31422" xr:uid="{00000000-0005-0000-0000-000013540000}"/>
    <cellStyle name="Comma 2 5 2 3 5 2 2 5" xfId="35705" xr:uid="{00000000-0005-0000-0000-000014540000}"/>
    <cellStyle name="Comma 2 5 2 3 5 2 3" xfId="15792" xr:uid="{00000000-0005-0000-0000-000015540000}"/>
    <cellStyle name="Comma 2 5 2 3 5 2 3 2" xfId="24807" xr:uid="{00000000-0005-0000-0000-000016540000}"/>
    <cellStyle name="Comma 2 5 2 3 5 2 3 2 2" xfId="44236" xr:uid="{00000000-0005-0000-0000-000017540000}"/>
    <cellStyle name="Comma 2 5 2 3 5 2 3 2 3" xfId="37813" xr:uid="{00000000-0005-0000-0000-000018540000}"/>
    <cellStyle name="Comma 2 5 2 3 5 2 3 3" xfId="29128" xr:uid="{00000000-0005-0000-0000-000019540000}"/>
    <cellStyle name="Comma 2 5 2 3 5 2 3 3 2" xfId="41029" xr:uid="{00000000-0005-0000-0000-00001A540000}"/>
    <cellStyle name="Comma 2 5 2 3 5 2 3 4" xfId="32463" xr:uid="{00000000-0005-0000-0000-00001B540000}"/>
    <cellStyle name="Comma 2 5 2 3 5 2 3 5" xfId="34605" xr:uid="{00000000-0005-0000-0000-00001C540000}"/>
    <cellStyle name="Comma 2 5 2 3 5 2 4" xfId="8610" xr:uid="{00000000-0005-0000-0000-00001D540000}"/>
    <cellStyle name="Comma 2 5 2 3 5 2 4 2" xfId="43194" xr:uid="{00000000-0005-0000-0000-00001E540000}"/>
    <cellStyle name="Comma 2 5 2 3 5 2 4 3" xfId="36770" xr:uid="{00000000-0005-0000-0000-00001F540000}"/>
    <cellStyle name="Comma 2 5 2 3 5 2 5" xfId="21599" xr:uid="{00000000-0005-0000-0000-000020540000}"/>
    <cellStyle name="Comma 2 5 2 3 5 2 5 2" xfId="39987" xr:uid="{00000000-0005-0000-0000-000021540000}"/>
    <cellStyle name="Comma 2 5 2 3 5 2 6" xfId="22672" xr:uid="{00000000-0005-0000-0000-000022540000}"/>
    <cellStyle name="Comma 2 5 2 3 5 2 7" xfId="23765" xr:uid="{00000000-0005-0000-0000-000023540000}"/>
    <cellStyle name="Comma 2 5 2 3 5 2 8" xfId="26994" xr:uid="{00000000-0005-0000-0000-000024540000}"/>
    <cellStyle name="Comma 2 5 2 3 5 2 9" xfId="30327" xr:uid="{00000000-0005-0000-0000-000025540000}"/>
    <cellStyle name="Comma 2 5 2 3 5 3" xfId="1340" xr:uid="{00000000-0005-0000-0000-000026540000}"/>
    <cellStyle name="Comma 2 5 2 3 5 3 10" xfId="33564" xr:uid="{00000000-0005-0000-0000-000027540000}"/>
    <cellStyle name="Comma 2 5 2 3 5 3 2" xfId="10110" xr:uid="{00000000-0005-0000-0000-000028540000}"/>
    <cellStyle name="Comma 2 5 2 3 5 3 2 2" xfId="25910" xr:uid="{00000000-0005-0000-0000-000029540000}"/>
    <cellStyle name="Comma 2 5 2 3 5 3 2 2 2" xfId="45337" xr:uid="{00000000-0005-0000-0000-00002A540000}"/>
    <cellStyle name="Comma 2 5 2 3 5 3 2 2 3" xfId="38914" xr:uid="{00000000-0005-0000-0000-00002B540000}"/>
    <cellStyle name="Comma 2 5 2 3 5 3 2 3" xfId="28088" xr:uid="{00000000-0005-0000-0000-00002C540000}"/>
    <cellStyle name="Comma 2 5 2 3 5 3 2 3 2" xfId="42130" xr:uid="{00000000-0005-0000-0000-00002D540000}"/>
    <cellStyle name="Comma 2 5 2 3 5 3 2 4" xfId="31423" xr:uid="{00000000-0005-0000-0000-00002E540000}"/>
    <cellStyle name="Comma 2 5 2 3 5 3 2 5" xfId="35706" xr:uid="{00000000-0005-0000-0000-00002F540000}"/>
    <cellStyle name="Comma 2 5 2 3 5 3 3" xfId="15793" xr:uid="{00000000-0005-0000-0000-000030540000}"/>
    <cellStyle name="Comma 2 5 2 3 5 3 3 2" xfId="24808" xr:uid="{00000000-0005-0000-0000-000031540000}"/>
    <cellStyle name="Comma 2 5 2 3 5 3 3 2 2" xfId="44237" xr:uid="{00000000-0005-0000-0000-000032540000}"/>
    <cellStyle name="Comma 2 5 2 3 5 3 3 2 3" xfId="37814" xr:uid="{00000000-0005-0000-0000-000033540000}"/>
    <cellStyle name="Comma 2 5 2 3 5 3 3 3" xfId="29129" xr:uid="{00000000-0005-0000-0000-000034540000}"/>
    <cellStyle name="Comma 2 5 2 3 5 3 3 3 2" xfId="41030" xr:uid="{00000000-0005-0000-0000-000035540000}"/>
    <cellStyle name="Comma 2 5 2 3 5 3 3 4" xfId="32464" xr:uid="{00000000-0005-0000-0000-000036540000}"/>
    <cellStyle name="Comma 2 5 2 3 5 3 3 5" xfId="34606" xr:uid="{00000000-0005-0000-0000-000037540000}"/>
    <cellStyle name="Comma 2 5 2 3 5 3 4" xfId="8611" xr:uid="{00000000-0005-0000-0000-000038540000}"/>
    <cellStyle name="Comma 2 5 2 3 5 3 4 2" xfId="43195" xr:uid="{00000000-0005-0000-0000-000039540000}"/>
    <cellStyle name="Comma 2 5 2 3 5 3 4 3" xfId="36771" xr:uid="{00000000-0005-0000-0000-00003A540000}"/>
    <cellStyle name="Comma 2 5 2 3 5 3 5" xfId="21600" xr:uid="{00000000-0005-0000-0000-00003B540000}"/>
    <cellStyle name="Comma 2 5 2 3 5 3 5 2" xfId="39988" xr:uid="{00000000-0005-0000-0000-00003C540000}"/>
    <cellStyle name="Comma 2 5 2 3 5 3 6" xfId="22673" xr:uid="{00000000-0005-0000-0000-00003D540000}"/>
    <cellStyle name="Comma 2 5 2 3 5 3 7" xfId="23766" xr:uid="{00000000-0005-0000-0000-00003E540000}"/>
    <cellStyle name="Comma 2 5 2 3 5 3 8" xfId="26995" xr:uid="{00000000-0005-0000-0000-00003F540000}"/>
    <cellStyle name="Comma 2 5 2 3 5 3 9" xfId="30328" xr:uid="{00000000-0005-0000-0000-000040540000}"/>
    <cellStyle name="Comma 2 5 2 3 5 4" xfId="1341" xr:uid="{00000000-0005-0000-0000-000041540000}"/>
    <cellStyle name="Comma 2 5 2 3 5 4 10" xfId="33565" xr:uid="{00000000-0005-0000-0000-000042540000}"/>
    <cellStyle name="Comma 2 5 2 3 5 4 2" xfId="10111" xr:uid="{00000000-0005-0000-0000-000043540000}"/>
    <cellStyle name="Comma 2 5 2 3 5 4 2 2" xfId="25911" xr:uid="{00000000-0005-0000-0000-000044540000}"/>
    <cellStyle name="Comma 2 5 2 3 5 4 2 2 2" xfId="45338" xr:uid="{00000000-0005-0000-0000-000045540000}"/>
    <cellStyle name="Comma 2 5 2 3 5 4 2 2 3" xfId="38915" xr:uid="{00000000-0005-0000-0000-000046540000}"/>
    <cellStyle name="Comma 2 5 2 3 5 4 2 3" xfId="28089" xr:uid="{00000000-0005-0000-0000-000047540000}"/>
    <cellStyle name="Comma 2 5 2 3 5 4 2 3 2" xfId="42131" xr:uid="{00000000-0005-0000-0000-000048540000}"/>
    <cellStyle name="Comma 2 5 2 3 5 4 2 4" xfId="31424" xr:uid="{00000000-0005-0000-0000-000049540000}"/>
    <cellStyle name="Comma 2 5 2 3 5 4 2 5" xfId="35707" xr:uid="{00000000-0005-0000-0000-00004A540000}"/>
    <cellStyle name="Comma 2 5 2 3 5 4 3" xfId="15794" xr:uid="{00000000-0005-0000-0000-00004B540000}"/>
    <cellStyle name="Comma 2 5 2 3 5 4 3 2" xfId="24809" xr:uid="{00000000-0005-0000-0000-00004C540000}"/>
    <cellStyle name="Comma 2 5 2 3 5 4 3 2 2" xfId="44238" xr:uid="{00000000-0005-0000-0000-00004D540000}"/>
    <cellStyle name="Comma 2 5 2 3 5 4 3 2 3" xfId="37815" xr:uid="{00000000-0005-0000-0000-00004E540000}"/>
    <cellStyle name="Comma 2 5 2 3 5 4 3 3" xfId="29130" xr:uid="{00000000-0005-0000-0000-00004F540000}"/>
    <cellStyle name="Comma 2 5 2 3 5 4 3 3 2" xfId="41031" xr:uid="{00000000-0005-0000-0000-000050540000}"/>
    <cellStyle name="Comma 2 5 2 3 5 4 3 4" xfId="32465" xr:uid="{00000000-0005-0000-0000-000051540000}"/>
    <cellStyle name="Comma 2 5 2 3 5 4 3 5" xfId="34607" xr:uid="{00000000-0005-0000-0000-000052540000}"/>
    <cellStyle name="Comma 2 5 2 3 5 4 4" xfId="8612" xr:uid="{00000000-0005-0000-0000-000053540000}"/>
    <cellStyle name="Comma 2 5 2 3 5 4 4 2" xfId="43196" xr:uid="{00000000-0005-0000-0000-000054540000}"/>
    <cellStyle name="Comma 2 5 2 3 5 4 4 3" xfId="36772" xr:uid="{00000000-0005-0000-0000-000055540000}"/>
    <cellStyle name="Comma 2 5 2 3 5 4 5" xfId="21601" xr:uid="{00000000-0005-0000-0000-000056540000}"/>
    <cellStyle name="Comma 2 5 2 3 5 4 5 2" xfId="39989" xr:uid="{00000000-0005-0000-0000-000057540000}"/>
    <cellStyle name="Comma 2 5 2 3 5 4 6" xfId="22674" xr:uid="{00000000-0005-0000-0000-000058540000}"/>
    <cellStyle name="Comma 2 5 2 3 5 4 7" xfId="23767" xr:uid="{00000000-0005-0000-0000-000059540000}"/>
    <cellStyle name="Comma 2 5 2 3 5 4 8" xfId="26996" xr:uid="{00000000-0005-0000-0000-00005A540000}"/>
    <cellStyle name="Comma 2 5 2 3 5 4 9" xfId="30329" xr:uid="{00000000-0005-0000-0000-00005B540000}"/>
    <cellStyle name="Comma 2 5 2 3 5 5" xfId="1342" xr:uid="{00000000-0005-0000-0000-00005C540000}"/>
    <cellStyle name="Comma 2 5 2 3 5 5 10" xfId="33566" xr:uid="{00000000-0005-0000-0000-00005D540000}"/>
    <cellStyle name="Comma 2 5 2 3 5 5 2" xfId="10112" xr:uid="{00000000-0005-0000-0000-00005E540000}"/>
    <cellStyle name="Comma 2 5 2 3 5 5 2 2" xfId="25912" xr:uid="{00000000-0005-0000-0000-00005F540000}"/>
    <cellStyle name="Comma 2 5 2 3 5 5 2 2 2" xfId="45339" xr:uid="{00000000-0005-0000-0000-000060540000}"/>
    <cellStyle name="Comma 2 5 2 3 5 5 2 2 3" xfId="38916" xr:uid="{00000000-0005-0000-0000-000061540000}"/>
    <cellStyle name="Comma 2 5 2 3 5 5 2 3" xfId="28090" xr:uid="{00000000-0005-0000-0000-000062540000}"/>
    <cellStyle name="Comma 2 5 2 3 5 5 2 3 2" xfId="42132" xr:uid="{00000000-0005-0000-0000-000063540000}"/>
    <cellStyle name="Comma 2 5 2 3 5 5 2 4" xfId="31425" xr:uid="{00000000-0005-0000-0000-000064540000}"/>
    <cellStyle name="Comma 2 5 2 3 5 5 2 5" xfId="35708" xr:uid="{00000000-0005-0000-0000-000065540000}"/>
    <cellStyle name="Comma 2 5 2 3 5 5 3" xfId="15795" xr:uid="{00000000-0005-0000-0000-000066540000}"/>
    <cellStyle name="Comma 2 5 2 3 5 5 3 2" xfId="24810" xr:uid="{00000000-0005-0000-0000-000067540000}"/>
    <cellStyle name="Comma 2 5 2 3 5 5 3 2 2" xfId="44239" xr:uid="{00000000-0005-0000-0000-000068540000}"/>
    <cellStyle name="Comma 2 5 2 3 5 5 3 2 3" xfId="37816" xr:uid="{00000000-0005-0000-0000-000069540000}"/>
    <cellStyle name="Comma 2 5 2 3 5 5 3 3" xfId="29131" xr:uid="{00000000-0005-0000-0000-00006A540000}"/>
    <cellStyle name="Comma 2 5 2 3 5 5 3 3 2" xfId="41032" xr:uid="{00000000-0005-0000-0000-00006B540000}"/>
    <cellStyle name="Comma 2 5 2 3 5 5 3 4" xfId="32466" xr:uid="{00000000-0005-0000-0000-00006C540000}"/>
    <cellStyle name="Comma 2 5 2 3 5 5 3 5" xfId="34608" xr:uid="{00000000-0005-0000-0000-00006D540000}"/>
    <cellStyle name="Comma 2 5 2 3 5 5 4" xfId="8613" xr:uid="{00000000-0005-0000-0000-00006E540000}"/>
    <cellStyle name="Comma 2 5 2 3 5 5 4 2" xfId="43197" xr:uid="{00000000-0005-0000-0000-00006F540000}"/>
    <cellStyle name="Comma 2 5 2 3 5 5 4 3" xfId="36773" xr:uid="{00000000-0005-0000-0000-000070540000}"/>
    <cellStyle name="Comma 2 5 2 3 5 5 5" xfId="21602" xr:uid="{00000000-0005-0000-0000-000071540000}"/>
    <cellStyle name="Comma 2 5 2 3 5 5 5 2" xfId="39990" xr:uid="{00000000-0005-0000-0000-000072540000}"/>
    <cellStyle name="Comma 2 5 2 3 5 5 6" xfId="22675" xr:uid="{00000000-0005-0000-0000-000073540000}"/>
    <cellStyle name="Comma 2 5 2 3 5 5 7" xfId="23768" xr:uid="{00000000-0005-0000-0000-000074540000}"/>
    <cellStyle name="Comma 2 5 2 3 5 5 8" xfId="26997" xr:uid="{00000000-0005-0000-0000-000075540000}"/>
    <cellStyle name="Comma 2 5 2 3 5 5 9" xfId="30330" xr:uid="{00000000-0005-0000-0000-000076540000}"/>
    <cellStyle name="Comma 2 5 2 3 5 6" xfId="10108" xr:uid="{00000000-0005-0000-0000-000077540000}"/>
    <cellStyle name="Comma 2 5 2 3 5 6 2" xfId="25908" xr:uid="{00000000-0005-0000-0000-000078540000}"/>
    <cellStyle name="Comma 2 5 2 3 5 6 2 2" xfId="45335" xr:uid="{00000000-0005-0000-0000-000079540000}"/>
    <cellStyle name="Comma 2 5 2 3 5 6 2 3" xfId="38912" xr:uid="{00000000-0005-0000-0000-00007A540000}"/>
    <cellStyle name="Comma 2 5 2 3 5 6 3" xfId="28086" xr:uid="{00000000-0005-0000-0000-00007B540000}"/>
    <cellStyle name="Comma 2 5 2 3 5 6 3 2" xfId="42128" xr:uid="{00000000-0005-0000-0000-00007C540000}"/>
    <cellStyle name="Comma 2 5 2 3 5 6 4" xfId="31421" xr:uid="{00000000-0005-0000-0000-00007D540000}"/>
    <cellStyle name="Comma 2 5 2 3 5 6 5" xfId="35704" xr:uid="{00000000-0005-0000-0000-00007E540000}"/>
    <cellStyle name="Comma 2 5 2 3 5 7" xfId="15791" xr:uid="{00000000-0005-0000-0000-00007F540000}"/>
    <cellStyle name="Comma 2 5 2 3 5 7 2" xfId="24806" xr:uid="{00000000-0005-0000-0000-000080540000}"/>
    <cellStyle name="Comma 2 5 2 3 5 7 2 2" xfId="44235" xr:uid="{00000000-0005-0000-0000-000081540000}"/>
    <cellStyle name="Comma 2 5 2 3 5 7 2 3" xfId="37812" xr:uid="{00000000-0005-0000-0000-000082540000}"/>
    <cellStyle name="Comma 2 5 2 3 5 7 3" xfId="29127" xr:uid="{00000000-0005-0000-0000-000083540000}"/>
    <cellStyle name="Comma 2 5 2 3 5 7 3 2" xfId="41028" xr:uid="{00000000-0005-0000-0000-000084540000}"/>
    <cellStyle name="Comma 2 5 2 3 5 7 4" xfId="32462" xr:uid="{00000000-0005-0000-0000-000085540000}"/>
    <cellStyle name="Comma 2 5 2 3 5 7 5" xfId="34604" xr:uid="{00000000-0005-0000-0000-000086540000}"/>
    <cellStyle name="Comma 2 5 2 3 5 8" xfId="8609" xr:uid="{00000000-0005-0000-0000-000087540000}"/>
    <cellStyle name="Comma 2 5 2 3 5 8 2" xfId="43193" xr:uid="{00000000-0005-0000-0000-000088540000}"/>
    <cellStyle name="Comma 2 5 2 3 5 8 3" xfId="36769" xr:uid="{00000000-0005-0000-0000-000089540000}"/>
    <cellStyle name="Comma 2 5 2 3 5 9" xfId="21598" xr:uid="{00000000-0005-0000-0000-00008A540000}"/>
    <cellStyle name="Comma 2 5 2 3 5 9 2" xfId="39986" xr:uid="{00000000-0005-0000-0000-00008B540000}"/>
    <cellStyle name="Comma 2 5 2 3 6" xfId="1343" xr:uid="{00000000-0005-0000-0000-00008C540000}"/>
    <cellStyle name="Comma 2 5 2 3 6 10" xfId="33567" xr:uid="{00000000-0005-0000-0000-00008D540000}"/>
    <cellStyle name="Comma 2 5 2 3 6 2" xfId="10113" xr:uid="{00000000-0005-0000-0000-00008E540000}"/>
    <cellStyle name="Comma 2 5 2 3 6 2 2" xfId="25913" xr:uid="{00000000-0005-0000-0000-00008F540000}"/>
    <cellStyle name="Comma 2 5 2 3 6 2 2 2" xfId="45340" xr:uid="{00000000-0005-0000-0000-000090540000}"/>
    <cellStyle name="Comma 2 5 2 3 6 2 2 3" xfId="38917" xr:uid="{00000000-0005-0000-0000-000091540000}"/>
    <cellStyle name="Comma 2 5 2 3 6 2 3" xfId="28091" xr:uid="{00000000-0005-0000-0000-000092540000}"/>
    <cellStyle name="Comma 2 5 2 3 6 2 3 2" xfId="42133" xr:uid="{00000000-0005-0000-0000-000093540000}"/>
    <cellStyle name="Comma 2 5 2 3 6 2 4" xfId="31426" xr:uid="{00000000-0005-0000-0000-000094540000}"/>
    <cellStyle name="Comma 2 5 2 3 6 2 5" xfId="35709" xr:uid="{00000000-0005-0000-0000-000095540000}"/>
    <cellStyle name="Comma 2 5 2 3 6 3" xfId="15796" xr:uid="{00000000-0005-0000-0000-000096540000}"/>
    <cellStyle name="Comma 2 5 2 3 6 3 2" xfId="24811" xr:uid="{00000000-0005-0000-0000-000097540000}"/>
    <cellStyle name="Comma 2 5 2 3 6 3 2 2" xfId="44240" xr:uid="{00000000-0005-0000-0000-000098540000}"/>
    <cellStyle name="Comma 2 5 2 3 6 3 2 3" xfId="37817" xr:uid="{00000000-0005-0000-0000-000099540000}"/>
    <cellStyle name="Comma 2 5 2 3 6 3 3" xfId="29132" xr:uid="{00000000-0005-0000-0000-00009A540000}"/>
    <cellStyle name="Comma 2 5 2 3 6 3 3 2" xfId="41033" xr:uid="{00000000-0005-0000-0000-00009B540000}"/>
    <cellStyle name="Comma 2 5 2 3 6 3 4" xfId="32467" xr:uid="{00000000-0005-0000-0000-00009C540000}"/>
    <cellStyle name="Comma 2 5 2 3 6 3 5" xfId="34609" xr:uid="{00000000-0005-0000-0000-00009D540000}"/>
    <cellStyle name="Comma 2 5 2 3 6 4" xfId="8614" xr:uid="{00000000-0005-0000-0000-00009E540000}"/>
    <cellStyle name="Comma 2 5 2 3 6 4 2" xfId="43198" xr:uid="{00000000-0005-0000-0000-00009F540000}"/>
    <cellStyle name="Comma 2 5 2 3 6 4 3" xfId="36774" xr:uid="{00000000-0005-0000-0000-0000A0540000}"/>
    <cellStyle name="Comma 2 5 2 3 6 5" xfId="21603" xr:uid="{00000000-0005-0000-0000-0000A1540000}"/>
    <cellStyle name="Comma 2 5 2 3 6 5 2" xfId="39991" xr:uid="{00000000-0005-0000-0000-0000A2540000}"/>
    <cellStyle name="Comma 2 5 2 3 6 6" xfId="22676" xr:uid="{00000000-0005-0000-0000-0000A3540000}"/>
    <cellStyle name="Comma 2 5 2 3 6 7" xfId="23769" xr:uid="{00000000-0005-0000-0000-0000A4540000}"/>
    <cellStyle name="Comma 2 5 2 3 6 8" xfId="26998" xr:uid="{00000000-0005-0000-0000-0000A5540000}"/>
    <cellStyle name="Comma 2 5 2 3 6 9" xfId="30331" xr:uid="{00000000-0005-0000-0000-0000A6540000}"/>
    <cellStyle name="Comma 2 5 2 3 7" xfId="1344" xr:uid="{00000000-0005-0000-0000-0000A7540000}"/>
    <cellStyle name="Comma 2 5 2 3 7 10" xfId="33568" xr:uid="{00000000-0005-0000-0000-0000A8540000}"/>
    <cellStyle name="Comma 2 5 2 3 7 2" xfId="10114" xr:uid="{00000000-0005-0000-0000-0000A9540000}"/>
    <cellStyle name="Comma 2 5 2 3 7 2 2" xfId="25914" xr:uid="{00000000-0005-0000-0000-0000AA540000}"/>
    <cellStyle name="Comma 2 5 2 3 7 2 2 2" xfId="45341" xr:uid="{00000000-0005-0000-0000-0000AB540000}"/>
    <cellStyle name="Comma 2 5 2 3 7 2 2 3" xfId="38918" xr:uid="{00000000-0005-0000-0000-0000AC540000}"/>
    <cellStyle name="Comma 2 5 2 3 7 2 3" xfId="28092" xr:uid="{00000000-0005-0000-0000-0000AD540000}"/>
    <cellStyle name="Comma 2 5 2 3 7 2 3 2" xfId="42134" xr:uid="{00000000-0005-0000-0000-0000AE540000}"/>
    <cellStyle name="Comma 2 5 2 3 7 2 4" xfId="31427" xr:uid="{00000000-0005-0000-0000-0000AF540000}"/>
    <cellStyle name="Comma 2 5 2 3 7 2 5" xfId="35710" xr:uid="{00000000-0005-0000-0000-0000B0540000}"/>
    <cellStyle name="Comma 2 5 2 3 7 3" xfId="15797" xr:uid="{00000000-0005-0000-0000-0000B1540000}"/>
    <cellStyle name="Comma 2 5 2 3 7 3 2" xfId="24812" xr:uid="{00000000-0005-0000-0000-0000B2540000}"/>
    <cellStyle name="Comma 2 5 2 3 7 3 2 2" xfId="44241" xr:uid="{00000000-0005-0000-0000-0000B3540000}"/>
    <cellStyle name="Comma 2 5 2 3 7 3 2 3" xfId="37818" xr:uid="{00000000-0005-0000-0000-0000B4540000}"/>
    <cellStyle name="Comma 2 5 2 3 7 3 3" xfId="29133" xr:uid="{00000000-0005-0000-0000-0000B5540000}"/>
    <cellStyle name="Comma 2 5 2 3 7 3 3 2" xfId="41034" xr:uid="{00000000-0005-0000-0000-0000B6540000}"/>
    <cellStyle name="Comma 2 5 2 3 7 3 4" xfId="32468" xr:uid="{00000000-0005-0000-0000-0000B7540000}"/>
    <cellStyle name="Comma 2 5 2 3 7 3 5" xfId="34610" xr:uid="{00000000-0005-0000-0000-0000B8540000}"/>
    <cellStyle name="Comma 2 5 2 3 7 4" xfId="8615" xr:uid="{00000000-0005-0000-0000-0000B9540000}"/>
    <cellStyle name="Comma 2 5 2 3 7 4 2" xfId="43199" xr:uid="{00000000-0005-0000-0000-0000BA540000}"/>
    <cellStyle name="Comma 2 5 2 3 7 4 3" xfId="36775" xr:uid="{00000000-0005-0000-0000-0000BB540000}"/>
    <cellStyle name="Comma 2 5 2 3 7 5" xfId="21604" xr:uid="{00000000-0005-0000-0000-0000BC540000}"/>
    <cellStyle name="Comma 2 5 2 3 7 5 2" xfId="39992" xr:uid="{00000000-0005-0000-0000-0000BD540000}"/>
    <cellStyle name="Comma 2 5 2 3 7 6" xfId="22677" xr:uid="{00000000-0005-0000-0000-0000BE540000}"/>
    <cellStyle name="Comma 2 5 2 3 7 7" xfId="23770" xr:uid="{00000000-0005-0000-0000-0000BF540000}"/>
    <cellStyle name="Comma 2 5 2 3 7 8" xfId="26999" xr:uid="{00000000-0005-0000-0000-0000C0540000}"/>
    <cellStyle name="Comma 2 5 2 3 7 9" xfId="30332" xr:uid="{00000000-0005-0000-0000-0000C1540000}"/>
    <cellStyle name="Comma 2 5 2 3 8" xfId="1345" xr:uid="{00000000-0005-0000-0000-0000C2540000}"/>
    <cellStyle name="Comma 2 5 2 3 8 10" xfId="33569" xr:uid="{00000000-0005-0000-0000-0000C3540000}"/>
    <cellStyle name="Comma 2 5 2 3 8 2" xfId="10115" xr:uid="{00000000-0005-0000-0000-0000C4540000}"/>
    <cellStyle name="Comma 2 5 2 3 8 2 2" xfId="25915" xr:uid="{00000000-0005-0000-0000-0000C5540000}"/>
    <cellStyle name="Comma 2 5 2 3 8 2 2 2" xfId="45342" xr:uid="{00000000-0005-0000-0000-0000C6540000}"/>
    <cellStyle name="Comma 2 5 2 3 8 2 2 3" xfId="38919" xr:uid="{00000000-0005-0000-0000-0000C7540000}"/>
    <cellStyle name="Comma 2 5 2 3 8 2 3" xfId="28093" xr:uid="{00000000-0005-0000-0000-0000C8540000}"/>
    <cellStyle name="Comma 2 5 2 3 8 2 3 2" xfId="42135" xr:uid="{00000000-0005-0000-0000-0000C9540000}"/>
    <cellStyle name="Comma 2 5 2 3 8 2 4" xfId="31428" xr:uid="{00000000-0005-0000-0000-0000CA540000}"/>
    <cellStyle name="Comma 2 5 2 3 8 2 5" xfId="35711" xr:uid="{00000000-0005-0000-0000-0000CB540000}"/>
    <cellStyle name="Comma 2 5 2 3 8 3" xfId="15798" xr:uid="{00000000-0005-0000-0000-0000CC540000}"/>
    <cellStyle name="Comma 2 5 2 3 8 3 2" xfId="24813" xr:uid="{00000000-0005-0000-0000-0000CD540000}"/>
    <cellStyle name="Comma 2 5 2 3 8 3 2 2" xfId="44242" xr:uid="{00000000-0005-0000-0000-0000CE540000}"/>
    <cellStyle name="Comma 2 5 2 3 8 3 2 3" xfId="37819" xr:uid="{00000000-0005-0000-0000-0000CF540000}"/>
    <cellStyle name="Comma 2 5 2 3 8 3 3" xfId="29134" xr:uid="{00000000-0005-0000-0000-0000D0540000}"/>
    <cellStyle name="Comma 2 5 2 3 8 3 3 2" xfId="41035" xr:uid="{00000000-0005-0000-0000-0000D1540000}"/>
    <cellStyle name="Comma 2 5 2 3 8 3 4" xfId="32469" xr:uid="{00000000-0005-0000-0000-0000D2540000}"/>
    <cellStyle name="Comma 2 5 2 3 8 3 5" xfId="34611" xr:uid="{00000000-0005-0000-0000-0000D3540000}"/>
    <cellStyle name="Comma 2 5 2 3 8 4" xfId="8616" xr:uid="{00000000-0005-0000-0000-0000D4540000}"/>
    <cellStyle name="Comma 2 5 2 3 8 4 2" xfId="43200" xr:uid="{00000000-0005-0000-0000-0000D5540000}"/>
    <cellStyle name="Comma 2 5 2 3 8 4 3" xfId="36776" xr:uid="{00000000-0005-0000-0000-0000D6540000}"/>
    <cellStyle name="Comma 2 5 2 3 8 5" xfId="21605" xr:uid="{00000000-0005-0000-0000-0000D7540000}"/>
    <cellStyle name="Comma 2 5 2 3 8 5 2" xfId="39993" xr:uid="{00000000-0005-0000-0000-0000D8540000}"/>
    <cellStyle name="Comma 2 5 2 3 8 6" xfId="22678" xr:uid="{00000000-0005-0000-0000-0000D9540000}"/>
    <cellStyle name="Comma 2 5 2 3 8 7" xfId="23771" xr:uid="{00000000-0005-0000-0000-0000DA540000}"/>
    <cellStyle name="Comma 2 5 2 3 8 8" xfId="27000" xr:uid="{00000000-0005-0000-0000-0000DB540000}"/>
    <cellStyle name="Comma 2 5 2 3 8 9" xfId="30333" xr:uid="{00000000-0005-0000-0000-0000DC540000}"/>
    <cellStyle name="Comma 2 5 2 3 9" xfId="1346" xr:uid="{00000000-0005-0000-0000-0000DD540000}"/>
    <cellStyle name="Comma 2 5 2 3 9 10" xfId="33570" xr:uid="{00000000-0005-0000-0000-0000DE540000}"/>
    <cellStyle name="Comma 2 5 2 3 9 2" xfId="10116" xr:uid="{00000000-0005-0000-0000-0000DF540000}"/>
    <cellStyle name="Comma 2 5 2 3 9 2 2" xfId="25916" xr:uid="{00000000-0005-0000-0000-0000E0540000}"/>
    <cellStyle name="Comma 2 5 2 3 9 2 2 2" xfId="45343" xr:uid="{00000000-0005-0000-0000-0000E1540000}"/>
    <cellStyle name="Comma 2 5 2 3 9 2 2 3" xfId="38920" xr:uid="{00000000-0005-0000-0000-0000E2540000}"/>
    <cellStyle name="Comma 2 5 2 3 9 2 3" xfId="28094" xr:uid="{00000000-0005-0000-0000-0000E3540000}"/>
    <cellStyle name="Comma 2 5 2 3 9 2 3 2" xfId="42136" xr:uid="{00000000-0005-0000-0000-0000E4540000}"/>
    <cellStyle name="Comma 2 5 2 3 9 2 4" xfId="31429" xr:uid="{00000000-0005-0000-0000-0000E5540000}"/>
    <cellStyle name="Comma 2 5 2 3 9 2 5" xfId="35712" xr:uid="{00000000-0005-0000-0000-0000E6540000}"/>
    <cellStyle name="Comma 2 5 2 3 9 3" xfId="15799" xr:uid="{00000000-0005-0000-0000-0000E7540000}"/>
    <cellStyle name="Comma 2 5 2 3 9 3 2" xfId="24814" xr:uid="{00000000-0005-0000-0000-0000E8540000}"/>
    <cellStyle name="Comma 2 5 2 3 9 3 2 2" xfId="44243" xr:uid="{00000000-0005-0000-0000-0000E9540000}"/>
    <cellStyle name="Comma 2 5 2 3 9 3 2 3" xfId="37820" xr:uid="{00000000-0005-0000-0000-0000EA540000}"/>
    <cellStyle name="Comma 2 5 2 3 9 3 3" xfId="29135" xr:uid="{00000000-0005-0000-0000-0000EB540000}"/>
    <cellStyle name="Comma 2 5 2 3 9 3 3 2" xfId="41036" xr:uid="{00000000-0005-0000-0000-0000EC540000}"/>
    <cellStyle name="Comma 2 5 2 3 9 3 4" xfId="32470" xr:uid="{00000000-0005-0000-0000-0000ED540000}"/>
    <cellStyle name="Comma 2 5 2 3 9 3 5" xfId="34612" xr:uid="{00000000-0005-0000-0000-0000EE540000}"/>
    <cellStyle name="Comma 2 5 2 3 9 4" xfId="8617" xr:uid="{00000000-0005-0000-0000-0000EF540000}"/>
    <cellStyle name="Comma 2 5 2 3 9 4 2" xfId="43201" xr:uid="{00000000-0005-0000-0000-0000F0540000}"/>
    <cellStyle name="Comma 2 5 2 3 9 4 3" xfId="36777" xr:uid="{00000000-0005-0000-0000-0000F1540000}"/>
    <cellStyle name="Comma 2 5 2 3 9 5" xfId="21606" xr:uid="{00000000-0005-0000-0000-0000F2540000}"/>
    <cellStyle name="Comma 2 5 2 3 9 5 2" xfId="39994" xr:uid="{00000000-0005-0000-0000-0000F3540000}"/>
    <cellStyle name="Comma 2 5 2 3 9 6" xfId="22679" xr:uid="{00000000-0005-0000-0000-0000F4540000}"/>
    <cellStyle name="Comma 2 5 2 3 9 7" xfId="23772" xr:uid="{00000000-0005-0000-0000-0000F5540000}"/>
    <cellStyle name="Comma 2 5 2 3 9 8" xfId="27001" xr:uid="{00000000-0005-0000-0000-0000F6540000}"/>
    <cellStyle name="Comma 2 5 2 3 9 9" xfId="30334" xr:uid="{00000000-0005-0000-0000-0000F7540000}"/>
    <cellStyle name="Comma 2 5 2 4" xfId="282" xr:uid="{00000000-0005-0000-0000-0000F8540000}"/>
    <cellStyle name="Comma 2 5 2 4 10" xfId="15800" xr:uid="{00000000-0005-0000-0000-0000F9540000}"/>
    <cellStyle name="Comma 2 5 2 4 10 2" xfId="24815" xr:uid="{00000000-0005-0000-0000-0000FA540000}"/>
    <cellStyle name="Comma 2 5 2 4 10 2 2" xfId="44244" xr:uid="{00000000-0005-0000-0000-0000FB540000}"/>
    <cellStyle name="Comma 2 5 2 4 10 2 3" xfId="37821" xr:uid="{00000000-0005-0000-0000-0000FC540000}"/>
    <cellStyle name="Comma 2 5 2 4 10 3" xfId="29136" xr:uid="{00000000-0005-0000-0000-0000FD540000}"/>
    <cellStyle name="Comma 2 5 2 4 10 3 2" xfId="41037" xr:uid="{00000000-0005-0000-0000-0000FE540000}"/>
    <cellStyle name="Comma 2 5 2 4 10 4" xfId="32471" xr:uid="{00000000-0005-0000-0000-0000FF540000}"/>
    <cellStyle name="Comma 2 5 2 4 10 5" xfId="34613" xr:uid="{00000000-0005-0000-0000-000000550000}"/>
    <cellStyle name="Comma 2 5 2 4 11" xfId="8618" xr:uid="{00000000-0005-0000-0000-000001550000}"/>
    <cellStyle name="Comma 2 5 2 4 11 2" xfId="42482" xr:uid="{00000000-0005-0000-0000-000002550000}"/>
    <cellStyle name="Comma 2 5 2 4 11 3" xfId="36058" xr:uid="{00000000-0005-0000-0000-000003550000}"/>
    <cellStyle name="Comma 2 5 2 4 12" xfId="21607" xr:uid="{00000000-0005-0000-0000-000004550000}"/>
    <cellStyle name="Comma 2 5 2 4 12 2" xfId="39275" xr:uid="{00000000-0005-0000-0000-000005550000}"/>
    <cellStyle name="Comma 2 5 2 4 13" xfId="22680" xr:uid="{00000000-0005-0000-0000-000006550000}"/>
    <cellStyle name="Comma 2 5 2 4 14" xfId="23053" xr:uid="{00000000-0005-0000-0000-000007550000}"/>
    <cellStyle name="Comma 2 5 2 4 15" xfId="27002" xr:uid="{00000000-0005-0000-0000-000008550000}"/>
    <cellStyle name="Comma 2 5 2 4 16" xfId="30335" xr:uid="{00000000-0005-0000-0000-000009550000}"/>
    <cellStyle name="Comma 2 5 2 4 17" xfId="32851" xr:uid="{00000000-0005-0000-0000-00000A550000}"/>
    <cellStyle name="Comma 2 5 2 4 2" xfId="283" xr:uid="{00000000-0005-0000-0000-00000B550000}"/>
    <cellStyle name="Comma 2 5 2 4 2 10" xfId="21608" xr:uid="{00000000-0005-0000-0000-00000C550000}"/>
    <cellStyle name="Comma 2 5 2 4 2 10 2" xfId="39276" xr:uid="{00000000-0005-0000-0000-00000D550000}"/>
    <cellStyle name="Comma 2 5 2 4 2 11" xfId="22681" xr:uid="{00000000-0005-0000-0000-00000E550000}"/>
    <cellStyle name="Comma 2 5 2 4 2 12" xfId="23054" xr:uid="{00000000-0005-0000-0000-00000F550000}"/>
    <cellStyle name="Comma 2 5 2 4 2 13" xfId="27003" xr:uid="{00000000-0005-0000-0000-000010550000}"/>
    <cellStyle name="Comma 2 5 2 4 2 14" xfId="30336" xr:uid="{00000000-0005-0000-0000-000011550000}"/>
    <cellStyle name="Comma 2 5 2 4 2 15" xfId="32852" xr:uid="{00000000-0005-0000-0000-000012550000}"/>
    <cellStyle name="Comma 2 5 2 4 2 2" xfId="1347" xr:uid="{00000000-0005-0000-0000-000013550000}"/>
    <cellStyle name="Comma 2 5 2 4 2 2 10" xfId="33571" xr:uid="{00000000-0005-0000-0000-000014550000}"/>
    <cellStyle name="Comma 2 5 2 4 2 2 2" xfId="10117" xr:uid="{00000000-0005-0000-0000-000015550000}"/>
    <cellStyle name="Comma 2 5 2 4 2 2 2 2" xfId="25917" xr:uid="{00000000-0005-0000-0000-000016550000}"/>
    <cellStyle name="Comma 2 5 2 4 2 2 2 2 2" xfId="45344" xr:uid="{00000000-0005-0000-0000-000017550000}"/>
    <cellStyle name="Comma 2 5 2 4 2 2 2 2 3" xfId="38921" xr:uid="{00000000-0005-0000-0000-000018550000}"/>
    <cellStyle name="Comma 2 5 2 4 2 2 2 3" xfId="28095" xr:uid="{00000000-0005-0000-0000-000019550000}"/>
    <cellStyle name="Comma 2 5 2 4 2 2 2 3 2" xfId="42137" xr:uid="{00000000-0005-0000-0000-00001A550000}"/>
    <cellStyle name="Comma 2 5 2 4 2 2 2 4" xfId="31430" xr:uid="{00000000-0005-0000-0000-00001B550000}"/>
    <cellStyle name="Comma 2 5 2 4 2 2 2 5" xfId="35713" xr:uid="{00000000-0005-0000-0000-00001C550000}"/>
    <cellStyle name="Comma 2 5 2 4 2 2 3" xfId="15802" xr:uid="{00000000-0005-0000-0000-00001D550000}"/>
    <cellStyle name="Comma 2 5 2 4 2 2 3 2" xfId="24817" xr:uid="{00000000-0005-0000-0000-00001E550000}"/>
    <cellStyle name="Comma 2 5 2 4 2 2 3 2 2" xfId="44246" xr:uid="{00000000-0005-0000-0000-00001F550000}"/>
    <cellStyle name="Comma 2 5 2 4 2 2 3 2 3" xfId="37823" xr:uid="{00000000-0005-0000-0000-000020550000}"/>
    <cellStyle name="Comma 2 5 2 4 2 2 3 3" xfId="29138" xr:uid="{00000000-0005-0000-0000-000021550000}"/>
    <cellStyle name="Comma 2 5 2 4 2 2 3 3 2" xfId="41039" xr:uid="{00000000-0005-0000-0000-000022550000}"/>
    <cellStyle name="Comma 2 5 2 4 2 2 3 4" xfId="32473" xr:uid="{00000000-0005-0000-0000-000023550000}"/>
    <cellStyle name="Comma 2 5 2 4 2 2 3 5" xfId="34615" xr:uid="{00000000-0005-0000-0000-000024550000}"/>
    <cellStyle name="Comma 2 5 2 4 2 2 4" xfId="8620" xr:uid="{00000000-0005-0000-0000-000025550000}"/>
    <cellStyle name="Comma 2 5 2 4 2 2 4 2" xfId="43202" xr:uid="{00000000-0005-0000-0000-000026550000}"/>
    <cellStyle name="Comma 2 5 2 4 2 2 4 3" xfId="36778" xr:uid="{00000000-0005-0000-0000-000027550000}"/>
    <cellStyle name="Comma 2 5 2 4 2 2 5" xfId="21609" xr:uid="{00000000-0005-0000-0000-000028550000}"/>
    <cellStyle name="Comma 2 5 2 4 2 2 5 2" xfId="39995" xr:uid="{00000000-0005-0000-0000-000029550000}"/>
    <cellStyle name="Comma 2 5 2 4 2 2 6" xfId="22682" xr:uid="{00000000-0005-0000-0000-00002A550000}"/>
    <cellStyle name="Comma 2 5 2 4 2 2 7" xfId="23773" xr:uid="{00000000-0005-0000-0000-00002B550000}"/>
    <cellStyle name="Comma 2 5 2 4 2 2 8" xfId="27004" xr:uid="{00000000-0005-0000-0000-00002C550000}"/>
    <cellStyle name="Comma 2 5 2 4 2 2 9" xfId="30337" xr:uid="{00000000-0005-0000-0000-00002D550000}"/>
    <cellStyle name="Comma 2 5 2 4 2 3" xfId="1348" xr:uid="{00000000-0005-0000-0000-00002E550000}"/>
    <cellStyle name="Comma 2 5 2 4 2 3 10" xfId="33572" xr:uid="{00000000-0005-0000-0000-00002F550000}"/>
    <cellStyle name="Comma 2 5 2 4 2 3 2" xfId="10118" xr:uid="{00000000-0005-0000-0000-000030550000}"/>
    <cellStyle name="Comma 2 5 2 4 2 3 2 2" xfId="25918" xr:uid="{00000000-0005-0000-0000-000031550000}"/>
    <cellStyle name="Comma 2 5 2 4 2 3 2 2 2" xfId="45345" xr:uid="{00000000-0005-0000-0000-000032550000}"/>
    <cellStyle name="Comma 2 5 2 4 2 3 2 2 3" xfId="38922" xr:uid="{00000000-0005-0000-0000-000033550000}"/>
    <cellStyle name="Comma 2 5 2 4 2 3 2 3" xfId="28096" xr:uid="{00000000-0005-0000-0000-000034550000}"/>
    <cellStyle name="Comma 2 5 2 4 2 3 2 3 2" xfId="42138" xr:uid="{00000000-0005-0000-0000-000035550000}"/>
    <cellStyle name="Comma 2 5 2 4 2 3 2 4" xfId="31431" xr:uid="{00000000-0005-0000-0000-000036550000}"/>
    <cellStyle name="Comma 2 5 2 4 2 3 2 5" xfId="35714" xr:uid="{00000000-0005-0000-0000-000037550000}"/>
    <cellStyle name="Comma 2 5 2 4 2 3 3" xfId="15803" xr:uid="{00000000-0005-0000-0000-000038550000}"/>
    <cellStyle name="Comma 2 5 2 4 2 3 3 2" xfId="24818" xr:uid="{00000000-0005-0000-0000-000039550000}"/>
    <cellStyle name="Comma 2 5 2 4 2 3 3 2 2" xfId="44247" xr:uid="{00000000-0005-0000-0000-00003A550000}"/>
    <cellStyle name="Comma 2 5 2 4 2 3 3 2 3" xfId="37824" xr:uid="{00000000-0005-0000-0000-00003B550000}"/>
    <cellStyle name="Comma 2 5 2 4 2 3 3 3" xfId="29139" xr:uid="{00000000-0005-0000-0000-00003C550000}"/>
    <cellStyle name="Comma 2 5 2 4 2 3 3 3 2" xfId="41040" xr:uid="{00000000-0005-0000-0000-00003D550000}"/>
    <cellStyle name="Comma 2 5 2 4 2 3 3 4" xfId="32474" xr:uid="{00000000-0005-0000-0000-00003E550000}"/>
    <cellStyle name="Comma 2 5 2 4 2 3 3 5" xfId="34616" xr:uid="{00000000-0005-0000-0000-00003F550000}"/>
    <cellStyle name="Comma 2 5 2 4 2 3 4" xfId="8621" xr:uid="{00000000-0005-0000-0000-000040550000}"/>
    <cellStyle name="Comma 2 5 2 4 2 3 4 2" xfId="43203" xr:uid="{00000000-0005-0000-0000-000041550000}"/>
    <cellStyle name="Comma 2 5 2 4 2 3 4 3" xfId="36779" xr:uid="{00000000-0005-0000-0000-000042550000}"/>
    <cellStyle name="Comma 2 5 2 4 2 3 5" xfId="21610" xr:uid="{00000000-0005-0000-0000-000043550000}"/>
    <cellStyle name="Comma 2 5 2 4 2 3 5 2" xfId="39996" xr:uid="{00000000-0005-0000-0000-000044550000}"/>
    <cellStyle name="Comma 2 5 2 4 2 3 6" xfId="22683" xr:uid="{00000000-0005-0000-0000-000045550000}"/>
    <cellStyle name="Comma 2 5 2 4 2 3 7" xfId="23774" xr:uid="{00000000-0005-0000-0000-000046550000}"/>
    <cellStyle name="Comma 2 5 2 4 2 3 8" xfId="27005" xr:uid="{00000000-0005-0000-0000-000047550000}"/>
    <cellStyle name="Comma 2 5 2 4 2 3 9" xfId="30338" xr:uid="{00000000-0005-0000-0000-000048550000}"/>
    <cellStyle name="Comma 2 5 2 4 2 4" xfId="1349" xr:uid="{00000000-0005-0000-0000-000049550000}"/>
    <cellStyle name="Comma 2 5 2 4 2 4 10" xfId="33573" xr:uid="{00000000-0005-0000-0000-00004A550000}"/>
    <cellStyle name="Comma 2 5 2 4 2 4 2" xfId="10119" xr:uid="{00000000-0005-0000-0000-00004B550000}"/>
    <cellStyle name="Comma 2 5 2 4 2 4 2 2" xfId="25919" xr:uid="{00000000-0005-0000-0000-00004C550000}"/>
    <cellStyle name="Comma 2 5 2 4 2 4 2 2 2" xfId="45346" xr:uid="{00000000-0005-0000-0000-00004D550000}"/>
    <cellStyle name="Comma 2 5 2 4 2 4 2 2 3" xfId="38923" xr:uid="{00000000-0005-0000-0000-00004E550000}"/>
    <cellStyle name="Comma 2 5 2 4 2 4 2 3" xfId="28097" xr:uid="{00000000-0005-0000-0000-00004F550000}"/>
    <cellStyle name="Comma 2 5 2 4 2 4 2 3 2" xfId="42139" xr:uid="{00000000-0005-0000-0000-000050550000}"/>
    <cellStyle name="Comma 2 5 2 4 2 4 2 4" xfId="31432" xr:uid="{00000000-0005-0000-0000-000051550000}"/>
    <cellStyle name="Comma 2 5 2 4 2 4 2 5" xfId="35715" xr:uid="{00000000-0005-0000-0000-000052550000}"/>
    <cellStyle name="Comma 2 5 2 4 2 4 3" xfId="15804" xr:uid="{00000000-0005-0000-0000-000053550000}"/>
    <cellStyle name="Comma 2 5 2 4 2 4 3 2" xfId="24819" xr:uid="{00000000-0005-0000-0000-000054550000}"/>
    <cellStyle name="Comma 2 5 2 4 2 4 3 2 2" xfId="44248" xr:uid="{00000000-0005-0000-0000-000055550000}"/>
    <cellStyle name="Comma 2 5 2 4 2 4 3 2 3" xfId="37825" xr:uid="{00000000-0005-0000-0000-000056550000}"/>
    <cellStyle name="Comma 2 5 2 4 2 4 3 3" xfId="29140" xr:uid="{00000000-0005-0000-0000-000057550000}"/>
    <cellStyle name="Comma 2 5 2 4 2 4 3 3 2" xfId="41041" xr:uid="{00000000-0005-0000-0000-000058550000}"/>
    <cellStyle name="Comma 2 5 2 4 2 4 3 4" xfId="32475" xr:uid="{00000000-0005-0000-0000-000059550000}"/>
    <cellStyle name="Comma 2 5 2 4 2 4 3 5" xfId="34617" xr:uid="{00000000-0005-0000-0000-00005A550000}"/>
    <cellStyle name="Comma 2 5 2 4 2 4 4" xfId="8622" xr:uid="{00000000-0005-0000-0000-00005B550000}"/>
    <cellStyle name="Comma 2 5 2 4 2 4 4 2" xfId="43204" xr:uid="{00000000-0005-0000-0000-00005C550000}"/>
    <cellStyle name="Comma 2 5 2 4 2 4 4 3" xfId="36780" xr:uid="{00000000-0005-0000-0000-00005D550000}"/>
    <cellStyle name="Comma 2 5 2 4 2 4 5" xfId="21611" xr:uid="{00000000-0005-0000-0000-00005E550000}"/>
    <cellStyle name="Comma 2 5 2 4 2 4 5 2" xfId="39997" xr:uid="{00000000-0005-0000-0000-00005F550000}"/>
    <cellStyle name="Comma 2 5 2 4 2 4 6" xfId="22684" xr:uid="{00000000-0005-0000-0000-000060550000}"/>
    <cellStyle name="Comma 2 5 2 4 2 4 7" xfId="23775" xr:uid="{00000000-0005-0000-0000-000061550000}"/>
    <cellStyle name="Comma 2 5 2 4 2 4 8" xfId="27006" xr:uid="{00000000-0005-0000-0000-000062550000}"/>
    <cellStyle name="Comma 2 5 2 4 2 4 9" xfId="30339" xr:uid="{00000000-0005-0000-0000-000063550000}"/>
    <cellStyle name="Comma 2 5 2 4 2 5" xfId="1350" xr:uid="{00000000-0005-0000-0000-000064550000}"/>
    <cellStyle name="Comma 2 5 2 4 2 5 10" xfId="33574" xr:uid="{00000000-0005-0000-0000-000065550000}"/>
    <cellStyle name="Comma 2 5 2 4 2 5 2" xfId="10120" xr:uid="{00000000-0005-0000-0000-000066550000}"/>
    <cellStyle name="Comma 2 5 2 4 2 5 2 2" xfId="25920" xr:uid="{00000000-0005-0000-0000-000067550000}"/>
    <cellStyle name="Comma 2 5 2 4 2 5 2 2 2" xfId="45347" xr:uid="{00000000-0005-0000-0000-000068550000}"/>
    <cellStyle name="Comma 2 5 2 4 2 5 2 2 3" xfId="38924" xr:uid="{00000000-0005-0000-0000-000069550000}"/>
    <cellStyle name="Comma 2 5 2 4 2 5 2 3" xfId="28098" xr:uid="{00000000-0005-0000-0000-00006A550000}"/>
    <cellStyle name="Comma 2 5 2 4 2 5 2 3 2" xfId="42140" xr:uid="{00000000-0005-0000-0000-00006B550000}"/>
    <cellStyle name="Comma 2 5 2 4 2 5 2 4" xfId="31433" xr:uid="{00000000-0005-0000-0000-00006C550000}"/>
    <cellStyle name="Comma 2 5 2 4 2 5 2 5" xfId="35716" xr:uid="{00000000-0005-0000-0000-00006D550000}"/>
    <cellStyle name="Comma 2 5 2 4 2 5 3" xfId="15805" xr:uid="{00000000-0005-0000-0000-00006E550000}"/>
    <cellStyle name="Comma 2 5 2 4 2 5 3 2" xfId="24820" xr:uid="{00000000-0005-0000-0000-00006F550000}"/>
    <cellStyle name="Comma 2 5 2 4 2 5 3 2 2" xfId="44249" xr:uid="{00000000-0005-0000-0000-000070550000}"/>
    <cellStyle name="Comma 2 5 2 4 2 5 3 2 3" xfId="37826" xr:uid="{00000000-0005-0000-0000-000071550000}"/>
    <cellStyle name="Comma 2 5 2 4 2 5 3 3" xfId="29141" xr:uid="{00000000-0005-0000-0000-000072550000}"/>
    <cellStyle name="Comma 2 5 2 4 2 5 3 3 2" xfId="41042" xr:uid="{00000000-0005-0000-0000-000073550000}"/>
    <cellStyle name="Comma 2 5 2 4 2 5 3 4" xfId="32476" xr:uid="{00000000-0005-0000-0000-000074550000}"/>
    <cellStyle name="Comma 2 5 2 4 2 5 3 5" xfId="34618" xr:uid="{00000000-0005-0000-0000-000075550000}"/>
    <cellStyle name="Comma 2 5 2 4 2 5 4" xfId="8623" xr:uid="{00000000-0005-0000-0000-000076550000}"/>
    <cellStyle name="Comma 2 5 2 4 2 5 4 2" xfId="43205" xr:uid="{00000000-0005-0000-0000-000077550000}"/>
    <cellStyle name="Comma 2 5 2 4 2 5 4 3" xfId="36781" xr:uid="{00000000-0005-0000-0000-000078550000}"/>
    <cellStyle name="Comma 2 5 2 4 2 5 5" xfId="21612" xr:uid="{00000000-0005-0000-0000-000079550000}"/>
    <cellStyle name="Comma 2 5 2 4 2 5 5 2" xfId="39998" xr:uid="{00000000-0005-0000-0000-00007A550000}"/>
    <cellStyle name="Comma 2 5 2 4 2 5 6" xfId="22685" xr:uid="{00000000-0005-0000-0000-00007B550000}"/>
    <cellStyle name="Comma 2 5 2 4 2 5 7" xfId="23776" xr:uid="{00000000-0005-0000-0000-00007C550000}"/>
    <cellStyle name="Comma 2 5 2 4 2 5 8" xfId="27007" xr:uid="{00000000-0005-0000-0000-00007D550000}"/>
    <cellStyle name="Comma 2 5 2 4 2 5 9" xfId="30340" xr:uid="{00000000-0005-0000-0000-00007E550000}"/>
    <cellStyle name="Comma 2 5 2 4 2 6" xfId="1351" xr:uid="{00000000-0005-0000-0000-00007F550000}"/>
    <cellStyle name="Comma 2 5 2 4 2 6 10" xfId="33575" xr:uid="{00000000-0005-0000-0000-000080550000}"/>
    <cellStyle name="Comma 2 5 2 4 2 6 2" xfId="10121" xr:uid="{00000000-0005-0000-0000-000081550000}"/>
    <cellStyle name="Comma 2 5 2 4 2 6 2 2" xfId="25921" xr:uid="{00000000-0005-0000-0000-000082550000}"/>
    <cellStyle name="Comma 2 5 2 4 2 6 2 2 2" xfId="45348" xr:uid="{00000000-0005-0000-0000-000083550000}"/>
    <cellStyle name="Comma 2 5 2 4 2 6 2 2 3" xfId="38925" xr:uid="{00000000-0005-0000-0000-000084550000}"/>
    <cellStyle name="Comma 2 5 2 4 2 6 2 3" xfId="28099" xr:uid="{00000000-0005-0000-0000-000085550000}"/>
    <cellStyle name="Comma 2 5 2 4 2 6 2 3 2" xfId="42141" xr:uid="{00000000-0005-0000-0000-000086550000}"/>
    <cellStyle name="Comma 2 5 2 4 2 6 2 4" xfId="31434" xr:uid="{00000000-0005-0000-0000-000087550000}"/>
    <cellStyle name="Comma 2 5 2 4 2 6 2 5" xfId="35717" xr:uid="{00000000-0005-0000-0000-000088550000}"/>
    <cellStyle name="Comma 2 5 2 4 2 6 3" xfId="15806" xr:uid="{00000000-0005-0000-0000-000089550000}"/>
    <cellStyle name="Comma 2 5 2 4 2 6 3 2" xfId="24821" xr:uid="{00000000-0005-0000-0000-00008A550000}"/>
    <cellStyle name="Comma 2 5 2 4 2 6 3 2 2" xfId="44250" xr:uid="{00000000-0005-0000-0000-00008B550000}"/>
    <cellStyle name="Comma 2 5 2 4 2 6 3 2 3" xfId="37827" xr:uid="{00000000-0005-0000-0000-00008C550000}"/>
    <cellStyle name="Comma 2 5 2 4 2 6 3 3" xfId="29142" xr:uid="{00000000-0005-0000-0000-00008D550000}"/>
    <cellStyle name="Comma 2 5 2 4 2 6 3 3 2" xfId="41043" xr:uid="{00000000-0005-0000-0000-00008E550000}"/>
    <cellStyle name="Comma 2 5 2 4 2 6 3 4" xfId="32477" xr:uid="{00000000-0005-0000-0000-00008F550000}"/>
    <cellStyle name="Comma 2 5 2 4 2 6 3 5" xfId="34619" xr:uid="{00000000-0005-0000-0000-000090550000}"/>
    <cellStyle name="Comma 2 5 2 4 2 6 4" xfId="8624" xr:uid="{00000000-0005-0000-0000-000091550000}"/>
    <cellStyle name="Comma 2 5 2 4 2 6 4 2" xfId="43206" xr:uid="{00000000-0005-0000-0000-000092550000}"/>
    <cellStyle name="Comma 2 5 2 4 2 6 4 3" xfId="36782" xr:uid="{00000000-0005-0000-0000-000093550000}"/>
    <cellStyle name="Comma 2 5 2 4 2 6 5" xfId="21613" xr:uid="{00000000-0005-0000-0000-000094550000}"/>
    <cellStyle name="Comma 2 5 2 4 2 6 5 2" xfId="39999" xr:uid="{00000000-0005-0000-0000-000095550000}"/>
    <cellStyle name="Comma 2 5 2 4 2 6 6" xfId="22686" xr:uid="{00000000-0005-0000-0000-000096550000}"/>
    <cellStyle name="Comma 2 5 2 4 2 6 7" xfId="23777" xr:uid="{00000000-0005-0000-0000-000097550000}"/>
    <cellStyle name="Comma 2 5 2 4 2 6 8" xfId="27008" xr:uid="{00000000-0005-0000-0000-000098550000}"/>
    <cellStyle name="Comma 2 5 2 4 2 6 9" xfId="30341" xr:uid="{00000000-0005-0000-0000-000099550000}"/>
    <cellStyle name="Comma 2 5 2 4 2 7" xfId="9139" xr:uid="{00000000-0005-0000-0000-00009A550000}"/>
    <cellStyle name="Comma 2 5 2 4 2 7 2" xfId="25193" xr:uid="{00000000-0005-0000-0000-00009B550000}"/>
    <cellStyle name="Comma 2 5 2 4 2 7 2 2" xfId="44620" xr:uid="{00000000-0005-0000-0000-00009C550000}"/>
    <cellStyle name="Comma 2 5 2 4 2 7 2 3" xfId="38197" xr:uid="{00000000-0005-0000-0000-00009D550000}"/>
    <cellStyle name="Comma 2 5 2 4 2 7 3" xfId="27372" xr:uid="{00000000-0005-0000-0000-00009E550000}"/>
    <cellStyle name="Comma 2 5 2 4 2 7 3 2" xfId="41413" xr:uid="{00000000-0005-0000-0000-00009F550000}"/>
    <cellStyle name="Comma 2 5 2 4 2 7 4" xfId="30707" xr:uid="{00000000-0005-0000-0000-0000A0550000}"/>
    <cellStyle name="Comma 2 5 2 4 2 7 5" xfId="34989" xr:uid="{00000000-0005-0000-0000-0000A1550000}"/>
    <cellStyle name="Comma 2 5 2 4 2 8" xfId="15801" xr:uid="{00000000-0005-0000-0000-0000A2550000}"/>
    <cellStyle name="Comma 2 5 2 4 2 8 2" xfId="24816" xr:uid="{00000000-0005-0000-0000-0000A3550000}"/>
    <cellStyle name="Comma 2 5 2 4 2 8 2 2" xfId="44245" xr:uid="{00000000-0005-0000-0000-0000A4550000}"/>
    <cellStyle name="Comma 2 5 2 4 2 8 2 3" xfId="37822" xr:uid="{00000000-0005-0000-0000-0000A5550000}"/>
    <cellStyle name="Comma 2 5 2 4 2 8 3" xfId="29137" xr:uid="{00000000-0005-0000-0000-0000A6550000}"/>
    <cellStyle name="Comma 2 5 2 4 2 8 3 2" xfId="41038" xr:uid="{00000000-0005-0000-0000-0000A7550000}"/>
    <cellStyle name="Comma 2 5 2 4 2 8 4" xfId="32472" xr:uid="{00000000-0005-0000-0000-0000A8550000}"/>
    <cellStyle name="Comma 2 5 2 4 2 8 5" xfId="34614" xr:uid="{00000000-0005-0000-0000-0000A9550000}"/>
    <cellStyle name="Comma 2 5 2 4 2 9" xfId="8619" xr:uid="{00000000-0005-0000-0000-0000AA550000}"/>
    <cellStyle name="Comma 2 5 2 4 2 9 2" xfId="42483" xr:uid="{00000000-0005-0000-0000-0000AB550000}"/>
    <cellStyle name="Comma 2 5 2 4 2 9 3" xfId="36059" xr:uid="{00000000-0005-0000-0000-0000AC550000}"/>
    <cellStyle name="Comma 2 5 2 4 3" xfId="1352" xr:uid="{00000000-0005-0000-0000-0000AD550000}"/>
    <cellStyle name="Comma 2 5 2 4 3 10" xfId="22687" xr:uid="{00000000-0005-0000-0000-0000AE550000}"/>
    <cellStyle name="Comma 2 5 2 4 3 11" xfId="23778" xr:uid="{00000000-0005-0000-0000-0000AF550000}"/>
    <cellStyle name="Comma 2 5 2 4 3 12" xfId="27009" xr:uid="{00000000-0005-0000-0000-0000B0550000}"/>
    <cellStyle name="Comma 2 5 2 4 3 13" xfId="30342" xr:uid="{00000000-0005-0000-0000-0000B1550000}"/>
    <cellStyle name="Comma 2 5 2 4 3 14" xfId="33576" xr:uid="{00000000-0005-0000-0000-0000B2550000}"/>
    <cellStyle name="Comma 2 5 2 4 3 2" xfId="1353" xr:uid="{00000000-0005-0000-0000-0000B3550000}"/>
    <cellStyle name="Comma 2 5 2 4 3 2 10" xfId="33577" xr:uid="{00000000-0005-0000-0000-0000B4550000}"/>
    <cellStyle name="Comma 2 5 2 4 3 2 2" xfId="10123" xr:uid="{00000000-0005-0000-0000-0000B5550000}"/>
    <cellStyle name="Comma 2 5 2 4 3 2 2 2" xfId="25923" xr:uid="{00000000-0005-0000-0000-0000B6550000}"/>
    <cellStyle name="Comma 2 5 2 4 3 2 2 2 2" xfId="45350" xr:uid="{00000000-0005-0000-0000-0000B7550000}"/>
    <cellStyle name="Comma 2 5 2 4 3 2 2 2 3" xfId="38927" xr:uid="{00000000-0005-0000-0000-0000B8550000}"/>
    <cellStyle name="Comma 2 5 2 4 3 2 2 3" xfId="28101" xr:uid="{00000000-0005-0000-0000-0000B9550000}"/>
    <cellStyle name="Comma 2 5 2 4 3 2 2 3 2" xfId="42143" xr:uid="{00000000-0005-0000-0000-0000BA550000}"/>
    <cellStyle name="Comma 2 5 2 4 3 2 2 4" xfId="31436" xr:uid="{00000000-0005-0000-0000-0000BB550000}"/>
    <cellStyle name="Comma 2 5 2 4 3 2 2 5" xfId="35719" xr:uid="{00000000-0005-0000-0000-0000BC550000}"/>
    <cellStyle name="Comma 2 5 2 4 3 2 3" xfId="15808" xr:uid="{00000000-0005-0000-0000-0000BD550000}"/>
    <cellStyle name="Comma 2 5 2 4 3 2 3 2" xfId="24823" xr:uid="{00000000-0005-0000-0000-0000BE550000}"/>
    <cellStyle name="Comma 2 5 2 4 3 2 3 2 2" xfId="44252" xr:uid="{00000000-0005-0000-0000-0000BF550000}"/>
    <cellStyle name="Comma 2 5 2 4 3 2 3 2 3" xfId="37829" xr:uid="{00000000-0005-0000-0000-0000C0550000}"/>
    <cellStyle name="Comma 2 5 2 4 3 2 3 3" xfId="29144" xr:uid="{00000000-0005-0000-0000-0000C1550000}"/>
    <cellStyle name="Comma 2 5 2 4 3 2 3 3 2" xfId="41045" xr:uid="{00000000-0005-0000-0000-0000C2550000}"/>
    <cellStyle name="Comma 2 5 2 4 3 2 3 4" xfId="32479" xr:uid="{00000000-0005-0000-0000-0000C3550000}"/>
    <cellStyle name="Comma 2 5 2 4 3 2 3 5" xfId="34621" xr:uid="{00000000-0005-0000-0000-0000C4550000}"/>
    <cellStyle name="Comma 2 5 2 4 3 2 4" xfId="8626" xr:uid="{00000000-0005-0000-0000-0000C5550000}"/>
    <cellStyle name="Comma 2 5 2 4 3 2 4 2" xfId="43208" xr:uid="{00000000-0005-0000-0000-0000C6550000}"/>
    <cellStyle name="Comma 2 5 2 4 3 2 4 3" xfId="36784" xr:uid="{00000000-0005-0000-0000-0000C7550000}"/>
    <cellStyle name="Comma 2 5 2 4 3 2 5" xfId="21615" xr:uid="{00000000-0005-0000-0000-0000C8550000}"/>
    <cellStyle name="Comma 2 5 2 4 3 2 5 2" xfId="40001" xr:uid="{00000000-0005-0000-0000-0000C9550000}"/>
    <cellStyle name="Comma 2 5 2 4 3 2 6" xfId="22688" xr:uid="{00000000-0005-0000-0000-0000CA550000}"/>
    <cellStyle name="Comma 2 5 2 4 3 2 7" xfId="23779" xr:uid="{00000000-0005-0000-0000-0000CB550000}"/>
    <cellStyle name="Comma 2 5 2 4 3 2 8" xfId="27010" xr:uid="{00000000-0005-0000-0000-0000CC550000}"/>
    <cellStyle name="Comma 2 5 2 4 3 2 9" xfId="30343" xr:uid="{00000000-0005-0000-0000-0000CD550000}"/>
    <cellStyle name="Comma 2 5 2 4 3 3" xfId="1354" xr:uid="{00000000-0005-0000-0000-0000CE550000}"/>
    <cellStyle name="Comma 2 5 2 4 3 3 10" xfId="33578" xr:uid="{00000000-0005-0000-0000-0000CF550000}"/>
    <cellStyle name="Comma 2 5 2 4 3 3 2" xfId="10124" xr:uid="{00000000-0005-0000-0000-0000D0550000}"/>
    <cellStyle name="Comma 2 5 2 4 3 3 2 2" xfId="25924" xr:uid="{00000000-0005-0000-0000-0000D1550000}"/>
    <cellStyle name="Comma 2 5 2 4 3 3 2 2 2" xfId="45351" xr:uid="{00000000-0005-0000-0000-0000D2550000}"/>
    <cellStyle name="Comma 2 5 2 4 3 3 2 2 3" xfId="38928" xr:uid="{00000000-0005-0000-0000-0000D3550000}"/>
    <cellStyle name="Comma 2 5 2 4 3 3 2 3" xfId="28102" xr:uid="{00000000-0005-0000-0000-0000D4550000}"/>
    <cellStyle name="Comma 2 5 2 4 3 3 2 3 2" xfId="42144" xr:uid="{00000000-0005-0000-0000-0000D5550000}"/>
    <cellStyle name="Comma 2 5 2 4 3 3 2 4" xfId="31437" xr:uid="{00000000-0005-0000-0000-0000D6550000}"/>
    <cellStyle name="Comma 2 5 2 4 3 3 2 5" xfId="35720" xr:uid="{00000000-0005-0000-0000-0000D7550000}"/>
    <cellStyle name="Comma 2 5 2 4 3 3 3" xfId="15809" xr:uid="{00000000-0005-0000-0000-0000D8550000}"/>
    <cellStyle name="Comma 2 5 2 4 3 3 3 2" xfId="24824" xr:uid="{00000000-0005-0000-0000-0000D9550000}"/>
    <cellStyle name="Comma 2 5 2 4 3 3 3 2 2" xfId="44253" xr:uid="{00000000-0005-0000-0000-0000DA550000}"/>
    <cellStyle name="Comma 2 5 2 4 3 3 3 2 3" xfId="37830" xr:uid="{00000000-0005-0000-0000-0000DB550000}"/>
    <cellStyle name="Comma 2 5 2 4 3 3 3 3" xfId="29145" xr:uid="{00000000-0005-0000-0000-0000DC550000}"/>
    <cellStyle name="Comma 2 5 2 4 3 3 3 3 2" xfId="41046" xr:uid="{00000000-0005-0000-0000-0000DD550000}"/>
    <cellStyle name="Comma 2 5 2 4 3 3 3 4" xfId="32480" xr:uid="{00000000-0005-0000-0000-0000DE550000}"/>
    <cellStyle name="Comma 2 5 2 4 3 3 3 5" xfId="34622" xr:uid="{00000000-0005-0000-0000-0000DF550000}"/>
    <cellStyle name="Comma 2 5 2 4 3 3 4" xfId="8627" xr:uid="{00000000-0005-0000-0000-0000E0550000}"/>
    <cellStyle name="Comma 2 5 2 4 3 3 4 2" xfId="43209" xr:uid="{00000000-0005-0000-0000-0000E1550000}"/>
    <cellStyle name="Comma 2 5 2 4 3 3 4 3" xfId="36785" xr:uid="{00000000-0005-0000-0000-0000E2550000}"/>
    <cellStyle name="Comma 2 5 2 4 3 3 5" xfId="21616" xr:uid="{00000000-0005-0000-0000-0000E3550000}"/>
    <cellStyle name="Comma 2 5 2 4 3 3 5 2" xfId="40002" xr:uid="{00000000-0005-0000-0000-0000E4550000}"/>
    <cellStyle name="Comma 2 5 2 4 3 3 6" xfId="22689" xr:uid="{00000000-0005-0000-0000-0000E5550000}"/>
    <cellStyle name="Comma 2 5 2 4 3 3 7" xfId="23780" xr:uid="{00000000-0005-0000-0000-0000E6550000}"/>
    <cellStyle name="Comma 2 5 2 4 3 3 8" xfId="27011" xr:uid="{00000000-0005-0000-0000-0000E7550000}"/>
    <cellStyle name="Comma 2 5 2 4 3 3 9" xfId="30344" xr:uid="{00000000-0005-0000-0000-0000E8550000}"/>
    <cellStyle name="Comma 2 5 2 4 3 4" xfId="1355" xr:uid="{00000000-0005-0000-0000-0000E9550000}"/>
    <cellStyle name="Comma 2 5 2 4 3 4 10" xfId="33579" xr:uid="{00000000-0005-0000-0000-0000EA550000}"/>
    <cellStyle name="Comma 2 5 2 4 3 4 2" xfId="10125" xr:uid="{00000000-0005-0000-0000-0000EB550000}"/>
    <cellStyle name="Comma 2 5 2 4 3 4 2 2" xfId="25925" xr:uid="{00000000-0005-0000-0000-0000EC550000}"/>
    <cellStyle name="Comma 2 5 2 4 3 4 2 2 2" xfId="45352" xr:uid="{00000000-0005-0000-0000-0000ED550000}"/>
    <cellStyle name="Comma 2 5 2 4 3 4 2 2 3" xfId="38929" xr:uid="{00000000-0005-0000-0000-0000EE550000}"/>
    <cellStyle name="Comma 2 5 2 4 3 4 2 3" xfId="28103" xr:uid="{00000000-0005-0000-0000-0000EF550000}"/>
    <cellStyle name="Comma 2 5 2 4 3 4 2 3 2" xfId="42145" xr:uid="{00000000-0005-0000-0000-0000F0550000}"/>
    <cellStyle name="Comma 2 5 2 4 3 4 2 4" xfId="31438" xr:uid="{00000000-0005-0000-0000-0000F1550000}"/>
    <cellStyle name="Comma 2 5 2 4 3 4 2 5" xfId="35721" xr:uid="{00000000-0005-0000-0000-0000F2550000}"/>
    <cellStyle name="Comma 2 5 2 4 3 4 3" xfId="15810" xr:uid="{00000000-0005-0000-0000-0000F3550000}"/>
    <cellStyle name="Comma 2 5 2 4 3 4 3 2" xfId="24825" xr:uid="{00000000-0005-0000-0000-0000F4550000}"/>
    <cellStyle name="Comma 2 5 2 4 3 4 3 2 2" xfId="44254" xr:uid="{00000000-0005-0000-0000-0000F5550000}"/>
    <cellStyle name="Comma 2 5 2 4 3 4 3 2 3" xfId="37831" xr:uid="{00000000-0005-0000-0000-0000F6550000}"/>
    <cellStyle name="Comma 2 5 2 4 3 4 3 3" xfId="29146" xr:uid="{00000000-0005-0000-0000-0000F7550000}"/>
    <cellStyle name="Comma 2 5 2 4 3 4 3 3 2" xfId="41047" xr:uid="{00000000-0005-0000-0000-0000F8550000}"/>
    <cellStyle name="Comma 2 5 2 4 3 4 3 4" xfId="32481" xr:uid="{00000000-0005-0000-0000-0000F9550000}"/>
    <cellStyle name="Comma 2 5 2 4 3 4 3 5" xfId="34623" xr:uid="{00000000-0005-0000-0000-0000FA550000}"/>
    <cellStyle name="Comma 2 5 2 4 3 4 4" xfId="8628" xr:uid="{00000000-0005-0000-0000-0000FB550000}"/>
    <cellStyle name="Comma 2 5 2 4 3 4 4 2" xfId="43210" xr:uid="{00000000-0005-0000-0000-0000FC550000}"/>
    <cellStyle name="Comma 2 5 2 4 3 4 4 3" xfId="36786" xr:uid="{00000000-0005-0000-0000-0000FD550000}"/>
    <cellStyle name="Comma 2 5 2 4 3 4 5" xfId="21617" xr:uid="{00000000-0005-0000-0000-0000FE550000}"/>
    <cellStyle name="Comma 2 5 2 4 3 4 5 2" xfId="40003" xr:uid="{00000000-0005-0000-0000-0000FF550000}"/>
    <cellStyle name="Comma 2 5 2 4 3 4 6" xfId="22690" xr:uid="{00000000-0005-0000-0000-000000560000}"/>
    <cellStyle name="Comma 2 5 2 4 3 4 7" xfId="23781" xr:uid="{00000000-0005-0000-0000-000001560000}"/>
    <cellStyle name="Comma 2 5 2 4 3 4 8" xfId="27012" xr:uid="{00000000-0005-0000-0000-000002560000}"/>
    <cellStyle name="Comma 2 5 2 4 3 4 9" xfId="30345" xr:uid="{00000000-0005-0000-0000-000003560000}"/>
    <cellStyle name="Comma 2 5 2 4 3 5" xfId="1356" xr:uid="{00000000-0005-0000-0000-000004560000}"/>
    <cellStyle name="Comma 2 5 2 4 3 5 10" xfId="33580" xr:uid="{00000000-0005-0000-0000-000005560000}"/>
    <cellStyle name="Comma 2 5 2 4 3 5 2" xfId="10126" xr:uid="{00000000-0005-0000-0000-000006560000}"/>
    <cellStyle name="Comma 2 5 2 4 3 5 2 2" xfId="25926" xr:uid="{00000000-0005-0000-0000-000007560000}"/>
    <cellStyle name="Comma 2 5 2 4 3 5 2 2 2" xfId="45353" xr:uid="{00000000-0005-0000-0000-000008560000}"/>
    <cellStyle name="Comma 2 5 2 4 3 5 2 2 3" xfId="38930" xr:uid="{00000000-0005-0000-0000-000009560000}"/>
    <cellStyle name="Comma 2 5 2 4 3 5 2 3" xfId="28104" xr:uid="{00000000-0005-0000-0000-00000A560000}"/>
    <cellStyle name="Comma 2 5 2 4 3 5 2 3 2" xfId="42146" xr:uid="{00000000-0005-0000-0000-00000B560000}"/>
    <cellStyle name="Comma 2 5 2 4 3 5 2 4" xfId="31439" xr:uid="{00000000-0005-0000-0000-00000C560000}"/>
    <cellStyle name="Comma 2 5 2 4 3 5 2 5" xfId="35722" xr:uid="{00000000-0005-0000-0000-00000D560000}"/>
    <cellStyle name="Comma 2 5 2 4 3 5 3" xfId="15811" xr:uid="{00000000-0005-0000-0000-00000E560000}"/>
    <cellStyle name="Comma 2 5 2 4 3 5 3 2" xfId="24826" xr:uid="{00000000-0005-0000-0000-00000F560000}"/>
    <cellStyle name="Comma 2 5 2 4 3 5 3 2 2" xfId="44255" xr:uid="{00000000-0005-0000-0000-000010560000}"/>
    <cellStyle name="Comma 2 5 2 4 3 5 3 2 3" xfId="37832" xr:uid="{00000000-0005-0000-0000-000011560000}"/>
    <cellStyle name="Comma 2 5 2 4 3 5 3 3" xfId="29147" xr:uid="{00000000-0005-0000-0000-000012560000}"/>
    <cellStyle name="Comma 2 5 2 4 3 5 3 3 2" xfId="41048" xr:uid="{00000000-0005-0000-0000-000013560000}"/>
    <cellStyle name="Comma 2 5 2 4 3 5 3 4" xfId="32482" xr:uid="{00000000-0005-0000-0000-000014560000}"/>
    <cellStyle name="Comma 2 5 2 4 3 5 3 5" xfId="34624" xr:uid="{00000000-0005-0000-0000-000015560000}"/>
    <cellStyle name="Comma 2 5 2 4 3 5 4" xfId="8629" xr:uid="{00000000-0005-0000-0000-000016560000}"/>
    <cellStyle name="Comma 2 5 2 4 3 5 4 2" xfId="43211" xr:uid="{00000000-0005-0000-0000-000017560000}"/>
    <cellStyle name="Comma 2 5 2 4 3 5 4 3" xfId="36787" xr:uid="{00000000-0005-0000-0000-000018560000}"/>
    <cellStyle name="Comma 2 5 2 4 3 5 5" xfId="21618" xr:uid="{00000000-0005-0000-0000-000019560000}"/>
    <cellStyle name="Comma 2 5 2 4 3 5 5 2" xfId="40004" xr:uid="{00000000-0005-0000-0000-00001A560000}"/>
    <cellStyle name="Comma 2 5 2 4 3 5 6" xfId="22691" xr:uid="{00000000-0005-0000-0000-00001B560000}"/>
    <cellStyle name="Comma 2 5 2 4 3 5 7" xfId="23782" xr:uid="{00000000-0005-0000-0000-00001C560000}"/>
    <cellStyle name="Comma 2 5 2 4 3 5 8" xfId="27013" xr:uid="{00000000-0005-0000-0000-00001D560000}"/>
    <cellStyle name="Comma 2 5 2 4 3 5 9" xfId="30346" xr:uid="{00000000-0005-0000-0000-00001E560000}"/>
    <cellStyle name="Comma 2 5 2 4 3 6" xfId="10122" xr:uid="{00000000-0005-0000-0000-00001F560000}"/>
    <cellStyle name="Comma 2 5 2 4 3 6 2" xfId="25922" xr:uid="{00000000-0005-0000-0000-000020560000}"/>
    <cellStyle name="Comma 2 5 2 4 3 6 2 2" xfId="45349" xr:uid="{00000000-0005-0000-0000-000021560000}"/>
    <cellStyle name="Comma 2 5 2 4 3 6 2 3" xfId="38926" xr:uid="{00000000-0005-0000-0000-000022560000}"/>
    <cellStyle name="Comma 2 5 2 4 3 6 3" xfId="28100" xr:uid="{00000000-0005-0000-0000-000023560000}"/>
    <cellStyle name="Comma 2 5 2 4 3 6 3 2" xfId="42142" xr:uid="{00000000-0005-0000-0000-000024560000}"/>
    <cellStyle name="Comma 2 5 2 4 3 6 4" xfId="31435" xr:uid="{00000000-0005-0000-0000-000025560000}"/>
    <cellStyle name="Comma 2 5 2 4 3 6 5" xfId="35718" xr:uid="{00000000-0005-0000-0000-000026560000}"/>
    <cellStyle name="Comma 2 5 2 4 3 7" xfId="15807" xr:uid="{00000000-0005-0000-0000-000027560000}"/>
    <cellStyle name="Comma 2 5 2 4 3 7 2" xfId="24822" xr:uid="{00000000-0005-0000-0000-000028560000}"/>
    <cellStyle name="Comma 2 5 2 4 3 7 2 2" xfId="44251" xr:uid="{00000000-0005-0000-0000-000029560000}"/>
    <cellStyle name="Comma 2 5 2 4 3 7 2 3" xfId="37828" xr:uid="{00000000-0005-0000-0000-00002A560000}"/>
    <cellStyle name="Comma 2 5 2 4 3 7 3" xfId="29143" xr:uid="{00000000-0005-0000-0000-00002B560000}"/>
    <cellStyle name="Comma 2 5 2 4 3 7 3 2" xfId="41044" xr:uid="{00000000-0005-0000-0000-00002C560000}"/>
    <cellStyle name="Comma 2 5 2 4 3 7 4" xfId="32478" xr:uid="{00000000-0005-0000-0000-00002D560000}"/>
    <cellStyle name="Comma 2 5 2 4 3 7 5" xfId="34620" xr:uid="{00000000-0005-0000-0000-00002E560000}"/>
    <cellStyle name="Comma 2 5 2 4 3 8" xfId="8625" xr:uid="{00000000-0005-0000-0000-00002F560000}"/>
    <cellStyle name="Comma 2 5 2 4 3 8 2" xfId="43207" xr:uid="{00000000-0005-0000-0000-000030560000}"/>
    <cellStyle name="Comma 2 5 2 4 3 8 3" xfId="36783" xr:uid="{00000000-0005-0000-0000-000031560000}"/>
    <cellStyle name="Comma 2 5 2 4 3 9" xfId="21614" xr:uid="{00000000-0005-0000-0000-000032560000}"/>
    <cellStyle name="Comma 2 5 2 4 3 9 2" xfId="40000" xr:uid="{00000000-0005-0000-0000-000033560000}"/>
    <cellStyle name="Comma 2 5 2 4 4" xfId="1357" xr:uid="{00000000-0005-0000-0000-000034560000}"/>
    <cellStyle name="Comma 2 5 2 4 4 10" xfId="33581" xr:uid="{00000000-0005-0000-0000-000035560000}"/>
    <cellStyle name="Comma 2 5 2 4 4 2" xfId="10127" xr:uid="{00000000-0005-0000-0000-000036560000}"/>
    <cellStyle name="Comma 2 5 2 4 4 2 2" xfId="25927" xr:uid="{00000000-0005-0000-0000-000037560000}"/>
    <cellStyle name="Comma 2 5 2 4 4 2 2 2" xfId="45354" xr:uid="{00000000-0005-0000-0000-000038560000}"/>
    <cellStyle name="Comma 2 5 2 4 4 2 2 3" xfId="38931" xr:uid="{00000000-0005-0000-0000-000039560000}"/>
    <cellStyle name="Comma 2 5 2 4 4 2 3" xfId="28105" xr:uid="{00000000-0005-0000-0000-00003A560000}"/>
    <cellStyle name="Comma 2 5 2 4 4 2 3 2" xfId="42147" xr:uid="{00000000-0005-0000-0000-00003B560000}"/>
    <cellStyle name="Comma 2 5 2 4 4 2 4" xfId="31440" xr:uid="{00000000-0005-0000-0000-00003C560000}"/>
    <cellStyle name="Comma 2 5 2 4 4 2 5" xfId="35723" xr:uid="{00000000-0005-0000-0000-00003D560000}"/>
    <cellStyle name="Comma 2 5 2 4 4 3" xfId="15812" xr:uid="{00000000-0005-0000-0000-00003E560000}"/>
    <cellStyle name="Comma 2 5 2 4 4 3 2" xfId="24827" xr:uid="{00000000-0005-0000-0000-00003F560000}"/>
    <cellStyle name="Comma 2 5 2 4 4 3 2 2" xfId="44256" xr:uid="{00000000-0005-0000-0000-000040560000}"/>
    <cellStyle name="Comma 2 5 2 4 4 3 2 3" xfId="37833" xr:uid="{00000000-0005-0000-0000-000041560000}"/>
    <cellStyle name="Comma 2 5 2 4 4 3 3" xfId="29148" xr:uid="{00000000-0005-0000-0000-000042560000}"/>
    <cellStyle name="Comma 2 5 2 4 4 3 3 2" xfId="41049" xr:uid="{00000000-0005-0000-0000-000043560000}"/>
    <cellStyle name="Comma 2 5 2 4 4 3 4" xfId="32483" xr:uid="{00000000-0005-0000-0000-000044560000}"/>
    <cellStyle name="Comma 2 5 2 4 4 3 5" xfId="34625" xr:uid="{00000000-0005-0000-0000-000045560000}"/>
    <cellStyle name="Comma 2 5 2 4 4 4" xfId="8630" xr:uid="{00000000-0005-0000-0000-000046560000}"/>
    <cellStyle name="Comma 2 5 2 4 4 4 2" xfId="43212" xr:uid="{00000000-0005-0000-0000-000047560000}"/>
    <cellStyle name="Comma 2 5 2 4 4 4 3" xfId="36788" xr:uid="{00000000-0005-0000-0000-000048560000}"/>
    <cellStyle name="Comma 2 5 2 4 4 5" xfId="21619" xr:uid="{00000000-0005-0000-0000-000049560000}"/>
    <cellStyle name="Comma 2 5 2 4 4 5 2" xfId="40005" xr:uid="{00000000-0005-0000-0000-00004A560000}"/>
    <cellStyle name="Comma 2 5 2 4 4 6" xfId="22692" xr:uid="{00000000-0005-0000-0000-00004B560000}"/>
    <cellStyle name="Comma 2 5 2 4 4 7" xfId="23783" xr:uid="{00000000-0005-0000-0000-00004C560000}"/>
    <cellStyle name="Comma 2 5 2 4 4 8" xfId="27014" xr:uid="{00000000-0005-0000-0000-00004D560000}"/>
    <cellStyle name="Comma 2 5 2 4 4 9" xfId="30347" xr:uid="{00000000-0005-0000-0000-00004E560000}"/>
    <cellStyle name="Comma 2 5 2 4 5" xfId="1358" xr:uid="{00000000-0005-0000-0000-00004F560000}"/>
    <cellStyle name="Comma 2 5 2 4 5 10" xfId="33582" xr:uid="{00000000-0005-0000-0000-000050560000}"/>
    <cellStyle name="Comma 2 5 2 4 5 2" xfId="10128" xr:uid="{00000000-0005-0000-0000-000051560000}"/>
    <cellStyle name="Comma 2 5 2 4 5 2 2" xfId="25928" xr:uid="{00000000-0005-0000-0000-000052560000}"/>
    <cellStyle name="Comma 2 5 2 4 5 2 2 2" xfId="45355" xr:uid="{00000000-0005-0000-0000-000053560000}"/>
    <cellStyle name="Comma 2 5 2 4 5 2 2 3" xfId="38932" xr:uid="{00000000-0005-0000-0000-000054560000}"/>
    <cellStyle name="Comma 2 5 2 4 5 2 3" xfId="28106" xr:uid="{00000000-0005-0000-0000-000055560000}"/>
    <cellStyle name="Comma 2 5 2 4 5 2 3 2" xfId="42148" xr:uid="{00000000-0005-0000-0000-000056560000}"/>
    <cellStyle name="Comma 2 5 2 4 5 2 4" xfId="31441" xr:uid="{00000000-0005-0000-0000-000057560000}"/>
    <cellStyle name="Comma 2 5 2 4 5 2 5" xfId="35724" xr:uid="{00000000-0005-0000-0000-000058560000}"/>
    <cellStyle name="Comma 2 5 2 4 5 3" xfId="15813" xr:uid="{00000000-0005-0000-0000-000059560000}"/>
    <cellStyle name="Comma 2 5 2 4 5 3 2" xfId="24828" xr:uid="{00000000-0005-0000-0000-00005A560000}"/>
    <cellStyle name="Comma 2 5 2 4 5 3 2 2" xfId="44257" xr:uid="{00000000-0005-0000-0000-00005B560000}"/>
    <cellStyle name="Comma 2 5 2 4 5 3 2 3" xfId="37834" xr:uid="{00000000-0005-0000-0000-00005C560000}"/>
    <cellStyle name="Comma 2 5 2 4 5 3 3" xfId="29149" xr:uid="{00000000-0005-0000-0000-00005D560000}"/>
    <cellStyle name="Comma 2 5 2 4 5 3 3 2" xfId="41050" xr:uid="{00000000-0005-0000-0000-00005E560000}"/>
    <cellStyle name="Comma 2 5 2 4 5 3 4" xfId="32484" xr:uid="{00000000-0005-0000-0000-00005F560000}"/>
    <cellStyle name="Comma 2 5 2 4 5 3 5" xfId="34626" xr:uid="{00000000-0005-0000-0000-000060560000}"/>
    <cellStyle name="Comma 2 5 2 4 5 4" xfId="8631" xr:uid="{00000000-0005-0000-0000-000061560000}"/>
    <cellStyle name="Comma 2 5 2 4 5 4 2" xfId="43213" xr:uid="{00000000-0005-0000-0000-000062560000}"/>
    <cellStyle name="Comma 2 5 2 4 5 4 3" xfId="36789" xr:uid="{00000000-0005-0000-0000-000063560000}"/>
    <cellStyle name="Comma 2 5 2 4 5 5" xfId="21620" xr:uid="{00000000-0005-0000-0000-000064560000}"/>
    <cellStyle name="Comma 2 5 2 4 5 5 2" xfId="40006" xr:uid="{00000000-0005-0000-0000-000065560000}"/>
    <cellStyle name="Comma 2 5 2 4 5 6" xfId="22693" xr:uid="{00000000-0005-0000-0000-000066560000}"/>
    <cellStyle name="Comma 2 5 2 4 5 7" xfId="23784" xr:uid="{00000000-0005-0000-0000-000067560000}"/>
    <cellStyle name="Comma 2 5 2 4 5 8" xfId="27015" xr:uid="{00000000-0005-0000-0000-000068560000}"/>
    <cellStyle name="Comma 2 5 2 4 5 9" xfId="30348" xr:uid="{00000000-0005-0000-0000-000069560000}"/>
    <cellStyle name="Comma 2 5 2 4 6" xfId="1359" xr:uid="{00000000-0005-0000-0000-00006A560000}"/>
    <cellStyle name="Comma 2 5 2 4 6 10" xfId="33583" xr:uid="{00000000-0005-0000-0000-00006B560000}"/>
    <cellStyle name="Comma 2 5 2 4 6 2" xfId="10129" xr:uid="{00000000-0005-0000-0000-00006C560000}"/>
    <cellStyle name="Comma 2 5 2 4 6 2 2" xfId="25929" xr:uid="{00000000-0005-0000-0000-00006D560000}"/>
    <cellStyle name="Comma 2 5 2 4 6 2 2 2" xfId="45356" xr:uid="{00000000-0005-0000-0000-00006E560000}"/>
    <cellStyle name="Comma 2 5 2 4 6 2 2 3" xfId="38933" xr:uid="{00000000-0005-0000-0000-00006F560000}"/>
    <cellStyle name="Comma 2 5 2 4 6 2 3" xfId="28107" xr:uid="{00000000-0005-0000-0000-000070560000}"/>
    <cellStyle name="Comma 2 5 2 4 6 2 3 2" xfId="42149" xr:uid="{00000000-0005-0000-0000-000071560000}"/>
    <cellStyle name="Comma 2 5 2 4 6 2 4" xfId="31442" xr:uid="{00000000-0005-0000-0000-000072560000}"/>
    <cellStyle name="Comma 2 5 2 4 6 2 5" xfId="35725" xr:uid="{00000000-0005-0000-0000-000073560000}"/>
    <cellStyle name="Comma 2 5 2 4 6 3" xfId="15814" xr:uid="{00000000-0005-0000-0000-000074560000}"/>
    <cellStyle name="Comma 2 5 2 4 6 3 2" xfId="24829" xr:uid="{00000000-0005-0000-0000-000075560000}"/>
    <cellStyle name="Comma 2 5 2 4 6 3 2 2" xfId="44258" xr:uid="{00000000-0005-0000-0000-000076560000}"/>
    <cellStyle name="Comma 2 5 2 4 6 3 2 3" xfId="37835" xr:uid="{00000000-0005-0000-0000-000077560000}"/>
    <cellStyle name="Comma 2 5 2 4 6 3 3" xfId="29150" xr:uid="{00000000-0005-0000-0000-000078560000}"/>
    <cellStyle name="Comma 2 5 2 4 6 3 3 2" xfId="41051" xr:uid="{00000000-0005-0000-0000-000079560000}"/>
    <cellStyle name="Comma 2 5 2 4 6 3 4" xfId="32485" xr:uid="{00000000-0005-0000-0000-00007A560000}"/>
    <cellStyle name="Comma 2 5 2 4 6 3 5" xfId="34627" xr:uid="{00000000-0005-0000-0000-00007B560000}"/>
    <cellStyle name="Comma 2 5 2 4 6 4" xfId="8632" xr:uid="{00000000-0005-0000-0000-00007C560000}"/>
    <cellStyle name="Comma 2 5 2 4 6 4 2" xfId="43214" xr:uid="{00000000-0005-0000-0000-00007D560000}"/>
    <cellStyle name="Comma 2 5 2 4 6 4 3" xfId="36790" xr:uid="{00000000-0005-0000-0000-00007E560000}"/>
    <cellStyle name="Comma 2 5 2 4 6 5" xfId="21621" xr:uid="{00000000-0005-0000-0000-00007F560000}"/>
    <cellStyle name="Comma 2 5 2 4 6 5 2" xfId="40007" xr:uid="{00000000-0005-0000-0000-000080560000}"/>
    <cellStyle name="Comma 2 5 2 4 6 6" xfId="22694" xr:uid="{00000000-0005-0000-0000-000081560000}"/>
    <cellStyle name="Comma 2 5 2 4 6 7" xfId="23785" xr:uid="{00000000-0005-0000-0000-000082560000}"/>
    <cellStyle name="Comma 2 5 2 4 6 8" xfId="27016" xr:uid="{00000000-0005-0000-0000-000083560000}"/>
    <cellStyle name="Comma 2 5 2 4 6 9" xfId="30349" xr:uid="{00000000-0005-0000-0000-000084560000}"/>
    <cellStyle name="Comma 2 5 2 4 7" xfId="1360" xr:uid="{00000000-0005-0000-0000-000085560000}"/>
    <cellStyle name="Comma 2 5 2 4 7 10" xfId="33584" xr:uid="{00000000-0005-0000-0000-000086560000}"/>
    <cellStyle name="Comma 2 5 2 4 7 2" xfId="10130" xr:uid="{00000000-0005-0000-0000-000087560000}"/>
    <cellStyle name="Comma 2 5 2 4 7 2 2" xfId="25930" xr:uid="{00000000-0005-0000-0000-000088560000}"/>
    <cellStyle name="Comma 2 5 2 4 7 2 2 2" xfId="45357" xr:uid="{00000000-0005-0000-0000-000089560000}"/>
    <cellStyle name="Comma 2 5 2 4 7 2 2 3" xfId="38934" xr:uid="{00000000-0005-0000-0000-00008A560000}"/>
    <cellStyle name="Comma 2 5 2 4 7 2 3" xfId="28108" xr:uid="{00000000-0005-0000-0000-00008B560000}"/>
    <cellStyle name="Comma 2 5 2 4 7 2 3 2" xfId="42150" xr:uid="{00000000-0005-0000-0000-00008C560000}"/>
    <cellStyle name="Comma 2 5 2 4 7 2 4" xfId="31443" xr:uid="{00000000-0005-0000-0000-00008D560000}"/>
    <cellStyle name="Comma 2 5 2 4 7 2 5" xfId="35726" xr:uid="{00000000-0005-0000-0000-00008E560000}"/>
    <cellStyle name="Comma 2 5 2 4 7 3" xfId="15815" xr:uid="{00000000-0005-0000-0000-00008F560000}"/>
    <cellStyle name="Comma 2 5 2 4 7 3 2" xfId="24830" xr:uid="{00000000-0005-0000-0000-000090560000}"/>
    <cellStyle name="Comma 2 5 2 4 7 3 2 2" xfId="44259" xr:uid="{00000000-0005-0000-0000-000091560000}"/>
    <cellStyle name="Comma 2 5 2 4 7 3 2 3" xfId="37836" xr:uid="{00000000-0005-0000-0000-000092560000}"/>
    <cellStyle name="Comma 2 5 2 4 7 3 3" xfId="29151" xr:uid="{00000000-0005-0000-0000-000093560000}"/>
    <cellStyle name="Comma 2 5 2 4 7 3 3 2" xfId="41052" xr:uid="{00000000-0005-0000-0000-000094560000}"/>
    <cellStyle name="Comma 2 5 2 4 7 3 4" xfId="32486" xr:uid="{00000000-0005-0000-0000-000095560000}"/>
    <cellStyle name="Comma 2 5 2 4 7 3 5" xfId="34628" xr:uid="{00000000-0005-0000-0000-000096560000}"/>
    <cellStyle name="Comma 2 5 2 4 7 4" xfId="8633" xr:uid="{00000000-0005-0000-0000-000097560000}"/>
    <cellStyle name="Comma 2 5 2 4 7 4 2" xfId="43215" xr:uid="{00000000-0005-0000-0000-000098560000}"/>
    <cellStyle name="Comma 2 5 2 4 7 4 3" xfId="36791" xr:uid="{00000000-0005-0000-0000-000099560000}"/>
    <cellStyle name="Comma 2 5 2 4 7 5" xfId="21622" xr:uid="{00000000-0005-0000-0000-00009A560000}"/>
    <cellStyle name="Comma 2 5 2 4 7 5 2" xfId="40008" xr:uid="{00000000-0005-0000-0000-00009B560000}"/>
    <cellStyle name="Comma 2 5 2 4 7 6" xfId="22695" xr:uid="{00000000-0005-0000-0000-00009C560000}"/>
    <cellStyle name="Comma 2 5 2 4 7 7" xfId="23786" xr:uid="{00000000-0005-0000-0000-00009D560000}"/>
    <cellStyle name="Comma 2 5 2 4 7 8" xfId="27017" xr:uid="{00000000-0005-0000-0000-00009E560000}"/>
    <cellStyle name="Comma 2 5 2 4 7 9" xfId="30350" xr:uid="{00000000-0005-0000-0000-00009F560000}"/>
    <cellStyle name="Comma 2 5 2 4 8" xfId="1361" xr:uid="{00000000-0005-0000-0000-0000A0560000}"/>
    <cellStyle name="Comma 2 5 2 4 8 10" xfId="33585" xr:uid="{00000000-0005-0000-0000-0000A1560000}"/>
    <cellStyle name="Comma 2 5 2 4 8 2" xfId="10131" xr:uid="{00000000-0005-0000-0000-0000A2560000}"/>
    <cellStyle name="Comma 2 5 2 4 8 2 2" xfId="25931" xr:uid="{00000000-0005-0000-0000-0000A3560000}"/>
    <cellStyle name="Comma 2 5 2 4 8 2 2 2" xfId="45358" xr:uid="{00000000-0005-0000-0000-0000A4560000}"/>
    <cellStyle name="Comma 2 5 2 4 8 2 2 3" xfId="38935" xr:uid="{00000000-0005-0000-0000-0000A5560000}"/>
    <cellStyle name="Comma 2 5 2 4 8 2 3" xfId="28109" xr:uid="{00000000-0005-0000-0000-0000A6560000}"/>
    <cellStyle name="Comma 2 5 2 4 8 2 3 2" xfId="42151" xr:uid="{00000000-0005-0000-0000-0000A7560000}"/>
    <cellStyle name="Comma 2 5 2 4 8 2 4" xfId="31444" xr:uid="{00000000-0005-0000-0000-0000A8560000}"/>
    <cellStyle name="Comma 2 5 2 4 8 2 5" xfId="35727" xr:uid="{00000000-0005-0000-0000-0000A9560000}"/>
    <cellStyle name="Comma 2 5 2 4 8 3" xfId="15816" xr:uid="{00000000-0005-0000-0000-0000AA560000}"/>
    <cellStyle name="Comma 2 5 2 4 8 3 2" xfId="24831" xr:uid="{00000000-0005-0000-0000-0000AB560000}"/>
    <cellStyle name="Comma 2 5 2 4 8 3 2 2" xfId="44260" xr:uid="{00000000-0005-0000-0000-0000AC560000}"/>
    <cellStyle name="Comma 2 5 2 4 8 3 2 3" xfId="37837" xr:uid="{00000000-0005-0000-0000-0000AD560000}"/>
    <cellStyle name="Comma 2 5 2 4 8 3 3" xfId="29152" xr:uid="{00000000-0005-0000-0000-0000AE560000}"/>
    <cellStyle name="Comma 2 5 2 4 8 3 3 2" xfId="41053" xr:uid="{00000000-0005-0000-0000-0000AF560000}"/>
    <cellStyle name="Comma 2 5 2 4 8 3 4" xfId="32487" xr:uid="{00000000-0005-0000-0000-0000B0560000}"/>
    <cellStyle name="Comma 2 5 2 4 8 3 5" xfId="34629" xr:uid="{00000000-0005-0000-0000-0000B1560000}"/>
    <cellStyle name="Comma 2 5 2 4 8 4" xfId="8634" xr:uid="{00000000-0005-0000-0000-0000B2560000}"/>
    <cellStyle name="Comma 2 5 2 4 8 4 2" xfId="43216" xr:uid="{00000000-0005-0000-0000-0000B3560000}"/>
    <cellStyle name="Comma 2 5 2 4 8 4 3" xfId="36792" xr:uid="{00000000-0005-0000-0000-0000B4560000}"/>
    <cellStyle name="Comma 2 5 2 4 8 5" xfId="21623" xr:uid="{00000000-0005-0000-0000-0000B5560000}"/>
    <cellStyle name="Comma 2 5 2 4 8 5 2" xfId="40009" xr:uid="{00000000-0005-0000-0000-0000B6560000}"/>
    <cellStyle name="Comma 2 5 2 4 8 6" xfId="22696" xr:uid="{00000000-0005-0000-0000-0000B7560000}"/>
    <cellStyle name="Comma 2 5 2 4 8 7" xfId="23787" xr:uid="{00000000-0005-0000-0000-0000B8560000}"/>
    <cellStyle name="Comma 2 5 2 4 8 8" xfId="27018" xr:uid="{00000000-0005-0000-0000-0000B9560000}"/>
    <cellStyle name="Comma 2 5 2 4 8 9" xfId="30351" xr:uid="{00000000-0005-0000-0000-0000BA560000}"/>
    <cellStyle name="Comma 2 5 2 4 9" xfId="9138" xr:uid="{00000000-0005-0000-0000-0000BB560000}"/>
    <cellStyle name="Comma 2 5 2 4 9 2" xfId="25192" xr:uid="{00000000-0005-0000-0000-0000BC560000}"/>
    <cellStyle name="Comma 2 5 2 4 9 2 2" xfId="44619" xr:uid="{00000000-0005-0000-0000-0000BD560000}"/>
    <cellStyle name="Comma 2 5 2 4 9 2 3" xfId="38196" xr:uid="{00000000-0005-0000-0000-0000BE560000}"/>
    <cellStyle name="Comma 2 5 2 4 9 3" xfId="27371" xr:uid="{00000000-0005-0000-0000-0000BF560000}"/>
    <cellStyle name="Comma 2 5 2 4 9 3 2" xfId="41412" xr:uid="{00000000-0005-0000-0000-0000C0560000}"/>
    <cellStyle name="Comma 2 5 2 4 9 4" xfId="30706" xr:uid="{00000000-0005-0000-0000-0000C1560000}"/>
    <cellStyle name="Comma 2 5 2 4 9 5" xfId="34988" xr:uid="{00000000-0005-0000-0000-0000C2560000}"/>
    <cellStyle name="Comma 2 5 2 5" xfId="284" xr:uid="{00000000-0005-0000-0000-0000C3560000}"/>
    <cellStyle name="Comma 2 5 2 5 10" xfId="21624" xr:uid="{00000000-0005-0000-0000-0000C4560000}"/>
    <cellStyle name="Comma 2 5 2 5 10 2" xfId="39277" xr:uid="{00000000-0005-0000-0000-0000C5560000}"/>
    <cellStyle name="Comma 2 5 2 5 11" xfId="22697" xr:uid="{00000000-0005-0000-0000-0000C6560000}"/>
    <cellStyle name="Comma 2 5 2 5 12" xfId="23055" xr:uid="{00000000-0005-0000-0000-0000C7560000}"/>
    <cellStyle name="Comma 2 5 2 5 13" xfId="27019" xr:uid="{00000000-0005-0000-0000-0000C8560000}"/>
    <cellStyle name="Comma 2 5 2 5 14" xfId="30352" xr:uid="{00000000-0005-0000-0000-0000C9560000}"/>
    <cellStyle name="Comma 2 5 2 5 15" xfId="32853" xr:uid="{00000000-0005-0000-0000-0000CA560000}"/>
    <cellStyle name="Comma 2 5 2 5 2" xfId="1362" xr:uid="{00000000-0005-0000-0000-0000CB560000}"/>
    <cellStyle name="Comma 2 5 2 5 2 10" xfId="33586" xr:uid="{00000000-0005-0000-0000-0000CC560000}"/>
    <cellStyle name="Comma 2 5 2 5 2 2" xfId="10132" xr:uid="{00000000-0005-0000-0000-0000CD560000}"/>
    <cellStyle name="Comma 2 5 2 5 2 2 2" xfId="25932" xr:uid="{00000000-0005-0000-0000-0000CE560000}"/>
    <cellStyle name="Comma 2 5 2 5 2 2 2 2" xfId="45359" xr:uid="{00000000-0005-0000-0000-0000CF560000}"/>
    <cellStyle name="Comma 2 5 2 5 2 2 2 3" xfId="38936" xr:uid="{00000000-0005-0000-0000-0000D0560000}"/>
    <cellStyle name="Comma 2 5 2 5 2 2 3" xfId="28110" xr:uid="{00000000-0005-0000-0000-0000D1560000}"/>
    <cellStyle name="Comma 2 5 2 5 2 2 3 2" xfId="42152" xr:uid="{00000000-0005-0000-0000-0000D2560000}"/>
    <cellStyle name="Comma 2 5 2 5 2 2 4" xfId="31445" xr:uid="{00000000-0005-0000-0000-0000D3560000}"/>
    <cellStyle name="Comma 2 5 2 5 2 2 5" xfId="35728" xr:uid="{00000000-0005-0000-0000-0000D4560000}"/>
    <cellStyle name="Comma 2 5 2 5 2 3" xfId="15818" xr:uid="{00000000-0005-0000-0000-0000D5560000}"/>
    <cellStyle name="Comma 2 5 2 5 2 3 2" xfId="24833" xr:uid="{00000000-0005-0000-0000-0000D6560000}"/>
    <cellStyle name="Comma 2 5 2 5 2 3 2 2" xfId="44262" xr:uid="{00000000-0005-0000-0000-0000D7560000}"/>
    <cellStyle name="Comma 2 5 2 5 2 3 2 3" xfId="37839" xr:uid="{00000000-0005-0000-0000-0000D8560000}"/>
    <cellStyle name="Comma 2 5 2 5 2 3 3" xfId="29154" xr:uid="{00000000-0005-0000-0000-0000D9560000}"/>
    <cellStyle name="Comma 2 5 2 5 2 3 3 2" xfId="41055" xr:uid="{00000000-0005-0000-0000-0000DA560000}"/>
    <cellStyle name="Comma 2 5 2 5 2 3 4" xfId="32489" xr:uid="{00000000-0005-0000-0000-0000DB560000}"/>
    <cellStyle name="Comma 2 5 2 5 2 3 5" xfId="34631" xr:uid="{00000000-0005-0000-0000-0000DC560000}"/>
    <cellStyle name="Comma 2 5 2 5 2 4" xfId="8636" xr:uid="{00000000-0005-0000-0000-0000DD560000}"/>
    <cellStyle name="Comma 2 5 2 5 2 4 2" xfId="43217" xr:uid="{00000000-0005-0000-0000-0000DE560000}"/>
    <cellStyle name="Comma 2 5 2 5 2 4 3" xfId="36793" xr:uid="{00000000-0005-0000-0000-0000DF560000}"/>
    <cellStyle name="Comma 2 5 2 5 2 5" xfId="21625" xr:uid="{00000000-0005-0000-0000-0000E0560000}"/>
    <cellStyle name="Comma 2 5 2 5 2 5 2" xfId="40010" xr:uid="{00000000-0005-0000-0000-0000E1560000}"/>
    <cellStyle name="Comma 2 5 2 5 2 6" xfId="22698" xr:uid="{00000000-0005-0000-0000-0000E2560000}"/>
    <cellStyle name="Comma 2 5 2 5 2 7" xfId="23788" xr:uid="{00000000-0005-0000-0000-0000E3560000}"/>
    <cellStyle name="Comma 2 5 2 5 2 8" xfId="27020" xr:uid="{00000000-0005-0000-0000-0000E4560000}"/>
    <cellStyle name="Comma 2 5 2 5 2 9" xfId="30353" xr:uid="{00000000-0005-0000-0000-0000E5560000}"/>
    <cellStyle name="Comma 2 5 2 5 3" xfId="1363" xr:uid="{00000000-0005-0000-0000-0000E6560000}"/>
    <cellStyle name="Comma 2 5 2 5 3 10" xfId="33587" xr:uid="{00000000-0005-0000-0000-0000E7560000}"/>
    <cellStyle name="Comma 2 5 2 5 3 2" xfId="10133" xr:uid="{00000000-0005-0000-0000-0000E8560000}"/>
    <cellStyle name="Comma 2 5 2 5 3 2 2" xfId="25933" xr:uid="{00000000-0005-0000-0000-0000E9560000}"/>
    <cellStyle name="Comma 2 5 2 5 3 2 2 2" xfId="45360" xr:uid="{00000000-0005-0000-0000-0000EA560000}"/>
    <cellStyle name="Comma 2 5 2 5 3 2 2 3" xfId="38937" xr:uid="{00000000-0005-0000-0000-0000EB560000}"/>
    <cellStyle name="Comma 2 5 2 5 3 2 3" xfId="28111" xr:uid="{00000000-0005-0000-0000-0000EC560000}"/>
    <cellStyle name="Comma 2 5 2 5 3 2 3 2" xfId="42153" xr:uid="{00000000-0005-0000-0000-0000ED560000}"/>
    <cellStyle name="Comma 2 5 2 5 3 2 4" xfId="31446" xr:uid="{00000000-0005-0000-0000-0000EE560000}"/>
    <cellStyle name="Comma 2 5 2 5 3 2 5" xfId="35729" xr:uid="{00000000-0005-0000-0000-0000EF560000}"/>
    <cellStyle name="Comma 2 5 2 5 3 3" xfId="15819" xr:uid="{00000000-0005-0000-0000-0000F0560000}"/>
    <cellStyle name="Comma 2 5 2 5 3 3 2" xfId="24834" xr:uid="{00000000-0005-0000-0000-0000F1560000}"/>
    <cellStyle name="Comma 2 5 2 5 3 3 2 2" xfId="44263" xr:uid="{00000000-0005-0000-0000-0000F2560000}"/>
    <cellStyle name="Comma 2 5 2 5 3 3 2 3" xfId="37840" xr:uid="{00000000-0005-0000-0000-0000F3560000}"/>
    <cellStyle name="Comma 2 5 2 5 3 3 3" xfId="29155" xr:uid="{00000000-0005-0000-0000-0000F4560000}"/>
    <cellStyle name="Comma 2 5 2 5 3 3 3 2" xfId="41056" xr:uid="{00000000-0005-0000-0000-0000F5560000}"/>
    <cellStyle name="Comma 2 5 2 5 3 3 4" xfId="32490" xr:uid="{00000000-0005-0000-0000-0000F6560000}"/>
    <cellStyle name="Comma 2 5 2 5 3 3 5" xfId="34632" xr:uid="{00000000-0005-0000-0000-0000F7560000}"/>
    <cellStyle name="Comma 2 5 2 5 3 4" xfId="8637" xr:uid="{00000000-0005-0000-0000-0000F8560000}"/>
    <cellStyle name="Comma 2 5 2 5 3 4 2" xfId="43218" xr:uid="{00000000-0005-0000-0000-0000F9560000}"/>
    <cellStyle name="Comma 2 5 2 5 3 4 3" xfId="36794" xr:uid="{00000000-0005-0000-0000-0000FA560000}"/>
    <cellStyle name="Comma 2 5 2 5 3 5" xfId="21626" xr:uid="{00000000-0005-0000-0000-0000FB560000}"/>
    <cellStyle name="Comma 2 5 2 5 3 5 2" xfId="40011" xr:uid="{00000000-0005-0000-0000-0000FC560000}"/>
    <cellStyle name="Comma 2 5 2 5 3 6" xfId="22699" xr:uid="{00000000-0005-0000-0000-0000FD560000}"/>
    <cellStyle name="Comma 2 5 2 5 3 7" xfId="23789" xr:uid="{00000000-0005-0000-0000-0000FE560000}"/>
    <cellStyle name="Comma 2 5 2 5 3 8" xfId="27021" xr:uid="{00000000-0005-0000-0000-0000FF560000}"/>
    <cellStyle name="Comma 2 5 2 5 3 9" xfId="30354" xr:uid="{00000000-0005-0000-0000-000000570000}"/>
    <cellStyle name="Comma 2 5 2 5 4" xfId="1364" xr:uid="{00000000-0005-0000-0000-000001570000}"/>
    <cellStyle name="Comma 2 5 2 5 4 10" xfId="33588" xr:uid="{00000000-0005-0000-0000-000002570000}"/>
    <cellStyle name="Comma 2 5 2 5 4 2" xfId="10134" xr:uid="{00000000-0005-0000-0000-000003570000}"/>
    <cellStyle name="Comma 2 5 2 5 4 2 2" xfId="25934" xr:uid="{00000000-0005-0000-0000-000004570000}"/>
    <cellStyle name="Comma 2 5 2 5 4 2 2 2" xfId="45361" xr:uid="{00000000-0005-0000-0000-000005570000}"/>
    <cellStyle name="Comma 2 5 2 5 4 2 2 3" xfId="38938" xr:uid="{00000000-0005-0000-0000-000006570000}"/>
    <cellStyle name="Comma 2 5 2 5 4 2 3" xfId="28112" xr:uid="{00000000-0005-0000-0000-000007570000}"/>
    <cellStyle name="Comma 2 5 2 5 4 2 3 2" xfId="42154" xr:uid="{00000000-0005-0000-0000-000008570000}"/>
    <cellStyle name="Comma 2 5 2 5 4 2 4" xfId="31447" xr:uid="{00000000-0005-0000-0000-000009570000}"/>
    <cellStyle name="Comma 2 5 2 5 4 2 5" xfId="35730" xr:uid="{00000000-0005-0000-0000-00000A570000}"/>
    <cellStyle name="Comma 2 5 2 5 4 3" xfId="15820" xr:uid="{00000000-0005-0000-0000-00000B570000}"/>
    <cellStyle name="Comma 2 5 2 5 4 3 2" xfId="24835" xr:uid="{00000000-0005-0000-0000-00000C570000}"/>
    <cellStyle name="Comma 2 5 2 5 4 3 2 2" xfId="44264" xr:uid="{00000000-0005-0000-0000-00000D570000}"/>
    <cellStyle name="Comma 2 5 2 5 4 3 2 3" xfId="37841" xr:uid="{00000000-0005-0000-0000-00000E570000}"/>
    <cellStyle name="Comma 2 5 2 5 4 3 3" xfId="29156" xr:uid="{00000000-0005-0000-0000-00000F570000}"/>
    <cellStyle name="Comma 2 5 2 5 4 3 3 2" xfId="41057" xr:uid="{00000000-0005-0000-0000-000010570000}"/>
    <cellStyle name="Comma 2 5 2 5 4 3 4" xfId="32491" xr:uid="{00000000-0005-0000-0000-000011570000}"/>
    <cellStyle name="Comma 2 5 2 5 4 3 5" xfId="34633" xr:uid="{00000000-0005-0000-0000-000012570000}"/>
    <cellStyle name="Comma 2 5 2 5 4 4" xfId="8638" xr:uid="{00000000-0005-0000-0000-000013570000}"/>
    <cellStyle name="Comma 2 5 2 5 4 4 2" xfId="43219" xr:uid="{00000000-0005-0000-0000-000014570000}"/>
    <cellStyle name="Comma 2 5 2 5 4 4 3" xfId="36795" xr:uid="{00000000-0005-0000-0000-000015570000}"/>
    <cellStyle name="Comma 2 5 2 5 4 5" xfId="21627" xr:uid="{00000000-0005-0000-0000-000016570000}"/>
    <cellStyle name="Comma 2 5 2 5 4 5 2" xfId="40012" xr:uid="{00000000-0005-0000-0000-000017570000}"/>
    <cellStyle name="Comma 2 5 2 5 4 6" xfId="22700" xr:uid="{00000000-0005-0000-0000-000018570000}"/>
    <cellStyle name="Comma 2 5 2 5 4 7" xfId="23790" xr:uid="{00000000-0005-0000-0000-000019570000}"/>
    <cellStyle name="Comma 2 5 2 5 4 8" xfId="27022" xr:uid="{00000000-0005-0000-0000-00001A570000}"/>
    <cellStyle name="Comma 2 5 2 5 4 9" xfId="30355" xr:uid="{00000000-0005-0000-0000-00001B570000}"/>
    <cellStyle name="Comma 2 5 2 5 5" xfId="1365" xr:uid="{00000000-0005-0000-0000-00001C570000}"/>
    <cellStyle name="Comma 2 5 2 5 5 10" xfId="33589" xr:uid="{00000000-0005-0000-0000-00001D570000}"/>
    <cellStyle name="Comma 2 5 2 5 5 2" xfId="10135" xr:uid="{00000000-0005-0000-0000-00001E570000}"/>
    <cellStyle name="Comma 2 5 2 5 5 2 2" xfId="25935" xr:uid="{00000000-0005-0000-0000-00001F570000}"/>
    <cellStyle name="Comma 2 5 2 5 5 2 2 2" xfId="45362" xr:uid="{00000000-0005-0000-0000-000020570000}"/>
    <cellStyle name="Comma 2 5 2 5 5 2 2 3" xfId="38939" xr:uid="{00000000-0005-0000-0000-000021570000}"/>
    <cellStyle name="Comma 2 5 2 5 5 2 3" xfId="28113" xr:uid="{00000000-0005-0000-0000-000022570000}"/>
    <cellStyle name="Comma 2 5 2 5 5 2 3 2" xfId="42155" xr:uid="{00000000-0005-0000-0000-000023570000}"/>
    <cellStyle name="Comma 2 5 2 5 5 2 4" xfId="31448" xr:uid="{00000000-0005-0000-0000-000024570000}"/>
    <cellStyle name="Comma 2 5 2 5 5 2 5" xfId="35731" xr:uid="{00000000-0005-0000-0000-000025570000}"/>
    <cellStyle name="Comma 2 5 2 5 5 3" xfId="15821" xr:uid="{00000000-0005-0000-0000-000026570000}"/>
    <cellStyle name="Comma 2 5 2 5 5 3 2" xfId="24836" xr:uid="{00000000-0005-0000-0000-000027570000}"/>
    <cellStyle name="Comma 2 5 2 5 5 3 2 2" xfId="44265" xr:uid="{00000000-0005-0000-0000-000028570000}"/>
    <cellStyle name="Comma 2 5 2 5 5 3 2 3" xfId="37842" xr:uid="{00000000-0005-0000-0000-000029570000}"/>
    <cellStyle name="Comma 2 5 2 5 5 3 3" xfId="29157" xr:uid="{00000000-0005-0000-0000-00002A570000}"/>
    <cellStyle name="Comma 2 5 2 5 5 3 3 2" xfId="41058" xr:uid="{00000000-0005-0000-0000-00002B570000}"/>
    <cellStyle name="Comma 2 5 2 5 5 3 4" xfId="32492" xr:uid="{00000000-0005-0000-0000-00002C570000}"/>
    <cellStyle name="Comma 2 5 2 5 5 3 5" xfId="34634" xr:uid="{00000000-0005-0000-0000-00002D570000}"/>
    <cellStyle name="Comma 2 5 2 5 5 4" xfId="8639" xr:uid="{00000000-0005-0000-0000-00002E570000}"/>
    <cellStyle name="Comma 2 5 2 5 5 4 2" xfId="43220" xr:uid="{00000000-0005-0000-0000-00002F570000}"/>
    <cellStyle name="Comma 2 5 2 5 5 4 3" xfId="36796" xr:uid="{00000000-0005-0000-0000-000030570000}"/>
    <cellStyle name="Comma 2 5 2 5 5 5" xfId="21628" xr:uid="{00000000-0005-0000-0000-000031570000}"/>
    <cellStyle name="Comma 2 5 2 5 5 5 2" xfId="40013" xr:uid="{00000000-0005-0000-0000-000032570000}"/>
    <cellStyle name="Comma 2 5 2 5 5 6" xfId="22701" xr:uid="{00000000-0005-0000-0000-000033570000}"/>
    <cellStyle name="Comma 2 5 2 5 5 7" xfId="23791" xr:uid="{00000000-0005-0000-0000-000034570000}"/>
    <cellStyle name="Comma 2 5 2 5 5 8" xfId="27023" xr:uid="{00000000-0005-0000-0000-000035570000}"/>
    <cellStyle name="Comma 2 5 2 5 5 9" xfId="30356" xr:uid="{00000000-0005-0000-0000-000036570000}"/>
    <cellStyle name="Comma 2 5 2 5 6" xfId="1366" xr:uid="{00000000-0005-0000-0000-000037570000}"/>
    <cellStyle name="Comma 2 5 2 5 6 10" xfId="33590" xr:uid="{00000000-0005-0000-0000-000038570000}"/>
    <cellStyle name="Comma 2 5 2 5 6 2" xfId="10136" xr:uid="{00000000-0005-0000-0000-000039570000}"/>
    <cellStyle name="Comma 2 5 2 5 6 2 2" xfId="25936" xr:uid="{00000000-0005-0000-0000-00003A570000}"/>
    <cellStyle name="Comma 2 5 2 5 6 2 2 2" xfId="45363" xr:uid="{00000000-0005-0000-0000-00003B570000}"/>
    <cellStyle name="Comma 2 5 2 5 6 2 2 3" xfId="38940" xr:uid="{00000000-0005-0000-0000-00003C570000}"/>
    <cellStyle name="Comma 2 5 2 5 6 2 3" xfId="28114" xr:uid="{00000000-0005-0000-0000-00003D570000}"/>
    <cellStyle name="Comma 2 5 2 5 6 2 3 2" xfId="42156" xr:uid="{00000000-0005-0000-0000-00003E570000}"/>
    <cellStyle name="Comma 2 5 2 5 6 2 4" xfId="31449" xr:uid="{00000000-0005-0000-0000-00003F570000}"/>
    <cellStyle name="Comma 2 5 2 5 6 2 5" xfId="35732" xr:uid="{00000000-0005-0000-0000-000040570000}"/>
    <cellStyle name="Comma 2 5 2 5 6 3" xfId="15822" xr:uid="{00000000-0005-0000-0000-000041570000}"/>
    <cellStyle name="Comma 2 5 2 5 6 3 2" xfId="24837" xr:uid="{00000000-0005-0000-0000-000042570000}"/>
    <cellStyle name="Comma 2 5 2 5 6 3 2 2" xfId="44266" xr:uid="{00000000-0005-0000-0000-000043570000}"/>
    <cellStyle name="Comma 2 5 2 5 6 3 2 3" xfId="37843" xr:uid="{00000000-0005-0000-0000-000044570000}"/>
    <cellStyle name="Comma 2 5 2 5 6 3 3" xfId="29158" xr:uid="{00000000-0005-0000-0000-000045570000}"/>
    <cellStyle name="Comma 2 5 2 5 6 3 3 2" xfId="41059" xr:uid="{00000000-0005-0000-0000-000046570000}"/>
    <cellStyle name="Comma 2 5 2 5 6 3 4" xfId="32493" xr:uid="{00000000-0005-0000-0000-000047570000}"/>
    <cellStyle name="Comma 2 5 2 5 6 3 5" xfId="34635" xr:uid="{00000000-0005-0000-0000-000048570000}"/>
    <cellStyle name="Comma 2 5 2 5 6 4" xfId="8640" xr:uid="{00000000-0005-0000-0000-000049570000}"/>
    <cellStyle name="Comma 2 5 2 5 6 4 2" xfId="43221" xr:uid="{00000000-0005-0000-0000-00004A570000}"/>
    <cellStyle name="Comma 2 5 2 5 6 4 3" xfId="36797" xr:uid="{00000000-0005-0000-0000-00004B570000}"/>
    <cellStyle name="Comma 2 5 2 5 6 5" xfId="21629" xr:uid="{00000000-0005-0000-0000-00004C570000}"/>
    <cellStyle name="Comma 2 5 2 5 6 5 2" xfId="40014" xr:uid="{00000000-0005-0000-0000-00004D570000}"/>
    <cellStyle name="Comma 2 5 2 5 6 6" xfId="22702" xr:uid="{00000000-0005-0000-0000-00004E570000}"/>
    <cellStyle name="Comma 2 5 2 5 6 7" xfId="23792" xr:uid="{00000000-0005-0000-0000-00004F570000}"/>
    <cellStyle name="Comma 2 5 2 5 6 8" xfId="27024" xr:uid="{00000000-0005-0000-0000-000050570000}"/>
    <cellStyle name="Comma 2 5 2 5 6 9" xfId="30357" xr:uid="{00000000-0005-0000-0000-000051570000}"/>
    <cellStyle name="Comma 2 5 2 5 7" xfId="9140" xr:uid="{00000000-0005-0000-0000-000052570000}"/>
    <cellStyle name="Comma 2 5 2 5 7 2" xfId="25194" xr:uid="{00000000-0005-0000-0000-000053570000}"/>
    <cellStyle name="Comma 2 5 2 5 7 2 2" xfId="44621" xr:uid="{00000000-0005-0000-0000-000054570000}"/>
    <cellStyle name="Comma 2 5 2 5 7 2 3" xfId="38198" xr:uid="{00000000-0005-0000-0000-000055570000}"/>
    <cellStyle name="Comma 2 5 2 5 7 3" xfId="27373" xr:uid="{00000000-0005-0000-0000-000056570000}"/>
    <cellStyle name="Comma 2 5 2 5 7 3 2" xfId="41414" xr:uid="{00000000-0005-0000-0000-000057570000}"/>
    <cellStyle name="Comma 2 5 2 5 7 4" xfId="30708" xr:uid="{00000000-0005-0000-0000-000058570000}"/>
    <cellStyle name="Comma 2 5 2 5 7 5" xfId="34990" xr:uid="{00000000-0005-0000-0000-000059570000}"/>
    <cellStyle name="Comma 2 5 2 5 8" xfId="15817" xr:uid="{00000000-0005-0000-0000-00005A570000}"/>
    <cellStyle name="Comma 2 5 2 5 8 2" xfId="24832" xr:uid="{00000000-0005-0000-0000-00005B570000}"/>
    <cellStyle name="Comma 2 5 2 5 8 2 2" xfId="44261" xr:uid="{00000000-0005-0000-0000-00005C570000}"/>
    <cellStyle name="Comma 2 5 2 5 8 2 3" xfId="37838" xr:uid="{00000000-0005-0000-0000-00005D570000}"/>
    <cellStyle name="Comma 2 5 2 5 8 3" xfId="29153" xr:uid="{00000000-0005-0000-0000-00005E570000}"/>
    <cellStyle name="Comma 2 5 2 5 8 3 2" xfId="41054" xr:uid="{00000000-0005-0000-0000-00005F570000}"/>
    <cellStyle name="Comma 2 5 2 5 8 4" xfId="32488" xr:uid="{00000000-0005-0000-0000-000060570000}"/>
    <cellStyle name="Comma 2 5 2 5 8 5" xfId="34630" xr:uid="{00000000-0005-0000-0000-000061570000}"/>
    <cellStyle name="Comma 2 5 2 5 9" xfId="8635" xr:uid="{00000000-0005-0000-0000-000062570000}"/>
    <cellStyle name="Comma 2 5 2 5 9 2" xfId="42484" xr:uid="{00000000-0005-0000-0000-000063570000}"/>
    <cellStyle name="Comma 2 5 2 5 9 3" xfId="36060" xr:uid="{00000000-0005-0000-0000-000064570000}"/>
    <cellStyle name="Comma 2 5 2 6" xfId="1367" xr:uid="{00000000-0005-0000-0000-000065570000}"/>
    <cellStyle name="Comma 2 5 2 6 10" xfId="22703" xr:uid="{00000000-0005-0000-0000-000066570000}"/>
    <cellStyle name="Comma 2 5 2 6 11" xfId="23793" xr:uid="{00000000-0005-0000-0000-000067570000}"/>
    <cellStyle name="Comma 2 5 2 6 12" xfId="27025" xr:uid="{00000000-0005-0000-0000-000068570000}"/>
    <cellStyle name="Comma 2 5 2 6 13" xfId="30358" xr:uid="{00000000-0005-0000-0000-000069570000}"/>
    <cellStyle name="Comma 2 5 2 6 14" xfId="33591" xr:uid="{00000000-0005-0000-0000-00006A570000}"/>
    <cellStyle name="Comma 2 5 2 6 2" xfId="1368" xr:uid="{00000000-0005-0000-0000-00006B570000}"/>
    <cellStyle name="Comma 2 5 2 6 2 10" xfId="33592" xr:uid="{00000000-0005-0000-0000-00006C570000}"/>
    <cellStyle name="Comma 2 5 2 6 2 2" xfId="10138" xr:uid="{00000000-0005-0000-0000-00006D570000}"/>
    <cellStyle name="Comma 2 5 2 6 2 2 2" xfId="25938" xr:uid="{00000000-0005-0000-0000-00006E570000}"/>
    <cellStyle name="Comma 2 5 2 6 2 2 2 2" xfId="45365" xr:uid="{00000000-0005-0000-0000-00006F570000}"/>
    <cellStyle name="Comma 2 5 2 6 2 2 2 3" xfId="38942" xr:uid="{00000000-0005-0000-0000-000070570000}"/>
    <cellStyle name="Comma 2 5 2 6 2 2 3" xfId="28116" xr:uid="{00000000-0005-0000-0000-000071570000}"/>
    <cellStyle name="Comma 2 5 2 6 2 2 3 2" xfId="42158" xr:uid="{00000000-0005-0000-0000-000072570000}"/>
    <cellStyle name="Comma 2 5 2 6 2 2 4" xfId="31451" xr:uid="{00000000-0005-0000-0000-000073570000}"/>
    <cellStyle name="Comma 2 5 2 6 2 2 5" xfId="35734" xr:uid="{00000000-0005-0000-0000-000074570000}"/>
    <cellStyle name="Comma 2 5 2 6 2 3" xfId="15824" xr:uid="{00000000-0005-0000-0000-000075570000}"/>
    <cellStyle name="Comma 2 5 2 6 2 3 2" xfId="24839" xr:uid="{00000000-0005-0000-0000-000076570000}"/>
    <cellStyle name="Comma 2 5 2 6 2 3 2 2" xfId="44268" xr:uid="{00000000-0005-0000-0000-000077570000}"/>
    <cellStyle name="Comma 2 5 2 6 2 3 2 3" xfId="37845" xr:uid="{00000000-0005-0000-0000-000078570000}"/>
    <cellStyle name="Comma 2 5 2 6 2 3 3" xfId="29160" xr:uid="{00000000-0005-0000-0000-000079570000}"/>
    <cellStyle name="Comma 2 5 2 6 2 3 3 2" xfId="41061" xr:uid="{00000000-0005-0000-0000-00007A570000}"/>
    <cellStyle name="Comma 2 5 2 6 2 3 4" xfId="32495" xr:uid="{00000000-0005-0000-0000-00007B570000}"/>
    <cellStyle name="Comma 2 5 2 6 2 3 5" xfId="34637" xr:uid="{00000000-0005-0000-0000-00007C570000}"/>
    <cellStyle name="Comma 2 5 2 6 2 4" xfId="8642" xr:uid="{00000000-0005-0000-0000-00007D570000}"/>
    <cellStyle name="Comma 2 5 2 6 2 4 2" xfId="43223" xr:uid="{00000000-0005-0000-0000-00007E570000}"/>
    <cellStyle name="Comma 2 5 2 6 2 4 3" xfId="36799" xr:uid="{00000000-0005-0000-0000-00007F570000}"/>
    <cellStyle name="Comma 2 5 2 6 2 5" xfId="21631" xr:uid="{00000000-0005-0000-0000-000080570000}"/>
    <cellStyle name="Comma 2 5 2 6 2 5 2" xfId="40016" xr:uid="{00000000-0005-0000-0000-000081570000}"/>
    <cellStyle name="Comma 2 5 2 6 2 6" xfId="22704" xr:uid="{00000000-0005-0000-0000-000082570000}"/>
    <cellStyle name="Comma 2 5 2 6 2 7" xfId="23794" xr:uid="{00000000-0005-0000-0000-000083570000}"/>
    <cellStyle name="Comma 2 5 2 6 2 8" xfId="27026" xr:uid="{00000000-0005-0000-0000-000084570000}"/>
    <cellStyle name="Comma 2 5 2 6 2 9" xfId="30359" xr:uid="{00000000-0005-0000-0000-000085570000}"/>
    <cellStyle name="Comma 2 5 2 6 3" xfId="1369" xr:uid="{00000000-0005-0000-0000-000086570000}"/>
    <cellStyle name="Comma 2 5 2 6 3 10" xfId="33593" xr:uid="{00000000-0005-0000-0000-000087570000}"/>
    <cellStyle name="Comma 2 5 2 6 3 2" xfId="10139" xr:uid="{00000000-0005-0000-0000-000088570000}"/>
    <cellStyle name="Comma 2 5 2 6 3 2 2" xfId="25939" xr:uid="{00000000-0005-0000-0000-000089570000}"/>
    <cellStyle name="Comma 2 5 2 6 3 2 2 2" xfId="45366" xr:uid="{00000000-0005-0000-0000-00008A570000}"/>
    <cellStyle name="Comma 2 5 2 6 3 2 2 3" xfId="38943" xr:uid="{00000000-0005-0000-0000-00008B570000}"/>
    <cellStyle name="Comma 2 5 2 6 3 2 3" xfId="28117" xr:uid="{00000000-0005-0000-0000-00008C570000}"/>
    <cellStyle name="Comma 2 5 2 6 3 2 3 2" xfId="42159" xr:uid="{00000000-0005-0000-0000-00008D570000}"/>
    <cellStyle name="Comma 2 5 2 6 3 2 4" xfId="31452" xr:uid="{00000000-0005-0000-0000-00008E570000}"/>
    <cellStyle name="Comma 2 5 2 6 3 2 5" xfId="35735" xr:uid="{00000000-0005-0000-0000-00008F570000}"/>
    <cellStyle name="Comma 2 5 2 6 3 3" xfId="15825" xr:uid="{00000000-0005-0000-0000-000090570000}"/>
    <cellStyle name="Comma 2 5 2 6 3 3 2" xfId="24840" xr:uid="{00000000-0005-0000-0000-000091570000}"/>
    <cellStyle name="Comma 2 5 2 6 3 3 2 2" xfId="44269" xr:uid="{00000000-0005-0000-0000-000092570000}"/>
    <cellStyle name="Comma 2 5 2 6 3 3 2 3" xfId="37846" xr:uid="{00000000-0005-0000-0000-000093570000}"/>
    <cellStyle name="Comma 2 5 2 6 3 3 3" xfId="29161" xr:uid="{00000000-0005-0000-0000-000094570000}"/>
    <cellStyle name="Comma 2 5 2 6 3 3 3 2" xfId="41062" xr:uid="{00000000-0005-0000-0000-000095570000}"/>
    <cellStyle name="Comma 2 5 2 6 3 3 4" xfId="32496" xr:uid="{00000000-0005-0000-0000-000096570000}"/>
    <cellStyle name="Comma 2 5 2 6 3 3 5" xfId="34638" xr:uid="{00000000-0005-0000-0000-000097570000}"/>
    <cellStyle name="Comma 2 5 2 6 3 4" xfId="8643" xr:uid="{00000000-0005-0000-0000-000098570000}"/>
    <cellStyle name="Comma 2 5 2 6 3 4 2" xfId="43224" xr:uid="{00000000-0005-0000-0000-000099570000}"/>
    <cellStyle name="Comma 2 5 2 6 3 4 3" xfId="36800" xr:uid="{00000000-0005-0000-0000-00009A570000}"/>
    <cellStyle name="Comma 2 5 2 6 3 5" xfId="21632" xr:uid="{00000000-0005-0000-0000-00009B570000}"/>
    <cellStyle name="Comma 2 5 2 6 3 5 2" xfId="40017" xr:uid="{00000000-0005-0000-0000-00009C570000}"/>
    <cellStyle name="Comma 2 5 2 6 3 6" xfId="22705" xr:uid="{00000000-0005-0000-0000-00009D570000}"/>
    <cellStyle name="Comma 2 5 2 6 3 7" xfId="23795" xr:uid="{00000000-0005-0000-0000-00009E570000}"/>
    <cellStyle name="Comma 2 5 2 6 3 8" xfId="27027" xr:uid="{00000000-0005-0000-0000-00009F570000}"/>
    <cellStyle name="Comma 2 5 2 6 3 9" xfId="30360" xr:uid="{00000000-0005-0000-0000-0000A0570000}"/>
    <cellStyle name="Comma 2 5 2 6 4" xfId="1370" xr:uid="{00000000-0005-0000-0000-0000A1570000}"/>
    <cellStyle name="Comma 2 5 2 6 4 10" xfId="33594" xr:uid="{00000000-0005-0000-0000-0000A2570000}"/>
    <cellStyle name="Comma 2 5 2 6 4 2" xfId="10140" xr:uid="{00000000-0005-0000-0000-0000A3570000}"/>
    <cellStyle name="Comma 2 5 2 6 4 2 2" xfId="25940" xr:uid="{00000000-0005-0000-0000-0000A4570000}"/>
    <cellStyle name="Comma 2 5 2 6 4 2 2 2" xfId="45367" xr:uid="{00000000-0005-0000-0000-0000A5570000}"/>
    <cellStyle name="Comma 2 5 2 6 4 2 2 3" xfId="38944" xr:uid="{00000000-0005-0000-0000-0000A6570000}"/>
    <cellStyle name="Comma 2 5 2 6 4 2 3" xfId="28118" xr:uid="{00000000-0005-0000-0000-0000A7570000}"/>
    <cellStyle name="Comma 2 5 2 6 4 2 3 2" xfId="42160" xr:uid="{00000000-0005-0000-0000-0000A8570000}"/>
    <cellStyle name="Comma 2 5 2 6 4 2 4" xfId="31453" xr:uid="{00000000-0005-0000-0000-0000A9570000}"/>
    <cellStyle name="Comma 2 5 2 6 4 2 5" xfId="35736" xr:uid="{00000000-0005-0000-0000-0000AA570000}"/>
    <cellStyle name="Comma 2 5 2 6 4 3" xfId="15826" xr:uid="{00000000-0005-0000-0000-0000AB570000}"/>
    <cellStyle name="Comma 2 5 2 6 4 3 2" xfId="24841" xr:uid="{00000000-0005-0000-0000-0000AC570000}"/>
    <cellStyle name="Comma 2 5 2 6 4 3 2 2" xfId="44270" xr:uid="{00000000-0005-0000-0000-0000AD570000}"/>
    <cellStyle name="Comma 2 5 2 6 4 3 2 3" xfId="37847" xr:uid="{00000000-0005-0000-0000-0000AE570000}"/>
    <cellStyle name="Comma 2 5 2 6 4 3 3" xfId="29162" xr:uid="{00000000-0005-0000-0000-0000AF570000}"/>
    <cellStyle name="Comma 2 5 2 6 4 3 3 2" xfId="41063" xr:uid="{00000000-0005-0000-0000-0000B0570000}"/>
    <cellStyle name="Comma 2 5 2 6 4 3 4" xfId="32497" xr:uid="{00000000-0005-0000-0000-0000B1570000}"/>
    <cellStyle name="Comma 2 5 2 6 4 3 5" xfId="34639" xr:uid="{00000000-0005-0000-0000-0000B2570000}"/>
    <cellStyle name="Comma 2 5 2 6 4 4" xfId="8644" xr:uid="{00000000-0005-0000-0000-0000B3570000}"/>
    <cellStyle name="Comma 2 5 2 6 4 4 2" xfId="43225" xr:uid="{00000000-0005-0000-0000-0000B4570000}"/>
    <cellStyle name="Comma 2 5 2 6 4 4 3" xfId="36801" xr:uid="{00000000-0005-0000-0000-0000B5570000}"/>
    <cellStyle name="Comma 2 5 2 6 4 5" xfId="21633" xr:uid="{00000000-0005-0000-0000-0000B6570000}"/>
    <cellStyle name="Comma 2 5 2 6 4 5 2" xfId="40018" xr:uid="{00000000-0005-0000-0000-0000B7570000}"/>
    <cellStyle name="Comma 2 5 2 6 4 6" xfId="22706" xr:uid="{00000000-0005-0000-0000-0000B8570000}"/>
    <cellStyle name="Comma 2 5 2 6 4 7" xfId="23796" xr:uid="{00000000-0005-0000-0000-0000B9570000}"/>
    <cellStyle name="Comma 2 5 2 6 4 8" xfId="27028" xr:uid="{00000000-0005-0000-0000-0000BA570000}"/>
    <cellStyle name="Comma 2 5 2 6 4 9" xfId="30361" xr:uid="{00000000-0005-0000-0000-0000BB570000}"/>
    <cellStyle name="Comma 2 5 2 6 5" xfId="1371" xr:uid="{00000000-0005-0000-0000-0000BC570000}"/>
    <cellStyle name="Comma 2 5 2 6 5 10" xfId="33595" xr:uid="{00000000-0005-0000-0000-0000BD570000}"/>
    <cellStyle name="Comma 2 5 2 6 5 2" xfId="10141" xr:uid="{00000000-0005-0000-0000-0000BE570000}"/>
    <cellStyle name="Comma 2 5 2 6 5 2 2" xfId="25941" xr:uid="{00000000-0005-0000-0000-0000BF570000}"/>
    <cellStyle name="Comma 2 5 2 6 5 2 2 2" xfId="45368" xr:uid="{00000000-0005-0000-0000-0000C0570000}"/>
    <cellStyle name="Comma 2 5 2 6 5 2 2 3" xfId="38945" xr:uid="{00000000-0005-0000-0000-0000C1570000}"/>
    <cellStyle name="Comma 2 5 2 6 5 2 3" xfId="28119" xr:uid="{00000000-0005-0000-0000-0000C2570000}"/>
    <cellStyle name="Comma 2 5 2 6 5 2 3 2" xfId="42161" xr:uid="{00000000-0005-0000-0000-0000C3570000}"/>
    <cellStyle name="Comma 2 5 2 6 5 2 4" xfId="31454" xr:uid="{00000000-0005-0000-0000-0000C4570000}"/>
    <cellStyle name="Comma 2 5 2 6 5 2 5" xfId="35737" xr:uid="{00000000-0005-0000-0000-0000C5570000}"/>
    <cellStyle name="Comma 2 5 2 6 5 3" xfId="15827" xr:uid="{00000000-0005-0000-0000-0000C6570000}"/>
    <cellStyle name="Comma 2 5 2 6 5 3 2" xfId="24842" xr:uid="{00000000-0005-0000-0000-0000C7570000}"/>
    <cellStyle name="Comma 2 5 2 6 5 3 2 2" xfId="44271" xr:uid="{00000000-0005-0000-0000-0000C8570000}"/>
    <cellStyle name="Comma 2 5 2 6 5 3 2 3" xfId="37848" xr:uid="{00000000-0005-0000-0000-0000C9570000}"/>
    <cellStyle name="Comma 2 5 2 6 5 3 3" xfId="29163" xr:uid="{00000000-0005-0000-0000-0000CA570000}"/>
    <cellStyle name="Comma 2 5 2 6 5 3 3 2" xfId="41064" xr:uid="{00000000-0005-0000-0000-0000CB570000}"/>
    <cellStyle name="Comma 2 5 2 6 5 3 4" xfId="32498" xr:uid="{00000000-0005-0000-0000-0000CC570000}"/>
    <cellStyle name="Comma 2 5 2 6 5 3 5" xfId="34640" xr:uid="{00000000-0005-0000-0000-0000CD570000}"/>
    <cellStyle name="Comma 2 5 2 6 5 4" xfId="8645" xr:uid="{00000000-0005-0000-0000-0000CE570000}"/>
    <cellStyle name="Comma 2 5 2 6 5 4 2" xfId="43226" xr:uid="{00000000-0005-0000-0000-0000CF570000}"/>
    <cellStyle name="Comma 2 5 2 6 5 4 3" xfId="36802" xr:uid="{00000000-0005-0000-0000-0000D0570000}"/>
    <cellStyle name="Comma 2 5 2 6 5 5" xfId="21634" xr:uid="{00000000-0005-0000-0000-0000D1570000}"/>
    <cellStyle name="Comma 2 5 2 6 5 5 2" xfId="40019" xr:uid="{00000000-0005-0000-0000-0000D2570000}"/>
    <cellStyle name="Comma 2 5 2 6 5 6" xfId="22707" xr:uid="{00000000-0005-0000-0000-0000D3570000}"/>
    <cellStyle name="Comma 2 5 2 6 5 7" xfId="23797" xr:uid="{00000000-0005-0000-0000-0000D4570000}"/>
    <cellStyle name="Comma 2 5 2 6 5 8" xfId="27029" xr:uid="{00000000-0005-0000-0000-0000D5570000}"/>
    <cellStyle name="Comma 2 5 2 6 5 9" xfId="30362" xr:uid="{00000000-0005-0000-0000-0000D6570000}"/>
    <cellStyle name="Comma 2 5 2 6 6" xfId="10137" xr:uid="{00000000-0005-0000-0000-0000D7570000}"/>
    <cellStyle name="Comma 2 5 2 6 6 2" xfId="25937" xr:uid="{00000000-0005-0000-0000-0000D8570000}"/>
    <cellStyle name="Comma 2 5 2 6 6 2 2" xfId="45364" xr:uid="{00000000-0005-0000-0000-0000D9570000}"/>
    <cellStyle name="Comma 2 5 2 6 6 2 3" xfId="38941" xr:uid="{00000000-0005-0000-0000-0000DA570000}"/>
    <cellStyle name="Comma 2 5 2 6 6 3" xfId="28115" xr:uid="{00000000-0005-0000-0000-0000DB570000}"/>
    <cellStyle name="Comma 2 5 2 6 6 3 2" xfId="42157" xr:uid="{00000000-0005-0000-0000-0000DC570000}"/>
    <cellStyle name="Comma 2 5 2 6 6 4" xfId="31450" xr:uid="{00000000-0005-0000-0000-0000DD570000}"/>
    <cellStyle name="Comma 2 5 2 6 6 5" xfId="35733" xr:uid="{00000000-0005-0000-0000-0000DE570000}"/>
    <cellStyle name="Comma 2 5 2 6 7" xfId="15823" xr:uid="{00000000-0005-0000-0000-0000DF570000}"/>
    <cellStyle name="Comma 2 5 2 6 7 2" xfId="24838" xr:uid="{00000000-0005-0000-0000-0000E0570000}"/>
    <cellStyle name="Comma 2 5 2 6 7 2 2" xfId="44267" xr:uid="{00000000-0005-0000-0000-0000E1570000}"/>
    <cellStyle name="Comma 2 5 2 6 7 2 3" xfId="37844" xr:uid="{00000000-0005-0000-0000-0000E2570000}"/>
    <cellStyle name="Comma 2 5 2 6 7 3" xfId="29159" xr:uid="{00000000-0005-0000-0000-0000E3570000}"/>
    <cellStyle name="Comma 2 5 2 6 7 3 2" xfId="41060" xr:uid="{00000000-0005-0000-0000-0000E4570000}"/>
    <cellStyle name="Comma 2 5 2 6 7 4" xfId="32494" xr:uid="{00000000-0005-0000-0000-0000E5570000}"/>
    <cellStyle name="Comma 2 5 2 6 7 5" xfId="34636" xr:uid="{00000000-0005-0000-0000-0000E6570000}"/>
    <cellStyle name="Comma 2 5 2 6 8" xfId="8641" xr:uid="{00000000-0005-0000-0000-0000E7570000}"/>
    <cellStyle name="Comma 2 5 2 6 8 2" xfId="43222" xr:uid="{00000000-0005-0000-0000-0000E8570000}"/>
    <cellStyle name="Comma 2 5 2 6 8 3" xfId="36798" xr:uid="{00000000-0005-0000-0000-0000E9570000}"/>
    <cellStyle name="Comma 2 5 2 6 9" xfId="21630" xr:uid="{00000000-0005-0000-0000-0000EA570000}"/>
    <cellStyle name="Comma 2 5 2 6 9 2" xfId="40015" xr:uid="{00000000-0005-0000-0000-0000EB570000}"/>
    <cellStyle name="Comma 2 5 2 7" xfId="1372" xr:uid="{00000000-0005-0000-0000-0000EC570000}"/>
    <cellStyle name="Comma 2 5 2 7 10" xfId="22708" xr:uid="{00000000-0005-0000-0000-0000ED570000}"/>
    <cellStyle name="Comma 2 5 2 7 11" xfId="23798" xr:uid="{00000000-0005-0000-0000-0000EE570000}"/>
    <cellStyle name="Comma 2 5 2 7 12" xfId="27030" xr:uid="{00000000-0005-0000-0000-0000EF570000}"/>
    <cellStyle name="Comma 2 5 2 7 13" xfId="30363" xr:uid="{00000000-0005-0000-0000-0000F0570000}"/>
    <cellStyle name="Comma 2 5 2 7 14" xfId="33596" xr:uid="{00000000-0005-0000-0000-0000F1570000}"/>
    <cellStyle name="Comma 2 5 2 7 2" xfId="1373" xr:uid="{00000000-0005-0000-0000-0000F2570000}"/>
    <cellStyle name="Comma 2 5 2 7 2 10" xfId="33597" xr:uid="{00000000-0005-0000-0000-0000F3570000}"/>
    <cellStyle name="Comma 2 5 2 7 2 2" xfId="10143" xr:uid="{00000000-0005-0000-0000-0000F4570000}"/>
    <cellStyle name="Comma 2 5 2 7 2 2 2" xfId="25943" xr:uid="{00000000-0005-0000-0000-0000F5570000}"/>
    <cellStyle name="Comma 2 5 2 7 2 2 2 2" xfId="45370" xr:uid="{00000000-0005-0000-0000-0000F6570000}"/>
    <cellStyle name="Comma 2 5 2 7 2 2 2 3" xfId="38947" xr:uid="{00000000-0005-0000-0000-0000F7570000}"/>
    <cellStyle name="Comma 2 5 2 7 2 2 3" xfId="28121" xr:uid="{00000000-0005-0000-0000-0000F8570000}"/>
    <cellStyle name="Comma 2 5 2 7 2 2 3 2" xfId="42163" xr:uid="{00000000-0005-0000-0000-0000F9570000}"/>
    <cellStyle name="Comma 2 5 2 7 2 2 4" xfId="31456" xr:uid="{00000000-0005-0000-0000-0000FA570000}"/>
    <cellStyle name="Comma 2 5 2 7 2 2 5" xfId="35739" xr:uid="{00000000-0005-0000-0000-0000FB570000}"/>
    <cellStyle name="Comma 2 5 2 7 2 3" xfId="15829" xr:uid="{00000000-0005-0000-0000-0000FC570000}"/>
    <cellStyle name="Comma 2 5 2 7 2 3 2" xfId="24844" xr:uid="{00000000-0005-0000-0000-0000FD570000}"/>
    <cellStyle name="Comma 2 5 2 7 2 3 2 2" xfId="44273" xr:uid="{00000000-0005-0000-0000-0000FE570000}"/>
    <cellStyle name="Comma 2 5 2 7 2 3 2 3" xfId="37850" xr:uid="{00000000-0005-0000-0000-0000FF570000}"/>
    <cellStyle name="Comma 2 5 2 7 2 3 3" xfId="29165" xr:uid="{00000000-0005-0000-0000-000000580000}"/>
    <cellStyle name="Comma 2 5 2 7 2 3 3 2" xfId="41066" xr:uid="{00000000-0005-0000-0000-000001580000}"/>
    <cellStyle name="Comma 2 5 2 7 2 3 4" xfId="32500" xr:uid="{00000000-0005-0000-0000-000002580000}"/>
    <cellStyle name="Comma 2 5 2 7 2 3 5" xfId="34642" xr:uid="{00000000-0005-0000-0000-000003580000}"/>
    <cellStyle name="Comma 2 5 2 7 2 4" xfId="8647" xr:uid="{00000000-0005-0000-0000-000004580000}"/>
    <cellStyle name="Comma 2 5 2 7 2 4 2" xfId="43228" xr:uid="{00000000-0005-0000-0000-000005580000}"/>
    <cellStyle name="Comma 2 5 2 7 2 4 3" xfId="36804" xr:uid="{00000000-0005-0000-0000-000006580000}"/>
    <cellStyle name="Comma 2 5 2 7 2 5" xfId="21636" xr:uid="{00000000-0005-0000-0000-000007580000}"/>
    <cellStyle name="Comma 2 5 2 7 2 5 2" xfId="40021" xr:uid="{00000000-0005-0000-0000-000008580000}"/>
    <cellStyle name="Comma 2 5 2 7 2 6" xfId="22709" xr:uid="{00000000-0005-0000-0000-000009580000}"/>
    <cellStyle name="Comma 2 5 2 7 2 7" xfId="23799" xr:uid="{00000000-0005-0000-0000-00000A580000}"/>
    <cellStyle name="Comma 2 5 2 7 2 8" xfId="27031" xr:uid="{00000000-0005-0000-0000-00000B580000}"/>
    <cellStyle name="Comma 2 5 2 7 2 9" xfId="30364" xr:uid="{00000000-0005-0000-0000-00000C580000}"/>
    <cellStyle name="Comma 2 5 2 7 3" xfId="1374" xr:uid="{00000000-0005-0000-0000-00000D580000}"/>
    <cellStyle name="Comma 2 5 2 7 3 10" xfId="33598" xr:uid="{00000000-0005-0000-0000-00000E580000}"/>
    <cellStyle name="Comma 2 5 2 7 3 2" xfId="10144" xr:uid="{00000000-0005-0000-0000-00000F580000}"/>
    <cellStyle name="Comma 2 5 2 7 3 2 2" xfId="25944" xr:uid="{00000000-0005-0000-0000-000010580000}"/>
    <cellStyle name="Comma 2 5 2 7 3 2 2 2" xfId="45371" xr:uid="{00000000-0005-0000-0000-000011580000}"/>
    <cellStyle name="Comma 2 5 2 7 3 2 2 3" xfId="38948" xr:uid="{00000000-0005-0000-0000-000012580000}"/>
    <cellStyle name="Comma 2 5 2 7 3 2 3" xfId="28122" xr:uid="{00000000-0005-0000-0000-000013580000}"/>
    <cellStyle name="Comma 2 5 2 7 3 2 3 2" xfId="42164" xr:uid="{00000000-0005-0000-0000-000014580000}"/>
    <cellStyle name="Comma 2 5 2 7 3 2 4" xfId="31457" xr:uid="{00000000-0005-0000-0000-000015580000}"/>
    <cellStyle name="Comma 2 5 2 7 3 2 5" xfId="35740" xr:uid="{00000000-0005-0000-0000-000016580000}"/>
    <cellStyle name="Comma 2 5 2 7 3 3" xfId="15830" xr:uid="{00000000-0005-0000-0000-000017580000}"/>
    <cellStyle name="Comma 2 5 2 7 3 3 2" xfId="24845" xr:uid="{00000000-0005-0000-0000-000018580000}"/>
    <cellStyle name="Comma 2 5 2 7 3 3 2 2" xfId="44274" xr:uid="{00000000-0005-0000-0000-000019580000}"/>
    <cellStyle name="Comma 2 5 2 7 3 3 2 3" xfId="37851" xr:uid="{00000000-0005-0000-0000-00001A580000}"/>
    <cellStyle name="Comma 2 5 2 7 3 3 3" xfId="29166" xr:uid="{00000000-0005-0000-0000-00001B580000}"/>
    <cellStyle name="Comma 2 5 2 7 3 3 3 2" xfId="41067" xr:uid="{00000000-0005-0000-0000-00001C580000}"/>
    <cellStyle name="Comma 2 5 2 7 3 3 4" xfId="32501" xr:uid="{00000000-0005-0000-0000-00001D580000}"/>
    <cellStyle name="Comma 2 5 2 7 3 3 5" xfId="34643" xr:uid="{00000000-0005-0000-0000-00001E580000}"/>
    <cellStyle name="Comma 2 5 2 7 3 4" xfId="8648" xr:uid="{00000000-0005-0000-0000-00001F580000}"/>
    <cellStyle name="Comma 2 5 2 7 3 4 2" xfId="43229" xr:uid="{00000000-0005-0000-0000-000020580000}"/>
    <cellStyle name="Comma 2 5 2 7 3 4 3" xfId="36805" xr:uid="{00000000-0005-0000-0000-000021580000}"/>
    <cellStyle name="Comma 2 5 2 7 3 5" xfId="21637" xr:uid="{00000000-0005-0000-0000-000022580000}"/>
    <cellStyle name="Comma 2 5 2 7 3 5 2" xfId="40022" xr:uid="{00000000-0005-0000-0000-000023580000}"/>
    <cellStyle name="Comma 2 5 2 7 3 6" xfId="22710" xr:uid="{00000000-0005-0000-0000-000024580000}"/>
    <cellStyle name="Comma 2 5 2 7 3 7" xfId="23800" xr:uid="{00000000-0005-0000-0000-000025580000}"/>
    <cellStyle name="Comma 2 5 2 7 3 8" xfId="27032" xr:uid="{00000000-0005-0000-0000-000026580000}"/>
    <cellStyle name="Comma 2 5 2 7 3 9" xfId="30365" xr:uid="{00000000-0005-0000-0000-000027580000}"/>
    <cellStyle name="Comma 2 5 2 7 4" xfId="1375" xr:uid="{00000000-0005-0000-0000-000028580000}"/>
    <cellStyle name="Comma 2 5 2 7 4 10" xfId="33599" xr:uid="{00000000-0005-0000-0000-000029580000}"/>
    <cellStyle name="Comma 2 5 2 7 4 2" xfId="10145" xr:uid="{00000000-0005-0000-0000-00002A580000}"/>
    <cellStyle name="Comma 2 5 2 7 4 2 2" xfId="25945" xr:uid="{00000000-0005-0000-0000-00002B580000}"/>
    <cellStyle name="Comma 2 5 2 7 4 2 2 2" xfId="45372" xr:uid="{00000000-0005-0000-0000-00002C580000}"/>
    <cellStyle name="Comma 2 5 2 7 4 2 2 3" xfId="38949" xr:uid="{00000000-0005-0000-0000-00002D580000}"/>
    <cellStyle name="Comma 2 5 2 7 4 2 3" xfId="28123" xr:uid="{00000000-0005-0000-0000-00002E580000}"/>
    <cellStyle name="Comma 2 5 2 7 4 2 3 2" xfId="42165" xr:uid="{00000000-0005-0000-0000-00002F580000}"/>
    <cellStyle name="Comma 2 5 2 7 4 2 4" xfId="31458" xr:uid="{00000000-0005-0000-0000-000030580000}"/>
    <cellStyle name="Comma 2 5 2 7 4 2 5" xfId="35741" xr:uid="{00000000-0005-0000-0000-000031580000}"/>
    <cellStyle name="Comma 2 5 2 7 4 3" xfId="15831" xr:uid="{00000000-0005-0000-0000-000032580000}"/>
    <cellStyle name="Comma 2 5 2 7 4 3 2" xfId="24846" xr:uid="{00000000-0005-0000-0000-000033580000}"/>
    <cellStyle name="Comma 2 5 2 7 4 3 2 2" xfId="44275" xr:uid="{00000000-0005-0000-0000-000034580000}"/>
    <cellStyle name="Comma 2 5 2 7 4 3 2 3" xfId="37852" xr:uid="{00000000-0005-0000-0000-000035580000}"/>
    <cellStyle name="Comma 2 5 2 7 4 3 3" xfId="29167" xr:uid="{00000000-0005-0000-0000-000036580000}"/>
    <cellStyle name="Comma 2 5 2 7 4 3 3 2" xfId="41068" xr:uid="{00000000-0005-0000-0000-000037580000}"/>
    <cellStyle name="Comma 2 5 2 7 4 3 4" xfId="32502" xr:uid="{00000000-0005-0000-0000-000038580000}"/>
    <cellStyle name="Comma 2 5 2 7 4 3 5" xfId="34644" xr:uid="{00000000-0005-0000-0000-000039580000}"/>
    <cellStyle name="Comma 2 5 2 7 4 4" xfId="8649" xr:uid="{00000000-0005-0000-0000-00003A580000}"/>
    <cellStyle name="Comma 2 5 2 7 4 4 2" xfId="43230" xr:uid="{00000000-0005-0000-0000-00003B580000}"/>
    <cellStyle name="Comma 2 5 2 7 4 4 3" xfId="36806" xr:uid="{00000000-0005-0000-0000-00003C580000}"/>
    <cellStyle name="Comma 2 5 2 7 4 5" xfId="21638" xr:uid="{00000000-0005-0000-0000-00003D580000}"/>
    <cellStyle name="Comma 2 5 2 7 4 5 2" xfId="40023" xr:uid="{00000000-0005-0000-0000-00003E580000}"/>
    <cellStyle name="Comma 2 5 2 7 4 6" xfId="22711" xr:uid="{00000000-0005-0000-0000-00003F580000}"/>
    <cellStyle name="Comma 2 5 2 7 4 7" xfId="23801" xr:uid="{00000000-0005-0000-0000-000040580000}"/>
    <cellStyle name="Comma 2 5 2 7 4 8" xfId="27033" xr:uid="{00000000-0005-0000-0000-000041580000}"/>
    <cellStyle name="Comma 2 5 2 7 4 9" xfId="30366" xr:uid="{00000000-0005-0000-0000-000042580000}"/>
    <cellStyle name="Comma 2 5 2 7 5" xfId="1376" xr:uid="{00000000-0005-0000-0000-000043580000}"/>
    <cellStyle name="Comma 2 5 2 7 5 10" xfId="33600" xr:uid="{00000000-0005-0000-0000-000044580000}"/>
    <cellStyle name="Comma 2 5 2 7 5 2" xfId="10146" xr:uid="{00000000-0005-0000-0000-000045580000}"/>
    <cellStyle name="Comma 2 5 2 7 5 2 2" xfId="25946" xr:uid="{00000000-0005-0000-0000-000046580000}"/>
    <cellStyle name="Comma 2 5 2 7 5 2 2 2" xfId="45373" xr:uid="{00000000-0005-0000-0000-000047580000}"/>
    <cellStyle name="Comma 2 5 2 7 5 2 2 3" xfId="38950" xr:uid="{00000000-0005-0000-0000-000048580000}"/>
    <cellStyle name="Comma 2 5 2 7 5 2 3" xfId="28124" xr:uid="{00000000-0005-0000-0000-000049580000}"/>
    <cellStyle name="Comma 2 5 2 7 5 2 3 2" xfId="42166" xr:uid="{00000000-0005-0000-0000-00004A580000}"/>
    <cellStyle name="Comma 2 5 2 7 5 2 4" xfId="31459" xr:uid="{00000000-0005-0000-0000-00004B580000}"/>
    <cellStyle name="Comma 2 5 2 7 5 2 5" xfId="35742" xr:uid="{00000000-0005-0000-0000-00004C580000}"/>
    <cellStyle name="Comma 2 5 2 7 5 3" xfId="15832" xr:uid="{00000000-0005-0000-0000-00004D580000}"/>
    <cellStyle name="Comma 2 5 2 7 5 3 2" xfId="24847" xr:uid="{00000000-0005-0000-0000-00004E580000}"/>
    <cellStyle name="Comma 2 5 2 7 5 3 2 2" xfId="44276" xr:uid="{00000000-0005-0000-0000-00004F580000}"/>
    <cellStyle name="Comma 2 5 2 7 5 3 2 3" xfId="37853" xr:uid="{00000000-0005-0000-0000-000050580000}"/>
    <cellStyle name="Comma 2 5 2 7 5 3 3" xfId="29168" xr:uid="{00000000-0005-0000-0000-000051580000}"/>
    <cellStyle name="Comma 2 5 2 7 5 3 3 2" xfId="41069" xr:uid="{00000000-0005-0000-0000-000052580000}"/>
    <cellStyle name="Comma 2 5 2 7 5 3 4" xfId="32503" xr:uid="{00000000-0005-0000-0000-000053580000}"/>
    <cellStyle name="Comma 2 5 2 7 5 3 5" xfId="34645" xr:uid="{00000000-0005-0000-0000-000054580000}"/>
    <cellStyle name="Comma 2 5 2 7 5 4" xfId="8650" xr:uid="{00000000-0005-0000-0000-000055580000}"/>
    <cellStyle name="Comma 2 5 2 7 5 4 2" xfId="43231" xr:uid="{00000000-0005-0000-0000-000056580000}"/>
    <cellStyle name="Comma 2 5 2 7 5 4 3" xfId="36807" xr:uid="{00000000-0005-0000-0000-000057580000}"/>
    <cellStyle name="Comma 2 5 2 7 5 5" xfId="21639" xr:uid="{00000000-0005-0000-0000-000058580000}"/>
    <cellStyle name="Comma 2 5 2 7 5 5 2" xfId="40024" xr:uid="{00000000-0005-0000-0000-000059580000}"/>
    <cellStyle name="Comma 2 5 2 7 5 6" xfId="22712" xr:uid="{00000000-0005-0000-0000-00005A580000}"/>
    <cellStyle name="Comma 2 5 2 7 5 7" xfId="23802" xr:uid="{00000000-0005-0000-0000-00005B580000}"/>
    <cellStyle name="Comma 2 5 2 7 5 8" xfId="27034" xr:uid="{00000000-0005-0000-0000-00005C580000}"/>
    <cellStyle name="Comma 2 5 2 7 5 9" xfId="30367" xr:uid="{00000000-0005-0000-0000-00005D580000}"/>
    <cellStyle name="Comma 2 5 2 7 6" xfId="10142" xr:uid="{00000000-0005-0000-0000-00005E580000}"/>
    <cellStyle name="Comma 2 5 2 7 6 2" xfId="25942" xr:uid="{00000000-0005-0000-0000-00005F580000}"/>
    <cellStyle name="Comma 2 5 2 7 6 2 2" xfId="45369" xr:uid="{00000000-0005-0000-0000-000060580000}"/>
    <cellStyle name="Comma 2 5 2 7 6 2 3" xfId="38946" xr:uid="{00000000-0005-0000-0000-000061580000}"/>
    <cellStyle name="Comma 2 5 2 7 6 3" xfId="28120" xr:uid="{00000000-0005-0000-0000-000062580000}"/>
    <cellStyle name="Comma 2 5 2 7 6 3 2" xfId="42162" xr:uid="{00000000-0005-0000-0000-000063580000}"/>
    <cellStyle name="Comma 2 5 2 7 6 4" xfId="31455" xr:uid="{00000000-0005-0000-0000-000064580000}"/>
    <cellStyle name="Comma 2 5 2 7 6 5" xfId="35738" xr:uid="{00000000-0005-0000-0000-000065580000}"/>
    <cellStyle name="Comma 2 5 2 7 7" xfId="15828" xr:uid="{00000000-0005-0000-0000-000066580000}"/>
    <cellStyle name="Comma 2 5 2 7 7 2" xfId="24843" xr:uid="{00000000-0005-0000-0000-000067580000}"/>
    <cellStyle name="Comma 2 5 2 7 7 2 2" xfId="44272" xr:uid="{00000000-0005-0000-0000-000068580000}"/>
    <cellStyle name="Comma 2 5 2 7 7 2 3" xfId="37849" xr:uid="{00000000-0005-0000-0000-000069580000}"/>
    <cellStyle name="Comma 2 5 2 7 7 3" xfId="29164" xr:uid="{00000000-0005-0000-0000-00006A580000}"/>
    <cellStyle name="Comma 2 5 2 7 7 3 2" xfId="41065" xr:uid="{00000000-0005-0000-0000-00006B580000}"/>
    <cellStyle name="Comma 2 5 2 7 7 4" xfId="32499" xr:uid="{00000000-0005-0000-0000-00006C580000}"/>
    <cellStyle name="Comma 2 5 2 7 7 5" xfId="34641" xr:uid="{00000000-0005-0000-0000-00006D580000}"/>
    <cellStyle name="Comma 2 5 2 7 8" xfId="8646" xr:uid="{00000000-0005-0000-0000-00006E580000}"/>
    <cellStyle name="Comma 2 5 2 7 8 2" xfId="43227" xr:uid="{00000000-0005-0000-0000-00006F580000}"/>
    <cellStyle name="Comma 2 5 2 7 8 3" xfId="36803" xr:uid="{00000000-0005-0000-0000-000070580000}"/>
    <cellStyle name="Comma 2 5 2 7 9" xfId="21635" xr:uid="{00000000-0005-0000-0000-000071580000}"/>
    <cellStyle name="Comma 2 5 2 7 9 2" xfId="40020" xr:uid="{00000000-0005-0000-0000-000072580000}"/>
    <cellStyle name="Comma 2 5 2 8" xfId="1377" xr:uid="{00000000-0005-0000-0000-000073580000}"/>
    <cellStyle name="Comma 2 5 2 8 10" xfId="33601" xr:uid="{00000000-0005-0000-0000-000074580000}"/>
    <cellStyle name="Comma 2 5 2 8 2" xfId="10147" xr:uid="{00000000-0005-0000-0000-000075580000}"/>
    <cellStyle name="Comma 2 5 2 8 2 2" xfId="25947" xr:uid="{00000000-0005-0000-0000-000076580000}"/>
    <cellStyle name="Comma 2 5 2 8 2 2 2" xfId="45374" xr:uid="{00000000-0005-0000-0000-000077580000}"/>
    <cellStyle name="Comma 2 5 2 8 2 2 3" xfId="38951" xr:uid="{00000000-0005-0000-0000-000078580000}"/>
    <cellStyle name="Comma 2 5 2 8 2 3" xfId="28125" xr:uid="{00000000-0005-0000-0000-000079580000}"/>
    <cellStyle name="Comma 2 5 2 8 2 3 2" xfId="42167" xr:uid="{00000000-0005-0000-0000-00007A580000}"/>
    <cellStyle name="Comma 2 5 2 8 2 4" xfId="31460" xr:uid="{00000000-0005-0000-0000-00007B580000}"/>
    <cellStyle name="Comma 2 5 2 8 2 5" xfId="35743" xr:uid="{00000000-0005-0000-0000-00007C580000}"/>
    <cellStyle name="Comma 2 5 2 8 3" xfId="15833" xr:uid="{00000000-0005-0000-0000-00007D580000}"/>
    <cellStyle name="Comma 2 5 2 8 3 2" xfId="24848" xr:uid="{00000000-0005-0000-0000-00007E580000}"/>
    <cellStyle name="Comma 2 5 2 8 3 2 2" xfId="44277" xr:uid="{00000000-0005-0000-0000-00007F580000}"/>
    <cellStyle name="Comma 2 5 2 8 3 2 3" xfId="37854" xr:uid="{00000000-0005-0000-0000-000080580000}"/>
    <cellStyle name="Comma 2 5 2 8 3 3" xfId="29169" xr:uid="{00000000-0005-0000-0000-000081580000}"/>
    <cellStyle name="Comma 2 5 2 8 3 3 2" xfId="41070" xr:uid="{00000000-0005-0000-0000-000082580000}"/>
    <cellStyle name="Comma 2 5 2 8 3 4" xfId="32504" xr:uid="{00000000-0005-0000-0000-000083580000}"/>
    <cellStyle name="Comma 2 5 2 8 3 5" xfId="34646" xr:uid="{00000000-0005-0000-0000-000084580000}"/>
    <cellStyle name="Comma 2 5 2 8 4" xfId="8651" xr:uid="{00000000-0005-0000-0000-000085580000}"/>
    <cellStyle name="Comma 2 5 2 8 4 2" xfId="43232" xr:uid="{00000000-0005-0000-0000-000086580000}"/>
    <cellStyle name="Comma 2 5 2 8 4 3" xfId="36808" xr:uid="{00000000-0005-0000-0000-000087580000}"/>
    <cellStyle name="Comma 2 5 2 8 5" xfId="21640" xr:uid="{00000000-0005-0000-0000-000088580000}"/>
    <cellStyle name="Comma 2 5 2 8 5 2" xfId="40025" xr:uid="{00000000-0005-0000-0000-000089580000}"/>
    <cellStyle name="Comma 2 5 2 8 6" xfId="22713" xr:uid="{00000000-0005-0000-0000-00008A580000}"/>
    <cellStyle name="Comma 2 5 2 8 7" xfId="23803" xr:uid="{00000000-0005-0000-0000-00008B580000}"/>
    <cellStyle name="Comma 2 5 2 8 8" xfId="27035" xr:uid="{00000000-0005-0000-0000-00008C580000}"/>
    <cellStyle name="Comma 2 5 2 8 9" xfId="30368" xr:uid="{00000000-0005-0000-0000-00008D580000}"/>
    <cellStyle name="Comma 2 5 2 9" xfId="1378" xr:uid="{00000000-0005-0000-0000-00008E580000}"/>
    <cellStyle name="Comma 2 5 2 9 10" xfId="33602" xr:uid="{00000000-0005-0000-0000-00008F580000}"/>
    <cellStyle name="Comma 2 5 2 9 2" xfId="10148" xr:uid="{00000000-0005-0000-0000-000090580000}"/>
    <cellStyle name="Comma 2 5 2 9 2 2" xfId="25948" xr:uid="{00000000-0005-0000-0000-000091580000}"/>
    <cellStyle name="Comma 2 5 2 9 2 2 2" xfId="45375" xr:uid="{00000000-0005-0000-0000-000092580000}"/>
    <cellStyle name="Comma 2 5 2 9 2 2 3" xfId="38952" xr:uid="{00000000-0005-0000-0000-000093580000}"/>
    <cellStyle name="Comma 2 5 2 9 2 3" xfId="28126" xr:uid="{00000000-0005-0000-0000-000094580000}"/>
    <cellStyle name="Comma 2 5 2 9 2 3 2" xfId="42168" xr:uid="{00000000-0005-0000-0000-000095580000}"/>
    <cellStyle name="Comma 2 5 2 9 2 4" xfId="31461" xr:uid="{00000000-0005-0000-0000-000096580000}"/>
    <cellStyle name="Comma 2 5 2 9 2 5" xfId="35744" xr:uid="{00000000-0005-0000-0000-000097580000}"/>
    <cellStyle name="Comma 2 5 2 9 3" xfId="15834" xr:uid="{00000000-0005-0000-0000-000098580000}"/>
    <cellStyle name="Comma 2 5 2 9 3 2" xfId="24849" xr:uid="{00000000-0005-0000-0000-000099580000}"/>
    <cellStyle name="Comma 2 5 2 9 3 2 2" xfId="44278" xr:uid="{00000000-0005-0000-0000-00009A580000}"/>
    <cellStyle name="Comma 2 5 2 9 3 2 3" xfId="37855" xr:uid="{00000000-0005-0000-0000-00009B580000}"/>
    <cellStyle name="Comma 2 5 2 9 3 3" xfId="29170" xr:uid="{00000000-0005-0000-0000-00009C580000}"/>
    <cellStyle name="Comma 2 5 2 9 3 3 2" xfId="41071" xr:uid="{00000000-0005-0000-0000-00009D580000}"/>
    <cellStyle name="Comma 2 5 2 9 3 4" xfId="32505" xr:uid="{00000000-0005-0000-0000-00009E580000}"/>
    <cellStyle name="Comma 2 5 2 9 3 5" xfId="34647" xr:uid="{00000000-0005-0000-0000-00009F580000}"/>
    <cellStyle name="Comma 2 5 2 9 4" xfId="8652" xr:uid="{00000000-0005-0000-0000-0000A0580000}"/>
    <cellStyle name="Comma 2 5 2 9 4 2" xfId="43233" xr:uid="{00000000-0005-0000-0000-0000A1580000}"/>
    <cellStyle name="Comma 2 5 2 9 4 3" xfId="36809" xr:uid="{00000000-0005-0000-0000-0000A2580000}"/>
    <cellStyle name="Comma 2 5 2 9 5" xfId="21641" xr:uid="{00000000-0005-0000-0000-0000A3580000}"/>
    <cellStyle name="Comma 2 5 2 9 5 2" xfId="40026" xr:uid="{00000000-0005-0000-0000-0000A4580000}"/>
    <cellStyle name="Comma 2 5 2 9 6" xfId="22714" xr:uid="{00000000-0005-0000-0000-0000A5580000}"/>
    <cellStyle name="Comma 2 5 2 9 7" xfId="23804" xr:uid="{00000000-0005-0000-0000-0000A6580000}"/>
    <cellStyle name="Comma 2 5 2 9 8" xfId="27036" xr:uid="{00000000-0005-0000-0000-0000A7580000}"/>
    <cellStyle name="Comma 2 5 2 9 9" xfId="30369" xr:uid="{00000000-0005-0000-0000-0000A8580000}"/>
    <cellStyle name="Comma 2 5 20" xfId="26876" xr:uid="{00000000-0005-0000-0000-0000A9580000}"/>
    <cellStyle name="Comma 2 5 21" xfId="30209" xr:uid="{00000000-0005-0000-0000-0000AA580000}"/>
    <cellStyle name="Comma 2 5 22" xfId="32790" xr:uid="{00000000-0005-0000-0000-0000AB580000}"/>
    <cellStyle name="Comma 2 5 3" xfId="285" xr:uid="{00000000-0005-0000-0000-0000AC580000}"/>
    <cellStyle name="Comma 2 5 3 10" xfId="1379" xr:uid="{00000000-0005-0000-0000-0000AD580000}"/>
    <cellStyle name="Comma 2 5 3 10 10" xfId="33603" xr:uid="{00000000-0005-0000-0000-0000AE580000}"/>
    <cellStyle name="Comma 2 5 3 10 2" xfId="10149" xr:uid="{00000000-0005-0000-0000-0000AF580000}"/>
    <cellStyle name="Comma 2 5 3 10 2 2" xfId="25949" xr:uid="{00000000-0005-0000-0000-0000B0580000}"/>
    <cellStyle name="Comma 2 5 3 10 2 2 2" xfId="45376" xr:uid="{00000000-0005-0000-0000-0000B1580000}"/>
    <cellStyle name="Comma 2 5 3 10 2 2 3" xfId="38953" xr:uid="{00000000-0005-0000-0000-0000B2580000}"/>
    <cellStyle name="Comma 2 5 3 10 2 3" xfId="28127" xr:uid="{00000000-0005-0000-0000-0000B3580000}"/>
    <cellStyle name="Comma 2 5 3 10 2 3 2" xfId="42169" xr:uid="{00000000-0005-0000-0000-0000B4580000}"/>
    <cellStyle name="Comma 2 5 3 10 2 4" xfId="31462" xr:uid="{00000000-0005-0000-0000-0000B5580000}"/>
    <cellStyle name="Comma 2 5 3 10 2 5" xfId="35745" xr:uid="{00000000-0005-0000-0000-0000B6580000}"/>
    <cellStyle name="Comma 2 5 3 10 3" xfId="15836" xr:uid="{00000000-0005-0000-0000-0000B7580000}"/>
    <cellStyle name="Comma 2 5 3 10 3 2" xfId="24851" xr:uid="{00000000-0005-0000-0000-0000B8580000}"/>
    <cellStyle name="Comma 2 5 3 10 3 2 2" xfId="44280" xr:uid="{00000000-0005-0000-0000-0000B9580000}"/>
    <cellStyle name="Comma 2 5 3 10 3 2 3" xfId="37857" xr:uid="{00000000-0005-0000-0000-0000BA580000}"/>
    <cellStyle name="Comma 2 5 3 10 3 3" xfId="29172" xr:uid="{00000000-0005-0000-0000-0000BB580000}"/>
    <cellStyle name="Comma 2 5 3 10 3 3 2" xfId="41073" xr:uid="{00000000-0005-0000-0000-0000BC580000}"/>
    <cellStyle name="Comma 2 5 3 10 3 4" xfId="32507" xr:uid="{00000000-0005-0000-0000-0000BD580000}"/>
    <cellStyle name="Comma 2 5 3 10 3 5" xfId="34649" xr:uid="{00000000-0005-0000-0000-0000BE580000}"/>
    <cellStyle name="Comma 2 5 3 10 4" xfId="8654" xr:uid="{00000000-0005-0000-0000-0000BF580000}"/>
    <cellStyle name="Comma 2 5 3 10 4 2" xfId="43234" xr:uid="{00000000-0005-0000-0000-0000C0580000}"/>
    <cellStyle name="Comma 2 5 3 10 4 3" xfId="36810" xr:uid="{00000000-0005-0000-0000-0000C1580000}"/>
    <cellStyle name="Comma 2 5 3 10 5" xfId="21643" xr:uid="{00000000-0005-0000-0000-0000C2580000}"/>
    <cellStyle name="Comma 2 5 3 10 5 2" xfId="40027" xr:uid="{00000000-0005-0000-0000-0000C3580000}"/>
    <cellStyle name="Comma 2 5 3 10 6" xfId="22716" xr:uid="{00000000-0005-0000-0000-0000C4580000}"/>
    <cellStyle name="Comma 2 5 3 10 7" xfId="23805" xr:uid="{00000000-0005-0000-0000-0000C5580000}"/>
    <cellStyle name="Comma 2 5 3 10 8" xfId="27038" xr:uid="{00000000-0005-0000-0000-0000C6580000}"/>
    <cellStyle name="Comma 2 5 3 10 9" xfId="30371" xr:uid="{00000000-0005-0000-0000-0000C7580000}"/>
    <cellStyle name="Comma 2 5 3 11" xfId="1380" xr:uid="{00000000-0005-0000-0000-0000C8580000}"/>
    <cellStyle name="Comma 2 5 3 11 10" xfId="33604" xr:uid="{00000000-0005-0000-0000-0000C9580000}"/>
    <cellStyle name="Comma 2 5 3 11 2" xfId="10150" xr:uid="{00000000-0005-0000-0000-0000CA580000}"/>
    <cellStyle name="Comma 2 5 3 11 2 2" xfId="25950" xr:uid="{00000000-0005-0000-0000-0000CB580000}"/>
    <cellStyle name="Comma 2 5 3 11 2 2 2" xfId="45377" xr:uid="{00000000-0005-0000-0000-0000CC580000}"/>
    <cellStyle name="Comma 2 5 3 11 2 2 3" xfId="38954" xr:uid="{00000000-0005-0000-0000-0000CD580000}"/>
    <cellStyle name="Comma 2 5 3 11 2 3" xfId="28128" xr:uid="{00000000-0005-0000-0000-0000CE580000}"/>
    <cellStyle name="Comma 2 5 3 11 2 3 2" xfId="42170" xr:uid="{00000000-0005-0000-0000-0000CF580000}"/>
    <cellStyle name="Comma 2 5 3 11 2 4" xfId="31463" xr:uid="{00000000-0005-0000-0000-0000D0580000}"/>
    <cellStyle name="Comma 2 5 3 11 2 5" xfId="35746" xr:uid="{00000000-0005-0000-0000-0000D1580000}"/>
    <cellStyle name="Comma 2 5 3 11 3" xfId="15837" xr:uid="{00000000-0005-0000-0000-0000D2580000}"/>
    <cellStyle name="Comma 2 5 3 11 3 2" xfId="24852" xr:uid="{00000000-0005-0000-0000-0000D3580000}"/>
    <cellStyle name="Comma 2 5 3 11 3 2 2" xfId="44281" xr:uid="{00000000-0005-0000-0000-0000D4580000}"/>
    <cellStyle name="Comma 2 5 3 11 3 2 3" xfId="37858" xr:uid="{00000000-0005-0000-0000-0000D5580000}"/>
    <cellStyle name="Comma 2 5 3 11 3 3" xfId="29173" xr:uid="{00000000-0005-0000-0000-0000D6580000}"/>
    <cellStyle name="Comma 2 5 3 11 3 3 2" xfId="41074" xr:uid="{00000000-0005-0000-0000-0000D7580000}"/>
    <cellStyle name="Comma 2 5 3 11 3 4" xfId="32508" xr:uid="{00000000-0005-0000-0000-0000D8580000}"/>
    <cellStyle name="Comma 2 5 3 11 3 5" xfId="34650" xr:uid="{00000000-0005-0000-0000-0000D9580000}"/>
    <cellStyle name="Comma 2 5 3 11 4" xfId="8655" xr:uid="{00000000-0005-0000-0000-0000DA580000}"/>
    <cellStyle name="Comma 2 5 3 11 4 2" xfId="43235" xr:uid="{00000000-0005-0000-0000-0000DB580000}"/>
    <cellStyle name="Comma 2 5 3 11 4 3" xfId="36811" xr:uid="{00000000-0005-0000-0000-0000DC580000}"/>
    <cellStyle name="Comma 2 5 3 11 5" xfId="21644" xr:uid="{00000000-0005-0000-0000-0000DD580000}"/>
    <cellStyle name="Comma 2 5 3 11 5 2" xfId="40028" xr:uid="{00000000-0005-0000-0000-0000DE580000}"/>
    <cellStyle name="Comma 2 5 3 11 6" xfId="22717" xr:uid="{00000000-0005-0000-0000-0000DF580000}"/>
    <cellStyle name="Comma 2 5 3 11 7" xfId="23806" xr:uid="{00000000-0005-0000-0000-0000E0580000}"/>
    <cellStyle name="Comma 2 5 3 11 8" xfId="27039" xr:uid="{00000000-0005-0000-0000-0000E1580000}"/>
    <cellStyle name="Comma 2 5 3 11 9" xfId="30372" xr:uid="{00000000-0005-0000-0000-0000E2580000}"/>
    <cellStyle name="Comma 2 5 3 12" xfId="9141" xr:uid="{00000000-0005-0000-0000-0000E3580000}"/>
    <cellStyle name="Comma 2 5 3 12 2" xfId="25195" xr:uid="{00000000-0005-0000-0000-0000E4580000}"/>
    <cellStyle name="Comma 2 5 3 12 2 2" xfId="44622" xr:uid="{00000000-0005-0000-0000-0000E5580000}"/>
    <cellStyle name="Comma 2 5 3 12 2 3" xfId="38199" xr:uid="{00000000-0005-0000-0000-0000E6580000}"/>
    <cellStyle name="Comma 2 5 3 12 3" xfId="27374" xr:uid="{00000000-0005-0000-0000-0000E7580000}"/>
    <cellStyle name="Comma 2 5 3 12 3 2" xfId="41415" xr:uid="{00000000-0005-0000-0000-0000E8580000}"/>
    <cellStyle name="Comma 2 5 3 12 4" xfId="30709" xr:uid="{00000000-0005-0000-0000-0000E9580000}"/>
    <cellStyle name="Comma 2 5 3 12 5" xfId="34991" xr:uid="{00000000-0005-0000-0000-0000EA580000}"/>
    <cellStyle name="Comma 2 5 3 13" xfId="15835" xr:uid="{00000000-0005-0000-0000-0000EB580000}"/>
    <cellStyle name="Comma 2 5 3 13 2" xfId="24850" xr:uid="{00000000-0005-0000-0000-0000EC580000}"/>
    <cellStyle name="Comma 2 5 3 13 2 2" xfId="44279" xr:uid="{00000000-0005-0000-0000-0000ED580000}"/>
    <cellStyle name="Comma 2 5 3 13 2 3" xfId="37856" xr:uid="{00000000-0005-0000-0000-0000EE580000}"/>
    <cellStyle name="Comma 2 5 3 13 3" xfId="29171" xr:uid="{00000000-0005-0000-0000-0000EF580000}"/>
    <cellStyle name="Comma 2 5 3 13 3 2" xfId="41072" xr:uid="{00000000-0005-0000-0000-0000F0580000}"/>
    <cellStyle name="Comma 2 5 3 13 4" xfId="32506" xr:uid="{00000000-0005-0000-0000-0000F1580000}"/>
    <cellStyle name="Comma 2 5 3 13 5" xfId="34648" xr:uid="{00000000-0005-0000-0000-0000F2580000}"/>
    <cellStyle name="Comma 2 5 3 14" xfId="8653" xr:uid="{00000000-0005-0000-0000-0000F3580000}"/>
    <cellStyle name="Comma 2 5 3 14 2" xfId="42485" xr:uid="{00000000-0005-0000-0000-0000F4580000}"/>
    <cellStyle name="Comma 2 5 3 14 3" xfId="36061" xr:uid="{00000000-0005-0000-0000-0000F5580000}"/>
    <cellStyle name="Comma 2 5 3 15" xfId="21642" xr:uid="{00000000-0005-0000-0000-0000F6580000}"/>
    <cellStyle name="Comma 2 5 3 15 2" xfId="39278" xr:uid="{00000000-0005-0000-0000-0000F7580000}"/>
    <cellStyle name="Comma 2 5 3 16" xfId="22715" xr:uid="{00000000-0005-0000-0000-0000F8580000}"/>
    <cellStyle name="Comma 2 5 3 17" xfId="23056" xr:uid="{00000000-0005-0000-0000-0000F9580000}"/>
    <cellStyle name="Comma 2 5 3 18" xfId="27037" xr:uid="{00000000-0005-0000-0000-0000FA580000}"/>
    <cellStyle name="Comma 2 5 3 19" xfId="30370" xr:uid="{00000000-0005-0000-0000-0000FB580000}"/>
    <cellStyle name="Comma 2 5 3 2" xfId="286" xr:uid="{00000000-0005-0000-0000-0000FC580000}"/>
    <cellStyle name="Comma 2 5 3 2 10" xfId="1381" xr:uid="{00000000-0005-0000-0000-0000FD580000}"/>
    <cellStyle name="Comma 2 5 3 2 10 10" xfId="33605" xr:uid="{00000000-0005-0000-0000-0000FE580000}"/>
    <cellStyle name="Comma 2 5 3 2 10 2" xfId="10151" xr:uid="{00000000-0005-0000-0000-0000FF580000}"/>
    <cellStyle name="Comma 2 5 3 2 10 2 2" xfId="25951" xr:uid="{00000000-0005-0000-0000-000000590000}"/>
    <cellStyle name="Comma 2 5 3 2 10 2 2 2" xfId="45378" xr:uid="{00000000-0005-0000-0000-000001590000}"/>
    <cellStyle name="Comma 2 5 3 2 10 2 2 3" xfId="38955" xr:uid="{00000000-0005-0000-0000-000002590000}"/>
    <cellStyle name="Comma 2 5 3 2 10 2 3" xfId="28129" xr:uid="{00000000-0005-0000-0000-000003590000}"/>
    <cellStyle name="Comma 2 5 3 2 10 2 3 2" xfId="42171" xr:uid="{00000000-0005-0000-0000-000004590000}"/>
    <cellStyle name="Comma 2 5 3 2 10 2 4" xfId="31464" xr:uid="{00000000-0005-0000-0000-000005590000}"/>
    <cellStyle name="Comma 2 5 3 2 10 2 5" xfId="35747" xr:uid="{00000000-0005-0000-0000-000006590000}"/>
    <cellStyle name="Comma 2 5 3 2 10 3" xfId="15839" xr:uid="{00000000-0005-0000-0000-000007590000}"/>
    <cellStyle name="Comma 2 5 3 2 10 3 2" xfId="24854" xr:uid="{00000000-0005-0000-0000-000008590000}"/>
    <cellStyle name="Comma 2 5 3 2 10 3 2 2" xfId="44283" xr:uid="{00000000-0005-0000-0000-000009590000}"/>
    <cellStyle name="Comma 2 5 3 2 10 3 2 3" xfId="37860" xr:uid="{00000000-0005-0000-0000-00000A590000}"/>
    <cellStyle name="Comma 2 5 3 2 10 3 3" xfId="29175" xr:uid="{00000000-0005-0000-0000-00000B590000}"/>
    <cellStyle name="Comma 2 5 3 2 10 3 3 2" xfId="41076" xr:uid="{00000000-0005-0000-0000-00000C590000}"/>
    <cellStyle name="Comma 2 5 3 2 10 3 4" xfId="32510" xr:uid="{00000000-0005-0000-0000-00000D590000}"/>
    <cellStyle name="Comma 2 5 3 2 10 3 5" xfId="34652" xr:uid="{00000000-0005-0000-0000-00000E590000}"/>
    <cellStyle name="Comma 2 5 3 2 10 4" xfId="8657" xr:uid="{00000000-0005-0000-0000-00000F590000}"/>
    <cellStyle name="Comma 2 5 3 2 10 4 2" xfId="43236" xr:uid="{00000000-0005-0000-0000-000010590000}"/>
    <cellStyle name="Comma 2 5 3 2 10 4 3" xfId="36812" xr:uid="{00000000-0005-0000-0000-000011590000}"/>
    <cellStyle name="Comma 2 5 3 2 10 5" xfId="21646" xr:uid="{00000000-0005-0000-0000-000012590000}"/>
    <cellStyle name="Comma 2 5 3 2 10 5 2" xfId="40029" xr:uid="{00000000-0005-0000-0000-000013590000}"/>
    <cellStyle name="Comma 2 5 3 2 10 6" xfId="22719" xr:uid="{00000000-0005-0000-0000-000014590000}"/>
    <cellStyle name="Comma 2 5 3 2 10 7" xfId="23807" xr:uid="{00000000-0005-0000-0000-000015590000}"/>
    <cellStyle name="Comma 2 5 3 2 10 8" xfId="27041" xr:uid="{00000000-0005-0000-0000-000016590000}"/>
    <cellStyle name="Comma 2 5 3 2 10 9" xfId="30374" xr:uid="{00000000-0005-0000-0000-000017590000}"/>
    <cellStyle name="Comma 2 5 3 2 11" xfId="9142" xr:uid="{00000000-0005-0000-0000-000018590000}"/>
    <cellStyle name="Comma 2 5 3 2 11 2" xfId="25196" xr:uid="{00000000-0005-0000-0000-000019590000}"/>
    <cellStyle name="Comma 2 5 3 2 11 2 2" xfId="44623" xr:uid="{00000000-0005-0000-0000-00001A590000}"/>
    <cellStyle name="Comma 2 5 3 2 11 2 3" xfId="38200" xr:uid="{00000000-0005-0000-0000-00001B590000}"/>
    <cellStyle name="Comma 2 5 3 2 11 3" xfId="27375" xr:uid="{00000000-0005-0000-0000-00001C590000}"/>
    <cellStyle name="Comma 2 5 3 2 11 3 2" xfId="41416" xr:uid="{00000000-0005-0000-0000-00001D590000}"/>
    <cellStyle name="Comma 2 5 3 2 11 4" xfId="30710" xr:uid="{00000000-0005-0000-0000-00001E590000}"/>
    <cellStyle name="Comma 2 5 3 2 11 5" xfId="34992" xr:uid="{00000000-0005-0000-0000-00001F590000}"/>
    <cellStyle name="Comma 2 5 3 2 12" xfId="15838" xr:uid="{00000000-0005-0000-0000-000020590000}"/>
    <cellStyle name="Comma 2 5 3 2 12 2" xfId="24853" xr:uid="{00000000-0005-0000-0000-000021590000}"/>
    <cellStyle name="Comma 2 5 3 2 12 2 2" xfId="44282" xr:uid="{00000000-0005-0000-0000-000022590000}"/>
    <cellStyle name="Comma 2 5 3 2 12 2 3" xfId="37859" xr:uid="{00000000-0005-0000-0000-000023590000}"/>
    <cellStyle name="Comma 2 5 3 2 12 3" xfId="29174" xr:uid="{00000000-0005-0000-0000-000024590000}"/>
    <cellStyle name="Comma 2 5 3 2 12 3 2" xfId="41075" xr:uid="{00000000-0005-0000-0000-000025590000}"/>
    <cellStyle name="Comma 2 5 3 2 12 4" xfId="32509" xr:uid="{00000000-0005-0000-0000-000026590000}"/>
    <cellStyle name="Comma 2 5 3 2 12 5" xfId="34651" xr:uid="{00000000-0005-0000-0000-000027590000}"/>
    <cellStyle name="Comma 2 5 3 2 13" xfId="8656" xr:uid="{00000000-0005-0000-0000-000028590000}"/>
    <cellStyle name="Comma 2 5 3 2 13 2" xfId="42486" xr:uid="{00000000-0005-0000-0000-000029590000}"/>
    <cellStyle name="Comma 2 5 3 2 13 3" xfId="36062" xr:uid="{00000000-0005-0000-0000-00002A590000}"/>
    <cellStyle name="Comma 2 5 3 2 14" xfId="21645" xr:uid="{00000000-0005-0000-0000-00002B590000}"/>
    <cellStyle name="Comma 2 5 3 2 14 2" xfId="39279" xr:uid="{00000000-0005-0000-0000-00002C590000}"/>
    <cellStyle name="Comma 2 5 3 2 15" xfId="22718" xr:uid="{00000000-0005-0000-0000-00002D590000}"/>
    <cellStyle name="Comma 2 5 3 2 16" xfId="23057" xr:uid="{00000000-0005-0000-0000-00002E590000}"/>
    <cellStyle name="Comma 2 5 3 2 17" xfId="27040" xr:uid="{00000000-0005-0000-0000-00002F590000}"/>
    <cellStyle name="Comma 2 5 3 2 18" xfId="30373" xr:uid="{00000000-0005-0000-0000-000030590000}"/>
    <cellStyle name="Comma 2 5 3 2 19" xfId="32855" xr:uid="{00000000-0005-0000-0000-000031590000}"/>
    <cellStyle name="Comma 2 5 3 2 2" xfId="287" xr:uid="{00000000-0005-0000-0000-000032590000}"/>
    <cellStyle name="Comma 2 5 3 2 2 10" xfId="15840" xr:uid="{00000000-0005-0000-0000-000033590000}"/>
    <cellStyle name="Comma 2 5 3 2 2 10 2" xfId="24855" xr:uid="{00000000-0005-0000-0000-000034590000}"/>
    <cellStyle name="Comma 2 5 3 2 2 10 2 2" xfId="44284" xr:uid="{00000000-0005-0000-0000-000035590000}"/>
    <cellStyle name="Comma 2 5 3 2 2 10 2 3" xfId="37861" xr:uid="{00000000-0005-0000-0000-000036590000}"/>
    <cellStyle name="Comma 2 5 3 2 2 10 3" xfId="29176" xr:uid="{00000000-0005-0000-0000-000037590000}"/>
    <cellStyle name="Comma 2 5 3 2 2 10 3 2" xfId="41077" xr:uid="{00000000-0005-0000-0000-000038590000}"/>
    <cellStyle name="Comma 2 5 3 2 2 10 4" xfId="32511" xr:uid="{00000000-0005-0000-0000-000039590000}"/>
    <cellStyle name="Comma 2 5 3 2 2 10 5" xfId="34653" xr:uid="{00000000-0005-0000-0000-00003A590000}"/>
    <cellStyle name="Comma 2 5 3 2 2 11" xfId="8658" xr:uid="{00000000-0005-0000-0000-00003B590000}"/>
    <cellStyle name="Comma 2 5 3 2 2 11 2" xfId="42487" xr:uid="{00000000-0005-0000-0000-00003C590000}"/>
    <cellStyle name="Comma 2 5 3 2 2 11 3" xfId="36063" xr:uid="{00000000-0005-0000-0000-00003D590000}"/>
    <cellStyle name="Comma 2 5 3 2 2 12" xfId="21647" xr:uid="{00000000-0005-0000-0000-00003E590000}"/>
    <cellStyle name="Comma 2 5 3 2 2 12 2" xfId="39280" xr:uid="{00000000-0005-0000-0000-00003F590000}"/>
    <cellStyle name="Comma 2 5 3 2 2 13" xfId="22720" xr:uid="{00000000-0005-0000-0000-000040590000}"/>
    <cellStyle name="Comma 2 5 3 2 2 14" xfId="23058" xr:uid="{00000000-0005-0000-0000-000041590000}"/>
    <cellStyle name="Comma 2 5 3 2 2 15" xfId="27042" xr:uid="{00000000-0005-0000-0000-000042590000}"/>
    <cellStyle name="Comma 2 5 3 2 2 16" xfId="30375" xr:uid="{00000000-0005-0000-0000-000043590000}"/>
    <cellStyle name="Comma 2 5 3 2 2 17" xfId="32856" xr:uid="{00000000-0005-0000-0000-000044590000}"/>
    <cellStyle name="Comma 2 5 3 2 2 2" xfId="288" xr:uid="{00000000-0005-0000-0000-000045590000}"/>
    <cellStyle name="Comma 2 5 3 2 2 2 10" xfId="21648" xr:uid="{00000000-0005-0000-0000-000046590000}"/>
    <cellStyle name="Comma 2 5 3 2 2 2 10 2" xfId="39281" xr:uid="{00000000-0005-0000-0000-000047590000}"/>
    <cellStyle name="Comma 2 5 3 2 2 2 11" xfId="22721" xr:uid="{00000000-0005-0000-0000-000048590000}"/>
    <cellStyle name="Comma 2 5 3 2 2 2 12" xfId="23059" xr:uid="{00000000-0005-0000-0000-000049590000}"/>
    <cellStyle name="Comma 2 5 3 2 2 2 13" xfId="27043" xr:uid="{00000000-0005-0000-0000-00004A590000}"/>
    <cellStyle name="Comma 2 5 3 2 2 2 14" xfId="30376" xr:uid="{00000000-0005-0000-0000-00004B590000}"/>
    <cellStyle name="Comma 2 5 3 2 2 2 15" xfId="32857" xr:uid="{00000000-0005-0000-0000-00004C590000}"/>
    <cellStyle name="Comma 2 5 3 2 2 2 2" xfId="1382" xr:uid="{00000000-0005-0000-0000-00004D590000}"/>
    <cellStyle name="Comma 2 5 3 2 2 2 2 10" xfId="33606" xr:uid="{00000000-0005-0000-0000-00004E590000}"/>
    <cellStyle name="Comma 2 5 3 2 2 2 2 2" xfId="10152" xr:uid="{00000000-0005-0000-0000-00004F590000}"/>
    <cellStyle name="Comma 2 5 3 2 2 2 2 2 2" xfId="25952" xr:uid="{00000000-0005-0000-0000-000050590000}"/>
    <cellStyle name="Comma 2 5 3 2 2 2 2 2 2 2" xfId="45379" xr:uid="{00000000-0005-0000-0000-000051590000}"/>
    <cellStyle name="Comma 2 5 3 2 2 2 2 2 2 3" xfId="38956" xr:uid="{00000000-0005-0000-0000-000052590000}"/>
    <cellStyle name="Comma 2 5 3 2 2 2 2 2 3" xfId="28130" xr:uid="{00000000-0005-0000-0000-000053590000}"/>
    <cellStyle name="Comma 2 5 3 2 2 2 2 2 3 2" xfId="42172" xr:uid="{00000000-0005-0000-0000-000054590000}"/>
    <cellStyle name="Comma 2 5 3 2 2 2 2 2 4" xfId="31465" xr:uid="{00000000-0005-0000-0000-000055590000}"/>
    <cellStyle name="Comma 2 5 3 2 2 2 2 2 5" xfId="35748" xr:uid="{00000000-0005-0000-0000-000056590000}"/>
    <cellStyle name="Comma 2 5 3 2 2 2 2 3" xfId="15842" xr:uid="{00000000-0005-0000-0000-000057590000}"/>
    <cellStyle name="Comma 2 5 3 2 2 2 2 3 2" xfId="24857" xr:uid="{00000000-0005-0000-0000-000058590000}"/>
    <cellStyle name="Comma 2 5 3 2 2 2 2 3 2 2" xfId="44286" xr:uid="{00000000-0005-0000-0000-000059590000}"/>
    <cellStyle name="Comma 2 5 3 2 2 2 2 3 2 3" xfId="37863" xr:uid="{00000000-0005-0000-0000-00005A590000}"/>
    <cellStyle name="Comma 2 5 3 2 2 2 2 3 3" xfId="29178" xr:uid="{00000000-0005-0000-0000-00005B590000}"/>
    <cellStyle name="Comma 2 5 3 2 2 2 2 3 3 2" xfId="41079" xr:uid="{00000000-0005-0000-0000-00005C590000}"/>
    <cellStyle name="Comma 2 5 3 2 2 2 2 3 4" xfId="32513" xr:uid="{00000000-0005-0000-0000-00005D590000}"/>
    <cellStyle name="Comma 2 5 3 2 2 2 2 3 5" xfId="34655" xr:uid="{00000000-0005-0000-0000-00005E590000}"/>
    <cellStyle name="Comma 2 5 3 2 2 2 2 4" xfId="8660" xr:uid="{00000000-0005-0000-0000-00005F590000}"/>
    <cellStyle name="Comma 2 5 3 2 2 2 2 4 2" xfId="43237" xr:uid="{00000000-0005-0000-0000-000060590000}"/>
    <cellStyle name="Comma 2 5 3 2 2 2 2 4 3" xfId="36813" xr:uid="{00000000-0005-0000-0000-000061590000}"/>
    <cellStyle name="Comma 2 5 3 2 2 2 2 5" xfId="21649" xr:uid="{00000000-0005-0000-0000-000062590000}"/>
    <cellStyle name="Comma 2 5 3 2 2 2 2 5 2" xfId="40030" xr:uid="{00000000-0005-0000-0000-000063590000}"/>
    <cellStyle name="Comma 2 5 3 2 2 2 2 6" xfId="22722" xr:uid="{00000000-0005-0000-0000-000064590000}"/>
    <cellStyle name="Comma 2 5 3 2 2 2 2 7" xfId="23808" xr:uid="{00000000-0005-0000-0000-000065590000}"/>
    <cellStyle name="Comma 2 5 3 2 2 2 2 8" xfId="27044" xr:uid="{00000000-0005-0000-0000-000066590000}"/>
    <cellStyle name="Comma 2 5 3 2 2 2 2 9" xfId="30377" xr:uid="{00000000-0005-0000-0000-000067590000}"/>
    <cellStyle name="Comma 2 5 3 2 2 2 3" xfId="1383" xr:uid="{00000000-0005-0000-0000-000068590000}"/>
    <cellStyle name="Comma 2 5 3 2 2 2 3 10" xfId="33607" xr:uid="{00000000-0005-0000-0000-000069590000}"/>
    <cellStyle name="Comma 2 5 3 2 2 2 3 2" xfId="10153" xr:uid="{00000000-0005-0000-0000-00006A590000}"/>
    <cellStyle name="Comma 2 5 3 2 2 2 3 2 2" xfId="25953" xr:uid="{00000000-0005-0000-0000-00006B590000}"/>
    <cellStyle name="Comma 2 5 3 2 2 2 3 2 2 2" xfId="45380" xr:uid="{00000000-0005-0000-0000-00006C590000}"/>
    <cellStyle name="Comma 2 5 3 2 2 2 3 2 2 3" xfId="38957" xr:uid="{00000000-0005-0000-0000-00006D590000}"/>
    <cellStyle name="Comma 2 5 3 2 2 2 3 2 3" xfId="28131" xr:uid="{00000000-0005-0000-0000-00006E590000}"/>
    <cellStyle name="Comma 2 5 3 2 2 2 3 2 3 2" xfId="42173" xr:uid="{00000000-0005-0000-0000-00006F590000}"/>
    <cellStyle name="Comma 2 5 3 2 2 2 3 2 4" xfId="31466" xr:uid="{00000000-0005-0000-0000-000070590000}"/>
    <cellStyle name="Comma 2 5 3 2 2 2 3 2 5" xfId="35749" xr:uid="{00000000-0005-0000-0000-000071590000}"/>
    <cellStyle name="Comma 2 5 3 2 2 2 3 3" xfId="15843" xr:uid="{00000000-0005-0000-0000-000072590000}"/>
    <cellStyle name="Comma 2 5 3 2 2 2 3 3 2" xfId="24858" xr:uid="{00000000-0005-0000-0000-000073590000}"/>
    <cellStyle name="Comma 2 5 3 2 2 2 3 3 2 2" xfId="44287" xr:uid="{00000000-0005-0000-0000-000074590000}"/>
    <cellStyle name="Comma 2 5 3 2 2 2 3 3 2 3" xfId="37864" xr:uid="{00000000-0005-0000-0000-000075590000}"/>
    <cellStyle name="Comma 2 5 3 2 2 2 3 3 3" xfId="29179" xr:uid="{00000000-0005-0000-0000-000076590000}"/>
    <cellStyle name="Comma 2 5 3 2 2 2 3 3 3 2" xfId="41080" xr:uid="{00000000-0005-0000-0000-000077590000}"/>
    <cellStyle name="Comma 2 5 3 2 2 2 3 3 4" xfId="32514" xr:uid="{00000000-0005-0000-0000-000078590000}"/>
    <cellStyle name="Comma 2 5 3 2 2 2 3 3 5" xfId="34656" xr:uid="{00000000-0005-0000-0000-000079590000}"/>
    <cellStyle name="Comma 2 5 3 2 2 2 3 4" xfId="8661" xr:uid="{00000000-0005-0000-0000-00007A590000}"/>
    <cellStyle name="Comma 2 5 3 2 2 2 3 4 2" xfId="43238" xr:uid="{00000000-0005-0000-0000-00007B590000}"/>
    <cellStyle name="Comma 2 5 3 2 2 2 3 4 3" xfId="36814" xr:uid="{00000000-0005-0000-0000-00007C590000}"/>
    <cellStyle name="Comma 2 5 3 2 2 2 3 5" xfId="21650" xr:uid="{00000000-0005-0000-0000-00007D590000}"/>
    <cellStyle name="Comma 2 5 3 2 2 2 3 5 2" xfId="40031" xr:uid="{00000000-0005-0000-0000-00007E590000}"/>
    <cellStyle name="Comma 2 5 3 2 2 2 3 6" xfId="22723" xr:uid="{00000000-0005-0000-0000-00007F590000}"/>
    <cellStyle name="Comma 2 5 3 2 2 2 3 7" xfId="23809" xr:uid="{00000000-0005-0000-0000-000080590000}"/>
    <cellStyle name="Comma 2 5 3 2 2 2 3 8" xfId="27045" xr:uid="{00000000-0005-0000-0000-000081590000}"/>
    <cellStyle name="Comma 2 5 3 2 2 2 3 9" xfId="30378" xr:uid="{00000000-0005-0000-0000-000082590000}"/>
    <cellStyle name="Comma 2 5 3 2 2 2 4" xfId="1384" xr:uid="{00000000-0005-0000-0000-000083590000}"/>
    <cellStyle name="Comma 2 5 3 2 2 2 4 10" xfId="33608" xr:uid="{00000000-0005-0000-0000-000084590000}"/>
    <cellStyle name="Comma 2 5 3 2 2 2 4 2" xfId="10154" xr:uid="{00000000-0005-0000-0000-000085590000}"/>
    <cellStyle name="Comma 2 5 3 2 2 2 4 2 2" xfId="25954" xr:uid="{00000000-0005-0000-0000-000086590000}"/>
    <cellStyle name="Comma 2 5 3 2 2 2 4 2 2 2" xfId="45381" xr:uid="{00000000-0005-0000-0000-000087590000}"/>
    <cellStyle name="Comma 2 5 3 2 2 2 4 2 2 3" xfId="38958" xr:uid="{00000000-0005-0000-0000-000088590000}"/>
    <cellStyle name="Comma 2 5 3 2 2 2 4 2 3" xfId="28132" xr:uid="{00000000-0005-0000-0000-000089590000}"/>
    <cellStyle name="Comma 2 5 3 2 2 2 4 2 3 2" xfId="42174" xr:uid="{00000000-0005-0000-0000-00008A590000}"/>
    <cellStyle name="Comma 2 5 3 2 2 2 4 2 4" xfId="31467" xr:uid="{00000000-0005-0000-0000-00008B590000}"/>
    <cellStyle name="Comma 2 5 3 2 2 2 4 2 5" xfId="35750" xr:uid="{00000000-0005-0000-0000-00008C590000}"/>
    <cellStyle name="Comma 2 5 3 2 2 2 4 3" xfId="15844" xr:uid="{00000000-0005-0000-0000-00008D590000}"/>
    <cellStyle name="Comma 2 5 3 2 2 2 4 3 2" xfId="24859" xr:uid="{00000000-0005-0000-0000-00008E590000}"/>
    <cellStyle name="Comma 2 5 3 2 2 2 4 3 2 2" xfId="44288" xr:uid="{00000000-0005-0000-0000-00008F590000}"/>
    <cellStyle name="Comma 2 5 3 2 2 2 4 3 2 3" xfId="37865" xr:uid="{00000000-0005-0000-0000-000090590000}"/>
    <cellStyle name="Comma 2 5 3 2 2 2 4 3 3" xfId="29180" xr:uid="{00000000-0005-0000-0000-000091590000}"/>
    <cellStyle name="Comma 2 5 3 2 2 2 4 3 3 2" xfId="41081" xr:uid="{00000000-0005-0000-0000-000092590000}"/>
    <cellStyle name="Comma 2 5 3 2 2 2 4 3 4" xfId="32515" xr:uid="{00000000-0005-0000-0000-000093590000}"/>
    <cellStyle name="Comma 2 5 3 2 2 2 4 3 5" xfId="34657" xr:uid="{00000000-0005-0000-0000-000094590000}"/>
    <cellStyle name="Comma 2 5 3 2 2 2 4 4" xfId="8662" xr:uid="{00000000-0005-0000-0000-000095590000}"/>
    <cellStyle name="Comma 2 5 3 2 2 2 4 4 2" xfId="43239" xr:uid="{00000000-0005-0000-0000-000096590000}"/>
    <cellStyle name="Comma 2 5 3 2 2 2 4 4 3" xfId="36815" xr:uid="{00000000-0005-0000-0000-000097590000}"/>
    <cellStyle name="Comma 2 5 3 2 2 2 4 5" xfId="21651" xr:uid="{00000000-0005-0000-0000-000098590000}"/>
    <cellStyle name="Comma 2 5 3 2 2 2 4 5 2" xfId="40032" xr:uid="{00000000-0005-0000-0000-000099590000}"/>
    <cellStyle name="Comma 2 5 3 2 2 2 4 6" xfId="22724" xr:uid="{00000000-0005-0000-0000-00009A590000}"/>
    <cellStyle name="Comma 2 5 3 2 2 2 4 7" xfId="23810" xr:uid="{00000000-0005-0000-0000-00009B590000}"/>
    <cellStyle name="Comma 2 5 3 2 2 2 4 8" xfId="27046" xr:uid="{00000000-0005-0000-0000-00009C590000}"/>
    <cellStyle name="Comma 2 5 3 2 2 2 4 9" xfId="30379" xr:uid="{00000000-0005-0000-0000-00009D590000}"/>
    <cellStyle name="Comma 2 5 3 2 2 2 5" xfId="1385" xr:uid="{00000000-0005-0000-0000-00009E590000}"/>
    <cellStyle name="Comma 2 5 3 2 2 2 5 10" xfId="33609" xr:uid="{00000000-0005-0000-0000-00009F590000}"/>
    <cellStyle name="Comma 2 5 3 2 2 2 5 2" xfId="10155" xr:uid="{00000000-0005-0000-0000-0000A0590000}"/>
    <cellStyle name="Comma 2 5 3 2 2 2 5 2 2" xfId="25955" xr:uid="{00000000-0005-0000-0000-0000A1590000}"/>
    <cellStyle name="Comma 2 5 3 2 2 2 5 2 2 2" xfId="45382" xr:uid="{00000000-0005-0000-0000-0000A2590000}"/>
    <cellStyle name="Comma 2 5 3 2 2 2 5 2 2 3" xfId="38959" xr:uid="{00000000-0005-0000-0000-0000A3590000}"/>
    <cellStyle name="Comma 2 5 3 2 2 2 5 2 3" xfId="28133" xr:uid="{00000000-0005-0000-0000-0000A4590000}"/>
    <cellStyle name="Comma 2 5 3 2 2 2 5 2 3 2" xfId="42175" xr:uid="{00000000-0005-0000-0000-0000A5590000}"/>
    <cellStyle name="Comma 2 5 3 2 2 2 5 2 4" xfId="31468" xr:uid="{00000000-0005-0000-0000-0000A6590000}"/>
    <cellStyle name="Comma 2 5 3 2 2 2 5 2 5" xfId="35751" xr:uid="{00000000-0005-0000-0000-0000A7590000}"/>
    <cellStyle name="Comma 2 5 3 2 2 2 5 3" xfId="15845" xr:uid="{00000000-0005-0000-0000-0000A8590000}"/>
    <cellStyle name="Comma 2 5 3 2 2 2 5 3 2" xfId="24860" xr:uid="{00000000-0005-0000-0000-0000A9590000}"/>
    <cellStyle name="Comma 2 5 3 2 2 2 5 3 2 2" xfId="44289" xr:uid="{00000000-0005-0000-0000-0000AA590000}"/>
    <cellStyle name="Comma 2 5 3 2 2 2 5 3 2 3" xfId="37866" xr:uid="{00000000-0005-0000-0000-0000AB590000}"/>
    <cellStyle name="Comma 2 5 3 2 2 2 5 3 3" xfId="29181" xr:uid="{00000000-0005-0000-0000-0000AC590000}"/>
    <cellStyle name="Comma 2 5 3 2 2 2 5 3 3 2" xfId="41082" xr:uid="{00000000-0005-0000-0000-0000AD590000}"/>
    <cellStyle name="Comma 2 5 3 2 2 2 5 3 4" xfId="32516" xr:uid="{00000000-0005-0000-0000-0000AE590000}"/>
    <cellStyle name="Comma 2 5 3 2 2 2 5 3 5" xfId="34658" xr:uid="{00000000-0005-0000-0000-0000AF590000}"/>
    <cellStyle name="Comma 2 5 3 2 2 2 5 4" xfId="8663" xr:uid="{00000000-0005-0000-0000-0000B0590000}"/>
    <cellStyle name="Comma 2 5 3 2 2 2 5 4 2" xfId="43240" xr:uid="{00000000-0005-0000-0000-0000B1590000}"/>
    <cellStyle name="Comma 2 5 3 2 2 2 5 4 3" xfId="36816" xr:uid="{00000000-0005-0000-0000-0000B2590000}"/>
    <cellStyle name="Comma 2 5 3 2 2 2 5 5" xfId="21652" xr:uid="{00000000-0005-0000-0000-0000B3590000}"/>
    <cellStyle name="Comma 2 5 3 2 2 2 5 5 2" xfId="40033" xr:uid="{00000000-0005-0000-0000-0000B4590000}"/>
    <cellStyle name="Comma 2 5 3 2 2 2 5 6" xfId="22725" xr:uid="{00000000-0005-0000-0000-0000B5590000}"/>
    <cellStyle name="Comma 2 5 3 2 2 2 5 7" xfId="23811" xr:uid="{00000000-0005-0000-0000-0000B6590000}"/>
    <cellStyle name="Comma 2 5 3 2 2 2 5 8" xfId="27047" xr:uid="{00000000-0005-0000-0000-0000B7590000}"/>
    <cellStyle name="Comma 2 5 3 2 2 2 5 9" xfId="30380" xr:uid="{00000000-0005-0000-0000-0000B8590000}"/>
    <cellStyle name="Comma 2 5 3 2 2 2 6" xfId="1386" xr:uid="{00000000-0005-0000-0000-0000B9590000}"/>
    <cellStyle name="Comma 2 5 3 2 2 2 6 10" xfId="33610" xr:uid="{00000000-0005-0000-0000-0000BA590000}"/>
    <cellStyle name="Comma 2 5 3 2 2 2 6 2" xfId="10156" xr:uid="{00000000-0005-0000-0000-0000BB590000}"/>
    <cellStyle name="Comma 2 5 3 2 2 2 6 2 2" xfId="25956" xr:uid="{00000000-0005-0000-0000-0000BC590000}"/>
    <cellStyle name="Comma 2 5 3 2 2 2 6 2 2 2" xfId="45383" xr:uid="{00000000-0005-0000-0000-0000BD590000}"/>
    <cellStyle name="Comma 2 5 3 2 2 2 6 2 2 3" xfId="38960" xr:uid="{00000000-0005-0000-0000-0000BE590000}"/>
    <cellStyle name="Comma 2 5 3 2 2 2 6 2 3" xfId="28134" xr:uid="{00000000-0005-0000-0000-0000BF590000}"/>
    <cellStyle name="Comma 2 5 3 2 2 2 6 2 3 2" xfId="42176" xr:uid="{00000000-0005-0000-0000-0000C0590000}"/>
    <cellStyle name="Comma 2 5 3 2 2 2 6 2 4" xfId="31469" xr:uid="{00000000-0005-0000-0000-0000C1590000}"/>
    <cellStyle name="Comma 2 5 3 2 2 2 6 2 5" xfId="35752" xr:uid="{00000000-0005-0000-0000-0000C2590000}"/>
    <cellStyle name="Comma 2 5 3 2 2 2 6 3" xfId="15846" xr:uid="{00000000-0005-0000-0000-0000C3590000}"/>
    <cellStyle name="Comma 2 5 3 2 2 2 6 3 2" xfId="24861" xr:uid="{00000000-0005-0000-0000-0000C4590000}"/>
    <cellStyle name="Comma 2 5 3 2 2 2 6 3 2 2" xfId="44290" xr:uid="{00000000-0005-0000-0000-0000C5590000}"/>
    <cellStyle name="Comma 2 5 3 2 2 2 6 3 2 3" xfId="37867" xr:uid="{00000000-0005-0000-0000-0000C6590000}"/>
    <cellStyle name="Comma 2 5 3 2 2 2 6 3 3" xfId="29182" xr:uid="{00000000-0005-0000-0000-0000C7590000}"/>
    <cellStyle name="Comma 2 5 3 2 2 2 6 3 3 2" xfId="41083" xr:uid="{00000000-0005-0000-0000-0000C8590000}"/>
    <cellStyle name="Comma 2 5 3 2 2 2 6 3 4" xfId="32517" xr:uid="{00000000-0005-0000-0000-0000C9590000}"/>
    <cellStyle name="Comma 2 5 3 2 2 2 6 3 5" xfId="34659" xr:uid="{00000000-0005-0000-0000-0000CA590000}"/>
    <cellStyle name="Comma 2 5 3 2 2 2 6 4" xfId="8664" xr:uid="{00000000-0005-0000-0000-0000CB590000}"/>
    <cellStyle name="Comma 2 5 3 2 2 2 6 4 2" xfId="43241" xr:uid="{00000000-0005-0000-0000-0000CC590000}"/>
    <cellStyle name="Comma 2 5 3 2 2 2 6 4 3" xfId="36817" xr:uid="{00000000-0005-0000-0000-0000CD590000}"/>
    <cellStyle name="Comma 2 5 3 2 2 2 6 5" xfId="21653" xr:uid="{00000000-0005-0000-0000-0000CE590000}"/>
    <cellStyle name="Comma 2 5 3 2 2 2 6 5 2" xfId="40034" xr:uid="{00000000-0005-0000-0000-0000CF590000}"/>
    <cellStyle name="Comma 2 5 3 2 2 2 6 6" xfId="22726" xr:uid="{00000000-0005-0000-0000-0000D0590000}"/>
    <cellStyle name="Comma 2 5 3 2 2 2 6 7" xfId="23812" xr:uid="{00000000-0005-0000-0000-0000D1590000}"/>
    <cellStyle name="Comma 2 5 3 2 2 2 6 8" xfId="27048" xr:uid="{00000000-0005-0000-0000-0000D2590000}"/>
    <cellStyle name="Comma 2 5 3 2 2 2 6 9" xfId="30381" xr:uid="{00000000-0005-0000-0000-0000D3590000}"/>
    <cellStyle name="Comma 2 5 3 2 2 2 7" xfId="9144" xr:uid="{00000000-0005-0000-0000-0000D4590000}"/>
    <cellStyle name="Comma 2 5 3 2 2 2 7 2" xfId="25198" xr:uid="{00000000-0005-0000-0000-0000D5590000}"/>
    <cellStyle name="Comma 2 5 3 2 2 2 7 2 2" xfId="44625" xr:uid="{00000000-0005-0000-0000-0000D6590000}"/>
    <cellStyle name="Comma 2 5 3 2 2 2 7 2 3" xfId="38202" xr:uid="{00000000-0005-0000-0000-0000D7590000}"/>
    <cellStyle name="Comma 2 5 3 2 2 2 7 3" xfId="27377" xr:uid="{00000000-0005-0000-0000-0000D8590000}"/>
    <cellStyle name="Comma 2 5 3 2 2 2 7 3 2" xfId="41418" xr:uid="{00000000-0005-0000-0000-0000D9590000}"/>
    <cellStyle name="Comma 2 5 3 2 2 2 7 4" xfId="30712" xr:uid="{00000000-0005-0000-0000-0000DA590000}"/>
    <cellStyle name="Comma 2 5 3 2 2 2 7 5" xfId="34994" xr:uid="{00000000-0005-0000-0000-0000DB590000}"/>
    <cellStyle name="Comma 2 5 3 2 2 2 8" xfId="15841" xr:uid="{00000000-0005-0000-0000-0000DC590000}"/>
    <cellStyle name="Comma 2 5 3 2 2 2 8 2" xfId="24856" xr:uid="{00000000-0005-0000-0000-0000DD590000}"/>
    <cellStyle name="Comma 2 5 3 2 2 2 8 2 2" xfId="44285" xr:uid="{00000000-0005-0000-0000-0000DE590000}"/>
    <cellStyle name="Comma 2 5 3 2 2 2 8 2 3" xfId="37862" xr:uid="{00000000-0005-0000-0000-0000DF590000}"/>
    <cellStyle name="Comma 2 5 3 2 2 2 8 3" xfId="29177" xr:uid="{00000000-0005-0000-0000-0000E0590000}"/>
    <cellStyle name="Comma 2 5 3 2 2 2 8 3 2" xfId="41078" xr:uid="{00000000-0005-0000-0000-0000E1590000}"/>
    <cellStyle name="Comma 2 5 3 2 2 2 8 4" xfId="32512" xr:uid="{00000000-0005-0000-0000-0000E2590000}"/>
    <cellStyle name="Comma 2 5 3 2 2 2 8 5" xfId="34654" xr:uid="{00000000-0005-0000-0000-0000E3590000}"/>
    <cellStyle name="Comma 2 5 3 2 2 2 9" xfId="8659" xr:uid="{00000000-0005-0000-0000-0000E4590000}"/>
    <cellStyle name="Comma 2 5 3 2 2 2 9 2" xfId="42488" xr:uid="{00000000-0005-0000-0000-0000E5590000}"/>
    <cellStyle name="Comma 2 5 3 2 2 2 9 3" xfId="36064" xr:uid="{00000000-0005-0000-0000-0000E6590000}"/>
    <cellStyle name="Comma 2 5 3 2 2 3" xfId="1387" xr:uid="{00000000-0005-0000-0000-0000E7590000}"/>
    <cellStyle name="Comma 2 5 3 2 2 3 10" xfId="22727" xr:uid="{00000000-0005-0000-0000-0000E8590000}"/>
    <cellStyle name="Comma 2 5 3 2 2 3 11" xfId="23813" xr:uid="{00000000-0005-0000-0000-0000E9590000}"/>
    <cellStyle name="Comma 2 5 3 2 2 3 12" xfId="27049" xr:uid="{00000000-0005-0000-0000-0000EA590000}"/>
    <cellStyle name="Comma 2 5 3 2 2 3 13" xfId="30382" xr:uid="{00000000-0005-0000-0000-0000EB590000}"/>
    <cellStyle name="Comma 2 5 3 2 2 3 14" xfId="33611" xr:uid="{00000000-0005-0000-0000-0000EC590000}"/>
    <cellStyle name="Comma 2 5 3 2 2 3 2" xfId="1388" xr:uid="{00000000-0005-0000-0000-0000ED590000}"/>
    <cellStyle name="Comma 2 5 3 2 2 3 2 10" xfId="33612" xr:uid="{00000000-0005-0000-0000-0000EE590000}"/>
    <cellStyle name="Comma 2 5 3 2 2 3 2 2" xfId="10158" xr:uid="{00000000-0005-0000-0000-0000EF590000}"/>
    <cellStyle name="Comma 2 5 3 2 2 3 2 2 2" xfId="25958" xr:uid="{00000000-0005-0000-0000-0000F0590000}"/>
    <cellStyle name="Comma 2 5 3 2 2 3 2 2 2 2" xfId="45385" xr:uid="{00000000-0005-0000-0000-0000F1590000}"/>
    <cellStyle name="Comma 2 5 3 2 2 3 2 2 2 3" xfId="38962" xr:uid="{00000000-0005-0000-0000-0000F2590000}"/>
    <cellStyle name="Comma 2 5 3 2 2 3 2 2 3" xfId="28136" xr:uid="{00000000-0005-0000-0000-0000F3590000}"/>
    <cellStyle name="Comma 2 5 3 2 2 3 2 2 3 2" xfId="42178" xr:uid="{00000000-0005-0000-0000-0000F4590000}"/>
    <cellStyle name="Comma 2 5 3 2 2 3 2 2 4" xfId="31471" xr:uid="{00000000-0005-0000-0000-0000F5590000}"/>
    <cellStyle name="Comma 2 5 3 2 2 3 2 2 5" xfId="35754" xr:uid="{00000000-0005-0000-0000-0000F6590000}"/>
    <cellStyle name="Comma 2 5 3 2 2 3 2 3" xfId="15848" xr:uid="{00000000-0005-0000-0000-0000F7590000}"/>
    <cellStyle name="Comma 2 5 3 2 2 3 2 3 2" xfId="24863" xr:uid="{00000000-0005-0000-0000-0000F8590000}"/>
    <cellStyle name="Comma 2 5 3 2 2 3 2 3 2 2" xfId="44292" xr:uid="{00000000-0005-0000-0000-0000F9590000}"/>
    <cellStyle name="Comma 2 5 3 2 2 3 2 3 2 3" xfId="37869" xr:uid="{00000000-0005-0000-0000-0000FA590000}"/>
    <cellStyle name="Comma 2 5 3 2 2 3 2 3 3" xfId="29184" xr:uid="{00000000-0005-0000-0000-0000FB590000}"/>
    <cellStyle name="Comma 2 5 3 2 2 3 2 3 3 2" xfId="41085" xr:uid="{00000000-0005-0000-0000-0000FC590000}"/>
    <cellStyle name="Comma 2 5 3 2 2 3 2 3 4" xfId="32519" xr:uid="{00000000-0005-0000-0000-0000FD590000}"/>
    <cellStyle name="Comma 2 5 3 2 2 3 2 3 5" xfId="34661" xr:uid="{00000000-0005-0000-0000-0000FE590000}"/>
    <cellStyle name="Comma 2 5 3 2 2 3 2 4" xfId="8666" xr:uid="{00000000-0005-0000-0000-0000FF590000}"/>
    <cellStyle name="Comma 2 5 3 2 2 3 2 4 2" xfId="43243" xr:uid="{00000000-0005-0000-0000-0000005A0000}"/>
    <cellStyle name="Comma 2 5 3 2 2 3 2 4 3" xfId="36819" xr:uid="{00000000-0005-0000-0000-0000015A0000}"/>
    <cellStyle name="Comma 2 5 3 2 2 3 2 5" xfId="21655" xr:uid="{00000000-0005-0000-0000-0000025A0000}"/>
    <cellStyle name="Comma 2 5 3 2 2 3 2 5 2" xfId="40036" xr:uid="{00000000-0005-0000-0000-0000035A0000}"/>
    <cellStyle name="Comma 2 5 3 2 2 3 2 6" xfId="22728" xr:uid="{00000000-0005-0000-0000-0000045A0000}"/>
    <cellStyle name="Comma 2 5 3 2 2 3 2 7" xfId="23814" xr:uid="{00000000-0005-0000-0000-0000055A0000}"/>
    <cellStyle name="Comma 2 5 3 2 2 3 2 8" xfId="27050" xr:uid="{00000000-0005-0000-0000-0000065A0000}"/>
    <cellStyle name="Comma 2 5 3 2 2 3 2 9" xfId="30383" xr:uid="{00000000-0005-0000-0000-0000075A0000}"/>
    <cellStyle name="Comma 2 5 3 2 2 3 3" xfId="1389" xr:uid="{00000000-0005-0000-0000-0000085A0000}"/>
    <cellStyle name="Comma 2 5 3 2 2 3 3 10" xfId="33613" xr:uid="{00000000-0005-0000-0000-0000095A0000}"/>
    <cellStyle name="Comma 2 5 3 2 2 3 3 2" xfId="10159" xr:uid="{00000000-0005-0000-0000-00000A5A0000}"/>
    <cellStyle name="Comma 2 5 3 2 2 3 3 2 2" xfId="25959" xr:uid="{00000000-0005-0000-0000-00000B5A0000}"/>
    <cellStyle name="Comma 2 5 3 2 2 3 3 2 2 2" xfId="45386" xr:uid="{00000000-0005-0000-0000-00000C5A0000}"/>
    <cellStyle name="Comma 2 5 3 2 2 3 3 2 2 3" xfId="38963" xr:uid="{00000000-0005-0000-0000-00000D5A0000}"/>
    <cellStyle name="Comma 2 5 3 2 2 3 3 2 3" xfId="28137" xr:uid="{00000000-0005-0000-0000-00000E5A0000}"/>
    <cellStyle name="Comma 2 5 3 2 2 3 3 2 3 2" xfId="42179" xr:uid="{00000000-0005-0000-0000-00000F5A0000}"/>
    <cellStyle name="Comma 2 5 3 2 2 3 3 2 4" xfId="31472" xr:uid="{00000000-0005-0000-0000-0000105A0000}"/>
    <cellStyle name="Comma 2 5 3 2 2 3 3 2 5" xfId="35755" xr:uid="{00000000-0005-0000-0000-0000115A0000}"/>
    <cellStyle name="Comma 2 5 3 2 2 3 3 3" xfId="15849" xr:uid="{00000000-0005-0000-0000-0000125A0000}"/>
    <cellStyle name="Comma 2 5 3 2 2 3 3 3 2" xfId="24864" xr:uid="{00000000-0005-0000-0000-0000135A0000}"/>
    <cellStyle name="Comma 2 5 3 2 2 3 3 3 2 2" xfId="44293" xr:uid="{00000000-0005-0000-0000-0000145A0000}"/>
    <cellStyle name="Comma 2 5 3 2 2 3 3 3 2 3" xfId="37870" xr:uid="{00000000-0005-0000-0000-0000155A0000}"/>
    <cellStyle name="Comma 2 5 3 2 2 3 3 3 3" xfId="29185" xr:uid="{00000000-0005-0000-0000-0000165A0000}"/>
    <cellStyle name="Comma 2 5 3 2 2 3 3 3 3 2" xfId="41086" xr:uid="{00000000-0005-0000-0000-0000175A0000}"/>
    <cellStyle name="Comma 2 5 3 2 2 3 3 3 4" xfId="32520" xr:uid="{00000000-0005-0000-0000-0000185A0000}"/>
    <cellStyle name="Comma 2 5 3 2 2 3 3 3 5" xfId="34662" xr:uid="{00000000-0005-0000-0000-0000195A0000}"/>
    <cellStyle name="Comma 2 5 3 2 2 3 3 4" xfId="8667" xr:uid="{00000000-0005-0000-0000-00001A5A0000}"/>
    <cellStyle name="Comma 2 5 3 2 2 3 3 4 2" xfId="43244" xr:uid="{00000000-0005-0000-0000-00001B5A0000}"/>
    <cellStyle name="Comma 2 5 3 2 2 3 3 4 3" xfId="36820" xr:uid="{00000000-0005-0000-0000-00001C5A0000}"/>
    <cellStyle name="Comma 2 5 3 2 2 3 3 5" xfId="21656" xr:uid="{00000000-0005-0000-0000-00001D5A0000}"/>
    <cellStyle name="Comma 2 5 3 2 2 3 3 5 2" xfId="40037" xr:uid="{00000000-0005-0000-0000-00001E5A0000}"/>
    <cellStyle name="Comma 2 5 3 2 2 3 3 6" xfId="22729" xr:uid="{00000000-0005-0000-0000-00001F5A0000}"/>
    <cellStyle name="Comma 2 5 3 2 2 3 3 7" xfId="23815" xr:uid="{00000000-0005-0000-0000-0000205A0000}"/>
    <cellStyle name="Comma 2 5 3 2 2 3 3 8" xfId="27051" xr:uid="{00000000-0005-0000-0000-0000215A0000}"/>
    <cellStyle name="Comma 2 5 3 2 2 3 3 9" xfId="30384" xr:uid="{00000000-0005-0000-0000-0000225A0000}"/>
    <cellStyle name="Comma 2 5 3 2 2 3 4" xfId="1390" xr:uid="{00000000-0005-0000-0000-0000235A0000}"/>
    <cellStyle name="Comma 2 5 3 2 2 3 4 10" xfId="33614" xr:uid="{00000000-0005-0000-0000-0000245A0000}"/>
    <cellStyle name="Comma 2 5 3 2 2 3 4 2" xfId="10160" xr:uid="{00000000-0005-0000-0000-0000255A0000}"/>
    <cellStyle name="Comma 2 5 3 2 2 3 4 2 2" xfId="25960" xr:uid="{00000000-0005-0000-0000-0000265A0000}"/>
    <cellStyle name="Comma 2 5 3 2 2 3 4 2 2 2" xfId="45387" xr:uid="{00000000-0005-0000-0000-0000275A0000}"/>
    <cellStyle name="Comma 2 5 3 2 2 3 4 2 2 3" xfId="38964" xr:uid="{00000000-0005-0000-0000-0000285A0000}"/>
    <cellStyle name="Comma 2 5 3 2 2 3 4 2 3" xfId="28138" xr:uid="{00000000-0005-0000-0000-0000295A0000}"/>
    <cellStyle name="Comma 2 5 3 2 2 3 4 2 3 2" xfId="42180" xr:uid="{00000000-0005-0000-0000-00002A5A0000}"/>
    <cellStyle name="Comma 2 5 3 2 2 3 4 2 4" xfId="31473" xr:uid="{00000000-0005-0000-0000-00002B5A0000}"/>
    <cellStyle name="Comma 2 5 3 2 2 3 4 2 5" xfId="35756" xr:uid="{00000000-0005-0000-0000-00002C5A0000}"/>
    <cellStyle name="Comma 2 5 3 2 2 3 4 3" xfId="15850" xr:uid="{00000000-0005-0000-0000-00002D5A0000}"/>
    <cellStyle name="Comma 2 5 3 2 2 3 4 3 2" xfId="24865" xr:uid="{00000000-0005-0000-0000-00002E5A0000}"/>
    <cellStyle name="Comma 2 5 3 2 2 3 4 3 2 2" xfId="44294" xr:uid="{00000000-0005-0000-0000-00002F5A0000}"/>
    <cellStyle name="Comma 2 5 3 2 2 3 4 3 2 3" xfId="37871" xr:uid="{00000000-0005-0000-0000-0000305A0000}"/>
    <cellStyle name="Comma 2 5 3 2 2 3 4 3 3" xfId="29186" xr:uid="{00000000-0005-0000-0000-0000315A0000}"/>
    <cellStyle name="Comma 2 5 3 2 2 3 4 3 3 2" xfId="41087" xr:uid="{00000000-0005-0000-0000-0000325A0000}"/>
    <cellStyle name="Comma 2 5 3 2 2 3 4 3 4" xfId="32521" xr:uid="{00000000-0005-0000-0000-0000335A0000}"/>
    <cellStyle name="Comma 2 5 3 2 2 3 4 3 5" xfId="34663" xr:uid="{00000000-0005-0000-0000-0000345A0000}"/>
    <cellStyle name="Comma 2 5 3 2 2 3 4 4" xfId="8668" xr:uid="{00000000-0005-0000-0000-0000355A0000}"/>
    <cellStyle name="Comma 2 5 3 2 2 3 4 4 2" xfId="43245" xr:uid="{00000000-0005-0000-0000-0000365A0000}"/>
    <cellStyle name="Comma 2 5 3 2 2 3 4 4 3" xfId="36821" xr:uid="{00000000-0005-0000-0000-0000375A0000}"/>
    <cellStyle name="Comma 2 5 3 2 2 3 4 5" xfId="21657" xr:uid="{00000000-0005-0000-0000-0000385A0000}"/>
    <cellStyle name="Comma 2 5 3 2 2 3 4 5 2" xfId="40038" xr:uid="{00000000-0005-0000-0000-0000395A0000}"/>
    <cellStyle name="Comma 2 5 3 2 2 3 4 6" xfId="22730" xr:uid="{00000000-0005-0000-0000-00003A5A0000}"/>
    <cellStyle name="Comma 2 5 3 2 2 3 4 7" xfId="23816" xr:uid="{00000000-0005-0000-0000-00003B5A0000}"/>
    <cellStyle name="Comma 2 5 3 2 2 3 4 8" xfId="27052" xr:uid="{00000000-0005-0000-0000-00003C5A0000}"/>
    <cellStyle name="Comma 2 5 3 2 2 3 4 9" xfId="30385" xr:uid="{00000000-0005-0000-0000-00003D5A0000}"/>
    <cellStyle name="Comma 2 5 3 2 2 3 5" xfId="1391" xr:uid="{00000000-0005-0000-0000-00003E5A0000}"/>
    <cellStyle name="Comma 2 5 3 2 2 3 5 10" xfId="33615" xr:uid="{00000000-0005-0000-0000-00003F5A0000}"/>
    <cellStyle name="Comma 2 5 3 2 2 3 5 2" xfId="10161" xr:uid="{00000000-0005-0000-0000-0000405A0000}"/>
    <cellStyle name="Comma 2 5 3 2 2 3 5 2 2" xfId="25961" xr:uid="{00000000-0005-0000-0000-0000415A0000}"/>
    <cellStyle name="Comma 2 5 3 2 2 3 5 2 2 2" xfId="45388" xr:uid="{00000000-0005-0000-0000-0000425A0000}"/>
    <cellStyle name="Comma 2 5 3 2 2 3 5 2 2 3" xfId="38965" xr:uid="{00000000-0005-0000-0000-0000435A0000}"/>
    <cellStyle name="Comma 2 5 3 2 2 3 5 2 3" xfId="28139" xr:uid="{00000000-0005-0000-0000-0000445A0000}"/>
    <cellStyle name="Comma 2 5 3 2 2 3 5 2 3 2" xfId="42181" xr:uid="{00000000-0005-0000-0000-0000455A0000}"/>
    <cellStyle name="Comma 2 5 3 2 2 3 5 2 4" xfId="31474" xr:uid="{00000000-0005-0000-0000-0000465A0000}"/>
    <cellStyle name="Comma 2 5 3 2 2 3 5 2 5" xfId="35757" xr:uid="{00000000-0005-0000-0000-0000475A0000}"/>
    <cellStyle name="Comma 2 5 3 2 2 3 5 3" xfId="15851" xr:uid="{00000000-0005-0000-0000-0000485A0000}"/>
    <cellStyle name="Comma 2 5 3 2 2 3 5 3 2" xfId="24866" xr:uid="{00000000-0005-0000-0000-0000495A0000}"/>
    <cellStyle name="Comma 2 5 3 2 2 3 5 3 2 2" xfId="44295" xr:uid="{00000000-0005-0000-0000-00004A5A0000}"/>
    <cellStyle name="Comma 2 5 3 2 2 3 5 3 2 3" xfId="37872" xr:uid="{00000000-0005-0000-0000-00004B5A0000}"/>
    <cellStyle name="Comma 2 5 3 2 2 3 5 3 3" xfId="29187" xr:uid="{00000000-0005-0000-0000-00004C5A0000}"/>
    <cellStyle name="Comma 2 5 3 2 2 3 5 3 3 2" xfId="41088" xr:uid="{00000000-0005-0000-0000-00004D5A0000}"/>
    <cellStyle name="Comma 2 5 3 2 2 3 5 3 4" xfId="32522" xr:uid="{00000000-0005-0000-0000-00004E5A0000}"/>
    <cellStyle name="Comma 2 5 3 2 2 3 5 3 5" xfId="34664" xr:uid="{00000000-0005-0000-0000-00004F5A0000}"/>
    <cellStyle name="Comma 2 5 3 2 2 3 5 4" xfId="8669" xr:uid="{00000000-0005-0000-0000-0000505A0000}"/>
    <cellStyle name="Comma 2 5 3 2 2 3 5 4 2" xfId="43246" xr:uid="{00000000-0005-0000-0000-0000515A0000}"/>
    <cellStyle name="Comma 2 5 3 2 2 3 5 4 3" xfId="36822" xr:uid="{00000000-0005-0000-0000-0000525A0000}"/>
    <cellStyle name="Comma 2 5 3 2 2 3 5 5" xfId="21658" xr:uid="{00000000-0005-0000-0000-0000535A0000}"/>
    <cellStyle name="Comma 2 5 3 2 2 3 5 5 2" xfId="40039" xr:uid="{00000000-0005-0000-0000-0000545A0000}"/>
    <cellStyle name="Comma 2 5 3 2 2 3 5 6" xfId="22731" xr:uid="{00000000-0005-0000-0000-0000555A0000}"/>
    <cellStyle name="Comma 2 5 3 2 2 3 5 7" xfId="23817" xr:uid="{00000000-0005-0000-0000-0000565A0000}"/>
    <cellStyle name="Comma 2 5 3 2 2 3 5 8" xfId="27053" xr:uid="{00000000-0005-0000-0000-0000575A0000}"/>
    <cellStyle name="Comma 2 5 3 2 2 3 5 9" xfId="30386" xr:uid="{00000000-0005-0000-0000-0000585A0000}"/>
    <cellStyle name="Comma 2 5 3 2 2 3 6" xfId="10157" xr:uid="{00000000-0005-0000-0000-0000595A0000}"/>
    <cellStyle name="Comma 2 5 3 2 2 3 6 2" xfId="25957" xr:uid="{00000000-0005-0000-0000-00005A5A0000}"/>
    <cellStyle name="Comma 2 5 3 2 2 3 6 2 2" xfId="45384" xr:uid="{00000000-0005-0000-0000-00005B5A0000}"/>
    <cellStyle name="Comma 2 5 3 2 2 3 6 2 3" xfId="38961" xr:uid="{00000000-0005-0000-0000-00005C5A0000}"/>
    <cellStyle name="Comma 2 5 3 2 2 3 6 3" xfId="28135" xr:uid="{00000000-0005-0000-0000-00005D5A0000}"/>
    <cellStyle name="Comma 2 5 3 2 2 3 6 3 2" xfId="42177" xr:uid="{00000000-0005-0000-0000-00005E5A0000}"/>
    <cellStyle name="Comma 2 5 3 2 2 3 6 4" xfId="31470" xr:uid="{00000000-0005-0000-0000-00005F5A0000}"/>
    <cellStyle name="Comma 2 5 3 2 2 3 6 5" xfId="35753" xr:uid="{00000000-0005-0000-0000-0000605A0000}"/>
    <cellStyle name="Comma 2 5 3 2 2 3 7" xfId="15847" xr:uid="{00000000-0005-0000-0000-0000615A0000}"/>
    <cellStyle name="Comma 2 5 3 2 2 3 7 2" xfId="24862" xr:uid="{00000000-0005-0000-0000-0000625A0000}"/>
    <cellStyle name="Comma 2 5 3 2 2 3 7 2 2" xfId="44291" xr:uid="{00000000-0005-0000-0000-0000635A0000}"/>
    <cellStyle name="Comma 2 5 3 2 2 3 7 2 3" xfId="37868" xr:uid="{00000000-0005-0000-0000-0000645A0000}"/>
    <cellStyle name="Comma 2 5 3 2 2 3 7 3" xfId="29183" xr:uid="{00000000-0005-0000-0000-0000655A0000}"/>
    <cellStyle name="Comma 2 5 3 2 2 3 7 3 2" xfId="41084" xr:uid="{00000000-0005-0000-0000-0000665A0000}"/>
    <cellStyle name="Comma 2 5 3 2 2 3 7 4" xfId="32518" xr:uid="{00000000-0005-0000-0000-0000675A0000}"/>
    <cellStyle name="Comma 2 5 3 2 2 3 7 5" xfId="34660" xr:uid="{00000000-0005-0000-0000-0000685A0000}"/>
    <cellStyle name="Comma 2 5 3 2 2 3 8" xfId="8665" xr:uid="{00000000-0005-0000-0000-0000695A0000}"/>
    <cellStyle name="Comma 2 5 3 2 2 3 8 2" xfId="43242" xr:uid="{00000000-0005-0000-0000-00006A5A0000}"/>
    <cellStyle name="Comma 2 5 3 2 2 3 8 3" xfId="36818" xr:uid="{00000000-0005-0000-0000-00006B5A0000}"/>
    <cellStyle name="Comma 2 5 3 2 2 3 9" xfId="21654" xr:uid="{00000000-0005-0000-0000-00006C5A0000}"/>
    <cellStyle name="Comma 2 5 3 2 2 3 9 2" xfId="40035" xr:uid="{00000000-0005-0000-0000-00006D5A0000}"/>
    <cellStyle name="Comma 2 5 3 2 2 4" xfId="1392" xr:uid="{00000000-0005-0000-0000-00006E5A0000}"/>
    <cellStyle name="Comma 2 5 3 2 2 4 10" xfId="33616" xr:uid="{00000000-0005-0000-0000-00006F5A0000}"/>
    <cellStyle name="Comma 2 5 3 2 2 4 2" xfId="10162" xr:uid="{00000000-0005-0000-0000-0000705A0000}"/>
    <cellStyle name="Comma 2 5 3 2 2 4 2 2" xfId="25962" xr:uid="{00000000-0005-0000-0000-0000715A0000}"/>
    <cellStyle name="Comma 2 5 3 2 2 4 2 2 2" xfId="45389" xr:uid="{00000000-0005-0000-0000-0000725A0000}"/>
    <cellStyle name="Comma 2 5 3 2 2 4 2 2 3" xfId="38966" xr:uid="{00000000-0005-0000-0000-0000735A0000}"/>
    <cellStyle name="Comma 2 5 3 2 2 4 2 3" xfId="28140" xr:uid="{00000000-0005-0000-0000-0000745A0000}"/>
    <cellStyle name="Comma 2 5 3 2 2 4 2 3 2" xfId="42182" xr:uid="{00000000-0005-0000-0000-0000755A0000}"/>
    <cellStyle name="Comma 2 5 3 2 2 4 2 4" xfId="31475" xr:uid="{00000000-0005-0000-0000-0000765A0000}"/>
    <cellStyle name="Comma 2 5 3 2 2 4 2 5" xfId="35758" xr:uid="{00000000-0005-0000-0000-0000775A0000}"/>
    <cellStyle name="Comma 2 5 3 2 2 4 3" xfId="15852" xr:uid="{00000000-0005-0000-0000-0000785A0000}"/>
    <cellStyle name="Comma 2 5 3 2 2 4 3 2" xfId="24867" xr:uid="{00000000-0005-0000-0000-0000795A0000}"/>
    <cellStyle name="Comma 2 5 3 2 2 4 3 2 2" xfId="44296" xr:uid="{00000000-0005-0000-0000-00007A5A0000}"/>
    <cellStyle name="Comma 2 5 3 2 2 4 3 2 3" xfId="37873" xr:uid="{00000000-0005-0000-0000-00007B5A0000}"/>
    <cellStyle name="Comma 2 5 3 2 2 4 3 3" xfId="29188" xr:uid="{00000000-0005-0000-0000-00007C5A0000}"/>
    <cellStyle name="Comma 2 5 3 2 2 4 3 3 2" xfId="41089" xr:uid="{00000000-0005-0000-0000-00007D5A0000}"/>
    <cellStyle name="Comma 2 5 3 2 2 4 3 4" xfId="32523" xr:uid="{00000000-0005-0000-0000-00007E5A0000}"/>
    <cellStyle name="Comma 2 5 3 2 2 4 3 5" xfId="34665" xr:uid="{00000000-0005-0000-0000-00007F5A0000}"/>
    <cellStyle name="Comma 2 5 3 2 2 4 4" xfId="8670" xr:uid="{00000000-0005-0000-0000-0000805A0000}"/>
    <cellStyle name="Comma 2 5 3 2 2 4 4 2" xfId="43247" xr:uid="{00000000-0005-0000-0000-0000815A0000}"/>
    <cellStyle name="Comma 2 5 3 2 2 4 4 3" xfId="36823" xr:uid="{00000000-0005-0000-0000-0000825A0000}"/>
    <cellStyle name="Comma 2 5 3 2 2 4 5" xfId="21659" xr:uid="{00000000-0005-0000-0000-0000835A0000}"/>
    <cellStyle name="Comma 2 5 3 2 2 4 5 2" xfId="40040" xr:uid="{00000000-0005-0000-0000-0000845A0000}"/>
    <cellStyle name="Comma 2 5 3 2 2 4 6" xfId="22732" xr:uid="{00000000-0005-0000-0000-0000855A0000}"/>
    <cellStyle name="Comma 2 5 3 2 2 4 7" xfId="23818" xr:uid="{00000000-0005-0000-0000-0000865A0000}"/>
    <cellStyle name="Comma 2 5 3 2 2 4 8" xfId="27054" xr:uid="{00000000-0005-0000-0000-0000875A0000}"/>
    <cellStyle name="Comma 2 5 3 2 2 4 9" xfId="30387" xr:uid="{00000000-0005-0000-0000-0000885A0000}"/>
    <cellStyle name="Comma 2 5 3 2 2 5" xfId="1393" xr:uid="{00000000-0005-0000-0000-0000895A0000}"/>
    <cellStyle name="Comma 2 5 3 2 2 5 10" xfId="33617" xr:uid="{00000000-0005-0000-0000-00008A5A0000}"/>
    <cellStyle name="Comma 2 5 3 2 2 5 2" xfId="10163" xr:uid="{00000000-0005-0000-0000-00008B5A0000}"/>
    <cellStyle name="Comma 2 5 3 2 2 5 2 2" xfId="25963" xr:uid="{00000000-0005-0000-0000-00008C5A0000}"/>
    <cellStyle name="Comma 2 5 3 2 2 5 2 2 2" xfId="45390" xr:uid="{00000000-0005-0000-0000-00008D5A0000}"/>
    <cellStyle name="Comma 2 5 3 2 2 5 2 2 3" xfId="38967" xr:uid="{00000000-0005-0000-0000-00008E5A0000}"/>
    <cellStyle name="Comma 2 5 3 2 2 5 2 3" xfId="28141" xr:uid="{00000000-0005-0000-0000-00008F5A0000}"/>
    <cellStyle name="Comma 2 5 3 2 2 5 2 3 2" xfId="42183" xr:uid="{00000000-0005-0000-0000-0000905A0000}"/>
    <cellStyle name="Comma 2 5 3 2 2 5 2 4" xfId="31476" xr:uid="{00000000-0005-0000-0000-0000915A0000}"/>
    <cellStyle name="Comma 2 5 3 2 2 5 2 5" xfId="35759" xr:uid="{00000000-0005-0000-0000-0000925A0000}"/>
    <cellStyle name="Comma 2 5 3 2 2 5 3" xfId="15853" xr:uid="{00000000-0005-0000-0000-0000935A0000}"/>
    <cellStyle name="Comma 2 5 3 2 2 5 3 2" xfId="24868" xr:uid="{00000000-0005-0000-0000-0000945A0000}"/>
    <cellStyle name="Comma 2 5 3 2 2 5 3 2 2" xfId="44297" xr:uid="{00000000-0005-0000-0000-0000955A0000}"/>
    <cellStyle name="Comma 2 5 3 2 2 5 3 2 3" xfId="37874" xr:uid="{00000000-0005-0000-0000-0000965A0000}"/>
    <cellStyle name="Comma 2 5 3 2 2 5 3 3" xfId="29189" xr:uid="{00000000-0005-0000-0000-0000975A0000}"/>
    <cellStyle name="Comma 2 5 3 2 2 5 3 3 2" xfId="41090" xr:uid="{00000000-0005-0000-0000-0000985A0000}"/>
    <cellStyle name="Comma 2 5 3 2 2 5 3 4" xfId="32524" xr:uid="{00000000-0005-0000-0000-0000995A0000}"/>
    <cellStyle name="Comma 2 5 3 2 2 5 3 5" xfId="34666" xr:uid="{00000000-0005-0000-0000-00009A5A0000}"/>
    <cellStyle name="Comma 2 5 3 2 2 5 4" xfId="8671" xr:uid="{00000000-0005-0000-0000-00009B5A0000}"/>
    <cellStyle name="Comma 2 5 3 2 2 5 4 2" xfId="43248" xr:uid="{00000000-0005-0000-0000-00009C5A0000}"/>
    <cellStyle name="Comma 2 5 3 2 2 5 4 3" xfId="36824" xr:uid="{00000000-0005-0000-0000-00009D5A0000}"/>
    <cellStyle name="Comma 2 5 3 2 2 5 5" xfId="21660" xr:uid="{00000000-0005-0000-0000-00009E5A0000}"/>
    <cellStyle name="Comma 2 5 3 2 2 5 5 2" xfId="40041" xr:uid="{00000000-0005-0000-0000-00009F5A0000}"/>
    <cellStyle name="Comma 2 5 3 2 2 5 6" xfId="22733" xr:uid="{00000000-0005-0000-0000-0000A05A0000}"/>
    <cellStyle name="Comma 2 5 3 2 2 5 7" xfId="23819" xr:uid="{00000000-0005-0000-0000-0000A15A0000}"/>
    <cellStyle name="Comma 2 5 3 2 2 5 8" xfId="27055" xr:uid="{00000000-0005-0000-0000-0000A25A0000}"/>
    <cellStyle name="Comma 2 5 3 2 2 5 9" xfId="30388" xr:uid="{00000000-0005-0000-0000-0000A35A0000}"/>
    <cellStyle name="Comma 2 5 3 2 2 6" xfId="1394" xr:uid="{00000000-0005-0000-0000-0000A45A0000}"/>
    <cellStyle name="Comma 2 5 3 2 2 6 10" xfId="33618" xr:uid="{00000000-0005-0000-0000-0000A55A0000}"/>
    <cellStyle name="Comma 2 5 3 2 2 6 2" xfId="10164" xr:uid="{00000000-0005-0000-0000-0000A65A0000}"/>
    <cellStyle name="Comma 2 5 3 2 2 6 2 2" xfId="25964" xr:uid="{00000000-0005-0000-0000-0000A75A0000}"/>
    <cellStyle name="Comma 2 5 3 2 2 6 2 2 2" xfId="45391" xr:uid="{00000000-0005-0000-0000-0000A85A0000}"/>
    <cellStyle name="Comma 2 5 3 2 2 6 2 2 3" xfId="38968" xr:uid="{00000000-0005-0000-0000-0000A95A0000}"/>
    <cellStyle name="Comma 2 5 3 2 2 6 2 3" xfId="28142" xr:uid="{00000000-0005-0000-0000-0000AA5A0000}"/>
    <cellStyle name="Comma 2 5 3 2 2 6 2 3 2" xfId="42184" xr:uid="{00000000-0005-0000-0000-0000AB5A0000}"/>
    <cellStyle name="Comma 2 5 3 2 2 6 2 4" xfId="31477" xr:uid="{00000000-0005-0000-0000-0000AC5A0000}"/>
    <cellStyle name="Comma 2 5 3 2 2 6 2 5" xfId="35760" xr:uid="{00000000-0005-0000-0000-0000AD5A0000}"/>
    <cellStyle name="Comma 2 5 3 2 2 6 3" xfId="15854" xr:uid="{00000000-0005-0000-0000-0000AE5A0000}"/>
    <cellStyle name="Comma 2 5 3 2 2 6 3 2" xfId="24869" xr:uid="{00000000-0005-0000-0000-0000AF5A0000}"/>
    <cellStyle name="Comma 2 5 3 2 2 6 3 2 2" xfId="44298" xr:uid="{00000000-0005-0000-0000-0000B05A0000}"/>
    <cellStyle name="Comma 2 5 3 2 2 6 3 2 3" xfId="37875" xr:uid="{00000000-0005-0000-0000-0000B15A0000}"/>
    <cellStyle name="Comma 2 5 3 2 2 6 3 3" xfId="29190" xr:uid="{00000000-0005-0000-0000-0000B25A0000}"/>
    <cellStyle name="Comma 2 5 3 2 2 6 3 3 2" xfId="41091" xr:uid="{00000000-0005-0000-0000-0000B35A0000}"/>
    <cellStyle name="Comma 2 5 3 2 2 6 3 4" xfId="32525" xr:uid="{00000000-0005-0000-0000-0000B45A0000}"/>
    <cellStyle name="Comma 2 5 3 2 2 6 3 5" xfId="34667" xr:uid="{00000000-0005-0000-0000-0000B55A0000}"/>
    <cellStyle name="Comma 2 5 3 2 2 6 4" xfId="8672" xr:uid="{00000000-0005-0000-0000-0000B65A0000}"/>
    <cellStyle name="Comma 2 5 3 2 2 6 4 2" xfId="43249" xr:uid="{00000000-0005-0000-0000-0000B75A0000}"/>
    <cellStyle name="Comma 2 5 3 2 2 6 4 3" xfId="36825" xr:uid="{00000000-0005-0000-0000-0000B85A0000}"/>
    <cellStyle name="Comma 2 5 3 2 2 6 5" xfId="21661" xr:uid="{00000000-0005-0000-0000-0000B95A0000}"/>
    <cellStyle name="Comma 2 5 3 2 2 6 5 2" xfId="40042" xr:uid="{00000000-0005-0000-0000-0000BA5A0000}"/>
    <cellStyle name="Comma 2 5 3 2 2 6 6" xfId="22734" xr:uid="{00000000-0005-0000-0000-0000BB5A0000}"/>
    <cellStyle name="Comma 2 5 3 2 2 6 7" xfId="23820" xr:uid="{00000000-0005-0000-0000-0000BC5A0000}"/>
    <cellStyle name="Comma 2 5 3 2 2 6 8" xfId="27056" xr:uid="{00000000-0005-0000-0000-0000BD5A0000}"/>
    <cellStyle name="Comma 2 5 3 2 2 6 9" xfId="30389" xr:uid="{00000000-0005-0000-0000-0000BE5A0000}"/>
    <cellStyle name="Comma 2 5 3 2 2 7" xfId="1395" xr:uid="{00000000-0005-0000-0000-0000BF5A0000}"/>
    <cellStyle name="Comma 2 5 3 2 2 7 10" xfId="33619" xr:uid="{00000000-0005-0000-0000-0000C05A0000}"/>
    <cellStyle name="Comma 2 5 3 2 2 7 2" xfId="10165" xr:uid="{00000000-0005-0000-0000-0000C15A0000}"/>
    <cellStyle name="Comma 2 5 3 2 2 7 2 2" xfId="25965" xr:uid="{00000000-0005-0000-0000-0000C25A0000}"/>
    <cellStyle name="Comma 2 5 3 2 2 7 2 2 2" xfId="45392" xr:uid="{00000000-0005-0000-0000-0000C35A0000}"/>
    <cellStyle name="Comma 2 5 3 2 2 7 2 2 3" xfId="38969" xr:uid="{00000000-0005-0000-0000-0000C45A0000}"/>
    <cellStyle name="Comma 2 5 3 2 2 7 2 3" xfId="28143" xr:uid="{00000000-0005-0000-0000-0000C55A0000}"/>
    <cellStyle name="Comma 2 5 3 2 2 7 2 3 2" xfId="42185" xr:uid="{00000000-0005-0000-0000-0000C65A0000}"/>
    <cellStyle name="Comma 2 5 3 2 2 7 2 4" xfId="31478" xr:uid="{00000000-0005-0000-0000-0000C75A0000}"/>
    <cellStyle name="Comma 2 5 3 2 2 7 2 5" xfId="35761" xr:uid="{00000000-0005-0000-0000-0000C85A0000}"/>
    <cellStyle name="Comma 2 5 3 2 2 7 3" xfId="15855" xr:uid="{00000000-0005-0000-0000-0000C95A0000}"/>
    <cellStyle name="Comma 2 5 3 2 2 7 3 2" xfId="24870" xr:uid="{00000000-0005-0000-0000-0000CA5A0000}"/>
    <cellStyle name="Comma 2 5 3 2 2 7 3 2 2" xfId="44299" xr:uid="{00000000-0005-0000-0000-0000CB5A0000}"/>
    <cellStyle name="Comma 2 5 3 2 2 7 3 2 3" xfId="37876" xr:uid="{00000000-0005-0000-0000-0000CC5A0000}"/>
    <cellStyle name="Comma 2 5 3 2 2 7 3 3" xfId="29191" xr:uid="{00000000-0005-0000-0000-0000CD5A0000}"/>
    <cellStyle name="Comma 2 5 3 2 2 7 3 3 2" xfId="41092" xr:uid="{00000000-0005-0000-0000-0000CE5A0000}"/>
    <cellStyle name="Comma 2 5 3 2 2 7 3 4" xfId="32526" xr:uid="{00000000-0005-0000-0000-0000CF5A0000}"/>
    <cellStyle name="Comma 2 5 3 2 2 7 3 5" xfId="34668" xr:uid="{00000000-0005-0000-0000-0000D05A0000}"/>
    <cellStyle name="Comma 2 5 3 2 2 7 4" xfId="8673" xr:uid="{00000000-0005-0000-0000-0000D15A0000}"/>
    <cellStyle name="Comma 2 5 3 2 2 7 4 2" xfId="43250" xr:uid="{00000000-0005-0000-0000-0000D25A0000}"/>
    <cellStyle name="Comma 2 5 3 2 2 7 4 3" xfId="36826" xr:uid="{00000000-0005-0000-0000-0000D35A0000}"/>
    <cellStyle name="Comma 2 5 3 2 2 7 5" xfId="21662" xr:uid="{00000000-0005-0000-0000-0000D45A0000}"/>
    <cellStyle name="Comma 2 5 3 2 2 7 5 2" xfId="40043" xr:uid="{00000000-0005-0000-0000-0000D55A0000}"/>
    <cellStyle name="Comma 2 5 3 2 2 7 6" xfId="22735" xr:uid="{00000000-0005-0000-0000-0000D65A0000}"/>
    <cellStyle name="Comma 2 5 3 2 2 7 7" xfId="23821" xr:uid="{00000000-0005-0000-0000-0000D75A0000}"/>
    <cellStyle name="Comma 2 5 3 2 2 7 8" xfId="27057" xr:uid="{00000000-0005-0000-0000-0000D85A0000}"/>
    <cellStyle name="Comma 2 5 3 2 2 7 9" xfId="30390" xr:uid="{00000000-0005-0000-0000-0000D95A0000}"/>
    <cellStyle name="Comma 2 5 3 2 2 8" xfId="1396" xr:uid="{00000000-0005-0000-0000-0000DA5A0000}"/>
    <cellStyle name="Comma 2 5 3 2 2 8 10" xfId="33620" xr:uid="{00000000-0005-0000-0000-0000DB5A0000}"/>
    <cellStyle name="Comma 2 5 3 2 2 8 2" xfId="10166" xr:uid="{00000000-0005-0000-0000-0000DC5A0000}"/>
    <cellStyle name="Comma 2 5 3 2 2 8 2 2" xfId="25966" xr:uid="{00000000-0005-0000-0000-0000DD5A0000}"/>
    <cellStyle name="Comma 2 5 3 2 2 8 2 2 2" xfId="45393" xr:uid="{00000000-0005-0000-0000-0000DE5A0000}"/>
    <cellStyle name="Comma 2 5 3 2 2 8 2 2 3" xfId="38970" xr:uid="{00000000-0005-0000-0000-0000DF5A0000}"/>
    <cellStyle name="Comma 2 5 3 2 2 8 2 3" xfId="28144" xr:uid="{00000000-0005-0000-0000-0000E05A0000}"/>
    <cellStyle name="Comma 2 5 3 2 2 8 2 3 2" xfId="42186" xr:uid="{00000000-0005-0000-0000-0000E15A0000}"/>
    <cellStyle name="Comma 2 5 3 2 2 8 2 4" xfId="31479" xr:uid="{00000000-0005-0000-0000-0000E25A0000}"/>
    <cellStyle name="Comma 2 5 3 2 2 8 2 5" xfId="35762" xr:uid="{00000000-0005-0000-0000-0000E35A0000}"/>
    <cellStyle name="Comma 2 5 3 2 2 8 3" xfId="15856" xr:uid="{00000000-0005-0000-0000-0000E45A0000}"/>
    <cellStyle name="Comma 2 5 3 2 2 8 3 2" xfId="24871" xr:uid="{00000000-0005-0000-0000-0000E55A0000}"/>
    <cellStyle name="Comma 2 5 3 2 2 8 3 2 2" xfId="44300" xr:uid="{00000000-0005-0000-0000-0000E65A0000}"/>
    <cellStyle name="Comma 2 5 3 2 2 8 3 2 3" xfId="37877" xr:uid="{00000000-0005-0000-0000-0000E75A0000}"/>
    <cellStyle name="Comma 2 5 3 2 2 8 3 3" xfId="29192" xr:uid="{00000000-0005-0000-0000-0000E85A0000}"/>
    <cellStyle name="Comma 2 5 3 2 2 8 3 3 2" xfId="41093" xr:uid="{00000000-0005-0000-0000-0000E95A0000}"/>
    <cellStyle name="Comma 2 5 3 2 2 8 3 4" xfId="32527" xr:uid="{00000000-0005-0000-0000-0000EA5A0000}"/>
    <cellStyle name="Comma 2 5 3 2 2 8 3 5" xfId="34669" xr:uid="{00000000-0005-0000-0000-0000EB5A0000}"/>
    <cellStyle name="Comma 2 5 3 2 2 8 4" xfId="8674" xr:uid="{00000000-0005-0000-0000-0000EC5A0000}"/>
    <cellStyle name="Comma 2 5 3 2 2 8 4 2" xfId="43251" xr:uid="{00000000-0005-0000-0000-0000ED5A0000}"/>
    <cellStyle name="Comma 2 5 3 2 2 8 4 3" xfId="36827" xr:uid="{00000000-0005-0000-0000-0000EE5A0000}"/>
    <cellStyle name="Comma 2 5 3 2 2 8 5" xfId="21663" xr:uid="{00000000-0005-0000-0000-0000EF5A0000}"/>
    <cellStyle name="Comma 2 5 3 2 2 8 5 2" xfId="40044" xr:uid="{00000000-0005-0000-0000-0000F05A0000}"/>
    <cellStyle name="Comma 2 5 3 2 2 8 6" xfId="22736" xr:uid="{00000000-0005-0000-0000-0000F15A0000}"/>
    <cellStyle name="Comma 2 5 3 2 2 8 7" xfId="23822" xr:uid="{00000000-0005-0000-0000-0000F25A0000}"/>
    <cellStyle name="Comma 2 5 3 2 2 8 8" xfId="27058" xr:uid="{00000000-0005-0000-0000-0000F35A0000}"/>
    <cellStyle name="Comma 2 5 3 2 2 8 9" xfId="30391" xr:uid="{00000000-0005-0000-0000-0000F45A0000}"/>
    <cellStyle name="Comma 2 5 3 2 2 9" xfId="9143" xr:uid="{00000000-0005-0000-0000-0000F55A0000}"/>
    <cellStyle name="Comma 2 5 3 2 2 9 2" xfId="25197" xr:uid="{00000000-0005-0000-0000-0000F65A0000}"/>
    <cellStyle name="Comma 2 5 3 2 2 9 2 2" xfId="44624" xr:uid="{00000000-0005-0000-0000-0000F75A0000}"/>
    <cellStyle name="Comma 2 5 3 2 2 9 2 3" xfId="38201" xr:uid="{00000000-0005-0000-0000-0000F85A0000}"/>
    <cellStyle name="Comma 2 5 3 2 2 9 3" xfId="27376" xr:uid="{00000000-0005-0000-0000-0000F95A0000}"/>
    <cellStyle name="Comma 2 5 3 2 2 9 3 2" xfId="41417" xr:uid="{00000000-0005-0000-0000-0000FA5A0000}"/>
    <cellStyle name="Comma 2 5 3 2 2 9 4" xfId="30711" xr:uid="{00000000-0005-0000-0000-0000FB5A0000}"/>
    <cellStyle name="Comma 2 5 3 2 2 9 5" xfId="34993" xr:uid="{00000000-0005-0000-0000-0000FC5A0000}"/>
    <cellStyle name="Comma 2 5 3 2 3" xfId="289" xr:uid="{00000000-0005-0000-0000-0000FD5A0000}"/>
    <cellStyle name="Comma 2 5 3 2 3 10" xfId="21664" xr:uid="{00000000-0005-0000-0000-0000FE5A0000}"/>
    <cellStyle name="Comma 2 5 3 2 3 10 2" xfId="39282" xr:uid="{00000000-0005-0000-0000-0000FF5A0000}"/>
    <cellStyle name="Comma 2 5 3 2 3 11" xfId="22737" xr:uid="{00000000-0005-0000-0000-0000005B0000}"/>
    <cellStyle name="Comma 2 5 3 2 3 12" xfId="23060" xr:uid="{00000000-0005-0000-0000-0000015B0000}"/>
    <cellStyle name="Comma 2 5 3 2 3 13" xfId="27059" xr:uid="{00000000-0005-0000-0000-0000025B0000}"/>
    <cellStyle name="Comma 2 5 3 2 3 14" xfId="30392" xr:uid="{00000000-0005-0000-0000-0000035B0000}"/>
    <cellStyle name="Comma 2 5 3 2 3 15" xfId="32858" xr:uid="{00000000-0005-0000-0000-0000045B0000}"/>
    <cellStyle name="Comma 2 5 3 2 3 2" xfId="1397" xr:uid="{00000000-0005-0000-0000-0000055B0000}"/>
    <cellStyle name="Comma 2 5 3 2 3 2 10" xfId="33621" xr:uid="{00000000-0005-0000-0000-0000065B0000}"/>
    <cellStyle name="Comma 2 5 3 2 3 2 2" xfId="10167" xr:uid="{00000000-0005-0000-0000-0000075B0000}"/>
    <cellStyle name="Comma 2 5 3 2 3 2 2 2" xfId="25967" xr:uid="{00000000-0005-0000-0000-0000085B0000}"/>
    <cellStyle name="Comma 2 5 3 2 3 2 2 2 2" xfId="45394" xr:uid="{00000000-0005-0000-0000-0000095B0000}"/>
    <cellStyle name="Comma 2 5 3 2 3 2 2 2 3" xfId="38971" xr:uid="{00000000-0005-0000-0000-00000A5B0000}"/>
    <cellStyle name="Comma 2 5 3 2 3 2 2 3" xfId="28145" xr:uid="{00000000-0005-0000-0000-00000B5B0000}"/>
    <cellStyle name="Comma 2 5 3 2 3 2 2 3 2" xfId="42187" xr:uid="{00000000-0005-0000-0000-00000C5B0000}"/>
    <cellStyle name="Comma 2 5 3 2 3 2 2 4" xfId="31480" xr:uid="{00000000-0005-0000-0000-00000D5B0000}"/>
    <cellStyle name="Comma 2 5 3 2 3 2 2 5" xfId="35763" xr:uid="{00000000-0005-0000-0000-00000E5B0000}"/>
    <cellStyle name="Comma 2 5 3 2 3 2 3" xfId="15858" xr:uid="{00000000-0005-0000-0000-00000F5B0000}"/>
    <cellStyle name="Comma 2 5 3 2 3 2 3 2" xfId="24873" xr:uid="{00000000-0005-0000-0000-0000105B0000}"/>
    <cellStyle name="Comma 2 5 3 2 3 2 3 2 2" xfId="44302" xr:uid="{00000000-0005-0000-0000-0000115B0000}"/>
    <cellStyle name="Comma 2 5 3 2 3 2 3 2 3" xfId="37879" xr:uid="{00000000-0005-0000-0000-0000125B0000}"/>
    <cellStyle name="Comma 2 5 3 2 3 2 3 3" xfId="29194" xr:uid="{00000000-0005-0000-0000-0000135B0000}"/>
    <cellStyle name="Comma 2 5 3 2 3 2 3 3 2" xfId="41095" xr:uid="{00000000-0005-0000-0000-0000145B0000}"/>
    <cellStyle name="Comma 2 5 3 2 3 2 3 4" xfId="32529" xr:uid="{00000000-0005-0000-0000-0000155B0000}"/>
    <cellStyle name="Comma 2 5 3 2 3 2 3 5" xfId="34671" xr:uid="{00000000-0005-0000-0000-0000165B0000}"/>
    <cellStyle name="Comma 2 5 3 2 3 2 4" xfId="8676" xr:uid="{00000000-0005-0000-0000-0000175B0000}"/>
    <cellStyle name="Comma 2 5 3 2 3 2 4 2" xfId="43252" xr:uid="{00000000-0005-0000-0000-0000185B0000}"/>
    <cellStyle name="Comma 2 5 3 2 3 2 4 3" xfId="36828" xr:uid="{00000000-0005-0000-0000-0000195B0000}"/>
    <cellStyle name="Comma 2 5 3 2 3 2 5" xfId="21665" xr:uid="{00000000-0005-0000-0000-00001A5B0000}"/>
    <cellStyle name="Comma 2 5 3 2 3 2 5 2" xfId="40045" xr:uid="{00000000-0005-0000-0000-00001B5B0000}"/>
    <cellStyle name="Comma 2 5 3 2 3 2 6" xfId="22738" xr:uid="{00000000-0005-0000-0000-00001C5B0000}"/>
    <cellStyle name="Comma 2 5 3 2 3 2 7" xfId="23823" xr:uid="{00000000-0005-0000-0000-00001D5B0000}"/>
    <cellStyle name="Comma 2 5 3 2 3 2 8" xfId="27060" xr:uid="{00000000-0005-0000-0000-00001E5B0000}"/>
    <cellStyle name="Comma 2 5 3 2 3 2 9" xfId="30393" xr:uid="{00000000-0005-0000-0000-00001F5B0000}"/>
    <cellStyle name="Comma 2 5 3 2 3 3" xfId="1398" xr:uid="{00000000-0005-0000-0000-0000205B0000}"/>
    <cellStyle name="Comma 2 5 3 2 3 3 10" xfId="33622" xr:uid="{00000000-0005-0000-0000-0000215B0000}"/>
    <cellStyle name="Comma 2 5 3 2 3 3 2" xfId="10168" xr:uid="{00000000-0005-0000-0000-0000225B0000}"/>
    <cellStyle name="Comma 2 5 3 2 3 3 2 2" xfId="25968" xr:uid="{00000000-0005-0000-0000-0000235B0000}"/>
    <cellStyle name="Comma 2 5 3 2 3 3 2 2 2" xfId="45395" xr:uid="{00000000-0005-0000-0000-0000245B0000}"/>
    <cellStyle name="Comma 2 5 3 2 3 3 2 2 3" xfId="38972" xr:uid="{00000000-0005-0000-0000-0000255B0000}"/>
    <cellStyle name="Comma 2 5 3 2 3 3 2 3" xfId="28146" xr:uid="{00000000-0005-0000-0000-0000265B0000}"/>
    <cellStyle name="Comma 2 5 3 2 3 3 2 3 2" xfId="42188" xr:uid="{00000000-0005-0000-0000-0000275B0000}"/>
    <cellStyle name="Comma 2 5 3 2 3 3 2 4" xfId="31481" xr:uid="{00000000-0005-0000-0000-0000285B0000}"/>
    <cellStyle name="Comma 2 5 3 2 3 3 2 5" xfId="35764" xr:uid="{00000000-0005-0000-0000-0000295B0000}"/>
    <cellStyle name="Comma 2 5 3 2 3 3 3" xfId="15859" xr:uid="{00000000-0005-0000-0000-00002A5B0000}"/>
    <cellStyle name="Comma 2 5 3 2 3 3 3 2" xfId="24874" xr:uid="{00000000-0005-0000-0000-00002B5B0000}"/>
    <cellStyle name="Comma 2 5 3 2 3 3 3 2 2" xfId="44303" xr:uid="{00000000-0005-0000-0000-00002C5B0000}"/>
    <cellStyle name="Comma 2 5 3 2 3 3 3 2 3" xfId="37880" xr:uid="{00000000-0005-0000-0000-00002D5B0000}"/>
    <cellStyle name="Comma 2 5 3 2 3 3 3 3" xfId="29195" xr:uid="{00000000-0005-0000-0000-00002E5B0000}"/>
    <cellStyle name="Comma 2 5 3 2 3 3 3 3 2" xfId="41096" xr:uid="{00000000-0005-0000-0000-00002F5B0000}"/>
    <cellStyle name="Comma 2 5 3 2 3 3 3 4" xfId="32530" xr:uid="{00000000-0005-0000-0000-0000305B0000}"/>
    <cellStyle name="Comma 2 5 3 2 3 3 3 5" xfId="34672" xr:uid="{00000000-0005-0000-0000-0000315B0000}"/>
    <cellStyle name="Comma 2 5 3 2 3 3 4" xfId="8677" xr:uid="{00000000-0005-0000-0000-0000325B0000}"/>
    <cellStyle name="Comma 2 5 3 2 3 3 4 2" xfId="43253" xr:uid="{00000000-0005-0000-0000-0000335B0000}"/>
    <cellStyle name="Comma 2 5 3 2 3 3 4 3" xfId="36829" xr:uid="{00000000-0005-0000-0000-0000345B0000}"/>
    <cellStyle name="Comma 2 5 3 2 3 3 5" xfId="21666" xr:uid="{00000000-0005-0000-0000-0000355B0000}"/>
    <cellStyle name="Comma 2 5 3 2 3 3 5 2" xfId="40046" xr:uid="{00000000-0005-0000-0000-0000365B0000}"/>
    <cellStyle name="Comma 2 5 3 2 3 3 6" xfId="22739" xr:uid="{00000000-0005-0000-0000-0000375B0000}"/>
    <cellStyle name="Comma 2 5 3 2 3 3 7" xfId="23824" xr:uid="{00000000-0005-0000-0000-0000385B0000}"/>
    <cellStyle name="Comma 2 5 3 2 3 3 8" xfId="27061" xr:uid="{00000000-0005-0000-0000-0000395B0000}"/>
    <cellStyle name="Comma 2 5 3 2 3 3 9" xfId="30394" xr:uid="{00000000-0005-0000-0000-00003A5B0000}"/>
    <cellStyle name="Comma 2 5 3 2 3 4" xfId="1399" xr:uid="{00000000-0005-0000-0000-00003B5B0000}"/>
    <cellStyle name="Comma 2 5 3 2 3 4 10" xfId="33623" xr:uid="{00000000-0005-0000-0000-00003C5B0000}"/>
    <cellStyle name="Comma 2 5 3 2 3 4 2" xfId="10169" xr:uid="{00000000-0005-0000-0000-00003D5B0000}"/>
    <cellStyle name="Comma 2 5 3 2 3 4 2 2" xfId="25969" xr:uid="{00000000-0005-0000-0000-00003E5B0000}"/>
    <cellStyle name="Comma 2 5 3 2 3 4 2 2 2" xfId="45396" xr:uid="{00000000-0005-0000-0000-00003F5B0000}"/>
    <cellStyle name="Comma 2 5 3 2 3 4 2 2 3" xfId="38973" xr:uid="{00000000-0005-0000-0000-0000405B0000}"/>
    <cellStyle name="Comma 2 5 3 2 3 4 2 3" xfId="28147" xr:uid="{00000000-0005-0000-0000-0000415B0000}"/>
    <cellStyle name="Comma 2 5 3 2 3 4 2 3 2" xfId="42189" xr:uid="{00000000-0005-0000-0000-0000425B0000}"/>
    <cellStyle name="Comma 2 5 3 2 3 4 2 4" xfId="31482" xr:uid="{00000000-0005-0000-0000-0000435B0000}"/>
    <cellStyle name="Comma 2 5 3 2 3 4 2 5" xfId="35765" xr:uid="{00000000-0005-0000-0000-0000445B0000}"/>
    <cellStyle name="Comma 2 5 3 2 3 4 3" xfId="15860" xr:uid="{00000000-0005-0000-0000-0000455B0000}"/>
    <cellStyle name="Comma 2 5 3 2 3 4 3 2" xfId="24875" xr:uid="{00000000-0005-0000-0000-0000465B0000}"/>
    <cellStyle name="Comma 2 5 3 2 3 4 3 2 2" xfId="44304" xr:uid="{00000000-0005-0000-0000-0000475B0000}"/>
    <cellStyle name="Comma 2 5 3 2 3 4 3 2 3" xfId="37881" xr:uid="{00000000-0005-0000-0000-0000485B0000}"/>
    <cellStyle name="Comma 2 5 3 2 3 4 3 3" xfId="29196" xr:uid="{00000000-0005-0000-0000-0000495B0000}"/>
    <cellStyle name="Comma 2 5 3 2 3 4 3 3 2" xfId="41097" xr:uid="{00000000-0005-0000-0000-00004A5B0000}"/>
    <cellStyle name="Comma 2 5 3 2 3 4 3 4" xfId="32531" xr:uid="{00000000-0005-0000-0000-00004B5B0000}"/>
    <cellStyle name="Comma 2 5 3 2 3 4 3 5" xfId="34673" xr:uid="{00000000-0005-0000-0000-00004C5B0000}"/>
    <cellStyle name="Comma 2 5 3 2 3 4 4" xfId="8678" xr:uid="{00000000-0005-0000-0000-00004D5B0000}"/>
    <cellStyle name="Comma 2 5 3 2 3 4 4 2" xfId="43254" xr:uid="{00000000-0005-0000-0000-00004E5B0000}"/>
    <cellStyle name="Comma 2 5 3 2 3 4 4 3" xfId="36830" xr:uid="{00000000-0005-0000-0000-00004F5B0000}"/>
    <cellStyle name="Comma 2 5 3 2 3 4 5" xfId="21667" xr:uid="{00000000-0005-0000-0000-0000505B0000}"/>
    <cellStyle name="Comma 2 5 3 2 3 4 5 2" xfId="40047" xr:uid="{00000000-0005-0000-0000-0000515B0000}"/>
    <cellStyle name="Comma 2 5 3 2 3 4 6" xfId="22740" xr:uid="{00000000-0005-0000-0000-0000525B0000}"/>
    <cellStyle name="Comma 2 5 3 2 3 4 7" xfId="23825" xr:uid="{00000000-0005-0000-0000-0000535B0000}"/>
    <cellStyle name="Comma 2 5 3 2 3 4 8" xfId="27062" xr:uid="{00000000-0005-0000-0000-0000545B0000}"/>
    <cellStyle name="Comma 2 5 3 2 3 4 9" xfId="30395" xr:uid="{00000000-0005-0000-0000-0000555B0000}"/>
    <cellStyle name="Comma 2 5 3 2 3 5" xfId="1400" xr:uid="{00000000-0005-0000-0000-0000565B0000}"/>
    <cellStyle name="Comma 2 5 3 2 3 5 10" xfId="33624" xr:uid="{00000000-0005-0000-0000-0000575B0000}"/>
    <cellStyle name="Comma 2 5 3 2 3 5 2" xfId="10170" xr:uid="{00000000-0005-0000-0000-0000585B0000}"/>
    <cellStyle name="Comma 2 5 3 2 3 5 2 2" xfId="25970" xr:uid="{00000000-0005-0000-0000-0000595B0000}"/>
    <cellStyle name="Comma 2 5 3 2 3 5 2 2 2" xfId="45397" xr:uid="{00000000-0005-0000-0000-00005A5B0000}"/>
    <cellStyle name="Comma 2 5 3 2 3 5 2 2 3" xfId="38974" xr:uid="{00000000-0005-0000-0000-00005B5B0000}"/>
    <cellStyle name="Comma 2 5 3 2 3 5 2 3" xfId="28148" xr:uid="{00000000-0005-0000-0000-00005C5B0000}"/>
    <cellStyle name="Comma 2 5 3 2 3 5 2 3 2" xfId="42190" xr:uid="{00000000-0005-0000-0000-00005D5B0000}"/>
    <cellStyle name="Comma 2 5 3 2 3 5 2 4" xfId="31483" xr:uid="{00000000-0005-0000-0000-00005E5B0000}"/>
    <cellStyle name="Comma 2 5 3 2 3 5 2 5" xfId="35766" xr:uid="{00000000-0005-0000-0000-00005F5B0000}"/>
    <cellStyle name="Comma 2 5 3 2 3 5 3" xfId="15861" xr:uid="{00000000-0005-0000-0000-0000605B0000}"/>
    <cellStyle name="Comma 2 5 3 2 3 5 3 2" xfId="24876" xr:uid="{00000000-0005-0000-0000-0000615B0000}"/>
    <cellStyle name="Comma 2 5 3 2 3 5 3 2 2" xfId="44305" xr:uid="{00000000-0005-0000-0000-0000625B0000}"/>
    <cellStyle name="Comma 2 5 3 2 3 5 3 2 3" xfId="37882" xr:uid="{00000000-0005-0000-0000-0000635B0000}"/>
    <cellStyle name="Comma 2 5 3 2 3 5 3 3" xfId="29197" xr:uid="{00000000-0005-0000-0000-0000645B0000}"/>
    <cellStyle name="Comma 2 5 3 2 3 5 3 3 2" xfId="41098" xr:uid="{00000000-0005-0000-0000-0000655B0000}"/>
    <cellStyle name="Comma 2 5 3 2 3 5 3 4" xfId="32532" xr:uid="{00000000-0005-0000-0000-0000665B0000}"/>
    <cellStyle name="Comma 2 5 3 2 3 5 3 5" xfId="34674" xr:uid="{00000000-0005-0000-0000-0000675B0000}"/>
    <cellStyle name="Comma 2 5 3 2 3 5 4" xfId="8679" xr:uid="{00000000-0005-0000-0000-0000685B0000}"/>
    <cellStyle name="Comma 2 5 3 2 3 5 4 2" xfId="43255" xr:uid="{00000000-0005-0000-0000-0000695B0000}"/>
    <cellStyle name="Comma 2 5 3 2 3 5 4 3" xfId="36831" xr:uid="{00000000-0005-0000-0000-00006A5B0000}"/>
    <cellStyle name="Comma 2 5 3 2 3 5 5" xfId="21668" xr:uid="{00000000-0005-0000-0000-00006B5B0000}"/>
    <cellStyle name="Comma 2 5 3 2 3 5 5 2" xfId="40048" xr:uid="{00000000-0005-0000-0000-00006C5B0000}"/>
    <cellStyle name="Comma 2 5 3 2 3 5 6" xfId="22741" xr:uid="{00000000-0005-0000-0000-00006D5B0000}"/>
    <cellStyle name="Comma 2 5 3 2 3 5 7" xfId="23826" xr:uid="{00000000-0005-0000-0000-00006E5B0000}"/>
    <cellStyle name="Comma 2 5 3 2 3 5 8" xfId="27063" xr:uid="{00000000-0005-0000-0000-00006F5B0000}"/>
    <cellStyle name="Comma 2 5 3 2 3 5 9" xfId="30396" xr:uid="{00000000-0005-0000-0000-0000705B0000}"/>
    <cellStyle name="Comma 2 5 3 2 3 6" xfId="1401" xr:uid="{00000000-0005-0000-0000-0000715B0000}"/>
    <cellStyle name="Comma 2 5 3 2 3 6 10" xfId="33625" xr:uid="{00000000-0005-0000-0000-0000725B0000}"/>
    <cellStyle name="Comma 2 5 3 2 3 6 2" xfId="10171" xr:uid="{00000000-0005-0000-0000-0000735B0000}"/>
    <cellStyle name="Comma 2 5 3 2 3 6 2 2" xfId="25971" xr:uid="{00000000-0005-0000-0000-0000745B0000}"/>
    <cellStyle name="Comma 2 5 3 2 3 6 2 2 2" xfId="45398" xr:uid="{00000000-0005-0000-0000-0000755B0000}"/>
    <cellStyle name="Comma 2 5 3 2 3 6 2 2 3" xfId="38975" xr:uid="{00000000-0005-0000-0000-0000765B0000}"/>
    <cellStyle name="Comma 2 5 3 2 3 6 2 3" xfId="28149" xr:uid="{00000000-0005-0000-0000-0000775B0000}"/>
    <cellStyle name="Comma 2 5 3 2 3 6 2 3 2" xfId="42191" xr:uid="{00000000-0005-0000-0000-0000785B0000}"/>
    <cellStyle name="Comma 2 5 3 2 3 6 2 4" xfId="31484" xr:uid="{00000000-0005-0000-0000-0000795B0000}"/>
    <cellStyle name="Comma 2 5 3 2 3 6 2 5" xfId="35767" xr:uid="{00000000-0005-0000-0000-00007A5B0000}"/>
    <cellStyle name="Comma 2 5 3 2 3 6 3" xfId="15862" xr:uid="{00000000-0005-0000-0000-00007B5B0000}"/>
    <cellStyle name="Comma 2 5 3 2 3 6 3 2" xfId="24877" xr:uid="{00000000-0005-0000-0000-00007C5B0000}"/>
    <cellStyle name="Comma 2 5 3 2 3 6 3 2 2" xfId="44306" xr:uid="{00000000-0005-0000-0000-00007D5B0000}"/>
    <cellStyle name="Comma 2 5 3 2 3 6 3 2 3" xfId="37883" xr:uid="{00000000-0005-0000-0000-00007E5B0000}"/>
    <cellStyle name="Comma 2 5 3 2 3 6 3 3" xfId="29198" xr:uid="{00000000-0005-0000-0000-00007F5B0000}"/>
    <cellStyle name="Comma 2 5 3 2 3 6 3 3 2" xfId="41099" xr:uid="{00000000-0005-0000-0000-0000805B0000}"/>
    <cellStyle name="Comma 2 5 3 2 3 6 3 4" xfId="32533" xr:uid="{00000000-0005-0000-0000-0000815B0000}"/>
    <cellStyle name="Comma 2 5 3 2 3 6 3 5" xfId="34675" xr:uid="{00000000-0005-0000-0000-0000825B0000}"/>
    <cellStyle name="Comma 2 5 3 2 3 6 4" xfId="8680" xr:uid="{00000000-0005-0000-0000-0000835B0000}"/>
    <cellStyle name="Comma 2 5 3 2 3 6 4 2" xfId="43256" xr:uid="{00000000-0005-0000-0000-0000845B0000}"/>
    <cellStyle name="Comma 2 5 3 2 3 6 4 3" xfId="36832" xr:uid="{00000000-0005-0000-0000-0000855B0000}"/>
    <cellStyle name="Comma 2 5 3 2 3 6 5" xfId="21669" xr:uid="{00000000-0005-0000-0000-0000865B0000}"/>
    <cellStyle name="Comma 2 5 3 2 3 6 5 2" xfId="40049" xr:uid="{00000000-0005-0000-0000-0000875B0000}"/>
    <cellStyle name="Comma 2 5 3 2 3 6 6" xfId="22742" xr:uid="{00000000-0005-0000-0000-0000885B0000}"/>
    <cellStyle name="Comma 2 5 3 2 3 6 7" xfId="23827" xr:uid="{00000000-0005-0000-0000-0000895B0000}"/>
    <cellStyle name="Comma 2 5 3 2 3 6 8" xfId="27064" xr:uid="{00000000-0005-0000-0000-00008A5B0000}"/>
    <cellStyle name="Comma 2 5 3 2 3 6 9" xfId="30397" xr:uid="{00000000-0005-0000-0000-00008B5B0000}"/>
    <cellStyle name="Comma 2 5 3 2 3 7" xfId="9145" xr:uid="{00000000-0005-0000-0000-00008C5B0000}"/>
    <cellStyle name="Comma 2 5 3 2 3 7 2" xfId="25199" xr:uid="{00000000-0005-0000-0000-00008D5B0000}"/>
    <cellStyle name="Comma 2 5 3 2 3 7 2 2" xfId="44626" xr:uid="{00000000-0005-0000-0000-00008E5B0000}"/>
    <cellStyle name="Comma 2 5 3 2 3 7 2 3" xfId="38203" xr:uid="{00000000-0005-0000-0000-00008F5B0000}"/>
    <cellStyle name="Comma 2 5 3 2 3 7 3" xfId="27378" xr:uid="{00000000-0005-0000-0000-0000905B0000}"/>
    <cellStyle name="Comma 2 5 3 2 3 7 3 2" xfId="41419" xr:uid="{00000000-0005-0000-0000-0000915B0000}"/>
    <cellStyle name="Comma 2 5 3 2 3 7 4" xfId="30713" xr:uid="{00000000-0005-0000-0000-0000925B0000}"/>
    <cellStyle name="Comma 2 5 3 2 3 7 5" xfId="34995" xr:uid="{00000000-0005-0000-0000-0000935B0000}"/>
    <cellStyle name="Comma 2 5 3 2 3 8" xfId="15857" xr:uid="{00000000-0005-0000-0000-0000945B0000}"/>
    <cellStyle name="Comma 2 5 3 2 3 8 2" xfId="24872" xr:uid="{00000000-0005-0000-0000-0000955B0000}"/>
    <cellStyle name="Comma 2 5 3 2 3 8 2 2" xfId="44301" xr:uid="{00000000-0005-0000-0000-0000965B0000}"/>
    <cellStyle name="Comma 2 5 3 2 3 8 2 3" xfId="37878" xr:uid="{00000000-0005-0000-0000-0000975B0000}"/>
    <cellStyle name="Comma 2 5 3 2 3 8 3" xfId="29193" xr:uid="{00000000-0005-0000-0000-0000985B0000}"/>
    <cellStyle name="Comma 2 5 3 2 3 8 3 2" xfId="41094" xr:uid="{00000000-0005-0000-0000-0000995B0000}"/>
    <cellStyle name="Comma 2 5 3 2 3 8 4" xfId="32528" xr:uid="{00000000-0005-0000-0000-00009A5B0000}"/>
    <cellStyle name="Comma 2 5 3 2 3 8 5" xfId="34670" xr:uid="{00000000-0005-0000-0000-00009B5B0000}"/>
    <cellStyle name="Comma 2 5 3 2 3 9" xfId="8675" xr:uid="{00000000-0005-0000-0000-00009C5B0000}"/>
    <cellStyle name="Comma 2 5 3 2 3 9 2" xfId="42489" xr:uid="{00000000-0005-0000-0000-00009D5B0000}"/>
    <cellStyle name="Comma 2 5 3 2 3 9 3" xfId="36065" xr:uid="{00000000-0005-0000-0000-00009E5B0000}"/>
    <cellStyle name="Comma 2 5 3 2 4" xfId="1402" xr:uid="{00000000-0005-0000-0000-00009F5B0000}"/>
    <cellStyle name="Comma 2 5 3 2 4 10" xfId="22743" xr:uid="{00000000-0005-0000-0000-0000A05B0000}"/>
    <cellStyle name="Comma 2 5 3 2 4 11" xfId="23828" xr:uid="{00000000-0005-0000-0000-0000A15B0000}"/>
    <cellStyle name="Comma 2 5 3 2 4 12" xfId="27065" xr:uid="{00000000-0005-0000-0000-0000A25B0000}"/>
    <cellStyle name="Comma 2 5 3 2 4 13" xfId="30398" xr:uid="{00000000-0005-0000-0000-0000A35B0000}"/>
    <cellStyle name="Comma 2 5 3 2 4 14" xfId="33626" xr:uid="{00000000-0005-0000-0000-0000A45B0000}"/>
    <cellStyle name="Comma 2 5 3 2 4 2" xfId="1403" xr:uid="{00000000-0005-0000-0000-0000A55B0000}"/>
    <cellStyle name="Comma 2 5 3 2 4 2 10" xfId="33627" xr:uid="{00000000-0005-0000-0000-0000A65B0000}"/>
    <cellStyle name="Comma 2 5 3 2 4 2 2" xfId="10173" xr:uid="{00000000-0005-0000-0000-0000A75B0000}"/>
    <cellStyle name="Comma 2 5 3 2 4 2 2 2" xfId="25973" xr:uid="{00000000-0005-0000-0000-0000A85B0000}"/>
    <cellStyle name="Comma 2 5 3 2 4 2 2 2 2" xfId="45400" xr:uid="{00000000-0005-0000-0000-0000A95B0000}"/>
    <cellStyle name="Comma 2 5 3 2 4 2 2 2 3" xfId="38977" xr:uid="{00000000-0005-0000-0000-0000AA5B0000}"/>
    <cellStyle name="Comma 2 5 3 2 4 2 2 3" xfId="28151" xr:uid="{00000000-0005-0000-0000-0000AB5B0000}"/>
    <cellStyle name="Comma 2 5 3 2 4 2 2 3 2" xfId="42193" xr:uid="{00000000-0005-0000-0000-0000AC5B0000}"/>
    <cellStyle name="Comma 2 5 3 2 4 2 2 4" xfId="31486" xr:uid="{00000000-0005-0000-0000-0000AD5B0000}"/>
    <cellStyle name="Comma 2 5 3 2 4 2 2 5" xfId="35769" xr:uid="{00000000-0005-0000-0000-0000AE5B0000}"/>
    <cellStyle name="Comma 2 5 3 2 4 2 3" xfId="15864" xr:uid="{00000000-0005-0000-0000-0000AF5B0000}"/>
    <cellStyle name="Comma 2 5 3 2 4 2 3 2" xfId="24879" xr:uid="{00000000-0005-0000-0000-0000B05B0000}"/>
    <cellStyle name="Comma 2 5 3 2 4 2 3 2 2" xfId="44308" xr:uid="{00000000-0005-0000-0000-0000B15B0000}"/>
    <cellStyle name="Comma 2 5 3 2 4 2 3 2 3" xfId="37885" xr:uid="{00000000-0005-0000-0000-0000B25B0000}"/>
    <cellStyle name="Comma 2 5 3 2 4 2 3 3" xfId="29200" xr:uid="{00000000-0005-0000-0000-0000B35B0000}"/>
    <cellStyle name="Comma 2 5 3 2 4 2 3 3 2" xfId="41101" xr:uid="{00000000-0005-0000-0000-0000B45B0000}"/>
    <cellStyle name="Comma 2 5 3 2 4 2 3 4" xfId="32535" xr:uid="{00000000-0005-0000-0000-0000B55B0000}"/>
    <cellStyle name="Comma 2 5 3 2 4 2 3 5" xfId="34677" xr:uid="{00000000-0005-0000-0000-0000B65B0000}"/>
    <cellStyle name="Comma 2 5 3 2 4 2 4" xfId="8682" xr:uid="{00000000-0005-0000-0000-0000B75B0000}"/>
    <cellStyle name="Comma 2 5 3 2 4 2 4 2" xfId="43258" xr:uid="{00000000-0005-0000-0000-0000B85B0000}"/>
    <cellStyle name="Comma 2 5 3 2 4 2 4 3" xfId="36834" xr:uid="{00000000-0005-0000-0000-0000B95B0000}"/>
    <cellStyle name="Comma 2 5 3 2 4 2 5" xfId="21671" xr:uid="{00000000-0005-0000-0000-0000BA5B0000}"/>
    <cellStyle name="Comma 2 5 3 2 4 2 5 2" xfId="40051" xr:uid="{00000000-0005-0000-0000-0000BB5B0000}"/>
    <cellStyle name="Comma 2 5 3 2 4 2 6" xfId="22744" xr:uid="{00000000-0005-0000-0000-0000BC5B0000}"/>
    <cellStyle name="Comma 2 5 3 2 4 2 7" xfId="23829" xr:uid="{00000000-0005-0000-0000-0000BD5B0000}"/>
    <cellStyle name="Comma 2 5 3 2 4 2 8" xfId="27066" xr:uid="{00000000-0005-0000-0000-0000BE5B0000}"/>
    <cellStyle name="Comma 2 5 3 2 4 2 9" xfId="30399" xr:uid="{00000000-0005-0000-0000-0000BF5B0000}"/>
    <cellStyle name="Comma 2 5 3 2 4 3" xfId="1404" xr:uid="{00000000-0005-0000-0000-0000C05B0000}"/>
    <cellStyle name="Comma 2 5 3 2 4 3 10" xfId="33628" xr:uid="{00000000-0005-0000-0000-0000C15B0000}"/>
    <cellStyle name="Comma 2 5 3 2 4 3 2" xfId="10174" xr:uid="{00000000-0005-0000-0000-0000C25B0000}"/>
    <cellStyle name="Comma 2 5 3 2 4 3 2 2" xfId="25974" xr:uid="{00000000-0005-0000-0000-0000C35B0000}"/>
    <cellStyle name="Comma 2 5 3 2 4 3 2 2 2" xfId="45401" xr:uid="{00000000-0005-0000-0000-0000C45B0000}"/>
    <cellStyle name="Comma 2 5 3 2 4 3 2 2 3" xfId="38978" xr:uid="{00000000-0005-0000-0000-0000C55B0000}"/>
    <cellStyle name="Comma 2 5 3 2 4 3 2 3" xfId="28152" xr:uid="{00000000-0005-0000-0000-0000C65B0000}"/>
    <cellStyle name="Comma 2 5 3 2 4 3 2 3 2" xfId="42194" xr:uid="{00000000-0005-0000-0000-0000C75B0000}"/>
    <cellStyle name="Comma 2 5 3 2 4 3 2 4" xfId="31487" xr:uid="{00000000-0005-0000-0000-0000C85B0000}"/>
    <cellStyle name="Comma 2 5 3 2 4 3 2 5" xfId="35770" xr:uid="{00000000-0005-0000-0000-0000C95B0000}"/>
    <cellStyle name="Comma 2 5 3 2 4 3 3" xfId="15865" xr:uid="{00000000-0005-0000-0000-0000CA5B0000}"/>
    <cellStyle name="Comma 2 5 3 2 4 3 3 2" xfId="24880" xr:uid="{00000000-0005-0000-0000-0000CB5B0000}"/>
    <cellStyle name="Comma 2 5 3 2 4 3 3 2 2" xfId="44309" xr:uid="{00000000-0005-0000-0000-0000CC5B0000}"/>
    <cellStyle name="Comma 2 5 3 2 4 3 3 2 3" xfId="37886" xr:uid="{00000000-0005-0000-0000-0000CD5B0000}"/>
    <cellStyle name="Comma 2 5 3 2 4 3 3 3" xfId="29201" xr:uid="{00000000-0005-0000-0000-0000CE5B0000}"/>
    <cellStyle name="Comma 2 5 3 2 4 3 3 3 2" xfId="41102" xr:uid="{00000000-0005-0000-0000-0000CF5B0000}"/>
    <cellStyle name="Comma 2 5 3 2 4 3 3 4" xfId="32536" xr:uid="{00000000-0005-0000-0000-0000D05B0000}"/>
    <cellStyle name="Comma 2 5 3 2 4 3 3 5" xfId="34678" xr:uid="{00000000-0005-0000-0000-0000D15B0000}"/>
    <cellStyle name="Comma 2 5 3 2 4 3 4" xfId="8683" xr:uid="{00000000-0005-0000-0000-0000D25B0000}"/>
    <cellStyle name="Comma 2 5 3 2 4 3 4 2" xfId="43259" xr:uid="{00000000-0005-0000-0000-0000D35B0000}"/>
    <cellStyle name="Comma 2 5 3 2 4 3 4 3" xfId="36835" xr:uid="{00000000-0005-0000-0000-0000D45B0000}"/>
    <cellStyle name="Comma 2 5 3 2 4 3 5" xfId="21672" xr:uid="{00000000-0005-0000-0000-0000D55B0000}"/>
    <cellStyle name="Comma 2 5 3 2 4 3 5 2" xfId="40052" xr:uid="{00000000-0005-0000-0000-0000D65B0000}"/>
    <cellStyle name="Comma 2 5 3 2 4 3 6" xfId="22745" xr:uid="{00000000-0005-0000-0000-0000D75B0000}"/>
    <cellStyle name="Comma 2 5 3 2 4 3 7" xfId="23830" xr:uid="{00000000-0005-0000-0000-0000D85B0000}"/>
    <cellStyle name="Comma 2 5 3 2 4 3 8" xfId="27067" xr:uid="{00000000-0005-0000-0000-0000D95B0000}"/>
    <cellStyle name="Comma 2 5 3 2 4 3 9" xfId="30400" xr:uid="{00000000-0005-0000-0000-0000DA5B0000}"/>
    <cellStyle name="Comma 2 5 3 2 4 4" xfId="1405" xr:uid="{00000000-0005-0000-0000-0000DB5B0000}"/>
    <cellStyle name="Comma 2 5 3 2 4 4 10" xfId="33629" xr:uid="{00000000-0005-0000-0000-0000DC5B0000}"/>
    <cellStyle name="Comma 2 5 3 2 4 4 2" xfId="10175" xr:uid="{00000000-0005-0000-0000-0000DD5B0000}"/>
    <cellStyle name="Comma 2 5 3 2 4 4 2 2" xfId="25975" xr:uid="{00000000-0005-0000-0000-0000DE5B0000}"/>
    <cellStyle name="Comma 2 5 3 2 4 4 2 2 2" xfId="45402" xr:uid="{00000000-0005-0000-0000-0000DF5B0000}"/>
    <cellStyle name="Comma 2 5 3 2 4 4 2 2 3" xfId="38979" xr:uid="{00000000-0005-0000-0000-0000E05B0000}"/>
    <cellStyle name="Comma 2 5 3 2 4 4 2 3" xfId="28153" xr:uid="{00000000-0005-0000-0000-0000E15B0000}"/>
    <cellStyle name="Comma 2 5 3 2 4 4 2 3 2" xfId="42195" xr:uid="{00000000-0005-0000-0000-0000E25B0000}"/>
    <cellStyle name="Comma 2 5 3 2 4 4 2 4" xfId="31488" xr:uid="{00000000-0005-0000-0000-0000E35B0000}"/>
    <cellStyle name="Comma 2 5 3 2 4 4 2 5" xfId="35771" xr:uid="{00000000-0005-0000-0000-0000E45B0000}"/>
    <cellStyle name="Comma 2 5 3 2 4 4 3" xfId="15866" xr:uid="{00000000-0005-0000-0000-0000E55B0000}"/>
    <cellStyle name="Comma 2 5 3 2 4 4 3 2" xfId="24881" xr:uid="{00000000-0005-0000-0000-0000E65B0000}"/>
    <cellStyle name="Comma 2 5 3 2 4 4 3 2 2" xfId="44310" xr:uid="{00000000-0005-0000-0000-0000E75B0000}"/>
    <cellStyle name="Comma 2 5 3 2 4 4 3 2 3" xfId="37887" xr:uid="{00000000-0005-0000-0000-0000E85B0000}"/>
    <cellStyle name="Comma 2 5 3 2 4 4 3 3" xfId="29202" xr:uid="{00000000-0005-0000-0000-0000E95B0000}"/>
    <cellStyle name="Comma 2 5 3 2 4 4 3 3 2" xfId="41103" xr:uid="{00000000-0005-0000-0000-0000EA5B0000}"/>
    <cellStyle name="Comma 2 5 3 2 4 4 3 4" xfId="32537" xr:uid="{00000000-0005-0000-0000-0000EB5B0000}"/>
    <cellStyle name="Comma 2 5 3 2 4 4 3 5" xfId="34679" xr:uid="{00000000-0005-0000-0000-0000EC5B0000}"/>
    <cellStyle name="Comma 2 5 3 2 4 4 4" xfId="8684" xr:uid="{00000000-0005-0000-0000-0000ED5B0000}"/>
    <cellStyle name="Comma 2 5 3 2 4 4 4 2" xfId="43260" xr:uid="{00000000-0005-0000-0000-0000EE5B0000}"/>
    <cellStyle name="Comma 2 5 3 2 4 4 4 3" xfId="36836" xr:uid="{00000000-0005-0000-0000-0000EF5B0000}"/>
    <cellStyle name="Comma 2 5 3 2 4 4 5" xfId="21673" xr:uid="{00000000-0005-0000-0000-0000F05B0000}"/>
    <cellStyle name="Comma 2 5 3 2 4 4 5 2" xfId="40053" xr:uid="{00000000-0005-0000-0000-0000F15B0000}"/>
    <cellStyle name="Comma 2 5 3 2 4 4 6" xfId="22746" xr:uid="{00000000-0005-0000-0000-0000F25B0000}"/>
    <cellStyle name="Comma 2 5 3 2 4 4 7" xfId="23831" xr:uid="{00000000-0005-0000-0000-0000F35B0000}"/>
    <cellStyle name="Comma 2 5 3 2 4 4 8" xfId="27068" xr:uid="{00000000-0005-0000-0000-0000F45B0000}"/>
    <cellStyle name="Comma 2 5 3 2 4 4 9" xfId="30401" xr:uid="{00000000-0005-0000-0000-0000F55B0000}"/>
    <cellStyle name="Comma 2 5 3 2 4 5" xfId="1406" xr:uid="{00000000-0005-0000-0000-0000F65B0000}"/>
    <cellStyle name="Comma 2 5 3 2 4 5 10" xfId="33630" xr:uid="{00000000-0005-0000-0000-0000F75B0000}"/>
    <cellStyle name="Comma 2 5 3 2 4 5 2" xfId="10176" xr:uid="{00000000-0005-0000-0000-0000F85B0000}"/>
    <cellStyle name="Comma 2 5 3 2 4 5 2 2" xfId="25976" xr:uid="{00000000-0005-0000-0000-0000F95B0000}"/>
    <cellStyle name="Comma 2 5 3 2 4 5 2 2 2" xfId="45403" xr:uid="{00000000-0005-0000-0000-0000FA5B0000}"/>
    <cellStyle name="Comma 2 5 3 2 4 5 2 2 3" xfId="38980" xr:uid="{00000000-0005-0000-0000-0000FB5B0000}"/>
    <cellStyle name="Comma 2 5 3 2 4 5 2 3" xfId="28154" xr:uid="{00000000-0005-0000-0000-0000FC5B0000}"/>
    <cellStyle name="Comma 2 5 3 2 4 5 2 3 2" xfId="42196" xr:uid="{00000000-0005-0000-0000-0000FD5B0000}"/>
    <cellStyle name="Comma 2 5 3 2 4 5 2 4" xfId="31489" xr:uid="{00000000-0005-0000-0000-0000FE5B0000}"/>
    <cellStyle name="Comma 2 5 3 2 4 5 2 5" xfId="35772" xr:uid="{00000000-0005-0000-0000-0000FF5B0000}"/>
    <cellStyle name="Comma 2 5 3 2 4 5 3" xfId="15867" xr:uid="{00000000-0005-0000-0000-0000005C0000}"/>
    <cellStyle name="Comma 2 5 3 2 4 5 3 2" xfId="24882" xr:uid="{00000000-0005-0000-0000-0000015C0000}"/>
    <cellStyle name="Comma 2 5 3 2 4 5 3 2 2" xfId="44311" xr:uid="{00000000-0005-0000-0000-0000025C0000}"/>
    <cellStyle name="Comma 2 5 3 2 4 5 3 2 3" xfId="37888" xr:uid="{00000000-0005-0000-0000-0000035C0000}"/>
    <cellStyle name="Comma 2 5 3 2 4 5 3 3" xfId="29203" xr:uid="{00000000-0005-0000-0000-0000045C0000}"/>
    <cellStyle name="Comma 2 5 3 2 4 5 3 3 2" xfId="41104" xr:uid="{00000000-0005-0000-0000-0000055C0000}"/>
    <cellStyle name="Comma 2 5 3 2 4 5 3 4" xfId="32538" xr:uid="{00000000-0005-0000-0000-0000065C0000}"/>
    <cellStyle name="Comma 2 5 3 2 4 5 3 5" xfId="34680" xr:uid="{00000000-0005-0000-0000-0000075C0000}"/>
    <cellStyle name="Comma 2 5 3 2 4 5 4" xfId="8685" xr:uid="{00000000-0005-0000-0000-0000085C0000}"/>
    <cellStyle name="Comma 2 5 3 2 4 5 4 2" xfId="43261" xr:uid="{00000000-0005-0000-0000-0000095C0000}"/>
    <cellStyle name="Comma 2 5 3 2 4 5 4 3" xfId="36837" xr:uid="{00000000-0005-0000-0000-00000A5C0000}"/>
    <cellStyle name="Comma 2 5 3 2 4 5 5" xfId="21674" xr:uid="{00000000-0005-0000-0000-00000B5C0000}"/>
    <cellStyle name="Comma 2 5 3 2 4 5 5 2" xfId="40054" xr:uid="{00000000-0005-0000-0000-00000C5C0000}"/>
    <cellStyle name="Comma 2 5 3 2 4 5 6" xfId="22747" xr:uid="{00000000-0005-0000-0000-00000D5C0000}"/>
    <cellStyle name="Comma 2 5 3 2 4 5 7" xfId="23832" xr:uid="{00000000-0005-0000-0000-00000E5C0000}"/>
    <cellStyle name="Comma 2 5 3 2 4 5 8" xfId="27069" xr:uid="{00000000-0005-0000-0000-00000F5C0000}"/>
    <cellStyle name="Comma 2 5 3 2 4 5 9" xfId="30402" xr:uid="{00000000-0005-0000-0000-0000105C0000}"/>
    <cellStyle name="Comma 2 5 3 2 4 6" xfId="10172" xr:uid="{00000000-0005-0000-0000-0000115C0000}"/>
    <cellStyle name="Comma 2 5 3 2 4 6 2" xfId="25972" xr:uid="{00000000-0005-0000-0000-0000125C0000}"/>
    <cellStyle name="Comma 2 5 3 2 4 6 2 2" xfId="45399" xr:uid="{00000000-0005-0000-0000-0000135C0000}"/>
    <cellStyle name="Comma 2 5 3 2 4 6 2 3" xfId="38976" xr:uid="{00000000-0005-0000-0000-0000145C0000}"/>
    <cellStyle name="Comma 2 5 3 2 4 6 3" xfId="28150" xr:uid="{00000000-0005-0000-0000-0000155C0000}"/>
    <cellStyle name="Comma 2 5 3 2 4 6 3 2" xfId="42192" xr:uid="{00000000-0005-0000-0000-0000165C0000}"/>
    <cellStyle name="Comma 2 5 3 2 4 6 4" xfId="31485" xr:uid="{00000000-0005-0000-0000-0000175C0000}"/>
    <cellStyle name="Comma 2 5 3 2 4 6 5" xfId="35768" xr:uid="{00000000-0005-0000-0000-0000185C0000}"/>
    <cellStyle name="Comma 2 5 3 2 4 7" xfId="15863" xr:uid="{00000000-0005-0000-0000-0000195C0000}"/>
    <cellStyle name="Comma 2 5 3 2 4 7 2" xfId="24878" xr:uid="{00000000-0005-0000-0000-00001A5C0000}"/>
    <cellStyle name="Comma 2 5 3 2 4 7 2 2" xfId="44307" xr:uid="{00000000-0005-0000-0000-00001B5C0000}"/>
    <cellStyle name="Comma 2 5 3 2 4 7 2 3" xfId="37884" xr:uid="{00000000-0005-0000-0000-00001C5C0000}"/>
    <cellStyle name="Comma 2 5 3 2 4 7 3" xfId="29199" xr:uid="{00000000-0005-0000-0000-00001D5C0000}"/>
    <cellStyle name="Comma 2 5 3 2 4 7 3 2" xfId="41100" xr:uid="{00000000-0005-0000-0000-00001E5C0000}"/>
    <cellStyle name="Comma 2 5 3 2 4 7 4" xfId="32534" xr:uid="{00000000-0005-0000-0000-00001F5C0000}"/>
    <cellStyle name="Comma 2 5 3 2 4 7 5" xfId="34676" xr:uid="{00000000-0005-0000-0000-0000205C0000}"/>
    <cellStyle name="Comma 2 5 3 2 4 8" xfId="8681" xr:uid="{00000000-0005-0000-0000-0000215C0000}"/>
    <cellStyle name="Comma 2 5 3 2 4 8 2" xfId="43257" xr:uid="{00000000-0005-0000-0000-0000225C0000}"/>
    <cellStyle name="Comma 2 5 3 2 4 8 3" xfId="36833" xr:uid="{00000000-0005-0000-0000-0000235C0000}"/>
    <cellStyle name="Comma 2 5 3 2 4 9" xfId="21670" xr:uid="{00000000-0005-0000-0000-0000245C0000}"/>
    <cellStyle name="Comma 2 5 3 2 4 9 2" xfId="40050" xr:uid="{00000000-0005-0000-0000-0000255C0000}"/>
    <cellStyle name="Comma 2 5 3 2 5" xfId="1407" xr:uid="{00000000-0005-0000-0000-0000265C0000}"/>
    <cellStyle name="Comma 2 5 3 2 5 10" xfId="22748" xr:uid="{00000000-0005-0000-0000-0000275C0000}"/>
    <cellStyle name="Comma 2 5 3 2 5 11" xfId="23833" xr:uid="{00000000-0005-0000-0000-0000285C0000}"/>
    <cellStyle name="Comma 2 5 3 2 5 12" xfId="27070" xr:uid="{00000000-0005-0000-0000-0000295C0000}"/>
    <cellStyle name="Comma 2 5 3 2 5 13" xfId="30403" xr:uid="{00000000-0005-0000-0000-00002A5C0000}"/>
    <cellStyle name="Comma 2 5 3 2 5 14" xfId="33631" xr:uid="{00000000-0005-0000-0000-00002B5C0000}"/>
    <cellStyle name="Comma 2 5 3 2 5 2" xfId="1408" xr:uid="{00000000-0005-0000-0000-00002C5C0000}"/>
    <cellStyle name="Comma 2 5 3 2 5 2 10" xfId="33632" xr:uid="{00000000-0005-0000-0000-00002D5C0000}"/>
    <cellStyle name="Comma 2 5 3 2 5 2 2" xfId="10178" xr:uid="{00000000-0005-0000-0000-00002E5C0000}"/>
    <cellStyle name="Comma 2 5 3 2 5 2 2 2" xfId="25978" xr:uid="{00000000-0005-0000-0000-00002F5C0000}"/>
    <cellStyle name="Comma 2 5 3 2 5 2 2 2 2" xfId="45405" xr:uid="{00000000-0005-0000-0000-0000305C0000}"/>
    <cellStyle name="Comma 2 5 3 2 5 2 2 2 3" xfId="38982" xr:uid="{00000000-0005-0000-0000-0000315C0000}"/>
    <cellStyle name="Comma 2 5 3 2 5 2 2 3" xfId="28156" xr:uid="{00000000-0005-0000-0000-0000325C0000}"/>
    <cellStyle name="Comma 2 5 3 2 5 2 2 3 2" xfId="42198" xr:uid="{00000000-0005-0000-0000-0000335C0000}"/>
    <cellStyle name="Comma 2 5 3 2 5 2 2 4" xfId="31491" xr:uid="{00000000-0005-0000-0000-0000345C0000}"/>
    <cellStyle name="Comma 2 5 3 2 5 2 2 5" xfId="35774" xr:uid="{00000000-0005-0000-0000-0000355C0000}"/>
    <cellStyle name="Comma 2 5 3 2 5 2 3" xfId="15869" xr:uid="{00000000-0005-0000-0000-0000365C0000}"/>
    <cellStyle name="Comma 2 5 3 2 5 2 3 2" xfId="24884" xr:uid="{00000000-0005-0000-0000-0000375C0000}"/>
    <cellStyle name="Comma 2 5 3 2 5 2 3 2 2" xfId="44313" xr:uid="{00000000-0005-0000-0000-0000385C0000}"/>
    <cellStyle name="Comma 2 5 3 2 5 2 3 2 3" xfId="37890" xr:uid="{00000000-0005-0000-0000-0000395C0000}"/>
    <cellStyle name="Comma 2 5 3 2 5 2 3 3" xfId="29205" xr:uid="{00000000-0005-0000-0000-00003A5C0000}"/>
    <cellStyle name="Comma 2 5 3 2 5 2 3 3 2" xfId="41106" xr:uid="{00000000-0005-0000-0000-00003B5C0000}"/>
    <cellStyle name="Comma 2 5 3 2 5 2 3 4" xfId="32540" xr:uid="{00000000-0005-0000-0000-00003C5C0000}"/>
    <cellStyle name="Comma 2 5 3 2 5 2 3 5" xfId="34682" xr:uid="{00000000-0005-0000-0000-00003D5C0000}"/>
    <cellStyle name="Comma 2 5 3 2 5 2 4" xfId="8687" xr:uid="{00000000-0005-0000-0000-00003E5C0000}"/>
    <cellStyle name="Comma 2 5 3 2 5 2 4 2" xfId="43263" xr:uid="{00000000-0005-0000-0000-00003F5C0000}"/>
    <cellStyle name="Comma 2 5 3 2 5 2 4 3" xfId="36839" xr:uid="{00000000-0005-0000-0000-0000405C0000}"/>
    <cellStyle name="Comma 2 5 3 2 5 2 5" xfId="21676" xr:uid="{00000000-0005-0000-0000-0000415C0000}"/>
    <cellStyle name="Comma 2 5 3 2 5 2 5 2" xfId="40056" xr:uid="{00000000-0005-0000-0000-0000425C0000}"/>
    <cellStyle name="Comma 2 5 3 2 5 2 6" xfId="22749" xr:uid="{00000000-0005-0000-0000-0000435C0000}"/>
    <cellStyle name="Comma 2 5 3 2 5 2 7" xfId="23834" xr:uid="{00000000-0005-0000-0000-0000445C0000}"/>
    <cellStyle name="Comma 2 5 3 2 5 2 8" xfId="27071" xr:uid="{00000000-0005-0000-0000-0000455C0000}"/>
    <cellStyle name="Comma 2 5 3 2 5 2 9" xfId="30404" xr:uid="{00000000-0005-0000-0000-0000465C0000}"/>
    <cellStyle name="Comma 2 5 3 2 5 3" xfId="1409" xr:uid="{00000000-0005-0000-0000-0000475C0000}"/>
    <cellStyle name="Comma 2 5 3 2 5 3 10" xfId="33633" xr:uid="{00000000-0005-0000-0000-0000485C0000}"/>
    <cellStyle name="Comma 2 5 3 2 5 3 2" xfId="10179" xr:uid="{00000000-0005-0000-0000-0000495C0000}"/>
    <cellStyle name="Comma 2 5 3 2 5 3 2 2" xfId="25979" xr:uid="{00000000-0005-0000-0000-00004A5C0000}"/>
    <cellStyle name="Comma 2 5 3 2 5 3 2 2 2" xfId="45406" xr:uid="{00000000-0005-0000-0000-00004B5C0000}"/>
    <cellStyle name="Comma 2 5 3 2 5 3 2 2 3" xfId="38983" xr:uid="{00000000-0005-0000-0000-00004C5C0000}"/>
    <cellStyle name="Comma 2 5 3 2 5 3 2 3" xfId="28157" xr:uid="{00000000-0005-0000-0000-00004D5C0000}"/>
    <cellStyle name="Comma 2 5 3 2 5 3 2 3 2" xfId="42199" xr:uid="{00000000-0005-0000-0000-00004E5C0000}"/>
    <cellStyle name="Comma 2 5 3 2 5 3 2 4" xfId="31492" xr:uid="{00000000-0005-0000-0000-00004F5C0000}"/>
    <cellStyle name="Comma 2 5 3 2 5 3 2 5" xfId="35775" xr:uid="{00000000-0005-0000-0000-0000505C0000}"/>
    <cellStyle name="Comma 2 5 3 2 5 3 3" xfId="15870" xr:uid="{00000000-0005-0000-0000-0000515C0000}"/>
    <cellStyle name="Comma 2 5 3 2 5 3 3 2" xfId="24885" xr:uid="{00000000-0005-0000-0000-0000525C0000}"/>
    <cellStyle name="Comma 2 5 3 2 5 3 3 2 2" xfId="44314" xr:uid="{00000000-0005-0000-0000-0000535C0000}"/>
    <cellStyle name="Comma 2 5 3 2 5 3 3 2 3" xfId="37891" xr:uid="{00000000-0005-0000-0000-0000545C0000}"/>
    <cellStyle name="Comma 2 5 3 2 5 3 3 3" xfId="29206" xr:uid="{00000000-0005-0000-0000-0000555C0000}"/>
    <cellStyle name="Comma 2 5 3 2 5 3 3 3 2" xfId="41107" xr:uid="{00000000-0005-0000-0000-0000565C0000}"/>
    <cellStyle name="Comma 2 5 3 2 5 3 3 4" xfId="32541" xr:uid="{00000000-0005-0000-0000-0000575C0000}"/>
    <cellStyle name="Comma 2 5 3 2 5 3 3 5" xfId="34683" xr:uid="{00000000-0005-0000-0000-0000585C0000}"/>
    <cellStyle name="Comma 2 5 3 2 5 3 4" xfId="8688" xr:uid="{00000000-0005-0000-0000-0000595C0000}"/>
    <cellStyle name="Comma 2 5 3 2 5 3 4 2" xfId="43264" xr:uid="{00000000-0005-0000-0000-00005A5C0000}"/>
    <cellStyle name="Comma 2 5 3 2 5 3 4 3" xfId="36840" xr:uid="{00000000-0005-0000-0000-00005B5C0000}"/>
    <cellStyle name="Comma 2 5 3 2 5 3 5" xfId="21677" xr:uid="{00000000-0005-0000-0000-00005C5C0000}"/>
    <cellStyle name="Comma 2 5 3 2 5 3 5 2" xfId="40057" xr:uid="{00000000-0005-0000-0000-00005D5C0000}"/>
    <cellStyle name="Comma 2 5 3 2 5 3 6" xfId="22750" xr:uid="{00000000-0005-0000-0000-00005E5C0000}"/>
    <cellStyle name="Comma 2 5 3 2 5 3 7" xfId="23835" xr:uid="{00000000-0005-0000-0000-00005F5C0000}"/>
    <cellStyle name="Comma 2 5 3 2 5 3 8" xfId="27072" xr:uid="{00000000-0005-0000-0000-0000605C0000}"/>
    <cellStyle name="Comma 2 5 3 2 5 3 9" xfId="30405" xr:uid="{00000000-0005-0000-0000-0000615C0000}"/>
    <cellStyle name="Comma 2 5 3 2 5 4" xfId="1410" xr:uid="{00000000-0005-0000-0000-0000625C0000}"/>
    <cellStyle name="Comma 2 5 3 2 5 4 10" xfId="33634" xr:uid="{00000000-0005-0000-0000-0000635C0000}"/>
    <cellStyle name="Comma 2 5 3 2 5 4 2" xfId="10180" xr:uid="{00000000-0005-0000-0000-0000645C0000}"/>
    <cellStyle name="Comma 2 5 3 2 5 4 2 2" xfId="25980" xr:uid="{00000000-0005-0000-0000-0000655C0000}"/>
    <cellStyle name="Comma 2 5 3 2 5 4 2 2 2" xfId="45407" xr:uid="{00000000-0005-0000-0000-0000665C0000}"/>
    <cellStyle name="Comma 2 5 3 2 5 4 2 2 3" xfId="38984" xr:uid="{00000000-0005-0000-0000-0000675C0000}"/>
    <cellStyle name="Comma 2 5 3 2 5 4 2 3" xfId="28158" xr:uid="{00000000-0005-0000-0000-0000685C0000}"/>
    <cellStyle name="Comma 2 5 3 2 5 4 2 3 2" xfId="42200" xr:uid="{00000000-0005-0000-0000-0000695C0000}"/>
    <cellStyle name="Comma 2 5 3 2 5 4 2 4" xfId="31493" xr:uid="{00000000-0005-0000-0000-00006A5C0000}"/>
    <cellStyle name="Comma 2 5 3 2 5 4 2 5" xfId="35776" xr:uid="{00000000-0005-0000-0000-00006B5C0000}"/>
    <cellStyle name="Comma 2 5 3 2 5 4 3" xfId="15871" xr:uid="{00000000-0005-0000-0000-00006C5C0000}"/>
    <cellStyle name="Comma 2 5 3 2 5 4 3 2" xfId="24886" xr:uid="{00000000-0005-0000-0000-00006D5C0000}"/>
    <cellStyle name="Comma 2 5 3 2 5 4 3 2 2" xfId="44315" xr:uid="{00000000-0005-0000-0000-00006E5C0000}"/>
    <cellStyle name="Comma 2 5 3 2 5 4 3 2 3" xfId="37892" xr:uid="{00000000-0005-0000-0000-00006F5C0000}"/>
    <cellStyle name="Comma 2 5 3 2 5 4 3 3" xfId="29207" xr:uid="{00000000-0005-0000-0000-0000705C0000}"/>
    <cellStyle name="Comma 2 5 3 2 5 4 3 3 2" xfId="41108" xr:uid="{00000000-0005-0000-0000-0000715C0000}"/>
    <cellStyle name="Comma 2 5 3 2 5 4 3 4" xfId="32542" xr:uid="{00000000-0005-0000-0000-0000725C0000}"/>
    <cellStyle name="Comma 2 5 3 2 5 4 3 5" xfId="34684" xr:uid="{00000000-0005-0000-0000-0000735C0000}"/>
    <cellStyle name="Comma 2 5 3 2 5 4 4" xfId="8689" xr:uid="{00000000-0005-0000-0000-0000745C0000}"/>
    <cellStyle name="Comma 2 5 3 2 5 4 4 2" xfId="43265" xr:uid="{00000000-0005-0000-0000-0000755C0000}"/>
    <cellStyle name="Comma 2 5 3 2 5 4 4 3" xfId="36841" xr:uid="{00000000-0005-0000-0000-0000765C0000}"/>
    <cellStyle name="Comma 2 5 3 2 5 4 5" xfId="21678" xr:uid="{00000000-0005-0000-0000-0000775C0000}"/>
    <cellStyle name="Comma 2 5 3 2 5 4 5 2" xfId="40058" xr:uid="{00000000-0005-0000-0000-0000785C0000}"/>
    <cellStyle name="Comma 2 5 3 2 5 4 6" xfId="22751" xr:uid="{00000000-0005-0000-0000-0000795C0000}"/>
    <cellStyle name="Comma 2 5 3 2 5 4 7" xfId="23836" xr:uid="{00000000-0005-0000-0000-00007A5C0000}"/>
    <cellStyle name="Comma 2 5 3 2 5 4 8" xfId="27073" xr:uid="{00000000-0005-0000-0000-00007B5C0000}"/>
    <cellStyle name="Comma 2 5 3 2 5 4 9" xfId="30406" xr:uid="{00000000-0005-0000-0000-00007C5C0000}"/>
    <cellStyle name="Comma 2 5 3 2 5 5" xfId="1411" xr:uid="{00000000-0005-0000-0000-00007D5C0000}"/>
    <cellStyle name="Comma 2 5 3 2 5 5 10" xfId="33635" xr:uid="{00000000-0005-0000-0000-00007E5C0000}"/>
    <cellStyle name="Comma 2 5 3 2 5 5 2" xfId="10181" xr:uid="{00000000-0005-0000-0000-00007F5C0000}"/>
    <cellStyle name="Comma 2 5 3 2 5 5 2 2" xfId="25981" xr:uid="{00000000-0005-0000-0000-0000805C0000}"/>
    <cellStyle name="Comma 2 5 3 2 5 5 2 2 2" xfId="45408" xr:uid="{00000000-0005-0000-0000-0000815C0000}"/>
    <cellStyle name="Comma 2 5 3 2 5 5 2 2 3" xfId="38985" xr:uid="{00000000-0005-0000-0000-0000825C0000}"/>
    <cellStyle name="Comma 2 5 3 2 5 5 2 3" xfId="28159" xr:uid="{00000000-0005-0000-0000-0000835C0000}"/>
    <cellStyle name="Comma 2 5 3 2 5 5 2 3 2" xfId="42201" xr:uid="{00000000-0005-0000-0000-0000845C0000}"/>
    <cellStyle name="Comma 2 5 3 2 5 5 2 4" xfId="31494" xr:uid="{00000000-0005-0000-0000-0000855C0000}"/>
    <cellStyle name="Comma 2 5 3 2 5 5 2 5" xfId="35777" xr:uid="{00000000-0005-0000-0000-0000865C0000}"/>
    <cellStyle name="Comma 2 5 3 2 5 5 3" xfId="15872" xr:uid="{00000000-0005-0000-0000-0000875C0000}"/>
    <cellStyle name="Comma 2 5 3 2 5 5 3 2" xfId="24887" xr:uid="{00000000-0005-0000-0000-0000885C0000}"/>
    <cellStyle name="Comma 2 5 3 2 5 5 3 2 2" xfId="44316" xr:uid="{00000000-0005-0000-0000-0000895C0000}"/>
    <cellStyle name="Comma 2 5 3 2 5 5 3 2 3" xfId="37893" xr:uid="{00000000-0005-0000-0000-00008A5C0000}"/>
    <cellStyle name="Comma 2 5 3 2 5 5 3 3" xfId="29208" xr:uid="{00000000-0005-0000-0000-00008B5C0000}"/>
    <cellStyle name="Comma 2 5 3 2 5 5 3 3 2" xfId="41109" xr:uid="{00000000-0005-0000-0000-00008C5C0000}"/>
    <cellStyle name="Comma 2 5 3 2 5 5 3 4" xfId="32543" xr:uid="{00000000-0005-0000-0000-00008D5C0000}"/>
    <cellStyle name="Comma 2 5 3 2 5 5 3 5" xfId="34685" xr:uid="{00000000-0005-0000-0000-00008E5C0000}"/>
    <cellStyle name="Comma 2 5 3 2 5 5 4" xfId="8690" xr:uid="{00000000-0005-0000-0000-00008F5C0000}"/>
    <cellStyle name="Comma 2 5 3 2 5 5 4 2" xfId="43266" xr:uid="{00000000-0005-0000-0000-0000905C0000}"/>
    <cellStyle name="Comma 2 5 3 2 5 5 4 3" xfId="36842" xr:uid="{00000000-0005-0000-0000-0000915C0000}"/>
    <cellStyle name="Comma 2 5 3 2 5 5 5" xfId="21679" xr:uid="{00000000-0005-0000-0000-0000925C0000}"/>
    <cellStyle name="Comma 2 5 3 2 5 5 5 2" xfId="40059" xr:uid="{00000000-0005-0000-0000-0000935C0000}"/>
    <cellStyle name="Comma 2 5 3 2 5 5 6" xfId="22752" xr:uid="{00000000-0005-0000-0000-0000945C0000}"/>
    <cellStyle name="Comma 2 5 3 2 5 5 7" xfId="23837" xr:uid="{00000000-0005-0000-0000-0000955C0000}"/>
    <cellStyle name="Comma 2 5 3 2 5 5 8" xfId="27074" xr:uid="{00000000-0005-0000-0000-0000965C0000}"/>
    <cellStyle name="Comma 2 5 3 2 5 5 9" xfId="30407" xr:uid="{00000000-0005-0000-0000-0000975C0000}"/>
    <cellStyle name="Comma 2 5 3 2 5 6" xfId="10177" xr:uid="{00000000-0005-0000-0000-0000985C0000}"/>
    <cellStyle name="Comma 2 5 3 2 5 6 2" xfId="25977" xr:uid="{00000000-0005-0000-0000-0000995C0000}"/>
    <cellStyle name="Comma 2 5 3 2 5 6 2 2" xfId="45404" xr:uid="{00000000-0005-0000-0000-00009A5C0000}"/>
    <cellStyle name="Comma 2 5 3 2 5 6 2 3" xfId="38981" xr:uid="{00000000-0005-0000-0000-00009B5C0000}"/>
    <cellStyle name="Comma 2 5 3 2 5 6 3" xfId="28155" xr:uid="{00000000-0005-0000-0000-00009C5C0000}"/>
    <cellStyle name="Comma 2 5 3 2 5 6 3 2" xfId="42197" xr:uid="{00000000-0005-0000-0000-00009D5C0000}"/>
    <cellStyle name="Comma 2 5 3 2 5 6 4" xfId="31490" xr:uid="{00000000-0005-0000-0000-00009E5C0000}"/>
    <cellStyle name="Comma 2 5 3 2 5 6 5" xfId="35773" xr:uid="{00000000-0005-0000-0000-00009F5C0000}"/>
    <cellStyle name="Comma 2 5 3 2 5 7" xfId="15868" xr:uid="{00000000-0005-0000-0000-0000A05C0000}"/>
    <cellStyle name="Comma 2 5 3 2 5 7 2" xfId="24883" xr:uid="{00000000-0005-0000-0000-0000A15C0000}"/>
    <cellStyle name="Comma 2 5 3 2 5 7 2 2" xfId="44312" xr:uid="{00000000-0005-0000-0000-0000A25C0000}"/>
    <cellStyle name="Comma 2 5 3 2 5 7 2 3" xfId="37889" xr:uid="{00000000-0005-0000-0000-0000A35C0000}"/>
    <cellStyle name="Comma 2 5 3 2 5 7 3" xfId="29204" xr:uid="{00000000-0005-0000-0000-0000A45C0000}"/>
    <cellStyle name="Comma 2 5 3 2 5 7 3 2" xfId="41105" xr:uid="{00000000-0005-0000-0000-0000A55C0000}"/>
    <cellStyle name="Comma 2 5 3 2 5 7 4" xfId="32539" xr:uid="{00000000-0005-0000-0000-0000A65C0000}"/>
    <cellStyle name="Comma 2 5 3 2 5 7 5" xfId="34681" xr:uid="{00000000-0005-0000-0000-0000A75C0000}"/>
    <cellStyle name="Comma 2 5 3 2 5 8" xfId="8686" xr:uid="{00000000-0005-0000-0000-0000A85C0000}"/>
    <cellStyle name="Comma 2 5 3 2 5 8 2" xfId="43262" xr:uid="{00000000-0005-0000-0000-0000A95C0000}"/>
    <cellStyle name="Comma 2 5 3 2 5 8 3" xfId="36838" xr:uid="{00000000-0005-0000-0000-0000AA5C0000}"/>
    <cellStyle name="Comma 2 5 3 2 5 9" xfId="21675" xr:uid="{00000000-0005-0000-0000-0000AB5C0000}"/>
    <cellStyle name="Comma 2 5 3 2 5 9 2" xfId="40055" xr:uid="{00000000-0005-0000-0000-0000AC5C0000}"/>
    <cellStyle name="Comma 2 5 3 2 6" xfId="1412" xr:uid="{00000000-0005-0000-0000-0000AD5C0000}"/>
    <cellStyle name="Comma 2 5 3 2 6 10" xfId="33636" xr:uid="{00000000-0005-0000-0000-0000AE5C0000}"/>
    <cellStyle name="Comma 2 5 3 2 6 2" xfId="10182" xr:uid="{00000000-0005-0000-0000-0000AF5C0000}"/>
    <cellStyle name="Comma 2 5 3 2 6 2 2" xfId="25982" xr:uid="{00000000-0005-0000-0000-0000B05C0000}"/>
    <cellStyle name="Comma 2 5 3 2 6 2 2 2" xfId="45409" xr:uid="{00000000-0005-0000-0000-0000B15C0000}"/>
    <cellStyle name="Comma 2 5 3 2 6 2 2 3" xfId="38986" xr:uid="{00000000-0005-0000-0000-0000B25C0000}"/>
    <cellStyle name="Comma 2 5 3 2 6 2 3" xfId="28160" xr:uid="{00000000-0005-0000-0000-0000B35C0000}"/>
    <cellStyle name="Comma 2 5 3 2 6 2 3 2" xfId="42202" xr:uid="{00000000-0005-0000-0000-0000B45C0000}"/>
    <cellStyle name="Comma 2 5 3 2 6 2 4" xfId="31495" xr:uid="{00000000-0005-0000-0000-0000B55C0000}"/>
    <cellStyle name="Comma 2 5 3 2 6 2 5" xfId="35778" xr:uid="{00000000-0005-0000-0000-0000B65C0000}"/>
    <cellStyle name="Comma 2 5 3 2 6 3" xfId="15873" xr:uid="{00000000-0005-0000-0000-0000B75C0000}"/>
    <cellStyle name="Comma 2 5 3 2 6 3 2" xfId="24888" xr:uid="{00000000-0005-0000-0000-0000B85C0000}"/>
    <cellStyle name="Comma 2 5 3 2 6 3 2 2" xfId="44317" xr:uid="{00000000-0005-0000-0000-0000B95C0000}"/>
    <cellStyle name="Comma 2 5 3 2 6 3 2 3" xfId="37894" xr:uid="{00000000-0005-0000-0000-0000BA5C0000}"/>
    <cellStyle name="Comma 2 5 3 2 6 3 3" xfId="29209" xr:uid="{00000000-0005-0000-0000-0000BB5C0000}"/>
    <cellStyle name="Comma 2 5 3 2 6 3 3 2" xfId="41110" xr:uid="{00000000-0005-0000-0000-0000BC5C0000}"/>
    <cellStyle name="Comma 2 5 3 2 6 3 4" xfId="32544" xr:uid="{00000000-0005-0000-0000-0000BD5C0000}"/>
    <cellStyle name="Comma 2 5 3 2 6 3 5" xfId="34686" xr:uid="{00000000-0005-0000-0000-0000BE5C0000}"/>
    <cellStyle name="Comma 2 5 3 2 6 4" xfId="8691" xr:uid="{00000000-0005-0000-0000-0000BF5C0000}"/>
    <cellStyle name="Comma 2 5 3 2 6 4 2" xfId="43267" xr:uid="{00000000-0005-0000-0000-0000C05C0000}"/>
    <cellStyle name="Comma 2 5 3 2 6 4 3" xfId="36843" xr:uid="{00000000-0005-0000-0000-0000C15C0000}"/>
    <cellStyle name="Comma 2 5 3 2 6 5" xfId="21680" xr:uid="{00000000-0005-0000-0000-0000C25C0000}"/>
    <cellStyle name="Comma 2 5 3 2 6 5 2" xfId="40060" xr:uid="{00000000-0005-0000-0000-0000C35C0000}"/>
    <cellStyle name="Comma 2 5 3 2 6 6" xfId="22753" xr:uid="{00000000-0005-0000-0000-0000C45C0000}"/>
    <cellStyle name="Comma 2 5 3 2 6 7" xfId="23838" xr:uid="{00000000-0005-0000-0000-0000C55C0000}"/>
    <cellStyle name="Comma 2 5 3 2 6 8" xfId="27075" xr:uid="{00000000-0005-0000-0000-0000C65C0000}"/>
    <cellStyle name="Comma 2 5 3 2 6 9" xfId="30408" xr:uid="{00000000-0005-0000-0000-0000C75C0000}"/>
    <cellStyle name="Comma 2 5 3 2 7" xfId="1413" xr:uid="{00000000-0005-0000-0000-0000C85C0000}"/>
    <cellStyle name="Comma 2 5 3 2 7 10" xfId="33637" xr:uid="{00000000-0005-0000-0000-0000C95C0000}"/>
    <cellStyle name="Comma 2 5 3 2 7 2" xfId="10183" xr:uid="{00000000-0005-0000-0000-0000CA5C0000}"/>
    <cellStyle name="Comma 2 5 3 2 7 2 2" xfId="25983" xr:uid="{00000000-0005-0000-0000-0000CB5C0000}"/>
    <cellStyle name="Comma 2 5 3 2 7 2 2 2" xfId="45410" xr:uid="{00000000-0005-0000-0000-0000CC5C0000}"/>
    <cellStyle name="Comma 2 5 3 2 7 2 2 3" xfId="38987" xr:uid="{00000000-0005-0000-0000-0000CD5C0000}"/>
    <cellStyle name="Comma 2 5 3 2 7 2 3" xfId="28161" xr:uid="{00000000-0005-0000-0000-0000CE5C0000}"/>
    <cellStyle name="Comma 2 5 3 2 7 2 3 2" xfId="42203" xr:uid="{00000000-0005-0000-0000-0000CF5C0000}"/>
    <cellStyle name="Comma 2 5 3 2 7 2 4" xfId="31496" xr:uid="{00000000-0005-0000-0000-0000D05C0000}"/>
    <cellStyle name="Comma 2 5 3 2 7 2 5" xfId="35779" xr:uid="{00000000-0005-0000-0000-0000D15C0000}"/>
    <cellStyle name="Comma 2 5 3 2 7 3" xfId="15874" xr:uid="{00000000-0005-0000-0000-0000D25C0000}"/>
    <cellStyle name="Comma 2 5 3 2 7 3 2" xfId="24889" xr:uid="{00000000-0005-0000-0000-0000D35C0000}"/>
    <cellStyle name="Comma 2 5 3 2 7 3 2 2" xfId="44318" xr:uid="{00000000-0005-0000-0000-0000D45C0000}"/>
    <cellStyle name="Comma 2 5 3 2 7 3 2 3" xfId="37895" xr:uid="{00000000-0005-0000-0000-0000D55C0000}"/>
    <cellStyle name="Comma 2 5 3 2 7 3 3" xfId="29210" xr:uid="{00000000-0005-0000-0000-0000D65C0000}"/>
    <cellStyle name="Comma 2 5 3 2 7 3 3 2" xfId="41111" xr:uid="{00000000-0005-0000-0000-0000D75C0000}"/>
    <cellStyle name="Comma 2 5 3 2 7 3 4" xfId="32545" xr:uid="{00000000-0005-0000-0000-0000D85C0000}"/>
    <cellStyle name="Comma 2 5 3 2 7 3 5" xfId="34687" xr:uid="{00000000-0005-0000-0000-0000D95C0000}"/>
    <cellStyle name="Comma 2 5 3 2 7 4" xfId="8692" xr:uid="{00000000-0005-0000-0000-0000DA5C0000}"/>
    <cellStyle name="Comma 2 5 3 2 7 4 2" xfId="43268" xr:uid="{00000000-0005-0000-0000-0000DB5C0000}"/>
    <cellStyle name="Comma 2 5 3 2 7 4 3" xfId="36844" xr:uid="{00000000-0005-0000-0000-0000DC5C0000}"/>
    <cellStyle name="Comma 2 5 3 2 7 5" xfId="21681" xr:uid="{00000000-0005-0000-0000-0000DD5C0000}"/>
    <cellStyle name="Comma 2 5 3 2 7 5 2" xfId="40061" xr:uid="{00000000-0005-0000-0000-0000DE5C0000}"/>
    <cellStyle name="Comma 2 5 3 2 7 6" xfId="22754" xr:uid="{00000000-0005-0000-0000-0000DF5C0000}"/>
    <cellStyle name="Comma 2 5 3 2 7 7" xfId="23839" xr:uid="{00000000-0005-0000-0000-0000E05C0000}"/>
    <cellStyle name="Comma 2 5 3 2 7 8" xfId="27076" xr:uid="{00000000-0005-0000-0000-0000E15C0000}"/>
    <cellStyle name="Comma 2 5 3 2 7 9" xfId="30409" xr:uid="{00000000-0005-0000-0000-0000E25C0000}"/>
    <cellStyle name="Comma 2 5 3 2 8" xfId="1414" xr:uid="{00000000-0005-0000-0000-0000E35C0000}"/>
    <cellStyle name="Comma 2 5 3 2 8 10" xfId="33638" xr:uid="{00000000-0005-0000-0000-0000E45C0000}"/>
    <cellStyle name="Comma 2 5 3 2 8 2" xfId="10184" xr:uid="{00000000-0005-0000-0000-0000E55C0000}"/>
    <cellStyle name="Comma 2 5 3 2 8 2 2" xfId="25984" xr:uid="{00000000-0005-0000-0000-0000E65C0000}"/>
    <cellStyle name="Comma 2 5 3 2 8 2 2 2" xfId="45411" xr:uid="{00000000-0005-0000-0000-0000E75C0000}"/>
    <cellStyle name="Comma 2 5 3 2 8 2 2 3" xfId="38988" xr:uid="{00000000-0005-0000-0000-0000E85C0000}"/>
    <cellStyle name="Comma 2 5 3 2 8 2 3" xfId="28162" xr:uid="{00000000-0005-0000-0000-0000E95C0000}"/>
    <cellStyle name="Comma 2 5 3 2 8 2 3 2" xfId="42204" xr:uid="{00000000-0005-0000-0000-0000EA5C0000}"/>
    <cellStyle name="Comma 2 5 3 2 8 2 4" xfId="31497" xr:uid="{00000000-0005-0000-0000-0000EB5C0000}"/>
    <cellStyle name="Comma 2 5 3 2 8 2 5" xfId="35780" xr:uid="{00000000-0005-0000-0000-0000EC5C0000}"/>
    <cellStyle name="Comma 2 5 3 2 8 3" xfId="15875" xr:uid="{00000000-0005-0000-0000-0000ED5C0000}"/>
    <cellStyle name="Comma 2 5 3 2 8 3 2" xfId="24890" xr:uid="{00000000-0005-0000-0000-0000EE5C0000}"/>
    <cellStyle name="Comma 2 5 3 2 8 3 2 2" xfId="44319" xr:uid="{00000000-0005-0000-0000-0000EF5C0000}"/>
    <cellStyle name="Comma 2 5 3 2 8 3 2 3" xfId="37896" xr:uid="{00000000-0005-0000-0000-0000F05C0000}"/>
    <cellStyle name="Comma 2 5 3 2 8 3 3" xfId="29211" xr:uid="{00000000-0005-0000-0000-0000F15C0000}"/>
    <cellStyle name="Comma 2 5 3 2 8 3 3 2" xfId="41112" xr:uid="{00000000-0005-0000-0000-0000F25C0000}"/>
    <cellStyle name="Comma 2 5 3 2 8 3 4" xfId="32546" xr:uid="{00000000-0005-0000-0000-0000F35C0000}"/>
    <cellStyle name="Comma 2 5 3 2 8 3 5" xfId="34688" xr:uid="{00000000-0005-0000-0000-0000F45C0000}"/>
    <cellStyle name="Comma 2 5 3 2 8 4" xfId="8693" xr:uid="{00000000-0005-0000-0000-0000F55C0000}"/>
    <cellStyle name="Comma 2 5 3 2 8 4 2" xfId="43269" xr:uid="{00000000-0005-0000-0000-0000F65C0000}"/>
    <cellStyle name="Comma 2 5 3 2 8 4 3" xfId="36845" xr:uid="{00000000-0005-0000-0000-0000F75C0000}"/>
    <cellStyle name="Comma 2 5 3 2 8 5" xfId="21682" xr:uid="{00000000-0005-0000-0000-0000F85C0000}"/>
    <cellStyle name="Comma 2 5 3 2 8 5 2" xfId="40062" xr:uid="{00000000-0005-0000-0000-0000F95C0000}"/>
    <cellStyle name="Comma 2 5 3 2 8 6" xfId="22755" xr:uid="{00000000-0005-0000-0000-0000FA5C0000}"/>
    <cellStyle name="Comma 2 5 3 2 8 7" xfId="23840" xr:uid="{00000000-0005-0000-0000-0000FB5C0000}"/>
    <cellStyle name="Comma 2 5 3 2 8 8" xfId="27077" xr:uid="{00000000-0005-0000-0000-0000FC5C0000}"/>
    <cellStyle name="Comma 2 5 3 2 8 9" xfId="30410" xr:uid="{00000000-0005-0000-0000-0000FD5C0000}"/>
    <cellStyle name="Comma 2 5 3 2 9" xfId="1415" xr:uid="{00000000-0005-0000-0000-0000FE5C0000}"/>
    <cellStyle name="Comma 2 5 3 2 9 10" xfId="33639" xr:uid="{00000000-0005-0000-0000-0000FF5C0000}"/>
    <cellStyle name="Comma 2 5 3 2 9 2" xfId="10185" xr:uid="{00000000-0005-0000-0000-0000005D0000}"/>
    <cellStyle name="Comma 2 5 3 2 9 2 2" xfId="25985" xr:uid="{00000000-0005-0000-0000-0000015D0000}"/>
    <cellStyle name="Comma 2 5 3 2 9 2 2 2" xfId="45412" xr:uid="{00000000-0005-0000-0000-0000025D0000}"/>
    <cellStyle name="Comma 2 5 3 2 9 2 2 3" xfId="38989" xr:uid="{00000000-0005-0000-0000-0000035D0000}"/>
    <cellStyle name="Comma 2 5 3 2 9 2 3" xfId="28163" xr:uid="{00000000-0005-0000-0000-0000045D0000}"/>
    <cellStyle name="Comma 2 5 3 2 9 2 3 2" xfId="42205" xr:uid="{00000000-0005-0000-0000-0000055D0000}"/>
    <cellStyle name="Comma 2 5 3 2 9 2 4" xfId="31498" xr:uid="{00000000-0005-0000-0000-0000065D0000}"/>
    <cellStyle name="Comma 2 5 3 2 9 2 5" xfId="35781" xr:uid="{00000000-0005-0000-0000-0000075D0000}"/>
    <cellStyle name="Comma 2 5 3 2 9 3" xfId="15876" xr:uid="{00000000-0005-0000-0000-0000085D0000}"/>
    <cellStyle name="Comma 2 5 3 2 9 3 2" xfId="24891" xr:uid="{00000000-0005-0000-0000-0000095D0000}"/>
    <cellStyle name="Comma 2 5 3 2 9 3 2 2" xfId="44320" xr:uid="{00000000-0005-0000-0000-00000A5D0000}"/>
    <cellStyle name="Comma 2 5 3 2 9 3 2 3" xfId="37897" xr:uid="{00000000-0005-0000-0000-00000B5D0000}"/>
    <cellStyle name="Comma 2 5 3 2 9 3 3" xfId="29212" xr:uid="{00000000-0005-0000-0000-00000C5D0000}"/>
    <cellStyle name="Comma 2 5 3 2 9 3 3 2" xfId="41113" xr:uid="{00000000-0005-0000-0000-00000D5D0000}"/>
    <cellStyle name="Comma 2 5 3 2 9 3 4" xfId="32547" xr:uid="{00000000-0005-0000-0000-00000E5D0000}"/>
    <cellStyle name="Comma 2 5 3 2 9 3 5" xfId="34689" xr:uid="{00000000-0005-0000-0000-00000F5D0000}"/>
    <cellStyle name="Comma 2 5 3 2 9 4" xfId="8694" xr:uid="{00000000-0005-0000-0000-0000105D0000}"/>
    <cellStyle name="Comma 2 5 3 2 9 4 2" xfId="43270" xr:uid="{00000000-0005-0000-0000-0000115D0000}"/>
    <cellStyle name="Comma 2 5 3 2 9 4 3" xfId="36846" xr:uid="{00000000-0005-0000-0000-0000125D0000}"/>
    <cellStyle name="Comma 2 5 3 2 9 5" xfId="21683" xr:uid="{00000000-0005-0000-0000-0000135D0000}"/>
    <cellStyle name="Comma 2 5 3 2 9 5 2" xfId="40063" xr:uid="{00000000-0005-0000-0000-0000145D0000}"/>
    <cellStyle name="Comma 2 5 3 2 9 6" xfId="22756" xr:uid="{00000000-0005-0000-0000-0000155D0000}"/>
    <cellStyle name="Comma 2 5 3 2 9 7" xfId="23841" xr:uid="{00000000-0005-0000-0000-0000165D0000}"/>
    <cellStyle name="Comma 2 5 3 2 9 8" xfId="27078" xr:uid="{00000000-0005-0000-0000-0000175D0000}"/>
    <cellStyle name="Comma 2 5 3 2 9 9" xfId="30411" xr:uid="{00000000-0005-0000-0000-0000185D0000}"/>
    <cellStyle name="Comma 2 5 3 20" xfId="32854" xr:uid="{00000000-0005-0000-0000-0000195D0000}"/>
    <cellStyle name="Comma 2 5 3 3" xfId="290" xr:uid="{00000000-0005-0000-0000-00001A5D0000}"/>
    <cellStyle name="Comma 2 5 3 3 10" xfId="15877" xr:uid="{00000000-0005-0000-0000-00001B5D0000}"/>
    <cellStyle name="Comma 2 5 3 3 10 2" xfId="24892" xr:uid="{00000000-0005-0000-0000-00001C5D0000}"/>
    <cellStyle name="Comma 2 5 3 3 10 2 2" xfId="44321" xr:uid="{00000000-0005-0000-0000-00001D5D0000}"/>
    <cellStyle name="Comma 2 5 3 3 10 2 3" xfId="37898" xr:uid="{00000000-0005-0000-0000-00001E5D0000}"/>
    <cellStyle name="Comma 2 5 3 3 10 3" xfId="29213" xr:uid="{00000000-0005-0000-0000-00001F5D0000}"/>
    <cellStyle name="Comma 2 5 3 3 10 3 2" xfId="41114" xr:uid="{00000000-0005-0000-0000-0000205D0000}"/>
    <cellStyle name="Comma 2 5 3 3 10 4" xfId="32548" xr:uid="{00000000-0005-0000-0000-0000215D0000}"/>
    <cellStyle name="Comma 2 5 3 3 10 5" xfId="34690" xr:uid="{00000000-0005-0000-0000-0000225D0000}"/>
    <cellStyle name="Comma 2 5 3 3 11" xfId="8695" xr:uid="{00000000-0005-0000-0000-0000235D0000}"/>
    <cellStyle name="Comma 2 5 3 3 11 2" xfId="42490" xr:uid="{00000000-0005-0000-0000-0000245D0000}"/>
    <cellStyle name="Comma 2 5 3 3 11 3" xfId="36066" xr:uid="{00000000-0005-0000-0000-0000255D0000}"/>
    <cellStyle name="Comma 2 5 3 3 12" xfId="21684" xr:uid="{00000000-0005-0000-0000-0000265D0000}"/>
    <cellStyle name="Comma 2 5 3 3 12 2" xfId="39283" xr:uid="{00000000-0005-0000-0000-0000275D0000}"/>
    <cellStyle name="Comma 2 5 3 3 13" xfId="22757" xr:uid="{00000000-0005-0000-0000-0000285D0000}"/>
    <cellStyle name="Comma 2 5 3 3 14" xfId="23061" xr:uid="{00000000-0005-0000-0000-0000295D0000}"/>
    <cellStyle name="Comma 2 5 3 3 15" xfId="27079" xr:uid="{00000000-0005-0000-0000-00002A5D0000}"/>
    <cellStyle name="Comma 2 5 3 3 16" xfId="30412" xr:uid="{00000000-0005-0000-0000-00002B5D0000}"/>
    <cellStyle name="Comma 2 5 3 3 17" xfId="32859" xr:uid="{00000000-0005-0000-0000-00002C5D0000}"/>
    <cellStyle name="Comma 2 5 3 3 2" xfId="291" xr:uid="{00000000-0005-0000-0000-00002D5D0000}"/>
    <cellStyle name="Comma 2 5 3 3 2 10" xfId="21685" xr:uid="{00000000-0005-0000-0000-00002E5D0000}"/>
    <cellStyle name="Comma 2 5 3 3 2 10 2" xfId="39284" xr:uid="{00000000-0005-0000-0000-00002F5D0000}"/>
    <cellStyle name="Comma 2 5 3 3 2 11" xfId="22758" xr:uid="{00000000-0005-0000-0000-0000305D0000}"/>
    <cellStyle name="Comma 2 5 3 3 2 12" xfId="23062" xr:uid="{00000000-0005-0000-0000-0000315D0000}"/>
    <cellStyle name="Comma 2 5 3 3 2 13" xfId="27080" xr:uid="{00000000-0005-0000-0000-0000325D0000}"/>
    <cellStyle name="Comma 2 5 3 3 2 14" xfId="30413" xr:uid="{00000000-0005-0000-0000-0000335D0000}"/>
    <cellStyle name="Comma 2 5 3 3 2 15" xfId="32860" xr:uid="{00000000-0005-0000-0000-0000345D0000}"/>
    <cellStyle name="Comma 2 5 3 3 2 2" xfId="1416" xr:uid="{00000000-0005-0000-0000-0000355D0000}"/>
    <cellStyle name="Comma 2 5 3 3 2 2 10" xfId="33640" xr:uid="{00000000-0005-0000-0000-0000365D0000}"/>
    <cellStyle name="Comma 2 5 3 3 2 2 2" xfId="10186" xr:uid="{00000000-0005-0000-0000-0000375D0000}"/>
    <cellStyle name="Comma 2 5 3 3 2 2 2 2" xfId="25986" xr:uid="{00000000-0005-0000-0000-0000385D0000}"/>
    <cellStyle name="Comma 2 5 3 3 2 2 2 2 2" xfId="45413" xr:uid="{00000000-0005-0000-0000-0000395D0000}"/>
    <cellStyle name="Comma 2 5 3 3 2 2 2 2 3" xfId="38990" xr:uid="{00000000-0005-0000-0000-00003A5D0000}"/>
    <cellStyle name="Comma 2 5 3 3 2 2 2 3" xfId="28164" xr:uid="{00000000-0005-0000-0000-00003B5D0000}"/>
    <cellStyle name="Comma 2 5 3 3 2 2 2 3 2" xfId="42206" xr:uid="{00000000-0005-0000-0000-00003C5D0000}"/>
    <cellStyle name="Comma 2 5 3 3 2 2 2 4" xfId="31499" xr:uid="{00000000-0005-0000-0000-00003D5D0000}"/>
    <cellStyle name="Comma 2 5 3 3 2 2 2 5" xfId="35782" xr:uid="{00000000-0005-0000-0000-00003E5D0000}"/>
    <cellStyle name="Comma 2 5 3 3 2 2 3" xfId="15879" xr:uid="{00000000-0005-0000-0000-00003F5D0000}"/>
    <cellStyle name="Comma 2 5 3 3 2 2 3 2" xfId="24894" xr:uid="{00000000-0005-0000-0000-0000405D0000}"/>
    <cellStyle name="Comma 2 5 3 3 2 2 3 2 2" xfId="44323" xr:uid="{00000000-0005-0000-0000-0000415D0000}"/>
    <cellStyle name="Comma 2 5 3 3 2 2 3 2 3" xfId="37900" xr:uid="{00000000-0005-0000-0000-0000425D0000}"/>
    <cellStyle name="Comma 2 5 3 3 2 2 3 3" xfId="29215" xr:uid="{00000000-0005-0000-0000-0000435D0000}"/>
    <cellStyle name="Comma 2 5 3 3 2 2 3 3 2" xfId="41116" xr:uid="{00000000-0005-0000-0000-0000445D0000}"/>
    <cellStyle name="Comma 2 5 3 3 2 2 3 4" xfId="32550" xr:uid="{00000000-0005-0000-0000-0000455D0000}"/>
    <cellStyle name="Comma 2 5 3 3 2 2 3 5" xfId="34692" xr:uid="{00000000-0005-0000-0000-0000465D0000}"/>
    <cellStyle name="Comma 2 5 3 3 2 2 4" xfId="8697" xr:uid="{00000000-0005-0000-0000-0000475D0000}"/>
    <cellStyle name="Comma 2 5 3 3 2 2 4 2" xfId="43271" xr:uid="{00000000-0005-0000-0000-0000485D0000}"/>
    <cellStyle name="Comma 2 5 3 3 2 2 4 3" xfId="36847" xr:uid="{00000000-0005-0000-0000-0000495D0000}"/>
    <cellStyle name="Comma 2 5 3 3 2 2 5" xfId="21686" xr:uid="{00000000-0005-0000-0000-00004A5D0000}"/>
    <cellStyle name="Comma 2 5 3 3 2 2 5 2" xfId="40064" xr:uid="{00000000-0005-0000-0000-00004B5D0000}"/>
    <cellStyle name="Comma 2 5 3 3 2 2 6" xfId="22759" xr:uid="{00000000-0005-0000-0000-00004C5D0000}"/>
    <cellStyle name="Comma 2 5 3 3 2 2 7" xfId="23842" xr:uid="{00000000-0005-0000-0000-00004D5D0000}"/>
    <cellStyle name="Comma 2 5 3 3 2 2 8" xfId="27081" xr:uid="{00000000-0005-0000-0000-00004E5D0000}"/>
    <cellStyle name="Comma 2 5 3 3 2 2 9" xfId="30414" xr:uid="{00000000-0005-0000-0000-00004F5D0000}"/>
    <cellStyle name="Comma 2 5 3 3 2 3" xfId="1417" xr:uid="{00000000-0005-0000-0000-0000505D0000}"/>
    <cellStyle name="Comma 2 5 3 3 2 3 10" xfId="33641" xr:uid="{00000000-0005-0000-0000-0000515D0000}"/>
    <cellStyle name="Comma 2 5 3 3 2 3 2" xfId="10187" xr:uid="{00000000-0005-0000-0000-0000525D0000}"/>
    <cellStyle name="Comma 2 5 3 3 2 3 2 2" xfId="25987" xr:uid="{00000000-0005-0000-0000-0000535D0000}"/>
    <cellStyle name="Comma 2 5 3 3 2 3 2 2 2" xfId="45414" xr:uid="{00000000-0005-0000-0000-0000545D0000}"/>
    <cellStyle name="Comma 2 5 3 3 2 3 2 2 3" xfId="38991" xr:uid="{00000000-0005-0000-0000-0000555D0000}"/>
    <cellStyle name="Comma 2 5 3 3 2 3 2 3" xfId="28165" xr:uid="{00000000-0005-0000-0000-0000565D0000}"/>
    <cellStyle name="Comma 2 5 3 3 2 3 2 3 2" xfId="42207" xr:uid="{00000000-0005-0000-0000-0000575D0000}"/>
    <cellStyle name="Comma 2 5 3 3 2 3 2 4" xfId="31500" xr:uid="{00000000-0005-0000-0000-0000585D0000}"/>
    <cellStyle name="Comma 2 5 3 3 2 3 2 5" xfId="35783" xr:uid="{00000000-0005-0000-0000-0000595D0000}"/>
    <cellStyle name="Comma 2 5 3 3 2 3 3" xfId="15880" xr:uid="{00000000-0005-0000-0000-00005A5D0000}"/>
    <cellStyle name="Comma 2 5 3 3 2 3 3 2" xfId="24895" xr:uid="{00000000-0005-0000-0000-00005B5D0000}"/>
    <cellStyle name="Comma 2 5 3 3 2 3 3 2 2" xfId="44324" xr:uid="{00000000-0005-0000-0000-00005C5D0000}"/>
    <cellStyle name="Comma 2 5 3 3 2 3 3 2 3" xfId="37901" xr:uid="{00000000-0005-0000-0000-00005D5D0000}"/>
    <cellStyle name="Comma 2 5 3 3 2 3 3 3" xfId="29216" xr:uid="{00000000-0005-0000-0000-00005E5D0000}"/>
    <cellStyle name="Comma 2 5 3 3 2 3 3 3 2" xfId="41117" xr:uid="{00000000-0005-0000-0000-00005F5D0000}"/>
    <cellStyle name="Comma 2 5 3 3 2 3 3 4" xfId="32551" xr:uid="{00000000-0005-0000-0000-0000605D0000}"/>
    <cellStyle name="Comma 2 5 3 3 2 3 3 5" xfId="34693" xr:uid="{00000000-0005-0000-0000-0000615D0000}"/>
    <cellStyle name="Comma 2 5 3 3 2 3 4" xfId="8698" xr:uid="{00000000-0005-0000-0000-0000625D0000}"/>
    <cellStyle name="Comma 2 5 3 3 2 3 4 2" xfId="43272" xr:uid="{00000000-0005-0000-0000-0000635D0000}"/>
    <cellStyle name="Comma 2 5 3 3 2 3 4 3" xfId="36848" xr:uid="{00000000-0005-0000-0000-0000645D0000}"/>
    <cellStyle name="Comma 2 5 3 3 2 3 5" xfId="21687" xr:uid="{00000000-0005-0000-0000-0000655D0000}"/>
    <cellStyle name="Comma 2 5 3 3 2 3 5 2" xfId="40065" xr:uid="{00000000-0005-0000-0000-0000665D0000}"/>
    <cellStyle name="Comma 2 5 3 3 2 3 6" xfId="22760" xr:uid="{00000000-0005-0000-0000-0000675D0000}"/>
    <cellStyle name="Comma 2 5 3 3 2 3 7" xfId="23843" xr:uid="{00000000-0005-0000-0000-0000685D0000}"/>
    <cellStyle name="Comma 2 5 3 3 2 3 8" xfId="27082" xr:uid="{00000000-0005-0000-0000-0000695D0000}"/>
    <cellStyle name="Comma 2 5 3 3 2 3 9" xfId="30415" xr:uid="{00000000-0005-0000-0000-00006A5D0000}"/>
    <cellStyle name="Comma 2 5 3 3 2 4" xfId="1418" xr:uid="{00000000-0005-0000-0000-00006B5D0000}"/>
    <cellStyle name="Comma 2 5 3 3 2 4 10" xfId="33642" xr:uid="{00000000-0005-0000-0000-00006C5D0000}"/>
    <cellStyle name="Comma 2 5 3 3 2 4 2" xfId="10188" xr:uid="{00000000-0005-0000-0000-00006D5D0000}"/>
    <cellStyle name="Comma 2 5 3 3 2 4 2 2" xfId="25988" xr:uid="{00000000-0005-0000-0000-00006E5D0000}"/>
    <cellStyle name="Comma 2 5 3 3 2 4 2 2 2" xfId="45415" xr:uid="{00000000-0005-0000-0000-00006F5D0000}"/>
    <cellStyle name="Comma 2 5 3 3 2 4 2 2 3" xfId="38992" xr:uid="{00000000-0005-0000-0000-0000705D0000}"/>
    <cellStyle name="Comma 2 5 3 3 2 4 2 3" xfId="28166" xr:uid="{00000000-0005-0000-0000-0000715D0000}"/>
    <cellStyle name="Comma 2 5 3 3 2 4 2 3 2" xfId="42208" xr:uid="{00000000-0005-0000-0000-0000725D0000}"/>
    <cellStyle name="Comma 2 5 3 3 2 4 2 4" xfId="31501" xr:uid="{00000000-0005-0000-0000-0000735D0000}"/>
    <cellStyle name="Comma 2 5 3 3 2 4 2 5" xfId="35784" xr:uid="{00000000-0005-0000-0000-0000745D0000}"/>
    <cellStyle name="Comma 2 5 3 3 2 4 3" xfId="15881" xr:uid="{00000000-0005-0000-0000-0000755D0000}"/>
    <cellStyle name="Comma 2 5 3 3 2 4 3 2" xfId="24896" xr:uid="{00000000-0005-0000-0000-0000765D0000}"/>
    <cellStyle name="Comma 2 5 3 3 2 4 3 2 2" xfId="44325" xr:uid="{00000000-0005-0000-0000-0000775D0000}"/>
    <cellStyle name="Comma 2 5 3 3 2 4 3 2 3" xfId="37902" xr:uid="{00000000-0005-0000-0000-0000785D0000}"/>
    <cellStyle name="Comma 2 5 3 3 2 4 3 3" xfId="29217" xr:uid="{00000000-0005-0000-0000-0000795D0000}"/>
    <cellStyle name="Comma 2 5 3 3 2 4 3 3 2" xfId="41118" xr:uid="{00000000-0005-0000-0000-00007A5D0000}"/>
    <cellStyle name="Comma 2 5 3 3 2 4 3 4" xfId="32552" xr:uid="{00000000-0005-0000-0000-00007B5D0000}"/>
    <cellStyle name="Comma 2 5 3 3 2 4 3 5" xfId="34694" xr:uid="{00000000-0005-0000-0000-00007C5D0000}"/>
    <cellStyle name="Comma 2 5 3 3 2 4 4" xfId="8699" xr:uid="{00000000-0005-0000-0000-00007D5D0000}"/>
    <cellStyle name="Comma 2 5 3 3 2 4 4 2" xfId="43273" xr:uid="{00000000-0005-0000-0000-00007E5D0000}"/>
    <cellStyle name="Comma 2 5 3 3 2 4 4 3" xfId="36849" xr:uid="{00000000-0005-0000-0000-00007F5D0000}"/>
    <cellStyle name="Comma 2 5 3 3 2 4 5" xfId="21688" xr:uid="{00000000-0005-0000-0000-0000805D0000}"/>
    <cellStyle name="Comma 2 5 3 3 2 4 5 2" xfId="40066" xr:uid="{00000000-0005-0000-0000-0000815D0000}"/>
    <cellStyle name="Comma 2 5 3 3 2 4 6" xfId="22761" xr:uid="{00000000-0005-0000-0000-0000825D0000}"/>
    <cellStyle name="Comma 2 5 3 3 2 4 7" xfId="23844" xr:uid="{00000000-0005-0000-0000-0000835D0000}"/>
    <cellStyle name="Comma 2 5 3 3 2 4 8" xfId="27083" xr:uid="{00000000-0005-0000-0000-0000845D0000}"/>
    <cellStyle name="Comma 2 5 3 3 2 4 9" xfId="30416" xr:uid="{00000000-0005-0000-0000-0000855D0000}"/>
    <cellStyle name="Comma 2 5 3 3 2 5" xfId="1419" xr:uid="{00000000-0005-0000-0000-0000865D0000}"/>
    <cellStyle name="Comma 2 5 3 3 2 5 10" xfId="33643" xr:uid="{00000000-0005-0000-0000-0000875D0000}"/>
    <cellStyle name="Comma 2 5 3 3 2 5 2" xfId="10189" xr:uid="{00000000-0005-0000-0000-0000885D0000}"/>
    <cellStyle name="Comma 2 5 3 3 2 5 2 2" xfId="25989" xr:uid="{00000000-0005-0000-0000-0000895D0000}"/>
    <cellStyle name="Comma 2 5 3 3 2 5 2 2 2" xfId="45416" xr:uid="{00000000-0005-0000-0000-00008A5D0000}"/>
    <cellStyle name="Comma 2 5 3 3 2 5 2 2 3" xfId="38993" xr:uid="{00000000-0005-0000-0000-00008B5D0000}"/>
    <cellStyle name="Comma 2 5 3 3 2 5 2 3" xfId="28167" xr:uid="{00000000-0005-0000-0000-00008C5D0000}"/>
    <cellStyle name="Comma 2 5 3 3 2 5 2 3 2" xfId="42209" xr:uid="{00000000-0005-0000-0000-00008D5D0000}"/>
    <cellStyle name="Comma 2 5 3 3 2 5 2 4" xfId="31502" xr:uid="{00000000-0005-0000-0000-00008E5D0000}"/>
    <cellStyle name="Comma 2 5 3 3 2 5 2 5" xfId="35785" xr:uid="{00000000-0005-0000-0000-00008F5D0000}"/>
    <cellStyle name="Comma 2 5 3 3 2 5 3" xfId="15882" xr:uid="{00000000-0005-0000-0000-0000905D0000}"/>
    <cellStyle name="Comma 2 5 3 3 2 5 3 2" xfId="24897" xr:uid="{00000000-0005-0000-0000-0000915D0000}"/>
    <cellStyle name="Comma 2 5 3 3 2 5 3 2 2" xfId="44326" xr:uid="{00000000-0005-0000-0000-0000925D0000}"/>
    <cellStyle name="Comma 2 5 3 3 2 5 3 2 3" xfId="37903" xr:uid="{00000000-0005-0000-0000-0000935D0000}"/>
    <cellStyle name="Comma 2 5 3 3 2 5 3 3" xfId="29218" xr:uid="{00000000-0005-0000-0000-0000945D0000}"/>
    <cellStyle name="Comma 2 5 3 3 2 5 3 3 2" xfId="41119" xr:uid="{00000000-0005-0000-0000-0000955D0000}"/>
    <cellStyle name="Comma 2 5 3 3 2 5 3 4" xfId="32553" xr:uid="{00000000-0005-0000-0000-0000965D0000}"/>
    <cellStyle name="Comma 2 5 3 3 2 5 3 5" xfId="34695" xr:uid="{00000000-0005-0000-0000-0000975D0000}"/>
    <cellStyle name="Comma 2 5 3 3 2 5 4" xfId="8700" xr:uid="{00000000-0005-0000-0000-0000985D0000}"/>
    <cellStyle name="Comma 2 5 3 3 2 5 4 2" xfId="43274" xr:uid="{00000000-0005-0000-0000-0000995D0000}"/>
    <cellStyle name="Comma 2 5 3 3 2 5 4 3" xfId="36850" xr:uid="{00000000-0005-0000-0000-00009A5D0000}"/>
    <cellStyle name="Comma 2 5 3 3 2 5 5" xfId="21689" xr:uid="{00000000-0005-0000-0000-00009B5D0000}"/>
    <cellStyle name="Comma 2 5 3 3 2 5 5 2" xfId="40067" xr:uid="{00000000-0005-0000-0000-00009C5D0000}"/>
    <cellStyle name="Comma 2 5 3 3 2 5 6" xfId="22762" xr:uid="{00000000-0005-0000-0000-00009D5D0000}"/>
    <cellStyle name="Comma 2 5 3 3 2 5 7" xfId="23845" xr:uid="{00000000-0005-0000-0000-00009E5D0000}"/>
    <cellStyle name="Comma 2 5 3 3 2 5 8" xfId="27084" xr:uid="{00000000-0005-0000-0000-00009F5D0000}"/>
    <cellStyle name="Comma 2 5 3 3 2 5 9" xfId="30417" xr:uid="{00000000-0005-0000-0000-0000A05D0000}"/>
    <cellStyle name="Comma 2 5 3 3 2 6" xfId="1420" xr:uid="{00000000-0005-0000-0000-0000A15D0000}"/>
    <cellStyle name="Comma 2 5 3 3 2 6 10" xfId="33644" xr:uid="{00000000-0005-0000-0000-0000A25D0000}"/>
    <cellStyle name="Comma 2 5 3 3 2 6 2" xfId="10190" xr:uid="{00000000-0005-0000-0000-0000A35D0000}"/>
    <cellStyle name="Comma 2 5 3 3 2 6 2 2" xfId="25990" xr:uid="{00000000-0005-0000-0000-0000A45D0000}"/>
    <cellStyle name="Comma 2 5 3 3 2 6 2 2 2" xfId="45417" xr:uid="{00000000-0005-0000-0000-0000A55D0000}"/>
    <cellStyle name="Comma 2 5 3 3 2 6 2 2 3" xfId="38994" xr:uid="{00000000-0005-0000-0000-0000A65D0000}"/>
    <cellStyle name="Comma 2 5 3 3 2 6 2 3" xfId="28168" xr:uid="{00000000-0005-0000-0000-0000A75D0000}"/>
    <cellStyle name="Comma 2 5 3 3 2 6 2 3 2" xfId="42210" xr:uid="{00000000-0005-0000-0000-0000A85D0000}"/>
    <cellStyle name="Comma 2 5 3 3 2 6 2 4" xfId="31503" xr:uid="{00000000-0005-0000-0000-0000A95D0000}"/>
    <cellStyle name="Comma 2 5 3 3 2 6 2 5" xfId="35786" xr:uid="{00000000-0005-0000-0000-0000AA5D0000}"/>
    <cellStyle name="Comma 2 5 3 3 2 6 3" xfId="15883" xr:uid="{00000000-0005-0000-0000-0000AB5D0000}"/>
    <cellStyle name="Comma 2 5 3 3 2 6 3 2" xfId="24898" xr:uid="{00000000-0005-0000-0000-0000AC5D0000}"/>
    <cellStyle name="Comma 2 5 3 3 2 6 3 2 2" xfId="44327" xr:uid="{00000000-0005-0000-0000-0000AD5D0000}"/>
    <cellStyle name="Comma 2 5 3 3 2 6 3 2 3" xfId="37904" xr:uid="{00000000-0005-0000-0000-0000AE5D0000}"/>
    <cellStyle name="Comma 2 5 3 3 2 6 3 3" xfId="29219" xr:uid="{00000000-0005-0000-0000-0000AF5D0000}"/>
    <cellStyle name="Comma 2 5 3 3 2 6 3 3 2" xfId="41120" xr:uid="{00000000-0005-0000-0000-0000B05D0000}"/>
    <cellStyle name="Comma 2 5 3 3 2 6 3 4" xfId="32554" xr:uid="{00000000-0005-0000-0000-0000B15D0000}"/>
    <cellStyle name="Comma 2 5 3 3 2 6 3 5" xfId="34696" xr:uid="{00000000-0005-0000-0000-0000B25D0000}"/>
    <cellStyle name="Comma 2 5 3 3 2 6 4" xfId="8701" xr:uid="{00000000-0005-0000-0000-0000B35D0000}"/>
    <cellStyle name="Comma 2 5 3 3 2 6 4 2" xfId="43275" xr:uid="{00000000-0005-0000-0000-0000B45D0000}"/>
    <cellStyle name="Comma 2 5 3 3 2 6 4 3" xfId="36851" xr:uid="{00000000-0005-0000-0000-0000B55D0000}"/>
    <cellStyle name="Comma 2 5 3 3 2 6 5" xfId="21690" xr:uid="{00000000-0005-0000-0000-0000B65D0000}"/>
    <cellStyle name="Comma 2 5 3 3 2 6 5 2" xfId="40068" xr:uid="{00000000-0005-0000-0000-0000B75D0000}"/>
    <cellStyle name="Comma 2 5 3 3 2 6 6" xfId="22763" xr:uid="{00000000-0005-0000-0000-0000B85D0000}"/>
    <cellStyle name="Comma 2 5 3 3 2 6 7" xfId="23846" xr:uid="{00000000-0005-0000-0000-0000B95D0000}"/>
    <cellStyle name="Comma 2 5 3 3 2 6 8" xfId="27085" xr:uid="{00000000-0005-0000-0000-0000BA5D0000}"/>
    <cellStyle name="Comma 2 5 3 3 2 6 9" xfId="30418" xr:uid="{00000000-0005-0000-0000-0000BB5D0000}"/>
    <cellStyle name="Comma 2 5 3 3 2 7" xfId="9147" xr:uid="{00000000-0005-0000-0000-0000BC5D0000}"/>
    <cellStyle name="Comma 2 5 3 3 2 7 2" xfId="25201" xr:uid="{00000000-0005-0000-0000-0000BD5D0000}"/>
    <cellStyle name="Comma 2 5 3 3 2 7 2 2" xfId="44628" xr:uid="{00000000-0005-0000-0000-0000BE5D0000}"/>
    <cellStyle name="Comma 2 5 3 3 2 7 2 3" xfId="38205" xr:uid="{00000000-0005-0000-0000-0000BF5D0000}"/>
    <cellStyle name="Comma 2 5 3 3 2 7 3" xfId="27380" xr:uid="{00000000-0005-0000-0000-0000C05D0000}"/>
    <cellStyle name="Comma 2 5 3 3 2 7 3 2" xfId="41421" xr:uid="{00000000-0005-0000-0000-0000C15D0000}"/>
    <cellStyle name="Comma 2 5 3 3 2 7 4" xfId="30715" xr:uid="{00000000-0005-0000-0000-0000C25D0000}"/>
    <cellStyle name="Comma 2 5 3 3 2 7 5" xfId="34997" xr:uid="{00000000-0005-0000-0000-0000C35D0000}"/>
    <cellStyle name="Comma 2 5 3 3 2 8" xfId="15878" xr:uid="{00000000-0005-0000-0000-0000C45D0000}"/>
    <cellStyle name="Comma 2 5 3 3 2 8 2" xfId="24893" xr:uid="{00000000-0005-0000-0000-0000C55D0000}"/>
    <cellStyle name="Comma 2 5 3 3 2 8 2 2" xfId="44322" xr:uid="{00000000-0005-0000-0000-0000C65D0000}"/>
    <cellStyle name="Comma 2 5 3 3 2 8 2 3" xfId="37899" xr:uid="{00000000-0005-0000-0000-0000C75D0000}"/>
    <cellStyle name="Comma 2 5 3 3 2 8 3" xfId="29214" xr:uid="{00000000-0005-0000-0000-0000C85D0000}"/>
    <cellStyle name="Comma 2 5 3 3 2 8 3 2" xfId="41115" xr:uid="{00000000-0005-0000-0000-0000C95D0000}"/>
    <cellStyle name="Comma 2 5 3 3 2 8 4" xfId="32549" xr:uid="{00000000-0005-0000-0000-0000CA5D0000}"/>
    <cellStyle name="Comma 2 5 3 3 2 8 5" xfId="34691" xr:uid="{00000000-0005-0000-0000-0000CB5D0000}"/>
    <cellStyle name="Comma 2 5 3 3 2 9" xfId="8696" xr:uid="{00000000-0005-0000-0000-0000CC5D0000}"/>
    <cellStyle name="Comma 2 5 3 3 2 9 2" xfId="42491" xr:uid="{00000000-0005-0000-0000-0000CD5D0000}"/>
    <cellStyle name="Comma 2 5 3 3 2 9 3" xfId="36067" xr:uid="{00000000-0005-0000-0000-0000CE5D0000}"/>
    <cellStyle name="Comma 2 5 3 3 3" xfId="1421" xr:uid="{00000000-0005-0000-0000-0000CF5D0000}"/>
    <cellStyle name="Comma 2 5 3 3 3 10" xfId="22764" xr:uid="{00000000-0005-0000-0000-0000D05D0000}"/>
    <cellStyle name="Comma 2 5 3 3 3 11" xfId="23847" xr:uid="{00000000-0005-0000-0000-0000D15D0000}"/>
    <cellStyle name="Comma 2 5 3 3 3 12" xfId="27086" xr:uid="{00000000-0005-0000-0000-0000D25D0000}"/>
    <cellStyle name="Comma 2 5 3 3 3 13" xfId="30419" xr:uid="{00000000-0005-0000-0000-0000D35D0000}"/>
    <cellStyle name="Comma 2 5 3 3 3 14" xfId="33645" xr:uid="{00000000-0005-0000-0000-0000D45D0000}"/>
    <cellStyle name="Comma 2 5 3 3 3 2" xfId="1422" xr:uid="{00000000-0005-0000-0000-0000D55D0000}"/>
    <cellStyle name="Comma 2 5 3 3 3 2 10" xfId="33646" xr:uid="{00000000-0005-0000-0000-0000D65D0000}"/>
    <cellStyle name="Comma 2 5 3 3 3 2 2" xfId="10192" xr:uid="{00000000-0005-0000-0000-0000D75D0000}"/>
    <cellStyle name="Comma 2 5 3 3 3 2 2 2" xfId="25992" xr:uid="{00000000-0005-0000-0000-0000D85D0000}"/>
    <cellStyle name="Comma 2 5 3 3 3 2 2 2 2" xfId="45419" xr:uid="{00000000-0005-0000-0000-0000D95D0000}"/>
    <cellStyle name="Comma 2 5 3 3 3 2 2 2 3" xfId="38996" xr:uid="{00000000-0005-0000-0000-0000DA5D0000}"/>
    <cellStyle name="Comma 2 5 3 3 3 2 2 3" xfId="28170" xr:uid="{00000000-0005-0000-0000-0000DB5D0000}"/>
    <cellStyle name="Comma 2 5 3 3 3 2 2 3 2" xfId="42212" xr:uid="{00000000-0005-0000-0000-0000DC5D0000}"/>
    <cellStyle name="Comma 2 5 3 3 3 2 2 4" xfId="31505" xr:uid="{00000000-0005-0000-0000-0000DD5D0000}"/>
    <cellStyle name="Comma 2 5 3 3 3 2 2 5" xfId="35788" xr:uid="{00000000-0005-0000-0000-0000DE5D0000}"/>
    <cellStyle name="Comma 2 5 3 3 3 2 3" xfId="15885" xr:uid="{00000000-0005-0000-0000-0000DF5D0000}"/>
    <cellStyle name="Comma 2 5 3 3 3 2 3 2" xfId="24900" xr:uid="{00000000-0005-0000-0000-0000E05D0000}"/>
    <cellStyle name="Comma 2 5 3 3 3 2 3 2 2" xfId="44329" xr:uid="{00000000-0005-0000-0000-0000E15D0000}"/>
    <cellStyle name="Comma 2 5 3 3 3 2 3 2 3" xfId="37906" xr:uid="{00000000-0005-0000-0000-0000E25D0000}"/>
    <cellStyle name="Comma 2 5 3 3 3 2 3 3" xfId="29221" xr:uid="{00000000-0005-0000-0000-0000E35D0000}"/>
    <cellStyle name="Comma 2 5 3 3 3 2 3 3 2" xfId="41122" xr:uid="{00000000-0005-0000-0000-0000E45D0000}"/>
    <cellStyle name="Comma 2 5 3 3 3 2 3 4" xfId="32556" xr:uid="{00000000-0005-0000-0000-0000E55D0000}"/>
    <cellStyle name="Comma 2 5 3 3 3 2 3 5" xfId="34698" xr:uid="{00000000-0005-0000-0000-0000E65D0000}"/>
    <cellStyle name="Comma 2 5 3 3 3 2 4" xfId="8703" xr:uid="{00000000-0005-0000-0000-0000E75D0000}"/>
    <cellStyle name="Comma 2 5 3 3 3 2 4 2" xfId="43277" xr:uid="{00000000-0005-0000-0000-0000E85D0000}"/>
    <cellStyle name="Comma 2 5 3 3 3 2 4 3" xfId="36853" xr:uid="{00000000-0005-0000-0000-0000E95D0000}"/>
    <cellStyle name="Comma 2 5 3 3 3 2 5" xfId="21692" xr:uid="{00000000-0005-0000-0000-0000EA5D0000}"/>
    <cellStyle name="Comma 2 5 3 3 3 2 5 2" xfId="40070" xr:uid="{00000000-0005-0000-0000-0000EB5D0000}"/>
    <cellStyle name="Comma 2 5 3 3 3 2 6" xfId="22765" xr:uid="{00000000-0005-0000-0000-0000EC5D0000}"/>
    <cellStyle name="Comma 2 5 3 3 3 2 7" xfId="23848" xr:uid="{00000000-0005-0000-0000-0000ED5D0000}"/>
    <cellStyle name="Comma 2 5 3 3 3 2 8" xfId="27087" xr:uid="{00000000-0005-0000-0000-0000EE5D0000}"/>
    <cellStyle name="Comma 2 5 3 3 3 2 9" xfId="30420" xr:uid="{00000000-0005-0000-0000-0000EF5D0000}"/>
    <cellStyle name="Comma 2 5 3 3 3 3" xfId="1423" xr:uid="{00000000-0005-0000-0000-0000F05D0000}"/>
    <cellStyle name="Comma 2 5 3 3 3 3 10" xfId="33647" xr:uid="{00000000-0005-0000-0000-0000F15D0000}"/>
    <cellStyle name="Comma 2 5 3 3 3 3 2" xfId="10193" xr:uid="{00000000-0005-0000-0000-0000F25D0000}"/>
    <cellStyle name="Comma 2 5 3 3 3 3 2 2" xfId="25993" xr:uid="{00000000-0005-0000-0000-0000F35D0000}"/>
    <cellStyle name="Comma 2 5 3 3 3 3 2 2 2" xfId="45420" xr:uid="{00000000-0005-0000-0000-0000F45D0000}"/>
    <cellStyle name="Comma 2 5 3 3 3 3 2 2 3" xfId="38997" xr:uid="{00000000-0005-0000-0000-0000F55D0000}"/>
    <cellStyle name="Comma 2 5 3 3 3 3 2 3" xfId="28171" xr:uid="{00000000-0005-0000-0000-0000F65D0000}"/>
    <cellStyle name="Comma 2 5 3 3 3 3 2 3 2" xfId="42213" xr:uid="{00000000-0005-0000-0000-0000F75D0000}"/>
    <cellStyle name="Comma 2 5 3 3 3 3 2 4" xfId="31506" xr:uid="{00000000-0005-0000-0000-0000F85D0000}"/>
    <cellStyle name="Comma 2 5 3 3 3 3 2 5" xfId="35789" xr:uid="{00000000-0005-0000-0000-0000F95D0000}"/>
    <cellStyle name="Comma 2 5 3 3 3 3 3" xfId="15886" xr:uid="{00000000-0005-0000-0000-0000FA5D0000}"/>
    <cellStyle name="Comma 2 5 3 3 3 3 3 2" xfId="24901" xr:uid="{00000000-0005-0000-0000-0000FB5D0000}"/>
    <cellStyle name="Comma 2 5 3 3 3 3 3 2 2" xfId="44330" xr:uid="{00000000-0005-0000-0000-0000FC5D0000}"/>
    <cellStyle name="Comma 2 5 3 3 3 3 3 2 3" xfId="37907" xr:uid="{00000000-0005-0000-0000-0000FD5D0000}"/>
    <cellStyle name="Comma 2 5 3 3 3 3 3 3" xfId="29222" xr:uid="{00000000-0005-0000-0000-0000FE5D0000}"/>
    <cellStyle name="Comma 2 5 3 3 3 3 3 3 2" xfId="41123" xr:uid="{00000000-0005-0000-0000-0000FF5D0000}"/>
    <cellStyle name="Comma 2 5 3 3 3 3 3 4" xfId="32557" xr:uid="{00000000-0005-0000-0000-0000005E0000}"/>
    <cellStyle name="Comma 2 5 3 3 3 3 3 5" xfId="34699" xr:uid="{00000000-0005-0000-0000-0000015E0000}"/>
    <cellStyle name="Comma 2 5 3 3 3 3 4" xfId="8704" xr:uid="{00000000-0005-0000-0000-0000025E0000}"/>
    <cellStyle name="Comma 2 5 3 3 3 3 4 2" xfId="43278" xr:uid="{00000000-0005-0000-0000-0000035E0000}"/>
    <cellStyle name="Comma 2 5 3 3 3 3 4 3" xfId="36854" xr:uid="{00000000-0005-0000-0000-0000045E0000}"/>
    <cellStyle name="Comma 2 5 3 3 3 3 5" xfId="21693" xr:uid="{00000000-0005-0000-0000-0000055E0000}"/>
    <cellStyle name="Comma 2 5 3 3 3 3 5 2" xfId="40071" xr:uid="{00000000-0005-0000-0000-0000065E0000}"/>
    <cellStyle name="Comma 2 5 3 3 3 3 6" xfId="22766" xr:uid="{00000000-0005-0000-0000-0000075E0000}"/>
    <cellStyle name="Comma 2 5 3 3 3 3 7" xfId="23849" xr:uid="{00000000-0005-0000-0000-0000085E0000}"/>
    <cellStyle name="Comma 2 5 3 3 3 3 8" xfId="27088" xr:uid="{00000000-0005-0000-0000-0000095E0000}"/>
    <cellStyle name="Comma 2 5 3 3 3 3 9" xfId="30421" xr:uid="{00000000-0005-0000-0000-00000A5E0000}"/>
    <cellStyle name="Comma 2 5 3 3 3 4" xfId="1424" xr:uid="{00000000-0005-0000-0000-00000B5E0000}"/>
    <cellStyle name="Comma 2 5 3 3 3 4 10" xfId="33648" xr:uid="{00000000-0005-0000-0000-00000C5E0000}"/>
    <cellStyle name="Comma 2 5 3 3 3 4 2" xfId="10194" xr:uid="{00000000-0005-0000-0000-00000D5E0000}"/>
    <cellStyle name="Comma 2 5 3 3 3 4 2 2" xfId="25994" xr:uid="{00000000-0005-0000-0000-00000E5E0000}"/>
    <cellStyle name="Comma 2 5 3 3 3 4 2 2 2" xfId="45421" xr:uid="{00000000-0005-0000-0000-00000F5E0000}"/>
    <cellStyle name="Comma 2 5 3 3 3 4 2 2 3" xfId="38998" xr:uid="{00000000-0005-0000-0000-0000105E0000}"/>
    <cellStyle name="Comma 2 5 3 3 3 4 2 3" xfId="28172" xr:uid="{00000000-0005-0000-0000-0000115E0000}"/>
    <cellStyle name="Comma 2 5 3 3 3 4 2 3 2" xfId="42214" xr:uid="{00000000-0005-0000-0000-0000125E0000}"/>
    <cellStyle name="Comma 2 5 3 3 3 4 2 4" xfId="31507" xr:uid="{00000000-0005-0000-0000-0000135E0000}"/>
    <cellStyle name="Comma 2 5 3 3 3 4 2 5" xfId="35790" xr:uid="{00000000-0005-0000-0000-0000145E0000}"/>
    <cellStyle name="Comma 2 5 3 3 3 4 3" xfId="15887" xr:uid="{00000000-0005-0000-0000-0000155E0000}"/>
    <cellStyle name="Comma 2 5 3 3 3 4 3 2" xfId="24902" xr:uid="{00000000-0005-0000-0000-0000165E0000}"/>
    <cellStyle name="Comma 2 5 3 3 3 4 3 2 2" xfId="44331" xr:uid="{00000000-0005-0000-0000-0000175E0000}"/>
    <cellStyle name="Comma 2 5 3 3 3 4 3 2 3" xfId="37908" xr:uid="{00000000-0005-0000-0000-0000185E0000}"/>
    <cellStyle name="Comma 2 5 3 3 3 4 3 3" xfId="29223" xr:uid="{00000000-0005-0000-0000-0000195E0000}"/>
    <cellStyle name="Comma 2 5 3 3 3 4 3 3 2" xfId="41124" xr:uid="{00000000-0005-0000-0000-00001A5E0000}"/>
    <cellStyle name="Comma 2 5 3 3 3 4 3 4" xfId="32558" xr:uid="{00000000-0005-0000-0000-00001B5E0000}"/>
    <cellStyle name="Comma 2 5 3 3 3 4 3 5" xfId="34700" xr:uid="{00000000-0005-0000-0000-00001C5E0000}"/>
    <cellStyle name="Comma 2 5 3 3 3 4 4" xfId="8705" xr:uid="{00000000-0005-0000-0000-00001D5E0000}"/>
    <cellStyle name="Comma 2 5 3 3 3 4 4 2" xfId="43279" xr:uid="{00000000-0005-0000-0000-00001E5E0000}"/>
    <cellStyle name="Comma 2 5 3 3 3 4 4 3" xfId="36855" xr:uid="{00000000-0005-0000-0000-00001F5E0000}"/>
    <cellStyle name="Comma 2 5 3 3 3 4 5" xfId="21694" xr:uid="{00000000-0005-0000-0000-0000205E0000}"/>
    <cellStyle name="Comma 2 5 3 3 3 4 5 2" xfId="40072" xr:uid="{00000000-0005-0000-0000-0000215E0000}"/>
    <cellStyle name="Comma 2 5 3 3 3 4 6" xfId="22767" xr:uid="{00000000-0005-0000-0000-0000225E0000}"/>
    <cellStyle name="Comma 2 5 3 3 3 4 7" xfId="23850" xr:uid="{00000000-0005-0000-0000-0000235E0000}"/>
    <cellStyle name="Comma 2 5 3 3 3 4 8" xfId="27089" xr:uid="{00000000-0005-0000-0000-0000245E0000}"/>
    <cellStyle name="Comma 2 5 3 3 3 4 9" xfId="30422" xr:uid="{00000000-0005-0000-0000-0000255E0000}"/>
    <cellStyle name="Comma 2 5 3 3 3 5" xfId="1425" xr:uid="{00000000-0005-0000-0000-0000265E0000}"/>
    <cellStyle name="Comma 2 5 3 3 3 5 10" xfId="33649" xr:uid="{00000000-0005-0000-0000-0000275E0000}"/>
    <cellStyle name="Comma 2 5 3 3 3 5 2" xfId="10195" xr:uid="{00000000-0005-0000-0000-0000285E0000}"/>
    <cellStyle name="Comma 2 5 3 3 3 5 2 2" xfId="25995" xr:uid="{00000000-0005-0000-0000-0000295E0000}"/>
    <cellStyle name="Comma 2 5 3 3 3 5 2 2 2" xfId="45422" xr:uid="{00000000-0005-0000-0000-00002A5E0000}"/>
    <cellStyle name="Comma 2 5 3 3 3 5 2 2 3" xfId="38999" xr:uid="{00000000-0005-0000-0000-00002B5E0000}"/>
    <cellStyle name="Comma 2 5 3 3 3 5 2 3" xfId="28173" xr:uid="{00000000-0005-0000-0000-00002C5E0000}"/>
    <cellStyle name="Comma 2 5 3 3 3 5 2 3 2" xfId="42215" xr:uid="{00000000-0005-0000-0000-00002D5E0000}"/>
    <cellStyle name="Comma 2 5 3 3 3 5 2 4" xfId="31508" xr:uid="{00000000-0005-0000-0000-00002E5E0000}"/>
    <cellStyle name="Comma 2 5 3 3 3 5 2 5" xfId="35791" xr:uid="{00000000-0005-0000-0000-00002F5E0000}"/>
    <cellStyle name="Comma 2 5 3 3 3 5 3" xfId="15888" xr:uid="{00000000-0005-0000-0000-0000305E0000}"/>
    <cellStyle name="Comma 2 5 3 3 3 5 3 2" xfId="24903" xr:uid="{00000000-0005-0000-0000-0000315E0000}"/>
    <cellStyle name="Comma 2 5 3 3 3 5 3 2 2" xfId="44332" xr:uid="{00000000-0005-0000-0000-0000325E0000}"/>
    <cellStyle name="Comma 2 5 3 3 3 5 3 2 3" xfId="37909" xr:uid="{00000000-0005-0000-0000-0000335E0000}"/>
    <cellStyle name="Comma 2 5 3 3 3 5 3 3" xfId="29224" xr:uid="{00000000-0005-0000-0000-0000345E0000}"/>
    <cellStyle name="Comma 2 5 3 3 3 5 3 3 2" xfId="41125" xr:uid="{00000000-0005-0000-0000-0000355E0000}"/>
    <cellStyle name="Comma 2 5 3 3 3 5 3 4" xfId="32559" xr:uid="{00000000-0005-0000-0000-0000365E0000}"/>
    <cellStyle name="Comma 2 5 3 3 3 5 3 5" xfId="34701" xr:uid="{00000000-0005-0000-0000-0000375E0000}"/>
    <cellStyle name="Comma 2 5 3 3 3 5 4" xfId="8706" xr:uid="{00000000-0005-0000-0000-0000385E0000}"/>
    <cellStyle name="Comma 2 5 3 3 3 5 4 2" xfId="43280" xr:uid="{00000000-0005-0000-0000-0000395E0000}"/>
    <cellStyle name="Comma 2 5 3 3 3 5 4 3" xfId="36856" xr:uid="{00000000-0005-0000-0000-00003A5E0000}"/>
    <cellStyle name="Comma 2 5 3 3 3 5 5" xfId="21695" xr:uid="{00000000-0005-0000-0000-00003B5E0000}"/>
    <cellStyle name="Comma 2 5 3 3 3 5 5 2" xfId="40073" xr:uid="{00000000-0005-0000-0000-00003C5E0000}"/>
    <cellStyle name="Comma 2 5 3 3 3 5 6" xfId="22768" xr:uid="{00000000-0005-0000-0000-00003D5E0000}"/>
    <cellStyle name="Comma 2 5 3 3 3 5 7" xfId="23851" xr:uid="{00000000-0005-0000-0000-00003E5E0000}"/>
    <cellStyle name="Comma 2 5 3 3 3 5 8" xfId="27090" xr:uid="{00000000-0005-0000-0000-00003F5E0000}"/>
    <cellStyle name="Comma 2 5 3 3 3 5 9" xfId="30423" xr:uid="{00000000-0005-0000-0000-0000405E0000}"/>
    <cellStyle name="Comma 2 5 3 3 3 6" xfId="10191" xr:uid="{00000000-0005-0000-0000-0000415E0000}"/>
    <cellStyle name="Comma 2 5 3 3 3 6 2" xfId="25991" xr:uid="{00000000-0005-0000-0000-0000425E0000}"/>
    <cellStyle name="Comma 2 5 3 3 3 6 2 2" xfId="45418" xr:uid="{00000000-0005-0000-0000-0000435E0000}"/>
    <cellStyle name="Comma 2 5 3 3 3 6 2 3" xfId="38995" xr:uid="{00000000-0005-0000-0000-0000445E0000}"/>
    <cellStyle name="Comma 2 5 3 3 3 6 3" xfId="28169" xr:uid="{00000000-0005-0000-0000-0000455E0000}"/>
    <cellStyle name="Comma 2 5 3 3 3 6 3 2" xfId="42211" xr:uid="{00000000-0005-0000-0000-0000465E0000}"/>
    <cellStyle name="Comma 2 5 3 3 3 6 4" xfId="31504" xr:uid="{00000000-0005-0000-0000-0000475E0000}"/>
    <cellStyle name="Comma 2 5 3 3 3 6 5" xfId="35787" xr:uid="{00000000-0005-0000-0000-0000485E0000}"/>
    <cellStyle name="Comma 2 5 3 3 3 7" xfId="15884" xr:uid="{00000000-0005-0000-0000-0000495E0000}"/>
    <cellStyle name="Comma 2 5 3 3 3 7 2" xfId="24899" xr:uid="{00000000-0005-0000-0000-00004A5E0000}"/>
    <cellStyle name="Comma 2 5 3 3 3 7 2 2" xfId="44328" xr:uid="{00000000-0005-0000-0000-00004B5E0000}"/>
    <cellStyle name="Comma 2 5 3 3 3 7 2 3" xfId="37905" xr:uid="{00000000-0005-0000-0000-00004C5E0000}"/>
    <cellStyle name="Comma 2 5 3 3 3 7 3" xfId="29220" xr:uid="{00000000-0005-0000-0000-00004D5E0000}"/>
    <cellStyle name="Comma 2 5 3 3 3 7 3 2" xfId="41121" xr:uid="{00000000-0005-0000-0000-00004E5E0000}"/>
    <cellStyle name="Comma 2 5 3 3 3 7 4" xfId="32555" xr:uid="{00000000-0005-0000-0000-00004F5E0000}"/>
    <cellStyle name="Comma 2 5 3 3 3 7 5" xfId="34697" xr:uid="{00000000-0005-0000-0000-0000505E0000}"/>
    <cellStyle name="Comma 2 5 3 3 3 8" xfId="8702" xr:uid="{00000000-0005-0000-0000-0000515E0000}"/>
    <cellStyle name="Comma 2 5 3 3 3 8 2" xfId="43276" xr:uid="{00000000-0005-0000-0000-0000525E0000}"/>
    <cellStyle name="Comma 2 5 3 3 3 8 3" xfId="36852" xr:uid="{00000000-0005-0000-0000-0000535E0000}"/>
    <cellStyle name="Comma 2 5 3 3 3 9" xfId="21691" xr:uid="{00000000-0005-0000-0000-0000545E0000}"/>
    <cellStyle name="Comma 2 5 3 3 3 9 2" xfId="40069" xr:uid="{00000000-0005-0000-0000-0000555E0000}"/>
    <cellStyle name="Comma 2 5 3 3 4" xfId="1426" xr:uid="{00000000-0005-0000-0000-0000565E0000}"/>
    <cellStyle name="Comma 2 5 3 3 4 10" xfId="33650" xr:uid="{00000000-0005-0000-0000-0000575E0000}"/>
    <cellStyle name="Comma 2 5 3 3 4 2" xfId="10196" xr:uid="{00000000-0005-0000-0000-0000585E0000}"/>
    <cellStyle name="Comma 2 5 3 3 4 2 2" xfId="25996" xr:uid="{00000000-0005-0000-0000-0000595E0000}"/>
    <cellStyle name="Comma 2 5 3 3 4 2 2 2" xfId="45423" xr:uid="{00000000-0005-0000-0000-00005A5E0000}"/>
    <cellStyle name="Comma 2 5 3 3 4 2 2 3" xfId="39000" xr:uid="{00000000-0005-0000-0000-00005B5E0000}"/>
    <cellStyle name="Comma 2 5 3 3 4 2 3" xfId="28174" xr:uid="{00000000-0005-0000-0000-00005C5E0000}"/>
    <cellStyle name="Comma 2 5 3 3 4 2 3 2" xfId="42216" xr:uid="{00000000-0005-0000-0000-00005D5E0000}"/>
    <cellStyle name="Comma 2 5 3 3 4 2 4" xfId="31509" xr:uid="{00000000-0005-0000-0000-00005E5E0000}"/>
    <cellStyle name="Comma 2 5 3 3 4 2 5" xfId="35792" xr:uid="{00000000-0005-0000-0000-00005F5E0000}"/>
    <cellStyle name="Comma 2 5 3 3 4 3" xfId="15889" xr:uid="{00000000-0005-0000-0000-0000605E0000}"/>
    <cellStyle name="Comma 2 5 3 3 4 3 2" xfId="24904" xr:uid="{00000000-0005-0000-0000-0000615E0000}"/>
    <cellStyle name="Comma 2 5 3 3 4 3 2 2" xfId="44333" xr:uid="{00000000-0005-0000-0000-0000625E0000}"/>
    <cellStyle name="Comma 2 5 3 3 4 3 2 3" xfId="37910" xr:uid="{00000000-0005-0000-0000-0000635E0000}"/>
    <cellStyle name="Comma 2 5 3 3 4 3 3" xfId="29225" xr:uid="{00000000-0005-0000-0000-0000645E0000}"/>
    <cellStyle name="Comma 2 5 3 3 4 3 3 2" xfId="41126" xr:uid="{00000000-0005-0000-0000-0000655E0000}"/>
    <cellStyle name="Comma 2 5 3 3 4 3 4" xfId="32560" xr:uid="{00000000-0005-0000-0000-0000665E0000}"/>
    <cellStyle name="Comma 2 5 3 3 4 3 5" xfId="34702" xr:uid="{00000000-0005-0000-0000-0000675E0000}"/>
    <cellStyle name="Comma 2 5 3 3 4 4" xfId="8707" xr:uid="{00000000-0005-0000-0000-0000685E0000}"/>
    <cellStyle name="Comma 2 5 3 3 4 4 2" xfId="43281" xr:uid="{00000000-0005-0000-0000-0000695E0000}"/>
    <cellStyle name="Comma 2 5 3 3 4 4 3" xfId="36857" xr:uid="{00000000-0005-0000-0000-00006A5E0000}"/>
    <cellStyle name="Comma 2 5 3 3 4 5" xfId="21696" xr:uid="{00000000-0005-0000-0000-00006B5E0000}"/>
    <cellStyle name="Comma 2 5 3 3 4 5 2" xfId="40074" xr:uid="{00000000-0005-0000-0000-00006C5E0000}"/>
    <cellStyle name="Comma 2 5 3 3 4 6" xfId="22769" xr:uid="{00000000-0005-0000-0000-00006D5E0000}"/>
    <cellStyle name="Comma 2 5 3 3 4 7" xfId="23852" xr:uid="{00000000-0005-0000-0000-00006E5E0000}"/>
    <cellStyle name="Comma 2 5 3 3 4 8" xfId="27091" xr:uid="{00000000-0005-0000-0000-00006F5E0000}"/>
    <cellStyle name="Comma 2 5 3 3 4 9" xfId="30424" xr:uid="{00000000-0005-0000-0000-0000705E0000}"/>
    <cellStyle name="Comma 2 5 3 3 5" xfId="1427" xr:uid="{00000000-0005-0000-0000-0000715E0000}"/>
    <cellStyle name="Comma 2 5 3 3 5 10" xfId="33651" xr:uid="{00000000-0005-0000-0000-0000725E0000}"/>
    <cellStyle name="Comma 2 5 3 3 5 2" xfId="10197" xr:uid="{00000000-0005-0000-0000-0000735E0000}"/>
    <cellStyle name="Comma 2 5 3 3 5 2 2" xfId="25997" xr:uid="{00000000-0005-0000-0000-0000745E0000}"/>
    <cellStyle name="Comma 2 5 3 3 5 2 2 2" xfId="45424" xr:uid="{00000000-0005-0000-0000-0000755E0000}"/>
    <cellStyle name="Comma 2 5 3 3 5 2 2 3" xfId="39001" xr:uid="{00000000-0005-0000-0000-0000765E0000}"/>
    <cellStyle name="Comma 2 5 3 3 5 2 3" xfId="28175" xr:uid="{00000000-0005-0000-0000-0000775E0000}"/>
    <cellStyle name="Comma 2 5 3 3 5 2 3 2" xfId="42217" xr:uid="{00000000-0005-0000-0000-0000785E0000}"/>
    <cellStyle name="Comma 2 5 3 3 5 2 4" xfId="31510" xr:uid="{00000000-0005-0000-0000-0000795E0000}"/>
    <cellStyle name="Comma 2 5 3 3 5 2 5" xfId="35793" xr:uid="{00000000-0005-0000-0000-00007A5E0000}"/>
    <cellStyle name="Comma 2 5 3 3 5 3" xfId="15890" xr:uid="{00000000-0005-0000-0000-00007B5E0000}"/>
    <cellStyle name="Comma 2 5 3 3 5 3 2" xfId="24905" xr:uid="{00000000-0005-0000-0000-00007C5E0000}"/>
    <cellStyle name="Comma 2 5 3 3 5 3 2 2" xfId="44334" xr:uid="{00000000-0005-0000-0000-00007D5E0000}"/>
    <cellStyle name="Comma 2 5 3 3 5 3 2 3" xfId="37911" xr:uid="{00000000-0005-0000-0000-00007E5E0000}"/>
    <cellStyle name="Comma 2 5 3 3 5 3 3" xfId="29226" xr:uid="{00000000-0005-0000-0000-00007F5E0000}"/>
    <cellStyle name="Comma 2 5 3 3 5 3 3 2" xfId="41127" xr:uid="{00000000-0005-0000-0000-0000805E0000}"/>
    <cellStyle name="Comma 2 5 3 3 5 3 4" xfId="32561" xr:uid="{00000000-0005-0000-0000-0000815E0000}"/>
    <cellStyle name="Comma 2 5 3 3 5 3 5" xfId="34703" xr:uid="{00000000-0005-0000-0000-0000825E0000}"/>
    <cellStyle name="Comma 2 5 3 3 5 4" xfId="8708" xr:uid="{00000000-0005-0000-0000-0000835E0000}"/>
    <cellStyle name="Comma 2 5 3 3 5 4 2" xfId="43282" xr:uid="{00000000-0005-0000-0000-0000845E0000}"/>
    <cellStyle name="Comma 2 5 3 3 5 4 3" xfId="36858" xr:uid="{00000000-0005-0000-0000-0000855E0000}"/>
    <cellStyle name="Comma 2 5 3 3 5 5" xfId="21697" xr:uid="{00000000-0005-0000-0000-0000865E0000}"/>
    <cellStyle name="Comma 2 5 3 3 5 5 2" xfId="40075" xr:uid="{00000000-0005-0000-0000-0000875E0000}"/>
    <cellStyle name="Comma 2 5 3 3 5 6" xfId="22770" xr:uid="{00000000-0005-0000-0000-0000885E0000}"/>
    <cellStyle name="Comma 2 5 3 3 5 7" xfId="23853" xr:uid="{00000000-0005-0000-0000-0000895E0000}"/>
    <cellStyle name="Comma 2 5 3 3 5 8" xfId="27092" xr:uid="{00000000-0005-0000-0000-00008A5E0000}"/>
    <cellStyle name="Comma 2 5 3 3 5 9" xfId="30425" xr:uid="{00000000-0005-0000-0000-00008B5E0000}"/>
    <cellStyle name="Comma 2 5 3 3 6" xfId="1428" xr:uid="{00000000-0005-0000-0000-00008C5E0000}"/>
    <cellStyle name="Comma 2 5 3 3 6 10" xfId="33652" xr:uid="{00000000-0005-0000-0000-00008D5E0000}"/>
    <cellStyle name="Comma 2 5 3 3 6 2" xfId="10198" xr:uid="{00000000-0005-0000-0000-00008E5E0000}"/>
    <cellStyle name="Comma 2 5 3 3 6 2 2" xfId="25998" xr:uid="{00000000-0005-0000-0000-00008F5E0000}"/>
    <cellStyle name="Comma 2 5 3 3 6 2 2 2" xfId="45425" xr:uid="{00000000-0005-0000-0000-0000905E0000}"/>
    <cellStyle name="Comma 2 5 3 3 6 2 2 3" xfId="39002" xr:uid="{00000000-0005-0000-0000-0000915E0000}"/>
    <cellStyle name="Comma 2 5 3 3 6 2 3" xfId="28176" xr:uid="{00000000-0005-0000-0000-0000925E0000}"/>
    <cellStyle name="Comma 2 5 3 3 6 2 3 2" xfId="42218" xr:uid="{00000000-0005-0000-0000-0000935E0000}"/>
    <cellStyle name="Comma 2 5 3 3 6 2 4" xfId="31511" xr:uid="{00000000-0005-0000-0000-0000945E0000}"/>
    <cellStyle name="Comma 2 5 3 3 6 2 5" xfId="35794" xr:uid="{00000000-0005-0000-0000-0000955E0000}"/>
    <cellStyle name="Comma 2 5 3 3 6 3" xfId="15891" xr:uid="{00000000-0005-0000-0000-0000965E0000}"/>
    <cellStyle name="Comma 2 5 3 3 6 3 2" xfId="24906" xr:uid="{00000000-0005-0000-0000-0000975E0000}"/>
    <cellStyle name="Comma 2 5 3 3 6 3 2 2" xfId="44335" xr:uid="{00000000-0005-0000-0000-0000985E0000}"/>
    <cellStyle name="Comma 2 5 3 3 6 3 2 3" xfId="37912" xr:uid="{00000000-0005-0000-0000-0000995E0000}"/>
    <cellStyle name="Comma 2 5 3 3 6 3 3" xfId="29227" xr:uid="{00000000-0005-0000-0000-00009A5E0000}"/>
    <cellStyle name="Comma 2 5 3 3 6 3 3 2" xfId="41128" xr:uid="{00000000-0005-0000-0000-00009B5E0000}"/>
    <cellStyle name="Comma 2 5 3 3 6 3 4" xfId="32562" xr:uid="{00000000-0005-0000-0000-00009C5E0000}"/>
    <cellStyle name="Comma 2 5 3 3 6 3 5" xfId="34704" xr:uid="{00000000-0005-0000-0000-00009D5E0000}"/>
    <cellStyle name="Comma 2 5 3 3 6 4" xfId="8709" xr:uid="{00000000-0005-0000-0000-00009E5E0000}"/>
    <cellStyle name="Comma 2 5 3 3 6 4 2" xfId="43283" xr:uid="{00000000-0005-0000-0000-00009F5E0000}"/>
    <cellStyle name="Comma 2 5 3 3 6 4 3" xfId="36859" xr:uid="{00000000-0005-0000-0000-0000A05E0000}"/>
    <cellStyle name="Comma 2 5 3 3 6 5" xfId="21698" xr:uid="{00000000-0005-0000-0000-0000A15E0000}"/>
    <cellStyle name="Comma 2 5 3 3 6 5 2" xfId="40076" xr:uid="{00000000-0005-0000-0000-0000A25E0000}"/>
    <cellStyle name="Comma 2 5 3 3 6 6" xfId="22771" xr:uid="{00000000-0005-0000-0000-0000A35E0000}"/>
    <cellStyle name="Comma 2 5 3 3 6 7" xfId="23854" xr:uid="{00000000-0005-0000-0000-0000A45E0000}"/>
    <cellStyle name="Comma 2 5 3 3 6 8" xfId="27093" xr:uid="{00000000-0005-0000-0000-0000A55E0000}"/>
    <cellStyle name="Comma 2 5 3 3 6 9" xfId="30426" xr:uid="{00000000-0005-0000-0000-0000A65E0000}"/>
    <cellStyle name="Comma 2 5 3 3 7" xfId="1429" xr:uid="{00000000-0005-0000-0000-0000A75E0000}"/>
    <cellStyle name="Comma 2 5 3 3 7 10" xfId="33653" xr:uid="{00000000-0005-0000-0000-0000A85E0000}"/>
    <cellStyle name="Comma 2 5 3 3 7 2" xfId="10199" xr:uid="{00000000-0005-0000-0000-0000A95E0000}"/>
    <cellStyle name="Comma 2 5 3 3 7 2 2" xfId="25999" xr:uid="{00000000-0005-0000-0000-0000AA5E0000}"/>
    <cellStyle name="Comma 2 5 3 3 7 2 2 2" xfId="45426" xr:uid="{00000000-0005-0000-0000-0000AB5E0000}"/>
    <cellStyle name="Comma 2 5 3 3 7 2 2 3" xfId="39003" xr:uid="{00000000-0005-0000-0000-0000AC5E0000}"/>
    <cellStyle name="Comma 2 5 3 3 7 2 3" xfId="28177" xr:uid="{00000000-0005-0000-0000-0000AD5E0000}"/>
    <cellStyle name="Comma 2 5 3 3 7 2 3 2" xfId="42219" xr:uid="{00000000-0005-0000-0000-0000AE5E0000}"/>
    <cellStyle name="Comma 2 5 3 3 7 2 4" xfId="31512" xr:uid="{00000000-0005-0000-0000-0000AF5E0000}"/>
    <cellStyle name="Comma 2 5 3 3 7 2 5" xfId="35795" xr:uid="{00000000-0005-0000-0000-0000B05E0000}"/>
    <cellStyle name="Comma 2 5 3 3 7 3" xfId="15892" xr:uid="{00000000-0005-0000-0000-0000B15E0000}"/>
    <cellStyle name="Comma 2 5 3 3 7 3 2" xfId="24907" xr:uid="{00000000-0005-0000-0000-0000B25E0000}"/>
    <cellStyle name="Comma 2 5 3 3 7 3 2 2" xfId="44336" xr:uid="{00000000-0005-0000-0000-0000B35E0000}"/>
    <cellStyle name="Comma 2 5 3 3 7 3 2 3" xfId="37913" xr:uid="{00000000-0005-0000-0000-0000B45E0000}"/>
    <cellStyle name="Comma 2 5 3 3 7 3 3" xfId="29228" xr:uid="{00000000-0005-0000-0000-0000B55E0000}"/>
    <cellStyle name="Comma 2 5 3 3 7 3 3 2" xfId="41129" xr:uid="{00000000-0005-0000-0000-0000B65E0000}"/>
    <cellStyle name="Comma 2 5 3 3 7 3 4" xfId="32563" xr:uid="{00000000-0005-0000-0000-0000B75E0000}"/>
    <cellStyle name="Comma 2 5 3 3 7 3 5" xfId="34705" xr:uid="{00000000-0005-0000-0000-0000B85E0000}"/>
    <cellStyle name="Comma 2 5 3 3 7 4" xfId="8710" xr:uid="{00000000-0005-0000-0000-0000B95E0000}"/>
    <cellStyle name="Comma 2 5 3 3 7 4 2" xfId="43284" xr:uid="{00000000-0005-0000-0000-0000BA5E0000}"/>
    <cellStyle name="Comma 2 5 3 3 7 4 3" xfId="36860" xr:uid="{00000000-0005-0000-0000-0000BB5E0000}"/>
    <cellStyle name="Comma 2 5 3 3 7 5" xfId="21699" xr:uid="{00000000-0005-0000-0000-0000BC5E0000}"/>
    <cellStyle name="Comma 2 5 3 3 7 5 2" xfId="40077" xr:uid="{00000000-0005-0000-0000-0000BD5E0000}"/>
    <cellStyle name="Comma 2 5 3 3 7 6" xfId="22772" xr:uid="{00000000-0005-0000-0000-0000BE5E0000}"/>
    <cellStyle name="Comma 2 5 3 3 7 7" xfId="23855" xr:uid="{00000000-0005-0000-0000-0000BF5E0000}"/>
    <cellStyle name="Comma 2 5 3 3 7 8" xfId="27094" xr:uid="{00000000-0005-0000-0000-0000C05E0000}"/>
    <cellStyle name="Comma 2 5 3 3 7 9" xfId="30427" xr:uid="{00000000-0005-0000-0000-0000C15E0000}"/>
    <cellStyle name="Comma 2 5 3 3 8" xfId="1430" xr:uid="{00000000-0005-0000-0000-0000C25E0000}"/>
    <cellStyle name="Comma 2 5 3 3 8 10" xfId="33654" xr:uid="{00000000-0005-0000-0000-0000C35E0000}"/>
    <cellStyle name="Comma 2 5 3 3 8 2" xfId="10200" xr:uid="{00000000-0005-0000-0000-0000C45E0000}"/>
    <cellStyle name="Comma 2 5 3 3 8 2 2" xfId="26000" xr:uid="{00000000-0005-0000-0000-0000C55E0000}"/>
    <cellStyle name="Comma 2 5 3 3 8 2 2 2" xfId="45427" xr:uid="{00000000-0005-0000-0000-0000C65E0000}"/>
    <cellStyle name="Comma 2 5 3 3 8 2 2 3" xfId="39004" xr:uid="{00000000-0005-0000-0000-0000C75E0000}"/>
    <cellStyle name="Comma 2 5 3 3 8 2 3" xfId="28178" xr:uid="{00000000-0005-0000-0000-0000C85E0000}"/>
    <cellStyle name="Comma 2 5 3 3 8 2 3 2" xfId="42220" xr:uid="{00000000-0005-0000-0000-0000C95E0000}"/>
    <cellStyle name="Comma 2 5 3 3 8 2 4" xfId="31513" xr:uid="{00000000-0005-0000-0000-0000CA5E0000}"/>
    <cellStyle name="Comma 2 5 3 3 8 2 5" xfId="35796" xr:uid="{00000000-0005-0000-0000-0000CB5E0000}"/>
    <cellStyle name="Comma 2 5 3 3 8 3" xfId="15893" xr:uid="{00000000-0005-0000-0000-0000CC5E0000}"/>
    <cellStyle name="Comma 2 5 3 3 8 3 2" xfId="24908" xr:uid="{00000000-0005-0000-0000-0000CD5E0000}"/>
    <cellStyle name="Comma 2 5 3 3 8 3 2 2" xfId="44337" xr:uid="{00000000-0005-0000-0000-0000CE5E0000}"/>
    <cellStyle name="Comma 2 5 3 3 8 3 2 3" xfId="37914" xr:uid="{00000000-0005-0000-0000-0000CF5E0000}"/>
    <cellStyle name="Comma 2 5 3 3 8 3 3" xfId="29229" xr:uid="{00000000-0005-0000-0000-0000D05E0000}"/>
    <cellStyle name="Comma 2 5 3 3 8 3 3 2" xfId="41130" xr:uid="{00000000-0005-0000-0000-0000D15E0000}"/>
    <cellStyle name="Comma 2 5 3 3 8 3 4" xfId="32564" xr:uid="{00000000-0005-0000-0000-0000D25E0000}"/>
    <cellStyle name="Comma 2 5 3 3 8 3 5" xfId="34706" xr:uid="{00000000-0005-0000-0000-0000D35E0000}"/>
    <cellStyle name="Comma 2 5 3 3 8 4" xfId="8711" xr:uid="{00000000-0005-0000-0000-0000D45E0000}"/>
    <cellStyle name="Comma 2 5 3 3 8 4 2" xfId="43285" xr:uid="{00000000-0005-0000-0000-0000D55E0000}"/>
    <cellStyle name="Comma 2 5 3 3 8 4 3" xfId="36861" xr:uid="{00000000-0005-0000-0000-0000D65E0000}"/>
    <cellStyle name="Comma 2 5 3 3 8 5" xfId="21700" xr:uid="{00000000-0005-0000-0000-0000D75E0000}"/>
    <cellStyle name="Comma 2 5 3 3 8 5 2" xfId="40078" xr:uid="{00000000-0005-0000-0000-0000D85E0000}"/>
    <cellStyle name="Comma 2 5 3 3 8 6" xfId="22773" xr:uid="{00000000-0005-0000-0000-0000D95E0000}"/>
    <cellStyle name="Comma 2 5 3 3 8 7" xfId="23856" xr:uid="{00000000-0005-0000-0000-0000DA5E0000}"/>
    <cellStyle name="Comma 2 5 3 3 8 8" xfId="27095" xr:uid="{00000000-0005-0000-0000-0000DB5E0000}"/>
    <cellStyle name="Comma 2 5 3 3 8 9" xfId="30428" xr:uid="{00000000-0005-0000-0000-0000DC5E0000}"/>
    <cellStyle name="Comma 2 5 3 3 9" xfId="9146" xr:uid="{00000000-0005-0000-0000-0000DD5E0000}"/>
    <cellStyle name="Comma 2 5 3 3 9 2" xfId="25200" xr:uid="{00000000-0005-0000-0000-0000DE5E0000}"/>
    <cellStyle name="Comma 2 5 3 3 9 2 2" xfId="44627" xr:uid="{00000000-0005-0000-0000-0000DF5E0000}"/>
    <cellStyle name="Comma 2 5 3 3 9 2 3" xfId="38204" xr:uid="{00000000-0005-0000-0000-0000E05E0000}"/>
    <cellStyle name="Comma 2 5 3 3 9 3" xfId="27379" xr:uid="{00000000-0005-0000-0000-0000E15E0000}"/>
    <cellStyle name="Comma 2 5 3 3 9 3 2" xfId="41420" xr:uid="{00000000-0005-0000-0000-0000E25E0000}"/>
    <cellStyle name="Comma 2 5 3 3 9 4" xfId="30714" xr:uid="{00000000-0005-0000-0000-0000E35E0000}"/>
    <cellStyle name="Comma 2 5 3 3 9 5" xfId="34996" xr:uid="{00000000-0005-0000-0000-0000E45E0000}"/>
    <cellStyle name="Comma 2 5 3 4" xfId="292" xr:uid="{00000000-0005-0000-0000-0000E55E0000}"/>
    <cellStyle name="Comma 2 5 3 4 10" xfId="21701" xr:uid="{00000000-0005-0000-0000-0000E65E0000}"/>
    <cellStyle name="Comma 2 5 3 4 10 2" xfId="39285" xr:uid="{00000000-0005-0000-0000-0000E75E0000}"/>
    <cellStyle name="Comma 2 5 3 4 11" xfId="22774" xr:uid="{00000000-0005-0000-0000-0000E85E0000}"/>
    <cellStyle name="Comma 2 5 3 4 12" xfId="23063" xr:uid="{00000000-0005-0000-0000-0000E95E0000}"/>
    <cellStyle name="Comma 2 5 3 4 13" xfId="27096" xr:uid="{00000000-0005-0000-0000-0000EA5E0000}"/>
    <cellStyle name="Comma 2 5 3 4 14" xfId="30429" xr:uid="{00000000-0005-0000-0000-0000EB5E0000}"/>
    <cellStyle name="Comma 2 5 3 4 15" xfId="32861" xr:uid="{00000000-0005-0000-0000-0000EC5E0000}"/>
    <cellStyle name="Comma 2 5 3 4 2" xfId="1431" xr:uid="{00000000-0005-0000-0000-0000ED5E0000}"/>
    <cellStyle name="Comma 2 5 3 4 2 10" xfId="33655" xr:uid="{00000000-0005-0000-0000-0000EE5E0000}"/>
    <cellStyle name="Comma 2 5 3 4 2 2" xfId="10201" xr:uid="{00000000-0005-0000-0000-0000EF5E0000}"/>
    <cellStyle name="Comma 2 5 3 4 2 2 2" xfId="26001" xr:uid="{00000000-0005-0000-0000-0000F05E0000}"/>
    <cellStyle name="Comma 2 5 3 4 2 2 2 2" xfId="45428" xr:uid="{00000000-0005-0000-0000-0000F15E0000}"/>
    <cellStyle name="Comma 2 5 3 4 2 2 2 3" xfId="39005" xr:uid="{00000000-0005-0000-0000-0000F25E0000}"/>
    <cellStyle name="Comma 2 5 3 4 2 2 3" xfId="28179" xr:uid="{00000000-0005-0000-0000-0000F35E0000}"/>
    <cellStyle name="Comma 2 5 3 4 2 2 3 2" xfId="42221" xr:uid="{00000000-0005-0000-0000-0000F45E0000}"/>
    <cellStyle name="Comma 2 5 3 4 2 2 4" xfId="31514" xr:uid="{00000000-0005-0000-0000-0000F55E0000}"/>
    <cellStyle name="Comma 2 5 3 4 2 2 5" xfId="35797" xr:uid="{00000000-0005-0000-0000-0000F65E0000}"/>
    <cellStyle name="Comma 2 5 3 4 2 3" xfId="15895" xr:uid="{00000000-0005-0000-0000-0000F75E0000}"/>
    <cellStyle name="Comma 2 5 3 4 2 3 2" xfId="24910" xr:uid="{00000000-0005-0000-0000-0000F85E0000}"/>
    <cellStyle name="Comma 2 5 3 4 2 3 2 2" xfId="44339" xr:uid="{00000000-0005-0000-0000-0000F95E0000}"/>
    <cellStyle name="Comma 2 5 3 4 2 3 2 3" xfId="37916" xr:uid="{00000000-0005-0000-0000-0000FA5E0000}"/>
    <cellStyle name="Comma 2 5 3 4 2 3 3" xfId="29231" xr:uid="{00000000-0005-0000-0000-0000FB5E0000}"/>
    <cellStyle name="Comma 2 5 3 4 2 3 3 2" xfId="41132" xr:uid="{00000000-0005-0000-0000-0000FC5E0000}"/>
    <cellStyle name="Comma 2 5 3 4 2 3 4" xfId="32566" xr:uid="{00000000-0005-0000-0000-0000FD5E0000}"/>
    <cellStyle name="Comma 2 5 3 4 2 3 5" xfId="34708" xr:uid="{00000000-0005-0000-0000-0000FE5E0000}"/>
    <cellStyle name="Comma 2 5 3 4 2 4" xfId="8713" xr:uid="{00000000-0005-0000-0000-0000FF5E0000}"/>
    <cellStyle name="Comma 2 5 3 4 2 4 2" xfId="43286" xr:uid="{00000000-0005-0000-0000-0000005F0000}"/>
    <cellStyle name="Comma 2 5 3 4 2 4 3" xfId="36862" xr:uid="{00000000-0005-0000-0000-0000015F0000}"/>
    <cellStyle name="Comma 2 5 3 4 2 5" xfId="21702" xr:uid="{00000000-0005-0000-0000-0000025F0000}"/>
    <cellStyle name="Comma 2 5 3 4 2 5 2" xfId="40079" xr:uid="{00000000-0005-0000-0000-0000035F0000}"/>
    <cellStyle name="Comma 2 5 3 4 2 6" xfId="22775" xr:uid="{00000000-0005-0000-0000-0000045F0000}"/>
    <cellStyle name="Comma 2 5 3 4 2 7" xfId="23857" xr:uid="{00000000-0005-0000-0000-0000055F0000}"/>
    <cellStyle name="Comma 2 5 3 4 2 8" xfId="27097" xr:uid="{00000000-0005-0000-0000-0000065F0000}"/>
    <cellStyle name="Comma 2 5 3 4 2 9" xfId="30430" xr:uid="{00000000-0005-0000-0000-0000075F0000}"/>
    <cellStyle name="Comma 2 5 3 4 3" xfId="1432" xr:uid="{00000000-0005-0000-0000-0000085F0000}"/>
    <cellStyle name="Comma 2 5 3 4 3 10" xfId="33656" xr:uid="{00000000-0005-0000-0000-0000095F0000}"/>
    <cellStyle name="Comma 2 5 3 4 3 2" xfId="10202" xr:uid="{00000000-0005-0000-0000-00000A5F0000}"/>
    <cellStyle name="Comma 2 5 3 4 3 2 2" xfId="26002" xr:uid="{00000000-0005-0000-0000-00000B5F0000}"/>
    <cellStyle name="Comma 2 5 3 4 3 2 2 2" xfId="45429" xr:uid="{00000000-0005-0000-0000-00000C5F0000}"/>
    <cellStyle name="Comma 2 5 3 4 3 2 2 3" xfId="39006" xr:uid="{00000000-0005-0000-0000-00000D5F0000}"/>
    <cellStyle name="Comma 2 5 3 4 3 2 3" xfId="28180" xr:uid="{00000000-0005-0000-0000-00000E5F0000}"/>
    <cellStyle name="Comma 2 5 3 4 3 2 3 2" xfId="42222" xr:uid="{00000000-0005-0000-0000-00000F5F0000}"/>
    <cellStyle name="Comma 2 5 3 4 3 2 4" xfId="31515" xr:uid="{00000000-0005-0000-0000-0000105F0000}"/>
    <cellStyle name="Comma 2 5 3 4 3 2 5" xfId="35798" xr:uid="{00000000-0005-0000-0000-0000115F0000}"/>
    <cellStyle name="Comma 2 5 3 4 3 3" xfId="15896" xr:uid="{00000000-0005-0000-0000-0000125F0000}"/>
    <cellStyle name="Comma 2 5 3 4 3 3 2" xfId="24911" xr:uid="{00000000-0005-0000-0000-0000135F0000}"/>
    <cellStyle name="Comma 2 5 3 4 3 3 2 2" xfId="44340" xr:uid="{00000000-0005-0000-0000-0000145F0000}"/>
    <cellStyle name="Comma 2 5 3 4 3 3 2 3" xfId="37917" xr:uid="{00000000-0005-0000-0000-0000155F0000}"/>
    <cellStyle name="Comma 2 5 3 4 3 3 3" xfId="29232" xr:uid="{00000000-0005-0000-0000-0000165F0000}"/>
    <cellStyle name="Comma 2 5 3 4 3 3 3 2" xfId="41133" xr:uid="{00000000-0005-0000-0000-0000175F0000}"/>
    <cellStyle name="Comma 2 5 3 4 3 3 4" xfId="32567" xr:uid="{00000000-0005-0000-0000-0000185F0000}"/>
    <cellStyle name="Comma 2 5 3 4 3 3 5" xfId="34709" xr:uid="{00000000-0005-0000-0000-0000195F0000}"/>
    <cellStyle name="Comma 2 5 3 4 3 4" xfId="8714" xr:uid="{00000000-0005-0000-0000-00001A5F0000}"/>
    <cellStyle name="Comma 2 5 3 4 3 4 2" xfId="43287" xr:uid="{00000000-0005-0000-0000-00001B5F0000}"/>
    <cellStyle name="Comma 2 5 3 4 3 4 3" xfId="36863" xr:uid="{00000000-0005-0000-0000-00001C5F0000}"/>
    <cellStyle name="Comma 2 5 3 4 3 5" xfId="21703" xr:uid="{00000000-0005-0000-0000-00001D5F0000}"/>
    <cellStyle name="Comma 2 5 3 4 3 5 2" xfId="40080" xr:uid="{00000000-0005-0000-0000-00001E5F0000}"/>
    <cellStyle name="Comma 2 5 3 4 3 6" xfId="22776" xr:uid="{00000000-0005-0000-0000-00001F5F0000}"/>
    <cellStyle name="Comma 2 5 3 4 3 7" xfId="23858" xr:uid="{00000000-0005-0000-0000-0000205F0000}"/>
    <cellStyle name="Comma 2 5 3 4 3 8" xfId="27098" xr:uid="{00000000-0005-0000-0000-0000215F0000}"/>
    <cellStyle name="Comma 2 5 3 4 3 9" xfId="30431" xr:uid="{00000000-0005-0000-0000-0000225F0000}"/>
    <cellStyle name="Comma 2 5 3 4 4" xfId="1433" xr:uid="{00000000-0005-0000-0000-0000235F0000}"/>
    <cellStyle name="Comma 2 5 3 4 4 10" xfId="33657" xr:uid="{00000000-0005-0000-0000-0000245F0000}"/>
    <cellStyle name="Comma 2 5 3 4 4 2" xfId="10203" xr:uid="{00000000-0005-0000-0000-0000255F0000}"/>
    <cellStyle name="Comma 2 5 3 4 4 2 2" xfId="26003" xr:uid="{00000000-0005-0000-0000-0000265F0000}"/>
    <cellStyle name="Comma 2 5 3 4 4 2 2 2" xfId="45430" xr:uid="{00000000-0005-0000-0000-0000275F0000}"/>
    <cellStyle name="Comma 2 5 3 4 4 2 2 3" xfId="39007" xr:uid="{00000000-0005-0000-0000-0000285F0000}"/>
    <cellStyle name="Comma 2 5 3 4 4 2 3" xfId="28181" xr:uid="{00000000-0005-0000-0000-0000295F0000}"/>
    <cellStyle name="Comma 2 5 3 4 4 2 3 2" xfId="42223" xr:uid="{00000000-0005-0000-0000-00002A5F0000}"/>
    <cellStyle name="Comma 2 5 3 4 4 2 4" xfId="31516" xr:uid="{00000000-0005-0000-0000-00002B5F0000}"/>
    <cellStyle name="Comma 2 5 3 4 4 2 5" xfId="35799" xr:uid="{00000000-0005-0000-0000-00002C5F0000}"/>
    <cellStyle name="Comma 2 5 3 4 4 3" xfId="15897" xr:uid="{00000000-0005-0000-0000-00002D5F0000}"/>
    <cellStyle name="Comma 2 5 3 4 4 3 2" xfId="24912" xr:uid="{00000000-0005-0000-0000-00002E5F0000}"/>
    <cellStyle name="Comma 2 5 3 4 4 3 2 2" xfId="44341" xr:uid="{00000000-0005-0000-0000-00002F5F0000}"/>
    <cellStyle name="Comma 2 5 3 4 4 3 2 3" xfId="37918" xr:uid="{00000000-0005-0000-0000-0000305F0000}"/>
    <cellStyle name="Comma 2 5 3 4 4 3 3" xfId="29233" xr:uid="{00000000-0005-0000-0000-0000315F0000}"/>
    <cellStyle name="Comma 2 5 3 4 4 3 3 2" xfId="41134" xr:uid="{00000000-0005-0000-0000-0000325F0000}"/>
    <cellStyle name="Comma 2 5 3 4 4 3 4" xfId="32568" xr:uid="{00000000-0005-0000-0000-0000335F0000}"/>
    <cellStyle name="Comma 2 5 3 4 4 3 5" xfId="34710" xr:uid="{00000000-0005-0000-0000-0000345F0000}"/>
    <cellStyle name="Comma 2 5 3 4 4 4" xfId="8715" xr:uid="{00000000-0005-0000-0000-0000355F0000}"/>
    <cellStyle name="Comma 2 5 3 4 4 4 2" xfId="43288" xr:uid="{00000000-0005-0000-0000-0000365F0000}"/>
    <cellStyle name="Comma 2 5 3 4 4 4 3" xfId="36864" xr:uid="{00000000-0005-0000-0000-0000375F0000}"/>
    <cellStyle name="Comma 2 5 3 4 4 5" xfId="21704" xr:uid="{00000000-0005-0000-0000-0000385F0000}"/>
    <cellStyle name="Comma 2 5 3 4 4 5 2" xfId="40081" xr:uid="{00000000-0005-0000-0000-0000395F0000}"/>
    <cellStyle name="Comma 2 5 3 4 4 6" xfId="22777" xr:uid="{00000000-0005-0000-0000-00003A5F0000}"/>
    <cellStyle name="Comma 2 5 3 4 4 7" xfId="23859" xr:uid="{00000000-0005-0000-0000-00003B5F0000}"/>
    <cellStyle name="Comma 2 5 3 4 4 8" xfId="27099" xr:uid="{00000000-0005-0000-0000-00003C5F0000}"/>
    <cellStyle name="Comma 2 5 3 4 4 9" xfId="30432" xr:uid="{00000000-0005-0000-0000-00003D5F0000}"/>
    <cellStyle name="Comma 2 5 3 4 5" xfId="1434" xr:uid="{00000000-0005-0000-0000-00003E5F0000}"/>
    <cellStyle name="Comma 2 5 3 4 5 10" xfId="33658" xr:uid="{00000000-0005-0000-0000-00003F5F0000}"/>
    <cellStyle name="Comma 2 5 3 4 5 2" xfId="10204" xr:uid="{00000000-0005-0000-0000-0000405F0000}"/>
    <cellStyle name="Comma 2 5 3 4 5 2 2" xfId="26004" xr:uid="{00000000-0005-0000-0000-0000415F0000}"/>
    <cellStyle name="Comma 2 5 3 4 5 2 2 2" xfId="45431" xr:uid="{00000000-0005-0000-0000-0000425F0000}"/>
    <cellStyle name="Comma 2 5 3 4 5 2 2 3" xfId="39008" xr:uid="{00000000-0005-0000-0000-0000435F0000}"/>
    <cellStyle name="Comma 2 5 3 4 5 2 3" xfId="28182" xr:uid="{00000000-0005-0000-0000-0000445F0000}"/>
    <cellStyle name="Comma 2 5 3 4 5 2 3 2" xfId="42224" xr:uid="{00000000-0005-0000-0000-0000455F0000}"/>
    <cellStyle name="Comma 2 5 3 4 5 2 4" xfId="31517" xr:uid="{00000000-0005-0000-0000-0000465F0000}"/>
    <cellStyle name="Comma 2 5 3 4 5 2 5" xfId="35800" xr:uid="{00000000-0005-0000-0000-0000475F0000}"/>
    <cellStyle name="Comma 2 5 3 4 5 3" xfId="15898" xr:uid="{00000000-0005-0000-0000-0000485F0000}"/>
    <cellStyle name="Comma 2 5 3 4 5 3 2" xfId="24913" xr:uid="{00000000-0005-0000-0000-0000495F0000}"/>
    <cellStyle name="Comma 2 5 3 4 5 3 2 2" xfId="44342" xr:uid="{00000000-0005-0000-0000-00004A5F0000}"/>
    <cellStyle name="Comma 2 5 3 4 5 3 2 3" xfId="37919" xr:uid="{00000000-0005-0000-0000-00004B5F0000}"/>
    <cellStyle name="Comma 2 5 3 4 5 3 3" xfId="29234" xr:uid="{00000000-0005-0000-0000-00004C5F0000}"/>
    <cellStyle name="Comma 2 5 3 4 5 3 3 2" xfId="41135" xr:uid="{00000000-0005-0000-0000-00004D5F0000}"/>
    <cellStyle name="Comma 2 5 3 4 5 3 4" xfId="32569" xr:uid="{00000000-0005-0000-0000-00004E5F0000}"/>
    <cellStyle name="Comma 2 5 3 4 5 3 5" xfId="34711" xr:uid="{00000000-0005-0000-0000-00004F5F0000}"/>
    <cellStyle name="Comma 2 5 3 4 5 4" xfId="8716" xr:uid="{00000000-0005-0000-0000-0000505F0000}"/>
    <cellStyle name="Comma 2 5 3 4 5 4 2" xfId="43289" xr:uid="{00000000-0005-0000-0000-0000515F0000}"/>
    <cellStyle name="Comma 2 5 3 4 5 4 3" xfId="36865" xr:uid="{00000000-0005-0000-0000-0000525F0000}"/>
    <cellStyle name="Comma 2 5 3 4 5 5" xfId="21705" xr:uid="{00000000-0005-0000-0000-0000535F0000}"/>
    <cellStyle name="Comma 2 5 3 4 5 5 2" xfId="40082" xr:uid="{00000000-0005-0000-0000-0000545F0000}"/>
    <cellStyle name="Comma 2 5 3 4 5 6" xfId="22778" xr:uid="{00000000-0005-0000-0000-0000555F0000}"/>
    <cellStyle name="Comma 2 5 3 4 5 7" xfId="23860" xr:uid="{00000000-0005-0000-0000-0000565F0000}"/>
    <cellStyle name="Comma 2 5 3 4 5 8" xfId="27100" xr:uid="{00000000-0005-0000-0000-0000575F0000}"/>
    <cellStyle name="Comma 2 5 3 4 5 9" xfId="30433" xr:uid="{00000000-0005-0000-0000-0000585F0000}"/>
    <cellStyle name="Comma 2 5 3 4 6" xfId="1435" xr:uid="{00000000-0005-0000-0000-0000595F0000}"/>
    <cellStyle name="Comma 2 5 3 4 6 10" xfId="33659" xr:uid="{00000000-0005-0000-0000-00005A5F0000}"/>
    <cellStyle name="Comma 2 5 3 4 6 2" xfId="10205" xr:uid="{00000000-0005-0000-0000-00005B5F0000}"/>
    <cellStyle name="Comma 2 5 3 4 6 2 2" xfId="26005" xr:uid="{00000000-0005-0000-0000-00005C5F0000}"/>
    <cellStyle name="Comma 2 5 3 4 6 2 2 2" xfId="45432" xr:uid="{00000000-0005-0000-0000-00005D5F0000}"/>
    <cellStyle name="Comma 2 5 3 4 6 2 2 3" xfId="39009" xr:uid="{00000000-0005-0000-0000-00005E5F0000}"/>
    <cellStyle name="Comma 2 5 3 4 6 2 3" xfId="28183" xr:uid="{00000000-0005-0000-0000-00005F5F0000}"/>
    <cellStyle name="Comma 2 5 3 4 6 2 3 2" xfId="42225" xr:uid="{00000000-0005-0000-0000-0000605F0000}"/>
    <cellStyle name="Comma 2 5 3 4 6 2 4" xfId="31518" xr:uid="{00000000-0005-0000-0000-0000615F0000}"/>
    <cellStyle name="Comma 2 5 3 4 6 2 5" xfId="35801" xr:uid="{00000000-0005-0000-0000-0000625F0000}"/>
    <cellStyle name="Comma 2 5 3 4 6 3" xfId="15899" xr:uid="{00000000-0005-0000-0000-0000635F0000}"/>
    <cellStyle name="Comma 2 5 3 4 6 3 2" xfId="24914" xr:uid="{00000000-0005-0000-0000-0000645F0000}"/>
    <cellStyle name="Comma 2 5 3 4 6 3 2 2" xfId="44343" xr:uid="{00000000-0005-0000-0000-0000655F0000}"/>
    <cellStyle name="Comma 2 5 3 4 6 3 2 3" xfId="37920" xr:uid="{00000000-0005-0000-0000-0000665F0000}"/>
    <cellStyle name="Comma 2 5 3 4 6 3 3" xfId="29235" xr:uid="{00000000-0005-0000-0000-0000675F0000}"/>
    <cellStyle name="Comma 2 5 3 4 6 3 3 2" xfId="41136" xr:uid="{00000000-0005-0000-0000-0000685F0000}"/>
    <cellStyle name="Comma 2 5 3 4 6 3 4" xfId="32570" xr:uid="{00000000-0005-0000-0000-0000695F0000}"/>
    <cellStyle name="Comma 2 5 3 4 6 3 5" xfId="34712" xr:uid="{00000000-0005-0000-0000-00006A5F0000}"/>
    <cellStyle name="Comma 2 5 3 4 6 4" xfId="8717" xr:uid="{00000000-0005-0000-0000-00006B5F0000}"/>
    <cellStyle name="Comma 2 5 3 4 6 4 2" xfId="43290" xr:uid="{00000000-0005-0000-0000-00006C5F0000}"/>
    <cellStyle name="Comma 2 5 3 4 6 4 3" xfId="36866" xr:uid="{00000000-0005-0000-0000-00006D5F0000}"/>
    <cellStyle name="Comma 2 5 3 4 6 5" xfId="21706" xr:uid="{00000000-0005-0000-0000-00006E5F0000}"/>
    <cellStyle name="Comma 2 5 3 4 6 5 2" xfId="40083" xr:uid="{00000000-0005-0000-0000-00006F5F0000}"/>
    <cellStyle name="Comma 2 5 3 4 6 6" xfId="22779" xr:uid="{00000000-0005-0000-0000-0000705F0000}"/>
    <cellStyle name="Comma 2 5 3 4 6 7" xfId="23861" xr:uid="{00000000-0005-0000-0000-0000715F0000}"/>
    <cellStyle name="Comma 2 5 3 4 6 8" xfId="27101" xr:uid="{00000000-0005-0000-0000-0000725F0000}"/>
    <cellStyle name="Comma 2 5 3 4 6 9" xfId="30434" xr:uid="{00000000-0005-0000-0000-0000735F0000}"/>
    <cellStyle name="Comma 2 5 3 4 7" xfId="9148" xr:uid="{00000000-0005-0000-0000-0000745F0000}"/>
    <cellStyle name="Comma 2 5 3 4 7 2" xfId="25202" xr:uid="{00000000-0005-0000-0000-0000755F0000}"/>
    <cellStyle name="Comma 2 5 3 4 7 2 2" xfId="44629" xr:uid="{00000000-0005-0000-0000-0000765F0000}"/>
    <cellStyle name="Comma 2 5 3 4 7 2 3" xfId="38206" xr:uid="{00000000-0005-0000-0000-0000775F0000}"/>
    <cellStyle name="Comma 2 5 3 4 7 3" xfId="27381" xr:uid="{00000000-0005-0000-0000-0000785F0000}"/>
    <cellStyle name="Comma 2 5 3 4 7 3 2" xfId="41422" xr:uid="{00000000-0005-0000-0000-0000795F0000}"/>
    <cellStyle name="Comma 2 5 3 4 7 4" xfId="30716" xr:uid="{00000000-0005-0000-0000-00007A5F0000}"/>
    <cellStyle name="Comma 2 5 3 4 7 5" xfId="34998" xr:uid="{00000000-0005-0000-0000-00007B5F0000}"/>
    <cellStyle name="Comma 2 5 3 4 8" xfId="15894" xr:uid="{00000000-0005-0000-0000-00007C5F0000}"/>
    <cellStyle name="Comma 2 5 3 4 8 2" xfId="24909" xr:uid="{00000000-0005-0000-0000-00007D5F0000}"/>
    <cellStyle name="Comma 2 5 3 4 8 2 2" xfId="44338" xr:uid="{00000000-0005-0000-0000-00007E5F0000}"/>
    <cellStyle name="Comma 2 5 3 4 8 2 3" xfId="37915" xr:uid="{00000000-0005-0000-0000-00007F5F0000}"/>
    <cellStyle name="Comma 2 5 3 4 8 3" xfId="29230" xr:uid="{00000000-0005-0000-0000-0000805F0000}"/>
    <cellStyle name="Comma 2 5 3 4 8 3 2" xfId="41131" xr:uid="{00000000-0005-0000-0000-0000815F0000}"/>
    <cellStyle name="Comma 2 5 3 4 8 4" xfId="32565" xr:uid="{00000000-0005-0000-0000-0000825F0000}"/>
    <cellStyle name="Comma 2 5 3 4 8 5" xfId="34707" xr:uid="{00000000-0005-0000-0000-0000835F0000}"/>
    <cellStyle name="Comma 2 5 3 4 9" xfId="8712" xr:uid="{00000000-0005-0000-0000-0000845F0000}"/>
    <cellStyle name="Comma 2 5 3 4 9 2" xfId="42492" xr:uid="{00000000-0005-0000-0000-0000855F0000}"/>
    <cellStyle name="Comma 2 5 3 4 9 3" xfId="36068" xr:uid="{00000000-0005-0000-0000-0000865F0000}"/>
    <cellStyle name="Comma 2 5 3 5" xfId="1436" xr:uid="{00000000-0005-0000-0000-0000875F0000}"/>
    <cellStyle name="Comma 2 5 3 5 10" xfId="22780" xr:uid="{00000000-0005-0000-0000-0000885F0000}"/>
    <cellStyle name="Comma 2 5 3 5 11" xfId="23862" xr:uid="{00000000-0005-0000-0000-0000895F0000}"/>
    <cellStyle name="Comma 2 5 3 5 12" xfId="27102" xr:uid="{00000000-0005-0000-0000-00008A5F0000}"/>
    <cellStyle name="Comma 2 5 3 5 13" xfId="30435" xr:uid="{00000000-0005-0000-0000-00008B5F0000}"/>
    <cellStyle name="Comma 2 5 3 5 14" xfId="33660" xr:uid="{00000000-0005-0000-0000-00008C5F0000}"/>
    <cellStyle name="Comma 2 5 3 5 2" xfId="1437" xr:uid="{00000000-0005-0000-0000-00008D5F0000}"/>
    <cellStyle name="Comma 2 5 3 5 2 10" xfId="33661" xr:uid="{00000000-0005-0000-0000-00008E5F0000}"/>
    <cellStyle name="Comma 2 5 3 5 2 2" xfId="10207" xr:uid="{00000000-0005-0000-0000-00008F5F0000}"/>
    <cellStyle name="Comma 2 5 3 5 2 2 2" xfId="26007" xr:uid="{00000000-0005-0000-0000-0000905F0000}"/>
    <cellStyle name="Comma 2 5 3 5 2 2 2 2" xfId="45434" xr:uid="{00000000-0005-0000-0000-0000915F0000}"/>
    <cellStyle name="Comma 2 5 3 5 2 2 2 3" xfId="39011" xr:uid="{00000000-0005-0000-0000-0000925F0000}"/>
    <cellStyle name="Comma 2 5 3 5 2 2 3" xfId="28185" xr:uid="{00000000-0005-0000-0000-0000935F0000}"/>
    <cellStyle name="Comma 2 5 3 5 2 2 3 2" xfId="42227" xr:uid="{00000000-0005-0000-0000-0000945F0000}"/>
    <cellStyle name="Comma 2 5 3 5 2 2 4" xfId="31520" xr:uid="{00000000-0005-0000-0000-0000955F0000}"/>
    <cellStyle name="Comma 2 5 3 5 2 2 5" xfId="35803" xr:uid="{00000000-0005-0000-0000-0000965F0000}"/>
    <cellStyle name="Comma 2 5 3 5 2 3" xfId="15901" xr:uid="{00000000-0005-0000-0000-0000975F0000}"/>
    <cellStyle name="Comma 2 5 3 5 2 3 2" xfId="24916" xr:uid="{00000000-0005-0000-0000-0000985F0000}"/>
    <cellStyle name="Comma 2 5 3 5 2 3 2 2" xfId="44345" xr:uid="{00000000-0005-0000-0000-0000995F0000}"/>
    <cellStyle name="Comma 2 5 3 5 2 3 2 3" xfId="37922" xr:uid="{00000000-0005-0000-0000-00009A5F0000}"/>
    <cellStyle name="Comma 2 5 3 5 2 3 3" xfId="29237" xr:uid="{00000000-0005-0000-0000-00009B5F0000}"/>
    <cellStyle name="Comma 2 5 3 5 2 3 3 2" xfId="41138" xr:uid="{00000000-0005-0000-0000-00009C5F0000}"/>
    <cellStyle name="Comma 2 5 3 5 2 3 4" xfId="32572" xr:uid="{00000000-0005-0000-0000-00009D5F0000}"/>
    <cellStyle name="Comma 2 5 3 5 2 3 5" xfId="34714" xr:uid="{00000000-0005-0000-0000-00009E5F0000}"/>
    <cellStyle name="Comma 2 5 3 5 2 4" xfId="8719" xr:uid="{00000000-0005-0000-0000-00009F5F0000}"/>
    <cellStyle name="Comma 2 5 3 5 2 4 2" xfId="43292" xr:uid="{00000000-0005-0000-0000-0000A05F0000}"/>
    <cellStyle name="Comma 2 5 3 5 2 4 3" xfId="36868" xr:uid="{00000000-0005-0000-0000-0000A15F0000}"/>
    <cellStyle name="Comma 2 5 3 5 2 5" xfId="21708" xr:uid="{00000000-0005-0000-0000-0000A25F0000}"/>
    <cellStyle name="Comma 2 5 3 5 2 5 2" xfId="40085" xr:uid="{00000000-0005-0000-0000-0000A35F0000}"/>
    <cellStyle name="Comma 2 5 3 5 2 6" xfId="22781" xr:uid="{00000000-0005-0000-0000-0000A45F0000}"/>
    <cellStyle name="Comma 2 5 3 5 2 7" xfId="23863" xr:uid="{00000000-0005-0000-0000-0000A55F0000}"/>
    <cellStyle name="Comma 2 5 3 5 2 8" xfId="27103" xr:uid="{00000000-0005-0000-0000-0000A65F0000}"/>
    <cellStyle name="Comma 2 5 3 5 2 9" xfId="30436" xr:uid="{00000000-0005-0000-0000-0000A75F0000}"/>
    <cellStyle name="Comma 2 5 3 5 3" xfId="1438" xr:uid="{00000000-0005-0000-0000-0000A85F0000}"/>
    <cellStyle name="Comma 2 5 3 5 3 10" xfId="33662" xr:uid="{00000000-0005-0000-0000-0000A95F0000}"/>
    <cellStyle name="Comma 2 5 3 5 3 2" xfId="10208" xr:uid="{00000000-0005-0000-0000-0000AA5F0000}"/>
    <cellStyle name="Comma 2 5 3 5 3 2 2" xfId="26008" xr:uid="{00000000-0005-0000-0000-0000AB5F0000}"/>
    <cellStyle name="Comma 2 5 3 5 3 2 2 2" xfId="45435" xr:uid="{00000000-0005-0000-0000-0000AC5F0000}"/>
    <cellStyle name="Comma 2 5 3 5 3 2 2 3" xfId="39012" xr:uid="{00000000-0005-0000-0000-0000AD5F0000}"/>
    <cellStyle name="Comma 2 5 3 5 3 2 3" xfId="28186" xr:uid="{00000000-0005-0000-0000-0000AE5F0000}"/>
    <cellStyle name="Comma 2 5 3 5 3 2 3 2" xfId="42228" xr:uid="{00000000-0005-0000-0000-0000AF5F0000}"/>
    <cellStyle name="Comma 2 5 3 5 3 2 4" xfId="31521" xr:uid="{00000000-0005-0000-0000-0000B05F0000}"/>
    <cellStyle name="Comma 2 5 3 5 3 2 5" xfId="35804" xr:uid="{00000000-0005-0000-0000-0000B15F0000}"/>
    <cellStyle name="Comma 2 5 3 5 3 3" xfId="15902" xr:uid="{00000000-0005-0000-0000-0000B25F0000}"/>
    <cellStyle name="Comma 2 5 3 5 3 3 2" xfId="24917" xr:uid="{00000000-0005-0000-0000-0000B35F0000}"/>
    <cellStyle name="Comma 2 5 3 5 3 3 2 2" xfId="44346" xr:uid="{00000000-0005-0000-0000-0000B45F0000}"/>
    <cellStyle name="Comma 2 5 3 5 3 3 2 3" xfId="37923" xr:uid="{00000000-0005-0000-0000-0000B55F0000}"/>
    <cellStyle name="Comma 2 5 3 5 3 3 3" xfId="29238" xr:uid="{00000000-0005-0000-0000-0000B65F0000}"/>
    <cellStyle name="Comma 2 5 3 5 3 3 3 2" xfId="41139" xr:uid="{00000000-0005-0000-0000-0000B75F0000}"/>
    <cellStyle name="Comma 2 5 3 5 3 3 4" xfId="32573" xr:uid="{00000000-0005-0000-0000-0000B85F0000}"/>
    <cellStyle name="Comma 2 5 3 5 3 3 5" xfId="34715" xr:uid="{00000000-0005-0000-0000-0000B95F0000}"/>
    <cellStyle name="Comma 2 5 3 5 3 4" xfId="8720" xr:uid="{00000000-0005-0000-0000-0000BA5F0000}"/>
    <cellStyle name="Comma 2 5 3 5 3 4 2" xfId="43293" xr:uid="{00000000-0005-0000-0000-0000BB5F0000}"/>
    <cellStyle name="Comma 2 5 3 5 3 4 3" xfId="36869" xr:uid="{00000000-0005-0000-0000-0000BC5F0000}"/>
    <cellStyle name="Comma 2 5 3 5 3 5" xfId="21709" xr:uid="{00000000-0005-0000-0000-0000BD5F0000}"/>
    <cellStyle name="Comma 2 5 3 5 3 5 2" xfId="40086" xr:uid="{00000000-0005-0000-0000-0000BE5F0000}"/>
    <cellStyle name="Comma 2 5 3 5 3 6" xfId="22782" xr:uid="{00000000-0005-0000-0000-0000BF5F0000}"/>
    <cellStyle name="Comma 2 5 3 5 3 7" xfId="23864" xr:uid="{00000000-0005-0000-0000-0000C05F0000}"/>
    <cellStyle name="Comma 2 5 3 5 3 8" xfId="27104" xr:uid="{00000000-0005-0000-0000-0000C15F0000}"/>
    <cellStyle name="Comma 2 5 3 5 3 9" xfId="30437" xr:uid="{00000000-0005-0000-0000-0000C25F0000}"/>
    <cellStyle name="Comma 2 5 3 5 4" xfId="1439" xr:uid="{00000000-0005-0000-0000-0000C35F0000}"/>
    <cellStyle name="Comma 2 5 3 5 4 10" xfId="33663" xr:uid="{00000000-0005-0000-0000-0000C45F0000}"/>
    <cellStyle name="Comma 2 5 3 5 4 2" xfId="10209" xr:uid="{00000000-0005-0000-0000-0000C55F0000}"/>
    <cellStyle name="Comma 2 5 3 5 4 2 2" xfId="26009" xr:uid="{00000000-0005-0000-0000-0000C65F0000}"/>
    <cellStyle name="Comma 2 5 3 5 4 2 2 2" xfId="45436" xr:uid="{00000000-0005-0000-0000-0000C75F0000}"/>
    <cellStyle name="Comma 2 5 3 5 4 2 2 3" xfId="39013" xr:uid="{00000000-0005-0000-0000-0000C85F0000}"/>
    <cellStyle name="Comma 2 5 3 5 4 2 3" xfId="28187" xr:uid="{00000000-0005-0000-0000-0000C95F0000}"/>
    <cellStyle name="Comma 2 5 3 5 4 2 3 2" xfId="42229" xr:uid="{00000000-0005-0000-0000-0000CA5F0000}"/>
    <cellStyle name="Comma 2 5 3 5 4 2 4" xfId="31522" xr:uid="{00000000-0005-0000-0000-0000CB5F0000}"/>
    <cellStyle name="Comma 2 5 3 5 4 2 5" xfId="35805" xr:uid="{00000000-0005-0000-0000-0000CC5F0000}"/>
    <cellStyle name="Comma 2 5 3 5 4 3" xfId="15903" xr:uid="{00000000-0005-0000-0000-0000CD5F0000}"/>
    <cellStyle name="Comma 2 5 3 5 4 3 2" xfId="24918" xr:uid="{00000000-0005-0000-0000-0000CE5F0000}"/>
    <cellStyle name="Comma 2 5 3 5 4 3 2 2" xfId="44347" xr:uid="{00000000-0005-0000-0000-0000CF5F0000}"/>
    <cellStyle name="Comma 2 5 3 5 4 3 2 3" xfId="37924" xr:uid="{00000000-0005-0000-0000-0000D05F0000}"/>
    <cellStyle name="Comma 2 5 3 5 4 3 3" xfId="29239" xr:uid="{00000000-0005-0000-0000-0000D15F0000}"/>
    <cellStyle name="Comma 2 5 3 5 4 3 3 2" xfId="41140" xr:uid="{00000000-0005-0000-0000-0000D25F0000}"/>
    <cellStyle name="Comma 2 5 3 5 4 3 4" xfId="32574" xr:uid="{00000000-0005-0000-0000-0000D35F0000}"/>
    <cellStyle name="Comma 2 5 3 5 4 3 5" xfId="34716" xr:uid="{00000000-0005-0000-0000-0000D45F0000}"/>
    <cellStyle name="Comma 2 5 3 5 4 4" xfId="8721" xr:uid="{00000000-0005-0000-0000-0000D55F0000}"/>
    <cellStyle name="Comma 2 5 3 5 4 4 2" xfId="43294" xr:uid="{00000000-0005-0000-0000-0000D65F0000}"/>
    <cellStyle name="Comma 2 5 3 5 4 4 3" xfId="36870" xr:uid="{00000000-0005-0000-0000-0000D75F0000}"/>
    <cellStyle name="Comma 2 5 3 5 4 5" xfId="21710" xr:uid="{00000000-0005-0000-0000-0000D85F0000}"/>
    <cellStyle name="Comma 2 5 3 5 4 5 2" xfId="40087" xr:uid="{00000000-0005-0000-0000-0000D95F0000}"/>
    <cellStyle name="Comma 2 5 3 5 4 6" xfId="22783" xr:uid="{00000000-0005-0000-0000-0000DA5F0000}"/>
    <cellStyle name="Comma 2 5 3 5 4 7" xfId="23865" xr:uid="{00000000-0005-0000-0000-0000DB5F0000}"/>
    <cellStyle name="Comma 2 5 3 5 4 8" xfId="27105" xr:uid="{00000000-0005-0000-0000-0000DC5F0000}"/>
    <cellStyle name="Comma 2 5 3 5 4 9" xfId="30438" xr:uid="{00000000-0005-0000-0000-0000DD5F0000}"/>
    <cellStyle name="Comma 2 5 3 5 5" xfId="1440" xr:uid="{00000000-0005-0000-0000-0000DE5F0000}"/>
    <cellStyle name="Comma 2 5 3 5 5 10" xfId="33664" xr:uid="{00000000-0005-0000-0000-0000DF5F0000}"/>
    <cellStyle name="Comma 2 5 3 5 5 2" xfId="10210" xr:uid="{00000000-0005-0000-0000-0000E05F0000}"/>
    <cellStyle name="Comma 2 5 3 5 5 2 2" xfId="26010" xr:uid="{00000000-0005-0000-0000-0000E15F0000}"/>
    <cellStyle name="Comma 2 5 3 5 5 2 2 2" xfId="45437" xr:uid="{00000000-0005-0000-0000-0000E25F0000}"/>
    <cellStyle name="Comma 2 5 3 5 5 2 2 3" xfId="39014" xr:uid="{00000000-0005-0000-0000-0000E35F0000}"/>
    <cellStyle name="Comma 2 5 3 5 5 2 3" xfId="28188" xr:uid="{00000000-0005-0000-0000-0000E45F0000}"/>
    <cellStyle name="Comma 2 5 3 5 5 2 3 2" xfId="42230" xr:uid="{00000000-0005-0000-0000-0000E55F0000}"/>
    <cellStyle name="Comma 2 5 3 5 5 2 4" xfId="31523" xr:uid="{00000000-0005-0000-0000-0000E65F0000}"/>
    <cellStyle name="Comma 2 5 3 5 5 2 5" xfId="35806" xr:uid="{00000000-0005-0000-0000-0000E75F0000}"/>
    <cellStyle name="Comma 2 5 3 5 5 3" xfId="15904" xr:uid="{00000000-0005-0000-0000-0000E85F0000}"/>
    <cellStyle name="Comma 2 5 3 5 5 3 2" xfId="24919" xr:uid="{00000000-0005-0000-0000-0000E95F0000}"/>
    <cellStyle name="Comma 2 5 3 5 5 3 2 2" xfId="44348" xr:uid="{00000000-0005-0000-0000-0000EA5F0000}"/>
    <cellStyle name="Comma 2 5 3 5 5 3 2 3" xfId="37925" xr:uid="{00000000-0005-0000-0000-0000EB5F0000}"/>
    <cellStyle name="Comma 2 5 3 5 5 3 3" xfId="29240" xr:uid="{00000000-0005-0000-0000-0000EC5F0000}"/>
    <cellStyle name="Comma 2 5 3 5 5 3 3 2" xfId="41141" xr:uid="{00000000-0005-0000-0000-0000ED5F0000}"/>
    <cellStyle name="Comma 2 5 3 5 5 3 4" xfId="32575" xr:uid="{00000000-0005-0000-0000-0000EE5F0000}"/>
    <cellStyle name="Comma 2 5 3 5 5 3 5" xfId="34717" xr:uid="{00000000-0005-0000-0000-0000EF5F0000}"/>
    <cellStyle name="Comma 2 5 3 5 5 4" xfId="8722" xr:uid="{00000000-0005-0000-0000-0000F05F0000}"/>
    <cellStyle name="Comma 2 5 3 5 5 4 2" xfId="43295" xr:uid="{00000000-0005-0000-0000-0000F15F0000}"/>
    <cellStyle name="Comma 2 5 3 5 5 4 3" xfId="36871" xr:uid="{00000000-0005-0000-0000-0000F25F0000}"/>
    <cellStyle name="Comma 2 5 3 5 5 5" xfId="21711" xr:uid="{00000000-0005-0000-0000-0000F35F0000}"/>
    <cellStyle name="Comma 2 5 3 5 5 5 2" xfId="40088" xr:uid="{00000000-0005-0000-0000-0000F45F0000}"/>
    <cellStyle name="Comma 2 5 3 5 5 6" xfId="22784" xr:uid="{00000000-0005-0000-0000-0000F55F0000}"/>
    <cellStyle name="Comma 2 5 3 5 5 7" xfId="23866" xr:uid="{00000000-0005-0000-0000-0000F65F0000}"/>
    <cellStyle name="Comma 2 5 3 5 5 8" xfId="27106" xr:uid="{00000000-0005-0000-0000-0000F75F0000}"/>
    <cellStyle name="Comma 2 5 3 5 5 9" xfId="30439" xr:uid="{00000000-0005-0000-0000-0000F85F0000}"/>
    <cellStyle name="Comma 2 5 3 5 6" xfId="10206" xr:uid="{00000000-0005-0000-0000-0000F95F0000}"/>
    <cellStyle name="Comma 2 5 3 5 6 2" xfId="26006" xr:uid="{00000000-0005-0000-0000-0000FA5F0000}"/>
    <cellStyle name="Comma 2 5 3 5 6 2 2" xfId="45433" xr:uid="{00000000-0005-0000-0000-0000FB5F0000}"/>
    <cellStyle name="Comma 2 5 3 5 6 2 3" xfId="39010" xr:uid="{00000000-0005-0000-0000-0000FC5F0000}"/>
    <cellStyle name="Comma 2 5 3 5 6 3" xfId="28184" xr:uid="{00000000-0005-0000-0000-0000FD5F0000}"/>
    <cellStyle name="Comma 2 5 3 5 6 3 2" xfId="42226" xr:uid="{00000000-0005-0000-0000-0000FE5F0000}"/>
    <cellStyle name="Comma 2 5 3 5 6 4" xfId="31519" xr:uid="{00000000-0005-0000-0000-0000FF5F0000}"/>
    <cellStyle name="Comma 2 5 3 5 6 5" xfId="35802" xr:uid="{00000000-0005-0000-0000-000000600000}"/>
    <cellStyle name="Comma 2 5 3 5 7" xfId="15900" xr:uid="{00000000-0005-0000-0000-000001600000}"/>
    <cellStyle name="Comma 2 5 3 5 7 2" xfId="24915" xr:uid="{00000000-0005-0000-0000-000002600000}"/>
    <cellStyle name="Comma 2 5 3 5 7 2 2" xfId="44344" xr:uid="{00000000-0005-0000-0000-000003600000}"/>
    <cellStyle name="Comma 2 5 3 5 7 2 3" xfId="37921" xr:uid="{00000000-0005-0000-0000-000004600000}"/>
    <cellStyle name="Comma 2 5 3 5 7 3" xfId="29236" xr:uid="{00000000-0005-0000-0000-000005600000}"/>
    <cellStyle name="Comma 2 5 3 5 7 3 2" xfId="41137" xr:uid="{00000000-0005-0000-0000-000006600000}"/>
    <cellStyle name="Comma 2 5 3 5 7 4" xfId="32571" xr:uid="{00000000-0005-0000-0000-000007600000}"/>
    <cellStyle name="Comma 2 5 3 5 7 5" xfId="34713" xr:uid="{00000000-0005-0000-0000-000008600000}"/>
    <cellStyle name="Comma 2 5 3 5 8" xfId="8718" xr:uid="{00000000-0005-0000-0000-000009600000}"/>
    <cellStyle name="Comma 2 5 3 5 8 2" xfId="43291" xr:uid="{00000000-0005-0000-0000-00000A600000}"/>
    <cellStyle name="Comma 2 5 3 5 8 3" xfId="36867" xr:uid="{00000000-0005-0000-0000-00000B600000}"/>
    <cellStyle name="Comma 2 5 3 5 9" xfId="21707" xr:uid="{00000000-0005-0000-0000-00000C600000}"/>
    <cellStyle name="Comma 2 5 3 5 9 2" xfId="40084" xr:uid="{00000000-0005-0000-0000-00000D600000}"/>
    <cellStyle name="Comma 2 5 3 6" xfId="1441" xr:uid="{00000000-0005-0000-0000-00000E600000}"/>
    <cellStyle name="Comma 2 5 3 6 10" xfId="22785" xr:uid="{00000000-0005-0000-0000-00000F600000}"/>
    <cellStyle name="Comma 2 5 3 6 11" xfId="23867" xr:uid="{00000000-0005-0000-0000-000010600000}"/>
    <cellStyle name="Comma 2 5 3 6 12" xfId="27107" xr:uid="{00000000-0005-0000-0000-000011600000}"/>
    <cellStyle name="Comma 2 5 3 6 13" xfId="30440" xr:uid="{00000000-0005-0000-0000-000012600000}"/>
    <cellStyle name="Comma 2 5 3 6 14" xfId="33665" xr:uid="{00000000-0005-0000-0000-000013600000}"/>
    <cellStyle name="Comma 2 5 3 6 2" xfId="1442" xr:uid="{00000000-0005-0000-0000-000014600000}"/>
    <cellStyle name="Comma 2 5 3 6 2 10" xfId="33666" xr:uid="{00000000-0005-0000-0000-000015600000}"/>
    <cellStyle name="Comma 2 5 3 6 2 2" xfId="10212" xr:uid="{00000000-0005-0000-0000-000016600000}"/>
    <cellStyle name="Comma 2 5 3 6 2 2 2" xfId="26012" xr:uid="{00000000-0005-0000-0000-000017600000}"/>
    <cellStyle name="Comma 2 5 3 6 2 2 2 2" xfId="45439" xr:uid="{00000000-0005-0000-0000-000018600000}"/>
    <cellStyle name="Comma 2 5 3 6 2 2 2 3" xfId="39016" xr:uid="{00000000-0005-0000-0000-000019600000}"/>
    <cellStyle name="Comma 2 5 3 6 2 2 3" xfId="28190" xr:uid="{00000000-0005-0000-0000-00001A600000}"/>
    <cellStyle name="Comma 2 5 3 6 2 2 3 2" xfId="42232" xr:uid="{00000000-0005-0000-0000-00001B600000}"/>
    <cellStyle name="Comma 2 5 3 6 2 2 4" xfId="31525" xr:uid="{00000000-0005-0000-0000-00001C600000}"/>
    <cellStyle name="Comma 2 5 3 6 2 2 5" xfId="35808" xr:uid="{00000000-0005-0000-0000-00001D600000}"/>
    <cellStyle name="Comma 2 5 3 6 2 3" xfId="15906" xr:uid="{00000000-0005-0000-0000-00001E600000}"/>
    <cellStyle name="Comma 2 5 3 6 2 3 2" xfId="24921" xr:uid="{00000000-0005-0000-0000-00001F600000}"/>
    <cellStyle name="Comma 2 5 3 6 2 3 2 2" xfId="44350" xr:uid="{00000000-0005-0000-0000-000020600000}"/>
    <cellStyle name="Comma 2 5 3 6 2 3 2 3" xfId="37927" xr:uid="{00000000-0005-0000-0000-000021600000}"/>
    <cellStyle name="Comma 2 5 3 6 2 3 3" xfId="29242" xr:uid="{00000000-0005-0000-0000-000022600000}"/>
    <cellStyle name="Comma 2 5 3 6 2 3 3 2" xfId="41143" xr:uid="{00000000-0005-0000-0000-000023600000}"/>
    <cellStyle name="Comma 2 5 3 6 2 3 4" xfId="32577" xr:uid="{00000000-0005-0000-0000-000024600000}"/>
    <cellStyle name="Comma 2 5 3 6 2 3 5" xfId="34719" xr:uid="{00000000-0005-0000-0000-000025600000}"/>
    <cellStyle name="Comma 2 5 3 6 2 4" xfId="8724" xr:uid="{00000000-0005-0000-0000-000026600000}"/>
    <cellStyle name="Comma 2 5 3 6 2 4 2" xfId="43297" xr:uid="{00000000-0005-0000-0000-000027600000}"/>
    <cellStyle name="Comma 2 5 3 6 2 4 3" xfId="36873" xr:uid="{00000000-0005-0000-0000-000028600000}"/>
    <cellStyle name="Comma 2 5 3 6 2 5" xfId="21713" xr:uid="{00000000-0005-0000-0000-000029600000}"/>
    <cellStyle name="Comma 2 5 3 6 2 5 2" xfId="40090" xr:uid="{00000000-0005-0000-0000-00002A600000}"/>
    <cellStyle name="Comma 2 5 3 6 2 6" xfId="22786" xr:uid="{00000000-0005-0000-0000-00002B600000}"/>
    <cellStyle name="Comma 2 5 3 6 2 7" xfId="23868" xr:uid="{00000000-0005-0000-0000-00002C600000}"/>
    <cellStyle name="Comma 2 5 3 6 2 8" xfId="27108" xr:uid="{00000000-0005-0000-0000-00002D600000}"/>
    <cellStyle name="Comma 2 5 3 6 2 9" xfId="30441" xr:uid="{00000000-0005-0000-0000-00002E600000}"/>
    <cellStyle name="Comma 2 5 3 6 3" xfId="1443" xr:uid="{00000000-0005-0000-0000-00002F600000}"/>
    <cellStyle name="Comma 2 5 3 6 3 10" xfId="33667" xr:uid="{00000000-0005-0000-0000-000030600000}"/>
    <cellStyle name="Comma 2 5 3 6 3 2" xfId="10213" xr:uid="{00000000-0005-0000-0000-000031600000}"/>
    <cellStyle name="Comma 2 5 3 6 3 2 2" xfId="26013" xr:uid="{00000000-0005-0000-0000-000032600000}"/>
    <cellStyle name="Comma 2 5 3 6 3 2 2 2" xfId="45440" xr:uid="{00000000-0005-0000-0000-000033600000}"/>
    <cellStyle name="Comma 2 5 3 6 3 2 2 3" xfId="39017" xr:uid="{00000000-0005-0000-0000-000034600000}"/>
    <cellStyle name="Comma 2 5 3 6 3 2 3" xfId="28191" xr:uid="{00000000-0005-0000-0000-000035600000}"/>
    <cellStyle name="Comma 2 5 3 6 3 2 3 2" xfId="42233" xr:uid="{00000000-0005-0000-0000-000036600000}"/>
    <cellStyle name="Comma 2 5 3 6 3 2 4" xfId="31526" xr:uid="{00000000-0005-0000-0000-000037600000}"/>
    <cellStyle name="Comma 2 5 3 6 3 2 5" xfId="35809" xr:uid="{00000000-0005-0000-0000-000038600000}"/>
    <cellStyle name="Comma 2 5 3 6 3 3" xfId="15907" xr:uid="{00000000-0005-0000-0000-000039600000}"/>
    <cellStyle name="Comma 2 5 3 6 3 3 2" xfId="24922" xr:uid="{00000000-0005-0000-0000-00003A600000}"/>
    <cellStyle name="Comma 2 5 3 6 3 3 2 2" xfId="44351" xr:uid="{00000000-0005-0000-0000-00003B600000}"/>
    <cellStyle name="Comma 2 5 3 6 3 3 2 3" xfId="37928" xr:uid="{00000000-0005-0000-0000-00003C600000}"/>
    <cellStyle name="Comma 2 5 3 6 3 3 3" xfId="29243" xr:uid="{00000000-0005-0000-0000-00003D600000}"/>
    <cellStyle name="Comma 2 5 3 6 3 3 3 2" xfId="41144" xr:uid="{00000000-0005-0000-0000-00003E600000}"/>
    <cellStyle name="Comma 2 5 3 6 3 3 4" xfId="32578" xr:uid="{00000000-0005-0000-0000-00003F600000}"/>
    <cellStyle name="Comma 2 5 3 6 3 3 5" xfId="34720" xr:uid="{00000000-0005-0000-0000-000040600000}"/>
    <cellStyle name="Comma 2 5 3 6 3 4" xfId="8725" xr:uid="{00000000-0005-0000-0000-000041600000}"/>
    <cellStyle name="Comma 2 5 3 6 3 4 2" xfId="43298" xr:uid="{00000000-0005-0000-0000-000042600000}"/>
    <cellStyle name="Comma 2 5 3 6 3 4 3" xfId="36874" xr:uid="{00000000-0005-0000-0000-000043600000}"/>
    <cellStyle name="Comma 2 5 3 6 3 5" xfId="21714" xr:uid="{00000000-0005-0000-0000-000044600000}"/>
    <cellStyle name="Comma 2 5 3 6 3 5 2" xfId="40091" xr:uid="{00000000-0005-0000-0000-000045600000}"/>
    <cellStyle name="Comma 2 5 3 6 3 6" xfId="22787" xr:uid="{00000000-0005-0000-0000-000046600000}"/>
    <cellStyle name="Comma 2 5 3 6 3 7" xfId="23869" xr:uid="{00000000-0005-0000-0000-000047600000}"/>
    <cellStyle name="Comma 2 5 3 6 3 8" xfId="27109" xr:uid="{00000000-0005-0000-0000-000048600000}"/>
    <cellStyle name="Comma 2 5 3 6 3 9" xfId="30442" xr:uid="{00000000-0005-0000-0000-000049600000}"/>
    <cellStyle name="Comma 2 5 3 6 4" xfId="1444" xr:uid="{00000000-0005-0000-0000-00004A600000}"/>
    <cellStyle name="Comma 2 5 3 6 4 10" xfId="33668" xr:uid="{00000000-0005-0000-0000-00004B600000}"/>
    <cellStyle name="Comma 2 5 3 6 4 2" xfId="10214" xr:uid="{00000000-0005-0000-0000-00004C600000}"/>
    <cellStyle name="Comma 2 5 3 6 4 2 2" xfId="26014" xr:uid="{00000000-0005-0000-0000-00004D600000}"/>
    <cellStyle name="Comma 2 5 3 6 4 2 2 2" xfId="45441" xr:uid="{00000000-0005-0000-0000-00004E600000}"/>
    <cellStyle name="Comma 2 5 3 6 4 2 2 3" xfId="39018" xr:uid="{00000000-0005-0000-0000-00004F600000}"/>
    <cellStyle name="Comma 2 5 3 6 4 2 3" xfId="28192" xr:uid="{00000000-0005-0000-0000-000050600000}"/>
    <cellStyle name="Comma 2 5 3 6 4 2 3 2" xfId="42234" xr:uid="{00000000-0005-0000-0000-000051600000}"/>
    <cellStyle name="Comma 2 5 3 6 4 2 4" xfId="31527" xr:uid="{00000000-0005-0000-0000-000052600000}"/>
    <cellStyle name="Comma 2 5 3 6 4 2 5" xfId="35810" xr:uid="{00000000-0005-0000-0000-000053600000}"/>
    <cellStyle name="Comma 2 5 3 6 4 3" xfId="15908" xr:uid="{00000000-0005-0000-0000-000054600000}"/>
    <cellStyle name="Comma 2 5 3 6 4 3 2" xfId="24923" xr:uid="{00000000-0005-0000-0000-000055600000}"/>
    <cellStyle name="Comma 2 5 3 6 4 3 2 2" xfId="44352" xr:uid="{00000000-0005-0000-0000-000056600000}"/>
    <cellStyle name="Comma 2 5 3 6 4 3 2 3" xfId="37929" xr:uid="{00000000-0005-0000-0000-000057600000}"/>
    <cellStyle name="Comma 2 5 3 6 4 3 3" xfId="29244" xr:uid="{00000000-0005-0000-0000-000058600000}"/>
    <cellStyle name="Comma 2 5 3 6 4 3 3 2" xfId="41145" xr:uid="{00000000-0005-0000-0000-000059600000}"/>
    <cellStyle name="Comma 2 5 3 6 4 3 4" xfId="32579" xr:uid="{00000000-0005-0000-0000-00005A600000}"/>
    <cellStyle name="Comma 2 5 3 6 4 3 5" xfId="34721" xr:uid="{00000000-0005-0000-0000-00005B600000}"/>
    <cellStyle name="Comma 2 5 3 6 4 4" xfId="8726" xr:uid="{00000000-0005-0000-0000-00005C600000}"/>
    <cellStyle name="Comma 2 5 3 6 4 4 2" xfId="43299" xr:uid="{00000000-0005-0000-0000-00005D600000}"/>
    <cellStyle name="Comma 2 5 3 6 4 4 3" xfId="36875" xr:uid="{00000000-0005-0000-0000-00005E600000}"/>
    <cellStyle name="Comma 2 5 3 6 4 5" xfId="21715" xr:uid="{00000000-0005-0000-0000-00005F600000}"/>
    <cellStyle name="Comma 2 5 3 6 4 5 2" xfId="40092" xr:uid="{00000000-0005-0000-0000-000060600000}"/>
    <cellStyle name="Comma 2 5 3 6 4 6" xfId="22788" xr:uid="{00000000-0005-0000-0000-000061600000}"/>
    <cellStyle name="Comma 2 5 3 6 4 7" xfId="23870" xr:uid="{00000000-0005-0000-0000-000062600000}"/>
    <cellStyle name="Comma 2 5 3 6 4 8" xfId="27110" xr:uid="{00000000-0005-0000-0000-000063600000}"/>
    <cellStyle name="Comma 2 5 3 6 4 9" xfId="30443" xr:uid="{00000000-0005-0000-0000-000064600000}"/>
    <cellStyle name="Comma 2 5 3 6 5" xfId="1445" xr:uid="{00000000-0005-0000-0000-000065600000}"/>
    <cellStyle name="Comma 2 5 3 6 5 10" xfId="33669" xr:uid="{00000000-0005-0000-0000-000066600000}"/>
    <cellStyle name="Comma 2 5 3 6 5 2" xfId="10215" xr:uid="{00000000-0005-0000-0000-000067600000}"/>
    <cellStyle name="Comma 2 5 3 6 5 2 2" xfId="26015" xr:uid="{00000000-0005-0000-0000-000068600000}"/>
    <cellStyle name="Comma 2 5 3 6 5 2 2 2" xfId="45442" xr:uid="{00000000-0005-0000-0000-000069600000}"/>
    <cellStyle name="Comma 2 5 3 6 5 2 2 3" xfId="39019" xr:uid="{00000000-0005-0000-0000-00006A600000}"/>
    <cellStyle name="Comma 2 5 3 6 5 2 3" xfId="28193" xr:uid="{00000000-0005-0000-0000-00006B600000}"/>
    <cellStyle name="Comma 2 5 3 6 5 2 3 2" xfId="42235" xr:uid="{00000000-0005-0000-0000-00006C600000}"/>
    <cellStyle name="Comma 2 5 3 6 5 2 4" xfId="31528" xr:uid="{00000000-0005-0000-0000-00006D600000}"/>
    <cellStyle name="Comma 2 5 3 6 5 2 5" xfId="35811" xr:uid="{00000000-0005-0000-0000-00006E600000}"/>
    <cellStyle name="Comma 2 5 3 6 5 3" xfId="15909" xr:uid="{00000000-0005-0000-0000-00006F600000}"/>
    <cellStyle name="Comma 2 5 3 6 5 3 2" xfId="24924" xr:uid="{00000000-0005-0000-0000-000070600000}"/>
    <cellStyle name="Comma 2 5 3 6 5 3 2 2" xfId="44353" xr:uid="{00000000-0005-0000-0000-000071600000}"/>
    <cellStyle name="Comma 2 5 3 6 5 3 2 3" xfId="37930" xr:uid="{00000000-0005-0000-0000-000072600000}"/>
    <cellStyle name="Comma 2 5 3 6 5 3 3" xfId="29245" xr:uid="{00000000-0005-0000-0000-000073600000}"/>
    <cellStyle name="Comma 2 5 3 6 5 3 3 2" xfId="41146" xr:uid="{00000000-0005-0000-0000-000074600000}"/>
    <cellStyle name="Comma 2 5 3 6 5 3 4" xfId="32580" xr:uid="{00000000-0005-0000-0000-000075600000}"/>
    <cellStyle name="Comma 2 5 3 6 5 3 5" xfId="34722" xr:uid="{00000000-0005-0000-0000-000076600000}"/>
    <cellStyle name="Comma 2 5 3 6 5 4" xfId="8727" xr:uid="{00000000-0005-0000-0000-000077600000}"/>
    <cellStyle name="Comma 2 5 3 6 5 4 2" xfId="43300" xr:uid="{00000000-0005-0000-0000-000078600000}"/>
    <cellStyle name="Comma 2 5 3 6 5 4 3" xfId="36876" xr:uid="{00000000-0005-0000-0000-000079600000}"/>
    <cellStyle name="Comma 2 5 3 6 5 5" xfId="21716" xr:uid="{00000000-0005-0000-0000-00007A600000}"/>
    <cellStyle name="Comma 2 5 3 6 5 5 2" xfId="40093" xr:uid="{00000000-0005-0000-0000-00007B600000}"/>
    <cellStyle name="Comma 2 5 3 6 5 6" xfId="22789" xr:uid="{00000000-0005-0000-0000-00007C600000}"/>
    <cellStyle name="Comma 2 5 3 6 5 7" xfId="23871" xr:uid="{00000000-0005-0000-0000-00007D600000}"/>
    <cellStyle name="Comma 2 5 3 6 5 8" xfId="27111" xr:uid="{00000000-0005-0000-0000-00007E600000}"/>
    <cellStyle name="Comma 2 5 3 6 5 9" xfId="30444" xr:uid="{00000000-0005-0000-0000-00007F600000}"/>
    <cellStyle name="Comma 2 5 3 6 6" xfId="10211" xr:uid="{00000000-0005-0000-0000-000080600000}"/>
    <cellStyle name="Comma 2 5 3 6 6 2" xfId="26011" xr:uid="{00000000-0005-0000-0000-000081600000}"/>
    <cellStyle name="Comma 2 5 3 6 6 2 2" xfId="45438" xr:uid="{00000000-0005-0000-0000-000082600000}"/>
    <cellStyle name="Comma 2 5 3 6 6 2 3" xfId="39015" xr:uid="{00000000-0005-0000-0000-000083600000}"/>
    <cellStyle name="Comma 2 5 3 6 6 3" xfId="28189" xr:uid="{00000000-0005-0000-0000-000084600000}"/>
    <cellStyle name="Comma 2 5 3 6 6 3 2" xfId="42231" xr:uid="{00000000-0005-0000-0000-000085600000}"/>
    <cellStyle name="Comma 2 5 3 6 6 4" xfId="31524" xr:uid="{00000000-0005-0000-0000-000086600000}"/>
    <cellStyle name="Comma 2 5 3 6 6 5" xfId="35807" xr:uid="{00000000-0005-0000-0000-000087600000}"/>
    <cellStyle name="Comma 2 5 3 6 7" xfId="15905" xr:uid="{00000000-0005-0000-0000-000088600000}"/>
    <cellStyle name="Comma 2 5 3 6 7 2" xfId="24920" xr:uid="{00000000-0005-0000-0000-000089600000}"/>
    <cellStyle name="Comma 2 5 3 6 7 2 2" xfId="44349" xr:uid="{00000000-0005-0000-0000-00008A600000}"/>
    <cellStyle name="Comma 2 5 3 6 7 2 3" xfId="37926" xr:uid="{00000000-0005-0000-0000-00008B600000}"/>
    <cellStyle name="Comma 2 5 3 6 7 3" xfId="29241" xr:uid="{00000000-0005-0000-0000-00008C600000}"/>
    <cellStyle name="Comma 2 5 3 6 7 3 2" xfId="41142" xr:uid="{00000000-0005-0000-0000-00008D600000}"/>
    <cellStyle name="Comma 2 5 3 6 7 4" xfId="32576" xr:uid="{00000000-0005-0000-0000-00008E600000}"/>
    <cellStyle name="Comma 2 5 3 6 7 5" xfId="34718" xr:uid="{00000000-0005-0000-0000-00008F600000}"/>
    <cellStyle name="Comma 2 5 3 6 8" xfId="8723" xr:uid="{00000000-0005-0000-0000-000090600000}"/>
    <cellStyle name="Comma 2 5 3 6 8 2" xfId="43296" xr:uid="{00000000-0005-0000-0000-000091600000}"/>
    <cellStyle name="Comma 2 5 3 6 8 3" xfId="36872" xr:uid="{00000000-0005-0000-0000-000092600000}"/>
    <cellStyle name="Comma 2 5 3 6 9" xfId="21712" xr:uid="{00000000-0005-0000-0000-000093600000}"/>
    <cellStyle name="Comma 2 5 3 6 9 2" xfId="40089" xr:uid="{00000000-0005-0000-0000-000094600000}"/>
    <cellStyle name="Comma 2 5 3 7" xfId="1446" xr:uid="{00000000-0005-0000-0000-000095600000}"/>
    <cellStyle name="Comma 2 5 3 7 10" xfId="33670" xr:uid="{00000000-0005-0000-0000-000096600000}"/>
    <cellStyle name="Comma 2 5 3 7 2" xfId="10216" xr:uid="{00000000-0005-0000-0000-000097600000}"/>
    <cellStyle name="Comma 2 5 3 7 2 2" xfId="26016" xr:uid="{00000000-0005-0000-0000-000098600000}"/>
    <cellStyle name="Comma 2 5 3 7 2 2 2" xfId="45443" xr:uid="{00000000-0005-0000-0000-000099600000}"/>
    <cellStyle name="Comma 2 5 3 7 2 2 3" xfId="39020" xr:uid="{00000000-0005-0000-0000-00009A600000}"/>
    <cellStyle name="Comma 2 5 3 7 2 3" xfId="28194" xr:uid="{00000000-0005-0000-0000-00009B600000}"/>
    <cellStyle name="Comma 2 5 3 7 2 3 2" xfId="42236" xr:uid="{00000000-0005-0000-0000-00009C600000}"/>
    <cellStyle name="Comma 2 5 3 7 2 4" xfId="31529" xr:uid="{00000000-0005-0000-0000-00009D600000}"/>
    <cellStyle name="Comma 2 5 3 7 2 5" xfId="35812" xr:uid="{00000000-0005-0000-0000-00009E600000}"/>
    <cellStyle name="Comma 2 5 3 7 3" xfId="15910" xr:uid="{00000000-0005-0000-0000-00009F600000}"/>
    <cellStyle name="Comma 2 5 3 7 3 2" xfId="24925" xr:uid="{00000000-0005-0000-0000-0000A0600000}"/>
    <cellStyle name="Comma 2 5 3 7 3 2 2" xfId="44354" xr:uid="{00000000-0005-0000-0000-0000A1600000}"/>
    <cellStyle name="Comma 2 5 3 7 3 2 3" xfId="37931" xr:uid="{00000000-0005-0000-0000-0000A2600000}"/>
    <cellStyle name="Comma 2 5 3 7 3 3" xfId="29246" xr:uid="{00000000-0005-0000-0000-0000A3600000}"/>
    <cellStyle name="Comma 2 5 3 7 3 3 2" xfId="41147" xr:uid="{00000000-0005-0000-0000-0000A4600000}"/>
    <cellStyle name="Comma 2 5 3 7 3 4" xfId="32581" xr:uid="{00000000-0005-0000-0000-0000A5600000}"/>
    <cellStyle name="Comma 2 5 3 7 3 5" xfId="34723" xr:uid="{00000000-0005-0000-0000-0000A6600000}"/>
    <cellStyle name="Comma 2 5 3 7 4" xfId="8728" xr:uid="{00000000-0005-0000-0000-0000A7600000}"/>
    <cellStyle name="Comma 2 5 3 7 4 2" xfId="43301" xr:uid="{00000000-0005-0000-0000-0000A8600000}"/>
    <cellStyle name="Comma 2 5 3 7 4 3" xfId="36877" xr:uid="{00000000-0005-0000-0000-0000A9600000}"/>
    <cellStyle name="Comma 2 5 3 7 5" xfId="21717" xr:uid="{00000000-0005-0000-0000-0000AA600000}"/>
    <cellStyle name="Comma 2 5 3 7 5 2" xfId="40094" xr:uid="{00000000-0005-0000-0000-0000AB600000}"/>
    <cellStyle name="Comma 2 5 3 7 6" xfId="22790" xr:uid="{00000000-0005-0000-0000-0000AC600000}"/>
    <cellStyle name="Comma 2 5 3 7 7" xfId="23872" xr:uid="{00000000-0005-0000-0000-0000AD600000}"/>
    <cellStyle name="Comma 2 5 3 7 8" xfId="27112" xr:uid="{00000000-0005-0000-0000-0000AE600000}"/>
    <cellStyle name="Comma 2 5 3 7 9" xfId="30445" xr:uid="{00000000-0005-0000-0000-0000AF600000}"/>
    <cellStyle name="Comma 2 5 3 8" xfId="1447" xr:uid="{00000000-0005-0000-0000-0000B0600000}"/>
    <cellStyle name="Comma 2 5 3 8 10" xfId="33671" xr:uid="{00000000-0005-0000-0000-0000B1600000}"/>
    <cellStyle name="Comma 2 5 3 8 2" xfId="10217" xr:uid="{00000000-0005-0000-0000-0000B2600000}"/>
    <cellStyle name="Comma 2 5 3 8 2 2" xfId="26017" xr:uid="{00000000-0005-0000-0000-0000B3600000}"/>
    <cellStyle name="Comma 2 5 3 8 2 2 2" xfId="45444" xr:uid="{00000000-0005-0000-0000-0000B4600000}"/>
    <cellStyle name="Comma 2 5 3 8 2 2 3" xfId="39021" xr:uid="{00000000-0005-0000-0000-0000B5600000}"/>
    <cellStyle name="Comma 2 5 3 8 2 3" xfId="28195" xr:uid="{00000000-0005-0000-0000-0000B6600000}"/>
    <cellStyle name="Comma 2 5 3 8 2 3 2" xfId="42237" xr:uid="{00000000-0005-0000-0000-0000B7600000}"/>
    <cellStyle name="Comma 2 5 3 8 2 4" xfId="31530" xr:uid="{00000000-0005-0000-0000-0000B8600000}"/>
    <cellStyle name="Comma 2 5 3 8 2 5" xfId="35813" xr:uid="{00000000-0005-0000-0000-0000B9600000}"/>
    <cellStyle name="Comma 2 5 3 8 3" xfId="15911" xr:uid="{00000000-0005-0000-0000-0000BA600000}"/>
    <cellStyle name="Comma 2 5 3 8 3 2" xfId="24926" xr:uid="{00000000-0005-0000-0000-0000BB600000}"/>
    <cellStyle name="Comma 2 5 3 8 3 2 2" xfId="44355" xr:uid="{00000000-0005-0000-0000-0000BC600000}"/>
    <cellStyle name="Comma 2 5 3 8 3 2 3" xfId="37932" xr:uid="{00000000-0005-0000-0000-0000BD600000}"/>
    <cellStyle name="Comma 2 5 3 8 3 3" xfId="29247" xr:uid="{00000000-0005-0000-0000-0000BE600000}"/>
    <cellStyle name="Comma 2 5 3 8 3 3 2" xfId="41148" xr:uid="{00000000-0005-0000-0000-0000BF600000}"/>
    <cellStyle name="Comma 2 5 3 8 3 4" xfId="32582" xr:uid="{00000000-0005-0000-0000-0000C0600000}"/>
    <cellStyle name="Comma 2 5 3 8 3 5" xfId="34724" xr:uid="{00000000-0005-0000-0000-0000C1600000}"/>
    <cellStyle name="Comma 2 5 3 8 4" xfId="8729" xr:uid="{00000000-0005-0000-0000-0000C2600000}"/>
    <cellStyle name="Comma 2 5 3 8 4 2" xfId="43302" xr:uid="{00000000-0005-0000-0000-0000C3600000}"/>
    <cellStyle name="Comma 2 5 3 8 4 3" xfId="36878" xr:uid="{00000000-0005-0000-0000-0000C4600000}"/>
    <cellStyle name="Comma 2 5 3 8 5" xfId="21718" xr:uid="{00000000-0005-0000-0000-0000C5600000}"/>
    <cellStyle name="Comma 2 5 3 8 5 2" xfId="40095" xr:uid="{00000000-0005-0000-0000-0000C6600000}"/>
    <cellStyle name="Comma 2 5 3 8 6" xfId="22791" xr:uid="{00000000-0005-0000-0000-0000C7600000}"/>
    <cellStyle name="Comma 2 5 3 8 7" xfId="23873" xr:uid="{00000000-0005-0000-0000-0000C8600000}"/>
    <cellStyle name="Comma 2 5 3 8 8" xfId="27113" xr:uid="{00000000-0005-0000-0000-0000C9600000}"/>
    <cellStyle name="Comma 2 5 3 8 9" xfId="30446" xr:uid="{00000000-0005-0000-0000-0000CA600000}"/>
    <cellStyle name="Comma 2 5 3 9" xfId="1448" xr:uid="{00000000-0005-0000-0000-0000CB600000}"/>
    <cellStyle name="Comma 2 5 3 9 10" xfId="33672" xr:uid="{00000000-0005-0000-0000-0000CC600000}"/>
    <cellStyle name="Comma 2 5 3 9 2" xfId="10218" xr:uid="{00000000-0005-0000-0000-0000CD600000}"/>
    <cellStyle name="Comma 2 5 3 9 2 2" xfId="26018" xr:uid="{00000000-0005-0000-0000-0000CE600000}"/>
    <cellStyle name="Comma 2 5 3 9 2 2 2" xfId="45445" xr:uid="{00000000-0005-0000-0000-0000CF600000}"/>
    <cellStyle name="Comma 2 5 3 9 2 2 3" xfId="39022" xr:uid="{00000000-0005-0000-0000-0000D0600000}"/>
    <cellStyle name="Comma 2 5 3 9 2 3" xfId="28196" xr:uid="{00000000-0005-0000-0000-0000D1600000}"/>
    <cellStyle name="Comma 2 5 3 9 2 3 2" xfId="42238" xr:uid="{00000000-0005-0000-0000-0000D2600000}"/>
    <cellStyle name="Comma 2 5 3 9 2 4" xfId="31531" xr:uid="{00000000-0005-0000-0000-0000D3600000}"/>
    <cellStyle name="Comma 2 5 3 9 2 5" xfId="35814" xr:uid="{00000000-0005-0000-0000-0000D4600000}"/>
    <cellStyle name="Comma 2 5 3 9 3" xfId="15912" xr:uid="{00000000-0005-0000-0000-0000D5600000}"/>
    <cellStyle name="Comma 2 5 3 9 3 2" xfId="24927" xr:uid="{00000000-0005-0000-0000-0000D6600000}"/>
    <cellStyle name="Comma 2 5 3 9 3 2 2" xfId="44356" xr:uid="{00000000-0005-0000-0000-0000D7600000}"/>
    <cellStyle name="Comma 2 5 3 9 3 2 3" xfId="37933" xr:uid="{00000000-0005-0000-0000-0000D8600000}"/>
    <cellStyle name="Comma 2 5 3 9 3 3" xfId="29248" xr:uid="{00000000-0005-0000-0000-0000D9600000}"/>
    <cellStyle name="Comma 2 5 3 9 3 3 2" xfId="41149" xr:uid="{00000000-0005-0000-0000-0000DA600000}"/>
    <cellStyle name="Comma 2 5 3 9 3 4" xfId="32583" xr:uid="{00000000-0005-0000-0000-0000DB600000}"/>
    <cellStyle name="Comma 2 5 3 9 3 5" xfId="34725" xr:uid="{00000000-0005-0000-0000-0000DC600000}"/>
    <cellStyle name="Comma 2 5 3 9 4" xfId="8730" xr:uid="{00000000-0005-0000-0000-0000DD600000}"/>
    <cellStyle name="Comma 2 5 3 9 4 2" xfId="43303" xr:uid="{00000000-0005-0000-0000-0000DE600000}"/>
    <cellStyle name="Comma 2 5 3 9 4 3" xfId="36879" xr:uid="{00000000-0005-0000-0000-0000DF600000}"/>
    <cellStyle name="Comma 2 5 3 9 5" xfId="21719" xr:uid="{00000000-0005-0000-0000-0000E0600000}"/>
    <cellStyle name="Comma 2 5 3 9 5 2" xfId="40096" xr:uid="{00000000-0005-0000-0000-0000E1600000}"/>
    <cellStyle name="Comma 2 5 3 9 6" xfId="22792" xr:uid="{00000000-0005-0000-0000-0000E2600000}"/>
    <cellStyle name="Comma 2 5 3 9 7" xfId="23874" xr:uid="{00000000-0005-0000-0000-0000E3600000}"/>
    <cellStyle name="Comma 2 5 3 9 8" xfId="27114" xr:uid="{00000000-0005-0000-0000-0000E4600000}"/>
    <cellStyle name="Comma 2 5 3 9 9" xfId="30447" xr:uid="{00000000-0005-0000-0000-0000E5600000}"/>
    <cellStyle name="Comma 2 5 4" xfId="293" xr:uid="{00000000-0005-0000-0000-0000E6600000}"/>
    <cellStyle name="Comma 2 5 4 10" xfId="1449" xr:uid="{00000000-0005-0000-0000-0000E7600000}"/>
    <cellStyle name="Comma 2 5 4 10 10" xfId="33673" xr:uid="{00000000-0005-0000-0000-0000E8600000}"/>
    <cellStyle name="Comma 2 5 4 10 2" xfId="10219" xr:uid="{00000000-0005-0000-0000-0000E9600000}"/>
    <cellStyle name="Comma 2 5 4 10 2 2" xfId="26019" xr:uid="{00000000-0005-0000-0000-0000EA600000}"/>
    <cellStyle name="Comma 2 5 4 10 2 2 2" xfId="45446" xr:uid="{00000000-0005-0000-0000-0000EB600000}"/>
    <cellStyle name="Comma 2 5 4 10 2 2 3" xfId="39023" xr:uid="{00000000-0005-0000-0000-0000EC600000}"/>
    <cellStyle name="Comma 2 5 4 10 2 3" xfId="28197" xr:uid="{00000000-0005-0000-0000-0000ED600000}"/>
    <cellStyle name="Comma 2 5 4 10 2 3 2" xfId="42239" xr:uid="{00000000-0005-0000-0000-0000EE600000}"/>
    <cellStyle name="Comma 2 5 4 10 2 4" xfId="31532" xr:uid="{00000000-0005-0000-0000-0000EF600000}"/>
    <cellStyle name="Comma 2 5 4 10 2 5" xfId="35815" xr:uid="{00000000-0005-0000-0000-0000F0600000}"/>
    <cellStyle name="Comma 2 5 4 10 3" xfId="15914" xr:uid="{00000000-0005-0000-0000-0000F1600000}"/>
    <cellStyle name="Comma 2 5 4 10 3 2" xfId="24929" xr:uid="{00000000-0005-0000-0000-0000F2600000}"/>
    <cellStyle name="Comma 2 5 4 10 3 2 2" xfId="44358" xr:uid="{00000000-0005-0000-0000-0000F3600000}"/>
    <cellStyle name="Comma 2 5 4 10 3 2 3" xfId="37935" xr:uid="{00000000-0005-0000-0000-0000F4600000}"/>
    <cellStyle name="Comma 2 5 4 10 3 3" xfId="29250" xr:uid="{00000000-0005-0000-0000-0000F5600000}"/>
    <cellStyle name="Comma 2 5 4 10 3 3 2" xfId="41151" xr:uid="{00000000-0005-0000-0000-0000F6600000}"/>
    <cellStyle name="Comma 2 5 4 10 3 4" xfId="32585" xr:uid="{00000000-0005-0000-0000-0000F7600000}"/>
    <cellStyle name="Comma 2 5 4 10 3 5" xfId="34727" xr:uid="{00000000-0005-0000-0000-0000F8600000}"/>
    <cellStyle name="Comma 2 5 4 10 4" xfId="8732" xr:uid="{00000000-0005-0000-0000-0000F9600000}"/>
    <cellStyle name="Comma 2 5 4 10 4 2" xfId="43304" xr:uid="{00000000-0005-0000-0000-0000FA600000}"/>
    <cellStyle name="Comma 2 5 4 10 4 3" xfId="36880" xr:uid="{00000000-0005-0000-0000-0000FB600000}"/>
    <cellStyle name="Comma 2 5 4 10 5" xfId="21721" xr:uid="{00000000-0005-0000-0000-0000FC600000}"/>
    <cellStyle name="Comma 2 5 4 10 5 2" xfId="40097" xr:uid="{00000000-0005-0000-0000-0000FD600000}"/>
    <cellStyle name="Comma 2 5 4 10 6" xfId="22794" xr:uid="{00000000-0005-0000-0000-0000FE600000}"/>
    <cellStyle name="Comma 2 5 4 10 7" xfId="23875" xr:uid="{00000000-0005-0000-0000-0000FF600000}"/>
    <cellStyle name="Comma 2 5 4 10 8" xfId="27116" xr:uid="{00000000-0005-0000-0000-000000610000}"/>
    <cellStyle name="Comma 2 5 4 10 9" xfId="30449" xr:uid="{00000000-0005-0000-0000-000001610000}"/>
    <cellStyle name="Comma 2 5 4 11" xfId="9149" xr:uid="{00000000-0005-0000-0000-000002610000}"/>
    <cellStyle name="Comma 2 5 4 11 2" xfId="25203" xr:uid="{00000000-0005-0000-0000-000003610000}"/>
    <cellStyle name="Comma 2 5 4 11 2 2" xfId="44630" xr:uid="{00000000-0005-0000-0000-000004610000}"/>
    <cellStyle name="Comma 2 5 4 11 2 3" xfId="38207" xr:uid="{00000000-0005-0000-0000-000005610000}"/>
    <cellStyle name="Comma 2 5 4 11 3" xfId="27382" xr:uid="{00000000-0005-0000-0000-000006610000}"/>
    <cellStyle name="Comma 2 5 4 11 3 2" xfId="41423" xr:uid="{00000000-0005-0000-0000-000007610000}"/>
    <cellStyle name="Comma 2 5 4 11 4" xfId="30717" xr:uid="{00000000-0005-0000-0000-000008610000}"/>
    <cellStyle name="Comma 2 5 4 11 5" xfId="34999" xr:uid="{00000000-0005-0000-0000-000009610000}"/>
    <cellStyle name="Comma 2 5 4 12" xfId="15913" xr:uid="{00000000-0005-0000-0000-00000A610000}"/>
    <cellStyle name="Comma 2 5 4 12 2" xfId="24928" xr:uid="{00000000-0005-0000-0000-00000B610000}"/>
    <cellStyle name="Comma 2 5 4 12 2 2" xfId="44357" xr:uid="{00000000-0005-0000-0000-00000C610000}"/>
    <cellStyle name="Comma 2 5 4 12 2 3" xfId="37934" xr:uid="{00000000-0005-0000-0000-00000D610000}"/>
    <cellStyle name="Comma 2 5 4 12 3" xfId="29249" xr:uid="{00000000-0005-0000-0000-00000E610000}"/>
    <cellStyle name="Comma 2 5 4 12 3 2" xfId="41150" xr:uid="{00000000-0005-0000-0000-00000F610000}"/>
    <cellStyle name="Comma 2 5 4 12 4" xfId="32584" xr:uid="{00000000-0005-0000-0000-000010610000}"/>
    <cellStyle name="Comma 2 5 4 12 5" xfId="34726" xr:uid="{00000000-0005-0000-0000-000011610000}"/>
    <cellStyle name="Comma 2 5 4 13" xfId="8731" xr:uid="{00000000-0005-0000-0000-000012610000}"/>
    <cellStyle name="Comma 2 5 4 13 2" xfId="42493" xr:uid="{00000000-0005-0000-0000-000013610000}"/>
    <cellStyle name="Comma 2 5 4 13 3" xfId="36069" xr:uid="{00000000-0005-0000-0000-000014610000}"/>
    <cellStyle name="Comma 2 5 4 14" xfId="21720" xr:uid="{00000000-0005-0000-0000-000015610000}"/>
    <cellStyle name="Comma 2 5 4 14 2" xfId="39286" xr:uid="{00000000-0005-0000-0000-000016610000}"/>
    <cellStyle name="Comma 2 5 4 15" xfId="22793" xr:uid="{00000000-0005-0000-0000-000017610000}"/>
    <cellStyle name="Comma 2 5 4 16" xfId="23064" xr:uid="{00000000-0005-0000-0000-000018610000}"/>
    <cellStyle name="Comma 2 5 4 17" xfId="27115" xr:uid="{00000000-0005-0000-0000-000019610000}"/>
    <cellStyle name="Comma 2 5 4 18" xfId="30448" xr:uid="{00000000-0005-0000-0000-00001A610000}"/>
    <cellStyle name="Comma 2 5 4 19" xfId="32862" xr:uid="{00000000-0005-0000-0000-00001B610000}"/>
    <cellStyle name="Comma 2 5 4 2" xfId="294" xr:uid="{00000000-0005-0000-0000-00001C610000}"/>
    <cellStyle name="Comma 2 5 4 2 10" xfId="15915" xr:uid="{00000000-0005-0000-0000-00001D610000}"/>
    <cellStyle name="Comma 2 5 4 2 10 2" xfId="24930" xr:uid="{00000000-0005-0000-0000-00001E610000}"/>
    <cellStyle name="Comma 2 5 4 2 10 2 2" xfId="44359" xr:uid="{00000000-0005-0000-0000-00001F610000}"/>
    <cellStyle name="Comma 2 5 4 2 10 2 3" xfId="37936" xr:uid="{00000000-0005-0000-0000-000020610000}"/>
    <cellStyle name="Comma 2 5 4 2 10 3" xfId="29251" xr:uid="{00000000-0005-0000-0000-000021610000}"/>
    <cellStyle name="Comma 2 5 4 2 10 3 2" xfId="41152" xr:uid="{00000000-0005-0000-0000-000022610000}"/>
    <cellStyle name="Comma 2 5 4 2 10 4" xfId="32586" xr:uid="{00000000-0005-0000-0000-000023610000}"/>
    <cellStyle name="Comma 2 5 4 2 10 5" xfId="34728" xr:uid="{00000000-0005-0000-0000-000024610000}"/>
    <cellStyle name="Comma 2 5 4 2 11" xfId="8733" xr:uid="{00000000-0005-0000-0000-000025610000}"/>
    <cellStyle name="Comma 2 5 4 2 11 2" xfId="42494" xr:uid="{00000000-0005-0000-0000-000026610000}"/>
    <cellStyle name="Comma 2 5 4 2 11 3" xfId="36070" xr:uid="{00000000-0005-0000-0000-000027610000}"/>
    <cellStyle name="Comma 2 5 4 2 12" xfId="21722" xr:uid="{00000000-0005-0000-0000-000028610000}"/>
    <cellStyle name="Comma 2 5 4 2 12 2" xfId="39287" xr:uid="{00000000-0005-0000-0000-000029610000}"/>
    <cellStyle name="Comma 2 5 4 2 13" xfId="22795" xr:uid="{00000000-0005-0000-0000-00002A610000}"/>
    <cellStyle name="Comma 2 5 4 2 14" xfId="23065" xr:uid="{00000000-0005-0000-0000-00002B610000}"/>
    <cellStyle name="Comma 2 5 4 2 15" xfId="27117" xr:uid="{00000000-0005-0000-0000-00002C610000}"/>
    <cellStyle name="Comma 2 5 4 2 16" xfId="30450" xr:uid="{00000000-0005-0000-0000-00002D610000}"/>
    <cellStyle name="Comma 2 5 4 2 17" xfId="32863" xr:uid="{00000000-0005-0000-0000-00002E610000}"/>
    <cellStyle name="Comma 2 5 4 2 2" xfId="295" xr:uid="{00000000-0005-0000-0000-00002F610000}"/>
    <cellStyle name="Comma 2 5 4 2 2 10" xfId="21723" xr:uid="{00000000-0005-0000-0000-000030610000}"/>
    <cellStyle name="Comma 2 5 4 2 2 10 2" xfId="39288" xr:uid="{00000000-0005-0000-0000-000031610000}"/>
    <cellStyle name="Comma 2 5 4 2 2 11" xfId="22796" xr:uid="{00000000-0005-0000-0000-000032610000}"/>
    <cellStyle name="Comma 2 5 4 2 2 12" xfId="23066" xr:uid="{00000000-0005-0000-0000-000033610000}"/>
    <cellStyle name="Comma 2 5 4 2 2 13" xfId="27118" xr:uid="{00000000-0005-0000-0000-000034610000}"/>
    <cellStyle name="Comma 2 5 4 2 2 14" xfId="30451" xr:uid="{00000000-0005-0000-0000-000035610000}"/>
    <cellStyle name="Comma 2 5 4 2 2 15" xfId="32864" xr:uid="{00000000-0005-0000-0000-000036610000}"/>
    <cellStyle name="Comma 2 5 4 2 2 2" xfId="1450" xr:uid="{00000000-0005-0000-0000-000037610000}"/>
    <cellStyle name="Comma 2 5 4 2 2 2 10" xfId="33674" xr:uid="{00000000-0005-0000-0000-000038610000}"/>
    <cellStyle name="Comma 2 5 4 2 2 2 2" xfId="10220" xr:uid="{00000000-0005-0000-0000-000039610000}"/>
    <cellStyle name="Comma 2 5 4 2 2 2 2 2" xfId="26020" xr:uid="{00000000-0005-0000-0000-00003A610000}"/>
    <cellStyle name="Comma 2 5 4 2 2 2 2 2 2" xfId="45447" xr:uid="{00000000-0005-0000-0000-00003B610000}"/>
    <cellStyle name="Comma 2 5 4 2 2 2 2 2 3" xfId="39024" xr:uid="{00000000-0005-0000-0000-00003C610000}"/>
    <cellStyle name="Comma 2 5 4 2 2 2 2 3" xfId="28198" xr:uid="{00000000-0005-0000-0000-00003D610000}"/>
    <cellStyle name="Comma 2 5 4 2 2 2 2 3 2" xfId="42240" xr:uid="{00000000-0005-0000-0000-00003E610000}"/>
    <cellStyle name="Comma 2 5 4 2 2 2 2 4" xfId="31533" xr:uid="{00000000-0005-0000-0000-00003F610000}"/>
    <cellStyle name="Comma 2 5 4 2 2 2 2 5" xfId="35816" xr:uid="{00000000-0005-0000-0000-000040610000}"/>
    <cellStyle name="Comma 2 5 4 2 2 2 3" xfId="15917" xr:uid="{00000000-0005-0000-0000-000041610000}"/>
    <cellStyle name="Comma 2 5 4 2 2 2 3 2" xfId="24932" xr:uid="{00000000-0005-0000-0000-000042610000}"/>
    <cellStyle name="Comma 2 5 4 2 2 2 3 2 2" xfId="44361" xr:uid="{00000000-0005-0000-0000-000043610000}"/>
    <cellStyle name="Comma 2 5 4 2 2 2 3 2 3" xfId="37938" xr:uid="{00000000-0005-0000-0000-000044610000}"/>
    <cellStyle name="Comma 2 5 4 2 2 2 3 3" xfId="29253" xr:uid="{00000000-0005-0000-0000-000045610000}"/>
    <cellStyle name="Comma 2 5 4 2 2 2 3 3 2" xfId="41154" xr:uid="{00000000-0005-0000-0000-000046610000}"/>
    <cellStyle name="Comma 2 5 4 2 2 2 3 4" xfId="32588" xr:uid="{00000000-0005-0000-0000-000047610000}"/>
    <cellStyle name="Comma 2 5 4 2 2 2 3 5" xfId="34730" xr:uid="{00000000-0005-0000-0000-000048610000}"/>
    <cellStyle name="Comma 2 5 4 2 2 2 4" xfId="8735" xr:uid="{00000000-0005-0000-0000-000049610000}"/>
    <cellStyle name="Comma 2 5 4 2 2 2 4 2" xfId="43305" xr:uid="{00000000-0005-0000-0000-00004A610000}"/>
    <cellStyle name="Comma 2 5 4 2 2 2 4 3" xfId="36881" xr:uid="{00000000-0005-0000-0000-00004B610000}"/>
    <cellStyle name="Comma 2 5 4 2 2 2 5" xfId="21724" xr:uid="{00000000-0005-0000-0000-00004C610000}"/>
    <cellStyle name="Comma 2 5 4 2 2 2 5 2" xfId="40098" xr:uid="{00000000-0005-0000-0000-00004D610000}"/>
    <cellStyle name="Comma 2 5 4 2 2 2 6" xfId="22797" xr:uid="{00000000-0005-0000-0000-00004E610000}"/>
    <cellStyle name="Comma 2 5 4 2 2 2 7" xfId="23876" xr:uid="{00000000-0005-0000-0000-00004F610000}"/>
    <cellStyle name="Comma 2 5 4 2 2 2 8" xfId="27119" xr:uid="{00000000-0005-0000-0000-000050610000}"/>
    <cellStyle name="Comma 2 5 4 2 2 2 9" xfId="30452" xr:uid="{00000000-0005-0000-0000-000051610000}"/>
    <cellStyle name="Comma 2 5 4 2 2 3" xfId="1451" xr:uid="{00000000-0005-0000-0000-000052610000}"/>
    <cellStyle name="Comma 2 5 4 2 2 3 10" xfId="33675" xr:uid="{00000000-0005-0000-0000-000053610000}"/>
    <cellStyle name="Comma 2 5 4 2 2 3 2" xfId="10221" xr:uid="{00000000-0005-0000-0000-000054610000}"/>
    <cellStyle name="Comma 2 5 4 2 2 3 2 2" xfId="26021" xr:uid="{00000000-0005-0000-0000-000055610000}"/>
    <cellStyle name="Comma 2 5 4 2 2 3 2 2 2" xfId="45448" xr:uid="{00000000-0005-0000-0000-000056610000}"/>
    <cellStyle name="Comma 2 5 4 2 2 3 2 2 3" xfId="39025" xr:uid="{00000000-0005-0000-0000-000057610000}"/>
    <cellStyle name="Comma 2 5 4 2 2 3 2 3" xfId="28199" xr:uid="{00000000-0005-0000-0000-000058610000}"/>
    <cellStyle name="Comma 2 5 4 2 2 3 2 3 2" xfId="42241" xr:uid="{00000000-0005-0000-0000-000059610000}"/>
    <cellStyle name="Comma 2 5 4 2 2 3 2 4" xfId="31534" xr:uid="{00000000-0005-0000-0000-00005A610000}"/>
    <cellStyle name="Comma 2 5 4 2 2 3 2 5" xfId="35817" xr:uid="{00000000-0005-0000-0000-00005B610000}"/>
    <cellStyle name="Comma 2 5 4 2 2 3 3" xfId="15918" xr:uid="{00000000-0005-0000-0000-00005C610000}"/>
    <cellStyle name="Comma 2 5 4 2 2 3 3 2" xfId="24933" xr:uid="{00000000-0005-0000-0000-00005D610000}"/>
    <cellStyle name="Comma 2 5 4 2 2 3 3 2 2" xfId="44362" xr:uid="{00000000-0005-0000-0000-00005E610000}"/>
    <cellStyle name="Comma 2 5 4 2 2 3 3 2 3" xfId="37939" xr:uid="{00000000-0005-0000-0000-00005F610000}"/>
    <cellStyle name="Comma 2 5 4 2 2 3 3 3" xfId="29254" xr:uid="{00000000-0005-0000-0000-000060610000}"/>
    <cellStyle name="Comma 2 5 4 2 2 3 3 3 2" xfId="41155" xr:uid="{00000000-0005-0000-0000-000061610000}"/>
    <cellStyle name="Comma 2 5 4 2 2 3 3 4" xfId="32589" xr:uid="{00000000-0005-0000-0000-000062610000}"/>
    <cellStyle name="Comma 2 5 4 2 2 3 3 5" xfId="34731" xr:uid="{00000000-0005-0000-0000-000063610000}"/>
    <cellStyle name="Comma 2 5 4 2 2 3 4" xfId="8736" xr:uid="{00000000-0005-0000-0000-000064610000}"/>
    <cellStyle name="Comma 2 5 4 2 2 3 4 2" xfId="43306" xr:uid="{00000000-0005-0000-0000-000065610000}"/>
    <cellStyle name="Comma 2 5 4 2 2 3 4 3" xfId="36882" xr:uid="{00000000-0005-0000-0000-000066610000}"/>
    <cellStyle name="Comma 2 5 4 2 2 3 5" xfId="21725" xr:uid="{00000000-0005-0000-0000-000067610000}"/>
    <cellStyle name="Comma 2 5 4 2 2 3 5 2" xfId="40099" xr:uid="{00000000-0005-0000-0000-000068610000}"/>
    <cellStyle name="Comma 2 5 4 2 2 3 6" xfId="22798" xr:uid="{00000000-0005-0000-0000-000069610000}"/>
    <cellStyle name="Comma 2 5 4 2 2 3 7" xfId="23877" xr:uid="{00000000-0005-0000-0000-00006A610000}"/>
    <cellStyle name="Comma 2 5 4 2 2 3 8" xfId="27120" xr:uid="{00000000-0005-0000-0000-00006B610000}"/>
    <cellStyle name="Comma 2 5 4 2 2 3 9" xfId="30453" xr:uid="{00000000-0005-0000-0000-00006C610000}"/>
    <cellStyle name="Comma 2 5 4 2 2 4" xfId="1452" xr:uid="{00000000-0005-0000-0000-00006D610000}"/>
    <cellStyle name="Comma 2 5 4 2 2 4 10" xfId="33676" xr:uid="{00000000-0005-0000-0000-00006E610000}"/>
    <cellStyle name="Comma 2 5 4 2 2 4 2" xfId="10222" xr:uid="{00000000-0005-0000-0000-00006F610000}"/>
    <cellStyle name="Comma 2 5 4 2 2 4 2 2" xfId="26022" xr:uid="{00000000-0005-0000-0000-000070610000}"/>
    <cellStyle name="Comma 2 5 4 2 2 4 2 2 2" xfId="45449" xr:uid="{00000000-0005-0000-0000-000071610000}"/>
    <cellStyle name="Comma 2 5 4 2 2 4 2 2 3" xfId="39026" xr:uid="{00000000-0005-0000-0000-000072610000}"/>
    <cellStyle name="Comma 2 5 4 2 2 4 2 3" xfId="28200" xr:uid="{00000000-0005-0000-0000-000073610000}"/>
    <cellStyle name="Comma 2 5 4 2 2 4 2 3 2" xfId="42242" xr:uid="{00000000-0005-0000-0000-000074610000}"/>
    <cellStyle name="Comma 2 5 4 2 2 4 2 4" xfId="31535" xr:uid="{00000000-0005-0000-0000-000075610000}"/>
    <cellStyle name="Comma 2 5 4 2 2 4 2 5" xfId="35818" xr:uid="{00000000-0005-0000-0000-000076610000}"/>
    <cellStyle name="Comma 2 5 4 2 2 4 3" xfId="15919" xr:uid="{00000000-0005-0000-0000-000077610000}"/>
    <cellStyle name="Comma 2 5 4 2 2 4 3 2" xfId="24934" xr:uid="{00000000-0005-0000-0000-000078610000}"/>
    <cellStyle name="Comma 2 5 4 2 2 4 3 2 2" xfId="44363" xr:uid="{00000000-0005-0000-0000-000079610000}"/>
    <cellStyle name="Comma 2 5 4 2 2 4 3 2 3" xfId="37940" xr:uid="{00000000-0005-0000-0000-00007A610000}"/>
    <cellStyle name="Comma 2 5 4 2 2 4 3 3" xfId="29255" xr:uid="{00000000-0005-0000-0000-00007B610000}"/>
    <cellStyle name="Comma 2 5 4 2 2 4 3 3 2" xfId="41156" xr:uid="{00000000-0005-0000-0000-00007C610000}"/>
    <cellStyle name="Comma 2 5 4 2 2 4 3 4" xfId="32590" xr:uid="{00000000-0005-0000-0000-00007D610000}"/>
    <cellStyle name="Comma 2 5 4 2 2 4 3 5" xfId="34732" xr:uid="{00000000-0005-0000-0000-00007E610000}"/>
    <cellStyle name="Comma 2 5 4 2 2 4 4" xfId="8737" xr:uid="{00000000-0005-0000-0000-00007F610000}"/>
    <cellStyle name="Comma 2 5 4 2 2 4 4 2" xfId="43307" xr:uid="{00000000-0005-0000-0000-000080610000}"/>
    <cellStyle name="Comma 2 5 4 2 2 4 4 3" xfId="36883" xr:uid="{00000000-0005-0000-0000-000081610000}"/>
    <cellStyle name="Comma 2 5 4 2 2 4 5" xfId="21726" xr:uid="{00000000-0005-0000-0000-000082610000}"/>
    <cellStyle name="Comma 2 5 4 2 2 4 5 2" xfId="40100" xr:uid="{00000000-0005-0000-0000-000083610000}"/>
    <cellStyle name="Comma 2 5 4 2 2 4 6" xfId="22799" xr:uid="{00000000-0005-0000-0000-000084610000}"/>
    <cellStyle name="Comma 2 5 4 2 2 4 7" xfId="23878" xr:uid="{00000000-0005-0000-0000-000085610000}"/>
    <cellStyle name="Comma 2 5 4 2 2 4 8" xfId="27121" xr:uid="{00000000-0005-0000-0000-000086610000}"/>
    <cellStyle name="Comma 2 5 4 2 2 4 9" xfId="30454" xr:uid="{00000000-0005-0000-0000-000087610000}"/>
    <cellStyle name="Comma 2 5 4 2 2 5" xfId="1453" xr:uid="{00000000-0005-0000-0000-000088610000}"/>
    <cellStyle name="Comma 2 5 4 2 2 5 10" xfId="33677" xr:uid="{00000000-0005-0000-0000-000089610000}"/>
    <cellStyle name="Comma 2 5 4 2 2 5 2" xfId="10223" xr:uid="{00000000-0005-0000-0000-00008A610000}"/>
    <cellStyle name="Comma 2 5 4 2 2 5 2 2" xfId="26023" xr:uid="{00000000-0005-0000-0000-00008B610000}"/>
    <cellStyle name="Comma 2 5 4 2 2 5 2 2 2" xfId="45450" xr:uid="{00000000-0005-0000-0000-00008C610000}"/>
    <cellStyle name="Comma 2 5 4 2 2 5 2 2 3" xfId="39027" xr:uid="{00000000-0005-0000-0000-00008D610000}"/>
    <cellStyle name="Comma 2 5 4 2 2 5 2 3" xfId="28201" xr:uid="{00000000-0005-0000-0000-00008E610000}"/>
    <cellStyle name="Comma 2 5 4 2 2 5 2 3 2" xfId="42243" xr:uid="{00000000-0005-0000-0000-00008F610000}"/>
    <cellStyle name="Comma 2 5 4 2 2 5 2 4" xfId="31536" xr:uid="{00000000-0005-0000-0000-000090610000}"/>
    <cellStyle name="Comma 2 5 4 2 2 5 2 5" xfId="35819" xr:uid="{00000000-0005-0000-0000-000091610000}"/>
    <cellStyle name="Comma 2 5 4 2 2 5 3" xfId="15920" xr:uid="{00000000-0005-0000-0000-000092610000}"/>
    <cellStyle name="Comma 2 5 4 2 2 5 3 2" xfId="24935" xr:uid="{00000000-0005-0000-0000-000093610000}"/>
    <cellStyle name="Comma 2 5 4 2 2 5 3 2 2" xfId="44364" xr:uid="{00000000-0005-0000-0000-000094610000}"/>
    <cellStyle name="Comma 2 5 4 2 2 5 3 2 3" xfId="37941" xr:uid="{00000000-0005-0000-0000-000095610000}"/>
    <cellStyle name="Comma 2 5 4 2 2 5 3 3" xfId="29256" xr:uid="{00000000-0005-0000-0000-000096610000}"/>
    <cellStyle name="Comma 2 5 4 2 2 5 3 3 2" xfId="41157" xr:uid="{00000000-0005-0000-0000-000097610000}"/>
    <cellStyle name="Comma 2 5 4 2 2 5 3 4" xfId="32591" xr:uid="{00000000-0005-0000-0000-000098610000}"/>
    <cellStyle name="Comma 2 5 4 2 2 5 3 5" xfId="34733" xr:uid="{00000000-0005-0000-0000-000099610000}"/>
    <cellStyle name="Comma 2 5 4 2 2 5 4" xfId="8738" xr:uid="{00000000-0005-0000-0000-00009A610000}"/>
    <cellStyle name="Comma 2 5 4 2 2 5 4 2" xfId="43308" xr:uid="{00000000-0005-0000-0000-00009B610000}"/>
    <cellStyle name="Comma 2 5 4 2 2 5 4 3" xfId="36884" xr:uid="{00000000-0005-0000-0000-00009C610000}"/>
    <cellStyle name="Comma 2 5 4 2 2 5 5" xfId="21727" xr:uid="{00000000-0005-0000-0000-00009D610000}"/>
    <cellStyle name="Comma 2 5 4 2 2 5 5 2" xfId="40101" xr:uid="{00000000-0005-0000-0000-00009E610000}"/>
    <cellStyle name="Comma 2 5 4 2 2 5 6" xfId="22800" xr:uid="{00000000-0005-0000-0000-00009F610000}"/>
    <cellStyle name="Comma 2 5 4 2 2 5 7" xfId="23879" xr:uid="{00000000-0005-0000-0000-0000A0610000}"/>
    <cellStyle name="Comma 2 5 4 2 2 5 8" xfId="27122" xr:uid="{00000000-0005-0000-0000-0000A1610000}"/>
    <cellStyle name="Comma 2 5 4 2 2 5 9" xfId="30455" xr:uid="{00000000-0005-0000-0000-0000A2610000}"/>
    <cellStyle name="Comma 2 5 4 2 2 6" xfId="1454" xr:uid="{00000000-0005-0000-0000-0000A3610000}"/>
    <cellStyle name="Comma 2 5 4 2 2 6 10" xfId="33678" xr:uid="{00000000-0005-0000-0000-0000A4610000}"/>
    <cellStyle name="Comma 2 5 4 2 2 6 2" xfId="10224" xr:uid="{00000000-0005-0000-0000-0000A5610000}"/>
    <cellStyle name="Comma 2 5 4 2 2 6 2 2" xfId="26024" xr:uid="{00000000-0005-0000-0000-0000A6610000}"/>
    <cellStyle name="Comma 2 5 4 2 2 6 2 2 2" xfId="45451" xr:uid="{00000000-0005-0000-0000-0000A7610000}"/>
    <cellStyle name="Comma 2 5 4 2 2 6 2 2 3" xfId="39028" xr:uid="{00000000-0005-0000-0000-0000A8610000}"/>
    <cellStyle name="Comma 2 5 4 2 2 6 2 3" xfId="28202" xr:uid="{00000000-0005-0000-0000-0000A9610000}"/>
    <cellStyle name="Comma 2 5 4 2 2 6 2 3 2" xfId="42244" xr:uid="{00000000-0005-0000-0000-0000AA610000}"/>
    <cellStyle name="Comma 2 5 4 2 2 6 2 4" xfId="31537" xr:uid="{00000000-0005-0000-0000-0000AB610000}"/>
    <cellStyle name="Comma 2 5 4 2 2 6 2 5" xfId="35820" xr:uid="{00000000-0005-0000-0000-0000AC610000}"/>
    <cellStyle name="Comma 2 5 4 2 2 6 3" xfId="15921" xr:uid="{00000000-0005-0000-0000-0000AD610000}"/>
    <cellStyle name="Comma 2 5 4 2 2 6 3 2" xfId="24936" xr:uid="{00000000-0005-0000-0000-0000AE610000}"/>
    <cellStyle name="Comma 2 5 4 2 2 6 3 2 2" xfId="44365" xr:uid="{00000000-0005-0000-0000-0000AF610000}"/>
    <cellStyle name="Comma 2 5 4 2 2 6 3 2 3" xfId="37942" xr:uid="{00000000-0005-0000-0000-0000B0610000}"/>
    <cellStyle name="Comma 2 5 4 2 2 6 3 3" xfId="29257" xr:uid="{00000000-0005-0000-0000-0000B1610000}"/>
    <cellStyle name="Comma 2 5 4 2 2 6 3 3 2" xfId="41158" xr:uid="{00000000-0005-0000-0000-0000B2610000}"/>
    <cellStyle name="Comma 2 5 4 2 2 6 3 4" xfId="32592" xr:uid="{00000000-0005-0000-0000-0000B3610000}"/>
    <cellStyle name="Comma 2 5 4 2 2 6 3 5" xfId="34734" xr:uid="{00000000-0005-0000-0000-0000B4610000}"/>
    <cellStyle name="Comma 2 5 4 2 2 6 4" xfId="8739" xr:uid="{00000000-0005-0000-0000-0000B5610000}"/>
    <cellStyle name="Comma 2 5 4 2 2 6 4 2" xfId="43309" xr:uid="{00000000-0005-0000-0000-0000B6610000}"/>
    <cellStyle name="Comma 2 5 4 2 2 6 4 3" xfId="36885" xr:uid="{00000000-0005-0000-0000-0000B7610000}"/>
    <cellStyle name="Comma 2 5 4 2 2 6 5" xfId="21728" xr:uid="{00000000-0005-0000-0000-0000B8610000}"/>
    <cellStyle name="Comma 2 5 4 2 2 6 5 2" xfId="40102" xr:uid="{00000000-0005-0000-0000-0000B9610000}"/>
    <cellStyle name="Comma 2 5 4 2 2 6 6" xfId="22801" xr:uid="{00000000-0005-0000-0000-0000BA610000}"/>
    <cellStyle name="Comma 2 5 4 2 2 6 7" xfId="23880" xr:uid="{00000000-0005-0000-0000-0000BB610000}"/>
    <cellStyle name="Comma 2 5 4 2 2 6 8" xfId="27123" xr:uid="{00000000-0005-0000-0000-0000BC610000}"/>
    <cellStyle name="Comma 2 5 4 2 2 6 9" xfId="30456" xr:uid="{00000000-0005-0000-0000-0000BD610000}"/>
    <cellStyle name="Comma 2 5 4 2 2 7" xfId="9151" xr:uid="{00000000-0005-0000-0000-0000BE610000}"/>
    <cellStyle name="Comma 2 5 4 2 2 7 2" xfId="25205" xr:uid="{00000000-0005-0000-0000-0000BF610000}"/>
    <cellStyle name="Comma 2 5 4 2 2 7 2 2" xfId="44632" xr:uid="{00000000-0005-0000-0000-0000C0610000}"/>
    <cellStyle name="Comma 2 5 4 2 2 7 2 3" xfId="38209" xr:uid="{00000000-0005-0000-0000-0000C1610000}"/>
    <cellStyle name="Comma 2 5 4 2 2 7 3" xfId="27384" xr:uid="{00000000-0005-0000-0000-0000C2610000}"/>
    <cellStyle name="Comma 2 5 4 2 2 7 3 2" xfId="41425" xr:uid="{00000000-0005-0000-0000-0000C3610000}"/>
    <cellStyle name="Comma 2 5 4 2 2 7 4" xfId="30719" xr:uid="{00000000-0005-0000-0000-0000C4610000}"/>
    <cellStyle name="Comma 2 5 4 2 2 7 5" xfId="35001" xr:uid="{00000000-0005-0000-0000-0000C5610000}"/>
    <cellStyle name="Comma 2 5 4 2 2 8" xfId="15916" xr:uid="{00000000-0005-0000-0000-0000C6610000}"/>
    <cellStyle name="Comma 2 5 4 2 2 8 2" xfId="24931" xr:uid="{00000000-0005-0000-0000-0000C7610000}"/>
    <cellStyle name="Comma 2 5 4 2 2 8 2 2" xfId="44360" xr:uid="{00000000-0005-0000-0000-0000C8610000}"/>
    <cellStyle name="Comma 2 5 4 2 2 8 2 3" xfId="37937" xr:uid="{00000000-0005-0000-0000-0000C9610000}"/>
    <cellStyle name="Comma 2 5 4 2 2 8 3" xfId="29252" xr:uid="{00000000-0005-0000-0000-0000CA610000}"/>
    <cellStyle name="Comma 2 5 4 2 2 8 3 2" xfId="41153" xr:uid="{00000000-0005-0000-0000-0000CB610000}"/>
    <cellStyle name="Comma 2 5 4 2 2 8 4" xfId="32587" xr:uid="{00000000-0005-0000-0000-0000CC610000}"/>
    <cellStyle name="Comma 2 5 4 2 2 8 5" xfId="34729" xr:uid="{00000000-0005-0000-0000-0000CD610000}"/>
    <cellStyle name="Comma 2 5 4 2 2 9" xfId="8734" xr:uid="{00000000-0005-0000-0000-0000CE610000}"/>
    <cellStyle name="Comma 2 5 4 2 2 9 2" xfId="42495" xr:uid="{00000000-0005-0000-0000-0000CF610000}"/>
    <cellStyle name="Comma 2 5 4 2 2 9 3" xfId="36071" xr:uid="{00000000-0005-0000-0000-0000D0610000}"/>
    <cellStyle name="Comma 2 5 4 2 3" xfId="1455" xr:uid="{00000000-0005-0000-0000-0000D1610000}"/>
    <cellStyle name="Comma 2 5 4 2 3 10" xfId="22802" xr:uid="{00000000-0005-0000-0000-0000D2610000}"/>
    <cellStyle name="Comma 2 5 4 2 3 11" xfId="23881" xr:uid="{00000000-0005-0000-0000-0000D3610000}"/>
    <cellStyle name="Comma 2 5 4 2 3 12" xfId="27124" xr:uid="{00000000-0005-0000-0000-0000D4610000}"/>
    <cellStyle name="Comma 2 5 4 2 3 13" xfId="30457" xr:uid="{00000000-0005-0000-0000-0000D5610000}"/>
    <cellStyle name="Comma 2 5 4 2 3 14" xfId="33679" xr:uid="{00000000-0005-0000-0000-0000D6610000}"/>
    <cellStyle name="Comma 2 5 4 2 3 2" xfId="1456" xr:uid="{00000000-0005-0000-0000-0000D7610000}"/>
    <cellStyle name="Comma 2 5 4 2 3 2 10" xfId="33680" xr:uid="{00000000-0005-0000-0000-0000D8610000}"/>
    <cellStyle name="Comma 2 5 4 2 3 2 2" xfId="10226" xr:uid="{00000000-0005-0000-0000-0000D9610000}"/>
    <cellStyle name="Comma 2 5 4 2 3 2 2 2" xfId="26026" xr:uid="{00000000-0005-0000-0000-0000DA610000}"/>
    <cellStyle name="Comma 2 5 4 2 3 2 2 2 2" xfId="45453" xr:uid="{00000000-0005-0000-0000-0000DB610000}"/>
    <cellStyle name="Comma 2 5 4 2 3 2 2 2 3" xfId="39030" xr:uid="{00000000-0005-0000-0000-0000DC610000}"/>
    <cellStyle name="Comma 2 5 4 2 3 2 2 3" xfId="28204" xr:uid="{00000000-0005-0000-0000-0000DD610000}"/>
    <cellStyle name="Comma 2 5 4 2 3 2 2 3 2" xfId="42246" xr:uid="{00000000-0005-0000-0000-0000DE610000}"/>
    <cellStyle name="Comma 2 5 4 2 3 2 2 4" xfId="31539" xr:uid="{00000000-0005-0000-0000-0000DF610000}"/>
    <cellStyle name="Comma 2 5 4 2 3 2 2 5" xfId="35822" xr:uid="{00000000-0005-0000-0000-0000E0610000}"/>
    <cellStyle name="Comma 2 5 4 2 3 2 3" xfId="15923" xr:uid="{00000000-0005-0000-0000-0000E1610000}"/>
    <cellStyle name="Comma 2 5 4 2 3 2 3 2" xfId="24938" xr:uid="{00000000-0005-0000-0000-0000E2610000}"/>
    <cellStyle name="Comma 2 5 4 2 3 2 3 2 2" xfId="44367" xr:uid="{00000000-0005-0000-0000-0000E3610000}"/>
    <cellStyle name="Comma 2 5 4 2 3 2 3 2 3" xfId="37944" xr:uid="{00000000-0005-0000-0000-0000E4610000}"/>
    <cellStyle name="Comma 2 5 4 2 3 2 3 3" xfId="29259" xr:uid="{00000000-0005-0000-0000-0000E5610000}"/>
    <cellStyle name="Comma 2 5 4 2 3 2 3 3 2" xfId="41160" xr:uid="{00000000-0005-0000-0000-0000E6610000}"/>
    <cellStyle name="Comma 2 5 4 2 3 2 3 4" xfId="32594" xr:uid="{00000000-0005-0000-0000-0000E7610000}"/>
    <cellStyle name="Comma 2 5 4 2 3 2 3 5" xfId="34736" xr:uid="{00000000-0005-0000-0000-0000E8610000}"/>
    <cellStyle name="Comma 2 5 4 2 3 2 4" xfId="8741" xr:uid="{00000000-0005-0000-0000-0000E9610000}"/>
    <cellStyle name="Comma 2 5 4 2 3 2 4 2" xfId="43311" xr:uid="{00000000-0005-0000-0000-0000EA610000}"/>
    <cellStyle name="Comma 2 5 4 2 3 2 4 3" xfId="36887" xr:uid="{00000000-0005-0000-0000-0000EB610000}"/>
    <cellStyle name="Comma 2 5 4 2 3 2 5" xfId="21730" xr:uid="{00000000-0005-0000-0000-0000EC610000}"/>
    <cellStyle name="Comma 2 5 4 2 3 2 5 2" xfId="40104" xr:uid="{00000000-0005-0000-0000-0000ED610000}"/>
    <cellStyle name="Comma 2 5 4 2 3 2 6" xfId="22803" xr:uid="{00000000-0005-0000-0000-0000EE610000}"/>
    <cellStyle name="Comma 2 5 4 2 3 2 7" xfId="23882" xr:uid="{00000000-0005-0000-0000-0000EF610000}"/>
    <cellStyle name="Comma 2 5 4 2 3 2 8" xfId="27125" xr:uid="{00000000-0005-0000-0000-0000F0610000}"/>
    <cellStyle name="Comma 2 5 4 2 3 2 9" xfId="30458" xr:uid="{00000000-0005-0000-0000-0000F1610000}"/>
    <cellStyle name="Comma 2 5 4 2 3 3" xfId="1457" xr:uid="{00000000-0005-0000-0000-0000F2610000}"/>
    <cellStyle name="Comma 2 5 4 2 3 3 10" xfId="33681" xr:uid="{00000000-0005-0000-0000-0000F3610000}"/>
    <cellStyle name="Comma 2 5 4 2 3 3 2" xfId="10227" xr:uid="{00000000-0005-0000-0000-0000F4610000}"/>
    <cellStyle name="Comma 2 5 4 2 3 3 2 2" xfId="26027" xr:uid="{00000000-0005-0000-0000-0000F5610000}"/>
    <cellStyle name="Comma 2 5 4 2 3 3 2 2 2" xfId="45454" xr:uid="{00000000-0005-0000-0000-0000F6610000}"/>
    <cellStyle name="Comma 2 5 4 2 3 3 2 2 3" xfId="39031" xr:uid="{00000000-0005-0000-0000-0000F7610000}"/>
    <cellStyle name="Comma 2 5 4 2 3 3 2 3" xfId="28205" xr:uid="{00000000-0005-0000-0000-0000F8610000}"/>
    <cellStyle name="Comma 2 5 4 2 3 3 2 3 2" xfId="42247" xr:uid="{00000000-0005-0000-0000-0000F9610000}"/>
    <cellStyle name="Comma 2 5 4 2 3 3 2 4" xfId="31540" xr:uid="{00000000-0005-0000-0000-0000FA610000}"/>
    <cellStyle name="Comma 2 5 4 2 3 3 2 5" xfId="35823" xr:uid="{00000000-0005-0000-0000-0000FB610000}"/>
    <cellStyle name="Comma 2 5 4 2 3 3 3" xfId="15924" xr:uid="{00000000-0005-0000-0000-0000FC610000}"/>
    <cellStyle name="Comma 2 5 4 2 3 3 3 2" xfId="24939" xr:uid="{00000000-0005-0000-0000-0000FD610000}"/>
    <cellStyle name="Comma 2 5 4 2 3 3 3 2 2" xfId="44368" xr:uid="{00000000-0005-0000-0000-0000FE610000}"/>
    <cellStyle name="Comma 2 5 4 2 3 3 3 2 3" xfId="37945" xr:uid="{00000000-0005-0000-0000-0000FF610000}"/>
    <cellStyle name="Comma 2 5 4 2 3 3 3 3" xfId="29260" xr:uid="{00000000-0005-0000-0000-000000620000}"/>
    <cellStyle name="Comma 2 5 4 2 3 3 3 3 2" xfId="41161" xr:uid="{00000000-0005-0000-0000-000001620000}"/>
    <cellStyle name="Comma 2 5 4 2 3 3 3 4" xfId="32595" xr:uid="{00000000-0005-0000-0000-000002620000}"/>
    <cellStyle name="Comma 2 5 4 2 3 3 3 5" xfId="34737" xr:uid="{00000000-0005-0000-0000-000003620000}"/>
    <cellStyle name="Comma 2 5 4 2 3 3 4" xfId="8742" xr:uid="{00000000-0005-0000-0000-000004620000}"/>
    <cellStyle name="Comma 2 5 4 2 3 3 4 2" xfId="43312" xr:uid="{00000000-0005-0000-0000-000005620000}"/>
    <cellStyle name="Comma 2 5 4 2 3 3 4 3" xfId="36888" xr:uid="{00000000-0005-0000-0000-000006620000}"/>
    <cellStyle name="Comma 2 5 4 2 3 3 5" xfId="21731" xr:uid="{00000000-0005-0000-0000-000007620000}"/>
    <cellStyle name="Comma 2 5 4 2 3 3 5 2" xfId="40105" xr:uid="{00000000-0005-0000-0000-000008620000}"/>
    <cellStyle name="Comma 2 5 4 2 3 3 6" xfId="22804" xr:uid="{00000000-0005-0000-0000-000009620000}"/>
    <cellStyle name="Comma 2 5 4 2 3 3 7" xfId="23883" xr:uid="{00000000-0005-0000-0000-00000A620000}"/>
    <cellStyle name="Comma 2 5 4 2 3 3 8" xfId="27126" xr:uid="{00000000-0005-0000-0000-00000B620000}"/>
    <cellStyle name="Comma 2 5 4 2 3 3 9" xfId="30459" xr:uid="{00000000-0005-0000-0000-00000C620000}"/>
    <cellStyle name="Comma 2 5 4 2 3 4" xfId="1458" xr:uid="{00000000-0005-0000-0000-00000D620000}"/>
    <cellStyle name="Comma 2 5 4 2 3 4 10" xfId="33682" xr:uid="{00000000-0005-0000-0000-00000E620000}"/>
    <cellStyle name="Comma 2 5 4 2 3 4 2" xfId="10228" xr:uid="{00000000-0005-0000-0000-00000F620000}"/>
    <cellStyle name="Comma 2 5 4 2 3 4 2 2" xfId="26028" xr:uid="{00000000-0005-0000-0000-000010620000}"/>
    <cellStyle name="Comma 2 5 4 2 3 4 2 2 2" xfId="45455" xr:uid="{00000000-0005-0000-0000-000011620000}"/>
    <cellStyle name="Comma 2 5 4 2 3 4 2 2 3" xfId="39032" xr:uid="{00000000-0005-0000-0000-000012620000}"/>
    <cellStyle name="Comma 2 5 4 2 3 4 2 3" xfId="28206" xr:uid="{00000000-0005-0000-0000-000013620000}"/>
    <cellStyle name="Comma 2 5 4 2 3 4 2 3 2" xfId="42248" xr:uid="{00000000-0005-0000-0000-000014620000}"/>
    <cellStyle name="Comma 2 5 4 2 3 4 2 4" xfId="31541" xr:uid="{00000000-0005-0000-0000-000015620000}"/>
    <cellStyle name="Comma 2 5 4 2 3 4 2 5" xfId="35824" xr:uid="{00000000-0005-0000-0000-000016620000}"/>
    <cellStyle name="Comma 2 5 4 2 3 4 3" xfId="15925" xr:uid="{00000000-0005-0000-0000-000017620000}"/>
    <cellStyle name="Comma 2 5 4 2 3 4 3 2" xfId="24940" xr:uid="{00000000-0005-0000-0000-000018620000}"/>
    <cellStyle name="Comma 2 5 4 2 3 4 3 2 2" xfId="44369" xr:uid="{00000000-0005-0000-0000-000019620000}"/>
    <cellStyle name="Comma 2 5 4 2 3 4 3 2 3" xfId="37946" xr:uid="{00000000-0005-0000-0000-00001A620000}"/>
    <cellStyle name="Comma 2 5 4 2 3 4 3 3" xfId="29261" xr:uid="{00000000-0005-0000-0000-00001B620000}"/>
    <cellStyle name="Comma 2 5 4 2 3 4 3 3 2" xfId="41162" xr:uid="{00000000-0005-0000-0000-00001C620000}"/>
    <cellStyle name="Comma 2 5 4 2 3 4 3 4" xfId="32596" xr:uid="{00000000-0005-0000-0000-00001D620000}"/>
    <cellStyle name="Comma 2 5 4 2 3 4 3 5" xfId="34738" xr:uid="{00000000-0005-0000-0000-00001E620000}"/>
    <cellStyle name="Comma 2 5 4 2 3 4 4" xfId="8743" xr:uid="{00000000-0005-0000-0000-00001F620000}"/>
    <cellStyle name="Comma 2 5 4 2 3 4 4 2" xfId="43313" xr:uid="{00000000-0005-0000-0000-000020620000}"/>
    <cellStyle name="Comma 2 5 4 2 3 4 4 3" xfId="36889" xr:uid="{00000000-0005-0000-0000-000021620000}"/>
    <cellStyle name="Comma 2 5 4 2 3 4 5" xfId="21732" xr:uid="{00000000-0005-0000-0000-000022620000}"/>
    <cellStyle name="Comma 2 5 4 2 3 4 5 2" xfId="40106" xr:uid="{00000000-0005-0000-0000-000023620000}"/>
    <cellStyle name="Comma 2 5 4 2 3 4 6" xfId="22805" xr:uid="{00000000-0005-0000-0000-000024620000}"/>
    <cellStyle name="Comma 2 5 4 2 3 4 7" xfId="23884" xr:uid="{00000000-0005-0000-0000-000025620000}"/>
    <cellStyle name="Comma 2 5 4 2 3 4 8" xfId="27127" xr:uid="{00000000-0005-0000-0000-000026620000}"/>
    <cellStyle name="Comma 2 5 4 2 3 4 9" xfId="30460" xr:uid="{00000000-0005-0000-0000-000027620000}"/>
    <cellStyle name="Comma 2 5 4 2 3 5" xfId="1459" xr:uid="{00000000-0005-0000-0000-000028620000}"/>
    <cellStyle name="Comma 2 5 4 2 3 5 10" xfId="33683" xr:uid="{00000000-0005-0000-0000-000029620000}"/>
    <cellStyle name="Comma 2 5 4 2 3 5 2" xfId="10229" xr:uid="{00000000-0005-0000-0000-00002A620000}"/>
    <cellStyle name="Comma 2 5 4 2 3 5 2 2" xfId="26029" xr:uid="{00000000-0005-0000-0000-00002B620000}"/>
    <cellStyle name="Comma 2 5 4 2 3 5 2 2 2" xfId="45456" xr:uid="{00000000-0005-0000-0000-00002C620000}"/>
    <cellStyle name="Comma 2 5 4 2 3 5 2 2 3" xfId="39033" xr:uid="{00000000-0005-0000-0000-00002D620000}"/>
    <cellStyle name="Comma 2 5 4 2 3 5 2 3" xfId="28207" xr:uid="{00000000-0005-0000-0000-00002E620000}"/>
    <cellStyle name="Comma 2 5 4 2 3 5 2 3 2" xfId="42249" xr:uid="{00000000-0005-0000-0000-00002F620000}"/>
    <cellStyle name="Comma 2 5 4 2 3 5 2 4" xfId="31542" xr:uid="{00000000-0005-0000-0000-000030620000}"/>
    <cellStyle name="Comma 2 5 4 2 3 5 2 5" xfId="35825" xr:uid="{00000000-0005-0000-0000-000031620000}"/>
    <cellStyle name="Comma 2 5 4 2 3 5 3" xfId="15926" xr:uid="{00000000-0005-0000-0000-000032620000}"/>
    <cellStyle name="Comma 2 5 4 2 3 5 3 2" xfId="24941" xr:uid="{00000000-0005-0000-0000-000033620000}"/>
    <cellStyle name="Comma 2 5 4 2 3 5 3 2 2" xfId="44370" xr:uid="{00000000-0005-0000-0000-000034620000}"/>
    <cellStyle name="Comma 2 5 4 2 3 5 3 2 3" xfId="37947" xr:uid="{00000000-0005-0000-0000-000035620000}"/>
    <cellStyle name="Comma 2 5 4 2 3 5 3 3" xfId="29262" xr:uid="{00000000-0005-0000-0000-000036620000}"/>
    <cellStyle name="Comma 2 5 4 2 3 5 3 3 2" xfId="41163" xr:uid="{00000000-0005-0000-0000-000037620000}"/>
    <cellStyle name="Comma 2 5 4 2 3 5 3 4" xfId="32597" xr:uid="{00000000-0005-0000-0000-000038620000}"/>
    <cellStyle name="Comma 2 5 4 2 3 5 3 5" xfId="34739" xr:uid="{00000000-0005-0000-0000-000039620000}"/>
    <cellStyle name="Comma 2 5 4 2 3 5 4" xfId="8744" xr:uid="{00000000-0005-0000-0000-00003A620000}"/>
    <cellStyle name="Comma 2 5 4 2 3 5 4 2" xfId="43314" xr:uid="{00000000-0005-0000-0000-00003B620000}"/>
    <cellStyle name="Comma 2 5 4 2 3 5 4 3" xfId="36890" xr:uid="{00000000-0005-0000-0000-00003C620000}"/>
    <cellStyle name="Comma 2 5 4 2 3 5 5" xfId="21733" xr:uid="{00000000-0005-0000-0000-00003D620000}"/>
    <cellStyle name="Comma 2 5 4 2 3 5 5 2" xfId="40107" xr:uid="{00000000-0005-0000-0000-00003E620000}"/>
    <cellStyle name="Comma 2 5 4 2 3 5 6" xfId="22806" xr:uid="{00000000-0005-0000-0000-00003F620000}"/>
    <cellStyle name="Comma 2 5 4 2 3 5 7" xfId="23885" xr:uid="{00000000-0005-0000-0000-000040620000}"/>
    <cellStyle name="Comma 2 5 4 2 3 5 8" xfId="27128" xr:uid="{00000000-0005-0000-0000-000041620000}"/>
    <cellStyle name="Comma 2 5 4 2 3 5 9" xfId="30461" xr:uid="{00000000-0005-0000-0000-000042620000}"/>
    <cellStyle name="Comma 2 5 4 2 3 6" xfId="10225" xr:uid="{00000000-0005-0000-0000-000043620000}"/>
    <cellStyle name="Comma 2 5 4 2 3 6 2" xfId="26025" xr:uid="{00000000-0005-0000-0000-000044620000}"/>
    <cellStyle name="Comma 2 5 4 2 3 6 2 2" xfId="45452" xr:uid="{00000000-0005-0000-0000-000045620000}"/>
    <cellStyle name="Comma 2 5 4 2 3 6 2 3" xfId="39029" xr:uid="{00000000-0005-0000-0000-000046620000}"/>
    <cellStyle name="Comma 2 5 4 2 3 6 3" xfId="28203" xr:uid="{00000000-0005-0000-0000-000047620000}"/>
    <cellStyle name="Comma 2 5 4 2 3 6 3 2" xfId="42245" xr:uid="{00000000-0005-0000-0000-000048620000}"/>
    <cellStyle name="Comma 2 5 4 2 3 6 4" xfId="31538" xr:uid="{00000000-0005-0000-0000-000049620000}"/>
    <cellStyle name="Comma 2 5 4 2 3 6 5" xfId="35821" xr:uid="{00000000-0005-0000-0000-00004A620000}"/>
    <cellStyle name="Comma 2 5 4 2 3 7" xfId="15922" xr:uid="{00000000-0005-0000-0000-00004B620000}"/>
    <cellStyle name="Comma 2 5 4 2 3 7 2" xfId="24937" xr:uid="{00000000-0005-0000-0000-00004C620000}"/>
    <cellStyle name="Comma 2 5 4 2 3 7 2 2" xfId="44366" xr:uid="{00000000-0005-0000-0000-00004D620000}"/>
    <cellStyle name="Comma 2 5 4 2 3 7 2 3" xfId="37943" xr:uid="{00000000-0005-0000-0000-00004E620000}"/>
    <cellStyle name="Comma 2 5 4 2 3 7 3" xfId="29258" xr:uid="{00000000-0005-0000-0000-00004F620000}"/>
    <cellStyle name="Comma 2 5 4 2 3 7 3 2" xfId="41159" xr:uid="{00000000-0005-0000-0000-000050620000}"/>
    <cellStyle name="Comma 2 5 4 2 3 7 4" xfId="32593" xr:uid="{00000000-0005-0000-0000-000051620000}"/>
    <cellStyle name="Comma 2 5 4 2 3 7 5" xfId="34735" xr:uid="{00000000-0005-0000-0000-000052620000}"/>
    <cellStyle name="Comma 2 5 4 2 3 8" xfId="8740" xr:uid="{00000000-0005-0000-0000-000053620000}"/>
    <cellStyle name="Comma 2 5 4 2 3 8 2" xfId="43310" xr:uid="{00000000-0005-0000-0000-000054620000}"/>
    <cellStyle name="Comma 2 5 4 2 3 8 3" xfId="36886" xr:uid="{00000000-0005-0000-0000-000055620000}"/>
    <cellStyle name="Comma 2 5 4 2 3 9" xfId="21729" xr:uid="{00000000-0005-0000-0000-000056620000}"/>
    <cellStyle name="Comma 2 5 4 2 3 9 2" xfId="40103" xr:uid="{00000000-0005-0000-0000-000057620000}"/>
    <cellStyle name="Comma 2 5 4 2 4" xfId="1460" xr:uid="{00000000-0005-0000-0000-000058620000}"/>
    <cellStyle name="Comma 2 5 4 2 4 10" xfId="33684" xr:uid="{00000000-0005-0000-0000-000059620000}"/>
    <cellStyle name="Comma 2 5 4 2 4 2" xfId="10230" xr:uid="{00000000-0005-0000-0000-00005A620000}"/>
    <cellStyle name="Comma 2 5 4 2 4 2 2" xfId="26030" xr:uid="{00000000-0005-0000-0000-00005B620000}"/>
    <cellStyle name="Comma 2 5 4 2 4 2 2 2" xfId="45457" xr:uid="{00000000-0005-0000-0000-00005C620000}"/>
    <cellStyle name="Comma 2 5 4 2 4 2 2 3" xfId="39034" xr:uid="{00000000-0005-0000-0000-00005D620000}"/>
    <cellStyle name="Comma 2 5 4 2 4 2 3" xfId="28208" xr:uid="{00000000-0005-0000-0000-00005E620000}"/>
    <cellStyle name="Comma 2 5 4 2 4 2 3 2" xfId="42250" xr:uid="{00000000-0005-0000-0000-00005F620000}"/>
    <cellStyle name="Comma 2 5 4 2 4 2 4" xfId="31543" xr:uid="{00000000-0005-0000-0000-000060620000}"/>
    <cellStyle name="Comma 2 5 4 2 4 2 5" xfId="35826" xr:uid="{00000000-0005-0000-0000-000061620000}"/>
    <cellStyle name="Comma 2 5 4 2 4 3" xfId="15927" xr:uid="{00000000-0005-0000-0000-000062620000}"/>
    <cellStyle name="Comma 2 5 4 2 4 3 2" xfId="24942" xr:uid="{00000000-0005-0000-0000-000063620000}"/>
    <cellStyle name="Comma 2 5 4 2 4 3 2 2" xfId="44371" xr:uid="{00000000-0005-0000-0000-000064620000}"/>
    <cellStyle name="Comma 2 5 4 2 4 3 2 3" xfId="37948" xr:uid="{00000000-0005-0000-0000-000065620000}"/>
    <cellStyle name="Comma 2 5 4 2 4 3 3" xfId="29263" xr:uid="{00000000-0005-0000-0000-000066620000}"/>
    <cellStyle name="Comma 2 5 4 2 4 3 3 2" xfId="41164" xr:uid="{00000000-0005-0000-0000-000067620000}"/>
    <cellStyle name="Comma 2 5 4 2 4 3 4" xfId="32598" xr:uid="{00000000-0005-0000-0000-000068620000}"/>
    <cellStyle name="Comma 2 5 4 2 4 3 5" xfId="34740" xr:uid="{00000000-0005-0000-0000-000069620000}"/>
    <cellStyle name="Comma 2 5 4 2 4 4" xfId="8745" xr:uid="{00000000-0005-0000-0000-00006A620000}"/>
    <cellStyle name="Comma 2 5 4 2 4 4 2" xfId="43315" xr:uid="{00000000-0005-0000-0000-00006B620000}"/>
    <cellStyle name="Comma 2 5 4 2 4 4 3" xfId="36891" xr:uid="{00000000-0005-0000-0000-00006C620000}"/>
    <cellStyle name="Comma 2 5 4 2 4 5" xfId="21734" xr:uid="{00000000-0005-0000-0000-00006D620000}"/>
    <cellStyle name="Comma 2 5 4 2 4 5 2" xfId="40108" xr:uid="{00000000-0005-0000-0000-00006E620000}"/>
    <cellStyle name="Comma 2 5 4 2 4 6" xfId="22807" xr:uid="{00000000-0005-0000-0000-00006F620000}"/>
    <cellStyle name="Comma 2 5 4 2 4 7" xfId="23886" xr:uid="{00000000-0005-0000-0000-000070620000}"/>
    <cellStyle name="Comma 2 5 4 2 4 8" xfId="27129" xr:uid="{00000000-0005-0000-0000-000071620000}"/>
    <cellStyle name="Comma 2 5 4 2 4 9" xfId="30462" xr:uid="{00000000-0005-0000-0000-000072620000}"/>
    <cellStyle name="Comma 2 5 4 2 5" xfId="1461" xr:uid="{00000000-0005-0000-0000-000073620000}"/>
    <cellStyle name="Comma 2 5 4 2 5 10" xfId="33685" xr:uid="{00000000-0005-0000-0000-000074620000}"/>
    <cellStyle name="Comma 2 5 4 2 5 2" xfId="10231" xr:uid="{00000000-0005-0000-0000-000075620000}"/>
    <cellStyle name="Comma 2 5 4 2 5 2 2" xfId="26031" xr:uid="{00000000-0005-0000-0000-000076620000}"/>
    <cellStyle name="Comma 2 5 4 2 5 2 2 2" xfId="45458" xr:uid="{00000000-0005-0000-0000-000077620000}"/>
    <cellStyle name="Comma 2 5 4 2 5 2 2 3" xfId="39035" xr:uid="{00000000-0005-0000-0000-000078620000}"/>
    <cellStyle name="Comma 2 5 4 2 5 2 3" xfId="28209" xr:uid="{00000000-0005-0000-0000-000079620000}"/>
    <cellStyle name="Comma 2 5 4 2 5 2 3 2" xfId="42251" xr:uid="{00000000-0005-0000-0000-00007A620000}"/>
    <cellStyle name="Comma 2 5 4 2 5 2 4" xfId="31544" xr:uid="{00000000-0005-0000-0000-00007B620000}"/>
    <cellStyle name="Comma 2 5 4 2 5 2 5" xfId="35827" xr:uid="{00000000-0005-0000-0000-00007C620000}"/>
    <cellStyle name="Comma 2 5 4 2 5 3" xfId="15928" xr:uid="{00000000-0005-0000-0000-00007D620000}"/>
    <cellStyle name="Comma 2 5 4 2 5 3 2" xfId="24943" xr:uid="{00000000-0005-0000-0000-00007E620000}"/>
    <cellStyle name="Comma 2 5 4 2 5 3 2 2" xfId="44372" xr:uid="{00000000-0005-0000-0000-00007F620000}"/>
    <cellStyle name="Comma 2 5 4 2 5 3 2 3" xfId="37949" xr:uid="{00000000-0005-0000-0000-000080620000}"/>
    <cellStyle name="Comma 2 5 4 2 5 3 3" xfId="29264" xr:uid="{00000000-0005-0000-0000-000081620000}"/>
    <cellStyle name="Comma 2 5 4 2 5 3 3 2" xfId="41165" xr:uid="{00000000-0005-0000-0000-000082620000}"/>
    <cellStyle name="Comma 2 5 4 2 5 3 4" xfId="32599" xr:uid="{00000000-0005-0000-0000-000083620000}"/>
    <cellStyle name="Comma 2 5 4 2 5 3 5" xfId="34741" xr:uid="{00000000-0005-0000-0000-000084620000}"/>
    <cellStyle name="Comma 2 5 4 2 5 4" xfId="8746" xr:uid="{00000000-0005-0000-0000-000085620000}"/>
    <cellStyle name="Comma 2 5 4 2 5 4 2" xfId="43316" xr:uid="{00000000-0005-0000-0000-000086620000}"/>
    <cellStyle name="Comma 2 5 4 2 5 4 3" xfId="36892" xr:uid="{00000000-0005-0000-0000-000087620000}"/>
    <cellStyle name="Comma 2 5 4 2 5 5" xfId="21735" xr:uid="{00000000-0005-0000-0000-000088620000}"/>
    <cellStyle name="Comma 2 5 4 2 5 5 2" xfId="40109" xr:uid="{00000000-0005-0000-0000-000089620000}"/>
    <cellStyle name="Comma 2 5 4 2 5 6" xfId="22808" xr:uid="{00000000-0005-0000-0000-00008A620000}"/>
    <cellStyle name="Comma 2 5 4 2 5 7" xfId="23887" xr:uid="{00000000-0005-0000-0000-00008B620000}"/>
    <cellStyle name="Comma 2 5 4 2 5 8" xfId="27130" xr:uid="{00000000-0005-0000-0000-00008C620000}"/>
    <cellStyle name="Comma 2 5 4 2 5 9" xfId="30463" xr:uid="{00000000-0005-0000-0000-00008D620000}"/>
    <cellStyle name="Comma 2 5 4 2 6" xfId="1462" xr:uid="{00000000-0005-0000-0000-00008E620000}"/>
    <cellStyle name="Comma 2 5 4 2 6 10" xfId="33686" xr:uid="{00000000-0005-0000-0000-00008F620000}"/>
    <cellStyle name="Comma 2 5 4 2 6 2" xfId="10232" xr:uid="{00000000-0005-0000-0000-000090620000}"/>
    <cellStyle name="Comma 2 5 4 2 6 2 2" xfId="26032" xr:uid="{00000000-0005-0000-0000-000091620000}"/>
    <cellStyle name="Comma 2 5 4 2 6 2 2 2" xfId="45459" xr:uid="{00000000-0005-0000-0000-000092620000}"/>
    <cellStyle name="Comma 2 5 4 2 6 2 2 3" xfId="39036" xr:uid="{00000000-0005-0000-0000-000093620000}"/>
    <cellStyle name="Comma 2 5 4 2 6 2 3" xfId="28210" xr:uid="{00000000-0005-0000-0000-000094620000}"/>
    <cellStyle name="Comma 2 5 4 2 6 2 3 2" xfId="42252" xr:uid="{00000000-0005-0000-0000-000095620000}"/>
    <cellStyle name="Comma 2 5 4 2 6 2 4" xfId="31545" xr:uid="{00000000-0005-0000-0000-000096620000}"/>
    <cellStyle name="Comma 2 5 4 2 6 2 5" xfId="35828" xr:uid="{00000000-0005-0000-0000-000097620000}"/>
    <cellStyle name="Comma 2 5 4 2 6 3" xfId="15929" xr:uid="{00000000-0005-0000-0000-000098620000}"/>
    <cellStyle name="Comma 2 5 4 2 6 3 2" xfId="24944" xr:uid="{00000000-0005-0000-0000-000099620000}"/>
    <cellStyle name="Comma 2 5 4 2 6 3 2 2" xfId="44373" xr:uid="{00000000-0005-0000-0000-00009A620000}"/>
    <cellStyle name="Comma 2 5 4 2 6 3 2 3" xfId="37950" xr:uid="{00000000-0005-0000-0000-00009B620000}"/>
    <cellStyle name="Comma 2 5 4 2 6 3 3" xfId="29265" xr:uid="{00000000-0005-0000-0000-00009C620000}"/>
    <cellStyle name="Comma 2 5 4 2 6 3 3 2" xfId="41166" xr:uid="{00000000-0005-0000-0000-00009D620000}"/>
    <cellStyle name="Comma 2 5 4 2 6 3 4" xfId="32600" xr:uid="{00000000-0005-0000-0000-00009E620000}"/>
    <cellStyle name="Comma 2 5 4 2 6 3 5" xfId="34742" xr:uid="{00000000-0005-0000-0000-00009F620000}"/>
    <cellStyle name="Comma 2 5 4 2 6 4" xfId="8747" xr:uid="{00000000-0005-0000-0000-0000A0620000}"/>
    <cellStyle name="Comma 2 5 4 2 6 4 2" xfId="43317" xr:uid="{00000000-0005-0000-0000-0000A1620000}"/>
    <cellStyle name="Comma 2 5 4 2 6 4 3" xfId="36893" xr:uid="{00000000-0005-0000-0000-0000A2620000}"/>
    <cellStyle name="Comma 2 5 4 2 6 5" xfId="21736" xr:uid="{00000000-0005-0000-0000-0000A3620000}"/>
    <cellStyle name="Comma 2 5 4 2 6 5 2" xfId="40110" xr:uid="{00000000-0005-0000-0000-0000A4620000}"/>
    <cellStyle name="Comma 2 5 4 2 6 6" xfId="22809" xr:uid="{00000000-0005-0000-0000-0000A5620000}"/>
    <cellStyle name="Comma 2 5 4 2 6 7" xfId="23888" xr:uid="{00000000-0005-0000-0000-0000A6620000}"/>
    <cellStyle name="Comma 2 5 4 2 6 8" xfId="27131" xr:uid="{00000000-0005-0000-0000-0000A7620000}"/>
    <cellStyle name="Comma 2 5 4 2 6 9" xfId="30464" xr:uid="{00000000-0005-0000-0000-0000A8620000}"/>
    <cellStyle name="Comma 2 5 4 2 7" xfId="1463" xr:uid="{00000000-0005-0000-0000-0000A9620000}"/>
    <cellStyle name="Comma 2 5 4 2 7 10" xfId="33687" xr:uid="{00000000-0005-0000-0000-0000AA620000}"/>
    <cellStyle name="Comma 2 5 4 2 7 2" xfId="10233" xr:uid="{00000000-0005-0000-0000-0000AB620000}"/>
    <cellStyle name="Comma 2 5 4 2 7 2 2" xfId="26033" xr:uid="{00000000-0005-0000-0000-0000AC620000}"/>
    <cellStyle name="Comma 2 5 4 2 7 2 2 2" xfId="45460" xr:uid="{00000000-0005-0000-0000-0000AD620000}"/>
    <cellStyle name="Comma 2 5 4 2 7 2 2 3" xfId="39037" xr:uid="{00000000-0005-0000-0000-0000AE620000}"/>
    <cellStyle name="Comma 2 5 4 2 7 2 3" xfId="28211" xr:uid="{00000000-0005-0000-0000-0000AF620000}"/>
    <cellStyle name="Comma 2 5 4 2 7 2 3 2" xfId="42253" xr:uid="{00000000-0005-0000-0000-0000B0620000}"/>
    <cellStyle name="Comma 2 5 4 2 7 2 4" xfId="31546" xr:uid="{00000000-0005-0000-0000-0000B1620000}"/>
    <cellStyle name="Comma 2 5 4 2 7 2 5" xfId="35829" xr:uid="{00000000-0005-0000-0000-0000B2620000}"/>
    <cellStyle name="Comma 2 5 4 2 7 3" xfId="15930" xr:uid="{00000000-0005-0000-0000-0000B3620000}"/>
    <cellStyle name="Comma 2 5 4 2 7 3 2" xfId="24945" xr:uid="{00000000-0005-0000-0000-0000B4620000}"/>
    <cellStyle name="Comma 2 5 4 2 7 3 2 2" xfId="44374" xr:uid="{00000000-0005-0000-0000-0000B5620000}"/>
    <cellStyle name="Comma 2 5 4 2 7 3 2 3" xfId="37951" xr:uid="{00000000-0005-0000-0000-0000B6620000}"/>
    <cellStyle name="Comma 2 5 4 2 7 3 3" xfId="29266" xr:uid="{00000000-0005-0000-0000-0000B7620000}"/>
    <cellStyle name="Comma 2 5 4 2 7 3 3 2" xfId="41167" xr:uid="{00000000-0005-0000-0000-0000B8620000}"/>
    <cellStyle name="Comma 2 5 4 2 7 3 4" xfId="32601" xr:uid="{00000000-0005-0000-0000-0000B9620000}"/>
    <cellStyle name="Comma 2 5 4 2 7 3 5" xfId="34743" xr:uid="{00000000-0005-0000-0000-0000BA620000}"/>
    <cellStyle name="Comma 2 5 4 2 7 4" xfId="8748" xr:uid="{00000000-0005-0000-0000-0000BB620000}"/>
    <cellStyle name="Comma 2 5 4 2 7 4 2" xfId="43318" xr:uid="{00000000-0005-0000-0000-0000BC620000}"/>
    <cellStyle name="Comma 2 5 4 2 7 4 3" xfId="36894" xr:uid="{00000000-0005-0000-0000-0000BD620000}"/>
    <cellStyle name="Comma 2 5 4 2 7 5" xfId="21737" xr:uid="{00000000-0005-0000-0000-0000BE620000}"/>
    <cellStyle name="Comma 2 5 4 2 7 5 2" xfId="40111" xr:uid="{00000000-0005-0000-0000-0000BF620000}"/>
    <cellStyle name="Comma 2 5 4 2 7 6" xfId="22810" xr:uid="{00000000-0005-0000-0000-0000C0620000}"/>
    <cellStyle name="Comma 2 5 4 2 7 7" xfId="23889" xr:uid="{00000000-0005-0000-0000-0000C1620000}"/>
    <cellStyle name="Comma 2 5 4 2 7 8" xfId="27132" xr:uid="{00000000-0005-0000-0000-0000C2620000}"/>
    <cellStyle name="Comma 2 5 4 2 7 9" xfId="30465" xr:uid="{00000000-0005-0000-0000-0000C3620000}"/>
    <cellStyle name="Comma 2 5 4 2 8" xfId="1464" xr:uid="{00000000-0005-0000-0000-0000C4620000}"/>
    <cellStyle name="Comma 2 5 4 2 8 10" xfId="33688" xr:uid="{00000000-0005-0000-0000-0000C5620000}"/>
    <cellStyle name="Comma 2 5 4 2 8 2" xfId="10234" xr:uid="{00000000-0005-0000-0000-0000C6620000}"/>
    <cellStyle name="Comma 2 5 4 2 8 2 2" xfId="26034" xr:uid="{00000000-0005-0000-0000-0000C7620000}"/>
    <cellStyle name="Comma 2 5 4 2 8 2 2 2" xfId="45461" xr:uid="{00000000-0005-0000-0000-0000C8620000}"/>
    <cellStyle name="Comma 2 5 4 2 8 2 2 3" xfId="39038" xr:uid="{00000000-0005-0000-0000-0000C9620000}"/>
    <cellStyle name="Comma 2 5 4 2 8 2 3" xfId="28212" xr:uid="{00000000-0005-0000-0000-0000CA620000}"/>
    <cellStyle name="Comma 2 5 4 2 8 2 3 2" xfId="42254" xr:uid="{00000000-0005-0000-0000-0000CB620000}"/>
    <cellStyle name="Comma 2 5 4 2 8 2 4" xfId="31547" xr:uid="{00000000-0005-0000-0000-0000CC620000}"/>
    <cellStyle name="Comma 2 5 4 2 8 2 5" xfId="35830" xr:uid="{00000000-0005-0000-0000-0000CD620000}"/>
    <cellStyle name="Comma 2 5 4 2 8 3" xfId="15931" xr:uid="{00000000-0005-0000-0000-0000CE620000}"/>
    <cellStyle name="Comma 2 5 4 2 8 3 2" xfId="24946" xr:uid="{00000000-0005-0000-0000-0000CF620000}"/>
    <cellStyle name="Comma 2 5 4 2 8 3 2 2" xfId="44375" xr:uid="{00000000-0005-0000-0000-0000D0620000}"/>
    <cellStyle name="Comma 2 5 4 2 8 3 2 3" xfId="37952" xr:uid="{00000000-0005-0000-0000-0000D1620000}"/>
    <cellStyle name="Comma 2 5 4 2 8 3 3" xfId="29267" xr:uid="{00000000-0005-0000-0000-0000D2620000}"/>
    <cellStyle name="Comma 2 5 4 2 8 3 3 2" xfId="41168" xr:uid="{00000000-0005-0000-0000-0000D3620000}"/>
    <cellStyle name="Comma 2 5 4 2 8 3 4" xfId="32602" xr:uid="{00000000-0005-0000-0000-0000D4620000}"/>
    <cellStyle name="Comma 2 5 4 2 8 3 5" xfId="34744" xr:uid="{00000000-0005-0000-0000-0000D5620000}"/>
    <cellStyle name="Comma 2 5 4 2 8 4" xfId="8749" xr:uid="{00000000-0005-0000-0000-0000D6620000}"/>
    <cellStyle name="Comma 2 5 4 2 8 4 2" xfId="43319" xr:uid="{00000000-0005-0000-0000-0000D7620000}"/>
    <cellStyle name="Comma 2 5 4 2 8 4 3" xfId="36895" xr:uid="{00000000-0005-0000-0000-0000D8620000}"/>
    <cellStyle name="Comma 2 5 4 2 8 5" xfId="21738" xr:uid="{00000000-0005-0000-0000-0000D9620000}"/>
    <cellStyle name="Comma 2 5 4 2 8 5 2" xfId="40112" xr:uid="{00000000-0005-0000-0000-0000DA620000}"/>
    <cellStyle name="Comma 2 5 4 2 8 6" xfId="22811" xr:uid="{00000000-0005-0000-0000-0000DB620000}"/>
    <cellStyle name="Comma 2 5 4 2 8 7" xfId="23890" xr:uid="{00000000-0005-0000-0000-0000DC620000}"/>
    <cellStyle name="Comma 2 5 4 2 8 8" xfId="27133" xr:uid="{00000000-0005-0000-0000-0000DD620000}"/>
    <cellStyle name="Comma 2 5 4 2 8 9" xfId="30466" xr:uid="{00000000-0005-0000-0000-0000DE620000}"/>
    <cellStyle name="Comma 2 5 4 2 9" xfId="9150" xr:uid="{00000000-0005-0000-0000-0000DF620000}"/>
    <cellStyle name="Comma 2 5 4 2 9 2" xfId="25204" xr:uid="{00000000-0005-0000-0000-0000E0620000}"/>
    <cellStyle name="Comma 2 5 4 2 9 2 2" xfId="44631" xr:uid="{00000000-0005-0000-0000-0000E1620000}"/>
    <cellStyle name="Comma 2 5 4 2 9 2 3" xfId="38208" xr:uid="{00000000-0005-0000-0000-0000E2620000}"/>
    <cellStyle name="Comma 2 5 4 2 9 3" xfId="27383" xr:uid="{00000000-0005-0000-0000-0000E3620000}"/>
    <cellStyle name="Comma 2 5 4 2 9 3 2" xfId="41424" xr:uid="{00000000-0005-0000-0000-0000E4620000}"/>
    <cellStyle name="Comma 2 5 4 2 9 4" xfId="30718" xr:uid="{00000000-0005-0000-0000-0000E5620000}"/>
    <cellStyle name="Comma 2 5 4 2 9 5" xfId="35000" xr:uid="{00000000-0005-0000-0000-0000E6620000}"/>
    <cellStyle name="Comma 2 5 4 3" xfId="296" xr:uid="{00000000-0005-0000-0000-0000E7620000}"/>
    <cellStyle name="Comma 2 5 4 3 10" xfId="21739" xr:uid="{00000000-0005-0000-0000-0000E8620000}"/>
    <cellStyle name="Comma 2 5 4 3 10 2" xfId="39289" xr:uid="{00000000-0005-0000-0000-0000E9620000}"/>
    <cellStyle name="Comma 2 5 4 3 11" xfId="22812" xr:uid="{00000000-0005-0000-0000-0000EA620000}"/>
    <cellStyle name="Comma 2 5 4 3 12" xfId="23067" xr:uid="{00000000-0005-0000-0000-0000EB620000}"/>
    <cellStyle name="Comma 2 5 4 3 13" xfId="27134" xr:uid="{00000000-0005-0000-0000-0000EC620000}"/>
    <cellStyle name="Comma 2 5 4 3 14" xfId="30467" xr:uid="{00000000-0005-0000-0000-0000ED620000}"/>
    <cellStyle name="Comma 2 5 4 3 15" xfId="32865" xr:uid="{00000000-0005-0000-0000-0000EE620000}"/>
    <cellStyle name="Comma 2 5 4 3 2" xfId="1465" xr:uid="{00000000-0005-0000-0000-0000EF620000}"/>
    <cellStyle name="Comma 2 5 4 3 2 10" xfId="33689" xr:uid="{00000000-0005-0000-0000-0000F0620000}"/>
    <cellStyle name="Comma 2 5 4 3 2 2" xfId="10235" xr:uid="{00000000-0005-0000-0000-0000F1620000}"/>
    <cellStyle name="Comma 2 5 4 3 2 2 2" xfId="26035" xr:uid="{00000000-0005-0000-0000-0000F2620000}"/>
    <cellStyle name="Comma 2 5 4 3 2 2 2 2" xfId="45462" xr:uid="{00000000-0005-0000-0000-0000F3620000}"/>
    <cellStyle name="Comma 2 5 4 3 2 2 2 3" xfId="39039" xr:uid="{00000000-0005-0000-0000-0000F4620000}"/>
    <cellStyle name="Comma 2 5 4 3 2 2 3" xfId="28213" xr:uid="{00000000-0005-0000-0000-0000F5620000}"/>
    <cellStyle name="Comma 2 5 4 3 2 2 3 2" xfId="42255" xr:uid="{00000000-0005-0000-0000-0000F6620000}"/>
    <cellStyle name="Comma 2 5 4 3 2 2 4" xfId="31548" xr:uid="{00000000-0005-0000-0000-0000F7620000}"/>
    <cellStyle name="Comma 2 5 4 3 2 2 5" xfId="35831" xr:uid="{00000000-0005-0000-0000-0000F8620000}"/>
    <cellStyle name="Comma 2 5 4 3 2 3" xfId="15933" xr:uid="{00000000-0005-0000-0000-0000F9620000}"/>
    <cellStyle name="Comma 2 5 4 3 2 3 2" xfId="24948" xr:uid="{00000000-0005-0000-0000-0000FA620000}"/>
    <cellStyle name="Comma 2 5 4 3 2 3 2 2" xfId="44377" xr:uid="{00000000-0005-0000-0000-0000FB620000}"/>
    <cellStyle name="Comma 2 5 4 3 2 3 2 3" xfId="37954" xr:uid="{00000000-0005-0000-0000-0000FC620000}"/>
    <cellStyle name="Comma 2 5 4 3 2 3 3" xfId="29269" xr:uid="{00000000-0005-0000-0000-0000FD620000}"/>
    <cellStyle name="Comma 2 5 4 3 2 3 3 2" xfId="41170" xr:uid="{00000000-0005-0000-0000-0000FE620000}"/>
    <cellStyle name="Comma 2 5 4 3 2 3 4" xfId="32604" xr:uid="{00000000-0005-0000-0000-0000FF620000}"/>
    <cellStyle name="Comma 2 5 4 3 2 3 5" xfId="34746" xr:uid="{00000000-0005-0000-0000-000000630000}"/>
    <cellStyle name="Comma 2 5 4 3 2 4" xfId="8751" xr:uid="{00000000-0005-0000-0000-000001630000}"/>
    <cellStyle name="Comma 2 5 4 3 2 4 2" xfId="43320" xr:uid="{00000000-0005-0000-0000-000002630000}"/>
    <cellStyle name="Comma 2 5 4 3 2 4 3" xfId="36896" xr:uid="{00000000-0005-0000-0000-000003630000}"/>
    <cellStyle name="Comma 2 5 4 3 2 5" xfId="21740" xr:uid="{00000000-0005-0000-0000-000004630000}"/>
    <cellStyle name="Comma 2 5 4 3 2 5 2" xfId="40113" xr:uid="{00000000-0005-0000-0000-000005630000}"/>
    <cellStyle name="Comma 2 5 4 3 2 6" xfId="22813" xr:uid="{00000000-0005-0000-0000-000006630000}"/>
    <cellStyle name="Comma 2 5 4 3 2 7" xfId="23891" xr:uid="{00000000-0005-0000-0000-000007630000}"/>
    <cellStyle name="Comma 2 5 4 3 2 8" xfId="27135" xr:uid="{00000000-0005-0000-0000-000008630000}"/>
    <cellStyle name="Comma 2 5 4 3 2 9" xfId="30468" xr:uid="{00000000-0005-0000-0000-000009630000}"/>
    <cellStyle name="Comma 2 5 4 3 3" xfId="1466" xr:uid="{00000000-0005-0000-0000-00000A630000}"/>
    <cellStyle name="Comma 2 5 4 3 3 10" xfId="33690" xr:uid="{00000000-0005-0000-0000-00000B630000}"/>
    <cellStyle name="Comma 2 5 4 3 3 2" xfId="10236" xr:uid="{00000000-0005-0000-0000-00000C630000}"/>
    <cellStyle name="Comma 2 5 4 3 3 2 2" xfId="26036" xr:uid="{00000000-0005-0000-0000-00000D630000}"/>
    <cellStyle name="Comma 2 5 4 3 3 2 2 2" xfId="45463" xr:uid="{00000000-0005-0000-0000-00000E630000}"/>
    <cellStyle name="Comma 2 5 4 3 3 2 2 3" xfId="39040" xr:uid="{00000000-0005-0000-0000-00000F630000}"/>
    <cellStyle name="Comma 2 5 4 3 3 2 3" xfId="28214" xr:uid="{00000000-0005-0000-0000-000010630000}"/>
    <cellStyle name="Comma 2 5 4 3 3 2 3 2" xfId="42256" xr:uid="{00000000-0005-0000-0000-000011630000}"/>
    <cellStyle name="Comma 2 5 4 3 3 2 4" xfId="31549" xr:uid="{00000000-0005-0000-0000-000012630000}"/>
    <cellStyle name="Comma 2 5 4 3 3 2 5" xfId="35832" xr:uid="{00000000-0005-0000-0000-000013630000}"/>
    <cellStyle name="Comma 2 5 4 3 3 3" xfId="15934" xr:uid="{00000000-0005-0000-0000-000014630000}"/>
    <cellStyle name="Comma 2 5 4 3 3 3 2" xfId="24949" xr:uid="{00000000-0005-0000-0000-000015630000}"/>
    <cellStyle name="Comma 2 5 4 3 3 3 2 2" xfId="44378" xr:uid="{00000000-0005-0000-0000-000016630000}"/>
    <cellStyle name="Comma 2 5 4 3 3 3 2 3" xfId="37955" xr:uid="{00000000-0005-0000-0000-000017630000}"/>
    <cellStyle name="Comma 2 5 4 3 3 3 3" xfId="29270" xr:uid="{00000000-0005-0000-0000-000018630000}"/>
    <cellStyle name="Comma 2 5 4 3 3 3 3 2" xfId="41171" xr:uid="{00000000-0005-0000-0000-000019630000}"/>
    <cellStyle name="Comma 2 5 4 3 3 3 4" xfId="32605" xr:uid="{00000000-0005-0000-0000-00001A630000}"/>
    <cellStyle name="Comma 2 5 4 3 3 3 5" xfId="34747" xr:uid="{00000000-0005-0000-0000-00001B630000}"/>
    <cellStyle name="Comma 2 5 4 3 3 4" xfId="8752" xr:uid="{00000000-0005-0000-0000-00001C630000}"/>
    <cellStyle name="Comma 2 5 4 3 3 4 2" xfId="43321" xr:uid="{00000000-0005-0000-0000-00001D630000}"/>
    <cellStyle name="Comma 2 5 4 3 3 4 3" xfId="36897" xr:uid="{00000000-0005-0000-0000-00001E630000}"/>
    <cellStyle name="Comma 2 5 4 3 3 5" xfId="21741" xr:uid="{00000000-0005-0000-0000-00001F630000}"/>
    <cellStyle name="Comma 2 5 4 3 3 5 2" xfId="40114" xr:uid="{00000000-0005-0000-0000-000020630000}"/>
    <cellStyle name="Comma 2 5 4 3 3 6" xfId="22814" xr:uid="{00000000-0005-0000-0000-000021630000}"/>
    <cellStyle name="Comma 2 5 4 3 3 7" xfId="23892" xr:uid="{00000000-0005-0000-0000-000022630000}"/>
    <cellStyle name="Comma 2 5 4 3 3 8" xfId="27136" xr:uid="{00000000-0005-0000-0000-000023630000}"/>
    <cellStyle name="Comma 2 5 4 3 3 9" xfId="30469" xr:uid="{00000000-0005-0000-0000-000024630000}"/>
    <cellStyle name="Comma 2 5 4 3 4" xfId="1467" xr:uid="{00000000-0005-0000-0000-000025630000}"/>
    <cellStyle name="Comma 2 5 4 3 4 10" xfId="33691" xr:uid="{00000000-0005-0000-0000-000026630000}"/>
    <cellStyle name="Comma 2 5 4 3 4 2" xfId="10237" xr:uid="{00000000-0005-0000-0000-000027630000}"/>
    <cellStyle name="Comma 2 5 4 3 4 2 2" xfId="26037" xr:uid="{00000000-0005-0000-0000-000028630000}"/>
    <cellStyle name="Comma 2 5 4 3 4 2 2 2" xfId="45464" xr:uid="{00000000-0005-0000-0000-000029630000}"/>
    <cellStyle name="Comma 2 5 4 3 4 2 2 3" xfId="39041" xr:uid="{00000000-0005-0000-0000-00002A630000}"/>
    <cellStyle name="Comma 2 5 4 3 4 2 3" xfId="28215" xr:uid="{00000000-0005-0000-0000-00002B630000}"/>
    <cellStyle name="Comma 2 5 4 3 4 2 3 2" xfId="42257" xr:uid="{00000000-0005-0000-0000-00002C630000}"/>
    <cellStyle name="Comma 2 5 4 3 4 2 4" xfId="31550" xr:uid="{00000000-0005-0000-0000-00002D630000}"/>
    <cellStyle name="Comma 2 5 4 3 4 2 5" xfId="35833" xr:uid="{00000000-0005-0000-0000-00002E630000}"/>
    <cellStyle name="Comma 2 5 4 3 4 3" xfId="15935" xr:uid="{00000000-0005-0000-0000-00002F630000}"/>
    <cellStyle name="Comma 2 5 4 3 4 3 2" xfId="24950" xr:uid="{00000000-0005-0000-0000-000030630000}"/>
    <cellStyle name="Comma 2 5 4 3 4 3 2 2" xfId="44379" xr:uid="{00000000-0005-0000-0000-000031630000}"/>
    <cellStyle name="Comma 2 5 4 3 4 3 2 3" xfId="37956" xr:uid="{00000000-0005-0000-0000-000032630000}"/>
    <cellStyle name="Comma 2 5 4 3 4 3 3" xfId="29271" xr:uid="{00000000-0005-0000-0000-000033630000}"/>
    <cellStyle name="Comma 2 5 4 3 4 3 3 2" xfId="41172" xr:uid="{00000000-0005-0000-0000-000034630000}"/>
    <cellStyle name="Comma 2 5 4 3 4 3 4" xfId="32606" xr:uid="{00000000-0005-0000-0000-000035630000}"/>
    <cellStyle name="Comma 2 5 4 3 4 3 5" xfId="34748" xr:uid="{00000000-0005-0000-0000-000036630000}"/>
    <cellStyle name="Comma 2 5 4 3 4 4" xfId="8753" xr:uid="{00000000-0005-0000-0000-000037630000}"/>
    <cellStyle name="Comma 2 5 4 3 4 4 2" xfId="43322" xr:uid="{00000000-0005-0000-0000-000038630000}"/>
    <cellStyle name="Comma 2 5 4 3 4 4 3" xfId="36898" xr:uid="{00000000-0005-0000-0000-000039630000}"/>
    <cellStyle name="Comma 2 5 4 3 4 5" xfId="21742" xr:uid="{00000000-0005-0000-0000-00003A630000}"/>
    <cellStyle name="Comma 2 5 4 3 4 5 2" xfId="40115" xr:uid="{00000000-0005-0000-0000-00003B630000}"/>
    <cellStyle name="Comma 2 5 4 3 4 6" xfId="22815" xr:uid="{00000000-0005-0000-0000-00003C630000}"/>
    <cellStyle name="Comma 2 5 4 3 4 7" xfId="23893" xr:uid="{00000000-0005-0000-0000-00003D630000}"/>
    <cellStyle name="Comma 2 5 4 3 4 8" xfId="27137" xr:uid="{00000000-0005-0000-0000-00003E630000}"/>
    <cellStyle name="Comma 2 5 4 3 4 9" xfId="30470" xr:uid="{00000000-0005-0000-0000-00003F630000}"/>
    <cellStyle name="Comma 2 5 4 3 5" xfId="1468" xr:uid="{00000000-0005-0000-0000-000040630000}"/>
    <cellStyle name="Comma 2 5 4 3 5 10" xfId="33692" xr:uid="{00000000-0005-0000-0000-000041630000}"/>
    <cellStyle name="Comma 2 5 4 3 5 2" xfId="10238" xr:uid="{00000000-0005-0000-0000-000042630000}"/>
    <cellStyle name="Comma 2 5 4 3 5 2 2" xfId="26038" xr:uid="{00000000-0005-0000-0000-000043630000}"/>
    <cellStyle name="Comma 2 5 4 3 5 2 2 2" xfId="45465" xr:uid="{00000000-0005-0000-0000-000044630000}"/>
    <cellStyle name="Comma 2 5 4 3 5 2 2 3" xfId="39042" xr:uid="{00000000-0005-0000-0000-000045630000}"/>
    <cellStyle name="Comma 2 5 4 3 5 2 3" xfId="28216" xr:uid="{00000000-0005-0000-0000-000046630000}"/>
    <cellStyle name="Comma 2 5 4 3 5 2 3 2" xfId="42258" xr:uid="{00000000-0005-0000-0000-000047630000}"/>
    <cellStyle name="Comma 2 5 4 3 5 2 4" xfId="31551" xr:uid="{00000000-0005-0000-0000-000048630000}"/>
    <cellStyle name="Comma 2 5 4 3 5 2 5" xfId="35834" xr:uid="{00000000-0005-0000-0000-000049630000}"/>
    <cellStyle name="Comma 2 5 4 3 5 3" xfId="15936" xr:uid="{00000000-0005-0000-0000-00004A630000}"/>
    <cellStyle name="Comma 2 5 4 3 5 3 2" xfId="24951" xr:uid="{00000000-0005-0000-0000-00004B630000}"/>
    <cellStyle name="Comma 2 5 4 3 5 3 2 2" xfId="44380" xr:uid="{00000000-0005-0000-0000-00004C630000}"/>
    <cellStyle name="Comma 2 5 4 3 5 3 2 3" xfId="37957" xr:uid="{00000000-0005-0000-0000-00004D630000}"/>
    <cellStyle name="Comma 2 5 4 3 5 3 3" xfId="29272" xr:uid="{00000000-0005-0000-0000-00004E630000}"/>
    <cellStyle name="Comma 2 5 4 3 5 3 3 2" xfId="41173" xr:uid="{00000000-0005-0000-0000-00004F630000}"/>
    <cellStyle name="Comma 2 5 4 3 5 3 4" xfId="32607" xr:uid="{00000000-0005-0000-0000-000050630000}"/>
    <cellStyle name="Comma 2 5 4 3 5 3 5" xfId="34749" xr:uid="{00000000-0005-0000-0000-000051630000}"/>
    <cellStyle name="Comma 2 5 4 3 5 4" xfId="8754" xr:uid="{00000000-0005-0000-0000-000052630000}"/>
    <cellStyle name="Comma 2 5 4 3 5 4 2" xfId="43323" xr:uid="{00000000-0005-0000-0000-000053630000}"/>
    <cellStyle name="Comma 2 5 4 3 5 4 3" xfId="36899" xr:uid="{00000000-0005-0000-0000-000054630000}"/>
    <cellStyle name="Comma 2 5 4 3 5 5" xfId="21743" xr:uid="{00000000-0005-0000-0000-000055630000}"/>
    <cellStyle name="Comma 2 5 4 3 5 5 2" xfId="40116" xr:uid="{00000000-0005-0000-0000-000056630000}"/>
    <cellStyle name="Comma 2 5 4 3 5 6" xfId="22816" xr:uid="{00000000-0005-0000-0000-000057630000}"/>
    <cellStyle name="Comma 2 5 4 3 5 7" xfId="23894" xr:uid="{00000000-0005-0000-0000-000058630000}"/>
    <cellStyle name="Comma 2 5 4 3 5 8" xfId="27138" xr:uid="{00000000-0005-0000-0000-000059630000}"/>
    <cellStyle name="Comma 2 5 4 3 5 9" xfId="30471" xr:uid="{00000000-0005-0000-0000-00005A630000}"/>
    <cellStyle name="Comma 2 5 4 3 6" xfId="1469" xr:uid="{00000000-0005-0000-0000-00005B630000}"/>
    <cellStyle name="Comma 2 5 4 3 6 10" xfId="33693" xr:uid="{00000000-0005-0000-0000-00005C630000}"/>
    <cellStyle name="Comma 2 5 4 3 6 2" xfId="10239" xr:uid="{00000000-0005-0000-0000-00005D630000}"/>
    <cellStyle name="Comma 2 5 4 3 6 2 2" xfId="26039" xr:uid="{00000000-0005-0000-0000-00005E630000}"/>
    <cellStyle name="Comma 2 5 4 3 6 2 2 2" xfId="45466" xr:uid="{00000000-0005-0000-0000-00005F630000}"/>
    <cellStyle name="Comma 2 5 4 3 6 2 2 3" xfId="39043" xr:uid="{00000000-0005-0000-0000-000060630000}"/>
    <cellStyle name="Comma 2 5 4 3 6 2 3" xfId="28217" xr:uid="{00000000-0005-0000-0000-000061630000}"/>
    <cellStyle name="Comma 2 5 4 3 6 2 3 2" xfId="42259" xr:uid="{00000000-0005-0000-0000-000062630000}"/>
    <cellStyle name="Comma 2 5 4 3 6 2 4" xfId="31552" xr:uid="{00000000-0005-0000-0000-000063630000}"/>
    <cellStyle name="Comma 2 5 4 3 6 2 5" xfId="35835" xr:uid="{00000000-0005-0000-0000-000064630000}"/>
    <cellStyle name="Comma 2 5 4 3 6 3" xfId="15937" xr:uid="{00000000-0005-0000-0000-000065630000}"/>
    <cellStyle name="Comma 2 5 4 3 6 3 2" xfId="24952" xr:uid="{00000000-0005-0000-0000-000066630000}"/>
    <cellStyle name="Comma 2 5 4 3 6 3 2 2" xfId="44381" xr:uid="{00000000-0005-0000-0000-000067630000}"/>
    <cellStyle name="Comma 2 5 4 3 6 3 2 3" xfId="37958" xr:uid="{00000000-0005-0000-0000-000068630000}"/>
    <cellStyle name="Comma 2 5 4 3 6 3 3" xfId="29273" xr:uid="{00000000-0005-0000-0000-000069630000}"/>
    <cellStyle name="Comma 2 5 4 3 6 3 3 2" xfId="41174" xr:uid="{00000000-0005-0000-0000-00006A630000}"/>
    <cellStyle name="Comma 2 5 4 3 6 3 4" xfId="32608" xr:uid="{00000000-0005-0000-0000-00006B630000}"/>
    <cellStyle name="Comma 2 5 4 3 6 3 5" xfId="34750" xr:uid="{00000000-0005-0000-0000-00006C630000}"/>
    <cellStyle name="Comma 2 5 4 3 6 4" xfId="8755" xr:uid="{00000000-0005-0000-0000-00006D630000}"/>
    <cellStyle name="Comma 2 5 4 3 6 4 2" xfId="43324" xr:uid="{00000000-0005-0000-0000-00006E630000}"/>
    <cellStyle name="Comma 2 5 4 3 6 4 3" xfId="36900" xr:uid="{00000000-0005-0000-0000-00006F630000}"/>
    <cellStyle name="Comma 2 5 4 3 6 5" xfId="21744" xr:uid="{00000000-0005-0000-0000-000070630000}"/>
    <cellStyle name="Comma 2 5 4 3 6 5 2" xfId="40117" xr:uid="{00000000-0005-0000-0000-000071630000}"/>
    <cellStyle name="Comma 2 5 4 3 6 6" xfId="22817" xr:uid="{00000000-0005-0000-0000-000072630000}"/>
    <cellStyle name="Comma 2 5 4 3 6 7" xfId="23895" xr:uid="{00000000-0005-0000-0000-000073630000}"/>
    <cellStyle name="Comma 2 5 4 3 6 8" xfId="27139" xr:uid="{00000000-0005-0000-0000-000074630000}"/>
    <cellStyle name="Comma 2 5 4 3 6 9" xfId="30472" xr:uid="{00000000-0005-0000-0000-000075630000}"/>
    <cellStyle name="Comma 2 5 4 3 7" xfId="9152" xr:uid="{00000000-0005-0000-0000-000076630000}"/>
    <cellStyle name="Comma 2 5 4 3 7 2" xfId="25206" xr:uid="{00000000-0005-0000-0000-000077630000}"/>
    <cellStyle name="Comma 2 5 4 3 7 2 2" xfId="44633" xr:uid="{00000000-0005-0000-0000-000078630000}"/>
    <cellStyle name="Comma 2 5 4 3 7 2 3" xfId="38210" xr:uid="{00000000-0005-0000-0000-000079630000}"/>
    <cellStyle name="Comma 2 5 4 3 7 3" xfId="27385" xr:uid="{00000000-0005-0000-0000-00007A630000}"/>
    <cellStyle name="Comma 2 5 4 3 7 3 2" xfId="41426" xr:uid="{00000000-0005-0000-0000-00007B630000}"/>
    <cellStyle name="Comma 2 5 4 3 7 4" xfId="30720" xr:uid="{00000000-0005-0000-0000-00007C630000}"/>
    <cellStyle name="Comma 2 5 4 3 7 5" xfId="35002" xr:uid="{00000000-0005-0000-0000-00007D630000}"/>
    <cellStyle name="Comma 2 5 4 3 8" xfId="15932" xr:uid="{00000000-0005-0000-0000-00007E630000}"/>
    <cellStyle name="Comma 2 5 4 3 8 2" xfId="24947" xr:uid="{00000000-0005-0000-0000-00007F630000}"/>
    <cellStyle name="Comma 2 5 4 3 8 2 2" xfId="44376" xr:uid="{00000000-0005-0000-0000-000080630000}"/>
    <cellStyle name="Comma 2 5 4 3 8 2 3" xfId="37953" xr:uid="{00000000-0005-0000-0000-000081630000}"/>
    <cellStyle name="Comma 2 5 4 3 8 3" xfId="29268" xr:uid="{00000000-0005-0000-0000-000082630000}"/>
    <cellStyle name="Comma 2 5 4 3 8 3 2" xfId="41169" xr:uid="{00000000-0005-0000-0000-000083630000}"/>
    <cellStyle name="Comma 2 5 4 3 8 4" xfId="32603" xr:uid="{00000000-0005-0000-0000-000084630000}"/>
    <cellStyle name="Comma 2 5 4 3 8 5" xfId="34745" xr:uid="{00000000-0005-0000-0000-000085630000}"/>
    <cellStyle name="Comma 2 5 4 3 9" xfId="8750" xr:uid="{00000000-0005-0000-0000-000086630000}"/>
    <cellStyle name="Comma 2 5 4 3 9 2" xfId="42496" xr:uid="{00000000-0005-0000-0000-000087630000}"/>
    <cellStyle name="Comma 2 5 4 3 9 3" xfId="36072" xr:uid="{00000000-0005-0000-0000-000088630000}"/>
    <cellStyle name="Comma 2 5 4 4" xfId="1470" xr:uid="{00000000-0005-0000-0000-000089630000}"/>
    <cellStyle name="Comma 2 5 4 4 10" xfId="22818" xr:uid="{00000000-0005-0000-0000-00008A630000}"/>
    <cellStyle name="Comma 2 5 4 4 11" xfId="23896" xr:uid="{00000000-0005-0000-0000-00008B630000}"/>
    <cellStyle name="Comma 2 5 4 4 12" xfId="27140" xr:uid="{00000000-0005-0000-0000-00008C630000}"/>
    <cellStyle name="Comma 2 5 4 4 13" xfId="30473" xr:uid="{00000000-0005-0000-0000-00008D630000}"/>
    <cellStyle name="Comma 2 5 4 4 14" xfId="33694" xr:uid="{00000000-0005-0000-0000-00008E630000}"/>
    <cellStyle name="Comma 2 5 4 4 2" xfId="1471" xr:uid="{00000000-0005-0000-0000-00008F630000}"/>
    <cellStyle name="Comma 2 5 4 4 2 10" xfId="33695" xr:uid="{00000000-0005-0000-0000-000090630000}"/>
    <cellStyle name="Comma 2 5 4 4 2 2" xfId="10241" xr:uid="{00000000-0005-0000-0000-000091630000}"/>
    <cellStyle name="Comma 2 5 4 4 2 2 2" xfId="26041" xr:uid="{00000000-0005-0000-0000-000092630000}"/>
    <cellStyle name="Comma 2 5 4 4 2 2 2 2" xfId="45468" xr:uid="{00000000-0005-0000-0000-000093630000}"/>
    <cellStyle name="Comma 2 5 4 4 2 2 2 3" xfId="39045" xr:uid="{00000000-0005-0000-0000-000094630000}"/>
    <cellStyle name="Comma 2 5 4 4 2 2 3" xfId="28219" xr:uid="{00000000-0005-0000-0000-000095630000}"/>
    <cellStyle name="Comma 2 5 4 4 2 2 3 2" xfId="42261" xr:uid="{00000000-0005-0000-0000-000096630000}"/>
    <cellStyle name="Comma 2 5 4 4 2 2 4" xfId="31554" xr:uid="{00000000-0005-0000-0000-000097630000}"/>
    <cellStyle name="Comma 2 5 4 4 2 2 5" xfId="35837" xr:uid="{00000000-0005-0000-0000-000098630000}"/>
    <cellStyle name="Comma 2 5 4 4 2 3" xfId="15939" xr:uid="{00000000-0005-0000-0000-000099630000}"/>
    <cellStyle name="Comma 2 5 4 4 2 3 2" xfId="24954" xr:uid="{00000000-0005-0000-0000-00009A630000}"/>
    <cellStyle name="Comma 2 5 4 4 2 3 2 2" xfId="44383" xr:uid="{00000000-0005-0000-0000-00009B630000}"/>
    <cellStyle name="Comma 2 5 4 4 2 3 2 3" xfId="37960" xr:uid="{00000000-0005-0000-0000-00009C630000}"/>
    <cellStyle name="Comma 2 5 4 4 2 3 3" xfId="29275" xr:uid="{00000000-0005-0000-0000-00009D630000}"/>
    <cellStyle name="Comma 2 5 4 4 2 3 3 2" xfId="41176" xr:uid="{00000000-0005-0000-0000-00009E630000}"/>
    <cellStyle name="Comma 2 5 4 4 2 3 4" xfId="32610" xr:uid="{00000000-0005-0000-0000-00009F630000}"/>
    <cellStyle name="Comma 2 5 4 4 2 3 5" xfId="34752" xr:uid="{00000000-0005-0000-0000-0000A0630000}"/>
    <cellStyle name="Comma 2 5 4 4 2 4" xfId="8757" xr:uid="{00000000-0005-0000-0000-0000A1630000}"/>
    <cellStyle name="Comma 2 5 4 4 2 4 2" xfId="43326" xr:uid="{00000000-0005-0000-0000-0000A2630000}"/>
    <cellStyle name="Comma 2 5 4 4 2 4 3" xfId="36902" xr:uid="{00000000-0005-0000-0000-0000A3630000}"/>
    <cellStyle name="Comma 2 5 4 4 2 5" xfId="21746" xr:uid="{00000000-0005-0000-0000-0000A4630000}"/>
    <cellStyle name="Comma 2 5 4 4 2 5 2" xfId="40119" xr:uid="{00000000-0005-0000-0000-0000A5630000}"/>
    <cellStyle name="Comma 2 5 4 4 2 6" xfId="22819" xr:uid="{00000000-0005-0000-0000-0000A6630000}"/>
    <cellStyle name="Comma 2 5 4 4 2 7" xfId="23897" xr:uid="{00000000-0005-0000-0000-0000A7630000}"/>
    <cellStyle name="Comma 2 5 4 4 2 8" xfId="27141" xr:uid="{00000000-0005-0000-0000-0000A8630000}"/>
    <cellStyle name="Comma 2 5 4 4 2 9" xfId="30474" xr:uid="{00000000-0005-0000-0000-0000A9630000}"/>
    <cellStyle name="Comma 2 5 4 4 3" xfId="1472" xr:uid="{00000000-0005-0000-0000-0000AA630000}"/>
    <cellStyle name="Comma 2 5 4 4 3 10" xfId="33696" xr:uid="{00000000-0005-0000-0000-0000AB630000}"/>
    <cellStyle name="Comma 2 5 4 4 3 2" xfId="10242" xr:uid="{00000000-0005-0000-0000-0000AC630000}"/>
    <cellStyle name="Comma 2 5 4 4 3 2 2" xfId="26042" xr:uid="{00000000-0005-0000-0000-0000AD630000}"/>
    <cellStyle name="Comma 2 5 4 4 3 2 2 2" xfId="45469" xr:uid="{00000000-0005-0000-0000-0000AE630000}"/>
    <cellStyle name="Comma 2 5 4 4 3 2 2 3" xfId="39046" xr:uid="{00000000-0005-0000-0000-0000AF630000}"/>
    <cellStyle name="Comma 2 5 4 4 3 2 3" xfId="28220" xr:uid="{00000000-0005-0000-0000-0000B0630000}"/>
    <cellStyle name="Comma 2 5 4 4 3 2 3 2" xfId="42262" xr:uid="{00000000-0005-0000-0000-0000B1630000}"/>
    <cellStyle name="Comma 2 5 4 4 3 2 4" xfId="31555" xr:uid="{00000000-0005-0000-0000-0000B2630000}"/>
    <cellStyle name="Comma 2 5 4 4 3 2 5" xfId="35838" xr:uid="{00000000-0005-0000-0000-0000B3630000}"/>
    <cellStyle name="Comma 2 5 4 4 3 3" xfId="15940" xr:uid="{00000000-0005-0000-0000-0000B4630000}"/>
    <cellStyle name="Comma 2 5 4 4 3 3 2" xfId="24955" xr:uid="{00000000-0005-0000-0000-0000B5630000}"/>
    <cellStyle name="Comma 2 5 4 4 3 3 2 2" xfId="44384" xr:uid="{00000000-0005-0000-0000-0000B6630000}"/>
    <cellStyle name="Comma 2 5 4 4 3 3 2 3" xfId="37961" xr:uid="{00000000-0005-0000-0000-0000B7630000}"/>
    <cellStyle name="Comma 2 5 4 4 3 3 3" xfId="29276" xr:uid="{00000000-0005-0000-0000-0000B8630000}"/>
    <cellStyle name="Comma 2 5 4 4 3 3 3 2" xfId="41177" xr:uid="{00000000-0005-0000-0000-0000B9630000}"/>
    <cellStyle name="Comma 2 5 4 4 3 3 4" xfId="32611" xr:uid="{00000000-0005-0000-0000-0000BA630000}"/>
    <cellStyle name="Comma 2 5 4 4 3 3 5" xfId="34753" xr:uid="{00000000-0005-0000-0000-0000BB630000}"/>
    <cellStyle name="Comma 2 5 4 4 3 4" xfId="8758" xr:uid="{00000000-0005-0000-0000-0000BC630000}"/>
    <cellStyle name="Comma 2 5 4 4 3 4 2" xfId="43327" xr:uid="{00000000-0005-0000-0000-0000BD630000}"/>
    <cellStyle name="Comma 2 5 4 4 3 4 3" xfId="36903" xr:uid="{00000000-0005-0000-0000-0000BE630000}"/>
    <cellStyle name="Comma 2 5 4 4 3 5" xfId="21747" xr:uid="{00000000-0005-0000-0000-0000BF630000}"/>
    <cellStyle name="Comma 2 5 4 4 3 5 2" xfId="40120" xr:uid="{00000000-0005-0000-0000-0000C0630000}"/>
    <cellStyle name="Comma 2 5 4 4 3 6" xfId="22820" xr:uid="{00000000-0005-0000-0000-0000C1630000}"/>
    <cellStyle name="Comma 2 5 4 4 3 7" xfId="23898" xr:uid="{00000000-0005-0000-0000-0000C2630000}"/>
    <cellStyle name="Comma 2 5 4 4 3 8" xfId="27142" xr:uid="{00000000-0005-0000-0000-0000C3630000}"/>
    <cellStyle name="Comma 2 5 4 4 3 9" xfId="30475" xr:uid="{00000000-0005-0000-0000-0000C4630000}"/>
    <cellStyle name="Comma 2 5 4 4 4" xfId="1473" xr:uid="{00000000-0005-0000-0000-0000C5630000}"/>
    <cellStyle name="Comma 2 5 4 4 4 10" xfId="33697" xr:uid="{00000000-0005-0000-0000-0000C6630000}"/>
    <cellStyle name="Comma 2 5 4 4 4 2" xfId="10243" xr:uid="{00000000-0005-0000-0000-0000C7630000}"/>
    <cellStyle name="Comma 2 5 4 4 4 2 2" xfId="26043" xr:uid="{00000000-0005-0000-0000-0000C8630000}"/>
    <cellStyle name="Comma 2 5 4 4 4 2 2 2" xfId="45470" xr:uid="{00000000-0005-0000-0000-0000C9630000}"/>
    <cellStyle name="Comma 2 5 4 4 4 2 2 3" xfId="39047" xr:uid="{00000000-0005-0000-0000-0000CA630000}"/>
    <cellStyle name="Comma 2 5 4 4 4 2 3" xfId="28221" xr:uid="{00000000-0005-0000-0000-0000CB630000}"/>
    <cellStyle name="Comma 2 5 4 4 4 2 3 2" xfId="42263" xr:uid="{00000000-0005-0000-0000-0000CC630000}"/>
    <cellStyle name="Comma 2 5 4 4 4 2 4" xfId="31556" xr:uid="{00000000-0005-0000-0000-0000CD630000}"/>
    <cellStyle name="Comma 2 5 4 4 4 2 5" xfId="35839" xr:uid="{00000000-0005-0000-0000-0000CE630000}"/>
    <cellStyle name="Comma 2 5 4 4 4 3" xfId="15941" xr:uid="{00000000-0005-0000-0000-0000CF630000}"/>
    <cellStyle name="Comma 2 5 4 4 4 3 2" xfId="24956" xr:uid="{00000000-0005-0000-0000-0000D0630000}"/>
    <cellStyle name="Comma 2 5 4 4 4 3 2 2" xfId="44385" xr:uid="{00000000-0005-0000-0000-0000D1630000}"/>
    <cellStyle name="Comma 2 5 4 4 4 3 2 3" xfId="37962" xr:uid="{00000000-0005-0000-0000-0000D2630000}"/>
    <cellStyle name="Comma 2 5 4 4 4 3 3" xfId="29277" xr:uid="{00000000-0005-0000-0000-0000D3630000}"/>
    <cellStyle name="Comma 2 5 4 4 4 3 3 2" xfId="41178" xr:uid="{00000000-0005-0000-0000-0000D4630000}"/>
    <cellStyle name="Comma 2 5 4 4 4 3 4" xfId="32612" xr:uid="{00000000-0005-0000-0000-0000D5630000}"/>
    <cellStyle name="Comma 2 5 4 4 4 3 5" xfId="34754" xr:uid="{00000000-0005-0000-0000-0000D6630000}"/>
    <cellStyle name="Comma 2 5 4 4 4 4" xfId="8759" xr:uid="{00000000-0005-0000-0000-0000D7630000}"/>
    <cellStyle name="Comma 2 5 4 4 4 4 2" xfId="43328" xr:uid="{00000000-0005-0000-0000-0000D8630000}"/>
    <cellStyle name="Comma 2 5 4 4 4 4 3" xfId="36904" xr:uid="{00000000-0005-0000-0000-0000D9630000}"/>
    <cellStyle name="Comma 2 5 4 4 4 5" xfId="21748" xr:uid="{00000000-0005-0000-0000-0000DA630000}"/>
    <cellStyle name="Comma 2 5 4 4 4 5 2" xfId="40121" xr:uid="{00000000-0005-0000-0000-0000DB630000}"/>
    <cellStyle name="Comma 2 5 4 4 4 6" xfId="22821" xr:uid="{00000000-0005-0000-0000-0000DC630000}"/>
    <cellStyle name="Comma 2 5 4 4 4 7" xfId="23899" xr:uid="{00000000-0005-0000-0000-0000DD630000}"/>
    <cellStyle name="Comma 2 5 4 4 4 8" xfId="27143" xr:uid="{00000000-0005-0000-0000-0000DE630000}"/>
    <cellStyle name="Comma 2 5 4 4 4 9" xfId="30476" xr:uid="{00000000-0005-0000-0000-0000DF630000}"/>
    <cellStyle name="Comma 2 5 4 4 5" xfId="1474" xr:uid="{00000000-0005-0000-0000-0000E0630000}"/>
    <cellStyle name="Comma 2 5 4 4 5 10" xfId="33698" xr:uid="{00000000-0005-0000-0000-0000E1630000}"/>
    <cellStyle name="Comma 2 5 4 4 5 2" xfId="10244" xr:uid="{00000000-0005-0000-0000-0000E2630000}"/>
    <cellStyle name="Comma 2 5 4 4 5 2 2" xfId="26044" xr:uid="{00000000-0005-0000-0000-0000E3630000}"/>
    <cellStyle name="Comma 2 5 4 4 5 2 2 2" xfId="45471" xr:uid="{00000000-0005-0000-0000-0000E4630000}"/>
    <cellStyle name="Comma 2 5 4 4 5 2 2 3" xfId="39048" xr:uid="{00000000-0005-0000-0000-0000E5630000}"/>
    <cellStyle name="Comma 2 5 4 4 5 2 3" xfId="28222" xr:uid="{00000000-0005-0000-0000-0000E6630000}"/>
    <cellStyle name="Comma 2 5 4 4 5 2 3 2" xfId="42264" xr:uid="{00000000-0005-0000-0000-0000E7630000}"/>
    <cellStyle name="Comma 2 5 4 4 5 2 4" xfId="31557" xr:uid="{00000000-0005-0000-0000-0000E8630000}"/>
    <cellStyle name="Comma 2 5 4 4 5 2 5" xfId="35840" xr:uid="{00000000-0005-0000-0000-0000E9630000}"/>
    <cellStyle name="Comma 2 5 4 4 5 3" xfId="15942" xr:uid="{00000000-0005-0000-0000-0000EA630000}"/>
    <cellStyle name="Comma 2 5 4 4 5 3 2" xfId="24957" xr:uid="{00000000-0005-0000-0000-0000EB630000}"/>
    <cellStyle name="Comma 2 5 4 4 5 3 2 2" xfId="44386" xr:uid="{00000000-0005-0000-0000-0000EC630000}"/>
    <cellStyle name="Comma 2 5 4 4 5 3 2 3" xfId="37963" xr:uid="{00000000-0005-0000-0000-0000ED630000}"/>
    <cellStyle name="Comma 2 5 4 4 5 3 3" xfId="29278" xr:uid="{00000000-0005-0000-0000-0000EE630000}"/>
    <cellStyle name="Comma 2 5 4 4 5 3 3 2" xfId="41179" xr:uid="{00000000-0005-0000-0000-0000EF630000}"/>
    <cellStyle name="Comma 2 5 4 4 5 3 4" xfId="32613" xr:uid="{00000000-0005-0000-0000-0000F0630000}"/>
    <cellStyle name="Comma 2 5 4 4 5 3 5" xfId="34755" xr:uid="{00000000-0005-0000-0000-0000F1630000}"/>
    <cellStyle name="Comma 2 5 4 4 5 4" xfId="8760" xr:uid="{00000000-0005-0000-0000-0000F2630000}"/>
    <cellStyle name="Comma 2 5 4 4 5 4 2" xfId="43329" xr:uid="{00000000-0005-0000-0000-0000F3630000}"/>
    <cellStyle name="Comma 2 5 4 4 5 4 3" xfId="36905" xr:uid="{00000000-0005-0000-0000-0000F4630000}"/>
    <cellStyle name="Comma 2 5 4 4 5 5" xfId="21749" xr:uid="{00000000-0005-0000-0000-0000F5630000}"/>
    <cellStyle name="Comma 2 5 4 4 5 5 2" xfId="40122" xr:uid="{00000000-0005-0000-0000-0000F6630000}"/>
    <cellStyle name="Comma 2 5 4 4 5 6" xfId="22822" xr:uid="{00000000-0005-0000-0000-0000F7630000}"/>
    <cellStyle name="Comma 2 5 4 4 5 7" xfId="23900" xr:uid="{00000000-0005-0000-0000-0000F8630000}"/>
    <cellStyle name="Comma 2 5 4 4 5 8" xfId="27144" xr:uid="{00000000-0005-0000-0000-0000F9630000}"/>
    <cellStyle name="Comma 2 5 4 4 5 9" xfId="30477" xr:uid="{00000000-0005-0000-0000-0000FA630000}"/>
    <cellStyle name="Comma 2 5 4 4 6" xfId="10240" xr:uid="{00000000-0005-0000-0000-0000FB630000}"/>
    <cellStyle name="Comma 2 5 4 4 6 2" xfId="26040" xr:uid="{00000000-0005-0000-0000-0000FC630000}"/>
    <cellStyle name="Comma 2 5 4 4 6 2 2" xfId="45467" xr:uid="{00000000-0005-0000-0000-0000FD630000}"/>
    <cellStyle name="Comma 2 5 4 4 6 2 3" xfId="39044" xr:uid="{00000000-0005-0000-0000-0000FE630000}"/>
    <cellStyle name="Comma 2 5 4 4 6 3" xfId="28218" xr:uid="{00000000-0005-0000-0000-0000FF630000}"/>
    <cellStyle name="Comma 2 5 4 4 6 3 2" xfId="42260" xr:uid="{00000000-0005-0000-0000-000000640000}"/>
    <cellStyle name="Comma 2 5 4 4 6 4" xfId="31553" xr:uid="{00000000-0005-0000-0000-000001640000}"/>
    <cellStyle name="Comma 2 5 4 4 6 5" xfId="35836" xr:uid="{00000000-0005-0000-0000-000002640000}"/>
    <cellStyle name="Comma 2 5 4 4 7" xfId="15938" xr:uid="{00000000-0005-0000-0000-000003640000}"/>
    <cellStyle name="Comma 2 5 4 4 7 2" xfId="24953" xr:uid="{00000000-0005-0000-0000-000004640000}"/>
    <cellStyle name="Comma 2 5 4 4 7 2 2" xfId="44382" xr:uid="{00000000-0005-0000-0000-000005640000}"/>
    <cellStyle name="Comma 2 5 4 4 7 2 3" xfId="37959" xr:uid="{00000000-0005-0000-0000-000006640000}"/>
    <cellStyle name="Comma 2 5 4 4 7 3" xfId="29274" xr:uid="{00000000-0005-0000-0000-000007640000}"/>
    <cellStyle name="Comma 2 5 4 4 7 3 2" xfId="41175" xr:uid="{00000000-0005-0000-0000-000008640000}"/>
    <cellStyle name="Comma 2 5 4 4 7 4" xfId="32609" xr:uid="{00000000-0005-0000-0000-000009640000}"/>
    <cellStyle name="Comma 2 5 4 4 7 5" xfId="34751" xr:uid="{00000000-0005-0000-0000-00000A640000}"/>
    <cellStyle name="Comma 2 5 4 4 8" xfId="8756" xr:uid="{00000000-0005-0000-0000-00000B640000}"/>
    <cellStyle name="Comma 2 5 4 4 8 2" xfId="43325" xr:uid="{00000000-0005-0000-0000-00000C640000}"/>
    <cellStyle name="Comma 2 5 4 4 8 3" xfId="36901" xr:uid="{00000000-0005-0000-0000-00000D640000}"/>
    <cellStyle name="Comma 2 5 4 4 9" xfId="21745" xr:uid="{00000000-0005-0000-0000-00000E640000}"/>
    <cellStyle name="Comma 2 5 4 4 9 2" xfId="40118" xr:uid="{00000000-0005-0000-0000-00000F640000}"/>
    <cellStyle name="Comma 2 5 4 5" xfId="1475" xr:uid="{00000000-0005-0000-0000-000010640000}"/>
    <cellStyle name="Comma 2 5 4 5 10" xfId="22823" xr:uid="{00000000-0005-0000-0000-000011640000}"/>
    <cellStyle name="Comma 2 5 4 5 11" xfId="23901" xr:uid="{00000000-0005-0000-0000-000012640000}"/>
    <cellStyle name="Comma 2 5 4 5 12" xfId="27145" xr:uid="{00000000-0005-0000-0000-000013640000}"/>
    <cellStyle name="Comma 2 5 4 5 13" xfId="30478" xr:uid="{00000000-0005-0000-0000-000014640000}"/>
    <cellStyle name="Comma 2 5 4 5 14" xfId="33699" xr:uid="{00000000-0005-0000-0000-000015640000}"/>
    <cellStyle name="Comma 2 5 4 5 2" xfId="1476" xr:uid="{00000000-0005-0000-0000-000016640000}"/>
    <cellStyle name="Comma 2 5 4 5 2 10" xfId="33700" xr:uid="{00000000-0005-0000-0000-000017640000}"/>
    <cellStyle name="Comma 2 5 4 5 2 2" xfId="10246" xr:uid="{00000000-0005-0000-0000-000018640000}"/>
    <cellStyle name="Comma 2 5 4 5 2 2 2" xfId="26046" xr:uid="{00000000-0005-0000-0000-000019640000}"/>
    <cellStyle name="Comma 2 5 4 5 2 2 2 2" xfId="45473" xr:uid="{00000000-0005-0000-0000-00001A640000}"/>
    <cellStyle name="Comma 2 5 4 5 2 2 2 3" xfId="39050" xr:uid="{00000000-0005-0000-0000-00001B640000}"/>
    <cellStyle name="Comma 2 5 4 5 2 2 3" xfId="28224" xr:uid="{00000000-0005-0000-0000-00001C640000}"/>
    <cellStyle name="Comma 2 5 4 5 2 2 3 2" xfId="42266" xr:uid="{00000000-0005-0000-0000-00001D640000}"/>
    <cellStyle name="Comma 2 5 4 5 2 2 4" xfId="31559" xr:uid="{00000000-0005-0000-0000-00001E640000}"/>
    <cellStyle name="Comma 2 5 4 5 2 2 5" xfId="35842" xr:uid="{00000000-0005-0000-0000-00001F640000}"/>
    <cellStyle name="Comma 2 5 4 5 2 3" xfId="15944" xr:uid="{00000000-0005-0000-0000-000020640000}"/>
    <cellStyle name="Comma 2 5 4 5 2 3 2" xfId="24959" xr:uid="{00000000-0005-0000-0000-000021640000}"/>
    <cellStyle name="Comma 2 5 4 5 2 3 2 2" xfId="44388" xr:uid="{00000000-0005-0000-0000-000022640000}"/>
    <cellStyle name="Comma 2 5 4 5 2 3 2 3" xfId="37965" xr:uid="{00000000-0005-0000-0000-000023640000}"/>
    <cellStyle name="Comma 2 5 4 5 2 3 3" xfId="29280" xr:uid="{00000000-0005-0000-0000-000024640000}"/>
    <cellStyle name="Comma 2 5 4 5 2 3 3 2" xfId="41181" xr:uid="{00000000-0005-0000-0000-000025640000}"/>
    <cellStyle name="Comma 2 5 4 5 2 3 4" xfId="32615" xr:uid="{00000000-0005-0000-0000-000026640000}"/>
    <cellStyle name="Comma 2 5 4 5 2 3 5" xfId="34757" xr:uid="{00000000-0005-0000-0000-000027640000}"/>
    <cellStyle name="Comma 2 5 4 5 2 4" xfId="8762" xr:uid="{00000000-0005-0000-0000-000028640000}"/>
    <cellStyle name="Comma 2 5 4 5 2 4 2" xfId="43331" xr:uid="{00000000-0005-0000-0000-000029640000}"/>
    <cellStyle name="Comma 2 5 4 5 2 4 3" xfId="36907" xr:uid="{00000000-0005-0000-0000-00002A640000}"/>
    <cellStyle name="Comma 2 5 4 5 2 5" xfId="21751" xr:uid="{00000000-0005-0000-0000-00002B640000}"/>
    <cellStyle name="Comma 2 5 4 5 2 5 2" xfId="40124" xr:uid="{00000000-0005-0000-0000-00002C640000}"/>
    <cellStyle name="Comma 2 5 4 5 2 6" xfId="22824" xr:uid="{00000000-0005-0000-0000-00002D640000}"/>
    <cellStyle name="Comma 2 5 4 5 2 7" xfId="23902" xr:uid="{00000000-0005-0000-0000-00002E640000}"/>
    <cellStyle name="Comma 2 5 4 5 2 8" xfId="27146" xr:uid="{00000000-0005-0000-0000-00002F640000}"/>
    <cellStyle name="Comma 2 5 4 5 2 9" xfId="30479" xr:uid="{00000000-0005-0000-0000-000030640000}"/>
    <cellStyle name="Comma 2 5 4 5 3" xfId="1477" xr:uid="{00000000-0005-0000-0000-000031640000}"/>
    <cellStyle name="Comma 2 5 4 5 3 10" xfId="33701" xr:uid="{00000000-0005-0000-0000-000032640000}"/>
    <cellStyle name="Comma 2 5 4 5 3 2" xfId="10247" xr:uid="{00000000-0005-0000-0000-000033640000}"/>
    <cellStyle name="Comma 2 5 4 5 3 2 2" xfId="26047" xr:uid="{00000000-0005-0000-0000-000034640000}"/>
    <cellStyle name="Comma 2 5 4 5 3 2 2 2" xfId="45474" xr:uid="{00000000-0005-0000-0000-000035640000}"/>
    <cellStyle name="Comma 2 5 4 5 3 2 2 3" xfId="39051" xr:uid="{00000000-0005-0000-0000-000036640000}"/>
    <cellStyle name="Comma 2 5 4 5 3 2 3" xfId="28225" xr:uid="{00000000-0005-0000-0000-000037640000}"/>
    <cellStyle name="Comma 2 5 4 5 3 2 3 2" xfId="42267" xr:uid="{00000000-0005-0000-0000-000038640000}"/>
    <cellStyle name="Comma 2 5 4 5 3 2 4" xfId="31560" xr:uid="{00000000-0005-0000-0000-000039640000}"/>
    <cellStyle name="Comma 2 5 4 5 3 2 5" xfId="35843" xr:uid="{00000000-0005-0000-0000-00003A640000}"/>
    <cellStyle name="Comma 2 5 4 5 3 3" xfId="15945" xr:uid="{00000000-0005-0000-0000-00003B640000}"/>
    <cellStyle name="Comma 2 5 4 5 3 3 2" xfId="24960" xr:uid="{00000000-0005-0000-0000-00003C640000}"/>
    <cellStyle name="Comma 2 5 4 5 3 3 2 2" xfId="44389" xr:uid="{00000000-0005-0000-0000-00003D640000}"/>
    <cellStyle name="Comma 2 5 4 5 3 3 2 3" xfId="37966" xr:uid="{00000000-0005-0000-0000-00003E640000}"/>
    <cellStyle name="Comma 2 5 4 5 3 3 3" xfId="29281" xr:uid="{00000000-0005-0000-0000-00003F640000}"/>
    <cellStyle name="Comma 2 5 4 5 3 3 3 2" xfId="41182" xr:uid="{00000000-0005-0000-0000-000040640000}"/>
    <cellStyle name="Comma 2 5 4 5 3 3 4" xfId="32616" xr:uid="{00000000-0005-0000-0000-000041640000}"/>
    <cellStyle name="Comma 2 5 4 5 3 3 5" xfId="34758" xr:uid="{00000000-0005-0000-0000-000042640000}"/>
    <cellStyle name="Comma 2 5 4 5 3 4" xfId="8763" xr:uid="{00000000-0005-0000-0000-000043640000}"/>
    <cellStyle name="Comma 2 5 4 5 3 4 2" xfId="43332" xr:uid="{00000000-0005-0000-0000-000044640000}"/>
    <cellStyle name="Comma 2 5 4 5 3 4 3" xfId="36908" xr:uid="{00000000-0005-0000-0000-000045640000}"/>
    <cellStyle name="Comma 2 5 4 5 3 5" xfId="21752" xr:uid="{00000000-0005-0000-0000-000046640000}"/>
    <cellStyle name="Comma 2 5 4 5 3 5 2" xfId="40125" xr:uid="{00000000-0005-0000-0000-000047640000}"/>
    <cellStyle name="Comma 2 5 4 5 3 6" xfId="22825" xr:uid="{00000000-0005-0000-0000-000048640000}"/>
    <cellStyle name="Comma 2 5 4 5 3 7" xfId="23903" xr:uid="{00000000-0005-0000-0000-000049640000}"/>
    <cellStyle name="Comma 2 5 4 5 3 8" xfId="27147" xr:uid="{00000000-0005-0000-0000-00004A640000}"/>
    <cellStyle name="Comma 2 5 4 5 3 9" xfId="30480" xr:uid="{00000000-0005-0000-0000-00004B640000}"/>
    <cellStyle name="Comma 2 5 4 5 4" xfId="1478" xr:uid="{00000000-0005-0000-0000-00004C640000}"/>
    <cellStyle name="Comma 2 5 4 5 4 10" xfId="33702" xr:uid="{00000000-0005-0000-0000-00004D640000}"/>
    <cellStyle name="Comma 2 5 4 5 4 2" xfId="10248" xr:uid="{00000000-0005-0000-0000-00004E640000}"/>
    <cellStyle name="Comma 2 5 4 5 4 2 2" xfId="26048" xr:uid="{00000000-0005-0000-0000-00004F640000}"/>
    <cellStyle name="Comma 2 5 4 5 4 2 2 2" xfId="45475" xr:uid="{00000000-0005-0000-0000-000050640000}"/>
    <cellStyle name="Comma 2 5 4 5 4 2 2 3" xfId="39052" xr:uid="{00000000-0005-0000-0000-000051640000}"/>
    <cellStyle name="Comma 2 5 4 5 4 2 3" xfId="28226" xr:uid="{00000000-0005-0000-0000-000052640000}"/>
    <cellStyle name="Comma 2 5 4 5 4 2 3 2" xfId="42268" xr:uid="{00000000-0005-0000-0000-000053640000}"/>
    <cellStyle name="Comma 2 5 4 5 4 2 4" xfId="31561" xr:uid="{00000000-0005-0000-0000-000054640000}"/>
    <cellStyle name="Comma 2 5 4 5 4 2 5" xfId="35844" xr:uid="{00000000-0005-0000-0000-000055640000}"/>
    <cellStyle name="Comma 2 5 4 5 4 3" xfId="15946" xr:uid="{00000000-0005-0000-0000-000056640000}"/>
    <cellStyle name="Comma 2 5 4 5 4 3 2" xfId="24961" xr:uid="{00000000-0005-0000-0000-000057640000}"/>
    <cellStyle name="Comma 2 5 4 5 4 3 2 2" xfId="44390" xr:uid="{00000000-0005-0000-0000-000058640000}"/>
    <cellStyle name="Comma 2 5 4 5 4 3 2 3" xfId="37967" xr:uid="{00000000-0005-0000-0000-000059640000}"/>
    <cellStyle name="Comma 2 5 4 5 4 3 3" xfId="29282" xr:uid="{00000000-0005-0000-0000-00005A640000}"/>
    <cellStyle name="Comma 2 5 4 5 4 3 3 2" xfId="41183" xr:uid="{00000000-0005-0000-0000-00005B640000}"/>
    <cellStyle name="Comma 2 5 4 5 4 3 4" xfId="32617" xr:uid="{00000000-0005-0000-0000-00005C640000}"/>
    <cellStyle name="Comma 2 5 4 5 4 3 5" xfId="34759" xr:uid="{00000000-0005-0000-0000-00005D640000}"/>
    <cellStyle name="Comma 2 5 4 5 4 4" xfId="8764" xr:uid="{00000000-0005-0000-0000-00005E640000}"/>
    <cellStyle name="Comma 2 5 4 5 4 4 2" xfId="43333" xr:uid="{00000000-0005-0000-0000-00005F640000}"/>
    <cellStyle name="Comma 2 5 4 5 4 4 3" xfId="36909" xr:uid="{00000000-0005-0000-0000-000060640000}"/>
    <cellStyle name="Comma 2 5 4 5 4 5" xfId="21753" xr:uid="{00000000-0005-0000-0000-000061640000}"/>
    <cellStyle name="Comma 2 5 4 5 4 5 2" xfId="40126" xr:uid="{00000000-0005-0000-0000-000062640000}"/>
    <cellStyle name="Comma 2 5 4 5 4 6" xfId="22826" xr:uid="{00000000-0005-0000-0000-000063640000}"/>
    <cellStyle name="Comma 2 5 4 5 4 7" xfId="23904" xr:uid="{00000000-0005-0000-0000-000064640000}"/>
    <cellStyle name="Comma 2 5 4 5 4 8" xfId="27148" xr:uid="{00000000-0005-0000-0000-000065640000}"/>
    <cellStyle name="Comma 2 5 4 5 4 9" xfId="30481" xr:uid="{00000000-0005-0000-0000-000066640000}"/>
    <cellStyle name="Comma 2 5 4 5 5" xfId="1479" xr:uid="{00000000-0005-0000-0000-000067640000}"/>
    <cellStyle name="Comma 2 5 4 5 5 10" xfId="33703" xr:uid="{00000000-0005-0000-0000-000068640000}"/>
    <cellStyle name="Comma 2 5 4 5 5 2" xfId="10249" xr:uid="{00000000-0005-0000-0000-000069640000}"/>
    <cellStyle name="Comma 2 5 4 5 5 2 2" xfId="26049" xr:uid="{00000000-0005-0000-0000-00006A640000}"/>
    <cellStyle name="Comma 2 5 4 5 5 2 2 2" xfId="45476" xr:uid="{00000000-0005-0000-0000-00006B640000}"/>
    <cellStyle name="Comma 2 5 4 5 5 2 2 3" xfId="39053" xr:uid="{00000000-0005-0000-0000-00006C640000}"/>
    <cellStyle name="Comma 2 5 4 5 5 2 3" xfId="28227" xr:uid="{00000000-0005-0000-0000-00006D640000}"/>
    <cellStyle name="Comma 2 5 4 5 5 2 3 2" xfId="42269" xr:uid="{00000000-0005-0000-0000-00006E640000}"/>
    <cellStyle name="Comma 2 5 4 5 5 2 4" xfId="31562" xr:uid="{00000000-0005-0000-0000-00006F640000}"/>
    <cellStyle name="Comma 2 5 4 5 5 2 5" xfId="35845" xr:uid="{00000000-0005-0000-0000-000070640000}"/>
    <cellStyle name="Comma 2 5 4 5 5 3" xfId="15947" xr:uid="{00000000-0005-0000-0000-000071640000}"/>
    <cellStyle name="Comma 2 5 4 5 5 3 2" xfId="24962" xr:uid="{00000000-0005-0000-0000-000072640000}"/>
    <cellStyle name="Comma 2 5 4 5 5 3 2 2" xfId="44391" xr:uid="{00000000-0005-0000-0000-000073640000}"/>
    <cellStyle name="Comma 2 5 4 5 5 3 2 3" xfId="37968" xr:uid="{00000000-0005-0000-0000-000074640000}"/>
    <cellStyle name="Comma 2 5 4 5 5 3 3" xfId="29283" xr:uid="{00000000-0005-0000-0000-000075640000}"/>
    <cellStyle name="Comma 2 5 4 5 5 3 3 2" xfId="41184" xr:uid="{00000000-0005-0000-0000-000076640000}"/>
    <cellStyle name="Comma 2 5 4 5 5 3 4" xfId="32618" xr:uid="{00000000-0005-0000-0000-000077640000}"/>
    <cellStyle name="Comma 2 5 4 5 5 3 5" xfId="34760" xr:uid="{00000000-0005-0000-0000-000078640000}"/>
    <cellStyle name="Comma 2 5 4 5 5 4" xfId="8765" xr:uid="{00000000-0005-0000-0000-000079640000}"/>
    <cellStyle name="Comma 2 5 4 5 5 4 2" xfId="43334" xr:uid="{00000000-0005-0000-0000-00007A640000}"/>
    <cellStyle name="Comma 2 5 4 5 5 4 3" xfId="36910" xr:uid="{00000000-0005-0000-0000-00007B640000}"/>
    <cellStyle name="Comma 2 5 4 5 5 5" xfId="21754" xr:uid="{00000000-0005-0000-0000-00007C640000}"/>
    <cellStyle name="Comma 2 5 4 5 5 5 2" xfId="40127" xr:uid="{00000000-0005-0000-0000-00007D640000}"/>
    <cellStyle name="Comma 2 5 4 5 5 6" xfId="22827" xr:uid="{00000000-0005-0000-0000-00007E640000}"/>
    <cellStyle name="Comma 2 5 4 5 5 7" xfId="23905" xr:uid="{00000000-0005-0000-0000-00007F640000}"/>
    <cellStyle name="Comma 2 5 4 5 5 8" xfId="27149" xr:uid="{00000000-0005-0000-0000-000080640000}"/>
    <cellStyle name="Comma 2 5 4 5 5 9" xfId="30482" xr:uid="{00000000-0005-0000-0000-000081640000}"/>
    <cellStyle name="Comma 2 5 4 5 6" xfId="10245" xr:uid="{00000000-0005-0000-0000-000082640000}"/>
    <cellStyle name="Comma 2 5 4 5 6 2" xfId="26045" xr:uid="{00000000-0005-0000-0000-000083640000}"/>
    <cellStyle name="Comma 2 5 4 5 6 2 2" xfId="45472" xr:uid="{00000000-0005-0000-0000-000084640000}"/>
    <cellStyle name="Comma 2 5 4 5 6 2 3" xfId="39049" xr:uid="{00000000-0005-0000-0000-000085640000}"/>
    <cellStyle name="Comma 2 5 4 5 6 3" xfId="28223" xr:uid="{00000000-0005-0000-0000-000086640000}"/>
    <cellStyle name="Comma 2 5 4 5 6 3 2" xfId="42265" xr:uid="{00000000-0005-0000-0000-000087640000}"/>
    <cellStyle name="Comma 2 5 4 5 6 4" xfId="31558" xr:uid="{00000000-0005-0000-0000-000088640000}"/>
    <cellStyle name="Comma 2 5 4 5 6 5" xfId="35841" xr:uid="{00000000-0005-0000-0000-000089640000}"/>
    <cellStyle name="Comma 2 5 4 5 7" xfId="15943" xr:uid="{00000000-0005-0000-0000-00008A640000}"/>
    <cellStyle name="Comma 2 5 4 5 7 2" xfId="24958" xr:uid="{00000000-0005-0000-0000-00008B640000}"/>
    <cellStyle name="Comma 2 5 4 5 7 2 2" xfId="44387" xr:uid="{00000000-0005-0000-0000-00008C640000}"/>
    <cellStyle name="Comma 2 5 4 5 7 2 3" xfId="37964" xr:uid="{00000000-0005-0000-0000-00008D640000}"/>
    <cellStyle name="Comma 2 5 4 5 7 3" xfId="29279" xr:uid="{00000000-0005-0000-0000-00008E640000}"/>
    <cellStyle name="Comma 2 5 4 5 7 3 2" xfId="41180" xr:uid="{00000000-0005-0000-0000-00008F640000}"/>
    <cellStyle name="Comma 2 5 4 5 7 4" xfId="32614" xr:uid="{00000000-0005-0000-0000-000090640000}"/>
    <cellStyle name="Comma 2 5 4 5 7 5" xfId="34756" xr:uid="{00000000-0005-0000-0000-000091640000}"/>
    <cellStyle name="Comma 2 5 4 5 8" xfId="8761" xr:uid="{00000000-0005-0000-0000-000092640000}"/>
    <cellStyle name="Comma 2 5 4 5 8 2" xfId="43330" xr:uid="{00000000-0005-0000-0000-000093640000}"/>
    <cellStyle name="Comma 2 5 4 5 8 3" xfId="36906" xr:uid="{00000000-0005-0000-0000-000094640000}"/>
    <cellStyle name="Comma 2 5 4 5 9" xfId="21750" xr:uid="{00000000-0005-0000-0000-000095640000}"/>
    <cellStyle name="Comma 2 5 4 5 9 2" xfId="40123" xr:uid="{00000000-0005-0000-0000-000096640000}"/>
    <cellStyle name="Comma 2 5 4 6" xfId="1480" xr:uid="{00000000-0005-0000-0000-000097640000}"/>
    <cellStyle name="Comma 2 5 4 6 10" xfId="33704" xr:uid="{00000000-0005-0000-0000-000098640000}"/>
    <cellStyle name="Comma 2 5 4 6 2" xfId="10250" xr:uid="{00000000-0005-0000-0000-000099640000}"/>
    <cellStyle name="Comma 2 5 4 6 2 2" xfId="26050" xr:uid="{00000000-0005-0000-0000-00009A640000}"/>
    <cellStyle name="Comma 2 5 4 6 2 2 2" xfId="45477" xr:uid="{00000000-0005-0000-0000-00009B640000}"/>
    <cellStyle name="Comma 2 5 4 6 2 2 3" xfId="39054" xr:uid="{00000000-0005-0000-0000-00009C640000}"/>
    <cellStyle name="Comma 2 5 4 6 2 3" xfId="28228" xr:uid="{00000000-0005-0000-0000-00009D640000}"/>
    <cellStyle name="Comma 2 5 4 6 2 3 2" xfId="42270" xr:uid="{00000000-0005-0000-0000-00009E640000}"/>
    <cellStyle name="Comma 2 5 4 6 2 4" xfId="31563" xr:uid="{00000000-0005-0000-0000-00009F640000}"/>
    <cellStyle name="Comma 2 5 4 6 2 5" xfId="35846" xr:uid="{00000000-0005-0000-0000-0000A0640000}"/>
    <cellStyle name="Comma 2 5 4 6 3" xfId="15948" xr:uid="{00000000-0005-0000-0000-0000A1640000}"/>
    <cellStyle name="Comma 2 5 4 6 3 2" xfId="24963" xr:uid="{00000000-0005-0000-0000-0000A2640000}"/>
    <cellStyle name="Comma 2 5 4 6 3 2 2" xfId="44392" xr:uid="{00000000-0005-0000-0000-0000A3640000}"/>
    <cellStyle name="Comma 2 5 4 6 3 2 3" xfId="37969" xr:uid="{00000000-0005-0000-0000-0000A4640000}"/>
    <cellStyle name="Comma 2 5 4 6 3 3" xfId="29284" xr:uid="{00000000-0005-0000-0000-0000A5640000}"/>
    <cellStyle name="Comma 2 5 4 6 3 3 2" xfId="41185" xr:uid="{00000000-0005-0000-0000-0000A6640000}"/>
    <cellStyle name="Comma 2 5 4 6 3 4" xfId="32619" xr:uid="{00000000-0005-0000-0000-0000A7640000}"/>
    <cellStyle name="Comma 2 5 4 6 3 5" xfId="34761" xr:uid="{00000000-0005-0000-0000-0000A8640000}"/>
    <cellStyle name="Comma 2 5 4 6 4" xfId="8766" xr:uid="{00000000-0005-0000-0000-0000A9640000}"/>
    <cellStyle name="Comma 2 5 4 6 4 2" xfId="43335" xr:uid="{00000000-0005-0000-0000-0000AA640000}"/>
    <cellStyle name="Comma 2 5 4 6 4 3" xfId="36911" xr:uid="{00000000-0005-0000-0000-0000AB640000}"/>
    <cellStyle name="Comma 2 5 4 6 5" xfId="21755" xr:uid="{00000000-0005-0000-0000-0000AC640000}"/>
    <cellStyle name="Comma 2 5 4 6 5 2" xfId="40128" xr:uid="{00000000-0005-0000-0000-0000AD640000}"/>
    <cellStyle name="Comma 2 5 4 6 6" xfId="22828" xr:uid="{00000000-0005-0000-0000-0000AE640000}"/>
    <cellStyle name="Comma 2 5 4 6 7" xfId="23906" xr:uid="{00000000-0005-0000-0000-0000AF640000}"/>
    <cellStyle name="Comma 2 5 4 6 8" xfId="27150" xr:uid="{00000000-0005-0000-0000-0000B0640000}"/>
    <cellStyle name="Comma 2 5 4 6 9" xfId="30483" xr:uid="{00000000-0005-0000-0000-0000B1640000}"/>
    <cellStyle name="Comma 2 5 4 7" xfId="1481" xr:uid="{00000000-0005-0000-0000-0000B2640000}"/>
    <cellStyle name="Comma 2 5 4 7 10" xfId="33705" xr:uid="{00000000-0005-0000-0000-0000B3640000}"/>
    <cellStyle name="Comma 2 5 4 7 2" xfId="10251" xr:uid="{00000000-0005-0000-0000-0000B4640000}"/>
    <cellStyle name="Comma 2 5 4 7 2 2" xfId="26051" xr:uid="{00000000-0005-0000-0000-0000B5640000}"/>
    <cellStyle name="Comma 2 5 4 7 2 2 2" xfId="45478" xr:uid="{00000000-0005-0000-0000-0000B6640000}"/>
    <cellStyle name="Comma 2 5 4 7 2 2 3" xfId="39055" xr:uid="{00000000-0005-0000-0000-0000B7640000}"/>
    <cellStyle name="Comma 2 5 4 7 2 3" xfId="28229" xr:uid="{00000000-0005-0000-0000-0000B8640000}"/>
    <cellStyle name="Comma 2 5 4 7 2 3 2" xfId="42271" xr:uid="{00000000-0005-0000-0000-0000B9640000}"/>
    <cellStyle name="Comma 2 5 4 7 2 4" xfId="31564" xr:uid="{00000000-0005-0000-0000-0000BA640000}"/>
    <cellStyle name="Comma 2 5 4 7 2 5" xfId="35847" xr:uid="{00000000-0005-0000-0000-0000BB640000}"/>
    <cellStyle name="Comma 2 5 4 7 3" xfId="15949" xr:uid="{00000000-0005-0000-0000-0000BC640000}"/>
    <cellStyle name="Comma 2 5 4 7 3 2" xfId="24964" xr:uid="{00000000-0005-0000-0000-0000BD640000}"/>
    <cellStyle name="Comma 2 5 4 7 3 2 2" xfId="44393" xr:uid="{00000000-0005-0000-0000-0000BE640000}"/>
    <cellStyle name="Comma 2 5 4 7 3 2 3" xfId="37970" xr:uid="{00000000-0005-0000-0000-0000BF640000}"/>
    <cellStyle name="Comma 2 5 4 7 3 3" xfId="29285" xr:uid="{00000000-0005-0000-0000-0000C0640000}"/>
    <cellStyle name="Comma 2 5 4 7 3 3 2" xfId="41186" xr:uid="{00000000-0005-0000-0000-0000C1640000}"/>
    <cellStyle name="Comma 2 5 4 7 3 4" xfId="32620" xr:uid="{00000000-0005-0000-0000-0000C2640000}"/>
    <cellStyle name="Comma 2 5 4 7 3 5" xfId="34762" xr:uid="{00000000-0005-0000-0000-0000C3640000}"/>
    <cellStyle name="Comma 2 5 4 7 4" xfId="8767" xr:uid="{00000000-0005-0000-0000-0000C4640000}"/>
    <cellStyle name="Comma 2 5 4 7 4 2" xfId="43336" xr:uid="{00000000-0005-0000-0000-0000C5640000}"/>
    <cellStyle name="Comma 2 5 4 7 4 3" xfId="36912" xr:uid="{00000000-0005-0000-0000-0000C6640000}"/>
    <cellStyle name="Comma 2 5 4 7 5" xfId="21756" xr:uid="{00000000-0005-0000-0000-0000C7640000}"/>
    <cellStyle name="Comma 2 5 4 7 5 2" xfId="40129" xr:uid="{00000000-0005-0000-0000-0000C8640000}"/>
    <cellStyle name="Comma 2 5 4 7 6" xfId="22829" xr:uid="{00000000-0005-0000-0000-0000C9640000}"/>
    <cellStyle name="Comma 2 5 4 7 7" xfId="23907" xr:uid="{00000000-0005-0000-0000-0000CA640000}"/>
    <cellStyle name="Comma 2 5 4 7 8" xfId="27151" xr:uid="{00000000-0005-0000-0000-0000CB640000}"/>
    <cellStyle name="Comma 2 5 4 7 9" xfId="30484" xr:uid="{00000000-0005-0000-0000-0000CC640000}"/>
    <cellStyle name="Comma 2 5 4 8" xfId="1482" xr:uid="{00000000-0005-0000-0000-0000CD640000}"/>
    <cellStyle name="Comma 2 5 4 8 10" xfId="33706" xr:uid="{00000000-0005-0000-0000-0000CE640000}"/>
    <cellStyle name="Comma 2 5 4 8 2" xfId="10252" xr:uid="{00000000-0005-0000-0000-0000CF640000}"/>
    <cellStyle name="Comma 2 5 4 8 2 2" xfId="26052" xr:uid="{00000000-0005-0000-0000-0000D0640000}"/>
    <cellStyle name="Comma 2 5 4 8 2 2 2" xfId="45479" xr:uid="{00000000-0005-0000-0000-0000D1640000}"/>
    <cellStyle name="Comma 2 5 4 8 2 2 3" xfId="39056" xr:uid="{00000000-0005-0000-0000-0000D2640000}"/>
    <cellStyle name="Comma 2 5 4 8 2 3" xfId="28230" xr:uid="{00000000-0005-0000-0000-0000D3640000}"/>
    <cellStyle name="Comma 2 5 4 8 2 3 2" xfId="42272" xr:uid="{00000000-0005-0000-0000-0000D4640000}"/>
    <cellStyle name="Comma 2 5 4 8 2 4" xfId="31565" xr:uid="{00000000-0005-0000-0000-0000D5640000}"/>
    <cellStyle name="Comma 2 5 4 8 2 5" xfId="35848" xr:uid="{00000000-0005-0000-0000-0000D6640000}"/>
    <cellStyle name="Comma 2 5 4 8 3" xfId="15950" xr:uid="{00000000-0005-0000-0000-0000D7640000}"/>
    <cellStyle name="Comma 2 5 4 8 3 2" xfId="24965" xr:uid="{00000000-0005-0000-0000-0000D8640000}"/>
    <cellStyle name="Comma 2 5 4 8 3 2 2" xfId="44394" xr:uid="{00000000-0005-0000-0000-0000D9640000}"/>
    <cellStyle name="Comma 2 5 4 8 3 2 3" xfId="37971" xr:uid="{00000000-0005-0000-0000-0000DA640000}"/>
    <cellStyle name="Comma 2 5 4 8 3 3" xfId="29286" xr:uid="{00000000-0005-0000-0000-0000DB640000}"/>
    <cellStyle name="Comma 2 5 4 8 3 3 2" xfId="41187" xr:uid="{00000000-0005-0000-0000-0000DC640000}"/>
    <cellStyle name="Comma 2 5 4 8 3 4" xfId="32621" xr:uid="{00000000-0005-0000-0000-0000DD640000}"/>
    <cellStyle name="Comma 2 5 4 8 3 5" xfId="34763" xr:uid="{00000000-0005-0000-0000-0000DE640000}"/>
    <cellStyle name="Comma 2 5 4 8 4" xfId="8768" xr:uid="{00000000-0005-0000-0000-0000DF640000}"/>
    <cellStyle name="Comma 2 5 4 8 4 2" xfId="43337" xr:uid="{00000000-0005-0000-0000-0000E0640000}"/>
    <cellStyle name="Comma 2 5 4 8 4 3" xfId="36913" xr:uid="{00000000-0005-0000-0000-0000E1640000}"/>
    <cellStyle name="Comma 2 5 4 8 5" xfId="21757" xr:uid="{00000000-0005-0000-0000-0000E2640000}"/>
    <cellStyle name="Comma 2 5 4 8 5 2" xfId="40130" xr:uid="{00000000-0005-0000-0000-0000E3640000}"/>
    <cellStyle name="Comma 2 5 4 8 6" xfId="22830" xr:uid="{00000000-0005-0000-0000-0000E4640000}"/>
    <cellStyle name="Comma 2 5 4 8 7" xfId="23908" xr:uid="{00000000-0005-0000-0000-0000E5640000}"/>
    <cellStyle name="Comma 2 5 4 8 8" xfId="27152" xr:uid="{00000000-0005-0000-0000-0000E6640000}"/>
    <cellStyle name="Comma 2 5 4 8 9" xfId="30485" xr:uid="{00000000-0005-0000-0000-0000E7640000}"/>
    <cellStyle name="Comma 2 5 4 9" xfId="1483" xr:uid="{00000000-0005-0000-0000-0000E8640000}"/>
    <cellStyle name="Comma 2 5 4 9 10" xfId="33707" xr:uid="{00000000-0005-0000-0000-0000E9640000}"/>
    <cellStyle name="Comma 2 5 4 9 2" xfId="10253" xr:uid="{00000000-0005-0000-0000-0000EA640000}"/>
    <cellStyle name="Comma 2 5 4 9 2 2" xfId="26053" xr:uid="{00000000-0005-0000-0000-0000EB640000}"/>
    <cellStyle name="Comma 2 5 4 9 2 2 2" xfId="45480" xr:uid="{00000000-0005-0000-0000-0000EC640000}"/>
    <cellStyle name="Comma 2 5 4 9 2 2 3" xfId="39057" xr:uid="{00000000-0005-0000-0000-0000ED640000}"/>
    <cellStyle name="Comma 2 5 4 9 2 3" xfId="28231" xr:uid="{00000000-0005-0000-0000-0000EE640000}"/>
    <cellStyle name="Comma 2 5 4 9 2 3 2" xfId="42273" xr:uid="{00000000-0005-0000-0000-0000EF640000}"/>
    <cellStyle name="Comma 2 5 4 9 2 4" xfId="31566" xr:uid="{00000000-0005-0000-0000-0000F0640000}"/>
    <cellStyle name="Comma 2 5 4 9 2 5" xfId="35849" xr:uid="{00000000-0005-0000-0000-0000F1640000}"/>
    <cellStyle name="Comma 2 5 4 9 3" xfId="15951" xr:uid="{00000000-0005-0000-0000-0000F2640000}"/>
    <cellStyle name="Comma 2 5 4 9 3 2" xfId="24966" xr:uid="{00000000-0005-0000-0000-0000F3640000}"/>
    <cellStyle name="Comma 2 5 4 9 3 2 2" xfId="44395" xr:uid="{00000000-0005-0000-0000-0000F4640000}"/>
    <cellStyle name="Comma 2 5 4 9 3 2 3" xfId="37972" xr:uid="{00000000-0005-0000-0000-0000F5640000}"/>
    <cellStyle name="Comma 2 5 4 9 3 3" xfId="29287" xr:uid="{00000000-0005-0000-0000-0000F6640000}"/>
    <cellStyle name="Comma 2 5 4 9 3 3 2" xfId="41188" xr:uid="{00000000-0005-0000-0000-0000F7640000}"/>
    <cellStyle name="Comma 2 5 4 9 3 4" xfId="32622" xr:uid="{00000000-0005-0000-0000-0000F8640000}"/>
    <cellStyle name="Comma 2 5 4 9 3 5" xfId="34764" xr:uid="{00000000-0005-0000-0000-0000F9640000}"/>
    <cellStyle name="Comma 2 5 4 9 4" xfId="8769" xr:uid="{00000000-0005-0000-0000-0000FA640000}"/>
    <cellStyle name="Comma 2 5 4 9 4 2" xfId="43338" xr:uid="{00000000-0005-0000-0000-0000FB640000}"/>
    <cellStyle name="Comma 2 5 4 9 4 3" xfId="36914" xr:uid="{00000000-0005-0000-0000-0000FC640000}"/>
    <cellStyle name="Comma 2 5 4 9 5" xfId="21758" xr:uid="{00000000-0005-0000-0000-0000FD640000}"/>
    <cellStyle name="Comma 2 5 4 9 5 2" xfId="40131" xr:uid="{00000000-0005-0000-0000-0000FE640000}"/>
    <cellStyle name="Comma 2 5 4 9 6" xfId="22831" xr:uid="{00000000-0005-0000-0000-0000FF640000}"/>
    <cellStyle name="Comma 2 5 4 9 7" xfId="23909" xr:uid="{00000000-0005-0000-0000-000000650000}"/>
    <cellStyle name="Comma 2 5 4 9 8" xfId="27153" xr:uid="{00000000-0005-0000-0000-000001650000}"/>
    <cellStyle name="Comma 2 5 4 9 9" xfId="30486" xr:uid="{00000000-0005-0000-0000-000002650000}"/>
    <cellStyle name="Comma 2 5 5" xfId="297" xr:uid="{00000000-0005-0000-0000-000003650000}"/>
    <cellStyle name="Comma 2 5 5 10" xfId="15952" xr:uid="{00000000-0005-0000-0000-000004650000}"/>
    <cellStyle name="Comma 2 5 5 10 2" xfId="24967" xr:uid="{00000000-0005-0000-0000-000005650000}"/>
    <cellStyle name="Comma 2 5 5 10 2 2" xfId="44396" xr:uid="{00000000-0005-0000-0000-000006650000}"/>
    <cellStyle name="Comma 2 5 5 10 2 3" xfId="37973" xr:uid="{00000000-0005-0000-0000-000007650000}"/>
    <cellStyle name="Comma 2 5 5 10 3" xfId="29288" xr:uid="{00000000-0005-0000-0000-000008650000}"/>
    <cellStyle name="Comma 2 5 5 10 3 2" xfId="41189" xr:uid="{00000000-0005-0000-0000-000009650000}"/>
    <cellStyle name="Comma 2 5 5 10 4" xfId="32623" xr:uid="{00000000-0005-0000-0000-00000A650000}"/>
    <cellStyle name="Comma 2 5 5 10 5" xfId="34765" xr:uid="{00000000-0005-0000-0000-00000B650000}"/>
    <cellStyle name="Comma 2 5 5 11" xfId="8770" xr:uid="{00000000-0005-0000-0000-00000C650000}"/>
    <cellStyle name="Comma 2 5 5 11 2" xfId="42497" xr:uid="{00000000-0005-0000-0000-00000D650000}"/>
    <cellStyle name="Comma 2 5 5 11 3" xfId="36073" xr:uid="{00000000-0005-0000-0000-00000E650000}"/>
    <cellStyle name="Comma 2 5 5 12" xfId="21759" xr:uid="{00000000-0005-0000-0000-00000F650000}"/>
    <cellStyle name="Comma 2 5 5 12 2" xfId="39290" xr:uid="{00000000-0005-0000-0000-000010650000}"/>
    <cellStyle name="Comma 2 5 5 13" xfId="22832" xr:uid="{00000000-0005-0000-0000-000011650000}"/>
    <cellStyle name="Comma 2 5 5 14" xfId="23068" xr:uid="{00000000-0005-0000-0000-000012650000}"/>
    <cellStyle name="Comma 2 5 5 15" xfId="27154" xr:uid="{00000000-0005-0000-0000-000013650000}"/>
    <cellStyle name="Comma 2 5 5 16" xfId="30487" xr:uid="{00000000-0005-0000-0000-000014650000}"/>
    <cellStyle name="Comma 2 5 5 17" xfId="32866" xr:uid="{00000000-0005-0000-0000-000015650000}"/>
    <cellStyle name="Comma 2 5 5 2" xfId="298" xr:uid="{00000000-0005-0000-0000-000016650000}"/>
    <cellStyle name="Comma 2 5 5 2 10" xfId="21760" xr:uid="{00000000-0005-0000-0000-000017650000}"/>
    <cellStyle name="Comma 2 5 5 2 10 2" xfId="39291" xr:uid="{00000000-0005-0000-0000-000018650000}"/>
    <cellStyle name="Comma 2 5 5 2 11" xfId="22833" xr:uid="{00000000-0005-0000-0000-000019650000}"/>
    <cellStyle name="Comma 2 5 5 2 12" xfId="23069" xr:uid="{00000000-0005-0000-0000-00001A650000}"/>
    <cellStyle name="Comma 2 5 5 2 13" xfId="27155" xr:uid="{00000000-0005-0000-0000-00001B650000}"/>
    <cellStyle name="Comma 2 5 5 2 14" xfId="30488" xr:uid="{00000000-0005-0000-0000-00001C650000}"/>
    <cellStyle name="Comma 2 5 5 2 15" xfId="32867" xr:uid="{00000000-0005-0000-0000-00001D650000}"/>
    <cellStyle name="Comma 2 5 5 2 2" xfId="1484" xr:uid="{00000000-0005-0000-0000-00001E650000}"/>
    <cellStyle name="Comma 2 5 5 2 2 10" xfId="33708" xr:uid="{00000000-0005-0000-0000-00001F650000}"/>
    <cellStyle name="Comma 2 5 5 2 2 2" xfId="10254" xr:uid="{00000000-0005-0000-0000-000020650000}"/>
    <cellStyle name="Comma 2 5 5 2 2 2 2" xfId="26054" xr:uid="{00000000-0005-0000-0000-000021650000}"/>
    <cellStyle name="Comma 2 5 5 2 2 2 2 2" xfId="45481" xr:uid="{00000000-0005-0000-0000-000022650000}"/>
    <cellStyle name="Comma 2 5 5 2 2 2 2 3" xfId="39058" xr:uid="{00000000-0005-0000-0000-000023650000}"/>
    <cellStyle name="Comma 2 5 5 2 2 2 3" xfId="28232" xr:uid="{00000000-0005-0000-0000-000024650000}"/>
    <cellStyle name="Comma 2 5 5 2 2 2 3 2" xfId="42274" xr:uid="{00000000-0005-0000-0000-000025650000}"/>
    <cellStyle name="Comma 2 5 5 2 2 2 4" xfId="31567" xr:uid="{00000000-0005-0000-0000-000026650000}"/>
    <cellStyle name="Comma 2 5 5 2 2 2 5" xfId="35850" xr:uid="{00000000-0005-0000-0000-000027650000}"/>
    <cellStyle name="Comma 2 5 5 2 2 3" xfId="15954" xr:uid="{00000000-0005-0000-0000-000028650000}"/>
    <cellStyle name="Comma 2 5 5 2 2 3 2" xfId="24969" xr:uid="{00000000-0005-0000-0000-000029650000}"/>
    <cellStyle name="Comma 2 5 5 2 2 3 2 2" xfId="44398" xr:uid="{00000000-0005-0000-0000-00002A650000}"/>
    <cellStyle name="Comma 2 5 5 2 2 3 2 3" xfId="37975" xr:uid="{00000000-0005-0000-0000-00002B650000}"/>
    <cellStyle name="Comma 2 5 5 2 2 3 3" xfId="29290" xr:uid="{00000000-0005-0000-0000-00002C650000}"/>
    <cellStyle name="Comma 2 5 5 2 2 3 3 2" xfId="41191" xr:uid="{00000000-0005-0000-0000-00002D650000}"/>
    <cellStyle name="Comma 2 5 5 2 2 3 4" xfId="32625" xr:uid="{00000000-0005-0000-0000-00002E650000}"/>
    <cellStyle name="Comma 2 5 5 2 2 3 5" xfId="34767" xr:uid="{00000000-0005-0000-0000-00002F650000}"/>
    <cellStyle name="Comma 2 5 5 2 2 4" xfId="8772" xr:uid="{00000000-0005-0000-0000-000030650000}"/>
    <cellStyle name="Comma 2 5 5 2 2 4 2" xfId="43339" xr:uid="{00000000-0005-0000-0000-000031650000}"/>
    <cellStyle name="Comma 2 5 5 2 2 4 3" xfId="36915" xr:uid="{00000000-0005-0000-0000-000032650000}"/>
    <cellStyle name="Comma 2 5 5 2 2 5" xfId="21761" xr:uid="{00000000-0005-0000-0000-000033650000}"/>
    <cellStyle name="Comma 2 5 5 2 2 5 2" xfId="40132" xr:uid="{00000000-0005-0000-0000-000034650000}"/>
    <cellStyle name="Comma 2 5 5 2 2 6" xfId="22834" xr:uid="{00000000-0005-0000-0000-000035650000}"/>
    <cellStyle name="Comma 2 5 5 2 2 7" xfId="23910" xr:uid="{00000000-0005-0000-0000-000036650000}"/>
    <cellStyle name="Comma 2 5 5 2 2 8" xfId="27156" xr:uid="{00000000-0005-0000-0000-000037650000}"/>
    <cellStyle name="Comma 2 5 5 2 2 9" xfId="30489" xr:uid="{00000000-0005-0000-0000-000038650000}"/>
    <cellStyle name="Comma 2 5 5 2 3" xfId="1485" xr:uid="{00000000-0005-0000-0000-000039650000}"/>
    <cellStyle name="Comma 2 5 5 2 3 10" xfId="33709" xr:uid="{00000000-0005-0000-0000-00003A650000}"/>
    <cellStyle name="Comma 2 5 5 2 3 2" xfId="10255" xr:uid="{00000000-0005-0000-0000-00003B650000}"/>
    <cellStyle name="Comma 2 5 5 2 3 2 2" xfId="26055" xr:uid="{00000000-0005-0000-0000-00003C650000}"/>
    <cellStyle name="Comma 2 5 5 2 3 2 2 2" xfId="45482" xr:uid="{00000000-0005-0000-0000-00003D650000}"/>
    <cellStyle name="Comma 2 5 5 2 3 2 2 3" xfId="39059" xr:uid="{00000000-0005-0000-0000-00003E650000}"/>
    <cellStyle name="Comma 2 5 5 2 3 2 3" xfId="28233" xr:uid="{00000000-0005-0000-0000-00003F650000}"/>
    <cellStyle name="Comma 2 5 5 2 3 2 3 2" xfId="42275" xr:uid="{00000000-0005-0000-0000-000040650000}"/>
    <cellStyle name="Comma 2 5 5 2 3 2 4" xfId="31568" xr:uid="{00000000-0005-0000-0000-000041650000}"/>
    <cellStyle name="Comma 2 5 5 2 3 2 5" xfId="35851" xr:uid="{00000000-0005-0000-0000-000042650000}"/>
    <cellStyle name="Comma 2 5 5 2 3 3" xfId="15955" xr:uid="{00000000-0005-0000-0000-000043650000}"/>
    <cellStyle name="Comma 2 5 5 2 3 3 2" xfId="24970" xr:uid="{00000000-0005-0000-0000-000044650000}"/>
    <cellStyle name="Comma 2 5 5 2 3 3 2 2" xfId="44399" xr:uid="{00000000-0005-0000-0000-000045650000}"/>
    <cellStyle name="Comma 2 5 5 2 3 3 2 3" xfId="37976" xr:uid="{00000000-0005-0000-0000-000046650000}"/>
    <cellStyle name="Comma 2 5 5 2 3 3 3" xfId="29291" xr:uid="{00000000-0005-0000-0000-000047650000}"/>
    <cellStyle name="Comma 2 5 5 2 3 3 3 2" xfId="41192" xr:uid="{00000000-0005-0000-0000-000048650000}"/>
    <cellStyle name="Comma 2 5 5 2 3 3 4" xfId="32626" xr:uid="{00000000-0005-0000-0000-000049650000}"/>
    <cellStyle name="Comma 2 5 5 2 3 3 5" xfId="34768" xr:uid="{00000000-0005-0000-0000-00004A650000}"/>
    <cellStyle name="Comma 2 5 5 2 3 4" xfId="8773" xr:uid="{00000000-0005-0000-0000-00004B650000}"/>
    <cellStyle name="Comma 2 5 5 2 3 4 2" xfId="43340" xr:uid="{00000000-0005-0000-0000-00004C650000}"/>
    <cellStyle name="Comma 2 5 5 2 3 4 3" xfId="36916" xr:uid="{00000000-0005-0000-0000-00004D650000}"/>
    <cellStyle name="Comma 2 5 5 2 3 5" xfId="21762" xr:uid="{00000000-0005-0000-0000-00004E650000}"/>
    <cellStyle name="Comma 2 5 5 2 3 5 2" xfId="40133" xr:uid="{00000000-0005-0000-0000-00004F650000}"/>
    <cellStyle name="Comma 2 5 5 2 3 6" xfId="22835" xr:uid="{00000000-0005-0000-0000-000050650000}"/>
    <cellStyle name="Comma 2 5 5 2 3 7" xfId="23911" xr:uid="{00000000-0005-0000-0000-000051650000}"/>
    <cellStyle name="Comma 2 5 5 2 3 8" xfId="27157" xr:uid="{00000000-0005-0000-0000-000052650000}"/>
    <cellStyle name="Comma 2 5 5 2 3 9" xfId="30490" xr:uid="{00000000-0005-0000-0000-000053650000}"/>
    <cellStyle name="Comma 2 5 5 2 4" xfId="1486" xr:uid="{00000000-0005-0000-0000-000054650000}"/>
    <cellStyle name="Comma 2 5 5 2 4 10" xfId="33710" xr:uid="{00000000-0005-0000-0000-000055650000}"/>
    <cellStyle name="Comma 2 5 5 2 4 2" xfId="10256" xr:uid="{00000000-0005-0000-0000-000056650000}"/>
    <cellStyle name="Comma 2 5 5 2 4 2 2" xfId="26056" xr:uid="{00000000-0005-0000-0000-000057650000}"/>
    <cellStyle name="Comma 2 5 5 2 4 2 2 2" xfId="45483" xr:uid="{00000000-0005-0000-0000-000058650000}"/>
    <cellStyle name="Comma 2 5 5 2 4 2 2 3" xfId="39060" xr:uid="{00000000-0005-0000-0000-000059650000}"/>
    <cellStyle name="Comma 2 5 5 2 4 2 3" xfId="28234" xr:uid="{00000000-0005-0000-0000-00005A650000}"/>
    <cellStyle name="Comma 2 5 5 2 4 2 3 2" xfId="42276" xr:uid="{00000000-0005-0000-0000-00005B650000}"/>
    <cellStyle name="Comma 2 5 5 2 4 2 4" xfId="31569" xr:uid="{00000000-0005-0000-0000-00005C650000}"/>
    <cellStyle name="Comma 2 5 5 2 4 2 5" xfId="35852" xr:uid="{00000000-0005-0000-0000-00005D650000}"/>
    <cellStyle name="Comma 2 5 5 2 4 3" xfId="15956" xr:uid="{00000000-0005-0000-0000-00005E650000}"/>
    <cellStyle name="Comma 2 5 5 2 4 3 2" xfId="24971" xr:uid="{00000000-0005-0000-0000-00005F650000}"/>
    <cellStyle name="Comma 2 5 5 2 4 3 2 2" xfId="44400" xr:uid="{00000000-0005-0000-0000-000060650000}"/>
    <cellStyle name="Comma 2 5 5 2 4 3 2 3" xfId="37977" xr:uid="{00000000-0005-0000-0000-000061650000}"/>
    <cellStyle name="Comma 2 5 5 2 4 3 3" xfId="29292" xr:uid="{00000000-0005-0000-0000-000062650000}"/>
    <cellStyle name="Comma 2 5 5 2 4 3 3 2" xfId="41193" xr:uid="{00000000-0005-0000-0000-000063650000}"/>
    <cellStyle name="Comma 2 5 5 2 4 3 4" xfId="32627" xr:uid="{00000000-0005-0000-0000-000064650000}"/>
    <cellStyle name="Comma 2 5 5 2 4 3 5" xfId="34769" xr:uid="{00000000-0005-0000-0000-000065650000}"/>
    <cellStyle name="Comma 2 5 5 2 4 4" xfId="8774" xr:uid="{00000000-0005-0000-0000-000066650000}"/>
    <cellStyle name="Comma 2 5 5 2 4 4 2" xfId="43341" xr:uid="{00000000-0005-0000-0000-000067650000}"/>
    <cellStyle name="Comma 2 5 5 2 4 4 3" xfId="36917" xr:uid="{00000000-0005-0000-0000-000068650000}"/>
    <cellStyle name="Comma 2 5 5 2 4 5" xfId="21763" xr:uid="{00000000-0005-0000-0000-000069650000}"/>
    <cellStyle name="Comma 2 5 5 2 4 5 2" xfId="40134" xr:uid="{00000000-0005-0000-0000-00006A650000}"/>
    <cellStyle name="Comma 2 5 5 2 4 6" xfId="22836" xr:uid="{00000000-0005-0000-0000-00006B650000}"/>
    <cellStyle name="Comma 2 5 5 2 4 7" xfId="23912" xr:uid="{00000000-0005-0000-0000-00006C650000}"/>
    <cellStyle name="Comma 2 5 5 2 4 8" xfId="27158" xr:uid="{00000000-0005-0000-0000-00006D650000}"/>
    <cellStyle name="Comma 2 5 5 2 4 9" xfId="30491" xr:uid="{00000000-0005-0000-0000-00006E650000}"/>
    <cellStyle name="Comma 2 5 5 2 5" xfId="1487" xr:uid="{00000000-0005-0000-0000-00006F650000}"/>
    <cellStyle name="Comma 2 5 5 2 5 10" xfId="33711" xr:uid="{00000000-0005-0000-0000-000070650000}"/>
    <cellStyle name="Comma 2 5 5 2 5 2" xfId="10257" xr:uid="{00000000-0005-0000-0000-000071650000}"/>
    <cellStyle name="Comma 2 5 5 2 5 2 2" xfId="26057" xr:uid="{00000000-0005-0000-0000-000072650000}"/>
    <cellStyle name="Comma 2 5 5 2 5 2 2 2" xfId="45484" xr:uid="{00000000-0005-0000-0000-000073650000}"/>
    <cellStyle name="Comma 2 5 5 2 5 2 2 3" xfId="39061" xr:uid="{00000000-0005-0000-0000-000074650000}"/>
    <cellStyle name="Comma 2 5 5 2 5 2 3" xfId="28235" xr:uid="{00000000-0005-0000-0000-000075650000}"/>
    <cellStyle name="Comma 2 5 5 2 5 2 3 2" xfId="42277" xr:uid="{00000000-0005-0000-0000-000076650000}"/>
    <cellStyle name="Comma 2 5 5 2 5 2 4" xfId="31570" xr:uid="{00000000-0005-0000-0000-000077650000}"/>
    <cellStyle name="Comma 2 5 5 2 5 2 5" xfId="35853" xr:uid="{00000000-0005-0000-0000-000078650000}"/>
    <cellStyle name="Comma 2 5 5 2 5 3" xfId="15957" xr:uid="{00000000-0005-0000-0000-000079650000}"/>
    <cellStyle name="Comma 2 5 5 2 5 3 2" xfId="24972" xr:uid="{00000000-0005-0000-0000-00007A650000}"/>
    <cellStyle name="Comma 2 5 5 2 5 3 2 2" xfId="44401" xr:uid="{00000000-0005-0000-0000-00007B650000}"/>
    <cellStyle name="Comma 2 5 5 2 5 3 2 3" xfId="37978" xr:uid="{00000000-0005-0000-0000-00007C650000}"/>
    <cellStyle name="Comma 2 5 5 2 5 3 3" xfId="29293" xr:uid="{00000000-0005-0000-0000-00007D650000}"/>
    <cellStyle name="Comma 2 5 5 2 5 3 3 2" xfId="41194" xr:uid="{00000000-0005-0000-0000-00007E650000}"/>
    <cellStyle name="Comma 2 5 5 2 5 3 4" xfId="32628" xr:uid="{00000000-0005-0000-0000-00007F650000}"/>
    <cellStyle name="Comma 2 5 5 2 5 3 5" xfId="34770" xr:uid="{00000000-0005-0000-0000-000080650000}"/>
    <cellStyle name="Comma 2 5 5 2 5 4" xfId="8775" xr:uid="{00000000-0005-0000-0000-000081650000}"/>
    <cellStyle name="Comma 2 5 5 2 5 4 2" xfId="43342" xr:uid="{00000000-0005-0000-0000-000082650000}"/>
    <cellStyle name="Comma 2 5 5 2 5 4 3" xfId="36918" xr:uid="{00000000-0005-0000-0000-000083650000}"/>
    <cellStyle name="Comma 2 5 5 2 5 5" xfId="21764" xr:uid="{00000000-0005-0000-0000-000084650000}"/>
    <cellStyle name="Comma 2 5 5 2 5 5 2" xfId="40135" xr:uid="{00000000-0005-0000-0000-000085650000}"/>
    <cellStyle name="Comma 2 5 5 2 5 6" xfId="22837" xr:uid="{00000000-0005-0000-0000-000086650000}"/>
    <cellStyle name="Comma 2 5 5 2 5 7" xfId="23913" xr:uid="{00000000-0005-0000-0000-000087650000}"/>
    <cellStyle name="Comma 2 5 5 2 5 8" xfId="27159" xr:uid="{00000000-0005-0000-0000-000088650000}"/>
    <cellStyle name="Comma 2 5 5 2 5 9" xfId="30492" xr:uid="{00000000-0005-0000-0000-000089650000}"/>
    <cellStyle name="Comma 2 5 5 2 6" xfId="1488" xr:uid="{00000000-0005-0000-0000-00008A650000}"/>
    <cellStyle name="Comma 2 5 5 2 6 10" xfId="33712" xr:uid="{00000000-0005-0000-0000-00008B650000}"/>
    <cellStyle name="Comma 2 5 5 2 6 2" xfId="10258" xr:uid="{00000000-0005-0000-0000-00008C650000}"/>
    <cellStyle name="Comma 2 5 5 2 6 2 2" xfId="26058" xr:uid="{00000000-0005-0000-0000-00008D650000}"/>
    <cellStyle name="Comma 2 5 5 2 6 2 2 2" xfId="45485" xr:uid="{00000000-0005-0000-0000-00008E650000}"/>
    <cellStyle name="Comma 2 5 5 2 6 2 2 3" xfId="39062" xr:uid="{00000000-0005-0000-0000-00008F650000}"/>
    <cellStyle name="Comma 2 5 5 2 6 2 3" xfId="28236" xr:uid="{00000000-0005-0000-0000-000090650000}"/>
    <cellStyle name="Comma 2 5 5 2 6 2 3 2" xfId="42278" xr:uid="{00000000-0005-0000-0000-000091650000}"/>
    <cellStyle name="Comma 2 5 5 2 6 2 4" xfId="31571" xr:uid="{00000000-0005-0000-0000-000092650000}"/>
    <cellStyle name="Comma 2 5 5 2 6 2 5" xfId="35854" xr:uid="{00000000-0005-0000-0000-000093650000}"/>
    <cellStyle name="Comma 2 5 5 2 6 3" xfId="15958" xr:uid="{00000000-0005-0000-0000-000094650000}"/>
    <cellStyle name="Comma 2 5 5 2 6 3 2" xfId="24973" xr:uid="{00000000-0005-0000-0000-000095650000}"/>
    <cellStyle name="Comma 2 5 5 2 6 3 2 2" xfId="44402" xr:uid="{00000000-0005-0000-0000-000096650000}"/>
    <cellStyle name="Comma 2 5 5 2 6 3 2 3" xfId="37979" xr:uid="{00000000-0005-0000-0000-000097650000}"/>
    <cellStyle name="Comma 2 5 5 2 6 3 3" xfId="29294" xr:uid="{00000000-0005-0000-0000-000098650000}"/>
    <cellStyle name="Comma 2 5 5 2 6 3 3 2" xfId="41195" xr:uid="{00000000-0005-0000-0000-000099650000}"/>
    <cellStyle name="Comma 2 5 5 2 6 3 4" xfId="32629" xr:uid="{00000000-0005-0000-0000-00009A650000}"/>
    <cellStyle name="Comma 2 5 5 2 6 3 5" xfId="34771" xr:uid="{00000000-0005-0000-0000-00009B650000}"/>
    <cellStyle name="Comma 2 5 5 2 6 4" xfId="8776" xr:uid="{00000000-0005-0000-0000-00009C650000}"/>
    <cellStyle name="Comma 2 5 5 2 6 4 2" xfId="43343" xr:uid="{00000000-0005-0000-0000-00009D650000}"/>
    <cellStyle name="Comma 2 5 5 2 6 4 3" xfId="36919" xr:uid="{00000000-0005-0000-0000-00009E650000}"/>
    <cellStyle name="Comma 2 5 5 2 6 5" xfId="21765" xr:uid="{00000000-0005-0000-0000-00009F650000}"/>
    <cellStyle name="Comma 2 5 5 2 6 5 2" xfId="40136" xr:uid="{00000000-0005-0000-0000-0000A0650000}"/>
    <cellStyle name="Comma 2 5 5 2 6 6" xfId="22838" xr:uid="{00000000-0005-0000-0000-0000A1650000}"/>
    <cellStyle name="Comma 2 5 5 2 6 7" xfId="23914" xr:uid="{00000000-0005-0000-0000-0000A2650000}"/>
    <cellStyle name="Comma 2 5 5 2 6 8" xfId="27160" xr:uid="{00000000-0005-0000-0000-0000A3650000}"/>
    <cellStyle name="Comma 2 5 5 2 6 9" xfId="30493" xr:uid="{00000000-0005-0000-0000-0000A4650000}"/>
    <cellStyle name="Comma 2 5 5 2 7" xfId="9154" xr:uid="{00000000-0005-0000-0000-0000A5650000}"/>
    <cellStyle name="Comma 2 5 5 2 7 2" xfId="25208" xr:uid="{00000000-0005-0000-0000-0000A6650000}"/>
    <cellStyle name="Comma 2 5 5 2 7 2 2" xfId="44635" xr:uid="{00000000-0005-0000-0000-0000A7650000}"/>
    <cellStyle name="Comma 2 5 5 2 7 2 3" xfId="38212" xr:uid="{00000000-0005-0000-0000-0000A8650000}"/>
    <cellStyle name="Comma 2 5 5 2 7 3" xfId="27387" xr:uid="{00000000-0005-0000-0000-0000A9650000}"/>
    <cellStyle name="Comma 2 5 5 2 7 3 2" xfId="41428" xr:uid="{00000000-0005-0000-0000-0000AA650000}"/>
    <cellStyle name="Comma 2 5 5 2 7 4" xfId="30722" xr:uid="{00000000-0005-0000-0000-0000AB650000}"/>
    <cellStyle name="Comma 2 5 5 2 7 5" xfId="35004" xr:uid="{00000000-0005-0000-0000-0000AC650000}"/>
    <cellStyle name="Comma 2 5 5 2 8" xfId="15953" xr:uid="{00000000-0005-0000-0000-0000AD650000}"/>
    <cellStyle name="Comma 2 5 5 2 8 2" xfId="24968" xr:uid="{00000000-0005-0000-0000-0000AE650000}"/>
    <cellStyle name="Comma 2 5 5 2 8 2 2" xfId="44397" xr:uid="{00000000-0005-0000-0000-0000AF650000}"/>
    <cellStyle name="Comma 2 5 5 2 8 2 3" xfId="37974" xr:uid="{00000000-0005-0000-0000-0000B0650000}"/>
    <cellStyle name="Comma 2 5 5 2 8 3" xfId="29289" xr:uid="{00000000-0005-0000-0000-0000B1650000}"/>
    <cellStyle name="Comma 2 5 5 2 8 3 2" xfId="41190" xr:uid="{00000000-0005-0000-0000-0000B2650000}"/>
    <cellStyle name="Comma 2 5 5 2 8 4" xfId="32624" xr:uid="{00000000-0005-0000-0000-0000B3650000}"/>
    <cellStyle name="Comma 2 5 5 2 8 5" xfId="34766" xr:uid="{00000000-0005-0000-0000-0000B4650000}"/>
    <cellStyle name="Comma 2 5 5 2 9" xfId="8771" xr:uid="{00000000-0005-0000-0000-0000B5650000}"/>
    <cellStyle name="Comma 2 5 5 2 9 2" xfId="42498" xr:uid="{00000000-0005-0000-0000-0000B6650000}"/>
    <cellStyle name="Comma 2 5 5 2 9 3" xfId="36074" xr:uid="{00000000-0005-0000-0000-0000B7650000}"/>
    <cellStyle name="Comma 2 5 5 3" xfId="1489" xr:uid="{00000000-0005-0000-0000-0000B8650000}"/>
    <cellStyle name="Comma 2 5 5 3 10" xfId="22839" xr:uid="{00000000-0005-0000-0000-0000B9650000}"/>
    <cellStyle name="Comma 2 5 5 3 11" xfId="23915" xr:uid="{00000000-0005-0000-0000-0000BA650000}"/>
    <cellStyle name="Comma 2 5 5 3 12" xfId="27161" xr:uid="{00000000-0005-0000-0000-0000BB650000}"/>
    <cellStyle name="Comma 2 5 5 3 13" xfId="30494" xr:uid="{00000000-0005-0000-0000-0000BC650000}"/>
    <cellStyle name="Comma 2 5 5 3 14" xfId="33713" xr:uid="{00000000-0005-0000-0000-0000BD650000}"/>
    <cellStyle name="Comma 2 5 5 3 2" xfId="1490" xr:uid="{00000000-0005-0000-0000-0000BE650000}"/>
    <cellStyle name="Comma 2 5 5 3 2 10" xfId="33714" xr:uid="{00000000-0005-0000-0000-0000BF650000}"/>
    <cellStyle name="Comma 2 5 5 3 2 2" xfId="10260" xr:uid="{00000000-0005-0000-0000-0000C0650000}"/>
    <cellStyle name="Comma 2 5 5 3 2 2 2" xfId="26060" xr:uid="{00000000-0005-0000-0000-0000C1650000}"/>
    <cellStyle name="Comma 2 5 5 3 2 2 2 2" xfId="45487" xr:uid="{00000000-0005-0000-0000-0000C2650000}"/>
    <cellStyle name="Comma 2 5 5 3 2 2 2 3" xfId="39064" xr:uid="{00000000-0005-0000-0000-0000C3650000}"/>
    <cellStyle name="Comma 2 5 5 3 2 2 3" xfId="28238" xr:uid="{00000000-0005-0000-0000-0000C4650000}"/>
    <cellStyle name="Comma 2 5 5 3 2 2 3 2" xfId="42280" xr:uid="{00000000-0005-0000-0000-0000C5650000}"/>
    <cellStyle name="Comma 2 5 5 3 2 2 4" xfId="31573" xr:uid="{00000000-0005-0000-0000-0000C6650000}"/>
    <cellStyle name="Comma 2 5 5 3 2 2 5" xfId="35856" xr:uid="{00000000-0005-0000-0000-0000C7650000}"/>
    <cellStyle name="Comma 2 5 5 3 2 3" xfId="15960" xr:uid="{00000000-0005-0000-0000-0000C8650000}"/>
    <cellStyle name="Comma 2 5 5 3 2 3 2" xfId="24975" xr:uid="{00000000-0005-0000-0000-0000C9650000}"/>
    <cellStyle name="Comma 2 5 5 3 2 3 2 2" xfId="44404" xr:uid="{00000000-0005-0000-0000-0000CA650000}"/>
    <cellStyle name="Comma 2 5 5 3 2 3 2 3" xfId="37981" xr:uid="{00000000-0005-0000-0000-0000CB650000}"/>
    <cellStyle name="Comma 2 5 5 3 2 3 3" xfId="29296" xr:uid="{00000000-0005-0000-0000-0000CC650000}"/>
    <cellStyle name="Comma 2 5 5 3 2 3 3 2" xfId="41197" xr:uid="{00000000-0005-0000-0000-0000CD650000}"/>
    <cellStyle name="Comma 2 5 5 3 2 3 4" xfId="32631" xr:uid="{00000000-0005-0000-0000-0000CE650000}"/>
    <cellStyle name="Comma 2 5 5 3 2 3 5" xfId="34773" xr:uid="{00000000-0005-0000-0000-0000CF650000}"/>
    <cellStyle name="Comma 2 5 5 3 2 4" xfId="8778" xr:uid="{00000000-0005-0000-0000-0000D0650000}"/>
    <cellStyle name="Comma 2 5 5 3 2 4 2" xfId="43345" xr:uid="{00000000-0005-0000-0000-0000D1650000}"/>
    <cellStyle name="Comma 2 5 5 3 2 4 3" xfId="36921" xr:uid="{00000000-0005-0000-0000-0000D2650000}"/>
    <cellStyle name="Comma 2 5 5 3 2 5" xfId="21767" xr:uid="{00000000-0005-0000-0000-0000D3650000}"/>
    <cellStyle name="Comma 2 5 5 3 2 5 2" xfId="40138" xr:uid="{00000000-0005-0000-0000-0000D4650000}"/>
    <cellStyle name="Comma 2 5 5 3 2 6" xfId="22840" xr:uid="{00000000-0005-0000-0000-0000D5650000}"/>
    <cellStyle name="Comma 2 5 5 3 2 7" xfId="23916" xr:uid="{00000000-0005-0000-0000-0000D6650000}"/>
    <cellStyle name="Comma 2 5 5 3 2 8" xfId="27162" xr:uid="{00000000-0005-0000-0000-0000D7650000}"/>
    <cellStyle name="Comma 2 5 5 3 2 9" xfId="30495" xr:uid="{00000000-0005-0000-0000-0000D8650000}"/>
    <cellStyle name="Comma 2 5 5 3 3" xfId="1491" xr:uid="{00000000-0005-0000-0000-0000D9650000}"/>
    <cellStyle name="Comma 2 5 5 3 3 10" xfId="33715" xr:uid="{00000000-0005-0000-0000-0000DA650000}"/>
    <cellStyle name="Comma 2 5 5 3 3 2" xfId="10261" xr:uid="{00000000-0005-0000-0000-0000DB650000}"/>
    <cellStyle name="Comma 2 5 5 3 3 2 2" xfId="26061" xr:uid="{00000000-0005-0000-0000-0000DC650000}"/>
    <cellStyle name="Comma 2 5 5 3 3 2 2 2" xfId="45488" xr:uid="{00000000-0005-0000-0000-0000DD650000}"/>
    <cellStyle name="Comma 2 5 5 3 3 2 2 3" xfId="39065" xr:uid="{00000000-0005-0000-0000-0000DE650000}"/>
    <cellStyle name="Comma 2 5 5 3 3 2 3" xfId="28239" xr:uid="{00000000-0005-0000-0000-0000DF650000}"/>
    <cellStyle name="Comma 2 5 5 3 3 2 3 2" xfId="42281" xr:uid="{00000000-0005-0000-0000-0000E0650000}"/>
    <cellStyle name="Comma 2 5 5 3 3 2 4" xfId="31574" xr:uid="{00000000-0005-0000-0000-0000E1650000}"/>
    <cellStyle name="Comma 2 5 5 3 3 2 5" xfId="35857" xr:uid="{00000000-0005-0000-0000-0000E2650000}"/>
    <cellStyle name="Comma 2 5 5 3 3 3" xfId="15961" xr:uid="{00000000-0005-0000-0000-0000E3650000}"/>
    <cellStyle name="Comma 2 5 5 3 3 3 2" xfId="24976" xr:uid="{00000000-0005-0000-0000-0000E4650000}"/>
    <cellStyle name="Comma 2 5 5 3 3 3 2 2" xfId="44405" xr:uid="{00000000-0005-0000-0000-0000E5650000}"/>
    <cellStyle name="Comma 2 5 5 3 3 3 2 3" xfId="37982" xr:uid="{00000000-0005-0000-0000-0000E6650000}"/>
    <cellStyle name="Comma 2 5 5 3 3 3 3" xfId="29297" xr:uid="{00000000-0005-0000-0000-0000E7650000}"/>
    <cellStyle name="Comma 2 5 5 3 3 3 3 2" xfId="41198" xr:uid="{00000000-0005-0000-0000-0000E8650000}"/>
    <cellStyle name="Comma 2 5 5 3 3 3 4" xfId="32632" xr:uid="{00000000-0005-0000-0000-0000E9650000}"/>
    <cellStyle name="Comma 2 5 5 3 3 3 5" xfId="34774" xr:uid="{00000000-0005-0000-0000-0000EA650000}"/>
    <cellStyle name="Comma 2 5 5 3 3 4" xfId="8779" xr:uid="{00000000-0005-0000-0000-0000EB650000}"/>
    <cellStyle name="Comma 2 5 5 3 3 4 2" xfId="43346" xr:uid="{00000000-0005-0000-0000-0000EC650000}"/>
    <cellStyle name="Comma 2 5 5 3 3 4 3" xfId="36922" xr:uid="{00000000-0005-0000-0000-0000ED650000}"/>
    <cellStyle name="Comma 2 5 5 3 3 5" xfId="21768" xr:uid="{00000000-0005-0000-0000-0000EE650000}"/>
    <cellStyle name="Comma 2 5 5 3 3 5 2" xfId="40139" xr:uid="{00000000-0005-0000-0000-0000EF650000}"/>
    <cellStyle name="Comma 2 5 5 3 3 6" xfId="22841" xr:uid="{00000000-0005-0000-0000-0000F0650000}"/>
    <cellStyle name="Comma 2 5 5 3 3 7" xfId="23917" xr:uid="{00000000-0005-0000-0000-0000F1650000}"/>
    <cellStyle name="Comma 2 5 5 3 3 8" xfId="27163" xr:uid="{00000000-0005-0000-0000-0000F2650000}"/>
    <cellStyle name="Comma 2 5 5 3 3 9" xfId="30496" xr:uid="{00000000-0005-0000-0000-0000F3650000}"/>
    <cellStyle name="Comma 2 5 5 3 4" xfId="1492" xr:uid="{00000000-0005-0000-0000-0000F4650000}"/>
    <cellStyle name="Comma 2 5 5 3 4 10" xfId="33716" xr:uid="{00000000-0005-0000-0000-0000F5650000}"/>
    <cellStyle name="Comma 2 5 5 3 4 2" xfId="10262" xr:uid="{00000000-0005-0000-0000-0000F6650000}"/>
    <cellStyle name="Comma 2 5 5 3 4 2 2" xfId="26062" xr:uid="{00000000-0005-0000-0000-0000F7650000}"/>
    <cellStyle name="Comma 2 5 5 3 4 2 2 2" xfId="45489" xr:uid="{00000000-0005-0000-0000-0000F8650000}"/>
    <cellStyle name="Comma 2 5 5 3 4 2 2 3" xfId="39066" xr:uid="{00000000-0005-0000-0000-0000F9650000}"/>
    <cellStyle name="Comma 2 5 5 3 4 2 3" xfId="28240" xr:uid="{00000000-0005-0000-0000-0000FA650000}"/>
    <cellStyle name="Comma 2 5 5 3 4 2 3 2" xfId="42282" xr:uid="{00000000-0005-0000-0000-0000FB650000}"/>
    <cellStyle name="Comma 2 5 5 3 4 2 4" xfId="31575" xr:uid="{00000000-0005-0000-0000-0000FC650000}"/>
    <cellStyle name="Comma 2 5 5 3 4 2 5" xfId="35858" xr:uid="{00000000-0005-0000-0000-0000FD650000}"/>
    <cellStyle name="Comma 2 5 5 3 4 3" xfId="15962" xr:uid="{00000000-0005-0000-0000-0000FE650000}"/>
    <cellStyle name="Comma 2 5 5 3 4 3 2" xfId="24977" xr:uid="{00000000-0005-0000-0000-0000FF650000}"/>
    <cellStyle name="Comma 2 5 5 3 4 3 2 2" xfId="44406" xr:uid="{00000000-0005-0000-0000-000000660000}"/>
    <cellStyle name="Comma 2 5 5 3 4 3 2 3" xfId="37983" xr:uid="{00000000-0005-0000-0000-000001660000}"/>
    <cellStyle name="Comma 2 5 5 3 4 3 3" xfId="29298" xr:uid="{00000000-0005-0000-0000-000002660000}"/>
    <cellStyle name="Comma 2 5 5 3 4 3 3 2" xfId="41199" xr:uid="{00000000-0005-0000-0000-000003660000}"/>
    <cellStyle name="Comma 2 5 5 3 4 3 4" xfId="32633" xr:uid="{00000000-0005-0000-0000-000004660000}"/>
    <cellStyle name="Comma 2 5 5 3 4 3 5" xfId="34775" xr:uid="{00000000-0005-0000-0000-000005660000}"/>
    <cellStyle name="Comma 2 5 5 3 4 4" xfId="8780" xr:uid="{00000000-0005-0000-0000-000006660000}"/>
    <cellStyle name="Comma 2 5 5 3 4 4 2" xfId="43347" xr:uid="{00000000-0005-0000-0000-000007660000}"/>
    <cellStyle name="Comma 2 5 5 3 4 4 3" xfId="36923" xr:uid="{00000000-0005-0000-0000-000008660000}"/>
    <cellStyle name="Comma 2 5 5 3 4 5" xfId="21769" xr:uid="{00000000-0005-0000-0000-000009660000}"/>
    <cellStyle name="Comma 2 5 5 3 4 5 2" xfId="40140" xr:uid="{00000000-0005-0000-0000-00000A660000}"/>
    <cellStyle name="Comma 2 5 5 3 4 6" xfId="22842" xr:uid="{00000000-0005-0000-0000-00000B660000}"/>
    <cellStyle name="Comma 2 5 5 3 4 7" xfId="23918" xr:uid="{00000000-0005-0000-0000-00000C660000}"/>
    <cellStyle name="Comma 2 5 5 3 4 8" xfId="27164" xr:uid="{00000000-0005-0000-0000-00000D660000}"/>
    <cellStyle name="Comma 2 5 5 3 4 9" xfId="30497" xr:uid="{00000000-0005-0000-0000-00000E660000}"/>
    <cellStyle name="Comma 2 5 5 3 5" xfId="1493" xr:uid="{00000000-0005-0000-0000-00000F660000}"/>
    <cellStyle name="Comma 2 5 5 3 5 10" xfId="33717" xr:uid="{00000000-0005-0000-0000-000010660000}"/>
    <cellStyle name="Comma 2 5 5 3 5 2" xfId="10263" xr:uid="{00000000-0005-0000-0000-000011660000}"/>
    <cellStyle name="Comma 2 5 5 3 5 2 2" xfId="26063" xr:uid="{00000000-0005-0000-0000-000012660000}"/>
    <cellStyle name="Comma 2 5 5 3 5 2 2 2" xfId="45490" xr:uid="{00000000-0005-0000-0000-000013660000}"/>
    <cellStyle name="Comma 2 5 5 3 5 2 2 3" xfId="39067" xr:uid="{00000000-0005-0000-0000-000014660000}"/>
    <cellStyle name="Comma 2 5 5 3 5 2 3" xfId="28241" xr:uid="{00000000-0005-0000-0000-000015660000}"/>
    <cellStyle name="Comma 2 5 5 3 5 2 3 2" xfId="42283" xr:uid="{00000000-0005-0000-0000-000016660000}"/>
    <cellStyle name="Comma 2 5 5 3 5 2 4" xfId="31576" xr:uid="{00000000-0005-0000-0000-000017660000}"/>
    <cellStyle name="Comma 2 5 5 3 5 2 5" xfId="35859" xr:uid="{00000000-0005-0000-0000-000018660000}"/>
    <cellStyle name="Comma 2 5 5 3 5 3" xfId="15963" xr:uid="{00000000-0005-0000-0000-000019660000}"/>
    <cellStyle name="Comma 2 5 5 3 5 3 2" xfId="24978" xr:uid="{00000000-0005-0000-0000-00001A660000}"/>
    <cellStyle name="Comma 2 5 5 3 5 3 2 2" xfId="44407" xr:uid="{00000000-0005-0000-0000-00001B660000}"/>
    <cellStyle name="Comma 2 5 5 3 5 3 2 3" xfId="37984" xr:uid="{00000000-0005-0000-0000-00001C660000}"/>
    <cellStyle name="Comma 2 5 5 3 5 3 3" xfId="29299" xr:uid="{00000000-0005-0000-0000-00001D660000}"/>
    <cellStyle name="Comma 2 5 5 3 5 3 3 2" xfId="41200" xr:uid="{00000000-0005-0000-0000-00001E660000}"/>
    <cellStyle name="Comma 2 5 5 3 5 3 4" xfId="32634" xr:uid="{00000000-0005-0000-0000-00001F660000}"/>
    <cellStyle name="Comma 2 5 5 3 5 3 5" xfId="34776" xr:uid="{00000000-0005-0000-0000-000020660000}"/>
    <cellStyle name="Comma 2 5 5 3 5 4" xfId="8781" xr:uid="{00000000-0005-0000-0000-000021660000}"/>
    <cellStyle name="Comma 2 5 5 3 5 4 2" xfId="43348" xr:uid="{00000000-0005-0000-0000-000022660000}"/>
    <cellStyle name="Comma 2 5 5 3 5 4 3" xfId="36924" xr:uid="{00000000-0005-0000-0000-000023660000}"/>
    <cellStyle name="Comma 2 5 5 3 5 5" xfId="21770" xr:uid="{00000000-0005-0000-0000-000024660000}"/>
    <cellStyle name="Comma 2 5 5 3 5 5 2" xfId="40141" xr:uid="{00000000-0005-0000-0000-000025660000}"/>
    <cellStyle name="Comma 2 5 5 3 5 6" xfId="22843" xr:uid="{00000000-0005-0000-0000-000026660000}"/>
    <cellStyle name="Comma 2 5 5 3 5 7" xfId="23919" xr:uid="{00000000-0005-0000-0000-000027660000}"/>
    <cellStyle name="Comma 2 5 5 3 5 8" xfId="27165" xr:uid="{00000000-0005-0000-0000-000028660000}"/>
    <cellStyle name="Comma 2 5 5 3 5 9" xfId="30498" xr:uid="{00000000-0005-0000-0000-000029660000}"/>
    <cellStyle name="Comma 2 5 5 3 6" xfId="10259" xr:uid="{00000000-0005-0000-0000-00002A660000}"/>
    <cellStyle name="Comma 2 5 5 3 6 2" xfId="26059" xr:uid="{00000000-0005-0000-0000-00002B660000}"/>
    <cellStyle name="Comma 2 5 5 3 6 2 2" xfId="45486" xr:uid="{00000000-0005-0000-0000-00002C660000}"/>
    <cellStyle name="Comma 2 5 5 3 6 2 3" xfId="39063" xr:uid="{00000000-0005-0000-0000-00002D660000}"/>
    <cellStyle name="Comma 2 5 5 3 6 3" xfId="28237" xr:uid="{00000000-0005-0000-0000-00002E660000}"/>
    <cellStyle name="Comma 2 5 5 3 6 3 2" xfId="42279" xr:uid="{00000000-0005-0000-0000-00002F660000}"/>
    <cellStyle name="Comma 2 5 5 3 6 4" xfId="31572" xr:uid="{00000000-0005-0000-0000-000030660000}"/>
    <cellStyle name="Comma 2 5 5 3 6 5" xfId="35855" xr:uid="{00000000-0005-0000-0000-000031660000}"/>
    <cellStyle name="Comma 2 5 5 3 7" xfId="15959" xr:uid="{00000000-0005-0000-0000-000032660000}"/>
    <cellStyle name="Comma 2 5 5 3 7 2" xfId="24974" xr:uid="{00000000-0005-0000-0000-000033660000}"/>
    <cellStyle name="Comma 2 5 5 3 7 2 2" xfId="44403" xr:uid="{00000000-0005-0000-0000-000034660000}"/>
    <cellStyle name="Comma 2 5 5 3 7 2 3" xfId="37980" xr:uid="{00000000-0005-0000-0000-000035660000}"/>
    <cellStyle name="Comma 2 5 5 3 7 3" xfId="29295" xr:uid="{00000000-0005-0000-0000-000036660000}"/>
    <cellStyle name="Comma 2 5 5 3 7 3 2" xfId="41196" xr:uid="{00000000-0005-0000-0000-000037660000}"/>
    <cellStyle name="Comma 2 5 5 3 7 4" xfId="32630" xr:uid="{00000000-0005-0000-0000-000038660000}"/>
    <cellStyle name="Comma 2 5 5 3 7 5" xfId="34772" xr:uid="{00000000-0005-0000-0000-000039660000}"/>
    <cellStyle name="Comma 2 5 5 3 8" xfId="8777" xr:uid="{00000000-0005-0000-0000-00003A660000}"/>
    <cellStyle name="Comma 2 5 5 3 8 2" xfId="43344" xr:uid="{00000000-0005-0000-0000-00003B660000}"/>
    <cellStyle name="Comma 2 5 5 3 8 3" xfId="36920" xr:uid="{00000000-0005-0000-0000-00003C660000}"/>
    <cellStyle name="Comma 2 5 5 3 9" xfId="21766" xr:uid="{00000000-0005-0000-0000-00003D660000}"/>
    <cellStyle name="Comma 2 5 5 3 9 2" xfId="40137" xr:uid="{00000000-0005-0000-0000-00003E660000}"/>
    <cellStyle name="Comma 2 5 5 4" xfId="1494" xr:uid="{00000000-0005-0000-0000-00003F660000}"/>
    <cellStyle name="Comma 2 5 5 4 10" xfId="33718" xr:uid="{00000000-0005-0000-0000-000040660000}"/>
    <cellStyle name="Comma 2 5 5 4 2" xfId="10264" xr:uid="{00000000-0005-0000-0000-000041660000}"/>
    <cellStyle name="Comma 2 5 5 4 2 2" xfId="26064" xr:uid="{00000000-0005-0000-0000-000042660000}"/>
    <cellStyle name="Comma 2 5 5 4 2 2 2" xfId="45491" xr:uid="{00000000-0005-0000-0000-000043660000}"/>
    <cellStyle name="Comma 2 5 5 4 2 2 3" xfId="39068" xr:uid="{00000000-0005-0000-0000-000044660000}"/>
    <cellStyle name="Comma 2 5 5 4 2 3" xfId="28242" xr:uid="{00000000-0005-0000-0000-000045660000}"/>
    <cellStyle name="Comma 2 5 5 4 2 3 2" xfId="42284" xr:uid="{00000000-0005-0000-0000-000046660000}"/>
    <cellStyle name="Comma 2 5 5 4 2 4" xfId="31577" xr:uid="{00000000-0005-0000-0000-000047660000}"/>
    <cellStyle name="Comma 2 5 5 4 2 5" xfId="35860" xr:uid="{00000000-0005-0000-0000-000048660000}"/>
    <cellStyle name="Comma 2 5 5 4 3" xfId="15964" xr:uid="{00000000-0005-0000-0000-000049660000}"/>
    <cellStyle name="Comma 2 5 5 4 3 2" xfId="24979" xr:uid="{00000000-0005-0000-0000-00004A660000}"/>
    <cellStyle name="Comma 2 5 5 4 3 2 2" xfId="44408" xr:uid="{00000000-0005-0000-0000-00004B660000}"/>
    <cellStyle name="Comma 2 5 5 4 3 2 3" xfId="37985" xr:uid="{00000000-0005-0000-0000-00004C660000}"/>
    <cellStyle name="Comma 2 5 5 4 3 3" xfId="29300" xr:uid="{00000000-0005-0000-0000-00004D660000}"/>
    <cellStyle name="Comma 2 5 5 4 3 3 2" xfId="41201" xr:uid="{00000000-0005-0000-0000-00004E660000}"/>
    <cellStyle name="Comma 2 5 5 4 3 4" xfId="32635" xr:uid="{00000000-0005-0000-0000-00004F660000}"/>
    <cellStyle name="Comma 2 5 5 4 3 5" xfId="34777" xr:uid="{00000000-0005-0000-0000-000050660000}"/>
    <cellStyle name="Comma 2 5 5 4 4" xfId="8782" xr:uid="{00000000-0005-0000-0000-000051660000}"/>
    <cellStyle name="Comma 2 5 5 4 4 2" xfId="43349" xr:uid="{00000000-0005-0000-0000-000052660000}"/>
    <cellStyle name="Comma 2 5 5 4 4 3" xfId="36925" xr:uid="{00000000-0005-0000-0000-000053660000}"/>
    <cellStyle name="Comma 2 5 5 4 5" xfId="21771" xr:uid="{00000000-0005-0000-0000-000054660000}"/>
    <cellStyle name="Comma 2 5 5 4 5 2" xfId="40142" xr:uid="{00000000-0005-0000-0000-000055660000}"/>
    <cellStyle name="Comma 2 5 5 4 6" xfId="22844" xr:uid="{00000000-0005-0000-0000-000056660000}"/>
    <cellStyle name="Comma 2 5 5 4 7" xfId="23920" xr:uid="{00000000-0005-0000-0000-000057660000}"/>
    <cellStyle name="Comma 2 5 5 4 8" xfId="27166" xr:uid="{00000000-0005-0000-0000-000058660000}"/>
    <cellStyle name="Comma 2 5 5 4 9" xfId="30499" xr:uid="{00000000-0005-0000-0000-000059660000}"/>
    <cellStyle name="Comma 2 5 5 5" xfId="1495" xr:uid="{00000000-0005-0000-0000-00005A660000}"/>
    <cellStyle name="Comma 2 5 5 5 10" xfId="33719" xr:uid="{00000000-0005-0000-0000-00005B660000}"/>
    <cellStyle name="Comma 2 5 5 5 2" xfId="10265" xr:uid="{00000000-0005-0000-0000-00005C660000}"/>
    <cellStyle name="Comma 2 5 5 5 2 2" xfId="26065" xr:uid="{00000000-0005-0000-0000-00005D660000}"/>
    <cellStyle name="Comma 2 5 5 5 2 2 2" xfId="45492" xr:uid="{00000000-0005-0000-0000-00005E660000}"/>
    <cellStyle name="Comma 2 5 5 5 2 2 3" xfId="39069" xr:uid="{00000000-0005-0000-0000-00005F660000}"/>
    <cellStyle name="Comma 2 5 5 5 2 3" xfId="28243" xr:uid="{00000000-0005-0000-0000-000060660000}"/>
    <cellStyle name="Comma 2 5 5 5 2 3 2" xfId="42285" xr:uid="{00000000-0005-0000-0000-000061660000}"/>
    <cellStyle name="Comma 2 5 5 5 2 4" xfId="31578" xr:uid="{00000000-0005-0000-0000-000062660000}"/>
    <cellStyle name="Comma 2 5 5 5 2 5" xfId="35861" xr:uid="{00000000-0005-0000-0000-000063660000}"/>
    <cellStyle name="Comma 2 5 5 5 3" xfId="15965" xr:uid="{00000000-0005-0000-0000-000064660000}"/>
    <cellStyle name="Comma 2 5 5 5 3 2" xfId="24980" xr:uid="{00000000-0005-0000-0000-000065660000}"/>
    <cellStyle name="Comma 2 5 5 5 3 2 2" xfId="44409" xr:uid="{00000000-0005-0000-0000-000066660000}"/>
    <cellStyle name="Comma 2 5 5 5 3 2 3" xfId="37986" xr:uid="{00000000-0005-0000-0000-000067660000}"/>
    <cellStyle name="Comma 2 5 5 5 3 3" xfId="29301" xr:uid="{00000000-0005-0000-0000-000068660000}"/>
    <cellStyle name="Comma 2 5 5 5 3 3 2" xfId="41202" xr:uid="{00000000-0005-0000-0000-000069660000}"/>
    <cellStyle name="Comma 2 5 5 5 3 4" xfId="32636" xr:uid="{00000000-0005-0000-0000-00006A660000}"/>
    <cellStyle name="Comma 2 5 5 5 3 5" xfId="34778" xr:uid="{00000000-0005-0000-0000-00006B660000}"/>
    <cellStyle name="Comma 2 5 5 5 4" xfId="8783" xr:uid="{00000000-0005-0000-0000-00006C660000}"/>
    <cellStyle name="Comma 2 5 5 5 4 2" xfId="43350" xr:uid="{00000000-0005-0000-0000-00006D660000}"/>
    <cellStyle name="Comma 2 5 5 5 4 3" xfId="36926" xr:uid="{00000000-0005-0000-0000-00006E660000}"/>
    <cellStyle name="Comma 2 5 5 5 5" xfId="21772" xr:uid="{00000000-0005-0000-0000-00006F660000}"/>
    <cellStyle name="Comma 2 5 5 5 5 2" xfId="40143" xr:uid="{00000000-0005-0000-0000-000070660000}"/>
    <cellStyle name="Comma 2 5 5 5 6" xfId="22845" xr:uid="{00000000-0005-0000-0000-000071660000}"/>
    <cellStyle name="Comma 2 5 5 5 7" xfId="23921" xr:uid="{00000000-0005-0000-0000-000072660000}"/>
    <cellStyle name="Comma 2 5 5 5 8" xfId="27167" xr:uid="{00000000-0005-0000-0000-000073660000}"/>
    <cellStyle name="Comma 2 5 5 5 9" xfId="30500" xr:uid="{00000000-0005-0000-0000-000074660000}"/>
    <cellStyle name="Comma 2 5 5 6" xfId="1496" xr:uid="{00000000-0005-0000-0000-000075660000}"/>
    <cellStyle name="Comma 2 5 5 6 10" xfId="33720" xr:uid="{00000000-0005-0000-0000-000076660000}"/>
    <cellStyle name="Comma 2 5 5 6 2" xfId="10266" xr:uid="{00000000-0005-0000-0000-000077660000}"/>
    <cellStyle name="Comma 2 5 5 6 2 2" xfId="26066" xr:uid="{00000000-0005-0000-0000-000078660000}"/>
    <cellStyle name="Comma 2 5 5 6 2 2 2" xfId="45493" xr:uid="{00000000-0005-0000-0000-000079660000}"/>
    <cellStyle name="Comma 2 5 5 6 2 2 3" xfId="39070" xr:uid="{00000000-0005-0000-0000-00007A660000}"/>
    <cellStyle name="Comma 2 5 5 6 2 3" xfId="28244" xr:uid="{00000000-0005-0000-0000-00007B660000}"/>
    <cellStyle name="Comma 2 5 5 6 2 3 2" xfId="42286" xr:uid="{00000000-0005-0000-0000-00007C660000}"/>
    <cellStyle name="Comma 2 5 5 6 2 4" xfId="31579" xr:uid="{00000000-0005-0000-0000-00007D660000}"/>
    <cellStyle name="Comma 2 5 5 6 2 5" xfId="35862" xr:uid="{00000000-0005-0000-0000-00007E660000}"/>
    <cellStyle name="Comma 2 5 5 6 3" xfId="15966" xr:uid="{00000000-0005-0000-0000-00007F660000}"/>
    <cellStyle name="Comma 2 5 5 6 3 2" xfId="24981" xr:uid="{00000000-0005-0000-0000-000080660000}"/>
    <cellStyle name="Comma 2 5 5 6 3 2 2" xfId="44410" xr:uid="{00000000-0005-0000-0000-000081660000}"/>
    <cellStyle name="Comma 2 5 5 6 3 2 3" xfId="37987" xr:uid="{00000000-0005-0000-0000-000082660000}"/>
    <cellStyle name="Comma 2 5 5 6 3 3" xfId="29302" xr:uid="{00000000-0005-0000-0000-000083660000}"/>
    <cellStyle name="Comma 2 5 5 6 3 3 2" xfId="41203" xr:uid="{00000000-0005-0000-0000-000084660000}"/>
    <cellStyle name="Comma 2 5 5 6 3 4" xfId="32637" xr:uid="{00000000-0005-0000-0000-000085660000}"/>
    <cellStyle name="Comma 2 5 5 6 3 5" xfId="34779" xr:uid="{00000000-0005-0000-0000-000086660000}"/>
    <cellStyle name="Comma 2 5 5 6 4" xfId="8784" xr:uid="{00000000-0005-0000-0000-000087660000}"/>
    <cellStyle name="Comma 2 5 5 6 4 2" xfId="43351" xr:uid="{00000000-0005-0000-0000-000088660000}"/>
    <cellStyle name="Comma 2 5 5 6 4 3" xfId="36927" xr:uid="{00000000-0005-0000-0000-000089660000}"/>
    <cellStyle name="Comma 2 5 5 6 5" xfId="21773" xr:uid="{00000000-0005-0000-0000-00008A660000}"/>
    <cellStyle name="Comma 2 5 5 6 5 2" xfId="40144" xr:uid="{00000000-0005-0000-0000-00008B660000}"/>
    <cellStyle name="Comma 2 5 5 6 6" xfId="22846" xr:uid="{00000000-0005-0000-0000-00008C660000}"/>
    <cellStyle name="Comma 2 5 5 6 7" xfId="23922" xr:uid="{00000000-0005-0000-0000-00008D660000}"/>
    <cellStyle name="Comma 2 5 5 6 8" xfId="27168" xr:uid="{00000000-0005-0000-0000-00008E660000}"/>
    <cellStyle name="Comma 2 5 5 6 9" xfId="30501" xr:uid="{00000000-0005-0000-0000-00008F660000}"/>
    <cellStyle name="Comma 2 5 5 7" xfId="1497" xr:uid="{00000000-0005-0000-0000-000090660000}"/>
    <cellStyle name="Comma 2 5 5 7 10" xfId="33721" xr:uid="{00000000-0005-0000-0000-000091660000}"/>
    <cellStyle name="Comma 2 5 5 7 2" xfId="10267" xr:uid="{00000000-0005-0000-0000-000092660000}"/>
    <cellStyle name="Comma 2 5 5 7 2 2" xfId="26067" xr:uid="{00000000-0005-0000-0000-000093660000}"/>
    <cellStyle name="Comma 2 5 5 7 2 2 2" xfId="45494" xr:uid="{00000000-0005-0000-0000-000094660000}"/>
    <cellStyle name="Comma 2 5 5 7 2 2 3" xfId="39071" xr:uid="{00000000-0005-0000-0000-000095660000}"/>
    <cellStyle name="Comma 2 5 5 7 2 3" xfId="28245" xr:uid="{00000000-0005-0000-0000-000096660000}"/>
    <cellStyle name="Comma 2 5 5 7 2 3 2" xfId="42287" xr:uid="{00000000-0005-0000-0000-000097660000}"/>
    <cellStyle name="Comma 2 5 5 7 2 4" xfId="31580" xr:uid="{00000000-0005-0000-0000-000098660000}"/>
    <cellStyle name="Comma 2 5 5 7 2 5" xfId="35863" xr:uid="{00000000-0005-0000-0000-000099660000}"/>
    <cellStyle name="Comma 2 5 5 7 3" xfId="15967" xr:uid="{00000000-0005-0000-0000-00009A660000}"/>
    <cellStyle name="Comma 2 5 5 7 3 2" xfId="24982" xr:uid="{00000000-0005-0000-0000-00009B660000}"/>
    <cellStyle name="Comma 2 5 5 7 3 2 2" xfId="44411" xr:uid="{00000000-0005-0000-0000-00009C660000}"/>
    <cellStyle name="Comma 2 5 5 7 3 2 3" xfId="37988" xr:uid="{00000000-0005-0000-0000-00009D660000}"/>
    <cellStyle name="Comma 2 5 5 7 3 3" xfId="29303" xr:uid="{00000000-0005-0000-0000-00009E660000}"/>
    <cellStyle name="Comma 2 5 5 7 3 3 2" xfId="41204" xr:uid="{00000000-0005-0000-0000-00009F660000}"/>
    <cellStyle name="Comma 2 5 5 7 3 4" xfId="32638" xr:uid="{00000000-0005-0000-0000-0000A0660000}"/>
    <cellStyle name="Comma 2 5 5 7 3 5" xfId="34780" xr:uid="{00000000-0005-0000-0000-0000A1660000}"/>
    <cellStyle name="Comma 2 5 5 7 4" xfId="8785" xr:uid="{00000000-0005-0000-0000-0000A2660000}"/>
    <cellStyle name="Comma 2 5 5 7 4 2" xfId="43352" xr:uid="{00000000-0005-0000-0000-0000A3660000}"/>
    <cellStyle name="Comma 2 5 5 7 4 3" xfId="36928" xr:uid="{00000000-0005-0000-0000-0000A4660000}"/>
    <cellStyle name="Comma 2 5 5 7 5" xfId="21774" xr:uid="{00000000-0005-0000-0000-0000A5660000}"/>
    <cellStyle name="Comma 2 5 5 7 5 2" xfId="40145" xr:uid="{00000000-0005-0000-0000-0000A6660000}"/>
    <cellStyle name="Comma 2 5 5 7 6" xfId="22847" xr:uid="{00000000-0005-0000-0000-0000A7660000}"/>
    <cellStyle name="Comma 2 5 5 7 7" xfId="23923" xr:uid="{00000000-0005-0000-0000-0000A8660000}"/>
    <cellStyle name="Comma 2 5 5 7 8" xfId="27169" xr:uid="{00000000-0005-0000-0000-0000A9660000}"/>
    <cellStyle name="Comma 2 5 5 7 9" xfId="30502" xr:uid="{00000000-0005-0000-0000-0000AA660000}"/>
    <cellStyle name="Comma 2 5 5 8" xfId="1498" xr:uid="{00000000-0005-0000-0000-0000AB660000}"/>
    <cellStyle name="Comma 2 5 5 8 10" xfId="33722" xr:uid="{00000000-0005-0000-0000-0000AC660000}"/>
    <cellStyle name="Comma 2 5 5 8 2" xfId="10268" xr:uid="{00000000-0005-0000-0000-0000AD660000}"/>
    <cellStyle name="Comma 2 5 5 8 2 2" xfId="26068" xr:uid="{00000000-0005-0000-0000-0000AE660000}"/>
    <cellStyle name="Comma 2 5 5 8 2 2 2" xfId="45495" xr:uid="{00000000-0005-0000-0000-0000AF660000}"/>
    <cellStyle name="Comma 2 5 5 8 2 2 3" xfId="39072" xr:uid="{00000000-0005-0000-0000-0000B0660000}"/>
    <cellStyle name="Comma 2 5 5 8 2 3" xfId="28246" xr:uid="{00000000-0005-0000-0000-0000B1660000}"/>
    <cellStyle name="Comma 2 5 5 8 2 3 2" xfId="42288" xr:uid="{00000000-0005-0000-0000-0000B2660000}"/>
    <cellStyle name="Comma 2 5 5 8 2 4" xfId="31581" xr:uid="{00000000-0005-0000-0000-0000B3660000}"/>
    <cellStyle name="Comma 2 5 5 8 2 5" xfId="35864" xr:uid="{00000000-0005-0000-0000-0000B4660000}"/>
    <cellStyle name="Comma 2 5 5 8 3" xfId="15968" xr:uid="{00000000-0005-0000-0000-0000B5660000}"/>
    <cellStyle name="Comma 2 5 5 8 3 2" xfId="24983" xr:uid="{00000000-0005-0000-0000-0000B6660000}"/>
    <cellStyle name="Comma 2 5 5 8 3 2 2" xfId="44412" xr:uid="{00000000-0005-0000-0000-0000B7660000}"/>
    <cellStyle name="Comma 2 5 5 8 3 2 3" xfId="37989" xr:uid="{00000000-0005-0000-0000-0000B8660000}"/>
    <cellStyle name="Comma 2 5 5 8 3 3" xfId="29304" xr:uid="{00000000-0005-0000-0000-0000B9660000}"/>
    <cellStyle name="Comma 2 5 5 8 3 3 2" xfId="41205" xr:uid="{00000000-0005-0000-0000-0000BA660000}"/>
    <cellStyle name="Comma 2 5 5 8 3 4" xfId="32639" xr:uid="{00000000-0005-0000-0000-0000BB660000}"/>
    <cellStyle name="Comma 2 5 5 8 3 5" xfId="34781" xr:uid="{00000000-0005-0000-0000-0000BC660000}"/>
    <cellStyle name="Comma 2 5 5 8 4" xfId="8786" xr:uid="{00000000-0005-0000-0000-0000BD660000}"/>
    <cellStyle name="Comma 2 5 5 8 4 2" xfId="43353" xr:uid="{00000000-0005-0000-0000-0000BE660000}"/>
    <cellStyle name="Comma 2 5 5 8 4 3" xfId="36929" xr:uid="{00000000-0005-0000-0000-0000BF660000}"/>
    <cellStyle name="Comma 2 5 5 8 5" xfId="21775" xr:uid="{00000000-0005-0000-0000-0000C0660000}"/>
    <cellStyle name="Comma 2 5 5 8 5 2" xfId="40146" xr:uid="{00000000-0005-0000-0000-0000C1660000}"/>
    <cellStyle name="Comma 2 5 5 8 6" xfId="22848" xr:uid="{00000000-0005-0000-0000-0000C2660000}"/>
    <cellStyle name="Comma 2 5 5 8 7" xfId="23924" xr:uid="{00000000-0005-0000-0000-0000C3660000}"/>
    <cellStyle name="Comma 2 5 5 8 8" xfId="27170" xr:uid="{00000000-0005-0000-0000-0000C4660000}"/>
    <cellStyle name="Comma 2 5 5 8 9" xfId="30503" xr:uid="{00000000-0005-0000-0000-0000C5660000}"/>
    <cellStyle name="Comma 2 5 5 9" xfId="9153" xr:uid="{00000000-0005-0000-0000-0000C6660000}"/>
    <cellStyle name="Comma 2 5 5 9 2" xfId="25207" xr:uid="{00000000-0005-0000-0000-0000C7660000}"/>
    <cellStyle name="Comma 2 5 5 9 2 2" xfId="44634" xr:uid="{00000000-0005-0000-0000-0000C8660000}"/>
    <cellStyle name="Comma 2 5 5 9 2 3" xfId="38211" xr:uid="{00000000-0005-0000-0000-0000C9660000}"/>
    <cellStyle name="Comma 2 5 5 9 3" xfId="27386" xr:uid="{00000000-0005-0000-0000-0000CA660000}"/>
    <cellStyle name="Comma 2 5 5 9 3 2" xfId="41427" xr:uid="{00000000-0005-0000-0000-0000CB660000}"/>
    <cellStyle name="Comma 2 5 5 9 4" xfId="30721" xr:uid="{00000000-0005-0000-0000-0000CC660000}"/>
    <cellStyle name="Comma 2 5 5 9 5" xfId="35003" xr:uid="{00000000-0005-0000-0000-0000CD660000}"/>
    <cellStyle name="Comma 2 5 6" xfId="299" xr:uid="{00000000-0005-0000-0000-0000CE660000}"/>
    <cellStyle name="Comma 2 5 6 10" xfId="21776" xr:uid="{00000000-0005-0000-0000-0000CF660000}"/>
    <cellStyle name="Comma 2 5 6 10 2" xfId="39292" xr:uid="{00000000-0005-0000-0000-0000D0660000}"/>
    <cellStyle name="Comma 2 5 6 11" xfId="22849" xr:uid="{00000000-0005-0000-0000-0000D1660000}"/>
    <cellStyle name="Comma 2 5 6 12" xfId="23070" xr:uid="{00000000-0005-0000-0000-0000D2660000}"/>
    <cellStyle name="Comma 2 5 6 13" xfId="27171" xr:uid="{00000000-0005-0000-0000-0000D3660000}"/>
    <cellStyle name="Comma 2 5 6 14" xfId="30504" xr:uid="{00000000-0005-0000-0000-0000D4660000}"/>
    <cellStyle name="Comma 2 5 6 15" xfId="32868" xr:uid="{00000000-0005-0000-0000-0000D5660000}"/>
    <cellStyle name="Comma 2 5 6 2" xfId="1499" xr:uid="{00000000-0005-0000-0000-0000D6660000}"/>
    <cellStyle name="Comma 2 5 6 2 10" xfId="33723" xr:uid="{00000000-0005-0000-0000-0000D7660000}"/>
    <cellStyle name="Comma 2 5 6 2 2" xfId="10269" xr:uid="{00000000-0005-0000-0000-0000D8660000}"/>
    <cellStyle name="Comma 2 5 6 2 2 2" xfId="26069" xr:uid="{00000000-0005-0000-0000-0000D9660000}"/>
    <cellStyle name="Comma 2 5 6 2 2 2 2" xfId="45496" xr:uid="{00000000-0005-0000-0000-0000DA660000}"/>
    <cellStyle name="Comma 2 5 6 2 2 2 3" xfId="39073" xr:uid="{00000000-0005-0000-0000-0000DB660000}"/>
    <cellStyle name="Comma 2 5 6 2 2 3" xfId="28247" xr:uid="{00000000-0005-0000-0000-0000DC660000}"/>
    <cellStyle name="Comma 2 5 6 2 2 3 2" xfId="42289" xr:uid="{00000000-0005-0000-0000-0000DD660000}"/>
    <cellStyle name="Comma 2 5 6 2 2 4" xfId="31582" xr:uid="{00000000-0005-0000-0000-0000DE660000}"/>
    <cellStyle name="Comma 2 5 6 2 2 5" xfId="35865" xr:uid="{00000000-0005-0000-0000-0000DF660000}"/>
    <cellStyle name="Comma 2 5 6 2 3" xfId="15970" xr:uid="{00000000-0005-0000-0000-0000E0660000}"/>
    <cellStyle name="Comma 2 5 6 2 3 2" xfId="24985" xr:uid="{00000000-0005-0000-0000-0000E1660000}"/>
    <cellStyle name="Comma 2 5 6 2 3 2 2" xfId="44414" xr:uid="{00000000-0005-0000-0000-0000E2660000}"/>
    <cellStyle name="Comma 2 5 6 2 3 2 3" xfId="37991" xr:uid="{00000000-0005-0000-0000-0000E3660000}"/>
    <cellStyle name="Comma 2 5 6 2 3 3" xfId="29306" xr:uid="{00000000-0005-0000-0000-0000E4660000}"/>
    <cellStyle name="Comma 2 5 6 2 3 3 2" xfId="41207" xr:uid="{00000000-0005-0000-0000-0000E5660000}"/>
    <cellStyle name="Comma 2 5 6 2 3 4" xfId="32641" xr:uid="{00000000-0005-0000-0000-0000E6660000}"/>
    <cellStyle name="Comma 2 5 6 2 3 5" xfId="34783" xr:uid="{00000000-0005-0000-0000-0000E7660000}"/>
    <cellStyle name="Comma 2 5 6 2 4" xfId="8788" xr:uid="{00000000-0005-0000-0000-0000E8660000}"/>
    <cellStyle name="Comma 2 5 6 2 4 2" xfId="43354" xr:uid="{00000000-0005-0000-0000-0000E9660000}"/>
    <cellStyle name="Comma 2 5 6 2 4 3" xfId="36930" xr:uid="{00000000-0005-0000-0000-0000EA660000}"/>
    <cellStyle name="Comma 2 5 6 2 5" xfId="21777" xr:uid="{00000000-0005-0000-0000-0000EB660000}"/>
    <cellStyle name="Comma 2 5 6 2 5 2" xfId="40147" xr:uid="{00000000-0005-0000-0000-0000EC660000}"/>
    <cellStyle name="Comma 2 5 6 2 6" xfId="22850" xr:uid="{00000000-0005-0000-0000-0000ED660000}"/>
    <cellStyle name="Comma 2 5 6 2 7" xfId="23925" xr:uid="{00000000-0005-0000-0000-0000EE660000}"/>
    <cellStyle name="Comma 2 5 6 2 8" xfId="27172" xr:uid="{00000000-0005-0000-0000-0000EF660000}"/>
    <cellStyle name="Comma 2 5 6 2 9" xfId="30505" xr:uid="{00000000-0005-0000-0000-0000F0660000}"/>
    <cellStyle name="Comma 2 5 6 3" xfId="1500" xr:uid="{00000000-0005-0000-0000-0000F1660000}"/>
    <cellStyle name="Comma 2 5 6 3 10" xfId="33724" xr:uid="{00000000-0005-0000-0000-0000F2660000}"/>
    <cellStyle name="Comma 2 5 6 3 2" xfId="10270" xr:uid="{00000000-0005-0000-0000-0000F3660000}"/>
    <cellStyle name="Comma 2 5 6 3 2 2" xfId="26070" xr:uid="{00000000-0005-0000-0000-0000F4660000}"/>
    <cellStyle name="Comma 2 5 6 3 2 2 2" xfId="45497" xr:uid="{00000000-0005-0000-0000-0000F5660000}"/>
    <cellStyle name="Comma 2 5 6 3 2 2 3" xfId="39074" xr:uid="{00000000-0005-0000-0000-0000F6660000}"/>
    <cellStyle name="Comma 2 5 6 3 2 3" xfId="28248" xr:uid="{00000000-0005-0000-0000-0000F7660000}"/>
    <cellStyle name="Comma 2 5 6 3 2 3 2" xfId="42290" xr:uid="{00000000-0005-0000-0000-0000F8660000}"/>
    <cellStyle name="Comma 2 5 6 3 2 4" xfId="31583" xr:uid="{00000000-0005-0000-0000-0000F9660000}"/>
    <cellStyle name="Comma 2 5 6 3 2 5" xfId="35866" xr:uid="{00000000-0005-0000-0000-0000FA660000}"/>
    <cellStyle name="Comma 2 5 6 3 3" xfId="15971" xr:uid="{00000000-0005-0000-0000-0000FB660000}"/>
    <cellStyle name="Comma 2 5 6 3 3 2" xfId="24986" xr:uid="{00000000-0005-0000-0000-0000FC660000}"/>
    <cellStyle name="Comma 2 5 6 3 3 2 2" xfId="44415" xr:uid="{00000000-0005-0000-0000-0000FD660000}"/>
    <cellStyle name="Comma 2 5 6 3 3 2 3" xfId="37992" xr:uid="{00000000-0005-0000-0000-0000FE660000}"/>
    <cellStyle name="Comma 2 5 6 3 3 3" xfId="29307" xr:uid="{00000000-0005-0000-0000-0000FF660000}"/>
    <cellStyle name="Comma 2 5 6 3 3 3 2" xfId="41208" xr:uid="{00000000-0005-0000-0000-000000670000}"/>
    <cellStyle name="Comma 2 5 6 3 3 4" xfId="32642" xr:uid="{00000000-0005-0000-0000-000001670000}"/>
    <cellStyle name="Comma 2 5 6 3 3 5" xfId="34784" xr:uid="{00000000-0005-0000-0000-000002670000}"/>
    <cellStyle name="Comma 2 5 6 3 4" xfId="8789" xr:uid="{00000000-0005-0000-0000-000003670000}"/>
    <cellStyle name="Comma 2 5 6 3 4 2" xfId="43355" xr:uid="{00000000-0005-0000-0000-000004670000}"/>
    <cellStyle name="Comma 2 5 6 3 4 3" xfId="36931" xr:uid="{00000000-0005-0000-0000-000005670000}"/>
    <cellStyle name="Comma 2 5 6 3 5" xfId="21778" xr:uid="{00000000-0005-0000-0000-000006670000}"/>
    <cellStyle name="Comma 2 5 6 3 5 2" xfId="40148" xr:uid="{00000000-0005-0000-0000-000007670000}"/>
    <cellStyle name="Comma 2 5 6 3 6" xfId="22851" xr:uid="{00000000-0005-0000-0000-000008670000}"/>
    <cellStyle name="Comma 2 5 6 3 7" xfId="23926" xr:uid="{00000000-0005-0000-0000-000009670000}"/>
    <cellStyle name="Comma 2 5 6 3 8" xfId="27173" xr:uid="{00000000-0005-0000-0000-00000A670000}"/>
    <cellStyle name="Comma 2 5 6 3 9" xfId="30506" xr:uid="{00000000-0005-0000-0000-00000B670000}"/>
    <cellStyle name="Comma 2 5 6 4" xfId="1501" xr:uid="{00000000-0005-0000-0000-00000C670000}"/>
    <cellStyle name="Comma 2 5 6 4 10" xfId="33725" xr:uid="{00000000-0005-0000-0000-00000D670000}"/>
    <cellStyle name="Comma 2 5 6 4 2" xfId="10271" xr:uid="{00000000-0005-0000-0000-00000E670000}"/>
    <cellStyle name="Comma 2 5 6 4 2 2" xfId="26071" xr:uid="{00000000-0005-0000-0000-00000F670000}"/>
    <cellStyle name="Comma 2 5 6 4 2 2 2" xfId="45498" xr:uid="{00000000-0005-0000-0000-000010670000}"/>
    <cellStyle name="Comma 2 5 6 4 2 2 3" xfId="39075" xr:uid="{00000000-0005-0000-0000-000011670000}"/>
    <cellStyle name="Comma 2 5 6 4 2 3" xfId="28249" xr:uid="{00000000-0005-0000-0000-000012670000}"/>
    <cellStyle name="Comma 2 5 6 4 2 3 2" xfId="42291" xr:uid="{00000000-0005-0000-0000-000013670000}"/>
    <cellStyle name="Comma 2 5 6 4 2 4" xfId="31584" xr:uid="{00000000-0005-0000-0000-000014670000}"/>
    <cellStyle name="Comma 2 5 6 4 2 5" xfId="35867" xr:uid="{00000000-0005-0000-0000-000015670000}"/>
    <cellStyle name="Comma 2 5 6 4 3" xfId="15972" xr:uid="{00000000-0005-0000-0000-000016670000}"/>
    <cellStyle name="Comma 2 5 6 4 3 2" xfId="24987" xr:uid="{00000000-0005-0000-0000-000017670000}"/>
    <cellStyle name="Comma 2 5 6 4 3 2 2" xfId="44416" xr:uid="{00000000-0005-0000-0000-000018670000}"/>
    <cellStyle name="Comma 2 5 6 4 3 2 3" xfId="37993" xr:uid="{00000000-0005-0000-0000-000019670000}"/>
    <cellStyle name="Comma 2 5 6 4 3 3" xfId="29308" xr:uid="{00000000-0005-0000-0000-00001A670000}"/>
    <cellStyle name="Comma 2 5 6 4 3 3 2" xfId="41209" xr:uid="{00000000-0005-0000-0000-00001B670000}"/>
    <cellStyle name="Comma 2 5 6 4 3 4" xfId="32643" xr:uid="{00000000-0005-0000-0000-00001C670000}"/>
    <cellStyle name="Comma 2 5 6 4 3 5" xfId="34785" xr:uid="{00000000-0005-0000-0000-00001D670000}"/>
    <cellStyle name="Comma 2 5 6 4 4" xfId="8790" xr:uid="{00000000-0005-0000-0000-00001E670000}"/>
    <cellStyle name="Comma 2 5 6 4 4 2" xfId="43356" xr:uid="{00000000-0005-0000-0000-00001F670000}"/>
    <cellStyle name="Comma 2 5 6 4 4 3" xfId="36932" xr:uid="{00000000-0005-0000-0000-000020670000}"/>
    <cellStyle name="Comma 2 5 6 4 5" xfId="21779" xr:uid="{00000000-0005-0000-0000-000021670000}"/>
    <cellStyle name="Comma 2 5 6 4 5 2" xfId="40149" xr:uid="{00000000-0005-0000-0000-000022670000}"/>
    <cellStyle name="Comma 2 5 6 4 6" xfId="22852" xr:uid="{00000000-0005-0000-0000-000023670000}"/>
    <cellStyle name="Comma 2 5 6 4 7" xfId="23927" xr:uid="{00000000-0005-0000-0000-000024670000}"/>
    <cellStyle name="Comma 2 5 6 4 8" xfId="27174" xr:uid="{00000000-0005-0000-0000-000025670000}"/>
    <cellStyle name="Comma 2 5 6 4 9" xfId="30507" xr:uid="{00000000-0005-0000-0000-000026670000}"/>
    <cellStyle name="Comma 2 5 6 5" xfId="1502" xr:uid="{00000000-0005-0000-0000-000027670000}"/>
    <cellStyle name="Comma 2 5 6 5 10" xfId="33726" xr:uid="{00000000-0005-0000-0000-000028670000}"/>
    <cellStyle name="Comma 2 5 6 5 2" xfId="10272" xr:uid="{00000000-0005-0000-0000-000029670000}"/>
    <cellStyle name="Comma 2 5 6 5 2 2" xfId="26072" xr:uid="{00000000-0005-0000-0000-00002A670000}"/>
    <cellStyle name="Comma 2 5 6 5 2 2 2" xfId="45499" xr:uid="{00000000-0005-0000-0000-00002B670000}"/>
    <cellStyle name="Comma 2 5 6 5 2 2 3" xfId="39076" xr:uid="{00000000-0005-0000-0000-00002C670000}"/>
    <cellStyle name="Comma 2 5 6 5 2 3" xfId="28250" xr:uid="{00000000-0005-0000-0000-00002D670000}"/>
    <cellStyle name="Comma 2 5 6 5 2 3 2" xfId="42292" xr:uid="{00000000-0005-0000-0000-00002E670000}"/>
    <cellStyle name="Comma 2 5 6 5 2 4" xfId="31585" xr:uid="{00000000-0005-0000-0000-00002F670000}"/>
    <cellStyle name="Comma 2 5 6 5 2 5" xfId="35868" xr:uid="{00000000-0005-0000-0000-000030670000}"/>
    <cellStyle name="Comma 2 5 6 5 3" xfId="15973" xr:uid="{00000000-0005-0000-0000-000031670000}"/>
    <cellStyle name="Comma 2 5 6 5 3 2" xfId="24988" xr:uid="{00000000-0005-0000-0000-000032670000}"/>
    <cellStyle name="Comma 2 5 6 5 3 2 2" xfId="44417" xr:uid="{00000000-0005-0000-0000-000033670000}"/>
    <cellStyle name="Comma 2 5 6 5 3 2 3" xfId="37994" xr:uid="{00000000-0005-0000-0000-000034670000}"/>
    <cellStyle name="Comma 2 5 6 5 3 3" xfId="29309" xr:uid="{00000000-0005-0000-0000-000035670000}"/>
    <cellStyle name="Comma 2 5 6 5 3 3 2" xfId="41210" xr:uid="{00000000-0005-0000-0000-000036670000}"/>
    <cellStyle name="Comma 2 5 6 5 3 4" xfId="32644" xr:uid="{00000000-0005-0000-0000-000037670000}"/>
    <cellStyle name="Comma 2 5 6 5 3 5" xfId="34786" xr:uid="{00000000-0005-0000-0000-000038670000}"/>
    <cellStyle name="Comma 2 5 6 5 4" xfId="8791" xr:uid="{00000000-0005-0000-0000-000039670000}"/>
    <cellStyle name="Comma 2 5 6 5 4 2" xfId="43357" xr:uid="{00000000-0005-0000-0000-00003A670000}"/>
    <cellStyle name="Comma 2 5 6 5 4 3" xfId="36933" xr:uid="{00000000-0005-0000-0000-00003B670000}"/>
    <cellStyle name="Comma 2 5 6 5 5" xfId="21780" xr:uid="{00000000-0005-0000-0000-00003C670000}"/>
    <cellStyle name="Comma 2 5 6 5 5 2" xfId="40150" xr:uid="{00000000-0005-0000-0000-00003D670000}"/>
    <cellStyle name="Comma 2 5 6 5 6" xfId="22853" xr:uid="{00000000-0005-0000-0000-00003E670000}"/>
    <cellStyle name="Comma 2 5 6 5 7" xfId="23928" xr:uid="{00000000-0005-0000-0000-00003F670000}"/>
    <cellStyle name="Comma 2 5 6 5 8" xfId="27175" xr:uid="{00000000-0005-0000-0000-000040670000}"/>
    <cellStyle name="Comma 2 5 6 5 9" xfId="30508" xr:uid="{00000000-0005-0000-0000-000041670000}"/>
    <cellStyle name="Comma 2 5 6 6" xfId="1503" xr:uid="{00000000-0005-0000-0000-000042670000}"/>
    <cellStyle name="Comma 2 5 6 6 10" xfId="33727" xr:uid="{00000000-0005-0000-0000-000043670000}"/>
    <cellStyle name="Comma 2 5 6 6 2" xfId="10273" xr:uid="{00000000-0005-0000-0000-000044670000}"/>
    <cellStyle name="Comma 2 5 6 6 2 2" xfId="26073" xr:uid="{00000000-0005-0000-0000-000045670000}"/>
    <cellStyle name="Comma 2 5 6 6 2 2 2" xfId="45500" xr:uid="{00000000-0005-0000-0000-000046670000}"/>
    <cellStyle name="Comma 2 5 6 6 2 2 3" xfId="39077" xr:uid="{00000000-0005-0000-0000-000047670000}"/>
    <cellStyle name="Comma 2 5 6 6 2 3" xfId="28251" xr:uid="{00000000-0005-0000-0000-000048670000}"/>
    <cellStyle name="Comma 2 5 6 6 2 3 2" xfId="42293" xr:uid="{00000000-0005-0000-0000-000049670000}"/>
    <cellStyle name="Comma 2 5 6 6 2 4" xfId="31586" xr:uid="{00000000-0005-0000-0000-00004A670000}"/>
    <cellStyle name="Comma 2 5 6 6 2 5" xfId="35869" xr:uid="{00000000-0005-0000-0000-00004B670000}"/>
    <cellStyle name="Comma 2 5 6 6 3" xfId="15974" xr:uid="{00000000-0005-0000-0000-00004C670000}"/>
    <cellStyle name="Comma 2 5 6 6 3 2" xfId="24989" xr:uid="{00000000-0005-0000-0000-00004D670000}"/>
    <cellStyle name="Comma 2 5 6 6 3 2 2" xfId="44418" xr:uid="{00000000-0005-0000-0000-00004E670000}"/>
    <cellStyle name="Comma 2 5 6 6 3 2 3" xfId="37995" xr:uid="{00000000-0005-0000-0000-00004F670000}"/>
    <cellStyle name="Comma 2 5 6 6 3 3" xfId="29310" xr:uid="{00000000-0005-0000-0000-000050670000}"/>
    <cellStyle name="Comma 2 5 6 6 3 3 2" xfId="41211" xr:uid="{00000000-0005-0000-0000-000051670000}"/>
    <cellStyle name="Comma 2 5 6 6 3 4" xfId="32645" xr:uid="{00000000-0005-0000-0000-000052670000}"/>
    <cellStyle name="Comma 2 5 6 6 3 5" xfId="34787" xr:uid="{00000000-0005-0000-0000-000053670000}"/>
    <cellStyle name="Comma 2 5 6 6 4" xfId="8792" xr:uid="{00000000-0005-0000-0000-000054670000}"/>
    <cellStyle name="Comma 2 5 6 6 4 2" xfId="43358" xr:uid="{00000000-0005-0000-0000-000055670000}"/>
    <cellStyle name="Comma 2 5 6 6 4 3" xfId="36934" xr:uid="{00000000-0005-0000-0000-000056670000}"/>
    <cellStyle name="Comma 2 5 6 6 5" xfId="21781" xr:uid="{00000000-0005-0000-0000-000057670000}"/>
    <cellStyle name="Comma 2 5 6 6 5 2" xfId="40151" xr:uid="{00000000-0005-0000-0000-000058670000}"/>
    <cellStyle name="Comma 2 5 6 6 6" xfId="22854" xr:uid="{00000000-0005-0000-0000-000059670000}"/>
    <cellStyle name="Comma 2 5 6 6 7" xfId="23929" xr:uid="{00000000-0005-0000-0000-00005A670000}"/>
    <cellStyle name="Comma 2 5 6 6 8" xfId="27176" xr:uid="{00000000-0005-0000-0000-00005B670000}"/>
    <cellStyle name="Comma 2 5 6 6 9" xfId="30509" xr:uid="{00000000-0005-0000-0000-00005C670000}"/>
    <cellStyle name="Comma 2 5 6 7" xfId="9155" xr:uid="{00000000-0005-0000-0000-00005D670000}"/>
    <cellStyle name="Comma 2 5 6 7 2" xfId="25209" xr:uid="{00000000-0005-0000-0000-00005E670000}"/>
    <cellStyle name="Comma 2 5 6 7 2 2" xfId="44636" xr:uid="{00000000-0005-0000-0000-00005F670000}"/>
    <cellStyle name="Comma 2 5 6 7 2 3" xfId="38213" xr:uid="{00000000-0005-0000-0000-000060670000}"/>
    <cellStyle name="Comma 2 5 6 7 3" xfId="27388" xr:uid="{00000000-0005-0000-0000-000061670000}"/>
    <cellStyle name="Comma 2 5 6 7 3 2" xfId="41429" xr:uid="{00000000-0005-0000-0000-000062670000}"/>
    <cellStyle name="Comma 2 5 6 7 4" xfId="30723" xr:uid="{00000000-0005-0000-0000-000063670000}"/>
    <cellStyle name="Comma 2 5 6 7 5" xfId="35005" xr:uid="{00000000-0005-0000-0000-000064670000}"/>
    <cellStyle name="Comma 2 5 6 8" xfId="15969" xr:uid="{00000000-0005-0000-0000-000065670000}"/>
    <cellStyle name="Comma 2 5 6 8 2" xfId="24984" xr:uid="{00000000-0005-0000-0000-000066670000}"/>
    <cellStyle name="Comma 2 5 6 8 2 2" xfId="44413" xr:uid="{00000000-0005-0000-0000-000067670000}"/>
    <cellStyle name="Comma 2 5 6 8 2 3" xfId="37990" xr:uid="{00000000-0005-0000-0000-000068670000}"/>
    <cellStyle name="Comma 2 5 6 8 3" xfId="29305" xr:uid="{00000000-0005-0000-0000-000069670000}"/>
    <cellStyle name="Comma 2 5 6 8 3 2" xfId="41206" xr:uid="{00000000-0005-0000-0000-00006A670000}"/>
    <cellStyle name="Comma 2 5 6 8 4" xfId="32640" xr:uid="{00000000-0005-0000-0000-00006B670000}"/>
    <cellStyle name="Comma 2 5 6 8 5" xfId="34782" xr:uid="{00000000-0005-0000-0000-00006C670000}"/>
    <cellStyle name="Comma 2 5 6 9" xfId="8787" xr:uid="{00000000-0005-0000-0000-00006D670000}"/>
    <cellStyle name="Comma 2 5 6 9 2" xfId="42499" xr:uid="{00000000-0005-0000-0000-00006E670000}"/>
    <cellStyle name="Comma 2 5 6 9 3" xfId="36075" xr:uid="{00000000-0005-0000-0000-00006F670000}"/>
    <cellStyle name="Comma 2 5 7" xfId="1504" xr:uid="{00000000-0005-0000-0000-000070670000}"/>
    <cellStyle name="Comma 2 5 7 10" xfId="22855" xr:uid="{00000000-0005-0000-0000-000071670000}"/>
    <cellStyle name="Comma 2 5 7 11" xfId="23930" xr:uid="{00000000-0005-0000-0000-000072670000}"/>
    <cellStyle name="Comma 2 5 7 12" xfId="27177" xr:uid="{00000000-0005-0000-0000-000073670000}"/>
    <cellStyle name="Comma 2 5 7 13" xfId="30510" xr:uid="{00000000-0005-0000-0000-000074670000}"/>
    <cellStyle name="Comma 2 5 7 14" xfId="33728" xr:uid="{00000000-0005-0000-0000-000075670000}"/>
    <cellStyle name="Comma 2 5 7 2" xfId="1505" xr:uid="{00000000-0005-0000-0000-000076670000}"/>
    <cellStyle name="Comma 2 5 7 2 10" xfId="33729" xr:uid="{00000000-0005-0000-0000-000077670000}"/>
    <cellStyle name="Comma 2 5 7 2 2" xfId="10275" xr:uid="{00000000-0005-0000-0000-000078670000}"/>
    <cellStyle name="Comma 2 5 7 2 2 2" xfId="26075" xr:uid="{00000000-0005-0000-0000-000079670000}"/>
    <cellStyle name="Comma 2 5 7 2 2 2 2" xfId="45502" xr:uid="{00000000-0005-0000-0000-00007A670000}"/>
    <cellStyle name="Comma 2 5 7 2 2 2 3" xfId="39079" xr:uid="{00000000-0005-0000-0000-00007B670000}"/>
    <cellStyle name="Comma 2 5 7 2 2 3" xfId="28253" xr:uid="{00000000-0005-0000-0000-00007C670000}"/>
    <cellStyle name="Comma 2 5 7 2 2 3 2" xfId="42295" xr:uid="{00000000-0005-0000-0000-00007D670000}"/>
    <cellStyle name="Comma 2 5 7 2 2 4" xfId="31588" xr:uid="{00000000-0005-0000-0000-00007E670000}"/>
    <cellStyle name="Comma 2 5 7 2 2 5" xfId="35871" xr:uid="{00000000-0005-0000-0000-00007F670000}"/>
    <cellStyle name="Comma 2 5 7 2 3" xfId="15976" xr:uid="{00000000-0005-0000-0000-000080670000}"/>
    <cellStyle name="Comma 2 5 7 2 3 2" xfId="24991" xr:uid="{00000000-0005-0000-0000-000081670000}"/>
    <cellStyle name="Comma 2 5 7 2 3 2 2" xfId="44420" xr:uid="{00000000-0005-0000-0000-000082670000}"/>
    <cellStyle name="Comma 2 5 7 2 3 2 3" xfId="37997" xr:uid="{00000000-0005-0000-0000-000083670000}"/>
    <cellStyle name="Comma 2 5 7 2 3 3" xfId="29312" xr:uid="{00000000-0005-0000-0000-000084670000}"/>
    <cellStyle name="Comma 2 5 7 2 3 3 2" xfId="41213" xr:uid="{00000000-0005-0000-0000-000085670000}"/>
    <cellStyle name="Comma 2 5 7 2 3 4" xfId="32647" xr:uid="{00000000-0005-0000-0000-000086670000}"/>
    <cellStyle name="Comma 2 5 7 2 3 5" xfId="34789" xr:uid="{00000000-0005-0000-0000-000087670000}"/>
    <cellStyle name="Comma 2 5 7 2 4" xfId="8794" xr:uid="{00000000-0005-0000-0000-000088670000}"/>
    <cellStyle name="Comma 2 5 7 2 4 2" xfId="43360" xr:uid="{00000000-0005-0000-0000-000089670000}"/>
    <cellStyle name="Comma 2 5 7 2 4 3" xfId="36936" xr:uid="{00000000-0005-0000-0000-00008A670000}"/>
    <cellStyle name="Comma 2 5 7 2 5" xfId="21783" xr:uid="{00000000-0005-0000-0000-00008B670000}"/>
    <cellStyle name="Comma 2 5 7 2 5 2" xfId="40153" xr:uid="{00000000-0005-0000-0000-00008C670000}"/>
    <cellStyle name="Comma 2 5 7 2 6" xfId="22856" xr:uid="{00000000-0005-0000-0000-00008D670000}"/>
    <cellStyle name="Comma 2 5 7 2 7" xfId="23931" xr:uid="{00000000-0005-0000-0000-00008E670000}"/>
    <cellStyle name="Comma 2 5 7 2 8" xfId="27178" xr:uid="{00000000-0005-0000-0000-00008F670000}"/>
    <cellStyle name="Comma 2 5 7 2 9" xfId="30511" xr:uid="{00000000-0005-0000-0000-000090670000}"/>
    <cellStyle name="Comma 2 5 7 3" xfId="1506" xr:uid="{00000000-0005-0000-0000-000091670000}"/>
    <cellStyle name="Comma 2 5 7 3 10" xfId="33730" xr:uid="{00000000-0005-0000-0000-000092670000}"/>
    <cellStyle name="Comma 2 5 7 3 2" xfId="10276" xr:uid="{00000000-0005-0000-0000-000093670000}"/>
    <cellStyle name="Comma 2 5 7 3 2 2" xfId="26076" xr:uid="{00000000-0005-0000-0000-000094670000}"/>
    <cellStyle name="Comma 2 5 7 3 2 2 2" xfId="45503" xr:uid="{00000000-0005-0000-0000-000095670000}"/>
    <cellStyle name="Comma 2 5 7 3 2 2 3" xfId="39080" xr:uid="{00000000-0005-0000-0000-000096670000}"/>
    <cellStyle name="Comma 2 5 7 3 2 3" xfId="28254" xr:uid="{00000000-0005-0000-0000-000097670000}"/>
    <cellStyle name="Comma 2 5 7 3 2 3 2" xfId="42296" xr:uid="{00000000-0005-0000-0000-000098670000}"/>
    <cellStyle name="Comma 2 5 7 3 2 4" xfId="31589" xr:uid="{00000000-0005-0000-0000-000099670000}"/>
    <cellStyle name="Comma 2 5 7 3 2 5" xfId="35872" xr:uid="{00000000-0005-0000-0000-00009A670000}"/>
    <cellStyle name="Comma 2 5 7 3 3" xfId="15977" xr:uid="{00000000-0005-0000-0000-00009B670000}"/>
    <cellStyle name="Comma 2 5 7 3 3 2" xfId="24992" xr:uid="{00000000-0005-0000-0000-00009C670000}"/>
    <cellStyle name="Comma 2 5 7 3 3 2 2" xfId="44421" xr:uid="{00000000-0005-0000-0000-00009D670000}"/>
    <cellStyle name="Comma 2 5 7 3 3 2 3" xfId="37998" xr:uid="{00000000-0005-0000-0000-00009E670000}"/>
    <cellStyle name="Comma 2 5 7 3 3 3" xfId="29313" xr:uid="{00000000-0005-0000-0000-00009F670000}"/>
    <cellStyle name="Comma 2 5 7 3 3 3 2" xfId="41214" xr:uid="{00000000-0005-0000-0000-0000A0670000}"/>
    <cellStyle name="Comma 2 5 7 3 3 4" xfId="32648" xr:uid="{00000000-0005-0000-0000-0000A1670000}"/>
    <cellStyle name="Comma 2 5 7 3 3 5" xfId="34790" xr:uid="{00000000-0005-0000-0000-0000A2670000}"/>
    <cellStyle name="Comma 2 5 7 3 4" xfId="8795" xr:uid="{00000000-0005-0000-0000-0000A3670000}"/>
    <cellStyle name="Comma 2 5 7 3 4 2" xfId="43361" xr:uid="{00000000-0005-0000-0000-0000A4670000}"/>
    <cellStyle name="Comma 2 5 7 3 4 3" xfId="36937" xr:uid="{00000000-0005-0000-0000-0000A5670000}"/>
    <cellStyle name="Comma 2 5 7 3 5" xfId="21784" xr:uid="{00000000-0005-0000-0000-0000A6670000}"/>
    <cellStyle name="Comma 2 5 7 3 5 2" xfId="40154" xr:uid="{00000000-0005-0000-0000-0000A7670000}"/>
    <cellStyle name="Comma 2 5 7 3 6" xfId="22857" xr:uid="{00000000-0005-0000-0000-0000A8670000}"/>
    <cellStyle name="Comma 2 5 7 3 7" xfId="23932" xr:uid="{00000000-0005-0000-0000-0000A9670000}"/>
    <cellStyle name="Comma 2 5 7 3 8" xfId="27179" xr:uid="{00000000-0005-0000-0000-0000AA670000}"/>
    <cellStyle name="Comma 2 5 7 3 9" xfId="30512" xr:uid="{00000000-0005-0000-0000-0000AB670000}"/>
    <cellStyle name="Comma 2 5 7 4" xfId="1507" xr:uid="{00000000-0005-0000-0000-0000AC670000}"/>
    <cellStyle name="Comma 2 5 7 4 10" xfId="33731" xr:uid="{00000000-0005-0000-0000-0000AD670000}"/>
    <cellStyle name="Comma 2 5 7 4 2" xfId="10277" xr:uid="{00000000-0005-0000-0000-0000AE670000}"/>
    <cellStyle name="Comma 2 5 7 4 2 2" xfId="26077" xr:uid="{00000000-0005-0000-0000-0000AF670000}"/>
    <cellStyle name="Comma 2 5 7 4 2 2 2" xfId="45504" xr:uid="{00000000-0005-0000-0000-0000B0670000}"/>
    <cellStyle name="Comma 2 5 7 4 2 2 3" xfId="39081" xr:uid="{00000000-0005-0000-0000-0000B1670000}"/>
    <cellStyle name="Comma 2 5 7 4 2 3" xfId="28255" xr:uid="{00000000-0005-0000-0000-0000B2670000}"/>
    <cellStyle name="Comma 2 5 7 4 2 3 2" xfId="42297" xr:uid="{00000000-0005-0000-0000-0000B3670000}"/>
    <cellStyle name="Comma 2 5 7 4 2 4" xfId="31590" xr:uid="{00000000-0005-0000-0000-0000B4670000}"/>
    <cellStyle name="Comma 2 5 7 4 2 5" xfId="35873" xr:uid="{00000000-0005-0000-0000-0000B5670000}"/>
    <cellStyle name="Comma 2 5 7 4 3" xfId="15978" xr:uid="{00000000-0005-0000-0000-0000B6670000}"/>
    <cellStyle name="Comma 2 5 7 4 3 2" xfId="24993" xr:uid="{00000000-0005-0000-0000-0000B7670000}"/>
    <cellStyle name="Comma 2 5 7 4 3 2 2" xfId="44422" xr:uid="{00000000-0005-0000-0000-0000B8670000}"/>
    <cellStyle name="Comma 2 5 7 4 3 2 3" xfId="37999" xr:uid="{00000000-0005-0000-0000-0000B9670000}"/>
    <cellStyle name="Comma 2 5 7 4 3 3" xfId="29314" xr:uid="{00000000-0005-0000-0000-0000BA670000}"/>
    <cellStyle name="Comma 2 5 7 4 3 3 2" xfId="41215" xr:uid="{00000000-0005-0000-0000-0000BB670000}"/>
    <cellStyle name="Comma 2 5 7 4 3 4" xfId="32649" xr:uid="{00000000-0005-0000-0000-0000BC670000}"/>
    <cellStyle name="Comma 2 5 7 4 3 5" xfId="34791" xr:uid="{00000000-0005-0000-0000-0000BD670000}"/>
    <cellStyle name="Comma 2 5 7 4 4" xfId="8796" xr:uid="{00000000-0005-0000-0000-0000BE670000}"/>
    <cellStyle name="Comma 2 5 7 4 4 2" xfId="43362" xr:uid="{00000000-0005-0000-0000-0000BF670000}"/>
    <cellStyle name="Comma 2 5 7 4 4 3" xfId="36938" xr:uid="{00000000-0005-0000-0000-0000C0670000}"/>
    <cellStyle name="Comma 2 5 7 4 5" xfId="21785" xr:uid="{00000000-0005-0000-0000-0000C1670000}"/>
    <cellStyle name="Comma 2 5 7 4 5 2" xfId="40155" xr:uid="{00000000-0005-0000-0000-0000C2670000}"/>
    <cellStyle name="Comma 2 5 7 4 6" xfId="22858" xr:uid="{00000000-0005-0000-0000-0000C3670000}"/>
    <cellStyle name="Comma 2 5 7 4 7" xfId="23933" xr:uid="{00000000-0005-0000-0000-0000C4670000}"/>
    <cellStyle name="Comma 2 5 7 4 8" xfId="27180" xr:uid="{00000000-0005-0000-0000-0000C5670000}"/>
    <cellStyle name="Comma 2 5 7 4 9" xfId="30513" xr:uid="{00000000-0005-0000-0000-0000C6670000}"/>
    <cellStyle name="Comma 2 5 7 5" xfId="1508" xr:uid="{00000000-0005-0000-0000-0000C7670000}"/>
    <cellStyle name="Comma 2 5 7 5 10" xfId="33732" xr:uid="{00000000-0005-0000-0000-0000C8670000}"/>
    <cellStyle name="Comma 2 5 7 5 2" xfId="10278" xr:uid="{00000000-0005-0000-0000-0000C9670000}"/>
    <cellStyle name="Comma 2 5 7 5 2 2" xfId="26078" xr:uid="{00000000-0005-0000-0000-0000CA670000}"/>
    <cellStyle name="Comma 2 5 7 5 2 2 2" xfId="45505" xr:uid="{00000000-0005-0000-0000-0000CB670000}"/>
    <cellStyle name="Comma 2 5 7 5 2 2 3" xfId="39082" xr:uid="{00000000-0005-0000-0000-0000CC670000}"/>
    <cellStyle name="Comma 2 5 7 5 2 3" xfId="28256" xr:uid="{00000000-0005-0000-0000-0000CD670000}"/>
    <cellStyle name="Comma 2 5 7 5 2 3 2" xfId="42298" xr:uid="{00000000-0005-0000-0000-0000CE670000}"/>
    <cellStyle name="Comma 2 5 7 5 2 4" xfId="31591" xr:uid="{00000000-0005-0000-0000-0000CF670000}"/>
    <cellStyle name="Comma 2 5 7 5 2 5" xfId="35874" xr:uid="{00000000-0005-0000-0000-0000D0670000}"/>
    <cellStyle name="Comma 2 5 7 5 3" xfId="15979" xr:uid="{00000000-0005-0000-0000-0000D1670000}"/>
    <cellStyle name="Comma 2 5 7 5 3 2" xfId="24994" xr:uid="{00000000-0005-0000-0000-0000D2670000}"/>
    <cellStyle name="Comma 2 5 7 5 3 2 2" xfId="44423" xr:uid="{00000000-0005-0000-0000-0000D3670000}"/>
    <cellStyle name="Comma 2 5 7 5 3 2 3" xfId="38000" xr:uid="{00000000-0005-0000-0000-0000D4670000}"/>
    <cellStyle name="Comma 2 5 7 5 3 3" xfId="29315" xr:uid="{00000000-0005-0000-0000-0000D5670000}"/>
    <cellStyle name="Comma 2 5 7 5 3 3 2" xfId="41216" xr:uid="{00000000-0005-0000-0000-0000D6670000}"/>
    <cellStyle name="Comma 2 5 7 5 3 4" xfId="32650" xr:uid="{00000000-0005-0000-0000-0000D7670000}"/>
    <cellStyle name="Comma 2 5 7 5 3 5" xfId="34792" xr:uid="{00000000-0005-0000-0000-0000D8670000}"/>
    <cellStyle name="Comma 2 5 7 5 4" xfId="8797" xr:uid="{00000000-0005-0000-0000-0000D9670000}"/>
    <cellStyle name="Comma 2 5 7 5 4 2" xfId="43363" xr:uid="{00000000-0005-0000-0000-0000DA670000}"/>
    <cellStyle name="Comma 2 5 7 5 4 3" xfId="36939" xr:uid="{00000000-0005-0000-0000-0000DB670000}"/>
    <cellStyle name="Comma 2 5 7 5 5" xfId="21786" xr:uid="{00000000-0005-0000-0000-0000DC670000}"/>
    <cellStyle name="Comma 2 5 7 5 5 2" xfId="40156" xr:uid="{00000000-0005-0000-0000-0000DD670000}"/>
    <cellStyle name="Comma 2 5 7 5 6" xfId="22859" xr:uid="{00000000-0005-0000-0000-0000DE670000}"/>
    <cellStyle name="Comma 2 5 7 5 7" xfId="23934" xr:uid="{00000000-0005-0000-0000-0000DF670000}"/>
    <cellStyle name="Comma 2 5 7 5 8" xfId="27181" xr:uid="{00000000-0005-0000-0000-0000E0670000}"/>
    <cellStyle name="Comma 2 5 7 5 9" xfId="30514" xr:uid="{00000000-0005-0000-0000-0000E1670000}"/>
    <cellStyle name="Comma 2 5 7 6" xfId="10274" xr:uid="{00000000-0005-0000-0000-0000E2670000}"/>
    <cellStyle name="Comma 2 5 7 6 2" xfId="26074" xr:uid="{00000000-0005-0000-0000-0000E3670000}"/>
    <cellStyle name="Comma 2 5 7 6 2 2" xfId="45501" xr:uid="{00000000-0005-0000-0000-0000E4670000}"/>
    <cellStyle name="Comma 2 5 7 6 2 3" xfId="39078" xr:uid="{00000000-0005-0000-0000-0000E5670000}"/>
    <cellStyle name="Comma 2 5 7 6 3" xfId="28252" xr:uid="{00000000-0005-0000-0000-0000E6670000}"/>
    <cellStyle name="Comma 2 5 7 6 3 2" xfId="42294" xr:uid="{00000000-0005-0000-0000-0000E7670000}"/>
    <cellStyle name="Comma 2 5 7 6 4" xfId="31587" xr:uid="{00000000-0005-0000-0000-0000E8670000}"/>
    <cellStyle name="Comma 2 5 7 6 5" xfId="35870" xr:uid="{00000000-0005-0000-0000-0000E9670000}"/>
    <cellStyle name="Comma 2 5 7 7" xfId="15975" xr:uid="{00000000-0005-0000-0000-0000EA670000}"/>
    <cellStyle name="Comma 2 5 7 7 2" xfId="24990" xr:uid="{00000000-0005-0000-0000-0000EB670000}"/>
    <cellStyle name="Comma 2 5 7 7 2 2" xfId="44419" xr:uid="{00000000-0005-0000-0000-0000EC670000}"/>
    <cellStyle name="Comma 2 5 7 7 2 3" xfId="37996" xr:uid="{00000000-0005-0000-0000-0000ED670000}"/>
    <cellStyle name="Comma 2 5 7 7 3" xfId="29311" xr:uid="{00000000-0005-0000-0000-0000EE670000}"/>
    <cellStyle name="Comma 2 5 7 7 3 2" xfId="41212" xr:uid="{00000000-0005-0000-0000-0000EF670000}"/>
    <cellStyle name="Comma 2 5 7 7 4" xfId="32646" xr:uid="{00000000-0005-0000-0000-0000F0670000}"/>
    <cellStyle name="Comma 2 5 7 7 5" xfId="34788" xr:uid="{00000000-0005-0000-0000-0000F1670000}"/>
    <cellStyle name="Comma 2 5 7 8" xfId="8793" xr:uid="{00000000-0005-0000-0000-0000F2670000}"/>
    <cellStyle name="Comma 2 5 7 8 2" xfId="43359" xr:uid="{00000000-0005-0000-0000-0000F3670000}"/>
    <cellStyle name="Comma 2 5 7 8 3" xfId="36935" xr:uid="{00000000-0005-0000-0000-0000F4670000}"/>
    <cellStyle name="Comma 2 5 7 9" xfId="21782" xr:uid="{00000000-0005-0000-0000-0000F5670000}"/>
    <cellStyle name="Comma 2 5 7 9 2" xfId="40152" xr:uid="{00000000-0005-0000-0000-0000F6670000}"/>
    <cellStyle name="Comma 2 5 8" xfId="1509" xr:uid="{00000000-0005-0000-0000-0000F7670000}"/>
    <cellStyle name="Comma 2 5 8 10" xfId="22860" xr:uid="{00000000-0005-0000-0000-0000F8670000}"/>
    <cellStyle name="Comma 2 5 8 11" xfId="23935" xr:uid="{00000000-0005-0000-0000-0000F9670000}"/>
    <cellStyle name="Comma 2 5 8 12" xfId="27182" xr:uid="{00000000-0005-0000-0000-0000FA670000}"/>
    <cellStyle name="Comma 2 5 8 13" xfId="30515" xr:uid="{00000000-0005-0000-0000-0000FB670000}"/>
    <cellStyle name="Comma 2 5 8 14" xfId="33733" xr:uid="{00000000-0005-0000-0000-0000FC670000}"/>
    <cellStyle name="Comma 2 5 8 2" xfId="1510" xr:uid="{00000000-0005-0000-0000-0000FD670000}"/>
    <cellStyle name="Comma 2 5 8 2 10" xfId="33734" xr:uid="{00000000-0005-0000-0000-0000FE670000}"/>
    <cellStyle name="Comma 2 5 8 2 2" xfId="10280" xr:uid="{00000000-0005-0000-0000-0000FF670000}"/>
    <cellStyle name="Comma 2 5 8 2 2 2" xfId="26080" xr:uid="{00000000-0005-0000-0000-000000680000}"/>
    <cellStyle name="Comma 2 5 8 2 2 2 2" xfId="45507" xr:uid="{00000000-0005-0000-0000-000001680000}"/>
    <cellStyle name="Comma 2 5 8 2 2 2 3" xfId="39084" xr:uid="{00000000-0005-0000-0000-000002680000}"/>
    <cellStyle name="Comma 2 5 8 2 2 3" xfId="28258" xr:uid="{00000000-0005-0000-0000-000003680000}"/>
    <cellStyle name="Comma 2 5 8 2 2 3 2" xfId="42300" xr:uid="{00000000-0005-0000-0000-000004680000}"/>
    <cellStyle name="Comma 2 5 8 2 2 4" xfId="31593" xr:uid="{00000000-0005-0000-0000-000005680000}"/>
    <cellStyle name="Comma 2 5 8 2 2 5" xfId="35876" xr:uid="{00000000-0005-0000-0000-000006680000}"/>
    <cellStyle name="Comma 2 5 8 2 3" xfId="15981" xr:uid="{00000000-0005-0000-0000-000007680000}"/>
    <cellStyle name="Comma 2 5 8 2 3 2" xfId="24996" xr:uid="{00000000-0005-0000-0000-000008680000}"/>
    <cellStyle name="Comma 2 5 8 2 3 2 2" xfId="44425" xr:uid="{00000000-0005-0000-0000-000009680000}"/>
    <cellStyle name="Comma 2 5 8 2 3 2 3" xfId="38002" xr:uid="{00000000-0005-0000-0000-00000A680000}"/>
    <cellStyle name="Comma 2 5 8 2 3 3" xfId="29317" xr:uid="{00000000-0005-0000-0000-00000B680000}"/>
    <cellStyle name="Comma 2 5 8 2 3 3 2" xfId="41218" xr:uid="{00000000-0005-0000-0000-00000C680000}"/>
    <cellStyle name="Comma 2 5 8 2 3 4" xfId="32652" xr:uid="{00000000-0005-0000-0000-00000D680000}"/>
    <cellStyle name="Comma 2 5 8 2 3 5" xfId="34794" xr:uid="{00000000-0005-0000-0000-00000E680000}"/>
    <cellStyle name="Comma 2 5 8 2 4" xfId="8799" xr:uid="{00000000-0005-0000-0000-00000F680000}"/>
    <cellStyle name="Comma 2 5 8 2 4 2" xfId="43365" xr:uid="{00000000-0005-0000-0000-000010680000}"/>
    <cellStyle name="Comma 2 5 8 2 4 3" xfId="36941" xr:uid="{00000000-0005-0000-0000-000011680000}"/>
    <cellStyle name="Comma 2 5 8 2 5" xfId="21788" xr:uid="{00000000-0005-0000-0000-000012680000}"/>
    <cellStyle name="Comma 2 5 8 2 5 2" xfId="40158" xr:uid="{00000000-0005-0000-0000-000013680000}"/>
    <cellStyle name="Comma 2 5 8 2 6" xfId="22861" xr:uid="{00000000-0005-0000-0000-000014680000}"/>
    <cellStyle name="Comma 2 5 8 2 7" xfId="23936" xr:uid="{00000000-0005-0000-0000-000015680000}"/>
    <cellStyle name="Comma 2 5 8 2 8" xfId="27183" xr:uid="{00000000-0005-0000-0000-000016680000}"/>
    <cellStyle name="Comma 2 5 8 2 9" xfId="30516" xr:uid="{00000000-0005-0000-0000-000017680000}"/>
    <cellStyle name="Comma 2 5 8 3" xfId="1511" xr:uid="{00000000-0005-0000-0000-000018680000}"/>
    <cellStyle name="Comma 2 5 8 3 10" xfId="33735" xr:uid="{00000000-0005-0000-0000-000019680000}"/>
    <cellStyle name="Comma 2 5 8 3 2" xfId="10281" xr:uid="{00000000-0005-0000-0000-00001A680000}"/>
    <cellStyle name="Comma 2 5 8 3 2 2" xfId="26081" xr:uid="{00000000-0005-0000-0000-00001B680000}"/>
    <cellStyle name="Comma 2 5 8 3 2 2 2" xfId="45508" xr:uid="{00000000-0005-0000-0000-00001C680000}"/>
    <cellStyle name="Comma 2 5 8 3 2 2 3" xfId="39085" xr:uid="{00000000-0005-0000-0000-00001D680000}"/>
    <cellStyle name="Comma 2 5 8 3 2 3" xfId="28259" xr:uid="{00000000-0005-0000-0000-00001E680000}"/>
    <cellStyle name="Comma 2 5 8 3 2 3 2" xfId="42301" xr:uid="{00000000-0005-0000-0000-00001F680000}"/>
    <cellStyle name="Comma 2 5 8 3 2 4" xfId="31594" xr:uid="{00000000-0005-0000-0000-000020680000}"/>
    <cellStyle name="Comma 2 5 8 3 2 5" xfId="35877" xr:uid="{00000000-0005-0000-0000-000021680000}"/>
    <cellStyle name="Comma 2 5 8 3 3" xfId="15982" xr:uid="{00000000-0005-0000-0000-000022680000}"/>
    <cellStyle name="Comma 2 5 8 3 3 2" xfId="24997" xr:uid="{00000000-0005-0000-0000-000023680000}"/>
    <cellStyle name="Comma 2 5 8 3 3 2 2" xfId="44426" xr:uid="{00000000-0005-0000-0000-000024680000}"/>
    <cellStyle name="Comma 2 5 8 3 3 2 3" xfId="38003" xr:uid="{00000000-0005-0000-0000-000025680000}"/>
    <cellStyle name="Comma 2 5 8 3 3 3" xfId="29318" xr:uid="{00000000-0005-0000-0000-000026680000}"/>
    <cellStyle name="Comma 2 5 8 3 3 3 2" xfId="41219" xr:uid="{00000000-0005-0000-0000-000027680000}"/>
    <cellStyle name="Comma 2 5 8 3 3 4" xfId="32653" xr:uid="{00000000-0005-0000-0000-000028680000}"/>
    <cellStyle name="Comma 2 5 8 3 3 5" xfId="34795" xr:uid="{00000000-0005-0000-0000-000029680000}"/>
    <cellStyle name="Comma 2 5 8 3 4" xfId="8800" xr:uid="{00000000-0005-0000-0000-00002A680000}"/>
    <cellStyle name="Comma 2 5 8 3 4 2" xfId="43366" xr:uid="{00000000-0005-0000-0000-00002B680000}"/>
    <cellStyle name="Comma 2 5 8 3 4 3" xfId="36942" xr:uid="{00000000-0005-0000-0000-00002C680000}"/>
    <cellStyle name="Comma 2 5 8 3 5" xfId="21789" xr:uid="{00000000-0005-0000-0000-00002D680000}"/>
    <cellStyle name="Comma 2 5 8 3 5 2" xfId="40159" xr:uid="{00000000-0005-0000-0000-00002E680000}"/>
    <cellStyle name="Comma 2 5 8 3 6" xfId="22862" xr:uid="{00000000-0005-0000-0000-00002F680000}"/>
    <cellStyle name="Comma 2 5 8 3 7" xfId="23937" xr:uid="{00000000-0005-0000-0000-000030680000}"/>
    <cellStyle name="Comma 2 5 8 3 8" xfId="27184" xr:uid="{00000000-0005-0000-0000-000031680000}"/>
    <cellStyle name="Comma 2 5 8 3 9" xfId="30517" xr:uid="{00000000-0005-0000-0000-000032680000}"/>
    <cellStyle name="Comma 2 5 8 4" xfId="1512" xr:uid="{00000000-0005-0000-0000-000033680000}"/>
    <cellStyle name="Comma 2 5 8 4 10" xfId="33736" xr:uid="{00000000-0005-0000-0000-000034680000}"/>
    <cellStyle name="Comma 2 5 8 4 2" xfId="10282" xr:uid="{00000000-0005-0000-0000-000035680000}"/>
    <cellStyle name="Comma 2 5 8 4 2 2" xfId="26082" xr:uid="{00000000-0005-0000-0000-000036680000}"/>
    <cellStyle name="Comma 2 5 8 4 2 2 2" xfId="45509" xr:uid="{00000000-0005-0000-0000-000037680000}"/>
    <cellStyle name="Comma 2 5 8 4 2 2 3" xfId="39086" xr:uid="{00000000-0005-0000-0000-000038680000}"/>
    <cellStyle name="Comma 2 5 8 4 2 3" xfId="28260" xr:uid="{00000000-0005-0000-0000-000039680000}"/>
    <cellStyle name="Comma 2 5 8 4 2 3 2" xfId="42302" xr:uid="{00000000-0005-0000-0000-00003A680000}"/>
    <cellStyle name="Comma 2 5 8 4 2 4" xfId="31595" xr:uid="{00000000-0005-0000-0000-00003B680000}"/>
    <cellStyle name="Comma 2 5 8 4 2 5" xfId="35878" xr:uid="{00000000-0005-0000-0000-00003C680000}"/>
    <cellStyle name="Comma 2 5 8 4 3" xfId="15983" xr:uid="{00000000-0005-0000-0000-00003D680000}"/>
    <cellStyle name="Comma 2 5 8 4 3 2" xfId="24998" xr:uid="{00000000-0005-0000-0000-00003E680000}"/>
    <cellStyle name="Comma 2 5 8 4 3 2 2" xfId="44427" xr:uid="{00000000-0005-0000-0000-00003F680000}"/>
    <cellStyle name="Comma 2 5 8 4 3 2 3" xfId="38004" xr:uid="{00000000-0005-0000-0000-000040680000}"/>
    <cellStyle name="Comma 2 5 8 4 3 3" xfId="29319" xr:uid="{00000000-0005-0000-0000-000041680000}"/>
    <cellStyle name="Comma 2 5 8 4 3 3 2" xfId="41220" xr:uid="{00000000-0005-0000-0000-000042680000}"/>
    <cellStyle name="Comma 2 5 8 4 3 4" xfId="32654" xr:uid="{00000000-0005-0000-0000-000043680000}"/>
    <cellStyle name="Comma 2 5 8 4 3 5" xfId="34796" xr:uid="{00000000-0005-0000-0000-000044680000}"/>
    <cellStyle name="Comma 2 5 8 4 4" xfId="8801" xr:uid="{00000000-0005-0000-0000-000045680000}"/>
    <cellStyle name="Comma 2 5 8 4 4 2" xfId="43367" xr:uid="{00000000-0005-0000-0000-000046680000}"/>
    <cellStyle name="Comma 2 5 8 4 4 3" xfId="36943" xr:uid="{00000000-0005-0000-0000-000047680000}"/>
    <cellStyle name="Comma 2 5 8 4 5" xfId="21790" xr:uid="{00000000-0005-0000-0000-000048680000}"/>
    <cellStyle name="Comma 2 5 8 4 5 2" xfId="40160" xr:uid="{00000000-0005-0000-0000-000049680000}"/>
    <cellStyle name="Comma 2 5 8 4 6" xfId="22863" xr:uid="{00000000-0005-0000-0000-00004A680000}"/>
    <cellStyle name="Comma 2 5 8 4 7" xfId="23938" xr:uid="{00000000-0005-0000-0000-00004B680000}"/>
    <cellStyle name="Comma 2 5 8 4 8" xfId="27185" xr:uid="{00000000-0005-0000-0000-00004C680000}"/>
    <cellStyle name="Comma 2 5 8 4 9" xfId="30518" xr:uid="{00000000-0005-0000-0000-00004D680000}"/>
    <cellStyle name="Comma 2 5 8 5" xfId="1513" xr:uid="{00000000-0005-0000-0000-00004E680000}"/>
    <cellStyle name="Comma 2 5 8 5 10" xfId="33737" xr:uid="{00000000-0005-0000-0000-00004F680000}"/>
    <cellStyle name="Comma 2 5 8 5 2" xfId="10283" xr:uid="{00000000-0005-0000-0000-000050680000}"/>
    <cellStyle name="Comma 2 5 8 5 2 2" xfId="26083" xr:uid="{00000000-0005-0000-0000-000051680000}"/>
    <cellStyle name="Comma 2 5 8 5 2 2 2" xfId="45510" xr:uid="{00000000-0005-0000-0000-000052680000}"/>
    <cellStyle name="Comma 2 5 8 5 2 2 3" xfId="39087" xr:uid="{00000000-0005-0000-0000-000053680000}"/>
    <cellStyle name="Comma 2 5 8 5 2 3" xfId="28261" xr:uid="{00000000-0005-0000-0000-000054680000}"/>
    <cellStyle name="Comma 2 5 8 5 2 3 2" xfId="42303" xr:uid="{00000000-0005-0000-0000-000055680000}"/>
    <cellStyle name="Comma 2 5 8 5 2 4" xfId="31596" xr:uid="{00000000-0005-0000-0000-000056680000}"/>
    <cellStyle name="Comma 2 5 8 5 2 5" xfId="35879" xr:uid="{00000000-0005-0000-0000-000057680000}"/>
    <cellStyle name="Comma 2 5 8 5 3" xfId="15984" xr:uid="{00000000-0005-0000-0000-000058680000}"/>
    <cellStyle name="Comma 2 5 8 5 3 2" xfId="24999" xr:uid="{00000000-0005-0000-0000-000059680000}"/>
    <cellStyle name="Comma 2 5 8 5 3 2 2" xfId="44428" xr:uid="{00000000-0005-0000-0000-00005A680000}"/>
    <cellStyle name="Comma 2 5 8 5 3 2 3" xfId="38005" xr:uid="{00000000-0005-0000-0000-00005B680000}"/>
    <cellStyle name="Comma 2 5 8 5 3 3" xfId="29320" xr:uid="{00000000-0005-0000-0000-00005C680000}"/>
    <cellStyle name="Comma 2 5 8 5 3 3 2" xfId="41221" xr:uid="{00000000-0005-0000-0000-00005D680000}"/>
    <cellStyle name="Comma 2 5 8 5 3 4" xfId="32655" xr:uid="{00000000-0005-0000-0000-00005E680000}"/>
    <cellStyle name="Comma 2 5 8 5 3 5" xfId="34797" xr:uid="{00000000-0005-0000-0000-00005F680000}"/>
    <cellStyle name="Comma 2 5 8 5 4" xfId="8802" xr:uid="{00000000-0005-0000-0000-000060680000}"/>
    <cellStyle name="Comma 2 5 8 5 4 2" xfId="43368" xr:uid="{00000000-0005-0000-0000-000061680000}"/>
    <cellStyle name="Comma 2 5 8 5 4 3" xfId="36944" xr:uid="{00000000-0005-0000-0000-000062680000}"/>
    <cellStyle name="Comma 2 5 8 5 5" xfId="21791" xr:uid="{00000000-0005-0000-0000-000063680000}"/>
    <cellStyle name="Comma 2 5 8 5 5 2" xfId="40161" xr:uid="{00000000-0005-0000-0000-000064680000}"/>
    <cellStyle name="Comma 2 5 8 5 6" xfId="22864" xr:uid="{00000000-0005-0000-0000-000065680000}"/>
    <cellStyle name="Comma 2 5 8 5 7" xfId="23939" xr:uid="{00000000-0005-0000-0000-000066680000}"/>
    <cellStyle name="Comma 2 5 8 5 8" xfId="27186" xr:uid="{00000000-0005-0000-0000-000067680000}"/>
    <cellStyle name="Comma 2 5 8 5 9" xfId="30519" xr:uid="{00000000-0005-0000-0000-000068680000}"/>
    <cellStyle name="Comma 2 5 8 6" xfId="10279" xr:uid="{00000000-0005-0000-0000-000069680000}"/>
    <cellStyle name="Comma 2 5 8 6 2" xfId="26079" xr:uid="{00000000-0005-0000-0000-00006A680000}"/>
    <cellStyle name="Comma 2 5 8 6 2 2" xfId="45506" xr:uid="{00000000-0005-0000-0000-00006B680000}"/>
    <cellStyle name="Comma 2 5 8 6 2 3" xfId="39083" xr:uid="{00000000-0005-0000-0000-00006C680000}"/>
    <cellStyle name="Comma 2 5 8 6 3" xfId="28257" xr:uid="{00000000-0005-0000-0000-00006D680000}"/>
    <cellStyle name="Comma 2 5 8 6 3 2" xfId="42299" xr:uid="{00000000-0005-0000-0000-00006E680000}"/>
    <cellStyle name="Comma 2 5 8 6 4" xfId="31592" xr:uid="{00000000-0005-0000-0000-00006F680000}"/>
    <cellStyle name="Comma 2 5 8 6 5" xfId="35875" xr:uid="{00000000-0005-0000-0000-000070680000}"/>
    <cellStyle name="Comma 2 5 8 7" xfId="15980" xr:uid="{00000000-0005-0000-0000-000071680000}"/>
    <cellStyle name="Comma 2 5 8 7 2" xfId="24995" xr:uid="{00000000-0005-0000-0000-000072680000}"/>
    <cellStyle name="Comma 2 5 8 7 2 2" xfId="44424" xr:uid="{00000000-0005-0000-0000-000073680000}"/>
    <cellStyle name="Comma 2 5 8 7 2 3" xfId="38001" xr:uid="{00000000-0005-0000-0000-000074680000}"/>
    <cellStyle name="Comma 2 5 8 7 3" xfId="29316" xr:uid="{00000000-0005-0000-0000-000075680000}"/>
    <cellStyle name="Comma 2 5 8 7 3 2" xfId="41217" xr:uid="{00000000-0005-0000-0000-000076680000}"/>
    <cellStyle name="Comma 2 5 8 7 4" xfId="32651" xr:uid="{00000000-0005-0000-0000-000077680000}"/>
    <cellStyle name="Comma 2 5 8 7 5" xfId="34793" xr:uid="{00000000-0005-0000-0000-000078680000}"/>
    <cellStyle name="Comma 2 5 8 8" xfId="8798" xr:uid="{00000000-0005-0000-0000-000079680000}"/>
    <cellStyle name="Comma 2 5 8 8 2" xfId="43364" xr:uid="{00000000-0005-0000-0000-00007A680000}"/>
    <cellStyle name="Comma 2 5 8 8 3" xfId="36940" xr:uid="{00000000-0005-0000-0000-00007B680000}"/>
    <cellStyle name="Comma 2 5 8 9" xfId="21787" xr:uid="{00000000-0005-0000-0000-00007C680000}"/>
    <cellStyle name="Comma 2 5 8 9 2" xfId="40157" xr:uid="{00000000-0005-0000-0000-00007D680000}"/>
    <cellStyle name="Comma 2 5 9" xfId="1514" xr:uid="{00000000-0005-0000-0000-00007E680000}"/>
    <cellStyle name="Comma 2 5 9 10" xfId="33738" xr:uid="{00000000-0005-0000-0000-00007F680000}"/>
    <cellStyle name="Comma 2 5 9 2" xfId="10284" xr:uid="{00000000-0005-0000-0000-000080680000}"/>
    <cellStyle name="Comma 2 5 9 2 2" xfId="26084" xr:uid="{00000000-0005-0000-0000-000081680000}"/>
    <cellStyle name="Comma 2 5 9 2 2 2" xfId="45511" xr:uid="{00000000-0005-0000-0000-000082680000}"/>
    <cellStyle name="Comma 2 5 9 2 2 3" xfId="39088" xr:uid="{00000000-0005-0000-0000-000083680000}"/>
    <cellStyle name="Comma 2 5 9 2 3" xfId="28262" xr:uid="{00000000-0005-0000-0000-000084680000}"/>
    <cellStyle name="Comma 2 5 9 2 3 2" xfId="42304" xr:uid="{00000000-0005-0000-0000-000085680000}"/>
    <cellStyle name="Comma 2 5 9 2 4" xfId="31597" xr:uid="{00000000-0005-0000-0000-000086680000}"/>
    <cellStyle name="Comma 2 5 9 2 5" xfId="35880" xr:uid="{00000000-0005-0000-0000-000087680000}"/>
    <cellStyle name="Comma 2 5 9 3" xfId="15985" xr:uid="{00000000-0005-0000-0000-000088680000}"/>
    <cellStyle name="Comma 2 5 9 3 2" xfId="25000" xr:uid="{00000000-0005-0000-0000-000089680000}"/>
    <cellStyle name="Comma 2 5 9 3 2 2" xfId="44429" xr:uid="{00000000-0005-0000-0000-00008A680000}"/>
    <cellStyle name="Comma 2 5 9 3 2 3" xfId="38006" xr:uid="{00000000-0005-0000-0000-00008B680000}"/>
    <cellStyle name="Comma 2 5 9 3 3" xfId="29321" xr:uid="{00000000-0005-0000-0000-00008C680000}"/>
    <cellStyle name="Comma 2 5 9 3 3 2" xfId="41222" xr:uid="{00000000-0005-0000-0000-00008D680000}"/>
    <cellStyle name="Comma 2 5 9 3 4" xfId="32656" xr:uid="{00000000-0005-0000-0000-00008E680000}"/>
    <cellStyle name="Comma 2 5 9 3 5" xfId="34798" xr:uid="{00000000-0005-0000-0000-00008F680000}"/>
    <cellStyle name="Comma 2 5 9 4" xfId="8803" xr:uid="{00000000-0005-0000-0000-000090680000}"/>
    <cellStyle name="Comma 2 5 9 4 2" xfId="43369" xr:uid="{00000000-0005-0000-0000-000091680000}"/>
    <cellStyle name="Comma 2 5 9 4 3" xfId="36945" xr:uid="{00000000-0005-0000-0000-000092680000}"/>
    <cellStyle name="Comma 2 5 9 5" xfId="21792" xr:uid="{00000000-0005-0000-0000-000093680000}"/>
    <cellStyle name="Comma 2 5 9 5 2" xfId="40162" xr:uid="{00000000-0005-0000-0000-000094680000}"/>
    <cellStyle name="Comma 2 5 9 6" xfId="22865" xr:uid="{00000000-0005-0000-0000-000095680000}"/>
    <cellStyle name="Comma 2 5 9 7" xfId="23940" xr:uid="{00000000-0005-0000-0000-000096680000}"/>
    <cellStyle name="Comma 2 5 9 8" xfId="27187" xr:uid="{00000000-0005-0000-0000-000097680000}"/>
    <cellStyle name="Comma 2 5 9 9" xfId="30520" xr:uid="{00000000-0005-0000-0000-000098680000}"/>
    <cellStyle name="Comma 2 6" xfId="250" xr:uid="{00000000-0005-0000-0000-000099680000}"/>
    <cellStyle name="Comma 2 6 10" xfId="32822" xr:uid="{00000000-0005-0000-0000-00009A680000}"/>
    <cellStyle name="Comma 2 6 2" xfId="9109" xr:uid="{00000000-0005-0000-0000-00009B680000}"/>
    <cellStyle name="Comma 2 6 2 2" xfId="25163" xr:uid="{00000000-0005-0000-0000-00009C680000}"/>
    <cellStyle name="Comma 2 6 2 2 2" xfId="44590" xr:uid="{00000000-0005-0000-0000-00009D680000}"/>
    <cellStyle name="Comma 2 6 2 2 3" xfId="38167" xr:uid="{00000000-0005-0000-0000-00009E680000}"/>
    <cellStyle name="Comma 2 6 2 3" xfId="27342" xr:uid="{00000000-0005-0000-0000-00009F680000}"/>
    <cellStyle name="Comma 2 6 2 3 2" xfId="41383" xr:uid="{00000000-0005-0000-0000-0000A0680000}"/>
    <cellStyle name="Comma 2 6 2 4" xfId="30677" xr:uid="{00000000-0005-0000-0000-0000A1680000}"/>
    <cellStyle name="Comma 2 6 2 5" xfId="34959" xr:uid="{00000000-0005-0000-0000-0000A2680000}"/>
    <cellStyle name="Comma 2 6 3" xfId="15986" xr:uid="{00000000-0005-0000-0000-0000A3680000}"/>
    <cellStyle name="Comma 2 6 3 2" xfId="25001" xr:uid="{00000000-0005-0000-0000-0000A4680000}"/>
    <cellStyle name="Comma 2 6 3 2 2" xfId="44430" xr:uid="{00000000-0005-0000-0000-0000A5680000}"/>
    <cellStyle name="Comma 2 6 3 2 3" xfId="38007" xr:uid="{00000000-0005-0000-0000-0000A6680000}"/>
    <cellStyle name="Comma 2 6 3 3" xfId="29322" xr:uid="{00000000-0005-0000-0000-0000A7680000}"/>
    <cellStyle name="Comma 2 6 3 3 2" xfId="41223" xr:uid="{00000000-0005-0000-0000-0000A8680000}"/>
    <cellStyle name="Comma 2 6 3 4" xfId="32657" xr:uid="{00000000-0005-0000-0000-0000A9680000}"/>
    <cellStyle name="Comma 2 6 3 5" xfId="34799" xr:uid="{00000000-0005-0000-0000-0000AA680000}"/>
    <cellStyle name="Comma 2 6 4" xfId="8804" xr:uid="{00000000-0005-0000-0000-0000AB680000}"/>
    <cellStyle name="Comma 2 6 4 2" xfId="42453" xr:uid="{00000000-0005-0000-0000-0000AC680000}"/>
    <cellStyle name="Comma 2 6 4 3" xfId="36029" xr:uid="{00000000-0005-0000-0000-0000AD680000}"/>
    <cellStyle name="Comma 2 6 5" xfId="21793" xr:uid="{00000000-0005-0000-0000-0000AE680000}"/>
    <cellStyle name="Comma 2 6 5 2" xfId="39246" xr:uid="{00000000-0005-0000-0000-0000AF680000}"/>
    <cellStyle name="Comma 2 6 6" xfId="22866" xr:uid="{00000000-0005-0000-0000-0000B0680000}"/>
    <cellStyle name="Comma 2 6 7" xfId="23024" xr:uid="{00000000-0005-0000-0000-0000B1680000}"/>
    <cellStyle name="Comma 2 6 8" xfId="27188" xr:uid="{00000000-0005-0000-0000-0000B2680000}"/>
    <cellStyle name="Comma 2 6 9" xfId="30521" xr:uid="{00000000-0005-0000-0000-0000B3680000}"/>
    <cellStyle name="Comma 2 7" xfId="1515" xr:uid="{00000000-0005-0000-0000-0000B4680000}"/>
    <cellStyle name="Comma 2 7 10" xfId="22867" xr:uid="{00000000-0005-0000-0000-0000B5680000}"/>
    <cellStyle name="Comma 2 7 11" xfId="23941" xr:uid="{00000000-0005-0000-0000-0000B6680000}"/>
    <cellStyle name="Comma 2 7 12" xfId="27189" xr:uid="{00000000-0005-0000-0000-0000B7680000}"/>
    <cellStyle name="Comma 2 7 13" xfId="30522" xr:uid="{00000000-0005-0000-0000-0000B8680000}"/>
    <cellStyle name="Comma 2 7 14" xfId="33739" xr:uid="{00000000-0005-0000-0000-0000B9680000}"/>
    <cellStyle name="Comma 2 7 2" xfId="1516" xr:uid="{00000000-0005-0000-0000-0000BA680000}"/>
    <cellStyle name="Comma 2 7 2 10" xfId="33740" xr:uid="{00000000-0005-0000-0000-0000BB680000}"/>
    <cellStyle name="Comma 2 7 2 2" xfId="10286" xr:uid="{00000000-0005-0000-0000-0000BC680000}"/>
    <cellStyle name="Comma 2 7 2 2 2" xfId="26086" xr:uid="{00000000-0005-0000-0000-0000BD680000}"/>
    <cellStyle name="Comma 2 7 2 2 2 2" xfId="45513" xr:uid="{00000000-0005-0000-0000-0000BE680000}"/>
    <cellStyle name="Comma 2 7 2 2 2 3" xfId="39090" xr:uid="{00000000-0005-0000-0000-0000BF680000}"/>
    <cellStyle name="Comma 2 7 2 2 3" xfId="28264" xr:uid="{00000000-0005-0000-0000-0000C0680000}"/>
    <cellStyle name="Comma 2 7 2 2 3 2" xfId="42306" xr:uid="{00000000-0005-0000-0000-0000C1680000}"/>
    <cellStyle name="Comma 2 7 2 2 4" xfId="31599" xr:uid="{00000000-0005-0000-0000-0000C2680000}"/>
    <cellStyle name="Comma 2 7 2 2 5" xfId="35882" xr:uid="{00000000-0005-0000-0000-0000C3680000}"/>
    <cellStyle name="Comma 2 7 2 3" xfId="15988" xr:uid="{00000000-0005-0000-0000-0000C4680000}"/>
    <cellStyle name="Comma 2 7 2 3 2" xfId="25003" xr:uid="{00000000-0005-0000-0000-0000C5680000}"/>
    <cellStyle name="Comma 2 7 2 3 2 2" xfId="44432" xr:uid="{00000000-0005-0000-0000-0000C6680000}"/>
    <cellStyle name="Comma 2 7 2 3 2 3" xfId="38009" xr:uid="{00000000-0005-0000-0000-0000C7680000}"/>
    <cellStyle name="Comma 2 7 2 3 3" xfId="29324" xr:uid="{00000000-0005-0000-0000-0000C8680000}"/>
    <cellStyle name="Comma 2 7 2 3 3 2" xfId="41225" xr:uid="{00000000-0005-0000-0000-0000C9680000}"/>
    <cellStyle name="Comma 2 7 2 3 4" xfId="32659" xr:uid="{00000000-0005-0000-0000-0000CA680000}"/>
    <cellStyle name="Comma 2 7 2 3 5" xfId="34801" xr:uid="{00000000-0005-0000-0000-0000CB680000}"/>
    <cellStyle name="Comma 2 7 2 4" xfId="8806" xr:uid="{00000000-0005-0000-0000-0000CC680000}"/>
    <cellStyle name="Comma 2 7 2 4 2" xfId="43371" xr:uid="{00000000-0005-0000-0000-0000CD680000}"/>
    <cellStyle name="Comma 2 7 2 4 3" xfId="36947" xr:uid="{00000000-0005-0000-0000-0000CE680000}"/>
    <cellStyle name="Comma 2 7 2 5" xfId="21795" xr:uid="{00000000-0005-0000-0000-0000CF680000}"/>
    <cellStyle name="Comma 2 7 2 5 2" xfId="40164" xr:uid="{00000000-0005-0000-0000-0000D0680000}"/>
    <cellStyle name="Comma 2 7 2 6" xfId="22868" xr:uid="{00000000-0005-0000-0000-0000D1680000}"/>
    <cellStyle name="Comma 2 7 2 7" xfId="23942" xr:uid="{00000000-0005-0000-0000-0000D2680000}"/>
    <cellStyle name="Comma 2 7 2 8" xfId="27190" xr:uid="{00000000-0005-0000-0000-0000D3680000}"/>
    <cellStyle name="Comma 2 7 2 9" xfId="30523" xr:uid="{00000000-0005-0000-0000-0000D4680000}"/>
    <cellStyle name="Comma 2 7 3" xfId="1517" xr:uid="{00000000-0005-0000-0000-0000D5680000}"/>
    <cellStyle name="Comma 2 7 3 10" xfId="33741" xr:uid="{00000000-0005-0000-0000-0000D6680000}"/>
    <cellStyle name="Comma 2 7 3 2" xfId="10287" xr:uid="{00000000-0005-0000-0000-0000D7680000}"/>
    <cellStyle name="Comma 2 7 3 2 2" xfId="26087" xr:uid="{00000000-0005-0000-0000-0000D8680000}"/>
    <cellStyle name="Comma 2 7 3 2 2 2" xfId="45514" xr:uid="{00000000-0005-0000-0000-0000D9680000}"/>
    <cellStyle name="Comma 2 7 3 2 2 3" xfId="39091" xr:uid="{00000000-0005-0000-0000-0000DA680000}"/>
    <cellStyle name="Comma 2 7 3 2 3" xfId="28265" xr:uid="{00000000-0005-0000-0000-0000DB680000}"/>
    <cellStyle name="Comma 2 7 3 2 3 2" xfId="42307" xr:uid="{00000000-0005-0000-0000-0000DC680000}"/>
    <cellStyle name="Comma 2 7 3 2 4" xfId="31600" xr:uid="{00000000-0005-0000-0000-0000DD680000}"/>
    <cellStyle name="Comma 2 7 3 2 5" xfId="35883" xr:uid="{00000000-0005-0000-0000-0000DE680000}"/>
    <cellStyle name="Comma 2 7 3 3" xfId="15989" xr:uid="{00000000-0005-0000-0000-0000DF680000}"/>
    <cellStyle name="Comma 2 7 3 3 2" xfId="25004" xr:uid="{00000000-0005-0000-0000-0000E0680000}"/>
    <cellStyle name="Comma 2 7 3 3 2 2" xfId="44433" xr:uid="{00000000-0005-0000-0000-0000E1680000}"/>
    <cellStyle name="Comma 2 7 3 3 2 3" xfId="38010" xr:uid="{00000000-0005-0000-0000-0000E2680000}"/>
    <cellStyle name="Comma 2 7 3 3 3" xfId="29325" xr:uid="{00000000-0005-0000-0000-0000E3680000}"/>
    <cellStyle name="Comma 2 7 3 3 3 2" xfId="41226" xr:uid="{00000000-0005-0000-0000-0000E4680000}"/>
    <cellStyle name="Comma 2 7 3 3 4" xfId="32660" xr:uid="{00000000-0005-0000-0000-0000E5680000}"/>
    <cellStyle name="Comma 2 7 3 3 5" xfId="34802" xr:uid="{00000000-0005-0000-0000-0000E6680000}"/>
    <cellStyle name="Comma 2 7 3 4" xfId="8807" xr:uid="{00000000-0005-0000-0000-0000E7680000}"/>
    <cellStyle name="Comma 2 7 3 4 2" xfId="43372" xr:uid="{00000000-0005-0000-0000-0000E8680000}"/>
    <cellStyle name="Comma 2 7 3 4 3" xfId="36948" xr:uid="{00000000-0005-0000-0000-0000E9680000}"/>
    <cellStyle name="Comma 2 7 3 5" xfId="21796" xr:uid="{00000000-0005-0000-0000-0000EA680000}"/>
    <cellStyle name="Comma 2 7 3 5 2" xfId="40165" xr:uid="{00000000-0005-0000-0000-0000EB680000}"/>
    <cellStyle name="Comma 2 7 3 6" xfId="22869" xr:uid="{00000000-0005-0000-0000-0000EC680000}"/>
    <cellStyle name="Comma 2 7 3 7" xfId="23943" xr:uid="{00000000-0005-0000-0000-0000ED680000}"/>
    <cellStyle name="Comma 2 7 3 8" xfId="27191" xr:uid="{00000000-0005-0000-0000-0000EE680000}"/>
    <cellStyle name="Comma 2 7 3 9" xfId="30524" xr:uid="{00000000-0005-0000-0000-0000EF680000}"/>
    <cellStyle name="Comma 2 7 4" xfId="1518" xr:uid="{00000000-0005-0000-0000-0000F0680000}"/>
    <cellStyle name="Comma 2 7 4 10" xfId="33742" xr:uid="{00000000-0005-0000-0000-0000F1680000}"/>
    <cellStyle name="Comma 2 7 4 2" xfId="10288" xr:uid="{00000000-0005-0000-0000-0000F2680000}"/>
    <cellStyle name="Comma 2 7 4 2 2" xfId="26088" xr:uid="{00000000-0005-0000-0000-0000F3680000}"/>
    <cellStyle name="Comma 2 7 4 2 2 2" xfId="45515" xr:uid="{00000000-0005-0000-0000-0000F4680000}"/>
    <cellStyle name="Comma 2 7 4 2 2 3" xfId="39092" xr:uid="{00000000-0005-0000-0000-0000F5680000}"/>
    <cellStyle name="Comma 2 7 4 2 3" xfId="28266" xr:uid="{00000000-0005-0000-0000-0000F6680000}"/>
    <cellStyle name="Comma 2 7 4 2 3 2" xfId="42308" xr:uid="{00000000-0005-0000-0000-0000F7680000}"/>
    <cellStyle name="Comma 2 7 4 2 4" xfId="31601" xr:uid="{00000000-0005-0000-0000-0000F8680000}"/>
    <cellStyle name="Comma 2 7 4 2 5" xfId="35884" xr:uid="{00000000-0005-0000-0000-0000F9680000}"/>
    <cellStyle name="Comma 2 7 4 3" xfId="15990" xr:uid="{00000000-0005-0000-0000-0000FA680000}"/>
    <cellStyle name="Comma 2 7 4 3 2" xfId="25005" xr:uid="{00000000-0005-0000-0000-0000FB680000}"/>
    <cellStyle name="Comma 2 7 4 3 2 2" xfId="44434" xr:uid="{00000000-0005-0000-0000-0000FC680000}"/>
    <cellStyle name="Comma 2 7 4 3 2 3" xfId="38011" xr:uid="{00000000-0005-0000-0000-0000FD680000}"/>
    <cellStyle name="Comma 2 7 4 3 3" xfId="29326" xr:uid="{00000000-0005-0000-0000-0000FE680000}"/>
    <cellStyle name="Comma 2 7 4 3 3 2" xfId="41227" xr:uid="{00000000-0005-0000-0000-0000FF680000}"/>
    <cellStyle name="Comma 2 7 4 3 4" xfId="32661" xr:uid="{00000000-0005-0000-0000-000000690000}"/>
    <cellStyle name="Comma 2 7 4 3 5" xfId="34803" xr:uid="{00000000-0005-0000-0000-000001690000}"/>
    <cellStyle name="Comma 2 7 4 4" xfId="8808" xr:uid="{00000000-0005-0000-0000-000002690000}"/>
    <cellStyle name="Comma 2 7 4 4 2" xfId="43373" xr:uid="{00000000-0005-0000-0000-000003690000}"/>
    <cellStyle name="Comma 2 7 4 4 3" xfId="36949" xr:uid="{00000000-0005-0000-0000-000004690000}"/>
    <cellStyle name="Comma 2 7 4 5" xfId="21797" xr:uid="{00000000-0005-0000-0000-000005690000}"/>
    <cellStyle name="Comma 2 7 4 5 2" xfId="40166" xr:uid="{00000000-0005-0000-0000-000006690000}"/>
    <cellStyle name="Comma 2 7 4 6" xfId="22870" xr:uid="{00000000-0005-0000-0000-000007690000}"/>
    <cellStyle name="Comma 2 7 4 7" xfId="23944" xr:uid="{00000000-0005-0000-0000-000008690000}"/>
    <cellStyle name="Comma 2 7 4 8" xfId="27192" xr:uid="{00000000-0005-0000-0000-000009690000}"/>
    <cellStyle name="Comma 2 7 4 9" xfId="30525" xr:uid="{00000000-0005-0000-0000-00000A690000}"/>
    <cellStyle name="Comma 2 7 5" xfId="1519" xr:uid="{00000000-0005-0000-0000-00000B690000}"/>
    <cellStyle name="Comma 2 7 5 10" xfId="33743" xr:uid="{00000000-0005-0000-0000-00000C690000}"/>
    <cellStyle name="Comma 2 7 5 2" xfId="10289" xr:uid="{00000000-0005-0000-0000-00000D690000}"/>
    <cellStyle name="Comma 2 7 5 2 2" xfId="26089" xr:uid="{00000000-0005-0000-0000-00000E690000}"/>
    <cellStyle name="Comma 2 7 5 2 2 2" xfId="45516" xr:uid="{00000000-0005-0000-0000-00000F690000}"/>
    <cellStyle name="Comma 2 7 5 2 2 3" xfId="39093" xr:uid="{00000000-0005-0000-0000-000010690000}"/>
    <cellStyle name="Comma 2 7 5 2 3" xfId="28267" xr:uid="{00000000-0005-0000-0000-000011690000}"/>
    <cellStyle name="Comma 2 7 5 2 3 2" xfId="42309" xr:uid="{00000000-0005-0000-0000-000012690000}"/>
    <cellStyle name="Comma 2 7 5 2 4" xfId="31602" xr:uid="{00000000-0005-0000-0000-000013690000}"/>
    <cellStyle name="Comma 2 7 5 2 5" xfId="35885" xr:uid="{00000000-0005-0000-0000-000014690000}"/>
    <cellStyle name="Comma 2 7 5 3" xfId="15991" xr:uid="{00000000-0005-0000-0000-000015690000}"/>
    <cellStyle name="Comma 2 7 5 3 2" xfId="25006" xr:uid="{00000000-0005-0000-0000-000016690000}"/>
    <cellStyle name="Comma 2 7 5 3 2 2" xfId="44435" xr:uid="{00000000-0005-0000-0000-000017690000}"/>
    <cellStyle name="Comma 2 7 5 3 2 3" xfId="38012" xr:uid="{00000000-0005-0000-0000-000018690000}"/>
    <cellStyle name="Comma 2 7 5 3 3" xfId="29327" xr:uid="{00000000-0005-0000-0000-000019690000}"/>
    <cellStyle name="Comma 2 7 5 3 3 2" xfId="41228" xr:uid="{00000000-0005-0000-0000-00001A690000}"/>
    <cellStyle name="Comma 2 7 5 3 4" xfId="32662" xr:uid="{00000000-0005-0000-0000-00001B690000}"/>
    <cellStyle name="Comma 2 7 5 3 5" xfId="34804" xr:uid="{00000000-0005-0000-0000-00001C690000}"/>
    <cellStyle name="Comma 2 7 5 4" xfId="8809" xr:uid="{00000000-0005-0000-0000-00001D690000}"/>
    <cellStyle name="Comma 2 7 5 4 2" xfId="43374" xr:uid="{00000000-0005-0000-0000-00001E690000}"/>
    <cellStyle name="Comma 2 7 5 4 3" xfId="36950" xr:uid="{00000000-0005-0000-0000-00001F690000}"/>
    <cellStyle name="Comma 2 7 5 5" xfId="21798" xr:uid="{00000000-0005-0000-0000-000020690000}"/>
    <cellStyle name="Comma 2 7 5 5 2" xfId="40167" xr:uid="{00000000-0005-0000-0000-000021690000}"/>
    <cellStyle name="Comma 2 7 5 6" xfId="22871" xr:uid="{00000000-0005-0000-0000-000022690000}"/>
    <cellStyle name="Comma 2 7 5 7" xfId="23945" xr:uid="{00000000-0005-0000-0000-000023690000}"/>
    <cellStyle name="Comma 2 7 5 8" xfId="27193" xr:uid="{00000000-0005-0000-0000-000024690000}"/>
    <cellStyle name="Comma 2 7 5 9" xfId="30526" xr:uid="{00000000-0005-0000-0000-000025690000}"/>
    <cellStyle name="Comma 2 7 6" xfId="10285" xr:uid="{00000000-0005-0000-0000-000026690000}"/>
    <cellStyle name="Comma 2 7 6 2" xfId="26085" xr:uid="{00000000-0005-0000-0000-000027690000}"/>
    <cellStyle name="Comma 2 7 6 2 2" xfId="45512" xr:uid="{00000000-0005-0000-0000-000028690000}"/>
    <cellStyle name="Comma 2 7 6 2 3" xfId="39089" xr:uid="{00000000-0005-0000-0000-000029690000}"/>
    <cellStyle name="Comma 2 7 6 3" xfId="28263" xr:uid="{00000000-0005-0000-0000-00002A690000}"/>
    <cellStyle name="Comma 2 7 6 3 2" xfId="42305" xr:uid="{00000000-0005-0000-0000-00002B690000}"/>
    <cellStyle name="Comma 2 7 6 4" xfId="31598" xr:uid="{00000000-0005-0000-0000-00002C690000}"/>
    <cellStyle name="Comma 2 7 6 5" xfId="35881" xr:uid="{00000000-0005-0000-0000-00002D690000}"/>
    <cellStyle name="Comma 2 7 7" xfId="15987" xr:uid="{00000000-0005-0000-0000-00002E690000}"/>
    <cellStyle name="Comma 2 7 7 2" xfId="25002" xr:uid="{00000000-0005-0000-0000-00002F690000}"/>
    <cellStyle name="Comma 2 7 7 2 2" xfId="44431" xr:uid="{00000000-0005-0000-0000-000030690000}"/>
    <cellStyle name="Comma 2 7 7 2 3" xfId="38008" xr:uid="{00000000-0005-0000-0000-000031690000}"/>
    <cellStyle name="Comma 2 7 7 3" xfId="29323" xr:uid="{00000000-0005-0000-0000-000032690000}"/>
    <cellStyle name="Comma 2 7 7 3 2" xfId="41224" xr:uid="{00000000-0005-0000-0000-000033690000}"/>
    <cellStyle name="Comma 2 7 7 4" xfId="32658" xr:uid="{00000000-0005-0000-0000-000034690000}"/>
    <cellStyle name="Comma 2 7 7 5" xfId="34800" xr:uid="{00000000-0005-0000-0000-000035690000}"/>
    <cellStyle name="Comma 2 7 8" xfId="8805" xr:uid="{00000000-0005-0000-0000-000036690000}"/>
    <cellStyle name="Comma 2 7 8 2" xfId="43370" xr:uid="{00000000-0005-0000-0000-000037690000}"/>
    <cellStyle name="Comma 2 7 8 3" xfId="36946" xr:uid="{00000000-0005-0000-0000-000038690000}"/>
    <cellStyle name="Comma 2 7 9" xfId="21794" xr:uid="{00000000-0005-0000-0000-000039690000}"/>
    <cellStyle name="Comma 2 7 9 2" xfId="40163" xr:uid="{00000000-0005-0000-0000-00003A690000}"/>
    <cellStyle name="Comma 2 8" xfId="1520" xr:uid="{00000000-0005-0000-0000-00003B690000}"/>
    <cellStyle name="Comma 2 8 10" xfId="22872" xr:uid="{00000000-0005-0000-0000-00003C690000}"/>
    <cellStyle name="Comma 2 8 11" xfId="23946" xr:uid="{00000000-0005-0000-0000-00003D690000}"/>
    <cellStyle name="Comma 2 8 12" xfId="27194" xr:uid="{00000000-0005-0000-0000-00003E690000}"/>
    <cellStyle name="Comma 2 8 13" xfId="30527" xr:uid="{00000000-0005-0000-0000-00003F690000}"/>
    <cellStyle name="Comma 2 8 14" xfId="33744" xr:uid="{00000000-0005-0000-0000-000040690000}"/>
    <cellStyle name="Comma 2 8 2" xfId="1521" xr:uid="{00000000-0005-0000-0000-000041690000}"/>
    <cellStyle name="Comma 2 8 2 10" xfId="33745" xr:uid="{00000000-0005-0000-0000-000042690000}"/>
    <cellStyle name="Comma 2 8 2 2" xfId="10291" xr:uid="{00000000-0005-0000-0000-000043690000}"/>
    <cellStyle name="Comma 2 8 2 2 2" xfId="26091" xr:uid="{00000000-0005-0000-0000-000044690000}"/>
    <cellStyle name="Comma 2 8 2 2 2 2" xfId="45518" xr:uid="{00000000-0005-0000-0000-000045690000}"/>
    <cellStyle name="Comma 2 8 2 2 2 3" xfId="39095" xr:uid="{00000000-0005-0000-0000-000046690000}"/>
    <cellStyle name="Comma 2 8 2 2 3" xfId="28269" xr:uid="{00000000-0005-0000-0000-000047690000}"/>
    <cellStyle name="Comma 2 8 2 2 3 2" xfId="42311" xr:uid="{00000000-0005-0000-0000-000048690000}"/>
    <cellStyle name="Comma 2 8 2 2 4" xfId="31604" xr:uid="{00000000-0005-0000-0000-000049690000}"/>
    <cellStyle name="Comma 2 8 2 2 5" xfId="35887" xr:uid="{00000000-0005-0000-0000-00004A690000}"/>
    <cellStyle name="Comma 2 8 2 3" xfId="15993" xr:uid="{00000000-0005-0000-0000-00004B690000}"/>
    <cellStyle name="Comma 2 8 2 3 2" xfId="25008" xr:uid="{00000000-0005-0000-0000-00004C690000}"/>
    <cellStyle name="Comma 2 8 2 3 2 2" xfId="44437" xr:uid="{00000000-0005-0000-0000-00004D690000}"/>
    <cellStyle name="Comma 2 8 2 3 2 3" xfId="38014" xr:uid="{00000000-0005-0000-0000-00004E690000}"/>
    <cellStyle name="Comma 2 8 2 3 3" xfId="29329" xr:uid="{00000000-0005-0000-0000-00004F690000}"/>
    <cellStyle name="Comma 2 8 2 3 3 2" xfId="41230" xr:uid="{00000000-0005-0000-0000-000050690000}"/>
    <cellStyle name="Comma 2 8 2 3 4" xfId="32664" xr:uid="{00000000-0005-0000-0000-000051690000}"/>
    <cellStyle name="Comma 2 8 2 3 5" xfId="34806" xr:uid="{00000000-0005-0000-0000-000052690000}"/>
    <cellStyle name="Comma 2 8 2 4" xfId="8811" xr:uid="{00000000-0005-0000-0000-000053690000}"/>
    <cellStyle name="Comma 2 8 2 4 2" xfId="43376" xr:uid="{00000000-0005-0000-0000-000054690000}"/>
    <cellStyle name="Comma 2 8 2 4 3" xfId="36952" xr:uid="{00000000-0005-0000-0000-000055690000}"/>
    <cellStyle name="Comma 2 8 2 5" xfId="21800" xr:uid="{00000000-0005-0000-0000-000056690000}"/>
    <cellStyle name="Comma 2 8 2 5 2" xfId="40169" xr:uid="{00000000-0005-0000-0000-000057690000}"/>
    <cellStyle name="Comma 2 8 2 6" xfId="22873" xr:uid="{00000000-0005-0000-0000-000058690000}"/>
    <cellStyle name="Comma 2 8 2 7" xfId="23947" xr:uid="{00000000-0005-0000-0000-000059690000}"/>
    <cellStyle name="Comma 2 8 2 8" xfId="27195" xr:uid="{00000000-0005-0000-0000-00005A690000}"/>
    <cellStyle name="Comma 2 8 2 9" xfId="30528" xr:uid="{00000000-0005-0000-0000-00005B690000}"/>
    <cellStyle name="Comma 2 8 3" xfId="1522" xr:uid="{00000000-0005-0000-0000-00005C690000}"/>
    <cellStyle name="Comma 2 8 3 10" xfId="33746" xr:uid="{00000000-0005-0000-0000-00005D690000}"/>
    <cellStyle name="Comma 2 8 3 2" xfId="10292" xr:uid="{00000000-0005-0000-0000-00005E690000}"/>
    <cellStyle name="Comma 2 8 3 2 2" xfId="26092" xr:uid="{00000000-0005-0000-0000-00005F690000}"/>
    <cellStyle name="Comma 2 8 3 2 2 2" xfId="45519" xr:uid="{00000000-0005-0000-0000-000060690000}"/>
    <cellStyle name="Comma 2 8 3 2 2 3" xfId="39096" xr:uid="{00000000-0005-0000-0000-000061690000}"/>
    <cellStyle name="Comma 2 8 3 2 3" xfId="28270" xr:uid="{00000000-0005-0000-0000-000062690000}"/>
    <cellStyle name="Comma 2 8 3 2 3 2" xfId="42312" xr:uid="{00000000-0005-0000-0000-000063690000}"/>
    <cellStyle name="Comma 2 8 3 2 4" xfId="31605" xr:uid="{00000000-0005-0000-0000-000064690000}"/>
    <cellStyle name="Comma 2 8 3 2 5" xfId="35888" xr:uid="{00000000-0005-0000-0000-000065690000}"/>
    <cellStyle name="Comma 2 8 3 3" xfId="15994" xr:uid="{00000000-0005-0000-0000-000066690000}"/>
    <cellStyle name="Comma 2 8 3 3 2" xfId="25009" xr:uid="{00000000-0005-0000-0000-000067690000}"/>
    <cellStyle name="Comma 2 8 3 3 2 2" xfId="44438" xr:uid="{00000000-0005-0000-0000-000068690000}"/>
    <cellStyle name="Comma 2 8 3 3 2 3" xfId="38015" xr:uid="{00000000-0005-0000-0000-000069690000}"/>
    <cellStyle name="Comma 2 8 3 3 3" xfId="29330" xr:uid="{00000000-0005-0000-0000-00006A690000}"/>
    <cellStyle name="Comma 2 8 3 3 3 2" xfId="41231" xr:uid="{00000000-0005-0000-0000-00006B690000}"/>
    <cellStyle name="Comma 2 8 3 3 4" xfId="32665" xr:uid="{00000000-0005-0000-0000-00006C690000}"/>
    <cellStyle name="Comma 2 8 3 3 5" xfId="34807" xr:uid="{00000000-0005-0000-0000-00006D690000}"/>
    <cellStyle name="Comma 2 8 3 4" xfId="8812" xr:uid="{00000000-0005-0000-0000-00006E690000}"/>
    <cellStyle name="Comma 2 8 3 4 2" xfId="43377" xr:uid="{00000000-0005-0000-0000-00006F690000}"/>
    <cellStyle name="Comma 2 8 3 4 3" xfId="36953" xr:uid="{00000000-0005-0000-0000-000070690000}"/>
    <cellStyle name="Comma 2 8 3 5" xfId="21801" xr:uid="{00000000-0005-0000-0000-000071690000}"/>
    <cellStyle name="Comma 2 8 3 5 2" xfId="40170" xr:uid="{00000000-0005-0000-0000-000072690000}"/>
    <cellStyle name="Comma 2 8 3 6" xfId="22874" xr:uid="{00000000-0005-0000-0000-000073690000}"/>
    <cellStyle name="Comma 2 8 3 7" xfId="23948" xr:uid="{00000000-0005-0000-0000-000074690000}"/>
    <cellStyle name="Comma 2 8 3 8" xfId="27196" xr:uid="{00000000-0005-0000-0000-000075690000}"/>
    <cellStyle name="Comma 2 8 3 9" xfId="30529" xr:uid="{00000000-0005-0000-0000-000076690000}"/>
    <cellStyle name="Comma 2 8 4" xfId="1523" xr:uid="{00000000-0005-0000-0000-000077690000}"/>
    <cellStyle name="Comma 2 8 4 10" xfId="33747" xr:uid="{00000000-0005-0000-0000-000078690000}"/>
    <cellStyle name="Comma 2 8 4 2" xfId="10293" xr:uid="{00000000-0005-0000-0000-000079690000}"/>
    <cellStyle name="Comma 2 8 4 2 2" xfId="26093" xr:uid="{00000000-0005-0000-0000-00007A690000}"/>
    <cellStyle name="Comma 2 8 4 2 2 2" xfId="45520" xr:uid="{00000000-0005-0000-0000-00007B690000}"/>
    <cellStyle name="Comma 2 8 4 2 2 3" xfId="39097" xr:uid="{00000000-0005-0000-0000-00007C690000}"/>
    <cellStyle name="Comma 2 8 4 2 3" xfId="28271" xr:uid="{00000000-0005-0000-0000-00007D690000}"/>
    <cellStyle name="Comma 2 8 4 2 3 2" xfId="42313" xr:uid="{00000000-0005-0000-0000-00007E690000}"/>
    <cellStyle name="Comma 2 8 4 2 4" xfId="31606" xr:uid="{00000000-0005-0000-0000-00007F690000}"/>
    <cellStyle name="Comma 2 8 4 2 5" xfId="35889" xr:uid="{00000000-0005-0000-0000-000080690000}"/>
    <cellStyle name="Comma 2 8 4 3" xfId="15995" xr:uid="{00000000-0005-0000-0000-000081690000}"/>
    <cellStyle name="Comma 2 8 4 3 2" xfId="25010" xr:uid="{00000000-0005-0000-0000-000082690000}"/>
    <cellStyle name="Comma 2 8 4 3 2 2" xfId="44439" xr:uid="{00000000-0005-0000-0000-000083690000}"/>
    <cellStyle name="Comma 2 8 4 3 2 3" xfId="38016" xr:uid="{00000000-0005-0000-0000-000084690000}"/>
    <cellStyle name="Comma 2 8 4 3 3" xfId="29331" xr:uid="{00000000-0005-0000-0000-000085690000}"/>
    <cellStyle name="Comma 2 8 4 3 3 2" xfId="41232" xr:uid="{00000000-0005-0000-0000-000086690000}"/>
    <cellStyle name="Comma 2 8 4 3 4" xfId="32666" xr:uid="{00000000-0005-0000-0000-000087690000}"/>
    <cellStyle name="Comma 2 8 4 3 5" xfId="34808" xr:uid="{00000000-0005-0000-0000-000088690000}"/>
    <cellStyle name="Comma 2 8 4 4" xfId="8813" xr:uid="{00000000-0005-0000-0000-000089690000}"/>
    <cellStyle name="Comma 2 8 4 4 2" xfId="43378" xr:uid="{00000000-0005-0000-0000-00008A690000}"/>
    <cellStyle name="Comma 2 8 4 4 3" xfId="36954" xr:uid="{00000000-0005-0000-0000-00008B690000}"/>
    <cellStyle name="Comma 2 8 4 5" xfId="21802" xr:uid="{00000000-0005-0000-0000-00008C690000}"/>
    <cellStyle name="Comma 2 8 4 5 2" xfId="40171" xr:uid="{00000000-0005-0000-0000-00008D690000}"/>
    <cellStyle name="Comma 2 8 4 6" xfId="22875" xr:uid="{00000000-0005-0000-0000-00008E690000}"/>
    <cellStyle name="Comma 2 8 4 7" xfId="23949" xr:uid="{00000000-0005-0000-0000-00008F690000}"/>
    <cellStyle name="Comma 2 8 4 8" xfId="27197" xr:uid="{00000000-0005-0000-0000-000090690000}"/>
    <cellStyle name="Comma 2 8 4 9" xfId="30530" xr:uid="{00000000-0005-0000-0000-000091690000}"/>
    <cellStyle name="Comma 2 8 5" xfId="1524" xr:uid="{00000000-0005-0000-0000-000092690000}"/>
    <cellStyle name="Comma 2 8 5 10" xfId="33748" xr:uid="{00000000-0005-0000-0000-000093690000}"/>
    <cellStyle name="Comma 2 8 5 2" xfId="10294" xr:uid="{00000000-0005-0000-0000-000094690000}"/>
    <cellStyle name="Comma 2 8 5 2 2" xfId="26094" xr:uid="{00000000-0005-0000-0000-000095690000}"/>
    <cellStyle name="Comma 2 8 5 2 2 2" xfId="45521" xr:uid="{00000000-0005-0000-0000-000096690000}"/>
    <cellStyle name="Comma 2 8 5 2 2 3" xfId="39098" xr:uid="{00000000-0005-0000-0000-000097690000}"/>
    <cellStyle name="Comma 2 8 5 2 3" xfId="28272" xr:uid="{00000000-0005-0000-0000-000098690000}"/>
    <cellStyle name="Comma 2 8 5 2 3 2" xfId="42314" xr:uid="{00000000-0005-0000-0000-000099690000}"/>
    <cellStyle name="Comma 2 8 5 2 4" xfId="31607" xr:uid="{00000000-0005-0000-0000-00009A690000}"/>
    <cellStyle name="Comma 2 8 5 2 5" xfId="35890" xr:uid="{00000000-0005-0000-0000-00009B690000}"/>
    <cellStyle name="Comma 2 8 5 3" xfId="15996" xr:uid="{00000000-0005-0000-0000-00009C690000}"/>
    <cellStyle name="Comma 2 8 5 3 2" xfId="25011" xr:uid="{00000000-0005-0000-0000-00009D690000}"/>
    <cellStyle name="Comma 2 8 5 3 2 2" xfId="44440" xr:uid="{00000000-0005-0000-0000-00009E690000}"/>
    <cellStyle name="Comma 2 8 5 3 2 3" xfId="38017" xr:uid="{00000000-0005-0000-0000-00009F690000}"/>
    <cellStyle name="Comma 2 8 5 3 3" xfId="29332" xr:uid="{00000000-0005-0000-0000-0000A0690000}"/>
    <cellStyle name="Comma 2 8 5 3 3 2" xfId="41233" xr:uid="{00000000-0005-0000-0000-0000A1690000}"/>
    <cellStyle name="Comma 2 8 5 3 4" xfId="32667" xr:uid="{00000000-0005-0000-0000-0000A2690000}"/>
    <cellStyle name="Comma 2 8 5 3 5" xfId="34809" xr:uid="{00000000-0005-0000-0000-0000A3690000}"/>
    <cellStyle name="Comma 2 8 5 4" xfId="8814" xr:uid="{00000000-0005-0000-0000-0000A4690000}"/>
    <cellStyle name="Comma 2 8 5 4 2" xfId="43379" xr:uid="{00000000-0005-0000-0000-0000A5690000}"/>
    <cellStyle name="Comma 2 8 5 4 3" xfId="36955" xr:uid="{00000000-0005-0000-0000-0000A6690000}"/>
    <cellStyle name="Comma 2 8 5 5" xfId="21803" xr:uid="{00000000-0005-0000-0000-0000A7690000}"/>
    <cellStyle name="Comma 2 8 5 5 2" xfId="40172" xr:uid="{00000000-0005-0000-0000-0000A8690000}"/>
    <cellStyle name="Comma 2 8 5 6" xfId="22876" xr:uid="{00000000-0005-0000-0000-0000A9690000}"/>
    <cellStyle name="Comma 2 8 5 7" xfId="23950" xr:uid="{00000000-0005-0000-0000-0000AA690000}"/>
    <cellStyle name="Comma 2 8 5 8" xfId="27198" xr:uid="{00000000-0005-0000-0000-0000AB690000}"/>
    <cellStyle name="Comma 2 8 5 9" xfId="30531" xr:uid="{00000000-0005-0000-0000-0000AC690000}"/>
    <cellStyle name="Comma 2 8 6" xfId="10290" xr:uid="{00000000-0005-0000-0000-0000AD690000}"/>
    <cellStyle name="Comma 2 8 6 2" xfId="26090" xr:uid="{00000000-0005-0000-0000-0000AE690000}"/>
    <cellStyle name="Comma 2 8 6 2 2" xfId="45517" xr:uid="{00000000-0005-0000-0000-0000AF690000}"/>
    <cellStyle name="Comma 2 8 6 2 3" xfId="39094" xr:uid="{00000000-0005-0000-0000-0000B0690000}"/>
    <cellStyle name="Comma 2 8 6 3" xfId="28268" xr:uid="{00000000-0005-0000-0000-0000B1690000}"/>
    <cellStyle name="Comma 2 8 6 3 2" xfId="42310" xr:uid="{00000000-0005-0000-0000-0000B2690000}"/>
    <cellStyle name="Comma 2 8 6 4" xfId="31603" xr:uid="{00000000-0005-0000-0000-0000B3690000}"/>
    <cellStyle name="Comma 2 8 6 5" xfId="35886" xr:uid="{00000000-0005-0000-0000-0000B4690000}"/>
    <cellStyle name="Comma 2 8 7" xfId="15992" xr:uid="{00000000-0005-0000-0000-0000B5690000}"/>
    <cellStyle name="Comma 2 8 7 2" xfId="25007" xr:uid="{00000000-0005-0000-0000-0000B6690000}"/>
    <cellStyle name="Comma 2 8 7 2 2" xfId="44436" xr:uid="{00000000-0005-0000-0000-0000B7690000}"/>
    <cellStyle name="Comma 2 8 7 2 3" xfId="38013" xr:uid="{00000000-0005-0000-0000-0000B8690000}"/>
    <cellStyle name="Comma 2 8 7 3" xfId="29328" xr:uid="{00000000-0005-0000-0000-0000B9690000}"/>
    <cellStyle name="Comma 2 8 7 3 2" xfId="41229" xr:uid="{00000000-0005-0000-0000-0000BA690000}"/>
    <cellStyle name="Comma 2 8 7 4" xfId="32663" xr:uid="{00000000-0005-0000-0000-0000BB690000}"/>
    <cellStyle name="Comma 2 8 7 5" xfId="34805" xr:uid="{00000000-0005-0000-0000-0000BC690000}"/>
    <cellStyle name="Comma 2 8 8" xfId="8810" xr:uid="{00000000-0005-0000-0000-0000BD690000}"/>
    <cellStyle name="Comma 2 8 8 2" xfId="43375" xr:uid="{00000000-0005-0000-0000-0000BE690000}"/>
    <cellStyle name="Comma 2 8 8 3" xfId="36951" xr:uid="{00000000-0005-0000-0000-0000BF690000}"/>
    <cellStyle name="Comma 2 8 9" xfId="21799" xr:uid="{00000000-0005-0000-0000-0000C0690000}"/>
    <cellStyle name="Comma 2 8 9 2" xfId="40168" xr:uid="{00000000-0005-0000-0000-0000C1690000}"/>
    <cellStyle name="Comma 2 9" xfId="1525" xr:uid="{00000000-0005-0000-0000-0000C2690000}"/>
    <cellStyle name="Comma 2 9 10" xfId="22877" xr:uid="{00000000-0005-0000-0000-0000C3690000}"/>
    <cellStyle name="Comma 2 9 11" xfId="23951" xr:uid="{00000000-0005-0000-0000-0000C4690000}"/>
    <cellStyle name="Comma 2 9 12" xfId="27199" xr:uid="{00000000-0005-0000-0000-0000C5690000}"/>
    <cellStyle name="Comma 2 9 13" xfId="30532" xr:uid="{00000000-0005-0000-0000-0000C6690000}"/>
    <cellStyle name="Comma 2 9 14" xfId="33749" xr:uid="{00000000-0005-0000-0000-0000C7690000}"/>
    <cellStyle name="Comma 2 9 2" xfId="1526" xr:uid="{00000000-0005-0000-0000-0000C8690000}"/>
    <cellStyle name="Comma 2 9 2 10" xfId="33750" xr:uid="{00000000-0005-0000-0000-0000C9690000}"/>
    <cellStyle name="Comma 2 9 2 2" xfId="10296" xr:uid="{00000000-0005-0000-0000-0000CA690000}"/>
    <cellStyle name="Comma 2 9 2 2 2" xfId="26096" xr:uid="{00000000-0005-0000-0000-0000CB690000}"/>
    <cellStyle name="Comma 2 9 2 2 2 2" xfId="45523" xr:uid="{00000000-0005-0000-0000-0000CC690000}"/>
    <cellStyle name="Comma 2 9 2 2 2 3" xfId="39100" xr:uid="{00000000-0005-0000-0000-0000CD690000}"/>
    <cellStyle name="Comma 2 9 2 2 3" xfId="28274" xr:uid="{00000000-0005-0000-0000-0000CE690000}"/>
    <cellStyle name="Comma 2 9 2 2 3 2" xfId="42316" xr:uid="{00000000-0005-0000-0000-0000CF690000}"/>
    <cellStyle name="Comma 2 9 2 2 4" xfId="31609" xr:uid="{00000000-0005-0000-0000-0000D0690000}"/>
    <cellStyle name="Comma 2 9 2 2 5" xfId="35892" xr:uid="{00000000-0005-0000-0000-0000D1690000}"/>
    <cellStyle name="Comma 2 9 2 3" xfId="15998" xr:uid="{00000000-0005-0000-0000-0000D2690000}"/>
    <cellStyle name="Comma 2 9 2 3 2" xfId="25013" xr:uid="{00000000-0005-0000-0000-0000D3690000}"/>
    <cellStyle name="Comma 2 9 2 3 2 2" xfId="44442" xr:uid="{00000000-0005-0000-0000-0000D4690000}"/>
    <cellStyle name="Comma 2 9 2 3 2 3" xfId="38019" xr:uid="{00000000-0005-0000-0000-0000D5690000}"/>
    <cellStyle name="Comma 2 9 2 3 3" xfId="29334" xr:uid="{00000000-0005-0000-0000-0000D6690000}"/>
    <cellStyle name="Comma 2 9 2 3 3 2" xfId="41235" xr:uid="{00000000-0005-0000-0000-0000D7690000}"/>
    <cellStyle name="Comma 2 9 2 3 4" xfId="32669" xr:uid="{00000000-0005-0000-0000-0000D8690000}"/>
    <cellStyle name="Comma 2 9 2 3 5" xfId="34811" xr:uid="{00000000-0005-0000-0000-0000D9690000}"/>
    <cellStyle name="Comma 2 9 2 4" xfId="8816" xr:uid="{00000000-0005-0000-0000-0000DA690000}"/>
    <cellStyle name="Comma 2 9 2 4 2" xfId="43381" xr:uid="{00000000-0005-0000-0000-0000DB690000}"/>
    <cellStyle name="Comma 2 9 2 4 3" xfId="36957" xr:uid="{00000000-0005-0000-0000-0000DC690000}"/>
    <cellStyle name="Comma 2 9 2 5" xfId="21805" xr:uid="{00000000-0005-0000-0000-0000DD690000}"/>
    <cellStyle name="Comma 2 9 2 5 2" xfId="40174" xr:uid="{00000000-0005-0000-0000-0000DE690000}"/>
    <cellStyle name="Comma 2 9 2 6" xfId="22878" xr:uid="{00000000-0005-0000-0000-0000DF690000}"/>
    <cellStyle name="Comma 2 9 2 7" xfId="23952" xr:uid="{00000000-0005-0000-0000-0000E0690000}"/>
    <cellStyle name="Comma 2 9 2 8" xfId="27200" xr:uid="{00000000-0005-0000-0000-0000E1690000}"/>
    <cellStyle name="Comma 2 9 2 9" xfId="30533" xr:uid="{00000000-0005-0000-0000-0000E2690000}"/>
    <cellStyle name="Comma 2 9 3" xfId="1527" xr:uid="{00000000-0005-0000-0000-0000E3690000}"/>
    <cellStyle name="Comma 2 9 3 10" xfId="33751" xr:uid="{00000000-0005-0000-0000-0000E4690000}"/>
    <cellStyle name="Comma 2 9 3 2" xfId="10297" xr:uid="{00000000-0005-0000-0000-0000E5690000}"/>
    <cellStyle name="Comma 2 9 3 2 2" xfId="26097" xr:uid="{00000000-0005-0000-0000-0000E6690000}"/>
    <cellStyle name="Comma 2 9 3 2 2 2" xfId="45524" xr:uid="{00000000-0005-0000-0000-0000E7690000}"/>
    <cellStyle name="Comma 2 9 3 2 2 3" xfId="39101" xr:uid="{00000000-0005-0000-0000-0000E8690000}"/>
    <cellStyle name="Comma 2 9 3 2 3" xfId="28275" xr:uid="{00000000-0005-0000-0000-0000E9690000}"/>
    <cellStyle name="Comma 2 9 3 2 3 2" xfId="42317" xr:uid="{00000000-0005-0000-0000-0000EA690000}"/>
    <cellStyle name="Comma 2 9 3 2 4" xfId="31610" xr:uid="{00000000-0005-0000-0000-0000EB690000}"/>
    <cellStyle name="Comma 2 9 3 2 5" xfId="35893" xr:uid="{00000000-0005-0000-0000-0000EC690000}"/>
    <cellStyle name="Comma 2 9 3 3" xfId="15999" xr:uid="{00000000-0005-0000-0000-0000ED690000}"/>
    <cellStyle name="Comma 2 9 3 3 2" xfId="25014" xr:uid="{00000000-0005-0000-0000-0000EE690000}"/>
    <cellStyle name="Comma 2 9 3 3 2 2" xfId="44443" xr:uid="{00000000-0005-0000-0000-0000EF690000}"/>
    <cellStyle name="Comma 2 9 3 3 2 3" xfId="38020" xr:uid="{00000000-0005-0000-0000-0000F0690000}"/>
    <cellStyle name="Comma 2 9 3 3 3" xfId="29335" xr:uid="{00000000-0005-0000-0000-0000F1690000}"/>
    <cellStyle name="Comma 2 9 3 3 3 2" xfId="41236" xr:uid="{00000000-0005-0000-0000-0000F2690000}"/>
    <cellStyle name="Comma 2 9 3 3 4" xfId="32670" xr:uid="{00000000-0005-0000-0000-0000F3690000}"/>
    <cellStyle name="Comma 2 9 3 3 5" xfId="34812" xr:uid="{00000000-0005-0000-0000-0000F4690000}"/>
    <cellStyle name="Comma 2 9 3 4" xfId="8817" xr:uid="{00000000-0005-0000-0000-0000F5690000}"/>
    <cellStyle name="Comma 2 9 3 4 2" xfId="43382" xr:uid="{00000000-0005-0000-0000-0000F6690000}"/>
    <cellStyle name="Comma 2 9 3 4 3" xfId="36958" xr:uid="{00000000-0005-0000-0000-0000F7690000}"/>
    <cellStyle name="Comma 2 9 3 5" xfId="21806" xr:uid="{00000000-0005-0000-0000-0000F8690000}"/>
    <cellStyle name="Comma 2 9 3 5 2" xfId="40175" xr:uid="{00000000-0005-0000-0000-0000F9690000}"/>
    <cellStyle name="Comma 2 9 3 6" xfId="22879" xr:uid="{00000000-0005-0000-0000-0000FA690000}"/>
    <cellStyle name="Comma 2 9 3 7" xfId="23953" xr:uid="{00000000-0005-0000-0000-0000FB690000}"/>
    <cellStyle name="Comma 2 9 3 8" xfId="27201" xr:uid="{00000000-0005-0000-0000-0000FC690000}"/>
    <cellStyle name="Comma 2 9 3 9" xfId="30534" xr:uid="{00000000-0005-0000-0000-0000FD690000}"/>
    <cellStyle name="Comma 2 9 4" xfId="1528" xr:uid="{00000000-0005-0000-0000-0000FE690000}"/>
    <cellStyle name="Comma 2 9 4 10" xfId="33752" xr:uid="{00000000-0005-0000-0000-0000FF690000}"/>
    <cellStyle name="Comma 2 9 4 2" xfId="10298" xr:uid="{00000000-0005-0000-0000-0000006A0000}"/>
    <cellStyle name="Comma 2 9 4 2 2" xfId="26098" xr:uid="{00000000-0005-0000-0000-0000016A0000}"/>
    <cellStyle name="Comma 2 9 4 2 2 2" xfId="45525" xr:uid="{00000000-0005-0000-0000-0000026A0000}"/>
    <cellStyle name="Comma 2 9 4 2 2 3" xfId="39102" xr:uid="{00000000-0005-0000-0000-0000036A0000}"/>
    <cellStyle name="Comma 2 9 4 2 3" xfId="28276" xr:uid="{00000000-0005-0000-0000-0000046A0000}"/>
    <cellStyle name="Comma 2 9 4 2 3 2" xfId="42318" xr:uid="{00000000-0005-0000-0000-0000056A0000}"/>
    <cellStyle name="Comma 2 9 4 2 4" xfId="31611" xr:uid="{00000000-0005-0000-0000-0000066A0000}"/>
    <cellStyle name="Comma 2 9 4 2 5" xfId="35894" xr:uid="{00000000-0005-0000-0000-0000076A0000}"/>
    <cellStyle name="Comma 2 9 4 3" xfId="16000" xr:uid="{00000000-0005-0000-0000-0000086A0000}"/>
    <cellStyle name="Comma 2 9 4 3 2" xfId="25015" xr:uid="{00000000-0005-0000-0000-0000096A0000}"/>
    <cellStyle name="Comma 2 9 4 3 2 2" xfId="44444" xr:uid="{00000000-0005-0000-0000-00000A6A0000}"/>
    <cellStyle name="Comma 2 9 4 3 2 3" xfId="38021" xr:uid="{00000000-0005-0000-0000-00000B6A0000}"/>
    <cellStyle name="Comma 2 9 4 3 3" xfId="29336" xr:uid="{00000000-0005-0000-0000-00000C6A0000}"/>
    <cellStyle name="Comma 2 9 4 3 3 2" xfId="41237" xr:uid="{00000000-0005-0000-0000-00000D6A0000}"/>
    <cellStyle name="Comma 2 9 4 3 4" xfId="32671" xr:uid="{00000000-0005-0000-0000-00000E6A0000}"/>
    <cellStyle name="Comma 2 9 4 3 5" xfId="34813" xr:uid="{00000000-0005-0000-0000-00000F6A0000}"/>
    <cellStyle name="Comma 2 9 4 4" xfId="8818" xr:uid="{00000000-0005-0000-0000-0000106A0000}"/>
    <cellStyle name="Comma 2 9 4 4 2" xfId="43383" xr:uid="{00000000-0005-0000-0000-0000116A0000}"/>
    <cellStyle name="Comma 2 9 4 4 3" xfId="36959" xr:uid="{00000000-0005-0000-0000-0000126A0000}"/>
    <cellStyle name="Comma 2 9 4 5" xfId="21807" xr:uid="{00000000-0005-0000-0000-0000136A0000}"/>
    <cellStyle name="Comma 2 9 4 5 2" xfId="40176" xr:uid="{00000000-0005-0000-0000-0000146A0000}"/>
    <cellStyle name="Comma 2 9 4 6" xfId="22880" xr:uid="{00000000-0005-0000-0000-0000156A0000}"/>
    <cellStyle name="Comma 2 9 4 7" xfId="23954" xr:uid="{00000000-0005-0000-0000-0000166A0000}"/>
    <cellStyle name="Comma 2 9 4 8" xfId="27202" xr:uid="{00000000-0005-0000-0000-0000176A0000}"/>
    <cellStyle name="Comma 2 9 4 9" xfId="30535" xr:uid="{00000000-0005-0000-0000-0000186A0000}"/>
    <cellStyle name="Comma 2 9 5" xfId="1529" xr:uid="{00000000-0005-0000-0000-0000196A0000}"/>
    <cellStyle name="Comma 2 9 5 10" xfId="33753" xr:uid="{00000000-0005-0000-0000-00001A6A0000}"/>
    <cellStyle name="Comma 2 9 5 2" xfId="10299" xr:uid="{00000000-0005-0000-0000-00001B6A0000}"/>
    <cellStyle name="Comma 2 9 5 2 2" xfId="26099" xr:uid="{00000000-0005-0000-0000-00001C6A0000}"/>
    <cellStyle name="Comma 2 9 5 2 2 2" xfId="45526" xr:uid="{00000000-0005-0000-0000-00001D6A0000}"/>
    <cellStyle name="Comma 2 9 5 2 2 3" xfId="39103" xr:uid="{00000000-0005-0000-0000-00001E6A0000}"/>
    <cellStyle name="Comma 2 9 5 2 3" xfId="28277" xr:uid="{00000000-0005-0000-0000-00001F6A0000}"/>
    <cellStyle name="Comma 2 9 5 2 3 2" xfId="42319" xr:uid="{00000000-0005-0000-0000-0000206A0000}"/>
    <cellStyle name="Comma 2 9 5 2 4" xfId="31612" xr:uid="{00000000-0005-0000-0000-0000216A0000}"/>
    <cellStyle name="Comma 2 9 5 2 5" xfId="35895" xr:uid="{00000000-0005-0000-0000-0000226A0000}"/>
    <cellStyle name="Comma 2 9 5 3" xfId="16001" xr:uid="{00000000-0005-0000-0000-0000236A0000}"/>
    <cellStyle name="Comma 2 9 5 3 2" xfId="25016" xr:uid="{00000000-0005-0000-0000-0000246A0000}"/>
    <cellStyle name="Comma 2 9 5 3 2 2" xfId="44445" xr:uid="{00000000-0005-0000-0000-0000256A0000}"/>
    <cellStyle name="Comma 2 9 5 3 2 3" xfId="38022" xr:uid="{00000000-0005-0000-0000-0000266A0000}"/>
    <cellStyle name="Comma 2 9 5 3 3" xfId="29337" xr:uid="{00000000-0005-0000-0000-0000276A0000}"/>
    <cellStyle name="Comma 2 9 5 3 3 2" xfId="41238" xr:uid="{00000000-0005-0000-0000-0000286A0000}"/>
    <cellStyle name="Comma 2 9 5 3 4" xfId="32672" xr:uid="{00000000-0005-0000-0000-0000296A0000}"/>
    <cellStyle name="Comma 2 9 5 3 5" xfId="34814" xr:uid="{00000000-0005-0000-0000-00002A6A0000}"/>
    <cellStyle name="Comma 2 9 5 4" xfId="8819" xr:uid="{00000000-0005-0000-0000-00002B6A0000}"/>
    <cellStyle name="Comma 2 9 5 4 2" xfId="43384" xr:uid="{00000000-0005-0000-0000-00002C6A0000}"/>
    <cellStyle name="Comma 2 9 5 4 3" xfId="36960" xr:uid="{00000000-0005-0000-0000-00002D6A0000}"/>
    <cellStyle name="Comma 2 9 5 5" xfId="21808" xr:uid="{00000000-0005-0000-0000-00002E6A0000}"/>
    <cellStyle name="Comma 2 9 5 5 2" xfId="40177" xr:uid="{00000000-0005-0000-0000-00002F6A0000}"/>
    <cellStyle name="Comma 2 9 5 6" xfId="22881" xr:uid="{00000000-0005-0000-0000-0000306A0000}"/>
    <cellStyle name="Comma 2 9 5 7" xfId="23955" xr:uid="{00000000-0005-0000-0000-0000316A0000}"/>
    <cellStyle name="Comma 2 9 5 8" xfId="27203" xr:uid="{00000000-0005-0000-0000-0000326A0000}"/>
    <cellStyle name="Comma 2 9 5 9" xfId="30536" xr:uid="{00000000-0005-0000-0000-0000336A0000}"/>
    <cellStyle name="Comma 2 9 6" xfId="10295" xr:uid="{00000000-0005-0000-0000-0000346A0000}"/>
    <cellStyle name="Comma 2 9 6 2" xfId="26095" xr:uid="{00000000-0005-0000-0000-0000356A0000}"/>
    <cellStyle name="Comma 2 9 6 2 2" xfId="45522" xr:uid="{00000000-0005-0000-0000-0000366A0000}"/>
    <cellStyle name="Comma 2 9 6 2 3" xfId="39099" xr:uid="{00000000-0005-0000-0000-0000376A0000}"/>
    <cellStyle name="Comma 2 9 6 3" xfId="28273" xr:uid="{00000000-0005-0000-0000-0000386A0000}"/>
    <cellStyle name="Comma 2 9 6 3 2" xfId="42315" xr:uid="{00000000-0005-0000-0000-0000396A0000}"/>
    <cellStyle name="Comma 2 9 6 4" xfId="31608" xr:uid="{00000000-0005-0000-0000-00003A6A0000}"/>
    <cellStyle name="Comma 2 9 6 5" xfId="35891" xr:uid="{00000000-0005-0000-0000-00003B6A0000}"/>
    <cellStyle name="Comma 2 9 7" xfId="15997" xr:uid="{00000000-0005-0000-0000-00003C6A0000}"/>
    <cellStyle name="Comma 2 9 7 2" xfId="25012" xr:uid="{00000000-0005-0000-0000-00003D6A0000}"/>
    <cellStyle name="Comma 2 9 7 2 2" xfId="44441" xr:uid="{00000000-0005-0000-0000-00003E6A0000}"/>
    <cellStyle name="Comma 2 9 7 2 3" xfId="38018" xr:uid="{00000000-0005-0000-0000-00003F6A0000}"/>
    <cellStyle name="Comma 2 9 7 3" xfId="29333" xr:uid="{00000000-0005-0000-0000-0000406A0000}"/>
    <cellStyle name="Comma 2 9 7 3 2" xfId="41234" xr:uid="{00000000-0005-0000-0000-0000416A0000}"/>
    <cellStyle name="Comma 2 9 7 4" xfId="32668" xr:uid="{00000000-0005-0000-0000-0000426A0000}"/>
    <cellStyle name="Comma 2 9 7 5" xfId="34810" xr:uid="{00000000-0005-0000-0000-0000436A0000}"/>
    <cellStyle name="Comma 2 9 8" xfId="8815" xr:uid="{00000000-0005-0000-0000-0000446A0000}"/>
    <cellStyle name="Comma 2 9 8 2" xfId="43380" xr:uid="{00000000-0005-0000-0000-0000456A0000}"/>
    <cellStyle name="Comma 2 9 8 3" xfId="36956" xr:uid="{00000000-0005-0000-0000-0000466A0000}"/>
    <cellStyle name="Comma 2 9 9" xfId="21804" xr:uid="{00000000-0005-0000-0000-0000476A0000}"/>
    <cellStyle name="Comma 2 9 9 2" xfId="40173" xr:uid="{00000000-0005-0000-0000-0000486A0000}"/>
    <cellStyle name="Comma 2_Gigajoule Data" xfId="171" xr:uid="{00000000-0005-0000-0000-0000496A0000}"/>
    <cellStyle name="Comma 20" xfId="14853" xr:uid="{00000000-0005-0000-0000-00004A6A0000}"/>
    <cellStyle name="Comma 20 2" xfId="24029" xr:uid="{00000000-0005-0000-0000-00004B6A0000}"/>
    <cellStyle name="Comma 20 2 2" xfId="43458" xr:uid="{00000000-0005-0000-0000-00004C6A0000}"/>
    <cellStyle name="Comma 20 2 3" xfId="37034" xr:uid="{00000000-0005-0000-0000-00004D6A0000}"/>
    <cellStyle name="Comma 20 3" xfId="28354" xr:uid="{00000000-0005-0000-0000-00004E6A0000}"/>
    <cellStyle name="Comma 20 3 2" xfId="40251" xr:uid="{00000000-0005-0000-0000-00004F6A0000}"/>
    <cellStyle name="Comma 20 4" xfId="31689" xr:uid="{00000000-0005-0000-0000-0000506A0000}"/>
    <cellStyle name="Comma 20 5" xfId="33827" xr:uid="{00000000-0005-0000-0000-0000516A0000}"/>
    <cellStyle name="Comma 21" xfId="20825" xr:uid="{00000000-0005-0000-0000-0000526A0000}"/>
    <cellStyle name="Comma 21 2" xfId="42397" xr:uid="{00000000-0005-0000-0000-0000536A0000}"/>
    <cellStyle name="Comma 21 3" xfId="35973" xr:uid="{00000000-0005-0000-0000-0000546A0000}"/>
    <cellStyle name="Comma 22" xfId="21898" xr:uid="{00000000-0005-0000-0000-0000556A0000}"/>
    <cellStyle name="Comma 22 2" xfId="39190" xr:uid="{00000000-0005-0000-0000-0000566A0000}"/>
    <cellStyle name="Comma 23" xfId="22967" xr:uid="{00000000-0005-0000-0000-0000576A0000}"/>
    <cellStyle name="Comma 24" xfId="26178" xr:uid="{00000000-0005-0000-0000-0000586A0000}"/>
    <cellStyle name="Comma 25" xfId="26177" xr:uid="{00000000-0005-0000-0000-0000596A0000}"/>
    <cellStyle name="Comma 26" xfId="26179" xr:uid="{00000000-0005-0000-0000-00005A6A0000}"/>
    <cellStyle name="Comma 27" xfId="26180" xr:uid="{00000000-0005-0000-0000-00005B6A0000}"/>
    <cellStyle name="Comma 28" xfId="26181" xr:uid="{00000000-0005-0000-0000-00005C6A0000}"/>
    <cellStyle name="Comma 29" xfId="26183" xr:uid="{00000000-0005-0000-0000-00005D6A0000}"/>
    <cellStyle name="Comma 3" xfId="50" xr:uid="{00000000-0005-0000-0000-00005E6A0000}"/>
    <cellStyle name="Comma 3 2" xfId="136" xr:uid="{00000000-0005-0000-0000-00005F6A0000}"/>
    <cellStyle name="Comma 3 2 2" xfId="26204" xr:uid="{00000000-0005-0000-0000-0000606A0000}"/>
    <cellStyle name="Comma 3 3" xfId="300" xr:uid="{00000000-0005-0000-0000-0000616A0000}"/>
    <cellStyle name="Comma 3 3 10" xfId="32869" xr:uid="{00000000-0005-0000-0000-0000626A0000}"/>
    <cellStyle name="Comma 3 3 2" xfId="9156" xr:uid="{00000000-0005-0000-0000-0000636A0000}"/>
    <cellStyle name="Comma 3 3 2 2" xfId="25210" xr:uid="{00000000-0005-0000-0000-0000646A0000}"/>
    <cellStyle name="Comma 3 3 2 2 2" xfId="44637" xr:uid="{00000000-0005-0000-0000-0000656A0000}"/>
    <cellStyle name="Comma 3 3 2 2 3" xfId="38214" xr:uid="{00000000-0005-0000-0000-0000666A0000}"/>
    <cellStyle name="Comma 3 3 2 3" xfId="27389" xr:uid="{00000000-0005-0000-0000-0000676A0000}"/>
    <cellStyle name="Comma 3 3 2 3 2" xfId="41430" xr:uid="{00000000-0005-0000-0000-0000686A0000}"/>
    <cellStyle name="Comma 3 3 2 4" xfId="30724" xr:uid="{00000000-0005-0000-0000-0000696A0000}"/>
    <cellStyle name="Comma 3 3 2 5" xfId="35006" xr:uid="{00000000-0005-0000-0000-00006A6A0000}"/>
    <cellStyle name="Comma 3 3 3" xfId="16002" xr:uid="{00000000-0005-0000-0000-00006B6A0000}"/>
    <cellStyle name="Comma 3 3 3 2" xfId="25017" xr:uid="{00000000-0005-0000-0000-00006C6A0000}"/>
    <cellStyle name="Comma 3 3 3 2 2" xfId="44446" xr:uid="{00000000-0005-0000-0000-00006D6A0000}"/>
    <cellStyle name="Comma 3 3 3 2 3" xfId="38023" xr:uid="{00000000-0005-0000-0000-00006E6A0000}"/>
    <cellStyle name="Comma 3 3 3 3" xfId="29338" xr:uid="{00000000-0005-0000-0000-00006F6A0000}"/>
    <cellStyle name="Comma 3 3 3 3 2" xfId="41239" xr:uid="{00000000-0005-0000-0000-0000706A0000}"/>
    <cellStyle name="Comma 3 3 3 4" xfId="32673" xr:uid="{00000000-0005-0000-0000-0000716A0000}"/>
    <cellStyle name="Comma 3 3 3 5" xfId="34815" xr:uid="{00000000-0005-0000-0000-0000726A0000}"/>
    <cellStyle name="Comma 3 3 4" xfId="8820" xr:uid="{00000000-0005-0000-0000-0000736A0000}"/>
    <cellStyle name="Comma 3 3 4 2" xfId="42500" xr:uid="{00000000-0005-0000-0000-0000746A0000}"/>
    <cellStyle name="Comma 3 3 4 3" xfId="36076" xr:uid="{00000000-0005-0000-0000-0000756A0000}"/>
    <cellStyle name="Comma 3 3 5" xfId="21809" xr:uid="{00000000-0005-0000-0000-0000766A0000}"/>
    <cellStyle name="Comma 3 3 5 2" xfId="39293" xr:uid="{00000000-0005-0000-0000-0000776A0000}"/>
    <cellStyle name="Comma 3 3 6" xfId="22883" xr:uid="{00000000-0005-0000-0000-0000786A0000}"/>
    <cellStyle name="Comma 3 3 7" xfId="23071" xr:uid="{00000000-0005-0000-0000-0000796A0000}"/>
    <cellStyle name="Comma 3 3 8" xfId="27204" xr:uid="{00000000-0005-0000-0000-00007A6A0000}"/>
    <cellStyle name="Comma 3 3 9" xfId="30537" xr:uid="{00000000-0005-0000-0000-00007B6A0000}"/>
    <cellStyle name="Comma 3 4" xfId="1530" xr:uid="{00000000-0005-0000-0000-00007C6A0000}"/>
    <cellStyle name="Comma 3 4 10" xfId="33754" xr:uid="{00000000-0005-0000-0000-00007D6A0000}"/>
    <cellStyle name="Comma 3 4 2" xfId="10300" xr:uid="{00000000-0005-0000-0000-00007E6A0000}"/>
    <cellStyle name="Comma 3 4 2 2" xfId="26100" xr:uid="{00000000-0005-0000-0000-00007F6A0000}"/>
    <cellStyle name="Comma 3 4 2 2 2" xfId="45527" xr:uid="{00000000-0005-0000-0000-0000806A0000}"/>
    <cellStyle name="Comma 3 4 2 2 3" xfId="39104" xr:uid="{00000000-0005-0000-0000-0000816A0000}"/>
    <cellStyle name="Comma 3 4 2 3" xfId="28278" xr:uid="{00000000-0005-0000-0000-0000826A0000}"/>
    <cellStyle name="Comma 3 4 2 3 2" xfId="42320" xr:uid="{00000000-0005-0000-0000-0000836A0000}"/>
    <cellStyle name="Comma 3 4 2 4" xfId="31613" xr:uid="{00000000-0005-0000-0000-0000846A0000}"/>
    <cellStyle name="Comma 3 4 2 5" xfId="35896" xr:uid="{00000000-0005-0000-0000-0000856A0000}"/>
    <cellStyle name="Comma 3 4 3" xfId="16003" xr:uid="{00000000-0005-0000-0000-0000866A0000}"/>
    <cellStyle name="Comma 3 4 3 2" xfId="25018" xr:uid="{00000000-0005-0000-0000-0000876A0000}"/>
    <cellStyle name="Comma 3 4 3 2 2" xfId="44447" xr:uid="{00000000-0005-0000-0000-0000886A0000}"/>
    <cellStyle name="Comma 3 4 3 2 3" xfId="38024" xr:uid="{00000000-0005-0000-0000-0000896A0000}"/>
    <cellStyle name="Comma 3 4 3 3" xfId="29339" xr:uid="{00000000-0005-0000-0000-00008A6A0000}"/>
    <cellStyle name="Comma 3 4 3 3 2" xfId="41240" xr:uid="{00000000-0005-0000-0000-00008B6A0000}"/>
    <cellStyle name="Comma 3 4 3 4" xfId="32674" xr:uid="{00000000-0005-0000-0000-00008C6A0000}"/>
    <cellStyle name="Comma 3 4 3 5" xfId="34816" xr:uid="{00000000-0005-0000-0000-00008D6A0000}"/>
    <cellStyle name="Comma 3 4 4" xfId="8821" xr:uid="{00000000-0005-0000-0000-00008E6A0000}"/>
    <cellStyle name="Comma 3 4 4 2" xfId="43385" xr:uid="{00000000-0005-0000-0000-00008F6A0000}"/>
    <cellStyle name="Comma 3 4 4 3" xfId="36961" xr:uid="{00000000-0005-0000-0000-0000906A0000}"/>
    <cellStyle name="Comma 3 4 5" xfId="21810" xr:uid="{00000000-0005-0000-0000-0000916A0000}"/>
    <cellStyle name="Comma 3 4 5 2" xfId="40178" xr:uid="{00000000-0005-0000-0000-0000926A0000}"/>
    <cellStyle name="Comma 3 4 6" xfId="22884" xr:uid="{00000000-0005-0000-0000-0000936A0000}"/>
    <cellStyle name="Comma 3 4 7" xfId="23956" xr:uid="{00000000-0005-0000-0000-0000946A0000}"/>
    <cellStyle name="Comma 3 4 8" xfId="27205" xr:uid="{00000000-0005-0000-0000-0000956A0000}"/>
    <cellStyle name="Comma 3 4 9" xfId="30538" xr:uid="{00000000-0005-0000-0000-0000966A0000}"/>
    <cellStyle name="Comma 3 5" xfId="1531" xr:uid="{00000000-0005-0000-0000-0000976A0000}"/>
    <cellStyle name="Comma 3 6" xfId="1532" xr:uid="{00000000-0005-0000-0000-0000986A0000}"/>
    <cellStyle name="Comma 3 6 10" xfId="33755" xr:uid="{00000000-0005-0000-0000-0000996A0000}"/>
    <cellStyle name="Comma 3 6 2" xfId="10301" xr:uid="{00000000-0005-0000-0000-00009A6A0000}"/>
    <cellStyle name="Comma 3 6 2 2" xfId="26101" xr:uid="{00000000-0005-0000-0000-00009B6A0000}"/>
    <cellStyle name="Comma 3 6 2 2 2" xfId="45528" xr:uid="{00000000-0005-0000-0000-00009C6A0000}"/>
    <cellStyle name="Comma 3 6 2 2 3" xfId="39105" xr:uid="{00000000-0005-0000-0000-00009D6A0000}"/>
    <cellStyle name="Comma 3 6 2 3" xfId="28279" xr:uid="{00000000-0005-0000-0000-00009E6A0000}"/>
    <cellStyle name="Comma 3 6 2 3 2" xfId="42321" xr:uid="{00000000-0005-0000-0000-00009F6A0000}"/>
    <cellStyle name="Comma 3 6 2 4" xfId="31614" xr:uid="{00000000-0005-0000-0000-0000A06A0000}"/>
    <cellStyle name="Comma 3 6 2 5" xfId="35897" xr:uid="{00000000-0005-0000-0000-0000A16A0000}"/>
    <cellStyle name="Comma 3 6 3" xfId="16004" xr:uid="{00000000-0005-0000-0000-0000A26A0000}"/>
    <cellStyle name="Comma 3 6 3 2" xfId="25019" xr:uid="{00000000-0005-0000-0000-0000A36A0000}"/>
    <cellStyle name="Comma 3 6 3 2 2" xfId="44448" xr:uid="{00000000-0005-0000-0000-0000A46A0000}"/>
    <cellStyle name="Comma 3 6 3 2 3" xfId="38025" xr:uid="{00000000-0005-0000-0000-0000A56A0000}"/>
    <cellStyle name="Comma 3 6 3 3" xfId="29340" xr:uid="{00000000-0005-0000-0000-0000A66A0000}"/>
    <cellStyle name="Comma 3 6 3 3 2" xfId="41241" xr:uid="{00000000-0005-0000-0000-0000A76A0000}"/>
    <cellStyle name="Comma 3 6 3 4" xfId="32675" xr:uid="{00000000-0005-0000-0000-0000A86A0000}"/>
    <cellStyle name="Comma 3 6 3 5" xfId="34817" xr:uid="{00000000-0005-0000-0000-0000A96A0000}"/>
    <cellStyle name="Comma 3 6 4" xfId="8822" xr:uid="{00000000-0005-0000-0000-0000AA6A0000}"/>
    <cellStyle name="Comma 3 6 4 2" xfId="43386" xr:uid="{00000000-0005-0000-0000-0000AB6A0000}"/>
    <cellStyle name="Comma 3 6 4 3" xfId="36962" xr:uid="{00000000-0005-0000-0000-0000AC6A0000}"/>
    <cellStyle name="Comma 3 6 5" xfId="21811" xr:uid="{00000000-0005-0000-0000-0000AD6A0000}"/>
    <cellStyle name="Comma 3 6 5 2" xfId="40179" xr:uid="{00000000-0005-0000-0000-0000AE6A0000}"/>
    <cellStyle name="Comma 3 6 6" xfId="22885" xr:uid="{00000000-0005-0000-0000-0000AF6A0000}"/>
    <cellStyle name="Comma 3 6 7" xfId="23957" xr:uid="{00000000-0005-0000-0000-0000B06A0000}"/>
    <cellStyle name="Comma 3 6 8" xfId="27206" xr:uid="{00000000-0005-0000-0000-0000B16A0000}"/>
    <cellStyle name="Comma 3 6 9" xfId="30539" xr:uid="{00000000-0005-0000-0000-0000B26A0000}"/>
    <cellStyle name="Comma 3 7" xfId="29505" xr:uid="{00000000-0005-0000-0000-0000B36A0000}"/>
    <cellStyle name="Comma 3 7 2" xfId="32762" xr:uid="{00000000-0005-0000-0000-0000B46A0000}"/>
    <cellStyle name="Comma 3_Data - Monthly Commodity Prices" xfId="6388" xr:uid="{00000000-0005-0000-0000-0000B56A0000}"/>
    <cellStyle name="Comma 30" xfId="26182" xr:uid="{00000000-0005-0000-0000-0000B66A0000}"/>
    <cellStyle name="Comma 31" xfId="26185" xr:uid="{00000000-0005-0000-0000-0000B76A0000}"/>
    <cellStyle name="Comma 32" xfId="26184" xr:uid="{00000000-0005-0000-0000-0000B86A0000}"/>
    <cellStyle name="Comma 33" xfId="26186" xr:uid="{00000000-0005-0000-0000-0000B96A0000}"/>
    <cellStyle name="Comma 34" xfId="26187" xr:uid="{00000000-0005-0000-0000-0000BA6A0000}"/>
    <cellStyle name="Comma 35" xfId="26188" xr:uid="{00000000-0005-0000-0000-0000BB6A0000}"/>
    <cellStyle name="Comma 36" xfId="32765" xr:uid="{00000000-0005-0000-0000-0000BC6A0000}"/>
    <cellStyle name="Comma 37" xfId="45612" xr:uid="{00000000-0005-0000-0000-0000BD6A0000}"/>
    <cellStyle name="Comma 4" xfId="91" xr:uid="{00000000-0005-0000-0000-0000BE6A0000}"/>
    <cellStyle name="Comma 4 10" xfId="20832" xr:uid="{00000000-0005-0000-0000-0000BF6A0000}"/>
    <cellStyle name="Comma 4 10 2" xfId="39193" xr:uid="{00000000-0005-0000-0000-0000C06A0000}"/>
    <cellStyle name="Comma 4 11" xfId="21905" xr:uid="{00000000-0005-0000-0000-0000C16A0000}"/>
    <cellStyle name="Comma 4 12" xfId="22971" xr:uid="{00000000-0005-0000-0000-0000C26A0000}"/>
    <cellStyle name="Comma 4 13" xfId="26225" xr:uid="{00000000-0005-0000-0000-0000C36A0000}"/>
    <cellStyle name="Comma 4 14" xfId="29558" xr:uid="{00000000-0005-0000-0000-0000C46A0000}"/>
    <cellStyle name="Comma 4 15" xfId="32769" xr:uid="{00000000-0005-0000-0000-0000C56A0000}"/>
    <cellStyle name="Comma 4 2" xfId="302" xr:uid="{00000000-0005-0000-0000-0000C66A0000}"/>
    <cellStyle name="Comma 4 2 10" xfId="27207" xr:uid="{00000000-0005-0000-0000-0000C76A0000}"/>
    <cellStyle name="Comma 4 2 11" xfId="30540" xr:uid="{00000000-0005-0000-0000-0000C86A0000}"/>
    <cellStyle name="Comma 4 2 12" xfId="32871" xr:uid="{00000000-0005-0000-0000-0000C96A0000}"/>
    <cellStyle name="Comma 4 2 2" xfId="1533" xr:uid="{00000000-0005-0000-0000-0000CA6A0000}"/>
    <cellStyle name="Comma 4 2 2 10" xfId="33756" xr:uid="{00000000-0005-0000-0000-0000CB6A0000}"/>
    <cellStyle name="Comma 4 2 2 2" xfId="10302" xr:uid="{00000000-0005-0000-0000-0000CC6A0000}"/>
    <cellStyle name="Comma 4 2 2 2 2" xfId="26102" xr:uid="{00000000-0005-0000-0000-0000CD6A0000}"/>
    <cellStyle name="Comma 4 2 2 2 2 2" xfId="45529" xr:uid="{00000000-0005-0000-0000-0000CE6A0000}"/>
    <cellStyle name="Comma 4 2 2 2 2 3" xfId="39106" xr:uid="{00000000-0005-0000-0000-0000CF6A0000}"/>
    <cellStyle name="Comma 4 2 2 2 3" xfId="28280" xr:uid="{00000000-0005-0000-0000-0000D06A0000}"/>
    <cellStyle name="Comma 4 2 2 2 3 2" xfId="42322" xr:uid="{00000000-0005-0000-0000-0000D16A0000}"/>
    <cellStyle name="Comma 4 2 2 2 4" xfId="31615" xr:uid="{00000000-0005-0000-0000-0000D26A0000}"/>
    <cellStyle name="Comma 4 2 2 2 5" xfId="35898" xr:uid="{00000000-0005-0000-0000-0000D36A0000}"/>
    <cellStyle name="Comma 4 2 2 3" xfId="16006" xr:uid="{00000000-0005-0000-0000-0000D46A0000}"/>
    <cellStyle name="Comma 4 2 2 3 2" xfId="25021" xr:uid="{00000000-0005-0000-0000-0000D56A0000}"/>
    <cellStyle name="Comma 4 2 2 3 2 2" xfId="44450" xr:uid="{00000000-0005-0000-0000-0000D66A0000}"/>
    <cellStyle name="Comma 4 2 2 3 2 3" xfId="38027" xr:uid="{00000000-0005-0000-0000-0000D76A0000}"/>
    <cellStyle name="Comma 4 2 2 3 3" xfId="29342" xr:uid="{00000000-0005-0000-0000-0000D86A0000}"/>
    <cellStyle name="Comma 4 2 2 3 3 2" xfId="41243" xr:uid="{00000000-0005-0000-0000-0000D96A0000}"/>
    <cellStyle name="Comma 4 2 2 3 4" xfId="32677" xr:uid="{00000000-0005-0000-0000-0000DA6A0000}"/>
    <cellStyle name="Comma 4 2 2 3 5" xfId="34819" xr:uid="{00000000-0005-0000-0000-0000DB6A0000}"/>
    <cellStyle name="Comma 4 2 2 4" xfId="8824" xr:uid="{00000000-0005-0000-0000-0000DC6A0000}"/>
    <cellStyle name="Comma 4 2 2 4 2" xfId="43387" xr:uid="{00000000-0005-0000-0000-0000DD6A0000}"/>
    <cellStyle name="Comma 4 2 2 4 3" xfId="36963" xr:uid="{00000000-0005-0000-0000-0000DE6A0000}"/>
    <cellStyle name="Comma 4 2 2 5" xfId="21813" xr:uid="{00000000-0005-0000-0000-0000DF6A0000}"/>
    <cellStyle name="Comma 4 2 2 5 2" xfId="40180" xr:uid="{00000000-0005-0000-0000-0000E06A0000}"/>
    <cellStyle name="Comma 4 2 2 6" xfId="22887" xr:uid="{00000000-0005-0000-0000-0000E16A0000}"/>
    <cellStyle name="Comma 4 2 2 7" xfId="23958" xr:uid="{00000000-0005-0000-0000-0000E26A0000}"/>
    <cellStyle name="Comma 4 2 2 8" xfId="27208" xr:uid="{00000000-0005-0000-0000-0000E36A0000}"/>
    <cellStyle name="Comma 4 2 2 9" xfId="30541" xr:uid="{00000000-0005-0000-0000-0000E46A0000}"/>
    <cellStyle name="Comma 4 2 3" xfId="1534" xr:uid="{00000000-0005-0000-0000-0000E56A0000}"/>
    <cellStyle name="Comma 4 2 3 10" xfId="21814" xr:uid="{00000000-0005-0000-0000-0000E66A0000}"/>
    <cellStyle name="Comma 4 2 3 10 2" xfId="40181" xr:uid="{00000000-0005-0000-0000-0000E76A0000}"/>
    <cellStyle name="Comma 4 2 3 11" xfId="22888" xr:uid="{00000000-0005-0000-0000-0000E86A0000}"/>
    <cellStyle name="Comma 4 2 3 12" xfId="23959" xr:uid="{00000000-0005-0000-0000-0000E96A0000}"/>
    <cellStyle name="Comma 4 2 3 13" xfId="27209" xr:uid="{00000000-0005-0000-0000-0000EA6A0000}"/>
    <cellStyle name="Comma 4 2 3 14" xfId="30542" xr:uid="{00000000-0005-0000-0000-0000EB6A0000}"/>
    <cellStyle name="Comma 4 2 3 15" xfId="33757" xr:uid="{00000000-0005-0000-0000-0000EC6A0000}"/>
    <cellStyle name="Comma 4 2 3 2" xfId="1535" xr:uid="{00000000-0005-0000-0000-0000ED6A0000}"/>
    <cellStyle name="Comma 4 2 3 2 10" xfId="22889" xr:uid="{00000000-0005-0000-0000-0000EE6A0000}"/>
    <cellStyle name="Comma 4 2 3 2 11" xfId="23960" xr:uid="{00000000-0005-0000-0000-0000EF6A0000}"/>
    <cellStyle name="Comma 4 2 3 2 12" xfId="27210" xr:uid="{00000000-0005-0000-0000-0000F06A0000}"/>
    <cellStyle name="Comma 4 2 3 2 13" xfId="30543" xr:uid="{00000000-0005-0000-0000-0000F16A0000}"/>
    <cellStyle name="Comma 4 2 3 2 14" xfId="33758" xr:uid="{00000000-0005-0000-0000-0000F26A0000}"/>
    <cellStyle name="Comma 4 2 3 2 2" xfId="1536" xr:uid="{00000000-0005-0000-0000-0000F36A0000}"/>
    <cellStyle name="Comma 4 2 3 2 2 10" xfId="33759" xr:uid="{00000000-0005-0000-0000-0000F46A0000}"/>
    <cellStyle name="Comma 4 2 3 2 2 2" xfId="10305" xr:uid="{00000000-0005-0000-0000-0000F56A0000}"/>
    <cellStyle name="Comma 4 2 3 2 2 2 2" xfId="26105" xr:uid="{00000000-0005-0000-0000-0000F66A0000}"/>
    <cellStyle name="Comma 4 2 3 2 2 2 2 2" xfId="45532" xr:uid="{00000000-0005-0000-0000-0000F76A0000}"/>
    <cellStyle name="Comma 4 2 3 2 2 2 2 3" xfId="39109" xr:uid="{00000000-0005-0000-0000-0000F86A0000}"/>
    <cellStyle name="Comma 4 2 3 2 2 2 3" xfId="28283" xr:uid="{00000000-0005-0000-0000-0000F96A0000}"/>
    <cellStyle name="Comma 4 2 3 2 2 2 3 2" xfId="42325" xr:uid="{00000000-0005-0000-0000-0000FA6A0000}"/>
    <cellStyle name="Comma 4 2 3 2 2 2 4" xfId="31618" xr:uid="{00000000-0005-0000-0000-0000FB6A0000}"/>
    <cellStyle name="Comma 4 2 3 2 2 2 5" xfId="35901" xr:uid="{00000000-0005-0000-0000-0000FC6A0000}"/>
    <cellStyle name="Comma 4 2 3 2 2 3" xfId="16009" xr:uid="{00000000-0005-0000-0000-0000FD6A0000}"/>
    <cellStyle name="Comma 4 2 3 2 2 3 2" xfId="25024" xr:uid="{00000000-0005-0000-0000-0000FE6A0000}"/>
    <cellStyle name="Comma 4 2 3 2 2 3 2 2" xfId="44453" xr:uid="{00000000-0005-0000-0000-0000FF6A0000}"/>
    <cellStyle name="Comma 4 2 3 2 2 3 2 3" xfId="38030" xr:uid="{00000000-0005-0000-0000-0000006B0000}"/>
    <cellStyle name="Comma 4 2 3 2 2 3 3" xfId="29345" xr:uid="{00000000-0005-0000-0000-0000016B0000}"/>
    <cellStyle name="Comma 4 2 3 2 2 3 3 2" xfId="41246" xr:uid="{00000000-0005-0000-0000-0000026B0000}"/>
    <cellStyle name="Comma 4 2 3 2 2 3 4" xfId="32680" xr:uid="{00000000-0005-0000-0000-0000036B0000}"/>
    <cellStyle name="Comma 4 2 3 2 2 3 5" xfId="34822" xr:uid="{00000000-0005-0000-0000-0000046B0000}"/>
    <cellStyle name="Comma 4 2 3 2 2 4" xfId="8827" xr:uid="{00000000-0005-0000-0000-0000056B0000}"/>
    <cellStyle name="Comma 4 2 3 2 2 4 2" xfId="43390" xr:uid="{00000000-0005-0000-0000-0000066B0000}"/>
    <cellStyle name="Comma 4 2 3 2 2 4 3" xfId="36966" xr:uid="{00000000-0005-0000-0000-0000076B0000}"/>
    <cellStyle name="Comma 4 2 3 2 2 5" xfId="21816" xr:uid="{00000000-0005-0000-0000-0000086B0000}"/>
    <cellStyle name="Comma 4 2 3 2 2 5 2" xfId="40183" xr:uid="{00000000-0005-0000-0000-0000096B0000}"/>
    <cellStyle name="Comma 4 2 3 2 2 6" xfId="22890" xr:uid="{00000000-0005-0000-0000-00000A6B0000}"/>
    <cellStyle name="Comma 4 2 3 2 2 7" xfId="23961" xr:uid="{00000000-0005-0000-0000-00000B6B0000}"/>
    <cellStyle name="Comma 4 2 3 2 2 8" xfId="27211" xr:uid="{00000000-0005-0000-0000-00000C6B0000}"/>
    <cellStyle name="Comma 4 2 3 2 2 9" xfId="30544" xr:uid="{00000000-0005-0000-0000-00000D6B0000}"/>
    <cellStyle name="Comma 4 2 3 2 3" xfId="1537" xr:uid="{00000000-0005-0000-0000-00000E6B0000}"/>
    <cellStyle name="Comma 4 2 3 2 3 10" xfId="33760" xr:uid="{00000000-0005-0000-0000-00000F6B0000}"/>
    <cellStyle name="Comma 4 2 3 2 3 2" xfId="10306" xr:uid="{00000000-0005-0000-0000-0000106B0000}"/>
    <cellStyle name="Comma 4 2 3 2 3 2 2" xfId="26106" xr:uid="{00000000-0005-0000-0000-0000116B0000}"/>
    <cellStyle name="Comma 4 2 3 2 3 2 2 2" xfId="45533" xr:uid="{00000000-0005-0000-0000-0000126B0000}"/>
    <cellStyle name="Comma 4 2 3 2 3 2 2 3" xfId="39110" xr:uid="{00000000-0005-0000-0000-0000136B0000}"/>
    <cellStyle name="Comma 4 2 3 2 3 2 3" xfId="28284" xr:uid="{00000000-0005-0000-0000-0000146B0000}"/>
    <cellStyle name="Comma 4 2 3 2 3 2 3 2" xfId="42326" xr:uid="{00000000-0005-0000-0000-0000156B0000}"/>
    <cellStyle name="Comma 4 2 3 2 3 2 4" xfId="31619" xr:uid="{00000000-0005-0000-0000-0000166B0000}"/>
    <cellStyle name="Comma 4 2 3 2 3 2 5" xfId="35902" xr:uid="{00000000-0005-0000-0000-0000176B0000}"/>
    <cellStyle name="Comma 4 2 3 2 3 3" xfId="16010" xr:uid="{00000000-0005-0000-0000-0000186B0000}"/>
    <cellStyle name="Comma 4 2 3 2 3 3 2" xfId="25025" xr:uid="{00000000-0005-0000-0000-0000196B0000}"/>
    <cellStyle name="Comma 4 2 3 2 3 3 2 2" xfId="44454" xr:uid="{00000000-0005-0000-0000-00001A6B0000}"/>
    <cellStyle name="Comma 4 2 3 2 3 3 2 3" xfId="38031" xr:uid="{00000000-0005-0000-0000-00001B6B0000}"/>
    <cellStyle name="Comma 4 2 3 2 3 3 3" xfId="29346" xr:uid="{00000000-0005-0000-0000-00001C6B0000}"/>
    <cellStyle name="Comma 4 2 3 2 3 3 3 2" xfId="41247" xr:uid="{00000000-0005-0000-0000-00001D6B0000}"/>
    <cellStyle name="Comma 4 2 3 2 3 3 4" xfId="32681" xr:uid="{00000000-0005-0000-0000-00001E6B0000}"/>
    <cellStyle name="Comma 4 2 3 2 3 3 5" xfId="34823" xr:uid="{00000000-0005-0000-0000-00001F6B0000}"/>
    <cellStyle name="Comma 4 2 3 2 3 4" xfId="8828" xr:uid="{00000000-0005-0000-0000-0000206B0000}"/>
    <cellStyle name="Comma 4 2 3 2 3 4 2" xfId="43391" xr:uid="{00000000-0005-0000-0000-0000216B0000}"/>
    <cellStyle name="Comma 4 2 3 2 3 4 3" xfId="36967" xr:uid="{00000000-0005-0000-0000-0000226B0000}"/>
    <cellStyle name="Comma 4 2 3 2 3 5" xfId="21817" xr:uid="{00000000-0005-0000-0000-0000236B0000}"/>
    <cellStyle name="Comma 4 2 3 2 3 5 2" xfId="40184" xr:uid="{00000000-0005-0000-0000-0000246B0000}"/>
    <cellStyle name="Comma 4 2 3 2 3 6" xfId="22891" xr:uid="{00000000-0005-0000-0000-0000256B0000}"/>
    <cellStyle name="Comma 4 2 3 2 3 7" xfId="23962" xr:uid="{00000000-0005-0000-0000-0000266B0000}"/>
    <cellStyle name="Comma 4 2 3 2 3 8" xfId="27212" xr:uid="{00000000-0005-0000-0000-0000276B0000}"/>
    <cellStyle name="Comma 4 2 3 2 3 9" xfId="30545" xr:uid="{00000000-0005-0000-0000-0000286B0000}"/>
    <cellStyle name="Comma 4 2 3 2 4" xfId="1538" xr:uid="{00000000-0005-0000-0000-0000296B0000}"/>
    <cellStyle name="Comma 4 2 3 2 4 10" xfId="33761" xr:uid="{00000000-0005-0000-0000-00002A6B0000}"/>
    <cellStyle name="Comma 4 2 3 2 4 2" xfId="10307" xr:uid="{00000000-0005-0000-0000-00002B6B0000}"/>
    <cellStyle name="Comma 4 2 3 2 4 2 2" xfId="26107" xr:uid="{00000000-0005-0000-0000-00002C6B0000}"/>
    <cellStyle name="Comma 4 2 3 2 4 2 2 2" xfId="45534" xr:uid="{00000000-0005-0000-0000-00002D6B0000}"/>
    <cellStyle name="Comma 4 2 3 2 4 2 2 3" xfId="39111" xr:uid="{00000000-0005-0000-0000-00002E6B0000}"/>
    <cellStyle name="Comma 4 2 3 2 4 2 3" xfId="28285" xr:uid="{00000000-0005-0000-0000-00002F6B0000}"/>
    <cellStyle name="Comma 4 2 3 2 4 2 3 2" xfId="42327" xr:uid="{00000000-0005-0000-0000-0000306B0000}"/>
    <cellStyle name="Comma 4 2 3 2 4 2 4" xfId="31620" xr:uid="{00000000-0005-0000-0000-0000316B0000}"/>
    <cellStyle name="Comma 4 2 3 2 4 2 5" xfId="35903" xr:uid="{00000000-0005-0000-0000-0000326B0000}"/>
    <cellStyle name="Comma 4 2 3 2 4 3" xfId="16011" xr:uid="{00000000-0005-0000-0000-0000336B0000}"/>
    <cellStyle name="Comma 4 2 3 2 4 3 2" xfId="25026" xr:uid="{00000000-0005-0000-0000-0000346B0000}"/>
    <cellStyle name="Comma 4 2 3 2 4 3 2 2" xfId="44455" xr:uid="{00000000-0005-0000-0000-0000356B0000}"/>
    <cellStyle name="Comma 4 2 3 2 4 3 2 3" xfId="38032" xr:uid="{00000000-0005-0000-0000-0000366B0000}"/>
    <cellStyle name="Comma 4 2 3 2 4 3 3" xfId="29347" xr:uid="{00000000-0005-0000-0000-0000376B0000}"/>
    <cellStyle name="Comma 4 2 3 2 4 3 3 2" xfId="41248" xr:uid="{00000000-0005-0000-0000-0000386B0000}"/>
    <cellStyle name="Comma 4 2 3 2 4 3 4" xfId="32682" xr:uid="{00000000-0005-0000-0000-0000396B0000}"/>
    <cellStyle name="Comma 4 2 3 2 4 3 5" xfId="34824" xr:uid="{00000000-0005-0000-0000-00003A6B0000}"/>
    <cellStyle name="Comma 4 2 3 2 4 4" xfId="8829" xr:uid="{00000000-0005-0000-0000-00003B6B0000}"/>
    <cellStyle name="Comma 4 2 3 2 4 4 2" xfId="43392" xr:uid="{00000000-0005-0000-0000-00003C6B0000}"/>
    <cellStyle name="Comma 4 2 3 2 4 4 3" xfId="36968" xr:uid="{00000000-0005-0000-0000-00003D6B0000}"/>
    <cellStyle name="Comma 4 2 3 2 4 5" xfId="21818" xr:uid="{00000000-0005-0000-0000-00003E6B0000}"/>
    <cellStyle name="Comma 4 2 3 2 4 5 2" xfId="40185" xr:uid="{00000000-0005-0000-0000-00003F6B0000}"/>
    <cellStyle name="Comma 4 2 3 2 4 6" xfId="22892" xr:uid="{00000000-0005-0000-0000-0000406B0000}"/>
    <cellStyle name="Comma 4 2 3 2 4 7" xfId="23963" xr:uid="{00000000-0005-0000-0000-0000416B0000}"/>
    <cellStyle name="Comma 4 2 3 2 4 8" xfId="27213" xr:uid="{00000000-0005-0000-0000-0000426B0000}"/>
    <cellStyle name="Comma 4 2 3 2 4 9" xfId="30546" xr:uid="{00000000-0005-0000-0000-0000436B0000}"/>
    <cellStyle name="Comma 4 2 3 2 5" xfId="1539" xr:uid="{00000000-0005-0000-0000-0000446B0000}"/>
    <cellStyle name="Comma 4 2 3 2 5 10" xfId="33762" xr:uid="{00000000-0005-0000-0000-0000456B0000}"/>
    <cellStyle name="Comma 4 2 3 2 5 2" xfId="10308" xr:uid="{00000000-0005-0000-0000-0000466B0000}"/>
    <cellStyle name="Comma 4 2 3 2 5 2 2" xfId="26108" xr:uid="{00000000-0005-0000-0000-0000476B0000}"/>
    <cellStyle name="Comma 4 2 3 2 5 2 2 2" xfId="45535" xr:uid="{00000000-0005-0000-0000-0000486B0000}"/>
    <cellStyle name="Comma 4 2 3 2 5 2 2 3" xfId="39112" xr:uid="{00000000-0005-0000-0000-0000496B0000}"/>
    <cellStyle name="Comma 4 2 3 2 5 2 3" xfId="28286" xr:uid="{00000000-0005-0000-0000-00004A6B0000}"/>
    <cellStyle name="Comma 4 2 3 2 5 2 3 2" xfId="42328" xr:uid="{00000000-0005-0000-0000-00004B6B0000}"/>
    <cellStyle name="Comma 4 2 3 2 5 2 4" xfId="31621" xr:uid="{00000000-0005-0000-0000-00004C6B0000}"/>
    <cellStyle name="Comma 4 2 3 2 5 2 5" xfId="35904" xr:uid="{00000000-0005-0000-0000-00004D6B0000}"/>
    <cellStyle name="Comma 4 2 3 2 5 3" xfId="16012" xr:uid="{00000000-0005-0000-0000-00004E6B0000}"/>
    <cellStyle name="Comma 4 2 3 2 5 3 2" xfId="25027" xr:uid="{00000000-0005-0000-0000-00004F6B0000}"/>
    <cellStyle name="Comma 4 2 3 2 5 3 2 2" xfId="44456" xr:uid="{00000000-0005-0000-0000-0000506B0000}"/>
    <cellStyle name="Comma 4 2 3 2 5 3 2 3" xfId="38033" xr:uid="{00000000-0005-0000-0000-0000516B0000}"/>
    <cellStyle name="Comma 4 2 3 2 5 3 3" xfId="29348" xr:uid="{00000000-0005-0000-0000-0000526B0000}"/>
    <cellStyle name="Comma 4 2 3 2 5 3 3 2" xfId="41249" xr:uid="{00000000-0005-0000-0000-0000536B0000}"/>
    <cellStyle name="Comma 4 2 3 2 5 3 4" xfId="32683" xr:uid="{00000000-0005-0000-0000-0000546B0000}"/>
    <cellStyle name="Comma 4 2 3 2 5 3 5" xfId="34825" xr:uid="{00000000-0005-0000-0000-0000556B0000}"/>
    <cellStyle name="Comma 4 2 3 2 5 4" xfId="8830" xr:uid="{00000000-0005-0000-0000-0000566B0000}"/>
    <cellStyle name="Comma 4 2 3 2 5 4 2" xfId="43393" xr:uid="{00000000-0005-0000-0000-0000576B0000}"/>
    <cellStyle name="Comma 4 2 3 2 5 4 3" xfId="36969" xr:uid="{00000000-0005-0000-0000-0000586B0000}"/>
    <cellStyle name="Comma 4 2 3 2 5 5" xfId="21819" xr:uid="{00000000-0005-0000-0000-0000596B0000}"/>
    <cellStyle name="Comma 4 2 3 2 5 5 2" xfId="40186" xr:uid="{00000000-0005-0000-0000-00005A6B0000}"/>
    <cellStyle name="Comma 4 2 3 2 5 6" xfId="22893" xr:uid="{00000000-0005-0000-0000-00005B6B0000}"/>
    <cellStyle name="Comma 4 2 3 2 5 7" xfId="23964" xr:uid="{00000000-0005-0000-0000-00005C6B0000}"/>
    <cellStyle name="Comma 4 2 3 2 5 8" xfId="27214" xr:uid="{00000000-0005-0000-0000-00005D6B0000}"/>
    <cellStyle name="Comma 4 2 3 2 5 9" xfId="30547" xr:uid="{00000000-0005-0000-0000-00005E6B0000}"/>
    <cellStyle name="Comma 4 2 3 2 6" xfId="10304" xr:uid="{00000000-0005-0000-0000-00005F6B0000}"/>
    <cellStyle name="Comma 4 2 3 2 6 2" xfId="26104" xr:uid="{00000000-0005-0000-0000-0000606B0000}"/>
    <cellStyle name="Comma 4 2 3 2 6 2 2" xfId="45531" xr:uid="{00000000-0005-0000-0000-0000616B0000}"/>
    <cellStyle name="Comma 4 2 3 2 6 2 3" xfId="39108" xr:uid="{00000000-0005-0000-0000-0000626B0000}"/>
    <cellStyle name="Comma 4 2 3 2 6 3" xfId="28282" xr:uid="{00000000-0005-0000-0000-0000636B0000}"/>
    <cellStyle name="Comma 4 2 3 2 6 3 2" xfId="42324" xr:uid="{00000000-0005-0000-0000-0000646B0000}"/>
    <cellStyle name="Comma 4 2 3 2 6 4" xfId="31617" xr:uid="{00000000-0005-0000-0000-0000656B0000}"/>
    <cellStyle name="Comma 4 2 3 2 6 5" xfId="35900" xr:uid="{00000000-0005-0000-0000-0000666B0000}"/>
    <cellStyle name="Comma 4 2 3 2 7" xfId="16008" xr:uid="{00000000-0005-0000-0000-0000676B0000}"/>
    <cellStyle name="Comma 4 2 3 2 7 2" xfId="25023" xr:uid="{00000000-0005-0000-0000-0000686B0000}"/>
    <cellStyle name="Comma 4 2 3 2 7 2 2" xfId="44452" xr:uid="{00000000-0005-0000-0000-0000696B0000}"/>
    <cellStyle name="Comma 4 2 3 2 7 2 3" xfId="38029" xr:uid="{00000000-0005-0000-0000-00006A6B0000}"/>
    <cellStyle name="Comma 4 2 3 2 7 3" xfId="29344" xr:uid="{00000000-0005-0000-0000-00006B6B0000}"/>
    <cellStyle name="Comma 4 2 3 2 7 3 2" xfId="41245" xr:uid="{00000000-0005-0000-0000-00006C6B0000}"/>
    <cellStyle name="Comma 4 2 3 2 7 4" xfId="32679" xr:uid="{00000000-0005-0000-0000-00006D6B0000}"/>
    <cellStyle name="Comma 4 2 3 2 7 5" xfId="34821" xr:uid="{00000000-0005-0000-0000-00006E6B0000}"/>
    <cellStyle name="Comma 4 2 3 2 8" xfId="8826" xr:uid="{00000000-0005-0000-0000-00006F6B0000}"/>
    <cellStyle name="Comma 4 2 3 2 8 2" xfId="43389" xr:uid="{00000000-0005-0000-0000-0000706B0000}"/>
    <cellStyle name="Comma 4 2 3 2 8 3" xfId="36965" xr:uid="{00000000-0005-0000-0000-0000716B0000}"/>
    <cellStyle name="Comma 4 2 3 2 9" xfId="21815" xr:uid="{00000000-0005-0000-0000-0000726B0000}"/>
    <cellStyle name="Comma 4 2 3 2 9 2" xfId="40182" xr:uid="{00000000-0005-0000-0000-0000736B0000}"/>
    <cellStyle name="Comma 4 2 3 3" xfId="1540" xr:uid="{00000000-0005-0000-0000-0000746B0000}"/>
    <cellStyle name="Comma 4 2 3 3 10" xfId="33763" xr:uid="{00000000-0005-0000-0000-0000756B0000}"/>
    <cellStyle name="Comma 4 2 3 3 2" xfId="10309" xr:uid="{00000000-0005-0000-0000-0000766B0000}"/>
    <cellStyle name="Comma 4 2 3 3 2 2" xfId="26109" xr:uid="{00000000-0005-0000-0000-0000776B0000}"/>
    <cellStyle name="Comma 4 2 3 3 2 2 2" xfId="45536" xr:uid="{00000000-0005-0000-0000-0000786B0000}"/>
    <cellStyle name="Comma 4 2 3 3 2 2 3" xfId="39113" xr:uid="{00000000-0005-0000-0000-0000796B0000}"/>
    <cellStyle name="Comma 4 2 3 3 2 3" xfId="28287" xr:uid="{00000000-0005-0000-0000-00007A6B0000}"/>
    <cellStyle name="Comma 4 2 3 3 2 3 2" xfId="42329" xr:uid="{00000000-0005-0000-0000-00007B6B0000}"/>
    <cellStyle name="Comma 4 2 3 3 2 4" xfId="31622" xr:uid="{00000000-0005-0000-0000-00007C6B0000}"/>
    <cellStyle name="Comma 4 2 3 3 2 5" xfId="35905" xr:uid="{00000000-0005-0000-0000-00007D6B0000}"/>
    <cellStyle name="Comma 4 2 3 3 3" xfId="16013" xr:uid="{00000000-0005-0000-0000-00007E6B0000}"/>
    <cellStyle name="Comma 4 2 3 3 3 2" xfId="25028" xr:uid="{00000000-0005-0000-0000-00007F6B0000}"/>
    <cellStyle name="Comma 4 2 3 3 3 2 2" xfId="44457" xr:uid="{00000000-0005-0000-0000-0000806B0000}"/>
    <cellStyle name="Comma 4 2 3 3 3 2 3" xfId="38034" xr:uid="{00000000-0005-0000-0000-0000816B0000}"/>
    <cellStyle name="Comma 4 2 3 3 3 3" xfId="29349" xr:uid="{00000000-0005-0000-0000-0000826B0000}"/>
    <cellStyle name="Comma 4 2 3 3 3 3 2" xfId="41250" xr:uid="{00000000-0005-0000-0000-0000836B0000}"/>
    <cellStyle name="Comma 4 2 3 3 3 4" xfId="32684" xr:uid="{00000000-0005-0000-0000-0000846B0000}"/>
    <cellStyle name="Comma 4 2 3 3 3 5" xfId="34826" xr:uid="{00000000-0005-0000-0000-0000856B0000}"/>
    <cellStyle name="Comma 4 2 3 3 4" xfId="8831" xr:uid="{00000000-0005-0000-0000-0000866B0000}"/>
    <cellStyle name="Comma 4 2 3 3 4 2" xfId="43394" xr:uid="{00000000-0005-0000-0000-0000876B0000}"/>
    <cellStyle name="Comma 4 2 3 3 4 3" xfId="36970" xr:uid="{00000000-0005-0000-0000-0000886B0000}"/>
    <cellStyle name="Comma 4 2 3 3 5" xfId="21820" xr:uid="{00000000-0005-0000-0000-0000896B0000}"/>
    <cellStyle name="Comma 4 2 3 3 5 2" xfId="40187" xr:uid="{00000000-0005-0000-0000-00008A6B0000}"/>
    <cellStyle name="Comma 4 2 3 3 6" xfId="22894" xr:uid="{00000000-0005-0000-0000-00008B6B0000}"/>
    <cellStyle name="Comma 4 2 3 3 7" xfId="23965" xr:uid="{00000000-0005-0000-0000-00008C6B0000}"/>
    <cellStyle name="Comma 4 2 3 3 8" xfId="27215" xr:uid="{00000000-0005-0000-0000-00008D6B0000}"/>
    <cellStyle name="Comma 4 2 3 3 9" xfId="30548" xr:uid="{00000000-0005-0000-0000-00008E6B0000}"/>
    <cellStyle name="Comma 4 2 3 4" xfId="1541" xr:uid="{00000000-0005-0000-0000-00008F6B0000}"/>
    <cellStyle name="Comma 4 2 3 4 10" xfId="33764" xr:uid="{00000000-0005-0000-0000-0000906B0000}"/>
    <cellStyle name="Comma 4 2 3 4 2" xfId="10310" xr:uid="{00000000-0005-0000-0000-0000916B0000}"/>
    <cellStyle name="Comma 4 2 3 4 2 2" xfId="26110" xr:uid="{00000000-0005-0000-0000-0000926B0000}"/>
    <cellStyle name="Comma 4 2 3 4 2 2 2" xfId="45537" xr:uid="{00000000-0005-0000-0000-0000936B0000}"/>
    <cellStyle name="Comma 4 2 3 4 2 2 3" xfId="39114" xr:uid="{00000000-0005-0000-0000-0000946B0000}"/>
    <cellStyle name="Comma 4 2 3 4 2 3" xfId="28288" xr:uid="{00000000-0005-0000-0000-0000956B0000}"/>
    <cellStyle name="Comma 4 2 3 4 2 3 2" xfId="42330" xr:uid="{00000000-0005-0000-0000-0000966B0000}"/>
    <cellStyle name="Comma 4 2 3 4 2 4" xfId="31623" xr:uid="{00000000-0005-0000-0000-0000976B0000}"/>
    <cellStyle name="Comma 4 2 3 4 2 5" xfId="35906" xr:uid="{00000000-0005-0000-0000-0000986B0000}"/>
    <cellStyle name="Comma 4 2 3 4 3" xfId="16014" xr:uid="{00000000-0005-0000-0000-0000996B0000}"/>
    <cellStyle name="Comma 4 2 3 4 3 2" xfId="25029" xr:uid="{00000000-0005-0000-0000-00009A6B0000}"/>
    <cellStyle name="Comma 4 2 3 4 3 2 2" xfId="44458" xr:uid="{00000000-0005-0000-0000-00009B6B0000}"/>
    <cellStyle name="Comma 4 2 3 4 3 2 3" xfId="38035" xr:uid="{00000000-0005-0000-0000-00009C6B0000}"/>
    <cellStyle name="Comma 4 2 3 4 3 3" xfId="29350" xr:uid="{00000000-0005-0000-0000-00009D6B0000}"/>
    <cellStyle name="Comma 4 2 3 4 3 3 2" xfId="41251" xr:uid="{00000000-0005-0000-0000-00009E6B0000}"/>
    <cellStyle name="Comma 4 2 3 4 3 4" xfId="32685" xr:uid="{00000000-0005-0000-0000-00009F6B0000}"/>
    <cellStyle name="Comma 4 2 3 4 3 5" xfId="34827" xr:uid="{00000000-0005-0000-0000-0000A06B0000}"/>
    <cellStyle name="Comma 4 2 3 4 4" xfId="8832" xr:uid="{00000000-0005-0000-0000-0000A16B0000}"/>
    <cellStyle name="Comma 4 2 3 4 4 2" xfId="43395" xr:uid="{00000000-0005-0000-0000-0000A26B0000}"/>
    <cellStyle name="Comma 4 2 3 4 4 3" xfId="36971" xr:uid="{00000000-0005-0000-0000-0000A36B0000}"/>
    <cellStyle name="Comma 4 2 3 4 5" xfId="21821" xr:uid="{00000000-0005-0000-0000-0000A46B0000}"/>
    <cellStyle name="Comma 4 2 3 4 5 2" xfId="40188" xr:uid="{00000000-0005-0000-0000-0000A56B0000}"/>
    <cellStyle name="Comma 4 2 3 4 6" xfId="22895" xr:uid="{00000000-0005-0000-0000-0000A66B0000}"/>
    <cellStyle name="Comma 4 2 3 4 7" xfId="23966" xr:uid="{00000000-0005-0000-0000-0000A76B0000}"/>
    <cellStyle name="Comma 4 2 3 4 8" xfId="27216" xr:uid="{00000000-0005-0000-0000-0000A86B0000}"/>
    <cellStyle name="Comma 4 2 3 4 9" xfId="30549" xr:uid="{00000000-0005-0000-0000-0000A96B0000}"/>
    <cellStyle name="Comma 4 2 3 5" xfId="1542" xr:uid="{00000000-0005-0000-0000-0000AA6B0000}"/>
    <cellStyle name="Comma 4 2 3 5 10" xfId="33765" xr:uid="{00000000-0005-0000-0000-0000AB6B0000}"/>
    <cellStyle name="Comma 4 2 3 5 2" xfId="10311" xr:uid="{00000000-0005-0000-0000-0000AC6B0000}"/>
    <cellStyle name="Comma 4 2 3 5 2 2" xfId="26111" xr:uid="{00000000-0005-0000-0000-0000AD6B0000}"/>
    <cellStyle name="Comma 4 2 3 5 2 2 2" xfId="45538" xr:uid="{00000000-0005-0000-0000-0000AE6B0000}"/>
    <cellStyle name="Comma 4 2 3 5 2 2 3" xfId="39115" xr:uid="{00000000-0005-0000-0000-0000AF6B0000}"/>
    <cellStyle name="Comma 4 2 3 5 2 3" xfId="28289" xr:uid="{00000000-0005-0000-0000-0000B06B0000}"/>
    <cellStyle name="Comma 4 2 3 5 2 3 2" xfId="42331" xr:uid="{00000000-0005-0000-0000-0000B16B0000}"/>
    <cellStyle name="Comma 4 2 3 5 2 4" xfId="31624" xr:uid="{00000000-0005-0000-0000-0000B26B0000}"/>
    <cellStyle name="Comma 4 2 3 5 2 5" xfId="35907" xr:uid="{00000000-0005-0000-0000-0000B36B0000}"/>
    <cellStyle name="Comma 4 2 3 5 3" xfId="16015" xr:uid="{00000000-0005-0000-0000-0000B46B0000}"/>
    <cellStyle name="Comma 4 2 3 5 3 2" xfId="25030" xr:uid="{00000000-0005-0000-0000-0000B56B0000}"/>
    <cellStyle name="Comma 4 2 3 5 3 2 2" xfId="44459" xr:uid="{00000000-0005-0000-0000-0000B66B0000}"/>
    <cellStyle name="Comma 4 2 3 5 3 2 3" xfId="38036" xr:uid="{00000000-0005-0000-0000-0000B76B0000}"/>
    <cellStyle name="Comma 4 2 3 5 3 3" xfId="29351" xr:uid="{00000000-0005-0000-0000-0000B86B0000}"/>
    <cellStyle name="Comma 4 2 3 5 3 3 2" xfId="41252" xr:uid="{00000000-0005-0000-0000-0000B96B0000}"/>
    <cellStyle name="Comma 4 2 3 5 3 4" xfId="32686" xr:uid="{00000000-0005-0000-0000-0000BA6B0000}"/>
    <cellStyle name="Comma 4 2 3 5 3 5" xfId="34828" xr:uid="{00000000-0005-0000-0000-0000BB6B0000}"/>
    <cellStyle name="Comma 4 2 3 5 4" xfId="8833" xr:uid="{00000000-0005-0000-0000-0000BC6B0000}"/>
    <cellStyle name="Comma 4 2 3 5 4 2" xfId="43396" xr:uid="{00000000-0005-0000-0000-0000BD6B0000}"/>
    <cellStyle name="Comma 4 2 3 5 4 3" xfId="36972" xr:uid="{00000000-0005-0000-0000-0000BE6B0000}"/>
    <cellStyle name="Comma 4 2 3 5 5" xfId="21822" xr:uid="{00000000-0005-0000-0000-0000BF6B0000}"/>
    <cellStyle name="Comma 4 2 3 5 5 2" xfId="40189" xr:uid="{00000000-0005-0000-0000-0000C06B0000}"/>
    <cellStyle name="Comma 4 2 3 5 6" xfId="22896" xr:uid="{00000000-0005-0000-0000-0000C16B0000}"/>
    <cellStyle name="Comma 4 2 3 5 7" xfId="23967" xr:uid="{00000000-0005-0000-0000-0000C26B0000}"/>
    <cellStyle name="Comma 4 2 3 5 8" xfId="27217" xr:uid="{00000000-0005-0000-0000-0000C36B0000}"/>
    <cellStyle name="Comma 4 2 3 5 9" xfId="30550" xr:uid="{00000000-0005-0000-0000-0000C46B0000}"/>
    <cellStyle name="Comma 4 2 3 6" xfId="1543" xr:uid="{00000000-0005-0000-0000-0000C56B0000}"/>
    <cellStyle name="Comma 4 2 3 6 10" xfId="33766" xr:uid="{00000000-0005-0000-0000-0000C66B0000}"/>
    <cellStyle name="Comma 4 2 3 6 2" xfId="10312" xr:uid="{00000000-0005-0000-0000-0000C76B0000}"/>
    <cellStyle name="Comma 4 2 3 6 2 2" xfId="26112" xr:uid="{00000000-0005-0000-0000-0000C86B0000}"/>
    <cellStyle name="Comma 4 2 3 6 2 2 2" xfId="45539" xr:uid="{00000000-0005-0000-0000-0000C96B0000}"/>
    <cellStyle name="Comma 4 2 3 6 2 2 3" xfId="39116" xr:uid="{00000000-0005-0000-0000-0000CA6B0000}"/>
    <cellStyle name="Comma 4 2 3 6 2 3" xfId="28290" xr:uid="{00000000-0005-0000-0000-0000CB6B0000}"/>
    <cellStyle name="Comma 4 2 3 6 2 3 2" xfId="42332" xr:uid="{00000000-0005-0000-0000-0000CC6B0000}"/>
    <cellStyle name="Comma 4 2 3 6 2 4" xfId="31625" xr:uid="{00000000-0005-0000-0000-0000CD6B0000}"/>
    <cellStyle name="Comma 4 2 3 6 2 5" xfId="35908" xr:uid="{00000000-0005-0000-0000-0000CE6B0000}"/>
    <cellStyle name="Comma 4 2 3 6 3" xfId="16016" xr:uid="{00000000-0005-0000-0000-0000CF6B0000}"/>
    <cellStyle name="Comma 4 2 3 6 3 2" xfId="25031" xr:uid="{00000000-0005-0000-0000-0000D06B0000}"/>
    <cellStyle name="Comma 4 2 3 6 3 2 2" xfId="44460" xr:uid="{00000000-0005-0000-0000-0000D16B0000}"/>
    <cellStyle name="Comma 4 2 3 6 3 2 3" xfId="38037" xr:uid="{00000000-0005-0000-0000-0000D26B0000}"/>
    <cellStyle name="Comma 4 2 3 6 3 3" xfId="29352" xr:uid="{00000000-0005-0000-0000-0000D36B0000}"/>
    <cellStyle name="Comma 4 2 3 6 3 3 2" xfId="41253" xr:uid="{00000000-0005-0000-0000-0000D46B0000}"/>
    <cellStyle name="Comma 4 2 3 6 3 4" xfId="32687" xr:uid="{00000000-0005-0000-0000-0000D56B0000}"/>
    <cellStyle name="Comma 4 2 3 6 3 5" xfId="34829" xr:uid="{00000000-0005-0000-0000-0000D66B0000}"/>
    <cellStyle name="Comma 4 2 3 6 4" xfId="8834" xr:uid="{00000000-0005-0000-0000-0000D76B0000}"/>
    <cellStyle name="Comma 4 2 3 6 4 2" xfId="43397" xr:uid="{00000000-0005-0000-0000-0000D86B0000}"/>
    <cellStyle name="Comma 4 2 3 6 4 3" xfId="36973" xr:uid="{00000000-0005-0000-0000-0000D96B0000}"/>
    <cellStyle name="Comma 4 2 3 6 5" xfId="21823" xr:uid="{00000000-0005-0000-0000-0000DA6B0000}"/>
    <cellStyle name="Comma 4 2 3 6 5 2" xfId="40190" xr:uid="{00000000-0005-0000-0000-0000DB6B0000}"/>
    <cellStyle name="Comma 4 2 3 6 6" xfId="22897" xr:uid="{00000000-0005-0000-0000-0000DC6B0000}"/>
    <cellStyle name="Comma 4 2 3 6 7" xfId="23968" xr:uid="{00000000-0005-0000-0000-0000DD6B0000}"/>
    <cellStyle name="Comma 4 2 3 6 8" xfId="27218" xr:uid="{00000000-0005-0000-0000-0000DE6B0000}"/>
    <cellStyle name="Comma 4 2 3 6 9" xfId="30551" xr:uid="{00000000-0005-0000-0000-0000DF6B0000}"/>
    <cellStyle name="Comma 4 2 3 7" xfId="10303" xr:uid="{00000000-0005-0000-0000-0000E06B0000}"/>
    <cellStyle name="Comma 4 2 3 7 2" xfId="26103" xr:uid="{00000000-0005-0000-0000-0000E16B0000}"/>
    <cellStyle name="Comma 4 2 3 7 2 2" xfId="45530" xr:uid="{00000000-0005-0000-0000-0000E26B0000}"/>
    <cellStyle name="Comma 4 2 3 7 2 3" xfId="39107" xr:uid="{00000000-0005-0000-0000-0000E36B0000}"/>
    <cellStyle name="Comma 4 2 3 7 3" xfId="28281" xr:uid="{00000000-0005-0000-0000-0000E46B0000}"/>
    <cellStyle name="Comma 4 2 3 7 3 2" xfId="42323" xr:uid="{00000000-0005-0000-0000-0000E56B0000}"/>
    <cellStyle name="Comma 4 2 3 7 4" xfId="31616" xr:uid="{00000000-0005-0000-0000-0000E66B0000}"/>
    <cellStyle name="Comma 4 2 3 7 5" xfId="35899" xr:uid="{00000000-0005-0000-0000-0000E76B0000}"/>
    <cellStyle name="Comma 4 2 3 8" xfId="16007" xr:uid="{00000000-0005-0000-0000-0000E86B0000}"/>
    <cellStyle name="Comma 4 2 3 8 2" xfId="25022" xr:uid="{00000000-0005-0000-0000-0000E96B0000}"/>
    <cellStyle name="Comma 4 2 3 8 2 2" xfId="44451" xr:uid="{00000000-0005-0000-0000-0000EA6B0000}"/>
    <cellStyle name="Comma 4 2 3 8 2 3" xfId="38028" xr:uid="{00000000-0005-0000-0000-0000EB6B0000}"/>
    <cellStyle name="Comma 4 2 3 8 3" xfId="29343" xr:uid="{00000000-0005-0000-0000-0000EC6B0000}"/>
    <cellStyle name="Comma 4 2 3 8 3 2" xfId="41244" xr:uid="{00000000-0005-0000-0000-0000ED6B0000}"/>
    <cellStyle name="Comma 4 2 3 8 4" xfId="32678" xr:uid="{00000000-0005-0000-0000-0000EE6B0000}"/>
    <cellStyle name="Comma 4 2 3 8 5" xfId="34820" xr:uid="{00000000-0005-0000-0000-0000EF6B0000}"/>
    <cellStyle name="Comma 4 2 3 9" xfId="8825" xr:uid="{00000000-0005-0000-0000-0000F06B0000}"/>
    <cellStyle name="Comma 4 2 3 9 2" xfId="43388" xr:uid="{00000000-0005-0000-0000-0000F16B0000}"/>
    <cellStyle name="Comma 4 2 3 9 3" xfId="36964" xr:uid="{00000000-0005-0000-0000-0000F26B0000}"/>
    <cellStyle name="Comma 4 2 4" xfId="9158" xr:uid="{00000000-0005-0000-0000-0000F36B0000}"/>
    <cellStyle name="Comma 4 2 4 2" xfId="25212" xr:uid="{00000000-0005-0000-0000-0000F46B0000}"/>
    <cellStyle name="Comma 4 2 4 2 2" xfId="44639" xr:uid="{00000000-0005-0000-0000-0000F56B0000}"/>
    <cellStyle name="Comma 4 2 4 2 3" xfId="38216" xr:uid="{00000000-0005-0000-0000-0000F66B0000}"/>
    <cellStyle name="Comma 4 2 4 3" xfId="27391" xr:uid="{00000000-0005-0000-0000-0000F76B0000}"/>
    <cellStyle name="Comma 4 2 4 3 2" xfId="41432" xr:uid="{00000000-0005-0000-0000-0000F86B0000}"/>
    <cellStyle name="Comma 4 2 4 4" xfId="30726" xr:uid="{00000000-0005-0000-0000-0000F96B0000}"/>
    <cellStyle name="Comma 4 2 4 5" xfId="35008" xr:uid="{00000000-0005-0000-0000-0000FA6B0000}"/>
    <cellStyle name="Comma 4 2 5" xfId="16005" xr:uid="{00000000-0005-0000-0000-0000FB6B0000}"/>
    <cellStyle name="Comma 4 2 5 2" xfId="25020" xr:uid="{00000000-0005-0000-0000-0000FC6B0000}"/>
    <cellStyle name="Comma 4 2 5 2 2" xfId="44449" xr:uid="{00000000-0005-0000-0000-0000FD6B0000}"/>
    <cellStyle name="Comma 4 2 5 2 3" xfId="38026" xr:uid="{00000000-0005-0000-0000-0000FE6B0000}"/>
    <cellStyle name="Comma 4 2 5 3" xfId="29341" xr:uid="{00000000-0005-0000-0000-0000FF6B0000}"/>
    <cellStyle name="Comma 4 2 5 3 2" xfId="41242" xr:uid="{00000000-0005-0000-0000-0000006C0000}"/>
    <cellStyle name="Comma 4 2 5 4" xfId="32676" xr:uid="{00000000-0005-0000-0000-0000016C0000}"/>
    <cellStyle name="Comma 4 2 5 5" xfId="34818" xr:uid="{00000000-0005-0000-0000-0000026C0000}"/>
    <cellStyle name="Comma 4 2 6" xfId="8823" xr:uid="{00000000-0005-0000-0000-0000036C0000}"/>
    <cellStyle name="Comma 4 2 6 2" xfId="42502" xr:uid="{00000000-0005-0000-0000-0000046C0000}"/>
    <cellStyle name="Comma 4 2 6 3" xfId="36078" xr:uid="{00000000-0005-0000-0000-0000056C0000}"/>
    <cellStyle name="Comma 4 2 7" xfId="21812" xr:uid="{00000000-0005-0000-0000-0000066C0000}"/>
    <cellStyle name="Comma 4 2 7 2" xfId="39295" xr:uid="{00000000-0005-0000-0000-0000076C0000}"/>
    <cellStyle name="Comma 4 2 8" xfId="22886" xr:uid="{00000000-0005-0000-0000-0000086C0000}"/>
    <cellStyle name="Comma 4 2 9" xfId="23073" xr:uid="{00000000-0005-0000-0000-0000096C0000}"/>
    <cellStyle name="Comma 4 3" xfId="301" xr:uid="{00000000-0005-0000-0000-00000A6C0000}"/>
    <cellStyle name="Comma 4 3 10" xfId="8835" xr:uid="{00000000-0005-0000-0000-00000B6C0000}"/>
    <cellStyle name="Comma 4 3 10 2" xfId="42501" xr:uid="{00000000-0005-0000-0000-00000C6C0000}"/>
    <cellStyle name="Comma 4 3 10 3" xfId="36077" xr:uid="{00000000-0005-0000-0000-00000D6C0000}"/>
    <cellStyle name="Comma 4 3 11" xfId="21824" xr:uid="{00000000-0005-0000-0000-00000E6C0000}"/>
    <cellStyle name="Comma 4 3 11 2" xfId="39294" xr:uid="{00000000-0005-0000-0000-00000F6C0000}"/>
    <cellStyle name="Comma 4 3 12" xfId="22898" xr:uid="{00000000-0005-0000-0000-0000106C0000}"/>
    <cellStyle name="Comma 4 3 13" xfId="23072" xr:uid="{00000000-0005-0000-0000-0000116C0000}"/>
    <cellStyle name="Comma 4 3 14" xfId="27219" xr:uid="{00000000-0005-0000-0000-0000126C0000}"/>
    <cellStyle name="Comma 4 3 15" xfId="30552" xr:uid="{00000000-0005-0000-0000-0000136C0000}"/>
    <cellStyle name="Comma 4 3 16" xfId="32870" xr:uid="{00000000-0005-0000-0000-0000146C0000}"/>
    <cellStyle name="Comma 4 3 2" xfId="1544" xr:uid="{00000000-0005-0000-0000-0000156C0000}"/>
    <cellStyle name="Comma 4 3 2 10" xfId="22899" xr:uid="{00000000-0005-0000-0000-0000166C0000}"/>
    <cellStyle name="Comma 4 3 2 11" xfId="23969" xr:uid="{00000000-0005-0000-0000-0000176C0000}"/>
    <cellStyle name="Comma 4 3 2 12" xfId="27220" xr:uid="{00000000-0005-0000-0000-0000186C0000}"/>
    <cellStyle name="Comma 4 3 2 13" xfId="30553" xr:uid="{00000000-0005-0000-0000-0000196C0000}"/>
    <cellStyle name="Comma 4 3 2 14" xfId="33767" xr:uid="{00000000-0005-0000-0000-00001A6C0000}"/>
    <cellStyle name="Comma 4 3 2 2" xfId="1545" xr:uid="{00000000-0005-0000-0000-00001B6C0000}"/>
    <cellStyle name="Comma 4 3 2 2 10" xfId="33768" xr:uid="{00000000-0005-0000-0000-00001C6C0000}"/>
    <cellStyle name="Comma 4 3 2 2 2" xfId="10314" xr:uid="{00000000-0005-0000-0000-00001D6C0000}"/>
    <cellStyle name="Comma 4 3 2 2 2 2" xfId="26114" xr:uid="{00000000-0005-0000-0000-00001E6C0000}"/>
    <cellStyle name="Comma 4 3 2 2 2 2 2" xfId="45541" xr:uid="{00000000-0005-0000-0000-00001F6C0000}"/>
    <cellStyle name="Comma 4 3 2 2 2 2 3" xfId="39118" xr:uid="{00000000-0005-0000-0000-0000206C0000}"/>
    <cellStyle name="Comma 4 3 2 2 2 3" xfId="28292" xr:uid="{00000000-0005-0000-0000-0000216C0000}"/>
    <cellStyle name="Comma 4 3 2 2 2 3 2" xfId="42334" xr:uid="{00000000-0005-0000-0000-0000226C0000}"/>
    <cellStyle name="Comma 4 3 2 2 2 4" xfId="31627" xr:uid="{00000000-0005-0000-0000-0000236C0000}"/>
    <cellStyle name="Comma 4 3 2 2 2 5" xfId="35910" xr:uid="{00000000-0005-0000-0000-0000246C0000}"/>
    <cellStyle name="Comma 4 3 2 2 3" xfId="16019" xr:uid="{00000000-0005-0000-0000-0000256C0000}"/>
    <cellStyle name="Comma 4 3 2 2 3 2" xfId="25034" xr:uid="{00000000-0005-0000-0000-0000266C0000}"/>
    <cellStyle name="Comma 4 3 2 2 3 2 2" xfId="44463" xr:uid="{00000000-0005-0000-0000-0000276C0000}"/>
    <cellStyle name="Comma 4 3 2 2 3 2 3" xfId="38040" xr:uid="{00000000-0005-0000-0000-0000286C0000}"/>
    <cellStyle name="Comma 4 3 2 2 3 3" xfId="29355" xr:uid="{00000000-0005-0000-0000-0000296C0000}"/>
    <cellStyle name="Comma 4 3 2 2 3 3 2" xfId="41256" xr:uid="{00000000-0005-0000-0000-00002A6C0000}"/>
    <cellStyle name="Comma 4 3 2 2 3 4" xfId="32690" xr:uid="{00000000-0005-0000-0000-00002B6C0000}"/>
    <cellStyle name="Comma 4 3 2 2 3 5" xfId="34832" xr:uid="{00000000-0005-0000-0000-00002C6C0000}"/>
    <cellStyle name="Comma 4 3 2 2 4" xfId="8837" xr:uid="{00000000-0005-0000-0000-00002D6C0000}"/>
    <cellStyle name="Comma 4 3 2 2 4 2" xfId="43399" xr:uid="{00000000-0005-0000-0000-00002E6C0000}"/>
    <cellStyle name="Comma 4 3 2 2 4 3" xfId="36975" xr:uid="{00000000-0005-0000-0000-00002F6C0000}"/>
    <cellStyle name="Comma 4 3 2 2 5" xfId="21826" xr:uid="{00000000-0005-0000-0000-0000306C0000}"/>
    <cellStyle name="Comma 4 3 2 2 5 2" xfId="40192" xr:uid="{00000000-0005-0000-0000-0000316C0000}"/>
    <cellStyle name="Comma 4 3 2 2 6" xfId="22900" xr:uid="{00000000-0005-0000-0000-0000326C0000}"/>
    <cellStyle name="Comma 4 3 2 2 7" xfId="23970" xr:uid="{00000000-0005-0000-0000-0000336C0000}"/>
    <cellStyle name="Comma 4 3 2 2 8" xfId="27221" xr:uid="{00000000-0005-0000-0000-0000346C0000}"/>
    <cellStyle name="Comma 4 3 2 2 9" xfId="30554" xr:uid="{00000000-0005-0000-0000-0000356C0000}"/>
    <cellStyle name="Comma 4 3 2 3" xfId="1546" xr:uid="{00000000-0005-0000-0000-0000366C0000}"/>
    <cellStyle name="Comma 4 3 2 3 10" xfId="33769" xr:uid="{00000000-0005-0000-0000-0000376C0000}"/>
    <cellStyle name="Comma 4 3 2 3 2" xfId="10315" xr:uid="{00000000-0005-0000-0000-0000386C0000}"/>
    <cellStyle name="Comma 4 3 2 3 2 2" xfId="26115" xr:uid="{00000000-0005-0000-0000-0000396C0000}"/>
    <cellStyle name="Comma 4 3 2 3 2 2 2" xfId="45542" xr:uid="{00000000-0005-0000-0000-00003A6C0000}"/>
    <cellStyle name="Comma 4 3 2 3 2 2 3" xfId="39119" xr:uid="{00000000-0005-0000-0000-00003B6C0000}"/>
    <cellStyle name="Comma 4 3 2 3 2 3" xfId="28293" xr:uid="{00000000-0005-0000-0000-00003C6C0000}"/>
    <cellStyle name="Comma 4 3 2 3 2 3 2" xfId="42335" xr:uid="{00000000-0005-0000-0000-00003D6C0000}"/>
    <cellStyle name="Comma 4 3 2 3 2 4" xfId="31628" xr:uid="{00000000-0005-0000-0000-00003E6C0000}"/>
    <cellStyle name="Comma 4 3 2 3 2 5" xfId="35911" xr:uid="{00000000-0005-0000-0000-00003F6C0000}"/>
    <cellStyle name="Comma 4 3 2 3 3" xfId="16020" xr:uid="{00000000-0005-0000-0000-0000406C0000}"/>
    <cellStyle name="Comma 4 3 2 3 3 2" xfId="25035" xr:uid="{00000000-0005-0000-0000-0000416C0000}"/>
    <cellStyle name="Comma 4 3 2 3 3 2 2" xfId="44464" xr:uid="{00000000-0005-0000-0000-0000426C0000}"/>
    <cellStyle name="Comma 4 3 2 3 3 2 3" xfId="38041" xr:uid="{00000000-0005-0000-0000-0000436C0000}"/>
    <cellStyle name="Comma 4 3 2 3 3 3" xfId="29356" xr:uid="{00000000-0005-0000-0000-0000446C0000}"/>
    <cellStyle name="Comma 4 3 2 3 3 3 2" xfId="41257" xr:uid="{00000000-0005-0000-0000-0000456C0000}"/>
    <cellStyle name="Comma 4 3 2 3 3 4" xfId="32691" xr:uid="{00000000-0005-0000-0000-0000466C0000}"/>
    <cellStyle name="Comma 4 3 2 3 3 5" xfId="34833" xr:uid="{00000000-0005-0000-0000-0000476C0000}"/>
    <cellStyle name="Comma 4 3 2 3 4" xfId="8838" xr:uid="{00000000-0005-0000-0000-0000486C0000}"/>
    <cellStyle name="Comma 4 3 2 3 4 2" xfId="43400" xr:uid="{00000000-0005-0000-0000-0000496C0000}"/>
    <cellStyle name="Comma 4 3 2 3 4 3" xfId="36976" xr:uid="{00000000-0005-0000-0000-00004A6C0000}"/>
    <cellStyle name="Comma 4 3 2 3 5" xfId="21827" xr:uid="{00000000-0005-0000-0000-00004B6C0000}"/>
    <cellStyle name="Comma 4 3 2 3 5 2" xfId="40193" xr:uid="{00000000-0005-0000-0000-00004C6C0000}"/>
    <cellStyle name="Comma 4 3 2 3 6" xfId="22901" xr:uid="{00000000-0005-0000-0000-00004D6C0000}"/>
    <cellStyle name="Comma 4 3 2 3 7" xfId="23971" xr:uid="{00000000-0005-0000-0000-00004E6C0000}"/>
    <cellStyle name="Comma 4 3 2 3 8" xfId="27222" xr:uid="{00000000-0005-0000-0000-00004F6C0000}"/>
    <cellStyle name="Comma 4 3 2 3 9" xfId="30555" xr:uid="{00000000-0005-0000-0000-0000506C0000}"/>
    <cellStyle name="Comma 4 3 2 4" xfId="1547" xr:uid="{00000000-0005-0000-0000-0000516C0000}"/>
    <cellStyle name="Comma 4 3 2 4 10" xfId="33770" xr:uid="{00000000-0005-0000-0000-0000526C0000}"/>
    <cellStyle name="Comma 4 3 2 4 2" xfId="10316" xr:uid="{00000000-0005-0000-0000-0000536C0000}"/>
    <cellStyle name="Comma 4 3 2 4 2 2" xfId="26116" xr:uid="{00000000-0005-0000-0000-0000546C0000}"/>
    <cellStyle name="Comma 4 3 2 4 2 2 2" xfId="45543" xr:uid="{00000000-0005-0000-0000-0000556C0000}"/>
    <cellStyle name="Comma 4 3 2 4 2 2 3" xfId="39120" xr:uid="{00000000-0005-0000-0000-0000566C0000}"/>
    <cellStyle name="Comma 4 3 2 4 2 3" xfId="28294" xr:uid="{00000000-0005-0000-0000-0000576C0000}"/>
    <cellStyle name="Comma 4 3 2 4 2 3 2" xfId="42336" xr:uid="{00000000-0005-0000-0000-0000586C0000}"/>
    <cellStyle name="Comma 4 3 2 4 2 4" xfId="31629" xr:uid="{00000000-0005-0000-0000-0000596C0000}"/>
    <cellStyle name="Comma 4 3 2 4 2 5" xfId="35912" xr:uid="{00000000-0005-0000-0000-00005A6C0000}"/>
    <cellStyle name="Comma 4 3 2 4 3" xfId="16021" xr:uid="{00000000-0005-0000-0000-00005B6C0000}"/>
    <cellStyle name="Comma 4 3 2 4 3 2" xfId="25036" xr:uid="{00000000-0005-0000-0000-00005C6C0000}"/>
    <cellStyle name="Comma 4 3 2 4 3 2 2" xfId="44465" xr:uid="{00000000-0005-0000-0000-00005D6C0000}"/>
    <cellStyle name="Comma 4 3 2 4 3 2 3" xfId="38042" xr:uid="{00000000-0005-0000-0000-00005E6C0000}"/>
    <cellStyle name="Comma 4 3 2 4 3 3" xfId="29357" xr:uid="{00000000-0005-0000-0000-00005F6C0000}"/>
    <cellStyle name="Comma 4 3 2 4 3 3 2" xfId="41258" xr:uid="{00000000-0005-0000-0000-0000606C0000}"/>
    <cellStyle name="Comma 4 3 2 4 3 4" xfId="32692" xr:uid="{00000000-0005-0000-0000-0000616C0000}"/>
    <cellStyle name="Comma 4 3 2 4 3 5" xfId="34834" xr:uid="{00000000-0005-0000-0000-0000626C0000}"/>
    <cellStyle name="Comma 4 3 2 4 4" xfId="8839" xr:uid="{00000000-0005-0000-0000-0000636C0000}"/>
    <cellStyle name="Comma 4 3 2 4 4 2" xfId="43401" xr:uid="{00000000-0005-0000-0000-0000646C0000}"/>
    <cellStyle name="Comma 4 3 2 4 4 3" xfId="36977" xr:uid="{00000000-0005-0000-0000-0000656C0000}"/>
    <cellStyle name="Comma 4 3 2 4 5" xfId="21828" xr:uid="{00000000-0005-0000-0000-0000666C0000}"/>
    <cellStyle name="Comma 4 3 2 4 5 2" xfId="40194" xr:uid="{00000000-0005-0000-0000-0000676C0000}"/>
    <cellStyle name="Comma 4 3 2 4 6" xfId="22902" xr:uid="{00000000-0005-0000-0000-0000686C0000}"/>
    <cellStyle name="Comma 4 3 2 4 7" xfId="23972" xr:uid="{00000000-0005-0000-0000-0000696C0000}"/>
    <cellStyle name="Comma 4 3 2 4 8" xfId="27223" xr:uid="{00000000-0005-0000-0000-00006A6C0000}"/>
    <cellStyle name="Comma 4 3 2 4 9" xfId="30556" xr:uid="{00000000-0005-0000-0000-00006B6C0000}"/>
    <cellStyle name="Comma 4 3 2 5" xfId="1548" xr:uid="{00000000-0005-0000-0000-00006C6C0000}"/>
    <cellStyle name="Comma 4 3 2 5 10" xfId="33771" xr:uid="{00000000-0005-0000-0000-00006D6C0000}"/>
    <cellStyle name="Comma 4 3 2 5 2" xfId="10317" xr:uid="{00000000-0005-0000-0000-00006E6C0000}"/>
    <cellStyle name="Comma 4 3 2 5 2 2" xfId="26117" xr:uid="{00000000-0005-0000-0000-00006F6C0000}"/>
    <cellStyle name="Comma 4 3 2 5 2 2 2" xfId="45544" xr:uid="{00000000-0005-0000-0000-0000706C0000}"/>
    <cellStyle name="Comma 4 3 2 5 2 2 3" xfId="39121" xr:uid="{00000000-0005-0000-0000-0000716C0000}"/>
    <cellStyle name="Comma 4 3 2 5 2 3" xfId="28295" xr:uid="{00000000-0005-0000-0000-0000726C0000}"/>
    <cellStyle name="Comma 4 3 2 5 2 3 2" xfId="42337" xr:uid="{00000000-0005-0000-0000-0000736C0000}"/>
    <cellStyle name="Comma 4 3 2 5 2 4" xfId="31630" xr:uid="{00000000-0005-0000-0000-0000746C0000}"/>
    <cellStyle name="Comma 4 3 2 5 2 5" xfId="35913" xr:uid="{00000000-0005-0000-0000-0000756C0000}"/>
    <cellStyle name="Comma 4 3 2 5 3" xfId="16022" xr:uid="{00000000-0005-0000-0000-0000766C0000}"/>
    <cellStyle name="Comma 4 3 2 5 3 2" xfId="25037" xr:uid="{00000000-0005-0000-0000-0000776C0000}"/>
    <cellStyle name="Comma 4 3 2 5 3 2 2" xfId="44466" xr:uid="{00000000-0005-0000-0000-0000786C0000}"/>
    <cellStyle name="Comma 4 3 2 5 3 2 3" xfId="38043" xr:uid="{00000000-0005-0000-0000-0000796C0000}"/>
    <cellStyle name="Comma 4 3 2 5 3 3" xfId="29358" xr:uid="{00000000-0005-0000-0000-00007A6C0000}"/>
    <cellStyle name="Comma 4 3 2 5 3 3 2" xfId="41259" xr:uid="{00000000-0005-0000-0000-00007B6C0000}"/>
    <cellStyle name="Comma 4 3 2 5 3 4" xfId="32693" xr:uid="{00000000-0005-0000-0000-00007C6C0000}"/>
    <cellStyle name="Comma 4 3 2 5 3 5" xfId="34835" xr:uid="{00000000-0005-0000-0000-00007D6C0000}"/>
    <cellStyle name="Comma 4 3 2 5 4" xfId="8840" xr:uid="{00000000-0005-0000-0000-00007E6C0000}"/>
    <cellStyle name="Comma 4 3 2 5 4 2" xfId="43402" xr:uid="{00000000-0005-0000-0000-00007F6C0000}"/>
    <cellStyle name="Comma 4 3 2 5 4 3" xfId="36978" xr:uid="{00000000-0005-0000-0000-0000806C0000}"/>
    <cellStyle name="Comma 4 3 2 5 5" xfId="21829" xr:uid="{00000000-0005-0000-0000-0000816C0000}"/>
    <cellStyle name="Comma 4 3 2 5 5 2" xfId="40195" xr:uid="{00000000-0005-0000-0000-0000826C0000}"/>
    <cellStyle name="Comma 4 3 2 5 6" xfId="22903" xr:uid="{00000000-0005-0000-0000-0000836C0000}"/>
    <cellStyle name="Comma 4 3 2 5 7" xfId="23973" xr:uid="{00000000-0005-0000-0000-0000846C0000}"/>
    <cellStyle name="Comma 4 3 2 5 8" xfId="27224" xr:uid="{00000000-0005-0000-0000-0000856C0000}"/>
    <cellStyle name="Comma 4 3 2 5 9" xfId="30557" xr:uid="{00000000-0005-0000-0000-0000866C0000}"/>
    <cellStyle name="Comma 4 3 2 6" xfId="10313" xr:uid="{00000000-0005-0000-0000-0000876C0000}"/>
    <cellStyle name="Comma 4 3 2 6 2" xfId="26113" xr:uid="{00000000-0005-0000-0000-0000886C0000}"/>
    <cellStyle name="Comma 4 3 2 6 2 2" xfId="45540" xr:uid="{00000000-0005-0000-0000-0000896C0000}"/>
    <cellStyle name="Comma 4 3 2 6 2 3" xfId="39117" xr:uid="{00000000-0005-0000-0000-00008A6C0000}"/>
    <cellStyle name="Comma 4 3 2 6 3" xfId="28291" xr:uid="{00000000-0005-0000-0000-00008B6C0000}"/>
    <cellStyle name="Comma 4 3 2 6 3 2" xfId="42333" xr:uid="{00000000-0005-0000-0000-00008C6C0000}"/>
    <cellStyle name="Comma 4 3 2 6 4" xfId="31626" xr:uid="{00000000-0005-0000-0000-00008D6C0000}"/>
    <cellStyle name="Comma 4 3 2 6 5" xfId="35909" xr:uid="{00000000-0005-0000-0000-00008E6C0000}"/>
    <cellStyle name="Comma 4 3 2 7" xfId="16018" xr:uid="{00000000-0005-0000-0000-00008F6C0000}"/>
    <cellStyle name="Comma 4 3 2 7 2" xfId="25033" xr:uid="{00000000-0005-0000-0000-0000906C0000}"/>
    <cellStyle name="Comma 4 3 2 7 2 2" xfId="44462" xr:uid="{00000000-0005-0000-0000-0000916C0000}"/>
    <cellStyle name="Comma 4 3 2 7 2 3" xfId="38039" xr:uid="{00000000-0005-0000-0000-0000926C0000}"/>
    <cellStyle name="Comma 4 3 2 7 3" xfId="29354" xr:uid="{00000000-0005-0000-0000-0000936C0000}"/>
    <cellStyle name="Comma 4 3 2 7 3 2" xfId="41255" xr:uid="{00000000-0005-0000-0000-0000946C0000}"/>
    <cellStyle name="Comma 4 3 2 7 4" xfId="32689" xr:uid="{00000000-0005-0000-0000-0000956C0000}"/>
    <cellStyle name="Comma 4 3 2 7 5" xfId="34831" xr:uid="{00000000-0005-0000-0000-0000966C0000}"/>
    <cellStyle name="Comma 4 3 2 8" xfId="8836" xr:uid="{00000000-0005-0000-0000-0000976C0000}"/>
    <cellStyle name="Comma 4 3 2 8 2" xfId="43398" xr:uid="{00000000-0005-0000-0000-0000986C0000}"/>
    <cellStyle name="Comma 4 3 2 8 3" xfId="36974" xr:uid="{00000000-0005-0000-0000-0000996C0000}"/>
    <cellStyle name="Comma 4 3 2 9" xfId="21825" xr:uid="{00000000-0005-0000-0000-00009A6C0000}"/>
    <cellStyle name="Comma 4 3 2 9 2" xfId="40191" xr:uid="{00000000-0005-0000-0000-00009B6C0000}"/>
    <cellStyle name="Comma 4 3 3" xfId="1549" xr:uid="{00000000-0005-0000-0000-00009C6C0000}"/>
    <cellStyle name="Comma 4 3 3 10" xfId="22904" xr:uid="{00000000-0005-0000-0000-00009D6C0000}"/>
    <cellStyle name="Comma 4 3 3 11" xfId="23974" xr:uid="{00000000-0005-0000-0000-00009E6C0000}"/>
    <cellStyle name="Comma 4 3 3 12" xfId="27225" xr:uid="{00000000-0005-0000-0000-00009F6C0000}"/>
    <cellStyle name="Comma 4 3 3 13" xfId="30558" xr:uid="{00000000-0005-0000-0000-0000A06C0000}"/>
    <cellStyle name="Comma 4 3 3 14" xfId="33772" xr:uid="{00000000-0005-0000-0000-0000A16C0000}"/>
    <cellStyle name="Comma 4 3 3 2" xfId="1550" xr:uid="{00000000-0005-0000-0000-0000A26C0000}"/>
    <cellStyle name="Comma 4 3 3 2 10" xfId="33773" xr:uid="{00000000-0005-0000-0000-0000A36C0000}"/>
    <cellStyle name="Comma 4 3 3 2 2" xfId="10319" xr:uid="{00000000-0005-0000-0000-0000A46C0000}"/>
    <cellStyle name="Comma 4 3 3 2 2 2" xfId="26119" xr:uid="{00000000-0005-0000-0000-0000A56C0000}"/>
    <cellStyle name="Comma 4 3 3 2 2 2 2" xfId="45546" xr:uid="{00000000-0005-0000-0000-0000A66C0000}"/>
    <cellStyle name="Comma 4 3 3 2 2 2 3" xfId="39123" xr:uid="{00000000-0005-0000-0000-0000A76C0000}"/>
    <cellStyle name="Comma 4 3 3 2 2 3" xfId="28297" xr:uid="{00000000-0005-0000-0000-0000A86C0000}"/>
    <cellStyle name="Comma 4 3 3 2 2 3 2" xfId="42339" xr:uid="{00000000-0005-0000-0000-0000A96C0000}"/>
    <cellStyle name="Comma 4 3 3 2 2 4" xfId="31632" xr:uid="{00000000-0005-0000-0000-0000AA6C0000}"/>
    <cellStyle name="Comma 4 3 3 2 2 5" xfId="35915" xr:uid="{00000000-0005-0000-0000-0000AB6C0000}"/>
    <cellStyle name="Comma 4 3 3 2 3" xfId="16024" xr:uid="{00000000-0005-0000-0000-0000AC6C0000}"/>
    <cellStyle name="Comma 4 3 3 2 3 2" xfId="25039" xr:uid="{00000000-0005-0000-0000-0000AD6C0000}"/>
    <cellStyle name="Comma 4 3 3 2 3 2 2" xfId="44468" xr:uid="{00000000-0005-0000-0000-0000AE6C0000}"/>
    <cellStyle name="Comma 4 3 3 2 3 2 3" xfId="38045" xr:uid="{00000000-0005-0000-0000-0000AF6C0000}"/>
    <cellStyle name="Comma 4 3 3 2 3 3" xfId="29360" xr:uid="{00000000-0005-0000-0000-0000B06C0000}"/>
    <cellStyle name="Comma 4 3 3 2 3 3 2" xfId="41261" xr:uid="{00000000-0005-0000-0000-0000B16C0000}"/>
    <cellStyle name="Comma 4 3 3 2 3 4" xfId="32695" xr:uid="{00000000-0005-0000-0000-0000B26C0000}"/>
    <cellStyle name="Comma 4 3 3 2 3 5" xfId="34837" xr:uid="{00000000-0005-0000-0000-0000B36C0000}"/>
    <cellStyle name="Comma 4 3 3 2 4" xfId="8842" xr:uid="{00000000-0005-0000-0000-0000B46C0000}"/>
    <cellStyle name="Comma 4 3 3 2 4 2" xfId="43404" xr:uid="{00000000-0005-0000-0000-0000B56C0000}"/>
    <cellStyle name="Comma 4 3 3 2 4 3" xfId="36980" xr:uid="{00000000-0005-0000-0000-0000B66C0000}"/>
    <cellStyle name="Comma 4 3 3 2 5" xfId="21831" xr:uid="{00000000-0005-0000-0000-0000B76C0000}"/>
    <cellStyle name="Comma 4 3 3 2 5 2" xfId="40197" xr:uid="{00000000-0005-0000-0000-0000B86C0000}"/>
    <cellStyle name="Comma 4 3 3 2 6" xfId="22905" xr:uid="{00000000-0005-0000-0000-0000B96C0000}"/>
    <cellStyle name="Comma 4 3 3 2 7" xfId="23975" xr:uid="{00000000-0005-0000-0000-0000BA6C0000}"/>
    <cellStyle name="Comma 4 3 3 2 8" xfId="27226" xr:uid="{00000000-0005-0000-0000-0000BB6C0000}"/>
    <cellStyle name="Comma 4 3 3 2 9" xfId="30559" xr:uid="{00000000-0005-0000-0000-0000BC6C0000}"/>
    <cellStyle name="Comma 4 3 3 3" xfId="1551" xr:uid="{00000000-0005-0000-0000-0000BD6C0000}"/>
    <cellStyle name="Comma 4 3 3 3 10" xfId="33774" xr:uid="{00000000-0005-0000-0000-0000BE6C0000}"/>
    <cellStyle name="Comma 4 3 3 3 2" xfId="10320" xr:uid="{00000000-0005-0000-0000-0000BF6C0000}"/>
    <cellStyle name="Comma 4 3 3 3 2 2" xfId="26120" xr:uid="{00000000-0005-0000-0000-0000C06C0000}"/>
    <cellStyle name="Comma 4 3 3 3 2 2 2" xfId="45547" xr:uid="{00000000-0005-0000-0000-0000C16C0000}"/>
    <cellStyle name="Comma 4 3 3 3 2 2 3" xfId="39124" xr:uid="{00000000-0005-0000-0000-0000C26C0000}"/>
    <cellStyle name="Comma 4 3 3 3 2 3" xfId="28298" xr:uid="{00000000-0005-0000-0000-0000C36C0000}"/>
    <cellStyle name="Comma 4 3 3 3 2 3 2" xfId="42340" xr:uid="{00000000-0005-0000-0000-0000C46C0000}"/>
    <cellStyle name="Comma 4 3 3 3 2 4" xfId="31633" xr:uid="{00000000-0005-0000-0000-0000C56C0000}"/>
    <cellStyle name="Comma 4 3 3 3 2 5" xfId="35916" xr:uid="{00000000-0005-0000-0000-0000C66C0000}"/>
    <cellStyle name="Comma 4 3 3 3 3" xfId="16025" xr:uid="{00000000-0005-0000-0000-0000C76C0000}"/>
    <cellStyle name="Comma 4 3 3 3 3 2" xfId="25040" xr:uid="{00000000-0005-0000-0000-0000C86C0000}"/>
    <cellStyle name="Comma 4 3 3 3 3 2 2" xfId="44469" xr:uid="{00000000-0005-0000-0000-0000C96C0000}"/>
    <cellStyle name="Comma 4 3 3 3 3 2 3" xfId="38046" xr:uid="{00000000-0005-0000-0000-0000CA6C0000}"/>
    <cellStyle name="Comma 4 3 3 3 3 3" xfId="29361" xr:uid="{00000000-0005-0000-0000-0000CB6C0000}"/>
    <cellStyle name="Comma 4 3 3 3 3 3 2" xfId="41262" xr:uid="{00000000-0005-0000-0000-0000CC6C0000}"/>
    <cellStyle name="Comma 4 3 3 3 3 4" xfId="32696" xr:uid="{00000000-0005-0000-0000-0000CD6C0000}"/>
    <cellStyle name="Comma 4 3 3 3 3 5" xfId="34838" xr:uid="{00000000-0005-0000-0000-0000CE6C0000}"/>
    <cellStyle name="Comma 4 3 3 3 4" xfId="8843" xr:uid="{00000000-0005-0000-0000-0000CF6C0000}"/>
    <cellStyle name="Comma 4 3 3 3 4 2" xfId="43405" xr:uid="{00000000-0005-0000-0000-0000D06C0000}"/>
    <cellStyle name="Comma 4 3 3 3 4 3" xfId="36981" xr:uid="{00000000-0005-0000-0000-0000D16C0000}"/>
    <cellStyle name="Comma 4 3 3 3 5" xfId="21832" xr:uid="{00000000-0005-0000-0000-0000D26C0000}"/>
    <cellStyle name="Comma 4 3 3 3 5 2" xfId="40198" xr:uid="{00000000-0005-0000-0000-0000D36C0000}"/>
    <cellStyle name="Comma 4 3 3 3 6" xfId="22906" xr:uid="{00000000-0005-0000-0000-0000D46C0000}"/>
    <cellStyle name="Comma 4 3 3 3 7" xfId="23976" xr:uid="{00000000-0005-0000-0000-0000D56C0000}"/>
    <cellStyle name="Comma 4 3 3 3 8" xfId="27227" xr:uid="{00000000-0005-0000-0000-0000D66C0000}"/>
    <cellStyle name="Comma 4 3 3 3 9" xfId="30560" xr:uid="{00000000-0005-0000-0000-0000D76C0000}"/>
    <cellStyle name="Comma 4 3 3 4" xfId="1552" xr:uid="{00000000-0005-0000-0000-0000D86C0000}"/>
    <cellStyle name="Comma 4 3 3 4 10" xfId="33775" xr:uid="{00000000-0005-0000-0000-0000D96C0000}"/>
    <cellStyle name="Comma 4 3 3 4 2" xfId="10321" xr:uid="{00000000-0005-0000-0000-0000DA6C0000}"/>
    <cellStyle name="Comma 4 3 3 4 2 2" xfId="26121" xr:uid="{00000000-0005-0000-0000-0000DB6C0000}"/>
    <cellStyle name="Comma 4 3 3 4 2 2 2" xfId="45548" xr:uid="{00000000-0005-0000-0000-0000DC6C0000}"/>
    <cellStyle name="Comma 4 3 3 4 2 2 3" xfId="39125" xr:uid="{00000000-0005-0000-0000-0000DD6C0000}"/>
    <cellStyle name="Comma 4 3 3 4 2 3" xfId="28299" xr:uid="{00000000-0005-0000-0000-0000DE6C0000}"/>
    <cellStyle name="Comma 4 3 3 4 2 3 2" xfId="42341" xr:uid="{00000000-0005-0000-0000-0000DF6C0000}"/>
    <cellStyle name="Comma 4 3 3 4 2 4" xfId="31634" xr:uid="{00000000-0005-0000-0000-0000E06C0000}"/>
    <cellStyle name="Comma 4 3 3 4 2 5" xfId="35917" xr:uid="{00000000-0005-0000-0000-0000E16C0000}"/>
    <cellStyle name="Comma 4 3 3 4 3" xfId="16026" xr:uid="{00000000-0005-0000-0000-0000E26C0000}"/>
    <cellStyle name="Comma 4 3 3 4 3 2" xfId="25041" xr:uid="{00000000-0005-0000-0000-0000E36C0000}"/>
    <cellStyle name="Comma 4 3 3 4 3 2 2" xfId="44470" xr:uid="{00000000-0005-0000-0000-0000E46C0000}"/>
    <cellStyle name="Comma 4 3 3 4 3 2 3" xfId="38047" xr:uid="{00000000-0005-0000-0000-0000E56C0000}"/>
    <cellStyle name="Comma 4 3 3 4 3 3" xfId="29362" xr:uid="{00000000-0005-0000-0000-0000E66C0000}"/>
    <cellStyle name="Comma 4 3 3 4 3 3 2" xfId="41263" xr:uid="{00000000-0005-0000-0000-0000E76C0000}"/>
    <cellStyle name="Comma 4 3 3 4 3 4" xfId="32697" xr:uid="{00000000-0005-0000-0000-0000E86C0000}"/>
    <cellStyle name="Comma 4 3 3 4 3 5" xfId="34839" xr:uid="{00000000-0005-0000-0000-0000E96C0000}"/>
    <cellStyle name="Comma 4 3 3 4 4" xfId="8844" xr:uid="{00000000-0005-0000-0000-0000EA6C0000}"/>
    <cellStyle name="Comma 4 3 3 4 4 2" xfId="43406" xr:uid="{00000000-0005-0000-0000-0000EB6C0000}"/>
    <cellStyle name="Comma 4 3 3 4 4 3" xfId="36982" xr:uid="{00000000-0005-0000-0000-0000EC6C0000}"/>
    <cellStyle name="Comma 4 3 3 4 5" xfId="21833" xr:uid="{00000000-0005-0000-0000-0000ED6C0000}"/>
    <cellStyle name="Comma 4 3 3 4 5 2" xfId="40199" xr:uid="{00000000-0005-0000-0000-0000EE6C0000}"/>
    <cellStyle name="Comma 4 3 3 4 6" xfId="22907" xr:uid="{00000000-0005-0000-0000-0000EF6C0000}"/>
    <cellStyle name="Comma 4 3 3 4 7" xfId="23977" xr:uid="{00000000-0005-0000-0000-0000F06C0000}"/>
    <cellStyle name="Comma 4 3 3 4 8" xfId="27228" xr:uid="{00000000-0005-0000-0000-0000F16C0000}"/>
    <cellStyle name="Comma 4 3 3 4 9" xfId="30561" xr:uid="{00000000-0005-0000-0000-0000F26C0000}"/>
    <cellStyle name="Comma 4 3 3 5" xfId="1553" xr:uid="{00000000-0005-0000-0000-0000F36C0000}"/>
    <cellStyle name="Comma 4 3 3 5 10" xfId="33776" xr:uid="{00000000-0005-0000-0000-0000F46C0000}"/>
    <cellStyle name="Comma 4 3 3 5 2" xfId="10322" xr:uid="{00000000-0005-0000-0000-0000F56C0000}"/>
    <cellStyle name="Comma 4 3 3 5 2 2" xfId="26122" xr:uid="{00000000-0005-0000-0000-0000F66C0000}"/>
    <cellStyle name="Comma 4 3 3 5 2 2 2" xfId="45549" xr:uid="{00000000-0005-0000-0000-0000F76C0000}"/>
    <cellStyle name="Comma 4 3 3 5 2 2 3" xfId="39126" xr:uid="{00000000-0005-0000-0000-0000F86C0000}"/>
    <cellStyle name="Comma 4 3 3 5 2 3" xfId="28300" xr:uid="{00000000-0005-0000-0000-0000F96C0000}"/>
    <cellStyle name="Comma 4 3 3 5 2 3 2" xfId="42342" xr:uid="{00000000-0005-0000-0000-0000FA6C0000}"/>
    <cellStyle name="Comma 4 3 3 5 2 4" xfId="31635" xr:uid="{00000000-0005-0000-0000-0000FB6C0000}"/>
    <cellStyle name="Comma 4 3 3 5 2 5" xfId="35918" xr:uid="{00000000-0005-0000-0000-0000FC6C0000}"/>
    <cellStyle name="Comma 4 3 3 5 3" xfId="16027" xr:uid="{00000000-0005-0000-0000-0000FD6C0000}"/>
    <cellStyle name="Comma 4 3 3 5 3 2" xfId="25042" xr:uid="{00000000-0005-0000-0000-0000FE6C0000}"/>
    <cellStyle name="Comma 4 3 3 5 3 2 2" xfId="44471" xr:uid="{00000000-0005-0000-0000-0000FF6C0000}"/>
    <cellStyle name="Comma 4 3 3 5 3 2 3" xfId="38048" xr:uid="{00000000-0005-0000-0000-0000006D0000}"/>
    <cellStyle name="Comma 4 3 3 5 3 3" xfId="29363" xr:uid="{00000000-0005-0000-0000-0000016D0000}"/>
    <cellStyle name="Comma 4 3 3 5 3 3 2" xfId="41264" xr:uid="{00000000-0005-0000-0000-0000026D0000}"/>
    <cellStyle name="Comma 4 3 3 5 3 4" xfId="32698" xr:uid="{00000000-0005-0000-0000-0000036D0000}"/>
    <cellStyle name="Comma 4 3 3 5 3 5" xfId="34840" xr:uid="{00000000-0005-0000-0000-0000046D0000}"/>
    <cellStyle name="Comma 4 3 3 5 4" xfId="8845" xr:uid="{00000000-0005-0000-0000-0000056D0000}"/>
    <cellStyle name="Comma 4 3 3 5 4 2" xfId="43407" xr:uid="{00000000-0005-0000-0000-0000066D0000}"/>
    <cellStyle name="Comma 4 3 3 5 4 3" xfId="36983" xr:uid="{00000000-0005-0000-0000-0000076D0000}"/>
    <cellStyle name="Comma 4 3 3 5 5" xfId="21834" xr:uid="{00000000-0005-0000-0000-0000086D0000}"/>
    <cellStyle name="Comma 4 3 3 5 5 2" xfId="40200" xr:uid="{00000000-0005-0000-0000-0000096D0000}"/>
    <cellStyle name="Comma 4 3 3 5 6" xfId="22908" xr:uid="{00000000-0005-0000-0000-00000A6D0000}"/>
    <cellStyle name="Comma 4 3 3 5 7" xfId="23978" xr:uid="{00000000-0005-0000-0000-00000B6D0000}"/>
    <cellStyle name="Comma 4 3 3 5 8" xfId="27229" xr:uid="{00000000-0005-0000-0000-00000C6D0000}"/>
    <cellStyle name="Comma 4 3 3 5 9" xfId="30562" xr:uid="{00000000-0005-0000-0000-00000D6D0000}"/>
    <cellStyle name="Comma 4 3 3 6" xfId="10318" xr:uid="{00000000-0005-0000-0000-00000E6D0000}"/>
    <cellStyle name="Comma 4 3 3 6 2" xfId="26118" xr:uid="{00000000-0005-0000-0000-00000F6D0000}"/>
    <cellStyle name="Comma 4 3 3 6 2 2" xfId="45545" xr:uid="{00000000-0005-0000-0000-0000106D0000}"/>
    <cellStyle name="Comma 4 3 3 6 2 3" xfId="39122" xr:uid="{00000000-0005-0000-0000-0000116D0000}"/>
    <cellStyle name="Comma 4 3 3 6 3" xfId="28296" xr:uid="{00000000-0005-0000-0000-0000126D0000}"/>
    <cellStyle name="Comma 4 3 3 6 3 2" xfId="42338" xr:uid="{00000000-0005-0000-0000-0000136D0000}"/>
    <cellStyle name="Comma 4 3 3 6 4" xfId="31631" xr:uid="{00000000-0005-0000-0000-0000146D0000}"/>
    <cellStyle name="Comma 4 3 3 6 5" xfId="35914" xr:uid="{00000000-0005-0000-0000-0000156D0000}"/>
    <cellStyle name="Comma 4 3 3 7" xfId="16023" xr:uid="{00000000-0005-0000-0000-0000166D0000}"/>
    <cellStyle name="Comma 4 3 3 7 2" xfId="25038" xr:uid="{00000000-0005-0000-0000-0000176D0000}"/>
    <cellStyle name="Comma 4 3 3 7 2 2" xfId="44467" xr:uid="{00000000-0005-0000-0000-0000186D0000}"/>
    <cellStyle name="Comma 4 3 3 7 2 3" xfId="38044" xr:uid="{00000000-0005-0000-0000-0000196D0000}"/>
    <cellStyle name="Comma 4 3 3 7 3" xfId="29359" xr:uid="{00000000-0005-0000-0000-00001A6D0000}"/>
    <cellStyle name="Comma 4 3 3 7 3 2" xfId="41260" xr:uid="{00000000-0005-0000-0000-00001B6D0000}"/>
    <cellStyle name="Comma 4 3 3 7 4" xfId="32694" xr:uid="{00000000-0005-0000-0000-00001C6D0000}"/>
    <cellStyle name="Comma 4 3 3 7 5" xfId="34836" xr:uid="{00000000-0005-0000-0000-00001D6D0000}"/>
    <cellStyle name="Comma 4 3 3 8" xfId="8841" xr:uid="{00000000-0005-0000-0000-00001E6D0000}"/>
    <cellStyle name="Comma 4 3 3 8 2" xfId="43403" xr:uid="{00000000-0005-0000-0000-00001F6D0000}"/>
    <cellStyle name="Comma 4 3 3 8 3" xfId="36979" xr:uid="{00000000-0005-0000-0000-0000206D0000}"/>
    <cellStyle name="Comma 4 3 3 9" xfId="21830" xr:uid="{00000000-0005-0000-0000-0000216D0000}"/>
    <cellStyle name="Comma 4 3 3 9 2" xfId="40196" xr:uid="{00000000-0005-0000-0000-0000226D0000}"/>
    <cellStyle name="Comma 4 3 4" xfId="1554" xr:uid="{00000000-0005-0000-0000-0000236D0000}"/>
    <cellStyle name="Comma 4 3 4 10" xfId="33777" xr:uid="{00000000-0005-0000-0000-0000246D0000}"/>
    <cellStyle name="Comma 4 3 4 2" xfId="10323" xr:uid="{00000000-0005-0000-0000-0000256D0000}"/>
    <cellStyle name="Comma 4 3 4 2 2" xfId="26123" xr:uid="{00000000-0005-0000-0000-0000266D0000}"/>
    <cellStyle name="Comma 4 3 4 2 2 2" xfId="45550" xr:uid="{00000000-0005-0000-0000-0000276D0000}"/>
    <cellStyle name="Comma 4 3 4 2 2 3" xfId="39127" xr:uid="{00000000-0005-0000-0000-0000286D0000}"/>
    <cellStyle name="Comma 4 3 4 2 3" xfId="28301" xr:uid="{00000000-0005-0000-0000-0000296D0000}"/>
    <cellStyle name="Comma 4 3 4 2 3 2" xfId="42343" xr:uid="{00000000-0005-0000-0000-00002A6D0000}"/>
    <cellStyle name="Comma 4 3 4 2 4" xfId="31636" xr:uid="{00000000-0005-0000-0000-00002B6D0000}"/>
    <cellStyle name="Comma 4 3 4 2 5" xfId="35919" xr:uid="{00000000-0005-0000-0000-00002C6D0000}"/>
    <cellStyle name="Comma 4 3 4 3" xfId="16028" xr:uid="{00000000-0005-0000-0000-00002D6D0000}"/>
    <cellStyle name="Comma 4 3 4 3 2" xfId="25043" xr:uid="{00000000-0005-0000-0000-00002E6D0000}"/>
    <cellStyle name="Comma 4 3 4 3 2 2" xfId="44472" xr:uid="{00000000-0005-0000-0000-00002F6D0000}"/>
    <cellStyle name="Comma 4 3 4 3 2 3" xfId="38049" xr:uid="{00000000-0005-0000-0000-0000306D0000}"/>
    <cellStyle name="Comma 4 3 4 3 3" xfId="29364" xr:uid="{00000000-0005-0000-0000-0000316D0000}"/>
    <cellStyle name="Comma 4 3 4 3 3 2" xfId="41265" xr:uid="{00000000-0005-0000-0000-0000326D0000}"/>
    <cellStyle name="Comma 4 3 4 3 4" xfId="32699" xr:uid="{00000000-0005-0000-0000-0000336D0000}"/>
    <cellStyle name="Comma 4 3 4 3 5" xfId="34841" xr:uid="{00000000-0005-0000-0000-0000346D0000}"/>
    <cellStyle name="Comma 4 3 4 4" xfId="8846" xr:uid="{00000000-0005-0000-0000-0000356D0000}"/>
    <cellStyle name="Comma 4 3 4 4 2" xfId="43408" xr:uid="{00000000-0005-0000-0000-0000366D0000}"/>
    <cellStyle name="Comma 4 3 4 4 3" xfId="36984" xr:uid="{00000000-0005-0000-0000-0000376D0000}"/>
    <cellStyle name="Comma 4 3 4 5" xfId="21835" xr:uid="{00000000-0005-0000-0000-0000386D0000}"/>
    <cellStyle name="Comma 4 3 4 5 2" xfId="40201" xr:uid="{00000000-0005-0000-0000-0000396D0000}"/>
    <cellStyle name="Comma 4 3 4 6" xfId="22909" xr:uid="{00000000-0005-0000-0000-00003A6D0000}"/>
    <cellStyle name="Comma 4 3 4 7" xfId="23979" xr:uid="{00000000-0005-0000-0000-00003B6D0000}"/>
    <cellStyle name="Comma 4 3 4 8" xfId="27230" xr:uid="{00000000-0005-0000-0000-00003C6D0000}"/>
    <cellStyle name="Comma 4 3 4 9" xfId="30563" xr:uid="{00000000-0005-0000-0000-00003D6D0000}"/>
    <cellStyle name="Comma 4 3 5" xfId="1555" xr:uid="{00000000-0005-0000-0000-00003E6D0000}"/>
    <cellStyle name="Comma 4 3 5 10" xfId="33778" xr:uid="{00000000-0005-0000-0000-00003F6D0000}"/>
    <cellStyle name="Comma 4 3 5 2" xfId="10324" xr:uid="{00000000-0005-0000-0000-0000406D0000}"/>
    <cellStyle name="Comma 4 3 5 2 2" xfId="26124" xr:uid="{00000000-0005-0000-0000-0000416D0000}"/>
    <cellStyle name="Comma 4 3 5 2 2 2" xfId="45551" xr:uid="{00000000-0005-0000-0000-0000426D0000}"/>
    <cellStyle name="Comma 4 3 5 2 2 3" xfId="39128" xr:uid="{00000000-0005-0000-0000-0000436D0000}"/>
    <cellStyle name="Comma 4 3 5 2 3" xfId="28302" xr:uid="{00000000-0005-0000-0000-0000446D0000}"/>
    <cellStyle name="Comma 4 3 5 2 3 2" xfId="42344" xr:uid="{00000000-0005-0000-0000-0000456D0000}"/>
    <cellStyle name="Comma 4 3 5 2 4" xfId="31637" xr:uid="{00000000-0005-0000-0000-0000466D0000}"/>
    <cellStyle name="Comma 4 3 5 2 5" xfId="35920" xr:uid="{00000000-0005-0000-0000-0000476D0000}"/>
    <cellStyle name="Comma 4 3 5 3" xfId="16029" xr:uid="{00000000-0005-0000-0000-0000486D0000}"/>
    <cellStyle name="Comma 4 3 5 3 2" xfId="25044" xr:uid="{00000000-0005-0000-0000-0000496D0000}"/>
    <cellStyle name="Comma 4 3 5 3 2 2" xfId="44473" xr:uid="{00000000-0005-0000-0000-00004A6D0000}"/>
    <cellStyle name="Comma 4 3 5 3 2 3" xfId="38050" xr:uid="{00000000-0005-0000-0000-00004B6D0000}"/>
    <cellStyle name="Comma 4 3 5 3 3" xfId="29365" xr:uid="{00000000-0005-0000-0000-00004C6D0000}"/>
    <cellStyle name="Comma 4 3 5 3 3 2" xfId="41266" xr:uid="{00000000-0005-0000-0000-00004D6D0000}"/>
    <cellStyle name="Comma 4 3 5 3 4" xfId="32700" xr:uid="{00000000-0005-0000-0000-00004E6D0000}"/>
    <cellStyle name="Comma 4 3 5 3 5" xfId="34842" xr:uid="{00000000-0005-0000-0000-00004F6D0000}"/>
    <cellStyle name="Comma 4 3 5 4" xfId="8847" xr:uid="{00000000-0005-0000-0000-0000506D0000}"/>
    <cellStyle name="Comma 4 3 5 4 2" xfId="43409" xr:uid="{00000000-0005-0000-0000-0000516D0000}"/>
    <cellStyle name="Comma 4 3 5 4 3" xfId="36985" xr:uid="{00000000-0005-0000-0000-0000526D0000}"/>
    <cellStyle name="Comma 4 3 5 5" xfId="21836" xr:uid="{00000000-0005-0000-0000-0000536D0000}"/>
    <cellStyle name="Comma 4 3 5 5 2" xfId="40202" xr:uid="{00000000-0005-0000-0000-0000546D0000}"/>
    <cellStyle name="Comma 4 3 5 6" xfId="22910" xr:uid="{00000000-0005-0000-0000-0000556D0000}"/>
    <cellStyle name="Comma 4 3 5 7" xfId="23980" xr:uid="{00000000-0005-0000-0000-0000566D0000}"/>
    <cellStyle name="Comma 4 3 5 8" xfId="27231" xr:uid="{00000000-0005-0000-0000-0000576D0000}"/>
    <cellStyle name="Comma 4 3 5 9" xfId="30564" xr:uid="{00000000-0005-0000-0000-0000586D0000}"/>
    <cellStyle name="Comma 4 3 6" xfId="1556" xr:uid="{00000000-0005-0000-0000-0000596D0000}"/>
    <cellStyle name="Comma 4 3 6 10" xfId="33779" xr:uid="{00000000-0005-0000-0000-00005A6D0000}"/>
    <cellStyle name="Comma 4 3 6 2" xfId="10325" xr:uid="{00000000-0005-0000-0000-00005B6D0000}"/>
    <cellStyle name="Comma 4 3 6 2 2" xfId="26125" xr:uid="{00000000-0005-0000-0000-00005C6D0000}"/>
    <cellStyle name="Comma 4 3 6 2 2 2" xfId="45552" xr:uid="{00000000-0005-0000-0000-00005D6D0000}"/>
    <cellStyle name="Comma 4 3 6 2 2 3" xfId="39129" xr:uid="{00000000-0005-0000-0000-00005E6D0000}"/>
    <cellStyle name="Comma 4 3 6 2 3" xfId="28303" xr:uid="{00000000-0005-0000-0000-00005F6D0000}"/>
    <cellStyle name="Comma 4 3 6 2 3 2" xfId="42345" xr:uid="{00000000-0005-0000-0000-0000606D0000}"/>
    <cellStyle name="Comma 4 3 6 2 4" xfId="31638" xr:uid="{00000000-0005-0000-0000-0000616D0000}"/>
    <cellStyle name="Comma 4 3 6 2 5" xfId="35921" xr:uid="{00000000-0005-0000-0000-0000626D0000}"/>
    <cellStyle name="Comma 4 3 6 3" xfId="16030" xr:uid="{00000000-0005-0000-0000-0000636D0000}"/>
    <cellStyle name="Comma 4 3 6 3 2" xfId="25045" xr:uid="{00000000-0005-0000-0000-0000646D0000}"/>
    <cellStyle name="Comma 4 3 6 3 2 2" xfId="44474" xr:uid="{00000000-0005-0000-0000-0000656D0000}"/>
    <cellStyle name="Comma 4 3 6 3 2 3" xfId="38051" xr:uid="{00000000-0005-0000-0000-0000666D0000}"/>
    <cellStyle name="Comma 4 3 6 3 3" xfId="29366" xr:uid="{00000000-0005-0000-0000-0000676D0000}"/>
    <cellStyle name="Comma 4 3 6 3 3 2" xfId="41267" xr:uid="{00000000-0005-0000-0000-0000686D0000}"/>
    <cellStyle name="Comma 4 3 6 3 4" xfId="32701" xr:uid="{00000000-0005-0000-0000-0000696D0000}"/>
    <cellStyle name="Comma 4 3 6 3 5" xfId="34843" xr:uid="{00000000-0005-0000-0000-00006A6D0000}"/>
    <cellStyle name="Comma 4 3 6 4" xfId="8848" xr:uid="{00000000-0005-0000-0000-00006B6D0000}"/>
    <cellStyle name="Comma 4 3 6 4 2" xfId="43410" xr:uid="{00000000-0005-0000-0000-00006C6D0000}"/>
    <cellStyle name="Comma 4 3 6 4 3" xfId="36986" xr:uid="{00000000-0005-0000-0000-00006D6D0000}"/>
    <cellStyle name="Comma 4 3 6 5" xfId="21837" xr:uid="{00000000-0005-0000-0000-00006E6D0000}"/>
    <cellStyle name="Comma 4 3 6 5 2" xfId="40203" xr:uid="{00000000-0005-0000-0000-00006F6D0000}"/>
    <cellStyle name="Comma 4 3 6 6" xfId="22911" xr:uid="{00000000-0005-0000-0000-0000706D0000}"/>
    <cellStyle name="Comma 4 3 6 7" xfId="23981" xr:uid="{00000000-0005-0000-0000-0000716D0000}"/>
    <cellStyle name="Comma 4 3 6 8" xfId="27232" xr:uid="{00000000-0005-0000-0000-0000726D0000}"/>
    <cellStyle name="Comma 4 3 6 9" xfId="30565" xr:uid="{00000000-0005-0000-0000-0000736D0000}"/>
    <cellStyle name="Comma 4 3 7" xfId="1557" xr:uid="{00000000-0005-0000-0000-0000746D0000}"/>
    <cellStyle name="Comma 4 3 7 10" xfId="33780" xr:uid="{00000000-0005-0000-0000-0000756D0000}"/>
    <cellStyle name="Comma 4 3 7 2" xfId="10326" xr:uid="{00000000-0005-0000-0000-0000766D0000}"/>
    <cellStyle name="Comma 4 3 7 2 2" xfId="26126" xr:uid="{00000000-0005-0000-0000-0000776D0000}"/>
    <cellStyle name="Comma 4 3 7 2 2 2" xfId="45553" xr:uid="{00000000-0005-0000-0000-0000786D0000}"/>
    <cellStyle name="Comma 4 3 7 2 2 3" xfId="39130" xr:uid="{00000000-0005-0000-0000-0000796D0000}"/>
    <cellStyle name="Comma 4 3 7 2 3" xfId="28304" xr:uid="{00000000-0005-0000-0000-00007A6D0000}"/>
    <cellStyle name="Comma 4 3 7 2 3 2" xfId="42346" xr:uid="{00000000-0005-0000-0000-00007B6D0000}"/>
    <cellStyle name="Comma 4 3 7 2 4" xfId="31639" xr:uid="{00000000-0005-0000-0000-00007C6D0000}"/>
    <cellStyle name="Comma 4 3 7 2 5" xfId="35922" xr:uid="{00000000-0005-0000-0000-00007D6D0000}"/>
    <cellStyle name="Comma 4 3 7 3" xfId="16031" xr:uid="{00000000-0005-0000-0000-00007E6D0000}"/>
    <cellStyle name="Comma 4 3 7 3 2" xfId="25046" xr:uid="{00000000-0005-0000-0000-00007F6D0000}"/>
    <cellStyle name="Comma 4 3 7 3 2 2" xfId="44475" xr:uid="{00000000-0005-0000-0000-0000806D0000}"/>
    <cellStyle name="Comma 4 3 7 3 2 3" xfId="38052" xr:uid="{00000000-0005-0000-0000-0000816D0000}"/>
    <cellStyle name="Comma 4 3 7 3 3" xfId="29367" xr:uid="{00000000-0005-0000-0000-0000826D0000}"/>
    <cellStyle name="Comma 4 3 7 3 3 2" xfId="41268" xr:uid="{00000000-0005-0000-0000-0000836D0000}"/>
    <cellStyle name="Comma 4 3 7 3 4" xfId="32702" xr:uid="{00000000-0005-0000-0000-0000846D0000}"/>
    <cellStyle name="Comma 4 3 7 3 5" xfId="34844" xr:uid="{00000000-0005-0000-0000-0000856D0000}"/>
    <cellStyle name="Comma 4 3 7 4" xfId="8849" xr:uid="{00000000-0005-0000-0000-0000866D0000}"/>
    <cellStyle name="Comma 4 3 7 4 2" xfId="43411" xr:uid="{00000000-0005-0000-0000-0000876D0000}"/>
    <cellStyle name="Comma 4 3 7 4 3" xfId="36987" xr:uid="{00000000-0005-0000-0000-0000886D0000}"/>
    <cellStyle name="Comma 4 3 7 5" xfId="21838" xr:uid="{00000000-0005-0000-0000-0000896D0000}"/>
    <cellStyle name="Comma 4 3 7 5 2" xfId="40204" xr:uid="{00000000-0005-0000-0000-00008A6D0000}"/>
    <cellStyle name="Comma 4 3 7 6" xfId="22912" xr:uid="{00000000-0005-0000-0000-00008B6D0000}"/>
    <cellStyle name="Comma 4 3 7 7" xfId="23982" xr:uid="{00000000-0005-0000-0000-00008C6D0000}"/>
    <cellStyle name="Comma 4 3 7 8" xfId="27233" xr:uid="{00000000-0005-0000-0000-00008D6D0000}"/>
    <cellStyle name="Comma 4 3 7 9" xfId="30566" xr:uid="{00000000-0005-0000-0000-00008E6D0000}"/>
    <cellStyle name="Comma 4 3 8" xfId="9157" xr:uid="{00000000-0005-0000-0000-00008F6D0000}"/>
    <cellStyle name="Comma 4 3 8 2" xfId="25211" xr:uid="{00000000-0005-0000-0000-0000906D0000}"/>
    <cellStyle name="Comma 4 3 8 2 2" xfId="44638" xr:uid="{00000000-0005-0000-0000-0000916D0000}"/>
    <cellStyle name="Comma 4 3 8 2 3" xfId="38215" xr:uid="{00000000-0005-0000-0000-0000926D0000}"/>
    <cellStyle name="Comma 4 3 8 3" xfId="27390" xr:uid="{00000000-0005-0000-0000-0000936D0000}"/>
    <cellStyle name="Comma 4 3 8 3 2" xfId="41431" xr:uid="{00000000-0005-0000-0000-0000946D0000}"/>
    <cellStyle name="Comma 4 3 8 4" xfId="30725" xr:uid="{00000000-0005-0000-0000-0000956D0000}"/>
    <cellStyle name="Comma 4 3 8 5" xfId="35007" xr:uid="{00000000-0005-0000-0000-0000966D0000}"/>
    <cellStyle name="Comma 4 3 9" xfId="16017" xr:uid="{00000000-0005-0000-0000-0000976D0000}"/>
    <cellStyle name="Comma 4 3 9 2" xfId="25032" xr:uid="{00000000-0005-0000-0000-0000986D0000}"/>
    <cellStyle name="Comma 4 3 9 2 2" xfId="44461" xr:uid="{00000000-0005-0000-0000-0000996D0000}"/>
    <cellStyle name="Comma 4 3 9 2 3" xfId="38038" xr:uid="{00000000-0005-0000-0000-00009A6D0000}"/>
    <cellStyle name="Comma 4 3 9 3" xfId="29353" xr:uid="{00000000-0005-0000-0000-00009B6D0000}"/>
    <cellStyle name="Comma 4 3 9 3 2" xfId="41254" xr:uid="{00000000-0005-0000-0000-00009C6D0000}"/>
    <cellStyle name="Comma 4 3 9 4" xfId="32688" xr:uid="{00000000-0005-0000-0000-00009D6D0000}"/>
    <cellStyle name="Comma 4 3 9 5" xfId="34830" xr:uid="{00000000-0005-0000-0000-00009E6D0000}"/>
    <cellStyle name="Comma 4 4" xfId="1558" xr:uid="{00000000-0005-0000-0000-00009F6D0000}"/>
    <cellStyle name="Comma 4 4 10" xfId="33781" xr:uid="{00000000-0005-0000-0000-0000A06D0000}"/>
    <cellStyle name="Comma 4 4 2" xfId="10327" xr:uid="{00000000-0005-0000-0000-0000A16D0000}"/>
    <cellStyle name="Comma 4 4 2 2" xfId="26127" xr:uid="{00000000-0005-0000-0000-0000A26D0000}"/>
    <cellStyle name="Comma 4 4 2 2 2" xfId="45554" xr:uid="{00000000-0005-0000-0000-0000A36D0000}"/>
    <cellStyle name="Comma 4 4 2 2 3" xfId="39131" xr:uid="{00000000-0005-0000-0000-0000A46D0000}"/>
    <cellStyle name="Comma 4 4 2 3" xfId="28305" xr:uid="{00000000-0005-0000-0000-0000A56D0000}"/>
    <cellStyle name="Comma 4 4 2 3 2" xfId="42347" xr:uid="{00000000-0005-0000-0000-0000A66D0000}"/>
    <cellStyle name="Comma 4 4 2 4" xfId="31640" xr:uid="{00000000-0005-0000-0000-0000A76D0000}"/>
    <cellStyle name="Comma 4 4 2 5" xfId="35923" xr:uid="{00000000-0005-0000-0000-0000A86D0000}"/>
    <cellStyle name="Comma 4 4 3" xfId="16032" xr:uid="{00000000-0005-0000-0000-0000A96D0000}"/>
    <cellStyle name="Comma 4 4 3 2" xfId="25047" xr:uid="{00000000-0005-0000-0000-0000AA6D0000}"/>
    <cellStyle name="Comma 4 4 3 2 2" xfId="44476" xr:uid="{00000000-0005-0000-0000-0000AB6D0000}"/>
    <cellStyle name="Comma 4 4 3 2 3" xfId="38053" xr:uid="{00000000-0005-0000-0000-0000AC6D0000}"/>
    <cellStyle name="Comma 4 4 3 3" xfId="29368" xr:uid="{00000000-0005-0000-0000-0000AD6D0000}"/>
    <cellStyle name="Comma 4 4 3 3 2" xfId="41269" xr:uid="{00000000-0005-0000-0000-0000AE6D0000}"/>
    <cellStyle name="Comma 4 4 3 4" xfId="32703" xr:uid="{00000000-0005-0000-0000-0000AF6D0000}"/>
    <cellStyle name="Comma 4 4 3 5" xfId="34845" xr:uid="{00000000-0005-0000-0000-0000B06D0000}"/>
    <cellStyle name="Comma 4 4 4" xfId="8850" xr:uid="{00000000-0005-0000-0000-0000B16D0000}"/>
    <cellStyle name="Comma 4 4 4 2" xfId="43412" xr:uid="{00000000-0005-0000-0000-0000B26D0000}"/>
    <cellStyle name="Comma 4 4 4 3" xfId="36988" xr:uid="{00000000-0005-0000-0000-0000B36D0000}"/>
    <cellStyle name="Comma 4 4 5" xfId="21839" xr:uid="{00000000-0005-0000-0000-0000B46D0000}"/>
    <cellStyle name="Comma 4 4 5 2" xfId="40205" xr:uid="{00000000-0005-0000-0000-0000B56D0000}"/>
    <cellStyle name="Comma 4 4 6" xfId="22913" xr:uid="{00000000-0005-0000-0000-0000B66D0000}"/>
    <cellStyle name="Comma 4 4 7" xfId="23983" xr:uid="{00000000-0005-0000-0000-0000B76D0000}"/>
    <cellStyle name="Comma 4 4 8" xfId="27234" xr:uid="{00000000-0005-0000-0000-0000B86D0000}"/>
    <cellStyle name="Comma 4 4 9" xfId="30567" xr:uid="{00000000-0005-0000-0000-0000B96D0000}"/>
    <cellStyle name="Comma 4 5" xfId="1559" xr:uid="{00000000-0005-0000-0000-0000BA6D0000}"/>
    <cellStyle name="Comma 4 5 10" xfId="22914" xr:uid="{00000000-0005-0000-0000-0000BB6D0000}"/>
    <cellStyle name="Comma 4 5 11" xfId="23984" xr:uid="{00000000-0005-0000-0000-0000BC6D0000}"/>
    <cellStyle name="Comma 4 5 12" xfId="27235" xr:uid="{00000000-0005-0000-0000-0000BD6D0000}"/>
    <cellStyle name="Comma 4 5 13" xfId="30568" xr:uid="{00000000-0005-0000-0000-0000BE6D0000}"/>
    <cellStyle name="Comma 4 5 14" xfId="33782" xr:uid="{00000000-0005-0000-0000-0000BF6D0000}"/>
    <cellStyle name="Comma 4 5 2" xfId="1560" xr:uid="{00000000-0005-0000-0000-0000C06D0000}"/>
    <cellStyle name="Comma 4 5 2 10" xfId="33783" xr:uid="{00000000-0005-0000-0000-0000C16D0000}"/>
    <cellStyle name="Comma 4 5 2 2" xfId="10329" xr:uid="{00000000-0005-0000-0000-0000C26D0000}"/>
    <cellStyle name="Comma 4 5 2 2 2" xfId="26129" xr:uid="{00000000-0005-0000-0000-0000C36D0000}"/>
    <cellStyle name="Comma 4 5 2 2 2 2" xfId="45556" xr:uid="{00000000-0005-0000-0000-0000C46D0000}"/>
    <cellStyle name="Comma 4 5 2 2 2 3" xfId="39133" xr:uid="{00000000-0005-0000-0000-0000C56D0000}"/>
    <cellStyle name="Comma 4 5 2 2 3" xfId="28307" xr:uid="{00000000-0005-0000-0000-0000C66D0000}"/>
    <cellStyle name="Comma 4 5 2 2 3 2" xfId="42349" xr:uid="{00000000-0005-0000-0000-0000C76D0000}"/>
    <cellStyle name="Comma 4 5 2 2 4" xfId="31642" xr:uid="{00000000-0005-0000-0000-0000C86D0000}"/>
    <cellStyle name="Comma 4 5 2 2 5" xfId="35925" xr:uid="{00000000-0005-0000-0000-0000C96D0000}"/>
    <cellStyle name="Comma 4 5 2 3" xfId="16034" xr:uid="{00000000-0005-0000-0000-0000CA6D0000}"/>
    <cellStyle name="Comma 4 5 2 3 2" xfId="25049" xr:uid="{00000000-0005-0000-0000-0000CB6D0000}"/>
    <cellStyle name="Comma 4 5 2 3 2 2" xfId="44478" xr:uid="{00000000-0005-0000-0000-0000CC6D0000}"/>
    <cellStyle name="Comma 4 5 2 3 2 3" xfId="38055" xr:uid="{00000000-0005-0000-0000-0000CD6D0000}"/>
    <cellStyle name="Comma 4 5 2 3 3" xfId="29370" xr:uid="{00000000-0005-0000-0000-0000CE6D0000}"/>
    <cellStyle name="Comma 4 5 2 3 3 2" xfId="41271" xr:uid="{00000000-0005-0000-0000-0000CF6D0000}"/>
    <cellStyle name="Comma 4 5 2 3 4" xfId="32705" xr:uid="{00000000-0005-0000-0000-0000D06D0000}"/>
    <cellStyle name="Comma 4 5 2 3 5" xfId="34847" xr:uid="{00000000-0005-0000-0000-0000D16D0000}"/>
    <cellStyle name="Comma 4 5 2 4" xfId="8852" xr:uid="{00000000-0005-0000-0000-0000D26D0000}"/>
    <cellStyle name="Comma 4 5 2 4 2" xfId="43414" xr:uid="{00000000-0005-0000-0000-0000D36D0000}"/>
    <cellStyle name="Comma 4 5 2 4 3" xfId="36990" xr:uid="{00000000-0005-0000-0000-0000D46D0000}"/>
    <cellStyle name="Comma 4 5 2 5" xfId="21841" xr:uid="{00000000-0005-0000-0000-0000D56D0000}"/>
    <cellStyle name="Comma 4 5 2 5 2" xfId="40207" xr:uid="{00000000-0005-0000-0000-0000D66D0000}"/>
    <cellStyle name="Comma 4 5 2 6" xfId="22915" xr:uid="{00000000-0005-0000-0000-0000D76D0000}"/>
    <cellStyle name="Comma 4 5 2 7" xfId="23985" xr:uid="{00000000-0005-0000-0000-0000D86D0000}"/>
    <cellStyle name="Comma 4 5 2 8" xfId="27236" xr:uid="{00000000-0005-0000-0000-0000D96D0000}"/>
    <cellStyle name="Comma 4 5 2 9" xfId="30569" xr:uid="{00000000-0005-0000-0000-0000DA6D0000}"/>
    <cellStyle name="Comma 4 5 3" xfId="1561" xr:uid="{00000000-0005-0000-0000-0000DB6D0000}"/>
    <cellStyle name="Comma 4 5 3 10" xfId="33784" xr:uid="{00000000-0005-0000-0000-0000DC6D0000}"/>
    <cellStyle name="Comma 4 5 3 2" xfId="10330" xr:uid="{00000000-0005-0000-0000-0000DD6D0000}"/>
    <cellStyle name="Comma 4 5 3 2 2" xfId="26130" xr:uid="{00000000-0005-0000-0000-0000DE6D0000}"/>
    <cellStyle name="Comma 4 5 3 2 2 2" xfId="45557" xr:uid="{00000000-0005-0000-0000-0000DF6D0000}"/>
    <cellStyle name="Comma 4 5 3 2 2 3" xfId="39134" xr:uid="{00000000-0005-0000-0000-0000E06D0000}"/>
    <cellStyle name="Comma 4 5 3 2 3" xfId="28308" xr:uid="{00000000-0005-0000-0000-0000E16D0000}"/>
    <cellStyle name="Comma 4 5 3 2 3 2" xfId="42350" xr:uid="{00000000-0005-0000-0000-0000E26D0000}"/>
    <cellStyle name="Comma 4 5 3 2 4" xfId="31643" xr:uid="{00000000-0005-0000-0000-0000E36D0000}"/>
    <cellStyle name="Comma 4 5 3 2 5" xfId="35926" xr:uid="{00000000-0005-0000-0000-0000E46D0000}"/>
    <cellStyle name="Comma 4 5 3 3" xfId="16035" xr:uid="{00000000-0005-0000-0000-0000E56D0000}"/>
    <cellStyle name="Comma 4 5 3 3 2" xfId="25050" xr:uid="{00000000-0005-0000-0000-0000E66D0000}"/>
    <cellStyle name="Comma 4 5 3 3 2 2" xfId="44479" xr:uid="{00000000-0005-0000-0000-0000E76D0000}"/>
    <cellStyle name="Comma 4 5 3 3 2 3" xfId="38056" xr:uid="{00000000-0005-0000-0000-0000E86D0000}"/>
    <cellStyle name="Comma 4 5 3 3 3" xfId="29371" xr:uid="{00000000-0005-0000-0000-0000E96D0000}"/>
    <cellStyle name="Comma 4 5 3 3 3 2" xfId="41272" xr:uid="{00000000-0005-0000-0000-0000EA6D0000}"/>
    <cellStyle name="Comma 4 5 3 3 4" xfId="32706" xr:uid="{00000000-0005-0000-0000-0000EB6D0000}"/>
    <cellStyle name="Comma 4 5 3 3 5" xfId="34848" xr:uid="{00000000-0005-0000-0000-0000EC6D0000}"/>
    <cellStyle name="Comma 4 5 3 4" xfId="8853" xr:uid="{00000000-0005-0000-0000-0000ED6D0000}"/>
    <cellStyle name="Comma 4 5 3 4 2" xfId="43415" xr:uid="{00000000-0005-0000-0000-0000EE6D0000}"/>
    <cellStyle name="Comma 4 5 3 4 3" xfId="36991" xr:uid="{00000000-0005-0000-0000-0000EF6D0000}"/>
    <cellStyle name="Comma 4 5 3 5" xfId="21842" xr:uid="{00000000-0005-0000-0000-0000F06D0000}"/>
    <cellStyle name="Comma 4 5 3 5 2" xfId="40208" xr:uid="{00000000-0005-0000-0000-0000F16D0000}"/>
    <cellStyle name="Comma 4 5 3 6" xfId="22916" xr:uid="{00000000-0005-0000-0000-0000F26D0000}"/>
    <cellStyle name="Comma 4 5 3 7" xfId="23986" xr:uid="{00000000-0005-0000-0000-0000F36D0000}"/>
    <cellStyle name="Comma 4 5 3 8" xfId="27237" xr:uid="{00000000-0005-0000-0000-0000F46D0000}"/>
    <cellStyle name="Comma 4 5 3 9" xfId="30570" xr:uid="{00000000-0005-0000-0000-0000F56D0000}"/>
    <cellStyle name="Comma 4 5 4" xfId="1562" xr:uid="{00000000-0005-0000-0000-0000F66D0000}"/>
    <cellStyle name="Comma 4 5 4 10" xfId="33785" xr:uid="{00000000-0005-0000-0000-0000F76D0000}"/>
    <cellStyle name="Comma 4 5 4 2" xfId="10331" xr:uid="{00000000-0005-0000-0000-0000F86D0000}"/>
    <cellStyle name="Comma 4 5 4 2 2" xfId="26131" xr:uid="{00000000-0005-0000-0000-0000F96D0000}"/>
    <cellStyle name="Comma 4 5 4 2 2 2" xfId="45558" xr:uid="{00000000-0005-0000-0000-0000FA6D0000}"/>
    <cellStyle name="Comma 4 5 4 2 2 3" xfId="39135" xr:uid="{00000000-0005-0000-0000-0000FB6D0000}"/>
    <cellStyle name="Comma 4 5 4 2 3" xfId="28309" xr:uid="{00000000-0005-0000-0000-0000FC6D0000}"/>
    <cellStyle name="Comma 4 5 4 2 3 2" xfId="42351" xr:uid="{00000000-0005-0000-0000-0000FD6D0000}"/>
    <cellStyle name="Comma 4 5 4 2 4" xfId="31644" xr:uid="{00000000-0005-0000-0000-0000FE6D0000}"/>
    <cellStyle name="Comma 4 5 4 2 5" xfId="35927" xr:uid="{00000000-0005-0000-0000-0000FF6D0000}"/>
    <cellStyle name="Comma 4 5 4 3" xfId="16036" xr:uid="{00000000-0005-0000-0000-0000006E0000}"/>
    <cellStyle name="Comma 4 5 4 3 2" xfId="25051" xr:uid="{00000000-0005-0000-0000-0000016E0000}"/>
    <cellStyle name="Comma 4 5 4 3 2 2" xfId="44480" xr:uid="{00000000-0005-0000-0000-0000026E0000}"/>
    <cellStyle name="Comma 4 5 4 3 2 3" xfId="38057" xr:uid="{00000000-0005-0000-0000-0000036E0000}"/>
    <cellStyle name="Comma 4 5 4 3 3" xfId="29372" xr:uid="{00000000-0005-0000-0000-0000046E0000}"/>
    <cellStyle name="Comma 4 5 4 3 3 2" xfId="41273" xr:uid="{00000000-0005-0000-0000-0000056E0000}"/>
    <cellStyle name="Comma 4 5 4 3 4" xfId="32707" xr:uid="{00000000-0005-0000-0000-0000066E0000}"/>
    <cellStyle name="Comma 4 5 4 3 5" xfId="34849" xr:uid="{00000000-0005-0000-0000-0000076E0000}"/>
    <cellStyle name="Comma 4 5 4 4" xfId="8854" xr:uid="{00000000-0005-0000-0000-0000086E0000}"/>
    <cellStyle name="Comma 4 5 4 4 2" xfId="43416" xr:uid="{00000000-0005-0000-0000-0000096E0000}"/>
    <cellStyle name="Comma 4 5 4 4 3" xfId="36992" xr:uid="{00000000-0005-0000-0000-00000A6E0000}"/>
    <cellStyle name="Comma 4 5 4 5" xfId="21843" xr:uid="{00000000-0005-0000-0000-00000B6E0000}"/>
    <cellStyle name="Comma 4 5 4 5 2" xfId="40209" xr:uid="{00000000-0005-0000-0000-00000C6E0000}"/>
    <cellStyle name="Comma 4 5 4 6" xfId="22917" xr:uid="{00000000-0005-0000-0000-00000D6E0000}"/>
    <cellStyle name="Comma 4 5 4 7" xfId="23987" xr:uid="{00000000-0005-0000-0000-00000E6E0000}"/>
    <cellStyle name="Comma 4 5 4 8" xfId="27238" xr:uid="{00000000-0005-0000-0000-00000F6E0000}"/>
    <cellStyle name="Comma 4 5 4 9" xfId="30571" xr:uid="{00000000-0005-0000-0000-0000106E0000}"/>
    <cellStyle name="Comma 4 5 5" xfId="1563" xr:uid="{00000000-0005-0000-0000-0000116E0000}"/>
    <cellStyle name="Comma 4 5 5 10" xfId="33786" xr:uid="{00000000-0005-0000-0000-0000126E0000}"/>
    <cellStyle name="Comma 4 5 5 2" xfId="10332" xr:uid="{00000000-0005-0000-0000-0000136E0000}"/>
    <cellStyle name="Comma 4 5 5 2 2" xfId="26132" xr:uid="{00000000-0005-0000-0000-0000146E0000}"/>
    <cellStyle name="Comma 4 5 5 2 2 2" xfId="45559" xr:uid="{00000000-0005-0000-0000-0000156E0000}"/>
    <cellStyle name="Comma 4 5 5 2 2 3" xfId="39136" xr:uid="{00000000-0005-0000-0000-0000166E0000}"/>
    <cellStyle name="Comma 4 5 5 2 3" xfId="28310" xr:uid="{00000000-0005-0000-0000-0000176E0000}"/>
    <cellStyle name="Comma 4 5 5 2 3 2" xfId="42352" xr:uid="{00000000-0005-0000-0000-0000186E0000}"/>
    <cellStyle name="Comma 4 5 5 2 4" xfId="31645" xr:uid="{00000000-0005-0000-0000-0000196E0000}"/>
    <cellStyle name="Comma 4 5 5 2 5" xfId="35928" xr:uid="{00000000-0005-0000-0000-00001A6E0000}"/>
    <cellStyle name="Comma 4 5 5 3" xfId="16037" xr:uid="{00000000-0005-0000-0000-00001B6E0000}"/>
    <cellStyle name="Comma 4 5 5 3 2" xfId="25052" xr:uid="{00000000-0005-0000-0000-00001C6E0000}"/>
    <cellStyle name="Comma 4 5 5 3 2 2" xfId="44481" xr:uid="{00000000-0005-0000-0000-00001D6E0000}"/>
    <cellStyle name="Comma 4 5 5 3 2 3" xfId="38058" xr:uid="{00000000-0005-0000-0000-00001E6E0000}"/>
    <cellStyle name="Comma 4 5 5 3 3" xfId="29373" xr:uid="{00000000-0005-0000-0000-00001F6E0000}"/>
    <cellStyle name="Comma 4 5 5 3 3 2" xfId="41274" xr:uid="{00000000-0005-0000-0000-0000206E0000}"/>
    <cellStyle name="Comma 4 5 5 3 4" xfId="32708" xr:uid="{00000000-0005-0000-0000-0000216E0000}"/>
    <cellStyle name="Comma 4 5 5 3 5" xfId="34850" xr:uid="{00000000-0005-0000-0000-0000226E0000}"/>
    <cellStyle name="Comma 4 5 5 4" xfId="8855" xr:uid="{00000000-0005-0000-0000-0000236E0000}"/>
    <cellStyle name="Comma 4 5 5 4 2" xfId="43417" xr:uid="{00000000-0005-0000-0000-0000246E0000}"/>
    <cellStyle name="Comma 4 5 5 4 3" xfId="36993" xr:uid="{00000000-0005-0000-0000-0000256E0000}"/>
    <cellStyle name="Comma 4 5 5 5" xfId="21844" xr:uid="{00000000-0005-0000-0000-0000266E0000}"/>
    <cellStyle name="Comma 4 5 5 5 2" xfId="40210" xr:uid="{00000000-0005-0000-0000-0000276E0000}"/>
    <cellStyle name="Comma 4 5 5 6" xfId="22918" xr:uid="{00000000-0005-0000-0000-0000286E0000}"/>
    <cellStyle name="Comma 4 5 5 7" xfId="23988" xr:uid="{00000000-0005-0000-0000-0000296E0000}"/>
    <cellStyle name="Comma 4 5 5 8" xfId="27239" xr:uid="{00000000-0005-0000-0000-00002A6E0000}"/>
    <cellStyle name="Comma 4 5 5 9" xfId="30572" xr:uid="{00000000-0005-0000-0000-00002B6E0000}"/>
    <cellStyle name="Comma 4 5 6" xfId="10328" xr:uid="{00000000-0005-0000-0000-00002C6E0000}"/>
    <cellStyle name="Comma 4 5 6 2" xfId="26128" xr:uid="{00000000-0005-0000-0000-00002D6E0000}"/>
    <cellStyle name="Comma 4 5 6 2 2" xfId="45555" xr:uid="{00000000-0005-0000-0000-00002E6E0000}"/>
    <cellStyle name="Comma 4 5 6 2 3" xfId="39132" xr:uid="{00000000-0005-0000-0000-00002F6E0000}"/>
    <cellStyle name="Comma 4 5 6 3" xfId="28306" xr:uid="{00000000-0005-0000-0000-0000306E0000}"/>
    <cellStyle name="Comma 4 5 6 3 2" xfId="42348" xr:uid="{00000000-0005-0000-0000-0000316E0000}"/>
    <cellStyle name="Comma 4 5 6 4" xfId="31641" xr:uid="{00000000-0005-0000-0000-0000326E0000}"/>
    <cellStyle name="Comma 4 5 6 5" xfId="35924" xr:uid="{00000000-0005-0000-0000-0000336E0000}"/>
    <cellStyle name="Comma 4 5 7" xfId="16033" xr:uid="{00000000-0005-0000-0000-0000346E0000}"/>
    <cellStyle name="Comma 4 5 7 2" xfId="25048" xr:uid="{00000000-0005-0000-0000-0000356E0000}"/>
    <cellStyle name="Comma 4 5 7 2 2" xfId="44477" xr:uid="{00000000-0005-0000-0000-0000366E0000}"/>
    <cellStyle name="Comma 4 5 7 2 3" xfId="38054" xr:uid="{00000000-0005-0000-0000-0000376E0000}"/>
    <cellStyle name="Comma 4 5 7 3" xfId="29369" xr:uid="{00000000-0005-0000-0000-0000386E0000}"/>
    <cellStyle name="Comma 4 5 7 3 2" xfId="41270" xr:uid="{00000000-0005-0000-0000-0000396E0000}"/>
    <cellStyle name="Comma 4 5 7 4" xfId="32704" xr:uid="{00000000-0005-0000-0000-00003A6E0000}"/>
    <cellStyle name="Comma 4 5 7 5" xfId="34846" xr:uid="{00000000-0005-0000-0000-00003B6E0000}"/>
    <cellStyle name="Comma 4 5 8" xfId="8851" xr:uid="{00000000-0005-0000-0000-00003C6E0000}"/>
    <cellStyle name="Comma 4 5 8 2" xfId="43413" xr:uid="{00000000-0005-0000-0000-00003D6E0000}"/>
    <cellStyle name="Comma 4 5 8 3" xfId="36989" xr:uid="{00000000-0005-0000-0000-00003E6E0000}"/>
    <cellStyle name="Comma 4 5 9" xfId="21840" xr:uid="{00000000-0005-0000-0000-00003F6E0000}"/>
    <cellStyle name="Comma 4 5 9 2" xfId="40206" xr:uid="{00000000-0005-0000-0000-0000406E0000}"/>
    <cellStyle name="Comma 4 6" xfId="1564" xr:uid="{00000000-0005-0000-0000-0000416E0000}"/>
    <cellStyle name="Comma 4 6 10" xfId="22919" xr:uid="{00000000-0005-0000-0000-0000426E0000}"/>
    <cellStyle name="Comma 4 6 11" xfId="23989" xr:uid="{00000000-0005-0000-0000-0000436E0000}"/>
    <cellStyle name="Comma 4 6 12" xfId="27240" xr:uid="{00000000-0005-0000-0000-0000446E0000}"/>
    <cellStyle name="Comma 4 6 13" xfId="30573" xr:uid="{00000000-0005-0000-0000-0000456E0000}"/>
    <cellStyle name="Comma 4 6 14" xfId="33787" xr:uid="{00000000-0005-0000-0000-0000466E0000}"/>
    <cellStyle name="Comma 4 6 2" xfId="1565" xr:uid="{00000000-0005-0000-0000-0000476E0000}"/>
    <cellStyle name="Comma 4 6 2 10" xfId="33788" xr:uid="{00000000-0005-0000-0000-0000486E0000}"/>
    <cellStyle name="Comma 4 6 2 2" xfId="10334" xr:uid="{00000000-0005-0000-0000-0000496E0000}"/>
    <cellStyle name="Comma 4 6 2 2 2" xfId="26134" xr:uid="{00000000-0005-0000-0000-00004A6E0000}"/>
    <cellStyle name="Comma 4 6 2 2 2 2" xfId="45561" xr:uid="{00000000-0005-0000-0000-00004B6E0000}"/>
    <cellStyle name="Comma 4 6 2 2 2 3" xfId="39138" xr:uid="{00000000-0005-0000-0000-00004C6E0000}"/>
    <cellStyle name="Comma 4 6 2 2 3" xfId="28312" xr:uid="{00000000-0005-0000-0000-00004D6E0000}"/>
    <cellStyle name="Comma 4 6 2 2 3 2" xfId="42354" xr:uid="{00000000-0005-0000-0000-00004E6E0000}"/>
    <cellStyle name="Comma 4 6 2 2 4" xfId="31647" xr:uid="{00000000-0005-0000-0000-00004F6E0000}"/>
    <cellStyle name="Comma 4 6 2 2 5" xfId="35930" xr:uid="{00000000-0005-0000-0000-0000506E0000}"/>
    <cellStyle name="Comma 4 6 2 3" xfId="16039" xr:uid="{00000000-0005-0000-0000-0000516E0000}"/>
    <cellStyle name="Comma 4 6 2 3 2" xfId="25054" xr:uid="{00000000-0005-0000-0000-0000526E0000}"/>
    <cellStyle name="Comma 4 6 2 3 2 2" xfId="44483" xr:uid="{00000000-0005-0000-0000-0000536E0000}"/>
    <cellStyle name="Comma 4 6 2 3 2 3" xfId="38060" xr:uid="{00000000-0005-0000-0000-0000546E0000}"/>
    <cellStyle name="Comma 4 6 2 3 3" xfId="29375" xr:uid="{00000000-0005-0000-0000-0000556E0000}"/>
    <cellStyle name="Comma 4 6 2 3 3 2" xfId="41276" xr:uid="{00000000-0005-0000-0000-0000566E0000}"/>
    <cellStyle name="Comma 4 6 2 3 4" xfId="32710" xr:uid="{00000000-0005-0000-0000-0000576E0000}"/>
    <cellStyle name="Comma 4 6 2 3 5" xfId="34852" xr:uid="{00000000-0005-0000-0000-0000586E0000}"/>
    <cellStyle name="Comma 4 6 2 4" xfId="8857" xr:uid="{00000000-0005-0000-0000-0000596E0000}"/>
    <cellStyle name="Comma 4 6 2 4 2" xfId="43419" xr:uid="{00000000-0005-0000-0000-00005A6E0000}"/>
    <cellStyle name="Comma 4 6 2 4 3" xfId="36995" xr:uid="{00000000-0005-0000-0000-00005B6E0000}"/>
    <cellStyle name="Comma 4 6 2 5" xfId="21846" xr:uid="{00000000-0005-0000-0000-00005C6E0000}"/>
    <cellStyle name="Comma 4 6 2 5 2" xfId="40212" xr:uid="{00000000-0005-0000-0000-00005D6E0000}"/>
    <cellStyle name="Comma 4 6 2 6" xfId="22920" xr:uid="{00000000-0005-0000-0000-00005E6E0000}"/>
    <cellStyle name="Comma 4 6 2 7" xfId="23990" xr:uid="{00000000-0005-0000-0000-00005F6E0000}"/>
    <cellStyle name="Comma 4 6 2 8" xfId="27241" xr:uid="{00000000-0005-0000-0000-0000606E0000}"/>
    <cellStyle name="Comma 4 6 2 9" xfId="30574" xr:uid="{00000000-0005-0000-0000-0000616E0000}"/>
    <cellStyle name="Comma 4 6 3" xfId="1566" xr:uid="{00000000-0005-0000-0000-0000626E0000}"/>
    <cellStyle name="Comma 4 6 3 10" xfId="33789" xr:uid="{00000000-0005-0000-0000-0000636E0000}"/>
    <cellStyle name="Comma 4 6 3 2" xfId="10335" xr:uid="{00000000-0005-0000-0000-0000646E0000}"/>
    <cellStyle name="Comma 4 6 3 2 2" xfId="26135" xr:uid="{00000000-0005-0000-0000-0000656E0000}"/>
    <cellStyle name="Comma 4 6 3 2 2 2" xfId="45562" xr:uid="{00000000-0005-0000-0000-0000666E0000}"/>
    <cellStyle name="Comma 4 6 3 2 2 3" xfId="39139" xr:uid="{00000000-0005-0000-0000-0000676E0000}"/>
    <cellStyle name="Comma 4 6 3 2 3" xfId="28313" xr:uid="{00000000-0005-0000-0000-0000686E0000}"/>
    <cellStyle name="Comma 4 6 3 2 3 2" xfId="42355" xr:uid="{00000000-0005-0000-0000-0000696E0000}"/>
    <cellStyle name="Comma 4 6 3 2 4" xfId="31648" xr:uid="{00000000-0005-0000-0000-00006A6E0000}"/>
    <cellStyle name="Comma 4 6 3 2 5" xfId="35931" xr:uid="{00000000-0005-0000-0000-00006B6E0000}"/>
    <cellStyle name="Comma 4 6 3 3" xfId="16040" xr:uid="{00000000-0005-0000-0000-00006C6E0000}"/>
    <cellStyle name="Comma 4 6 3 3 2" xfId="25055" xr:uid="{00000000-0005-0000-0000-00006D6E0000}"/>
    <cellStyle name="Comma 4 6 3 3 2 2" xfId="44484" xr:uid="{00000000-0005-0000-0000-00006E6E0000}"/>
    <cellStyle name="Comma 4 6 3 3 2 3" xfId="38061" xr:uid="{00000000-0005-0000-0000-00006F6E0000}"/>
    <cellStyle name="Comma 4 6 3 3 3" xfId="29376" xr:uid="{00000000-0005-0000-0000-0000706E0000}"/>
    <cellStyle name="Comma 4 6 3 3 3 2" xfId="41277" xr:uid="{00000000-0005-0000-0000-0000716E0000}"/>
    <cellStyle name="Comma 4 6 3 3 4" xfId="32711" xr:uid="{00000000-0005-0000-0000-0000726E0000}"/>
    <cellStyle name="Comma 4 6 3 3 5" xfId="34853" xr:uid="{00000000-0005-0000-0000-0000736E0000}"/>
    <cellStyle name="Comma 4 6 3 4" xfId="8858" xr:uid="{00000000-0005-0000-0000-0000746E0000}"/>
    <cellStyle name="Comma 4 6 3 4 2" xfId="43420" xr:uid="{00000000-0005-0000-0000-0000756E0000}"/>
    <cellStyle name="Comma 4 6 3 4 3" xfId="36996" xr:uid="{00000000-0005-0000-0000-0000766E0000}"/>
    <cellStyle name="Comma 4 6 3 5" xfId="21847" xr:uid="{00000000-0005-0000-0000-0000776E0000}"/>
    <cellStyle name="Comma 4 6 3 5 2" xfId="40213" xr:uid="{00000000-0005-0000-0000-0000786E0000}"/>
    <cellStyle name="Comma 4 6 3 6" xfId="22921" xr:uid="{00000000-0005-0000-0000-0000796E0000}"/>
    <cellStyle name="Comma 4 6 3 7" xfId="23991" xr:uid="{00000000-0005-0000-0000-00007A6E0000}"/>
    <cellStyle name="Comma 4 6 3 8" xfId="27242" xr:uid="{00000000-0005-0000-0000-00007B6E0000}"/>
    <cellStyle name="Comma 4 6 3 9" xfId="30575" xr:uid="{00000000-0005-0000-0000-00007C6E0000}"/>
    <cellStyle name="Comma 4 6 4" xfId="1567" xr:uid="{00000000-0005-0000-0000-00007D6E0000}"/>
    <cellStyle name="Comma 4 6 4 10" xfId="33790" xr:uid="{00000000-0005-0000-0000-00007E6E0000}"/>
    <cellStyle name="Comma 4 6 4 2" xfId="10336" xr:uid="{00000000-0005-0000-0000-00007F6E0000}"/>
    <cellStyle name="Comma 4 6 4 2 2" xfId="26136" xr:uid="{00000000-0005-0000-0000-0000806E0000}"/>
    <cellStyle name="Comma 4 6 4 2 2 2" xfId="45563" xr:uid="{00000000-0005-0000-0000-0000816E0000}"/>
    <cellStyle name="Comma 4 6 4 2 2 3" xfId="39140" xr:uid="{00000000-0005-0000-0000-0000826E0000}"/>
    <cellStyle name="Comma 4 6 4 2 3" xfId="28314" xr:uid="{00000000-0005-0000-0000-0000836E0000}"/>
    <cellStyle name="Comma 4 6 4 2 3 2" xfId="42356" xr:uid="{00000000-0005-0000-0000-0000846E0000}"/>
    <cellStyle name="Comma 4 6 4 2 4" xfId="31649" xr:uid="{00000000-0005-0000-0000-0000856E0000}"/>
    <cellStyle name="Comma 4 6 4 2 5" xfId="35932" xr:uid="{00000000-0005-0000-0000-0000866E0000}"/>
    <cellStyle name="Comma 4 6 4 3" xfId="16041" xr:uid="{00000000-0005-0000-0000-0000876E0000}"/>
    <cellStyle name="Comma 4 6 4 3 2" xfId="25056" xr:uid="{00000000-0005-0000-0000-0000886E0000}"/>
    <cellStyle name="Comma 4 6 4 3 2 2" xfId="44485" xr:uid="{00000000-0005-0000-0000-0000896E0000}"/>
    <cellStyle name="Comma 4 6 4 3 2 3" xfId="38062" xr:uid="{00000000-0005-0000-0000-00008A6E0000}"/>
    <cellStyle name="Comma 4 6 4 3 3" xfId="29377" xr:uid="{00000000-0005-0000-0000-00008B6E0000}"/>
    <cellStyle name="Comma 4 6 4 3 3 2" xfId="41278" xr:uid="{00000000-0005-0000-0000-00008C6E0000}"/>
    <cellStyle name="Comma 4 6 4 3 4" xfId="32712" xr:uid="{00000000-0005-0000-0000-00008D6E0000}"/>
    <cellStyle name="Comma 4 6 4 3 5" xfId="34854" xr:uid="{00000000-0005-0000-0000-00008E6E0000}"/>
    <cellStyle name="Comma 4 6 4 4" xfId="8859" xr:uid="{00000000-0005-0000-0000-00008F6E0000}"/>
    <cellStyle name="Comma 4 6 4 4 2" xfId="43421" xr:uid="{00000000-0005-0000-0000-0000906E0000}"/>
    <cellStyle name="Comma 4 6 4 4 3" xfId="36997" xr:uid="{00000000-0005-0000-0000-0000916E0000}"/>
    <cellStyle name="Comma 4 6 4 5" xfId="21848" xr:uid="{00000000-0005-0000-0000-0000926E0000}"/>
    <cellStyle name="Comma 4 6 4 5 2" xfId="40214" xr:uid="{00000000-0005-0000-0000-0000936E0000}"/>
    <cellStyle name="Comma 4 6 4 6" xfId="22922" xr:uid="{00000000-0005-0000-0000-0000946E0000}"/>
    <cellStyle name="Comma 4 6 4 7" xfId="23992" xr:uid="{00000000-0005-0000-0000-0000956E0000}"/>
    <cellStyle name="Comma 4 6 4 8" xfId="27243" xr:uid="{00000000-0005-0000-0000-0000966E0000}"/>
    <cellStyle name="Comma 4 6 4 9" xfId="30576" xr:uid="{00000000-0005-0000-0000-0000976E0000}"/>
    <cellStyle name="Comma 4 6 5" xfId="1568" xr:uid="{00000000-0005-0000-0000-0000986E0000}"/>
    <cellStyle name="Comma 4 6 5 10" xfId="33791" xr:uid="{00000000-0005-0000-0000-0000996E0000}"/>
    <cellStyle name="Comma 4 6 5 2" xfId="10337" xr:uid="{00000000-0005-0000-0000-00009A6E0000}"/>
    <cellStyle name="Comma 4 6 5 2 2" xfId="26137" xr:uid="{00000000-0005-0000-0000-00009B6E0000}"/>
    <cellStyle name="Comma 4 6 5 2 2 2" xfId="45564" xr:uid="{00000000-0005-0000-0000-00009C6E0000}"/>
    <cellStyle name="Comma 4 6 5 2 2 3" xfId="39141" xr:uid="{00000000-0005-0000-0000-00009D6E0000}"/>
    <cellStyle name="Comma 4 6 5 2 3" xfId="28315" xr:uid="{00000000-0005-0000-0000-00009E6E0000}"/>
    <cellStyle name="Comma 4 6 5 2 3 2" xfId="42357" xr:uid="{00000000-0005-0000-0000-00009F6E0000}"/>
    <cellStyle name="Comma 4 6 5 2 4" xfId="31650" xr:uid="{00000000-0005-0000-0000-0000A06E0000}"/>
    <cellStyle name="Comma 4 6 5 2 5" xfId="35933" xr:uid="{00000000-0005-0000-0000-0000A16E0000}"/>
    <cellStyle name="Comma 4 6 5 3" xfId="16042" xr:uid="{00000000-0005-0000-0000-0000A26E0000}"/>
    <cellStyle name="Comma 4 6 5 3 2" xfId="25057" xr:uid="{00000000-0005-0000-0000-0000A36E0000}"/>
    <cellStyle name="Comma 4 6 5 3 2 2" xfId="44486" xr:uid="{00000000-0005-0000-0000-0000A46E0000}"/>
    <cellStyle name="Comma 4 6 5 3 2 3" xfId="38063" xr:uid="{00000000-0005-0000-0000-0000A56E0000}"/>
    <cellStyle name="Comma 4 6 5 3 3" xfId="29378" xr:uid="{00000000-0005-0000-0000-0000A66E0000}"/>
    <cellStyle name="Comma 4 6 5 3 3 2" xfId="41279" xr:uid="{00000000-0005-0000-0000-0000A76E0000}"/>
    <cellStyle name="Comma 4 6 5 3 4" xfId="32713" xr:uid="{00000000-0005-0000-0000-0000A86E0000}"/>
    <cellStyle name="Comma 4 6 5 3 5" xfId="34855" xr:uid="{00000000-0005-0000-0000-0000A96E0000}"/>
    <cellStyle name="Comma 4 6 5 4" xfId="8860" xr:uid="{00000000-0005-0000-0000-0000AA6E0000}"/>
    <cellStyle name="Comma 4 6 5 4 2" xfId="43422" xr:uid="{00000000-0005-0000-0000-0000AB6E0000}"/>
    <cellStyle name="Comma 4 6 5 4 3" xfId="36998" xr:uid="{00000000-0005-0000-0000-0000AC6E0000}"/>
    <cellStyle name="Comma 4 6 5 5" xfId="21849" xr:uid="{00000000-0005-0000-0000-0000AD6E0000}"/>
    <cellStyle name="Comma 4 6 5 5 2" xfId="40215" xr:uid="{00000000-0005-0000-0000-0000AE6E0000}"/>
    <cellStyle name="Comma 4 6 5 6" xfId="22923" xr:uid="{00000000-0005-0000-0000-0000AF6E0000}"/>
    <cellStyle name="Comma 4 6 5 7" xfId="23993" xr:uid="{00000000-0005-0000-0000-0000B06E0000}"/>
    <cellStyle name="Comma 4 6 5 8" xfId="27244" xr:uid="{00000000-0005-0000-0000-0000B16E0000}"/>
    <cellStyle name="Comma 4 6 5 9" xfId="30577" xr:uid="{00000000-0005-0000-0000-0000B26E0000}"/>
    <cellStyle name="Comma 4 6 6" xfId="10333" xr:uid="{00000000-0005-0000-0000-0000B36E0000}"/>
    <cellStyle name="Comma 4 6 6 2" xfId="26133" xr:uid="{00000000-0005-0000-0000-0000B46E0000}"/>
    <cellStyle name="Comma 4 6 6 2 2" xfId="45560" xr:uid="{00000000-0005-0000-0000-0000B56E0000}"/>
    <cellStyle name="Comma 4 6 6 2 3" xfId="39137" xr:uid="{00000000-0005-0000-0000-0000B66E0000}"/>
    <cellStyle name="Comma 4 6 6 3" xfId="28311" xr:uid="{00000000-0005-0000-0000-0000B76E0000}"/>
    <cellStyle name="Comma 4 6 6 3 2" xfId="42353" xr:uid="{00000000-0005-0000-0000-0000B86E0000}"/>
    <cellStyle name="Comma 4 6 6 4" xfId="31646" xr:uid="{00000000-0005-0000-0000-0000B96E0000}"/>
    <cellStyle name="Comma 4 6 6 5" xfId="35929" xr:uid="{00000000-0005-0000-0000-0000BA6E0000}"/>
    <cellStyle name="Comma 4 6 7" xfId="16038" xr:uid="{00000000-0005-0000-0000-0000BB6E0000}"/>
    <cellStyle name="Comma 4 6 7 2" xfId="25053" xr:uid="{00000000-0005-0000-0000-0000BC6E0000}"/>
    <cellStyle name="Comma 4 6 7 2 2" xfId="44482" xr:uid="{00000000-0005-0000-0000-0000BD6E0000}"/>
    <cellStyle name="Comma 4 6 7 2 3" xfId="38059" xr:uid="{00000000-0005-0000-0000-0000BE6E0000}"/>
    <cellStyle name="Comma 4 6 7 3" xfId="29374" xr:uid="{00000000-0005-0000-0000-0000BF6E0000}"/>
    <cellStyle name="Comma 4 6 7 3 2" xfId="41275" xr:uid="{00000000-0005-0000-0000-0000C06E0000}"/>
    <cellStyle name="Comma 4 6 7 4" xfId="32709" xr:uid="{00000000-0005-0000-0000-0000C16E0000}"/>
    <cellStyle name="Comma 4 6 7 5" xfId="34851" xr:uid="{00000000-0005-0000-0000-0000C26E0000}"/>
    <cellStyle name="Comma 4 6 8" xfId="8856" xr:uid="{00000000-0005-0000-0000-0000C36E0000}"/>
    <cellStyle name="Comma 4 6 8 2" xfId="43418" xr:uid="{00000000-0005-0000-0000-0000C46E0000}"/>
    <cellStyle name="Comma 4 6 8 3" xfId="36994" xr:uid="{00000000-0005-0000-0000-0000C56E0000}"/>
    <cellStyle name="Comma 4 6 9" xfId="21845" xr:uid="{00000000-0005-0000-0000-0000C66E0000}"/>
    <cellStyle name="Comma 4 6 9 2" xfId="40211" xr:uid="{00000000-0005-0000-0000-0000C76E0000}"/>
    <cellStyle name="Comma 4 7" xfId="8983" xr:uid="{00000000-0005-0000-0000-0000C86E0000}"/>
    <cellStyle name="Comma 4 7 2" xfId="25108" xr:uid="{00000000-0005-0000-0000-0000C96E0000}"/>
    <cellStyle name="Comma 4 7 2 2" xfId="44535" xr:uid="{00000000-0005-0000-0000-0000CA6E0000}"/>
    <cellStyle name="Comma 4 7 2 3" xfId="38112" xr:uid="{00000000-0005-0000-0000-0000CB6E0000}"/>
    <cellStyle name="Comma 4 7 3" xfId="27287" xr:uid="{00000000-0005-0000-0000-0000CC6E0000}"/>
    <cellStyle name="Comma 4 7 3 2" xfId="41328" xr:uid="{00000000-0005-0000-0000-0000CD6E0000}"/>
    <cellStyle name="Comma 4 7 4" xfId="30622" xr:uid="{00000000-0005-0000-0000-0000CE6E0000}"/>
    <cellStyle name="Comma 4 7 5" xfId="34904" xr:uid="{00000000-0005-0000-0000-0000CF6E0000}"/>
    <cellStyle name="Comma 4 8" xfId="15009" xr:uid="{00000000-0005-0000-0000-0000D06E0000}"/>
    <cellStyle name="Comma 4 8 2" xfId="24035" xr:uid="{00000000-0005-0000-0000-0000D16E0000}"/>
    <cellStyle name="Comma 4 8 2 2" xfId="43464" xr:uid="{00000000-0005-0000-0000-0000D26E0000}"/>
    <cellStyle name="Comma 4 8 2 3" xfId="37041" xr:uid="{00000000-0005-0000-0000-0000D36E0000}"/>
    <cellStyle name="Comma 4 8 3" xfId="28359" xr:uid="{00000000-0005-0000-0000-0000D46E0000}"/>
    <cellStyle name="Comma 4 8 3 2" xfId="40257" xr:uid="{00000000-0005-0000-0000-0000D56E0000}"/>
    <cellStyle name="Comma 4 8 4" xfId="31694" xr:uid="{00000000-0005-0000-0000-0000D66E0000}"/>
    <cellStyle name="Comma 4 8 5" xfId="33833" xr:uid="{00000000-0005-0000-0000-0000D76E0000}"/>
    <cellStyle name="Comma 4 9" xfId="7829" xr:uid="{00000000-0005-0000-0000-0000D86E0000}"/>
    <cellStyle name="Comma 4 9 2" xfId="42400" xr:uid="{00000000-0005-0000-0000-0000D96E0000}"/>
    <cellStyle name="Comma 4 9 3" xfId="35976" xr:uid="{00000000-0005-0000-0000-0000DA6E0000}"/>
    <cellStyle name="Comma 4_Data - Monthly Commodity Prices" xfId="6484" xr:uid="{00000000-0005-0000-0000-0000DB6E0000}"/>
    <cellStyle name="Comma 5" xfId="303" xr:uid="{00000000-0005-0000-0000-0000DC6E0000}"/>
    <cellStyle name="Comma 5 10" xfId="26217" xr:uid="{00000000-0005-0000-0000-0000DD6E0000}"/>
    <cellStyle name="Comma 5 11" xfId="26226" xr:uid="{00000000-0005-0000-0000-0000DE6E0000}"/>
    <cellStyle name="Comma 5 12" xfId="29559" xr:uid="{00000000-0005-0000-0000-0000DF6E0000}"/>
    <cellStyle name="Comma 5 13" xfId="32770" xr:uid="{00000000-0005-0000-0000-0000E06E0000}"/>
    <cellStyle name="Comma 5 2" xfId="1569" xr:uid="{00000000-0005-0000-0000-0000E16E0000}"/>
    <cellStyle name="Comma 5 2 10" xfId="8861" xr:uid="{00000000-0005-0000-0000-0000E26E0000}"/>
    <cellStyle name="Comma 5 2 10 2" xfId="43423" xr:uid="{00000000-0005-0000-0000-0000E36E0000}"/>
    <cellStyle name="Comma 5 2 10 3" xfId="36999" xr:uid="{00000000-0005-0000-0000-0000E46E0000}"/>
    <cellStyle name="Comma 5 2 11" xfId="21850" xr:uid="{00000000-0005-0000-0000-0000E56E0000}"/>
    <cellStyle name="Comma 5 2 11 2" xfId="40216" xr:uid="{00000000-0005-0000-0000-0000E66E0000}"/>
    <cellStyle name="Comma 5 2 12" xfId="22924" xr:uid="{00000000-0005-0000-0000-0000E76E0000}"/>
    <cellStyle name="Comma 5 2 13" xfId="23994" xr:uid="{00000000-0005-0000-0000-0000E86E0000}"/>
    <cellStyle name="Comma 5 2 14" xfId="27245" xr:uid="{00000000-0005-0000-0000-0000E96E0000}"/>
    <cellStyle name="Comma 5 2 15" xfId="30578" xr:uid="{00000000-0005-0000-0000-0000EA6E0000}"/>
    <cellStyle name="Comma 5 2 16" xfId="33792" xr:uid="{00000000-0005-0000-0000-0000EB6E0000}"/>
    <cellStyle name="Comma 5 2 2" xfId="1570" xr:uid="{00000000-0005-0000-0000-0000EC6E0000}"/>
    <cellStyle name="Comma 5 2 2 10" xfId="22925" xr:uid="{00000000-0005-0000-0000-0000ED6E0000}"/>
    <cellStyle name="Comma 5 2 2 11" xfId="23995" xr:uid="{00000000-0005-0000-0000-0000EE6E0000}"/>
    <cellStyle name="Comma 5 2 2 12" xfId="27246" xr:uid="{00000000-0005-0000-0000-0000EF6E0000}"/>
    <cellStyle name="Comma 5 2 2 13" xfId="30579" xr:uid="{00000000-0005-0000-0000-0000F06E0000}"/>
    <cellStyle name="Comma 5 2 2 14" xfId="33793" xr:uid="{00000000-0005-0000-0000-0000F16E0000}"/>
    <cellStyle name="Comma 5 2 2 2" xfId="1571" xr:uid="{00000000-0005-0000-0000-0000F26E0000}"/>
    <cellStyle name="Comma 5 2 2 2 10" xfId="33794" xr:uid="{00000000-0005-0000-0000-0000F36E0000}"/>
    <cellStyle name="Comma 5 2 2 2 2" xfId="10340" xr:uid="{00000000-0005-0000-0000-0000F46E0000}"/>
    <cellStyle name="Comma 5 2 2 2 2 2" xfId="26140" xr:uid="{00000000-0005-0000-0000-0000F56E0000}"/>
    <cellStyle name="Comma 5 2 2 2 2 2 2" xfId="45567" xr:uid="{00000000-0005-0000-0000-0000F66E0000}"/>
    <cellStyle name="Comma 5 2 2 2 2 2 3" xfId="39144" xr:uid="{00000000-0005-0000-0000-0000F76E0000}"/>
    <cellStyle name="Comma 5 2 2 2 2 3" xfId="28318" xr:uid="{00000000-0005-0000-0000-0000F86E0000}"/>
    <cellStyle name="Comma 5 2 2 2 2 3 2" xfId="42360" xr:uid="{00000000-0005-0000-0000-0000F96E0000}"/>
    <cellStyle name="Comma 5 2 2 2 2 4" xfId="31653" xr:uid="{00000000-0005-0000-0000-0000FA6E0000}"/>
    <cellStyle name="Comma 5 2 2 2 2 5" xfId="35936" xr:uid="{00000000-0005-0000-0000-0000FB6E0000}"/>
    <cellStyle name="Comma 5 2 2 2 3" xfId="16045" xr:uid="{00000000-0005-0000-0000-0000FC6E0000}"/>
    <cellStyle name="Comma 5 2 2 2 3 2" xfId="25060" xr:uid="{00000000-0005-0000-0000-0000FD6E0000}"/>
    <cellStyle name="Comma 5 2 2 2 3 2 2" xfId="44489" xr:uid="{00000000-0005-0000-0000-0000FE6E0000}"/>
    <cellStyle name="Comma 5 2 2 2 3 2 3" xfId="38066" xr:uid="{00000000-0005-0000-0000-0000FF6E0000}"/>
    <cellStyle name="Comma 5 2 2 2 3 3" xfId="29381" xr:uid="{00000000-0005-0000-0000-0000006F0000}"/>
    <cellStyle name="Comma 5 2 2 2 3 3 2" xfId="41282" xr:uid="{00000000-0005-0000-0000-0000016F0000}"/>
    <cellStyle name="Comma 5 2 2 2 3 4" xfId="32716" xr:uid="{00000000-0005-0000-0000-0000026F0000}"/>
    <cellStyle name="Comma 5 2 2 2 3 5" xfId="34858" xr:uid="{00000000-0005-0000-0000-0000036F0000}"/>
    <cellStyle name="Comma 5 2 2 2 4" xfId="8863" xr:uid="{00000000-0005-0000-0000-0000046F0000}"/>
    <cellStyle name="Comma 5 2 2 2 4 2" xfId="43425" xr:uid="{00000000-0005-0000-0000-0000056F0000}"/>
    <cellStyle name="Comma 5 2 2 2 4 3" xfId="37001" xr:uid="{00000000-0005-0000-0000-0000066F0000}"/>
    <cellStyle name="Comma 5 2 2 2 5" xfId="21852" xr:uid="{00000000-0005-0000-0000-0000076F0000}"/>
    <cellStyle name="Comma 5 2 2 2 5 2" xfId="40218" xr:uid="{00000000-0005-0000-0000-0000086F0000}"/>
    <cellStyle name="Comma 5 2 2 2 6" xfId="22926" xr:uid="{00000000-0005-0000-0000-0000096F0000}"/>
    <cellStyle name="Comma 5 2 2 2 7" xfId="23996" xr:uid="{00000000-0005-0000-0000-00000A6F0000}"/>
    <cellStyle name="Comma 5 2 2 2 8" xfId="27247" xr:uid="{00000000-0005-0000-0000-00000B6F0000}"/>
    <cellStyle name="Comma 5 2 2 2 9" xfId="30580" xr:uid="{00000000-0005-0000-0000-00000C6F0000}"/>
    <cellStyle name="Comma 5 2 2 3" xfId="1572" xr:uid="{00000000-0005-0000-0000-00000D6F0000}"/>
    <cellStyle name="Comma 5 2 2 3 10" xfId="33795" xr:uid="{00000000-0005-0000-0000-00000E6F0000}"/>
    <cellStyle name="Comma 5 2 2 3 2" xfId="10341" xr:uid="{00000000-0005-0000-0000-00000F6F0000}"/>
    <cellStyle name="Comma 5 2 2 3 2 2" xfId="26141" xr:uid="{00000000-0005-0000-0000-0000106F0000}"/>
    <cellStyle name="Comma 5 2 2 3 2 2 2" xfId="45568" xr:uid="{00000000-0005-0000-0000-0000116F0000}"/>
    <cellStyle name="Comma 5 2 2 3 2 2 3" xfId="39145" xr:uid="{00000000-0005-0000-0000-0000126F0000}"/>
    <cellStyle name="Comma 5 2 2 3 2 3" xfId="28319" xr:uid="{00000000-0005-0000-0000-0000136F0000}"/>
    <cellStyle name="Comma 5 2 2 3 2 3 2" xfId="42361" xr:uid="{00000000-0005-0000-0000-0000146F0000}"/>
    <cellStyle name="Comma 5 2 2 3 2 4" xfId="31654" xr:uid="{00000000-0005-0000-0000-0000156F0000}"/>
    <cellStyle name="Comma 5 2 2 3 2 5" xfId="35937" xr:uid="{00000000-0005-0000-0000-0000166F0000}"/>
    <cellStyle name="Comma 5 2 2 3 3" xfId="16046" xr:uid="{00000000-0005-0000-0000-0000176F0000}"/>
    <cellStyle name="Comma 5 2 2 3 3 2" xfId="25061" xr:uid="{00000000-0005-0000-0000-0000186F0000}"/>
    <cellStyle name="Comma 5 2 2 3 3 2 2" xfId="44490" xr:uid="{00000000-0005-0000-0000-0000196F0000}"/>
    <cellStyle name="Comma 5 2 2 3 3 2 3" xfId="38067" xr:uid="{00000000-0005-0000-0000-00001A6F0000}"/>
    <cellStyle name="Comma 5 2 2 3 3 3" xfId="29382" xr:uid="{00000000-0005-0000-0000-00001B6F0000}"/>
    <cellStyle name="Comma 5 2 2 3 3 3 2" xfId="41283" xr:uid="{00000000-0005-0000-0000-00001C6F0000}"/>
    <cellStyle name="Comma 5 2 2 3 3 4" xfId="32717" xr:uid="{00000000-0005-0000-0000-00001D6F0000}"/>
    <cellStyle name="Comma 5 2 2 3 3 5" xfId="34859" xr:uid="{00000000-0005-0000-0000-00001E6F0000}"/>
    <cellStyle name="Comma 5 2 2 3 4" xfId="8864" xr:uid="{00000000-0005-0000-0000-00001F6F0000}"/>
    <cellStyle name="Comma 5 2 2 3 4 2" xfId="43426" xr:uid="{00000000-0005-0000-0000-0000206F0000}"/>
    <cellStyle name="Comma 5 2 2 3 4 3" xfId="37002" xr:uid="{00000000-0005-0000-0000-0000216F0000}"/>
    <cellStyle name="Comma 5 2 2 3 5" xfId="21853" xr:uid="{00000000-0005-0000-0000-0000226F0000}"/>
    <cellStyle name="Comma 5 2 2 3 5 2" xfId="40219" xr:uid="{00000000-0005-0000-0000-0000236F0000}"/>
    <cellStyle name="Comma 5 2 2 3 6" xfId="22927" xr:uid="{00000000-0005-0000-0000-0000246F0000}"/>
    <cellStyle name="Comma 5 2 2 3 7" xfId="23997" xr:uid="{00000000-0005-0000-0000-0000256F0000}"/>
    <cellStyle name="Comma 5 2 2 3 8" xfId="27248" xr:uid="{00000000-0005-0000-0000-0000266F0000}"/>
    <cellStyle name="Comma 5 2 2 3 9" xfId="30581" xr:uid="{00000000-0005-0000-0000-0000276F0000}"/>
    <cellStyle name="Comma 5 2 2 4" xfId="1573" xr:uid="{00000000-0005-0000-0000-0000286F0000}"/>
    <cellStyle name="Comma 5 2 2 4 10" xfId="33796" xr:uid="{00000000-0005-0000-0000-0000296F0000}"/>
    <cellStyle name="Comma 5 2 2 4 2" xfId="10342" xr:uid="{00000000-0005-0000-0000-00002A6F0000}"/>
    <cellStyle name="Comma 5 2 2 4 2 2" xfId="26142" xr:uid="{00000000-0005-0000-0000-00002B6F0000}"/>
    <cellStyle name="Comma 5 2 2 4 2 2 2" xfId="45569" xr:uid="{00000000-0005-0000-0000-00002C6F0000}"/>
    <cellStyle name="Comma 5 2 2 4 2 2 3" xfId="39146" xr:uid="{00000000-0005-0000-0000-00002D6F0000}"/>
    <cellStyle name="Comma 5 2 2 4 2 3" xfId="28320" xr:uid="{00000000-0005-0000-0000-00002E6F0000}"/>
    <cellStyle name="Comma 5 2 2 4 2 3 2" xfId="42362" xr:uid="{00000000-0005-0000-0000-00002F6F0000}"/>
    <cellStyle name="Comma 5 2 2 4 2 4" xfId="31655" xr:uid="{00000000-0005-0000-0000-0000306F0000}"/>
    <cellStyle name="Comma 5 2 2 4 2 5" xfId="35938" xr:uid="{00000000-0005-0000-0000-0000316F0000}"/>
    <cellStyle name="Comma 5 2 2 4 3" xfId="16047" xr:uid="{00000000-0005-0000-0000-0000326F0000}"/>
    <cellStyle name="Comma 5 2 2 4 3 2" xfId="25062" xr:uid="{00000000-0005-0000-0000-0000336F0000}"/>
    <cellStyle name="Comma 5 2 2 4 3 2 2" xfId="44491" xr:uid="{00000000-0005-0000-0000-0000346F0000}"/>
    <cellStyle name="Comma 5 2 2 4 3 2 3" xfId="38068" xr:uid="{00000000-0005-0000-0000-0000356F0000}"/>
    <cellStyle name="Comma 5 2 2 4 3 3" xfId="29383" xr:uid="{00000000-0005-0000-0000-0000366F0000}"/>
    <cellStyle name="Comma 5 2 2 4 3 3 2" xfId="41284" xr:uid="{00000000-0005-0000-0000-0000376F0000}"/>
    <cellStyle name="Comma 5 2 2 4 3 4" xfId="32718" xr:uid="{00000000-0005-0000-0000-0000386F0000}"/>
    <cellStyle name="Comma 5 2 2 4 3 5" xfId="34860" xr:uid="{00000000-0005-0000-0000-0000396F0000}"/>
    <cellStyle name="Comma 5 2 2 4 4" xfId="8865" xr:uid="{00000000-0005-0000-0000-00003A6F0000}"/>
    <cellStyle name="Comma 5 2 2 4 4 2" xfId="43427" xr:uid="{00000000-0005-0000-0000-00003B6F0000}"/>
    <cellStyle name="Comma 5 2 2 4 4 3" xfId="37003" xr:uid="{00000000-0005-0000-0000-00003C6F0000}"/>
    <cellStyle name="Comma 5 2 2 4 5" xfId="21854" xr:uid="{00000000-0005-0000-0000-00003D6F0000}"/>
    <cellStyle name="Comma 5 2 2 4 5 2" xfId="40220" xr:uid="{00000000-0005-0000-0000-00003E6F0000}"/>
    <cellStyle name="Comma 5 2 2 4 6" xfId="22928" xr:uid="{00000000-0005-0000-0000-00003F6F0000}"/>
    <cellStyle name="Comma 5 2 2 4 7" xfId="23998" xr:uid="{00000000-0005-0000-0000-0000406F0000}"/>
    <cellStyle name="Comma 5 2 2 4 8" xfId="27249" xr:uid="{00000000-0005-0000-0000-0000416F0000}"/>
    <cellStyle name="Comma 5 2 2 4 9" xfId="30582" xr:uid="{00000000-0005-0000-0000-0000426F0000}"/>
    <cellStyle name="Comma 5 2 2 5" xfId="1574" xr:uid="{00000000-0005-0000-0000-0000436F0000}"/>
    <cellStyle name="Comma 5 2 2 5 10" xfId="33797" xr:uid="{00000000-0005-0000-0000-0000446F0000}"/>
    <cellStyle name="Comma 5 2 2 5 2" xfId="10343" xr:uid="{00000000-0005-0000-0000-0000456F0000}"/>
    <cellStyle name="Comma 5 2 2 5 2 2" xfId="26143" xr:uid="{00000000-0005-0000-0000-0000466F0000}"/>
    <cellStyle name="Comma 5 2 2 5 2 2 2" xfId="45570" xr:uid="{00000000-0005-0000-0000-0000476F0000}"/>
    <cellStyle name="Comma 5 2 2 5 2 2 3" xfId="39147" xr:uid="{00000000-0005-0000-0000-0000486F0000}"/>
    <cellStyle name="Comma 5 2 2 5 2 3" xfId="28321" xr:uid="{00000000-0005-0000-0000-0000496F0000}"/>
    <cellStyle name="Comma 5 2 2 5 2 3 2" xfId="42363" xr:uid="{00000000-0005-0000-0000-00004A6F0000}"/>
    <cellStyle name="Comma 5 2 2 5 2 4" xfId="31656" xr:uid="{00000000-0005-0000-0000-00004B6F0000}"/>
    <cellStyle name="Comma 5 2 2 5 2 5" xfId="35939" xr:uid="{00000000-0005-0000-0000-00004C6F0000}"/>
    <cellStyle name="Comma 5 2 2 5 3" xfId="16048" xr:uid="{00000000-0005-0000-0000-00004D6F0000}"/>
    <cellStyle name="Comma 5 2 2 5 3 2" xfId="25063" xr:uid="{00000000-0005-0000-0000-00004E6F0000}"/>
    <cellStyle name="Comma 5 2 2 5 3 2 2" xfId="44492" xr:uid="{00000000-0005-0000-0000-00004F6F0000}"/>
    <cellStyle name="Comma 5 2 2 5 3 2 3" xfId="38069" xr:uid="{00000000-0005-0000-0000-0000506F0000}"/>
    <cellStyle name="Comma 5 2 2 5 3 3" xfId="29384" xr:uid="{00000000-0005-0000-0000-0000516F0000}"/>
    <cellStyle name="Comma 5 2 2 5 3 3 2" xfId="41285" xr:uid="{00000000-0005-0000-0000-0000526F0000}"/>
    <cellStyle name="Comma 5 2 2 5 3 4" xfId="32719" xr:uid="{00000000-0005-0000-0000-0000536F0000}"/>
    <cellStyle name="Comma 5 2 2 5 3 5" xfId="34861" xr:uid="{00000000-0005-0000-0000-0000546F0000}"/>
    <cellStyle name="Comma 5 2 2 5 4" xfId="8866" xr:uid="{00000000-0005-0000-0000-0000556F0000}"/>
    <cellStyle name="Comma 5 2 2 5 4 2" xfId="43428" xr:uid="{00000000-0005-0000-0000-0000566F0000}"/>
    <cellStyle name="Comma 5 2 2 5 4 3" xfId="37004" xr:uid="{00000000-0005-0000-0000-0000576F0000}"/>
    <cellStyle name="Comma 5 2 2 5 5" xfId="21855" xr:uid="{00000000-0005-0000-0000-0000586F0000}"/>
    <cellStyle name="Comma 5 2 2 5 5 2" xfId="40221" xr:uid="{00000000-0005-0000-0000-0000596F0000}"/>
    <cellStyle name="Comma 5 2 2 5 6" xfId="22929" xr:uid="{00000000-0005-0000-0000-00005A6F0000}"/>
    <cellStyle name="Comma 5 2 2 5 7" xfId="23999" xr:uid="{00000000-0005-0000-0000-00005B6F0000}"/>
    <cellStyle name="Comma 5 2 2 5 8" xfId="27250" xr:uid="{00000000-0005-0000-0000-00005C6F0000}"/>
    <cellStyle name="Comma 5 2 2 5 9" xfId="30583" xr:uid="{00000000-0005-0000-0000-00005D6F0000}"/>
    <cellStyle name="Comma 5 2 2 6" xfId="10339" xr:uid="{00000000-0005-0000-0000-00005E6F0000}"/>
    <cellStyle name="Comma 5 2 2 6 2" xfId="26139" xr:uid="{00000000-0005-0000-0000-00005F6F0000}"/>
    <cellStyle name="Comma 5 2 2 6 2 2" xfId="45566" xr:uid="{00000000-0005-0000-0000-0000606F0000}"/>
    <cellStyle name="Comma 5 2 2 6 2 3" xfId="39143" xr:uid="{00000000-0005-0000-0000-0000616F0000}"/>
    <cellStyle name="Comma 5 2 2 6 3" xfId="28317" xr:uid="{00000000-0005-0000-0000-0000626F0000}"/>
    <cellStyle name="Comma 5 2 2 6 3 2" xfId="42359" xr:uid="{00000000-0005-0000-0000-0000636F0000}"/>
    <cellStyle name="Comma 5 2 2 6 4" xfId="31652" xr:uid="{00000000-0005-0000-0000-0000646F0000}"/>
    <cellStyle name="Comma 5 2 2 6 5" xfId="35935" xr:uid="{00000000-0005-0000-0000-0000656F0000}"/>
    <cellStyle name="Comma 5 2 2 7" xfId="16044" xr:uid="{00000000-0005-0000-0000-0000666F0000}"/>
    <cellStyle name="Comma 5 2 2 7 2" xfId="25059" xr:uid="{00000000-0005-0000-0000-0000676F0000}"/>
    <cellStyle name="Comma 5 2 2 7 2 2" xfId="44488" xr:uid="{00000000-0005-0000-0000-0000686F0000}"/>
    <cellStyle name="Comma 5 2 2 7 2 3" xfId="38065" xr:uid="{00000000-0005-0000-0000-0000696F0000}"/>
    <cellStyle name="Comma 5 2 2 7 3" xfId="29380" xr:uid="{00000000-0005-0000-0000-00006A6F0000}"/>
    <cellStyle name="Comma 5 2 2 7 3 2" xfId="41281" xr:uid="{00000000-0005-0000-0000-00006B6F0000}"/>
    <cellStyle name="Comma 5 2 2 7 4" xfId="32715" xr:uid="{00000000-0005-0000-0000-00006C6F0000}"/>
    <cellStyle name="Comma 5 2 2 7 5" xfId="34857" xr:uid="{00000000-0005-0000-0000-00006D6F0000}"/>
    <cellStyle name="Comma 5 2 2 8" xfId="8862" xr:uid="{00000000-0005-0000-0000-00006E6F0000}"/>
    <cellStyle name="Comma 5 2 2 8 2" xfId="43424" xr:uid="{00000000-0005-0000-0000-00006F6F0000}"/>
    <cellStyle name="Comma 5 2 2 8 3" xfId="37000" xr:uid="{00000000-0005-0000-0000-0000706F0000}"/>
    <cellStyle name="Comma 5 2 2 9" xfId="21851" xr:uid="{00000000-0005-0000-0000-0000716F0000}"/>
    <cellStyle name="Comma 5 2 2 9 2" xfId="40217" xr:uid="{00000000-0005-0000-0000-0000726F0000}"/>
    <cellStyle name="Comma 5 2 3" xfId="1575" xr:uid="{00000000-0005-0000-0000-0000736F0000}"/>
    <cellStyle name="Comma 5 2 3 10" xfId="22930" xr:uid="{00000000-0005-0000-0000-0000746F0000}"/>
    <cellStyle name="Comma 5 2 3 11" xfId="24000" xr:uid="{00000000-0005-0000-0000-0000756F0000}"/>
    <cellStyle name="Comma 5 2 3 12" xfId="27251" xr:uid="{00000000-0005-0000-0000-0000766F0000}"/>
    <cellStyle name="Comma 5 2 3 13" xfId="30584" xr:uid="{00000000-0005-0000-0000-0000776F0000}"/>
    <cellStyle name="Comma 5 2 3 14" xfId="33798" xr:uid="{00000000-0005-0000-0000-0000786F0000}"/>
    <cellStyle name="Comma 5 2 3 2" xfId="1576" xr:uid="{00000000-0005-0000-0000-0000796F0000}"/>
    <cellStyle name="Comma 5 2 3 2 10" xfId="33799" xr:uid="{00000000-0005-0000-0000-00007A6F0000}"/>
    <cellStyle name="Comma 5 2 3 2 2" xfId="10345" xr:uid="{00000000-0005-0000-0000-00007B6F0000}"/>
    <cellStyle name="Comma 5 2 3 2 2 2" xfId="26145" xr:uid="{00000000-0005-0000-0000-00007C6F0000}"/>
    <cellStyle name="Comma 5 2 3 2 2 2 2" xfId="45572" xr:uid="{00000000-0005-0000-0000-00007D6F0000}"/>
    <cellStyle name="Comma 5 2 3 2 2 2 3" xfId="39149" xr:uid="{00000000-0005-0000-0000-00007E6F0000}"/>
    <cellStyle name="Comma 5 2 3 2 2 3" xfId="28323" xr:uid="{00000000-0005-0000-0000-00007F6F0000}"/>
    <cellStyle name="Comma 5 2 3 2 2 3 2" xfId="42365" xr:uid="{00000000-0005-0000-0000-0000806F0000}"/>
    <cellStyle name="Comma 5 2 3 2 2 4" xfId="31658" xr:uid="{00000000-0005-0000-0000-0000816F0000}"/>
    <cellStyle name="Comma 5 2 3 2 2 5" xfId="35941" xr:uid="{00000000-0005-0000-0000-0000826F0000}"/>
    <cellStyle name="Comma 5 2 3 2 3" xfId="16050" xr:uid="{00000000-0005-0000-0000-0000836F0000}"/>
    <cellStyle name="Comma 5 2 3 2 3 2" xfId="25065" xr:uid="{00000000-0005-0000-0000-0000846F0000}"/>
    <cellStyle name="Comma 5 2 3 2 3 2 2" xfId="44494" xr:uid="{00000000-0005-0000-0000-0000856F0000}"/>
    <cellStyle name="Comma 5 2 3 2 3 2 3" xfId="38071" xr:uid="{00000000-0005-0000-0000-0000866F0000}"/>
    <cellStyle name="Comma 5 2 3 2 3 3" xfId="29386" xr:uid="{00000000-0005-0000-0000-0000876F0000}"/>
    <cellStyle name="Comma 5 2 3 2 3 3 2" xfId="41287" xr:uid="{00000000-0005-0000-0000-0000886F0000}"/>
    <cellStyle name="Comma 5 2 3 2 3 4" xfId="32721" xr:uid="{00000000-0005-0000-0000-0000896F0000}"/>
    <cellStyle name="Comma 5 2 3 2 3 5" xfId="34863" xr:uid="{00000000-0005-0000-0000-00008A6F0000}"/>
    <cellStyle name="Comma 5 2 3 2 4" xfId="8868" xr:uid="{00000000-0005-0000-0000-00008B6F0000}"/>
    <cellStyle name="Comma 5 2 3 2 4 2" xfId="43430" xr:uid="{00000000-0005-0000-0000-00008C6F0000}"/>
    <cellStyle name="Comma 5 2 3 2 4 3" xfId="37006" xr:uid="{00000000-0005-0000-0000-00008D6F0000}"/>
    <cellStyle name="Comma 5 2 3 2 5" xfId="21857" xr:uid="{00000000-0005-0000-0000-00008E6F0000}"/>
    <cellStyle name="Comma 5 2 3 2 5 2" xfId="40223" xr:uid="{00000000-0005-0000-0000-00008F6F0000}"/>
    <cellStyle name="Comma 5 2 3 2 6" xfId="22931" xr:uid="{00000000-0005-0000-0000-0000906F0000}"/>
    <cellStyle name="Comma 5 2 3 2 7" xfId="24001" xr:uid="{00000000-0005-0000-0000-0000916F0000}"/>
    <cellStyle name="Comma 5 2 3 2 8" xfId="27252" xr:uid="{00000000-0005-0000-0000-0000926F0000}"/>
    <cellStyle name="Comma 5 2 3 2 9" xfId="30585" xr:uid="{00000000-0005-0000-0000-0000936F0000}"/>
    <cellStyle name="Comma 5 2 3 3" xfId="1577" xr:uid="{00000000-0005-0000-0000-0000946F0000}"/>
    <cellStyle name="Comma 5 2 3 3 10" xfId="33800" xr:uid="{00000000-0005-0000-0000-0000956F0000}"/>
    <cellStyle name="Comma 5 2 3 3 2" xfId="10346" xr:uid="{00000000-0005-0000-0000-0000966F0000}"/>
    <cellStyle name="Comma 5 2 3 3 2 2" xfId="26146" xr:uid="{00000000-0005-0000-0000-0000976F0000}"/>
    <cellStyle name="Comma 5 2 3 3 2 2 2" xfId="45573" xr:uid="{00000000-0005-0000-0000-0000986F0000}"/>
    <cellStyle name="Comma 5 2 3 3 2 2 3" xfId="39150" xr:uid="{00000000-0005-0000-0000-0000996F0000}"/>
    <cellStyle name="Comma 5 2 3 3 2 3" xfId="28324" xr:uid="{00000000-0005-0000-0000-00009A6F0000}"/>
    <cellStyle name="Comma 5 2 3 3 2 3 2" xfId="42366" xr:uid="{00000000-0005-0000-0000-00009B6F0000}"/>
    <cellStyle name="Comma 5 2 3 3 2 4" xfId="31659" xr:uid="{00000000-0005-0000-0000-00009C6F0000}"/>
    <cellStyle name="Comma 5 2 3 3 2 5" xfId="35942" xr:uid="{00000000-0005-0000-0000-00009D6F0000}"/>
    <cellStyle name="Comma 5 2 3 3 3" xfId="16051" xr:uid="{00000000-0005-0000-0000-00009E6F0000}"/>
    <cellStyle name="Comma 5 2 3 3 3 2" xfId="25066" xr:uid="{00000000-0005-0000-0000-00009F6F0000}"/>
    <cellStyle name="Comma 5 2 3 3 3 2 2" xfId="44495" xr:uid="{00000000-0005-0000-0000-0000A06F0000}"/>
    <cellStyle name="Comma 5 2 3 3 3 2 3" xfId="38072" xr:uid="{00000000-0005-0000-0000-0000A16F0000}"/>
    <cellStyle name="Comma 5 2 3 3 3 3" xfId="29387" xr:uid="{00000000-0005-0000-0000-0000A26F0000}"/>
    <cellStyle name="Comma 5 2 3 3 3 3 2" xfId="41288" xr:uid="{00000000-0005-0000-0000-0000A36F0000}"/>
    <cellStyle name="Comma 5 2 3 3 3 4" xfId="32722" xr:uid="{00000000-0005-0000-0000-0000A46F0000}"/>
    <cellStyle name="Comma 5 2 3 3 3 5" xfId="34864" xr:uid="{00000000-0005-0000-0000-0000A56F0000}"/>
    <cellStyle name="Comma 5 2 3 3 4" xfId="8869" xr:uid="{00000000-0005-0000-0000-0000A66F0000}"/>
    <cellStyle name="Comma 5 2 3 3 4 2" xfId="43431" xr:uid="{00000000-0005-0000-0000-0000A76F0000}"/>
    <cellStyle name="Comma 5 2 3 3 4 3" xfId="37007" xr:uid="{00000000-0005-0000-0000-0000A86F0000}"/>
    <cellStyle name="Comma 5 2 3 3 5" xfId="21858" xr:uid="{00000000-0005-0000-0000-0000A96F0000}"/>
    <cellStyle name="Comma 5 2 3 3 5 2" xfId="40224" xr:uid="{00000000-0005-0000-0000-0000AA6F0000}"/>
    <cellStyle name="Comma 5 2 3 3 6" xfId="22932" xr:uid="{00000000-0005-0000-0000-0000AB6F0000}"/>
    <cellStyle name="Comma 5 2 3 3 7" xfId="24002" xr:uid="{00000000-0005-0000-0000-0000AC6F0000}"/>
    <cellStyle name="Comma 5 2 3 3 8" xfId="27253" xr:uid="{00000000-0005-0000-0000-0000AD6F0000}"/>
    <cellStyle name="Comma 5 2 3 3 9" xfId="30586" xr:uid="{00000000-0005-0000-0000-0000AE6F0000}"/>
    <cellStyle name="Comma 5 2 3 4" xfId="1578" xr:uid="{00000000-0005-0000-0000-0000AF6F0000}"/>
    <cellStyle name="Comma 5 2 3 4 10" xfId="33801" xr:uid="{00000000-0005-0000-0000-0000B06F0000}"/>
    <cellStyle name="Comma 5 2 3 4 2" xfId="10347" xr:uid="{00000000-0005-0000-0000-0000B16F0000}"/>
    <cellStyle name="Comma 5 2 3 4 2 2" xfId="26147" xr:uid="{00000000-0005-0000-0000-0000B26F0000}"/>
    <cellStyle name="Comma 5 2 3 4 2 2 2" xfId="45574" xr:uid="{00000000-0005-0000-0000-0000B36F0000}"/>
    <cellStyle name="Comma 5 2 3 4 2 2 3" xfId="39151" xr:uid="{00000000-0005-0000-0000-0000B46F0000}"/>
    <cellStyle name="Comma 5 2 3 4 2 3" xfId="28325" xr:uid="{00000000-0005-0000-0000-0000B56F0000}"/>
    <cellStyle name="Comma 5 2 3 4 2 3 2" xfId="42367" xr:uid="{00000000-0005-0000-0000-0000B66F0000}"/>
    <cellStyle name="Comma 5 2 3 4 2 4" xfId="31660" xr:uid="{00000000-0005-0000-0000-0000B76F0000}"/>
    <cellStyle name="Comma 5 2 3 4 2 5" xfId="35943" xr:uid="{00000000-0005-0000-0000-0000B86F0000}"/>
    <cellStyle name="Comma 5 2 3 4 3" xfId="16052" xr:uid="{00000000-0005-0000-0000-0000B96F0000}"/>
    <cellStyle name="Comma 5 2 3 4 3 2" xfId="25067" xr:uid="{00000000-0005-0000-0000-0000BA6F0000}"/>
    <cellStyle name="Comma 5 2 3 4 3 2 2" xfId="44496" xr:uid="{00000000-0005-0000-0000-0000BB6F0000}"/>
    <cellStyle name="Comma 5 2 3 4 3 2 3" xfId="38073" xr:uid="{00000000-0005-0000-0000-0000BC6F0000}"/>
    <cellStyle name="Comma 5 2 3 4 3 3" xfId="29388" xr:uid="{00000000-0005-0000-0000-0000BD6F0000}"/>
    <cellStyle name="Comma 5 2 3 4 3 3 2" xfId="41289" xr:uid="{00000000-0005-0000-0000-0000BE6F0000}"/>
    <cellStyle name="Comma 5 2 3 4 3 4" xfId="32723" xr:uid="{00000000-0005-0000-0000-0000BF6F0000}"/>
    <cellStyle name="Comma 5 2 3 4 3 5" xfId="34865" xr:uid="{00000000-0005-0000-0000-0000C06F0000}"/>
    <cellStyle name="Comma 5 2 3 4 4" xfId="8870" xr:uid="{00000000-0005-0000-0000-0000C16F0000}"/>
    <cellStyle name="Comma 5 2 3 4 4 2" xfId="43432" xr:uid="{00000000-0005-0000-0000-0000C26F0000}"/>
    <cellStyle name="Comma 5 2 3 4 4 3" xfId="37008" xr:uid="{00000000-0005-0000-0000-0000C36F0000}"/>
    <cellStyle name="Comma 5 2 3 4 5" xfId="21859" xr:uid="{00000000-0005-0000-0000-0000C46F0000}"/>
    <cellStyle name="Comma 5 2 3 4 5 2" xfId="40225" xr:uid="{00000000-0005-0000-0000-0000C56F0000}"/>
    <cellStyle name="Comma 5 2 3 4 6" xfId="22933" xr:uid="{00000000-0005-0000-0000-0000C66F0000}"/>
    <cellStyle name="Comma 5 2 3 4 7" xfId="24003" xr:uid="{00000000-0005-0000-0000-0000C76F0000}"/>
    <cellStyle name="Comma 5 2 3 4 8" xfId="27254" xr:uid="{00000000-0005-0000-0000-0000C86F0000}"/>
    <cellStyle name="Comma 5 2 3 4 9" xfId="30587" xr:uid="{00000000-0005-0000-0000-0000C96F0000}"/>
    <cellStyle name="Comma 5 2 3 5" xfId="1579" xr:uid="{00000000-0005-0000-0000-0000CA6F0000}"/>
    <cellStyle name="Comma 5 2 3 5 10" xfId="33802" xr:uid="{00000000-0005-0000-0000-0000CB6F0000}"/>
    <cellStyle name="Comma 5 2 3 5 2" xfId="10348" xr:uid="{00000000-0005-0000-0000-0000CC6F0000}"/>
    <cellStyle name="Comma 5 2 3 5 2 2" xfId="26148" xr:uid="{00000000-0005-0000-0000-0000CD6F0000}"/>
    <cellStyle name="Comma 5 2 3 5 2 2 2" xfId="45575" xr:uid="{00000000-0005-0000-0000-0000CE6F0000}"/>
    <cellStyle name="Comma 5 2 3 5 2 2 3" xfId="39152" xr:uid="{00000000-0005-0000-0000-0000CF6F0000}"/>
    <cellStyle name="Comma 5 2 3 5 2 3" xfId="28326" xr:uid="{00000000-0005-0000-0000-0000D06F0000}"/>
    <cellStyle name="Comma 5 2 3 5 2 3 2" xfId="42368" xr:uid="{00000000-0005-0000-0000-0000D16F0000}"/>
    <cellStyle name="Comma 5 2 3 5 2 4" xfId="31661" xr:uid="{00000000-0005-0000-0000-0000D26F0000}"/>
    <cellStyle name="Comma 5 2 3 5 2 5" xfId="35944" xr:uid="{00000000-0005-0000-0000-0000D36F0000}"/>
    <cellStyle name="Comma 5 2 3 5 3" xfId="16053" xr:uid="{00000000-0005-0000-0000-0000D46F0000}"/>
    <cellStyle name="Comma 5 2 3 5 3 2" xfId="25068" xr:uid="{00000000-0005-0000-0000-0000D56F0000}"/>
    <cellStyle name="Comma 5 2 3 5 3 2 2" xfId="44497" xr:uid="{00000000-0005-0000-0000-0000D66F0000}"/>
    <cellStyle name="Comma 5 2 3 5 3 2 3" xfId="38074" xr:uid="{00000000-0005-0000-0000-0000D76F0000}"/>
    <cellStyle name="Comma 5 2 3 5 3 3" xfId="29389" xr:uid="{00000000-0005-0000-0000-0000D86F0000}"/>
    <cellStyle name="Comma 5 2 3 5 3 3 2" xfId="41290" xr:uid="{00000000-0005-0000-0000-0000D96F0000}"/>
    <cellStyle name="Comma 5 2 3 5 3 4" xfId="32724" xr:uid="{00000000-0005-0000-0000-0000DA6F0000}"/>
    <cellStyle name="Comma 5 2 3 5 3 5" xfId="34866" xr:uid="{00000000-0005-0000-0000-0000DB6F0000}"/>
    <cellStyle name="Comma 5 2 3 5 4" xfId="8871" xr:uid="{00000000-0005-0000-0000-0000DC6F0000}"/>
    <cellStyle name="Comma 5 2 3 5 4 2" xfId="43433" xr:uid="{00000000-0005-0000-0000-0000DD6F0000}"/>
    <cellStyle name="Comma 5 2 3 5 4 3" xfId="37009" xr:uid="{00000000-0005-0000-0000-0000DE6F0000}"/>
    <cellStyle name="Comma 5 2 3 5 5" xfId="21860" xr:uid="{00000000-0005-0000-0000-0000DF6F0000}"/>
    <cellStyle name="Comma 5 2 3 5 5 2" xfId="40226" xr:uid="{00000000-0005-0000-0000-0000E06F0000}"/>
    <cellStyle name="Comma 5 2 3 5 6" xfId="22934" xr:uid="{00000000-0005-0000-0000-0000E16F0000}"/>
    <cellStyle name="Comma 5 2 3 5 7" xfId="24004" xr:uid="{00000000-0005-0000-0000-0000E26F0000}"/>
    <cellStyle name="Comma 5 2 3 5 8" xfId="27255" xr:uid="{00000000-0005-0000-0000-0000E36F0000}"/>
    <cellStyle name="Comma 5 2 3 5 9" xfId="30588" xr:uid="{00000000-0005-0000-0000-0000E46F0000}"/>
    <cellStyle name="Comma 5 2 3 6" xfId="10344" xr:uid="{00000000-0005-0000-0000-0000E56F0000}"/>
    <cellStyle name="Comma 5 2 3 6 2" xfId="26144" xr:uid="{00000000-0005-0000-0000-0000E66F0000}"/>
    <cellStyle name="Comma 5 2 3 6 2 2" xfId="45571" xr:uid="{00000000-0005-0000-0000-0000E76F0000}"/>
    <cellStyle name="Comma 5 2 3 6 2 3" xfId="39148" xr:uid="{00000000-0005-0000-0000-0000E86F0000}"/>
    <cellStyle name="Comma 5 2 3 6 3" xfId="28322" xr:uid="{00000000-0005-0000-0000-0000E96F0000}"/>
    <cellStyle name="Comma 5 2 3 6 3 2" xfId="42364" xr:uid="{00000000-0005-0000-0000-0000EA6F0000}"/>
    <cellStyle name="Comma 5 2 3 6 4" xfId="31657" xr:uid="{00000000-0005-0000-0000-0000EB6F0000}"/>
    <cellStyle name="Comma 5 2 3 6 5" xfId="35940" xr:uid="{00000000-0005-0000-0000-0000EC6F0000}"/>
    <cellStyle name="Comma 5 2 3 7" xfId="16049" xr:uid="{00000000-0005-0000-0000-0000ED6F0000}"/>
    <cellStyle name="Comma 5 2 3 7 2" xfId="25064" xr:uid="{00000000-0005-0000-0000-0000EE6F0000}"/>
    <cellStyle name="Comma 5 2 3 7 2 2" xfId="44493" xr:uid="{00000000-0005-0000-0000-0000EF6F0000}"/>
    <cellStyle name="Comma 5 2 3 7 2 3" xfId="38070" xr:uid="{00000000-0005-0000-0000-0000F06F0000}"/>
    <cellStyle name="Comma 5 2 3 7 3" xfId="29385" xr:uid="{00000000-0005-0000-0000-0000F16F0000}"/>
    <cellStyle name="Comma 5 2 3 7 3 2" xfId="41286" xr:uid="{00000000-0005-0000-0000-0000F26F0000}"/>
    <cellStyle name="Comma 5 2 3 7 4" xfId="32720" xr:uid="{00000000-0005-0000-0000-0000F36F0000}"/>
    <cellStyle name="Comma 5 2 3 7 5" xfId="34862" xr:uid="{00000000-0005-0000-0000-0000F46F0000}"/>
    <cellStyle name="Comma 5 2 3 8" xfId="8867" xr:uid="{00000000-0005-0000-0000-0000F56F0000}"/>
    <cellStyle name="Comma 5 2 3 8 2" xfId="43429" xr:uid="{00000000-0005-0000-0000-0000F66F0000}"/>
    <cellStyle name="Comma 5 2 3 8 3" xfId="37005" xr:uid="{00000000-0005-0000-0000-0000F76F0000}"/>
    <cellStyle name="Comma 5 2 3 9" xfId="21856" xr:uid="{00000000-0005-0000-0000-0000F86F0000}"/>
    <cellStyle name="Comma 5 2 3 9 2" xfId="40222" xr:uid="{00000000-0005-0000-0000-0000F96F0000}"/>
    <cellStyle name="Comma 5 2 4" xfId="1580" xr:uid="{00000000-0005-0000-0000-0000FA6F0000}"/>
    <cellStyle name="Comma 5 2 4 10" xfId="33803" xr:uid="{00000000-0005-0000-0000-0000FB6F0000}"/>
    <cellStyle name="Comma 5 2 4 2" xfId="10349" xr:uid="{00000000-0005-0000-0000-0000FC6F0000}"/>
    <cellStyle name="Comma 5 2 4 2 2" xfId="26149" xr:uid="{00000000-0005-0000-0000-0000FD6F0000}"/>
    <cellStyle name="Comma 5 2 4 2 2 2" xfId="45576" xr:uid="{00000000-0005-0000-0000-0000FE6F0000}"/>
    <cellStyle name="Comma 5 2 4 2 2 3" xfId="39153" xr:uid="{00000000-0005-0000-0000-0000FF6F0000}"/>
    <cellStyle name="Comma 5 2 4 2 3" xfId="28327" xr:uid="{00000000-0005-0000-0000-000000700000}"/>
    <cellStyle name="Comma 5 2 4 2 3 2" xfId="42369" xr:uid="{00000000-0005-0000-0000-000001700000}"/>
    <cellStyle name="Comma 5 2 4 2 4" xfId="31662" xr:uid="{00000000-0005-0000-0000-000002700000}"/>
    <cellStyle name="Comma 5 2 4 2 5" xfId="35945" xr:uid="{00000000-0005-0000-0000-000003700000}"/>
    <cellStyle name="Comma 5 2 4 3" xfId="16054" xr:uid="{00000000-0005-0000-0000-000004700000}"/>
    <cellStyle name="Comma 5 2 4 3 2" xfId="25069" xr:uid="{00000000-0005-0000-0000-000005700000}"/>
    <cellStyle name="Comma 5 2 4 3 2 2" xfId="44498" xr:uid="{00000000-0005-0000-0000-000006700000}"/>
    <cellStyle name="Comma 5 2 4 3 2 3" xfId="38075" xr:uid="{00000000-0005-0000-0000-000007700000}"/>
    <cellStyle name="Comma 5 2 4 3 3" xfId="29390" xr:uid="{00000000-0005-0000-0000-000008700000}"/>
    <cellStyle name="Comma 5 2 4 3 3 2" xfId="41291" xr:uid="{00000000-0005-0000-0000-000009700000}"/>
    <cellStyle name="Comma 5 2 4 3 4" xfId="32725" xr:uid="{00000000-0005-0000-0000-00000A700000}"/>
    <cellStyle name="Comma 5 2 4 3 5" xfId="34867" xr:uid="{00000000-0005-0000-0000-00000B700000}"/>
    <cellStyle name="Comma 5 2 4 4" xfId="8872" xr:uid="{00000000-0005-0000-0000-00000C700000}"/>
    <cellStyle name="Comma 5 2 4 4 2" xfId="43434" xr:uid="{00000000-0005-0000-0000-00000D700000}"/>
    <cellStyle name="Comma 5 2 4 4 3" xfId="37010" xr:uid="{00000000-0005-0000-0000-00000E700000}"/>
    <cellStyle name="Comma 5 2 4 5" xfId="21861" xr:uid="{00000000-0005-0000-0000-00000F700000}"/>
    <cellStyle name="Comma 5 2 4 5 2" xfId="40227" xr:uid="{00000000-0005-0000-0000-000010700000}"/>
    <cellStyle name="Comma 5 2 4 6" xfId="22935" xr:uid="{00000000-0005-0000-0000-000011700000}"/>
    <cellStyle name="Comma 5 2 4 7" xfId="24005" xr:uid="{00000000-0005-0000-0000-000012700000}"/>
    <cellStyle name="Comma 5 2 4 8" xfId="27256" xr:uid="{00000000-0005-0000-0000-000013700000}"/>
    <cellStyle name="Comma 5 2 4 9" xfId="30589" xr:uid="{00000000-0005-0000-0000-000014700000}"/>
    <cellStyle name="Comma 5 2 5" xfId="1581" xr:uid="{00000000-0005-0000-0000-000015700000}"/>
    <cellStyle name="Comma 5 2 5 10" xfId="33804" xr:uid="{00000000-0005-0000-0000-000016700000}"/>
    <cellStyle name="Comma 5 2 5 2" xfId="10350" xr:uid="{00000000-0005-0000-0000-000017700000}"/>
    <cellStyle name="Comma 5 2 5 2 2" xfId="26150" xr:uid="{00000000-0005-0000-0000-000018700000}"/>
    <cellStyle name="Comma 5 2 5 2 2 2" xfId="45577" xr:uid="{00000000-0005-0000-0000-000019700000}"/>
    <cellStyle name="Comma 5 2 5 2 2 3" xfId="39154" xr:uid="{00000000-0005-0000-0000-00001A700000}"/>
    <cellStyle name="Comma 5 2 5 2 3" xfId="28328" xr:uid="{00000000-0005-0000-0000-00001B700000}"/>
    <cellStyle name="Comma 5 2 5 2 3 2" xfId="42370" xr:uid="{00000000-0005-0000-0000-00001C700000}"/>
    <cellStyle name="Comma 5 2 5 2 4" xfId="31663" xr:uid="{00000000-0005-0000-0000-00001D700000}"/>
    <cellStyle name="Comma 5 2 5 2 5" xfId="35946" xr:uid="{00000000-0005-0000-0000-00001E700000}"/>
    <cellStyle name="Comma 5 2 5 3" xfId="16055" xr:uid="{00000000-0005-0000-0000-00001F700000}"/>
    <cellStyle name="Comma 5 2 5 3 2" xfId="25070" xr:uid="{00000000-0005-0000-0000-000020700000}"/>
    <cellStyle name="Comma 5 2 5 3 2 2" xfId="44499" xr:uid="{00000000-0005-0000-0000-000021700000}"/>
    <cellStyle name="Comma 5 2 5 3 2 3" xfId="38076" xr:uid="{00000000-0005-0000-0000-000022700000}"/>
    <cellStyle name="Comma 5 2 5 3 3" xfId="29391" xr:uid="{00000000-0005-0000-0000-000023700000}"/>
    <cellStyle name="Comma 5 2 5 3 3 2" xfId="41292" xr:uid="{00000000-0005-0000-0000-000024700000}"/>
    <cellStyle name="Comma 5 2 5 3 4" xfId="32726" xr:uid="{00000000-0005-0000-0000-000025700000}"/>
    <cellStyle name="Comma 5 2 5 3 5" xfId="34868" xr:uid="{00000000-0005-0000-0000-000026700000}"/>
    <cellStyle name="Comma 5 2 5 4" xfId="8873" xr:uid="{00000000-0005-0000-0000-000027700000}"/>
    <cellStyle name="Comma 5 2 5 4 2" xfId="43435" xr:uid="{00000000-0005-0000-0000-000028700000}"/>
    <cellStyle name="Comma 5 2 5 4 3" xfId="37011" xr:uid="{00000000-0005-0000-0000-000029700000}"/>
    <cellStyle name="Comma 5 2 5 5" xfId="21862" xr:uid="{00000000-0005-0000-0000-00002A700000}"/>
    <cellStyle name="Comma 5 2 5 5 2" xfId="40228" xr:uid="{00000000-0005-0000-0000-00002B700000}"/>
    <cellStyle name="Comma 5 2 5 6" xfId="22936" xr:uid="{00000000-0005-0000-0000-00002C700000}"/>
    <cellStyle name="Comma 5 2 5 7" xfId="24006" xr:uid="{00000000-0005-0000-0000-00002D700000}"/>
    <cellStyle name="Comma 5 2 5 8" xfId="27257" xr:uid="{00000000-0005-0000-0000-00002E700000}"/>
    <cellStyle name="Comma 5 2 5 9" xfId="30590" xr:uid="{00000000-0005-0000-0000-00002F700000}"/>
    <cellStyle name="Comma 5 2 6" xfId="1582" xr:uid="{00000000-0005-0000-0000-000030700000}"/>
    <cellStyle name="Comma 5 2 6 10" xfId="33805" xr:uid="{00000000-0005-0000-0000-000031700000}"/>
    <cellStyle name="Comma 5 2 6 2" xfId="10351" xr:uid="{00000000-0005-0000-0000-000032700000}"/>
    <cellStyle name="Comma 5 2 6 2 2" xfId="26151" xr:uid="{00000000-0005-0000-0000-000033700000}"/>
    <cellStyle name="Comma 5 2 6 2 2 2" xfId="45578" xr:uid="{00000000-0005-0000-0000-000034700000}"/>
    <cellStyle name="Comma 5 2 6 2 2 3" xfId="39155" xr:uid="{00000000-0005-0000-0000-000035700000}"/>
    <cellStyle name="Comma 5 2 6 2 3" xfId="28329" xr:uid="{00000000-0005-0000-0000-000036700000}"/>
    <cellStyle name="Comma 5 2 6 2 3 2" xfId="42371" xr:uid="{00000000-0005-0000-0000-000037700000}"/>
    <cellStyle name="Comma 5 2 6 2 4" xfId="31664" xr:uid="{00000000-0005-0000-0000-000038700000}"/>
    <cellStyle name="Comma 5 2 6 2 5" xfId="35947" xr:uid="{00000000-0005-0000-0000-000039700000}"/>
    <cellStyle name="Comma 5 2 6 3" xfId="16056" xr:uid="{00000000-0005-0000-0000-00003A700000}"/>
    <cellStyle name="Comma 5 2 6 3 2" xfId="25071" xr:uid="{00000000-0005-0000-0000-00003B700000}"/>
    <cellStyle name="Comma 5 2 6 3 2 2" xfId="44500" xr:uid="{00000000-0005-0000-0000-00003C700000}"/>
    <cellStyle name="Comma 5 2 6 3 2 3" xfId="38077" xr:uid="{00000000-0005-0000-0000-00003D700000}"/>
    <cellStyle name="Comma 5 2 6 3 3" xfId="29392" xr:uid="{00000000-0005-0000-0000-00003E700000}"/>
    <cellStyle name="Comma 5 2 6 3 3 2" xfId="41293" xr:uid="{00000000-0005-0000-0000-00003F700000}"/>
    <cellStyle name="Comma 5 2 6 3 4" xfId="32727" xr:uid="{00000000-0005-0000-0000-000040700000}"/>
    <cellStyle name="Comma 5 2 6 3 5" xfId="34869" xr:uid="{00000000-0005-0000-0000-000041700000}"/>
    <cellStyle name="Comma 5 2 6 4" xfId="8874" xr:uid="{00000000-0005-0000-0000-000042700000}"/>
    <cellStyle name="Comma 5 2 6 4 2" xfId="43436" xr:uid="{00000000-0005-0000-0000-000043700000}"/>
    <cellStyle name="Comma 5 2 6 4 3" xfId="37012" xr:uid="{00000000-0005-0000-0000-000044700000}"/>
    <cellStyle name="Comma 5 2 6 5" xfId="21863" xr:uid="{00000000-0005-0000-0000-000045700000}"/>
    <cellStyle name="Comma 5 2 6 5 2" xfId="40229" xr:uid="{00000000-0005-0000-0000-000046700000}"/>
    <cellStyle name="Comma 5 2 6 6" xfId="22937" xr:uid="{00000000-0005-0000-0000-000047700000}"/>
    <cellStyle name="Comma 5 2 6 7" xfId="24007" xr:uid="{00000000-0005-0000-0000-000048700000}"/>
    <cellStyle name="Comma 5 2 6 8" xfId="27258" xr:uid="{00000000-0005-0000-0000-000049700000}"/>
    <cellStyle name="Comma 5 2 6 9" xfId="30591" xr:uid="{00000000-0005-0000-0000-00004A700000}"/>
    <cellStyle name="Comma 5 2 7" xfId="1583" xr:uid="{00000000-0005-0000-0000-00004B700000}"/>
    <cellStyle name="Comma 5 2 7 10" xfId="33806" xr:uid="{00000000-0005-0000-0000-00004C700000}"/>
    <cellStyle name="Comma 5 2 7 2" xfId="10352" xr:uid="{00000000-0005-0000-0000-00004D700000}"/>
    <cellStyle name="Comma 5 2 7 2 2" xfId="26152" xr:uid="{00000000-0005-0000-0000-00004E700000}"/>
    <cellStyle name="Comma 5 2 7 2 2 2" xfId="45579" xr:uid="{00000000-0005-0000-0000-00004F700000}"/>
    <cellStyle name="Comma 5 2 7 2 2 3" xfId="39156" xr:uid="{00000000-0005-0000-0000-000050700000}"/>
    <cellStyle name="Comma 5 2 7 2 3" xfId="28330" xr:uid="{00000000-0005-0000-0000-000051700000}"/>
    <cellStyle name="Comma 5 2 7 2 3 2" xfId="42372" xr:uid="{00000000-0005-0000-0000-000052700000}"/>
    <cellStyle name="Comma 5 2 7 2 4" xfId="31665" xr:uid="{00000000-0005-0000-0000-000053700000}"/>
    <cellStyle name="Comma 5 2 7 2 5" xfId="35948" xr:uid="{00000000-0005-0000-0000-000054700000}"/>
    <cellStyle name="Comma 5 2 7 3" xfId="16057" xr:uid="{00000000-0005-0000-0000-000055700000}"/>
    <cellStyle name="Comma 5 2 7 3 2" xfId="25072" xr:uid="{00000000-0005-0000-0000-000056700000}"/>
    <cellStyle name="Comma 5 2 7 3 2 2" xfId="44501" xr:uid="{00000000-0005-0000-0000-000057700000}"/>
    <cellStyle name="Comma 5 2 7 3 2 3" xfId="38078" xr:uid="{00000000-0005-0000-0000-000058700000}"/>
    <cellStyle name="Comma 5 2 7 3 3" xfId="29393" xr:uid="{00000000-0005-0000-0000-000059700000}"/>
    <cellStyle name="Comma 5 2 7 3 3 2" xfId="41294" xr:uid="{00000000-0005-0000-0000-00005A700000}"/>
    <cellStyle name="Comma 5 2 7 3 4" xfId="32728" xr:uid="{00000000-0005-0000-0000-00005B700000}"/>
    <cellStyle name="Comma 5 2 7 3 5" xfId="34870" xr:uid="{00000000-0005-0000-0000-00005C700000}"/>
    <cellStyle name="Comma 5 2 7 4" xfId="8875" xr:uid="{00000000-0005-0000-0000-00005D700000}"/>
    <cellStyle name="Comma 5 2 7 4 2" xfId="43437" xr:uid="{00000000-0005-0000-0000-00005E700000}"/>
    <cellStyle name="Comma 5 2 7 4 3" xfId="37013" xr:uid="{00000000-0005-0000-0000-00005F700000}"/>
    <cellStyle name="Comma 5 2 7 5" xfId="21864" xr:uid="{00000000-0005-0000-0000-000060700000}"/>
    <cellStyle name="Comma 5 2 7 5 2" xfId="40230" xr:uid="{00000000-0005-0000-0000-000061700000}"/>
    <cellStyle name="Comma 5 2 7 6" xfId="22938" xr:uid="{00000000-0005-0000-0000-000062700000}"/>
    <cellStyle name="Comma 5 2 7 7" xfId="24008" xr:uid="{00000000-0005-0000-0000-000063700000}"/>
    <cellStyle name="Comma 5 2 7 8" xfId="27259" xr:uid="{00000000-0005-0000-0000-000064700000}"/>
    <cellStyle name="Comma 5 2 7 9" xfId="30592" xr:uid="{00000000-0005-0000-0000-000065700000}"/>
    <cellStyle name="Comma 5 2 8" xfId="10338" xr:uid="{00000000-0005-0000-0000-000066700000}"/>
    <cellStyle name="Comma 5 2 8 2" xfId="26138" xr:uid="{00000000-0005-0000-0000-000067700000}"/>
    <cellStyle name="Comma 5 2 8 2 2" xfId="45565" xr:uid="{00000000-0005-0000-0000-000068700000}"/>
    <cellStyle name="Comma 5 2 8 2 3" xfId="39142" xr:uid="{00000000-0005-0000-0000-000069700000}"/>
    <cellStyle name="Comma 5 2 8 3" xfId="28316" xr:uid="{00000000-0005-0000-0000-00006A700000}"/>
    <cellStyle name="Comma 5 2 8 3 2" xfId="42358" xr:uid="{00000000-0005-0000-0000-00006B700000}"/>
    <cellStyle name="Comma 5 2 8 4" xfId="31651" xr:uid="{00000000-0005-0000-0000-00006C700000}"/>
    <cellStyle name="Comma 5 2 8 5" xfId="35934" xr:uid="{00000000-0005-0000-0000-00006D700000}"/>
    <cellStyle name="Comma 5 2 9" xfId="16043" xr:uid="{00000000-0005-0000-0000-00006E700000}"/>
    <cellStyle name="Comma 5 2 9 2" xfId="25058" xr:uid="{00000000-0005-0000-0000-00006F700000}"/>
    <cellStyle name="Comma 5 2 9 2 2" xfId="44487" xr:uid="{00000000-0005-0000-0000-000070700000}"/>
    <cellStyle name="Comma 5 2 9 2 3" xfId="38064" xr:uid="{00000000-0005-0000-0000-000071700000}"/>
    <cellStyle name="Comma 5 2 9 3" xfId="29379" xr:uid="{00000000-0005-0000-0000-000072700000}"/>
    <cellStyle name="Comma 5 2 9 3 2" xfId="41280" xr:uid="{00000000-0005-0000-0000-000073700000}"/>
    <cellStyle name="Comma 5 2 9 4" xfId="32714" xr:uid="{00000000-0005-0000-0000-000074700000}"/>
    <cellStyle name="Comma 5 2 9 5" xfId="34856" xr:uid="{00000000-0005-0000-0000-000075700000}"/>
    <cellStyle name="Comma 5 3" xfId="8984" xr:uid="{00000000-0005-0000-0000-000076700000}"/>
    <cellStyle name="Comma 5 3 2" xfId="25109" xr:uid="{00000000-0005-0000-0000-000077700000}"/>
    <cellStyle name="Comma 5 3 2 2" xfId="44536" xr:uid="{00000000-0005-0000-0000-000078700000}"/>
    <cellStyle name="Comma 5 3 2 3" xfId="38113" xr:uid="{00000000-0005-0000-0000-000079700000}"/>
    <cellStyle name="Comma 5 3 3" xfId="27288" xr:uid="{00000000-0005-0000-0000-00007A700000}"/>
    <cellStyle name="Comma 5 3 3 2" xfId="41329" xr:uid="{00000000-0005-0000-0000-00007B700000}"/>
    <cellStyle name="Comma 5 3 4" xfId="30623" xr:uid="{00000000-0005-0000-0000-00007C700000}"/>
    <cellStyle name="Comma 5 3 5" xfId="34905" xr:uid="{00000000-0005-0000-0000-00007D700000}"/>
    <cellStyle name="Comma 5 4" xfId="15010" xr:uid="{00000000-0005-0000-0000-00007E700000}"/>
    <cellStyle name="Comma 5 4 2" xfId="24036" xr:uid="{00000000-0005-0000-0000-00007F700000}"/>
    <cellStyle name="Comma 5 4 2 2" xfId="43465" xr:uid="{00000000-0005-0000-0000-000080700000}"/>
    <cellStyle name="Comma 5 4 2 3" xfId="37042" xr:uid="{00000000-0005-0000-0000-000081700000}"/>
    <cellStyle name="Comma 5 4 3" xfId="28360" xr:uid="{00000000-0005-0000-0000-000082700000}"/>
    <cellStyle name="Comma 5 4 3 2" xfId="40258" xr:uid="{00000000-0005-0000-0000-000083700000}"/>
    <cellStyle name="Comma 5 4 4" xfId="31695" xr:uid="{00000000-0005-0000-0000-000084700000}"/>
    <cellStyle name="Comma 5 4 5" xfId="33834" xr:uid="{00000000-0005-0000-0000-000085700000}"/>
    <cellStyle name="Comma 5 5" xfId="7830" xr:uid="{00000000-0005-0000-0000-000086700000}"/>
    <cellStyle name="Comma 5 5 2" xfId="42401" xr:uid="{00000000-0005-0000-0000-000087700000}"/>
    <cellStyle name="Comma 5 5 3" xfId="35977" xr:uid="{00000000-0005-0000-0000-000088700000}"/>
    <cellStyle name="Comma 5 6" xfId="20833" xr:uid="{00000000-0005-0000-0000-000089700000}"/>
    <cellStyle name="Comma 5 6 2" xfId="39194" xr:uid="{00000000-0005-0000-0000-00008A700000}"/>
    <cellStyle name="Comma 5 7" xfId="21906" xr:uid="{00000000-0005-0000-0000-00008B700000}"/>
    <cellStyle name="Comma 5 8" xfId="22972" xr:uid="{00000000-0005-0000-0000-00008C700000}"/>
    <cellStyle name="Comma 5 9" xfId="26203" xr:uid="{00000000-0005-0000-0000-00008D700000}"/>
    <cellStyle name="Comma 6" xfId="304" xr:uid="{00000000-0005-0000-0000-00008E700000}"/>
    <cellStyle name="Comma 6 10" xfId="29555" xr:uid="{00000000-0005-0000-0000-00008F700000}"/>
    <cellStyle name="Comma 6 11" xfId="32872" xr:uid="{00000000-0005-0000-0000-000090700000}"/>
    <cellStyle name="Comma 6 2" xfId="1584" xr:uid="{00000000-0005-0000-0000-000091700000}"/>
    <cellStyle name="Comma 6 2 10" xfId="33807" xr:uid="{00000000-0005-0000-0000-000092700000}"/>
    <cellStyle name="Comma 6 2 2" xfId="10353" xr:uid="{00000000-0005-0000-0000-000093700000}"/>
    <cellStyle name="Comma 6 2 2 2" xfId="26153" xr:uid="{00000000-0005-0000-0000-000094700000}"/>
    <cellStyle name="Comma 6 2 2 2 2" xfId="45580" xr:uid="{00000000-0005-0000-0000-000095700000}"/>
    <cellStyle name="Comma 6 2 2 2 3" xfId="39157" xr:uid="{00000000-0005-0000-0000-000096700000}"/>
    <cellStyle name="Comma 6 2 2 3" xfId="28331" xr:uid="{00000000-0005-0000-0000-000097700000}"/>
    <cellStyle name="Comma 6 2 2 3 2" xfId="42373" xr:uid="{00000000-0005-0000-0000-000098700000}"/>
    <cellStyle name="Comma 6 2 2 4" xfId="31666" xr:uid="{00000000-0005-0000-0000-000099700000}"/>
    <cellStyle name="Comma 6 2 2 5" xfId="35949" xr:uid="{00000000-0005-0000-0000-00009A700000}"/>
    <cellStyle name="Comma 6 2 3" xfId="16058" xr:uid="{00000000-0005-0000-0000-00009B700000}"/>
    <cellStyle name="Comma 6 2 3 2" xfId="25073" xr:uid="{00000000-0005-0000-0000-00009C700000}"/>
    <cellStyle name="Comma 6 2 3 2 2" xfId="44502" xr:uid="{00000000-0005-0000-0000-00009D700000}"/>
    <cellStyle name="Comma 6 2 3 2 3" xfId="38079" xr:uid="{00000000-0005-0000-0000-00009E700000}"/>
    <cellStyle name="Comma 6 2 3 3" xfId="29394" xr:uid="{00000000-0005-0000-0000-00009F700000}"/>
    <cellStyle name="Comma 6 2 3 3 2" xfId="41295" xr:uid="{00000000-0005-0000-0000-0000A0700000}"/>
    <cellStyle name="Comma 6 2 3 4" xfId="32729" xr:uid="{00000000-0005-0000-0000-0000A1700000}"/>
    <cellStyle name="Comma 6 2 3 5" xfId="34871" xr:uid="{00000000-0005-0000-0000-0000A2700000}"/>
    <cellStyle name="Comma 6 2 4" xfId="8876" xr:uid="{00000000-0005-0000-0000-0000A3700000}"/>
    <cellStyle name="Comma 6 2 4 2" xfId="43438" xr:uid="{00000000-0005-0000-0000-0000A4700000}"/>
    <cellStyle name="Comma 6 2 4 3" xfId="37014" xr:uid="{00000000-0005-0000-0000-0000A5700000}"/>
    <cellStyle name="Comma 6 2 5" xfId="21865" xr:uid="{00000000-0005-0000-0000-0000A6700000}"/>
    <cellStyle name="Comma 6 2 5 2" xfId="40231" xr:uid="{00000000-0005-0000-0000-0000A7700000}"/>
    <cellStyle name="Comma 6 2 6" xfId="22939" xr:uid="{00000000-0005-0000-0000-0000A8700000}"/>
    <cellStyle name="Comma 6 2 7" xfId="24009" xr:uid="{00000000-0005-0000-0000-0000A9700000}"/>
    <cellStyle name="Comma 6 2 8" xfId="27260" xr:uid="{00000000-0005-0000-0000-0000AA700000}"/>
    <cellStyle name="Comma 6 2 9" xfId="30593" xr:uid="{00000000-0005-0000-0000-0000AB700000}"/>
    <cellStyle name="Comma 6 3" xfId="9159" xr:uid="{00000000-0005-0000-0000-0000AC700000}"/>
    <cellStyle name="Comma 6 3 2" xfId="25213" xr:uid="{00000000-0005-0000-0000-0000AD700000}"/>
    <cellStyle name="Comma 6 3 2 2" xfId="44640" xr:uid="{00000000-0005-0000-0000-0000AE700000}"/>
    <cellStyle name="Comma 6 3 2 3" xfId="38217" xr:uid="{00000000-0005-0000-0000-0000AF700000}"/>
    <cellStyle name="Comma 6 3 3" xfId="27392" xr:uid="{00000000-0005-0000-0000-0000B0700000}"/>
    <cellStyle name="Comma 6 3 3 2" xfId="41433" xr:uid="{00000000-0005-0000-0000-0000B1700000}"/>
    <cellStyle name="Comma 6 3 4" xfId="30727" xr:uid="{00000000-0005-0000-0000-0000B2700000}"/>
    <cellStyle name="Comma 6 3 5" xfId="35009" xr:uid="{00000000-0005-0000-0000-0000B3700000}"/>
    <cellStyle name="Comma 6 4" xfId="14955" xr:uid="{00000000-0005-0000-0000-0000B4700000}"/>
    <cellStyle name="Comma 6 4 2" xfId="24033" xr:uid="{00000000-0005-0000-0000-0000B5700000}"/>
    <cellStyle name="Comma 6 4 2 2" xfId="43462" xr:uid="{00000000-0005-0000-0000-0000B6700000}"/>
    <cellStyle name="Comma 6 4 2 3" xfId="37039" xr:uid="{00000000-0005-0000-0000-0000B7700000}"/>
    <cellStyle name="Comma 6 4 3" xfId="28357" xr:uid="{00000000-0005-0000-0000-0000B8700000}"/>
    <cellStyle name="Comma 6 4 3 2" xfId="40255" xr:uid="{00000000-0005-0000-0000-0000B9700000}"/>
    <cellStyle name="Comma 6 4 4" xfId="31692" xr:uid="{00000000-0005-0000-0000-0000BA700000}"/>
    <cellStyle name="Comma 6 4 5" xfId="33831" xr:uid="{00000000-0005-0000-0000-0000BB700000}"/>
    <cellStyle name="Comma 6 5" xfId="7808" xr:uid="{00000000-0005-0000-0000-0000BC700000}"/>
    <cellStyle name="Comma 6 5 2" xfId="42503" xr:uid="{00000000-0005-0000-0000-0000BD700000}"/>
    <cellStyle name="Comma 6 5 3" xfId="36079" xr:uid="{00000000-0005-0000-0000-0000BE700000}"/>
    <cellStyle name="Comma 6 6" xfId="20829" xr:uid="{00000000-0005-0000-0000-0000BF700000}"/>
    <cellStyle name="Comma 6 6 2" xfId="39296" xr:uid="{00000000-0005-0000-0000-0000C0700000}"/>
    <cellStyle name="Comma 6 7" xfId="21902" xr:uid="{00000000-0005-0000-0000-0000C1700000}"/>
    <cellStyle name="Comma 6 8" xfId="23074" xr:uid="{00000000-0005-0000-0000-0000C2700000}"/>
    <cellStyle name="Comma 6 9" xfId="26222" xr:uid="{00000000-0005-0000-0000-0000C3700000}"/>
    <cellStyle name="Comma 7" xfId="305" xr:uid="{00000000-0005-0000-0000-0000C4700000}"/>
    <cellStyle name="Comma 7 10" xfId="27261" xr:uid="{00000000-0005-0000-0000-0000C5700000}"/>
    <cellStyle name="Comma 7 11" xfId="30594" xr:uid="{00000000-0005-0000-0000-0000C6700000}"/>
    <cellStyle name="Comma 7 12" xfId="32873" xr:uid="{00000000-0005-0000-0000-0000C7700000}"/>
    <cellStyle name="Comma 7 2" xfId="306" xr:uid="{00000000-0005-0000-0000-0000C8700000}"/>
    <cellStyle name="Comma 7 2 10" xfId="30595" xr:uid="{00000000-0005-0000-0000-0000C9700000}"/>
    <cellStyle name="Comma 7 2 11" xfId="32874" xr:uid="{00000000-0005-0000-0000-0000CA700000}"/>
    <cellStyle name="Comma 7 2 2" xfId="1585" xr:uid="{00000000-0005-0000-0000-0000CB700000}"/>
    <cellStyle name="Comma 7 2 2 10" xfId="33808" xr:uid="{00000000-0005-0000-0000-0000CC700000}"/>
    <cellStyle name="Comma 7 2 2 2" xfId="10354" xr:uid="{00000000-0005-0000-0000-0000CD700000}"/>
    <cellStyle name="Comma 7 2 2 2 2" xfId="26154" xr:uid="{00000000-0005-0000-0000-0000CE700000}"/>
    <cellStyle name="Comma 7 2 2 2 2 2" xfId="45581" xr:uid="{00000000-0005-0000-0000-0000CF700000}"/>
    <cellStyle name="Comma 7 2 2 2 2 3" xfId="39158" xr:uid="{00000000-0005-0000-0000-0000D0700000}"/>
    <cellStyle name="Comma 7 2 2 2 3" xfId="28332" xr:uid="{00000000-0005-0000-0000-0000D1700000}"/>
    <cellStyle name="Comma 7 2 2 2 3 2" xfId="42374" xr:uid="{00000000-0005-0000-0000-0000D2700000}"/>
    <cellStyle name="Comma 7 2 2 2 4" xfId="31667" xr:uid="{00000000-0005-0000-0000-0000D3700000}"/>
    <cellStyle name="Comma 7 2 2 2 5" xfId="35950" xr:uid="{00000000-0005-0000-0000-0000D4700000}"/>
    <cellStyle name="Comma 7 2 2 3" xfId="16061" xr:uid="{00000000-0005-0000-0000-0000D5700000}"/>
    <cellStyle name="Comma 7 2 2 3 2" xfId="25076" xr:uid="{00000000-0005-0000-0000-0000D6700000}"/>
    <cellStyle name="Comma 7 2 2 3 2 2" xfId="44505" xr:uid="{00000000-0005-0000-0000-0000D7700000}"/>
    <cellStyle name="Comma 7 2 2 3 2 3" xfId="38082" xr:uid="{00000000-0005-0000-0000-0000D8700000}"/>
    <cellStyle name="Comma 7 2 2 3 3" xfId="29397" xr:uid="{00000000-0005-0000-0000-0000D9700000}"/>
    <cellStyle name="Comma 7 2 2 3 3 2" xfId="41298" xr:uid="{00000000-0005-0000-0000-0000DA700000}"/>
    <cellStyle name="Comma 7 2 2 3 4" xfId="32732" xr:uid="{00000000-0005-0000-0000-0000DB700000}"/>
    <cellStyle name="Comma 7 2 2 3 5" xfId="34874" xr:uid="{00000000-0005-0000-0000-0000DC700000}"/>
    <cellStyle name="Comma 7 2 2 4" xfId="8879" xr:uid="{00000000-0005-0000-0000-0000DD700000}"/>
    <cellStyle name="Comma 7 2 2 4 2" xfId="43439" xr:uid="{00000000-0005-0000-0000-0000DE700000}"/>
    <cellStyle name="Comma 7 2 2 4 3" xfId="37015" xr:uid="{00000000-0005-0000-0000-0000DF700000}"/>
    <cellStyle name="Comma 7 2 2 5" xfId="21868" xr:uid="{00000000-0005-0000-0000-0000E0700000}"/>
    <cellStyle name="Comma 7 2 2 5 2" xfId="40232" xr:uid="{00000000-0005-0000-0000-0000E1700000}"/>
    <cellStyle name="Comma 7 2 2 6" xfId="22942" xr:uid="{00000000-0005-0000-0000-0000E2700000}"/>
    <cellStyle name="Comma 7 2 2 7" xfId="24010" xr:uid="{00000000-0005-0000-0000-0000E3700000}"/>
    <cellStyle name="Comma 7 2 2 8" xfId="27263" xr:uid="{00000000-0005-0000-0000-0000E4700000}"/>
    <cellStyle name="Comma 7 2 2 9" xfId="30596" xr:uid="{00000000-0005-0000-0000-0000E5700000}"/>
    <cellStyle name="Comma 7 2 3" xfId="9161" xr:uid="{00000000-0005-0000-0000-0000E6700000}"/>
    <cellStyle name="Comma 7 2 3 2" xfId="25215" xr:uid="{00000000-0005-0000-0000-0000E7700000}"/>
    <cellStyle name="Comma 7 2 3 2 2" xfId="44642" xr:uid="{00000000-0005-0000-0000-0000E8700000}"/>
    <cellStyle name="Comma 7 2 3 2 3" xfId="38219" xr:uid="{00000000-0005-0000-0000-0000E9700000}"/>
    <cellStyle name="Comma 7 2 3 3" xfId="27394" xr:uid="{00000000-0005-0000-0000-0000EA700000}"/>
    <cellStyle name="Comma 7 2 3 3 2" xfId="41435" xr:uid="{00000000-0005-0000-0000-0000EB700000}"/>
    <cellStyle name="Comma 7 2 3 4" xfId="30729" xr:uid="{00000000-0005-0000-0000-0000EC700000}"/>
    <cellStyle name="Comma 7 2 3 5" xfId="35011" xr:uid="{00000000-0005-0000-0000-0000ED700000}"/>
    <cellStyle name="Comma 7 2 4" xfId="16060" xr:uid="{00000000-0005-0000-0000-0000EE700000}"/>
    <cellStyle name="Comma 7 2 4 2" xfId="25075" xr:uid="{00000000-0005-0000-0000-0000EF700000}"/>
    <cellStyle name="Comma 7 2 4 2 2" xfId="44504" xr:uid="{00000000-0005-0000-0000-0000F0700000}"/>
    <cellStyle name="Comma 7 2 4 2 3" xfId="38081" xr:uid="{00000000-0005-0000-0000-0000F1700000}"/>
    <cellStyle name="Comma 7 2 4 3" xfId="29396" xr:uid="{00000000-0005-0000-0000-0000F2700000}"/>
    <cellStyle name="Comma 7 2 4 3 2" xfId="41297" xr:uid="{00000000-0005-0000-0000-0000F3700000}"/>
    <cellStyle name="Comma 7 2 4 4" xfId="32731" xr:uid="{00000000-0005-0000-0000-0000F4700000}"/>
    <cellStyle name="Comma 7 2 4 5" xfId="34873" xr:uid="{00000000-0005-0000-0000-0000F5700000}"/>
    <cellStyle name="Comma 7 2 5" xfId="8878" xr:uid="{00000000-0005-0000-0000-0000F6700000}"/>
    <cellStyle name="Comma 7 2 5 2" xfId="42505" xr:uid="{00000000-0005-0000-0000-0000F7700000}"/>
    <cellStyle name="Comma 7 2 5 3" xfId="36081" xr:uid="{00000000-0005-0000-0000-0000F8700000}"/>
    <cellStyle name="Comma 7 2 6" xfId="21867" xr:uid="{00000000-0005-0000-0000-0000F9700000}"/>
    <cellStyle name="Comma 7 2 6 2" xfId="39298" xr:uid="{00000000-0005-0000-0000-0000FA700000}"/>
    <cellStyle name="Comma 7 2 7" xfId="22941" xr:uid="{00000000-0005-0000-0000-0000FB700000}"/>
    <cellStyle name="Comma 7 2 8" xfId="23076" xr:uid="{00000000-0005-0000-0000-0000FC700000}"/>
    <cellStyle name="Comma 7 2 9" xfId="27262" xr:uid="{00000000-0005-0000-0000-0000FD700000}"/>
    <cellStyle name="Comma 7 3" xfId="1586" xr:uid="{00000000-0005-0000-0000-0000FE700000}"/>
    <cellStyle name="Comma 7 3 10" xfId="33809" xr:uid="{00000000-0005-0000-0000-0000FF700000}"/>
    <cellStyle name="Comma 7 3 2" xfId="10355" xr:uid="{00000000-0005-0000-0000-000000710000}"/>
    <cellStyle name="Comma 7 3 2 2" xfId="26155" xr:uid="{00000000-0005-0000-0000-000001710000}"/>
    <cellStyle name="Comma 7 3 2 2 2" xfId="45582" xr:uid="{00000000-0005-0000-0000-000002710000}"/>
    <cellStyle name="Comma 7 3 2 2 3" xfId="39159" xr:uid="{00000000-0005-0000-0000-000003710000}"/>
    <cellStyle name="Comma 7 3 2 3" xfId="28333" xr:uid="{00000000-0005-0000-0000-000004710000}"/>
    <cellStyle name="Comma 7 3 2 3 2" xfId="42375" xr:uid="{00000000-0005-0000-0000-000005710000}"/>
    <cellStyle name="Comma 7 3 2 4" xfId="31668" xr:uid="{00000000-0005-0000-0000-000006710000}"/>
    <cellStyle name="Comma 7 3 2 5" xfId="35951" xr:uid="{00000000-0005-0000-0000-000007710000}"/>
    <cellStyle name="Comma 7 3 3" xfId="16062" xr:uid="{00000000-0005-0000-0000-000008710000}"/>
    <cellStyle name="Comma 7 3 3 2" xfId="25077" xr:uid="{00000000-0005-0000-0000-000009710000}"/>
    <cellStyle name="Comma 7 3 3 2 2" xfId="44506" xr:uid="{00000000-0005-0000-0000-00000A710000}"/>
    <cellStyle name="Comma 7 3 3 2 3" xfId="38083" xr:uid="{00000000-0005-0000-0000-00000B710000}"/>
    <cellStyle name="Comma 7 3 3 3" xfId="29398" xr:uid="{00000000-0005-0000-0000-00000C710000}"/>
    <cellStyle name="Comma 7 3 3 3 2" xfId="41299" xr:uid="{00000000-0005-0000-0000-00000D710000}"/>
    <cellStyle name="Comma 7 3 3 4" xfId="32733" xr:uid="{00000000-0005-0000-0000-00000E710000}"/>
    <cellStyle name="Comma 7 3 3 5" xfId="34875" xr:uid="{00000000-0005-0000-0000-00000F710000}"/>
    <cellStyle name="Comma 7 3 4" xfId="8880" xr:uid="{00000000-0005-0000-0000-000010710000}"/>
    <cellStyle name="Comma 7 3 4 2" xfId="43440" xr:uid="{00000000-0005-0000-0000-000011710000}"/>
    <cellStyle name="Comma 7 3 4 3" xfId="37016" xr:uid="{00000000-0005-0000-0000-000012710000}"/>
    <cellStyle name="Comma 7 3 5" xfId="21869" xr:uid="{00000000-0005-0000-0000-000013710000}"/>
    <cellStyle name="Comma 7 3 5 2" xfId="40233" xr:uid="{00000000-0005-0000-0000-000014710000}"/>
    <cellStyle name="Comma 7 3 6" xfId="22943" xr:uid="{00000000-0005-0000-0000-000015710000}"/>
    <cellStyle name="Comma 7 3 7" xfId="24011" xr:uid="{00000000-0005-0000-0000-000016710000}"/>
    <cellStyle name="Comma 7 3 8" xfId="27264" xr:uid="{00000000-0005-0000-0000-000017710000}"/>
    <cellStyle name="Comma 7 3 9" xfId="30597" xr:uid="{00000000-0005-0000-0000-000018710000}"/>
    <cellStyle name="Comma 7 4" xfId="9160" xr:uid="{00000000-0005-0000-0000-000019710000}"/>
    <cellStyle name="Comma 7 4 2" xfId="25214" xr:uid="{00000000-0005-0000-0000-00001A710000}"/>
    <cellStyle name="Comma 7 4 2 2" xfId="44641" xr:uid="{00000000-0005-0000-0000-00001B710000}"/>
    <cellStyle name="Comma 7 4 2 3" xfId="38218" xr:uid="{00000000-0005-0000-0000-00001C710000}"/>
    <cellStyle name="Comma 7 4 3" xfId="27393" xr:uid="{00000000-0005-0000-0000-00001D710000}"/>
    <cellStyle name="Comma 7 4 3 2" xfId="41434" xr:uid="{00000000-0005-0000-0000-00001E710000}"/>
    <cellStyle name="Comma 7 4 4" xfId="30728" xr:uid="{00000000-0005-0000-0000-00001F710000}"/>
    <cellStyle name="Comma 7 4 5" xfId="35010" xr:uid="{00000000-0005-0000-0000-000020710000}"/>
    <cellStyle name="Comma 7 5" xfId="16059" xr:uid="{00000000-0005-0000-0000-000021710000}"/>
    <cellStyle name="Comma 7 5 2" xfId="25074" xr:uid="{00000000-0005-0000-0000-000022710000}"/>
    <cellStyle name="Comma 7 5 2 2" xfId="44503" xr:uid="{00000000-0005-0000-0000-000023710000}"/>
    <cellStyle name="Comma 7 5 2 3" xfId="38080" xr:uid="{00000000-0005-0000-0000-000024710000}"/>
    <cellStyle name="Comma 7 5 3" xfId="29395" xr:uid="{00000000-0005-0000-0000-000025710000}"/>
    <cellStyle name="Comma 7 5 3 2" xfId="41296" xr:uid="{00000000-0005-0000-0000-000026710000}"/>
    <cellStyle name="Comma 7 5 4" xfId="32730" xr:uid="{00000000-0005-0000-0000-000027710000}"/>
    <cellStyle name="Comma 7 5 5" xfId="34872" xr:uid="{00000000-0005-0000-0000-000028710000}"/>
    <cellStyle name="Comma 7 6" xfId="8877" xr:uid="{00000000-0005-0000-0000-000029710000}"/>
    <cellStyle name="Comma 7 6 2" xfId="42504" xr:uid="{00000000-0005-0000-0000-00002A710000}"/>
    <cellStyle name="Comma 7 6 3" xfId="36080" xr:uid="{00000000-0005-0000-0000-00002B710000}"/>
    <cellStyle name="Comma 7 7" xfId="21866" xr:uid="{00000000-0005-0000-0000-00002C710000}"/>
    <cellStyle name="Comma 7 7 2" xfId="39297" xr:uid="{00000000-0005-0000-0000-00002D710000}"/>
    <cellStyle name="Comma 7 8" xfId="22940" xr:uid="{00000000-0005-0000-0000-00002E710000}"/>
    <cellStyle name="Comma 7 9" xfId="23075" xr:uid="{00000000-0005-0000-0000-00002F710000}"/>
    <cellStyle name="Comma 8" xfId="307" xr:uid="{00000000-0005-0000-0000-000030710000}"/>
    <cellStyle name="Comma 8 10" xfId="16063" xr:uid="{00000000-0005-0000-0000-000031710000}"/>
    <cellStyle name="Comma 8 10 2" xfId="25078" xr:uid="{00000000-0005-0000-0000-000032710000}"/>
    <cellStyle name="Comma 8 10 2 2" xfId="44507" xr:uid="{00000000-0005-0000-0000-000033710000}"/>
    <cellStyle name="Comma 8 10 2 3" xfId="38084" xr:uid="{00000000-0005-0000-0000-000034710000}"/>
    <cellStyle name="Comma 8 10 3" xfId="29399" xr:uid="{00000000-0005-0000-0000-000035710000}"/>
    <cellStyle name="Comma 8 10 3 2" xfId="41300" xr:uid="{00000000-0005-0000-0000-000036710000}"/>
    <cellStyle name="Comma 8 10 4" xfId="32734" xr:uid="{00000000-0005-0000-0000-000037710000}"/>
    <cellStyle name="Comma 8 10 5" xfId="34876" xr:uid="{00000000-0005-0000-0000-000038710000}"/>
    <cellStyle name="Comma 8 11" xfId="8881" xr:uid="{00000000-0005-0000-0000-000039710000}"/>
    <cellStyle name="Comma 8 11 2" xfId="42506" xr:uid="{00000000-0005-0000-0000-00003A710000}"/>
    <cellStyle name="Comma 8 11 3" xfId="36082" xr:uid="{00000000-0005-0000-0000-00003B710000}"/>
    <cellStyle name="Comma 8 12" xfId="21870" xr:uid="{00000000-0005-0000-0000-00003C710000}"/>
    <cellStyle name="Comma 8 12 2" xfId="39299" xr:uid="{00000000-0005-0000-0000-00003D710000}"/>
    <cellStyle name="Comma 8 13" xfId="22944" xr:uid="{00000000-0005-0000-0000-00003E710000}"/>
    <cellStyle name="Comma 8 14" xfId="23077" xr:uid="{00000000-0005-0000-0000-00003F710000}"/>
    <cellStyle name="Comma 8 15" xfId="27265" xr:uid="{00000000-0005-0000-0000-000040710000}"/>
    <cellStyle name="Comma 8 16" xfId="30598" xr:uid="{00000000-0005-0000-0000-000041710000}"/>
    <cellStyle name="Comma 8 17" xfId="32875" xr:uid="{00000000-0005-0000-0000-000042710000}"/>
    <cellStyle name="Comma 8 2" xfId="1587" xr:uid="{00000000-0005-0000-0000-000043710000}"/>
    <cellStyle name="Comma 8 2 10" xfId="22945" xr:uid="{00000000-0005-0000-0000-000044710000}"/>
    <cellStyle name="Comma 8 2 11" xfId="24012" xr:uid="{00000000-0005-0000-0000-000045710000}"/>
    <cellStyle name="Comma 8 2 12" xfId="27266" xr:uid="{00000000-0005-0000-0000-000046710000}"/>
    <cellStyle name="Comma 8 2 13" xfId="30599" xr:uid="{00000000-0005-0000-0000-000047710000}"/>
    <cellStyle name="Comma 8 2 14" xfId="33810" xr:uid="{00000000-0005-0000-0000-000048710000}"/>
    <cellStyle name="Comma 8 2 2" xfId="1588" xr:uid="{00000000-0005-0000-0000-000049710000}"/>
    <cellStyle name="Comma 8 2 2 10" xfId="33811" xr:uid="{00000000-0005-0000-0000-00004A710000}"/>
    <cellStyle name="Comma 8 2 2 2" xfId="10357" xr:uid="{00000000-0005-0000-0000-00004B710000}"/>
    <cellStyle name="Comma 8 2 2 2 2" xfId="26157" xr:uid="{00000000-0005-0000-0000-00004C710000}"/>
    <cellStyle name="Comma 8 2 2 2 2 2" xfId="45584" xr:uid="{00000000-0005-0000-0000-00004D710000}"/>
    <cellStyle name="Comma 8 2 2 2 2 3" xfId="39161" xr:uid="{00000000-0005-0000-0000-00004E710000}"/>
    <cellStyle name="Comma 8 2 2 2 3" xfId="28335" xr:uid="{00000000-0005-0000-0000-00004F710000}"/>
    <cellStyle name="Comma 8 2 2 2 3 2" xfId="42377" xr:uid="{00000000-0005-0000-0000-000050710000}"/>
    <cellStyle name="Comma 8 2 2 2 4" xfId="31670" xr:uid="{00000000-0005-0000-0000-000051710000}"/>
    <cellStyle name="Comma 8 2 2 2 5" xfId="35953" xr:uid="{00000000-0005-0000-0000-000052710000}"/>
    <cellStyle name="Comma 8 2 2 3" xfId="16065" xr:uid="{00000000-0005-0000-0000-000053710000}"/>
    <cellStyle name="Comma 8 2 2 3 2" xfId="25080" xr:uid="{00000000-0005-0000-0000-000054710000}"/>
    <cellStyle name="Comma 8 2 2 3 2 2" xfId="44509" xr:uid="{00000000-0005-0000-0000-000055710000}"/>
    <cellStyle name="Comma 8 2 2 3 2 3" xfId="38086" xr:uid="{00000000-0005-0000-0000-000056710000}"/>
    <cellStyle name="Comma 8 2 2 3 3" xfId="29401" xr:uid="{00000000-0005-0000-0000-000057710000}"/>
    <cellStyle name="Comma 8 2 2 3 3 2" xfId="41302" xr:uid="{00000000-0005-0000-0000-000058710000}"/>
    <cellStyle name="Comma 8 2 2 3 4" xfId="32736" xr:uid="{00000000-0005-0000-0000-000059710000}"/>
    <cellStyle name="Comma 8 2 2 3 5" xfId="34878" xr:uid="{00000000-0005-0000-0000-00005A710000}"/>
    <cellStyle name="Comma 8 2 2 4" xfId="8883" xr:uid="{00000000-0005-0000-0000-00005B710000}"/>
    <cellStyle name="Comma 8 2 2 4 2" xfId="43442" xr:uid="{00000000-0005-0000-0000-00005C710000}"/>
    <cellStyle name="Comma 8 2 2 4 3" xfId="37018" xr:uid="{00000000-0005-0000-0000-00005D710000}"/>
    <cellStyle name="Comma 8 2 2 5" xfId="21872" xr:uid="{00000000-0005-0000-0000-00005E710000}"/>
    <cellStyle name="Comma 8 2 2 5 2" xfId="40235" xr:uid="{00000000-0005-0000-0000-00005F710000}"/>
    <cellStyle name="Comma 8 2 2 6" xfId="22946" xr:uid="{00000000-0005-0000-0000-000060710000}"/>
    <cellStyle name="Comma 8 2 2 7" xfId="24013" xr:uid="{00000000-0005-0000-0000-000061710000}"/>
    <cellStyle name="Comma 8 2 2 8" xfId="27267" xr:uid="{00000000-0005-0000-0000-000062710000}"/>
    <cellStyle name="Comma 8 2 2 9" xfId="30600" xr:uid="{00000000-0005-0000-0000-000063710000}"/>
    <cellStyle name="Comma 8 2 3" xfId="1589" xr:uid="{00000000-0005-0000-0000-000064710000}"/>
    <cellStyle name="Comma 8 2 3 10" xfId="33812" xr:uid="{00000000-0005-0000-0000-000065710000}"/>
    <cellStyle name="Comma 8 2 3 2" xfId="10358" xr:uid="{00000000-0005-0000-0000-000066710000}"/>
    <cellStyle name="Comma 8 2 3 2 2" xfId="26158" xr:uid="{00000000-0005-0000-0000-000067710000}"/>
    <cellStyle name="Comma 8 2 3 2 2 2" xfId="45585" xr:uid="{00000000-0005-0000-0000-000068710000}"/>
    <cellStyle name="Comma 8 2 3 2 2 3" xfId="39162" xr:uid="{00000000-0005-0000-0000-000069710000}"/>
    <cellStyle name="Comma 8 2 3 2 3" xfId="28336" xr:uid="{00000000-0005-0000-0000-00006A710000}"/>
    <cellStyle name="Comma 8 2 3 2 3 2" xfId="42378" xr:uid="{00000000-0005-0000-0000-00006B710000}"/>
    <cellStyle name="Comma 8 2 3 2 4" xfId="31671" xr:uid="{00000000-0005-0000-0000-00006C710000}"/>
    <cellStyle name="Comma 8 2 3 2 5" xfId="35954" xr:uid="{00000000-0005-0000-0000-00006D710000}"/>
    <cellStyle name="Comma 8 2 3 3" xfId="16066" xr:uid="{00000000-0005-0000-0000-00006E710000}"/>
    <cellStyle name="Comma 8 2 3 3 2" xfId="25081" xr:uid="{00000000-0005-0000-0000-00006F710000}"/>
    <cellStyle name="Comma 8 2 3 3 2 2" xfId="44510" xr:uid="{00000000-0005-0000-0000-000070710000}"/>
    <cellStyle name="Comma 8 2 3 3 2 3" xfId="38087" xr:uid="{00000000-0005-0000-0000-000071710000}"/>
    <cellStyle name="Comma 8 2 3 3 3" xfId="29402" xr:uid="{00000000-0005-0000-0000-000072710000}"/>
    <cellStyle name="Comma 8 2 3 3 3 2" xfId="41303" xr:uid="{00000000-0005-0000-0000-000073710000}"/>
    <cellStyle name="Comma 8 2 3 3 4" xfId="32737" xr:uid="{00000000-0005-0000-0000-000074710000}"/>
    <cellStyle name="Comma 8 2 3 3 5" xfId="34879" xr:uid="{00000000-0005-0000-0000-000075710000}"/>
    <cellStyle name="Comma 8 2 3 4" xfId="8884" xr:uid="{00000000-0005-0000-0000-000076710000}"/>
    <cellStyle name="Comma 8 2 3 4 2" xfId="43443" xr:uid="{00000000-0005-0000-0000-000077710000}"/>
    <cellStyle name="Comma 8 2 3 4 3" xfId="37019" xr:uid="{00000000-0005-0000-0000-000078710000}"/>
    <cellStyle name="Comma 8 2 3 5" xfId="21873" xr:uid="{00000000-0005-0000-0000-000079710000}"/>
    <cellStyle name="Comma 8 2 3 5 2" xfId="40236" xr:uid="{00000000-0005-0000-0000-00007A710000}"/>
    <cellStyle name="Comma 8 2 3 6" xfId="22947" xr:uid="{00000000-0005-0000-0000-00007B710000}"/>
    <cellStyle name="Comma 8 2 3 7" xfId="24014" xr:uid="{00000000-0005-0000-0000-00007C710000}"/>
    <cellStyle name="Comma 8 2 3 8" xfId="27268" xr:uid="{00000000-0005-0000-0000-00007D710000}"/>
    <cellStyle name="Comma 8 2 3 9" xfId="30601" xr:uid="{00000000-0005-0000-0000-00007E710000}"/>
    <cellStyle name="Comma 8 2 4" xfId="1590" xr:uid="{00000000-0005-0000-0000-00007F710000}"/>
    <cellStyle name="Comma 8 2 4 10" xfId="33813" xr:uid="{00000000-0005-0000-0000-000080710000}"/>
    <cellStyle name="Comma 8 2 4 2" xfId="10359" xr:uid="{00000000-0005-0000-0000-000081710000}"/>
    <cellStyle name="Comma 8 2 4 2 2" xfId="26159" xr:uid="{00000000-0005-0000-0000-000082710000}"/>
    <cellStyle name="Comma 8 2 4 2 2 2" xfId="45586" xr:uid="{00000000-0005-0000-0000-000083710000}"/>
    <cellStyle name="Comma 8 2 4 2 2 3" xfId="39163" xr:uid="{00000000-0005-0000-0000-000084710000}"/>
    <cellStyle name="Comma 8 2 4 2 3" xfId="28337" xr:uid="{00000000-0005-0000-0000-000085710000}"/>
    <cellStyle name="Comma 8 2 4 2 3 2" xfId="42379" xr:uid="{00000000-0005-0000-0000-000086710000}"/>
    <cellStyle name="Comma 8 2 4 2 4" xfId="31672" xr:uid="{00000000-0005-0000-0000-000087710000}"/>
    <cellStyle name="Comma 8 2 4 2 5" xfId="35955" xr:uid="{00000000-0005-0000-0000-000088710000}"/>
    <cellStyle name="Comma 8 2 4 3" xfId="16067" xr:uid="{00000000-0005-0000-0000-000089710000}"/>
    <cellStyle name="Comma 8 2 4 3 2" xfId="25082" xr:uid="{00000000-0005-0000-0000-00008A710000}"/>
    <cellStyle name="Comma 8 2 4 3 2 2" xfId="44511" xr:uid="{00000000-0005-0000-0000-00008B710000}"/>
    <cellStyle name="Comma 8 2 4 3 2 3" xfId="38088" xr:uid="{00000000-0005-0000-0000-00008C710000}"/>
    <cellStyle name="Comma 8 2 4 3 3" xfId="29403" xr:uid="{00000000-0005-0000-0000-00008D710000}"/>
    <cellStyle name="Comma 8 2 4 3 3 2" xfId="41304" xr:uid="{00000000-0005-0000-0000-00008E710000}"/>
    <cellStyle name="Comma 8 2 4 3 4" xfId="32738" xr:uid="{00000000-0005-0000-0000-00008F710000}"/>
    <cellStyle name="Comma 8 2 4 3 5" xfId="34880" xr:uid="{00000000-0005-0000-0000-000090710000}"/>
    <cellStyle name="Comma 8 2 4 4" xfId="8885" xr:uid="{00000000-0005-0000-0000-000091710000}"/>
    <cellStyle name="Comma 8 2 4 4 2" xfId="43444" xr:uid="{00000000-0005-0000-0000-000092710000}"/>
    <cellStyle name="Comma 8 2 4 4 3" xfId="37020" xr:uid="{00000000-0005-0000-0000-000093710000}"/>
    <cellStyle name="Comma 8 2 4 5" xfId="21874" xr:uid="{00000000-0005-0000-0000-000094710000}"/>
    <cellStyle name="Comma 8 2 4 5 2" xfId="40237" xr:uid="{00000000-0005-0000-0000-000095710000}"/>
    <cellStyle name="Comma 8 2 4 6" xfId="22948" xr:uid="{00000000-0005-0000-0000-000096710000}"/>
    <cellStyle name="Comma 8 2 4 7" xfId="24015" xr:uid="{00000000-0005-0000-0000-000097710000}"/>
    <cellStyle name="Comma 8 2 4 8" xfId="27269" xr:uid="{00000000-0005-0000-0000-000098710000}"/>
    <cellStyle name="Comma 8 2 4 9" xfId="30602" xr:uid="{00000000-0005-0000-0000-000099710000}"/>
    <cellStyle name="Comma 8 2 5" xfId="1591" xr:uid="{00000000-0005-0000-0000-00009A710000}"/>
    <cellStyle name="Comma 8 2 5 10" xfId="33814" xr:uid="{00000000-0005-0000-0000-00009B710000}"/>
    <cellStyle name="Comma 8 2 5 2" xfId="10360" xr:uid="{00000000-0005-0000-0000-00009C710000}"/>
    <cellStyle name="Comma 8 2 5 2 2" xfId="26160" xr:uid="{00000000-0005-0000-0000-00009D710000}"/>
    <cellStyle name="Comma 8 2 5 2 2 2" xfId="45587" xr:uid="{00000000-0005-0000-0000-00009E710000}"/>
    <cellStyle name="Comma 8 2 5 2 2 3" xfId="39164" xr:uid="{00000000-0005-0000-0000-00009F710000}"/>
    <cellStyle name="Comma 8 2 5 2 3" xfId="28338" xr:uid="{00000000-0005-0000-0000-0000A0710000}"/>
    <cellStyle name="Comma 8 2 5 2 3 2" xfId="42380" xr:uid="{00000000-0005-0000-0000-0000A1710000}"/>
    <cellStyle name="Comma 8 2 5 2 4" xfId="31673" xr:uid="{00000000-0005-0000-0000-0000A2710000}"/>
    <cellStyle name="Comma 8 2 5 2 5" xfId="35956" xr:uid="{00000000-0005-0000-0000-0000A3710000}"/>
    <cellStyle name="Comma 8 2 5 3" xfId="16068" xr:uid="{00000000-0005-0000-0000-0000A4710000}"/>
    <cellStyle name="Comma 8 2 5 3 2" xfId="25083" xr:uid="{00000000-0005-0000-0000-0000A5710000}"/>
    <cellStyle name="Comma 8 2 5 3 2 2" xfId="44512" xr:uid="{00000000-0005-0000-0000-0000A6710000}"/>
    <cellStyle name="Comma 8 2 5 3 2 3" xfId="38089" xr:uid="{00000000-0005-0000-0000-0000A7710000}"/>
    <cellStyle name="Comma 8 2 5 3 3" xfId="29404" xr:uid="{00000000-0005-0000-0000-0000A8710000}"/>
    <cellStyle name="Comma 8 2 5 3 3 2" xfId="41305" xr:uid="{00000000-0005-0000-0000-0000A9710000}"/>
    <cellStyle name="Comma 8 2 5 3 4" xfId="32739" xr:uid="{00000000-0005-0000-0000-0000AA710000}"/>
    <cellStyle name="Comma 8 2 5 3 5" xfId="34881" xr:uid="{00000000-0005-0000-0000-0000AB710000}"/>
    <cellStyle name="Comma 8 2 5 4" xfId="8886" xr:uid="{00000000-0005-0000-0000-0000AC710000}"/>
    <cellStyle name="Comma 8 2 5 4 2" xfId="43445" xr:uid="{00000000-0005-0000-0000-0000AD710000}"/>
    <cellStyle name="Comma 8 2 5 4 3" xfId="37021" xr:uid="{00000000-0005-0000-0000-0000AE710000}"/>
    <cellStyle name="Comma 8 2 5 5" xfId="21875" xr:uid="{00000000-0005-0000-0000-0000AF710000}"/>
    <cellStyle name="Comma 8 2 5 5 2" xfId="40238" xr:uid="{00000000-0005-0000-0000-0000B0710000}"/>
    <cellStyle name="Comma 8 2 5 6" xfId="22949" xr:uid="{00000000-0005-0000-0000-0000B1710000}"/>
    <cellStyle name="Comma 8 2 5 7" xfId="24016" xr:uid="{00000000-0005-0000-0000-0000B2710000}"/>
    <cellStyle name="Comma 8 2 5 8" xfId="27270" xr:uid="{00000000-0005-0000-0000-0000B3710000}"/>
    <cellStyle name="Comma 8 2 5 9" xfId="30603" xr:uid="{00000000-0005-0000-0000-0000B4710000}"/>
    <cellStyle name="Comma 8 2 6" xfId="10356" xr:uid="{00000000-0005-0000-0000-0000B5710000}"/>
    <cellStyle name="Comma 8 2 6 2" xfId="26156" xr:uid="{00000000-0005-0000-0000-0000B6710000}"/>
    <cellStyle name="Comma 8 2 6 2 2" xfId="45583" xr:uid="{00000000-0005-0000-0000-0000B7710000}"/>
    <cellStyle name="Comma 8 2 6 2 3" xfId="39160" xr:uid="{00000000-0005-0000-0000-0000B8710000}"/>
    <cellStyle name="Comma 8 2 6 3" xfId="28334" xr:uid="{00000000-0005-0000-0000-0000B9710000}"/>
    <cellStyle name="Comma 8 2 6 3 2" xfId="42376" xr:uid="{00000000-0005-0000-0000-0000BA710000}"/>
    <cellStyle name="Comma 8 2 6 4" xfId="31669" xr:uid="{00000000-0005-0000-0000-0000BB710000}"/>
    <cellStyle name="Comma 8 2 6 5" xfId="35952" xr:uid="{00000000-0005-0000-0000-0000BC710000}"/>
    <cellStyle name="Comma 8 2 7" xfId="16064" xr:uid="{00000000-0005-0000-0000-0000BD710000}"/>
    <cellStyle name="Comma 8 2 7 2" xfId="25079" xr:uid="{00000000-0005-0000-0000-0000BE710000}"/>
    <cellStyle name="Comma 8 2 7 2 2" xfId="44508" xr:uid="{00000000-0005-0000-0000-0000BF710000}"/>
    <cellStyle name="Comma 8 2 7 2 3" xfId="38085" xr:uid="{00000000-0005-0000-0000-0000C0710000}"/>
    <cellStyle name="Comma 8 2 7 3" xfId="29400" xr:uid="{00000000-0005-0000-0000-0000C1710000}"/>
    <cellStyle name="Comma 8 2 7 3 2" xfId="41301" xr:uid="{00000000-0005-0000-0000-0000C2710000}"/>
    <cellStyle name="Comma 8 2 7 4" xfId="32735" xr:uid="{00000000-0005-0000-0000-0000C3710000}"/>
    <cellStyle name="Comma 8 2 7 5" xfId="34877" xr:uid="{00000000-0005-0000-0000-0000C4710000}"/>
    <cellStyle name="Comma 8 2 8" xfId="8882" xr:uid="{00000000-0005-0000-0000-0000C5710000}"/>
    <cellStyle name="Comma 8 2 8 2" xfId="43441" xr:uid="{00000000-0005-0000-0000-0000C6710000}"/>
    <cellStyle name="Comma 8 2 8 3" xfId="37017" xr:uid="{00000000-0005-0000-0000-0000C7710000}"/>
    <cellStyle name="Comma 8 2 9" xfId="21871" xr:uid="{00000000-0005-0000-0000-0000C8710000}"/>
    <cellStyle name="Comma 8 2 9 2" xfId="40234" xr:uid="{00000000-0005-0000-0000-0000C9710000}"/>
    <cellStyle name="Comma 8 3" xfId="1592" xr:uid="{00000000-0005-0000-0000-0000CA710000}"/>
    <cellStyle name="Comma 8 3 10" xfId="22950" xr:uid="{00000000-0005-0000-0000-0000CB710000}"/>
    <cellStyle name="Comma 8 3 11" xfId="24017" xr:uid="{00000000-0005-0000-0000-0000CC710000}"/>
    <cellStyle name="Comma 8 3 12" xfId="27271" xr:uid="{00000000-0005-0000-0000-0000CD710000}"/>
    <cellStyle name="Comma 8 3 13" xfId="30604" xr:uid="{00000000-0005-0000-0000-0000CE710000}"/>
    <cellStyle name="Comma 8 3 14" xfId="33815" xr:uid="{00000000-0005-0000-0000-0000CF710000}"/>
    <cellStyle name="Comma 8 3 2" xfId="1593" xr:uid="{00000000-0005-0000-0000-0000D0710000}"/>
    <cellStyle name="Comma 8 3 2 10" xfId="33816" xr:uid="{00000000-0005-0000-0000-0000D1710000}"/>
    <cellStyle name="Comma 8 3 2 2" xfId="10362" xr:uid="{00000000-0005-0000-0000-0000D2710000}"/>
    <cellStyle name="Comma 8 3 2 2 2" xfId="26162" xr:uid="{00000000-0005-0000-0000-0000D3710000}"/>
    <cellStyle name="Comma 8 3 2 2 2 2" xfId="45589" xr:uid="{00000000-0005-0000-0000-0000D4710000}"/>
    <cellStyle name="Comma 8 3 2 2 2 3" xfId="39166" xr:uid="{00000000-0005-0000-0000-0000D5710000}"/>
    <cellStyle name="Comma 8 3 2 2 3" xfId="28340" xr:uid="{00000000-0005-0000-0000-0000D6710000}"/>
    <cellStyle name="Comma 8 3 2 2 3 2" xfId="42382" xr:uid="{00000000-0005-0000-0000-0000D7710000}"/>
    <cellStyle name="Comma 8 3 2 2 4" xfId="31675" xr:uid="{00000000-0005-0000-0000-0000D8710000}"/>
    <cellStyle name="Comma 8 3 2 2 5" xfId="35958" xr:uid="{00000000-0005-0000-0000-0000D9710000}"/>
    <cellStyle name="Comma 8 3 2 3" xfId="16070" xr:uid="{00000000-0005-0000-0000-0000DA710000}"/>
    <cellStyle name="Comma 8 3 2 3 2" xfId="25085" xr:uid="{00000000-0005-0000-0000-0000DB710000}"/>
    <cellStyle name="Comma 8 3 2 3 2 2" xfId="44514" xr:uid="{00000000-0005-0000-0000-0000DC710000}"/>
    <cellStyle name="Comma 8 3 2 3 2 3" xfId="38091" xr:uid="{00000000-0005-0000-0000-0000DD710000}"/>
    <cellStyle name="Comma 8 3 2 3 3" xfId="29406" xr:uid="{00000000-0005-0000-0000-0000DE710000}"/>
    <cellStyle name="Comma 8 3 2 3 3 2" xfId="41307" xr:uid="{00000000-0005-0000-0000-0000DF710000}"/>
    <cellStyle name="Comma 8 3 2 3 4" xfId="32741" xr:uid="{00000000-0005-0000-0000-0000E0710000}"/>
    <cellStyle name="Comma 8 3 2 3 5" xfId="34883" xr:uid="{00000000-0005-0000-0000-0000E1710000}"/>
    <cellStyle name="Comma 8 3 2 4" xfId="8888" xr:uid="{00000000-0005-0000-0000-0000E2710000}"/>
    <cellStyle name="Comma 8 3 2 4 2" xfId="43447" xr:uid="{00000000-0005-0000-0000-0000E3710000}"/>
    <cellStyle name="Comma 8 3 2 4 3" xfId="37023" xr:uid="{00000000-0005-0000-0000-0000E4710000}"/>
    <cellStyle name="Comma 8 3 2 5" xfId="21877" xr:uid="{00000000-0005-0000-0000-0000E5710000}"/>
    <cellStyle name="Comma 8 3 2 5 2" xfId="40240" xr:uid="{00000000-0005-0000-0000-0000E6710000}"/>
    <cellStyle name="Comma 8 3 2 6" xfId="22951" xr:uid="{00000000-0005-0000-0000-0000E7710000}"/>
    <cellStyle name="Comma 8 3 2 7" xfId="24018" xr:uid="{00000000-0005-0000-0000-0000E8710000}"/>
    <cellStyle name="Comma 8 3 2 8" xfId="27272" xr:uid="{00000000-0005-0000-0000-0000E9710000}"/>
    <cellStyle name="Comma 8 3 2 9" xfId="30605" xr:uid="{00000000-0005-0000-0000-0000EA710000}"/>
    <cellStyle name="Comma 8 3 3" xfId="1594" xr:uid="{00000000-0005-0000-0000-0000EB710000}"/>
    <cellStyle name="Comma 8 3 3 10" xfId="33817" xr:uid="{00000000-0005-0000-0000-0000EC710000}"/>
    <cellStyle name="Comma 8 3 3 2" xfId="10363" xr:uid="{00000000-0005-0000-0000-0000ED710000}"/>
    <cellStyle name="Comma 8 3 3 2 2" xfId="26163" xr:uid="{00000000-0005-0000-0000-0000EE710000}"/>
    <cellStyle name="Comma 8 3 3 2 2 2" xfId="45590" xr:uid="{00000000-0005-0000-0000-0000EF710000}"/>
    <cellStyle name="Comma 8 3 3 2 2 3" xfId="39167" xr:uid="{00000000-0005-0000-0000-0000F0710000}"/>
    <cellStyle name="Comma 8 3 3 2 3" xfId="28341" xr:uid="{00000000-0005-0000-0000-0000F1710000}"/>
    <cellStyle name="Comma 8 3 3 2 3 2" xfId="42383" xr:uid="{00000000-0005-0000-0000-0000F2710000}"/>
    <cellStyle name="Comma 8 3 3 2 4" xfId="31676" xr:uid="{00000000-0005-0000-0000-0000F3710000}"/>
    <cellStyle name="Comma 8 3 3 2 5" xfId="35959" xr:uid="{00000000-0005-0000-0000-0000F4710000}"/>
    <cellStyle name="Comma 8 3 3 3" xfId="16071" xr:uid="{00000000-0005-0000-0000-0000F5710000}"/>
    <cellStyle name="Comma 8 3 3 3 2" xfId="25086" xr:uid="{00000000-0005-0000-0000-0000F6710000}"/>
    <cellStyle name="Comma 8 3 3 3 2 2" xfId="44515" xr:uid="{00000000-0005-0000-0000-0000F7710000}"/>
    <cellStyle name="Comma 8 3 3 3 2 3" xfId="38092" xr:uid="{00000000-0005-0000-0000-0000F8710000}"/>
    <cellStyle name="Comma 8 3 3 3 3" xfId="29407" xr:uid="{00000000-0005-0000-0000-0000F9710000}"/>
    <cellStyle name="Comma 8 3 3 3 3 2" xfId="41308" xr:uid="{00000000-0005-0000-0000-0000FA710000}"/>
    <cellStyle name="Comma 8 3 3 3 4" xfId="32742" xr:uid="{00000000-0005-0000-0000-0000FB710000}"/>
    <cellStyle name="Comma 8 3 3 3 5" xfId="34884" xr:uid="{00000000-0005-0000-0000-0000FC710000}"/>
    <cellStyle name="Comma 8 3 3 4" xfId="8889" xr:uid="{00000000-0005-0000-0000-0000FD710000}"/>
    <cellStyle name="Comma 8 3 3 4 2" xfId="43448" xr:uid="{00000000-0005-0000-0000-0000FE710000}"/>
    <cellStyle name="Comma 8 3 3 4 3" xfId="37024" xr:uid="{00000000-0005-0000-0000-0000FF710000}"/>
    <cellStyle name="Comma 8 3 3 5" xfId="21878" xr:uid="{00000000-0005-0000-0000-000000720000}"/>
    <cellStyle name="Comma 8 3 3 5 2" xfId="40241" xr:uid="{00000000-0005-0000-0000-000001720000}"/>
    <cellStyle name="Comma 8 3 3 6" xfId="22952" xr:uid="{00000000-0005-0000-0000-000002720000}"/>
    <cellStyle name="Comma 8 3 3 7" xfId="24019" xr:uid="{00000000-0005-0000-0000-000003720000}"/>
    <cellStyle name="Comma 8 3 3 8" xfId="27273" xr:uid="{00000000-0005-0000-0000-000004720000}"/>
    <cellStyle name="Comma 8 3 3 9" xfId="30606" xr:uid="{00000000-0005-0000-0000-000005720000}"/>
    <cellStyle name="Comma 8 3 4" xfId="1595" xr:uid="{00000000-0005-0000-0000-000006720000}"/>
    <cellStyle name="Comma 8 3 4 10" xfId="33818" xr:uid="{00000000-0005-0000-0000-000007720000}"/>
    <cellStyle name="Comma 8 3 4 2" xfId="10364" xr:uid="{00000000-0005-0000-0000-000008720000}"/>
    <cellStyle name="Comma 8 3 4 2 2" xfId="26164" xr:uid="{00000000-0005-0000-0000-000009720000}"/>
    <cellStyle name="Comma 8 3 4 2 2 2" xfId="45591" xr:uid="{00000000-0005-0000-0000-00000A720000}"/>
    <cellStyle name="Comma 8 3 4 2 2 3" xfId="39168" xr:uid="{00000000-0005-0000-0000-00000B720000}"/>
    <cellStyle name="Comma 8 3 4 2 3" xfId="28342" xr:uid="{00000000-0005-0000-0000-00000C720000}"/>
    <cellStyle name="Comma 8 3 4 2 3 2" xfId="42384" xr:uid="{00000000-0005-0000-0000-00000D720000}"/>
    <cellStyle name="Comma 8 3 4 2 4" xfId="31677" xr:uid="{00000000-0005-0000-0000-00000E720000}"/>
    <cellStyle name="Comma 8 3 4 2 5" xfId="35960" xr:uid="{00000000-0005-0000-0000-00000F720000}"/>
    <cellStyle name="Comma 8 3 4 3" xfId="16072" xr:uid="{00000000-0005-0000-0000-000010720000}"/>
    <cellStyle name="Comma 8 3 4 3 2" xfId="25087" xr:uid="{00000000-0005-0000-0000-000011720000}"/>
    <cellStyle name="Comma 8 3 4 3 2 2" xfId="44516" xr:uid="{00000000-0005-0000-0000-000012720000}"/>
    <cellStyle name="Comma 8 3 4 3 2 3" xfId="38093" xr:uid="{00000000-0005-0000-0000-000013720000}"/>
    <cellStyle name="Comma 8 3 4 3 3" xfId="29408" xr:uid="{00000000-0005-0000-0000-000014720000}"/>
    <cellStyle name="Comma 8 3 4 3 3 2" xfId="41309" xr:uid="{00000000-0005-0000-0000-000015720000}"/>
    <cellStyle name="Comma 8 3 4 3 4" xfId="32743" xr:uid="{00000000-0005-0000-0000-000016720000}"/>
    <cellStyle name="Comma 8 3 4 3 5" xfId="34885" xr:uid="{00000000-0005-0000-0000-000017720000}"/>
    <cellStyle name="Comma 8 3 4 4" xfId="8890" xr:uid="{00000000-0005-0000-0000-000018720000}"/>
    <cellStyle name="Comma 8 3 4 4 2" xfId="43449" xr:uid="{00000000-0005-0000-0000-000019720000}"/>
    <cellStyle name="Comma 8 3 4 4 3" xfId="37025" xr:uid="{00000000-0005-0000-0000-00001A720000}"/>
    <cellStyle name="Comma 8 3 4 5" xfId="21879" xr:uid="{00000000-0005-0000-0000-00001B720000}"/>
    <cellStyle name="Comma 8 3 4 5 2" xfId="40242" xr:uid="{00000000-0005-0000-0000-00001C720000}"/>
    <cellStyle name="Comma 8 3 4 6" xfId="22953" xr:uid="{00000000-0005-0000-0000-00001D720000}"/>
    <cellStyle name="Comma 8 3 4 7" xfId="24020" xr:uid="{00000000-0005-0000-0000-00001E720000}"/>
    <cellStyle name="Comma 8 3 4 8" xfId="27274" xr:uid="{00000000-0005-0000-0000-00001F720000}"/>
    <cellStyle name="Comma 8 3 4 9" xfId="30607" xr:uid="{00000000-0005-0000-0000-000020720000}"/>
    <cellStyle name="Comma 8 3 5" xfId="1596" xr:uid="{00000000-0005-0000-0000-000021720000}"/>
    <cellStyle name="Comma 8 3 5 10" xfId="33819" xr:uid="{00000000-0005-0000-0000-000022720000}"/>
    <cellStyle name="Comma 8 3 5 2" xfId="10365" xr:uid="{00000000-0005-0000-0000-000023720000}"/>
    <cellStyle name="Comma 8 3 5 2 2" xfId="26165" xr:uid="{00000000-0005-0000-0000-000024720000}"/>
    <cellStyle name="Comma 8 3 5 2 2 2" xfId="45592" xr:uid="{00000000-0005-0000-0000-000025720000}"/>
    <cellStyle name="Comma 8 3 5 2 2 3" xfId="39169" xr:uid="{00000000-0005-0000-0000-000026720000}"/>
    <cellStyle name="Comma 8 3 5 2 3" xfId="28343" xr:uid="{00000000-0005-0000-0000-000027720000}"/>
    <cellStyle name="Comma 8 3 5 2 3 2" xfId="42385" xr:uid="{00000000-0005-0000-0000-000028720000}"/>
    <cellStyle name="Comma 8 3 5 2 4" xfId="31678" xr:uid="{00000000-0005-0000-0000-000029720000}"/>
    <cellStyle name="Comma 8 3 5 2 5" xfId="35961" xr:uid="{00000000-0005-0000-0000-00002A720000}"/>
    <cellStyle name="Comma 8 3 5 3" xfId="16073" xr:uid="{00000000-0005-0000-0000-00002B720000}"/>
    <cellStyle name="Comma 8 3 5 3 2" xfId="25088" xr:uid="{00000000-0005-0000-0000-00002C720000}"/>
    <cellStyle name="Comma 8 3 5 3 2 2" xfId="44517" xr:uid="{00000000-0005-0000-0000-00002D720000}"/>
    <cellStyle name="Comma 8 3 5 3 2 3" xfId="38094" xr:uid="{00000000-0005-0000-0000-00002E720000}"/>
    <cellStyle name="Comma 8 3 5 3 3" xfId="29409" xr:uid="{00000000-0005-0000-0000-00002F720000}"/>
    <cellStyle name="Comma 8 3 5 3 3 2" xfId="41310" xr:uid="{00000000-0005-0000-0000-000030720000}"/>
    <cellStyle name="Comma 8 3 5 3 4" xfId="32744" xr:uid="{00000000-0005-0000-0000-000031720000}"/>
    <cellStyle name="Comma 8 3 5 3 5" xfId="34886" xr:uid="{00000000-0005-0000-0000-000032720000}"/>
    <cellStyle name="Comma 8 3 5 4" xfId="8891" xr:uid="{00000000-0005-0000-0000-000033720000}"/>
    <cellStyle name="Comma 8 3 5 4 2" xfId="43450" xr:uid="{00000000-0005-0000-0000-000034720000}"/>
    <cellStyle name="Comma 8 3 5 4 3" xfId="37026" xr:uid="{00000000-0005-0000-0000-000035720000}"/>
    <cellStyle name="Comma 8 3 5 5" xfId="21880" xr:uid="{00000000-0005-0000-0000-000036720000}"/>
    <cellStyle name="Comma 8 3 5 5 2" xfId="40243" xr:uid="{00000000-0005-0000-0000-000037720000}"/>
    <cellStyle name="Comma 8 3 5 6" xfId="22954" xr:uid="{00000000-0005-0000-0000-000038720000}"/>
    <cellStyle name="Comma 8 3 5 7" xfId="24021" xr:uid="{00000000-0005-0000-0000-000039720000}"/>
    <cellStyle name="Comma 8 3 5 8" xfId="27275" xr:uid="{00000000-0005-0000-0000-00003A720000}"/>
    <cellStyle name="Comma 8 3 5 9" xfId="30608" xr:uid="{00000000-0005-0000-0000-00003B720000}"/>
    <cellStyle name="Comma 8 3 6" xfId="10361" xr:uid="{00000000-0005-0000-0000-00003C720000}"/>
    <cellStyle name="Comma 8 3 6 2" xfId="26161" xr:uid="{00000000-0005-0000-0000-00003D720000}"/>
    <cellStyle name="Comma 8 3 6 2 2" xfId="45588" xr:uid="{00000000-0005-0000-0000-00003E720000}"/>
    <cellStyle name="Comma 8 3 6 2 3" xfId="39165" xr:uid="{00000000-0005-0000-0000-00003F720000}"/>
    <cellStyle name="Comma 8 3 6 3" xfId="28339" xr:uid="{00000000-0005-0000-0000-000040720000}"/>
    <cellStyle name="Comma 8 3 6 3 2" xfId="42381" xr:uid="{00000000-0005-0000-0000-000041720000}"/>
    <cellStyle name="Comma 8 3 6 4" xfId="31674" xr:uid="{00000000-0005-0000-0000-000042720000}"/>
    <cellStyle name="Comma 8 3 6 5" xfId="35957" xr:uid="{00000000-0005-0000-0000-000043720000}"/>
    <cellStyle name="Comma 8 3 7" xfId="16069" xr:uid="{00000000-0005-0000-0000-000044720000}"/>
    <cellStyle name="Comma 8 3 7 2" xfId="25084" xr:uid="{00000000-0005-0000-0000-000045720000}"/>
    <cellStyle name="Comma 8 3 7 2 2" xfId="44513" xr:uid="{00000000-0005-0000-0000-000046720000}"/>
    <cellStyle name="Comma 8 3 7 2 3" xfId="38090" xr:uid="{00000000-0005-0000-0000-000047720000}"/>
    <cellStyle name="Comma 8 3 7 3" xfId="29405" xr:uid="{00000000-0005-0000-0000-000048720000}"/>
    <cellStyle name="Comma 8 3 7 3 2" xfId="41306" xr:uid="{00000000-0005-0000-0000-000049720000}"/>
    <cellStyle name="Comma 8 3 7 4" xfId="32740" xr:uid="{00000000-0005-0000-0000-00004A720000}"/>
    <cellStyle name="Comma 8 3 7 5" xfId="34882" xr:uid="{00000000-0005-0000-0000-00004B720000}"/>
    <cellStyle name="Comma 8 3 8" xfId="8887" xr:uid="{00000000-0005-0000-0000-00004C720000}"/>
    <cellStyle name="Comma 8 3 8 2" xfId="43446" xr:uid="{00000000-0005-0000-0000-00004D720000}"/>
    <cellStyle name="Comma 8 3 8 3" xfId="37022" xr:uid="{00000000-0005-0000-0000-00004E720000}"/>
    <cellStyle name="Comma 8 3 9" xfId="21876" xr:uid="{00000000-0005-0000-0000-00004F720000}"/>
    <cellStyle name="Comma 8 3 9 2" xfId="40239" xr:uid="{00000000-0005-0000-0000-000050720000}"/>
    <cellStyle name="Comma 8 4" xfId="1597" xr:uid="{00000000-0005-0000-0000-000051720000}"/>
    <cellStyle name="Comma 8 4 10" xfId="33820" xr:uid="{00000000-0005-0000-0000-000052720000}"/>
    <cellStyle name="Comma 8 4 2" xfId="10366" xr:uid="{00000000-0005-0000-0000-000053720000}"/>
    <cellStyle name="Comma 8 4 2 2" xfId="26166" xr:uid="{00000000-0005-0000-0000-000054720000}"/>
    <cellStyle name="Comma 8 4 2 2 2" xfId="45593" xr:uid="{00000000-0005-0000-0000-000055720000}"/>
    <cellStyle name="Comma 8 4 2 2 3" xfId="39170" xr:uid="{00000000-0005-0000-0000-000056720000}"/>
    <cellStyle name="Comma 8 4 2 3" xfId="28344" xr:uid="{00000000-0005-0000-0000-000057720000}"/>
    <cellStyle name="Comma 8 4 2 3 2" xfId="42386" xr:uid="{00000000-0005-0000-0000-000058720000}"/>
    <cellStyle name="Comma 8 4 2 4" xfId="31679" xr:uid="{00000000-0005-0000-0000-000059720000}"/>
    <cellStyle name="Comma 8 4 2 5" xfId="35962" xr:uid="{00000000-0005-0000-0000-00005A720000}"/>
    <cellStyle name="Comma 8 4 3" xfId="16074" xr:uid="{00000000-0005-0000-0000-00005B720000}"/>
    <cellStyle name="Comma 8 4 3 2" xfId="25089" xr:uid="{00000000-0005-0000-0000-00005C720000}"/>
    <cellStyle name="Comma 8 4 3 2 2" xfId="44518" xr:uid="{00000000-0005-0000-0000-00005D720000}"/>
    <cellStyle name="Comma 8 4 3 2 3" xfId="38095" xr:uid="{00000000-0005-0000-0000-00005E720000}"/>
    <cellStyle name="Comma 8 4 3 3" xfId="29410" xr:uid="{00000000-0005-0000-0000-00005F720000}"/>
    <cellStyle name="Comma 8 4 3 3 2" xfId="41311" xr:uid="{00000000-0005-0000-0000-000060720000}"/>
    <cellStyle name="Comma 8 4 3 4" xfId="32745" xr:uid="{00000000-0005-0000-0000-000061720000}"/>
    <cellStyle name="Comma 8 4 3 5" xfId="34887" xr:uid="{00000000-0005-0000-0000-000062720000}"/>
    <cellStyle name="Comma 8 4 4" xfId="8892" xr:uid="{00000000-0005-0000-0000-000063720000}"/>
    <cellStyle name="Comma 8 4 4 2" xfId="43451" xr:uid="{00000000-0005-0000-0000-000064720000}"/>
    <cellStyle name="Comma 8 4 4 3" xfId="37027" xr:uid="{00000000-0005-0000-0000-000065720000}"/>
    <cellStyle name="Comma 8 4 5" xfId="21881" xr:uid="{00000000-0005-0000-0000-000066720000}"/>
    <cellStyle name="Comma 8 4 5 2" xfId="40244" xr:uid="{00000000-0005-0000-0000-000067720000}"/>
    <cellStyle name="Comma 8 4 6" xfId="22955" xr:uid="{00000000-0005-0000-0000-000068720000}"/>
    <cellStyle name="Comma 8 4 7" xfId="24022" xr:uid="{00000000-0005-0000-0000-000069720000}"/>
    <cellStyle name="Comma 8 4 8" xfId="27276" xr:uid="{00000000-0005-0000-0000-00006A720000}"/>
    <cellStyle name="Comma 8 4 9" xfId="30609" xr:uid="{00000000-0005-0000-0000-00006B720000}"/>
    <cellStyle name="Comma 8 5" xfId="1598" xr:uid="{00000000-0005-0000-0000-00006C720000}"/>
    <cellStyle name="Comma 8 5 10" xfId="33821" xr:uid="{00000000-0005-0000-0000-00006D720000}"/>
    <cellStyle name="Comma 8 5 2" xfId="10367" xr:uid="{00000000-0005-0000-0000-00006E720000}"/>
    <cellStyle name="Comma 8 5 2 2" xfId="26167" xr:uid="{00000000-0005-0000-0000-00006F720000}"/>
    <cellStyle name="Comma 8 5 2 2 2" xfId="45594" xr:uid="{00000000-0005-0000-0000-000070720000}"/>
    <cellStyle name="Comma 8 5 2 2 3" xfId="39171" xr:uid="{00000000-0005-0000-0000-000071720000}"/>
    <cellStyle name="Comma 8 5 2 3" xfId="28345" xr:uid="{00000000-0005-0000-0000-000072720000}"/>
    <cellStyle name="Comma 8 5 2 3 2" xfId="42387" xr:uid="{00000000-0005-0000-0000-000073720000}"/>
    <cellStyle name="Comma 8 5 2 4" xfId="31680" xr:uid="{00000000-0005-0000-0000-000074720000}"/>
    <cellStyle name="Comma 8 5 2 5" xfId="35963" xr:uid="{00000000-0005-0000-0000-000075720000}"/>
    <cellStyle name="Comma 8 5 3" xfId="16075" xr:uid="{00000000-0005-0000-0000-000076720000}"/>
    <cellStyle name="Comma 8 5 3 2" xfId="25090" xr:uid="{00000000-0005-0000-0000-000077720000}"/>
    <cellStyle name="Comma 8 5 3 2 2" xfId="44519" xr:uid="{00000000-0005-0000-0000-000078720000}"/>
    <cellStyle name="Comma 8 5 3 2 3" xfId="38096" xr:uid="{00000000-0005-0000-0000-000079720000}"/>
    <cellStyle name="Comma 8 5 3 3" xfId="29411" xr:uid="{00000000-0005-0000-0000-00007A720000}"/>
    <cellStyle name="Comma 8 5 3 3 2" xfId="41312" xr:uid="{00000000-0005-0000-0000-00007B720000}"/>
    <cellStyle name="Comma 8 5 3 4" xfId="32746" xr:uid="{00000000-0005-0000-0000-00007C720000}"/>
    <cellStyle name="Comma 8 5 3 5" xfId="34888" xr:uid="{00000000-0005-0000-0000-00007D720000}"/>
    <cellStyle name="Comma 8 5 4" xfId="8893" xr:uid="{00000000-0005-0000-0000-00007E720000}"/>
    <cellStyle name="Comma 8 5 4 2" xfId="43452" xr:uid="{00000000-0005-0000-0000-00007F720000}"/>
    <cellStyle name="Comma 8 5 4 3" xfId="37028" xr:uid="{00000000-0005-0000-0000-000080720000}"/>
    <cellStyle name="Comma 8 5 5" xfId="21882" xr:uid="{00000000-0005-0000-0000-000081720000}"/>
    <cellStyle name="Comma 8 5 5 2" xfId="40245" xr:uid="{00000000-0005-0000-0000-000082720000}"/>
    <cellStyle name="Comma 8 5 6" xfId="22956" xr:uid="{00000000-0005-0000-0000-000083720000}"/>
    <cellStyle name="Comma 8 5 7" xfId="24023" xr:uid="{00000000-0005-0000-0000-000084720000}"/>
    <cellStyle name="Comma 8 5 8" xfId="27277" xr:uid="{00000000-0005-0000-0000-000085720000}"/>
    <cellStyle name="Comma 8 5 9" xfId="30610" xr:uid="{00000000-0005-0000-0000-000086720000}"/>
    <cellStyle name="Comma 8 6" xfId="1599" xr:uid="{00000000-0005-0000-0000-000087720000}"/>
    <cellStyle name="Comma 8 6 10" xfId="33822" xr:uid="{00000000-0005-0000-0000-000088720000}"/>
    <cellStyle name="Comma 8 6 2" xfId="10368" xr:uid="{00000000-0005-0000-0000-000089720000}"/>
    <cellStyle name="Comma 8 6 2 2" xfId="26168" xr:uid="{00000000-0005-0000-0000-00008A720000}"/>
    <cellStyle name="Comma 8 6 2 2 2" xfId="45595" xr:uid="{00000000-0005-0000-0000-00008B720000}"/>
    <cellStyle name="Comma 8 6 2 2 3" xfId="39172" xr:uid="{00000000-0005-0000-0000-00008C720000}"/>
    <cellStyle name="Comma 8 6 2 3" xfId="28346" xr:uid="{00000000-0005-0000-0000-00008D720000}"/>
    <cellStyle name="Comma 8 6 2 3 2" xfId="42388" xr:uid="{00000000-0005-0000-0000-00008E720000}"/>
    <cellStyle name="Comma 8 6 2 4" xfId="31681" xr:uid="{00000000-0005-0000-0000-00008F720000}"/>
    <cellStyle name="Comma 8 6 2 5" xfId="35964" xr:uid="{00000000-0005-0000-0000-000090720000}"/>
    <cellStyle name="Comma 8 6 3" xfId="16076" xr:uid="{00000000-0005-0000-0000-000091720000}"/>
    <cellStyle name="Comma 8 6 3 2" xfId="25091" xr:uid="{00000000-0005-0000-0000-000092720000}"/>
    <cellStyle name="Comma 8 6 3 2 2" xfId="44520" xr:uid="{00000000-0005-0000-0000-000093720000}"/>
    <cellStyle name="Comma 8 6 3 2 3" xfId="38097" xr:uid="{00000000-0005-0000-0000-000094720000}"/>
    <cellStyle name="Comma 8 6 3 3" xfId="29412" xr:uid="{00000000-0005-0000-0000-000095720000}"/>
    <cellStyle name="Comma 8 6 3 3 2" xfId="41313" xr:uid="{00000000-0005-0000-0000-000096720000}"/>
    <cellStyle name="Comma 8 6 3 4" xfId="32747" xr:uid="{00000000-0005-0000-0000-000097720000}"/>
    <cellStyle name="Comma 8 6 3 5" xfId="34889" xr:uid="{00000000-0005-0000-0000-000098720000}"/>
    <cellStyle name="Comma 8 6 4" xfId="8894" xr:uid="{00000000-0005-0000-0000-000099720000}"/>
    <cellStyle name="Comma 8 6 4 2" xfId="43453" xr:uid="{00000000-0005-0000-0000-00009A720000}"/>
    <cellStyle name="Comma 8 6 4 3" xfId="37029" xr:uid="{00000000-0005-0000-0000-00009B720000}"/>
    <cellStyle name="Comma 8 6 5" xfId="21883" xr:uid="{00000000-0005-0000-0000-00009C720000}"/>
    <cellStyle name="Comma 8 6 5 2" xfId="40246" xr:uid="{00000000-0005-0000-0000-00009D720000}"/>
    <cellStyle name="Comma 8 6 6" xfId="22957" xr:uid="{00000000-0005-0000-0000-00009E720000}"/>
    <cellStyle name="Comma 8 6 7" xfId="24024" xr:uid="{00000000-0005-0000-0000-00009F720000}"/>
    <cellStyle name="Comma 8 6 8" xfId="27278" xr:uid="{00000000-0005-0000-0000-0000A0720000}"/>
    <cellStyle name="Comma 8 6 9" xfId="30611" xr:uid="{00000000-0005-0000-0000-0000A1720000}"/>
    <cellStyle name="Comma 8 7" xfId="1600" xr:uid="{00000000-0005-0000-0000-0000A2720000}"/>
    <cellStyle name="Comma 8 7 10" xfId="33823" xr:uid="{00000000-0005-0000-0000-0000A3720000}"/>
    <cellStyle name="Comma 8 7 2" xfId="10369" xr:uid="{00000000-0005-0000-0000-0000A4720000}"/>
    <cellStyle name="Comma 8 7 2 2" xfId="26169" xr:uid="{00000000-0005-0000-0000-0000A5720000}"/>
    <cellStyle name="Comma 8 7 2 2 2" xfId="45596" xr:uid="{00000000-0005-0000-0000-0000A6720000}"/>
    <cellStyle name="Comma 8 7 2 2 3" xfId="39173" xr:uid="{00000000-0005-0000-0000-0000A7720000}"/>
    <cellStyle name="Comma 8 7 2 3" xfId="28347" xr:uid="{00000000-0005-0000-0000-0000A8720000}"/>
    <cellStyle name="Comma 8 7 2 3 2" xfId="42389" xr:uid="{00000000-0005-0000-0000-0000A9720000}"/>
    <cellStyle name="Comma 8 7 2 4" xfId="31682" xr:uid="{00000000-0005-0000-0000-0000AA720000}"/>
    <cellStyle name="Comma 8 7 2 5" xfId="35965" xr:uid="{00000000-0005-0000-0000-0000AB720000}"/>
    <cellStyle name="Comma 8 7 3" xfId="16077" xr:uid="{00000000-0005-0000-0000-0000AC720000}"/>
    <cellStyle name="Comma 8 7 3 2" xfId="25092" xr:uid="{00000000-0005-0000-0000-0000AD720000}"/>
    <cellStyle name="Comma 8 7 3 2 2" xfId="44521" xr:uid="{00000000-0005-0000-0000-0000AE720000}"/>
    <cellStyle name="Comma 8 7 3 2 3" xfId="38098" xr:uid="{00000000-0005-0000-0000-0000AF720000}"/>
    <cellStyle name="Comma 8 7 3 3" xfId="29413" xr:uid="{00000000-0005-0000-0000-0000B0720000}"/>
    <cellStyle name="Comma 8 7 3 3 2" xfId="41314" xr:uid="{00000000-0005-0000-0000-0000B1720000}"/>
    <cellStyle name="Comma 8 7 3 4" xfId="32748" xr:uid="{00000000-0005-0000-0000-0000B2720000}"/>
    <cellStyle name="Comma 8 7 3 5" xfId="34890" xr:uid="{00000000-0005-0000-0000-0000B3720000}"/>
    <cellStyle name="Comma 8 7 4" xfId="8895" xr:uid="{00000000-0005-0000-0000-0000B4720000}"/>
    <cellStyle name="Comma 8 7 4 2" xfId="43454" xr:uid="{00000000-0005-0000-0000-0000B5720000}"/>
    <cellStyle name="Comma 8 7 4 3" xfId="37030" xr:uid="{00000000-0005-0000-0000-0000B6720000}"/>
    <cellStyle name="Comma 8 7 5" xfId="21884" xr:uid="{00000000-0005-0000-0000-0000B7720000}"/>
    <cellStyle name="Comma 8 7 5 2" xfId="40247" xr:uid="{00000000-0005-0000-0000-0000B8720000}"/>
    <cellStyle name="Comma 8 7 6" xfId="22958" xr:uid="{00000000-0005-0000-0000-0000B9720000}"/>
    <cellStyle name="Comma 8 7 7" xfId="24025" xr:uid="{00000000-0005-0000-0000-0000BA720000}"/>
    <cellStyle name="Comma 8 7 8" xfId="27279" xr:uid="{00000000-0005-0000-0000-0000BB720000}"/>
    <cellStyle name="Comma 8 7 9" xfId="30612" xr:uid="{00000000-0005-0000-0000-0000BC720000}"/>
    <cellStyle name="Comma 8 8" xfId="1601" xr:uid="{00000000-0005-0000-0000-0000BD720000}"/>
    <cellStyle name="Comma 8 8 10" xfId="33824" xr:uid="{00000000-0005-0000-0000-0000BE720000}"/>
    <cellStyle name="Comma 8 8 2" xfId="10370" xr:uid="{00000000-0005-0000-0000-0000BF720000}"/>
    <cellStyle name="Comma 8 8 2 2" xfId="26170" xr:uid="{00000000-0005-0000-0000-0000C0720000}"/>
    <cellStyle name="Comma 8 8 2 2 2" xfId="45597" xr:uid="{00000000-0005-0000-0000-0000C1720000}"/>
    <cellStyle name="Comma 8 8 2 2 3" xfId="39174" xr:uid="{00000000-0005-0000-0000-0000C2720000}"/>
    <cellStyle name="Comma 8 8 2 3" xfId="28348" xr:uid="{00000000-0005-0000-0000-0000C3720000}"/>
    <cellStyle name="Comma 8 8 2 3 2" xfId="42390" xr:uid="{00000000-0005-0000-0000-0000C4720000}"/>
    <cellStyle name="Comma 8 8 2 4" xfId="31683" xr:uid="{00000000-0005-0000-0000-0000C5720000}"/>
    <cellStyle name="Comma 8 8 2 5" xfId="35966" xr:uid="{00000000-0005-0000-0000-0000C6720000}"/>
    <cellStyle name="Comma 8 8 3" xfId="16078" xr:uid="{00000000-0005-0000-0000-0000C7720000}"/>
    <cellStyle name="Comma 8 8 3 2" xfId="25093" xr:uid="{00000000-0005-0000-0000-0000C8720000}"/>
    <cellStyle name="Comma 8 8 3 2 2" xfId="44522" xr:uid="{00000000-0005-0000-0000-0000C9720000}"/>
    <cellStyle name="Comma 8 8 3 2 3" xfId="38099" xr:uid="{00000000-0005-0000-0000-0000CA720000}"/>
    <cellStyle name="Comma 8 8 3 3" xfId="29414" xr:uid="{00000000-0005-0000-0000-0000CB720000}"/>
    <cellStyle name="Comma 8 8 3 3 2" xfId="41315" xr:uid="{00000000-0005-0000-0000-0000CC720000}"/>
    <cellStyle name="Comma 8 8 3 4" xfId="32749" xr:uid="{00000000-0005-0000-0000-0000CD720000}"/>
    <cellStyle name="Comma 8 8 3 5" xfId="34891" xr:uid="{00000000-0005-0000-0000-0000CE720000}"/>
    <cellStyle name="Comma 8 8 4" xfId="8896" xr:uid="{00000000-0005-0000-0000-0000CF720000}"/>
    <cellStyle name="Comma 8 8 4 2" xfId="43455" xr:uid="{00000000-0005-0000-0000-0000D0720000}"/>
    <cellStyle name="Comma 8 8 4 3" xfId="37031" xr:uid="{00000000-0005-0000-0000-0000D1720000}"/>
    <cellStyle name="Comma 8 8 5" xfId="21885" xr:uid="{00000000-0005-0000-0000-0000D2720000}"/>
    <cellStyle name="Comma 8 8 5 2" xfId="40248" xr:uid="{00000000-0005-0000-0000-0000D3720000}"/>
    <cellStyle name="Comma 8 8 6" xfId="22959" xr:uid="{00000000-0005-0000-0000-0000D4720000}"/>
    <cellStyle name="Comma 8 8 7" xfId="24026" xr:uid="{00000000-0005-0000-0000-0000D5720000}"/>
    <cellStyle name="Comma 8 8 8" xfId="27280" xr:uid="{00000000-0005-0000-0000-0000D6720000}"/>
    <cellStyle name="Comma 8 8 9" xfId="30613" xr:uid="{00000000-0005-0000-0000-0000D7720000}"/>
    <cellStyle name="Comma 8 9" xfId="9162" xr:uid="{00000000-0005-0000-0000-0000D8720000}"/>
    <cellStyle name="Comma 8 9 2" xfId="25216" xr:uid="{00000000-0005-0000-0000-0000D9720000}"/>
    <cellStyle name="Comma 8 9 2 2" xfId="44643" xr:uid="{00000000-0005-0000-0000-0000DA720000}"/>
    <cellStyle name="Comma 8 9 2 3" xfId="38220" xr:uid="{00000000-0005-0000-0000-0000DB720000}"/>
    <cellStyle name="Comma 8 9 3" xfId="27395" xr:uid="{00000000-0005-0000-0000-0000DC720000}"/>
    <cellStyle name="Comma 8 9 3 2" xfId="41436" xr:uid="{00000000-0005-0000-0000-0000DD720000}"/>
    <cellStyle name="Comma 8 9 4" xfId="30730" xr:uid="{00000000-0005-0000-0000-0000DE720000}"/>
    <cellStyle name="Comma 8 9 5" xfId="35012" xr:uid="{00000000-0005-0000-0000-0000DF720000}"/>
    <cellStyle name="Comma 9" xfId="477" xr:uid="{00000000-0005-0000-0000-0000E0720000}"/>
    <cellStyle name="Commentaire" xfId="308" xr:uid="{00000000-0005-0000-0000-0000E1720000}"/>
    <cellStyle name="CountryTitle" xfId="29506" xr:uid="{00000000-0005-0000-0000-0000E2720000}"/>
    <cellStyle name="Currency" xfId="89" xr:uid="{00000000-0005-0000-0000-0000E3720000}"/>
    <cellStyle name="Currency 10" xfId="21899" xr:uid="{00000000-0005-0000-0000-0000E4720000}"/>
    <cellStyle name="Currency 10 2" xfId="42398" xr:uid="{00000000-0005-0000-0000-0000E5720000}"/>
    <cellStyle name="Currency 10 3" xfId="35974" xr:uid="{00000000-0005-0000-0000-0000E6720000}"/>
    <cellStyle name="Currency 11" xfId="22968" xr:uid="{00000000-0005-0000-0000-0000E7720000}"/>
    <cellStyle name="Currency 11 2" xfId="39191" xr:uid="{00000000-0005-0000-0000-0000E8720000}"/>
    <cellStyle name="Currency 12" xfId="32766" xr:uid="{00000000-0005-0000-0000-0000E9720000}"/>
    <cellStyle name="Currency 2" xfId="137" xr:uid="{00000000-0005-0000-0000-0000EA720000}"/>
    <cellStyle name="Currency 2 2" xfId="6475" xr:uid="{00000000-0005-0000-0000-0000EB720000}"/>
    <cellStyle name="Currency 2 2 10" xfId="33825" xr:uid="{00000000-0005-0000-0000-0000EC720000}"/>
    <cellStyle name="Currency 2 2 2" xfId="14818" xr:uid="{00000000-0005-0000-0000-0000ED720000}"/>
    <cellStyle name="Currency 2 2 2 2" xfId="26172" xr:uid="{00000000-0005-0000-0000-0000EE720000}"/>
    <cellStyle name="Currency 2 2 2 2 2" xfId="45599" xr:uid="{00000000-0005-0000-0000-0000EF720000}"/>
    <cellStyle name="Currency 2 2 2 2 3" xfId="39176" xr:uid="{00000000-0005-0000-0000-0000F0720000}"/>
    <cellStyle name="Currency 2 2 2 3" xfId="28350" xr:uid="{00000000-0005-0000-0000-0000F1720000}"/>
    <cellStyle name="Currency 2 2 2 3 2" xfId="42392" xr:uid="{00000000-0005-0000-0000-0000F2720000}"/>
    <cellStyle name="Currency 2 2 2 4" xfId="31685" xr:uid="{00000000-0005-0000-0000-0000F3720000}"/>
    <cellStyle name="Currency 2 2 2 5" xfId="35968" xr:uid="{00000000-0005-0000-0000-0000F4720000}"/>
    <cellStyle name="Currency 2 2 3" xfId="16079" xr:uid="{00000000-0005-0000-0000-0000F5720000}"/>
    <cellStyle name="Currency 2 2 3 2" xfId="25094" xr:uid="{00000000-0005-0000-0000-0000F6720000}"/>
    <cellStyle name="Currency 2 2 3 2 2" xfId="44523" xr:uid="{00000000-0005-0000-0000-0000F7720000}"/>
    <cellStyle name="Currency 2 2 3 2 3" xfId="38100" xr:uid="{00000000-0005-0000-0000-0000F8720000}"/>
    <cellStyle name="Currency 2 2 3 3" xfId="29415" xr:uid="{00000000-0005-0000-0000-0000F9720000}"/>
    <cellStyle name="Currency 2 2 3 3 2" xfId="41316" xr:uid="{00000000-0005-0000-0000-0000FA720000}"/>
    <cellStyle name="Currency 2 2 3 4" xfId="32750" xr:uid="{00000000-0005-0000-0000-0000FB720000}"/>
    <cellStyle name="Currency 2 2 3 5" xfId="34892" xr:uid="{00000000-0005-0000-0000-0000FC720000}"/>
    <cellStyle name="Currency 2 2 4" xfId="8897" xr:uid="{00000000-0005-0000-0000-0000FD720000}"/>
    <cellStyle name="Currency 2 2 4 2" xfId="43456" xr:uid="{00000000-0005-0000-0000-0000FE720000}"/>
    <cellStyle name="Currency 2 2 4 3" xfId="37032" xr:uid="{00000000-0005-0000-0000-0000FF720000}"/>
    <cellStyle name="Currency 2 2 5" xfId="21886" xr:uid="{00000000-0005-0000-0000-000000730000}"/>
    <cellStyle name="Currency 2 2 5 2" xfId="40249" xr:uid="{00000000-0005-0000-0000-000001730000}"/>
    <cellStyle name="Currency 2 2 6" xfId="22960" xr:uid="{00000000-0005-0000-0000-000002730000}"/>
    <cellStyle name="Currency 2 2 7" xfId="24027" xr:uid="{00000000-0005-0000-0000-000003730000}"/>
    <cellStyle name="Currency 2 2 8" xfId="27281" xr:uid="{00000000-0005-0000-0000-000004730000}"/>
    <cellStyle name="Currency 2 2 9" xfId="30614" xr:uid="{00000000-0005-0000-0000-000005730000}"/>
    <cellStyle name="Currency 2 3" xfId="8944" xr:uid="{00000000-0005-0000-0000-000006730000}"/>
    <cellStyle name="Currency 2 3 2" xfId="25107" xr:uid="{00000000-0005-0000-0000-000007730000}"/>
    <cellStyle name="Currency 2 3 2 2" xfId="44534" xr:uid="{00000000-0005-0000-0000-000008730000}"/>
    <cellStyle name="Currency 2 3 2 3" xfId="38111" xr:uid="{00000000-0005-0000-0000-000009730000}"/>
    <cellStyle name="Currency 2 3 3" xfId="27286" xr:uid="{00000000-0005-0000-0000-00000A730000}"/>
    <cellStyle name="Currency 2 3 3 2" xfId="41327" xr:uid="{00000000-0005-0000-0000-00000B730000}"/>
    <cellStyle name="Currency 2 3 4" xfId="30621" xr:uid="{00000000-0005-0000-0000-00000C730000}"/>
    <cellStyle name="Currency 2 3 5" xfId="34903" xr:uid="{00000000-0005-0000-0000-00000D730000}"/>
    <cellStyle name="Currency 2 4" xfId="7806" xr:uid="{00000000-0005-0000-0000-00000E730000}"/>
    <cellStyle name="Currency 2 4 2" xfId="24032" xr:uid="{00000000-0005-0000-0000-00000F730000}"/>
    <cellStyle name="Currency 2 4 2 2" xfId="43461" xr:uid="{00000000-0005-0000-0000-000010730000}"/>
    <cellStyle name="Currency 2 4 2 3" xfId="37038" xr:uid="{00000000-0005-0000-0000-000011730000}"/>
    <cellStyle name="Currency 2 4 3" xfId="40254" xr:uid="{00000000-0005-0000-0000-000012730000}"/>
    <cellStyle name="Currency 2 4 4" xfId="33830" xr:uid="{00000000-0005-0000-0000-000013730000}"/>
    <cellStyle name="Currency 3" xfId="92" xr:uid="{00000000-0005-0000-0000-000014730000}"/>
    <cellStyle name="Currency 3 2" xfId="309" xr:uid="{00000000-0005-0000-0000-000015730000}"/>
    <cellStyle name="Currency 3 2 10" xfId="32876" xr:uid="{00000000-0005-0000-0000-000016730000}"/>
    <cellStyle name="Currency 3 2 2" xfId="9163" xr:uid="{00000000-0005-0000-0000-000017730000}"/>
    <cellStyle name="Currency 3 2 2 2" xfId="25217" xr:uid="{00000000-0005-0000-0000-000018730000}"/>
    <cellStyle name="Currency 3 2 2 2 2" xfId="44644" xr:uid="{00000000-0005-0000-0000-000019730000}"/>
    <cellStyle name="Currency 3 2 2 2 3" xfId="38221" xr:uid="{00000000-0005-0000-0000-00001A730000}"/>
    <cellStyle name="Currency 3 2 2 3" xfId="27396" xr:uid="{00000000-0005-0000-0000-00001B730000}"/>
    <cellStyle name="Currency 3 2 2 3 2" xfId="41437" xr:uid="{00000000-0005-0000-0000-00001C730000}"/>
    <cellStyle name="Currency 3 2 2 4" xfId="30731" xr:uid="{00000000-0005-0000-0000-00001D730000}"/>
    <cellStyle name="Currency 3 2 2 5" xfId="35013" xr:uid="{00000000-0005-0000-0000-00001E730000}"/>
    <cellStyle name="Currency 3 2 3" xfId="16080" xr:uid="{00000000-0005-0000-0000-00001F730000}"/>
    <cellStyle name="Currency 3 2 3 2" xfId="25095" xr:uid="{00000000-0005-0000-0000-000020730000}"/>
    <cellStyle name="Currency 3 2 3 2 2" xfId="44524" xr:uid="{00000000-0005-0000-0000-000021730000}"/>
    <cellStyle name="Currency 3 2 3 2 3" xfId="38101" xr:uid="{00000000-0005-0000-0000-000022730000}"/>
    <cellStyle name="Currency 3 2 3 3" xfId="29416" xr:uid="{00000000-0005-0000-0000-000023730000}"/>
    <cellStyle name="Currency 3 2 3 3 2" xfId="41317" xr:uid="{00000000-0005-0000-0000-000024730000}"/>
    <cellStyle name="Currency 3 2 3 4" xfId="32751" xr:uid="{00000000-0005-0000-0000-000025730000}"/>
    <cellStyle name="Currency 3 2 3 5" xfId="34893" xr:uid="{00000000-0005-0000-0000-000026730000}"/>
    <cellStyle name="Currency 3 2 4" xfId="8898" xr:uid="{00000000-0005-0000-0000-000027730000}"/>
    <cellStyle name="Currency 3 2 4 2" xfId="42507" xr:uid="{00000000-0005-0000-0000-000028730000}"/>
    <cellStyle name="Currency 3 2 4 3" xfId="36083" xr:uid="{00000000-0005-0000-0000-000029730000}"/>
    <cellStyle name="Currency 3 2 5" xfId="21887" xr:uid="{00000000-0005-0000-0000-00002A730000}"/>
    <cellStyle name="Currency 3 2 5 2" xfId="39300" xr:uid="{00000000-0005-0000-0000-00002B730000}"/>
    <cellStyle name="Currency 3 2 6" xfId="22961" xr:uid="{00000000-0005-0000-0000-00002C730000}"/>
    <cellStyle name="Currency 3 2 7" xfId="23078" xr:uid="{00000000-0005-0000-0000-00002D730000}"/>
    <cellStyle name="Currency 3 2 8" xfId="27282" xr:uid="{00000000-0005-0000-0000-00002E730000}"/>
    <cellStyle name="Currency 3 2 9" xfId="30615" xr:uid="{00000000-0005-0000-0000-00002F730000}"/>
    <cellStyle name="Currency 3 3" xfId="8986" xr:uid="{00000000-0005-0000-0000-000030730000}"/>
    <cellStyle name="Currency 3 3 2" xfId="25110" xr:uid="{00000000-0005-0000-0000-000031730000}"/>
    <cellStyle name="Currency 3 3 2 2" xfId="44537" xr:uid="{00000000-0005-0000-0000-000032730000}"/>
    <cellStyle name="Currency 3 3 2 3" xfId="38114" xr:uid="{00000000-0005-0000-0000-000033730000}"/>
    <cellStyle name="Currency 3 3 3" xfId="27289" xr:uid="{00000000-0005-0000-0000-000034730000}"/>
    <cellStyle name="Currency 3 3 3 2" xfId="41330" xr:uid="{00000000-0005-0000-0000-000035730000}"/>
    <cellStyle name="Currency 3 3 4" xfId="30624" xr:uid="{00000000-0005-0000-0000-000036730000}"/>
    <cellStyle name="Currency 3 3 5" xfId="34906" xr:uid="{00000000-0005-0000-0000-000037730000}"/>
    <cellStyle name="Currency 3 4" xfId="14956" xr:uid="{00000000-0005-0000-0000-000038730000}"/>
    <cellStyle name="Currency 3 4 2" xfId="24034" xr:uid="{00000000-0005-0000-0000-000039730000}"/>
    <cellStyle name="Currency 3 4 2 2" xfId="43463" xr:uid="{00000000-0005-0000-0000-00003A730000}"/>
    <cellStyle name="Currency 3 4 2 3" xfId="37040" xr:uid="{00000000-0005-0000-0000-00003B730000}"/>
    <cellStyle name="Currency 3 4 3" xfId="28358" xr:uid="{00000000-0005-0000-0000-00003C730000}"/>
    <cellStyle name="Currency 3 4 3 2" xfId="40256" xr:uid="{00000000-0005-0000-0000-00003D730000}"/>
    <cellStyle name="Currency 3 4 4" xfId="31693" xr:uid="{00000000-0005-0000-0000-00003E730000}"/>
    <cellStyle name="Currency 3 4 5" xfId="33832" xr:uid="{00000000-0005-0000-0000-00003F730000}"/>
    <cellStyle name="Currency 3 5" xfId="7809" xr:uid="{00000000-0005-0000-0000-000040730000}"/>
    <cellStyle name="Currency 3 6" xfId="20830" xr:uid="{00000000-0005-0000-0000-000041730000}"/>
    <cellStyle name="Currency 3 7" xfId="21903" xr:uid="{00000000-0005-0000-0000-000042730000}"/>
    <cellStyle name="Currency 3 8" xfId="26223" xr:uid="{00000000-0005-0000-0000-000043730000}"/>
    <cellStyle name="Currency 3 9" xfId="29556" xr:uid="{00000000-0005-0000-0000-000044730000}"/>
    <cellStyle name="Currency 3_Data - Monthly Commodity Prices" xfId="6516" xr:uid="{00000000-0005-0000-0000-000045730000}"/>
    <cellStyle name="Currency 4" xfId="1602" xr:uid="{00000000-0005-0000-0000-000046730000}"/>
    <cellStyle name="Currency 4 2" xfId="10371" xr:uid="{00000000-0005-0000-0000-000047730000}"/>
    <cellStyle name="Currency 4 2 2" xfId="26171" xr:uid="{00000000-0005-0000-0000-000048730000}"/>
    <cellStyle name="Currency 4 2 2 2" xfId="45598" xr:uid="{00000000-0005-0000-0000-000049730000}"/>
    <cellStyle name="Currency 4 2 2 3" xfId="39175" xr:uid="{00000000-0005-0000-0000-00004A730000}"/>
    <cellStyle name="Currency 4 2 3" xfId="28349" xr:uid="{00000000-0005-0000-0000-00004B730000}"/>
    <cellStyle name="Currency 4 2 3 2" xfId="42391" xr:uid="{00000000-0005-0000-0000-00004C730000}"/>
    <cellStyle name="Currency 4 2 4" xfId="31684" xr:uid="{00000000-0005-0000-0000-00004D730000}"/>
    <cellStyle name="Currency 4 2 5" xfId="35967" xr:uid="{00000000-0005-0000-0000-00004E730000}"/>
    <cellStyle name="Currency 4 3" xfId="8899" xr:uid="{00000000-0005-0000-0000-00004F730000}"/>
    <cellStyle name="Currency 4 3 2" xfId="25096" xr:uid="{00000000-0005-0000-0000-000050730000}"/>
    <cellStyle name="Currency 4 3 2 2" xfId="44525" xr:uid="{00000000-0005-0000-0000-000051730000}"/>
    <cellStyle name="Currency 4 3 2 3" xfId="38102" xr:uid="{00000000-0005-0000-0000-000052730000}"/>
    <cellStyle name="Currency 4 3 3" xfId="41318" xr:uid="{00000000-0005-0000-0000-000053730000}"/>
    <cellStyle name="Currency 4 3 4" xfId="34894" xr:uid="{00000000-0005-0000-0000-000054730000}"/>
    <cellStyle name="Currency 5" xfId="6536" xr:uid="{00000000-0005-0000-0000-000055730000}"/>
    <cellStyle name="Currency 5 10" xfId="33826" xr:uid="{00000000-0005-0000-0000-000056730000}"/>
    <cellStyle name="Currency 5 2" xfId="14851" xr:uid="{00000000-0005-0000-0000-000057730000}"/>
    <cellStyle name="Currency 5 2 2" xfId="26175" xr:uid="{00000000-0005-0000-0000-000058730000}"/>
    <cellStyle name="Currency 5 2 2 2" xfId="45602" xr:uid="{00000000-0005-0000-0000-000059730000}"/>
    <cellStyle name="Currency 5 2 2 3" xfId="39179" xr:uid="{00000000-0005-0000-0000-00005A730000}"/>
    <cellStyle name="Currency 5 2 3" xfId="28353" xr:uid="{00000000-0005-0000-0000-00005B730000}"/>
    <cellStyle name="Currency 5 2 3 2" xfId="42395" xr:uid="{00000000-0005-0000-0000-00005C730000}"/>
    <cellStyle name="Currency 5 2 4" xfId="31688" xr:uid="{00000000-0005-0000-0000-00005D730000}"/>
    <cellStyle name="Currency 5 2 5" xfId="35971" xr:uid="{00000000-0005-0000-0000-00005E730000}"/>
    <cellStyle name="Currency 5 3" xfId="20787" xr:uid="{00000000-0005-0000-0000-00005F730000}"/>
    <cellStyle name="Currency 5 3 2" xfId="25101" xr:uid="{00000000-0005-0000-0000-000060730000}"/>
    <cellStyle name="Currency 5 3 2 2" xfId="44529" xr:uid="{00000000-0005-0000-0000-000061730000}"/>
    <cellStyle name="Currency 5 3 2 3" xfId="38106" xr:uid="{00000000-0005-0000-0000-000062730000}"/>
    <cellStyle name="Currency 5 3 3" xfId="29420" xr:uid="{00000000-0005-0000-0000-000063730000}"/>
    <cellStyle name="Currency 5 3 3 2" xfId="41322" xr:uid="{00000000-0005-0000-0000-000064730000}"/>
    <cellStyle name="Currency 5 3 4" xfId="32755" xr:uid="{00000000-0005-0000-0000-000065730000}"/>
    <cellStyle name="Currency 5 3 5" xfId="34898" xr:uid="{00000000-0005-0000-0000-000066730000}"/>
    <cellStyle name="Currency 5 4" xfId="7839" xr:uid="{00000000-0005-0000-0000-000067730000}"/>
    <cellStyle name="Currency 5 4 2" xfId="43457" xr:uid="{00000000-0005-0000-0000-000068730000}"/>
    <cellStyle name="Currency 5 4 3" xfId="37033" xr:uid="{00000000-0005-0000-0000-000069730000}"/>
    <cellStyle name="Currency 5 5" xfId="21890" xr:uid="{00000000-0005-0000-0000-00006A730000}"/>
    <cellStyle name="Currency 5 5 2" xfId="40250" xr:uid="{00000000-0005-0000-0000-00006B730000}"/>
    <cellStyle name="Currency 5 6" xfId="22963" xr:uid="{00000000-0005-0000-0000-00006C730000}"/>
    <cellStyle name="Currency 5 7" xfId="24028" xr:uid="{00000000-0005-0000-0000-00006D730000}"/>
    <cellStyle name="Currency 5 8" xfId="26228" xr:uid="{00000000-0005-0000-0000-00006E730000}"/>
    <cellStyle name="Currency 5 9" xfId="29561" xr:uid="{00000000-0005-0000-0000-00006F730000}"/>
    <cellStyle name="Currency 6" xfId="8928" xr:uid="{00000000-0005-0000-0000-000070730000}"/>
    <cellStyle name="Currency 6 2" xfId="25105" xr:uid="{00000000-0005-0000-0000-000071730000}"/>
    <cellStyle name="Currency 6 2 2" xfId="44532" xr:uid="{00000000-0005-0000-0000-000072730000}"/>
    <cellStyle name="Currency 6 2 3" xfId="38109" xr:uid="{00000000-0005-0000-0000-000073730000}"/>
    <cellStyle name="Currency 6 3" xfId="27284" xr:uid="{00000000-0005-0000-0000-000074730000}"/>
    <cellStyle name="Currency 6 3 2" xfId="41325" xr:uid="{00000000-0005-0000-0000-000075730000}"/>
    <cellStyle name="Currency 6 4" xfId="30619" xr:uid="{00000000-0005-0000-0000-000076730000}"/>
    <cellStyle name="Currency 6 5" xfId="34901" xr:uid="{00000000-0005-0000-0000-000077730000}"/>
    <cellStyle name="Currency 7" xfId="14855" xr:uid="{00000000-0005-0000-0000-000078730000}"/>
    <cellStyle name="Currency 7 2" xfId="25218" xr:uid="{00000000-0005-0000-0000-000079730000}"/>
    <cellStyle name="Currency 7 2 2" xfId="44645" xr:uid="{00000000-0005-0000-0000-00007A730000}"/>
    <cellStyle name="Currency 7 2 3" xfId="38222" xr:uid="{00000000-0005-0000-0000-00007B730000}"/>
    <cellStyle name="Currency 7 3" xfId="28355" xr:uid="{00000000-0005-0000-0000-00007C730000}"/>
    <cellStyle name="Currency 7 3 2" xfId="41438" xr:uid="{00000000-0005-0000-0000-00007D730000}"/>
    <cellStyle name="Currency 7 4" xfId="31690" xr:uid="{00000000-0005-0000-0000-00007E730000}"/>
    <cellStyle name="Currency 7 5" xfId="35014" xr:uid="{00000000-0005-0000-0000-00007F730000}"/>
    <cellStyle name="Currency 8" xfId="7803" xr:uid="{00000000-0005-0000-0000-000080730000}"/>
    <cellStyle name="Currency 8 2" xfId="26176" xr:uid="{00000000-0005-0000-0000-000081730000}"/>
    <cellStyle name="Currency 8 2 2" xfId="45603" xr:uid="{00000000-0005-0000-0000-000082730000}"/>
    <cellStyle name="Currency 8 2 3" xfId="39180" xr:uid="{00000000-0005-0000-0000-000083730000}"/>
    <cellStyle name="Currency 8 3" xfId="42396" xr:uid="{00000000-0005-0000-0000-000084730000}"/>
    <cellStyle name="Currency 8 4" xfId="35972" xr:uid="{00000000-0005-0000-0000-000085730000}"/>
    <cellStyle name="Currency 9" xfId="20826" xr:uid="{00000000-0005-0000-0000-000086730000}"/>
    <cellStyle name="Currency 9 2" xfId="24030" xr:uid="{00000000-0005-0000-0000-000087730000}"/>
    <cellStyle name="Currency 9 2 2" xfId="43459" xr:uid="{00000000-0005-0000-0000-000088730000}"/>
    <cellStyle name="Currency 9 2 3" xfId="37035" xr:uid="{00000000-0005-0000-0000-000089730000}"/>
    <cellStyle name="Currency 9 3" xfId="40252" xr:uid="{00000000-0005-0000-0000-00008A730000}"/>
    <cellStyle name="Currency 9 4" xfId="33828" xr:uid="{00000000-0005-0000-0000-00008B730000}"/>
    <cellStyle name="Entrée" xfId="310" xr:uid="{00000000-0005-0000-0000-00008C730000}"/>
    <cellStyle name="Explanatory Text" xfId="16" builtinId="53" customBuiltin="1"/>
    <cellStyle name="Footnote" xfId="29507" xr:uid="{00000000-0005-0000-0000-00008E730000}"/>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xr:uid="{00000000-0005-0000-0000-000095730000}"/>
    <cellStyle name="Hyperlink 3" xfId="1603" xr:uid="{00000000-0005-0000-0000-000096730000}"/>
    <cellStyle name="Hyperlink 4" xfId="1604" xr:uid="{00000000-0005-0000-0000-000097730000}"/>
    <cellStyle name="Hyperlink 5" xfId="26216" xr:uid="{00000000-0005-0000-0000-000098730000}"/>
    <cellStyle name="Hyperlink 5 2" xfId="29468" xr:uid="{00000000-0005-0000-0000-000099730000}"/>
    <cellStyle name="Hyperlink 6" xfId="29508" xr:uid="{00000000-0005-0000-0000-00009A730000}"/>
    <cellStyle name="Input" xfId="10" builtinId="20" customBuiltin="1"/>
    <cellStyle name="Insatisfaisant" xfId="311" xr:uid="{00000000-0005-0000-0000-00009C730000}"/>
    <cellStyle name="Linked Cell" xfId="13" builtinId="24" customBuiltin="1"/>
    <cellStyle name="Neutral" xfId="9" builtinId="28" customBuiltin="1"/>
    <cellStyle name="Neutre" xfId="312" xr:uid="{00000000-0005-0000-0000-00009F730000}"/>
    <cellStyle name="Normal" xfId="0" builtinId="0"/>
    <cellStyle name="Normal [0]" xfId="29509" xr:uid="{00000000-0005-0000-0000-0000A1730000}"/>
    <cellStyle name="Normal [2]" xfId="29510" xr:uid="{00000000-0005-0000-0000-0000A2730000}"/>
    <cellStyle name="Normal 10" xfId="313" xr:uid="{00000000-0005-0000-0000-0000A3730000}"/>
    <cellStyle name="Normal 10 10" xfId="1605" xr:uid="{00000000-0005-0000-0000-0000A4730000}"/>
    <cellStyle name="Normal 10 10 2" xfId="1606" xr:uid="{00000000-0005-0000-0000-0000A5730000}"/>
    <cellStyle name="Normal 10 10 2 2" xfId="1607" xr:uid="{00000000-0005-0000-0000-0000A6730000}"/>
    <cellStyle name="Normal 10 10 2 2 2" xfId="10374" xr:uid="{00000000-0005-0000-0000-0000A7730000}"/>
    <cellStyle name="Normal 10 10 2 2 3" xfId="16083" xr:uid="{00000000-0005-0000-0000-0000A8730000}"/>
    <cellStyle name="Normal 10 10 2 3" xfId="1608" xr:uid="{00000000-0005-0000-0000-0000A9730000}"/>
    <cellStyle name="Normal 10 10 2 3 2" xfId="10375" xr:uid="{00000000-0005-0000-0000-0000AA730000}"/>
    <cellStyle name="Normal 10 10 2 3 3" xfId="16084" xr:uid="{00000000-0005-0000-0000-0000AB730000}"/>
    <cellStyle name="Normal 10 10 2 4" xfId="1609" xr:uid="{00000000-0005-0000-0000-0000AC730000}"/>
    <cellStyle name="Normal 10 10 2 4 2" xfId="10376" xr:uid="{00000000-0005-0000-0000-0000AD730000}"/>
    <cellStyle name="Normal 10 10 2 4 3" xfId="16085" xr:uid="{00000000-0005-0000-0000-0000AE730000}"/>
    <cellStyle name="Normal 10 10 2 5" xfId="1610" xr:uid="{00000000-0005-0000-0000-0000AF730000}"/>
    <cellStyle name="Normal 10 10 2 5 2" xfId="10377" xr:uid="{00000000-0005-0000-0000-0000B0730000}"/>
    <cellStyle name="Normal 10 10 2 5 3" xfId="16086" xr:uid="{00000000-0005-0000-0000-0000B1730000}"/>
    <cellStyle name="Normal 10 10 2 6" xfId="10373" xr:uid="{00000000-0005-0000-0000-0000B2730000}"/>
    <cellStyle name="Normal 10 10 2 7" xfId="16082" xr:uid="{00000000-0005-0000-0000-0000B3730000}"/>
    <cellStyle name="Normal 10 10 2_LNG &amp; LPG rework" xfId="6730" xr:uid="{00000000-0005-0000-0000-0000B4730000}"/>
    <cellStyle name="Normal 10 10 3" xfId="1611" xr:uid="{00000000-0005-0000-0000-0000B5730000}"/>
    <cellStyle name="Normal 10 10 3 2" xfId="1612" xr:uid="{00000000-0005-0000-0000-0000B6730000}"/>
    <cellStyle name="Normal 10 10 3 2 2" xfId="10379" xr:uid="{00000000-0005-0000-0000-0000B7730000}"/>
    <cellStyle name="Normal 10 10 3 2 3" xfId="16088" xr:uid="{00000000-0005-0000-0000-0000B8730000}"/>
    <cellStyle name="Normal 10 10 3 3" xfId="1613" xr:uid="{00000000-0005-0000-0000-0000B9730000}"/>
    <cellStyle name="Normal 10 10 3 3 2" xfId="10380" xr:uid="{00000000-0005-0000-0000-0000BA730000}"/>
    <cellStyle name="Normal 10 10 3 3 3" xfId="16089" xr:uid="{00000000-0005-0000-0000-0000BB730000}"/>
    <cellStyle name="Normal 10 10 3 4" xfId="1614" xr:uid="{00000000-0005-0000-0000-0000BC730000}"/>
    <cellStyle name="Normal 10 10 3 4 2" xfId="10381" xr:uid="{00000000-0005-0000-0000-0000BD730000}"/>
    <cellStyle name="Normal 10 10 3 4 3" xfId="16090" xr:uid="{00000000-0005-0000-0000-0000BE730000}"/>
    <cellStyle name="Normal 10 10 3 5" xfId="1615" xr:uid="{00000000-0005-0000-0000-0000BF730000}"/>
    <cellStyle name="Normal 10 10 3 5 2" xfId="10382" xr:uid="{00000000-0005-0000-0000-0000C0730000}"/>
    <cellStyle name="Normal 10 10 3 5 3" xfId="16091" xr:uid="{00000000-0005-0000-0000-0000C1730000}"/>
    <cellStyle name="Normal 10 10 3 6" xfId="10378" xr:uid="{00000000-0005-0000-0000-0000C2730000}"/>
    <cellStyle name="Normal 10 10 3 7" xfId="16087" xr:uid="{00000000-0005-0000-0000-0000C3730000}"/>
    <cellStyle name="Normal 10 10 3_LNG &amp; LPG rework" xfId="6729" xr:uid="{00000000-0005-0000-0000-0000C4730000}"/>
    <cellStyle name="Normal 10 10 4" xfId="1616" xr:uid="{00000000-0005-0000-0000-0000C5730000}"/>
    <cellStyle name="Normal 10 10 4 2" xfId="10383" xr:uid="{00000000-0005-0000-0000-0000C6730000}"/>
    <cellStyle name="Normal 10 10 4 3" xfId="16092" xr:uid="{00000000-0005-0000-0000-0000C7730000}"/>
    <cellStyle name="Normal 10 10 5" xfId="1617" xr:uid="{00000000-0005-0000-0000-0000C8730000}"/>
    <cellStyle name="Normal 10 10 5 2" xfId="10384" xr:uid="{00000000-0005-0000-0000-0000C9730000}"/>
    <cellStyle name="Normal 10 10 5 3" xfId="16093" xr:uid="{00000000-0005-0000-0000-0000CA730000}"/>
    <cellStyle name="Normal 10 10 6" xfId="1618" xr:uid="{00000000-0005-0000-0000-0000CB730000}"/>
    <cellStyle name="Normal 10 10 6 2" xfId="10385" xr:uid="{00000000-0005-0000-0000-0000CC730000}"/>
    <cellStyle name="Normal 10 10 6 3" xfId="16094" xr:uid="{00000000-0005-0000-0000-0000CD730000}"/>
    <cellStyle name="Normal 10 10 7" xfId="1619" xr:uid="{00000000-0005-0000-0000-0000CE730000}"/>
    <cellStyle name="Normal 10 10 7 2" xfId="10386" xr:uid="{00000000-0005-0000-0000-0000CF730000}"/>
    <cellStyle name="Normal 10 10 7 3" xfId="16095" xr:uid="{00000000-0005-0000-0000-0000D0730000}"/>
    <cellStyle name="Normal 10 10 8" xfId="10372" xr:uid="{00000000-0005-0000-0000-0000D1730000}"/>
    <cellStyle name="Normal 10 10 9" xfId="16081" xr:uid="{00000000-0005-0000-0000-0000D2730000}"/>
    <cellStyle name="Normal 10 10_LNG &amp; LPG rework" xfId="6734" xr:uid="{00000000-0005-0000-0000-0000D3730000}"/>
    <cellStyle name="Normal 10 11" xfId="1620" xr:uid="{00000000-0005-0000-0000-0000D4730000}"/>
    <cellStyle name="Normal 10 11 2" xfId="1621" xr:uid="{00000000-0005-0000-0000-0000D5730000}"/>
    <cellStyle name="Normal 10 11 2 2" xfId="1622" xr:uid="{00000000-0005-0000-0000-0000D6730000}"/>
    <cellStyle name="Normal 10 11 2 2 2" xfId="10389" xr:uid="{00000000-0005-0000-0000-0000D7730000}"/>
    <cellStyle name="Normal 10 11 2 2 3" xfId="16098" xr:uid="{00000000-0005-0000-0000-0000D8730000}"/>
    <cellStyle name="Normal 10 11 2 3" xfId="1623" xr:uid="{00000000-0005-0000-0000-0000D9730000}"/>
    <cellStyle name="Normal 10 11 2 3 2" xfId="10390" xr:uid="{00000000-0005-0000-0000-0000DA730000}"/>
    <cellStyle name="Normal 10 11 2 3 3" xfId="16099" xr:uid="{00000000-0005-0000-0000-0000DB730000}"/>
    <cellStyle name="Normal 10 11 2 4" xfId="1624" xr:uid="{00000000-0005-0000-0000-0000DC730000}"/>
    <cellStyle name="Normal 10 11 2 4 2" xfId="10391" xr:uid="{00000000-0005-0000-0000-0000DD730000}"/>
    <cellStyle name="Normal 10 11 2 4 3" xfId="16100" xr:uid="{00000000-0005-0000-0000-0000DE730000}"/>
    <cellStyle name="Normal 10 11 2 5" xfId="1625" xr:uid="{00000000-0005-0000-0000-0000DF730000}"/>
    <cellStyle name="Normal 10 11 2 5 2" xfId="10392" xr:uid="{00000000-0005-0000-0000-0000E0730000}"/>
    <cellStyle name="Normal 10 11 2 5 3" xfId="16101" xr:uid="{00000000-0005-0000-0000-0000E1730000}"/>
    <cellStyle name="Normal 10 11 2 6" xfId="10388" xr:uid="{00000000-0005-0000-0000-0000E2730000}"/>
    <cellStyle name="Normal 10 11 2 7" xfId="16097" xr:uid="{00000000-0005-0000-0000-0000E3730000}"/>
    <cellStyle name="Normal 10 11 2_LNG &amp; LPG rework" xfId="6728" xr:uid="{00000000-0005-0000-0000-0000E4730000}"/>
    <cellStyle name="Normal 10 11 3" xfId="1626" xr:uid="{00000000-0005-0000-0000-0000E5730000}"/>
    <cellStyle name="Normal 10 11 3 2" xfId="1627" xr:uid="{00000000-0005-0000-0000-0000E6730000}"/>
    <cellStyle name="Normal 10 11 3 2 2" xfId="10394" xr:uid="{00000000-0005-0000-0000-0000E7730000}"/>
    <cellStyle name="Normal 10 11 3 2 3" xfId="16103" xr:uid="{00000000-0005-0000-0000-0000E8730000}"/>
    <cellStyle name="Normal 10 11 3 3" xfId="1628" xr:uid="{00000000-0005-0000-0000-0000E9730000}"/>
    <cellStyle name="Normal 10 11 3 3 2" xfId="10395" xr:uid="{00000000-0005-0000-0000-0000EA730000}"/>
    <cellStyle name="Normal 10 11 3 3 3" xfId="16104" xr:uid="{00000000-0005-0000-0000-0000EB730000}"/>
    <cellStyle name="Normal 10 11 3 4" xfId="1629" xr:uid="{00000000-0005-0000-0000-0000EC730000}"/>
    <cellStyle name="Normal 10 11 3 4 2" xfId="10396" xr:uid="{00000000-0005-0000-0000-0000ED730000}"/>
    <cellStyle name="Normal 10 11 3 4 3" xfId="16105" xr:uid="{00000000-0005-0000-0000-0000EE730000}"/>
    <cellStyle name="Normal 10 11 3 5" xfId="1630" xr:uid="{00000000-0005-0000-0000-0000EF730000}"/>
    <cellStyle name="Normal 10 11 3 5 2" xfId="10397" xr:uid="{00000000-0005-0000-0000-0000F0730000}"/>
    <cellStyle name="Normal 10 11 3 5 3" xfId="16106" xr:uid="{00000000-0005-0000-0000-0000F1730000}"/>
    <cellStyle name="Normal 10 11 3 6" xfId="10393" xr:uid="{00000000-0005-0000-0000-0000F2730000}"/>
    <cellStyle name="Normal 10 11 3 7" xfId="16102" xr:uid="{00000000-0005-0000-0000-0000F3730000}"/>
    <cellStyle name="Normal 10 11 3_LNG &amp; LPG rework" xfId="6727" xr:uid="{00000000-0005-0000-0000-0000F4730000}"/>
    <cellStyle name="Normal 10 11 4" xfId="1631" xr:uid="{00000000-0005-0000-0000-0000F5730000}"/>
    <cellStyle name="Normal 10 11 4 2" xfId="10398" xr:uid="{00000000-0005-0000-0000-0000F6730000}"/>
    <cellStyle name="Normal 10 11 4 3" xfId="16107" xr:uid="{00000000-0005-0000-0000-0000F7730000}"/>
    <cellStyle name="Normal 10 11 5" xfId="1632" xr:uid="{00000000-0005-0000-0000-0000F8730000}"/>
    <cellStyle name="Normal 10 11 5 2" xfId="10399" xr:uid="{00000000-0005-0000-0000-0000F9730000}"/>
    <cellStyle name="Normal 10 11 5 3" xfId="16108" xr:uid="{00000000-0005-0000-0000-0000FA730000}"/>
    <cellStyle name="Normal 10 11 6" xfId="1633" xr:uid="{00000000-0005-0000-0000-0000FB730000}"/>
    <cellStyle name="Normal 10 11 6 2" xfId="10400" xr:uid="{00000000-0005-0000-0000-0000FC730000}"/>
    <cellStyle name="Normal 10 11 6 3" xfId="16109" xr:uid="{00000000-0005-0000-0000-0000FD730000}"/>
    <cellStyle name="Normal 10 11 7" xfId="1634" xr:uid="{00000000-0005-0000-0000-0000FE730000}"/>
    <cellStyle name="Normal 10 11 7 2" xfId="10401" xr:uid="{00000000-0005-0000-0000-0000FF730000}"/>
    <cellStyle name="Normal 10 11 7 3" xfId="16110" xr:uid="{00000000-0005-0000-0000-000000740000}"/>
    <cellStyle name="Normal 10 11 8" xfId="10387" xr:uid="{00000000-0005-0000-0000-000001740000}"/>
    <cellStyle name="Normal 10 11 9" xfId="16096" xr:uid="{00000000-0005-0000-0000-000002740000}"/>
    <cellStyle name="Normal 10 11_LNG &amp; LPG rework" xfId="6735" xr:uid="{00000000-0005-0000-0000-000003740000}"/>
    <cellStyle name="Normal 10 12" xfId="1635" xr:uid="{00000000-0005-0000-0000-000004740000}"/>
    <cellStyle name="Normal 10 12 2" xfId="1636" xr:uid="{00000000-0005-0000-0000-000005740000}"/>
    <cellStyle name="Normal 10 12 2 2" xfId="1637" xr:uid="{00000000-0005-0000-0000-000006740000}"/>
    <cellStyle name="Normal 10 12 2 2 2" xfId="10404" xr:uid="{00000000-0005-0000-0000-000007740000}"/>
    <cellStyle name="Normal 10 12 2 2 3" xfId="16113" xr:uid="{00000000-0005-0000-0000-000008740000}"/>
    <cellStyle name="Normal 10 12 2 3" xfId="1638" xr:uid="{00000000-0005-0000-0000-000009740000}"/>
    <cellStyle name="Normal 10 12 2 3 2" xfId="10405" xr:uid="{00000000-0005-0000-0000-00000A740000}"/>
    <cellStyle name="Normal 10 12 2 3 3" xfId="16114" xr:uid="{00000000-0005-0000-0000-00000B740000}"/>
    <cellStyle name="Normal 10 12 2 4" xfId="1639" xr:uid="{00000000-0005-0000-0000-00000C740000}"/>
    <cellStyle name="Normal 10 12 2 4 2" xfId="10406" xr:uid="{00000000-0005-0000-0000-00000D740000}"/>
    <cellStyle name="Normal 10 12 2 4 3" xfId="16115" xr:uid="{00000000-0005-0000-0000-00000E740000}"/>
    <cellStyle name="Normal 10 12 2 5" xfId="1640" xr:uid="{00000000-0005-0000-0000-00000F740000}"/>
    <cellStyle name="Normal 10 12 2 5 2" xfId="10407" xr:uid="{00000000-0005-0000-0000-000010740000}"/>
    <cellStyle name="Normal 10 12 2 5 3" xfId="16116" xr:uid="{00000000-0005-0000-0000-000011740000}"/>
    <cellStyle name="Normal 10 12 2 6" xfId="10403" xr:uid="{00000000-0005-0000-0000-000012740000}"/>
    <cellStyle name="Normal 10 12 2 7" xfId="16112" xr:uid="{00000000-0005-0000-0000-000013740000}"/>
    <cellStyle name="Normal 10 12 2_LNG &amp; LPG rework" xfId="6736" xr:uid="{00000000-0005-0000-0000-000014740000}"/>
    <cellStyle name="Normal 10 12 3" xfId="1641" xr:uid="{00000000-0005-0000-0000-000015740000}"/>
    <cellStyle name="Normal 10 12 3 2" xfId="1642" xr:uid="{00000000-0005-0000-0000-000016740000}"/>
    <cellStyle name="Normal 10 12 3 2 2" xfId="10409" xr:uid="{00000000-0005-0000-0000-000017740000}"/>
    <cellStyle name="Normal 10 12 3 2 3" xfId="16118" xr:uid="{00000000-0005-0000-0000-000018740000}"/>
    <cellStyle name="Normal 10 12 3 3" xfId="1643" xr:uid="{00000000-0005-0000-0000-000019740000}"/>
    <cellStyle name="Normal 10 12 3 3 2" xfId="10410" xr:uid="{00000000-0005-0000-0000-00001A740000}"/>
    <cellStyle name="Normal 10 12 3 3 3" xfId="16119" xr:uid="{00000000-0005-0000-0000-00001B740000}"/>
    <cellStyle name="Normal 10 12 3 4" xfId="1644" xr:uid="{00000000-0005-0000-0000-00001C740000}"/>
    <cellStyle name="Normal 10 12 3 4 2" xfId="10411" xr:uid="{00000000-0005-0000-0000-00001D740000}"/>
    <cellStyle name="Normal 10 12 3 4 3" xfId="16120" xr:uid="{00000000-0005-0000-0000-00001E740000}"/>
    <cellStyle name="Normal 10 12 3 5" xfId="1645" xr:uid="{00000000-0005-0000-0000-00001F740000}"/>
    <cellStyle name="Normal 10 12 3 5 2" xfId="10412" xr:uid="{00000000-0005-0000-0000-000020740000}"/>
    <cellStyle name="Normal 10 12 3 5 3" xfId="16121" xr:uid="{00000000-0005-0000-0000-000021740000}"/>
    <cellStyle name="Normal 10 12 3 6" xfId="10408" xr:uid="{00000000-0005-0000-0000-000022740000}"/>
    <cellStyle name="Normal 10 12 3 7" xfId="16117" xr:uid="{00000000-0005-0000-0000-000023740000}"/>
    <cellStyle name="Normal 10 12 3_LNG &amp; LPG rework" xfId="6738" xr:uid="{00000000-0005-0000-0000-000024740000}"/>
    <cellStyle name="Normal 10 12 4" xfId="1646" xr:uid="{00000000-0005-0000-0000-000025740000}"/>
    <cellStyle name="Normal 10 12 4 2" xfId="10413" xr:uid="{00000000-0005-0000-0000-000026740000}"/>
    <cellStyle name="Normal 10 12 4 3" xfId="16122" xr:uid="{00000000-0005-0000-0000-000027740000}"/>
    <cellStyle name="Normal 10 12 5" xfId="1647" xr:uid="{00000000-0005-0000-0000-000028740000}"/>
    <cellStyle name="Normal 10 12 5 2" xfId="10414" xr:uid="{00000000-0005-0000-0000-000029740000}"/>
    <cellStyle name="Normal 10 12 5 3" xfId="16123" xr:uid="{00000000-0005-0000-0000-00002A740000}"/>
    <cellStyle name="Normal 10 12 6" xfId="1648" xr:uid="{00000000-0005-0000-0000-00002B740000}"/>
    <cellStyle name="Normal 10 12 6 2" xfId="10415" xr:uid="{00000000-0005-0000-0000-00002C740000}"/>
    <cellStyle name="Normal 10 12 6 3" xfId="16124" xr:uid="{00000000-0005-0000-0000-00002D740000}"/>
    <cellStyle name="Normal 10 12 7" xfId="1649" xr:uid="{00000000-0005-0000-0000-00002E740000}"/>
    <cellStyle name="Normal 10 12 7 2" xfId="10416" xr:uid="{00000000-0005-0000-0000-00002F740000}"/>
    <cellStyle name="Normal 10 12 7 3" xfId="16125" xr:uid="{00000000-0005-0000-0000-000030740000}"/>
    <cellStyle name="Normal 10 12 8" xfId="10402" xr:uid="{00000000-0005-0000-0000-000031740000}"/>
    <cellStyle name="Normal 10 12 9" xfId="16111" xr:uid="{00000000-0005-0000-0000-000032740000}"/>
    <cellStyle name="Normal 10 12_LNG &amp; LPG rework" xfId="6737" xr:uid="{00000000-0005-0000-0000-000033740000}"/>
    <cellStyle name="Normal 10 13" xfId="1650" xr:uid="{00000000-0005-0000-0000-000034740000}"/>
    <cellStyle name="Normal 10 13 2" xfId="1651" xr:uid="{00000000-0005-0000-0000-000035740000}"/>
    <cellStyle name="Normal 10 13 2 2" xfId="1652" xr:uid="{00000000-0005-0000-0000-000036740000}"/>
    <cellStyle name="Normal 10 13 2 2 2" xfId="10419" xr:uid="{00000000-0005-0000-0000-000037740000}"/>
    <cellStyle name="Normal 10 13 2 2 3" xfId="16128" xr:uid="{00000000-0005-0000-0000-000038740000}"/>
    <cellStyle name="Normal 10 13 2 3" xfId="1653" xr:uid="{00000000-0005-0000-0000-000039740000}"/>
    <cellStyle name="Normal 10 13 2 3 2" xfId="10420" xr:uid="{00000000-0005-0000-0000-00003A740000}"/>
    <cellStyle name="Normal 10 13 2 3 3" xfId="16129" xr:uid="{00000000-0005-0000-0000-00003B740000}"/>
    <cellStyle name="Normal 10 13 2 4" xfId="1654" xr:uid="{00000000-0005-0000-0000-00003C740000}"/>
    <cellStyle name="Normal 10 13 2 4 2" xfId="10421" xr:uid="{00000000-0005-0000-0000-00003D740000}"/>
    <cellStyle name="Normal 10 13 2 4 3" xfId="16130" xr:uid="{00000000-0005-0000-0000-00003E740000}"/>
    <cellStyle name="Normal 10 13 2 5" xfId="1655" xr:uid="{00000000-0005-0000-0000-00003F740000}"/>
    <cellStyle name="Normal 10 13 2 5 2" xfId="10422" xr:uid="{00000000-0005-0000-0000-000040740000}"/>
    <cellStyle name="Normal 10 13 2 5 3" xfId="16131" xr:uid="{00000000-0005-0000-0000-000041740000}"/>
    <cellStyle name="Normal 10 13 2 6" xfId="10418" xr:uid="{00000000-0005-0000-0000-000042740000}"/>
    <cellStyle name="Normal 10 13 2 7" xfId="16127" xr:uid="{00000000-0005-0000-0000-000043740000}"/>
    <cellStyle name="Normal 10 13 2_LNG &amp; LPG rework" xfId="6740" xr:uid="{00000000-0005-0000-0000-000044740000}"/>
    <cellStyle name="Normal 10 13 3" xfId="1656" xr:uid="{00000000-0005-0000-0000-000045740000}"/>
    <cellStyle name="Normal 10 13 3 2" xfId="1657" xr:uid="{00000000-0005-0000-0000-000046740000}"/>
    <cellStyle name="Normal 10 13 3 2 2" xfId="10424" xr:uid="{00000000-0005-0000-0000-000047740000}"/>
    <cellStyle name="Normal 10 13 3 2 3" xfId="16133" xr:uid="{00000000-0005-0000-0000-000048740000}"/>
    <cellStyle name="Normal 10 13 3 3" xfId="1658" xr:uid="{00000000-0005-0000-0000-000049740000}"/>
    <cellStyle name="Normal 10 13 3 3 2" xfId="10425" xr:uid="{00000000-0005-0000-0000-00004A740000}"/>
    <cellStyle name="Normal 10 13 3 3 3" xfId="16134" xr:uid="{00000000-0005-0000-0000-00004B740000}"/>
    <cellStyle name="Normal 10 13 3 4" xfId="1659" xr:uid="{00000000-0005-0000-0000-00004C740000}"/>
    <cellStyle name="Normal 10 13 3 4 2" xfId="10426" xr:uid="{00000000-0005-0000-0000-00004D740000}"/>
    <cellStyle name="Normal 10 13 3 4 3" xfId="16135" xr:uid="{00000000-0005-0000-0000-00004E740000}"/>
    <cellStyle name="Normal 10 13 3 5" xfId="1660" xr:uid="{00000000-0005-0000-0000-00004F740000}"/>
    <cellStyle name="Normal 10 13 3 5 2" xfId="10427" xr:uid="{00000000-0005-0000-0000-000050740000}"/>
    <cellStyle name="Normal 10 13 3 5 3" xfId="16136" xr:uid="{00000000-0005-0000-0000-000051740000}"/>
    <cellStyle name="Normal 10 13 3 6" xfId="10423" xr:uid="{00000000-0005-0000-0000-000052740000}"/>
    <cellStyle name="Normal 10 13 3 7" xfId="16132" xr:uid="{00000000-0005-0000-0000-000053740000}"/>
    <cellStyle name="Normal 10 13 3_LNG &amp; LPG rework" xfId="6741" xr:uid="{00000000-0005-0000-0000-000054740000}"/>
    <cellStyle name="Normal 10 13 4" xfId="1661" xr:uid="{00000000-0005-0000-0000-000055740000}"/>
    <cellStyle name="Normal 10 13 4 2" xfId="10428" xr:uid="{00000000-0005-0000-0000-000056740000}"/>
    <cellStyle name="Normal 10 13 4 3" xfId="16137" xr:uid="{00000000-0005-0000-0000-000057740000}"/>
    <cellStyle name="Normal 10 13 5" xfId="1662" xr:uid="{00000000-0005-0000-0000-000058740000}"/>
    <cellStyle name="Normal 10 13 5 2" xfId="10429" xr:uid="{00000000-0005-0000-0000-000059740000}"/>
    <cellStyle name="Normal 10 13 5 3" xfId="16138" xr:uid="{00000000-0005-0000-0000-00005A740000}"/>
    <cellStyle name="Normal 10 13 6" xfId="1663" xr:uid="{00000000-0005-0000-0000-00005B740000}"/>
    <cellStyle name="Normal 10 13 6 2" xfId="10430" xr:uid="{00000000-0005-0000-0000-00005C740000}"/>
    <cellStyle name="Normal 10 13 6 3" xfId="16139" xr:uid="{00000000-0005-0000-0000-00005D740000}"/>
    <cellStyle name="Normal 10 13 7" xfId="1664" xr:uid="{00000000-0005-0000-0000-00005E740000}"/>
    <cellStyle name="Normal 10 13 7 2" xfId="10431" xr:uid="{00000000-0005-0000-0000-00005F740000}"/>
    <cellStyle name="Normal 10 13 7 3" xfId="16140" xr:uid="{00000000-0005-0000-0000-000060740000}"/>
    <cellStyle name="Normal 10 13 8" xfId="10417" xr:uid="{00000000-0005-0000-0000-000061740000}"/>
    <cellStyle name="Normal 10 13 9" xfId="16126" xr:uid="{00000000-0005-0000-0000-000062740000}"/>
    <cellStyle name="Normal 10 13_LNG &amp; LPG rework" xfId="6739" xr:uid="{00000000-0005-0000-0000-000063740000}"/>
    <cellStyle name="Normal 10 14" xfId="1665" xr:uid="{00000000-0005-0000-0000-000064740000}"/>
    <cellStyle name="Normal 10 14 2" xfId="1666" xr:uid="{00000000-0005-0000-0000-000065740000}"/>
    <cellStyle name="Normal 10 14 2 2" xfId="1667" xr:uid="{00000000-0005-0000-0000-000066740000}"/>
    <cellStyle name="Normal 10 14 2 2 2" xfId="10434" xr:uid="{00000000-0005-0000-0000-000067740000}"/>
    <cellStyle name="Normal 10 14 2 2 3" xfId="16143" xr:uid="{00000000-0005-0000-0000-000068740000}"/>
    <cellStyle name="Normal 10 14 2 3" xfId="1668" xr:uid="{00000000-0005-0000-0000-000069740000}"/>
    <cellStyle name="Normal 10 14 2 3 2" xfId="10435" xr:uid="{00000000-0005-0000-0000-00006A740000}"/>
    <cellStyle name="Normal 10 14 2 3 3" xfId="16144" xr:uid="{00000000-0005-0000-0000-00006B740000}"/>
    <cellStyle name="Normal 10 14 2 4" xfId="1669" xr:uid="{00000000-0005-0000-0000-00006C740000}"/>
    <cellStyle name="Normal 10 14 2 4 2" xfId="10436" xr:uid="{00000000-0005-0000-0000-00006D740000}"/>
    <cellStyle name="Normal 10 14 2 4 3" xfId="16145" xr:uid="{00000000-0005-0000-0000-00006E740000}"/>
    <cellStyle name="Normal 10 14 2 5" xfId="1670" xr:uid="{00000000-0005-0000-0000-00006F740000}"/>
    <cellStyle name="Normal 10 14 2 5 2" xfId="10437" xr:uid="{00000000-0005-0000-0000-000070740000}"/>
    <cellStyle name="Normal 10 14 2 5 3" xfId="16146" xr:uid="{00000000-0005-0000-0000-000071740000}"/>
    <cellStyle name="Normal 10 14 2 6" xfId="10433" xr:uid="{00000000-0005-0000-0000-000072740000}"/>
    <cellStyle name="Normal 10 14 2 7" xfId="16142" xr:uid="{00000000-0005-0000-0000-000073740000}"/>
    <cellStyle name="Normal 10 14 2_LNG &amp; LPG rework" xfId="6743" xr:uid="{00000000-0005-0000-0000-000074740000}"/>
    <cellStyle name="Normal 10 14 3" xfId="1671" xr:uid="{00000000-0005-0000-0000-000075740000}"/>
    <cellStyle name="Normal 10 14 3 2" xfId="1672" xr:uid="{00000000-0005-0000-0000-000076740000}"/>
    <cellStyle name="Normal 10 14 3 2 2" xfId="10439" xr:uid="{00000000-0005-0000-0000-000077740000}"/>
    <cellStyle name="Normal 10 14 3 2 3" xfId="16148" xr:uid="{00000000-0005-0000-0000-000078740000}"/>
    <cellStyle name="Normal 10 14 3 3" xfId="1673" xr:uid="{00000000-0005-0000-0000-000079740000}"/>
    <cellStyle name="Normal 10 14 3 3 2" xfId="10440" xr:uid="{00000000-0005-0000-0000-00007A740000}"/>
    <cellStyle name="Normal 10 14 3 3 3" xfId="16149" xr:uid="{00000000-0005-0000-0000-00007B740000}"/>
    <cellStyle name="Normal 10 14 3 4" xfId="1674" xr:uid="{00000000-0005-0000-0000-00007C740000}"/>
    <cellStyle name="Normal 10 14 3 4 2" xfId="10441" xr:uid="{00000000-0005-0000-0000-00007D740000}"/>
    <cellStyle name="Normal 10 14 3 4 3" xfId="16150" xr:uid="{00000000-0005-0000-0000-00007E740000}"/>
    <cellStyle name="Normal 10 14 3 5" xfId="1675" xr:uid="{00000000-0005-0000-0000-00007F740000}"/>
    <cellStyle name="Normal 10 14 3 5 2" xfId="10442" xr:uid="{00000000-0005-0000-0000-000080740000}"/>
    <cellStyle name="Normal 10 14 3 5 3" xfId="16151" xr:uid="{00000000-0005-0000-0000-000081740000}"/>
    <cellStyle name="Normal 10 14 3 6" xfId="10438" xr:uid="{00000000-0005-0000-0000-000082740000}"/>
    <cellStyle name="Normal 10 14 3 7" xfId="16147" xr:uid="{00000000-0005-0000-0000-000083740000}"/>
    <cellStyle name="Normal 10 14 3_LNG &amp; LPG rework" xfId="6744" xr:uid="{00000000-0005-0000-0000-000084740000}"/>
    <cellStyle name="Normal 10 14 4" xfId="1676" xr:uid="{00000000-0005-0000-0000-000085740000}"/>
    <cellStyle name="Normal 10 14 4 2" xfId="10443" xr:uid="{00000000-0005-0000-0000-000086740000}"/>
    <cellStyle name="Normal 10 14 4 3" xfId="16152" xr:uid="{00000000-0005-0000-0000-000087740000}"/>
    <cellStyle name="Normal 10 14 5" xfId="1677" xr:uid="{00000000-0005-0000-0000-000088740000}"/>
    <cellStyle name="Normal 10 14 5 2" xfId="10444" xr:uid="{00000000-0005-0000-0000-000089740000}"/>
    <cellStyle name="Normal 10 14 5 3" xfId="16153" xr:uid="{00000000-0005-0000-0000-00008A740000}"/>
    <cellStyle name="Normal 10 14 6" xfId="1678" xr:uid="{00000000-0005-0000-0000-00008B740000}"/>
    <cellStyle name="Normal 10 14 6 2" xfId="10445" xr:uid="{00000000-0005-0000-0000-00008C740000}"/>
    <cellStyle name="Normal 10 14 6 3" xfId="16154" xr:uid="{00000000-0005-0000-0000-00008D740000}"/>
    <cellStyle name="Normal 10 14 7" xfId="1679" xr:uid="{00000000-0005-0000-0000-00008E740000}"/>
    <cellStyle name="Normal 10 14 7 2" xfId="10446" xr:uid="{00000000-0005-0000-0000-00008F740000}"/>
    <cellStyle name="Normal 10 14 7 3" xfId="16155" xr:uid="{00000000-0005-0000-0000-000090740000}"/>
    <cellStyle name="Normal 10 14 8" xfId="10432" xr:uid="{00000000-0005-0000-0000-000091740000}"/>
    <cellStyle name="Normal 10 14 9" xfId="16141" xr:uid="{00000000-0005-0000-0000-000092740000}"/>
    <cellStyle name="Normal 10 14_LNG &amp; LPG rework" xfId="6742" xr:uid="{00000000-0005-0000-0000-000093740000}"/>
    <cellStyle name="Normal 10 15" xfId="1680" xr:uid="{00000000-0005-0000-0000-000094740000}"/>
    <cellStyle name="Normal 10 15 2" xfId="1681" xr:uid="{00000000-0005-0000-0000-000095740000}"/>
    <cellStyle name="Normal 10 15 2 2" xfId="1682" xr:uid="{00000000-0005-0000-0000-000096740000}"/>
    <cellStyle name="Normal 10 15 2 2 2" xfId="10449" xr:uid="{00000000-0005-0000-0000-000097740000}"/>
    <cellStyle name="Normal 10 15 2 2 3" xfId="16158" xr:uid="{00000000-0005-0000-0000-000098740000}"/>
    <cellStyle name="Normal 10 15 2 3" xfId="1683" xr:uid="{00000000-0005-0000-0000-000099740000}"/>
    <cellStyle name="Normal 10 15 2 3 2" xfId="10450" xr:uid="{00000000-0005-0000-0000-00009A740000}"/>
    <cellStyle name="Normal 10 15 2 3 3" xfId="16159" xr:uid="{00000000-0005-0000-0000-00009B740000}"/>
    <cellStyle name="Normal 10 15 2 4" xfId="1684" xr:uid="{00000000-0005-0000-0000-00009C740000}"/>
    <cellStyle name="Normal 10 15 2 4 2" xfId="10451" xr:uid="{00000000-0005-0000-0000-00009D740000}"/>
    <cellStyle name="Normal 10 15 2 4 3" xfId="16160" xr:uid="{00000000-0005-0000-0000-00009E740000}"/>
    <cellStyle name="Normal 10 15 2 5" xfId="1685" xr:uid="{00000000-0005-0000-0000-00009F740000}"/>
    <cellStyle name="Normal 10 15 2 5 2" xfId="10452" xr:uid="{00000000-0005-0000-0000-0000A0740000}"/>
    <cellStyle name="Normal 10 15 2 5 3" xfId="16161" xr:uid="{00000000-0005-0000-0000-0000A1740000}"/>
    <cellStyle name="Normal 10 15 2 6" xfId="10448" xr:uid="{00000000-0005-0000-0000-0000A2740000}"/>
    <cellStyle name="Normal 10 15 2 7" xfId="16157" xr:uid="{00000000-0005-0000-0000-0000A3740000}"/>
    <cellStyle name="Normal 10 15 2_LNG &amp; LPG rework" xfId="6746" xr:uid="{00000000-0005-0000-0000-0000A4740000}"/>
    <cellStyle name="Normal 10 15 3" xfId="1686" xr:uid="{00000000-0005-0000-0000-0000A5740000}"/>
    <cellStyle name="Normal 10 15 3 2" xfId="1687" xr:uid="{00000000-0005-0000-0000-0000A6740000}"/>
    <cellStyle name="Normal 10 15 3 2 2" xfId="10454" xr:uid="{00000000-0005-0000-0000-0000A7740000}"/>
    <cellStyle name="Normal 10 15 3 2 3" xfId="16163" xr:uid="{00000000-0005-0000-0000-0000A8740000}"/>
    <cellStyle name="Normal 10 15 3 3" xfId="1688" xr:uid="{00000000-0005-0000-0000-0000A9740000}"/>
    <cellStyle name="Normal 10 15 3 3 2" xfId="10455" xr:uid="{00000000-0005-0000-0000-0000AA740000}"/>
    <cellStyle name="Normal 10 15 3 3 3" xfId="16164" xr:uid="{00000000-0005-0000-0000-0000AB740000}"/>
    <cellStyle name="Normal 10 15 3 4" xfId="1689" xr:uid="{00000000-0005-0000-0000-0000AC740000}"/>
    <cellStyle name="Normal 10 15 3 4 2" xfId="10456" xr:uid="{00000000-0005-0000-0000-0000AD740000}"/>
    <cellStyle name="Normal 10 15 3 4 3" xfId="16165" xr:uid="{00000000-0005-0000-0000-0000AE740000}"/>
    <cellStyle name="Normal 10 15 3 5" xfId="1690" xr:uid="{00000000-0005-0000-0000-0000AF740000}"/>
    <cellStyle name="Normal 10 15 3 5 2" xfId="10457" xr:uid="{00000000-0005-0000-0000-0000B0740000}"/>
    <cellStyle name="Normal 10 15 3 5 3" xfId="16166" xr:uid="{00000000-0005-0000-0000-0000B1740000}"/>
    <cellStyle name="Normal 10 15 3 6" xfId="10453" xr:uid="{00000000-0005-0000-0000-0000B2740000}"/>
    <cellStyle name="Normal 10 15 3 7" xfId="16162" xr:uid="{00000000-0005-0000-0000-0000B3740000}"/>
    <cellStyle name="Normal 10 15 3_LNG &amp; LPG rework" xfId="6747" xr:uid="{00000000-0005-0000-0000-0000B4740000}"/>
    <cellStyle name="Normal 10 15 4" xfId="1691" xr:uid="{00000000-0005-0000-0000-0000B5740000}"/>
    <cellStyle name="Normal 10 15 4 2" xfId="10458" xr:uid="{00000000-0005-0000-0000-0000B6740000}"/>
    <cellStyle name="Normal 10 15 4 3" xfId="16167" xr:uid="{00000000-0005-0000-0000-0000B7740000}"/>
    <cellStyle name="Normal 10 15 5" xfId="1692" xr:uid="{00000000-0005-0000-0000-0000B8740000}"/>
    <cellStyle name="Normal 10 15 5 2" xfId="10459" xr:uid="{00000000-0005-0000-0000-0000B9740000}"/>
    <cellStyle name="Normal 10 15 5 3" xfId="16168" xr:uid="{00000000-0005-0000-0000-0000BA740000}"/>
    <cellStyle name="Normal 10 15 6" xfId="1693" xr:uid="{00000000-0005-0000-0000-0000BB740000}"/>
    <cellStyle name="Normal 10 15 6 2" xfId="10460" xr:uid="{00000000-0005-0000-0000-0000BC740000}"/>
    <cellStyle name="Normal 10 15 6 3" xfId="16169" xr:uid="{00000000-0005-0000-0000-0000BD740000}"/>
    <cellStyle name="Normal 10 15 7" xfId="1694" xr:uid="{00000000-0005-0000-0000-0000BE740000}"/>
    <cellStyle name="Normal 10 15 7 2" xfId="10461" xr:uid="{00000000-0005-0000-0000-0000BF740000}"/>
    <cellStyle name="Normal 10 15 7 3" xfId="16170" xr:uid="{00000000-0005-0000-0000-0000C0740000}"/>
    <cellStyle name="Normal 10 15 8" xfId="10447" xr:uid="{00000000-0005-0000-0000-0000C1740000}"/>
    <cellStyle name="Normal 10 15 9" xfId="16156" xr:uid="{00000000-0005-0000-0000-0000C2740000}"/>
    <cellStyle name="Normal 10 15_LNG &amp; LPG rework" xfId="6745" xr:uid="{00000000-0005-0000-0000-0000C3740000}"/>
    <cellStyle name="Normal 10 16" xfId="1695" xr:uid="{00000000-0005-0000-0000-0000C4740000}"/>
    <cellStyle name="Normal 10 16 2" xfId="1696" xr:uid="{00000000-0005-0000-0000-0000C5740000}"/>
    <cellStyle name="Normal 10 16 2 2" xfId="1697" xr:uid="{00000000-0005-0000-0000-0000C6740000}"/>
    <cellStyle name="Normal 10 16 2 2 2" xfId="10464" xr:uid="{00000000-0005-0000-0000-0000C7740000}"/>
    <cellStyle name="Normal 10 16 2 2 3" xfId="16173" xr:uid="{00000000-0005-0000-0000-0000C8740000}"/>
    <cellStyle name="Normal 10 16 2 3" xfId="1698" xr:uid="{00000000-0005-0000-0000-0000C9740000}"/>
    <cellStyle name="Normal 10 16 2 3 2" xfId="10465" xr:uid="{00000000-0005-0000-0000-0000CA740000}"/>
    <cellStyle name="Normal 10 16 2 3 3" xfId="16174" xr:uid="{00000000-0005-0000-0000-0000CB740000}"/>
    <cellStyle name="Normal 10 16 2 4" xfId="1699" xr:uid="{00000000-0005-0000-0000-0000CC740000}"/>
    <cellStyle name="Normal 10 16 2 4 2" xfId="10466" xr:uid="{00000000-0005-0000-0000-0000CD740000}"/>
    <cellStyle name="Normal 10 16 2 4 3" xfId="16175" xr:uid="{00000000-0005-0000-0000-0000CE740000}"/>
    <cellStyle name="Normal 10 16 2 5" xfId="1700" xr:uid="{00000000-0005-0000-0000-0000CF740000}"/>
    <cellStyle name="Normal 10 16 2 5 2" xfId="10467" xr:uid="{00000000-0005-0000-0000-0000D0740000}"/>
    <cellStyle name="Normal 10 16 2 5 3" xfId="16176" xr:uid="{00000000-0005-0000-0000-0000D1740000}"/>
    <cellStyle name="Normal 10 16 2 6" xfId="10463" xr:uid="{00000000-0005-0000-0000-0000D2740000}"/>
    <cellStyle name="Normal 10 16 2 7" xfId="16172" xr:uid="{00000000-0005-0000-0000-0000D3740000}"/>
    <cellStyle name="Normal 10 16 2_LNG &amp; LPG rework" xfId="6749" xr:uid="{00000000-0005-0000-0000-0000D4740000}"/>
    <cellStyle name="Normal 10 16 3" xfId="1701" xr:uid="{00000000-0005-0000-0000-0000D5740000}"/>
    <cellStyle name="Normal 10 16 3 2" xfId="1702" xr:uid="{00000000-0005-0000-0000-0000D6740000}"/>
    <cellStyle name="Normal 10 16 3 2 2" xfId="10469" xr:uid="{00000000-0005-0000-0000-0000D7740000}"/>
    <cellStyle name="Normal 10 16 3 2 3" xfId="16178" xr:uid="{00000000-0005-0000-0000-0000D8740000}"/>
    <cellStyle name="Normal 10 16 3 3" xfId="1703" xr:uid="{00000000-0005-0000-0000-0000D9740000}"/>
    <cellStyle name="Normal 10 16 3 3 2" xfId="10470" xr:uid="{00000000-0005-0000-0000-0000DA740000}"/>
    <cellStyle name="Normal 10 16 3 3 3" xfId="16179" xr:uid="{00000000-0005-0000-0000-0000DB740000}"/>
    <cellStyle name="Normal 10 16 3 4" xfId="1704" xr:uid="{00000000-0005-0000-0000-0000DC740000}"/>
    <cellStyle name="Normal 10 16 3 4 2" xfId="10471" xr:uid="{00000000-0005-0000-0000-0000DD740000}"/>
    <cellStyle name="Normal 10 16 3 4 3" xfId="16180" xr:uid="{00000000-0005-0000-0000-0000DE740000}"/>
    <cellStyle name="Normal 10 16 3 5" xfId="1705" xr:uid="{00000000-0005-0000-0000-0000DF740000}"/>
    <cellStyle name="Normal 10 16 3 5 2" xfId="10472" xr:uid="{00000000-0005-0000-0000-0000E0740000}"/>
    <cellStyle name="Normal 10 16 3 5 3" xfId="16181" xr:uid="{00000000-0005-0000-0000-0000E1740000}"/>
    <cellStyle name="Normal 10 16 3 6" xfId="10468" xr:uid="{00000000-0005-0000-0000-0000E2740000}"/>
    <cellStyle name="Normal 10 16 3 7" xfId="16177" xr:uid="{00000000-0005-0000-0000-0000E3740000}"/>
    <cellStyle name="Normal 10 16 3_LNG &amp; LPG rework" xfId="6726" xr:uid="{00000000-0005-0000-0000-0000E4740000}"/>
    <cellStyle name="Normal 10 16 4" xfId="1706" xr:uid="{00000000-0005-0000-0000-0000E5740000}"/>
    <cellStyle name="Normal 10 16 4 2" xfId="10473" xr:uid="{00000000-0005-0000-0000-0000E6740000}"/>
    <cellStyle name="Normal 10 16 4 3" xfId="16182" xr:uid="{00000000-0005-0000-0000-0000E7740000}"/>
    <cellStyle name="Normal 10 16 5" xfId="1707" xr:uid="{00000000-0005-0000-0000-0000E8740000}"/>
    <cellStyle name="Normal 10 16 5 2" xfId="10474" xr:uid="{00000000-0005-0000-0000-0000E9740000}"/>
    <cellStyle name="Normal 10 16 5 3" xfId="16183" xr:uid="{00000000-0005-0000-0000-0000EA740000}"/>
    <cellStyle name="Normal 10 16 6" xfId="1708" xr:uid="{00000000-0005-0000-0000-0000EB740000}"/>
    <cellStyle name="Normal 10 16 6 2" xfId="10475" xr:uid="{00000000-0005-0000-0000-0000EC740000}"/>
    <cellStyle name="Normal 10 16 6 3" xfId="16184" xr:uid="{00000000-0005-0000-0000-0000ED740000}"/>
    <cellStyle name="Normal 10 16 7" xfId="1709" xr:uid="{00000000-0005-0000-0000-0000EE740000}"/>
    <cellStyle name="Normal 10 16 7 2" xfId="10476" xr:uid="{00000000-0005-0000-0000-0000EF740000}"/>
    <cellStyle name="Normal 10 16 7 3" xfId="16185" xr:uid="{00000000-0005-0000-0000-0000F0740000}"/>
    <cellStyle name="Normal 10 16 8" xfId="10462" xr:uid="{00000000-0005-0000-0000-0000F1740000}"/>
    <cellStyle name="Normal 10 16 9" xfId="16171" xr:uid="{00000000-0005-0000-0000-0000F2740000}"/>
    <cellStyle name="Normal 10 16_LNG &amp; LPG rework" xfId="6748" xr:uid="{00000000-0005-0000-0000-0000F3740000}"/>
    <cellStyle name="Normal 10 17" xfId="1710" xr:uid="{00000000-0005-0000-0000-0000F4740000}"/>
    <cellStyle name="Normal 10 17 2" xfId="1711" xr:uid="{00000000-0005-0000-0000-0000F5740000}"/>
    <cellStyle name="Normal 10 17 2 2" xfId="1712" xr:uid="{00000000-0005-0000-0000-0000F6740000}"/>
    <cellStyle name="Normal 10 17 2 2 2" xfId="10479" xr:uid="{00000000-0005-0000-0000-0000F7740000}"/>
    <cellStyle name="Normal 10 17 2 2 3" xfId="16188" xr:uid="{00000000-0005-0000-0000-0000F8740000}"/>
    <cellStyle name="Normal 10 17 2 3" xfId="1713" xr:uid="{00000000-0005-0000-0000-0000F9740000}"/>
    <cellStyle name="Normal 10 17 2 3 2" xfId="10480" xr:uid="{00000000-0005-0000-0000-0000FA740000}"/>
    <cellStyle name="Normal 10 17 2 3 3" xfId="16189" xr:uid="{00000000-0005-0000-0000-0000FB740000}"/>
    <cellStyle name="Normal 10 17 2 4" xfId="1714" xr:uid="{00000000-0005-0000-0000-0000FC740000}"/>
    <cellStyle name="Normal 10 17 2 4 2" xfId="10481" xr:uid="{00000000-0005-0000-0000-0000FD740000}"/>
    <cellStyle name="Normal 10 17 2 4 3" xfId="16190" xr:uid="{00000000-0005-0000-0000-0000FE740000}"/>
    <cellStyle name="Normal 10 17 2 5" xfId="1715" xr:uid="{00000000-0005-0000-0000-0000FF740000}"/>
    <cellStyle name="Normal 10 17 2 5 2" xfId="10482" xr:uid="{00000000-0005-0000-0000-000000750000}"/>
    <cellStyle name="Normal 10 17 2 5 3" xfId="16191" xr:uid="{00000000-0005-0000-0000-000001750000}"/>
    <cellStyle name="Normal 10 17 2 6" xfId="10478" xr:uid="{00000000-0005-0000-0000-000002750000}"/>
    <cellStyle name="Normal 10 17 2 7" xfId="16187" xr:uid="{00000000-0005-0000-0000-000003750000}"/>
    <cellStyle name="Normal 10 17 2_LNG &amp; LPG rework" xfId="6724" xr:uid="{00000000-0005-0000-0000-000004750000}"/>
    <cellStyle name="Normal 10 17 3" xfId="1716" xr:uid="{00000000-0005-0000-0000-000005750000}"/>
    <cellStyle name="Normal 10 17 3 2" xfId="1717" xr:uid="{00000000-0005-0000-0000-000006750000}"/>
    <cellStyle name="Normal 10 17 3 2 2" xfId="10484" xr:uid="{00000000-0005-0000-0000-000007750000}"/>
    <cellStyle name="Normal 10 17 3 2 3" xfId="16193" xr:uid="{00000000-0005-0000-0000-000008750000}"/>
    <cellStyle name="Normal 10 17 3 3" xfId="1718" xr:uid="{00000000-0005-0000-0000-000009750000}"/>
    <cellStyle name="Normal 10 17 3 3 2" xfId="10485" xr:uid="{00000000-0005-0000-0000-00000A750000}"/>
    <cellStyle name="Normal 10 17 3 3 3" xfId="16194" xr:uid="{00000000-0005-0000-0000-00000B750000}"/>
    <cellStyle name="Normal 10 17 3 4" xfId="1719" xr:uid="{00000000-0005-0000-0000-00000C750000}"/>
    <cellStyle name="Normal 10 17 3 4 2" xfId="10486" xr:uid="{00000000-0005-0000-0000-00000D750000}"/>
    <cellStyle name="Normal 10 17 3 4 3" xfId="16195" xr:uid="{00000000-0005-0000-0000-00000E750000}"/>
    <cellStyle name="Normal 10 17 3 5" xfId="1720" xr:uid="{00000000-0005-0000-0000-00000F750000}"/>
    <cellStyle name="Normal 10 17 3 5 2" xfId="10487" xr:uid="{00000000-0005-0000-0000-000010750000}"/>
    <cellStyle name="Normal 10 17 3 5 3" xfId="16196" xr:uid="{00000000-0005-0000-0000-000011750000}"/>
    <cellStyle name="Normal 10 17 3 6" xfId="10483" xr:uid="{00000000-0005-0000-0000-000012750000}"/>
    <cellStyle name="Normal 10 17 3 7" xfId="16192" xr:uid="{00000000-0005-0000-0000-000013750000}"/>
    <cellStyle name="Normal 10 17 3_LNG &amp; LPG rework" xfId="6723" xr:uid="{00000000-0005-0000-0000-000014750000}"/>
    <cellStyle name="Normal 10 17 4" xfId="1721" xr:uid="{00000000-0005-0000-0000-000015750000}"/>
    <cellStyle name="Normal 10 17 4 2" xfId="10488" xr:uid="{00000000-0005-0000-0000-000016750000}"/>
    <cellStyle name="Normal 10 17 4 3" xfId="16197" xr:uid="{00000000-0005-0000-0000-000017750000}"/>
    <cellStyle name="Normal 10 17 5" xfId="1722" xr:uid="{00000000-0005-0000-0000-000018750000}"/>
    <cellStyle name="Normal 10 17 5 2" xfId="10489" xr:uid="{00000000-0005-0000-0000-000019750000}"/>
    <cellStyle name="Normal 10 17 5 3" xfId="16198" xr:uid="{00000000-0005-0000-0000-00001A750000}"/>
    <cellStyle name="Normal 10 17 6" xfId="1723" xr:uid="{00000000-0005-0000-0000-00001B750000}"/>
    <cellStyle name="Normal 10 17 6 2" xfId="10490" xr:uid="{00000000-0005-0000-0000-00001C750000}"/>
    <cellStyle name="Normal 10 17 6 3" xfId="16199" xr:uid="{00000000-0005-0000-0000-00001D750000}"/>
    <cellStyle name="Normal 10 17 7" xfId="1724" xr:uid="{00000000-0005-0000-0000-00001E750000}"/>
    <cellStyle name="Normal 10 17 7 2" xfId="10491" xr:uid="{00000000-0005-0000-0000-00001F750000}"/>
    <cellStyle name="Normal 10 17 7 3" xfId="16200" xr:uid="{00000000-0005-0000-0000-000020750000}"/>
    <cellStyle name="Normal 10 17 8" xfId="10477" xr:uid="{00000000-0005-0000-0000-000021750000}"/>
    <cellStyle name="Normal 10 17 9" xfId="16186" xr:uid="{00000000-0005-0000-0000-000022750000}"/>
    <cellStyle name="Normal 10 17_LNG &amp; LPG rework" xfId="6725" xr:uid="{00000000-0005-0000-0000-000023750000}"/>
    <cellStyle name="Normal 10 18" xfId="1725" xr:uid="{00000000-0005-0000-0000-000024750000}"/>
    <cellStyle name="Normal 10 18 2" xfId="1726" xr:uid="{00000000-0005-0000-0000-000025750000}"/>
    <cellStyle name="Normal 10 18 2 2" xfId="1727" xr:uid="{00000000-0005-0000-0000-000026750000}"/>
    <cellStyle name="Normal 10 18 2 2 2" xfId="10494" xr:uid="{00000000-0005-0000-0000-000027750000}"/>
    <cellStyle name="Normal 10 18 2 2 3" xfId="16203" xr:uid="{00000000-0005-0000-0000-000028750000}"/>
    <cellStyle name="Normal 10 18 2 3" xfId="1728" xr:uid="{00000000-0005-0000-0000-000029750000}"/>
    <cellStyle name="Normal 10 18 2 3 2" xfId="10495" xr:uid="{00000000-0005-0000-0000-00002A750000}"/>
    <cellStyle name="Normal 10 18 2 3 3" xfId="16204" xr:uid="{00000000-0005-0000-0000-00002B750000}"/>
    <cellStyle name="Normal 10 18 2 4" xfId="1729" xr:uid="{00000000-0005-0000-0000-00002C750000}"/>
    <cellStyle name="Normal 10 18 2 4 2" xfId="10496" xr:uid="{00000000-0005-0000-0000-00002D750000}"/>
    <cellStyle name="Normal 10 18 2 4 3" xfId="16205" xr:uid="{00000000-0005-0000-0000-00002E750000}"/>
    <cellStyle name="Normal 10 18 2 5" xfId="1730" xr:uid="{00000000-0005-0000-0000-00002F750000}"/>
    <cellStyle name="Normal 10 18 2 5 2" xfId="10497" xr:uid="{00000000-0005-0000-0000-000030750000}"/>
    <cellStyle name="Normal 10 18 2 5 3" xfId="16206" xr:uid="{00000000-0005-0000-0000-000031750000}"/>
    <cellStyle name="Normal 10 18 2 6" xfId="10493" xr:uid="{00000000-0005-0000-0000-000032750000}"/>
    <cellStyle name="Normal 10 18 2 7" xfId="16202" xr:uid="{00000000-0005-0000-0000-000033750000}"/>
    <cellStyle name="Normal 10 18 2_LNG &amp; LPG rework" xfId="6721" xr:uid="{00000000-0005-0000-0000-000034750000}"/>
    <cellStyle name="Normal 10 18 3" xfId="1731" xr:uid="{00000000-0005-0000-0000-000035750000}"/>
    <cellStyle name="Normal 10 18 3 2" xfId="1732" xr:uid="{00000000-0005-0000-0000-000036750000}"/>
    <cellStyle name="Normal 10 18 3 2 2" xfId="10499" xr:uid="{00000000-0005-0000-0000-000037750000}"/>
    <cellStyle name="Normal 10 18 3 2 3" xfId="16208" xr:uid="{00000000-0005-0000-0000-000038750000}"/>
    <cellStyle name="Normal 10 18 3 3" xfId="1733" xr:uid="{00000000-0005-0000-0000-000039750000}"/>
    <cellStyle name="Normal 10 18 3 3 2" xfId="10500" xr:uid="{00000000-0005-0000-0000-00003A750000}"/>
    <cellStyle name="Normal 10 18 3 3 3" xfId="16209" xr:uid="{00000000-0005-0000-0000-00003B750000}"/>
    <cellStyle name="Normal 10 18 3 4" xfId="1734" xr:uid="{00000000-0005-0000-0000-00003C750000}"/>
    <cellStyle name="Normal 10 18 3 4 2" xfId="10501" xr:uid="{00000000-0005-0000-0000-00003D750000}"/>
    <cellStyle name="Normal 10 18 3 4 3" xfId="16210" xr:uid="{00000000-0005-0000-0000-00003E750000}"/>
    <cellStyle name="Normal 10 18 3 5" xfId="1735" xr:uid="{00000000-0005-0000-0000-00003F750000}"/>
    <cellStyle name="Normal 10 18 3 5 2" xfId="10502" xr:uid="{00000000-0005-0000-0000-000040750000}"/>
    <cellStyle name="Normal 10 18 3 5 3" xfId="16211" xr:uid="{00000000-0005-0000-0000-000041750000}"/>
    <cellStyle name="Normal 10 18 3 6" xfId="10498" xr:uid="{00000000-0005-0000-0000-000042750000}"/>
    <cellStyle name="Normal 10 18 3 7" xfId="16207" xr:uid="{00000000-0005-0000-0000-000043750000}"/>
    <cellStyle name="Normal 10 18 3_LNG &amp; LPG rework" xfId="6720" xr:uid="{00000000-0005-0000-0000-000044750000}"/>
    <cellStyle name="Normal 10 18 4" xfId="1736" xr:uid="{00000000-0005-0000-0000-000045750000}"/>
    <cellStyle name="Normal 10 18 4 2" xfId="10503" xr:uid="{00000000-0005-0000-0000-000046750000}"/>
    <cellStyle name="Normal 10 18 4 3" xfId="16212" xr:uid="{00000000-0005-0000-0000-000047750000}"/>
    <cellStyle name="Normal 10 18 5" xfId="1737" xr:uid="{00000000-0005-0000-0000-000048750000}"/>
    <cellStyle name="Normal 10 18 5 2" xfId="10504" xr:uid="{00000000-0005-0000-0000-000049750000}"/>
    <cellStyle name="Normal 10 18 5 3" xfId="16213" xr:uid="{00000000-0005-0000-0000-00004A750000}"/>
    <cellStyle name="Normal 10 18 6" xfId="1738" xr:uid="{00000000-0005-0000-0000-00004B750000}"/>
    <cellStyle name="Normal 10 18 6 2" xfId="10505" xr:uid="{00000000-0005-0000-0000-00004C750000}"/>
    <cellStyle name="Normal 10 18 6 3" xfId="16214" xr:uid="{00000000-0005-0000-0000-00004D750000}"/>
    <cellStyle name="Normal 10 18 7" xfId="1739" xr:uid="{00000000-0005-0000-0000-00004E750000}"/>
    <cellStyle name="Normal 10 18 7 2" xfId="10506" xr:uid="{00000000-0005-0000-0000-00004F750000}"/>
    <cellStyle name="Normal 10 18 7 3" xfId="16215" xr:uid="{00000000-0005-0000-0000-000050750000}"/>
    <cellStyle name="Normal 10 18 8" xfId="10492" xr:uid="{00000000-0005-0000-0000-000051750000}"/>
    <cellStyle name="Normal 10 18 9" xfId="16201" xr:uid="{00000000-0005-0000-0000-000052750000}"/>
    <cellStyle name="Normal 10 18_LNG &amp; LPG rework" xfId="6722" xr:uid="{00000000-0005-0000-0000-000053750000}"/>
    <cellStyle name="Normal 10 19" xfId="1740" xr:uid="{00000000-0005-0000-0000-000054750000}"/>
    <cellStyle name="Normal 10 19 2" xfId="1741" xr:uid="{00000000-0005-0000-0000-000055750000}"/>
    <cellStyle name="Normal 10 19 2 2" xfId="1742" xr:uid="{00000000-0005-0000-0000-000056750000}"/>
    <cellStyle name="Normal 10 19 2 2 2" xfId="10509" xr:uid="{00000000-0005-0000-0000-000057750000}"/>
    <cellStyle name="Normal 10 19 2 2 3" xfId="16218" xr:uid="{00000000-0005-0000-0000-000058750000}"/>
    <cellStyle name="Normal 10 19 2 3" xfId="1743" xr:uid="{00000000-0005-0000-0000-000059750000}"/>
    <cellStyle name="Normal 10 19 2 3 2" xfId="10510" xr:uid="{00000000-0005-0000-0000-00005A750000}"/>
    <cellStyle name="Normal 10 19 2 3 3" xfId="16219" xr:uid="{00000000-0005-0000-0000-00005B750000}"/>
    <cellStyle name="Normal 10 19 2 4" xfId="1744" xr:uid="{00000000-0005-0000-0000-00005C750000}"/>
    <cellStyle name="Normal 10 19 2 4 2" xfId="10511" xr:uid="{00000000-0005-0000-0000-00005D750000}"/>
    <cellStyle name="Normal 10 19 2 4 3" xfId="16220" xr:uid="{00000000-0005-0000-0000-00005E750000}"/>
    <cellStyle name="Normal 10 19 2 5" xfId="1745" xr:uid="{00000000-0005-0000-0000-00005F750000}"/>
    <cellStyle name="Normal 10 19 2 5 2" xfId="10512" xr:uid="{00000000-0005-0000-0000-000060750000}"/>
    <cellStyle name="Normal 10 19 2 5 3" xfId="16221" xr:uid="{00000000-0005-0000-0000-000061750000}"/>
    <cellStyle name="Normal 10 19 2 6" xfId="10508" xr:uid="{00000000-0005-0000-0000-000062750000}"/>
    <cellStyle name="Normal 10 19 2 7" xfId="16217" xr:uid="{00000000-0005-0000-0000-000063750000}"/>
    <cellStyle name="Normal 10 19 2_LNG &amp; LPG rework" xfId="6750" xr:uid="{00000000-0005-0000-0000-000064750000}"/>
    <cellStyle name="Normal 10 19 3" xfId="1746" xr:uid="{00000000-0005-0000-0000-000065750000}"/>
    <cellStyle name="Normal 10 19 3 2" xfId="1747" xr:uid="{00000000-0005-0000-0000-000066750000}"/>
    <cellStyle name="Normal 10 19 3 2 2" xfId="10514" xr:uid="{00000000-0005-0000-0000-000067750000}"/>
    <cellStyle name="Normal 10 19 3 2 3" xfId="16223" xr:uid="{00000000-0005-0000-0000-000068750000}"/>
    <cellStyle name="Normal 10 19 3 3" xfId="1748" xr:uid="{00000000-0005-0000-0000-000069750000}"/>
    <cellStyle name="Normal 10 19 3 3 2" xfId="10515" xr:uid="{00000000-0005-0000-0000-00006A750000}"/>
    <cellStyle name="Normal 10 19 3 3 3" xfId="16224" xr:uid="{00000000-0005-0000-0000-00006B750000}"/>
    <cellStyle name="Normal 10 19 3 4" xfId="1749" xr:uid="{00000000-0005-0000-0000-00006C750000}"/>
    <cellStyle name="Normal 10 19 3 4 2" xfId="10516" xr:uid="{00000000-0005-0000-0000-00006D750000}"/>
    <cellStyle name="Normal 10 19 3 4 3" xfId="16225" xr:uid="{00000000-0005-0000-0000-00006E750000}"/>
    <cellStyle name="Normal 10 19 3 5" xfId="1750" xr:uid="{00000000-0005-0000-0000-00006F750000}"/>
    <cellStyle name="Normal 10 19 3 5 2" xfId="10517" xr:uid="{00000000-0005-0000-0000-000070750000}"/>
    <cellStyle name="Normal 10 19 3 5 3" xfId="16226" xr:uid="{00000000-0005-0000-0000-000071750000}"/>
    <cellStyle name="Normal 10 19 3 6" xfId="10513" xr:uid="{00000000-0005-0000-0000-000072750000}"/>
    <cellStyle name="Normal 10 19 3 7" xfId="16222" xr:uid="{00000000-0005-0000-0000-000073750000}"/>
    <cellStyle name="Normal 10 19 3_LNG &amp; LPG rework" xfId="6751" xr:uid="{00000000-0005-0000-0000-000074750000}"/>
    <cellStyle name="Normal 10 19 4" xfId="1751" xr:uid="{00000000-0005-0000-0000-000075750000}"/>
    <cellStyle name="Normal 10 19 4 2" xfId="10518" xr:uid="{00000000-0005-0000-0000-000076750000}"/>
    <cellStyle name="Normal 10 19 4 3" xfId="16227" xr:uid="{00000000-0005-0000-0000-000077750000}"/>
    <cellStyle name="Normal 10 19 5" xfId="1752" xr:uid="{00000000-0005-0000-0000-000078750000}"/>
    <cellStyle name="Normal 10 19 5 2" xfId="10519" xr:uid="{00000000-0005-0000-0000-000079750000}"/>
    <cellStyle name="Normal 10 19 5 3" xfId="16228" xr:uid="{00000000-0005-0000-0000-00007A750000}"/>
    <cellStyle name="Normal 10 19 6" xfId="1753" xr:uid="{00000000-0005-0000-0000-00007B750000}"/>
    <cellStyle name="Normal 10 19 6 2" xfId="10520" xr:uid="{00000000-0005-0000-0000-00007C750000}"/>
    <cellStyle name="Normal 10 19 6 3" xfId="16229" xr:uid="{00000000-0005-0000-0000-00007D750000}"/>
    <cellStyle name="Normal 10 19 7" xfId="1754" xr:uid="{00000000-0005-0000-0000-00007E750000}"/>
    <cellStyle name="Normal 10 19 7 2" xfId="10521" xr:uid="{00000000-0005-0000-0000-00007F750000}"/>
    <cellStyle name="Normal 10 19 7 3" xfId="16230" xr:uid="{00000000-0005-0000-0000-000080750000}"/>
    <cellStyle name="Normal 10 19 8" xfId="10507" xr:uid="{00000000-0005-0000-0000-000081750000}"/>
    <cellStyle name="Normal 10 19 9" xfId="16216" xr:uid="{00000000-0005-0000-0000-000082750000}"/>
    <cellStyle name="Normal 10 19_LNG &amp; LPG rework" xfId="6719" xr:uid="{00000000-0005-0000-0000-000083750000}"/>
    <cellStyle name="Normal 10 2" xfId="314" xr:uid="{00000000-0005-0000-0000-000084750000}"/>
    <cellStyle name="Normal 10 2 10" xfId="1755" xr:uid="{00000000-0005-0000-0000-000085750000}"/>
    <cellStyle name="Normal 10 2 10 2" xfId="10522" xr:uid="{00000000-0005-0000-0000-000086750000}"/>
    <cellStyle name="Normal 10 2 10 3" xfId="16232" xr:uid="{00000000-0005-0000-0000-000087750000}"/>
    <cellStyle name="Normal 10 2 11" xfId="1756" xr:uid="{00000000-0005-0000-0000-000088750000}"/>
    <cellStyle name="Normal 10 2 11 2" xfId="10523" xr:uid="{00000000-0005-0000-0000-000089750000}"/>
    <cellStyle name="Normal 10 2 11 3" xfId="16233" xr:uid="{00000000-0005-0000-0000-00008A750000}"/>
    <cellStyle name="Normal 10 2 12" xfId="1757" xr:uid="{00000000-0005-0000-0000-00008B750000}"/>
    <cellStyle name="Normal 10 2 12 2" xfId="10524" xr:uid="{00000000-0005-0000-0000-00008C750000}"/>
    <cellStyle name="Normal 10 2 12 3" xfId="16234" xr:uid="{00000000-0005-0000-0000-00008D750000}"/>
    <cellStyle name="Normal 10 2 13" xfId="9165" xr:uid="{00000000-0005-0000-0000-00008E750000}"/>
    <cellStyle name="Normal 10 2 14" xfId="16231" xr:uid="{00000000-0005-0000-0000-00008F750000}"/>
    <cellStyle name="Normal 10 2 2" xfId="315" xr:uid="{00000000-0005-0000-0000-000090750000}"/>
    <cellStyle name="Normal 10 2 2 10" xfId="1758" xr:uid="{00000000-0005-0000-0000-000091750000}"/>
    <cellStyle name="Normal 10 2 2 10 2" xfId="10525" xr:uid="{00000000-0005-0000-0000-000092750000}"/>
    <cellStyle name="Normal 10 2 2 10 3" xfId="16236" xr:uid="{00000000-0005-0000-0000-000093750000}"/>
    <cellStyle name="Normal 10 2 2 11" xfId="9166" xr:uid="{00000000-0005-0000-0000-000094750000}"/>
    <cellStyle name="Normal 10 2 2 12" xfId="16235" xr:uid="{00000000-0005-0000-0000-000095750000}"/>
    <cellStyle name="Normal 10 2 2 2" xfId="316" xr:uid="{00000000-0005-0000-0000-000096750000}"/>
    <cellStyle name="Normal 10 2 2 2 10" xfId="16237" xr:uid="{00000000-0005-0000-0000-000097750000}"/>
    <cellStyle name="Normal 10 2 2 2 2" xfId="317" xr:uid="{00000000-0005-0000-0000-000098750000}"/>
    <cellStyle name="Normal 10 2 2 2 2 2" xfId="1759" xr:uid="{00000000-0005-0000-0000-000099750000}"/>
    <cellStyle name="Normal 10 2 2 2 2 2 2" xfId="10526" xr:uid="{00000000-0005-0000-0000-00009A750000}"/>
    <cellStyle name="Normal 10 2 2 2 2 2 3" xfId="16239" xr:uid="{00000000-0005-0000-0000-00009B750000}"/>
    <cellStyle name="Normal 10 2 2 2 2 3" xfId="1760" xr:uid="{00000000-0005-0000-0000-00009C750000}"/>
    <cellStyle name="Normal 10 2 2 2 2 3 2" xfId="10527" xr:uid="{00000000-0005-0000-0000-00009D750000}"/>
    <cellStyle name="Normal 10 2 2 2 2 3 3" xfId="16240" xr:uid="{00000000-0005-0000-0000-00009E750000}"/>
    <cellStyle name="Normal 10 2 2 2 2 4" xfId="1761" xr:uid="{00000000-0005-0000-0000-00009F750000}"/>
    <cellStyle name="Normal 10 2 2 2 2 4 2" xfId="10528" xr:uid="{00000000-0005-0000-0000-0000A0750000}"/>
    <cellStyle name="Normal 10 2 2 2 2 4 3" xfId="16241" xr:uid="{00000000-0005-0000-0000-0000A1750000}"/>
    <cellStyle name="Normal 10 2 2 2 2 5" xfId="1762" xr:uid="{00000000-0005-0000-0000-0000A2750000}"/>
    <cellStyle name="Normal 10 2 2 2 2 5 2" xfId="10529" xr:uid="{00000000-0005-0000-0000-0000A3750000}"/>
    <cellStyle name="Normal 10 2 2 2 2 5 3" xfId="16242" xr:uid="{00000000-0005-0000-0000-0000A4750000}"/>
    <cellStyle name="Normal 10 2 2 2 2 6" xfId="1763" xr:uid="{00000000-0005-0000-0000-0000A5750000}"/>
    <cellStyle name="Normal 10 2 2 2 2 6 2" xfId="10530" xr:uid="{00000000-0005-0000-0000-0000A6750000}"/>
    <cellStyle name="Normal 10 2 2 2 2 6 3" xfId="16243" xr:uid="{00000000-0005-0000-0000-0000A7750000}"/>
    <cellStyle name="Normal 10 2 2 2 2 7" xfId="9168" xr:uid="{00000000-0005-0000-0000-0000A8750000}"/>
    <cellStyle name="Normal 10 2 2 2 2 8" xfId="16238" xr:uid="{00000000-0005-0000-0000-0000A9750000}"/>
    <cellStyle name="Normal 10 2 2 2 2_LNG &amp; LPG rework" xfId="6754" xr:uid="{00000000-0005-0000-0000-0000AA750000}"/>
    <cellStyle name="Normal 10 2 2 2 3" xfId="1764" xr:uid="{00000000-0005-0000-0000-0000AB750000}"/>
    <cellStyle name="Normal 10 2 2 2 3 2" xfId="1765" xr:uid="{00000000-0005-0000-0000-0000AC750000}"/>
    <cellStyle name="Normal 10 2 2 2 3 2 2" xfId="10532" xr:uid="{00000000-0005-0000-0000-0000AD750000}"/>
    <cellStyle name="Normal 10 2 2 2 3 2 3" xfId="16245" xr:uid="{00000000-0005-0000-0000-0000AE750000}"/>
    <cellStyle name="Normal 10 2 2 2 3 3" xfId="1766" xr:uid="{00000000-0005-0000-0000-0000AF750000}"/>
    <cellStyle name="Normal 10 2 2 2 3 3 2" xfId="10533" xr:uid="{00000000-0005-0000-0000-0000B0750000}"/>
    <cellStyle name="Normal 10 2 2 2 3 3 3" xfId="16246" xr:uid="{00000000-0005-0000-0000-0000B1750000}"/>
    <cellStyle name="Normal 10 2 2 2 3 4" xfId="1767" xr:uid="{00000000-0005-0000-0000-0000B2750000}"/>
    <cellStyle name="Normal 10 2 2 2 3 4 2" xfId="10534" xr:uid="{00000000-0005-0000-0000-0000B3750000}"/>
    <cellStyle name="Normal 10 2 2 2 3 4 3" xfId="16247" xr:uid="{00000000-0005-0000-0000-0000B4750000}"/>
    <cellStyle name="Normal 10 2 2 2 3 5" xfId="1768" xr:uid="{00000000-0005-0000-0000-0000B5750000}"/>
    <cellStyle name="Normal 10 2 2 2 3 5 2" xfId="10535" xr:uid="{00000000-0005-0000-0000-0000B6750000}"/>
    <cellStyle name="Normal 10 2 2 2 3 5 3" xfId="16248" xr:uid="{00000000-0005-0000-0000-0000B7750000}"/>
    <cellStyle name="Normal 10 2 2 2 3 6" xfId="10531" xr:uid="{00000000-0005-0000-0000-0000B8750000}"/>
    <cellStyle name="Normal 10 2 2 2 3 7" xfId="16244" xr:uid="{00000000-0005-0000-0000-0000B9750000}"/>
    <cellStyle name="Normal 10 2 2 2 3_LNG &amp; LPG rework" xfId="6718" xr:uid="{00000000-0005-0000-0000-0000BA750000}"/>
    <cellStyle name="Normal 10 2 2 2 4" xfId="1769" xr:uid="{00000000-0005-0000-0000-0000BB750000}"/>
    <cellStyle name="Normal 10 2 2 2 4 2" xfId="10536" xr:uid="{00000000-0005-0000-0000-0000BC750000}"/>
    <cellStyle name="Normal 10 2 2 2 4 3" xfId="16249" xr:uid="{00000000-0005-0000-0000-0000BD750000}"/>
    <cellStyle name="Normal 10 2 2 2 5" xfId="1770" xr:uid="{00000000-0005-0000-0000-0000BE750000}"/>
    <cellStyle name="Normal 10 2 2 2 5 2" xfId="10537" xr:uid="{00000000-0005-0000-0000-0000BF750000}"/>
    <cellStyle name="Normal 10 2 2 2 5 3" xfId="16250" xr:uid="{00000000-0005-0000-0000-0000C0750000}"/>
    <cellStyle name="Normal 10 2 2 2 6" xfId="1771" xr:uid="{00000000-0005-0000-0000-0000C1750000}"/>
    <cellStyle name="Normal 10 2 2 2 6 2" xfId="10538" xr:uid="{00000000-0005-0000-0000-0000C2750000}"/>
    <cellStyle name="Normal 10 2 2 2 6 3" xfId="16251" xr:uid="{00000000-0005-0000-0000-0000C3750000}"/>
    <cellStyle name="Normal 10 2 2 2 7" xfId="1772" xr:uid="{00000000-0005-0000-0000-0000C4750000}"/>
    <cellStyle name="Normal 10 2 2 2 7 2" xfId="10539" xr:uid="{00000000-0005-0000-0000-0000C5750000}"/>
    <cellStyle name="Normal 10 2 2 2 7 3" xfId="16252" xr:uid="{00000000-0005-0000-0000-0000C6750000}"/>
    <cellStyle name="Normal 10 2 2 2 8" xfId="1773" xr:uid="{00000000-0005-0000-0000-0000C7750000}"/>
    <cellStyle name="Normal 10 2 2 2 8 2" xfId="10540" xr:uid="{00000000-0005-0000-0000-0000C8750000}"/>
    <cellStyle name="Normal 10 2 2 2 8 3" xfId="16253" xr:uid="{00000000-0005-0000-0000-0000C9750000}"/>
    <cellStyle name="Normal 10 2 2 2 9" xfId="9167" xr:uid="{00000000-0005-0000-0000-0000CA750000}"/>
    <cellStyle name="Normal 10 2 2 2_LNG &amp; LPG rework" xfId="6755" xr:uid="{00000000-0005-0000-0000-0000CB750000}"/>
    <cellStyle name="Normal 10 2 2 3" xfId="318" xr:uid="{00000000-0005-0000-0000-0000CC750000}"/>
    <cellStyle name="Normal 10 2 2 3 2" xfId="1774" xr:uid="{00000000-0005-0000-0000-0000CD750000}"/>
    <cellStyle name="Normal 10 2 2 3 2 2" xfId="10541" xr:uid="{00000000-0005-0000-0000-0000CE750000}"/>
    <cellStyle name="Normal 10 2 2 3 2 3" xfId="16255" xr:uid="{00000000-0005-0000-0000-0000CF750000}"/>
    <cellStyle name="Normal 10 2 2 3 3" xfId="1775" xr:uid="{00000000-0005-0000-0000-0000D0750000}"/>
    <cellStyle name="Normal 10 2 2 3 3 2" xfId="10542" xr:uid="{00000000-0005-0000-0000-0000D1750000}"/>
    <cellStyle name="Normal 10 2 2 3 3 3" xfId="16256" xr:uid="{00000000-0005-0000-0000-0000D2750000}"/>
    <cellStyle name="Normal 10 2 2 3 4" xfId="1776" xr:uid="{00000000-0005-0000-0000-0000D3750000}"/>
    <cellStyle name="Normal 10 2 2 3 4 2" xfId="10543" xr:uid="{00000000-0005-0000-0000-0000D4750000}"/>
    <cellStyle name="Normal 10 2 2 3 4 3" xfId="16257" xr:uid="{00000000-0005-0000-0000-0000D5750000}"/>
    <cellStyle name="Normal 10 2 2 3 5" xfId="1777" xr:uid="{00000000-0005-0000-0000-0000D6750000}"/>
    <cellStyle name="Normal 10 2 2 3 5 2" xfId="10544" xr:uid="{00000000-0005-0000-0000-0000D7750000}"/>
    <cellStyle name="Normal 10 2 2 3 5 3" xfId="16258" xr:uid="{00000000-0005-0000-0000-0000D8750000}"/>
    <cellStyle name="Normal 10 2 2 3 6" xfId="1778" xr:uid="{00000000-0005-0000-0000-0000D9750000}"/>
    <cellStyle name="Normal 10 2 2 3 6 2" xfId="10545" xr:uid="{00000000-0005-0000-0000-0000DA750000}"/>
    <cellStyle name="Normal 10 2 2 3 6 3" xfId="16259" xr:uid="{00000000-0005-0000-0000-0000DB750000}"/>
    <cellStyle name="Normal 10 2 2 3 7" xfId="9169" xr:uid="{00000000-0005-0000-0000-0000DC750000}"/>
    <cellStyle name="Normal 10 2 2 3 8" xfId="16254" xr:uid="{00000000-0005-0000-0000-0000DD750000}"/>
    <cellStyle name="Normal 10 2 2 3_LNG &amp; LPG rework" xfId="6717" xr:uid="{00000000-0005-0000-0000-0000DE750000}"/>
    <cellStyle name="Normal 10 2 2 4" xfId="1779" xr:uid="{00000000-0005-0000-0000-0000DF750000}"/>
    <cellStyle name="Normal 10 2 2 4 2" xfId="1780" xr:uid="{00000000-0005-0000-0000-0000E0750000}"/>
    <cellStyle name="Normal 10 2 2 4 2 2" xfId="10547" xr:uid="{00000000-0005-0000-0000-0000E1750000}"/>
    <cellStyle name="Normal 10 2 2 4 2 3" xfId="16261" xr:uid="{00000000-0005-0000-0000-0000E2750000}"/>
    <cellStyle name="Normal 10 2 2 4 3" xfId="1781" xr:uid="{00000000-0005-0000-0000-0000E3750000}"/>
    <cellStyle name="Normal 10 2 2 4 3 2" xfId="10548" xr:uid="{00000000-0005-0000-0000-0000E4750000}"/>
    <cellStyle name="Normal 10 2 2 4 3 3" xfId="16262" xr:uid="{00000000-0005-0000-0000-0000E5750000}"/>
    <cellStyle name="Normal 10 2 2 4 4" xfId="1782" xr:uid="{00000000-0005-0000-0000-0000E6750000}"/>
    <cellStyle name="Normal 10 2 2 4 4 2" xfId="10549" xr:uid="{00000000-0005-0000-0000-0000E7750000}"/>
    <cellStyle name="Normal 10 2 2 4 4 3" xfId="16263" xr:uid="{00000000-0005-0000-0000-0000E8750000}"/>
    <cellStyle name="Normal 10 2 2 4 5" xfId="1783" xr:uid="{00000000-0005-0000-0000-0000E9750000}"/>
    <cellStyle name="Normal 10 2 2 4 5 2" xfId="10550" xr:uid="{00000000-0005-0000-0000-0000EA750000}"/>
    <cellStyle name="Normal 10 2 2 4 5 3" xfId="16264" xr:uid="{00000000-0005-0000-0000-0000EB750000}"/>
    <cellStyle name="Normal 10 2 2 4 6" xfId="10546" xr:uid="{00000000-0005-0000-0000-0000EC750000}"/>
    <cellStyle name="Normal 10 2 2 4 7" xfId="16260" xr:uid="{00000000-0005-0000-0000-0000ED750000}"/>
    <cellStyle name="Normal 10 2 2 4_LNG &amp; LPG rework" xfId="6756" xr:uid="{00000000-0005-0000-0000-0000EE750000}"/>
    <cellStyle name="Normal 10 2 2 5" xfId="1784" xr:uid="{00000000-0005-0000-0000-0000EF750000}"/>
    <cellStyle name="Normal 10 2 2 5 2" xfId="1785" xr:uid="{00000000-0005-0000-0000-0000F0750000}"/>
    <cellStyle name="Normal 10 2 2 5 2 2" xfId="10552" xr:uid="{00000000-0005-0000-0000-0000F1750000}"/>
    <cellStyle name="Normal 10 2 2 5 2 3" xfId="16266" xr:uid="{00000000-0005-0000-0000-0000F2750000}"/>
    <cellStyle name="Normal 10 2 2 5 3" xfId="1786" xr:uid="{00000000-0005-0000-0000-0000F3750000}"/>
    <cellStyle name="Normal 10 2 2 5 3 2" xfId="10553" xr:uid="{00000000-0005-0000-0000-0000F4750000}"/>
    <cellStyle name="Normal 10 2 2 5 3 3" xfId="16267" xr:uid="{00000000-0005-0000-0000-0000F5750000}"/>
    <cellStyle name="Normal 10 2 2 5 4" xfId="1787" xr:uid="{00000000-0005-0000-0000-0000F6750000}"/>
    <cellStyle name="Normal 10 2 2 5 4 2" xfId="10554" xr:uid="{00000000-0005-0000-0000-0000F7750000}"/>
    <cellStyle name="Normal 10 2 2 5 4 3" xfId="16268" xr:uid="{00000000-0005-0000-0000-0000F8750000}"/>
    <cellStyle name="Normal 10 2 2 5 5" xfId="1788" xr:uid="{00000000-0005-0000-0000-0000F9750000}"/>
    <cellStyle name="Normal 10 2 2 5 5 2" xfId="10555" xr:uid="{00000000-0005-0000-0000-0000FA750000}"/>
    <cellStyle name="Normal 10 2 2 5 5 3" xfId="16269" xr:uid="{00000000-0005-0000-0000-0000FB750000}"/>
    <cellStyle name="Normal 10 2 2 5 6" xfId="10551" xr:uid="{00000000-0005-0000-0000-0000FC750000}"/>
    <cellStyle name="Normal 10 2 2 5 7" xfId="16265" xr:uid="{00000000-0005-0000-0000-0000FD750000}"/>
    <cellStyle name="Normal 10 2 2 5_LNG &amp; LPG rework" xfId="6757" xr:uid="{00000000-0005-0000-0000-0000FE750000}"/>
    <cellStyle name="Normal 10 2 2 6" xfId="1789" xr:uid="{00000000-0005-0000-0000-0000FF750000}"/>
    <cellStyle name="Normal 10 2 2 6 2" xfId="10556" xr:uid="{00000000-0005-0000-0000-000000760000}"/>
    <cellStyle name="Normal 10 2 2 6 3" xfId="16270" xr:uid="{00000000-0005-0000-0000-000001760000}"/>
    <cellStyle name="Normal 10 2 2 7" xfId="1790" xr:uid="{00000000-0005-0000-0000-000002760000}"/>
    <cellStyle name="Normal 10 2 2 7 2" xfId="10557" xr:uid="{00000000-0005-0000-0000-000003760000}"/>
    <cellStyle name="Normal 10 2 2 7 3" xfId="16271" xr:uid="{00000000-0005-0000-0000-000004760000}"/>
    <cellStyle name="Normal 10 2 2 8" xfId="1791" xr:uid="{00000000-0005-0000-0000-000005760000}"/>
    <cellStyle name="Normal 10 2 2 8 2" xfId="10558" xr:uid="{00000000-0005-0000-0000-000006760000}"/>
    <cellStyle name="Normal 10 2 2 8 3" xfId="16272" xr:uid="{00000000-0005-0000-0000-000007760000}"/>
    <cellStyle name="Normal 10 2 2 9" xfId="1792" xr:uid="{00000000-0005-0000-0000-000008760000}"/>
    <cellStyle name="Normal 10 2 2 9 2" xfId="10559" xr:uid="{00000000-0005-0000-0000-000009760000}"/>
    <cellStyle name="Normal 10 2 2 9 3" xfId="16273" xr:uid="{00000000-0005-0000-0000-00000A760000}"/>
    <cellStyle name="Normal 10 2 2_LNG &amp; LPG rework" xfId="6753" xr:uid="{00000000-0005-0000-0000-00000B760000}"/>
    <cellStyle name="Normal 10 2 3" xfId="319" xr:uid="{00000000-0005-0000-0000-00000C760000}"/>
    <cellStyle name="Normal 10 2 3 10" xfId="16274" xr:uid="{00000000-0005-0000-0000-00000D760000}"/>
    <cellStyle name="Normal 10 2 3 2" xfId="320" xr:uid="{00000000-0005-0000-0000-00000E760000}"/>
    <cellStyle name="Normal 10 2 3 2 2" xfId="1793" xr:uid="{00000000-0005-0000-0000-00000F760000}"/>
    <cellStyle name="Normal 10 2 3 2 2 2" xfId="10560" xr:uid="{00000000-0005-0000-0000-000010760000}"/>
    <cellStyle name="Normal 10 2 3 2 2 3" xfId="16276" xr:uid="{00000000-0005-0000-0000-000011760000}"/>
    <cellStyle name="Normal 10 2 3 2 3" xfId="1794" xr:uid="{00000000-0005-0000-0000-000012760000}"/>
    <cellStyle name="Normal 10 2 3 2 3 2" xfId="10561" xr:uid="{00000000-0005-0000-0000-000013760000}"/>
    <cellStyle name="Normal 10 2 3 2 3 3" xfId="16277" xr:uid="{00000000-0005-0000-0000-000014760000}"/>
    <cellStyle name="Normal 10 2 3 2 4" xfId="1795" xr:uid="{00000000-0005-0000-0000-000015760000}"/>
    <cellStyle name="Normal 10 2 3 2 4 2" xfId="10562" xr:uid="{00000000-0005-0000-0000-000016760000}"/>
    <cellStyle name="Normal 10 2 3 2 4 3" xfId="16278" xr:uid="{00000000-0005-0000-0000-000017760000}"/>
    <cellStyle name="Normal 10 2 3 2 5" xfId="1796" xr:uid="{00000000-0005-0000-0000-000018760000}"/>
    <cellStyle name="Normal 10 2 3 2 5 2" xfId="10563" xr:uid="{00000000-0005-0000-0000-000019760000}"/>
    <cellStyle name="Normal 10 2 3 2 5 3" xfId="16279" xr:uid="{00000000-0005-0000-0000-00001A760000}"/>
    <cellStyle name="Normal 10 2 3 2 6" xfId="1797" xr:uid="{00000000-0005-0000-0000-00001B760000}"/>
    <cellStyle name="Normal 10 2 3 2 6 2" xfId="10564" xr:uid="{00000000-0005-0000-0000-00001C760000}"/>
    <cellStyle name="Normal 10 2 3 2 6 3" xfId="16280" xr:uid="{00000000-0005-0000-0000-00001D760000}"/>
    <cellStyle name="Normal 10 2 3 2 7" xfId="9171" xr:uid="{00000000-0005-0000-0000-00001E760000}"/>
    <cellStyle name="Normal 10 2 3 2 8" xfId="16275" xr:uid="{00000000-0005-0000-0000-00001F760000}"/>
    <cellStyle name="Normal 10 2 3 2_LNG &amp; LPG rework" xfId="6758" xr:uid="{00000000-0005-0000-0000-000020760000}"/>
    <cellStyle name="Normal 10 2 3 3" xfId="1798" xr:uid="{00000000-0005-0000-0000-000021760000}"/>
    <cellStyle name="Normal 10 2 3 3 2" xfId="1799" xr:uid="{00000000-0005-0000-0000-000022760000}"/>
    <cellStyle name="Normal 10 2 3 3 2 2" xfId="10566" xr:uid="{00000000-0005-0000-0000-000023760000}"/>
    <cellStyle name="Normal 10 2 3 3 2 3" xfId="16282" xr:uid="{00000000-0005-0000-0000-000024760000}"/>
    <cellStyle name="Normal 10 2 3 3 3" xfId="1800" xr:uid="{00000000-0005-0000-0000-000025760000}"/>
    <cellStyle name="Normal 10 2 3 3 3 2" xfId="10567" xr:uid="{00000000-0005-0000-0000-000026760000}"/>
    <cellStyle name="Normal 10 2 3 3 3 3" xfId="16283" xr:uid="{00000000-0005-0000-0000-000027760000}"/>
    <cellStyle name="Normal 10 2 3 3 4" xfId="1801" xr:uid="{00000000-0005-0000-0000-000028760000}"/>
    <cellStyle name="Normal 10 2 3 3 4 2" xfId="10568" xr:uid="{00000000-0005-0000-0000-000029760000}"/>
    <cellStyle name="Normal 10 2 3 3 4 3" xfId="16284" xr:uid="{00000000-0005-0000-0000-00002A760000}"/>
    <cellStyle name="Normal 10 2 3 3 5" xfId="1802" xr:uid="{00000000-0005-0000-0000-00002B760000}"/>
    <cellStyle name="Normal 10 2 3 3 5 2" xfId="10569" xr:uid="{00000000-0005-0000-0000-00002C760000}"/>
    <cellStyle name="Normal 10 2 3 3 5 3" xfId="16285" xr:uid="{00000000-0005-0000-0000-00002D760000}"/>
    <cellStyle name="Normal 10 2 3 3 6" xfId="10565" xr:uid="{00000000-0005-0000-0000-00002E760000}"/>
    <cellStyle name="Normal 10 2 3 3 7" xfId="16281" xr:uid="{00000000-0005-0000-0000-00002F760000}"/>
    <cellStyle name="Normal 10 2 3 3_LNG &amp; LPG rework" xfId="6716" xr:uid="{00000000-0005-0000-0000-000030760000}"/>
    <cellStyle name="Normal 10 2 3 4" xfId="1803" xr:uid="{00000000-0005-0000-0000-000031760000}"/>
    <cellStyle name="Normal 10 2 3 4 2" xfId="10570" xr:uid="{00000000-0005-0000-0000-000032760000}"/>
    <cellStyle name="Normal 10 2 3 4 3" xfId="16286" xr:uid="{00000000-0005-0000-0000-000033760000}"/>
    <cellStyle name="Normal 10 2 3 5" xfId="1804" xr:uid="{00000000-0005-0000-0000-000034760000}"/>
    <cellStyle name="Normal 10 2 3 5 2" xfId="10571" xr:uid="{00000000-0005-0000-0000-000035760000}"/>
    <cellStyle name="Normal 10 2 3 5 3" xfId="16287" xr:uid="{00000000-0005-0000-0000-000036760000}"/>
    <cellStyle name="Normal 10 2 3 6" xfId="1805" xr:uid="{00000000-0005-0000-0000-000037760000}"/>
    <cellStyle name="Normal 10 2 3 6 2" xfId="10572" xr:uid="{00000000-0005-0000-0000-000038760000}"/>
    <cellStyle name="Normal 10 2 3 6 3" xfId="16288" xr:uid="{00000000-0005-0000-0000-000039760000}"/>
    <cellStyle name="Normal 10 2 3 7" xfId="1806" xr:uid="{00000000-0005-0000-0000-00003A760000}"/>
    <cellStyle name="Normal 10 2 3 7 2" xfId="10573" xr:uid="{00000000-0005-0000-0000-00003B760000}"/>
    <cellStyle name="Normal 10 2 3 7 3" xfId="16289" xr:uid="{00000000-0005-0000-0000-00003C760000}"/>
    <cellStyle name="Normal 10 2 3 8" xfId="1807" xr:uid="{00000000-0005-0000-0000-00003D760000}"/>
    <cellStyle name="Normal 10 2 3 8 2" xfId="10574" xr:uid="{00000000-0005-0000-0000-00003E760000}"/>
    <cellStyle name="Normal 10 2 3 8 3" xfId="16290" xr:uid="{00000000-0005-0000-0000-00003F760000}"/>
    <cellStyle name="Normal 10 2 3 9" xfId="9170" xr:uid="{00000000-0005-0000-0000-000040760000}"/>
    <cellStyle name="Normal 10 2 3_LNG &amp; LPG rework" xfId="6759" xr:uid="{00000000-0005-0000-0000-000041760000}"/>
    <cellStyle name="Normal 10 2 4" xfId="321" xr:uid="{00000000-0005-0000-0000-000042760000}"/>
    <cellStyle name="Normal 10 2 4 2" xfId="1808" xr:uid="{00000000-0005-0000-0000-000043760000}"/>
    <cellStyle name="Normal 10 2 4 2 2" xfId="10575" xr:uid="{00000000-0005-0000-0000-000044760000}"/>
    <cellStyle name="Normal 10 2 4 2 3" xfId="16292" xr:uid="{00000000-0005-0000-0000-000045760000}"/>
    <cellStyle name="Normal 10 2 4 3" xfId="1809" xr:uid="{00000000-0005-0000-0000-000046760000}"/>
    <cellStyle name="Normal 10 2 4 3 2" xfId="10576" xr:uid="{00000000-0005-0000-0000-000047760000}"/>
    <cellStyle name="Normal 10 2 4 3 3" xfId="16293" xr:uid="{00000000-0005-0000-0000-000048760000}"/>
    <cellStyle name="Normal 10 2 4 4" xfId="9172" xr:uid="{00000000-0005-0000-0000-000049760000}"/>
    <cellStyle name="Normal 10 2 4 5" xfId="16291" xr:uid="{00000000-0005-0000-0000-00004A760000}"/>
    <cellStyle name="Normal 10 2 4_LNG &amp; LPG rework" xfId="6715" xr:uid="{00000000-0005-0000-0000-00004B760000}"/>
    <cellStyle name="Normal 10 2 5" xfId="1810" xr:uid="{00000000-0005-0000-0000-00004C760000}"/>
    <cellStyle name="Normal 10 2 5 2" xfId="1811" xr:uid="{00000000-0005-0000-0000-00004D760000}"/>
    <cellStyle name="Normal 10 2 5 2 2" xfId="10578" xr:uid="{00000000-0005-0000-0000-00004E760000}"/>
    <cellStyle name="Normal 10 2 5 2 3" xfId="16295" xr:uid="{00000000-0005-0000-0000-00004F760000}"/>
    <cellStyle name="Normal 10 2 5 3" xfId="1812" xr:uid="{00000000-0005-0000-0000-000050760000}"/>
    <cellStyle name="Normal 10 2 5 3 2" xfId="10579" xr:uid="{00000000-0005-0000-0000-000051760000}"/>
    <cellStyle name="Normal 10 2 5 3 3" xfId="16296" xr:uid="{00000000-0005-0000-0000-000052760000}"/>
    <cellStyle name="Normal 10 2 5 4" xfId="1813" xr:uid="{00000000-0005-0000-0000-000053760000}"/>
    <cellStyle name="Normal 10 2 5 4 2" xfId="10580" xr:uid="{00000000-0005-0000-0000-000054760000}"/>
    <cellStyle name="Normal 10 2 5 4 3" xfId="16297" xr:uid="{00000000-0005-0000-0000-000055760000}"/>
    <cellStyle name="Normal 10 2 5 5" xfId="1814" xr:uid="{00000000-0005-0000-0000-000056760000}"/>
    <cellStyle name="Normal 10 2 5 5 2" xfId="10581" xr:uid="{00000000-0005-0000-0000-000057760000}"/>
    <cellStyle name="Normal 10 2 5 5 3" xfId="16298" xr:uid="{00000000-0005-0000-0000-000058760000}"/>
    <cellStyle name="Normal 10 2 5 6" xfId="10577" xr:uid="{00000000-0005-0000-0000-000059760000}"/>
    <cellStyle name="Normal 10 2 5 7" xfId="16294" xr:uid="{00000000-0005-0000-0000-00005A760000}"/>
    <cellStyle name="Normal 10 2 5_LNG &amp; LPG rework" xfId="6714" xr:uid="{00000000-0005-0000-0000-00005B760000}"/>
    <cellStyle name="Normal 10 2 6" xfId="1815" xr:uid="{00000000-0005-0000-0000-00005C760000}"/>
    <cellStyle name="Normal 10 2 6 2" xfId="1816" xr:uid="{00000000-0005-0000-0000-00005D760000}"/>
    <cellStyle name="Normal 10 2 6 2 2" xfId="10583" xr:uid="{00000000-0005-0000-0000-00005E760000}"/>
    <cellStyle name="Normal 10 2 6 2 3" xfId="16300" xr:uid="{00000000-0005-0000-0000-00005F760000}"/>
    <cellStyle name="Normal 10 2 6 3" xfId="1817" xr:uid="{00000000-0005-0000-0000-000060760000}"/>
    <cellStyle name="Normal 10 2 6 3 2" xfId="10584" xr:uid="{00000000-0005-0000-0000-000061760000}"/>
    <cellStyle name="Normal 10 2 6 3 3" xfId="16301" xr:uid="{00000000-0005-0000-0000-000062760000}"/>
    <cellStyle name="Normal 10 2 6 4" xfId="1818" xr:uid="{00000000-0005-0000-0000-000063760000}"/>
    <cellStyle name="Normal 10 2 6 4 2" xfId="10585" xr:uid="{00000000-0005-0000-0000-000064760000}"/>
    <cellStyle name="Normal 10 2 6 4 3" xfId="16302" xr:uid="{00000000-0005-0000-0000-000065760000}"/>
    <cellStyle name="Normal 10 2 6 5" xfId="1819" xr:uid="{00000000-0005-0000-0000-000066760000}"/>
    <cellStyle name="Normal 10 2 6 5 2" xfId="10586" xr:uid="{00000000-0005-0000-0000-000067760000}"/>
    <cellStyle name="Normal 10 2 6 5 3" xfId="16303" xr:uid="{00000000-0005-0000-0000-000068760000}"/>
    <cellStyle name="Normal 10 2 6 6" xfId="10582" xr:uid="{00000000-0005-0000-0000-000069760000}"/>
    <cellStyle name="Normal 10 2 6 7" xfId="16299" xr:uid="{00000000-0005-0000-0000-00006A760000}"/>
    <cellStyle name="Normal 10 2 6_LNG &amp; LPG rework" xfId="6607" xr:uid="{00000000-0005-0000-0000-00006B760000}"/>
    <cellStyle name="Normal 10 2 7" xfId="1820" xr:uid="{00000000-0005-0000-0000-00006C760000}"/>
    <cellStyle name="Normal 10 2 7 2" xfId="1821" xr:uid="{00000000-0005-0000-0000-00006D760000}"/>
    <cellStyle name="Normal 10 2 7 2 2" xfId="10588" xr:uid="{00000000-0005-0000-0000-00006E760000}"/>
    <cellStyle name="Normal 10 2 7 2 3" xfId="16305" xr:uid="{00000000-0005-0000-0000-00006F760000}"/>
    <cellStyle name="Normal 10 2 7 3" xfId="1822" xr:uid="{00000000-0005-0000-0000-000070760000}"/>
    <cellStyle name="Normal 10 2 7 3 2" xfId="10589" xr:uid="{00000000-0005-0000-0000-000071760000}"/>
    <cellStyle name="Normal 10 2 7 3 3" xfId="16306" xr:uid="{00000000-0005-0000-0000-000072760000}"/>
    <cellStyle name="Normal 10 2 7 4" xfId="1823" xr:uid="{00000000-0005-0000-0000-000073760000}"/>
    <cellStyle name="Normal 10 2 7 4 2" xfId="10590" xr:uid="{00000000-0005-0000-0000-000074760000}"/>
    <cellStyle name="Normal 10 2 7 4 3" xfId="16307" xr:uid="{00000000-0005-0000-0000-000075760000}"/>
    <cellStyle name="Normal 10 2 7 5" xfId="1824" xr:uid="{00000000-0005-0000-0000-000076760000}"/>
    <cellStyle name="Normal 10 2 7 5 2" xfId="10591" xr:uid="{00000000-0005-0000-0000-000077760000}"/>
    <cellStyle name="Normal 10 2 7 5 3" xfId="16308" xr:uid="{00000000-0005-0000-0000-000078760000}"/>
    <cellStyle name="Normal 10 2 7 6" xfId="10587" xr:uid="{00000000-0005-0000-0000-000079760000}"/>
    <cellStyle name="Normal 10 2 7 7" xfId="16304" xr:uid="{00000000-0005-0000-0000-00007A760000}"/>
    <cellStyle name="Normal 10 2 7_LNG &amp; LPG rework" xfId="6760" xr:uid="{00000000-0005-0000-0000-00007B760000}"/>
    <cellStyle name="Normal 10 2 8" xfId="1825" xr:uid="{00000000-0005-0000-0000-00007C760000}"/>
    <cellStyle name="Normal 10 2 8 2" xfId="10592" xr:uid="{00000000-0005-0000-0000-00007D760000}"/>
    <cellStyle name="Normal 10 2 8 3" xfId="16309" xr:uid="{00000000-0005-0000-0000-00007E760000}"/>
    <cellStyle name="Normal 10 2 9" xfId="1826" xr:uid="{00000000-0005-0000-0000-00007F760000}"/>
    <cellStyle name="Normal 10 2 9 2" xfId="10593" xr:uid="{00000000-0005-0000-0000-000080760000}"/>
    <cellStyle name="Normal 10 2 9 3" xfId="16310" xr:uid="{00000000-0005-0000-0000-000081760000}"/>
    <cellStyle name="Normal 10 2_LNG &amp; LPG rework" xfId="6752" xr:uid="{00000000-0005-0000-0000-000082760000}"/>
    <cellStyle name="Normal 10 20" xfId="1827" xr:uid="{00000000-0005-0000-0000-000083760000}"/>
    <cellStyle name="Normal 10 20 2" xfId="1828" xr:uid="{00000000-0005-0000-0000-000084760000}"/>
    <cellStyle name="Normal 10 20 2 2" xfId="1829" xr:uid="{00000000-0005-0000-0000-000085760000}"/>
    <cellStyle name="Normal 10 20 2 2 2" xfId="10596" xr:uid="{00000000-0005-0000-0000-000086760000}"/>
    <cellStyle name="Normal 10 20 2 2 3" xfId="16313" xr:uid="{00000000-0005-0000-0000-000087760000}"/>
    <cellStyle name="Normal 10 20 2 3" xfId="1830" xr:uid="{00000000-0005-0000-0000-000088760000}"/>
    <cellStyle name="Normal 10 20 2 3 2" xfId="10597" xr:uid="{00000000-0005-0000-0000-000089760000}"/>
    <cellStyle name="Normal 10 20 2 3 3" xfId="16314" xr:uid="{00000000-0005-0000-0000-00008A760000}"/>
    <cellStyle name="Normal 10 20 2 4" xfId="1831" xr:uid="{00000000-0005-0000-0000-00008B760000}"/>
    <cellStyle name="Normal 10 20 2 4 2" xfId="10598" xr:uid="{00000000-0005-0000-0000-00008C760000}"/>
    <cellStyle name="Normal 10 20 2 4 3" xfId="16315" xr:uid="{00000000-0005-0000-0000-00008D760000}"/>
    <cellStyle name="Normal 10 20 2 5" xfId="1832" xr:uid="{00000000-0005-0000-0000-00008E760000}"/>
    <cellStyle name="Normal 10 20 2 5 2" xfId="10599" xr:uid="{00000000-0005-0000-0000-00008F760000}"/>
    <cellStyle name="Normal 10 20 2 5 3" xfId="16316" xr:uid="{00000000-0005-0000-0000-000090760000}"/>
    <cellStyle name="Normal 10 20 2 6" xfId="10595" xr:uid="{00000000-0005-0000-0000-000091760000}"/>
    <cellStyle name="Normal 10 20 2 7" xfId="16312" xr:uid="{00000000-0005-0000-0000-000092760000}"/>
    <cellStyle name="Normal 10 20 2_LNG &amp; LPG rework" xfId="6712" xr:uid="{00000000-0005-0000-0000-000093760000}"/>
    <cellStyle name="Normal 10 20 3" xfId="1833" xr:uid="{00000000-0005-0000-0000-000094760000}"/>
    <cellStyle name="Normal 10 20 3 2" xfId="10600" xr:uid="{00000000-0005-0000-0000-000095760000}"/>
    <cellStyle name="Normal 10 20 3 3" xfId="16317" xr:uid="{00000000-0005-0000-0000-000096760000}"/>
    <cellStyle name="Normal 10 20 4" xfId="1834" xr:uid="{00000000-0005-0000-0000-000097760000}"/>
    <cellStyle name="Normal 10 20 4 2" xfId="10601" xr:uid="{00000000-0005-0000-0000-000098760000}"/>
    <cellStyle name="Normal 10 20 4 3" xfId="16318" xr:uid="{00000000-0005-0000-0000-000099760000}"/>
    <cellStyle name="Normal 10 20 5" xfId="1835" xr:uid="{00000000-0005-0000-0000-00009A760000}"/>
    <cellStyle name="Normal 10 20 5 2" xfId="10602" xr:uid="{00000000-0005-0000-0000-00009B760000}"/>
    <cellStyle name="Normal 10 20 5 3" xfId="16319" xr:uid="{00000000-0005-0000-0000-00009C760000}"/>
    <cellStyle name="Normal 10 20 6" xfId="1836" xr:uid="{00000000-0005-0000-0000-00009D760000}"/>
    <cellStyle name="Normal 10 20 6 2" xfId="10603" xr:uid="{00000000-0005-0000-0000-00009E760000}"/>
    <cellStyle name="Normal 10 20 6 3" xfId="16320" xr:uid="{00000000-0005-0000-0000-00009F760000}"/>
    <cellStyle name="Normal 10 20 7" xfId="10594" xr:uid="{00000000-0005-0000-0000-0000A0760000}"/>
    <cellStyle name="Normal 10 20 8" xfId="16311" xr:uid="{00000000-0005-0000-0000-0000A1760000}"/>
    <cellStyle name="Normal 10 20_LNG &amp; LPG rework" xfId="6713" xr:uid="{00000000-0005-0000-0000-0000A2760000}"/>
    <cellStyle name="Normal 10 21" xfId="1837" xr:uid="{00000000-0005-0000-0000-0000A3760000}"/>
    <cellStyle name="Normal 10 21 2" xfId="1838" xr:uid="{00000000-0005-0000-0000-0000A4760000}"/>
    <cellStyle name="Normal 10 21 2 2" xfId="10605" xr:uid="{00000000-0005-0000-0000-0000A5760000}"/>
    <cellStyle name="Normal 10 21 2 3" xfId="16322" xr:uid="{00000000-0005-0000-0000-0000A6760000}"/>
    <cellStyle name="Normal 10 21 3" xfId="1839" xr:uid="{00000000-0005-0000-0000-0000A7760000}"/>
    <cellStyle name="Normal 10 21 3 2" xfId="10606" xr:uid="{00000000-0005-0000-0000-0000A8760000}"/>
    <cellStyle name="Normal 10 21 3 3" xfId="16323" xr:uid="{00000000-0005-0000-0000-0000A9760000}"/>
    <cellStyle name="Normal 10 21 4" xfId="1840" xr:uid="{00000000-0005-0000-0000-0000AA760000}"/>
    <cellStyle name="Normal 10 21 4 2" xfId="10607" xr:uid="{00000000-0005-0000-0000-0000AB760000}"/>
    <cellStyle name="Normal 10 21 4 3" xfId="16324" xr:uid="{00000000-0005-0000-0000-0000AC760000}"/>
    <cellStyle name="Normal 10 21 5" xfId="1841" xr:uid="{00000000-0005-0000-0000-0000AD760000}"/>
    <cellStyle name="Normal 10 21 5 2" xfId="10608" xr:uid="{00000000-0005-0000-0000-0000AE760000}"/>
    <cellStyle name="Normal 10 21 5 3" xfId="16325" xr:uid="{00000000-0005-0000-0000-0000AF760000}"/>
    <cellStyle name="Normal 10 21 6" xfId="10604" xr:uid="{00000000-0005-0000-0000-0000B0760000}"/>
    <cellStyle name="Normal 10 21 7" xfId="16321" xr:uid="{00000000-0005-0000-0000-0000B1760000}"/>
    <cellStyle name="Normal 10 21_LNG &amp; LPG rework" xfId="6761" xr:uid="{00000000-0005-0000-0000-0000B2760000}"/>
    <cellStyle name="Normal 10 22" xfId="1842" xr:uid="{00000000-0005-0000-0000-0000B3760000}"/>
    <cellStyle name="Normal 10 22 2" xfId="1843" xr:uid="{00000000-0005-0000-0000-0000B4760000}"/>
    <cellStyle name="Normal 10 22 2 2" xfId="10610" xr:uid="{00000000-0005-0000-0000-0000B5760000}"/>
    <cellStyle name="Normal 10 22 2 3" xfId="16327" xr:uid="{00000000-0005-0000-0000-0000B6760000}"/>
    <cellStyle name="Normal 10 22 3" xfId="1844" xr:uid="{00000000-0005-0000-0000-0000B7760000}"/>
    <cellStyle name="Normal 10 22 3 2" xfId="10611" xr:uid="{00000000-0005-0000-0000-0000B8760000}"/>
    <cellStyle name="Normal 10 22 3 3" xfId="16328" xr:uid="{00000000-0005-0000-0000-0000B9760000}"/>
    <cellStyle name="Normal 10 22 4" xfId="1845" xr:uid="{00000000-0005-0000-0000-0000BA760000}"/>
    <cellStyle name="Normal 10 22 4 2" xfId="10612" xr:uid="{00000000-0005-0000-0000-0000BB760000}"/>
    <cellStyle name="Normal 10 22 4 3" xfId="16329" xr:uid="{00000000-0005-0000-0000-0000BC760000}"/>
    <cellStyle name="Normal 10 22 5" xfId="1846" xr:uid="{00000000-0005-0000-0000-0000BD760000}"/>
    <cellStyle name="Normal 10 22 5 2" xfId="10613" xr:uid="{00000000-0005-0000-0000-0000BE760000}"/>
    <cellStyle name="Normal 10 22 5 3" xfId="16330" xr:uid="{00000000-0005-0000-0000-0000BF760000}"/>
    <cellStyle name="Normal 10 22 6" xfId="10609" xr:uid="{00000000-0005-0000-0000-0000C0760000}"/>
    <cellStyle name="Normal 10 22 7" xfId="16326" xr:uid="{00000000-0005-0000-0000-0000C1760000}"/>
    <cellStyle name="Normal 10 22_LNG &amp; LPG rework" xfId="6711" xr:uid="{00000000-0005-0000-0000-0000C2760000}"/>
    <cellStyle name="Normal 10 23" xfId="1847" xr:uid="{00000000-0005-0000-0000-0000C3760000}"/>
    <cellStyle name="Normal 10 23 2" xfId="10614" xr:uid="{00000000-0005-0000-0000-0000C4760000}"/>
    <cellStyle name="Normal 10 23 3" xfId="16331" xr:uid="{00000000-0005-0000-0000-0000C5760000}"/>
    <cellStyle name="Normal 10 24" xfId="1848" xr:uid="{00000000-0005-0000-0000-0000C6760000}"/>
    <cellStyle name="Normal 10 24 2" xfId="10615" xr:uid="{00000000-0005-0000-0000-0000C7760000}"/>
    <cellStyle name="Normal 10 24 3" xfId="16332" xr:uid="{00000000-0005-0000-0000-0000C8760000}"/>
    <cellStyle name="Normal 10 25" xfId="1849" xr:uid="{00000000-0005-0000-0000-0000C9760000}"/>
    <cellStyle name="Normal 10 25 2" xfId="10616" xr:uid="{00000000-0005-0000-0000-0000CA760000}"/>
    <cellStyle name="Normal 10 25 3" xfId="16333" xr:uid="{00000000-0005-0000-0000-0000CB760000}"/>
    <cellStyle name="Normal 10 26" xfId="1850" xr:uid="{00000000-0005-0000-0000-0000CC760000}"/>
    <cellStyle name="Normal 10 26 2" xfId="10617" xr:uid="{00000000-0005-0000-0000-0000CD760000}"/>
    <cellStyle name="Normal 10 26 3" xfId="16334" xr:uid="{00000000-0005-0000-0000-0000CE760000}"/>
    <cellStyle name="Normal 10 27" xfId="1851" xr:uid="{00000000-0005-0000-0000-0000CF760000}"/>
    <cellStyle name="Normal 10 27 2" xfId="10618" xr:uid="{00000000-0005-0000-0000-0000D0760000}"/>
    <cellStyle name="Normal 10 27 3" xfId="16335" xr:uid="{00000000-0005-0000-0000-0000D1760000}"/>
    <cellStyle name="Normal 10 28" xfId="1852" xr:uid="{00000000-0005-0000-0000-0000D2760000}"/>
    <cellStyle name="Normal 10 28 2" xfId="10619" xr:uid="{00000000-0005-0000-0000-0000D3760000}"/>
    <cellStyle name="Normal 10 28 3" xfId="16336" xr:uid="{00000000-0005-0000-0000-0000D4760000}"/>
    <cellStyle name="Normal 10 29" xfId="9164" xr:uid="{00000000-0005-0000-0000-0000D5760000}"/>
    <cellStyle name="Normal 10 3" xfId="322" xr:uid="{00000000-0005-0000-0000-0000D6760000}"/>
    <cellStyle name="Normal 10 3 10" xfId="1853" xr:uid="{00000000-0005-0000-0000-0000D7760000}"/>
    <cellStyle name="Normal 10 3 10 2" xfId="10620" xr:uid="{00000000-0005-0000-0000-0000D8760000}"/>
    <cellStyle name="Normal 10 3 10 3" xfId="16338" xr:uid="{00000000-0005-0000-0000-0000D9760000}"/>
    <cellStyle name="Normal 10 3 11" xfId="9173" xr:uid="{00000000-0005-0000-0000-0000DA760000}"/>
    <cellStyle name="Normal 10 3 12" xfId="16337" xr:uid="{00000000-0005-0000-0000-0000DB760000}"/>
    <cellStyle name="Normal 10 3 2" xfId="323" xr:uid="{00000000-0005-0000-0000-0000DC760000}"/>
    <cellStyle name="Normal 10 3 2 10" xfId="16339" xr:uid="{00000000-0005-0000-0000-0000DD760000}"/>
    <cellStyle name="Normal 10 3 2 2" xfId="324" xr:uid="{00000000-0005-0000-0000-0000DE760000}"/>
    <cellStyle name="Normal 10 3 2 2 2" xfId="1854" xr:uid="{00000000-0005-0000-0000-0000DF760000}"/>
    <cellStyle name="Normal 10 3 2 2 2 2" xfId="10621" xr:uid="{00000000-0005-0000-0000-0000E0760000}"/>
    <cellStyle name="Normal 10 3 2 2 2 3" xfId="16341" xr:uid="{00000000-0005-0000-0000-0000E1760000}"/>
    <cellStyle name="Normal 10 3 2 2 3" xfId="1855" xr:uid="{00000000-0005-0000-0000-0000E2760000}"/>
    <cellStyle name="Normal 10 3 2 2 3 2" xfId="10622" xr:uid="{00000000-0005-0000-0000-0000E3760000}"/>
    <cellStyle name="Normal 10 3 2 2 3 3" xfId="16342" xr:uid="{00000000-0005-0000-0000-0000E4760000}"/>
    <cellStyle name="Normal 10 3 2 2 4" xfId="1856" xr:uid="{00000000-0005-0000-0000-0000E5760000}"/>
    <cellStyle name="Normal 10 3 2 2 4 2" xfId="10623" xr:uid="{00000000-0005-0000-0000-0000E6760000}"/>
    <cellStyle name="Normal 10 3 2 2 4 3" xfId="16343" xr:uid="{00000000-0005-0000-0000-0000E7760000}"/>
    <cellStyle name="Normal 10 3 2 2 5" xfId="1857" xr:uid="{00000000-0005-0000-0000-0000E8760000}"/>
    <cellStyle name="Normal 10 3 2 2 5 2" xfId="10624" xr:uid="{00000000-0005-0000-0000-0000E9760000}"/>
    <cellStyle name="Normal 10 3 2 2 5 3" xfId="16344" xr:uid="{00000000-0005-0000-0000-0000EA760000}"/>
    <cellStyle name="Normal 10 3 2 2 6" xfId="1858" xr:uid="{00000000-0005-0000-0000-0000EB760000}"/>
    <cellStyle name="Normal 10 3 2 2 6 2" xfId="10625" xr:uid="{00000000-0005-0000-0000-0000EC760000}"/>
    <cellStyle name="Normal 10 3 2 2 6 3" xfId="16345" xr:uid="{00000000-0005-0000-0000-0000ED760000}"/>
    <cellStyle name="Normal 10 3 2 2 7" xfId="9175" xr:uid="{00000000-0005-0000-0000-0000EE760000}"/>
    <cellStyle name="Normal 10 3 2 2 8" xfId="16340" xr:uid="{00000000-0005-0000-0000-0000EF760000}"/>
    <cellStyle name="Normal 10 3 2 2_LNG &amp; LPG rework" xfId="6708" xr:uid="{00000000-0005-0000-0000-0000F0760000}"/>
    <cellStyle name="Normal 10 3 2 3" xfId="1859" xr:uid="{00000000-0005-0000-0000-0000F1760000}"/>
    <cellStyle name="Normal 10 3 2 3 2" xfId="1860" xr:uid="{00000000-0005-0000-0000-0000F2760000}"/>
    <cellStyle name="Normal 10 3 2 3 2 2" xfId="10627" xr:uid="{00000000-0005-0000-0000-0000F3760000}"/>
    <cellStyle name="Normal 10 3 2 3 2 3" xfId="16347" xr:uid="{00000000-0005-0000-0000-0000F4760000}"/>
    <cellStyle name="Normal 10 3 2 3 3" xfId="1861" xr:uid="{00000000-0005-0000-0000-0000F5760000}"/>
    <cellStyle name="Normal 10 3 2 3 3 2" xfId="10628" xr:uid="{00000000-0005-0000-0000-0000F6760000}"/>
    <cellStyle name="Normal 10 3 2 3 3 3" xfId="16348" xr:uid="{00000000-0005-0000-0000-0000F7760000}"/>
    <cellStyle name="Normal 10 3 2 3 4" xfId="1862" xr:uid="{00000000-0005-0000-0000-0000F8760000}"/>
    <cellStyle name="Normal 10 3 2 3 4 2" xfId="10629" xr:uid="{00000000-0005-0000-0000-0000F9760000}"/>
    <cellStyle name="Normal 10 3 2 3 4 3" xfId="16349" xr:uid="{00000000-0005-0000-0000-0000FA760000}"/>
    <cellStyle name="Normal 10 3 2 3 5" xfId="1863" xr:uid="{00000000-0005-0000-0000-0000FB760000}"/>
    <cellStyle name="Normal 10 3 2 3 5 2" xfId="10630" xr:uid="{00000000-0005-0000-0000-0000FC760000}"/>
    <cellStyle name="Normal 10 3 2 3 5 3" xfId="16350" xr:uid="{00000000-0005-0000-0000-0000FD760000}"/>
    <cellStyle name="Normal 10 3 2 3 6" xfId="10626" xr:uid="{00000000-0005-0000-0000-0000FE760000}"/>
    <cellStyle name="Normal 10 3 2 3 7" xfId="16346" xr:uid="{00000000-0005-0000-0000-0000FF760000}"/>
    <cellStyle name="Normal 10 3 2 3_LNG &amp; LPG rework" xfId="6762" xr:uid="{00000000-0005-0000-0000-000000770000}"/>
    <cellStyle name="Normal 10 3 2 4" xfId="1864" xr:uid="{00000000-0005-0000-0000-000001770000}"/>
    <cellStyle name="Normal 10 3 2 4 2" xfId="10631" xr:uid="{00000000-0005-0000-0000-000002770000}"/>
    <cellStyle name="Normal 10 3 2 4 3" xfId="16351" xr:uid="{00000000-0005-0000-0000-000003770000}"/>
    <cellStyle name="Normal 10 3 2 5" xfId="1865" xr:uid="{00000000-0005-0000-0000-000004770000}"/>
    <cellStyle name="Normal 10 3 2 5 2" xfId="10632" xr:uid="{00000000-0005-0000-0000-000005770000}"/>
    <cellStyle name="Normal 10 3 2 5 3" xfId="16352" xr:uid="{00000000-0005-0000-0000-000006770000}"/>
    <cellStyle name="Normal 10 3 2 6" xfId="1866" xr:uid="{00000000-0005-0000-0000-000007770000}"/>
    <cellStyle name="Normal 10 3 2 6 2" xfId="10633" xr:uid="{00000000-0005-0000-0000-000008770000}"/>
    <cellStyle name="Normal 10 3 2 6 3" xfId="16353" xr:uid="{00000000-0005-0000-0000-000009770000}"/>
    <cellStyle name="Normal 10 3 2 7" xfId="1867" xr:uid="{00000000-0005-0000-0000-00000A770000}"/>
    <cellStyle name="Normal 10 3 2 7 2" xfId="10634" xr:uid="{00000000-0005-0000-0000-00000B770000}"/>
    <cellStyle name="Normal 10 3 2 7 3" xfId="16354" xr:uid="{00000000-0005-0000-0000-00000C770000}"/>
    <cellStyle name="Normal 10 3 2 8" xfId="1868" xr:uid="{00000000-0005-0000-0000-00000D770000}"/>
    <cellStyle name="Normal 10 3 2 8 2" xfId="10635" xr:uid="{00000000-0005-0000-0000-00000E770000}"/>
    <cellStyle name="Normal 10 3 2 8 3" xfId="16355" xr:uid="{00000000-0005-0000-0000-00000F770000}"/>
    <cellStyle name="Normal 10 3 2 9" xfId="9174" xr:uid="{00000000-0005-0000-0000-000010770000}"/>
    <cellStyle name="Normal 10 3 2_LNG &amp; LPG rework" xfId="6709" xr:uid="{00000000-0005-0000-0000-000011770000}"/>
    <cellStyle name="Normal 10 3 3" xfId="325" xr:uid="{00000000-0005-0000-0000-000012770000}"/>
    <cellStyle name="Normal 10 3 3 2" xfId="1869" xr:uid="{00000000-0005-0000-0000-000013770000}"/>
    <cellStyle name="Normal 10 3 3 2 2" xfId="10636" xr:uid="{00000000-0005-0000-0000-000014770000}"/>
    <cellStyle name="Normal 10 3 3 2 3" xfId="16357" xr:uid="{00000000-0005-0000-0000-000015770000}"/>
    <cellStyle name="Normal 10 3 3 3" xfId="1870" xr:uid="{00000000-0005-0000-0000-000016770000}"/>
    <cellStyle name="Normal 10 3 3 3 2" xfId="10637" xr:uid="{00000000-0005-0000-0000-000017770000}"/>
    <cellStyle name="Normal 10 3 3 3 3" xfId="16358" xr:uid="{00000000-0005-0000-0000-000018770000}"/>
    <cellStyle name="Normal 10 3 3 4" xfId="1871" xr:uid="{00000000-0005-0000-0000-000019770000}"/>
    <cellStyle name="Normal 10 3 3 4 2" xfId="10638" xr:uid="{00000000-0005-0000-0000-00001A770000}"/>
    <cellStyle name="Normal 10 3 3 4 3" xfId="16359" xr:uid="{00000000-0005-0000-0000-00001B770000}"/>
    <cellStyle name="Normal 10 3 3 5" xfId="1872" xr:uid="{00000000-0005-0000-0000-00001C770000}"/>
    <cellStyle name="Normal 10 3 3 5 2" xfId="10639" xr:uid="{00000000-0005-0000-0000-00001D770000}"/>
    <cellStyle name="Normal 10 3 3 5 3" xfId="16360" xr:uid="{00000000-0005-0000-0000-00001E770000}"/>
    <cellStyle name="Normal 10 3 3 6" xfId="1873" xr:uid="{00000000-0005-0000-0000-00001F770000}"/>
    <cellStyle name="Normal 10 3 3 6 2" xfId="10640" xr:uid="{00000000-0005-0000-0000-000020770000}"/>
    <cellStyle name="Normal 10 3 3 6 3" xfId="16361" xr:uid="{00000000-0005-0000-0000-000021770000}"/>
    <cellStyle name="Normal 10 3 3 7" xfId="9176" xr:uid="{00000000-0005-0000-0000-000022770000}"/>
    <cellStyle name="Normal 10 3 3 8" xfId="16356" xr:uid="{00000000-0005-0000-0000-000023770000}"/>
    <cellStyle name="Normal 10 3 3_LNG &amp; LPG rework" xfId="6707" xr:uid="{00000000-0005-0000-0000-000024770000}"/>
    <cellStyle name="Normal 10 3 4" xfId="1874" xr:uid="{00000000-0005-0000-0000-000025770000}"/>
    <cellStyle name="Normal 10 3 4 2" xfId="1875" xr:uid="{00000000-0005-0000-0000-000026770000}"/>
    <cellStyle name="Normal 10 3 4 2 2" xfId="10642" xr:uid="{00000000-0005-0000-0000-000027770000}"/>
    <cellStyle name="Normal 10 3 4 2 3" xfId="16363" xr:uid="{00000000-0005-0000-0000-000028770000}"/>
    <cellStyle name="Normal 10 3 4 3" xfId="1876" xr:uid="{00000000-0005-0000-0000-000029770000}"/>
    <cellStyle name="Normal 10 3 4 3 2" xfId="10643" xr:uid="{00000000-0005-0000-0000-00002A770000}"/>
    <cellStyle name="Normal 10 3 4 3 3" xfId="16364" xr:uid="{00000000-0005-0000-0000-00002B770000}"/>
    <cellStyle name="Normal 10 3 4 4" xfId="1877" xr:uid="{00000000-0005-0000-0000-00002C770000}"/>
    <cellStyle name="Normal 10 3 4 4 2" xfId="10644" xr:uid="{00000000-0005-0000-0000-00002D770000}"/>
    <cellStyle name="Normal 10 3 4 4 3" xfId="16365" xr:uid="{00000000-0005-0000-0000-00002E770000}"/>
    <cellStyle name="Normal 10 3 4 5" xfId="1878" xr:uid="{00000000-0005-0000-0000-00002F770000}"/>
    <cellStyle name="Normal 10 3 4 5 2" xfId="10645" xr:uid="{00000000-0005-0000-0000-000030770000}"/>
    <cellStyle name="Normal 10 3 4 5 3" xfId="16366" xr:uid="{00000000-0005-0000-0000-000031770000}"/>
    <cellStyle name="Normal 10 3 4 6" xfId="10641" xr:uid="{00000000-0005-0000-0000-000032770000}"/>
    <cellStyle name="Normal 10 3 4 7" xfId="16362" xr:uid="{00000000-0005-0000-0000-000033770000}"/>
    <cellStyle name="Normal 10 3 4_LNG &amp; LPG rework" xfId="6706" xr:uid="{00000000-0005-0000-0000-000034770000}"/>
    <cellStyle name="Normal 10 3 5" xfId="1879" xr:uid="{00000000-0005-0000-0000-000035770000}"/>
    <cellStyle name="Normal 10 3 5 2" xfId="1880" xr:uid="{00000000-0005-0000-0000-000036770000}"/>
    <cellStyle name="Normal 10 3 5 2 2" xfId="10647" xr:uid="{00000000-0005-0000-0000-000037770000}"/>
    <cellStyle name="Normal 10 3 5 2 3" xfId="16368" xr:uid="{00000000-0005-0000-0000-000038770000}"/>
    <cellStyle name="Normal 10 3 5 3" xfId="1881" xr:uid="{00000000-0005-0000-0000-000039770000}"/>
    <cellStyle name="Normal 10 3 5 3 2" xfId="10648" xr:uid="{00000000-0005-0000-0000-00003A770000}"/>
    <cellStyle name="Normal 10 3 5 3 3" xfId="16369" xr:uid="{00000000-0005-0000-0000-00003B770000}"/>
    <cellStyle name="Normal 10 3 5 4" xfId="1882" xr:uid="{00000000-0005-0000-0000-00003C770000}"/>
    <cellStyle name="Normal 10 3 5 4 2" xfId="10649" xr:uid="{00000000-0005-0000-0000-00003D770000}"/>
    <cellStyle name="Normal 10 3 5 4 3" xfId="16370" xr:uid="{00000000-0005-0000-0000-00003E770000}"/>
    <cellStyle name="Normal 10 3 5 5" xfId="1883" xr:uid="{00000000-0005-0000-0000-00003F770000}"/>
    <cellStyle name="Normal 10 3 5 5 2" xfId="10650" xr:uid="{00000000-0005-0000-0000-000040770000}"/>
    <cellStyle name="Normal 10 3 5 5 3" xfId="16371" xr:uid="{00000000-0005-0000-0000-000041770000}"/>
    <cellStyle name="Normal 10 3 5 6" xfId="10646" xr:uid="{00000000-0005-0000-0000-000042770000}"/>
    <cellStyle name="Normal 10 3 5 7" xfId="16367" xr:uid="{00000000-0005-0000-0000-000043770000}"/>
    <cellStyle name="Normal 10 3 5_LNG &amp; LPG rework" xfId="6763" xr:uid="{00000000-0005-0000-0000-000044770000}"/>
    <cellStyle name="Normal 10 3 6" xfId="1884" xr:uid="{00000000-0005-0000-0000-000045770000}"/>
    <cellStyle name="Normal 10 3 6 2" xfId="10651" xr:uid="{00000000-0005-0000-0000-000046770000}"/>
    <cellStyle name="Normal 10 3 6 3" xfId="16372" xr:uid="{00000000-0005-0000-0000-000047770000}"/>
    <cellStyle name="Normal 10 3 7" xfId="1885" xr:uid="{00000000-0005-0000-0000-000048770000}"/>
    <cellStyle name="Normal 10 3 7 2" xfId="10652" xr:uid="{00000000-0005-0000-0000-000049770000}"/>
    <cellStyle name="Normal 10 3 7 3" xfId="16373" xr:uid="{00000000-0005-0000-0000-00004A770000}"/>
    <cellStyle name="Normal 10 3 8" xfId="1886" xr:uid="{00000000-0005-0000-0000-00004B770000}"/>
    <cellStyle name="Normal 10 3 8 2" xfId="10653" xr:uid="{00000000-0005-0000-0000-00004C770000}"/>
    <cellStyle name="Normal 10 3 8 3" xfId="16374" xr:uid="{00000000-0005-0000-0000-00004D770000}"/>
    <cellStyle name="Normal 10 3 9" xfId="1887" xr:uid="{00000000-0005-0000-0000-00004E770000}"/>
    <cellStyle name="Normal 10 3 9 2" xfId="10654" xr:uid="{00000000-0005-0000-0000-00004F770000}"/>
    <cellStyle name="Normal 10 3 9 3" xfId="16375" xr:uid="{00000000-0005-0000-0000-000050770000}"/>
    <cellStyle name="Normal 10 3_LNG &amp; LPG rework" xfId="6710" xr:uid="{00000000-0005-0000-0000-000051770000}"/>
    <cellStyle name="Normal 10 30" xfId="14953" xr:uid="{00000000-0005-0000-0000-000052770000}"/>
    <cellStyle name="Normal 10 31" xfId="29511" xr:uid="{00000000-0005-0000-0000-000053770000}"/>
    <cellStyle name="Normal 10 4" xfId="326" xr:uid="{00000000-0005-0000-0000-000054770000}"/>
    <cellStyle name="Normal 10 4 10" xfId="16376" xr:uid="{00000000-0005-0000-0000-000055770000}"/>
    <cellStyle name="Normal 10 4 2" xfId="327" xr:uid="{00000000-0005-0000-0000-000056770000}"/>
    <cellStyle name="Normal 10 4 2 2" xfId="1888" xr:uid="{00000000-0005-0000-0000-000057770000}"/>
    <cellStyle name="Normal 10 4 2 2 2" xfId="10655" xr:uid="{00000000-0005-0000-0000-000058770000}"/>
    <cellStyle name="Normal 10 4 2 2 3" xfId="16378" xr:uid="{00000000-0005-0000-0000-000059770000}"/>
    <cellStyle name="Normal 10 4 2 3" xfId="1889" xr:uid="{00000000-0005-0000-0000-00005A770000}"/>
    <cellStyle name="Normal 10 4 2 3 2" xfId="10656" xr:uid="{00000000-0005-0000-0000-00005B770000}"/>
    <cellStyle name="Normal 10 4 2 3 3" xfId="16379" xr:uid="{00000000-0005-0000-0000-00005C770000}"/>
    <cellStyle name="Normal 10 4 2 4" xfId="1890" xr:uid="{00000000-0005-0000-0000-00005D770000}"/>
    <cellStyle name="Normal 10 4 2 4 2" xfId="10657" xr:uid="{00000000-0005-0000-0000-00005E770000}"/>
    <cellStyle name="Normal 10 4 2 4 3" xfId="16380" xr:uid="{00000000-0005-0000-0000-00005F770000}"/>
    <cellStyle name="Normal 10 4 2 5" xfId="1891" xr:uid="{00000000-0005-0000-0000-000060770000}"/>
    <cellStyle name="Normal 10 4 2 5 2" xfId="10658" xr:uid="{00000000-0005-0000-0000-000061770000}"/>
    <cellStyle name="Normal 10 4 2 5 3" xfId="16381" xr:uid="{00000000-0005-0000-0000-000062770000}"/>
    <cellStyle name="Normal 10 4 2 6" xfId="1892" xr:uid="{00000000-0005-0000-0000-000063770000}"/>
    <cellStyle name="Normal 10 4 2 6 2" xfId="10659" xr:uid="{00000000-0005-0000-0000-000064770000}"/>
    <cellStyle name="Normal 10 4 2 6 3" xfId="16382" xr:uid="{00000000-0005-0000-0000-000065770000}"/>
    <cellStyle name="Normal 10 4 2 7" xfId="9178" xr:uid="{00000000-0005-0000-0000-000066770000}"/>
    <cellStyle name="Normal 10 4 2 8" xfId="16377" xr:uid="{00000000-0005-0000-0000-000067770000}"/>
    <cellStyle name="Normal 10 4 2_LNG &amp; LPG rework" xfId="6765" xr:uid="{00000000-0005-0000-0000-000068770000}"/>
    <cellStyle name="Normal 10 4 3" xfId="1893" xr:uid="{00000000-0005-0000-0000-000069770000}"/>
    <cellStyle name="Normal 10 4 3 2" xfId="1894" xr:uid="{00000000-0005-0000-0000-00006A770000}"/>
    <cellStyle name="Normal 10 4 3 2 2" xfId="10661" xr:uid="{00000000-0005-0000-0000-00006B770000}"/>
    <cellStyle name="Normal 10 4 3 2 3" xfId="16384" xr:uid="{00000000-0005-0000-0000-00006C770000}"/>
    <cellStyle name="Normal 10 4 3 3" xfId="1895" xr:uid="{00000000-0005-0000-0000-00006D770000}"/>
    <cellStyle name="Normal 10 4 3 3 2" xfId="10662" xr:uid="{00000000-0005-0000-0000-00006E770000}"/>
    <cellStyle name="Normal 10 4 3 3 3" xfId="16385" xr:uid="{00000000-0005-0000-0000-00006F770000}"/>
    <cellStyle name="Normal 10 4 3 4" xfId="1896" xr:uid="{00000000-0005-0000-0000-000070770000}"/>
    <cellStyle name="Normal 10 4 3 4 2" xfId="10663" xr:uid="{00000000-0005-0000-0000-000071770000}"/>
    <cellStyle name="Normal 10 4 3 4 3" xfId="16386" xr:uid="{00000000-0005-0000-0000-000072770000}"/>
    <cellStyle name="Normal 10 4 3 5" xfId="1897" xr:uid="{00000000-0005-0000-0000-000073770000}"/>
    <cellStyle name="Normal 10 4 3 5 2" xfId="10664" xr:uid="{00000000-0005-0000-0000-000074770000}"/>
    <cellStyle name="Normal 10 4 3 5 3" xfId="16387" xr:uid="{00000000-0005-0000-0000-000075770000}"/>
    <cellStyle name="Normal 10 4 3 6" xfId="10660" xr:uid="{00000000-0005-0000-0000-000076770000}"/>
    <cellStyle name="Normal 10 4 3 7" xfId="16383" xr:uid="{00000000-0005-0000-0000-000077770000}"/>
    <cellStyle name="Normal 10 4 3_LNG &amp; LPG rework" xfId="6766" xr:uid="{00000000-0005-0000-0000-000078770000}"/>
    <cellStyle name="Normal 10 4 4" xfId="1898" xr:uid="{00000000-0005-0000-0000-000079770000}"/>
    <cellStyle name="Normal 10 4 4 2" xfId="10665" xr:uid="{00000000-0005-0000-0000-00007A770000}"/>
    <cellStyle name="Normal 10 4 4 3" xfId="16388" xr:uid="{00000000-0005-0000-0000-00007B770000}"/>
    <cellStyle name="Normal 10 4 5" xfId="1899" xr:uid="{00000000-0005-0000-0000-00007C770000}"/>
    <cellStyle name="Normal 10 4 5 2" xfId="10666" xr:uid="{00000000-0005-0000-0000-00007D770000}"/>
    <cellStyle name="Normal 10 4 5 3" xfId="16389" xr:uid="{00000000-0005-0000-0000-00007E770000}"/>
    <cellStyle name="Normal 10 4 6" xfId="1900" xr:uid="{00000000-0005-0000-0000-00007F770000}"/>
    <cellStyle name="Normal 10 4 6 2" xfId="10667" xr:uid="{00000000-0005-0000-0000-000080770000}"/>
    <cellStyle name="Normal 10 4 6 3" xfId="16390" xr:uid="{00000000-0005-0000-0000-000081770000}"/>
    <cellStyle name="Normal 10 4 7" xfId="1901" xr:uid="{00000000-0005-0000-0000-000082770000}"/>
    <cellStyle name="Normal 10 4 7 2" xfId="10668" xr:uid="{00000000-0005-0000-0000-000083770000}"/>
    <cellStyle name="Normal 10 4 7 3" xfId="16391" xr:uid="{00000000-0005-0000-0000-000084770000}"/>
    <cellStyle name="Normal 10 4 8" xfId="1902" xr:uid="{00000000-0005-0000-0000-000085770000}"/>
    <cellStyle name="Normal 10 4 8 2" xfId="10669" xr:uid="{00000000-0005-0000-0000-000086770000}"/>
    <cellStyle name="Normal 10 4 8 3" xfId="16392" xr:uid="{00000000-0005-0000-0000-000087770000}"/>
    <cellStyle name="Normal 10 4 9" xfId="9177" xr:uid="{00000000-0005-0000-0000-000088770000}"/>
    <cellStyle name="Normal 10 4_LNG &amp; LPG rework" xfId="6764" xr:uid="{00000000-0005-0000-0000-000089770000}"/>
    <cellStyle name="Normal 10 5" xfId="328" xr:uid="{00000000-0005-0000-0000-00008A770000}"/>
    <cellStyle name="Normal 10 5 10" xfId="16393" xr:uid="{00000000-0005-0000-0000-00008B770000}"/>
    <cellStyle name="Normal 10 5 2" xfId="1903" xr:uid="{00000000-0005-0000-0000-00008C770000}"/>
    <cellStyle name="Normal 10 5 2 2" xfId="1904" xr:uid="{00000000-0005-0000-0000-00008D770000}"/>
    <cellStyle name="Normal 10 5 2 2 2" xfId="10671" xr:uid="{00000000-0005-0000-0000-00008E770000}"/>
    <cellStyle name="Normal 10 5 2 2 3" xfId="16395" xr:uid="{00000000-0005-0000-0000-00008F770000}"/>
    <cellStyle name="Normal 10 5 2 3" xfId="1905" xr:uid="{00000000-0005-0000-0000-000090770000}"/>
    <cellStyle name="Normal 10 5 2 3 2" xfId="10672" xr:uid="{00000000-0005-0000-0000-000091770000}"/>
    <cellStyle name="Normal 10 5 2 3 3" xfId="16396" xr:uid="{00000000-0005-0000-0000-000092770000}"/>
    <cellStyle name="Normal 10 5 2 4" xfId="1906" xr:uid="{00000000-0005-0000-0000-000093770000}"/>
    <cellStyle name="Normal 10 5 2 4 2" xfId="10673" xr:uid="{00000000-0005-0000-0000-000094770000}"/>
    <cellStyle name="Normal 10 5 2 4 3" xfId="16397" xr:uid="{00000000-0005-0000-0000-000095770000}"/>
    <cellStyle name="Normal 10 5 2 5" xfId="1907" xr:uid="{00000000-0005-0000-0000-000096770000}"/>
    <cellStyle name="Normal 10 5 2 5 2" xfId="10674" xr:uid="{00000000-0005-0000-0000-000097770000}"/>
    <cellStyle name="Normal 10 5 2 5 3" xfId="16398" xr:uid="{00000000-0005-0000-0000-000098770000}"/>
    <cellStyle name="Normal 10 5 2 6" xfId="10670" xr:uid="{00000000-0005-0000-0000-000099770000}"/>
    <cellStyle name="Normal 10 5 2 7" xfId="16394" xr:uid="{00000000-0005-0000-0000-00009A770000}"/>
    <cellStyle name="Normal 10 5 2_LNG &amp; LPG rework" xfId="6767" xr:uid="{00000000-0005-0000-0000-00009B770000}"/>
    <cellStyle name="Normal 10 5 3" xfId="1908" xr:uid="{00000000-0005-0000-0000-00009C770000}"/>
    <cellStyle name="Normal 10 5 3 2" xfId="1909" xr:uid="{00000000-0005-0000-0000-00009D770000}"/>
    <cellStyle name="Normal 10 5 3 2 2" xfId="10676" xr:uid="{00000000-0005-0000-0000-00009E770000}"/>
    <cellStyle name="Normal 10 5 3 2 3" xfId="16400" xr:uid="{00000000-0005-0000-0000-00009F770000}"/>
    <cellStyle name="Normal 10 5 3 3" xfId="1910" xr:uid="{00000000-0005-0000-0000-0000A0770000}"/>
    <cellStyle name="Normal 10 5 3 3 2" xfId="10677" xr:uid="{00000000-0005-0000-0000-0000A1770000}"/>
    <cellStyle name="Normal 10 5 3 3 3" xfId="16401" xr:uid="{00000000-0005-0000-0000-0000A2770000}"/>
    <cellStyle name="Normal 10 5 3 4" xfId="1911" xr:uid="{00000000-0005-0000-0000-0000A3770000}"/>
    <cellStyle name="Normal 10 5 3 4 2" xfId="10678" xr:uid="{00000000-0005-0000-0000-0000A4770000}"/>
    <cellStyle name="Normal 10 5 3 4 3" xfId="16402" xr:uid="{00000000-0005-0000-0000-0000A5770000}"/>
    <cellStyle name="Normal 10 5 3 5" xfId="1912" xr:uid="{00000000-0005-0000-0000-0000A6770000}"/>
    <cellStyle name="Normal 10 5 3 5 2" xfId="10679" xr:uid="{00000000-0005-0000-0000-0000A7770000}"/>
    <cellStyle name="Normal 10 5 3 5 3" xfId="16403" xr:uid="{00000000-0005-0000-0000-0000A8770000}"/>
    <cellStyle name="Normal 10 5 3 6" xfId="10675" xr:uid="{00000000-0005-0000-0000-0000A9770000}"/>
    <cellStyle name="Normal 10 5 3 7" xfId="16399" xr:uid="{00000000-0005-0000-0000-0000AA770000}"/>
    <cellStyle name="Normal 10 5 3_LNG &amp; LPG rework" xfId="6769" xr:uid="{00000000-0005-0000-0000-0000AB770000}"/>
    <cellStyle name="Normal 10 5 4" xfId="1913" xr:uid="{00000000-0005-0000-0000-0000AC770000}"/>
    <cellStyle name="Normal 10 5 4 2" xfId="10680" xr:uid="{00000000-0005-0000-0000-0000AD770000}"/>
    <cellStyle name="Normal 10 5 4 3" xfId="16404" xr:uid="{00000000-0005-0000-0000-0000AE770000}"/>
    <cellStyle name="Normal 10 5 5" xfId="1914" xr:uid="{00000000-0005-0000-0000-0000AF770000}"/>
    <cellStyle name="Normal 10 5 5 2" xfId="10681" xr:uid="{00000000-0005-0000-0000-0000B0770000}"/>
    <cellStyle name="Normal 10 5 5 3" xfId="16405" xr:uid="{00000000-0005-0000-0000-0000B1770000}"/>
    <cellStyle name="Normal 10 5 6" xfId="1915" xr:uid="{00000000-0005-0000-0000-0000B2770000}"/>
    <cellStyle name="Normal 10 5 6 2" xfId="10682" xr:uid="{00000000-0005-0000-0000-0000B3770000}"/>
    <cellStyle name="Normal 10 5 6 3" xfId="16406" xr:uid="{00000000-0005-0000-0000-0000B4770000}"/>
    <cellStyle name="Normal 10 5 7" xfId="1916" xr:uid="{00000000-0005-0000-0000-0000B5770000}"/>
    <cellStyle name="Normal 10 5 7 2" xfId="10683" xr:uid="{00000000-0005-0000-0000-0000B6770000}"/>
    <cellStyle name="Normal 10 5 7 3" xfId="16407" xr:uid="{00000000-0005-0000-0000-0000B7770000}"/>
    <cellStyle name="Normal 10 5 8" xfId="1917" xr:uid="{00000000-0005-0000-0000-0000B8770000}"/>
    <cellStyle name="Normal 10 5 8 2" xfId="10684" xr:uid="{00000000-0005-0000-0000-0000B9770000}"/>
    <cellStyle name="Normal 10 5 8 3" xfId="16408" xr:uid="{00000000-0005-0000-0000-0000BA770000}"/>
    <cellStyle name="Normal 10 5 9" xfId="9179" xr:uid="{00000000-0005-0000-0000-0000BB770000}"/>
    <cellStyle name="Normal 10 5_LNG &amp; LPG rework" xfId="6768" xr:uid="{00000000-0005-0000-0000-0000BC770000}"/>
    <cellStyle name="Normal 10 6" xfId="1918" xr:uid="{00000000-0005-0000-0000-0000BD770000}"/>
    <cellStyle name="Normal 10 7" xfId="1919" xr:uid="{00000000-0005-0000-0000-0000BE770000}"/>
    <cellStyle name="Normal 10 7 2" xfId="1920" xr:uid="{00000000-0005-0000-0000-0000BF770000}"/>
    <cellStyle name="Normal 10 7 2 2" xfId="1921" xr:uid="{00000000-0005-0000-0000-0000C0770000}"/>
    <cellStyle name="Normal 10 7 2 2 2" xfId="10687" xr:uid="{00000000-0005-0000-0000-0000C1770000}"/>
    <cellStyle name="Normal 10 7 2 2 3" xfId="16411" xr:uid="{00000000-0005-0000-0000-0000C2770000}"/>
    <cellStyle name="Normal 10 7 2 3" xfId="1922" xr:uid="{00000000-0005-0000-0000-0000C3770000}"/>
    <cellStyle name="Normal 10 7 2 3 2" xfId="10688" xr:uid="{00000000-0005-0000-0000-0000C4770000}"/>
    <cellStyle name="Normal 10 7 2 3 3" xfId="16412" xr:uid="{00000000-0005-0000-0000-0000C5770000}"/>
    <cellStyle name="Normal 10 7 2 4" xfId="1923" xr:uid="{00000000-0005-0000-0000-0000C6770000}"/>
    <cellStyle name="Normal 10 7 2 4 2" xfId="10689" xr:uid="{00000000-0005-0000-0000-0000C7770000}"/>
    <cellStyle name="Normal 10 7 2 4 3" xfId="16413" xr:uid="{00000000-0005-0000-0000-0000C8770000}"/>
    <cellStyle name="Normal 10 7 2 5" xfId="1924" xr:uid="{00000000-0005-0000-0000-0000C9770000}"/>
    <cellStyle name="Normal 10 7 2 5 2" xfId="10690" xr:uid="{00000000-0005-0000-0000-0000CA770000}"/>
    <cellStyle name="Normal 10 7 2 5 3" xfId="16414" xr:uid="{00000000-0005-0000-0000-0000CB770000}"/>
    <cellStyle name="Normal 10 7 2 6" xfId="10686" xr:uid="{00000000-0005-0000-0000-0000CC770000}"/>
    <cellStyle name="Normal 10 7 2 7" xfId="16410" xr:uid="{00000000-0005-0000-0000-0000CD770000}"/>
    <cellStyle name="Normal 10 7 2_LNG &amp; LPG rework" xfId="6770" xr:uid="{00000000-0005-0000-0000-0000CE770000}"/>
    <cellStyle name="Normal 10 7 3" xfId="1925" xr:uid="{00000000-0005-0000-0000-0000CF770000}"/>
    <cellStyle name="Normal 10 7 3 2" xfId="1926" xr:uid="{00000000-0005-0000-0000-0000D0770000}"/>
    <cellStyle name="Normal 10 7 3 2 2" xfId="10692" xr:uid="{00000000-0005-0000-0000-0000D1770000}"/>
    <cellStyle name="Normal 10 7 3 2 3" xfId="16416" xr:uid="{00000000-0005-0000-0000-0000D2770000}"/>
    <cellStyle name="Normal 10 7 3 3" xfId="1927" xr:uid="{00000000-0005-0000-0000-0000D3770000}"/>
    <cellStyle name="Normal 10 7 3 3 2" xfId="10693" xr:uid="{00000000-0005-0000-0000-0000D4770000}"/>
    <cellStyle name="Normal 10 7 3 3 3" xfId="16417" xr:uid="{00000000-0005-0000-0000-0000D5770000}"/>
    <cellStyle name="Normal 10 7 3 4" xfId="1928" xr:uid="{00000000-0005-0000-0000-0000D6770000}"/>
    <cellStyle name="Normal 10 7 3 4 2" xfId="10694" xr:uid="{00000000-0005-0000-0000-0000D7770000}"/>
    <cellStyle name="Normal 10 7 3 4 3" xfId="16418" xr:uid="{00000000-0005-0000-0000-0000D8770000}"/>
    <cellStyle name="Normal 10 7 3 5" xfId="1929" xr:uid="{00000000-0005-0000-0000-0000D9770000}"/>
    <cellStyle name="Normal 10 7 3 5 2" xfId="10695" xr:uid="{00000000-0005-0000-0000-0000DA770000}"/>
    <cellStyle name="Normal 10 7 3 5 3" xfId="16419" xr:uid="{00000000-0005-0000-0000-0000DB770000}"/>
    <cellStyle name="Normal 10 7 3 6" xfId="10691" xr:uid="{00000000-0005-0000-0000-0000DC770000}"/>
    <cellStyle name="Normal 10 7 3 7" xfId="16415" xr:uid="{00000000-0005-0000-0000-0000DD770000}"/>
    <cellStyle name="Normal 10 7 3_LNG &amp; LPG rework" xfId="6772" xr:uid="{00000000-0005-0000-0000-0000DE770000}"/>
    <cellStyle name="Normal 10 7 4" xfId="1930" xr:uid="{00000000-0005-0000-0000-0000DF770000}"/>
    <cellStyle name="Normal 10 7 4 2" xfId="10696" xr:uid="{00000000-0005-0000-0000-0000E0770000}"/>
    <cellStyle name="Normal 10 7 4 3" xfId="16420" xr:uid="{00000000-0005-0000-0000-0000E1770000}"/>
    <cellStyle name="Normal 10 7 5" xfId="1931" xr:uid="{00000000-0005-0000-0000-0000E2770000}"/>
    <cellStyle name="Normal 10 7 5 2" xfId="10697" xr:uid="{00000000-0005-0000-0000-0000E3770000}"/>
    <cellStyle name="Normal 10 7 5 3" xfId="16421" xr:uid="{00000000-0005-0000-0000-0000E4770000}"/>
    <cellStyle name="Normal 10 7 6" xfId="1932" xr:uid="{00000000-0005-0000-0000-0000E5770000}"/>
    <cellStyle name="Normal 10 7 6 2" xfId="10698" xr:uid="{00000000-0005-0000-0000-0000E6770000}"/>
    <cellStyle name="Normal 10 7 6 3" xfId="16422" xr:uid="{00000000-0005-0000-0000-0000E7770000}"/>
    <cellStyle name="Normal 10 7 7" xfId="1933" xr:uid="{00000000-0005-0000-0000-0000E8770000}"/>
    <cellStyle name="Normal 10 7 7 2" xfId="10699" xr:uid="{00000000-0005-0000-0000-0000E9770000}"/>
    <cellStyle name="Normal 10 7 7 3" xfId="16423" xr:uid="{00000000-0005-0000-0000-0000EA770000}"/>
    <cellStyle name="Normal 10 7 8" xfId="10685" xr:uid="{00000000-0005-0000-0000-0000EB770000}"/>
    <cellStyle name="Normal 10 7 9" xfId="16409" xr:uid="{00000000-0005-0000-0000-0000EC770000}"/>
    <cellStyle name="Normal 10 7_LNG &amp; LPG rework" xfId="6771" xr:uid="{00000000-0005-0000-0000-0000ED770000}"/>
    <cellStyle name="Normal 10 8" xfId="1934" xr:uid="{00000000-0005-0000-0000-0000EE770000}"/>
    <cellStyle name="Normal 10 8 2" xfId="1935" xr:uid="{00000000-0005-0000-0000-0000EF770000}"/>
    <cellStyle name="Normal 10 8 2 2" xfId="1936" xr:uid="{00000000-0005-0000-0000-0000F0770000}"/>
    <cellStyle name="Normal 10 8 2 2 2" xfId="10702" xr:uid="{00000000-0005-0000-0000-0000F1770000}"/>
    <cellStyle name="Normal 10 8 2 2 3" xfId="16426" xr:uid="{00000000-0005-0000-0000-0000F2770000}"/>
    <cellStyle name="Normal 10 8 2 3" xfId="1937" xr:uid="{00000000-0005-0000-0000-0000F3770000}"/>
    <cellStyle name="Normal 10 8 2 3 2" xfId="10703" xr:uid="{00000000-0005-0000-0000-0000F4770000}"/>
    <cellStyle name="Normal 10 8 2 3 3" xfId="16427" xr:uid="{00000000-0005-0000-0000-0000F5770000}"/>
    <cellStyle name="Normal 10 8 2 4" xfId="1938" xr:uid="{00000000-0005-0000-0000-0000F6770000}"/>
    <cellStyle name="Normal 10 8 2 4 2" xfId="10704" xr:uid="{00000000-0005-0000-0000-0000F7770000}"/>
    <cellStyle name="Normal 10 8 2 4 3" xfId="16428" xr:uid="{00000000-0005-0000-0000-0000F8770000}"/>
    <cellStyle name="Normal 10 8 2 5" xfId="1939" xr:uid="{00000000-0005-0000-0000-0000F9770000}"/>
    <cellStyle name="Normal 10 8 2 5 2" xfId="10705" xr:uid="{00000000-0005-0000-0000-0000FA770000}"/>
    <cellStyle name="Normal 10 8 2 5 3" xfId="16429" xr:uid="{00000000-0005-0000-0000-0000FB770000}"/>
    <cellStyle name="Normal 10 8 2 6" xfId="10701" xr:uid="{00000000-0005-0000-0000-0000FC770000}"/>
    <cellStyle name="Normal 10 8 2 7" xfId="16425" xr:uid="{00000000-0005-0000-0000-0000FD770000}"/>
    <cellStyle name="Normal 10 8 2_LNG &amp; LPG rework" xfId="6774" xr:uid="{00000000-0005-0000-0000-0000FE770000}"/>
    <cellStyle name="Normal 10 8 3" xfId="1940" xr:uid="{00000000-0005-0000-0000-0000FF770000}"/>
    <cellStyle name="Normal 10 8 3 2" xfId="1941" xr:uid="{00000000-0005-0000-0000-000000780000}"/>
    <cellStyle name="Normal 10 8 3 2 2" xfId="10707" xr:uid="{00000000-0005-0000-0000-000001780000}"/>
    <cellStyle name="Normal 10 8 3 2 3" xfId="16431" xr:uid="{00000000-0005-0000-0000-000002780000}"/>
    <cellStyle name="Normal 10 8 3 3" xfId="1942" xr:uid="{00000000-0005-0000-0000-000003780000}"/>
    <cellStyle name="Normal 10 8 3 3 2" xfId="10708" xr:uid="{00000000-0005-0000-0000-000004780000}"/>
    <cellStyle name="Normal 10 8 3 3 3" xfId="16432" xr:uid="{00000000-0005-0000-0000-000005780000}"/>
    <cellStyle name="Normal 10 8 3 4" xfId="1943" xr:uid="{00000000-0005-0000-0000-000006780000}"/>
    <cellStyle name="Normal 10 8 3 4 2" xfId="10709" xr:uid="{00000000-0005-0000-0000-000007780000}"/>
    <cellStyle name="Normal 10 8 3 4 3" xfId="16433" xr:uid="{00000000-0005-0000-0000-000008780000}"/>
    <cellStyle name="Normal 10 8 3 5" xfId="1944" xr:uid="{00000000-0005-0000-0000-000009780000}"/>
    <cellStyle name="Normal 10 8 3 5 2" xfId="10710" xr:uid="{00000000-0005-0000-0000-00000A780000}"/>
    <cellStyle name="Normal 10 8 3 5 3" xfId="16434" xr:uid="{00000000-0005-0000-0000-00000B780000}"/>
    <cellStyle name="Normal 10 8 3 6" xfId="10706" xr:uid="{00000000-0005-0000-0000-00000C780000}"/>
    <cellStyle name="Normal 10 8 3 7" xfId="16430" xr:uid="{00000000-0005-0000-0000-00000D780000}"/>
    <cellStyle name="Normal 10 8 3_LNG &amp; LPG rework" xfId="6984" xr:uid="{00000000-0005-0000-0000-00000E780000}"/>
    <cellStyle name="Normal 10 8 4" xfId="1945" xr:uid="{00000000-0005-0000-0000-00000F780000}"/>
    <cellStyle name="Normal 10 8 4 2" xfId="10711" xr:uid="{00000000-0005-0000-0000-000010780000}"/>
    <cellStyle name="Normal 10 8 4 3" xfId="16435" xr:uid="{00000000-0005-0000-0000-000011780000}"/>
    <cellStyle name="Normal 10 8 5" xfId="1946" xr:uid="{00000000-0005-0000-0000-000012780000}"/>
    <cellStyle name="Normal 10 8 5 2" xfId="10712" xr:uid="{00000000-0005-0000-0000-000013780000}"/>
    <cellStyle name="Normal 10 8 5 3" xfId="16436" xr:uid="{00000000-0005-0000-0000-000014780000}"/>
    <cellStyle name="Normal 10 8 6" xfId="1947" xr:uid="{00000000-0005-0000-0000-000015780000}"/>
    <cellStyle name="Normal 10 8 6 2" xfId="10713" xr:uid="{00000000-0005-0000-0000-000016780000}"/>
    <cellStyle name="Normal 10 8 6 3" xfId="16437" xr:uid="{00000000-0005-0000-0000-000017780000}"/>
    <cellStyle name="Normal 10 8 7" xfId="1948" xr:uid="{00000000-0005-0000-0000-000018780000}"/>
    <cellStyle name="Normal 10 8 7 2" xfId="10714" xr:uid="{00000000-0005-0000-0000-000019780000}"/>
    <cellStyle name="Normal 10 8 7 3" xfId="16438" xr:uid="{00000000-0005-0000-0000-00001A780000}"/>
    <cellStyle name="Normal 10 8 8" xfId="10700" xr:uid="{00000000-0005-0000-0000-00001B780000}"/>
    <cellStyle name="Normal 10 8 9" xfId="16424" xr:uid="{00000000-0005-0000-0000-00001C780000}"/>
    <cellStyle name="Normal 10 8_LNG &amp; LPG rework" xfId="6773" xr:uid="{00000000-0005-0000-0000-00001D780000}"/>
    <cellStyle name="Normal 10 9" xfId="1949" xr:uid="{00000000-0005-0000-0000-00001E780000}"/>
    <cellStyle name="Normal 10 9 2" xfId="1950" xr:uid="{00000000-0005-0000-0000-00001F780000}"/>
    <cellStyle name="Normal 10 9 2 2" xfId="1951" xr:uid="{00000000-0005-0000-0000-000020780000}"/>
    <cellStyle name="Normal 10 9 2 2 2" xfId="10717" xr:uid="{00000000-0005-0000-0000-000021780000}"/>
    <cellStyle name="Normal 10 9 2 2 3" xfId="16441" xr:uid="{00000000-0005-0000-0000-000022780000}"/>
    <cellStyle name="Normal 10 9 2 3" xfId="1952" xr:uid="{00000000-0005-0000-0000-000023780000}"/>
    <cellStyle name="Normal 10 9 2 3 2" xfId="10718" xr:uid="{00000000-0005-0000-0000-000024780000}"/>
    <cellStyle name="Normal 10 9 2 3 3" xfId="16442" xr:uid="{00000000-0005-0000-0000-000025780000}"/>
    <cellStyle name="Normal 10 9 2 4" xfId="1953" xr:uid="{00000000-0005-0000-0000-000026780000}"/>
    <cellStyle name="Normal 10 9 2 4 2" xfId="10719" xr:uid="{00000000-0005-0000-0000-000027780000}"/>
    <cellStyle name="Normal 10 9 2 4 3" xfId="16443" xr:uid="{00000000-0005-0000-0000-000028780000}"/>
    <cellStyle name="Normal 10 9 2 5" xfId="1954" xr:uid="{00000000-0005-0000-0000-000029780000}"/>
    <cellStyle name="Normal 10 9 2 5 2" xfId="10720" xr:uid="{00000000-0005-0000-0000-00002A780000}"/>
    <cellStyle name="Normal 10 9 2 5 3" xfId="16444" xr:uid="{00000000-0005-0000-0000-00002B780000}"/>
    <cellStyle name="Normal 10 9 2 6" xfId="10716" xr:uid="{00000000-0005-0000-0000-00002C780000}"/>
    <cellStyle name="Normal 10 9 2 7" xfId="16440" xr:uid="{00000000-0005-0000-0000-00002D780000}"/>
    <cellStyle name="Normal 10 9 2_LNG &amp; LPG rework" xfId="6776" xr:uid="{00000000-0005-0000-0000-00002E780000}"/>
    <cellStyle name="Normal 10 9 3" xfId="1955" xr:uid="{00000000-0005-0000-0000-00002F780000}"/>
    <cellStyle name="Normal 10 9 3 2" xfId="1956" xr:uid="{00000000-0005-0000-0000-000030780000}"/>
    <cellStyle name="Normal 10 9 3 2 2" xfId="10722" xr:uid="{00000000-0005-0000-0000-000031780000}"/>
    <cellStyle name="Normal 10 9 3 2 3" xfId="16446" xr:uid="{00000000-0005-0000-0000-000032780000}"/>
    <cellStyle name="Normal 10 9 3 3" xfId="1957" xr:uid="{00000000-0005-0000-0000-000033780000}"/>
    <cellStyle name="Normal 10 9 3 3 2" xfId="10723" xr:uid="{00000000-0005-0000-0000-000034780000}"/>
    <cellStyle name="Normal 10 9 3 3 3" xfId="16447" xr:uid="{00000000-0005-0000-0000-000035780000}"/>
    <cellStyle name="Normal 10 9 3 4" xfId="1958" xr:uid="{00000000-0005-0000-0000-000036780000}"/>
    <cellStyle name="Normal 10 9 3 4 2" xfId="10724" xr:uid="{00000000-0005-0000-0000-000037780000}"/>
    <cellStyle name="Normal 10 9 3 4 3" xfId="16448" xr:uid="{00000000-0005-0000-0000-000038780000}"/>
    <cellStyle name="Normal 10 9 3 5" xfId="1959" xr:uid="{00000000-0005-0000-0000-000039780000}"/>
    <cellStyle name="Normal 10 9 3 5 2" xfId="10725" xr:uid="{00000000-0005-0000-0000-00003A780000}"/>
    <cellStyle name="Normal 10 9 3 5 3" xfId="16449" xr:uid="{00000000-0005-0000-0000-00003B780000}"/>
    <cellStyle name="Normal 10 9 3 6" xfId="10721" xr:uid="{00000000-0005-0000-0000-00003C780000}"/>
    <cellStyle name="Normal 10 9 3 7" xfId="16445" xr:uid="{00000000-0005-0000-0000-00003D780000}"/>
    <cellStyle name="Normal 10 9 3_LNG &amp; LPG rework" xfId="6610" xr:uid="{00000000-0005-0000-0000-00003E780000}"/>
    <cellStyle name="Normal 10 9 4" xfId="1960" xr:uid="{00000000-0005-0000-0000-00003F780000}"/>
    <cellStyle name="Normal 10 9 4 2" xfId="10726" xr:uid="{00000000-0005-0000-0000-000040780000}"/>
    <cellStyle name="Normal 10 9 4 3" xfId="16450" xr:uid="{00000000-0005-0000-0000-000041780000}"/>
    <cellStyle name="Normal 10 9 5" xfId="1961" xr:uid="{00000000-0005-0000-0000-000042780000}"/>
    <cellStyle name="Normal 10 9 5 2" xfId="10727" xr:uid="{00000000-0005-0000-0000-000043780000}"/>
    <cellStyle name="Normal 10 9 5 3" xfId="16451" xr:uid="{00000000-0005-0000-0000-000044780000}"/>
    <cellStyle name="Normal 10 9 6" xfId="1962" xr:uid="{00000000-0005-0000-0000-000045780000}"/>
    <cellStyle name="Normal 10 9 6 2" xfId="10728" xr:uid="{00000000-0005-0000-0000-000046780000}"/>
    <cellStyle name="Normal 10 9 6 3" xfId="16452" xr:uid="{00000000-0005-0000-0000-000047780000}"/>
    <cellStyle name="Normal 10 9 7" xfId="1963" xr:uid="{00000000-0005-0000-0000-000048780000}"/>
    <cellStyle name="Normal 10 9 7 2" xfId="10729" xr:uid="{00000000-0005-0000-0000-000049780000}"/>
    <cellStyle name="Normal 10 9 7 3" xfId="16453" xr:uid="{00000000-0005-0000-0000-00004A780000}"/>
    <cellStyle name="Normal 10 9 8" xfId="10715" xr:uid="{00000000-0005-0000-0000-00004B780000}"/>
    <cellStyle name="Normal 10 9 9" xfId="16439" xr:uid="{00000000-0005-0000-0000-00004C780000}"/>
    <cellStyle name="Normal 10 9_LNG &amp; LPG rework" xfId="6775" xr:uid="{00000000-0005-0000-0000-00004D780000}"/>
    <cellStyle name="Normal 10_2015  Data" xfId="329" xr:uid="{00000000-0005-0000-0000-00004E780000}"/>
    <cellStyle name="Normal 100" xfId="1964" xr:uid="{00000000-0005-0000-0000-00004F780000}"/>
    <cellStyle name="Normal 100 2" xfId="1965" xr:uid="{00000000-0005-0000-0000-000050780000}"/>
    <cellStyle name="Normal 100 2 2" xfId="10730" xr:uid="{00000000-0005-0000-0000-000051780000}"/>
    <cellStyle name="Normal 100 2 3" xfId="16454" xr:uid="{00000000-0005-0000-0000-000052780000}"/>
    <cellStyle name="Normal 101" xfId="1966" xr:uid="{00000000-0005-0000-0000-000053780000}"/>
    <cellStyle name="Normal 101 2" xfId="1967" xr:uid="{00000000-0005-0000-0000-000054780000}"/>
    <cellStyle name="Normal 101 2 2" xfId="10731" xr:uid="{00000000-0005-0000-0000-000055780000}"/>
    <cellStyle name="Normal 101 2 3" xfId="16455" xr:uid="{00000000-0005-0000-0000-000056780000}"/>
    <cellStyle name="Normal 102" xfId="1968" xr:uid="{00000000-0005-0000-0000-000057780000}"/>
    <cellStyle name="Normal 103" xfId="1969" xr:uid="{00000000-0005-0000-0000-000058780000}"/>
    <cellStyle name="Normal 104" xfId="1970" xr:uid="{00000000-0005-0000-0000-000059780000}"/>
    <cellStyle name="Normal 105" xfId="1971" xr:uid="{00000000-0005-0000-0000-00005A780000}"/>
    <cellStyle name="Normal 106" xfId="1972" xr:uid="{00000000-0005-0000-0000-00005B780000}"/>
    <cellStyle name="Normal 107" xfId="1973" xr:uid="{00000000-0005-0000-0000-00005C780000}"/>
    <cellStyle name="Normal 108" xfId="1974" xr:uid="{00000000-0005-0000-0000-00005D780000}"/>
    <cellStyle name="Normal 109" xfId="1975" xr:uid="{00000000-0005-0000-0000-00005E780000}"/>
    <cellStyle name="Normal 11" xfId="330" xr:uid="{00000000-0005-0000-0000-00005F780000}"/>
    <cellStyle name="Normal 11 10" xfId="1976" xr:uid="{00000000-0005-0000-0000-000060780000}"/>
    <cellStyle name="Normal 11 10 2" xfId="1977" xr:uid="{00000000-0005-0000-0000-000061780000}"/>
    <cellStyle name="Normal 11 10 2 2" xfId="1978" xr:uid="{00000000-0005-0000-0000-000062780000}"/>
    <cellStyle name="Normal 11 10 2 2 2" xfId="10734" xr:uid="{00000000-0005-0000-0000-000063780000}"/>
    <cellStyle name="Normal 11 10 2 2 3" xfId="16458" xr:uid="{00000000-0005-0000-0000-000064780000}"/>
    <cellStyle name="Normal 11 10 2 3" xfId="1979" xr:uid="{00000000-0005-0000-0000-000065780000}"/>
    <cellStyle name="Normal 11 10 2 3 2" xfId="10735" xr:uid="{00000000-0005-0000-0000-000066780000}"/>
    <cellStyle name="Normal 11 10 2 3 3" xfId="16459" xr:uid="{00000000-0005-0000-0000-000067780000}"/>
    <cellStyle name="Normal 11 10 2 4" xfId="1980" xr:uid="{00000000-0005-0000-0000-000068780000}"/>
    <cellStyle name="Normal 11 10 2 4 2" xfId="10736" xr:uid="{00000000-0005-0000-0000-000069780000}"/>
    <cellStyle name="Normal 11 10 2 4 3" xfId="16460" xr:uid="{00000000-0005-0000-0000-00006A780000}"/>
    <cellStyle name="Normal 11 10 2 5" xfId="1981" xr:uid="{00000000-0005-0000-0000-00006B780000}"/>
    <cellStyle name="Normal 11 10 2 5 2" xfId="10737" xr:uid="{00000000-0005-0000-0000-00006C780000}"/>
    <cellStyle name="Normal 11 10 2 5 3" xfId="16461" xr:uid="{00000000-0005-0000-0000-00006D780000}"/>
    <cellStyle name="Normal 11 10 2 6" xfId="10733" xr:uid="{00000000-0005-0000-0000-00006E780000}"/>
    <cellStyle name="Normal 11 10 2 7" xfId="16457" xr:uid="{00000000-0005-0000-0000-00006F780000}"/>
    <cellStyle name="Normal 11 10 2_LNG &amp; LPG rework" xfId="6777" xr:uid="{00000000-0005-0000-0000-000070780000}"/>
    <cellStyle name="Normal 11 10 3" xfId="1982" xr:uid="{00000000-0005-0000-0000-000071780000}"/>
    <cellStyle name="Normal 11 10 3 2" xfId="1983" xr:uid="{00000000-0005-0000-0000-000072780000}"/>
    <cellStyle name="Normal 11 10 3 2 2" xfId="10739" xr:uid="{00000000-0005-0000-0000-000073780000}"/>
    <cellStyle name="Normal 11 10 3 2 3" xfId="16463" xr:uid="{00000000-0005-0000-0000-000074780000}"/>
    <cellStyle name="Normal 11 10 3 3" xfId="1984" xr:uid="{00000000-0005-0000-0000-000075780000}"/>
    <cellStyle name="Normal 11 10 3 3 2" xfId="10740" xr:uid="{00000000-0005-0000-0000-000076780000}"/>
    <cellStyle name="Normal 11 10 3 3 3" xfId="16464" xr:uid="{00000000-0005-0000-0000-000077780000}"/>
    <cellStyle name="Normal 11 10 3 4" xfId="1985" xr:uid="{00000000-0005-0000-0000-000078780000}"/>
    <cellStyle name="Normal 11 10 3 4 2" xfId="10741" xr:uid="{00000000-0005-0000-0000-000079780000}"/>
    <cellStyle name="Normal 11 10 3 4 3" xfId="16465" xr:uid="{00000000-0005-0000-0000-00007A780000}"/>
    <cellStyle name="Normal 11 10 3 5" xfId="1986" xr:uid="{00000000-0005-0000-0000-00007B780000}"/>
    <cellStyle name="Normal 11 10 3 5 2" xfId="10742" xr:uid="{00000000-0005-0000-0000-00007C780000}"/>
    <cellStyle name="Normal 11 10 3 5 3" xfId="16466" xr:uid="{00000000-0005-0000-0000-00007D780000}"/>
    <cellStyle name="Normal 11 10 3 6" xfId="10738" xr:uid="{00000000-0005-0000-0000-00007E780000}"/>
    <cellStyle name="Normal 11 10 3 7" xfId="16462" xr:uid="{00000000-0005-0000-0000-00007F780000}"/>
    <cellStyle name="Normal 11 10 3_LNG &amp; LPG rework" xfId="6778" xr:uid="{00000000-0005-0000-0000-000080780000}"/>
    <cellStyle name="Normal 11 10 4" xfId="1987" xr:uid="{00000000-0005-0000-0000-000081780000}"/>
    <cellStyle name="Normal 11 10 4 2" xfId="10743" xr:uid="{00000000-0005-0000-0000-000082780000}"/>
    <cellStyle name="Normal 11 10 4 3" xfId="16467" xr:uid="{00000000-0005-0000-0000-000083780000}"/>
    <cellStyle name="Normal 11 10 5" xfId="1988" xr:uid="{00000000-0005-0000-0000-000084780000}"/>
    <cellStyle name="Normal 11 10 5 2" xfId="10744" xr:uid="{00000000-0005-0000-0000-000085780000}"/>
    <cellStyle name="Normal 11 10 5 3" xfId="16468" xr:uid="{00000000-0005-0000-0000-000086780000}"/>
    <cellStyle name="Normal 11 10 6" xfId="1989" xr:uid="{00000000-0005-0000-0000-000087780000}"/>
    <cellStyle name="Normal 11 10 6 2" xfId="10745" xr:uid="{00000000-0005-0000-0000-000088780000}"/>
    <cellStyle name="Normal 11 10 6 3" xfId="16469" xr:uid="{00000000-0005-0000-0000-000089780000}"/>
    <cellStyle name="Normal 11 10 7" xfId="1990" xr:uid="{00000000-0005-0000-0000-00008A780000}"/>
    <cellStyle name="Normal 11 10 7 2" xfId="10746" xr:uid="{00000000-0005-0000-0000-00008B780000}"/>
    <cellStyle name="Normal 11 10 7 3" xfId="16470" xr:uid="{00000000-0005-0000-0000-00008C780000}"/>
    <cellStyle name="Normal 11 10 8" xfId="10732" xr:uid="{00000000-0005-0000-0000-00008D780000}"/>
    <cellStyle name="Normal 11 10 9" xfId="16456" xr:uid="{00000000-0005-0000-0000-00008E780000}"/>
    <cellStyle name="Normal 11 10_LNG &amp; LPG rework" xfId="6705" xr:uid="{00000000-0005-0000-0000-00008F780000}"/>
    <cellStyle name="Normal 11 11" xfId="1991" xr:uid="{00000000-0005-0000-0000-000090780000}"/>
    <cellStyle name="Normal 11 11 2" xfId="1992" xr:uid="{00000000-0005-0000-0000-000091780000}"/>
    <cellStyle name="Normal 11 11 2 2" xfId="1993" xr:uid="{00000000-0005-0000-0000-000092780000}"/>
    <cellStyle name="Normal 11 11 2 2 2" xfId="10749" xr:uid="{00000000-0005-0000-0000-000093780000}"/>
    <cellStyle name="Normal 11 11 2 2 3" xfId="16473" xr:uid="{00000000-0005-0000-0000-000094780000}"/>
    <cellStyle name="Normal 11 11 2 3" xfId="1994" xr:uid="{00000000-0005-0000-0000-000095780000}"/>
    <cellStyle name="Normal 11 11 2 3 2" xfId="10750" xr:uid="{00000000-0005-0000-0000-000096780000}"/>
    <cellStyle name="Normal 11 11 2 3 3" xfId="16474" xr:uid="{00000000-0005-0000-0000-000097780000}"/>
    <cellStyle name="Normal 11 11 2 4" xfId="1995" xr:uid="{00000000-0005-0000-0000-000098780000}"/>
    <cellStyle name="Normal 11 11 2 4 2" xfId="10751" xr:uid="{00000000-0005-0000-0000-000099780000}"/>
    <cellStyle name="Normal 11 11 2 4 3" xfId="16475" xr:uid="{00000000-0005-0000-0000-00009A780000}"/>
    <cellStyle name="Normal 11 11 2 5" xfId="1996" xr:uid="{00000000-0005-0000-0000-00009B780000}"/>
    <cellStyle name="Normal 11 11 2 5 2" xfId="10752" xr:uid="{00000000-0005-0000-0000-00009C780000}"/>
    <cellStyle name="Normal 11 11 2 5 3" xfId="16476" xr:uid="{00000000-0005-0000-0000-00009D780000}"/>
    <cellStyle name="Normal 11 11 2 6" xfId="10748" xr:uid="{00000000-0005-0000-0000-00009E780000}"/>
    <cellStyle name="Normal 11 11 2 7" xfId="16472" xr:uid="{00000000-0005-0000-0000-00009F780000}"/>
    <cellStyle name="Normal 11 11 2_LNG &amp; LPG rework" xfId="6703" xr:uid="{00000000-0005-0000-0000-0000A0780000}"/>
    <cellStyle name="Normal 11 11 3" xfId="1997" xr:uid="{00000000-0005-0000-0000-0000A1780000}"/>
    <cellStyle name="Normal 11 11 3 2" xfId="1998" xr:uid="{00000000-0005-0000-0000-0000A2780000}"/>
    <cellStyle name="Normal 11 11 3 2 2" xfId="10754" xr:uid="{00000000-0005-0000-0000-0000A3780000}"/>
    <cellStyle name="Normal 11 11 3 2 3" xfId="16478" xr:uid="{00000000-0005-0000-0000-0000A4780000}"/>
    <cellStyle name="Normal 11 11 3 3" xfId="1999" xr:uid="{00000000-0005-0000-0000-0000A5780000}"/>
    <cellStyle name="Normal 11 11 3 3 2" xfId="10755" xr:uid="{00000000-0005-0000-0000-0000A6780000}"/>
    <cellStyle name="Normal 11 11 3 3 3" xfId="16479" xr:uid="{00000000-0005-0000-0000-0000A7780000}"/>
    <cellStyle name="Normal 11 11 3 4" xfId="2000" xr:uid="{00000000-0005-0000-0000-0000A8780000}"/>
    <cellStyle name="Normal 11 11 3 4 2" xfId="10756" xr:uid="{00000000-0005-0000-0000-0000A9780000}"/>
    <cellStyle name="Normal 11 11 3 4 3" xfId="16480" xr:uid="{00000000-0005-0000-0000-0000AA780000}"/>
    <cellStyle name="Normal 11 11 3 5" xfId="2001" xr:uid="{00000000-0005-0000-0000-0000AB780000}"/>
    <cellStyle name="Normal 11 11 3 5 2" xfId="10757" xr:uid="{00000000-0005-0000-0000-0000AC780000}"/>
    <cellStyle name="Normal 11 11 3 5 3" xfId="16481" xr:uid="{00000000-0005-0000-0000-0000AD780000}"/>
    <cellStyle name="Normal 11 11 3 6" xfId="10753" xr:uid="{00000000-0005-0000-0000-0000AE780000}"/>
    <cellStyle name="Normal 11 11 3 7" xfId="16477" xr:uid="{00000000-0005-0000-0000-0000AF780000}"/>
    <cellStyle name="Normal 11 11 3_LNG &amp; LPG rework" xfId="6779" xr:uid="{00000000-0005-0000-0000-0000B0780000}"/>
    <cellStyle name="Normal 11 11 4" xfId="2002" xr:uid="{00000000-0005-0000-0000-0000B1780000}"/>
    <cellStyle name="Normal 11 11 4 2" xfId="10758" xr:uid="{00000000-0005-0000-0000-0000B2780000}"/>
    <cellStyle name="Normal 11 11 4 3" xfId="16482" xr:uid="{00000000-0005-0000-0000-0000B3780000}"/>
    <cellStyle name="Normal 11 11 5" xfId="2003" xr:uid="{00000000-0005-0000-0000-0000B4780000}"/>
    <cellStyle name="Normal 11 11 5 2" xfId="10759" xr:uid="{00000000-0005-0000-0000-0000B5780000}"/>
    <cellStyle name="Normal 11 11 5 3" xfId="16483" xr:uid="{00000000-0005-0000-0000-0000B6780000}"/>
    <cellStyle name="Normal 11 11 6" xfId="2004" xr:uid="{00000000-0005-0000-0000-0000B7780000}"/>
    <cellStyle name="Normal 11 11 6 2" xfId="10760" xr:uid="{00000000-0005-0000-0000-0000B8780000}"/>
    <cellStyle name="Normal 11 11 6 3" xfId="16484" xr:uid="{00000000-0005-0000-0000-0000B9780000}"/>
    <cellStyle name="Normal 11 11 7" xfId="2005" xr:uid="{00000000-0005-0000-0000-0000BA780000}"/>
    <cellStyle name="Normal 11 11 7 2" xfId="10761" xr:uid="{00000000-0005-0000-0000-0000BB780000}"/>
    <cellStyle name="Normal 11 11 7 3" xfId="16485" xr:uid="{00000000-0005-0000-0000-0000BC780000}"/>
    <cellStyle name="Normal 11 11 8" xfId="10747" xr:uid="{00000000-0005-0000-0000-0000BD780000}"/>
    <cellStyle name="Normal 11 11 9" xfId="16471" xr:uid="{00000000-0005-0000-0000-0000BE780000}"/>
    <cellStyle name="Normal 11 11_LNG &amp; LPG rework" xfId="6704" xr:uid="{00000000-0005-0000-0000-0000BF780000}"/>
    <cellStyle name="Normal 11 12" xfId="2006" xr:uid="{00000000-0005-0000-0000-0000C0780000}"/>
    <cellStyle name="Normal 11 12 2" xfId="2007" xr:uid="{00000000-0005-0000-0000-0000C1780000}"/>
    <cellStyle name="Normal 11 12 2 2" xfId="2008" xr:uid="{00000000-0005-0000-0000-0000C2780000}"/>
    <cellStyle name="Normal 11 12 2 2 2" xfId="10764" xr:uid="{00000000-0005-0000-0000-0000C3780000}"/>
    <cellStyle name="Normal 11 12 2 2 3" xfId="16488" xr:uid="{00000000-0005-0000-0000-0000C4780000}"/>
    <cellStyle name="Normal 11 12 2 3" xfId="2009" xr:uid="{00000000-0005-0000-0000-0000C5780000}"/>
    <cellStyle name="Normal 11 12 2 3 2" xfId="10765" xr:uid="{00000000-0005-0000-0000-0000C6780000}"/>
    <cellStyle name="Normal 11 12 2 3 3" xfId="16489" xr:uid="{00000000-0005-0000-0000-0000C7780000}"/>
    <cellStyle name="Normal 11 12 2 4" xfId="2010" xr:uid="{00000000-0005-0000-0000-0000C8780000}"/>
    <cellStyle name="Normal 11 12 2 4 2" xfId="10766" xr:uid="{00000000-0005-0000-0000-0000C9780000}"/>
    <cellStyle name="Normal 11 12 2 4 3" xfId="16490" xr:uid="{00000000-0005-0000-0000-0000CA780000}"/>
    <cellStyle name="Normal 11 12 2 5" xfId="2011" xr:uid="{00000000-0005-0000-0000-0000CB780000}"/>
    <cellStyle name="Normal 11 12 2 5 2" xfId="10767" xr:uid="{00000000-0005-0000-0000-0000CC780000}"/>
    <cellStyle name="Normal 11 12 2 5 3" xfId="16491" xr:uid="{00000000-0005-0000-0000-0000CD780000}"/>
    <cellStyle name="Normal 11 12 2 6" xfId="10763" xr:uid="{00000000-0005-0000-0000-0000CE780000}"/>
    <cellStyle name="Normal 11 12 2 7" xfId="16487" xr:uid="{00000000-0005-0000-0000-0000CF780000}"/>
    <cellStyle name="Normal 11 12 2_LNG &amp; LPG rework" xfId="6780" xr:uid="{00000000-0005-0000-0000-0000D0780000}"/>
    <cellStyle name="Normal 11 12 3" xfId="2012" xr:uid="{00000000-0005-0000-0000-0000D1780000}"/>
    <cellStyle name="Normal 11 12 3 2" xfId="2013" xr:uid="{00000000-0005-0000-0000-0000D2780000}"/>
    <cellStyle name="Normal 11 12 3 2 2" xfId="10769" xr:uid="{00000000-0005-0000-0000-0000D3780000}"/>
    <cellStyle name="Normal 11 12 3 2 3" xfId="16493" xr:uid="{00000000-0005-0000-0000-0000D4780000}"/>
    <cellStyle name="Normal 11 12 3 3" xfId="2014" xr:uid="{00000000-0005-0000-0000-0000D5780000}"/>
    <cellStyle name="Normal 11 12 3 3 2" xfId="10770" xr:uid="{00000000-0005-0000-0000-0000D6780000}"/>
    <cellStyle name="Normal 11 12 3 3 3" xfId="16494" xr:uid="{00000000-0005-0000-0000-0000D7780000}"/>
    <cellStyle name="Normal 11 12 3 4" xfId="2015" xr:uid="{00000000-0005-0000-0000-0000D8780000}"/>
    <cellStyle name="Normal 11 12 3 4 2" xfId="10771" xr:uid="{00000000-0005-0000-0000-0000D9780000}"/>
    <cellStyle name="Normal 11 12 3 4 3" xfId="16495" xr:uid="{00000000-0005-0000-0000-0000DA780000}"/>
    <cellStyle name="Normal 11 12 3 5" xfId="2016" xr:uid="{00000000-0005-0000-0000-0000DB780000}"/>
    <cellStyle name="Normal 11 12 3 5 2" xfId="10772" xr:uid="{00000000-0005-0000-0000-0000DC780000}"/>
    <cellStyle name="Normal 11 12 3 5 3" xfId="16496" xr:uid="{00000000-0005-0000-0000-0000DD780000}"/>
    <cellStyle name="Normal 11 12 3 6" xfId="10768" xr:uid="{00000000-0005-0000-0000-0000DE780000}"/>
    <cellStyle name="Normal 11 12 3 7" xfId="16492" xr:uid="{00000000-0005-0000-0000-0000DF780000}"/>
    <cellStyle name="Normal 11 12 3_LNG &amp; LPG rework" xfId="6782" xr:uid="{00000000-0005-0000-0000-0000E0780000}"/>
    <cellStyle name="Normal 11 12 4" xfId="2017" xr:uid="{00000000-0005-0000-0000-0000E1780000}"/>
    <cellStyle name="Normal 11 12 4 2" xfId="10773" xr:uid="{00000000-0005-0000-0000-0000E2780000}"/>
    <cellStyle name="Normal 11 12 4 3" xfId="16497" xr:uid="{00000000-0005-0000-0000-0000E3780000}"/>
    <cellStyle name="Normal 11 12 5" xfId="2018" xr:uid="{00000000-0005-0000-0000-0000E4780000}"/>
    <cellStyle name="Normal 11 12 5 2" xfId="10774" xr:uid="{00000000-0005-0000-0000-0000E5780000}"/>
    <cellStyle name="Normal 11 12 5 3" xfId="16498" xr:uid="{00000000-0005-0000-0000-0000E6780000}"/>
    <cellStyle name="Normal 11 12 6" xfId="2019" xr:uid="{00000000-0005-0000-0000-0000E7780000}"/>
    <cellStyle name="Normal 11 12 6 2" xfId="10775" xr:uid="{00000000-0005-0000-0000-0000E8780000}"/>
    <cellStyle name="Normal 11 12 6 3" xfId="16499" xr:uid="{00000000-0005-0000-0000-0000E9780000}"/>
    <cellStyle name="Normal 11 12 7" xfId="2020" xr:uid="{00000000-0005-0000-0000-0000EA780000}"/>
    <cellStyle name="Normal 11 12 7 2" xfId="10776" xr:uid="{00000000-0005-0000-0000-0000EB780000}"/>
    <cellStyle name="Normal 11 12 7 3" xfId="16500" xr:uid="{00000000-0005-0000-0000-0000EC780000}"/>
    <cellStyle name="Normal 11 12 8" xfId="10762" xr:uid="{00000000-0005-0000-0000-0000ED780000}"/>
    <cellStyle name="Normal 11 12 9" xfId="16486" xr:uid="{00000000-0005-0000-0000-0000EE780000}"/>
    <cellStyle name="Normal 11 12_LNG &amp; LPG rework" xfId="6781" xr:uid="{00000000-0005-0000-0000-0000EF780000}"/>
    <cellStyle name="Normal 11 13" xfId="2021" xr:uid="{00000000-0005-0000-0000-0000F0780000}"/>
    <cellStyle name="Normal 11 13 2" xfId="2022" xr:uid="{00000000-0005-0000-0000-0000F1780000}"/>
    <cellStyle name="Normal 11 13 2 2" xfId="2023" xr:uid="{00000000-0005-0000-0000-0000F2780000}"/>
    <cellStyle name="Normal 11 13 2 2 2" xfId="10779" xr:uid="{00000000-0005-0000-0000-0000F3780000}"/>
    <cellStyle name="Normal 11 13 2 2 3" xfId="16503" xr:uid="{00000000-0005-0000-0000-0000F4780000}"/>
    <cellStyle name="Normal 11 13 2 3" xfId="2024" xr:uid="{00000000-0005-0000-0000-0000F5780000}"/>
    <cellStyle name="Normal 11 13 2 3 2" xfId="10780" xr:uid="{00000000-0005-0000-0000-0000F6780000}"/>
    <cellStyle name="Normal 11 13 2 3 3" xfId="16504" xr:uid="{00000000-0005-0000-0000-0000F7780000}"/>
    <cellStyle name="Normal 11 13 2 4" xfId="2025" xr:uid="{00000000-0005-0000-0000-0000F8780000}"/>
    <cellStyle name="Normal 11 13 2 4 2" xfId="10781" xr:uid="{00000000-0005-0000-0000-0000F9780000}"/>
    <cellStyle name="Normal 11 13 2 4 3" xfId="16505" xr:uid="{00000000-0005-0000-0000-0000FA780000}"/>
    <cellStyle name="Normal 11 13 2 5" xfId="2026" xr:uid="{00000000-0005-0000-0000-0000FB780000}"/>
    <cellStyle name="Normal 11 13 2 5 2" xfId="10782" xr:uid="{00000000-0005-0000-0000-0000FC780000}"/>
    <cellStyle name="Normal 11 13 2 5 3" xfId="16506" xr:uid="{00000000-0005-0000-0000-0000FD780000}"/>
    <cellStyle name="Normal 11 13 2 6" xfId="10778" xr:uid="{00000000-0005-0000-0000-0000FE780000}"/>
    <cellStyle name="Normal 11 13 2 7" xfId="16502" xr:uid="{00000000-0005-0000-0000-0000FF780000}"/>
    <cellStyle name="Normal 11 13 2_LNG &amp; LPG rework" xfId="6784" xr:uid="{00000000-0005-0000-0000-000000790000}"/>
    <cellStyle name="Normal 11 13 3" xfId="2027" xr:uid="{00000000-0005-0000-0000-000001790000}"/>
    <cellStyle name="Normal 11 13 3 2" xfId="2028" xr:uid="{00000000-0005-0000-0000-000002790000}"/>
    <cellStyle name="Normal 11 13 3 2 2" xfId="10784" xr:uid="{00000000-0005-0000-0000-000003790000}"/>
    <cellStyle name="Normal 11 13 3 2 3" xfId="16508" xr:uid="{00000000-0005-0000-0000-000004790000}"/>
    <cellStyle name="Normal 11 13 3 3" xfId="2029" xr:uid="{00000000-0005-0000-0000-000005790000}"/>
    <cellStyle name="Normal 11 13 3 3 2" xfId="10785" xr:uid="{00000000-0005-0000-0000-000006790000}"/>
    <cellStyle name="Normal 11 13 3 3 3" xfId="16509" xr:uid="{00000000-0005-0000-0000-000007790000}"/>
    <cellStyle name="Normal 11 13 3 4" xfId="2030" xr:uid="{00000000-0005-0000-0000-000008790000}"/>
    <cellStyle name="Normal 11 13 3 4 2" xfId="10786" xr:uid="{00000000-0005-0000-0000-000009790000}"/>
    <cellStyle name="Normal 11 13 3 4 3" xfId="16510" xr:uid="{00000000-0005-0000-0000-00000A790000}"/>
    <cellStyle name="Normal 11 13 3 5" xfId="2031" xr:uid="{00000000-0005-0000-0000-00000B790000}"/>
    <cellStyle name="Normal 11 13 3 5 2" xfId="10787" xr:uid="{00000000-0005-0000-0000-00000C790000}"/>
    <cellStyle name="Normal 11 13 3 5 3" xfId="16511" xr:uid="{00000000-0005-0000-0000-00000D790000}"/>
    <cellStyle name="Normal 11 13 3 6" xfId="10783" xr:uid="{00000000-0005-0000-0000-00000E790000}"/>
    <cellStyle name="Normal 11 13 3 7" xfId="16507" xr:uid="{00000000-0005-0000-0000-00000F790000}"/>
    <cellStyle name="Normal 11 13 3_LNG &amp; LPG rework" xfId="6785" xr:uid="{00000000-0005-0000-0000-000010790000}"/>
    <cellStyle name="Normal 11 13 4" xfId="2032" xr:uid="{00000000-0005-0000-0000-000011790000}"/>
    <cellStyle name="Normal 11 13 4 2" xfId="10788" xr:uid="{00000000-0005-0000-0000-000012790000}"/>
    <cellStyle name="Normal 11 13 4 3" xfId="16512" xr:uid="{00000000-0005-0000-0000-000013790000}"/>
    <cellStyle name="Normal 11 13 5" xfId="2033" xr:uid="{00000000-0005-0000-0000-000014790000}"/>
    <cellStyle name="Normal 11 13 5 2" xfId="10789" xr:uid="{00000000-0005-0000-0000-000015790000}"/>
    <cellStyle name="Normal 11 13 5 3" xfId="16513" xr:uid="{00000000-0005-0000-0000-000016790000}"/>
    <cellStyle name="Normal 11 13 6" xfId="2034" xr:uid="{00000000-0005-0000-0000-000017790000}"/>
    <cellStyle name="Normal 11 13 6 2" xfId="10790" xr:uid="{00000000-0005-0000-0000-000018790000}"/>
    <cellStyle name="Normal 11 13 6 3" xfId="16514" xr:uid="{00000000-0005-0000-0000-000019790000}"/>
    <cellStyle name="Normal 11 13 7" xfId="2035" xr:uid="{00000000-0005-0000-0000-00001A790000}"/>
    <cellStyle name="Normal 11 13 7 2" xfId="10791" xr:uid="{00000000-0005-0000-0000-00001B790000}"/>
    <cellStyle name="Normal 11 13 7 3" xfId="16515" xr:uid="{00000000-0005-0000-0000-00001C790000}"/>
    <cellStyle name="Normal 11 13 8" xfId="10777" xr:uid="{00000000-0005-0000-0000-00001D790000}"/>
    <cellStyle name="Normal 11 13 9" xfId="16501" xr:uid="{00000000-0005-0000-0000-00001E790000}"/>
    <cellStyle name="Normal 11 13_LNG &amp; LPG rework" xfId="6783" xr:uid="{00000000-0005-0000-0000-00001F790000}"/>
    <cellStyle name="Normal 11 14" xfId="2036" xr:uid="{00000000-0005-0000-0000-000020790000}"/>
    <cellStyle name="Normal 11 14 2" xfId="2037" xr:uid="{00000000-0005-0000-0000-000021790000}"/>
    <cellStyle name="Normal 11 14 2 2" xfId="2038" xr:uid="{00000000-0005-0000-0000-000022790000}"/>
    <cellStyle name="Normal 11 14 2 2 2" xfId="10794" xr:uid="{00000000-0005-0000-0000-000023790000}"/>
    <cellStyle name="Normal 11 14 2 2 3" xfId="16518" xr:uid="{00000000-0005-0000-0000-000024790000}"/>
    <cellStyle name="Normal 11 14 2 3" xfId="2039" xr:uid="{00000000-0005-0000-0000-000025790000}"/>
    <cellStyle name="Normal 11 14 2 3 2" xfId="10795" xr:uid="{00000000-0005-0000-0000-000026790000}"/>
    <cellStyle name="Normal 11 14 2 3 3" xfId="16519" xr:uid="{00000000-0005-0000-0000-000027790000}"/>
    <cellStyle name="Normal 11 14 2 4" xfId="2040" xr:uid="{00000000-0005-0000-0000-000028790000}"/>
    <cellStyle name="Normal 11 14 2 4 2" xfId="10796" xr:uid="{00000000-0005-0000-0000-000029790000}"/>
    <cellStyle name="Normal 11 14 2 4 3" xfId="16520" xr:uid="{00000000-0005-0000-0000-00002A790000}"/>
    <cellStyle name="Normal 11 14 2 5" xfId="2041" xr:uid="{00000000-0005-0000-0000-00002B790000}"/>
    <cellStyle name="Normal 11 14 2 5 2" xfId="10797" xr:uid="{00000000-0005-0000-0000-00002C790000}"/>
    <cellStyle name="Normal 11 14 2 5 3" xfId="16521" xr:uid="{00000000-0005-0000-0000-00002D790000}"/>
    <cellStyle name="Normal 11 14 2 6" xfId="10793" xr:uid="{00000000-0005-0000-0000-00002E790000}"/>
    <cellStyle name="Normal 11 14 2 7" xfId="16517" xr:uid="{00000000-0005-0000-0000-00002F790000}"/>
    <cellStyle name="Normal 11 14 2_LNG &amp; LPG rework" xfId="6786" xr:uid="{00000000-0005-0000-0000-000030790000}"/>
    <cellStyle name="Normal 11 14 3" xfId="2042" xr:uid="{00000000-0005-0000-0000-000031790000}"/>
    <cellStyle name="Normal 11 14 3 2" xfId="2043" xr:uid="{00000000-0005-0000-0000-000032790000}"/>
    <cellStyle name="Normal 11 14 3 2 2" xfId="10799" xr:uid="{00000000-0005-0000-0000-000033790000}"/>
    <cellStyle name="Normal 11 14 3 2 3" xfId="16523" xr:uid="{00000000-0005-0000-0000-000034790000}"/>
    <cellStyle name="Normal 11 14 3 3" xfId="2044" xr:uid="{00000000-0005-0000-0000-000035790000}"/>
    <cellStyle name="Normal 11 14 3 3 2" xfId="10800" xr:uid="{00000000-0005-0000-0000-000036790000}"/>
    <cellStyle name="Normal 11 14 3 3 3" xfId="16524" xr:uid="{00000000-0005-0000-0000-000037790000}"/>
    <cellStyle name="Normal 11 14 3 4" xfId="2045" xr:uid="{00000000-0005-0000-0000-000038790000}"/>
    <cellStyle name="Normal 11 14 3 4 2" xfId="10801" xr:uid="{00000000-0005-0000-0000-000039790000}"/>
    <cellStyle name="Normal 11 14 3 4 3" xfId="16525" xr:uid="{00000000-0005-0000-0000-00003A790000}"/>
    <cellStyle name="Normal 11 14 3 5" xfId="2046" xr:uid="{00000000-0005-0000-0000-00003B790000}"/>
    <cellStyle name="Normal 11 14 3 5 2" xfId="10802" xr:uid="{00000000-0005-0000-0000-00003C790000}"/>
    <cellStyle name="Normal 11 14 3 5 3" xfId="16526" xr:uid="{00000000-0005-0000-0000-00003D790000}"/>
    <cellStyle name="Normal 11 14 3 6" xfId="10798" xr:uid="{00000000-0005-0000-0000-00003E790000}"/>
    <cellStyle name="Normal 11 14 3 7" xfId="16522" xr:uid="{00000000-0005-0000-0000-00003F790000}"/>
    <cellStyle name="Normal 11 14 3_LNG &amp; LPG rework" xfId="6701" xr:uid="{00000000-0005-0000-0000-000040790000}"/>
    <cellStyle name="Normal 11 14 4" xfId="2047" xr:uid="{00000000-0005-0000-0000-000041790000}"/>
    <cellStyle name="Normal 11 14 4 2" xfId="10803" xr:uid="{00000000-0005-0000-0000-000042790000}"/>
    <cellStyle name="Normal 11 14 4 3" xfId="16527" xr:uid="{00000000-0005-0000-0000-000043790000}"/>
    <cellStyle name="Normal 11 14 5" xfId="2048" xr:uid="{00000000-0005-0000-0000-000044790000}"/>
    <cellStyle name="Normal 11 14 5 2" xfId="10804" xr:uid="{00000000-0005-0000-0000-000045790000}"/>
    <cellStyle name="Normal 11 14 5 3" xfId="16528" xr:uid="{00000000-0005-0000-0000-000046790000}"/>
    <cellStyle name="Normal 11 14 6" xfId="2049" xr:uid="{00000000-0005-0000-0000-000047790000}"/>
    <cellStyle name="Normal 11 14 6 2" xfId="10805" xr:uid="{00000000-0005-0000-0000-000048790000}"/>
    <cellStyle name="Normal 11 14 6 3" xfId="16529" xr:uid="{00000000-0005-0000-0000-000049790000}"/>
    <cellStyle name="Normal 11 14 7" xfId="2050" xr:uid="{00000000-0005-0000-0000-00004A790000}"/>
    <cellStyle name="Normal 11 14 7 2" xfId="10806" xr:uid="{00000000-0005-0000-0000-00004B790000}"/>
    <cellStyle name="Normal 11 14 7 3" xfId="16530" xr:uid="{00000000-0005-0000-0000-00004C790000}"/>
    <cellStyle name="Normal 11 14 8" xfId="10792" xr:uid="{00000000-0005-0000-0000-00004D790000}"/>
    <cellStyle name="Normal 11 14 9" xfId="16516" xr:uid="{00000000-0005-0000-0000-00004E790000}"/>
    <cellStyle name="Normal 11 14_LNG &amp; LPG rework" xfId="6702" xr:uid="{00000000-0005-0000-0000-00004F790000}"/>
    <cellStyle name="Normal 11 15" xfId="2051" xr:uid="{00000000-0005-0000-0000-000050790000}"/>
    <cellStyle name="Normal 11 15 2" xfId="2052" xr:uid="{00000000-0005-0000-0000-000051790000}"/>
    <cellStyle name="Normal 11 15 2 2" xfId="2053" xr:uid="{00000000-0005-0000-0000-000052790000}"/>
    <cellStyle name="Normal 11 15 2 2 2" xfId="10809" xr:uid="{00000000-0005-0000-0000-000053790000}"/>
    <cellStyle name="Normal 11 15 2 2 3" xfId="16533" xr:uid="{00000000-0005-0000-0000-000054790000}"/>
    <cellStyle name="Normal 11 15 2 3" xfId="2054" xr:uid="{00000000-0005-0000-0000-000055790000}"/>
    <cellStyle name="Normal 11 15 2 3 2" xfId="10810" xr:uid="{00000000-0005-0000-0000-000056790000}"/>
    <cellStyle name="Normal 11 15 2 3 3" xfId="16534" xr:uid="{00000000-0005-0000-0000-000057790000}"/>
    <cellStyle name="Normal 11 15 2 4" xfId="2055" xr:uid="{00000000-0005-0000-0000-000058790000}"/>
    <cellStyle name="Normal 11 15 2 4 2" xfId="10811" xr:uid="{00000000-0005-0000-0000-000059790000}"/>
    <cellStyle name="Normal 11 15 2 4 3" xfId="16535" xr:uid="{00000000-0005-0000-0000-00005A790000}"/>
    <cellStyle name="Normal 11 15 2 5" xfId="2056" xr:uid="{00000000-0005-0000-0000-00005B790000}"/>
    <cellStyle name="Normal 11 15 2 5 2" xfId="10812" xr:uid="{00000000-0005-0000-0000-00005C790000}"/>
    <cellStyle name="Normal 11 15 2 5 3" xfId="16536" xr:uid="{00000000-0005-0000-0000-00005D790000}"/>
    <cellStyle name="Normal 11 15 2 6" xfId="10808" xr:uid="{00000000-0005-0000-0000-00005E790000}"/>
    <cellStyle name="Normal 11 15 2 7" xfId="16532" xr:uid="{00000000-0005-0000-0000-00005F790000}"/>
    <cellStyle name="Normal 11 15 2_LNG &amp; LPG rework" xfId="6787" xr:uid="{00000000-0005-0000-0000-000060790000}"/>
    <cellStyle name="Normal 11 15 3" xfId="2057" xr:uid="{00000000-0005-0000-0000-000061790000}"/>
    <cellStyle name="Normal 11 15 3 2" xfId="2058" xr:uid="{00000000-0005-0000-0000-000062790000}"/>
    <cellStyle name="Normal 11 15 3 2 2" xfId="10814" xr:uid="{00000000-0005-0000-0000-000063790000}"/>
    <cellStyle name="Normal 11 15 3 2 3" xfId="16538" xr:uid="{00000000-0005-0000-0000-000064790000}"/>
    <cellStyle name="Normal 11 15 3 3" xfId="2059" xr:uid="{00000000-0005-0000-0000-000065790000}"/>
    <cellStyle name="Normal 11 15 3 3 2" xfId="10815" xr:uid="{00000000-0005-0000-0000-000066790000}"/>
    <cellStyle name="Normal 11 15 3 3 3" xfId="16539" xr:uid="{00000000-0005-0000-0000-000067790000}"/>
    <cellStyle name="Normal 11 15 3 4" xfId="2060" xr:uid="{00000000-0005-0000-0000-000068790000}"/>
    <cellStyle name="Normal 11 15 3 4 2" xfId="10816" xr:uid="{00000000-0005-0000-0000-000069790000}"/>
    <cellStyle name="Normal 11 15 3 4 3" xfId="16540" xr:uid="{00000000-0005-0000-0000-00006A790000}"/>
    <cellStyle name="Normal 11 15 3 5" xfId="2061" xr:uid="{00000000-0005-0000-0000-00006B790000}"/>
    <cellStyle name="Normal 11 15 3 5 2" xfId="10817" xr:uid="{00000000-0005-0000-0000-00006C790000}"/>
    <cellStyle name="Normal 11 15 3 5 3" xfId="16541" xr:uid="{00000000-0005-0000-0000-00006D790000}"/>
    <cellStyle name="Normal 11 15 3 6" xfId="10813" xr:uid="{00000000-0005-0000-0000-00006E790000}"/>
    <cellStyle name="Normal 11 15 3 7" xfId="16537" xr:uid="{00000000-0005-0000-0000-00006F790000}"/>
    <cellStyle name="Normal 11 15 3_LNG &amp; LPG rework" xfId="6788" xr:uid="{00000000-0005-0000-0000-000070790000}"/>
    <cellStyle name="Normal 11 15 4" xfId="2062" xr:uid="{00000000-0005-0000-0000-000071790000}"/>
    <cellStyle name="Normal 11 15 4 2" xfId="10818" xr:uid="{00000000-0005-0000-0000-000072790000}"/>
    <cellStyle name="Normal 11 15 4 3" xfId="16542" xr:uid="{00000000-0005-0000-0000-000073790000}"/>
    <cellStyle name="Normal 11 15 5" xfId="2063" xr:uid="{00000000-0005-0000-0000-000074790000}"/>
    <cellStyle name="Normal 11 15 5 2" xfId="10819" xr:uid="{00000000-0005-0000-0000-000075790000}"/>
    <cellStyle name="Normal 11 15 5 3" xfId="16543" xr:uid="{00000000-0005-0000-0000-000076790000}"/>
    <cellStyle name="Normal 11 15 6" xfId="2064" xr:uid="{00000000-0005-0000-0000-000077790000}"/>
    <cellStyle name="Normal 11 15 6 2" xfId="10820" xr:uid="{00000000-0005-0000-0000-000078790000}"/>
    <cellStyle name="Normal 11 15 6 3" xfId="16544" xr:uid="{00000000-0005-0000-0000-000079790000}"/>
    <cellStyle name="Normal 11 15 7" xfId="2065" xr:uid="{00000000-0005-0000-0000-00007A790000}"/>
    <cellStyle name="Normal 11 15 7 2" xfId="10821" xr:uid="{00000000-0005-0000-0000-00007B790000}"/>
    <cellStyle name="Normal 11 15 7 3" xfId="16545" xr:uid="{00000000-0005-0000-0000-00007C790000}"/>
    <cellStyle name="Normal 11 15 8" xfId="10807" xr:uid="{00000000-0005-0000-0000-00007D790000}"/>
    <cellStyle name="Normal 11 15 9" xfId="16531" xr:uid="{00000000-0005-0000-0000-00007E790000}"/>
    <cellStyle name="Normal 11 15_LNG &amp; LPG rework" xfId="6700" xr:uid="{00000000-0005-0000-0000-00007F790000}"/>
    <cellStyle name="Normal 11 16" xfId="2066" xr:uid="{00000000-0005-0000-0000-000080790000}"/>
    <cellStyle name="Normal 11 16 2" xfId="2067" xr:uid="{00000000-0005-0000-0000-000081790000}"/>
    <cellStyle name="Normal 11 16 2 2" xfId="2068" xr:uid="{00000000-0005-0000-0000-000082790000}"/>
    <cellStyle name="Normal 11 16 2 2 2" xfId="10824" xr:uid="{00000000-0005-0000-0000-000083790000}"/>
    <cellStyle name="Normal 11 16 2 2 3" xfId="16548" xr:uid="{00000000-0005-0000-0000-000084790000}"/>
    <cellStyle name="Normal 11 16 2 3" xfId="2069" xr:uid="{00000000-0005-0000-0000-000085790000}"/>
    <cellStyle name="Normal 11 16 2 3 2" xfId="10825" xr:uid="{00000000-0005-0000-0000-000086790000}"/>
    <cellStyle name="Normal 11 16 2 3 3" xfId="16549" xr:uid="{00000000-0005-0000-0000-000087790000}"/>
    <cellStyle name="Normal 11 16 2 4" xfId="2070" xr:uid="{00000000-0005-0000-0000-000088790000}"/>
    <cellStyle name="Normal 11 16 2 4 2" xfId="10826" xr:uid="{00000000-0005-0000-0000-000089790000}"/>
    <cellStyle name="Normal 11 16 2 4 3" xfId="16550" xr:uid="{00000000-0005-0000-0000-00008A790000}"/>
    <cellStyle name="Normal 11 16 2 5" xfId="2071" xr:uid="{00000000-0005-0000-0000-00008B790000}"/>
    <cellStyle name="Normal 11 16 2 5 2" xfId="10827" xr:uid="{00000000-0005-0000-0000-00008C790000}"/>
    <cellStyle name="Normal 11 16 2 5 3" xfId="16551" xr:uid="{00000000-0005-0000-0000-00008D790000}"/>
    <cellStyle name="Normal 11 16 2 6" xfId="10823" xr:uid="{00000000-0005-0000-0000-00008E790000}"/>
    <cellStyle name="Normal 11 16 2 7" xfId="16547" xr:uid="{00000000-0005-0000-0000-00008F790000}"/>
    <cellStyle name="Normal 11 16 2_LNG &amp; LPG rework" xfId="6790" xr:uid="{00000000-0005-0000-0000-000090790000}"/>
    <cellStyle name="Normal 11 16 3" xfId="2072" xr:uid="{00000000-0005-0000-0000-000091790000}"/>
    <cellStyle name="Normal 11 16 3 2" xfId="2073" xr:uid="{00000000-0005-0000-0000-000092790000}"/>
    <cellStyle name="Normal 11 16 3 2 2" xfId="10829" xr:uid="{00000000-0005-0000-0000-000093790000}"/>
    <cellStyle name="Normal 11 16 3 2 3" xfId="16553" xr:uid="{00000000-0005-0000-0000-000094790000}"/>
    <cellStyle name="Normal 11 16 3 3" xfId="2074" xr:uid="{00000000-0005-0000-0000-000095790000}"/>
    <cellStyle name="Normal 11 16 3 3 2" xfId="10830" xr:uid="{00000000-0005-0000-0000-000096790000}"/>
    <cellStyle name="Normal 11 16 3 3 3" xfId="16554" xr:uid="{00000000-0005-0000-0000-000097790000}"/>
    <cellStyle name="Normal 11 16 3 4" xfId="2075" xr:uid="{00000000-0005-0000-0000-000098790000}"/>
    <cellStyle name="Normal 11 16 3 4 2" xfId="10831" xr:uid="{00000000-0005-0000-0000-000099790000}"/>
    <cellStyle name="Normal 11 16 3 4 3" xfId="16555" xr:uid="{00000000-0005-0000-0000-00009A790000}"/>
    <cellStyle name="Normal 11 16 3 5" xfId="2076" xr:uid="{00000000-0005-0000-0000-00009B790000}"/>
    <cellStyle name="Normal 11 16 3 5 2" xfId="10832" xr:uid="{00000000-0005-0000-0000-00009C790000}"/>
    <cellStyle name="Normal 11 16 3 5 3" xfId="16556" xr:uid="{00000000-0005-0000-0000-00009D790000}"/>
    <cellStyle name="Normal 11 16 3 6" xfId="10828" xr:uid="{00000000-0005-0000-0000-00009E790000}"/>
    <cellStyle name="Normal 11 16 3 7" xfId="16552" xr:uid="{00000000-0005-0000-0000-00009F790000}"/>
    <cellStyle name="Normal 11 16 3_LNG &amp; LPG rework" xfId="6791" xr:uid="{00000000-0005-0000-0000-0000A0790000}"/>
    <cellStyle name="Normal 11 16 4" xfId="2077" xr:uid="{00000000-0005-0000-0000-0000A1790000}"/>
    <cellStyle name="Normal 11 16 4 2" xfId="10833" xr:uid="{00000000-0005-0000-0000-0000A2790000}"/>
    <cellStyle name="Normal 11 16 4 3" xfId="16557" xr:uid="{00000000-0005-0000-0000-0000A3790000}"/>
    <cellStyle name="Normal 11 16 5" xfId="2078" xr:uid="{00000000-0005-0000-0000-0000A4790000}"/>
    <cellStyle name="Normal 11 16 5 2" xfId="10834" xr:uid="{00000000-0005-0000-0000-0000A5790000}"/>
    <cellStyle name="Normal 11 16 5 3" xfId="16558" xr:uid="{00000000-0005-0000-0000-0000A6790000}"/>
    <cellStyle name="Normal 11 16 6" xfId="2079" xr:uid="{00000000-0005-0000-0000-0000A7790000}"/>
    <cellStyle name="Normal 11 16 6 2" xfId="10835" xr:uid="{00000000-0005-0000-0000-0000A8790000}"/>
    <cellStyle name="Normal 11 16 6 3" xfId="16559" xr:uid="{00000000-0005-0000-0000-0000A9790000}"/>
    <cellStyle name="Normal 11 16 7" xfId="2080" xr:uid="{00000000-0005-0000-0000-0000AA790000}"/>
    <cellStyle name="Normal 11 16 7 2" xfId="10836" xr:uid="{00000000-0005-0000-0000-0000AB790000}"/>
    <cellStyle name="Normal 11 16 7 3" xfId="16560" xr:uid="{00000000-0005-0000-0000-0000AC790000}"/>
    <cellStyle name="Normal 11 16 8" xfId="10822" xr:uid="{00000000-0005-0000-0000-0000AD790000}"/>
    <cellStyle name="Normal 11 16 9" xfId="16546" xr:uid="{00000000-0005-0000-0000-0000AE790000}"/>
    <cellStyle name="Normal 11 16_LNG &amp; LPG rework" xfId="6789" xr:uid="{00000000-0005-0000-0000-0000AF790000}"/>
    <cellStyle name="Normal 11 17" xfId="2081" xr:uid="{00000000-0005-0000-0000-0000B0790000}"/>
    <cellStyle name="Normal 11 17 2" xfId="2082" xr:uid="{00000000-0005-0000-0000-0000B1790000}"/>
    <cellStyle name="Normal 11 17 2 2" xfId="2083" xr:uid="{00000000-0005-0000-0000-0000B2790000}"/>
    <cellStyle name="Normal 11 17 2 2 2" xfId="10839" xr:uid="{00000000-0005-0000-0000-0000B3790000}"/>
    <cellStyle name="Normal 11 17 2 2 3" xfId="16563" xr:uid="{00000000-0005-0000-0000-0000B4790000}"/>
    <cellStyle name="Normal 11 17 2 3" xfId="2084" xr:uid="{00000000-0005-0000-0000-0000B5790000}"/>
    <cellStyle name="Normal 11 17 2 3 2" xfId="10840" xr:uid="{00000000-0005-0000-0000-0000B6790000}"/>
    <cellStyle name="Normal 11 17 2 3 3" xfId="16564" xr:uid="{00000000-0005-0000-0000-0000B7790000}"/>
    <cellStyle name="Normal 11 17 2 4" xfId="2085" xr:uid="{00000000-0005-0000-0000-0000B8790000}"/>
    <cellStyle name="Normal 11 17 2 4 2" xfId="10841" xr:uid="{00000000-0005-0000-0000-0000B9790000}"/>
    <cellStyle name="Normal 11 17 2 4 3" xfId="16565" xr:uid="{00000000-0005-0000-0000-0000BA790000}"/>
    <cellStyle name="Normal 11 17 2 5" xfId="2086" xr:uid="{00000000-0005-0000-0000-0000BB790000}"/>
    <cellStyle name="Normal 11 17 2 5 2" xfId="10842" xr:uid="{00000000-0005-0000-0000-0000BC790000}"/>
    <cellStyle name="Normal 11 17 2 5 3" xfId="16566" xr:uid="{00000000-0005-0000-0000-0000BD790000}"/>
    <cellStyle name="Normal 11 17 2 6" xfId="10838" xr:uid="{00000000-0005-0000-0000-0000BE790000}"/>
    <cellStyle name="Normal 11 17 2 7" xfId="16562" xr:uid="{00000000-0005-0000-0000-0000BF790000}"/>
    <cellStyle name="Normal 11 17 2_LNG &amp; LPG rework" xfId="6793" xr:uid="{00000000-0005-0000-0000-0000C0790000}"/>
    <cellStyle name="Normal 11 17 3" xfId="2087" xr:uid="{00000000-0005-0000-0000-0000C1790000}"/>
    <cellStyle name="Normal 11 17 3 2" xfId="2088" xr:uid="{00000000-0005-0000-0000-0000C2790000}"/>
    <cellStyle name="Normal 11 17 3 2 2" xfId="10844" xr:uid="{00000000-0005-0000-0000-0000C3790000}"/>
    <cellStyle name="Normal 11 17 3 2 3" xfId="16568" xr:uid="{00000000-0005-0000-0000-0000C4790000}"/>
    <cellStyle name="Normal 11 17 3 3" xfId="2089" xr:uid="{00000000-0005-0000-0000-0000C5790000}"/>
    <cellStyle name="Normal 11 17 3 3 2" xfId="10845" xr:uid="{00000000-0005-0000-0000-0000C6790000}"/>
    <cellStyle name="Normal 11 17 3 3 3" xfId="16569" xr:uid="{00000000-0005-0000-0000-0000C7790000}"/>
    <cellStyle name="Normal 11 17 3 4" xfId="2090" xr:uid="{00000000-0005-0000-0000-0000C8790000}"/>
    <cellStyle name="Normal 11 17 3 4 2" xfId="10846" xr:uid="{00000000-0005-0000-0000-0000C9790000}"/>
    <cellStyle name="Normal 11 17 3 4 3" xfId="16570" xr:uid="{00000000-0005-0000-0000-0000CA790000}"/>
    <cellStyle name="Normal 11 17 3 5" xfId="2091" xr:uid="{00000000-0005-0000-0000-0000CB790000}"/>
    <cellStyle name="Normal 11 17 3 5 2" xfId="10847" xr:uid="{00000000-0005-0000-0000-0000CC790000}"/>
    <cellStyle name="Normal 11 17 3 5 3" xfId="16571" xr:uid="{00000000-0005-0000-0000-0000CD790000}"/>
    <cellStyle name="Normal 11 17 3 6" xfId="10843" xr:uid="{00000000-0005-0000-0000-0000CE790000}"/>
    <cellStyle name="Normal 11 17 3 7" xfId="16567" xr:uid="{00000000-0005-0000-0000-0000CF790000}"/>
    <cellStyle name="Normal 11 17 3_LNG &amp; LPG rework" xfId="6699" xr:uid="{00000000-0005-0000-0000-0000D0790000}"/>
    <cellStyle name="Normal 11 17 4" xfId="2092" xr:uid="{00000000-0005-0000-0000-0000D1790000}"/>
    <cellStyle name="Normal 11 17 4 2" xfId="10848" xr:uid="{00000000-0005-0000-0000-0000D2790000}"/>
    <cellStyle name="Normal 11 17 4 3" xfId="16572" xr:uid="{00000000-0005-0000-0000-0000D3790000}"/>
    <cellStyle name="Normal 11 17 5" xfId="2093" xr:uid="{00000000-0005-0000-0000-0000D4790000}"/>
    <cellStyle name="Normal 11 17 5 2" xfId="10849" xr:uid="{00000000-0005-0000-0000-0000D5790000}"/>
    <cellStyle name="Normal 11 17 5 3" xfId="16573" xr:uid="{00000000-0005-0000-0000-0000D6790000}"/>
    <cellStyle name="Normal 11 17 6" xfId="2094" xr:uid="{00000000-0005-0000-0000-0000D7790000}"/>
    <cellStyle name="Normal 11 17 6 2" xfId="10850" xr:uid="{00000000-0005-0000-0000-0000D8790000}"/>
    <cellStyle name="Normal 11 17 6 3" xfId="16574" xr:uid="{00000000-0005-0000-0000-0000D9790000}"/>
    <cellStyle name="Normal 11 17 7" xfId="2095" xr:uid="{00000000-0005-0000-0000-0000DA790000}"/>
    <cellStyle name="Normal 11 17 7 2" xfId="10851" xr:uid="{00000000-0005-0000-0000-0000DB790000}"/>
    <cellStyle name="Normal 11 17 7 3" xfId="16575" xr:uid="{00000000-0005-0000-0000-0000DC790000}"/>
    <cellStyle name="Normal 11 17 8" xfId="10837" xr:uid="{00000000-0005-0000-0000-0000DD790000}"/>
    <cellStyle name="Normal 11 17 9" xfId="16561" xr:uid="{00000000-0005-0000-0000-0000DE790000}"/>
    <cellStyle name="Normal 11 17_LNG &amp; LPG rework" xfId="6792" xr:uid="{00000000-0005-0000-0000-0000DF790000}"/>
    <cellStyle name="Normal 11 18" xfId="2096" xr:uid="{00000000-0005-0000-0000-0000E0790000}"/>
    <cellStyle name="Normal 11 18 2" xfId="2097" xr:uid="{00000000-0005-0000-0000-0000E1790000}"/>
    <cellStyle name="Normal 11 18 2 2" xfId="2098" xr:uid="{00000000-0005-0000-0000-0000E2790000}"/>
    <cellStyle name="Normal 11 18 2 2 2" xfId="10854" xr:uid="{00000000-0005-0000-0000-0000E3790000}"/>
    <cellStyle name="Normal 11 18 2 2 3" xfId="16578" xr:uid="{00000000-0005-0000-0000-0000E4790000}"/>
    <cellStyle name="Normal 11 18 2 3" xfId="2099" xr:uid="{00000000-0005-0000-0000-0000E5790000}"/>
    <cellStyle name="Normal 11 18 2 3 2" xfId="10855" xr:uid="{00000000-0005-0000-0000-0000E6790000}"/>
    <cellStyle name="Normal 11 18 2 3 3" xfId="16579" xr:uid="{00000000-0005-0000-0000-0000E7790000}"/>
    <cellStyle name="Normal 11 18 2 4" xfId="2100" xr:uid="{00000000-0005-0000-0000-0000E8790000}"/>
    <cellStyle name="Normal 11 18 2 4 2" xfId="10856" xr:uid="{00000000-0005-0000-0000-0000E9790000}"/>
    <cellStyle name="Normal 11 18 2 4 3" xfId="16580" xr:uid="{00000000-0005-0000-0000-0000EA790000}"/>
    <cellStyle name="Normal 11 18 2 5" xfId="2101" xr:uid="{00000000-0005-0000-0000-0000EB790000}"/>
    <cellStyle name="Normal 11 18 2 5 2" xfId="10857" xr:uid="{00000000-0005-0000-0000-0000EC790000}"/>
    <cellStyle name="Normal 11 18 2 5 3" xfId="16581" xr:uid="{00000000-0005-0000-0000-0000ED790000}"/>
    <cellStyle name="Normal 11 18 2 6" xfId="10853" xr:uid="{00000000-0005-0000-0000-0000EE790000}"/>
    <cellStyle name="Normal 11 18 2 7" xfId="16577" xr:uid="{00000000-0005-0000-0000-0000EF790000}"/>
    <cellStyle name="Normal 11 18 2_LNG &amp; LPG rework" xfId="6794" xr:uid="{00000000-0005-0000-0000-0000F0790000}"/>
    <cellStyle name="Normal 11 18 3" xfId="2102" xr:uid="{00000000-0005-0000-0000-0000F1790000}"/>
    <cellStyle name="Normal 11 18 3 2" xfId="2103" xr:uid="{00000000-0005-0000-0000-0000F2790000}"/>
    <cellStyle name="Normal 11 18 3 2 2" xfId="10859" xr:uid="{00000000-0005-0000-0000-0000F3790000}"/>
    <cellStyle name="Normal 11 18 3 2 3" xfId="16583" xr:uid="{00000000-0005-0000-0000-0000F4790000}"/>
    <cellStyle name="Normal 11 18 3 3" xfId="2104" xr:uid="{00000000-0005-0000-0000-0000F5790000}"/>
    <cellStyle name="Normal 11 18 3 3 2" xfId="10860" xr:uid="{00000000-0005-0000-0000-0000F6790000}"/>
    <cellStyle name="Normal 11 18 3 3 3" xfId="16584" xr:uid="{00000000-0005-0000-0000-0000F7790000}"/>
    <cellStyle name="Normal 11 18 3 4" xfId="2105" xr:uid="{00000000-0005-0000-0000-0000F8790000}"/>
    <cellStyle name="Normal 11 18 3 4 2" xfId="10861" xr:uid="{00000000-0005-0000-0000-0000F9790000}"/>
    <cellStyle name="Normal 11 18 3 4 3" xfId="16585" xr:uid="{00000000-0005-0000-0000-0000FA790000}"/>
    <cellStyle name="Normal 11 18 3 5" xfId="2106" xr:uid="{00000000-0005-0000-0000-0000FB790000}"/>
    <cellStyle name="Normal 11 18 3 5 2" xfId="10862" xr:uid="{00000000-0005-0000-0000-0000FC790000}"/>
    <cellStyle name="Normal 11 18 3 5 3" xfId="16586" xr:uid="{00000000-0005-0000-0000-0000FD790000}"/>
    <cellStyle name="Normal 11 18 3 6" xfId="10858" xr:uid="{00000000-0005-0000-0000-0000FE790000}"/>
    <cellStyle name="Normal 11 18 3 7" xfId="16582" xr:uid="{00000000-0005-0000-0000-0000FF790000}"/>
    <cellStyle name="Normal 11 18 3_LNG &amp; LPG rework" xfId="6796" xr:uid="{00000000-0005-0000-0000-0000007A0000}"/>
    <cellStyle name="Normal 11 18 4" xfId="2107" xr:uid="{00000000-0005-0000-0000-0000017A0000}"/>
    <cellStyle name="Normal 11 18 4 2" xfId="10863" xr:uid="{00000000-0005-0000-0000-0000027A0000}"/>
    <cellStyle name="Normal 11 18 4 3" xfId="16587" xr:uid="{00000000-0005-0000-0000-0000037A0000}"/>
    <cellStyle name="Normal 11 18 5" xfId="2108" xr:uid="{00000000-0005-0000-0000-0000047A0000}"/>
    <cellStyle name="Normal 11 18 5 2" xfId="10864" xr:uid="{00000000-0005-0000-0000-0000057A0000}"/>
    <cellStyle name="Normal 11 18 5 3" xfId="16588" xr:uid="{00000000-0005-0000-0000-0000067A0000}"/>
    <cellStyle name="Normal 11 18 6" xfId="2109" xr:uid="{00000000-0005-0000-0000-0000077A0000}"/>
    <cellStyle name="Normal 11 18 6 2" xfId="10865" xr:uid="{00000000-0005-0000-0000-0000087A0000}"/>
    <cellStyle name="Normal 11 18 6 3" xfId="16589" xr:uid="{00000000-0005-0000-0000-0000097A0000}"/>
    <cellStyle name="Normal 11 18 7" xfId="2110" xr:uid="{00000000-0005-0000-0000-00000A7A0000}"/>
    <cellStyle name="Normal 11 18 7 2" xfId="10866" xr:uid="{00000000-0005-0000-0000-00000B7A0000}"/>
    <cellStyle name="Normal 11 18 7 3" xfId="16590" xr:uid="{00000000-0005-0000-0000-00000C7A0000}"/>
    <cellStyle name="Normal 11 18 8" xfId="10852" xr:uid="{00000000-0005-0000-0000-00000D7A0000}"/>
    <cellStyle name="Normal 11 18 9" xfId="16576" xr:uid="{00000000-0005-0000-0000-00000E7A0000}"/>
    <cellStyle name="Normal 11 18_LNG &amp; LPG rework" xfId="6795" xr:uid="{00000000-0005-0000-0000-00000F7A0000}"/>
    <cellStyle name="Normal 11 19" xfId="2111" xr:uid="{00000000-0005-0000-0000-0000107A0000}"/>
    <cellStyle name="Normal 11 19 2" xfId="2112" xr:uid="{00000000-0005-0000-0000-0000117A0000}"/>
    <cellStyle name="Normal 11 19 2 2" xfId="2113" xr:uid="{00000000-0005-0000-0000-0000127A0000}"/>
    <cellStyle name="Normal 11 19 2 2 2" xfId="10869" xr:uid="{00000000-0005-0000-0000-0000137A0000}"/>
    <cellStyle name="Normal 11 19 2 2 3" xfId="16593" xr:uid="{00000000-0005-0000-0000-0000147A0000}"/>
    <cellStyle name="Normal 11 19 2 3" xfId="2114" xr:uid="{00000000-0005-0000-0000-0000157A0000}"/>
    <cellStyle name="Normal 11 19 2 3 2" xfId="10870" xr:uid="{00000000-0005-0000-0000-0000167A0000}"/>
    <cellStyle name="Normal 11 19 2 3 3" xfId="16594" xr:uid="{00000000-0005-0000-0000-0000177A0000}"/>
    <cellStyle name="Normal 11 19 2 4" xfId="2115" xr:uid="{00000000-0005-0000-0000-0000187A0000}"/>
    <cellStyle name="Normal 11 19 2 4 2" xfId="10871" xr:uid="{00000000-0005-0000-0000-0000197A0000}"/>
    <cellStyle name="Normal 11 19 2 4 3" xfId="16595" xr:uid="{00000000-0005-0000-0000-00001A7A0000}"/>
    <cellStyle name="Normal 11 19 2 5" xfId="2116" xr:uid="{00000000-0005-0000-0000-00001B7A0000}"/>
    <cellStyle name="Normal 11 19 2 5 2" xfId="10872" xr:uid="{00000000-0005-0000-0000-00001C7A0000}"/>
    <cellStyle name="Normal 11 19 2 5 3" xfId="16596" xr:uid="{00000000-0005-0000-0000-00001D7A0000}"/>
    <cellStyle name="Normal 11 19 2 6" xfId="10868" xr:uid="{00000000-0005-0000-0000-00001E7A0000}"/>
    <cellStyle name="Normal 11 19 2 7" xfId="16592" xr:uid="{00000000-0005-0000-0000-00001F7A0000}"/>
    <cellStyle name="Normal 11 19 2_LNG &amp; LPG rework" xfId="6697" xr:uid="{00000000-0005-0000-0000-0000207A0000}"/>
    <cellStyle name="Normal 11 19 3" xfId="2117" xr:uid="{00000000-0005-0000-0000-0000217A0000}"/>
    <cellStyle name="Normal 11 19 3 2" xfId="2118" xr:uid="{00000000-0005-0000-0000-0000227A0000}"/>
    <cellStyle name="Normal 11 19 3 2 2" xfId="10874" xr:uid="{00000000-0005-0000-0000-0000237A0000}"/>
    <cellStyle name="Normal 11 19 3 2 3" xfId="16598" xr:uid="{00000000-0005-0000-0000-0000247A0000}"/>
    <cellStyle name="Normal 11 19 3 3" xfId="2119" xr:uid="{00000000-0005-0000-0000-0000257A0000}"/>
    <cellStyle name="Normal 11 19 3 3 2" xfId="10875" xr:uid="{00000000-0005-0000-0000-0000267A0000}"/>
    <cellStyle name="Normal 11 19 3 3 3" xfId="16599" xr:uid="{00000000-0005-0000-0000-0000277A0000}"/>
    <cellStyle name="Normal 11 19 3 4" xfId="2120" xr:uid="{00000000-0005-0000-0000-0000287A0000}"/>
    <cellStyle name="Normal 11 19 3 4 2" xfId="10876" xr:uid="{00000000-0005-0000-0000-0000297A0000}"/>
    <cellStyle name="Normal 11 19 3 4 3" xfId="16600" xr:uid="{00000000-0005-0000-0000-00002A7A0000}"/>
    <cellStyle name="Normal 11 19 3 5" xfId="2121" xr:uid="{00000000-0005-0000-0000-00002B7A0000}"/>
    <cellStyle name="Normal 11 19 3 5 2" xfId="10877" xr:uid="{00000000-0005-0000-0000-00002C7A0000}"/>
    <cellStyle name="Normal 11 19 3 5 3" xfId="16601" xr:uid="{00000000-0005-0000-0000-00002D7A0000}"/>
    <cellStyle name="Normal 11 19 3 6" xfId="10873" xr:uid="{00000000-0005-0000-0000-00002E7A0000}"/>
    <cellStyle name="Normal 11 19 3 7" xfId="16597" xr:uid="{00000000-0005-0000-0000-00002F7A0000}"/>
    <cellStyle name="Normal 11 19 3_LNG &amp; LPG rework" xfId="6696" xr:uid="{00000000-0005-0000-0000-0000307A0000}"/>
    <cellStyle name="Normal 11 19 4" xfId="2122" xr:uid="{00000000-0005-0000-0000-0000317A0000}"/>
    <cellStyle name="Normal 11 19 4 2" xfId="10878" xr:uid="{00000000-0005-0000-0000-0000327A0000}"/>
    <cellStyle name="Normal 11 19 4 3" xfId="16602" xr:uid="{00000000-0005-0000-0000-0000337A0000}"/>
    <cellStyle name="Normal 11 19 5" xfId="2123" xr:uid="{00000000-0005-0000-0000-0000347A0000}"/>
    <cellStyle name="Normal 11 19 5 2" xfId="10879" xr:uid="{00000000-0005-0000-0000-0000357A0000}"/>
    <cellStyle name="Normal 11 19 5 3" xfId="16603" xr:uid="{00000000-0005-0000-0000-0000367A0000}"/>
    <cellStyle name="Normal 11 19 6" xfId="2124" xr:uid="{00000000-0005-0000-0000-0000377A0000}"/>
    <cellStyle name="Normal 11 19 6 2" xfId="10880" xr:uid="{00000000-0005-0000-0000-0000387A0000}"/>
    <cellStyle name="Normal 11 19 6 3" xfId="16604" xr:uid="{00000000-0005-0000-0000-0000397A0000}"/>
    <cellStyle name="Normal 11 19 7" xfId="2125" xr:uid="{00000000-0005-0000-0000-00003A7A0000}"/>
    <cellStyle name="Normal 11 19 7 2" xfId="10881" xr:uid="{00000000-0005-0000-0000-00003B7A0000}"/>
    <cellStyle name="Normal 11 19 7 3" xfId="16605" xr:uid="{00000000-0005-0000-0000-00003C7A0000}"/>
    <cellStyle name="Normal 11 19 8" xfId="10867" xr:uid="{00000000-0005-0000-0000-00003D7A0000}"/>
    <cellStyle name="Normal 11 19 9" xfId="16591" xr:uid="{00000000-0005-0000-0000-00003E7A0000}"/>
    <cellStyle name="Normal 11 19_LNG &amp; LPG rework" xfId="6698" xr:uid="{00000000-0005-0000-0000-00003F7A0000}"/>
    <cellStyle name="Normal 11 2" xfId="331" xr:uid="{00000000-0005-0000-0000-0000407A0000}"/>
    <cellStyle name="Normal 11 2 10" xfId="2126" xr:uid="{00000000-0005-0000-0000-0000417A0000}"/>
    <cellStyle name="Normal 11 2 10 2" xfId="10882" xr:uid="{00000000-0005-0000-0000-0000427A0000}"/>
    <cellStyle name="Normal 11 2 10 3" xfId="16607" xr:uid="{00000000-0005-0000-0000-0000437A0000}"/>
    <cellStyle name="Normal 11 2 11" xfId="2127" xr:uid="{00000000-0005-0000-0000-0000447A0000}"/>
    <cellStyle name="Normal 11 2 11 2" xfId="10883" xr:uid="{00000000-0005-0000-0000-0000457A0000}"/>
    <cellStyle name="Normal 11 2 11 3" xfId="16608" xr:uid="{00000000-0005-0000-0000-0000467A0000}"/>
    <cellStyle name="Normal 11 2 12" xfId="9180" xr:uid="{00000000-0005-0000-0000-0000477A0000}"/>
    <cellStyle name="Normal 11 2 13" xfId="16606" xr:uid="{00000000-0005-0000-0000-0000487A0000}"/>
    <cellStyle name="Normal 11 2 2" xfId="332" xr:uid="{00000000-0005-0000-0000-0000497A0000}"/>
    <cellStyle name="Normal 11 2 2 10" xfId="2128" xr:uid="{00000000-0005-0000-0000-00004A7A0000}"/>
    <cellStyle name="Normal 11 2 2 10 2" xfId="10884" xr:uid="{00000000-0005-0000-0000-00004B7A0000}"/>
    <cellStyle name="Normal 11 2 2 10 3" xfId="16610" xr:uid="{00000000-0005-0000-0000-00004C7A0000}"/>
    <cellStyle name="Normal 11 2 2 11" xfId="9181" xr:uid="{00000000-0005-0000-0000-00004D7A0000}"/>
    <cellStyle name="Normal 11 2 2 12" xfId="16609" xr:uid="{00000000-0005-0000-0000-00004E7A0000}"/>
    <cellStyle name="Normal 11 2 2 2" xfId="333" xr:uid="{00000000-0005-0000-0000-00004F7A0000}"/>
    <cellStyle name="Normal 11 2 2 2 10" xfId="16611" xr:uid="{00000000-0005-0000-0000-0000507A0000}"/>
    <cellStyle name="Normal 11 2 2 2 2" xfId="334" xr:uid="{00000000-0005-0000-0000-0000517A0000}"/>
    <cellStyle name="Normal 11 2 2 2 2 2" xfId="2129" xr:uid="{00000000-0005-0000-0000-0000527A0000}"/>
    <cellStyle name="Normal 11 2 2 2 2 2 2" xfId="10885" xr:uid="{00000000-0005-0000-0000-0000537A0000}"/>
    <cellStyle name="Normal 11 2 2 2 2 2 3" xfId="16613" xr:uid="{00000000-0005-0000-0000-0000547A0000}"/>
    <cellStyle name="Normal 11 2 2 2 2 3" xfId="2130" xr:uid="{00000000-0005-0000-0000-0000557A0000}"/>
    <cellStyle name="Normal 11 2 2 2 2 3 2" xfId="10886" xr:uid="{00000000-0005-0000-0000-0000567A0000}"/>
    <cellStyle name="Normal 11 2 2 2 2 3 3" xfId="16614" xr:uid="{00000000-0005-0000-0000-0000577A0000}"/>
    <cellStyle name="Normal 11 2 2 2 2 4" xfId="2131" xr:uid="{00000000-0005-0000-0000-0000587A0000}"/>
    <cellStyle name="Normal 11 2 2 2 2 4 2" xfId="10887" xr:uid="{00000000-0005-0000-0000-0000597A0000}"/>
    <cellStyle name="Normal 11 2 2 2 2 4 3" xfId="16615" xr:uid="{00000000-0005-0000-0000-00005A7A0000}"/>
    <cellStyle name="Normal 11 2 2 2 2 5" xfId="2132" xr:uid="{00000000-0005-0000-0000-00005B7A0000}"/>
    <cellStyle name="Normal 11 2 2 2 2 5 2" xfId="10888" xr:uid="{00000000-0005-0000-0000-00005C7A0000}"/>
    <cellStyle name="Normal 11 2 2 2 2 5 3" xfId="16616" xr:uid="{00000000-0005-0000-0000-00005D7A0000}"/>
    <cellStyle name="Normal 11 2 2 2 2 6" xfId="2133" xr:uid="{00000000-0005-0000-0000-00005E7A0000}"/>
    <cellStyle name="Normal 11 2 2 2 2 6 2" xfId="10889" xr:uid="{00000000-0005-0000-0000-00005F7A0000}"/>
    <cellStyle name="Normal 11 2 2 2 2 6 3" xfId="16617" xr:uid="{00000000-0005-0000-0000-0000607A0000}"/>
    <cellStyle name="Normal 11 2 2 2 2 7" xfId="9183" xr:uid="{00000000-0005-0000-0000-0000617A0000}"/>
    <cellStyle name="Normal 11 2 2 2 2 8" xfId="16612" xr:uid="{00000000-0005-0000-0000-0000627A0000}"/>
    <cellStyle name="Normal 11 2 2 2 2_LNG &amp; LPG rework" xfId="6692" xr:uid="{00000000-0005-0000-0000-0000637A0000}"/>
    <cellStyle name="Normal 11 2 2 2 3" xfId="2134" xr:uid="{00000000-0005-0000-0000-0000647A0000}"/>
    <cellStyle name="Normal 11 2 2 2 3 2" xfId="2135" xr:uid="{00000000-0005-0000-0000-0000657A0000}"/>
    <cellStyle name="Normal 11 2 2 2 3 2 2" xfId="10891" xr:uid="{00000000-0005-0000-0000-0000667A0000}"/>
    <cellStyle name="Normal 11 2 2 2 3 2 3" xfId="16619" xr:uid="{00000000-0005-0000-0000-0000677A0000}"/>
    <cellStyle name="Normal 11 2 2 2 3 3" xfId="2136" xr:uid="{00000000-0005-0000-0000-0000687A0000}"/>
    <cellStyle name="Normal 11 2 2 2 3 3 2" xfId="10892" xr:uid="{00000000-0005-0000-0000-0000697A0000}"/>
    <cellStyle name="Normal 11 2 2 2 3 3 3" xfId="16620" xr:uid="{00000000-0005-0000-0000-00006A7A0000}"/>
    <cellStyle name="Normal 11 2 2 2 3 4" xfId="2137" xr:uid="{00000000-0005-0000-0000-00006B7A0000}"/>
    <cellStyle name="Normal 11 2 2 2 3 4 2" xfId="10893" xr:uid="{00000000-0005-0000-0000-00006C7A0000}"/>
    <cellStyle name="Normal 11 2 2 2 3 4 3" xfId="16621" xr:uid="{00000000-0005-0000-0000-00006D7A0000}"/>
    <cellStyle name="Normal 11 2 2 2 3 5" xfId="2138" xr:uid="{00000000-0005-0000-0000-00006E7A0000}"/>
    <cellStyle name="Normal 11 2 2 2 3 5 2" xfId="10894" xr:uid="{00000000-0005-0000-0000-00006F7A0000}"/>
    <cellStyle name="Normal 11 2 2 2 3 5 3" xfId="16622" xr:uid="{00000000-0005-0000-0000-0000707A0000}"/>
    <cellStyle name="Normal 11 2 2 2 3 6" xfId="10890" xr:uid="{00000000-0005-0000-0000-0000717A0000}"/>
    <cellStyle name="Normal 11 2 2 2 3 7" xfId="16618" xr:uid="{00000000-0005-0000-0000-0000727A0000}"/>
    <cellStyle name="Normal 11 2 2 2 3_LNG &amp; LPG rework" xfId="6985" xr:uid="{00000000-0005-0000-0000-0000737A0000}"/>
    <cellStyle name="Normal 11 2 2 2 4" xfId="2139" xr:uid="{00000000-0005-0000-0000-0000747A0000}"/>
    <cellStyle name="Normal 11 2 2 2 4 2" xfId="10895" xr:uid="{00000000-0005-0000-0000-0000757A0000}"/>
    <cellStyle name="Normal 11 2 2 2 4 3" xfId="16623" xr:uid="{00000000-0005-0000-0000-0000767A0000}"/>
    <cellStyle name="Normal 11 2 2 2 5" xfId="2140" xr:uid="{00000000-0005-0000-0000-0000777A0000}"/>
    <cellStyle name="Normal 11 2 2 2 5 2" xfId="10896" xr:uid="{00000000-0005-0000-0000-0000787A0000}"/>
    <cellStyle name="Normal 11 2 2 2 5 3" xfId="16624" xr:uid="{00000000-0005-0000-0000-0000797A0000}"/>
    <cellStyle name="Normal 11 2 2 2 6" xfId="2141" xr:uid="{00000000-0005-0000-0000-00007A7A0000}"/>
    <cellStyle name="Normal 11 2 2 2 6 2" xfId="10897" xr:uid="{00000000-0005-0000-0000-00007B7A0000}"/>
    <cellStyle name="Normal 11 2 2 2 6 3" xfId="16625" xr:uid="{00000000-0005-0000-0000-00007C7A0000}"/>
    <cellStyle name="Normal 11 2 2 2 7" xfId="2142" xr:uid="{00000000-0005-0000-0000-00007D7A0000}"/>
    <cellStyle name="Normal 11 2 2 2 7 2" xfId="10898" xr:uid="{00000000-0005-0000-0000-00007E7A0000}"/>
    <cellStyle name="Normal 11 2 2 2 7 3" xfId="16626" xr:uid="{00000000-0005-0000-0000-00007F7A0000}"/>
    <cellStyle name="Normal 11 2 2 2 8" xfId="2143" xr:uid="{00000000-0005-0000-0000-0000807A0000}"/>
    <cellStyle name="Normal 11 2 2 2 8 2" xfId="10899" xr:uid="{00000000-0005-0000-0000-0000817A0000}"/>
    <cellStyle name="Normal 11 2 2 2 8 3" xfId="16627" xr:uid="{00000000-0005-0000-0000-0000827A0000}"/>
    <cellStyle name="Normal 11 2 2 2 9" xfId="9182" xr:uid="{00000000-0005-0000-0000-0000837A0000}"/>
    <cellStyle name="Normal 11 2 2 2_LNG &amp; LPG rework" xfId="6693" xr:uid="{00000000-0005-0000-0000-0000847A0000}"/>
    <cellStyle name="Normal 11 2 2 3" xfId="335" xr:uid="{00000000-0005-0000-0000-0000857A0000}"/>
    <cellStyle name="Normal 11 2 2 3 2" xfId="2144" xr:uid="{00000000-0005-0000-0000-0000867A0000}"/>
    <cellStyle name="Normal 11 2 2 3 2 2" xfId="10900" xr:uid="{00000000-0005-0000-0000-0000877A0000}"/>
    <cellStyle name="Normal 11 2 2 3 2 3" xfId="16629" xr:uid="{00000000-0005-0000-0000-0000887A0000}"/>
    <cellStyle name="Normal 11 2 2 3 3" xfId="2145" xr:uid="{00000000-0005-0000-0000-0000897A0000}"/>
    <cellStyle name="Normal 11 2 2 3 3 2" xfId="10901" xr:uid="{00000000-0005-0000-0000-00008A7A0000}"/>
    <cellStyle name="Normal 11 2 2 3 3 3" xfId="16630" xr:uid="{00000000-0005-0000-0000-00008B7A0000}"/>
    <cellStyle name="Normal 11 2 2 3 4" xfId="2146" xr:uid="{00000000-0005-0000-0000-00008C7A0000}"/>
    <cellStyle name="Normal 11 2 2 3 4 2" xfId="10902" xr:uid="{00000000-0005-0000-0000-00008D7A0000}"/>
    <cellStyle name="Normal 11 2 2 3 4 3" xfId="16631" xr:uid="{00000000-0005-0000-0000-00008E7A0000}"/>
    <cellStyle name="Normal 11 2 2 3 5" xfId="2147" xr:uid="{00000000-0005-0000-0000-00008F7A0000}"/>
    <cellStyle name="Normal 11 2 2 3 5 2" xfId="10903" xr:uid="{00000000-0005-0000-0000-0000907A0000}"/>
    <cellStyle name="Normal 11 2 2 3 5 3" xfId="16632" xr:uid="{00000000-0005-0000-0000-0000917A0000}"/>
    <cellStyle name="Normal 11 2 2 3 6" xfId="2148" xr:uid="{00000000-0005-0000-0000-0000927A0000}"/>
    <cellStyle name="Normal 11 2 2 3 6 2" xfId="10904" xr:uid="{00000000-0005-0000-0000-0000937A0000}"/>
    <cellStyle name="Normal 11 2 2 3 6 3" xfId="16633" xr:uid="{00000000-0005-0000-0000-0000947A0000}"/>
    <cellStyle name="Normal 11 2 2 3 7" xfId="9184" xr:uid="{00000000-0005-0000-0000-0000957A0000}"/>
    <cellStyle name="Normal 11 2 2 3 8" xfId="16628" xr:uid="{00000000-0005-0000-0000-0000967A0000}"/>
    <cellStyle name="Normal 11 2 2 3_LNG &amp; LPG rework" xfId="6691" xr:uid="{00000000-0005-0000-0000-0000977A0000}"/>
    <cellStyle name="Normal 11 2 2 4" xfId="2149" xr:uid="{00000000-0005-0000-0000-0000987A0000}"/>
    <cellStyle name="Normal 11 2 2 4 2" xfId="2150" xr:uid="{00000000-0005-0000-0000-0000997A0000}"/>
    <cellStyle name="Normal 11 2 2 4 2 2" xfId="10906" xr:uid="{00000000-0005-0000-0000-00009A7A0000}"/>
    <cellStyle name="Normal 11 2 2 4 2 3" xfId="16635" xr:uid="{00000000-0005-0000-0000-00009B7A0000}"/>
    <cellStyle name="Normal 11 2 2 4 3" xfId="2151" xr:uid="{00000000-0005-0000-0000-00009C7A0000}"/>
    <cellStyle name="Normal 11 2 2 4 3 2" xfId="10907" xr:uid="{00000000-0005-0000-0000-00009D7A0000}"/>
    <cellStyle name="Normal 11 2 2 4 3 3" xfId="16636" xr:uid="{00000000-0005-0000-0000-00009E7A0000}"/>
    <cellStyle name="Normal 11 2 2 4 4" xfId="2152" xr:uid="{00000000-0005-0000-0000-00009F7A0000}"/>
    <cellStyle name="Normal 11 2 2 4 4 2" xfId="10908" xr:uid="{00000000-0005-0000-0000-0000A07A0000}"/>
    <cellStyle name="Normal 11 2 2 4 4 3" xfId="16637" xr:uid="{00000000-0005-0000-0000-0000A17A0000}"/>
    <cellStyle name="Normal 11 2 2 4 5" xfId="2153" xr:uid="{00000000-0005-0000-0000-0000A27A0000}"/>
    <cellStyle name="Normal 11 2 2 4 5 2" xfId="10909" xr:uid="{00000000-0005-0000-0000-0000A37A0000}"/>
    <cellStyle name="Normal 11 2 2 4 5 3" xfId="16638" xr:uid="{00000000-0005-0000-0000-0000A47A0000}"/>
    <cellStyle name="Normal 11 2 2 4 6" xfId="10905" xr:uid="{00000000-0005-0000-0000-0000A57A0000}"/>
    <cellStyle name="Normal 11 2 2 4 7" xfId="16634" xr:uid="{00000000-0005-0000-0000-0000A67A0000}"/>
    <cellStyle name="Normal 11 2 2 4_LNG &amp; LPG rework" xfId="6690" xr:uid="{00000000-0005-0000-0000-0000A77A0000}"/>
    <cellStyle name="Normal 11 2 2 5" xfId="2154" xr:uid="{00000000-0005-0000-0000-0000A87A0000}"/>
    <cellStyle name="Normal 11 2 2 5 2" xfId="2155" xr:uid="{00000000-0005-0000-0000-0000A97A0000}"/>
    <cellStyle name="Normal 11 2 2 5 2 2" xfId="10911" xr:uid="{00000000-0005-0000-0000-0000AA7A0000}"/>
    <cellStyle name="Normal 11 2 2 5 2 3" xfId="16640" xr:uid="{00000000-0005-0000-0000-0000AB7A0000}"/>
    <cellStyle name="Normal 11 2 2 5 3" xfId="2156" xr:uid="{00000000-0005-0000-0000-0000AC7A0000}"/>
    <cellStyle name="Normal 11 2 2 5 3 2" xfId="10912" xr:uid="{00000000-0005-0000-0000-0000AD7A0000}"/>
    <cellStyle name="Normal 11 2 2 5 3 3" xfId="16641" xr:uid="{00000000-0005-0000-0000-0000AE7A0000}"/>
    <cellStyle name="Normal 11 2 2 5 4" xfId="2157" xr:uid="{00000000-0005-0000-0000-0000AF7A0000}"/>
    <cellStyle name="Normal 11 2 2 5 4 2" xfId="10913" xr:uid="{00000000-0005-0000-0000-0000B07A0000}"/>
    <cellStyle name="Normal 11 2 2 5 4 3" xfId="16642" xr:uid="{00000000-0005-0000-0000-0000B17A0000}"/>
    <cellStyle name="Normal 11 2 2 5 5" xfId="2158" xr:uid="{00000000-0005-0000-0000-0000B27A0000}"/>
    <cellStyle name="Normal 11 2 2 5 5 2" xfId="10914" xr:uid="{00000000-0005-0000-0000-0000B37A0000}"/>
    <cellStyle name="Normal 11 2 2 5 5 3" xfId="16643" xr:uid="{00000000-0005-0000-0000-0000B47A0000}"/>
    <cellStyle name="Normal 11 2 2 5 6" xfId="10910" xr:uid="{00000000-0005-0000-0000-0000B57A0000}"/>
    <cellStyle name="Normal 11 2 2 5 7" xfId="16639" xr:uid="{00000000-0005-0000-0000-0000B67A0000}"/>
    <cellStyle name="Normal 11 2 2 5_LNG &amp; LPG rework" xfId="6689" xr:uid="{00000000-0005-0000-0000-0000B77A0000}"/>
    <cellStyle name="Normal 11 2 2 6" xfId="2159" xr:uid="{00000000-0005-0000-0000-0000B87A0000}"/>
    <cellStyle name="Normal 11 2 2 6 2" xfId="10915" xr:uid="{00000000-0005-0000-0000-0000B97A0000}"/>
    <cellStyle name="Normal 11 2 2 6 3" xfId="16644" xr:uid="{00000000-0005-0000-0000-0000BA7A0000}"/>
    <cellStyle name="Normal 11 2 2 7" xfId="2160" xr:uid="{00000000-0005-0000-0000-0000BB7A0000}"/>
    <cellStyle name="Normal 11 2 2 7 2" xfId="10916" xr:uid="{00000000-0005-0000-0000-0000BC7A0000}"/>
    <cellStyle name="Normal 11 2 2 7 3" xfId="16645" xr:uid="{00000000-0005-0000-0000-0000BD7A0000}"/>
    <cellStyle name="Normal 11 2 2 8" xfId="2161" xr:uid="{00000000-0005-0000-0000-0000BE7A0000}"/>
    <cellStyle name="Normal 11 2 2 8 2" xfId="10917" xr:uid="{00000000-0005-0000-0000-0000BF7A0000}"/>
    <cellStyle name="Normal 11 2 2 8 3" xfId="16646" xr:uid="{00000000-0005-0000-0000-0000C07A0000}"/>
    <cellStyle name="Normal 11 2 2 9" xfId="2162" xr:uid="{00000000-0005-0000-0000-0000C17A0000}"/>
    <cellStyle name="Normal 11 2 2 9 2" xfId="10918" xr:uid="{00000000-0005-0000-0000-0000C27A0000}"/>
    <cellStyle name="Normal 11 2 2 9 3" xfId="16647" xr:uid="{00000000-0005-0000-0000-0000C37A0000}"/>
    <cellStyle name="Normal 11 2 2_LNG &amp; LPG rework" xfId="6694" xr:uid="{00000000-0005-0000-0000-0000C47A0000}"/>
    <cellStyle name="Normal 11 2 3" xfId="336" xr:uid="{00000000-0005-0000-0000-0000C57A0000}"/>
    <cellStyle name="Normal 11 2 3 10" xfId="16648" xr:uid="{00000000-0005-0000-0000-0000C67A0000}"/>
    <cellStyle name="Normal 11 2 3 2" xfId="337" xr:uid="{00000000-0005-0000-0000-0000C77A0000}"/>
    <cellStyle name="Normal 11 2 3 2 2" xfId="2163" xr:uid="{00000000-0005-0000-0000-0000C87A0000}"/>
    <cellStyle name="Normal 11 2 3 2 2 2" xfId="10919" xr:uid="{00000000-0005-0000-0000-0000C97A0000}"/>
    <cellStyle name="Normal 11 2 3 2 2 3" xfId="16650" xr:uid="{00000000-0005-0000-0000-0000CA7A0000}"/>
    <cellStyle name="Normal 11 2 3 2 3" xfId="2164" xr:uid="{00000000-0005-0000-0000-0000CB7A0000}"/>
    <cellStyle name="Normal 11 2 3 2 3 2" xfId="10920" xr:uid="{00000000-0005-0000-0000-0000CC7A0000}"/>
    <cellStyle name="Normal 11 2 3 2 3 3" xfId="16651" xr:uid="{00000000-0005-0000-0000-0000CD7A0000}"/>
    <cellStyle name="Normal 11 2 3 2 4" xfId="2165" xr:uid="{00000000-0005-0000-0000-0000CE7A0000}"/>
    <cellStyle name="Normal 11 2 3 2 4 2" xfId="10921" xr:uid="{00000000-0005-0000-0000-0000CF7A0000}"/>
    <cellStyle name="Normal 11 2 3 2 4 3" xfId="16652" xr:uid="{00000000-0005-0000-0000-0000D07A0000}"/>
    <cellStyle name="Normal 11 2 3 2 5" xfId="2166" xr:uid="{00000000-0005-0000-0000-0000D17A0000}"/>
    <cellStyle name="Normal 11 2 3 2 5 2" xfId="10922" xr:uid="{00000000-0005-0000-0000-0000D27A0000}"/>
    <cellStyle name="Normal 11 2 3 2 5 3" xfId="16653" xr:uid="{00000000-0005-0000-0000-0000D37A0000}"/>
    <cellStyle name="Normal 11 2 3 2 6" xfId="2167" xr:uid="{00000000-0005-0000-0000-0000D47A0000}"/>
    <cellStyle name="Normal 11 2 3 2 6 2" xfId="10923" xr:uid="{00000000-0005-0000-0000-0000D57A0000}"/>
    <cellStyle name="Normal 11 2 3 2 6 3" xfId="16654" xr:uid="{00000000-0005-0000-0000-0000D67A0000}"/>
    <cellStyle name="Normal 11 2 3 2 7" xfId="9186" xr:uid="{00000000-0005-0000-0000-0000D77A0000}"/>
    <cellStyle name="Normal 11 2 3 2 8" xfId="16649" xr:uid="{00000000-0005-0000-0000-0000D87A0000}"/>
    <cellStyle name="Normal 11 2 3 2_LNG &amp; LPG rework" xfId="6687" xr:uid="{00000000-0005-0000-0000-0000D97A0000}"/>
    <cellStyle name="Normal 11 2 3 3" xfId="2168" xr:uid="{00000000-0005-0000-0000-0000DA7A0000}"/>
    <cellStyle name="Normal 11 2 3 3 2" xfId="2169" xr:uid="{00000000-0005-0000-0000-0000DB7A0000}"/>
    <cellStyle name="Normal 11 2 3 3 2 2" xfId="10925" xr:uid="{00000000-0005-0000-0000-0000DC7A0000}"/>
    <cellStyle name="Normal 11 2 3 3 2 3" xfId="16656" xr:uid="{00000000-0005-0000-0000-0000DD7A0000}"/>
    <cellStyle name="Normal 11 2 3 3 3" xfId="2170" xr:uid="{00000000-0005-0000-0000-0000DE7A0000}"/>
    <cellStyle name="Normal 11 2 3 3 3 2" xfId="10926" xr:uid="{00000000-0005-0000-0000-0000DF7A0000}"/>
    <cellStyle name="Normal 11 2 3 3 3 3" xfId="16657" xr:uid="{00000000-0005-0000-0000-0000E07A0000}"/>
    <cellStyle name="Normal 11 2 3 3 4" xfId="2171" xr:uid="{00000000-0005-0000-0000-0000E17A0000}"/>
    <cellStyle name="Normal 11 2 3 3 4 2" xfId="10927" xr:uid="{00000000-0005-0000-0000-0000E27A0000}"/>
    <cellStyle name="Normal 11 2 3 3 4 3" xfId="16658" xr:uid="{00000000-0005-0000-0000-0000E37A0000}"/>
    <cellStyle name="Normal 11 2 3 3 5" xfId="2172" xr:uid="{00000000-0005-0000-0000-0000E47A0000}"/>
    <cellStyle name="Normal 11 2 3 3 5 2" xfId="10928" xr:uid="{00000000-0005-0000-0000-0000E57A0000}"/>
    <cellStyle name="Normal 11 2 3 3 5 3" xfId="16659" xr:uid="{00000000-0005-0000-0000-0000E67A0000}"/>
    <cellStyle name="Normal 11 2 3 3 6" xfId="10924" xr:uid="{00000000-0005-0000-0000-0000E77A0000}"/>
    <cellStyle name="Normal 11 2 3 3 7" xfId="16655" xr:uid="{00000000-0005-0000-0000-0000E87A0000}"/>
    <cellStyle name="Normal 11 2 3 3_LNG &amp; LPG rework" xfId="6686" xr:uid="{00000000-0005-0000-0000-0000E97A0000}"/>
    <cellStyle name="Normal 11 2 3 4" xfId="2173" xr:uid="{00000000-0005-0000-0000-0000EA7A0000}"/>
    <cellStyle name="Normal 11 2 3 4 2" xfId="10929" xr:uid="{00000000-0005-0000-0000-0000EB7A0000}"/>
    <cellStyle name="Normal 11 2 3 4 3" xfId="16660" xr:uid="{00000000-0005-0000-0000-0000EC7A0000}"/>
    <cellStyle name="Normal 11 2 3 5" xfId="2174" xr:uid="{00000000-0005-0000-0000-0000ED7A0000}"/>
    <cellStyle name="Normal 11 2 3 5 2" xfId="10930" xr:uid="{00000000-0005-0000-0000-0000EE7A0000}"/>
    <cellStyle name="Normal 11 2 3 5 3" xfId="16661" xr:uid="{00000000-0005-0000-0000-0000EF7A0000}"/>
    <cellStyle name="Normal 11 2 3 6" xfId="2175" xr:uid="{00000000-0005-0000-0000-0000F07A0000}"/>
    <cellStyle name="Normal 11 2 3 6 2" xfId="10931" xr:uid="{00000000-0005-0000-0000-0000F17A0000}"/>
    <cellStyle name="Normal 11 2 3 6 3" xfId="16662" xr:uid="{00000000-0005-0000-0000-0000F27A0000}"/>
    <cellStyle name="Normal 11 2 3 7" xfId="2176" xr:uid="{00000000-0005-0000-0000-0000F37A0000}"/>
    <cellStyle name="Normal 11 2 3 7 2" xfId="10932" xr:uid="{00000000-0005-0000-0000-0000F47A0000}"/>
    <cellStyle name="Normal 11 2 3 7 3" xfId="16663" xr:uid="{00000000-0005-0000-0000-0000F57A0000}"/>
    <cellStyle name="Normal 11 2 3 8" xfId="2177" xr:uid="{00000000-0005-0000-0000-0000F67A0000}"/>
    <cellStyle name="Normal 11 2 3 8 2" xfId="10933" xr:uid="{00000000-0005-0000-0000-0000F77A0000}"/>
    <cellStyle name="Normal 11 2 3 8 3" xfId="16664" xr:uid="{00000000-0005-0000-0000-0000F87A0000}"/>
    <cellStyle name="Normal 11 2 3 9" xfId="9185" xr:uid="{00000000-0005-0000-0000-0000F97A0000}"/>
    <cellStyle name="Normal 11 2 3_LNG &amp; LPG rework" xfId="6688" xr:uid="{00000000-0005-0000-0000-0000FA7A0000}"/>
    <cellStyle name="Normal 11 2 4" xfId="338" xr:uid="{00000000-0005-0000-0000-0000FB7A0000}"/>
    <cellStyle name="Normal 11 2 4 2" xfId="2178" xr:uid="{00000000-0005-0000-0000-0000FC7A0000}"/>
    <cellStyle name="Normal 11 2 4 2 2" xfId="10934" xr:uid="{00000000-0005-0000-0000-0000FD7A0000}"/>
    <cellStyle name="Normal 11 2 4 2 3" xfId="16666" xr:uid="{00000000-0005-0000-0000-0000FE7A0000}"/>
    <cellStyle name="Normal 11 2 4 3" xfId="2179" xr:uid="{00000000-0005-0000-0000-0000FF7A0000}"/>
    <cellStyle name="Normal 11 2 4 3 2" xfId="10935" xr:uid="{00000000-0005-0000-0000-0000007B0000}"/>
    <cellStyle name="Normal 11 2 4 3 3" xfId="16667" xr:uid="{00000000-0005-0000-0000-0000017B0000}"/>
    <cellStyle name="Normal 11 2 4 4" xfId="2180" xr:uid="{00000000-0005-0000-0000-0000027B0000}"/>
    <cellStyle name="Normal 11 2 4 4 2" xfId="10936" xr:uid="{00000000-0005-0000-0000-0000037B0000}"/>
    <cellStyle name="Normal 11 2 4 4 3" xfId="16668" xr:uid="{00000000-0005-0000-0000-0000047B0000}"/>
    <cellStyle name="Normal 11 2 4 5" xfId="2181" xr:uid="{00000000-0005-0000-0000-0000057B0000}"/>
    <cellStyle name="Normal 11 2 4 5 2" xfId="10937" xr:uid="{00000000-0005-0000-0000-0000067B0000}"/>
    <cellStyle name="Normal 11 2 4 5 3" xfId="16669" xr:uid="{00000000-0005-0000-0000-0000077B0000}"/>
    <cellStyle name="Normal 11 2 4 6" xfId="2182" xr:uid="{00000000-0005-0000-0000-0000087B0000}"/>
    <cellStyle name="Normal 11 2 4 6 2" xfId="10938" xr:uid="{00000000-0005-0000-0000-0000097B0000}"/>
    <cellStyle name="Normal 11 2 4 6 3" xfId="16670" xr:uid="{00000000-0005-0000-0000-00000A7B0000}"/>
    <cellStyle name="Normal 11 2 4 7" xfId="9187" xr:uid="{00000000-0005-0000-0000-00000B7B0000}"/>
    <cellStyle name="Normal 11 2 4 8" xfId="16665" xr:uid="{00000000-0005-0000-0000-00000C7B0000}"/>
    <cellStyle name="Normal 11 2 4_LNG &amp; LPG rework" xfId="6685" xr:uid="{00000000-0005-0000-0000-00000D7B0000}"/>
    <cellStyle name="Normal 11 2 5" xfId="2183" xr:uid="{00000000-0005-0000-0000-00000E7B0000}"/>
    <cellStyle name="Normal 11 2 5 2" xfId="2184" xr:uid="{00000000-0005-0000-0000-00000F7B0000}"/>
    <cellStyle name="Normal 11 2 5 2 2" xfId="10940" xr:uid="{00000000-0005-0000-0000-0000107B0000}"/>
    <cellStyle name="Normal 11 2 5 2 3" xfId="16672" xr:uid="{00000000-0005-0000-0000-0000117B0000}"/>
    <cellStyle name="Normal 11 2 5 3" xfId="2185" xr:uid="{00000000-0005-0000-0000-0000127B0000}"/>
    <cellStyle name="Normal 11 2 5 3 2" xfId="10941" xr:uid="{00000000-0005-0000-0000-0000137B0000}"/>
    <cellStyle name="Normal 11 2 5 3 3" xfId="16673" xr:uid="{00000000-0005-0000-0000-0000147B0000}"/>
    <cellStyle name="Normal 11 2 5 4" xfId="2186" xr:uid="{00000000-0005-0000-0000-0000157B0000}"/>
    <cellStyle name="Normal 11 2 5 4 2" xfId="10942" xr:uid="{00000000-0005-0000-0000-0000167B0000}"/>
    <cellStyle name="Normal 11 2 5 4 3" xfId="16674" xr:uid="{00000000-0005-0000-0000-0000177B0000}"/>
    <cellStyle name="Normal 11 2 5 5" xfId="2187" xr:uid="{00000000-0005-0000-0000-0000187B0000}"/>
    <cellStyle name="Normal 11 2 5 5 2" xfId="10943" xr:uid="{00000000-0005-0000-0000-0000197B0000}"/>
    <cellStyle name="Normal 11 2 5 5 3" xfId="16675" xr:uid="{00000000-0005-0000-0000-00001A7B0000}"/>
    <cellStyle name="Normal 11 2 5 6" xfId="10939" xr:uid="{00000000-0005-0000-0000-00001B7B0000}"/>
    <cellStyle name="Normal 11 2 5 7" xfId="16671" xr:uid="{00000000-0005-0000-0000-00001C7B0000}"/>
    <cellStyle name="Normal 11 2 5_LNG &amp; LPG rework" xfId="6684" xr:uid="{00000000-0005-0000-0000-00001D7B0000}"/>
    <cellStyle name="Normal 11 2 6" xfId="2188" xr:uid="{00000000-0005-0000-0000-00001E7B0000}"/>
    <cellStyle name="Normal 11 2 6 2" xfId="2189" xr:uid="{00000000-0005-0000-0000-00001F7B0000}"/>
    <cellStyle name="Normal 11 2 6 2 2" xfId="10945" xr:uid="{00000000-0005-0000-0000-0000207B0000}"/>
    <cellStyle name="Normal 11 2 6 2 3" xfId="16677" xr:uid="{00000000-0005-0000-0000-0000217B0000}"/>
    <cellStyle name="Normal 11 2 6 3" xfId="2190" xr:uid="{00000000-0005-0000-0000-0000227B0000}"/>
    <cellStyle name="Normal 11 2 6 3 2" xfId="10946" xr:uid="{00000000-0005-0000-0000-0000237B0000}"/>
    <cellStyle name="Normal 11 2 6 3 3" xfId="16678" xr:uid="{00000000-0005-0000-0000-0000247B0000}"/>
    <cellStyle name="Normal 11 2 6 4" xfId="2191" xr:uid="{00000000-0005-0000-0000-0000257B0000}"/>
    <cellStyle name="Normal 11 2 6 4 2" xfId="10947" xr:uid="{00000000-0005-0000-0000-0000267B0000}"/>
    <cellStyle name="Normal 11 2 6 4 3" xfId="16679" xr:uid="{00000000-0005-0000-0000-0000277B0000}"/>
    <cellStyle name="Normal 11 2 6 5" xfId="2192" xr:uid="{00000000-0005-0000-0000-0000287B0000}"/>
    <cellStyle name="Normal 11 2 6 5 2" xfId="10948" xr:uid="{00000000-0005-0000-0000-0000297B0000}"/>
    <cellStyle name="Normal 11 2 6 5 3" xfId="16680" xr:uid="{00000000-0005-0000-0000-00002A7B0000}"/>
    <cellStyle name="Normal 11 2 6 6" xfId="10944" xr:uid="{00000000-0005-0000-0000-00002B7B0000}"/>
    <cellStyle name="Normal 11 2 6 7" xfId="16676" xr:uid="{00000000-0005-0000-0000-00002C7B0000}"/>
    <cellStyle name="Normal 11 2 6_LNG &amp; LPG rework" xfId="6683" xr:uid="{00000000-0005-0000-0000-00002D7B0000}"/>
    <cellStyle name="Normal 11 2 7" xfId="2193" xr:uid="{00000000-0005-0000-0000-00002E7B0000}"/>
    <cellStyle name="Normal 11 2 7 2" xfId="10949" xr:uid="{00000000-0005-0000-0000-00002F7B0000}"/>
    <cellStyle name="Normal 11 2 7 3" xfId="16681" xr:uid="{00000000-0005-0000-0000-0000307B0000}"/>
    <cellStyle name="Normal 11 2 8" xfId="2194" xr:uid="{00000000-0005-0000-0000-0000317B0000}"/>
    <cellStyle name="Normal 11 2 8 2" xfId="10950" xr:uid="{00000000-0005-0000-0000-0000327B0000}"/>
    <cellStyle name="Normal 11 2 8 3" xfId="16682" xr:uid="{00000000-0005-0000-0000-0000337B0000}"/>
    <cellStyle name="Normal 11 2 9" xfId="2195" xr:uid="{00000000-0005-0000-0000-0000347B0000}"/>
    <cellStyle name="Normal 11 2 9 2" xfId="10951" xr:uid="{00000000-0005-0000-0000-0000357B0000}"/>
    <cellStyle name="Normal 11 2 9 3" xfId="16683" xr:uid="{00000000-0005-0000-0000-0000367B0000}"/>
    <cellStyle name="Normal 11 2_LNG &amp; LPG rework" xfId="6695" xr:uid="{00000000-0005-0000-0000-0000377B0000}"/>
    <cellStyle name="Normal 11 20" xfId="2196" xr:uid="{00000000-0005-0000-0000-0000387B0000}"/>
    <cellStyle name="Normal 11 20 2" xfId="2197" xr:uid="{00000000-0005-0000-0000-0000397B0000}"/>
    <cellStyle name="Normal 11 20 2 2" xfId="2198" xr:uid="{00000000-0005-0000-0000-00003A7B0000}"/>
    <cellStyle name="Normal 11 20 2 2 2" xfId="10954" xr:uid="{00000000-0005-0000-0000-00003B7B0000}"/>
    <cellStyle name="Normal 11 20 2 2 3" xfId="16686" xr:uid="{00000000-0005-0000-0000-00003C7B0000}"/>
    <cellStyle name="Normal 11 20 2 3" xfId="2199" xr:uid="{00000000-0005-0000-0000-00003D7B0000}"/>
    <cellStyle name="Normal 11 20 2 3 2" xfId="10955" xr:uid="{00000000-0005-0000-0000-00003E7B0000}"/>
    <cellStyle name="Normal 11 20 2 3 3" xfId="16687" xr:uid="{00000000-0005-0000-0000-00003F7B0000}"/>
    <cellStyle name="Normal 11 20 2 4" xfId="2200" xr:uid="{00000000-0005-0000-0000-0000407B0000}"/>
    <cellStyle name="Normal 11 20 2 4 2" xfId="10956" xr:uid="{00000000-0005-0000-0000-0000417B0000}"/>
    <cellStyle name="Normal 11 20 2 4 3" xfId="16688" xr:uid="{00000000-0005-0000-0000-0000427B0000}"/>
    <cellStyle name="Normal 11 20 2 5" xfId="2201" xr:uid="{00000000-0005-0000-0000-0000437B0000}"/>
    <cellStyle name="Normal 11 20 2 5 2" xfId="10957" xr:uid="{00000000-0005-0000-0000-0000447B0000}"/>
    <cellStyle name="Normal 11 20 2 5 3" xfId="16689" xr:uid="{00000000-0005-0000-0000-0000457B0000}"/>
    <cellStyle name="Normal 11 20 2 6" xfId="10953" xr:uid="{00000000-0005-0000-0000-0000467B0000}"/>
    <cellStyle name="Normal 11 20 2 7" xfId="16685" xr:uid="{00000000-0005-0000-0000-0000477B0000}"/>
    <cellStyle name="Normal 11 20 2_LNG &amp; LPG rework" xfId="6797" xr:uid="{00000000-0005-0000-0000-0000487B0000}"/>
    <cellStyle name="Normal 11 20 3" xfId="2202" xr:uid="{00000000-0005-0000-0000-0000497B0000}"/>
    <cellStyle name="Normal 11 20 3 2" xfId="10958" xr:uid="{00000000-0005-0000-0000-00004A7B0000}"/>
    <cellStyle name="Normal 11 20 3 3" xfId="16690" xr:uid="{00000000-0005-0000-0000-00004B7B0000}"/>
    <cellStyle name="Normal 11 20 4" xfId="2203" xr:uid="{00000000-0005-0000-0000-00004C7B0000}"/>
    <cellStyle name="Normal 11 20 4 2" xfId="10959" xr:uid="{00000000-0005-0000-0000-00004D7B0000}"/>
    <cellStyle name="Normal 11 20 4 3" xfId="16691" xr:uid="{00000000-0005-0000-0000-00004E7B0000}"/>
    <cellStyle name="Normal 11 20 5" xfId="2204" xr:uid="{00000000-0005-0000-0000-00004F7B0000}"/>
    <cellStyle name="Normal 11 20 5 2" xfId="10960" xr:uid="{00000000-0005-0000-0000-0000507B0000}"/>
    <cellStyle name="Normal 11 20 5 3" xfId="16692" xr:uid="{00000000-0005-0000-0000-0000517B0000}"/>
    <cellStyle name="Normal 11 20 6" xfId="2205" xr:uid="{00000000-0005-0000-0000-0000527B0000}"/>
    <cellStyle name="Normal 11 20 6 2" xfId="10961" xr:uid="{00000000-0005-0000-0000-0000537B0000}"/>
    <cellStyle name="Normal 11 20 6 3" xfId="16693" xr:uid="{00000000-0005-0000-0000-0000547B0000}"/>
    <cellStyle name="Normal 11 20 7" xfId="10952" xr:uid="{00000000-0005-0000-0000-0000557B0000}"/>
    <cellStyle name="Normal 11 20 8" xfId="16684" xr:uid="{00000000-0005-0000-0000-0000567B0000}"/>
    <cellStyle name="Normal 11 20_LNG &amp; LPG rework" xfId="6798" xr:uid="{00000000-0005-0000-0000-0000577B0000}"/>
    <cellStyle name="Normal 11 21" xfId="2206" xr:uid="{00000000-0005-0000-0000-0000587B0000}"/>
    <cellStyle name="Normal 11 21 2" xfId="2207" xr:uid="{00000000-0005-0000-0000-0000597B0000}"/>
    <cellStyle name="Normal 11 21 2 2" xfId="10963" xr:uid="{00000000-0005-0000-0000-00005A7B0000}"/>
    <cellStyle name="Normal 11 21 2 3" xfId="16695" xr:uid="{00000000-0005-0000-0000-00005B7B0000}"/>
    <cellStyle name="Normal 11 21 3" xfId="2208" xr:uid="{00000000-0005-0000-0000-00005C7B0000}"/>
    <cellStyle name="Normal 11 21 3 2" xfId="10964" xr:uid="{00000000-0005-0000-0000-00005D7B0000}"/>
    <cellStyle name="Normal 11 21 3 3" xfId="16696" xr:uid="{00000000-0005-0000-0000-00005E7B0000}"/>
    <cellStyle name="Normal 11 21 4" xfId="2209" xr:uid="{00000000-0005-0000-0000-00005F7B0000}"/>
    <cellStyle name="Normal 11 21 4 2" xfId="10965" xr:uid="{00000000-0005-0000-0000-0000607B0000}"/>
    <cellStyle name="Normal 11 21 4 3" xfId="16697" xr:uid="{00000000-0005-0000-0000-0000617B0000}"/>
    <cellStyle name="Normal 11 21 5" xfId="2210" xr:uid="{00000000-0005-0000-0000-0000627B0000}"/>
    <cellStyle name="Normal 11 21 5 2" xfId="10966" xr:uid="{00000000-0005-0000-0000-0000637B0000}"/>
    <cellStyle name="Normal 11 21 5 3" xfId="16698" xr:uid="{00000000-0005-0000-0000-0000647B0000}"/>
    <cellStyle name="Normal 11 21 6" xfId="10962" xr:uid="{00000000-0005-0000-0000-0000657B0000}"/>
    <cellStyle name="Normal 11 21 7" xfId="16694" xr:uid="{00000000-0005-0000-0000-0000667B0000}"/>
    <cellStyle name="Normal 11 21_LNG &amp; LPG rework" xfId="6799" xr:uid="{00000000-0005-0000-0000-0000677B0000}"/>
    <cellStyle name="Normal 11 22" xfId="2211" xr:uid="{00000000-0005-0000-0000-0000687B0000}"/>
    <cellStyle name="Normal 11 22 2" xfId="2212" xr:uid="{00000000-0005-0000-0000-0000697B0000}"/>
    <cellStyle name="Normal 11 22 2 2" xfId="10968" xr:uid="{00000000-0005-0000-0000-00006A7B0000}"/>
    <cellStyle name="Normal 11 22 2 3" xfId="16700" xr:uid="{00000000-0005-0000-0000-00006B7B0000}"/>
    <cellStyle name="Normal 11 22 3" xfId="2213" xr:uid="{00000000-0005-0000-0000-00006C7B0000}"/>
    <cellStyle name="Normal 11 22 3 2" xfId="10969" xr:uid="{00000000-0005-0000-0000-00006D7B0000}"/>
    <cellStyle name="Normal 11 22 3 3" xfId="16701" xr:uid="{00000000-0005-0000-0000-00006E7B0000}"/>
    <cellStyle name="Normal 11 22 4" xfId="2214" xr:uid="{00000000-0005-0000-0000-00006F7B0000}"/>
    <cellStyle name="Normal 11 22 4 2" xfId="10970" xr:uid="{00000000-0005-0000-0000-0000707B0000}"/>
    <cellStyle name="Normal 11 22 4 3" xfId="16702" xr:uid="{00000000-0005-0000-0000-0000717B0000}"/>
    <cellStyle name="Normal 11 22 5" xfId="2215" xr:uid="{00000000-0005-0000-0000-0000727B0000}"/>
    <cellStyle name="Normal 11 22 5 2" xfId="10971" xr:uid="{00000000-0005-0000-0000-0000737B0000}"/>
    <cellStyle name="Normal 11 22 5 3" xfId="16703" xr:uid="{00000000-0005-0000-0000-0000747B0000}"/>
    <cellStyle name="Normal 11 22 6" xfId="10967" xr:uid="{00000000-0005-0000-0000-0000757B0000}"/>
    <cellStyle name="Normal 11 22 7" xfId="16699" xr:uid="{00000000-0005-0000-0000-0000767B0000}"/>
    <cellStyle name="Normal 11 22_LNG &amp; LPG rework" xfId="6800" xr:uid="{00000000-0005-0000-0000-0000777B0000}"/>
    <cellStyle name="Normal 11 23" xfId="2216" xr:uid="{00000000-0005-0000-0000-0000787B0000}"/>
    <cellStyle name="Normal 11 23 2" xfId="10972" xr:uid="{00000000-0005-0000-0000-0000797B0000}"/>
    <cellStyle name="Normal 11 23 3" xfId="16704" xr:uid="{00000000-0005-0000-0000-00007A7B0000}"/>
    <cellStyle name="Normal 11 24" xfId="2217" xr:uid="{00000000-0005-0000-0000-00007B7B0000}"/>
    <cellStyle name="Normal 11 24 2" xfId="10973" xr:uid="{00000000-0005-0000-0000-00007C7B0000}"/>
    <cellStyle name="Normal 11 24 3" xfId="16705" xr:uid="{00000000-0005-0000-0000-00007D7B0000}"/>
    <cellStyle name="Normal 11 25" xfId="2218" xr:uid="{00000000-0005-0000-0000-00007E7B0000}"/>
    <cellStyle name="Normal 11 25 2" xfId="10974" xr:uid="{00000000-0005-0000-0000-00007F7B0000}"/>
    <cellStyle name="Normal 11 25 3" xfId="16706" xr:uid="{00000000-0005-0000-0000-0000807B0000}"/>
    <cellStyle name="Normal 11 26" xfId="2219" xr:uid="{00000000-0005-0000-0000-0000817B0000}"/>
    <cellStyle name="Normal 11 26 2" xfId="10975" xr:uid="{00000000-0005-0000-0000-0000827B0000}"/>
    <cellStyle name="Normal 11 26 3" xfId="16707" xr:uid="{00000000-0005-0000-0000-0000837B0000}"/>
    <cellStyle name="Normal 11 27" xfId="2220" xr:uid="{00000000-0005-0000-0000-0000847B0000}"/>
    <cellStyle name="Normal 11 27 2" xfId="10976" xr:uid="{00000000-0005-0000-0000-0000857B0000}"/>
    <cellStyle name="Normal 11 27 3" xfId="16708" xr:uid="{00000000-0005-0000-0000-0000867B0000}"/>
    <cellStyle name="Normal 11 28" xfId="2221" xr:uid="{00000000-0005-0000-0000-0000877B0000}"/>
    <cellStyle name="Normal 11 28 2" xfId="10977" xr:uid="{00000000-0005-0000-0000-0000887B0000}"/>
    <cellStyle name="Normal 11 28 3" xfId="16709" xr:uid="{00000000-0005-0000-0000-0000897B0000}"/>
    <cellStyle name="Normal 11 29" xfId="7825" xr:uid="{00000000-0005-0000-0000-00008A7B0000}"/>
    <cellStyle name="Normal 11 29 2" xfId="29512" xr:uid="{00000000-0005-0000-0000-00008B7B0000}"/>
    <cellStyle name="Normal 11 3" xfId="339" xr:uid="{00000000-0005-0000-0000-00008C7B0000}"/>
    <cellStyle name="Normal 11 3 10" xfId="2222" xr:uid="{00000000-0005-0000-0000-00008D7B0000}"/>
    <cellStyle name="Normal 11 3 10 2" xfId="10978" xr:uid="{00000000-0005-0000-0000-00008E7B0000}"/>
    <cellStyle name="Normal 11 3 10 3" xfId="16711" xr:uid="{00000000-0005-0000-0000-00008F7B0000}"/>
    <cellStyle name="Normal 11 3 11" xfId="9188" xr:uid="{00000000-0005-0000-0000-0000907B0000}"/>
    <cellStyle name="Normal 11 3 12" xfId="16710" xr:uid="{00000000-0005-0000-0000-0000917B0000}"/>
    <cellStyle name="Normal 11 3 2" xfId="340" xr:uid="{00000000-0005-0000-0000-0000927B0000}"/>
    <cellStyle name="Normal 11 3 2 10" xfId="16712" xr:uid="{00000000-0005-0000-0000-0000937B0000}"/>
    <cellStyle name="Normal 11 3 2 2" xfId="341" xr:uid="{00000000-0005-0000-0000-0000947B0000}"/>
    <cellStyle name="Normal 11 3 2 2 2" xfId="2223" xr:uid="{00000000-0005-0000-0000-0000957B0000}"/>
    <cellStyle name="Normal 11 3 2 2 2 2" xfId="10979" xr:uid="{00000000-0005-0000-0000-0000967B0000}"/>
    <cellStyle name="Normal 11 3 2 2 2 3" xfId="16714" xr:uid="{00000000-0005-0000-0000-0000977B0000}"/>
    <cellStyle name="Normal 11 3 2 2 3" xfId="2224" xr:uid="{00000000-0005-0000-0000-0000987B0000}"/>
    <cellStyle name="Normal 11 3 2 2 3 2" xfId="10980" xr:uid="{00000000-0005-0000-0000-0000997B0000}"/>
    <cellStyle name="Normal 11 3 2 2 3 3" xfId="16715" xr:uid="{00000000-0005-0000-0000-00009A7B0000}"/>
    <cellStyle name="Normal 11 3 2 2 4" xfId="2225" xr:uid="{00000000-0005-0000-0000-00009B7B0000}"/>
    <cellStyle name="Normal 11 3 2 2 4 2" xfId="10981" xr:uid="{00000000-0005-0000-0000-00009C7B0000}"/>
    <cellStyle name="Normal 11 3 2 2 4 3" xfId="16716" xr:uid="{00000000-0005-0000-0000-00009D7B0000}"/>
    <cellStyle name="Normal 11 3 2 2 5" xfId="2226" xr:uid="{00000000-0005-0000-0000-00009E7B0000}"/>
    <cellStyle name="Normal 11 3 2 2 5 2" xfId="10982" xr:uid="{00000000-0005-0000-0000-00009F7B0000}"/>
    <cellStyle name="Normal 11 3 2 2 5 3" xfId="16717" xr:uid="{00000000-0005-0000-0000-0000A07B0000}"/>
    <cellStyle name="Normal 11 3 2 2 6" xfId="2227" xr:uid="{00000000-0005-0000-0000-0000A17B0000}"/>
    <cellStyle name="Normal 11 3 2 2 6 2" xfId="10983" xr:uid="{00000000-0005-0000-0000-0000A27B0000}"/>
    <cellStyle name="Normal 11 3 2 2 6 3" xfId="16718" xr:uid="{00000000-0005-0000-0000-0000A37B0000}"/>
    <cellStyle name="Normal 11 3 2 2 7" xfId="9190" xr:uid="{00000000-0005-0000-0000-0000A47B0000}"/>
    <cellStyle name="Normal 11 3 2 2 8" xfId="16713" xr:uid="{00000000-0005-0000-0000-0000A57B0000}"/>
    <cellStyle name="Normal 11 3 2 2_LNG &amp; LPG rework" xfId="6802" xr:uid="{00000000-0005-0000-0000-0000A67B0000}"/>
    <cellStyle name="Normal 11 3 2 3" xfId="2228" xr:uid="{00000000-0005-0000-0000-0000A77B0000}"/>
    <cellStyle name="Normal 11 3 2 3 2" xfId="2229" xr:uid="{00000000-0005-0000-0000-0000A87B0000}"/>
    <cellStyle name="Normal 11 3 2 3 2 2" xfId="10985" xr:uid="{00000000-0005-0000-0000-0000A97B0000}"/>
    <cellStyle name="Normal 11 3 2 3 2 3" xfId="16720" xr:uid="{00000000-0005-0000-0000-0000AA7B0000}"/>
    <cellStyle name="Normal 11 3 2 3 3" xfId="2230" xr:uid="{00000000-0005-0000-0000-0000AB7B0000}"/>
    <cellStyle name="Normal 11 3 2 3 3 2" xfId="10986" xr:uid="{00000000-0005-0000-0000-0000AC7B0000}"/>
    <cellStyle name="Normal 11 3 2 3 3 3" xfId="16721" xr:uid="{00000000-0005-0000-0000-0000AD7B0000}"/>
    <cellStyle name="Normal 11 3 2 3 4" xfId="2231" xr:uid="{00000000-0005-0000-0000-0000AE7B0000}"/>
    <cellStyle name="Normal 11 3 2 3 4 2" xfId="10987" xr:uid="{00000000-0005-0000-0000-0000AF7B0000}"/>
    <cellStyle name="Normal 11 3 2 3 4 3" xfId="16722" xr:uid="{00000000-0005-0000-0000-0000B07B0000}"/>
    <cellStyle name="Normal 11 3 2 3 5" xfId="2232" xr:uid="{00000000-0005-0000-0000-0000B17B0000}"/>
    <cellStyle name="Normal 11 3 2 3 5 2" xfId="10988" xr:uid="{00000000-0005-0000-0000-0000B27B0000}"/>
    <cellStyle name="Normal 11 3 2 3 5 3" xfId="16723" xr:uid="{00000000-0005-0000-0000-0000B37B0000}"/>
    <cellStyle name="Normal 11 3 2 3 6" xfId="10984" xr:uid="{00000000-0005-0000-0000-0000B47B0000}"/>
    <cellStyle name="Normal 11 3 2 3 7" xfId="16719" xr:uid="{00000000-0005-0000-0000-0000B57B0000}"/>
    <cellStyle name="Normal 11 3 2 3_LNG &amp; LPG rework" xfId="6803" xr:uid="{00000000-0005-0000-0000-0000B67B0000}"/>
    <cellStyle name="Normal 11 3 2 4" xfId="2233" xr:uid="{00000000-0005-0000-0000-0000B77B0000}"/>
    <cellStyle name="Normal 11 3 2 4 2" xfId="10989" xr:uid="{00000000-0005-0000-0000-0000B87B0000}"/>
    <cellStyle name="Normal 11 3 2 4 3" xfId="16724" xr:uid="{00000000-0005-0000-0000-0000B97B0000}"/>
    <cellStyle name="Normal 11 3 2 5" xfId="2234" xr:uid="{00000000-0005-0000-0000-0000BA7B0000}"/>
    <cellStyle name="Normal 11 3 2 5 2" xfId="10990" xr:uid="{00000000-0005-0000-0000-0000BB7B0000}"/>
    <cellStyle name="Normal 11 3 2 5 3" xfId="16725" xr:uid="{00000000-0005-0000-0000-0000BC7B0000}"/>
    <cellStyle name="Normal 11 3 2 6" xfId="2235" xr:uid="{00000000-0005-0000-0000-0000BD7B0000}"/>
    <cellStyle name="Normal 11 3 2 6 2" xfId="10991" xr:uid="{00000000-0005-0000-0000-0000BE7B0000}"/>
    <cellStyle name="Normal 11 3 2 6 3" xfId="16726" xr:uid="{00000000-0005-0000-0000-0000BF7B0000}"/>
    <cellStyle name="Normal 11 3 2 7" xfId="2236" xr:uid="{00000000-0005-0000-0000-0000C07B0000}"/>
    <cellStyle name="Normal 11 3 2 7 2" xfId="10992" xr:uid="{00000000-0005-0000-0000-0000C17B0000}"/>
    <cellStyle name="Normal 11 3 2 7 3" xfId="16727" xr:uid="{00000000-0005-0000-0000-0000C27B0000}"/>
    <cellStyle name="Normal 11 3 2 8" xfId="2237" xr:uid="{00000000-0005-0000-0000-0000C37B0000}"/>
    <cellStyle name="Normal 11 3 2 8 2" xfId="10993" xr:uid="{00000000-0005-0000-0000-0000C47B0000}"/>
    <cellStyle name="Normal 11 3 2 8 3" xfId="16728" xr:uid="{00000000-0005-0000-0000-0000C57B0000}"/>
    <cellStyle name="Normal 11 3 2 9" xfId="9189" xr:uid="{00000000-0005-0000-0000-0000C67B0000}"/>
    <cellStyle name="Normal 11 3 2_LNG &amp; LPG rework" xfId="6682" xr:uid="{00000000-0005-0000-0000-0000C77B0000}"/>
    <cellStyle name="Normal 11 3 3" xfId="342" xr:uid="{00000000-0005-0000-0000-0000C87B0000}"/>
    <cellStyle name="Normal 11 3 3 2" xfId="2238" xr:uid="{00000000-0005-0000-0000-0000C97B0000}"/>
    <cellStyle name="Normal 11 3 3 2 2" xfId="10994" xr:uid="{00000000-0005-0000-0000-0000CA7B0000}"/>
    <cellStyle name="Normal 11 3 3 2 3" xfId="16730" xr:uid="{00000000-0005-0000-0000-0000CB7B0000}"/>
    <cellStyle name="Normal 11 3 3 3" xfId="2239" xr:uid="{00000000-0005-0000-0000-0000CC7B0000}"/>
    <cellStyle name="Normal 11 3 3 3 2" xfId="10995" xr:uid="{00000000-0005-0000-0000-0000CD7B0000}"/>
    <cellStyle name="Normal 11 3 3 3 3" xfId="16731" xr:uid="{00000000-0005-0000-0000-0000CE7B0000}"/>
    <cellStyle name="Normal 11 3 3 4" xfId="2240" xr:uid="{00000000-0005-0000-0000-0000CF7B0000}"/>
    <cellStyle name="Normal 11 3 3 4 2" xfId="10996" xr:uid="{00000000-0005-0000-0000-0000D07B0000}"/>
    <cellStyle name="Normal 11 3 3 4 3" xfId="16732" xr:uid="{00000000-0005-0000-0000-0000D17B0000}"/>
    <cellStyle name="Normal 11 3 3 5" xfId="2241" xr:uid="{00000000-0005-0000-0000-0000D27B0000}"/>
    <cellStyle name="Normal 11 3 3 5 2" xfId="10997" xr:uid="{00000000-0005-0000-0000-0000D37B0000}"/>
    <cellStyle name="Normal 11 3 3 5 3" xfId="16733" xr:uid="{00000000-0005-0000-0000-0000D47B0000}"/>
    <cellStyle name="Normal 11 3 3 6" xfId="2242" xr:uid="{00000000-0005-0000-0000-0000D57B0000}"/>
    <cellStyle name="Normal 11 3 3 6 2" xfId="10998" xr:uid="{00000000-0005-0000-0000-0000D67B0000}"/>
    <cellStyle name="Normal 11 3 3 6 3" xfId="16734" xr:uid="{00000000-0005-0000-0000-0000D77B0000}"/>
    <cellStyle name="Normal 11 3 3 7" xfId="9191" xr:uid="{00000000-0005-0000-0000-0000D87B0000}"/>
    <cellStyle name="Normal 11 3 3 8" xfId="16729" xr:uid="{00000000-0005-0000-0000-0000D97B0000}"/>
    <cellStyle name="Normal 11 3 3_LNG &amp; LPG rework" xfId="6804" xr:uid="{00000000-0005-0000-0000-0000DA7B0000}"/>
    <cellStyle name="Normal 11 3 4" xfId="2243" xr:uid="{00000000-0005-0000-0000-0000DB7B0000}"/>
    <cellStyle name="Normal 11 3 4 2" xfId="2244" xr:uid="{00000000-0005-0000-0000-0000DC7B0000}"/>
    <cellStyle name="Normal 11 3 4 2 2" xfId="11000" xr:uid="{00000000-0005-0000-0000-0000DD7B0000}"/>
    <cellStyle name="Normal 11 3 4 2 3" xfId="16736" xr:uid="{00000000-0005-0000-0000-0000DE7B0000}"/>
    <cellStyle name="Normal 11 3 4 3" xfId="2245" xr:uid="{00000000-0005-0000-0000-0000DF7B0000}"/>
    <cellStyle name="Normal 11 3 4 3 2" xfId="11001" xr:uid="{00000000-0005-0000-0000-0000E07B0000}"/>
    <cellStyle name="Normal 11 3 4 3 3" xfId="16737" xr:uid="{00000000-0005-0000-0000-0000E17B0000}"/>
    <cellStyle name="Normal 11 3 4 4" xfId="2246" xr:uid="{00000000-0005-0000-0000-0000E27B0000}"/>
    <cellStyle name="Normal 11 3 4 4 2" xfId="11002" xr:uid="{00000000-0005-0000-0000-0000E37B0000}"/>
    <cellStyle name="Normal 11 3 4 4 3" xfId="16738" xr:uid="{00000000-0005-0000-0000-0000E47B0000}"/>
    <cellStyle name="Normal 11 3 4 5" xfId="2247" xr:uid="{00000000-0005-0000-0000-0000E57B0000}"/>
    <cellStyle name="Normal 11 3 4 5 2" xfId="11003" xr:uid="{00000000-0005-0000-0000-0000E67B0000}"/>
    <cellStyle name="Normal 11 3 4 5 3" xfId="16739" xr:uid="{00000000-0005-0000-0000-0000E77B0000}"/>
    <cellStyle name="Normal 11 3 4 6" xfId="10999" xr:uid="{00000000-0005-0000-0000-0000E87B0000}"/>
    <cellStyle name="Normal 11 3 4 7" xfId="16735" xr:uid="{00000000-0005-0000-0000-0000E97B0000}"/>
    <cellStyle name="Normal 11 3 4_LNG &amp; LPG rework" xfId="6805" xr:uid="{00000000-0005-0000-0000-0000EA7B0000}"/>
    <cellStyle name="Normal 11 3 5" xfId="2248" xr:uid="{00000000-0005-0000-0000-0000EB7B0000}"/>
    <cellStyle name="Normal 11 3 5 2" xfId="2249" xr:uid="{00000000-0005-0000-0000-0000EC7B0000}"/>
    <cellStyle name="Normal 11 3 5 2 2" xfId="11005" xr:uid="{00000000-0005-0000-0000-0000ED7B0000}"/>
    <cellStyle name="Normal 11 3 5 2 3" xfId="16741" xr:uid="{00000000-0005-0000-0000-0000EE7B0000}"/>
    <cellStyle name="Normal 11 3 5 3" xfId="2250" xr:uid="{00000000-0005-0000-0000-0000EF7B0000}"/>
    <cellStyle name="Normal 11 3 5 3 2" xfId="11006" xr:uid="{00000000-0005-0000-0000-0000F07B0000}"/>
    <cellStyle name="Normal 11 3 5 3 3" xfId="16742" xr:uid="{00000000-0005-0000-0000-0000F17B0000}"/>
    <cellStyle name="Normal 11 3 5 4" xfId="2251" xr:uid="{00000000-0005-0000-0000-0000F27B0000}"/>
    <cellStyle name="Normal 11 3 5 4 2" xfId="11007" xr:uid="{00000000-0005-0000-0000-0000F37B0000}"/>
    <cellStyle name="Normal 11 3 5 4 3" xfId="16743" xr:uid="{00000000-0005-0000-0000-0000F47B0000}"/>
    <cellStyle name="Normal 11 3 5 5" xfId="2252" xr:uid="{00000000-0005-0000-0000-0000F57B0000}"/>
    <cellStyle name="Normal 11 3 5 5 2" xfId="11008" xr:uid="{00000000-0005-0000-0000-0000F67B0000}"/>
    <cellStyle name="Normal 11 3 5 5 3" xfId="16744" xr:uid="{00000000-0005-0000-0000-0000F77B0000}"/>
    <cellStyle name="Normal 11 3 5 6" xfId="11004" xr:uid="{00000000-0005-0000-0000-0000F87B0000}"/>
    <cellStyle name="Normal 11 3 5 7" xfId="16740" xr:uid="{00000000-0005-0000-0000-0000F97B0000}"/>
    <cellStyle name="Normal 11 3 5_LNG &amp; LPG rework" xfId="6806" xr:uid="{00000000-0005-0000-0000-0000FA7B0000}"/>
    <cellStyle name="Normal 11 3 6" xfId="2253" xr:uid="{00000000-0005-0000-0000-0000FB7B0000}"/>
    <cellStyle name="Normal 11 3 6 2" xfId="11009" xr:uid="{00000000-0005-0000-0000-0000FC7B0000}"/>
    <cellStyle name="Normal 11 3 6 3" xfId="16745" xr:uid="{00000000-0005-0000-0000-0000FD7B0000}"/>
    <cellStyle name="Normal 11 3 7" xfId="2254" xr:uid="{00000000-0005-0000-0000-0000FE7B0000}"/>
    <cellStyle name="Normal 11 3 7 2" xfId="11010" xr:uid="{00000000-0005-0000-0000-0000FF7B0000}"/>
    <cellStyle name="Normal 11 3 7 3" xfId="16746" xr:uid="{00000000-0005-0000-0000-0000007C0000}"/>
    <cellStyle name="Normal 11 3 8" xfId="2255" xr:uid="{00000000-0005-0000-0000-0000017C0000}"/>
    <cellStyle name="Normal 11 3 8 2" xfId="11011" xr:uid="{00000000-0005-0000-0000-0000027C0000}"/>
    <cellStyle name="Normal 11 3 8 3" xfId="16747" xr:uid="{00000000-0005-0000-0000-0000037C0000}"/>
    <cellStyle name="Normal 11 3 9" xfId="2256" xr:uid="{00000000-0005-0000-0000-0000047C0000}"/>
    <cellStyle name="Normal 11 3 9 2" xfId="11012" xr:uid="{00000000-0005-0000-0000-0000057C0000}"/>
    <cellStyle name="Normal 11 3 9 3" xfId="16748" xr:uid="{00000000-0005-0000-0000-0000067C0000}"/>
    <cellStyle name="Normal 11 3_LNG &amp; LPG rework" xfId="6801" xr:uid="{00000000-0005-0000-0000-0000077C0000}"/>
    <cellStyle name="Normal 11 30" xfId="8904" xr:uid="{00000000-0005-0000-0000-0000087C0000}"/>
    <cellStyle name="Normal 11 31" xfId="20823" xr:uid="{00000000-0005-0000-0000-0000097C0000}"/>
    <cellStyle name="Normal 11 32" xfId="20831" xr:uid="{00000000-0005-0000-0000-00000A7C0000}"/>
    <cellStyle name="Normal 11 33" xfId="21891" xr:uid="{00000000-0005-0000-0000-00000B7C0000}"/>
    <cellStyle name="Normal 11 34" xfId="21896" xr:uid="{00000000-0005-0000-0000-00000C7C0000}"/>
    <cellStyle name="Normal 11 35" xfId="21904" xr:uid="{00000000-0005-0000-0000-00000D7C0000}"/>
    <cellStyle name="Normal 11 36" xfId="22965" xr:uid="{00000000-0005-0000-0000-00000E7C0000}"/>
    <cellStyle name="Normal 11 37" xfId="22964" xr:uid="{00000000-0005-0000-0000-00000F7C0000}"/>
    <cellStyle name="Normal 11 38" xfId="22970" xr:uid="{00000000-0005-0000-0000-0000107C0000}"/>
    <cellStyle name="Normal 11 39" xfId="26224" xr:uid="{00000000-0005-0000-0000-0000117C0000}"/>
    <cellStyle name="Normal 11 4" xfId="343" xr:uid="{00000000-0005-0000-0000-0000127C0000}"/>
    <cellStyle name="Normal 11 4 10" xfId="16749" xr:uid="{00000000-0005-0000-0000-0000137C0000}"/>
    <cellStyle name="Normal 11 4 2" xfId="344" xr:uid="{00000000-0005-0000-0000-0000147C0000}"/>
    <cellStyle name="Normal 11 4 2 2" xfId="2257" xr:uid="{00000000-0005-0000-0000-0000157C0000}"/>
    <cellStyle name="Normal 11 4 2 2 2" xfId="11013" xr:uid="{00000000-0005-0000-0000-0000167C0000}"/>
    <cellStyle name="Normal 11 4 2 2 3" xfId="16751" xr:uid="{00000000-0005-0000-0000-0000177C0000}"/>
    <cellStyle name="Normal 11 4 2 3" xfId="2258" xr:uid="{00000000-0005-0000-0000-0000187C0000}"/>
    <cellStyle name="Normal 11 4 2 3 2" xfId="11014" xr:uid="{00000000-0005-0000-0000-0000197C0000}"/>
    <cellStyle name="Normal 11 4 2 3 3" xfId="16752" xr:uid="{00000000-0005-0000-0000-00001A7C0000}"/>
    <cellStyle name="Normal 11 4 2 4" xfId="2259" xr:uid="{00000000-0005-0000-0000-00001B7C0000}"/>
    <cellStyle name="Normal 11 4 2 4 2" xfId="11015" xr:uid="{00000000-0005-0000-0000-00001C7C0000}"/>
    <cellStyle name="Normal 11 4 2 4 3" xfId="16753" xr:uid="{00000000-0005-0000-0000-00001D7C0000}"/>
    <cellStyle name="Normal 11 4 2 5" xfId="2260" xr:uid="{00000000-0005-0000-0000-00001E7C0000}"/>
    <cellStyle name="Normal 11 4 2 5 2" xfId="11016" xr:uid="{00000000-0005-0000-0000-00001F7C0000}"/>
    <cellStyle name="Normal 11 4 2 5 3" xfId="16754" xr:uid="{00000000-0005-0000-0000-0000207C0000}"/>
    <cellStyle name="Normal 11 4 2 6" xfId="2261" xr:uid="{00000000-0005-0000-0000-0000217C0000}"/>
    <cellStyle name="Normal 11 4 2 6 2" xfId="11017" xr:uid="{00000000-0005-0000-0000-0000227C0000}"/>
    <cellStyle name="Normal 11 4 2 6 3" xfId="16755" xr:uid="{00000000-0005-0000-0000-0000237C0000}"/>
    <cellStyle name="Normal 11 4 2 7" xfId="9193" xr:uid="{00000000-0005-0000-0000-0000247C0000}"/>
    <cellStyle name="Normal 11 4 2 8" xfId="16750" xr:uid="{00000000-0005-0000-0000-0000257C0000}"/>
    <cellStyle name="Normal 11 4 2_LNG &amp; LPG rework" xfId="6808" xr:uid="{00000000-0005-0000-0000-0000267C0000}"/>
    <cellStyle name="Normal 11 4 3" xfId="2262" xr:uid="{00000000-0005-0000-0000-0000277C0000}"/>
    <cellStyle name="Normal 11 4 3 2" xfId="2263" xr:uid="{00000000-0005-0000-0000-0000287C0000}"/>
    <cellStyle name="Normal 11 4 3 2 2" xfId="11019" xr:uid="{00000000-0005-0000-0000-0000297C0000}"/>
    <cellStyle name="Normal 11 4 3 2 3" xfId="16757" xr:uid="{00000000-0005-0000-0000-00002A7C0000}"/>
    <cellStyle name="Normal 11 4 3 3" xfId="2264" xr:uid="{00000000-0005-0000-0000-00002B7C0000}"/>
    <cellStyle name="Normal 11 4 3 3 2" xfId="11020" xr:uid="{00000000-0005-0000-0000-00002C7C0000}"/>
    <cellStyle name="Normal 11 4 3 3 3" xfId="16758" xr:uid="{00000000-0005-0000-0000-00002D7C0000}"/>
    <cellStyle name="Normal 11 4 3 4" xfId="2265" xr:uid="{00000000-0005-0000-0000-00002E7C0000}"/>
    <cellStyle name="Normal 11 4 3 4 2" xfId="11021" xr:uid="{00000000-0005-0000-0000-00002F7C0000}"/>
    <cellStyle name="Normal 11 4 3 4 3" xfId="16759" xr:uid="{00000000-0005-0000-0000-0000307C0000}"/>
    <cellStyle name="Normal 11 4 3 5" xfId="2266" xr:uid="{00000000-0005-0000-0000-0000317C0000}"/>
    <cellStyle name="Normal 11 4 3 5 2" xfId="11022" xr:uid="{00000000-0005-0000-0000-0000327C0000}"/>
    <cellStyle name="Normal 11 4 3 5 3" xfId="16760" xr:uid="{00000000-0005-0000-0000-0000337C0000}"/>
    <cellStyle name="Normal 11 4 3 6" xfId="11018" xr:uid="{00000000-0005-0000-0000-0000347C0000}"/>
    <cellStyle name="Normal 11 4 3 7" xfId="16756" xr:uid="{00000000-0005-0000-0000-0000357C0000}"/>
    <cellStyle name="Normal 11 4 3_LNG &amp; LPG rework" xfId="6809" xr:uid="{00000000-0005-0000-0000-0000367C0000}"/>
    <cellStyle name="Normal 11 4 4" xfId="2267" xr:uid="{00000000-0005-0000-0000-0000377C0000}"/>
    <cellStyle name="Normal 11 4 4 2" xfId="11023" xr:uid="{00000000-0005-0000-0000-0000387C0000}"/>
    <cellStyle name="Normal 11 4 4 3" xfId="16761" xr:uid="{00000000-0005-0000-0000-0000397C0000}"/>
    <cellStyle name="Normal 11 4 5" xfId="2268" xr:uid="{00000000-0005-0000-0000-00003A7C0000}"/>
    <cellStyle name="Normal 11 4 5 2" xfId="11024" xr:uid="{00000000-0005-0000-0000-00003B7C0000}"/>
    <cellStyle name="Normal 11 4 5 3" xfId="16762" xr:uid="{00000000-0005-0000-0000-00003C7C0000}"/>
    <cellStyle name="Normal 11 4 6" xfId="2269" xr:uid="{00000000-0005-0000-0000-00003D7C0000}"/>
    <cellStyle name="Normal 11 4 6 2" xfId="11025" xr:uid="{00000000-0005-0000-0000-00003E7C0000}"/>
    <cellStyle name="Normal 11 4 6 3" xfId="16763" xr:uid="{00000000-0005-0000-0000-00003F7C0000}"/>
    <cellStyle name="Normal 11 4 7" xfId="2270" xr:uid="{00000000-0005-0000-0000-0000407C0000}"/>
    <cellStyle name="Normal 11 4 7 2" xfId="11026" xr:uid="{00000000-0005-0000-0000-0000417C0000}"/>
    <cellStyle name="Normal 11 4 7 3" xfId="16764" xr:uid="{00000000-0005-0000-0000-0000427C0000}"/>
    <cellStyle name="Normal 11 4 8" xfId="2271" xr:uid="{00000000-0005-0000-0000-0000437C0000}"/>
    <cellStyle name="Normal 11 4 8 2" xfId="11027" xr:uid="{00000000-0005-0000-0000-0000447C0000}"/>
    <cellStyle name="Normal 11 4 8 3" xfId="16765" xr:uid="{00000000-0005-0000-0000-0000457C0000}"/>
    <cellStyle name="Normal 11 4 9" xfId="9192" xr:uid="{00000000-0005-0000-0000-0000467C0000}"/>
    <cellStyle name="Normal 11 4_LNG &amp; LPG rework" xfId="6807" xr:uid="{00000000-0005-0000-0000-0000477C0000}"/>
    <cellStyle name="Normal 11 40" xfId="29557" xr:uid="{00000000-0005-0000-0000-0000487C0000}"/>
    <cellStyle name="Normal 11 41" xfId="30616" xr:uid="{00000000-0005-0000-0000-0000497C0000}"/>
    <cellStyle name="Normal 11 42" xfId="32763" xr:uid="{00000000-0005-0000-0000-00004A7C0000}"/>
    <cellStyle name="Normal 11 43" xfId="32768" xr:uid="{00000000-0005-0000-0000-00004B7C0000}"/>
    <cellStyle name="Normal 11 5" xfId="345" xr:uid="{00000000-0005-0000-0000-00004C7C0000}"/>
    <cellStyle name="Normal 11 5 10" xfId="16766" xr:uid="{00000000-0005-0000-0000-00004D7C0000}"/>
    <cellStyle name="Normal 11 5 2" xfId="2272" xr:uid="{00000000-0005-0000-0000-00004E7C0000}"/>
    <cellStyle name="Normal 11 5 2 2" xfId="2273" xr:uid="{00000000-0005-0000-0000-00004F7C0000}"/>
    <cellStyle name="Normal 11 5 2 2 2" xfId="11029" xr:uid="{00000000-0005-0000-0000-0000507C0000}"/>
    <cellStyle name="Normal 11 5 2 2 3" xfId="16768" xr:uid="{00000000-0005-0000-0000-0000517C0000}"/>
    <cellStyle name="Normal 11 5 2 3" xfId="2274" xr:uid="{00000000-0005-0000-0000-0000527C0000}"/>
    <cellStyle name="Normal 11 5 2 3 2" xfId="11030" xr:uid="{00000000-0005-0000-0000-0000537C0000}"/>
    <cellStyle name="Normal 11 5 2 3 3" xfId="16769" xr:uid="{00000000-0005-0000-0000-0000547C0000}"/>
    <cellStyle name="Normal 11 5 2 4" xfId="2275" xr:uid="{00000000-0005-0000-0000-0000557C0000}"/>
    <cellStyle name="Normal 11 5 2 4 2" xfId="11031" xr:uid="{00000000-0005-0000-0000-0000567C0000}"/>
    <cellStyle name="Normal 11 5 2 4 3" xfId="16770" xr:uid="{00000000-0005-0000-0000-0000577C0000}"/>
    <cellStyle name="Normal 11 5 2 5" xfId="2276" xr:uid="{00000000-0005-0000-0000-0000587C0000}"/>
    <cellStyle name="Normal 11 5 2 5 2" xfId="11032" xr:uid="{00000000-0005-0000-0000-0000597C0000}"/>
    <cellStyle name="Normal 11 5 2 5 3" xfId="16771" xr:uid="{00000000-0005-0000-0000-00005A7C0000}"/>
    <cellStyle name="Normal 11 5 2 6" xfId="11028" xr:uid="{00000000-0005-0000-0000-00005B7C0000}"/>
    <cellStyle name="Normal 11 5 2 7" xfId="16767" xr:uid="{00000000-0005-0000-0000-00005C7C0000}"/>
    <cellStyle name="Normal 11 5 2_LNG &amp; LPG rework" xfId="6811" xr:uid="{00000000-0005-0000-0000-00005D7C0000}"/>
    <cellStyle name="Normal 11 5 3" xfId="2277" xr:uid="{00000000-0005-0000-0000-00005E7C0000}"/>
    <cellStyle name="Normal 11 5 3 2" xfId="2278" xr:uid="{00000000-0005-0000-0000-00005F7C0000}"/>
    <cellStyle name="Normal 11 5 3 2 2" xfId="11034" xr:uid="{00000000-0005-0000-0000-0000607C0000}"/>
    <cellStyle name="Normal 11 5 3 2 3" xfId="16773" xr:uid="{00000000-0005-0000-0000-0000617C0000}"/>
    <cellStyle name="Normal 11 5 3 3" xfId="2279" xr:uid="{00000000-0005-0000-0000-0000627C0000}"/>
    <cellStyle name="Normal 11 5 3 3 2" xfId="11035" xr:uid="{00000000-0005-0000-0000-0000637C0000}"/>
    <cellStyle name="Normal 11 5 3 3 3" xfId="16774" xr:uid="{00000000-0005-0000-0000-0000647C0000}"/>
    <cellStyle name="Normal 11 5 3 4" xfId="2280" xr:uid="{00000000-0005-0000-0000-0000657C0000}"/>
    <cellStyle name="Normal 11 5 3 4 2" xfId="11036" xr:uid="{00000000-0005-0000-0000-0000667C0000}"/>
    <cellStyle name="Normal 11 5 3 4 3" xfId="16775" xr:uid="{00000000-0005-0000-0000-0000677C0000}"/>
    <cellStyle name="Normal 11 5 3 5" xfId="2281" xr:uid="{00000000-0005-0000-0000-0000687C0000}"/>
    <cellStyle name="Normal 11 5 3 5 2" xfId="11037" xr:uid="{00000000-0005-0000-0000-0000697C0000}"/>
    <cellStyle name="Normal 11 5 3 5 3" xfId="16776" xr:uid="{00000000-0005-0000-0000-00006A7C0000}"/>
    <cellStyle name="Normal 11 5 3 6" xfId="11033" xr:uid="{00000000-0005-0000-0000-00006B7C0000}"/>
    <cellStyle name="Normal 11 5 3 7" xfId="16772" xr:uid="{00000000-0005-0000-0000-00006C7C0000}"/>
    <cellStyle name="Normal 11 5 3_LNG &amp; LPG rework" xfId="6611" xr:uid="{00000000-0005-0000-0000-00006D7C0000}"/>
    <cellStyle name="Normal 11 5 4" xfId="2282" xr:uid="{00000000-0005-0000-0000-00006E7C0000}"/>
    <cellStyle name="Normal 11 5 4 2" xfId="11038" xr:uid="{00000000-0005-0000-0000-00006F7C0000}"/>
    <cellStyle name="Normal 11 5 4 3" xfId="16777" xr:uid="{00000000-0005-0000-0000-0000707C0000}"/>
    <cellStyle name="Normal 11 5 5" xfId="2283" xr:uid="{00000000-0005-0000-0000-0000717C0000}"/>
    <cellStyle name="Normal 11 5 5 2" xfId="11039" xr:uid="{00000000-0005-0000-0000-0000727C0000}"/>
    <cellStyle name="Normal 11 5 5 3" xfId="16778" xr:uid="{00000000-0005-0000-0000-0000737C0000}"/>
    <cellStyle name="Normal 11 5 6" xfId="2284" xr:uid="{00000000-0005-0000-0000-0000747C0000}"/>
    <cellStyle name="Normal 11 5 6 2" xfId="11040" xr:uid="{00000000-0005-0000-0000-0000757C0000}"/>
    <cellStyle name="Normal 11 5 6 3" xfId="16779" xr:uid="{00000000-0005-0000-0000-0000767C0000}"/>
    <cellStyle name="Normal 11 5 7" xfId="2285" xr:uid="{00000000-0005-0000-0000-0000777C0000}"/>
    <cellStyle name="Normal 11 5 7 2" xfId="11041" xr:uid="{00000000-0005-0000-0000-0000787C0000}"/>
    <cellStyle name="Normal 11 5 7 3" xfId="16780" xr:uid="{00000000-0005-0000-0000-0000797C0000}"/>
    <cellStyle name="Normal 11 5 8" xfId="2286" xr:uid="{00000000-0005-0000-0000-00007A7C0000}"/>
    <cellStyle name="Normal 11 5 8 2" xfId="11042" xr:uid="{00000000-0005-0000-0000-00007B7C0000}"/>
    <cellStyle name="Normal 11 5 8 3" xfId="16781" xr:uid="{00000000-0005-0000-0000-00007C7C0000}"/>
    <cellStyle name="Normal 11 5 9" xfId="9194" xr:uid="{00000000-0005-0000-0000-00007D7C0000}"/>
    <cellStyle name="Normal 11 5_LNG &amp; LPG rework" xfId="6810" xr:uid="{00000000-0005-0000-0000-00007E7C0000}"/>
    <cellStyle name="Normal 11 6" xfId="2287" xr:uid="{00000000-0005-0000-0000-00007F7C0000}"/>
    <cellStyle name="Normal 11 7" xfId="2288" xr:uid="{00000000-0005-0000-0000-0000807C0000}"/>
    <cellStyle name="Normal 11 7 2" xfId="2289" xr:uid="{00000000-0005-0000-0000-0000817C0000}"/>
    <cellStyle name="Normal 11 7 2 2" xfId="2290" xr:uid="{00000000-0005-0000-0000-0000827C0000}"/>
    <cellStyle name="Normal 11 7 2 2 2" xfId="11045" xr:uid="{00000000-0005-0000-0000-0000837C0000}"/>
    <cellStyle name="Normal 11 7 2 2 3" xfId="16784" xr:uid="{00000000-0005-0000-0000-0000847C0000}"/>
    <cellStyle name="Normal 11 7 2 3" xfId="2291" xr:uid="{00000000-0005-0000-0000-0000857C0000}"/>
    <cellStyle name="Normal 11 7 2 3 2" xfId="11046" xr:uid="{00000000-0005-0000-0000-0000867C0000}"/>
    <cellStyle name="Normal 11 7 2 3 3" xfId="16785" xr:uid="{00000000-0005-0000-0000-0000877C0000}"/>
    <cellStyle name="Normal 11 7 2 4" xfId="2292" xr:uid="{00000000-0005-0000-0000-0000887C0000}"/>
    <cellStyle name="Normal 11 7 2 4 2" xfId="11047" xr:uid="{00000000-0005-0000-0000-0000897C0000}"/>
    <cellStyle name="Normal 11 7 2 4 3" xfId="16786" xr:uid="{00000000-0005-0000-0000-00008A7C0000}"/>
    <cellStyle name="Normal 11 7 2 5" xfId="2293" xr:uid="{00000000-0005-0000-0000-00008B7C0000}"/>
    <cellStyle name="Normal 11 7 2 5 2" xfId="11048" xr:uid="{00000000-0005-0000-0000-00008C7C0000}"/>
    <cellStyle name="Normal 11 7 2 5 3" xfId="16787" xr:uid="{00000000-0005-0000-0000-00008D7C0000}"/>
    <cellStyle name="Normal 11 7 2 6" xfId="11044" xr:uid="{00000000-0005-0000-0000-00008E7C0000}"/>
    <cellStyle name="Normal 11 7 2 7" xfId="16783" xr:uid="{00000000-0005-0000-0000-00008F7C0000}"/>
    <cellStyle name="Normal 11 7 2_LNG &amp; LPG rework" xfId="6813" xr:uid="{00000000-0005-0000-0000-0000907C0000}"/>
    <cellStyle name="Normal 11 7 3" xfId="2294" xr:uid="{00000000-0005-0000-0000-0000917C0000}"/>
    <cellStyle name="Normal 11 7 3 2" xfId="2295" xr:uid="{00000000-0005-0000-0000-0000927C0000}"/>
    <cellStyle name="Normal 11 7 3 2 2" xfId="11050" xr:uid="{00000000-0005-0000-0000-0000937C0000}"/>
    <cellStyle name="Normal 11 7 3 2 3" xfId="16789" xr:uid="{00000000-0005-0000-0000-0000947C0000}"/>
    <cellStyle name="Normal 11 7 3 3" xfId="2296" xr:uid="{00000000-0005-0000-0000-0000957C0000}"/>
    <cellStyle name="Normal 11 7 3 3 2" xfId="11051" xr:uid="{00000000-0005-0000-0000-0000967C0000}"/>
    <cellStyle name="Normal 11 7 3 3 3" xfId="16790" xr:uid="{00000000-0005-0000-0000-0000977C0000}"/>
    <cellStyle name="Normal 11 7 3 4" xfId="2297" xr:uid="{00000000-0005-0000-0000-0000987C0000}"/>
    <cellStyle name="Normal 11 7 3 4 2" xfId="11052" xr:uid="{00000000-0005-0000-0000-0000997C0000}"/>
    <cellStyle name="Normal 11 7 3 4 3" xfId="16791" xr:uid="{00000000-0005-0000-0000-00009A7C0000}"/>
    <cellStyle name="Normal 11 7 3 5" xfId="2298" xr:uid="{00000000-0005-0000-0000-00009B7C0000}"/>
    <cellStyle name="Normal 11 7 3 5 2" xfId="11053" xr:uid="{00000000-0005-0000-0000-00009C7C0000}"/>
    <cellStyle name="Normal 11 7 3 5 3" xfId="16792" xr:uid="{00000000-0005-0000-0000-00009D7C0000}"/>
    <cellStyle name="Normal 11 7 3 6" xfId="11049" xr:uid="{00000000-0005-0000-0000-00009E7C0000}"/>
    <cellStyle name="Normal 11 7 3 7" xfId="16788" xr:uid="{00000000-0005-0000-0000-00009F7C0000}"/>
    <cellStyle name="Normal 11 7 3_LNG &amp; LPG rework" xfId="6814" xr:uid="{00000000-0005-0000-0000-0000A07C0000}"/>
    <cellStyle name="Normal 11 7 4" xfId="2299" xr:uid="{00000000-0005-0000-0000-0000A17C0000}"/>
    <cellStyle name="Normal 11 7 4 2" xfId="11054" xr:uid="{00000000-0005-0000-0000-0000A27C0000}"/>
    <cellStyle name="Normal 11 7 4 3" xfId="16793" xr:uid="{00000000-0005-0000-0000-0000A37C0000}"/>
    <cellStyle name="Normal 11 7 5" xfId="2300" xr:uid="{00000000-0005-0000-0000-0000A47C0000}"/>
    <cellStyle name="Normal 11 7 5 2" xfId="11055" xr:uid="{00000000-0005-0000-0000-0000A57C0000}"/>
    <cellStyle name="Normal 11 7 5 3" xfId="16794" xr:uid="{00000000-0005-0000-0000-0000A67C0000}"/>
    <cellStyle name="Normal 11 7 6" xfId="2301" xr:uid="{00000000-0005-0000-0000-0000A77C0000}"/>
    <cellStyle name="Normal 11 7 6 2" xfId="11056" xr:uid="{00000000-0005-0000-0000-0000A87C0000}"/>
    <cellStyle name="Normal 11 7 6 3" xfId="16795" xr:uid="{00000000-0005-0000-0000-0000A97C0000}"/>
    <cellStyle name="Normal 11 7 7" xfId="2302" xr:uid="{00000000-0005-0000-0000-0000AA7C0000}"/>
    <cellStyle name="Normal 11 7 7 2" xfId="11057" xr:uid="{00000000-0005-0000-0000-0000AB7C0000}"/>
    <cellStyle name="Normal 11 7 7 3" xfId="16796" xr:uid="{00000000-0005-0000-0000-0000AC7C0000}"/>
    <cellStyle name="Normal 11 7 8" xfId="11043" xr:uid="{00000000-0005-0000-0000-0000AD7C0000}"/>
    <cellStyle name="Normal 11 7 9" xfId="16782" xr:uid="{00000000-0005-0000-0000-0000AE7C0000}"/>
    <cellStyle name="Normal 11 7_LNG &amp; LPG rework" xfId="6812" xr:uid="{00000000-0005-0000-0000-0000AF7C0000}"/>
    <cellStyle name="Normal 11 8" xfId="2303" xr:uid="{00000000-0005-0000-0000-0000B07C0000}"/>
    <cellStyle name="Normal 11 8 2" xfId="2304" xr:uid="{00000000-0005-0000-0000-0000B17C0000}"/>
    <cellStyle name="Normal 11 8 2 2" xfId="2305" xr:uid="{00000000-0005-0000-0000-0000B27C0000}"/>
    <cellStyle name="Normal 11 8 2 2 2" xfId="11060" xr:uid="{00000000-0005-0000-0000-0000B37C0000}"/>
    <cellStyle name="Normal 11 8 2 2 3" xfId="16799" xr:uid="{00000000-0005-0000-0000-0000B47C0000}"/>
    <cellStyle name="Normal 11 8 2 3" xfId="2306" xr:uid="{00000000-0005-0000-0000-0000B57C0000}"/>
    <cellStyle name="Normal 11 8 2 3 2" xfId="11061" xr:uid="{00000000-0005-0000-0000-0000B67C0000}"/>
    <cellStyle name="Normal 11 8 2 3 3" xfId="16800" xr:uid="{00000000-0005-0000-0000-0000B77C0000}"/>
    <cellStyle name="Normal 11 8 2 4" xfId="2307" xr:uid="{00000000-0005-0000-0000-0000B87C0000}"/>
    <cellStyle name="Normal 11 8 2 4 2" xfId="11062" xr:uid="{00000000-0005-0000-0000-0000B97C0000}"/>
    <cellStyle name="Normal 11 8 2 4 3" xfId="16801" xr:uid="{00000000-0005-0000-0000-0000BA7C0000}"/>
    <cellStyle name="Normal 11 8 2 5" xfId="2308" xr:uid="{00000000-0005-0000-0000-0000BB7C0000}"/>
    <cellStyle name="Normal 11 8 2 5 2" xfId="11063" xr:uid="{00000000-0005-0000-0000-0000BC7C0000}"/>
    <cellStyle name="Normal 11 8 2 5 3" xfId="16802" xr:uid="{00000000-0005-0000-0000-0000BD7C0000}"/>
    <cellStyle name="Normal 11 8 2 6" xfId="11059" xr:uid="{00000000-0005-0000-0000-0000BE7C0000}"/>
    <cellStyle name="Normal 11 8 2 7" xfId="16798" xr:uid="{00000000-0005-0000-0000-0000BF7C0000}"/>
    <cellStyle name="Normal 11 8 2_LNG &amp; LPG rework" xfId="6816" xr:uid="{00000000-0005-0000-0000-0000C07C0000}"/>
    <cellStyle name="Normal 11 8 3" xfId="2309" xr:uid="{00000000-0005-0000-0000-0000C17C0000}"/>
    <cellStyle name="Normal 11 8 3 2" xfId="2310" xr:uid="{00000000-0005-0000-0000-0000C27C0000}"/>
    <cellStyle name="Normal 11 8 3 2 2" xfId="11065" xr:uid="{00000000-0005-0000-0000-0000C37C0000}"/>
    <cellStyle name="Normal 11 8 3 2 3" xfId="16804" xr:uid="{00000000-0005-0000-0000-0000C47C0000}"/>
    <cellStyle name="Normal 11 8 3 3" xfId="2311" xr:uid="{00000000-0005-0000-0000-0000C57C0000}"/>
    <cellStyle name="Normal 11 8 3 3 2" xfId="11066" xr:uid="{00000000-0005-0000-0000-0000C67C0000}"/>
    <cellStyle name="Normal 11 8 3 3 3" xfId="16805" xr:uid="{00000000-0005-0000-0000-0000C77C0000}"/>
    <cellStyle name="Normal 11 8 3 4" xfId="2312" xr:uid="{00000000-0005-0000-0000-0000C87C0000}"/>
    <cellStyle name="Normal 11 8 3 4 2" xfId="11067" xr:uid="{00000000-0005-0000-0000-0000C97C0000}"/>
    <cellStyle name="Normal 11 8 3 4 3" xfId="16806" xr:uid="{00000000-0005-0000-0000-0000CA7C0000}"/>
    <cellStyle name="Normal 11 8 3 5" xfId="2313" xr:uid="{00000000-0005-0000-0000-0000CB7C0000}"/>
    <cellStyle name="Normal 11 8 3 5 2" xfId="11068" xr:uid="{00000000-0005-0000-0000-0000CC7C0000}"/>
    <cellStyle name="Normal 11 8 3 5 3" xfId="16807" xr:uid="{00000000-0005-0000-0000-0000CD7C0000}"/>
    <cellStyle name="Normal 11 8 3 6" xfId="11064" xr:uid="{00000000-0005-0000-0000-0000CE7C0000}"/>
    <cellStyle name="Normal 11 8 3 7" xfId="16803" xr:uid="{00000000-0005-0000-0000-0000CF7C0000}"/>
    <cellStyle name="Normal 11 8 3_LNG &amp; LPG rework" xfId="6817" xr:uid="{00000000-0005-0000-0000-0000D07C0000}"/>
    <cellStyle name="Normal 11 8 4" xfId="2314" xr:uid="{00000000-0005-0000-0000-0000D17C0000}"/>
    <cellStyle name="Normal 11 8 4 2" xfId="11069" xr:uid="{00000000-0005-0000-0000-0000D27C0000}"/>
    <cellStyle name="Normal 11 8 4 3" xfId="16808" xr:uid="{00000000-0005-0000-0000-0000D37C0000}"/>
    <cellStyle name="Normal 11 8 5" xfId="2315" xr:uid="{00000000-0005-0000-0000-0000D47C0000}"/>
    <cellStyle name="Normal 11 8 5 2" xfId="11070" xr:uid="{00000000-0005-0000-0000-0000D57C0000}"/>
    <cellStyle name="Normal 11 8 5 3" xfId="16809" xr:uid="{00000000-0005-0000-0000-0000D67C0000}"/>
    <cellStyle name="Normal 11 8 6" xfId="2316" xr:uid="{00000000-0005-0000-0000-0000D77C0000}"/>
    <cellStyle name="Normal 11 8 6 2" xfId="11071" xr:uid="{00000000-0005-0000-0000-0000D87C0000}"/>
    <cellStyle name="Normal 11 8 6 3" xfId="16810" xr:uid="{00000000-0005-0000-0000-0000D97C0000}"/>
    <cellStyle name="Normal 11 8 7" xfId="2317" xr:uid="{00000000-0005-0000-0000-0000DA7C0000}"/>
    <cellStyle name="Normal 11 8 7 2" xfId="11072" xr:uid="{00000000-0005-0000-0000-0000DB7C0000}"/>
    <cellStyle name="Normal 11 8 7 3" xfId="16811" xr:uid="{00000000-0005-0000-0000-0000DC7C0000}"/>
    <cellStyle name="Normal 11 8 8" xfId="11058" xr:uid="{00000000-0005-0000-0000-0000DD7C0000}"/>
    <cellStyle name="Normal 11 8 9" xfId="16797" xr:uid="{00000000-0005-0000-0000-0000DE7C0000}"/>
    <cellStyle name="Normal 11 8_LNG &amp; LPG rework" xfId="6815" xr:uid="{00000000-0005-0000-0000-0000DF7C0000}"/>
    <cellStyle name="Normal 11 9" xfId="2318" xr:uid="{00000000-0005-0000-0000-0000E07C0000}"/>
    <cellStyle name="Normal 11 9 2" xfId="2319" xr:uid="{00000000-0005-0000-0000-0000E17C0000}"/>
    <cellStyle name="Normal 11 9 2 2" xfId="2320" xr:uid="{00000000-0005-0000-0000-0000E27C0000}"/>
    <cellStyle name="Normal 11 9 2 2 2" xfId="11075" xr:uid="{00000000-0005-0000-0000-0000E37C0000}"/>
    <cellStyle name="Normal 11 9 2 2 3" xfId="16814" xr:uid="{00000000-0005-0000-0000-0000E47C0000}"/>
    <cellStyle name="Normal 11 9 2 3" xfId="2321" xr:uid="{00000000-0005-0000-0000-0000E57C0000}"/>
    <cellStyle name="Normal 11 9 2 3 2" xfId="11076" xr:uid="{00000000-0005-0000-0000-0000E67C0000}"/>
    <cellStyle name="Normal 11 9 2 3 3" xfId="16815" xr:uid="{00000000-0005-0000-0000-0000E77C0000}"/>
    <cellStyle name="Normal 11 9 2 4" xfId="2322" xr:uid="{00000000-0005-0000-0000-0000E87C0000}"/>
    <cellStyle name="Normal 11 9 2 4 2" xfId="11077" xr:uid="{00000000-0005-0000-0000-0000E97C0000}"/>
    <cellStyle name="Normal 11 9 2 4 3" xfId="16816" xr:uid="{00000000-0005-0000-0000-0000EA7C0000}"/>
    <cellStyle name="Normal 11 9 2 5" xfId="2323" xr:uid="{00000000-0005-0000-0000-0000EB7C0000}"/>
    <cellStyle name="Normal 11 9 2 5 2" xfId="11078" xr:uid="{00000000-0005-0000-0000-0000EC7C0000}"/>
    <cellStyle name="Normal 11 9 2 5 3" xfId="16817" xr:uid="{00000000-0005-0000-0000-0000ED7C0000}"/>
    <cellStyle name="Normal 11 9 2 6" xfId="11074" xr:uid="{00000000-0005-0000-0000-0000EE7C0000}"/>
    <cellStyle name="Normal 11 9 2 7" xfId="16813" xr:uid="{00000000-0005-0000-0000-0000EF7C0000}"/>
    <cellStyle name="Normal 11 9 2_LNG &amp; LPG rework" xfId="6819" xr:uid="{00000000-0005-0000-0000-0000F07C0000}"/>
    <cellStyle name="Normal 11 9 3" xfId="2324" xr:uid="{00000000-0005-0000-0000-0000F17C0000}"/>
    <cellStyle name="Normal 11 9 3 2" xfId="2325" xr:uid="{00000000-0005-0000-0000-0000F27C0000}"/>
    <cellStyle name="Normal 11 9 3 2 2" xfId="11080" xr:uid="{00000000-0005-0000-0000-0000F37C0000}"/>
    <cellStyle name="Normal 11 9 3 2 3" xfId="16819" xr:uid="{00000000-0005-0000-0000-0000F47C0000}"/>
    <cellStyle name="Normal 11 9 3 3" xfId="2326" xr:uid="{00000000-0005-0000-0000-0000F57C0000}"/>
    <cellStyle name="Normal 11 9 3 3 2" xfId="11081" xr:uid="{00000000-0005-0000-0000-0000F67C0000}"/>
    <cellStyle name="Normal 11 9 3 3 3" xfId="16820" xr:uid="{00000000-0005-0000-0000-0000F77C0000}"/>
    <cellStyle name="Normal 11 9 3 4" xfId="2327" xr:uid="{00000000-0005-0000-0000-0000F87C0000}"/>
    <cellStyle name="Normal 11 9 3 4 2" xfId="11082" xr:uid="{00000000-0005-0000-0000-0000F97C0000}"/>
    <cellStyle name="Normal 11 9 3 4 3" xfId="16821" xr:uid="{00000000-0005-0000-0000-0000FA7C0000}"/>
    <cellStyle name="Normal 11 9 3 5" xfId="2328" xr:uid="{00000000-0005-0000-0000-0000FB7C0000}"/>
    <cellStyle name="Normal 11 9 3 5 2" xfId="11083" xr:uid="{00000000-0005-0000-0000-0000FC7C0000}"/>
    <cellStyle name="Normal 11 9 3 5 3" xfId="16822" xr:uid="{00000000-0005-0000-0000-0000FD7C0000}"/>
    <cellStyle name="Normal 11 9 3 6" xfId="11079" xr:uid="{00000000-0005-0000-0000-0000FE7C0000}"/>
    <cellStyle name="Normal 11 9 3 7" xfId="16818" xr:uid="{00000000-0005-0000-0000-0000FF7C0000}"/>
    <cellStyle name="Normal 11 9 3_LNG &amp; LPG rework" xfId="6820" xr:uid="{00000000-0005-0000-0000-0000007D0000}"/>
    <cellStyle name="Normal 11 9 4" xfId="2329" xr:uid="{00000000-0005-0000-0000-0000017D0000}"/>
    <cellStyle name="Normal 11 9 4 2" xfId="11084" xr:uid="{00000000-0005-0000-0000-0000027D0000}"/>
    <cellStyle name="Normal 11 9 4 3" xfId="16823" xr:uid="{00000000-0005-0000-0000-0000037D0000}"/>
    <cellStyle name="Normal 11 9 5" xfId="2330" xr:uid="{00000000-0005-0000-0000-0000047D0000}"/>
    <cellStyle name="Normal 11 9 5 2" xfId="11085" xr:uid="{00000000-0005-0000-0000-0000057D0000}"/>
    <cellStyle name="Normal 11 9 5 3" xfId="16824" xr:uid="{00000000-0005-0000-0000-0000067D0000}"/>
    <cellStyle name="Normal 11 9 6" xfId="2331" xr:uid="{00000000-0005-0000-0000-0000077D0000}"/>
    <cellStyle name="Normal 11 9 6 2" xfId="11086" xr:uid="{00000000-0005-0000-0000-0000087D0000}"/>
    <cellStyle name="Normal 11 9 6 3" xfId="16825" xr:uid="{00000000-0005-0000-0000-0000097D0000}"/>
    <cellStyle name="Normal 11 9 7" xfId="2332" xr:uid="{00000000-0005-0000-0000-00000A7D0000}"/>
    <cellStyle name="Normal 11 9 7 2" xfId="11087" xr:uid="{00000000-0005-0000-0000-00000B7D0000}"/>
    <cellStyle name="Normal 11 9 7 3" xfId="16826" xr:uid="{00000000-0005-0000-0000-00000C7D0000}"/>
    <cellStyle name="Normal 11 9 8" xfId="11073" xr:uid="{00000000-0005-0000-0000-00000D7D0000}"/>
    <cellStyle name="Normal 11 9 9" xfId="16812" xr:uid="{00000000-0005-0000-0000-00000E7D0000}"/>
    <cellStyle name="Normal 11 9_LNG &amp; LPG rework" xfId="6818" xr:uid="{00000000-0005-0000-0000-00000F7D0000}"/>
    <cellStyle name="Normal 11_2015  Data" xfId="346" xr:uid="{00000000-0005-0000-0000-0000107D0000}"/>
    <cellStyle name="Normal 110" xfId="2333" xr:uid="{00000000-0005-0000-0000-0000117D0000}"/>
    <cellStyle name="Normal 111" xfId="2334" xr:uid="{00000000-0005-0000-0000-0000127D0000}"/>
    <cellStyle name="Normal 112" xfId="2335" xr:uid="{00000000-0005-0000-0000-0000137D0000}"/>
    <cellStyle name="Normal 113" xfId="2336" xr:uid="{00000000-0005-0000-0000-0000147D0000}"/>
    <cellStyle name="Normal 114" xfId="2337" xr:uid="{00000000-0005-0000-0000-0000157D0000}"/>
    <cellStyle name="Normal 115" xfId="2338" xr:uid="{00000000-0005-0000-0000-0000167D0000}"/>
    <cellStyle name="Normal 116" xfId="2339" xr:uid="{00000000-0005-0000-0000-0000177D0000}"/>
    <cellStyle name="Normal 117" xfId="2340" xr:uid="{00000000-0005-0000-0000-0000187D0000}"/>
    <cellStyle name="Normal 118" xfId="2341" xr:uid="{00000000-0005-0000-0000-0000197D0000}"/>
    <cellStyle name="Normal 119" xfId="2342" xr:uid="{00000000-0005-0000-0000-00001A7D0000}"/>
    <cellStyle name="Normal 12" xfId="347" xr:uid="{00000000-0005-0000-0000-00001B7D0000}"/>
    <cellStyle name="Normal 12 10" xfId="2343" xr:uid="{00000000-0005-0000-0000-00001C7D0000}"/>
    <cellStyle name="Normal 12 10 2" xfId="2344" xr:uid="{00000000-0005-0000-0000-00001D7D0000}"/>
    <cellStyle name="Normal 12 10 2 2" xfId="2345" xr:uid="{00000000-0005-0000-0000-00001E7D0000}"/>
    <cellStyle name="Normal 12 10 2 2 2" xfId="11090" xr:uid="{00000000-0005-0000-0000-00001F7D0000}"/>
    <cellStyle name="Normal 12 10 2 2 3" xfId="16829" xr:uid="{00000000-0005-0000-0000-0000207D0000}"/>
    <cellStyle name="Normal 12 10 2 3" xfId="2346" xr:uid="{00000000-0005-0000-0000-0000217D0000}"/>
    <cellStyle name="Normal 12 10 2 3 2" xfId="11091" xr:uid="{00000000-0005-0000-0000-0000227D0000}"/>
    <cellStyle name="Normal 12 10 2 3 3" xfId="16830" xr:uid="{00000000-0005-0000-0000-0000237D0000}"/>
    <cellStyle name="Normal 12 10 2 4" xfId="2347" xr:uid="{00000000-0005-0000-0000-0000247D0000}"/>
    <cellStyle name="Normal 12 10 2 4 2" xfId="11092" xr:uid="{00000000-0005-0000-0000-0000257D0000}"/>
    <cellStyle name="Normal 12 10 2 4 3" xfId="16831" xr:uid="{00000000-0005-0000-0000-0000267D0000}"/>
    <cellStyle name="Normal 12 10 2 5" xfId="2348" xr:uid="{00000000-0005-0000-0000-0000277D0000}"/>
    <cellStyle name="Normal 12 10 2 5 2" xfId="11093" xr:uid="{00000000-0005-0000-0000-0000287D0000}"/>
    <cellStyle name="Normal 12 10 2 5 3" xfId="16832" xr:uid="{00000000-0005-0000-0000-0000297D0000}"/>
    <cellStyle name="Normal 12 10 2 6" xfId="11089" xr:uid="{00000000-0005-0000-0000-00002A7D0000}"/>
    <cellStyle name="Normal 12 10 2 7" xfId="16828" xr:uid="{00000000-0005-0000-0000-00002B7D0000}"/>
    <cellStyle name="Normal 12 10 2_LNG &amp; LPG rework" xfId="6822" xr:uid="{00000000-0005-0000-0000-00002C7D0000}"/>
    <cellStyle name="Normal 12 10 3" xfId="2349" xr:uid="{00000000-0005-0000-0000-00002D7D0000}"/>
    <cellStyle name="Normal 12 10 3 2" xfId="2350" xr:uid="{00000000-0005-0000-0000-00002E7D0000}"/>
    <cellStyle name="Normal 12 10 3 2 2" xfId="11095" xr:uid="{00000000-0005-0000-0000-00002F7D0000}"/>
    <cellStyle name="Normal 12 10 3 2 3" xfId="16834" xr:uid="{00000000-0005-0000-0000-0000307D0000}"/>
    <cellStyle name="Normal 12 10 3 3" xfId="2351" xr:uid="{00000000-0005-0000-0000-0000317D0000}"/>
    <cellStyle name="Normal 12 10 3 3 2" xfId="11096" xr:uid="{00000000-0005-0000-0000-0000327D0000}"/>
    <cellStyle name="Normal 12 10 3 3 3" xfId="16835" xr:uid="{00000000-0005-0000-0000-0000337D0000}"/>
    <cellStyle name="Normal 12 10 3 4" xfId="2352" xr:uid="{00000000-0005-0000-0000-0000347D0000}"/>
    <cellStyle name="Normal 12 10 3 4 2" xfId="11097" xr:uid="{00000000-0005-0000-0000-0000357D0000}"/>
    <cellStyle name="Normal 12 10 3 4 3" xfId="16836" xr:uid="{00000000-0005-0000-0000-0000367D0000}"/>
    <cellStyle name="Normal 12 10 3 5" xfId="2353" xr:uid="{00000000-0005-0000-0000-0000377D0000}"/>
    <cellStyle name="Normal 12 10 3 5 2" xfId="11098" xr:uid="{00000000-0005-0000-0000-0000387D0000}"/>
    <cellStyle name="Normal 12 10 3 5 3" xfId="16837" xr:uid="{00000000-0005-0000-0000-0000397D0000}"/>
    <cellStyle name="Normal 12 10 3 6" xfId="11094" xr:uid="{00000000-0005-0000-0000-00003A7D0000}"/>
    <cellStyle name="Normal 12 10 3 7" xfId="16833" xr:uid="{00000000-0005-0000-0000-00003B7D0000}"/>
    <cellStyle name="Normal 12 10 3_LNG &amp; LPG rework" xfId="6823" xr:uid="{00000000-0005-0000-0000-00003C7D0000}"/>
    <cellStyle name="Normal 12 10 4" xfId="2354" xr:uid="{00000000-0005-0000-0000-00003D7D0000}"/>
    <cellStyle name="Normal 12 10 4 2" xfId="11099" xr:uid="{00000000-0005-0000-0000-00003E7D0000}"/>
    <cellStyle name="Normal 12 10 4 3" xfId="16838" xr:uid="{00000000-0005-0000-0000-00003F7D0000}"/>
    <cellStyle name="Normal 12 10 5" xfId="2355" xr:uid="{00000000-0005-0000-0000-0000407D0000}"/>
    <cellStyle name="Normal 12 10 5 2" xfId="11100" xr:uid="{00000000-0005-0000-0000-0000417D0000}"/>
    <cellStyle name="Normal 12 10 5 3" xfId="16839" xr:uid="{00000000-0005-0000-0000-0000427D0000}"/>
    <cellStyle name="Normal 12 10 6" xfId="2356" xr:uid="{00000000-0005-0000-0000-0000437D0000}"/>
    <cellStyle name="Normal 12 10 6 2" xfId="11101" xr:uid="{00000000-0005-0000-0000-0000447D0000}"/>
    <cellStyle name="Normal 12 10 6 3" xfId="16840" xr:uid="{00000000-0005-0000-0000-0000457D0000}"/>
    <cellStyle name="Normal 12 10 7" xfId="2357" xr:uid="{00000000-0005-0000-0000-0000467D0000}"/>
    <cellStyle name="Normal 12 10 7 2" xfId="11102" xr:uid="{00000000-0005-0000-0000-0000477D0000}"/>
    <cellStyle name="Normal 12 10 7 3" xfId="16841" xr:uid="{00000000-0005-0000-0000-0000487D0000}"/>
    <cellStyle name="Normal 12 10 8" xfId="11088" xr:uid="{00000000-0005-0000-0000-0000497D0000}"/>
    <cellStyle name="Normal 12 10 9" xfId="16827" xr:uid="{00000000-0005-0000-0000-00004A7D0000}"/>
    <cellStyle name="Normal 12 10_LNG &amp; LPG rework" xfId="6821" xr:uid="{00000000-0005-0000-0000-00004B7D0000}"/>
    <cellStyle name="Normal 12 11" xfId="2358" xr:uid="{00000000-0005-0000-0000-00004C7D0000}"/>
    <cellStyle name="Normal 12 11 2" xfId="2359" xr:uid="{00000000-0005-0000-0000-00004D7D0000}"/>
    <cellStyle name="Normal 12 11 2 2" xfId="2360" xr:uid="{00000000-0005-0000-0000-00004E7D0000}"/>
    <cellStyle name="Normal 12 11 2 2 2" xfId="11105" xr:uid="{00000000-0005-0000-0000-00004F7D0000}"/>
    <cellStyle name="Normal 12 11 2 2 3" xfId="16844" xr:uid="{00000000-0005-0000-0000-0000507D0000}"/>
    <cellStyle name="Normal 12 11 2 3" xfId="2361" xr:uid="{00000000-0005-0000-0000-0000517D0000}"/>
    <cellStyle name="Normal 12 11 2 3 2" xfId="11106" xr:uid="{00000000-0005-0000-0000-0000527D0000}"/>
    <cellStyle name="Normal 12 11 2 3 3" xfId="16845" xr:uid="{00000000-0005-0000-0000-0000537D0000}"/>
    <cellStyle name="Normal 12 11 2 4" xfId="2362" xr:uid="{00000000-0005-0000-0000-0000547D0000}"/>
    <cellStyle name="Normal 12 11 2 4 2" xfId="11107" xr:uid="{00000000-0005-0000-0000-0000557D0000}"/>
    <cellStyle name="Normal 12 11 2 4 3" xfId="16846" xr:uid="{00000000-0005-0000-0000-0000567D0000}"/>
    <cellStyle name="Normal 12 11 2 5" xfId="2363" xr:uid="{00000000-0005-0000-0000-0000577D0000}"/>
    <cellStyle name="Normal 12 11 2 5 2" xfId="11108" xr:uid="{00000000-0005-0000-0000-0000587D0000}"/>
    <cellStyle name="Normal 12 11 2 5 3" xfId="16847" xr:uid="{00000000-0005-0000-0000-0000597D0000}"/>
    <cellStyle name="Normal 12 11 2 6" xfId="11104" xr:uid="{00000000-0005-0000-0000-00005A7D0000}"/>
    <cellStyle name="Normal 12 11 2 7" xfId="16843" xr:uid="{00000000-0005-0000-0000-00005B7D0000}"/>
    <cellStyle name="Normal 12 11 2_LNG &amp; LPG rework" xfId="6825" xr:uid="{00000000-0005-0000-0000-00005C7D0000}"/>
    <cellStyle name="Normal 12 11 3" xfId="2364" xr:uid="{00000000-0005-0000-0000-00005D7D0000}"/>
    <cellStyle name="Normal 12 11 3 2" xfId="2365" xr:uid="{00000000-0005-0000-0000-00005E7D0000}"/>
    <cellStyle name="Normal 12 11 3 2 2" xfId="11110" xr:uid="{00000000-0005-0000-0000-00005F7D0000}"/>
    <cellStyle name="Normal 12 11 3 2 3" xfId="16849" xr:uid="{00000000-0005-0000-0000-0000607D0000}"/>
    <cellStyle name="Normal 12 11 3 3" xfId="2366" xr:uid="{00000000-0005-0000-0000-0000617D0000}"/>
    <cellStyle name="Normal 12 11 3 3 2" xfId="11111" xr:uid="{00000000-0005-0000-0000-0000627D0000}"/>
    <cellStyle name="Normal 12 11 3 3 3" xfId="16850" xr:uid="{00000000-0005-0000-0000-0000637D0000}"/>
    <cellStyle name="Normal 12 11 3 4" xfId="2367" xr:uid="{00000000-0005-0000-0000-0000647D0000}"/>
    <cellStyle name="Normal 12 11 3 4 2" xfId="11112" xr:uid="{00000000-0005-0000-0000-0000657D0000}"/>
    <cellStyle name="Normal 12 11 3 4 3" xfId="16851" xr:uid="{00000000-0005-0000-0000-0000667D0000}"/>
    <cellStyle name="Normal 12 11 3 5" xfId="2368" xr:uid="{00000000-0005-0000-0000-0000677D0000}"/>
    <cellStyle name="Normal 12 11 3 5 2" xfId="11113" xr:uid="{00000000-0005-0000-0000-0000687D0000}"/>
    <cellStyle name="Normal 12 11 3 5 3" xfId="16852" xr:uid="{00000000-0005-0000-0000-0000697D0000}"/>
    <cellStyle name="Normal 12 11 3 6" xfId="11109" xr:uid="{00000000-0005-0000-0000-00006A7D0000}"/>
    <cellStyle name="Normal 12 11 3 7" xfId="16848" xr:uid="{00000000-0005-0000-0000-00006B7D0000}"/>
    <cellStyle name="Normal 12 11 3_LNG &amp; LPG rework" xfId="6826" xr:uid="{00000000-0005-0000-0000-00006C7D0000}"/>
    <cellStyle name="Normal 12 11 4" xfId="2369" xr:uid="{00000000-0005-0000-0000-00006D7D0000}"/>
    <cellStyle name="Normal 12 11 4 2" xfId="11114" xr:uid="{00000000-0005-0000-0000-00006E7D0000}"/>
    <cellStyle name="Normal 12 11 4 3" xfId="16853" xr:uid="{00000000-0005-0000-0000-00006F7D0000}"/>
    <cellStyle name="Normal 12 11 5" xfId="2370" xr:uid="{00000000-0005-0000-0000-0000707D0000}"/>
    <cellStyle name="Normal 12 11 5 2" xfId="11115" xr:uid="{00000000-0005-0000-0000-0000717D0000}"/>
    <cellStyle name="Normal 12 11 5 3" xfId="16854" xr:uid="{00000000-0005-0000-0000-0000727D0000}"/>
    <cellStyle name="Normal 12 11 6" xfId="2371" xr:uid="{00000000-0005-0000-0000-0000737D0000}"/>
    <cellStyle name="Normal 12 11 6 2" xfId="11116" xr:uid="{00000000-0005-0000-0000-0000747D0000}"/>
    <cellStyle name="Normal 12 11 6 3" xfId="16855" xr:uid="{00000000-0005-0000-0000-0000757D0000}"/>
    <cellStyle name="Normal 12 11 7" xfId="2372" xr:uid="{00000000-0005-0000-0000-0000767D0000}"/>
    <cellStyle name="Normal 12 11 7 2" xfId="11117" xr:uid="{00000000-0005-0000-0000-0000777D0000}"/>
    <cellStyle name="Normal 12 11 7 3" xfId="16856" xr:uid="{00000000-0005-0000-0000-0000787D0000}"/>
    <cellStyle name="Normal 12 11 8" xfId="11103" xr:uid="{00000000-0005-0000-0000-0000797D0000}"/>
    <cellStyle name="Normal 12 11 9" xfId="16842" xr:uid="{00000000-0005-0000-0000-00007A7D0000}"/>
    <cellStyle name="Normal 12 11_LNG &amp; LPG rework" xfId="6824" xr:uid="{00000000-0005-0000-0000-00007B7D0000}"/>
    <cellStyle name="Normal 12 12" xfId="2373" xr:uid="{00000000-0005-0000-0000-00007C7D0000}"/>
    <cellStyle name="Normal 12 12 2" xfId="2374" xr:uid="{00000000-0005-0000-0000-00007D7D0000}"/>
    <cellStyle name="Normal 12 12 2 2" xfId="2375" xr:uid="{00000000-0005-0000-0000-00007E7D0000}"/>
    <cellStyle name="Normal 12 12 2 2 2" xfId="11120" xr:uid="{00000000-0005-0000-0000-00007F7D0000}"/>
    <cellStyle name="Normal 12 12 2 2 3" xfId="16859" xr:uid="{00000000-0005-0000-0000-0000807D0000}"/>
    <cellStyle name="Normal 12 12 2 3" xfId="2376" xr:uid="{00000000-0005-0000-0000-0000817D0000}"/>
    <cellStyle name="Normal 12 12 2 3 2" xfId="11121" xr:uid="{00000000-0005-0000-0000-0000827D0000}"/>
    <cellStyle name="Normal 12 12 2 3 3" xfId="16860" xr:uid="{00000000-0005-0000-0000-0000837D0000}"/>
    <cellStyle name="Normal 12 12 2 4" xfId="2377" xr:uid="{00000000-0005-0000-0000-0000847D0000}"/>
    <cellStyle name="Normal 12 12 2 4 2" xfId="11122" xr:uid="{00000000-0005-0000-0000-0000857D0000}"/>
    <cellStyle name="Normal 12 12 2 4 3" xfId="16861" xr:uid="{00000000-0005-0000-0000-0000867D0000}"/>
    <cellStyle name="Normal 12 12 2 5" xfId="2378" xr:uid="{00000000-0005-0000-0000-0000877D0000}"/>
    <cellStyle name="Normal 12 12 2 5 2" xfId="11123" xr:uid="{00000000-0005-0000-0000-0000887D0000}"/>
    <cellStyle name="Normal 12 12 2 5 3" xfId="16862" xr:uid="{00000000-0005-0000-0000-0000897D0000}"/>
    <cellStyle name="Normal 12 12 2 6" xfId="11119" xr:uid="{00000000-0005-0000-0000-00008A7D0000}"/>
    <cellStyle name="Normal 12 12 2 7" xfId="16858" xr:uid="{00000000-0005-0000-0000-00008B7D0000}"/>
    <cellStyle name="Normal 12 12 2_LNG &amp; LPG rework" xfId="6828" xr:uid="{00000000-0005-0000-0000-00008C7D0000}"/>
    <cellStyle name="Normal 12 12 3" xfId="2379" xr:uid="{00000000-0005-0000-0000-00008D7D0000}"/>
    <cellStyle name="Normal 12 12 3 2" xfId="2380" xr:uid="{00000000-0005-0000-0000-00008E7D0000}"/>
    <cellStyle name="Normal 12 12 3 2 2" xfId="11125" xr:uid="{00000000-0005-0000-0000-00008F7D0000}"/>
    <cellStyle name="Normal 12 12 3 2 3" xfId="16864" xr:uid="{00000000-0005-0000-0000-0000907D0000}"/>
    <cellStyle name="Normal 12 12 3 3" xfId="2381" xr:uid="{00000000-0005-0000-0000-0000917D0000}"/>
    <cellStyle name="Normal 12 12 3 3 2" xfId="11126" xr:uid="{00000000-0005-0000-0000-0000927D0000}"/>
    <cellStyle name="Normal 12 12 3 3 3" xfId="16865" xr:uid="{00000000-0005-0000-0000-0000937D0000}"/>
    <cellStyle name="Normal 12 12 3 4" xfId="2382" xr:uid="{00000000-0005-0000-0000-0000947D0000}"/>
    <cellStyle name="Normal 12 12 3 4 2" xfId="11127" xr:uid="{00000000-0005-0000-0000-0000957D0000}"/>
    <cellStyle name="Normal 12 12 3 4 3" xfId="16866" xr:uid="{00000000-0005-0000-0000-0000967D0000}"/>
    <cellStyle name="Normal 12 12 3 5" xfId="2383" xr:uid="{00000000-0005-0000-0000-0000977D0000}"/>
    <cellStyle name="Normal 12 12 3 5 2" xfId="11128" xr:uid="{00000000-0005-0000-0000-0000987D0000}"/>
    <cellStyle name="Normal 12 12 3 5 3" xfId="16867" xr:uid="{00000000-0005-0000-0000-0000997D0000}"/>
    <cellStyle name="Normal 12 12 3 6" xfId="11124" xr:uid="{00000000-0005-0000-0000-00009A7D0000}"/>
    <cellStyle name="Normal 12 12 3 7" xfId="16863" xr:uid="{00000000-0005-0000-0000-00009B7D0000}"/>
    <cellStyle name="Normal 12 12 3_LNG &amp; LPG rework" xfId="6829" xr:uid="{00000000-0005-0000-0000-00009C7D0000}"/>
    <cellStyle name="Normal 12 12 4" xfId="2384" xr:uid="{00000000-0005-0000-0000-00009D7D0000}"/>
    <cellStyle name="Normal 12 12 4 2" xfId="11129" xr:uid="{00000000-0005-0000-0000-00009E7D0000}"/>
    <cellStyle name="Normal 12 12 4 3" xfId="16868" xr:uid="{00000000-0005-0000-0000-00009F7D0000}"/>
    <cellStyle name="Normal 12 12 5" xfId="2385" xr:uid="{00000000-0005-0000-0000-0000A07D0000}"/>
    <cellStyle name="Normal 12 12 5 2" xfId="11130" xr:uid="{00000000-0005-0000-0000-0000A17D0000}"/>
    <cellStyle name="Normal 12 12 5 3" xfId="16869" xr:uid="{00000000-0005-0000-0000-0000A27D0000}"/>
    <cellStyle name="Normal 12 12 6" xfId="2386" xr:uid="{00000000-0005-0000-0000-0000A37D0000}"/>
    <cellStyle name="Normal 12 12 6 2" xfId="11131" xr:uid="{00000000-0005-0000-0000-0000A47D0000}"/>
    <cellStyle name="Normal 12 12 6 3" xfId="16870" xr:uid="{00000000-0005-0000-0000-0000A57D0000}"/>
    <cellStyle name="Normal 12 12 7" xfId="2387" xr:uid="{00000000-0005-0000-0000-0000A67D0000}"/>
    <cellStyle name="Normal 12 12 7 2" xfId="11132" xr:uid="{00000000-0005-0000-0000-0000A77D0000}"/>
    <cellStyle name="Normal 12 12 7 3" xfId="16871" xr:uid="{00000000-0005-0000-0000-0000A87D0000}"/>
    <cellStyle name="Normal 12 12 8" xfId="11118" xr:uid="{00000000-0005-0000-0000-0000A97D0000}"/>
    <cellStyle name="Normal 12 12 9" xfId="16857" xr:uid="{00000000-0005-0000-0000-0000AA7D0000}"/>
    <cellStyle name="Normal 12 12_LNG &amp; LPG rework" xfId="6827" xr:uid="{00000000-0005-0000-0000-0000AB7D0000}"/>
    <cellStyle name="Normal 12 13" xfId="2388" xr:uid="{00000000-0005-0000-0000-0000AC7D0000}"/>
    <cellStyle name="Normal 12 13 2" xfId="2389" xr:uid="{00000000-0005-0000-0000-0000AD7D0000}"/>
    <cellStyle name="Normal 12 13 2 2" xfId="2390" xr:uid="{00000000-0005-0000-0000-0000AE7D0000}"/>
    <cellStyle name="Normal 12 13 2 2 2" xfId="11135" xr:uid="{00000000-0005-0000-0000-0000AF7D0000}"/>
    <cellStyle name="Normal 12 13 2 2 3" xfId="16874" xr:uid="{00000000-0005-0000-0000-0000B07D0000}"/>
    <cellStyle name="Normal 12 13 2 3" xfId="2391" xr:uid="{00000000-0005-0000-0000-0000B17D0000}"/>
    <cellStyle name="Normal 12 13 2 3 2" xfId="11136" xr:uid="{00000000-0005-0000-0000-0000B27D0000}"/>
    <cellStyle name="Normal 12 13 2 3 3" xfId="16875" xr:uid="{00000000-0005-0000-0000-0000B37D0000}"/>
    <cellStyle name="Normal 12 13 2 4" xfId="2392" xr:uid="{00000000-0005-0000-0000-0000B47D0000}"/>
    <cellStyle name="Normal 12 13 2 4 2" xfId="11137" xr:uid="{00000000-0005-0000-0000-0000B57D0000}"/>
    <cellStyle name="Normal 12 13 2 4 3" xfId="16876" xr:uid="{00000000-0005-0000-0000-0000B67D0000}"/>
    <cellStyle name="Normal 12 13 2 5" xfId="2393" xr:uid="{00000000-0005-0000-0000-0000B77D0000}"/>
    <cellStyle name="Normal 12 13 2 5 2" xfId="11138" xr:uid="{00000000-0005-0000-0000-0000B87D0000}"/>
    <cellStyle name="Normal 12 13 2 5 3" xfId="16877" xr:uid="{00000000-0005-0000-0000-0000B97D0000}"/>
    <cellStyle name="Normal 12 13 2 6" xfId="11134" xr:uid="{00000000-0005-0000-0000-0000BA7D0000}"/>
    <cellStyle name="Normal 12 13 2 7" xfId="16873" xr:uid="{00000000-0005-0000-0000-0000BB7D0000}"/>
    <cellStyle name="Normal 12 13 2_LNG &amp; LPG rework" xfId="6680" xr:uid="{00000000-0005-0000-0000-0000BC7D0000}"/>
    <cellStyle name="Normal 12 13 3" xfId="2394" xr:uid="{00000000-0005-0000-0000-0000BD7D0000}"/>
    <cellStyle name="Normal 12 13 3 2" xfId="2395" xr:uid="{00000000-0005-0000-0000-0000BE7D0000}"/>
    <cellStyle name="Normal 12 13 3 2 2" xfId="11140" xr:uid="{00000000-0005-0000-0000-0000BF7D0000}"/>
    <cellStyle name="Normal 12 13 3 2 3" xfId="16879" xr:uid="{00000000-0005-0000-0000-0000C07D0000}"/>
    <cellStyle name="Normal 12 13 3 3" xfId="2396" xr:uid="{00000000-0005-0000-0000-0000C17D0000}"/>
    <cellStyle name="Normal 12 13 3 3 2" xfId="11141" xr:uid="{00000000-0005-0000-0000-0000C27D0000}"/>
    <cellStyle name="Normal 12 13 3 3 3" xfId="16880" xr:uid="{00000000-0005-0000-0000-0000C37D0000}"/>
    <cellStyle name="Normal 12 13 3 4" xfId="2397" xr:uid="{00000000-0005-0000-0000-0000C47D0000}"/>
    <cellStyle name="Normal 12 13 3 4 2" xfId="11142" xr:uid="{00000000-0005-0000-0000-0000C57D0000}"/>
    <cellStyle name="Normal 12 13 3 4 3" xfId="16881" xr:uid="{00000000-0005-0000-0000-0000C67D0000}"/>
    <cellStyle name="Normal 12 13 3 5" xfId="2398" xr:uid="{00000000-0005-0000-0000-0000C77D0000}"/>
    <cellStyle name="Normal 12 13 3 5 2" xfId="11143" xr:uid="{00000000-0005-0000-0000-0000C87D0000}"/>
    <cellStyle name="Normal 12 13 3 5 3" xfId="16882" xr:uid="{00000000-0005-0000-0000-0000C97D0000}"/>
    <cellStyle name="Normal 12 13 3 6" xfId="11139" xr:uid="{00000000-0005-0000-0000-0000CA7D0000}"/>
    <cellStyle name="Normal 12 13 3 7" xfId="16878" xr:uid="{00000000-0005-0000-0000-0000CB7D0000}"/>
    <cellStyle name="Normal 12 13 3_LNG &amp; LPG rework" xfId="6584" xr:uid="{00000000-0005-0000-0000-0000CC7D0000}"/>
    <cellStyle name="Normal 12 13 4" xfId="2399" xr:uid="{00000000-0005-0000-0000-0000CD7D0000}"/>
    <cellStyle name="Normal 12 13 4 2" xfId="11144" xr:uid="{00000000-0005-0000-0000-0000CE7D0000}"/>
    <cellStyle name="Normal 12 13 4 3" xfId="16883" xr:uid="{00000000-0005-0000-0000-0000CF7D0000}"/>
    <cellStyle name="Normal 12 13 5" xfId="2400" xr:uid="{00000000-0005-0000-0000-0000D07D0000}"/>
    <cellStyle name="Normal 12 13 5 2" xfId="11145" xr:uid="{00000000-0005-0000-0000-0000D17D0000}"/>
    <cellStyle name="Normal 12 13 5 3" xfId="16884" xr:uid="{00000000-0005-0000-0000-0000D27D0000}"/>
    <cellStyle name="Normal 12 13 6" xfId="2401" xr:uid="{00000000-0005-0000-0000-0000D37D0000}"/>
    <cellStyle name="Normal 12 13 6 2" xfId="11146" xr:uid="{00000000-0005-0000-0000-0000D47D0000}"/>
    <cellStyle name="Normal 12 13 6 3" xfId="16885" xr:uid="{00000000-0005-0000-0000-0000D57D0000}"/>
    <cellStyle name="Normal 12 13 7" xfId="2402" xr:uid="{00000000-0005-0000-0000-0000D67D0000}"/>
    <cellStyle name="Normal 12 13 7 2" xfId="11147" xr:uid="{00000000-0005-0000-0000-0000D77D0000}"/>
    <cellStyle name="Normal 12 13 7 3" xfId="16886" xr:uid="{00000000-0005-0000-0000-0000D87D0000}"/>
    <cellStyle name="Normal 12 13 8" xfId="11133" xr:uid="{00000000-0005-0000-0000-0000D97D0000}"/>
    <cellStyle name="Normal 12 13 9" xfId="16872" xr:uid="{00000000-0005-0000-0000-0000DA7D0000}"/>
    <cellStyle name="Normal 12 13_LNG &amp; LPG rework" xfId="6681" xr:uid="{00000000-0005-0000-0000-0000DB7D0000}"/>
    <cellStyle name="Normal 12 14" xfId="2403" xr:uid="{00000000-0005-0000-0000-0000DC7D0000}"/>
    <cellStyle name="Normal 12 14 2" xfId="2404" xr:uid="{00000000-0005-0000-0000-0000DD7D0000}"/>
    <cellStyle name="Normal 12 14 2 2" xfId="2405" xr:uid="{00000000-0005-0000-0000-0000DE7D0000}"/>
    <cellStyle name="Normal 12 14 2 2 2" xfId="11150" xr:uid="{00000000-0005-0000-0000-0000DF7D0000}"/>
    <cellStyle name="Normal 12 14 2 2 3" xfId="16889" xr:uid="{00000000-0005-0000-0000-0000E07D0000}"/>
    <cellStyle name="Normal 12 14 2 3" xfId="2406" xr:uid="{00000000-0005-0000-0000-0000E17D0000}"/>
    <cellStyle name="Normal 12 14 2 3 2" xfId="11151" xr:uid="{00000000-0005-0000-0000-0000E27D0000}"/>
    <cellStyle name="Normal 12 14 2 3 3" xfId="16890" xr:uid="{00000000-0005-0000-0000-0000E37D0000}"/>
    <cellStyle name="Normal 12 14 2 4" xfId="2407" xr:uid="{00000000-0005-0000-0000-0000E47D0000}"/>
    <cellStyle name="Normal 12 14 2 4 2" xfId="11152" xr:uid="{00000000-0005-0000-0000-0000E57D0000}"/>
    <cellStyle name="Normal 12 14 2 4 3" xfId="16891" xr:uid="{00000000-0005-0000-0000-0000E67D0000}"/>
    <cellStyle name="Normal 12 14 2 5" xfId="2408" xr:uid="{00000000-0005-0000-0000-0000E77D0000}"/>
    <cellStyle name="Normal 12 14 2 5 2" xfId="11153" xr:uid="{00000000-0005-0000-0000-0000E87D0000}"/>
    <cellStyle name="Normal 12 14 2 5 3" xfId="16892" xr:uid="{00000000-0005-0000-0000-0000E97D0000}"/>
    <cellStyle name="Normal 12 14 2 6" xfId="11149" xr:uid="{00000000-0005-0000-0000-0000EA7D0000}"/>
    <cellStyle name="Normal 12 14 2 7" xfId="16888" xr:uid="{00000000-0005-0000-0000-0000EB7D0000}"/>
    <cellStyle name="Normal 12 14 2_LNG &amp; LPG rework" xfId="6980" xr:uid="{00000000-0005-0000-0000-0000EC7D0000}"/>
    <cellStyle name="Normal 12 14 3" xfId="2409" xr:uid="{00000000-0005-0000-0000-0000ED7D0000}"/>
    <cellStyle name="Normal 12 14 3 2" xfId="2410" xr:uid="{00000000-0005-0000-0000-0000EE7D0000}"/>
    <cellStyle name="Normal 12 14 3 2 2" xfId="11155" xr:uid="{00000000-0005-0000-0000-0000EF7D0000}"/>
    <cellStyle name="Normal 12 14 3 2 3" xfId="16894" xr:uid="{00000000-0005-0000-0000-0000F07D0000}"/>
    <cellStyle name="Normal 12 14 3 3" xfId="2411" xr:uid="{00000000-0005-0000-0000-0000F17D0000}"/>
    <cellStyle name="Normal 12 14 3 3 2" xfId="11156" xr:uid="{00000000-0005-0000-0000-0000F27D0000}"/>
    <cellStyle name="Normal 12 14 3 3 3" xfId="16895" xr:uid="{00000000-0005-0000-0000-0000F37D0000}"/>
    <cellStyle name="Normal 12 14 3 4" xfId="2412" xr:uid="{00000000-0005-0000-0000-0000F47D0000}"/>
    <cellStyle name="Normal 12 14 3 4 2" xfId="11157" xr:uid="{00000000-0005-0000-0000-0000F57D0000}"/>
    <cellStyle name="Normal 12 14 3 4 3" xfId="16896" xr:uid="{00000000-0005-0000-0000-0000F67D0000}"/>
    <cellStyle name="Normal 12 14 3 5" xfId="2413" xr:uid="{00000000-0005-0000-0000-0000F77D0000}"/>
    <cellStyle name="Normal 12 14 3 5 2" xfId="11158" xr:uid="{00000000-0005-0000-0000-0000F87D0000}"/>
    <cellStyle name="Normal 12 14 3 5 3" xfId="16897" xr:uid="{00000000-0005-0000-0000-0000F97D0000}"/>
    <cellStyle name="Normal 12 14 3 6" xfId="11154" xr:uid="{00000000-0005-0000-0000-0000FA7D0000}"/>
    <cellStyle name="Normal 12 14 3 7" xfId="16893" xr:uid="{00000000-0005-0000-0000-0000FB7D0000}"/>
    <cellStyle name="Normal 12 14 3_LNG &amp; LPG rework" xfId="6733" xr:uid="{00000000-0005-0000-0000-0000FC7D0000}"/>
    <cellStyle name="Normal 12 14 4" xfId="2414" xr:uid="{00000000-0005-0000-0000-0000FD7D0000}"/>
    <cellStyle name="Normal 12 14 4 2" xfId="11159" xr:uid="{00000000-0005-0000-0000-0000FE7D0000}"/>
    <cellStyle name="Normal 12 14 4 3" xfId="16898" xr:uid="{00000000-0005-0000-0000-0000FF7D0000}"/>
    <cellStyle name="Normal 12 14 5" xfId="2415" xr:uid="{00000000-0005-0000-0000-0000007E0000}"/>
    <cellStyle name="Normal 12 14 5 2" xfId="11160" xr:uid="{00000000-0005-0000-0000-0000017E0000}"/>
    <cellStyle name="Normal 12 14 5 3" xfId="16899" xr:uid="{00000000-0005-0000-0000-0000027E0000}"/>
    <cellStyle name="Normal 12 14 6" xfId="2416" xr:uid="{00000000-0005-0000-0000-0000037E0000}"/>
    <cellStyle name="Normal 12 14 6 2" xfId="11161" xr:uid="{00000000-0005-0000-0000-0000047E0000}"/>
    <cellStyle name="Normal 12 14 6 3" xfId="16900" xr:uid="{00000000-0005-0000-0000-0000057E0000}"/>
    <cellStyle name="Normal 12 14 7" xfId="2417" xr:uid="{00000000-0005-0000-0000-0000067E0000}"/>
    <cellStyle name="Normal 12 14 7 2" xfId="11162" xr:uid="{00000000-0005-0000-0000-0000077E0000}"/>
    <cellStyle name="Normal 12 14 7 3" xfId="16901" xr:uid="{00000000-0005-0000-0000-0000087E0000}"/>
    <cellStyle name="Normal 12 14 8" xfId="11148" xr:uid="{00000000-0005-0000-0000-0000097E0000}"/>
    <cellStyle name="Normal 12 14 9" xfId="16887" xr:uid="{00000000-0005-0000-0000-00000A7E0000}"/>
    <cellStyle name="Normal 12 14_LNG &amp; LPG rework" xfId="6830" xr:uid="{00000000-0005-0000-0000-00000B7E0000}"/>
    <cellStyle name="Normal 12 15" xfId="2418" xr:uid="{00000000-0005-0000-0000-00000C7E0000}"/>
    <cellStyle name="Normal 12 15 2" xfId="2419" xr:uid="{00000000-0005-0000-0000-00000D7E0000}"/>
    <cellStyle name="Normal 12 15 2 2" xfId="2420" xr:uid="{00000000-0005-0000-0000-00000E7E0000}"/>
    <cellStyle name="Normal 12 15 2 2 2" xfId="11165" xr:uid="{00000000-0005-0000-0000-00000F7E0000}"/>
    <cellStyle name="Normal 12 15 2 2 3" xfId="16904" xr:uid="{00000000-0005-0000-0000-0000107E0000}"/>
    <cellStyle name="Normal 12 15 2 3" xfId="2421" xr:uid="{00000000-0005-0000-0000-0000117E0000}"/>
    <cellStyle name="Normal 12 15 2 3 2" xfId="11166" xr:uid="{00000000-0005-0000-0000-0000127E0000}"/>
    <cellStyle name="Normal 12 15 2 3 3" xfId="16905" xr:uid="{00000000-0005-0000-0000-0000137E0000}"/>
    <cellStyle name="Normal 12 15 2 4" xfId="2422" xr:uid="{00000000-0005-0000-0000-0000147E0000}"/>
    <cellStyle name="Normal 12 15 2 4 2" xfId="11167" xr:uid="{00000000-0005-0000-0000-0000157E0000}"/>
    <cellStyle name="Normal 12 15 2 4 3" xfId="16906" xr:uid="{00000000-0005-0000-0000-0000167E0000}"/>
    <cellStyle name="Normal 12 15 2 5" xfId="2423" xr:uid="{00000000-0005-0000-0000-0000177E0000}"/>
    <cellStyle name="Normal 12 15 2 5 2" xfId="11168" xr:uid="{00000000-0005-0000-0000-0000187E0000}"/>
    <cellStyle name="Normal 12 15 2 5 3" xfId="16907" xr:uid="{00000000-0005-0000-0000-0000197E0000}"/>
    <cellStyle name="Normal 12 15 2 6" xfId="11164" xr:uid="{00000000-0005-0000-0000-00001A7E0000}"/>
    <cellStyle name="Normal 12 15 2 7" xfId="16903" xr:uid="{00000000-0005-0000-0000-00001B7E0000}"/>
    <cellStyle name="Normal 12 15 2_LNG &amp; LPG rework" xfId="6832" xr:uid="{00000000-0005-0000-0000-00001C7E0000}"/>
    <cellStyle name="Normal 12 15 3" xfId="2424" xr:uid="{00000000-0005-0000-0000-00001D7E0000}"/>
    <cellStyle name="Normal 12 15 3 2" xfId="2425" xr:uid="{00000000-0005-0000-0000-00001E7E0000}"/>
    <cellStyle name="Normal 12 15 3 2 2" xfId="11170" xr:uid="{00000000-0005-0000-0000-00001F7E0000}"/>
    <cellStyle name="Normal 12 15 3 2 3" xfId="16909" xr:uid="{00000000-0005-0000-0000-0000207E0000}"/>
    <cellStyle name="Normal 12 15 3 3" xfId="2426" xr:uid="{00000000-0005-0000-0000-0000217E0000}"/>
    <cellStyle name="Normal 12 15 3 3 2" xfId="11171" xr:uid="{00000000-0005-0000-0000-0000227E0000}"/>
    <cellStyle name="Normal 12 15 3 3 3" xfId="16910" xr:uid="{00000000-0005-0000-0000-0000237E0000}"/>
    <cellStyle name="Normal 12 15 3 4" xfId="2427" xr:uid="{00000000-0005-0000-0000-0000247E0000}"/>
    <cellStyle name="Normal 12 15 3 4 2" xfId="11172" xr:uid="{00000000-0005-0000-0000-0000257E0000}"/>
    <cellStyle name="Normal 12 15 3 4 3" xfId="16911" xr:uid="{00000000-0005-0000-0000-0000267E0000}"/>
    <cellStyle name="Normal 12 15 3 5" xfId="2428" xr:uid="{00000000-0005-0000-0000-0000277E0000}"/>
    <cellStyle name="Normal 12 15 3 5 2" xfId="11173" xr:uid="{00000000-0005-0000-0000-0000287E0000}"/>
    <cellStyle name="Normal 12 15 3 5 3" xfId="16912" xr:uid="{00000000-0005-0000-0000-0000297E0000}"/>
    <cellStyle name="Normal 12 15 3 6" xfId="11169" xr:uid="{00000000-0005-0000-0000-00002A7E0000}"/>
    <cellStyle name="Normal 12 15 3 7" xfId="16908" xr:uid="{00000000-0005-0000-0000-00002B7E0000}"/>
    <cellStyle name="Normal 12 15 3_LNG &amp; LPG rework" xfId="6679" xr:uid="{00000000-0005-0000-0000-00002C7E0000}"/>
    <cellStyle name="Normal 12 15 4" xfId="2429" xr:uid="{00000000-0005-0000-0000-00002D7E0000}"/>
    <cellStyle name="Normal 12 15 4 2" xfId="11174" xr:uid="{00000000-0005-0000-0000-00002E7E0000}"/>
    <cellStyle name="Normal 12 15 4 3" xfId="16913" xr:uid="{00000000-0005-0000-0000-00002F7E0000}"/>
    <cellStyle name="Normal 12 15 5" xfId="2430" xr:uid="{00000000-0005-0000-0000-0000307E0000}"/>
    <cellStyle name="Normal 12 15 5 2" xfId="11175" xr:uid="{00000000-0005-0000-0000-0000317E0000}"/>
    <cellStyle name="Normal 12 15 5 3" xfId="16914" xr:uid="{00000000-0005-0000-0000-0000327E0000}"/>
    <cellStyle name="Normal 12 15 6" xfId="2431" xr:uid="{00000000-0005-0000-0000-0000337E0000}"/>
    <cellStyle name="Normal 12 15 6 2" xfId="11176" xr:uid="{00000000-0005-0000-0000-0000347E0000}"/>
    <cellStyle name="Normal 12 15 6 3" xfId="16915" xr:uid="{00000000-0005-0000-0000-0000357E0000}"/>
    <cellStyle name="Normal 12 15 7" xfId="2432" xr:uid="{00000000-0005-0000-0000-0000367E0000}"/>
    <cellStyle name="Normal 12 15 7 2" xfId="11177" xr:uid="{00000000-0005-0000-0000-0000377E0000}"/>
    <cellStyle name="Normal 12 15 7 3" xfId="16916" xr:uid="{00000000-0005-0000-0000-0000387E0000}"/>
    <cellStyle name="Normal 12 15 8" xfId="11163" xr:uid="{00000000-0005-0000-0000-0000397E0000}"/>
    <cellStyle name="Normal 12 15 9" xfId="16902" xr:uid="{00000000-0005-0000-0000-00003A7E0000}"/>
    <cellStyle name="Normal 12 15_LNG &amp; LPG rework" xfId="6831" xr:uid="{00000000-0005-0000-0000-00003B7E0000}"/>
    <cellStyle name="Normal 12 16" xfId="2433" xr:uid="{00000000-0005-0000-0000-00003C7E0000}"/>
    <cellStyle name="Normal 12 16 2" xfId="2434" xr:uid="{00000000-0005-0000-0000-00003D7E0000}"/>
    <cellStyle name="Normal 12 16 2 2" xfId="2435" xr:uid="{00000000-0005-0000-0000-00003E7E0000}"/>
    <cellStyle name="Normal 12 16 2 2 2" xfId="11180" xr:uid="{00000000-0005-0000-0000-00003F7E0000}"/>
    <cellStyle name="Normal 12 16 2 2 3" xfId="16919" xr:uid="{00000000-0005-0000-0000-0000407E0000}"/>
    <cellStyle name="Normal 12 16 2 3" xfId="2436" xr:uid="{00000000-0005-0000-0000-0000417E0000}"/>
    <cellStyle name="Normal 12 16 2 3 2" xfId="11181" xr:uid="{00000000-0005-0000-0000-0000427E0000}"/>
    <cellStyle name="Normal 12 16 2 3 3" xfId="16920" xr:uid="{00000000-0005-0000-0000-0000437E0000}"/>
    <cellStyle name="Normal 12 16 2 4" xfId="2437" xr:uid="{00000000-0005-0000-0000-0000447E0000}"/>
    <cellStyle name="Normal 12 16 2 4 2" xfId="11182" xr:uid="{00000000-0005-0000-0000-0000457E0000}"/>
    <cellStyle name="Normal 12 16 2 4 3" xfId="16921" xr:uid="{00000000-0005-0000-0000-0000467E0000}"/>
    <cellStyle name="Normal 12 16 2 5" xfId="2438" xr:uid="{00000000-0005-0000-0000-0000477E0000}"/>
    <cellStyle name="Normal 12 16 2 5 2" xfId="11183" xr:uid="{00000000-0005-0000-0000-0000487E0000}"/>
    <cellStyle name="Normal 12 16 2 5 3" xfId="16922" xr:uid="{00000000-0005-0000-0000-0000497E0000}"/>
    <cellStyle name="Normal 12 16 2 6" xfId="11179" xr:uid="{00000000-0005-0000-0000-00004A7E0000}"/>
    <cellStyle name="Normal 12 16 2 7" xfId="16918" xr:uid="{00000000-0005-0000-0000-00004B7E0000}"/>
    <cellStyle name="Normal 12 16 2_LNG &amp; LPG rework" xfId="6677" xr:uid="{00000000-0005-0000-0000-00004C7E0000}"/>
    <cellStyle name="Normal 12 16 3" xfId="2439" xr:uid="{00000000-0005-0000-0000-00004D7E0000}"/>
    <cellStyle name="Normal 12 16 3 2" xfId="2440" xr:uid="{00000000-0005-0000-0000-00004E7E0000}"/>
    <cellStyle name="Normal 12 16 3 2 2" xfId="11185" xr:uid="{00000000-0005-0000-0000-00004F7E0000}"/>
    <cellStyle name="Normal 12 16 3 2 3" xfId="16924" xr:uid="{00000000-0005-0000-0000-0000507E0000}"/>
    <cellStyle name="Normal 12 16 3 3" xfId="2441" xr:uid="{00000000-0005-0000-0000-0000517E0000}"/>
    <cellStyle name="Normal 12 16 3 3 2" xfId="11186" xr:uid="{00000000-0005-0000-0000-0000527E0000}"/>
    <cellStyle name="Normal 12 16 3 3 3" xfId="16925" xr:uid="{00000000-0005-0000-0000-0000537E0000}"/>
    <cellStyle name="Normal 12 16 3 4" xfId="2442" xr:uid="{00000000-0005-0000-0000-0000547E0000}"/>
    <cellStyle name="Normal 12 16 3 4 2" xfId="11187" xr:uid="{00000000-0005-0000-0000-0000557E0000}"/>
    <cellStyle name="Normal 12 16 3 4 3" xfId="16926" xr:uid="{00000000-0005-0000-0000-0000567E0000}"/>
    <cellStyle name="Normal 12 16 3 5" xfId="2443" xr:uid="{00000000-0005-0000-0000-0000577E0000}"/>
    <cellStyle name="Normal 12 16 3 5 2" xfId="11188" xr:uid="{00000000-0005-0000-0000-0000587E0000}"/>
    <cellStyle name="Normal 12 16 3 5 3" xfId="16927" xr:uid="{00000000-0005-0000-0000-0000597E0000}"/>
    <cellStyle name="Normal 12 16 3 6" xfId="11184" xr:uid="{00000000-0005-0000-0000-00005A7E0000}"/>
    <cellStyle name="Normal 12 16 3 7" xfId="16923" xr:uid="{00000000-0005-0000-0000-00005B7E0000}"/>
    <cellStyle name="Normal 12 16 3_LNG &amp; LPG rework" xfId="6833" xr:uid="{00000000-0005-0000-0000-00005C7E0000}"/>
    <cellStyle name="Normal 12 16 4" xfId="2444" xr:uid="{00000000-0005-0000-0000-00005D7E0000}"/>
    <cellStyle name="Normal 12 16 4 2" xfId="11189" xr:uid="{00000000-0005-0000-0000-00005E7E0000}"/>
    <cellStyle name="Normal 12 16 4 3" xfId="16928" xr:uid="{00000000-0005-0000-0000-00005F7E0000}"/>
    <cellStyle name="Normal 12 16 5" xfId="2445" xr:uid="{00000000-0005-0000-0000-0000607E0000}"/>
    <cellStyle name="Normal 12 16 5 2" xfId="11190" xr:uid="{00000000-0005-0000-0000-0000617E0000}"/>
    <cellStyle name="Normal 12 16 5 3" xfId="16929" xr:uid="{00000000-0005-0000-0000-0000627E0000}"/>
    <cellStyle name="Normal 12 16 6" xfId="2446" xr:uid="{00000000-0005-0000-0000-0000637E0000}"/>
    <cellStyle name="Normal 12 16 6 2" xfId="11191" xr:uid="{00000000-0005-0000-0000-0000647E0000}"/>
    <cellStyle name="Normal 12 16 6 3" xfId="16930" xr:uid="{00000000-0005-0000-0000-0000657E0000}"/>
    <cellStyle name="Normal 12 16 7" xfId="2447" xr:uid="{00000000-0005-0000-0000-0000667E0000}"/>
    <cellStyle name="Normal 12 16 7 2" xfId="11192" xr:uid="{00000000-0005-0000-0000-0000677E0000}"/>
    <cellStyle name="Normal 12 16 7 3" xfId="16931" xr:uid="{00000000-0005-0000-0000-0000687E0000}"/>
    <cellStyle name="Normal 12 16 8" xfId="11178" xr:uid="{00000000-0005-0000-0000-0000697E0000}"/>
    <cellStyle name="Normal 12 16 9" xfId="16917" xr:uid="{00000000-0005-0000-0000-00006A7E0000}"/>
    <cellStyle name="Normal 12 16_LNG &amp; LPG rework" xfId="6678" xr:uid="{00000000-0005-0000-0000-00006B7E0000}"/>
    <cellStyle name="Normal 12 17" xfId="2448" xr:uid="{00000000-0005-0000-0000-00006C7E0000}"/>
    <cellStyle name="Normal 12 17 2" xfId="2449" xr:uid="{00000000-0005-0000-0000-00006D7E0000}"/>
    <cellStyle name="Normal 12 17 2 2" xfId="2450" xr:uid="{00000000-0005-0000-0000-00006E7E0000}"/>
    <cellStyle name="Normal 12 17 2 2 2" xfId="11195" xr:uid="{00000000-0005-0000-0000-00006F7E0000}"/>
    <cellStyle name="Normal 12 17 2 2 3" xfId="16934" xr:uid="{00000000-0005-0000-0000-0000707E0000}"/>
    <cellStyle name="Normal 12 17 2 3" xfId="2451" xr:uid="{00000000-0005-0000-0000-0000717E0000}"/>
    <cellStyle name="Normal 12 17 2 3 2" xfId="11196" xr:uid="{00000000-0005-0000-0000-0000727E0000}"/>
    <cellStyle name="Normal 12 17 2 3 3" xfId="16935" xr:uid="{00000000-0005-0000-0000-0000737E0000}"/>
    <cellStyle name="Normal 12 17 2 4" xfId="2452" xr:uid="{00000000-0005-0000-0000-0000747E0000}"/>
    <cellStyle name="Normal 12 17 2 4 2" xfId="11197" xr:uid="{00000000-0005-0000-0000-0000757E0000}"/>
    <cellStyle name="Normal 12 17 2 4 3" xfId="16936" xr:uid="{00000000-0005-0000-0000-0000767E0000}"/>
    <cellStyle name="Normal 12 17 2 5" xfId="2453" xr:uid="{00000000-0005-0000-0000-0000777E0000}"/>
    <cellStyle name="Normal 12 17 2 5 2" xfId="11198" xr:uid="{00000000-0005-0000-0000-0000787E0000}"/>
    <cellStyle name="Normal 12 17 2 5 3" xfId="16937" xr:uid="{00000000-0005-0000-0000-0000797E0000}"/>
    <cellStyle name="Normal 12 17 2 6" xfId="11194" xr:uid="{00000000-0005-0000-0000-00007A7E0000}"/>
    <cellStyle name="Normal 12 17 2 7" xfId="16933" xr:uid="{00000000-0005-0000-0000-00007B7E0000}"/>
    <cellStyle name="Normal 12 17 2_LNG &amp; LPG rework" xfId="6835" xr:uid="{00000000-0005-0000-0000-00007C7E0000}"/>
    <cellStyle name="Normal 12 17 3" xfId="2454" xr:uid="{00000000-0005-0000-0000-00007D7E0000}"/>
    <cellStyle name="Normal 12 17 3 2" xfId="2455" xr:uid="{00000000-0005-0000-0000-00007E7E0000}"/>
    <cellStyle name="Normal 12 17 3 2 2" xfId="11200" xr:uid="{00000000-0005-0000-0000-00007F7E0000}"/>
    <cellStyle name="Normal 12 17 3 2 3" xfId="16939" xr:uid="{00000000-0005-0000-0000-0000807E0000}"/>
    <cellStyle name="Normal 12 17 3 3" xfId="2456" xr:uid="{00000000-0005-0000-0000-0000817E0000}"/>
    <cellStyle name="Normal 12 17 3 3 2" xfId="11201" xr:uid="{00000000-0005-0000-0000-0000827E0000}"/>
    <cellStyle name="Normal 12 17 3 3 3" xfId="16940" xr:uid="{00000000-0005-0000-0000-0000837E0000}"/>
    <cellStyle name="Normal 12 17 3 4" xfId="2457" xr:uid="{00000000-0005-0000-0000-0000847E0000}"/>
    <cellStyle name="Normal 12 17 3 4 2" xfId="11202" xr:uid="{00000000-0005-0000-0000-0000857E0000}"/>
    <cellStyle name="Normal 12 17 3 4 3" xfId="16941" xr:uid="{00000000-0005-0000-0000-0000867E0000}"/>
    <cellStyle name="Normal 12 17 3 5" xfId="2458" xr:uid="{00000000-0005-0000-0000-0000877E0000}"/>
    <cellStyle name="Normal 12 17 3 5 2" xfId="11203" xr:uid="{00000000-0005-0000-0000-0000887E0000}"/>
    <cellStyle name="Normal 12 17 3 5 3" xfId="16942" xr:uid="{00000000-0005-0000-0000-0000897E0000}"/>
    <cellStyle name="Normal 12 17 3 6" xfId="11199" xr:uid="{00000000-0005-0000-0000-00008A7E0000}"/>
    <cellStyle name="Normal 12 17 3 7" xfId="16938" xr:uid="{00000000-0005-0000-0000-00008B7E0000}"/>
    <cellStyle name="Normal 12 17 3_LNG &amp; LPG rework" xfId="6836" xr:uid="{00000000-0005-0000-0000-00008C7E0000}"/>
    <cellStyle name="Normal 12 17 4" xfId="2459" xr:uid="{00000000-0005-0000-0000-00008D7E0000}"/>
    <cellStyle name="Normal 12 17 4 2" xfId="11204" xr:uid="{00000000-0005-0000-0000-00008E7E0000}"/>
    <cellStyle name="Normal 12 17 4 3" xfId="16943" xr:uid="{00000000-0005-0000-0000-00008F7E0000}"/>
    <cellStyle name="Normal 12 17 5" xfId="2460" xr:uid="{00000000-0005-0000-0000-0000907E0000}"/>
    <cellStyle name="Normal 12 17 5 2" xfId="11205" xr:uid="{00000000-0005-0000-0000-0000917E0000}"/>
    <cellStyle name="Normal 12 17 5 3" xfId="16944" xr:uid="{00000000-0005-0000-0000-0000927E0000}"/>
    <cellStyle name="Normal 12 17 6" xfId="2461" xr:uid="{00000000-0005-0000-0000-0000937E0000}"/>
    <cellStyle name="Normal 12 17 6 2" xfId="11206" xr:uid="{00000000-0005-0000-0000-0000947E0000}"/>
    <cellStyle name="Normal 12 17 6 3" xfId="16945" xr:uid="{00000000-0005-0000-0000-0000957E0000}"/>
    <cellStyle name="Normal 12 17 7" xfId="2462" xr:uid="{00000000-0005-0000-0000-0000967E0000}"/>
    <cellStyle name="Normal 12 17 7 2" xfId="11207" xr:uid="{00000000-0005-0000-0000-0000977E0000}"/>
    <cellStyle name="Normal 12 17 7 3" xfId="16946" xr:uid="{00000000-0005-0000-0000-0000987E0000}"/>
    <cellStyle name="Normal 12 17 8" xfId="11193" xr:uid="{00000000-0005-0000-0000-0000997E0000}"/>
    <cellStyle name="Normal 12 17 9" xfId="16932" xr:uid="{00000000-0005-0000-0000-00009A7E0000}"/>
    <cellStyle name="Normal 12 17_LNG &amp; LPG rework" xfId="6834" xr:uid="{00000000-0005-0000-0000-00009B7E0000}"/>
    <cellStyle name="Normal 12 18" xfId="2463" xr:uid="{00000000-0005-0000-0000-00009C7E0000}"/>
    <cellStyle name="Normal 12 18 2" xfId="2464" xr:uid="{00000000-0005-0000-0000-00009D7E0000}"/>
    <cellStyle name="Normal 12 18 2 2" xfId="2465" xr:uid="{00000000-0005-0000-0000-00009E7E0000}"/>
    <cellStyle name="Normal 12 18 2 2 2" xfId="11210" xr:uid="{00000000-0005-0000-0000-00009F7E0000}"/>
    <cellStyle name="Normal 12 18 2 2 3" xfId="16949" xr:uid="{00000000-0005-0000-0000-0000A07E0000}"/>
    <cellStyle name="Normal 12 18 2 3" xfId="2466" xr:uid="{00000000-0005-0000-0000-0000A17E0000}"/>
    <cellStyle name="Normal 12 18 2 3 2" xfId="11211" xr:uid="{00000000-0005-0000-0000-0000A27E0000}"/>
    <cellStyle name="Normal 12 18 2 3 3" xfId="16950" xr:uid="{00000000-0005-0000-0000-0000A37E0000}"/>
    <cellStyle name="Normal 12 18 2 4" xfId="2467" xr:uid="{00000000-0005-0000-0000-0000A47E0000}"/>
    <cellStyle name="Normal 12 18 2 4 2" xfId="11212" xr:uid="{00000000-0005-0000-0000-0000A57E0000}"/>
    <cellStyle name="Normal 12 18 2 4 3" xfId="16951" xr:uid="{00000000-0005-0000-0000-0000A67E0000}"/>
    <cellStyle name="Normal 12 18 2 5" xfId="2468" xr:uid="{00000000-0005-0000-0000-0000A77E0000}"/>
    <cellStyle name="Normal 12 18 2 5 2" xfId="11213" xr:uid="{00000000-0005-0000-0000-0000A87E0000}"/>
    <cellStyle name="Normal 12 18 2 5 3" xfId="16952" xr:uid="{00000000-0005-0000-0000-0000A97E0000}"/>
    <cellStyle name="Normal 12 18 2 6" xfId="11209" xr:uid="{00000000-0005-0000-0000-0000AA7E0000}"/>
    <cellStyle name="Normal 12 18 2 7" xfId="16948" xr:uid="{00000000-0005-0000-0000-0000AB7E0000}"/>
    <cellStyle name="Normal 12 18 2_LNG &amp; LPG rework" xfId="6837" xr:uid="{00000000-0005-0000-0000-0000AC7E0000}"/>
    <cellStyle name="Normal 12 18 3" xfId="2469" xr:uid="{00000000-0005-0000-0000-0000AD7E0000}"/>
    <cellStyle name="Normal 12 18 3 2" xfId="2470" xr:uid="{00000000-0005-0000-0000-0000AE7E0000}"/>
    <cellStyle name="Normal 12 18 3 2 2" xfId="11215" xr:uid="{00000000-0005-0000-0000-0000AF7E0000}"/>
    <cellStyle name="Normal 12 18 3 2 3" xfId="16954" xr:uid="{00000000-0005-0000-0000-0000B07E0000}"/>
    <cellStyle name="Normal 12 18 3 3" xfId="2471" xr:uid="{00000000-0005-0000-0000-0000B17E0000}"/>
    <cellStyle name="Normal 12 18 3 3 2" xfId="11216" xr:uid="{00000000-0005-0000-0000-0000B27E0000}"/>
    <cellStyle name="Normal 12 18 3 3 3" xfId="16955" xr:uid="{00000000-0005-0000-0000-0000B37E0000}"/>
    <cellStyle name="Normal 12 18 3 4" xfId="2472" xr:uid="{00000000-0005-0000-0000-0000B47E0000}"/>
    <cellStyle name="Normal 12 18 3 4 2" xfId="11217" xr:uid="{00000000-0005-0000-0000-0000B57E0000}"/>
    <cellStyle name="Normal 12 18 3 4 3" xfId="16956" xr:uid="{00000000-0005-0000-0000-0000B67E0000}"/>
    <cellStyle name="Normal 12 18 3 5" xfId="2473" xr:uid="{00000000-0005-0000-0000-0000B77E0000}"/>
    <cellStyle name="Normal 12 18 3 5 2" xfId="11218" xr:uid="{00000000-0005-0000-0000-0000B87E0000}"/>
    <cellStyle name="Normal 12 18 3 5 3" xfId="16957" xr:uid="{00000000-0005-0000-0000-0000B97E0000}"/>
    <cellStyle name="Normal 12 18 3 6" xfId="11214" xr:uid="{00000000-0005-0000-0000-0000BA7E0000}"/>
    <cellStyle name="Normal 12 18 3 7" xfId="16953" xr:uid="{00000000-0005-0000-0000-0000BB7E0000}"/>
    <cellStyle name="Normal 12 18 3_LNG &amp; LPG rework" xfId="6839" xr:uid="{00000000-0005-0000-0000-0000BC7E0000}"/>
    <cellStyle name="Normal 12 18 4" xfId="2474" xr:uid="{00000000-0005-0000-0000-0000BD7E0000}"/>
    <cellStyle name="Normal 12 18 4 2" xfId="11219" xr:uid="{00000000-0005-0000-0000-0000BE7E0000}"/>
    <cellStyle name="Normal 12 18 4 3" xfId="16958" xr:uid="{00000000-0005-0000-0000-0000BF7E0000}"/>
    <cellStyle name="Normal 12 18 5" xfId="2475" xr:uid="{00000000-0005-0000-0000-0000C07E0000}"/>
    <cellStyle name="Normal 12 18 5 2" xfId="11220" xr:uid="{00000000-0005-0000-0000-0000C17E0000}"/>
    <cellStyle name="Normal 12 18 5 3" xfId="16959" xr:uid="{00000000-0005-0000-0000-0000C27E0000}"/>
    <cellStyle name="Normal 12 18 6" xfId="2476" xr:uid="{00000000-0005-0000-0000-0000C37E0000}"/>
    <cellStyle name="Normal 12 18 6 2" xfId="11221" xr:uid="{00000000-0005-0000-0000-0000C47E0000}"/>
    <cellStyle name="Normal 12 18 6 3" xfId="16960" xr:uid="{00000000-0005-0000-0000-0000C57E0000}"/>
    <cellStyle name="Normal 12 18 7" xfId="2477" xr:uid="{00000000-0005-0000-0000-0000C67E0000}"/>
    <cellStyle name="Normal 12 18 7 2" xfId="11222" xr:uid="{00000000-0005-0000-0000-0000C77E0000}"/>
    <cellStyle name="Normal 12 18 7 3" xfId="16961" xr:uid="{00000000-0005-0000-0000-0000C87E0000}"/>
    <cellStyle name="Normal 12 18 8" xfId="11208" xr:uid="{00000000-0005-0000-0000-0000C97E0000}"/>
    <cellStyle name="Normal 12 18 9" xfId="16947" xr:uid="{00000000-0005-0000-0000-0000CA7E0000}"/>
    <cellStyle name="Normal 12 18_LNG &amp; LPG rework" xfId="6838" xr:uid="{00000000-0005-0000-0000-0000CB7E0000}"/>
    <cellStyle name="Normal 12 19" xfId="2478" xr:uid="{00000000-0005-0000-0000-0000CC7E0000}"/>
    <cellStyle name="Normal 12 19 2" xfId="2479" xr:uid="{00000000-0005-0000-0000-0000CD7E0000}"/>
    <cellStyle name="Normal 12 19 2 2" xfId="2480" xr:uid="{00000000-0005-0000-0000-0000CE7E0000}"/>
    <cellStyle name="Normal 12 19 2 2 2" xfId="11225" xr:uid="{00000000-0005-0000-0000-0000CF7E0000}"/>
    <cellStyle name="Normal 12 19 2 2 3" xfId="16964" xr:uid="{00000000-0005-0000-0000-0000D07E0000}"/>
    <cellStyle name="Normal 12 19 2 3" xfId="2481" xr:uid="{00000000-0005-0000-0000-0000D17E0000}"/>
    <cellStyle name="Normal 12 19 2 3 2" xfId="11226" xr:uid="{00000000-0005-0000-0000-0000D27E0000}"/>
    <cellStyle name="Normal 12 19 2 3 3" xfId="16965" xr:uid="{00000000-0005-0000-0000-0000D37E0000}"/>
    <cellStyle name="Normal 12 19 2 4" xfId="2482" xr:uid="{00000000-0005-0000-0000-0000D47E0000}"/>
    <cellStyle name="Normal 12 19 2 4 2" xfId="11227" xr:uid="{00000000-0005-0000-0000-0000D57E0000}"/>
    <cellStyle name="Normal 12 19 2 4 3" xfId="16966" xr:uid="{00000000-0005-0000-0000-0000D67E0000}"/>
    <cellStyle name="Normal 12 19 2 5" xfId="2483" xr:uid="{00000000-0005-0000-0000-0000D77E0000}"/>
    <cellStyle name="Normal 12 19 2 5 2" xfId="11228" xr:uid="{00000000-0005-0000-0000-0000D87E0000}"/>
    <cellStyle name="Normal 12 19 2 5 3" xfId="16967" xr:uid="{00000000-0005-0000-0000-0000D97E0000}"/>
    <cellStyle name="Normal 12 19 2 6" xfId="11224" xr:uid="{00000000-0005-0000-0000-0000DA7E0000}"/>
    <cellStyle name="Normal 12 19 2 7" xfId="16963" xr:uid="{00000000-0005-0000-0000-0000DB7E0000}"/>
    <cellStyle name="Normal 12 19 2_LNG &amp; LPG rework" xfId="6841" xr:uid="{00000000-0005-0000-0000-0000DC7E0000}"/>
    <cellStyle name="Normal 12 19 3" xfId="2484" xr:uid="{00000000-0005-0000-0000-0000DD7E0000}"/>
    <cellStyle name="Normal 12 19 3 2" xfId="2485" xr:uid="{00000000-0005-0000-0000-0000DE7E0000}"/>
    <cellStyle name="Normal 12 19 3 2 2" xfId="11230" xr:uid="{00000000-0005-0000-0000-0000DF7E0000}"/>
    <cellStyle name="Normal 12 19 3 2 3" xfId="16969" xr:uid="{00000000-0005-0000-0000-0000E07E0000}"/>
    <cellStyle name="Normal 12 19 3 3" xfId="2486" xr:uid="{00000000-0005-0000-0000-0000E17E0000}"/>
    <cellStyle name="Normal 12 19 3 3 2" xfId="11231" xr:uid="{00000000-0005-0000-0000-0000E27E0000}"/>
    <cellStyle name="Normal 12 19 3 3 3" xfId="16970" xr:uid="{00000000-0005-0000-0000-0000E37E0000}"/>
    <cellStyle name="Normal 12 19 3 4" xfId="2487" xr:uid="{00000000-0005-0000-0000-0000E47E0000}"/>
    <cellStyle name="Normal 12 19 3 4 2" xfId="11232" xr:uid="{00000000-0005-0000-0000-0000E57E0000}"/>
    <cellStyle name="Normal 12 19 3 4 3" xfId="16971" xr:uid="{00000000-0005-0000-0000-0000E67E0000}"/>
    <cellStyle name="Normal 12 19 3 5" xfId="2488" xr:uid="{00000000-0005-0000-0000-0000E77E0000}"/>
    <cellStyle name="Normal 12 19 3 5 2" xfId="11233" xr:uid="{00000000-0005-0000-0000-0000E87E0000}"/>
    <cellStyle name="Normal 12 19 3 5 3" xfId="16972" xr:uid="{00000000-0005-0000-0000-0000E97E0000}"/>
    <cellStyle name="Normal 12 19 3 6" xfId="11229" xr:uid="{00000000-0005-0000-0000-0000EA7E0000}"/>
    <cellStyle name="Normal 12 19 3 7" xfId="16968" xr:uid="{00000000-0005-0000-0000-0000EB7E0000}"/>
    <cellStyle name="Normal 12 19 3_LNG &amp; LPG rework" xfId="6842" xr:uid="{00000000-0005-0000-0000-0000EC7E0000}"/>
    <cellStyle name="Normal 12 19 4" xfId="2489" xr:uid="{00000000-0005-0000-0000-0000ED7E0000}"/>
    <cellStyle name="Normal 12 19 4 2" xfId="11234" xr:uid="{00000000-0005-0000-0000-0000EE7E0000}"/>
    <cellStyle name="Normal 12 19 4 3" xfId="16973" xr:uid="{00000000-0005-0000-0000-0000EF7E0000}"/>
    <cellStyle name="Normal 12 19 5" xfId="2490" xr:uid="{00000000-0005-0000-0000-0000F07E0000}"/>
    <cellStyle name="Normal 12 19 5 2" xfId="11235" xr:uid="{00000000-0005-0000-0000-0000F17E0000}"/>
    <cellStyle name="Normal 12 19 5 3" xfId="16974" xr:uid="{00000000-0005-0000-0000-0000F27E0000}"/>
    <cellStyle name="Normal 12 19 6" xfId="2491" xr:uid="{00000000-0005-0000-0000-0000F37E0000}"/>
    <cellStyle name="Normal 12 19 6 2" xfId="11236" xr:uid="{00000000-0005-0000-0000-0000F47E0000}"/>
    <cellStyle name="Normal 12 19 6 3" xfId="16975" xr:uid="{00000000-0005-0000-0000-0000F57E0000}"/>
    <cellStyle name="Normal 12 19 7" xfId="2492" xr:uid="{00000000-0005-0000-0000-0000F67E0000}"/>
    <cellStyle name="Normal 12 19 7 2" xfId="11237" xr:uid="{00000000-0005-0000-0000-0000F77E0000}"/>
    <cellStyle name="Normal 12 19 7 3" xfId="16976" xr:uid="{00000000-0005-0000-0000-0000F87E0000}"/>
    <cellStyle name="Normal 12 19 8" xfId="11223" xr:uid="{00000000-0005-0000-0000-0000F97E0000}"/>
    <cellStyle name="Normal 12 19 9" xfId="16962" xr:uid="{00000000-0005-0000-0000-0000FA7E0000}"/>
    <cellStyle name="Normal 12 19_LNG &amp; LPG rework" xfId="6840" xr:uid="{00000000-0005-0000-0000-0000FB7E0000}"/>
    <cellStyle name="Normal 12 2" xfId="348" xr:uid="{00000000-0005-0000-0000-0000FC7E0000}"/>
    <cellStyle name="Normal 12 2 10" xfId="2493" xr:uid="{00000000-0005-0000-0000-0000FD7E0000}"/>
    <cellStyle name="Normal 12 2 10 2" xfId="11238" xr:uid="{00000000-0005-0000-0000-0000FE7E0000}"/>
    <cellStyle name="Normal 12 2 10 3" xfId="16978" xr:uid="{00000000-0005-0000-0000-0000FF7E0000}"/>
    <cellStyle name="Normal 12 2 11" xfId="2494" xr:uid="{00000000-0005-0000-0000-0000007F0000}"/>
    <cellStyle name="Normal 12 2 11 2" xfId="11239" xr:uid="{00000000-0005-0000-0000-0000017F0000}"/>
    <cellStyle name="Normal 12 2 11 3" xfId="16979" xr:uid="{00000000-0005-0000-0000-0000027F0000}"/>
    <cellStyle name="Normal 12 2 12" xfId="9196" xr:uid="{00000000-0005-0000-0000-0000037F0000}"/>
    <cellStyle name="Normal 12 2 13" xfId="16977" xr:uid="{00000000-0005-0000-0000-0000047F0000}"/>
    <cellStyle name="Normal 12 2 2" xfId="349" xr:uid="{00000000-0005-0000-0000-0000057F0000}"/>
    <cellStyle name="Normal 12 2 2 10" xfId="2495" xr:uid="{00000000-0005-0000-0000-0000067F0000}"/>
    <cellStyle name="Normal 12 2 2 10 2" xfId="11240" xr:uid="{00000000-0005-0000-0000-0000077F0000}"/>
    <cellStyle name="Normal 12 2 2 10 3" xfId="16981" xr:uid="{00000000-0005-0000-0000-0000087F0000}"/>
    <cellStyle name="Normal 12 2 2 11" xfId="9197" xr:uid="{00000000-0005-0000-0000-0000097F0000}"/>
    <cellStyle name="Normal 12 2 2 12" xfId="16980" xr:uid="{00000000-0005-0000-0000-00000A7F0000}"/>
    <cellStyle name="Normal 12 2 2 2" xfId="350" xr:uid="{00000000-0005-0000-0000-00000B7F0000}"/>
    <cellStyle name="Normal 12 2 2 2 10" xfId="16982" xr:uid="{00000000-0005-0000-0000-00000C7F0000}"/>
    <cellStyle name="Normal 12 2 2 2 2" xfId="351" xr:uid="{00000000-0005-0000-0000-00000D7F0000}"/>
    <cellStyle name="Normal 12 2 2 2 2 2" xfId="2496" xr:uid="{00000000-0005-0000-0000-00000E7F0000}"/>
    <cellStyle name="Normal 12 2 2 2 2 2 2" xfId="11241" xr:uid="{00000000-0005-0000-0000-00000F7F0000}"/>
    <cellStyle name="Normal 12 2 2 2 2 2 3" xfId="16984" xr:uid="{00000000-0005-0000-0000-0000107F0000}"/>
    <cellStyle name="Normal 12 2 2 2 2 3" xfId="2497" xr:uid="{00000000-0005-0000-0000-0000117F0000}"/>
    <cellStyle name="Normal 12 2 2 2 2 3 2" xfId="11242" xr:uid="{00000000-0005-0000-0000-0000127F0000}"/>
    <cellStyle name="Normal 12 2 2 2 2 3 3" xfId="16985" xr:uid="{00000000-0005-0000-0000-0000137F0000}"/>
    <cellStyle name="Normal 12 2 2 2 2 4" xfId="2498" xr:uid="{00000000-0005-0000-0000-0000147F0000}"/>
    <cellStyle name="Normal 12 2 2 2 2 4 2" xfId="11243" xr:uid="{00000000-0005-0000-0000-0000157F0000}"/>
    <cellStyle name="Normal 12 2 2 2 2 4 3" xfId="16986" xr:uid="{00000000-0005-0000-0000-0000167F0000}"/>
    <cellStyle name="Normal 12 2 2 2 2 5" xfId="2499" xr:uid="{00000000-0005-0000-0000-0000177F0000}"/>
    <cellStyle name="Normal 12 2 2 2 2 5 2" xfId="11244" xr:uid="{00000000-0005-0000-0000-0000187F0000}"/>
    <cellStyle name="Normal 12 2 2 2 2 5 3" xfId="16987" xr:uid="{00000000-0005-0000-0000-0000197F0000}"/>
    <cellStyle name="Normal 12 2 2 2 2 6" xfId="2500" xr:uid="{00000000-0005-0000-0000-00001A7F0000}"/>
    <cellStyle name="Normal 12 2 2 2 2 6 2" xfId="11245" xr:uid="{00000000-0005-0000-0000-00001B7F0000}"/>
    <cellStyle name="Normal 12 2 2 2 2 6 3" xfId="16988" xr:uid="{00000000-0005-0000-0000-00001C7F0000}"/>
    <cellStyle name="Normal 12 2 2 2 2 7" xfId="9199" xr:uid="{00000000-0005-0000-0000-00001D7F0000}"/>
    <cellStyle name="Normal 12 2 2 2 2 8" xfId="16983" xr:uid="{00000000-0005-0000-0000-00001E7F0000}"/>
    <cellStyle name="Normal 12 2 2 2 2_LNG &amp; LPG rework" xfId="6844" xr:uid="{00000000-0005-0000-0000-00001F7F0000}"/>
    <cellStyle name="Normal 12 2 2 2 3" xfId="2501" xr:uid="{00000000-0005-0000-0000-0000207F0000}"/>
    <cellStyle name="Normal 12 2 2 2 3 2" xfId="2502" xr:uid="{00000000-0005-0000-0000-0000217F0000}"/>
    <cellStyle name="Normal 12 2 2 2 3 2 2" xfId="11247" xr:uid="{00000000-0005-0000-0000-0000227F0000}"/>
    <cellStyle name="Normal 12 2 2 2 3 2 3" xfId="16990" xr:uid="{00000000-0005-0000-0000-0000237F0000}"/>
    <cellStyle name="Normal 12 2 2 2 3 3" xfId="2503" xr:uid="{00000000-0005-0000-0000-0000247F0000}"/>
    <cellStyle name="Normal 12 2 2 2 3 3 2" xfId="11248" xr:uid="{00000000-0005-0000-0000-0000257F0000}"/>
    <cellStyle name="Normal 12 2 2 2 3 3 3" xfId="16991" xr:uid="{00000000-0005-0000-0000-0000267F0000}"/>
    <cellStyle name="Normal 12 2 2 2 3 4" xfId="2504" xr:uid="{00000000-0005-0000-0000-0000277F0000}"/>
    <cellStyle name="Normal 12 2 2 2 3 4 2" xfId="11249" xr:uid="{00000000-0005-0000-0000-0000287F0000}"/>
    <cellStyle name="Normal 12 2 2 2 3 4 3" xfId="16992" xr:uid="{00000000-0005-0000-0000-0000297F0000}"/>
    <cellStyle name="Normal 12 2 2 2 3 5" xfId="2505" xr:uid="{00000000-0005-0000-0000-00002A7F0000}"/>
    <cellStyle name="Normal 12 2 2 2 3 5 2" xfId="11250" xr:uid="{00000000-0005-0000-0000-00002B7F0000}"/>
    <cellStyle name="Normal 12 2 2 2 3 5 3" xfId="16993" xr:uid="{00000000-0005-0000-0000-00002C7F0000}"/>
    <cellStyle name="Normal 12 2 2 2 3 6" xfId="11246" xr:uid="{00000000-0005-0000-0000-00002D7F0000}"/>
    <cellStyle name="Normal 12 2 2 2 3 7" xfId="16989" xr:uid="{00000000-0005-0000-0000-00002E7F0000}"/>
    <cellStyle name="Normal 12 2 2 2 3_LNG &amp; LPG rework" xfId="6846" xr:uid="{00000000-0005-0000-0000-00002F7F0000}"/>
    <cellStyle name="Normal 12 2 2 2 4" xfId="2506" xr:uid="{00000000-0005-0000-0000-0000307F0000}"/>
    <cellStyle name="Normal 12 2 2 2 4 2" xfId="11251" xr:uid="{00000000-0005-0000-0000-0000317F0000}"/>
    <cellStyle name="Normal 12 2 2 2 4 3" xfId="16994" xr:uid="{00000000-0005-0000-0000-0000327F0000}"/>
    <cellStyle name="Normal 12 2 2 2 5" xfId="2507" xr:uid="{00000000-0005-0000-0000-0000337F0000}"/>
    <cellStyle name="Normal 12 2 2 2 5 2" xfId="11252" xr:uid="{00000000-0005-0000-0000-0000347F0000}"/>
    <cellStyle name="Normal 12 2 2 2 5 3" xfId="16995" xr:uid="{00000000-0005-0000-0000-0000357F0000}"/>
    <cellStyle name="Normal 12 2 2 2 6" xfId="2508" xr:uid="{00000000-0005-0000-0000-0000367F0000}"/>
    <cellStyle name="Normal 12 2 2 2 6 2" xfId="11253" xr:uid="{00000000-0005-0000-0000-0000377F0000}"/>
    <cellStyle name="Normal 12 2 2 2 6 3" xfId="16996" xr:uid="{00000000-0005-0000-0000-0000387F0000}"/>
    <cellStyle name="Normal 12 2 2 2 7" xfId="2509" xr:uid="{00000000-0005-0000-0000-0000397F0000}"/>
    <cellStyle name="Normal 12 2 2 2 7 2" xfId="11254" xr:uid="{00000000-0005-0000-0000-00003A7F0000}"/>
    <cellStyle name="Normal 12 2 2 2 7 3" xfId="16997" xr:uid="{00000000-0005-0000-0000-00003B7F0000}"/>
    <cellStyle name="Normal 12 2 2 2 8" xfId="2510" xr:uid="{00000000-0005-0000-0000-00003C7F0000}"/>
    <cellStyle name="Normal 12 2 2 2 8 2" xfId="11255" xr:uid="{00000000-0005-0000-0000-00003D7F0000}"/>
    <cellStyle name="Normal 12 2 2 2 8 3" xfId="16998" xr:uid="{00000000-0005-0000-0000-00003E7F0000}"/>
    <cellStyle name="Normal 12 2 2 2 9" xfId="9198" xr:uid="{00000000-0005-0000-0000-00003F7F0000}"/>
    <cellStyle name="Normal 12 2 2 2_LNG &amp; LPG rework" xfId="6845" xr:uid="{00000000-0005-0000-0000-0000407F0000}"/>
    <cellStyle name="Normal 12 2 2 3" xfId="352" xr:uid="{00000000-0005-0000-0000-0000417F0000}"/>
    <cellStyle name="Normal 12 2 2 3 2" xfId="2511" xr:uid="{00000000-0005-0000-0000-0000427F0000}"/>
    <cellStyle name="Normal 12 2 2 3 2 2" xfId="11256" xr:uid="{00000000-0005-0000-0000-0000437F0000}"/>
    <cellStyle name="Normal 12 2 2 3 2 3" xfId="17000" xr:uid="{00000000-0005-0000-0000-0000447F0000}"/>
    <cellStyle name="Normal 12 2 2 3 3" xfId="2512" xr:uid="{00000000-0005-0000-0000-0000457F0000}"/>
    <cellStyle name="Normal 12 2 2 3 3 2" xfId="11257" xr:uid="{00000000-0005-0000-0000-0000467F0000}"/>
    <cellStyle name="Normal 12 2 2 3 3 3" xfId="17001" xr:uid="{00000000-0005-0000-0000-0000477F0000}"/>
    <cellStyle name="Normal 12 2 2 3 4" xfId="2513" xr:uid="{00000000-0005-0000-0000-0000487F0000}"/>
    <cellStyle name="Normal 12 2 2 3 4 2" xfId="11258" xr:uid="{00000000-0005-0000-0000-0000497F0000}"/>
    <cellStyle name="Normal 12 2 2 3 4 3" xfId="17002" xr:uid="{00000000-0005-0000-0000-00004A7F0000}"/>
    <cellStyle name="Normal 12 2 2 3 5" xfId="2514" xr:uid="{00000000-0005-0000-0000-00004B7F0000}"/>
    <cellStyle name="Normal 12 2 2 3 5 2" xfId="11259" xr:uid="{00000000-0005-0000-0000-00004C7F0000}"/>
    <cellStyle name="Normal 12 2 2 3 5 3" xfId="17003" xr:uid="{00000000-0005-0000-0000-00004D7F0000}"/>
    <cellStyle name="Normal 12 2 2 3 6" xfId="2515" xr:uid="{00000000-0005-0000-0000-00004E7F0000}"/>
    <cellStyle name="Normal 12 2 2 3 6 2" xfId="11260" xr:uid="{00000000-0005-0000-0000-00004F7F0000}"/>
    <cellStyle name="Normal 12 2 2 3 6 3" xfId="17004" xr:uid="{00000000-0005-0000-0000-0000507F0000}"/>
    <cellStyle name="Normal 12 2 2 3 7" xfId="9200" xr:uid="{00000000-0005-0000-0000-0000517F0000}"/>
    <cellStyle name="Normal 12 2 2 3 8" xfId="16999" xr:uid="{00000000-0005-0000-0000-0000527F0000}"/>
    <cellStyle name="Normal 12 2 2 3_LNG &amp; LPG rework" xfId="6848" xr:uid="{00000000-0005-0000-0000-0000537F0000}"/>
    <cellStyle name="Normal 12 2 2 4" xfId="2516" xr:uid="{00000000-0005-0000-0000-0000547F0000}"/>
    <cellStyle name="Normal 12 2 2 4 2" xfId="2517" xr:uid="{00000000-0005-0000-0000-0000557F0000}"/>
    <cellStyle name="Normal 12 2 2 4 2 2" xfId="11262" xr:uid="{00000000-0005-0000-0000-0000567F0000}"/>
    <cellStyle name="Normal 12 2 2 4 2 3" xfId="17006" xr:uid="{00000000-0005-0000-0000-0000577F0000}"/>
    <cellStyle name="Normal 12 2 2 4 3" xfId="2518" xr:uid="{00000000-0005-0000-0000-0000587F0000}"/>
    <cellStyle name="Normal 12 2 2 4 3 2" xfId="11263" xr:uid="{00000000-0005-0000-0000-0000597F0000}"/>
    <cellStyle name="Normal 12 2 2 4 3 3" xfId="17007" xr:uid="{00000000-0005-0000-0000-00005A7F0000}"/>
    <cellStyle name="Normal 12 2 2 4 4" xfId="2519" xr:uid="{00000000-0005-0000-0000-00005B7F0000}"/>
    <cellStyle name="Normal 12 2 2 4 4 2" xfId="11264" xr:uid="{00000000-0005-0000-0000-00005C7F0000}"/>
    <cellStyle name="Normal 12 2 2 4 4 3" xfId="17008" xr:uid="{00000000-0005-0000-0000-00005D7F0000}"/>
    <cellStyle name="Normal 12 2 2 4 5" xfId="2520" xr:uid="{00000000-0005-0000-0000-00005E7F0000}"/>
    <cellStyle name="Normal 12 2 2 4 5 2" xfId="11265" xr:uid="{00000000-0005-0000-0000-00005F7F0000}"/>
    <cellStyle name="Normal 12 2 2 4 5 3" xfId="17009" xr:uid="{00000000-0005-0000-0000-0000607F0000}"/>
    <cellStyle name="Normal 12 2 2 4 6" xfId="11261" xr:uid="{00000000-0005-0000-0000-0000617F0000}"/>
    <cellStyle name="Normal 12 2 2 4 7" xfId="17005" xr:uid="{00000000-0005-0000-0000-0000627F0000}"/>
    <cellStyle name="Normal 12 2 2 4_LNG &amp; LPG rework" xfId="6849" xr:uid="{00000000-0005-0000-0000-0000637F0000}"/>
    <cellStyle name="Normal 12 2 2 5" xfId="2521" xr:uid="{00000000-0005-0000-0000-0000647F0000}"/>
    <cellStyle name="Normal 12 2 2 5 2" xfId="2522" xr:uid="{00000000-0005-0000-0000-0000657F0000}"/>
    <cellStyle name="Normal 12 2 2 5 2 2" xfId="11267" xr:uid="{00000000-0005-0000-0000-0000667F0000}"/>
    <cellStyle name="Normal 12 2 2 5 2 3" xfId="17011" xr:uid="{00000000-0005-0000-0000-0000677F0000}"/>
    <cellStyle name="Normal 12 2 2 5 3" xfId="2523" xr:uid="{00000000-0005-0000-0000-0000687F0000}"/>
    <cellStyle name="Normal 12 2 2 5 3 2" xfId="11268" xr:uid="{00000000-0005-0000-0000-0000697F0000}"/>
    <cellStyle name="Normal 12 2 2 5 3 3" xfId="17012" xr:uid="{00000000-0005-0000-0000-00006A7F0000}"/>
    <cellStyle name="Normal 12 2 2 5 4" xfId="2524" xr:uid="{00000000-0005-0000-0000-00006B7F0000}"/>
    <cellStyle name="Normal 12 2 2 5 4 2" xfId="11269" xr:uid="{00000000-0005-0000-0000-00006C7F0000}"/>
    <cellStyle name="Normal 12 2 2 5 4 3" xfId="17013" xr:uid="{00000000-0005-0000-0000-00006D7F0000}"/>
    <cellStyle name="Normal 12 2 2 5 5" xfId="2525" xr:uid="{00000000-0005-0000-0000-00006E7F0000}"/>
    <cellStyle name="Normal 12 2 2 5 5 2" xfId="11270" xr:uid="{00000000-0005-0000-0000-00006F7F0000}"/>
    <cellStyle name="Normal 12 2 2 5 5 3" xfId="17014" xr:uid="{00000000-0005-0000-0000-0000707F0000}"/>
    <cellStyle name="Normal 12 2 2 5 6" xfId="11266" xr:uid="{00000000-0005-0000-0000-0000717F0000}"/>
    <cellStyle name="Normal 12 2 2 5 7" xfId="17010" xr:uid="{00000000-0005-0000-0000-0000727F0000}"/>
    <cellStyle name="Normal 12 2 2 5_LNG &amp; LPG rework" xfId="6850" xr:uid="{00000000-0005-0000-0000-0000737F0000}"/>
    <cellStyle name="Normal 12 2 2 6" xfId="2526" xr:uid="{00000000-0005-0000-0000-0000747F0000}"/>
    <cellStyle name="Normal 12 2 2 6 2" xfId="11271" xr:uid="{00000000-0005-0000-0000-0000757F0000}"/>
    <cellStyle name="Normal 12 2 2 6 3" xfId="17015" xr:uid="{00000000-0005-0000-0000-0000767F0000}"/>
    <cellStyle name="Normal 12 2 2 7" xfId="2527" xr:uid="{00000000-0005-0000-0000-0000777F0000}"/>
    <cellStyle name="Normal 12 2 2 7 2" xfId="11272" xr:uid="{00000000-0005-0000-0000-0000787F0000}"/>
    <cellStyle name="Normal 12 2 2 7 3" xfId="17016" xr:uid="{00000000-0005-0000-0000-0000797F0000}"/>
    <cellStyle name="Normal 12 2 2 8" xfId="2528" xr:uid="{00000000-0005-0000-0000-00007A7F0000}"/>
    <cellStyle name="Normal 12 2 2 8 2" xfId="11273" xr:uid="{00000000-0005-0000-0000-00007B7F0000}"/>
    <cellStyle name="Normal 12 2 2 8 3" xfId="17017" xr:uid="{00000000-0005-0000-0000-00007C7F0000}"/>
    <cellStyle name="Normal 12 2 2 9" xfId="2529" xr:uid="{00000000-0005-0000-0000-00007D7F0000}"/>
    <cellStyle name="Normal 12 2 2 9 2" xfId="11274" xr:uid="{00000000-0005-0000-0000-00007E7F0000}"/>
    <cellStyle name="Normal 12 2 2 9 3" xfId="17018" xr:uid="{00000000-0005-0000-0000-00007F7F0000}"/>
    <cellStyle name="Normal 12 2 2_LNG &amp; LPG rework" xfId="6847" xr:uid="{00000000-0005-0000-0000-0000807F0000}"/>
    <cellStyle name="Normal 12 2 3" xfId="353" xr:uid="{00000000-0005-0000-0000-0000817F0000}"/>
    <cellStyle name="Normal 12 2 3 10" xfId="17019" xr:uid="{00000000-0005-0000-0000-0000827F0000}"/>
    <cellStyle name="Normal 12 2 3 2" xfId="354" xr:uid="{00000000-0005-0000-0000-0000837F0000}"/>
    <cellStyle name="Normal 12 2 3 2 2" xfId="2530" xr:uid="{00000000-0005-0000-0000-0000847F0000}"/>
    <cellStyle name="Normal 12 2 3 2 2 2" xfId="11275" xr:uid="{00000000-0005-0000-0000-0000857F0000}"/>
    <cellStyle name="Normal 12 2 3 2 2 3" xfId="17021" xr:uid="{00000000-0005-0000-0000-0000867F0000}"/>
    <cellStyle name="Normal 12 2 3 2 3" xfId="2531" xr:uid="{00000000-0005-0000-0000-0000877F0000}"/>
    <cellStyle name="Normal 12 2 3 2 3 2" xfId="11276" xr:uid="{00000000-0005-0000-0000-0000887F0000}"/>
    <cellStyle name="Normal 12 2 3 2 3 3" xfId="17022" xr:uid="{00000000-0005-0000-0000-0000897F0000}"/>
    <cellStyle name="Normal 12 2 3 2 4" xfId="2532" xr:uid="{00000000-0005-0000-0000-00008A7F0000}"/>
    <cellStyle name="Normal 12 2 3 2 4 2" xfId="11277" xr:uid="{00000000-0005-0000-0000-00008B7F0000}"/>
    <cellStyle name="Normal 12 2 3 2 4 3" xfId="17023" xr:uid="{00000000-0005-0000-0000-00008C7F0000}"/>
    <cellStyle name="Normal 12 2 3 2 5" xfId="2533" xr:uid="{00000000-0005-0000-0000-00008D7F0000}"/>
    <cellStyle name="Normal 12 2 3 2 5 2" xfId="11278" xr:uid="{00000000-0005-0000-0000-00008E7F0000}"/>
    <cellStyle name="Normal 12 2 3 2 5 3" xfId="17024" xr:uid="{00000000-0005-0000-0000-00008F7F0000}"/>
    <cellStyle name="Normal 12 2 3 2 6" xfId="2534" xr:uid="{00000000-0005-0000-0000-0000907F0000}"/>
    <cellStyle name="Normal 12 2 3 2 6 2" xfId="11279" xr:uid="{00000000-0005-0000-0000-0000917F0000}"/>
    <cellStyle name="Normal 12 2 3 2 6 3" xfId="17025" xr:uid="{00000000-0005-0000-0000-0000927F0000}"/>
    <cellStyle name="Normal 12 2 3 2 7" xfId="9202" xr:uid="{00000000-0005-0000-0000-0000937F0000}"/>
    <cellStyle name="Normal 12 2 3 2 8" xfId="17020" xr:uid="{00000000-0005-0000-0000-0000947F0000}"/>
    <cellStyle name="Normal 12 2 3 2_LNG &amp; LPG rework" xfId="6851" xr:uid="{00000000-0005-0000-0000-0000957F0000}"/>
    <cellStyle name="Normal 12 2 3 3" xfId="2535" xr:uid="{00000000-0005-0000-0000-0000967F0000}"/>
    <cellStyle name="Normal 12 2 3 3 2" xfId="2536" xr:uid="{00000000-0005-0000-0000-0000977F0000}"/>
    <cellStyle name="Normal 12 2 3 3 2 2" xfId="11281" xr:uid="{00000000-0005-0000-0000-0000987F0000}"/>
    <cellStyle name="Normal 12 2 3 3 2 3" xfId="17027" xr:uid="{00000000-0005-0000-0000-0000997F0000}"/>
    <cellStyle name="Normal 12 2 3 3 3" xfId="2537" xr:uid="{00000000-0005-0000-0000-00009A7F0000}"/>
    <cellStyle name="Normal 12 2 3 3 3 2" xfId="11282" xr:uid="{00000000-0005-0000-0000-00009B7F0000}"/>
    <cellStyle name="Normal 12 2 3 3 3 3" xfId="17028" xr:uid="{00000000-0005-0000-0000-00009C7F0000}"/>
    <cellStyle name="Normal 12 2 3 3 4" xfId="2538" xr:uid="{00000000-0005-0000-0000-00009D7F0000}"/>
    <cellStyle name="Normal 12 2 3 3 4 2" xfId="11283" xr:uid="{00000000-0005-0000-0000-00009E7F0000}"/>
    <cellStyle name="Normal 12 2 3 3 4 3" xfId="17029" xr:uid="{00000000-0005-0000-0000-00009F7F0000}"/>
    <cellStyle name="Normal 12 2 3 3 5" xfId="2539" xr:uid="{00000000-0005-0000-0000-0000A07F0000}"/>
    <cellStyle name="Normal 12 2 3 3 5 2" xfId="11284" xr:uid="{00000000-0005-0000-0000-0000A17F0000}"/>
    <cellStyle name="Normal 12 2 3 3 5 3" xfId="17030" xr:uid="{00000000-0005-0000-0000-0000A27F0000}"/>
    <cellStyle name="Normal 12 2 3 3 6" xfId="11280" xr:uid="{00000000-0005-0000-0000-0000A37F0000}"/>
    <cellStyle name="Normal 12 2 3 3 7" xfId="17026" xr:uid="{00000000-0005-0000-0000-0000A47F0000}"/>
    <cellStyle name="Normal 12 2 3 3_LNG &amp; LPG rework" xfId="6853" xr:uid="{00000000-0005-0000-0000-0000A57F0000}"/>
    <cellStyle name="Normal 12 2 3 4" xfId="2540" xr:uid="{00000000-0005-0000-0000-0000A67F0000}"/>
    <cellStyle name="Normal 12 2 3 4 2" xfId="11285" xr:uid="{00000000-0005-0000-0000-0000A77F0000}"/>
    <cellStyle name="Normal 12 2 3 4 3" xfId="17031" xr:uid="{00000000-0005-0000-0000-0000A87F0000}"/>
    <cellStyle name="Normal 12 2 3 5" xfId="2541" xr:uid="{00000000-0005-0000-0000-0000A97F0000}"/>
    <cellStyle name="Normal 12 2 3 5 2" xfId="11286" xr:uid="{00000000-0005-0000-0000-0000AA7F0000}"/>
    <cellStyle name="Normal 12 2 3 5 3" xfId="17032" xr:uid="{00000000-0005-0000-0000-0000AB7F0000}"/>
    <cellStyle name="Normal 12 2 3 6" xfId="2542" xr:uid="{00000000-0005-0000-0000-0000AC7F0000}"/>
    <cellStyle name="Normal 12 2 3 6 2" xfId="11287" xr:uid="{00000000-0005-0000-0000-0000AD7F0000}"/>
    <cellStyle name="Normal 12 2 3 6 3" xfId="17033" xr:uid="{00000000-0005-0000-0000-0000AE7F0000}"/>
    <cellStyle name="Normal 12 2 3 7" xfId="2543" xr:uid="{00000000-0005-0000-0000-0000AF7F0000}"/>
    <cellStyle name="Normal 12 2 3 7 2" xfId="11288" xr:uid="{00000000-0005-0000-0000-0000B07F0000}"/>
    <cellStyle name="Normal 12 2 3 7 3" xfId="17034" xr:uid="{00000000-0005-0000-0000-0000B17F0000}"/>
    <cellStyle name="Normal 12 2 3 8" xfId="2544" xr:uid="{00000000-0005-0000-0000-0000B27F0000}"/>
    <cellStyle name="Normal 12 2 3 8 2" xfId="11289" xr:uid="{00000000-0005-0000-0000-0000B37F0000}"/>
    <cellStyle name="Normal 12 2 3 8 3" xfId="17035" xr:uid="{00000000-0005-0000-0000-0000B47F0000}"/>
    <cellStyle name="Normal 12 2 3 9" xfId="9201" xr:uid="{00000000-0005-0000-0000-0000B57F0000}"/>
    <cellStyle name="Normal 12 2 3_LNG &amp; LPG rework" xfId="6852" xr:uid="{00000000-0005-0000-0000-0000B67F0000}"/>
    <cellStyle name="Normal 12 2 4" xfId="355" xr:uid="{00000000-0005-0000-0000-0000B77F0000}"/>
    <cellStyle name="Normal 12 2 4 2" xfId="2545" xr:uid="{00000000-0005-0000-0000-0000B87F0000}"/>
    <cellStyle name="Normal 12 2 4 2 2" xfId="11290" xr:uid="{00000000-0005-0000-0000-0000B97F0000}"/>
    <cellStyle name="Normal 12 2 4 2 3" xfId="17037" xr:uid="{00000000-0005-0000-0000-0000BA7F0000}"/>
    <cellStyle name="Normal 12 2 4 3" xfId="2546" xr:uid="{00000000-0005-0000-0000-0000BB7F0000}"/>
    <cellStyle name="Normal 12 2 4 3 2" xfId="11291" xr:uid="{00000000-0005-0000-0000-0000BC7F0000}"/>
    <cellStyle name="Normal 12 2 4 3 3" xfId="17038" xr:uid="{00000000-0005-0000-0000-0000BD7F0000}"/>
    <cellStyle name="Normal 12 2 4 4" xfId="2547" xr:uid="{00000000-0005-0000-0000-0000BE7F0000}"/>
    <cellStyle name="Normal 12 2 4 4 2" xfId="11292" xr:uid="{00000000-0005-0000-0000-0000BF7F0000}"/>
    <cellStyle name="Normal 12 2 4 4 3" xfId="17039" xr:uid="{00000000-0005-0000-0000-0000C07F0000}"/>
    <cellStyle name="Normal 12 2 4 5" xfId="2548" xr:uid="{00000000-0005-0000-0000-0000C17F0000}"/>
    <cellStyle name="Normal 12 2 4 5 2" xfId="11293" xr:uid="{00000000-0005-0000-0000-0000C27F0000}"/>
    <cellStyle name="Normal 12 2 4 5 3" xfId="17040" xr:uid="{00000000-0005-0000-0000-0000C37F0000}"/>
    <cellStyle name="Normal 12 2 4 6" xfId="2549" xr:uid="{00000000-0005-0000-0000-0000C47F0000}"/>
    <cellStyle name="Normal 12 2 4 6 2" xfId="11294" xr:uid="{00000000-0005-0000-0000-0000C57F0000}"/>
    <cellStyle name="Normal 12 2 4 6 3" xfId="17041" xr:uid="{00000000-0005-0000-0000-0000C67F0000}"/>
    <cellStyle name="Normal 12 2 4 7" xfId="9203" xr:uid="{00000000-0005-0000-0000-0000C77F0000}"/>
    <cellStyle name="Normal 12 2 4 8" xfId="17036" xr:uid="{00000000-0005-0000-0000-0000C87F0000}"/>
    <cellStyle name="Normal 12 2 4_LNG &amp; LPG rework" xfId="6854" xr:uid="{00000000-0005-0000-0000-0000C97F0000}"/>
    <cellStyle name="Normal 12 2 5" xfId="2550" xr:uid="{00000000-0005-0000-0000-0000CA7F0000}"/>
    <cellStyle name="Normal 12 2 5 2" xfId="2551" xr:uid="{00000000-0005-0000-0000-0000CB7F0000}"/>
    <cellStyle name="Normal 12 2 5 2 2" xfId="11296" xr:uid="{00000000-0005-0000-0000-0000CC7F0000}"/>
    <cellStyle name="Normal 12 2 5 2 3" xfId="17043" xr:uid="{00000000-0005-0000-0000-0000CD7F0000}"/>
    <cellStyle name="Normal 12 2 5 3" xfId="2552" xr:uid="{00000000-0005-0000-0000-0000CE7F0000}"/>
    <cellStyle name="Normal 12 2 5 3 2" xfId="11297" xr:uid="{00000000-0005-0000-0000-0000CF7F0000}"/>
    <cellStyle name="Normal 12 2 5 3 3" xfId="17044" xr:uid="{00000000-0005-0000-0000-0000D07F0000}"/>
    <cellStyle name="Normal 12 2 5 4" xfId="2553" xr:uid="{00000000-0005-0000-0000-0000D17F0000}"/>
    <cellStyle name="Normal 12 2 5 4 2" xfId="11298" xr:uid="{00000000-0005-0000-0000-0000D27F0000}"/>
    <cellStyle name="Normal 12 2 5 4 3" xfId="17045" xr:uid="{00000000-0005-0000-0000-0000D37F0000}"/>
    <cellStyle name="Normal 12 2 5 5" xfId="2554" xr:uid="{00000000-0005-0000-0000-0000D47F0000}"/>
    <cellStyle name="Normal 12 2 5 5 2" xfId="11299" xr:uid="{00000000-0005-0000-0000-0000D57F0000}"/>
    <cellStyle name="Normal 12 2 5 5 3" xfId="17046" xr:uid="{00000000-0005-0000-0000-0000D67F0000}"/>
    <cellStyle name="Normal 12 2 5 6" xfId="11295" xr:uid="{00000000-0005-0000-0000-0000D77F0000}"/>
    <cellStyle name="Normal 12 2 5 7" xfId="17042" xr:uid="{00000000-0005-0000-0000-0000D87F0000}"/>
    <cellStyle name="Normal 12 2 5_LNG &amp; LPG rework" xfId="6855" xr:uid="{00000000-0005-0000-0000-0000D97F0000}"/>
    <cellStyle name="Normal 12 2 6" xfId="2555" xr:uid="{00000000-0005-0000-0000-0000DA7F0000}"/>
    <cellStyle name="Normal 12 2 6 2" xfId="2556" xr:uid="{00000000-0005-0000-0000-0000DB7F0000}"/>
    <cellStyle name="Normal 12 2 6 2 2" xfId="11301" xr:uid="{00000000-0005-0000-0000-0000DC7F0000}"/>
    <cellStyle name="Normal 12 2 6 2 3" xfId="17048" xr:uid="{00000000-0005-0000-0000-0000DD7F0000}"/>
    <cellStyle name="Normal 12 2 6 3" xfId="2557" xr:uid="{00000000-0005-0000-0000-0000DE7F0000}"/>
    <cellStyle name="Normal 12 2 6 3 2" xfId="11302" xr:uid="{00000000-0005-0000-0000-0000DF7F0000}"/>
    <cellStyle name="Normal 12 2 6 3 3" xfId="17049" xr:uid="{00000000-0005-0000-0000-0000E07F0000}"/>
    <cellStyle name="Normal 12 2 6 4" xfId="2558" xr:uid="{00000000-0005-0000-0000-0000E17F0000}"/>
    <cellStyle name="Normal 12 2 6 4 2" xfId="11303" xr:uid="{00000000-0005-0000-0000-0000E27F0000}"/>
    <cellStyle name="Normal 12 2 6 4 3" xfId="17050" xr:uid="{00000000-0005-0000-0000-0000E37F0000}"/>
    <cellStyle name="Normal 12 2 6 5" xfId="2559" xr:uid="{00000000-0005-0000-0000-0000E47F0000}"/>
    <cellStyle name="Normal 12 2 6 5 2" xfId="11304" xr:uid="{00000000-0005-0000-0000-0000E57F0000}"/>
    <cellStyle name="Normal 12 2 6 5 3" xfId="17051" xr:uid="{00000000-0005-0000-0000-0000E67F0000}"/>
    <cellStyle name="Normal 12 2 6 6" xfId="11300" xr:uid="{00000000-0005-0000-0000-0000E77F0000}"/>
    <cellStyle name="Normal 12 2 6 7" xfId="17047" xr:uid="{00000000-0005-0000-0000-0000E87F0000}"/>
    <cellStyle name="Normal 12 2 6_LNG &amp; LPG rework" xfId="6856" xr:uid="{00000000-0005-0000-0000-0000E97F0000}"/>
    <cellStyle name="Normal 12 2 7" xfId="2560" xr:uid="{00000000-0005-0000-0000-0000EA7F0000}"/>
    <cellStyle name="Normal 12 2 7 2" xfId="11305" xr:uid="{00000000-0005-0000-0000-0000EB7F0000}"/>
    <cellStyle name="Normal 12 2 7 3" xfId="17052" xr:uid="{00000000-0005-0000-0000-0000EC7F0000}"/>
    <cellStyle name="Normal 12 2 8" xfId="2561" xr:uid="{00000000-0005-0000-0000-0000ED7F0000}"/>
    <cellStyle name="Normal 12 2 8 2" xfId="11306" xr:uid="{00000000-0005-0000-0000-0000EE7F0000}"/>
    <cellStyle name="Normal 12 2 8 3" xfId="17053" xr:uid="{00000000-0005-0000-0000-0000EF7F0000}"/>
    <cellStyle name="Normal 12 2 9" xfId="2562" xr:uid="{00000000-0005-0000-0000-0000F07F0000}"/>
    <cellStyle name="Normal 12 2 9 2" xfId="11307" xr:uid="{00000000-0005-0000-0000-0000F17F0000}"/>
    <cellStyle name="Normal 12 2 9 3" xfId="17054" xr:uid="{00000000-0005-0000-0000-0000F27F0000}"/>
    <cellStyle name="Normal 12 2_LNG &amp; LPG rework" xfId="6843" xr:uid="{00000000-0005-0000-0000-0000F37F0000}"/>
    <cellStyle name="Normal 12 20" xfId="2563" xr:uid="{00000000-0005-0000-0000-0000F47F0000}"/>
    <cellStyle name="Normal 12 20 2" xfId="2564" xr:uid="{00000000-0005-0000-0000-0000F57F0000}"/>
    <cellStyle name="Normal 12 20 2 2" xfId="2565" xr:uid="{00000000-0005-0000-0000-0000F67F0000}"/>
    <cellStyle name="Normal 12 20 2 2 2" xfId="11310" xr:uid="{00000000-0005-0000-0000-0000F77F0000}"/>
    <cellStyle name="Normal 12 20 2 2 3" xfId="17057" xr:uid="{00000000-0005-0000-0000-0000F87F0000}"/>
    <cellStyle name="Normal 12 20 2 3" xfId="2566" xr:uid="{00000000-0005-0000-0000-0000F97F0000}"/>
    <cellStyle name="Normal 12 20 2 3 2" xfId="11311" xr:uid="{00000000-0005-0000-0000-0000FA7F0000}"/>
    <cellStyle name="Normal 12 20 2 3 3" xfId="17058" xr:uid="{00000000-0005-0000-0000-0000FB7F0000}"/>
    <cellStyle name="Normal 12 20 2 4" xfId="2567" xr:uid="{00000000-0005-0000-0000-0000FC7F0000}"/>
    <cellStyle name="Normal 12 20 2 4 2" xfId="11312" xr:uid="{00000000-0005-0000-0000-0000FD7F0000}"/>
    <cellStyle name="Normal 12 20 2 4 3" xfId="17059" xr:uid="{00000000-0005-0000-0000-0000FE7F0000}"/>
    <cellStyle name="Normal 12 20 2 5" xfId="2568" xr:uid="{00000000-0005-0000-0000-0000FF7F0000}"/>
    <cellStyle name="Normal 12 20 2 5 2" xfId="11313" xr:uid="{00000000-0005-0000-0000-000000800000}"/>
    <cellStyle name="Normal 12 20 2 5 3" xfId="17060" xr:uid="{00000000-0005-0000-0000-000001800000}"/>
    <cellStyle name="Normal 12 20 2 6" xfId="11309" xr:uid="{00000000-0005-0000-0000-000002800000}"/>
    <cellStyle name="Normal 12 20 2 7" xfId="17056" xr:uid="{00000000-0005-0000-0000-000003800000}"/>
    <cellStyle name="Normal 12 20 2_LNG &amp; LPG rework" xfId="6857" xr:uid="{00000000-0005-0000-0000-000004800000}"/>
    <cellStyle name="Normal 12 20 3" xfId="2569" xr:uid="{00000000-0005-0000-0000-000005800000}"/>
    <cellStyle name="Normal 12 20 3 2" xfId="11314" xr:uid="{00000000-0005-0000-0000-000006800000}"/>
    <cellStyle name="Normal 12 20 3 3" xfId="17061" xr:uid="{00000000-0005-0000-0000-000007800000}"/>
    <cellStyle name="Normal 12 20 4" xfId="2570" xr:uid="{00000000-0005-0000-0000-000008800000}"/>
    <cellStyle name="Normal 12 20 4 2" xfId="11315" xr:uid="{00000000-0005-0000-0000-000009800000}"/>
    <cellStyle name="Normal 12 20 4 3" xfId="17062" xr:uid="{00000000-0005-0000-0000-00000A800000}"/>
    <cellStyle name="Normal 12 20 5" xfId="2571" xr:uid="{00000000-0005-0000-0000-00000B800000}"/>
    <cellStyle name="Normal 12 20 5 2" xfId="11316" xr:uid="{00000000-0005-0000-0000-00000C800000}"/>
    <cellStyle name="Normal 12 20 5 3" xfId="17063" xr:uid="{00000000-0005-0000-0000-00000D800000}"/>
    <cellStyle name="Normal 12 20 6" xfId="2572" xr:uid="{00000000-0005-0000-0000-00000E800000}"/>
    <cellStyle name="Normal 12 20 6 2" xfId="11317" xr:uid="{00000000-0005-0000-0000-00000F800000}"/>
    <cellStyle name="Normal 12 20 6 3" xfId="17064" xr:uid="{00000000-0005-0000-0000-000010800000}"/>
    <cellStyle name="Normal 12 20 7" xfId="11308" xr:uid="{00000000-0005-0000-0000-000011800000}"/>
    <cellStyle name="Normal 12 20 8" xfId="17055" xr:uid="{00000000-0005-0000-0000-000012800000}"/>
    <cellStyle name="Normal 12 20_LNG &amp; LPG rework" xfId="6859" xr:uid="{00000000-0005-0000-0000-000013800000}"/>
    <cellStyle name="Normal 12 21" xfId="2573" xr:uid="{00000000-0005-0000-0000-000014800000}"/>
    <cellStyle name="Normal 12 21 2" xfId="2574" xr:uid="{00000000-0005-0000-0000-000015800000}"/>
    <cellStyle name="Normal 12 21 2 2" xfId="11319" xr:uid="{00000000-0005-0000-0000-000016800000}"/>
    <cellStyle name="Normal 12 21 2 3" xfId="17066" xr:uid="{00000000-0005-0000-0000-000017800000}"/>
    <cellStyle name="Normal 12 21 3" xfId="2575" xr:uid="{00000000-0005-0000-0000-000018800000}"/>
    <cellStyle name="Normal 12 21 3 2" xfId="11320" xr:uid="{00000000-0005-0000-0000-000019800000}"/>
    <cellStyle name="Normal 12 21 3 3" xfId="17067" xr:uid="{00000000-0005-0000-0000-00001A800000}"/>
    <cellStyle name="Normal 12 21 4" xfId="2576" xr:uid="{00000000-0005-0000-0000-00001B800000}"/>
    <cellStyle name="Normal 12 21 4 2" xfId="11321" xr:uid="{00000000-0005-0000-0000-00001C800000}"/>
    <cellStyle name="Normal 12 21 4 3" xfId="17068" xr:uid="{00000000-0005-0000-0000-00001D800000}"/>
    <cellStyle name="Normal 12 21 5" xfId="2577" xr:uid="{00000000-0005-0000-0000-00001E800000}"/>
    <cellStyle name="Normal 12 21 5 2" xfId="11322" xr:uid="{00000000-0005-0000-0000-00001F800000}"/>
    <cellStyle name="Normal 12 21 5 3" xfId="17069" xr:uid="{00000000-0005-0000-0000-000020800000}"/>
    <cellStyle name="Normal 12 21 6" xfId="11318" xr:uid="{00000000-0005-0000-0000-000021800000}"/>
    <cellStyle name="Normal 12 21 7" xfId="17065" xr:uid="{00000000-0005-0000-0000-000022800000}"/>
    <cellStyle name="Normal 12 21_LNG &amp; LPG rework" xfId="6858" xr:uid="{00000000-0005-0000-0000-000023800000}"/>
    <cellStyle name="Normal 12 22" xfId="2578" xr:uid="{00000000-0005-0000-0000-000024800000}"/>
    <cellStyle name="Normal 12 22 2" xfId="2579" xr:uid="{00000000-0005-0000-0000-000025800000}"/>
    <cellStyle name="Normal 12 22 2 2" xfId="11324" xr:uid="{00000000-0005-0000-0000-000026800000}"/>
    <cellStyle name="Normal 12 22 2 3" xfId="17071" xr:uid="{00000000-0005-0000-0000-000027800000}"/>
    <cellStyle name="Normal 12 22 3" xfId="2580" xr:uid="{00000000-0005-0000-0000-000028800000}"/>
    <cellStyle name="Normal 12 22 3 2" xfId="11325" xr:uid="{00000000-0005-0000-0000-000029800000}"/>
    <cellStyle name="Normal 12 22 3 3" xfId="17072" xr:uid="{00000000-0005-0000-0000-00002A800000}"/>
    <cellStyle name="Normal 12 22 4" xfId="2581" xr:uid="{00000000-0005-0000-0000-00002B800000}"/>
    <cellStyle name="Normal 12 22 4 2" xfId="11326" xr:uid="{00000000-0005-0000-0000-00002C800000}"/>
    <cellStyle name="Normal 12 22 4 3" xfId="17073" xr:uid="{00000000-0005-0000-0000-00002D800000}"/>
    <cellStyle name="Normal 12 22 5" xfId="2582" xr:uid="{00000000-0005-0000-0000-00002E800000}"/>
    <cellStyle name="Normal 12 22 5 2" xfId="11327" xr:uid="{00000000-0005-0000-0000-00002F800000}"/>
    <cellStyle name="Normal 12 22 5 3" xfId="17074" xr:uid="{00000000-0005-0000-0000-000030800000}"/>
    <cellStyle name="Normal 12 22 6" xfId="11323" xr:uid="{00000000-0005-0000-0000-000031800000}"/>
    <cellStyle name="Normal 12 22 7" xfId="17070" xr:uid="{00000000-0005-0000-0000-000032800000}"/>
    <cellStyle name="Normal 12 22_LNG &amp; LPG rework" xfId="6860" xr:uid="{00000000-0005-0000-0000-000033800000}"/>
    <cellStyle name="Normal 12 23" xfId="2583" xr:uid="{00000000-0005-0000-0000-000034800000}"/>
    <cellStyle name="Normal 12 23 2" xfId="11328" xr:uid="{00000000-0005-0000-0000-000035800000}"/>
    <cellStyle name="Normal 12 23 3" xfId="17075" xr:uid="{00000000-0005-0000-0000-000036800000}"/>
    <cellStyle name="Normal 12 24" xfId="2584" xr:uid="{00000000-0005-0000-0000-000037800000}"/>
    <cellStyle name="Normal 12 24 2" xfId="11329" xr:uid="{00000000-0005-0000-0000-000038800000}"/>
    <cellStyle name="Normal 12 24 3" xfId="17076" xr:uid="{00000000-0005-0000-0000-000039800000}"/>
    <cellStyle name="Normal 12 25" xfId="2585" xr:uid="{00000000-0005-0000-0000-00003A800000}"/>
    <cellStyle name="Normal 12 25 2" xfId="11330" xr:uid="{00000000-0005-0000-0000-00003B800000}"/>
    <cellStyle name="Normal 12 25 3" xfId="17077" xr:uid="{00000000-0005-0000-0000-00003C800000}"/>
    <cellStyle name="Normal 12 26" xfId="2586" xr:uid="{00000000-0005-0000-0000-00003D800000}"/>
    <cellStyle name="Normal 12 26 2" xfId="11331" xr:uid="{00000000-0005-0000-0000-00003E800000}"/>
    <cellStyle name="Normal 12 26 3" xfId="17078" xr:uid="{00000000-0005-0000-0000-00003F800000}"/>
    <cellStyle name="Normal 12 27" xfId="2587" xr:uid="{00000000-0005-0000-0000-000040800000}"/>
    <cellStyle name="Normal 12 27 2" xfId="11332" xr:uid="{00000000-0005-0000-0000-000041800000}"/>
    <cellStyle name="Normal 12 27 3" xfId="17079" xr:uid="{00000000-0005-0000-0000-000042800000}"/>
    <cellStyle name="Normal 12 28" xfId="2588" xr:uid="{00000000-0005-0000-0000-000043800000}"/>
    <cellStyle name="Normal 12 28 2" xfId="11333" xr:uid="{00000000-0005-0000-0000-000044800000}"/>
    <cellStyle name="Normal 12 28 3" xfId="17080" xr:uid="{00000000-0005-0000-0000-000045800000}"/>
    <cellStyle name="Normal 12 29" xfId="9195" xr:uid="{00000000-0005-0000-0000-000046800000}"/>
    <cellStyle name="Normal 12 3" xfId="356" xr:uid="{00000000-0005-0000-0000-000047800000}"/>
    <cellStyle name="Normal 12 3 10" xfId="2589" xr:uid="{00000000-0005-0000-0000-000048800000}"/>
    <cellStyle name="Normal 12 3 10 2" xfId="11334" xr:uid="{00000000-0005-0000-0000-000049800000}"/>
    <cellStyle name="Normal 12 3 10 3" xfId="17082" xr:uid="{00000000-0005-0000-0000-00004A800000}"/>
    <cellStyle name="Normal 12 3 11" xfId="9204" xr:uid="{00000000-0005-0000-0000-00004B800000}"/>
    <cellStyle name="Normal 12 3 12" xfId="17081" xr:uid="{00000000-0005-0000-0000-00004C800000}"/>
    <cellStyle name="Normal 12 3 2" xfId="357" xr:uid="{00000000-0005-0000-0000-00004D800000}"/>
    <cellStyle name="Normal 12 3 2 10" xfId="17083" xr:uid="{00000000-0005-0000-0000-00004E800000}"/>
    <cellStyle name="Normal 12 3 2 2" xfId="358" xr:uid="{00000000-0005-0000-0000-00004F800000}"/>
    <cellStyle name="Normal 12 3 2 2 2" xfId="2590" xr:uid="{00000000-0005-0000-0000-000050800000}"/>
    <cellStyle name="Normal 12 3 2 2 2 2" xfId="11335" xr:uid="{00000000-0005-0000-0000-000051800000}"/>
    <cellStyle name="Normal 12 3 2 2 2 3" xfId="17085" xr:uid="{00000000-0005-0000-0000-000052800000}"/>
    <cellStyle name="Normal 12 3 2 2 3" xfId="2591" xr:uid="{00000000-0005-0000-0000-000053800000}"/>
    <cellStyle name="Normal 12 3 2 2 3 2" xfId="11336" xr:uid="{00000000-0005-0000-0000-000054800000}"/>
    <cellStyle name="Normal 12 3 2 2 3 3" xfId="17086" xr:uid="{00000000-0005-0000-0000-000055800000}"/>
    <cellStyle name="Normal 12 3 2 2 4" xfId="2592" xr:uid="{00000000-0005-0000-0000-000056800000}"/>
    <cellStyle name="Normal 12 3 2 2 4 2" xfId="11337" xr:uid="{00000000-0005-0000-0000-000057800000}"/>
    <cellStyle name="Normal 12 3 2 2 4 3" xfId="17087" xr:uid="{00000000-0005-0000-0000-000058800000}"/>
    <cellStyle name="Normal 12 3 2 2 5" xfId="2593" xr:uid="{00000000-0005-0000-0000-000059800000}"/>
    <cellStyle name="Normal 12 3 2 2 5 2" xfId="11338" xr:uid="{00000000-0005-0000-0000-00005A800000}"/>
    <cellStyle name="Normal 12 3 2 2 5 3" xfId="17088" xr:uid="{00000000-0005-0000-0000-00005B800000}"/>
    <cellStyle name="Normal 12 3 2 2 6" xfId="2594" xr:uid="{00000000-0005-0000-0000-00005C800000}"/>
    <cellStyle name="Normal 12 3 2 2 6 2" xfId="11339" xr:uid="{00000000-0005-0000-0000-00005D800000}"/>
    <cellStyle name="Normal 12 3 2 2 6 3" xfId="17089" xr:uid="{00000000-0005-0000-0000-00005E800000}"/>
    <cellStyle name="Normal 12 3 2 2 7" xfId="9206" xr:uid="{00000000-0005-0000-0000-00005F800000}"/>
    <cellStyle name="Normal 12 3 2 2 8" xfId="17084" xr:uid="{00000000-0005-0000-0000-000060800000}"/>
    <cellStyle name="Normal 12 3 2 2_LNG &amp; LPG rework" xfId="6732" xr:uid="{00000000-0005-0000-0000-000061800000}"/>
    <cellStyle name="Normal 12 3 2 3" xfId="2595" xr:uid="{00000000-0005-0000-0000-000062800000}"/>
    <cellStyle name="Normal 12 3 2 3 2" xfId="2596" xr:uid="{00000000-0005-0000-0000-000063800000}"/>
    <cellStyle name="Normal 12 3 2 3 2 2" xfId="11341" xr:uid="{00000000-0005-0000-0000-000064800000}"/>
    <cellStyle name="Normal 12 3 2 3 2 3" xfId="17091" xr:uid="{00000000-0005-0000-0000-000065800000}"/>
    <cellStyle name="Normal 12 3 2 3 3" xfId="2597" xr:uid="{00000000-0005-0000-0000-000066800000}"/>
    <cellStyle name="Normal 12 3 2 3 3 2" xfId="11342" xr:uid="{00000000-0005-0000-0000-000067800000}"/>
    <cellStyle name="Normal 12 3 2 3 3 3" xfId="17092" xr:uid="{00000000-0005-0000-0000-000068800000}"/>
    <cellStyle name="Normal 12 3 2 3 4" xfId="2598" xr:uid="{00000000-0005-0000-0000-000069800000}"/>
    <cellStyle name="Normal 12 3 2 3 4 2" xfId="11343" xr:uid="{00000000-0005-0000-0000-00006A800000}"/>
    <cellStyle name="Normal 12 3 2 3 4 3" xfId="17093" xr:uid="{00000000-0005-0000-0000-00006B800000}"/>
    <cellStyle name="Normal 12 3 2 3 5" xfId="2599" xr:uid="{00000000-0005-0000-0000-00006C800000}"/>
    <cellStyle name="Normal 12 3 2 3 5 2" xfId="11344" xr:uid="{00000000-0005-0000-0000-00006D800000}"/>
    <cellStyle name="Normal 12 3 2 3 5 3" xfId="17094" xr:uid="{00000000-0005-0000-0000-00006E800000}"/>
    <cellStyle name="Normal 12 3 2 3 6" xfId="11340" xr:uid="{00000000-0005-0000-0000-00006F800000}"/>
    <cellStyle name="Normal 12 3 2 3 7" xfId="17090" xr:uid="{00000000-0005-0000-0000-000070800000}"/>
    <cellStyle name="Normal 12 3 2 3_LNG &amp; LPG rework" xfId="6863" xr:uid="{00000000-0005-0000-0000-000071800000}"/>
    <cellStyle name="Normal 12 3 2 4" xfId="2600" xr:uid="{00000000-0005-0000-0000-000072800000}"/>
    <cellStyle name="Normal 12 3 2 4 2" xfId="11345" xr:uid="{00000000-0005-0000-0000-000073800000}"/>
    <cellStyle name="Normal 12 3 2 4 3" xfId="17095" xr:uid="{00000000-0005-0000-0000-000074800000}"/>
    <cellStyle name="Normal 12 3 2 5" xfId="2601" xr:uid="{00000000-0005-0000-0000-000075800000}"/>
    <cellStyle name="Normal 12 3 2 5 2" xfId="11346" xr:uid="{00000000-0005-0000-0000-000076800000}"/>
    <cellStyle name="Normal 12 3 2 5 3" xfId="17096" xr:uid="{00000000-0005-0000-0000-000077800000}"/>
    <cellStyle name="Normal 12 3 2 6" xfId="2602" xr:uid="{00000000-0005-0000-0000-000078800000}"/>
    <cellStyle name="Normal 12 3 2 6 2" xfId="11347" xr:uid="{00000000-0005-0000-0000-000079800000}"/>
    <cellStyle name="Normal 12 3 2 6 3" xfId="17097" xr:uid="{00000000-0005-0000-0000-00007A800000}"/>
    <cellStyle name="Normal 12 3 2 7" xfId="2603" xr:uid="{00000000-0005-0000-0000-00007B800000}"/>
    <cellStyle name="Normal 12 3 2 7 2" xfId="11348" xr:uid="{00000000-0005-0000-0000-00007C800000}"/>
    <cellStyle name="Normal 12 3 2 7 3" xfId="17098" xr:uid="{00000000-0005-0000-0000-00007D800000}"/>
    <cellStyle name="Normal 12 3 2 8" xfId="2604" xr:uid="{00000000-0005-0000-0000-00007E800000}"/>
    <cellStyle name="Normal 12 3 2 8 2" xfId="11349" xr:uid="{00000000-0005-0000-0000-00007F800000}"/>
    <cellStyle name="Normal 12 3 2 8 3" xfId="17099" xr:uid="{00000000-0005-0000-0000-000080800000}"/>
    <cellStyle name="Normal 12 3 2 9" xfId="9205" xr:uid="{00000000-0005-0000-0000-000081800000}"/>
    <cellStyle name="Normal 12 3 2_LNG &amp; LPG rework" xfId="6862" xr:uid="{00000000-0005-0000-0000-000082800000}"/>
    <cellStyle name="Normal 12 3 3" xfId="359" xr:uid="{00000000-0005-0000-0000-000083800000}"/>
    <cellStyle name="Normal 12 3 3 2" xfId="2605" xr:uid="{00000000-0005-0000-0000-000084800000}"/>
    <cellStyle name="Normal 12 3 3 2 2" xfId="11350" xr:uid="{00000000-0005-0000-0000-000085800000}"/>
    <cellStyle name="Normal 12 3 3 2 3" xfId="17101" xr:uid="{00000000-0005-0000-0000-000086800000}"/>
    <cellStyle name="Normal 12 3 3 3" xfId="2606" xr:uid="{00000000-0005-0000-0000-000087800000}"/>
    <cellStyle name="Normal 12 3 3 3 2" xfId="11351" xr:uid="{00000000-0005-0000-0000-000088800000}"/>
    <cellStyle name="Normal 12 3 3 3 3" xfId="17102" xr:uid="{00000000-0005-0000-0000-000089800000}"/>
    <cellStyle name="Normal 12 3 3 4" xfId="2607" xr:uid="{00000000-0005-0000-0000-00008A800000}"/>
    <cellStyle name="Normal 12 3 3 4 2" xfId="11352" xr:uid="{00000000-0005-0000-0000-00008B800000}"/>
    <cellStyle name="Normal 12 3 3 4 3" xfId="17103" xr:uid="{00000000-0005-0000-0000-00008C800000}"/>
    <cellStyle name="Normal 12 3 3 5" xfId="2608" xr:uid="{00000000-0005-0000-0000-00008D800000}"/>
    <cellStyle name="Normal 12 3 3 5 2" xfId="11353" xr:uid="{00000000-0005-0000-0000-00008E800000}"/>
    <cellStyle name="Normal 12 3 3 5 3" xfId="17104" xr:uid="{00000000-0005-0000-0000-00008F800000}"/>
    <cellStyle name="Normal 12 3 3 6" xfId="2609" xr:uid="{00000000-0005-0000-0000-000090800000}"/>
    <cellStyle name="Normal 12 3 3 6 2" xfId="11354" xr:uid="{00000000-0005-0000-0000-000091800000}"/>
    <cellStyle name="Normal 12 3 3 6 3" xfId="17105" xr:uid="{00000000-0005-0000-0000-000092800000}"/>
    <cellStyle name="Normal 12 3 3 7" xfId="9207" xr:uid="{00000000-0005-0000-0000-000093800000}"/>
    <cellStyle name="Normal 12 3 3 8" xfId="17100" xr:uid="{00000000-0005-0000-0000-000094800000}"/>
    <cellStyle name="Normal 12 3 3_LNG &amp; LPG rework" xfId="6864" xr:uid="{00000000-0005-0000-0000-000095800000}"/>
    <cellStyle name="Normal 12 3 4" xfId="2610" xr:uid="{00000000-0005-0000-0000-000096800000}"/>
    <cellStyle name="Normal 12 3 4 2" xfId="2611" xr:uid="{00000000-0005-0000-0000-000097800000}"/>
    <cellStyle name="Normal 12 3 4 2 2" xfId="11356" xr:uid="{00000000-0005-0000-0000-000098800000}"/>
    <cellStyle name="Normal 12 3 4 2 3" xfId="17107" xr:uid="{00000000-0005-0000-0000-000099800000}"/>
    <cellStyle name="Normal 12 3 4 3" xfId="2612" xr:uid="{00000000-0005-0000-0000-00009A800000}"/>
    <cellStyle name="Normal 12 3 4 3 2" xfId="11357" xr:uid="{00000000-0005-0000-0000-00009B800000}"/>
    <cellStyle name="Normal 12 3 4 3 3" xfId="17108" xr:uid="{00000000-0005-0000-0000-00009C800000}"/>
    <cellStyle name="Normal 12 3 4 4" xfId="2613" xr:uid="{00000000-0005-0000-0000-00009D800000}"/>
    <cellStyle name="Normal 12 3 4 4 2" xfId="11358" xr:uid="{00000000-0005-0000-0000-00009E800000}"/>
    <cellStyle name="Normal 12 3 4 4 3" xfId="17109" xr:uid="{00000000-0005-0000-0000-00009F800000}"/>
    <cellStyle name="Normal 12 3 4 5" xfId="2614" xr:uid="{00000000-0005-0000-0000-0000A0800000}"/>
    <cellStyle name="Normal 12 3 4 5 2" xfId="11359" xr:uid="{00000000-0005-0000-0000-0000A1800000}"/>
    <cellStyle name="Normal 12 3 4 5 3" xfId="17110" xr:uid="{00000000-0005-0000-0000-0000A2800000}"/>
    <cellStyle name="Normal 12 3 4 6" xfId="11355" xr:uid="{00000000-0005-0000-0000-0000A3800000}"/>
    <cellStyle name="Normal 12 3 4 7" xfId="17106" xr:uid="{00000000-0005-0000-0000-0000A4800000}"/>
    <cellStyle name="Normal 12 3 4_LNG &amp; LPG rework" xfId="6865" xr:uid="{00000000-0005-0000-0000-0000A5800000}"/>
    <cellStyle name="Normal 12 3 5" xfId="2615" xr:uid="{00000000-0005-0000-0000-0000A6800000}"/>
    <cellStyle name="Normal 12 3 5 2" xfId="2616" xr:uid="{00000000-0005-0000-0000-0000A7800000}"/>
    <cellStyle name="Normal 12 3 5 2 2" xfId="11361" xr:uid="{00000000-0005-0000-0000-0000A8800000}"/>
    <cellStyle name="Normal 12 3 5 2 3" xfId="17112" xr:uid="{00000000-0005-0000-0000-0000A9800000}"/>
    <cellStyle name="Normal 12 3 5 3" xfId="2617" xr:uid="{00000000-0005-0000-0000-0000AA800000}"/>
    <cellStyle name="Normal 12 3 5 3 2" xfId="11362" xr:uid="{00000000-0005-0000-0000-0000AB800000}"/>
    <cellStyle name="Normal 12 3 5 3 3" xfId="17113" xr:uid="{00000000-0005-0000-0000-0000AC800000}"/>
    <cellStyle name="Normal 12 3 5 4" xfId="2618" xr:uid="{00000000-0005-0000-0000-0000AD800000}"/>
    <cellStyle name="Normal 12 3 5 4 2" xfId="11363" xr:uid="{00000000-0005-0000-0000-0000AE800000}"/>
    <cellStyle name="Normal 12 3 5 4 3" xfId="17114" xr:uid="{00000000-0005-0000-0000-0000AF800000}"/>
    <cellStyle name="Normal 12 3 5 5" xfId="2619" xr:uid="{00000000-0005-0000-0000-0000B0800000}"/>
    <cellStyle name="Normal 12 3 5 5 2" xfId="11364" xr:uid="{00000000-0005-0000-0000-0000B1800000}"/>
    <cellStyle name="Normal 12 3 5 5 3" xfId="17115" xr:uid="{00000000-0005-0000-0000-0000B2800000}"/>
    <cellStyle name="Normal 12 3 5 6" xfId="11360" xr:uid="{00000000-0005-0000-0000-0000B3800000}"/>
    <cellStyle name="Normal 12 3 5 7" xfId="17111" xr:uid="{00000000-0005-0000-0000-0000B4800000}"/>
    <cellStyle name="Normal 12 3 5_LNG &amp; LPG rework" xfId="6866" xr:uid="{00000000-0005-0000-0000-0000B5800000}"/>
    <cellStyle name="Normal 12 3 6" xfId="2620" xr:uid="{00000000-0005-0000-0000-0000B6800000}"/>
    <cellStyle name="Normal 12 3 6 2" xfId="11365" xr:uid="{00000000-0005-0000-0000-0000B7800000}"/>
    <cellStyle name="Normal 12 3 6 3" xfId="17116" xr:uid="{00000000-0005-0000-0000-0000B8800000}"/>
    <cellStyle name="Normal 12 3 7" xfId="2621" xr:uid="{00000000-0005-0000-0000-0000B9800000}"/>
    <cellStyle name="Normal 12 3 7 2" xfId="11366" xr:uid="{00000000-0005-0000-0000-0000BA800000}"/>
    <cellStyle name="Normal 12 3 7 3" xfId="17117" xr:uid="{00000000-0005-0000-0000-0000BB800000}"/>
    <cellStyle name="Normal 12 3 8" xfId="2622" xr:uid="{00000000-0005-0000-0000-0000BC800000}"/>
    <cellStyle name="Normal 12 3 8 2" xfId="11367" xr:uid="{00000000-0005-0000-0000-0000BD800000}"/>
    <cellStyle name="Normal 12 3 8 3" xfId="17118" xr:uid="{00000000-0005-0000-0000-0000BE800000}"/>
    <cellStyle name="Normal 12 3 9" xfId="2623" xr:uid="{00000000-0005-0000-0000-0000BF800000}"/>
    <cellStyle name="Normal 12 3 9 2" xfId="11368" xr:uid="{00000000-0005-0000-0000-0000C0800000}"/>
    <cellStyle name="Normal 12 3 9 3" xfId="17119" xr:uid="{00000000-0005-0000-0000-0000C1800000}"/>
    <cellStyle name="Normal 12 3_LNG &amp; LPG rework" xfId="6861" xr:uid="{00000000-0005-0000-0000-0000C2800000}"/>
    <cellStyle name="Normal 12 30" xfId="14954" xr:uid="{00000000-0005-0000-0000-0000C3800000}"/>
    <cellStyle name="Normal 12 4" xfId="360" xr:uid="{00000000-0005-0000-0000-0000C4800000}"/>
    <cellStyle name="Normal 12 4 10" xfId="17120" xr:uid="{00000000-0005-0000-0000-0000C5800000}"/>
    <cellStyle name="Normal 12 4 2" xfId="361" xr:uid="{00000000-0005-0000-0000-0000C6800000}"/>
    <cellStyle name="Normal 12 4 2 2" xfId="2624" xr:uid="{00000000-0005-0000-0000-0000C7800000}"/>
    <cellStyle name="Normal 12 4 2 2 2" xfId="11369" xr:uid="{00000000-0005-0000-0000-0000C8800000}"/>
    <cellStyle name="Normal 12 4 2 2 3" xfId="17122" xr:uid="{00000000-0005-0000-0000-0000C9800000}"/>
    <cellStyle name="Normal 12 4 2 3" xfId="2625" xr:uid="{00000000-0005-0000-0000-0000CA800000}"/>
    <cellStyle name="Normal 12 4 2 3 2" xfId="11370" xr:uid="{00000000-0005-0000-0000-0000CB800000}"/>
    <cellStyle name="Normal 12 4 2 3 3" xfId="17123" xr:uid="{00000000-0005-0000-0000-0000CC800000}"/>
    <cellStyle name="Normal 12 4 2 4" xfId="2626" xr:uid="{00000000-0005-0000-0000-0000CD800000}"/>
    <cellStyle name="Normal 12 4 2 4 2" xfId="11371" xr:uid="{00000000-0005-0000-0000-0000CE800000}"/>
    <cellStyle name="Normal 12 4 2 4 3" xfId="17124" xr:uid="{00000000-0005-0000-0000-0000CF800000}"/>
    <cellStyle name="Normal 12 4 2 5" xfId="2627" xr:uid="{00000000-0005-0000-0000-0000D0800000}"/>
    <cellStyle name="Normal 12 4 2 5 2" xfId="11372" xr:uid="{00000000-0005-0000-0000-0000D1800000}"/>
    <cellStyle name="Normal 12 4 2 5 3" xfId="17125" xr:uid="{00000000-0005-0000-0000-0000D2800000}"/>
    <cellStyle name="Normal 12 4 2 6" xfId="2628" xr:uid="{00000000-0005-0000-0000-0000D3800000}"/>
    <cellStyle name="Normal 12 4 2 6 2" xfId="11373" xr:uid="{00000000-0005-0000-0000-0000D4800000}"/>
    <cellStyle name="Normal 12 4 2 6 3" xfId="17126" xr:uid="{00000000-0005-0000-0000-0000D5800000}"/>
    <cellStyle name="Normal 12 4 2 7" xfId="9209" xr:uid="{00000000-0005-0000-0000-0000D6800000}"/>
    <cellStyle name="Normal 12 4 2 8" xfId="17121" xr:uid="{00000000-0005-0000-0000-0000D7800000}"/>
    <cellStyle name="Normal 12 4 2_LNG &amp; LPG rework" xfId="6675" xr:uid="{00000000-0005-0000-0000-0000D8800000}"/>
    <cellStyle name="Normal 12 4 3" xfId="2629" xr:uid="{00000000-0005-0000-0000-0000D9800000}"/>
    <cellStyle name="Normal 12 4 3 2" xfId="2630" xr:uid="{00000000-0005-0000-0000-0000DA800000}"/>
    <cellStyle name="Normal 12 4 3 2 2" xfId="11375" xr:uid="{00000000-0005-0000-0000-0000DB800000}"/>
    <cellStyle name="Normal 12 4 3 2 3" xfId="17128" xr:uid="{00000000-0005-0000-0000-0000DC800000}"/>
    <cellStyle name="Normal 12 4 3 3" xfId="2631" xr:uid="{00000000-0005-0000-0000-0000DD800000}"/>
    <cellStyle name="Normal 12 4 3 3 2" xfId="11376" xr:uid="{00000000-0005-0000-0000-0000DE800000}"/>
    <cellStyle name="Normal 12 4 3 3 3" xfId="17129" xr:uid="{00000000-0005-0000-0000-0000DF800000}"/>
    <cellStyle name="Normal 12 4 3 4" xfId="2632" xr:uid="{00000000-0005-0000-0000-0000E0800000}"/>
    <cellStyle name="Normal 12 4 3 4 2" xfId="11377" xr:uid="{00000000-0005-0000-0000-0000E1800000}"/>
    <cellStyle name="Normal 12 4 3 4 3" xfId="17130" xr:uid="{00000000-0005-0000-0000-0000E2800000}"/>
    <cellStyle name="Normal 12 4 3 5" xfId="2633" xr:uid="{00000000-0005-0000-0000-0000E3800000}"/>
    <cellStyle name="Normal 12 4 3 5 2" xfId="11378" xr:uid="{00000000-0005-0000-0000-0000E4800000}"/>
    <cellStyle name="Normal 12 4 3 5 3" xfId="17131" xr:uid="{00000000-0005-0000-0000-0000E5800000}"/>
    <cellStyle name="Normal 12 4 3 6" xfId="11374" xr:uid="{00000000-0005-0000-0000-0000E6800000}"/>
    <cellStyle name="Normal 12 4 3 7" xfId="17127" xr:uid="{00000000-0005-0000-0000-0000E7800000}"/>
    <cellStyle name="Normal 12 4 3_LNG &amp; LPG rework" xfId="6867" xr:uid="{00000000-0005-0000-0000-0000E8800000}"/>
    <cellStyle name="Normal 12 4 4" xfId="2634" xr:uid="{00000000-0005-0000-0000-0000E9800000}"/>
    <cellStyle name="Normal 12 4 4 2" xfId="11379" xr:uid="{00000000-0005-0000-0000-0000EA800000}"/>
    <cellStyle name="Normal 12 4 4 3" xfId="17132" xr:uid="{00000000-0005-0000-0000-0000EB800000}"/>
    <cellStyle name="Normal 12 4 5" xfId="2635" xr:uid="{00000000-0005-0000-0000-0000EC800000}"/>
    <cellStyle name="Normal 12 4 5 2" xfId="11380" xr:uid="{00000000-0005-0000-0000-0000ED800000}"/>
    <cellStyle name="Normal 12 4 5 3" xfId="17133" xr:uid="{00000000-0005-0000-0000-0000EE800000}"/>
    <cellStyle name="Normal 12 4 6" xfId="2636" xr:uid="{00000000-0005-0000-0000-0000EF800000}"/>
    <cellStyle name="Normal 12 4 6 2" xfId="11381" xr:uid="{00000000-0005-0000-0000-0000F0800000}"/>
    <cellStyle name="Normal 12 4 6 3" xfId="17134" xr:uid="{00000000-0005-0000-0000-0000F1800000}"/>
    <cellStyle name="Normal 12 4 7" xfId="2637" xr:uid="{00000000-0005-0000-0000-0000F2800000}"/>
    <cellStyle name="Normal 12 4 7 2" xfId="11382" xr:uid="{00000000-0005-0000-0000-0000F3800000}"/>
    <cellStyle name="Normal 12 4 7 3" xfId="17135" xr:uid="{00000000-0005-0000-0000-0000F4800000}"/>
    <cellStyle name="Normal 12 4 8" xfId="2638" xr:uid="{00000000-0005-0000-0000-0000F5800000}"/>
    <cellStyle name="Normal 12 4 8 2" xfId="11383" xr:uid="{00000000-0005-0000-0000-0000F6800000}"/>
    <cellStyle name="Normal 12 4 8 3" xfId="17136" xr:uid="{00000000-0005-0000-0000-0000F7800000}"/>
    <cellStyle name="Normal 12 4 9" xfId="9208" xr:uid="{00000000-0005-0000-0000-0000F8800000}"/>
    <cellStyle name="Normal 12 4_LNG &amp; LPG rework" xfId="6676" xr:uid="{00000000-0005-0000-0000-0000F9800000}"/>
    <cellStyle name="Normal 12 5" xfId="362" xr:uid="{00000000-0005-0000-0000-0000FA800000}"/>
    <cellStyle name="Normal 12 5 10" xfId="17137" xr:uid="{00000000-0005-0000-0000-0000FB800000}"/>
    <cellStyle name="Normal 12 5 2" xfId="2639" xr:uid="{00000000-0005-0000-0000-0000FC800000}"/>
    <cellStyle name="Normal 12 5 2 2" xfId="2640" xr:uid="{00000000-0005-0000-0000-0000FD800000}"/>
    <cellStyle name="Normal 12 5 2 2 2" xfId="11385" xr:uid="{00000000-0005-0000-0000-0000FE800000}"/>
    <cellStyle name="Normal 12 5 2 2 3" xfId="17139" xr:uid="{00000000-0005-0000-0000-0000FF800000}"/>
    <cellStyle name="Normal 12 5 2 3" xfId="2641" xr:uid="{00000000-0005-0000-0000-000000810000}"/>
    <cellStyle name="Normal 12 5 2 3 2" xfId="11386" xr:uid="{00000000-0005-0000-0000-000001810000}"/>
    <cellStyle name="Normal 12 5 2 3 3" xfId="17140" xr:uid="{00000000-0005-0000-0000-000002810000}"/>
    <cellStyle name="Normal 12 5 2 4" xfId="2642" xr:uid="{00000000-0005-0000-0000-000003810000}"/>
    <cellStyle name="Normal 12 5 2 4 2" xfId="11387" xr:uid="{00000000-0005-0000-0000-000004810000}"/>
    <cellStyle name="Normal 12 5 2 4 3" xfId="17141" xr:uid="{00000000-0005-0000-0000-000005810000}"/>
    <cellStyle name="Normal 12 5 2 5" xfId="2643" xr:uid="{00000000-0005-0000-0000-000006810000}"/>
    <cellStyle name="Normal 12 5 2 5 2" xfId="11388" xr:uid="{00000000-0005-0000-0000-000007810000}"/>
    <cellStyle name="Normal 12 5 2 5 3" xfId="17142" xr:uid="{00000000-0005-0000-0000-000008810000}"/>
    <cellStyle name="Normal 12 5 2 6" xfId="11384" xr:uid="{00000000-0005-0000-0000-000009810000}"/>
    <cellStyle name="Normal 12 5 2 7" xfId="17138" xr:uid="{00000000-0005-0000-0000-00000A810000}"/>
    <cellStyle name="Normal 12 5 2_LNG &amp; LPG rework" xfId="6868" xr:uid="{00000000-0005-0000-0000-00000B810000}"/>
    <cellStyle name="Normal 12 5 3" xfId="2644" xr:uid="{00000000-0005-0000-0000-00000C810000}"/>
    <cellStyle name="Normal 12 5 3 2" xfId="2645" xr:uid="{00000000-0005-0000-0000-00000D810000}"/>
    <cellStyle name="Normal 12 5 3 2 2" xfId="11390" xr:uid="{00000000-0005-0000-0000-00000E810000}"/>
    <cellStyle name="Normal 12 5 3 2 3" xfId="17144" xr:uid="{00000000-0005-0000-0000-00000F810000}"/>
    <cellStyle name="Normal 12 5 3 3" xfId="2646" xr:uid="{00000000-0005-0000-0000-000010810000}"/>
    <cellStyle name="Normal 12 5 3 3 2" xfId="11391" xr:uid="{00000000-0005-0000-0000-000011810000}"/>
    <cellStyle name="Normal 12 5 3 3 3" xfId="17145" xr:uid="{00000000-0005-0000-0000-000012810000}"/>
    <cellStyle name="Normal 12 5 3 4" xfId="2647" xr:uid="{00000000-0005-0000-0000-000013810000}"/>
    <cellStyle name="Normal 12 5 3 4 2" xfId="11392" xr:uid="{00000000-0005-0000-0000-000014810000}"/>
    <cellStyle name="Normal 12 5 3 4 3" xfId="17146" xr:uid="{00000000-0005-0000-0000-000015810000}"/>
    <cellStyle name="Normal 12 5 3 5" xfId="2648" xr:uid="{00000000-0005-0000-0000-000016810000}"/>
    <cellStyle name="Normal 12 5 3 5 2" xfId="11393" xr:uid="{00000000-0005-0000-0000-000017810000}"/>
    <cellStyle name="Normal 12 5 3 5 3" xfId="17147" xr:uid="{00000000-0005-0000-0000-000018810000}"/>
    <cellStyle name="Normal 12 5 3 6" xfId="11389" xr:uid="{00000000-0005-0000-0000-000019810000}"/>
    <cellStyle name="Normal 12 5 3 7" xfId="17143" xr:uid="{00000000-0005-0000-0000-00001A810000}"/>
    <cellStyle name="Normal 12 5 3_LNG &amp; LPG rework" xfId="6870" xr:uid="{00000000-0005-0000-0000-00001B810000}"/>
    <cellStyle name="Normal 12 5 4" xfId="2649" xr:uid="{00000000-0005-0000-0000-00001C810000}"/>
    <cellStyle name="Normal 12 5 4 2" xfId="11394" xr:uid="{00000000-0005-0000-0000-00001D810000}"/>
    <cellStyle name="Normal 12 5 4 3" xfId="17148" xr:uid="{00000000-0005-0000-0000-00001E810000}"/>
    <cellStyle name="Normal 12 5 5" xfId="2650" xr:uid="{00000000-0005-0000-0000-00001F810000}"/>
    <cellStyle name="Normal 12 5 5 2" xfId="11395" xr:uid="{00000000-0005-0000-0000-000020810000}"/>
    <cellStyle name="Normal 12 5 5 3" xfId="17149" xr:uid="{00000000-0005-0000-0000-000021810000}"/>
    <cellStyle name="Normal 12 5 6" xfId="2651" xr:uid="{00000000-0005-0000-0000-000022810000}"/>
    <cellStyle name="Normal 12 5 6 2" xfId="11396" xr:uid="{00000000-0005-0000-0000-000023810000}"/>
    <cellStyle name="Normal 12 5 6 3" xfId="17150" xr:uid="{00000000-0005-0000-0000-000024810000}"/>
    <cellStyle name="Normal 12 5 7" xfId="2652" xr:uid="{00000000-0005-0000-0000-000025810000}"/>
    <cellStyle name="Normal 12 5 7 2" xfId="11397" xr:uid="{00000000-0005-0000-0000-000026810000}"/>
    <cellStyle name="Normal 12 5 7 3" xfId="17151" xr:uid="{00000000-0005-0000-0000-000027810000}"/>
    <cellStyle name="Normal 12 5 8" xfId="2653" xr:uid="{00000000-0005-0000-0000-000028810000}"/>
    <cellStyle name="Normal 12 5 8 2" xfId="11398" xr:uid="{00000000-0005-0000-0000-000029810000}"/>
    <cellStyle name="Normal 12 5 8 3" xfId="17152" xr:uid="{00000000-0005-0000-0000-00002A810000}"/>
    <cellStyle name="Normal 12 5 9" xfId="9210" xr:uid="{00000000-0005-0000-0000-00002B810000}"/>
    <cellStyle name="Normal 12 5_LNG &amp; LPG rework" xfId="6869" xr:uid="{00000000-0005-0000-0000-00002C810000}"/>
    <cellStyle name="Normal 12 6" xfId="2654" xr:uid="{00000000-0005-0000-0000-00002D810000}"/>
    <cellStyle name="Normal 12 7" xfId="2655" xr:uid="{00000000-0005-0000-0000-00002E810000}"/>
    <cellStyle name="Normal 12 7 2" xfId="2656" xr:uid="{00000000-0005-0000-0000-00002F810000}"/>
    <cellStyle name="Normal 12 7 2 2" xfId="2657" xr:uid="{00000000-0005-0000-0000-000030810000}"/>
    <cellStyle name="Normal 12 7 2 2 2" xfId="11401" xr:uid="{00000000-0005-0000-0000-000031810000}"/>
    <cellStyle name="Normal 12 7 2 2 3" xfId="17155" xr:uid="{00000000-0005-0000-0000-000032810000}"/>
    <cellStyle name="Normal 12 7 2 3" xfId="2658" xr:uid="{00000000-0005-0000-0000-000033810000}"/>
    <cellStyle name="Normal 12 7 2 3 2" xfId="11402" xr:uid="{00000000-0005-0000-0000-000034810000}"/>
    <cellStyle name="Normal 12 7 2 3 3" xfId="17156" xr:uid="{00000000-0005-0000-0000-000035810000}"/>
    <cellStyle name="Normal 12 7 2 4" xfId="2659" xr:uid="{00000000-0005-0000-0000-000036810000}"/>
    <cellStyle name="Normal 12 7 2 4 2" xfId="11403" xr:uid="{00000000-0005-0000-0000-000037810000}"/>
    <cellStyle name="Normal 12 7 2 4 3" xfId="17157" xr:uid="{00000000-0005-0000-0000-000038810000}"/>
    <cellStyle name="Normal 12 7 2 5" xfId="2660" xr:uid="{00000000-0005-0000-0000-000039810000}"/>
    <cellStyle name="Normal 12 7 2 5 2" xfId="11404" xr:uid="{00000000-0005-0000-0000-00003A810000}"/>
    <cellStyle name="Normal 12 7 2 5 3" xfId="17158" xr:uid="{00000000-0005-0000-0000-00003B810000}"/>
    <cellStyle name="Normal 12 7 2 6" xfId="11400" xr:uid="{00000000-0005-0000-0000-00003C810000}"/>
    <cellStyle name="Normal 12 7 2 7" xfId="17154" xr:uid="{00000000-0005-0000-0000-00003D810000}"/>
    <cellStyle name="Normal 12 7 2_LNG &amp; LPG rework" xfId="6871" xr:uid="{00000000-0005-0000-0000-00003E810000}"/>
    <cellStyle name="Normal 12 7 3" xfId="2661" xr:uid="{00000000-0005-0000-0000-00003F810000}"/>
    <cellStyle name="Normal 12 7 3 2" xfId="2662" xr:uid="{00000000-0005-0000-0000-000040810000}"/>
    <cellStyle name="Normal 12 7 3 2 2" xfId="11406" xr:uid="{00000000-0005-0000-0000-000041810000}"/>
    <cellStyle name="Normal 12 7 3 2 3" xfId="17160" xr:uid="{00000000-0005-0000-0000-000042810000}"/>
    <cellStyle name="Normal 12 7 3 3" xfId="2663" xr:uid="{00000000-0005-0000-0000-000043810000}"/>
    <cellStyle name="Normal 12 7 3 3 2" xfId="11407" xr:uid="{00000000-0005-0000-0000-000044810000}"/>
    <cellStyle name="Normal 12 7 3 3 3" xfId="17161" xr:uid="{00000000-0005-0000-0000-000045810000}"/>
    <cellStyle name="Normal 12 7 3 4" xfId="2664" xr:uid="{00000000-0005-0000-0000-000046810000}"/>
    <cellStyle name="Normal 12 7 3 4 2" xfId="11408" xr:uid="{00000000-0005-0000-0000-000047810000}"/>
    <cellStyle name="Normal 12 7 3 4 3" xfId="17162" xr:uid="{00000000-0005-0000-0000-000048810000}"/>
    <cellStyle name="Normal 12 7 3 5" xfId="2665" xr:uid="{00000000-0005-0000-0000-000049810000}"/>
    <cellStyle name="Normal 12 7 3 5 2" xfId="11409" xr:uid="{00000000-0005-0000-0000-00004A810000}"/>
    <cellStyle name="Normal 12 7 3 5 3" xfId="17163" xr:uid="{00000000-0005-0000-0000-00004B810000}"/>
    <cellStyle name="Normal 12 7 3 6" xfId="11405" xr:uid="{00000000-0005-0000-0000-00004C810000}"/>
    <cellStyle name="Normal 12 7 3 7" xfId="17159" xr:uid="{00000000-0005-0000-0000-00004D810000}"/>
    <cellStyle name="Normal 12 7 3_LNG &amp; LPG rework" xfId="6875" xr:uid="{00000000-0005-0000-0000-00004E810000}"/>
    <cellStyle name="Normal 12 7 4" xfId="2666" xr:uid="{00000000-0005-0000-0000-00004F810000}"/>
    <cellStyle name="Normal 12 7 4 2" xfId="11410" xr:uid="{00000000-0005-0000-0000-000050810000}"/>
    <cellStyle name="Normal 12 7 4 3" xfId="17164" xr:uid="{00000000-0005-0000-0000-000051810000}"/>
    <cellStyle name="Normal 12 7 5" xfId="2667" xr:uid="{00000000-0005-0000-0000-000052810000}"/>
    <cellStyle name="Normal 12 7 5 2" xfId="11411" xr:uid="{00000000-0005-0000-0000-000053810000}"/>
    <cellStyle name="Normal 12 7 5 3" xfId="17165" xr:uid="{00000000-0005-0000-0000-000054810000}"/>
    <cellStyle name="Normal 12 7 6" xfId="2668" xr:uid="{00000000-0005-0000-0000-000055810000}"/>
    <cellStyle name="Normal 12 7 6 2" xfId="11412" xr:uid="{00000000-0005-0000-0000-000056810000}"/>
    <cellStyle name="Normal 12 7 6 3" xfId="17166" xr:uid="{00000000-0005-0000-0000-000057810000}"/>
    <cellStyle name="Normal 12 7 7" xfId="2669" xr:uid="{00000000-0005-0000-0000-000058810000}"/>
    <cellStyle name="Normal 12 7 7 2" xfId="11413" xr:uid="{00000000-0005-0000-0000-000059810000}"/>
    <cellStyle name="Normal 12 7 7 3" xfId="17167" xr:uid="{00000000-0005-0000-0000-00005A810000}"/>
    <cellStyle name="Normal 12 7 8" xfId="11399" xr:uid="{00000000-0005-0000-0000-00005B810000}"/>
    <cellStyle name="Normal 12 7 9" xfId="17153" xr:uid="{00000000-0005-0000-0000-00005C810000}"/>
    <cellStyle name="Normal 12 7_LNG &amp; LPG rework" xfId="6872" xr:uid="{00000000-0005-0000-0000-00005D810000}"/>
    <cellStyle name="Normal 12 8" xfId="2670" xr:uid="{00000000-0005-0000-0000-00005E810000}"/>
    <cellStyle name="Normal 12 8 2" xfId="2671" xr:uid="{00000000-0005-0000-0000-00005F810000}"/>
    <cellStyle name="Normal 12 8 2 2" xfId="2672" xr:uid="{00000000-0005-0000-0000-000060810000}"/>
    <cellStyle name="Normal 12 8 2 2 2" xfId="11416" xr:uid="{00000000-0005-0000-0000-000061810000}"/>
    <cellStyle name="Normal 12 8 2 2 3" xfId="17170" xr:uid="{00000000-0005-0000-0000-000062810000}"/>
    <cellStyle name="Normal 12 8 2 3" xfId="2673" xr:uid="{00000000-0005-0000-0000-000063810000}"/>
    <cellStyle name="Normal 12 8 2 3 2" xfId="11417" xr:uid="{00000000-0005-0000-0000-000064810000}"/>
    <cellStyle name="Normal 12 8 2 3 3" xfId="17171" xr:uid="{00000000-0005-0000-0000-000065810000}"/>
    <cellStyle name="Normal 12 8 2 4" xfId="2674" xr:uid="{00000000-0005-0000-0000-000066810000}"/>
    <cellStyle name="Normal 12 8 2 4 2" xfId="11418" xr:uid="{00000000-0005-0000-0000-000067810000}"/>
    <cellStyle name="Normal 12 8 2 4 3" xfId="17172" xr:uid="{00000000-0005-0000-0000-000068810000}"/>
    <cellStyle name="Normal 12 8 2 5" xfId="2675" xr:uid="{00000000-0005-0000-0000-000069810000}"/>
    <cellStyle name="Normal 12 8 2 5 2" xfId="11419" xr:uid="{00000000-0005-0000-0000-00006A810000}"/>
    <cellStyle name="Normal 12 8 2 5 3" xfId="17173" xr:uid="{00000000-0005-0000-0000-00006B810000}"/>
    <cellStyle name="Normal 12 8 2 6" xfId="11415" xr:uid="{00000000-0005-0000-0000-00006C810000}"/>
    <cellStyle name="Normal 12 8 2 7" xfId="17169" xr:uid="{00000000-0005-0000-0000-00006D810000}"/>
    <cellStyle name="Normal 12 8 2_LNG &amp; LPG rework" xfId="6874" xr:uid="{00000000-0005-0000-0000-00006E810000}"/>
    <cellStyle name="Normal 12 8 3" xfId="2676" xr:uid="{00000000-0005-0000-0000-00006F810000}"/>
    <cellStyle name="Normal 12 8 3 2" xfId="2677" xr:uid="{00000000-0005-0000-0000-000070810000}"/>
    <cellStyle name="Normal 12 8 3 2 2" xfId="11421" xr:uid="{00000000-0005-0000-0000-000071810000}"/>
    <cellStyle name="Normal 12 8 3 2 3" xfId="17175" xr:uid="{00000000-0005-0000-0000-000072810000}"/>
    <cellStyle name="Normal 12 8 3 3" xfId="2678" xr:uid="{00000000-0005-0000-0000-000073810000}"/>
    <cellStyle name="Normal 12 8 3 3 2" xfId="11422" xr:uid="{00000000-0005-0000-0000-000074810000}"/>
    <cellStyle name="Normal 12 8 3 3 3" xfId="17176" xr:uid="{00000000-0005-0000-0000-000075810000}"/>
    <cellStyle name="Normal 12 8 3 4" xfId="2679" xr:uid="{00000000-0005-0000-0000-000076810000}"/>
    <cellStyle name="Normal 12 8 3 4 2" xfId="11423" xr:uid="{00000000-0005-0000-0000-000077810000}"/>
    <cellStyle name="Normal 12 8 3 4 3" xfId="17177" xr:uid="{00000000-0005-0000-0000-000078810000}"/>
    <cellStyle name="Normal 12 8 3 5" xfId="2680" xr:uid="{00000000-0005-0000-0000-000079810000}"/>
    <cellStyle name="Normal 12 8 3 5 2" xfId="11424" xr:uid="{00000000-0005-0000-0000-00007A810000}"/>
    <cellStyle name="Normal 12 8 3 5 3" xfId="17178" xr:uid="{00000000-0005-0000-0000-00007B810000}"/>
    <cellStyle name="Normal 12 8 3 6" xfId="11420" xr:uid="{00000000-0005-0000-0000-00007C810000}"/>
    <cellStyle name="Normal 12 8 3 7" xfId="17174" xr:uid="{00000000-0005-0000-0000-00007D810000}"/>
    <cellStyle name="Normal 12 8 3_LNG &amp; LPG rework" xfId="6674" xr:uid="{00000000-0005-0000-0000-00007E810000}"/>
    <cellStyle name="Normal 12 8 4" xfId="2681" xr:uid="{00000000-0005-0000-0000-00007F810000}"/>
    <cellStyle name="Normal 12 8 4 2" xfId="11425" xr:uid="{00000000-0005-0000-0000-000080810000}"/>
    <cellStyle name="Normal 12 8 4 3" xfId="17179" xr:uid="{00000000-0005-0000-0000-000081810000}"/>
    <cellStyle name="Normal 12 8 5" xfId="2682" xr:uid="{00000000-0005-0000-0000-000082810000}"/>
    <cellStyle name="Normal 12 8 5 2" xfId="11426" xr:uid="{00000000-0005-0000-0000-000083810000}"/>
    <cellStyle name="Normal 12 8 5 3" xfId="17180" xr:uid="{00000000-0005-0000-0000-000084810000}"/>
    <cellStyle name="Normal 12 8 6" xfId="2683" xr:uid="{00000000-0005-0000-0000-000085810000}"/>
    <cellStyle name="Normal 12 8 6 2" xfId="11427" xr:uid="{00000000-0005-0000-0000-000086810000}"/>
    <cellStyle name="Normal 12 8 6 3" xfId="17181" xr:uid="{00000000-0005-0000-0000-000087810000}"/>
    <cellStyle name="Normal 12 8 7" xfId="2684" xr:uid="{00000000-0005-0000-0000-000088810000}"/>
    <cellStyle name="Normal 12 8 7 2" xfId="11428" xr:uid="{00000000-0005-0000-0000-000089810000}"/>
    <cellStyle name="Normal 12 8 7 3" xfId="17182" xr:uid="{00000000-0005-0000-0000-00008A810000}"/>
    <cellStyle name="Normal 12 8 8" xfId="11414" xr:uid="{00000000-0005-0000-0000-00008B810000}"/>
    <cellStyle name="Normal 12 8 9" xfId="17168" xr:uid="{00000000-0005-0000-0000-00008C810000}"/>
    <cellStyle name="Normal 12 8_LNG &amp; LPG rework" xfId="6873" xr:uid="{00000000-0005-0000-0000-00008D810000}"/>
    <cellStyle name="Normal 12 9" xfId="2685" xr:uid="{00000000-0005-0000-0000-00008E810000}"/>
    <cellStyle name="Normal 12 9 2" xfId="2686" xr:uid="{00000000-0005-0000-0000-00008F810000}"/>
    <cellStyle name="Normal 12 9 2 2" xfId="2687" xr:uid="{00000000-0005-0000-0000-000090810000}"/>
    <cellStyle name="Normal 12 9 2 2 2" xfId="11431" xr:uid="{00000000-0005-0000-0000-000091810000}"/>
    <cellStyle name="Normal 12 9 2 2 3" xfId="17185" xr:uid="{00000000-0005-0000-0000-000092810000}"/>
    <cellStyle name="Normal 12 9 2 3" xfId="2688" xr:uid="{00000000-0005-0000-0000-000093810000}"/>
    <cellStyle name="Normal 12 9 2 3 2" xfId="11432" xr:uid="{00000000-0005-0000-0000-000094810000}"/>
    <cellStyle name="Normal 12 9 2 3 3" xfId="17186" xr:uid="{00000000-0005-0000-0000-000095810000}"/>
    <cellStyle name="Normal 12 9 2 4" xfId="2689" xr:uid="{00000000-0005-0000-0000-000096810000}"/>
    <cellStyle name="Normal 12 9 2 4 2" xfId="11433" xr:uid="{00000000-0005-0000-0000-000097810000}"/>
    <cellStyle name="Normal 12 9 2 4 3" xfId="17187" xr:uid="{00000000-0005-0000-0000-000098810000}"/>
    <cellStyle name="Normal 12 9 2 5" xfId="2690" xr:uid="{00000000-0005-0000-0000-000099810000}"/>
    <cellStyle name="Normal 12 9 2 5 2" xfId="11434" xr:uid="{00000000-0005-0000-0000-00009A810000}"/>
    <cellStyle name="Normal 12 9 2 5 3" xfId="17188" xr:uid="{00000000-0005-0000-0000-00009B810000}"/>
    <cellStyle name="Normal 12 9 2 6" xfId="11430" xr:uid="{00000000-0005-0000-0000-00009C810000}"/>
    <cellStyle name="Normal 12 9 2 7" xfId="17184" xr:uid="{00000000-0005-0000-0000-00009D810000}"/>
    <cellStyle name="Normal 12 9 2_LNG &amp; LPG rework" xfId="6672" xr:uid="{00000000-0005-0000-0000-00009E810000}"/>
    <cellStyle name="Normal 12 9 3" xfId="2691" xr:uid="{00000000-0005-0000-0000-00009F810000}"/>
    <cellStyle name="Normal 12 9 3 2" xfId="2692" xr:uid="{00000000-0005-0000-0000-0000A0810000}"/>
    <cellStyle name="Normal 12 9 3 2 2" xfId="11436" xr:uid="{00000000-0005-0000-0000-0000A1810000}"/>
    <cellStyle name="Normal 12 9 3 2 3" xfId="17190" xr:uid="{00000000-0005-0000-0000-0000A2810000}"/>
    <cellStyle name="Normal 12 9 3 3" xfId="2693" xr:uid="{00000000-0005-0000-0000-0000A3810000}"/>
    <cellStyle name="Normal 12 9 3 3 2" xfId="11437" xr:uid="{00000000-0005-0000-0000-0000A4810000}"/>
    <cellStyle name="Normal 12 9 3 3 3" xfId="17191" xr:uid="{00000000-0005-0000-0000-0000A5810000}"/>
    <cellStyle name="Normal 12 9 3 4" xfId="2694" xr:uid="{00000000-0005-0000-0000-0000A6810000}"/>
    <cellStyle name="Normal 12 9 3 4 2" xfId="11438" xr:uid="{00000000-0005-0000-0000-0000A7810000}"/>
    <cellStyle name="Normal 12 9 3 4 3" xfId="17192" xr:uid="{00000000-0005-0000-0000-0000A8810000}"/>
    <cellStyle name="Normal 12 9 3 5" xfId="2695" xr:uid="{00000000-0005-0000-0000-0000A9810000}"/>
    <cellStyle name="Normal 12 9 3 5 2" xfId="11439" xr:uid="{00000000-0005-0000-0000-0000AA810000}"/>
    <cellStyle name="Normal 12 9 3 5 3" xfId="17193" xr:uid="{00000000-0005-0000-0000-0000AB810000}"/>
    <cellStyle name="Normal 12 9 3 6" xfId="11435" xr:uid="{00000000-0005-0000-0000-0000AC810000}"/>
    <cellStyle name="Normal 12 9 3 7" xfId="17189" xr:uid="{00000000-0005-0000-0000-0000AD810000}"/>
    <cellStyle name="Normal 12 9 3_LNG &amp; LPG rework" xfId="6671" xr:uid="{00000000-0005-0000-0000-0000AE810000}"/>
    <cellStyle name="Normal 12 9 4" xfId="2696" xr:uid="{00000000-0005-0000-0000-0000AF810000}"/>
    <cellStyle name="Normal 12 9 4 2" xfId="11440" xr:uid="{00000000-0005-0000-0000-0000B0810000}"/>
    <cellStyle name="Normal 12 9 4 3" xfId="17194" xr:uid="{00000000-0005-0000-0000-0000B1810000}"/>
    <cellStyle name="Normal 12 9 5" xfId="2697" xr:uid="{00000000-0005-0000-0000-0000B2810000}"/>
    <cellStyle name="Normal 12 9 5 2" xfId="11441" xr:uid="{00000000-0005-0000-0000-0000B3810000}"/>
    <cellStyle name="Normal 12 9 5 3" xfId="17195" xr:uid="{00000000-0005-0000-0000-0000B4810000}"/>
    <cellStyle name="Normal 12 9 6" xfId="2698" xr:uid="{00000000-0005-0000-0000-0000B5810000}"/>
    <cellStyle name="Normal 12 9 6 2" xfId="11442" xr:uid="{00000000-0005-0000-0000-0000B6810000}"/>
    <cellStyle name="Normal 12 9 6 3" xfId="17196" xr:uid="{00000000-0005-0000-0000-0000B7810000}"/>
    <cellStyle name="Normal 12 9 7" xfId="2699" xr:uid="{00000000-0005-0000-0000-0000B8810000}"/>
    <cellStyle name="Normal 12 9 7 2" xfId="11443" xr:uid="{00000000-0005-0000-0000-0000B9810000}"/>
    <cellStyle name="Normal 12 9 7 3" xfId="17197" xr:uid="{00000000-0005-0000-0000-0000BA810000}"/>
    <cellStyle name="Normal 12 9 8" xfId="11429" xr:uid="{00000000-0005-0000-0000-0000BB810000}"/>
    <cellStyle name="Normal 12 9 9" xfId="17183" xr:uid="{00000000-0005-0000-0000-0000BC810000}"/>
    <cellStyle name="Normal 12 9_LNG &amp; LPG rework" xfId="6673" xr:uid="{00000000-0005-0000-0000-0000BD810000}"/>
    <cellStyle name="Normal 12_2015  Data" xfId="363" xr:uid="{00000000-0005-0000-0000-0000BE810000}"/>
    <cellStyle name="Normal 120" xfId="2700" xr:uid="{00000000-0005-0000-0000-0000BF810000}"/>
    <cellStyle name="Normal 121" xfId="2701" xr:uid="{00000000-0005-0000-0000-0000C0810000}"/>
    <cellStyle name="Normal 122" xfId="2702" xr:uid="{00000000-0005-0000-0000-0000C1810000}"/>
    <cellStyle name="Normal 123" xfId="2703" xr:uid="{00000000-0005-0000-0000-0000C2810000}"/>
    <cellStyle name="Normal 124" xfId="2704" xr:uid="{00000000-0005-0000-0000-0000C3810000}"/>
    <cellStyle name="Normal 125" xfId="2705" xr:uid="{00000000-0005-0000-0000-0000C4810000}"/>
    <cellStyle name="Normal 126" xfId="2706" xr:uid="{00000000-0005-0000-0000-0000C5810000}"/>
    <cellStyle name="Normal 127" xfId="2707" xr:uid="{00000000-0005-0000-0000-0000C6810000}"/>
    <cellStyle name="Normal 128" xfId="2708" xr:uid="{00000000-0005-0000-0000-0000C7810000}"/>
    <cellStyle name="Normal 129" xfId="2709" xr:uid="{00000000-0005-0000-0000-0000C8810000}"/>
    <cellStyle name="Normal 13" xfId="364" xr:uid="{00000000-0005-0000-0000-0000C9810000}"/>
    <cellStyle name="Normal 13 10" xfId="2710" xr:uid="{00000000-0005-0000-0000-0000CA810000}"/>
    <cellStyle name="Normal 13 11" xfId="2711" xr:uid="{00000000-0005-0000-0000-0000CB810000}"/>
    <cellStyle name="Normal 13 12" xfId="15011" xr:uid="{00000000-0005-0000-0000-0000CC810000}"/>
    <cellStyle name="Normal 13 13" xfId="7832" xr:uid="{00000000-0005-0000-0000-0000CD810000}"/>
    <cellStyle name="Normal 13 2" xfId="2712" xr:uid="{00000000-0005-0000-0000-0000CE810000}"/>
    <cellStyle name="Normal 13 2 2" xfId="2713" xr:uid="{00000000-0005-0000-0000-0000CF810000}"/>
    <cellStyle name="Normal 13 3" xfId="2714" xr:uid="{00000000-0005-0000-0000-0000D0810000}"/>
    <cellStyle name="Normal 13 3 2" xfId="2715" xr:uid="{00000000-0005-0000-0000-0000D1810000}"/>
    <cellStyle name="Normal 13 4" xfId="2716" xr:uid="{00000000-0005-0000-0000-0000D2810000}"/>
    <cellStyle name="Normal 13 5" xfId="2717" xr:uid="{00000000-0005-0000-0000-0000D3810000}"/>
    <cellStyle name="Normal 13 5 2" xfId="2718" xr:uid="{00000000-0005-0000-0000-0000D4810000}"/>
    <cellStyle name="Normal 13 6" xfId="2719" xr:uid="{00000000-0005-0000-0000-0000D5810000}"/>
    <cellStyle name="Normal 13 6 2" xfId="2720" xr:uid="{00000000-0005-0000-0000-0000D6810000}"/>
    <cellStyle name="Normal 13 7" xfId="2721" xr:uid="{00000000-0005-0000-0000-0000D7810000}"/>
    <cellStyle name="Normal 13 7 2" xfId="2722" xr:uid="{00000000-0005-0000-0000-0000D8810000}"/>
    <cellStyle name="Normal 13 8" xfId="2723" xr:uid="{00000000-0005-0000-0000-0000D9810000}"/>
    <cellStyle name="Normal 13 9" xfId="2724" xr:uid="{00000000-0005-0000-0000-0000DA810000}"/>
    <cellStyle name="Normal 13_Data - Monthly Commodity Prices" xfId="6514" xr:uid="{00000000-0005-0000-0000-0000DB810000}"/>
    <cellStyle name="Normal 130" xfId="2725" xr:uid="{00000000-0005-0000-0000-0000DC810000}"/>
    <cellStyle name="Normal 131" xfId="2726" xr:uid="{00000000-0005-0000-0000-0000DD810000}"/>
    <cellStyle name="Normal 132" xfId="2727" xr:uid="{00000000-0005-0000-0000-0000DE810000}"/>
    <cellStyle name="Normal 133" xfId="2728" xr:uid="{00000000-0005-0000-0000-0000DF810000}"/>
    <cellStyle name="Normal 134" xfId="2729" xr:uid="{00000000-0005-0000-0000-0000E0810000}"/>
    <cellStyle name="Normal 135" xfId="2730" xr:uid="{00000000-0005-0000-0000-0000E1810000}"/>
    <cellStyle name="Normal 136" xfId="2731" xr:uid="{00000000-0005-0000-0000-0000E2810000}"/>
    <cellStyle name="Normal 137" xfId="2732" xr:uid="{00000000-0005-0000-0000-0000E3810000}"/>
    <cellStyle name="Normal 138" xfId="2733" xr:uid="{00000000-0005-0000-0000-0000E4810000}"/>
    <cellStyle name="Normal 139" xfId="2734" xr:uid="{00000000-0005-0000-0000-0000E5810000}"/>
    <cellStyle name="Normal 14" xfId="365" xr:uid="{00000000-0005-0000-0000-0000E6810000}"/>
    <cellStyle name="Normal 14 2" xfId="2735" xr:uid="{00000000-0005-0000-0000-0000E7810000}"/>
    <cellStyle name="Normal 14 2 2" xfId="2736" xr:uid="{00000000-0005-0000-0000-0000E8810000}"/>
    <cellStyle name="Normal 14 2 2 2" xfId="2737" xr:uid="{00000000-0005-0000-0000-0000E9810000}"/>
    <cellStyle name="Normal 14 2 2 2 2" xfId="2738" xr:uid="{00000000-0005-0000-0000-0000EA810000}"/>
    <cellStyle name="Normal 14 2 2 2 2 2" xfId="11447" xr:uid="{00000000-0005-0000-0000-0000EB810000}"/>
    <cellStyle name="Normal 14 2 2 2 2 3" xfId="17202" xr:uid="{00000000-0005-0000-0000-0000EC810000}"/>
    <cellStyle name="Normal 14 2 2 2 3" xfId="11446" xr:uid="{00000000-0005-0000-0000-0000ED810000}"/>
    <cellStyle name="Normal 14 2 2 2 4" xfId="17201" xr:uid="{00000000-0005-0000-0000-0000EE810000}"/>
    <cellStyle name="Normal 14 2 2 2_LNG &amp; LPG rework" xfId="6668" xr:uid="{00000000-0005-0000-0000-0000EF810000}"/>
    <cellStyle name="Normal 14 2 2 3" xfId="2739" xr:uid="{00000000-0005-0000-0000-0000F0810000}"/>
    <cellStyle name="Normal 14 2 2 3 2" xfId="11448" xr:uid="{00000000-0005-0000-0000-0000F1810000}"/>
    <cellStyle name="Normal 14 2 2 3 3" xfId="17203" xr:uid="{00000000-0005-0000-0000-0000F2810000}"/>
    <cellStyle name="Normal 14 2 2 4" xfId="11445" xr:uid="{00000000-0005-0000-0000-0000F3810000}"/>
    <cellStyle name="Normal 14 2 2 5" xfId="17200" xr:uid="{00000000-0005-0000-0000-0000F4810000}"/>
    <cellStyle name="Normal 14 2 2_LNG &amp; LPG rework" xfId="6669" xr:uid="{00000000-0005-0000-0000-0000F5810000}"/>
    <cellStyle name="Normal 14 2 3" xfId="2740" xr:uid="{00000000-0005-0000-0000-0000F6810000}"/>
    <cellStyle name="Normal 14 2 3 2" xfId="2741" xr:uid="{00000000-0005-0000-0000-0000F7810000}"/>
    <cellStyle name="Normal 14 2 3 2 2" xfId="11450" xr:uid="{00000000-0005-0000-0000-0000F8810000}"/>
    <cellStyle name="Normal 14 2 3 2 3" xfId="17205" xr:uid="{00000000-0005-0000-0000-0000F9810000}"/>
    <cellStyle name="Normal 14 2 3 3" xfId="11449" xr:uid="{00000000-0005-0000-0000-0000FA810000}"/>
    <cellStyle name="Normal 14 2 3 4" xfId="17204" xr:uid="{00000000-0005-0000-0000-0000FB810000}"/>
    <cellStyle name="Normal 14 2 3_LNG &amp; LPG rework" xfId="6981" xr:uid="{00000000-0005-0000-0000-0000FC810000}"/>
    <cellStyle name="Normal 14 2 4" xfId="2742" xr:uid="{00000000-0005-0000-0000-0000FD810000}"/>
    <cellStyle name="Normal 14 2 4 2" xfId="11451" xr:uid="{00000000-0005-0000-0000-0000FE810000}"/>
    <cellStyle name="Normal 14 2 4 3" xfId="17206" xr:uid="{00000000-0005-0000-0000-0000FF810000}"/>
    <cellStyle name="Normal 14 2 5" xfId="2743" xr:uid="{00000000-0005-0000-0000-000000820000}"/>
    <cellStyle name="Normal 14 2 6" xfId="11444" xr:uid="{00000000-0005-0000-0000-000001820000}"/>
    <cellStyle name="Normal 14 2 7" xfId="17199" xr:uid="{00000000-0005-0000-0000-000002820000}"/>
    <cellStyle name="Normal 14 2_LNG &amp; LPG rework" xfId="6670" xr:uid="{00000000-0005-0000-0000-000003820000}"/>
    <cellStyle name="Normal 14 3" xfId="2744" xr:uid="{00000000-0005-0000-0000-000004820000}"/>
    <cellStyle name="Normal 14 3 2" xfId="2745" xr:uid="{00000000-0005-0000-0000-000005820000}"/>
    <cellStyle name="Normal 14 3 2 2" xfId="2746" xr:uid="{00000000-0005-0000-0000-000006820000}"/>
    <cellStyle name="Normal 14 3 2 2 2" xfId="2747" xr:uid="{00000000-0005-0000-0000-000007820000}"/>
    <cellStyle name="Normal 14 3 2 2 2 2" xfId="11455" xr:uid="{00000000-0005-0000-0000-000008820000}"/>
    <cellStyle name="Normal 14 3 2 2 2 3" xfId="17210" xr:uid="{00000000-0005-0000-0000-000009820000}"/>
    <cellStyle name="Normal 14 3 2 2 3" xfId="11454" xr:uid="{00000000-0005-0000-0000-00000A820000}"/>
    <cellStyle name="Normal 14 3 2 2 4" xfId="17209" xr:uid="{00000000-0005-0000-0000-00000B820000}"/>
    <cellStyle name="Normal 14 3 2 2_LNG &amp; LPG rework" xfId="6876" xr:uid="{00000000-0005-0000-0000-00000C820000}"/>
    <cellStyle name="Normal 14 3 2 3" xfId="2748" xr:uid="{00000000-0005-0000-0000-00000D820000}"/>
    <cellStyle name="Normal 14 3 2 3 2" xfId="11456" xr:uid="{00000000-0005-0000-0000-00000E820000}"/>
    <cellStyle name="Normal 14 3 2 3 3" xfId="17211" xr:uid="{00000000-0005-0000-0000-00000F820000}"/>
    <cellStyle name="Normal 14 3 2 4" xfId="11453" xr:uid="{00000000-0005-0000-0000-000010820000}"/>
    <cellStyle name="Normal 14 3 2 5" xfId="17208" xr:uid="{00000000-0005-0000-0000-000011820000}"/>
    <cellStyle name="Normal 14 3 2_LNG &amp; LPG rework" xfId="6667" xr:uid="{00000000-0005-0000-0000-000012820000}"/>
    <cellStyle name="Normal 14 3 3" xfId="2749" xr:uid="{00000000-0005-0000-0000-000013820000}"/>
    <cellStyle name="Normal 14 3 3 2" xfId="2750" xr:uid="{00000000-0005-0000-0000-000014820000}"/>
    <cellStyle name="Normal 14 3 3 2 2" xfId="11458" xr:uid="{00000000-0005-0000-0000-000015820000}"/>
    <cellStyle name="Normal 14 3 3 2 3" xfId="17213" xr:uid="{00000000-0005-0000-0000-000016820000}"/>
    <cellStyle name="Normal 14 3 3 3" xfId="11457" xr:uid="{00000000-0005-0000-0000-000017820000}"/>
    <cellStyle name="Normal 14 3 3 4" xfId="17212" xr:uid="{00000000-0005-0000-0000-000018820000}"/>
    <cellStyle name="Normal 14 3 3_LNG &amp; LPG rework" xfId="6878" xr:uid="{00000000-0005-0000-0000-000019820000}"/>
    <cellStyle name="Normal 14 3 4" xfId="2751" xr:uid="{00000000-0005-0000-0000-00001A820000}"/>
    <cellStyle name="Normal 14 3 4 2" xfId="11459" xr:uid="{00000000-0005-0000-0000-00001B820000}"/>
    <cellStyle name="Normal 14 3 4 3" xfId="17214" xr:uid="{00000000-0005-0000-0000-00001C820000}"/>
    <cellStyle name="Normal 14 3 5" xfId="2752" xr:uid="{00000000-0005-0000-0000-00001D820000}"/>
    <cellStyle name="Normal 14 3 6" xfId="11452" xr:uid="{00000000-0005-0000-0000-00001E820000}"/>
    <cellStyle name="Normal 14 3 7" xfId="17207" xr:uid="{00000000-0005-0000-0000-00001F820000}"/>
    <cellStyle name="Normal 14 3_LNG &amp; LPG rework" xfId="6877" xr:uid="{00000000-0005-0000-0000-000020820000}"/>
    <cellStyle name="Normal 14 4" xfId="2753" xr:uid="{00000000-0005-0000-0000-000021820000}"/>
    <cellStyle name="Normal 14 4 2" xfId="2754" xr:uid="{00000000-0005-0000-0000-000022820000}"/>
    <cellStyle name="Normal 14 4 2 2" xfId="2755" xr:uid="{00000000-0005-0000-0000-000023820000}"/>
    <cellStyle name="Normal 14 4 2 2 2" xfId="11462" xr:uid="{00000000-0005-0000-0000-000024820000}"/>
    <cellStyle name="Normal 14 4 2 2 3" xfId="17217" xr:uid="{00000000-0005-0000-0000-000025820000}"/>
    <cellStyle name="Normal 14 4 2 3" xfId="11461" xr:uid="{00000000-0005-0000-0000-000026820000}"/>
    <cellStyle name="Normal 14 4 2 4" xfId="17216" xr:uid="{00000000-0005-0000-0000-000027820000}"/>
    <cellStyle name="Normal 14 4 2_LNG &amp; LPG rework" xfId="6666" xr:uid="{00000000-0005-0000-0000-000028820000}"/>
    <cellStyle name="Normal 14 4 3" xfId="2756" xr:uid="{00000000-0005-0000-0000-000029820000}"/>
    <cellStyle name="Normal 14 4 3 2" xfId="11463" xr:uid="{00000000-0005-0000-0000-00002A820000}"/>
    <cellStyle name="Normal 14 4 3 3" xfId="17218" xr:uid="{00000000-0005-0000-0000-00002B820000}"/>
    <cellStyle name="Normal 14 4 4" xfId="2757" xr:uid="{00000000-0005-0000-0000-00002C820000}"/>
    <cellStyle name="Normal 14 4 5" xfId="11460" xr:uid="{00000000-0005-0000-0000-00002D820000}"/>
    <cellStyle name="Normal 14 4 6" xfId="17215" xr:uid="{00000000-0005-0000-0000-00002E820000}"/>
    <cellStyle name="Normal 14 4_LNG &amp; LPG rework" xfId="6879" xr:uid="{00000000-0005-0000-0000-00002F820000}"/>
    <cellStyle name="Normal 14 5" xfId="2758" xr:uid="{00000000-0005-0000-0000-000030820000}"/>
    <cellStyle name="Normal 14 5 2" xfId="2759" xr:uid="{00000000-0005-0000-0000-000031820000}"/>
    <cellStyle name="Normal 14 5 2 2" xfId="11465" xr:uid="{00000000-0005-0000-0000-000032820000}"/>
    <cellStyle name="Normal 14 5 2 3" xfId="17220" xr:uid="{00000000-0005-0000-0000-000033820000}"/>
    <cellStyle name="Normal 14 5 3" xfId="11464" xr:uid="{00000000-0005-0000-0000-000034820000}"/>
    <cellStyle name="Normal 14 5 4" xfId="17219" xr:uid="{00000000-0005-0000-0000-000035820000}"/>
    <cellStyle name="Normal 14 5_LNG &amp; LPG rework" xfId="6731" xr:uid="{00000000-0005-0000-0000-000036820000}"/>
    <cellStyle name="Normal 14 6" xfId="2760" xr:uid="{00000000-0005-0000-0000-000037820000}"/>
    <cellStyle name="Normal 14 6 2" xfId="11466" xr:uid="{00000000-0005-0000-0000-000038820000}"/>
    <cellStyle name="Normal 14 6 3" xfId="17221" xr:uid="{00000000-0005-0000-0000-000039820000}"/>
    <cellStyle name="Normal 14 7" xfId="2761" xr:uid="{00000000-0005-0000-0000-00003A820000}"/>
    <cellStyle name="Normal 14 8" xfId="9211" xr:uid="{00000000-0005-0000-0000-00003B820000}"/>
    <cellStyle name="Normal 14 9" xfId="17198" xr:uid="{00000000-0005-0000-0000-00003C820000}"/>
    <cellStyle name="Normal 14_Data - Monthly Commodity Prices" xfId="6487" xr:uid="{00000000-0005-0000-0000-00003D820000}"/>
    <cellStyle name="Normal 140" xfId="2762" xr:uid="{00000000-0005-0000-0000-00003E820000}"/>
    <cellStyle name="Normal 141" xfId="2763" xr:uid="{00000000-0005-0000-0000-00003F820000}"/>
    <cellStyle name="Normal 142" xfId="2764" xr:uid="{00000000-0005-0000-0000-000040820000}"/>
    <cellStyle name="Normal 143" xfId="2765" xr:uid="{00000000-0005-0000-0000-000041820000}"/>
    <cellStyle name="Normal 144" xfId="2766" xr:uid="{00000000-0005-0000-0000-000042820000}"/>
    <cellStyle name="Normal 145" xfId="2767" xr:uid="{00000000-0005-0000-0000-000043820000}"/>
    <cellStyle name="Normal 146" xfId="2768" xr:uid="{00000000-0005-0000-0000-000044820000}"/>
    <cellStyle name="Normal 147" xfId="2769" xr:uid="{00000000-0005-0000-0000-000045820000}"/>
    <cellStyle name="Normal 148" xfId="2770" xr:uid="{00000000-0005-0000-0000-000046820000}"/>
    <cellStyle name="Normal 149" xfId="2771" xr:uid="{00000000-0005-0000-0000-000047820000}"/>
    <cellStyle name="Normal 15" xfId="366" xr:uid="{00000000-0005-0000-0000-000048820000}"/>
    <cellStyle name="Normal 15 2" xfId="2772" xr:uid="{00000000-0005-0000-0000-000049820000}"/>
    <cellStyle name="Normal 15 3" xfId="2773" xr:uid="{00000000-0005-0000-0000-00004A820000}"/>
    <cellStyle name="Normal 15 4" xfId="2774" xr:uid="{00000000-0005-0000-0000-00004B820000}"/>
    <cellStyle name="Normal 15 5" xfId="2775" xr:uid="{00000000-0005-0000-0000-00004C820000}"/>
    <cellStyle name="Normal 15 6" xfId="7833" xr:uid="{00000000-0005-0000-0000-00004D820000}"/>
    <cellStyle name="Normal 15_Data - Monthly Commodity Prices" xfId="6515" xr:uid="{00000000-0005-0000-0000-00004E820000}"/>
    <cellStyle name="Normal 150" xfId="2776" xr:uid="{00000000-0005-0000-0000-00004F820000}"/>
    <cellStyle name="Normal 151" xfId="2777" xr:uid="{00000000-0005-0000-0000-000050820000}"/>
    <cellStyle name="Normal 152" xfId="2778" xr:uid="{00000000-0005-0000-0000-000051820000}"/>
    <cellStyle name="Normal 153" xfId="2779" xr:uid="{00000000-0005-0000-0000-000052820000}"/>
    <cellStyle name="Normal 154" xfId="2780" xr:uid="{00000000-0005-0000-0000-000053820000}"/>
    <cellStyle name="Normal 155" xfId="2781" xr:uid="{00000000-0005-0000-0000-000054820000}"/>
    <cellStyle name="Normal 156" xfId="2782" xr:uid="{00000000-0005-0000-0000-000055820000}"/>
    <cellStyle name="Normal 157" xfId="2783" xr:uid="{00000000-0005-0000-0000-000056820000}"/>
    <cellStyle name="Normal 158" xfId="2784" xr:uid="{00000000-0005-0000-0000-000057820000}"/>
    <cellStyle name="Normal 159" xfId="2785" xr:uid="{00000000-0005-0000-0000-000058820000}"/>
    <cellStyle name="Normal 16" xfId="367" xr:uid="{00000000-0005-0000-0000-000059820000}"/>
    <cellStyle name="Normal 16 2" xfId="2786" xr:uid="{00000000-0005-0000-0000-00005A820000}"/>
    <cellStyle name="Normal 16 3" xfId="2787" xr:uid="{00000000-0005-0000-0000-00005B820000}"/>
    <cellStyle name="Normal 16 4" xfId="2788" xr:uid="{00000000-0005-0000-0000-00005C820000}"/>
    <cellStyle name="Normal 16 5" xfId="2789" xr:uid="{00000000-0005-0000-0000-00005D820000}"/>
    <cellStyle name="Normal 16 6" xfId="7834" xr:uid="{00000000-0005-0000-0000-00005E820000}"/>
    <cellStyle name="Normal 16_Data - Monthly Commodity Prices" xfId="6517" xr:uid="{00000000-0005-0000-0000-00005F820000}"/>
    <cellStyle name="Normal 160" xfId="2790" xr:uid="{00000000-0005-0000-0000-000060820000}"/>
    <cellStyle name="Normal 161" xfId="2791" xr:uid="{00000000-0005-0000-0000-000061820000}"/>
    <cellStyle name="Normal 162" xfId="2792" xr:uid="{00000000-0005-0000-0000-000062820000}"/>
    <cellStyle name="Normal 163" xfId="2793" xr:uid="{00000000-0005-0000-0000-000063820000}"/>
    <cellStyle name="Normal 164" xfId="2794" xr:uid="{00000000-0005-0000-0000-000064820000}"/>
    <cellStyle name="Normal 165" xfId="2795" xr:uid="{00000000-0005-0000-0000-000065820000}"/>
    <cellStyle name="Normal 165 2" xfId="2796" xr:uid="{00000000-0005-0000-0000-000066820000}"/>
    <cellStyle name="Normal 165 2 2" xfId="2797" xr:uid="{00000000-0005-0000-0000-000067820000}"/>
    <cellStyle name="Normal 165 2 2 2" xfId="2798" xr:uid="{00000000-0005-0000-0000-000068820000}"/>
    <cellStyle name="Normal 165 2 2 2 2" xfId="2799" xr:uid="{00000000-0005-0000-0000-000069820000}"/>
    <cellStyle name="Normal 165 2 2 2 2 2" xfId="11471" xr:uid="{00000000-0005-0000-0000-00006A820000}"/>
    <cellStyle name="Normal 165 2 2 2 2 3" xfId="17226" xr:uid="{00000000-0005-0000-0000-00006B820000}"/>
    <cellStyle name="Normal 165 2 2 2 3" xfId="11470" xr:uid="{00000000-0005-0000-0000-00006C820000}"/>
    <cellStyle name="Normal 165 2 2 2 4" xfId="17225" xr:uid="{00000000-0005-0000-0000-00006D820000}"/>
    <cellStyle name="Normal 165 2 2 2_LNG &amp; LPG rework" xfId="6982" xr:uid="{00000000-0005-0000-0000-00006E820000}"/>
    <cellStyle name="Normal 165 2 2 3" xfId="2800" xr:uid="{00000000-0005-0000-0000-00006F820000}"/>
    <cellStyle name="Normal 165 2 2 3 2" xfId="11472" xr:uid="{00000000-0005-0000-0000-000070820000}"/>
    <cellStyle name="Normal 165 2 2 3 3" xfId="17227" xr:uid="{00000000-0005-0000-0000-000071820000}"/>
    <cellStyle name="Normal 165 2 2 4" xfId="11469" xr:uid="{00000000-0005-0000-0000-000072820000}"/>
    <cellStyle name="Normal 165 2 2 5" xfId="17224" xr:uid="{00000000-0005-0000-0000-000073820000}"/>
    <cellStyle name="Normal 165 2 2_LNG &amp; LPG rework" xfId="6663" xr:uid="{00000000-0005-0000-0000-000074820000}"/>
    <cellStyle name="Normal 165 2 3" xfId="2801" xr:uid="{00000000-0005-0000-0000-000075820000}"/>
    <cellStyle name="Normal 165 2 3 2" xfId="2802" xr:uid="{00000000-0005-0000-0000-000076820000}"/>
    <cellStyle name="Normal 165 2 3 2 2" xfId="11474" xr:uid="{00000000-0005-0000-0000-000077820000}"/>
    <cellStyle name="Normal 165 2 3 2 3" xfId="17229" xr:uid="{00000000-0005-0000-0000-000078820000}"/>
    <cellStyle name="Normal 165 2 3 3" xfId="11473" xr:uid="{00000000-0005-0000-0000-000079820000}"/>
    <cellStyle name="Normal 165 2 3 4" xfId="17228" xr:uid="{00000000-0005-0000-0000-00007A820000}"/>
    <cellStyle name="Normal 165 2 3_LNG &amp; LPG rework" xfId="6662" xr:uid="{00000000-0005-0000-0000-00007B820000}"/>
    <cellStyle name="Normal 165 2 4" xfId="2803" xr:uid="{00000000-0005-0000-0000-00007C820000}"/>
    <cellStyle name="Normal 165 2 4 2" xfId="11475" xr:uid="{00000000-0005-0000-0000-00007D820000}"/>
    <cellStyle name="Normal 165 2 4 3" xfId="17230" xr:uid="{00000000-0005-0000-0000-00007E820000}"/>
    <cellStyle name="Normal 165 2 5" xfId="11468" xr:uid="{00000000-0005-0000-0000-00007F820000}"/>
    <cellStyle name="Normal 165 2 6" xfId="17223" xr:uid="{00000000-0005-0000-0000-000080820000}"/>
    <cellStyle name="Normal 165 2_LNG &amp; LPG rework" xfId="6664" xr:uid="{00000000-0005-0000-0000-000081820000}"/>
    <cellStyle name="Normal 165 3" xfId="2804" xr:uid="{00000000-0005-0000-0000-000082820000}"/>
    <cellStyle name="Normal 165 3 2" xfId="2805" xr:uid="{00000000-0005-0000-0000-000083820000}"/>
    <cellStyle name="Normal 165 3 2 2" xfId="2806" xr:uid="{00000000-0005-0000-0000-000084820000}"/>
    <cellStyle name="Normal 165 3 2 2 2" xfId="2807" xr:uid="{00000000-0005-0000-0000-000085820000}"/>
    <cellStyle name="Normal 165 3 2 2 2 2" xfId="11479" xr:uid="{00000000-0005-0000-0000-000086820000}"/>
    <cellStyle name="Normal 165 3 2 2 2 3" xfId="17234" xr:uid="{00000000-0005-0000-0000-000087820000}"/>
    <cellStyle name="Normal 165 3 2 2 3" xfId="11478" xr:uid="{00000000-0005-0000-0000-000088820000}"/>
    <cellStyle name="Normal 165 3 2 2 4" xfId="17233" xr:uid="{00000000-0005-0000-0000-000089820000}"/>
    <cellStyle name="Normal 165 3 2 2_LNG &amp; LPG rework" xfId="6659" xr:uid="{00000000-0005-0000-0000-00008A820000}"/>
    <cellStyle name="Normal 165 3 2 3" xfId="2808" xr:uid="{00000000-0005-0000-0000-00008B820000}"/>
    <cellStyle name="Normal 165 3 2 3 2" xfId="11480" xr:uid="{00000000-0005-0000-0000-00008C820000}"/>
    <cellStyle name="Normal 165 3 2 3 3" xfId="17235" xr:uid="{00000000-0005-0000-0000-00008D820000}"/>
    <cellStyle name="Normal 165 3 2 4" xfId="11477" xr:uid="{00000000-0005-0000-0000-00008E820000}"/>
    <cellStyle name="Normal 165 3 2 5" xfId="17232" xr:uid="{00000000-0005-0000-0000-00008F820000}"/>
    <cellStyle name="Normal 165 3 2_LNG &amp; LPG rework" xfId="6660" xr:uid="{00000000-0005-0000-0000-000090820000}"/>
    <cellStyle name="Normal 165 3 3" xfId="2809" xr:uid="{00000000-0005-0000-0000-000091820000}"/>
    <cellStyle name="Normal 165 3 3 2" xfId="2810" xr:uid="{00000000-0005-0000-0000-000092820000}"/>
    <cellStyle name="Normal 165 3 3 2 2" xfId="11482" xr:uid="{00000000-0005-0000-0000-000093820000}"/>
    <cellStyle name="Normal 165 3 3 2 3" xfId="17237" xr:uid="{00000000-0005-0000-0000-000094820000}"/>
    <cellStyle name="Normal 165 3 3 3" xfId="11481" xr:uid="{00000000-0005-0000-0000-000095820000}"/>
    <cellStyle name="Normal 165 3 3 4" xfId="17236" xr:uid="{00000000-0005-0000-0000-000096820000}"/>
    <cellStyle name="Normal 165 3 3_LNG &amp; LPG rework" xfId="6658" xr:uid="{00000000-0005-0000-0000-000097820000}"/>
    <cellStyle name="Normal 165 3 4" xfId="2811" xr:uid="{00000000-0005-0000-0000-000098820000}"/>
    <cellStyle name="Normal 165 3 4 2" xfId="11483" xr:uid="{00000000-0005-0000-0000-000099820000}"/>
    <cellStyle name="Normal 165 3 4 3" xfId="17238" xr:uid="{00000000-0005-0000-0000-00009A820000}"/>
    <cellStyle name="Normal 165 3 5" xfId="11476" xr:uid="{00000000-0005-0000-0000-00009B820000}"/>
    <cellStyle name="Normal 165 3 6" xfId="17231" xr:uid="{00000000-0005-0000-0000-00009C820000}"/>
    <cellStyle name="Normal 165 3_LNG &amp; LPG rework" xfId="6661" xr:uid="{00000000-0005-0000-0000-00009D820000}"/>
    <cellStyle name="Normal 165 4" xfId="2812" xr:uid="{00000000-0005-0000-0000-00009E820000}"/>
    <cellStyle name="Normal 165 4 2" xfId="2813" xr:uid="{00000000-0005-0000-0000-00009F820000}"/>
    <cellStyle name="Normal 165 4 2 2" xfId="2814" xr:uid="{00000000-0005-0000-0000-0000A0820000}"/>
    <cellStyle name="Normal 165 4 2 2 2" xfId="11486" xr:uid="{00000000-0005-0000-0000-0000A1820000}"/>
    <cellStyle name="Normal 165 4 2 2 3" xfId="17241" xr:uid="{00000000-0005-0000-0000-0000A2820000}"/>
    <cellStyle name="Normal 165 4 2 3" xfId="11485" xr:uid="{00000000-0005-0000-0000-0000A3820000}"/>
    <cellStyle name="Normal 165 4 2 4" xfId="17240" xr:uid="{00000000-0005-0000-0000-0000A4820000}"/>
    <cellStyle name="Normal 165 4 2_LNG &amp; LPG rework" xfId="6656" xr:uid="{00000000-0005-0000-0000-0000A5820000}"/>
    <cellStyle name="Normal 165 4 3" xfId="2815" xr:uid="{00000000-0005-0000-0000-0000A6820000}"/>
    <cellStyle name="Normal 165 4 3 2" xfId="11487" xr:uid="{00000000-0005-0000-0000-0000A7820000}"/>
    <cellStyle name="Normal 165 4 3 3" xfId="17242" xr:uid="{00000000-0005-0000-0000-0000A8820000}"/>
    <cellStyle name="Normal 165 4 4" xfId="11484" xr:uid="{00000000-0005-0000-0000-0000A9820000}"/>
    <cellStyle name="Normal 165 4 5" xfId="17239" xr:uid="{00000000-0005-0000-0000-0000AA820000}"/>
    <cellStyle name="Normal 165 4_LNG &amp; LPG rework" xfId="6657" xr:uid="{00000000-0005-0000-0000-0000AB820000}"/>
    <cellStyle name="Normal 165 5" xfId="2816" xr:uid="{00000000-0005-0000-0000-0000AC820000}"/>
    <cellStyle name="Normal 165 5 2" xfId="2817" xr:uid="{00000000-0005-0000-0000-0000AD820000}"/>
    <cellStyle name="Normal 165 5 2 2" xfId="11489" xr:uid="{00000000-0005-0000-0000-0000AE820000}"/>
    <cellStyle name="Normal 165 5 2 3" xfId="17244" xr:uid="{00000000-0005-0000-0000-0000AF820000}"/>
    <cellStyle name="Normal 165 5 3" xfId="11488" xr:uid="{00000000-0005-0000-0000-0000B0820000}"/>
    <cellStyle name="Normal 165 5 4" xfId="17243" xr:uid="{00000000-0005-0000-0000-0000B1820000}"/>
    <cellStyle name="Normal 165 5_LNG &amp; LPG rework" xfId="6655" xr:uid="{00000000-0005-0000-0000-0000B2820000}"/>
    <cellStyle name="Normal 165 6" xfId="2818" xr:uid="{00000000-0005-0000-0000-0000B3820000}"/>
    <cellStyle name="Normal 165 6 2" xfId="11490" xr:uid="{00000000-0005-0000-0000-0000B4820000}"/>
    <cellStyle name="Normal 165 6 3" xfId="17245" xr:uid="{00000000-0005-0000-0000-0000B5820000}"/>
    <cellStyle name="Normal 165 7" xfId="11467" xr:uid="{00000000-0005-0000-0000-0000B6820000}"/>
    <cellStyle name="Normal 165 8" xfId="17222" xr:uid="{00000000-0005-0000-0000-0000B7820000}"/>
    <cellStyle name="Normal 165_LNG &amp; LPG rework" xfId="6665" xr:uid="{00000000-0005-0000-0000-0000B8820000}"/>
    <cellStyle name="Normal 166" xfId="2819" xr:uid="{00000000-0005-0000-0000-0000B9820000}"/>
    <cellStyle name="Normal 166 2" xfId="2820" xr:uid="{00000000-0005-0000-0000-0000BA820000}"/>
    <cellStyle name="Normal 166 2 2" xfId="2821" xr:uid="{00000000-0005-0000-0000-0000BB820000}"/>
    <cellStyle name="Normal 166 2 2 2" xfId="2822" xr:uid="{00000000-0005-0000-0000-0000BC820000}"/>
    <cellStyle name="Normal 166 2 2 2 2" xfId="2823" xr:uid="{00000000-0005-0000-0000-0000BD820000}"/>
    <cellStyle name="Normal 166 2 2 2 2 2" xfId="11495" xr:uid="{00000000-0005-0000-0000-0000BE820000}"/>
    <cellStyle name="Normal 166 2 2 2 2 3" xfId="17250" xr:uid="{00000000-0005-0000-0000-0000BF820000}"/>
    <cellStyle name="Normal 166 2 2 2 3" xfId="11494" xr:uid="{00000000-0005-0000-0000-0000C0820000}"/>
    <cellStyle name="Normal 166 2 2 2 4" xfId="17249" xr:uid="{00000000-0005-0000-0000-0000C1820000}"/>
    <cellStyle name="Normal 166 2 2 2_LNG &amp; LPG rework" xfId="6651" xr:uid="{00000000-0005-0000-0000-0000C2820000}"/>
    <cellStyle name="Normal 166 2 2 3" xfId="2824" xr:uid="{00000000-0005-0000-0000-0000C3820000}"/>
    <cellStyle name="Normal 166 2 2 3 2" xfId="11496" xr:uid="{00000000-0005-0000-0000-0000C4820000}"/>
    <cellStyle name="Normal 166 2 2 3 3" xfId="17251" xr:uid="{00000000-0005-0000-0000-0000C5820000}"/>
    <cellStyle name="Normal 166 2 2 4" xfId="11493" xr:uid="{00000000-0005-0000-0000-0000C6820000}"/>
    <cellStyle name="Normal 166 2 2 5" xfId="17248" xr:uid="{00000000-0005-0000-0000-0000C7820000}"/>
    <cellStyle name="Normal 166 2 2_LNG &amp; LPG rework" xfId="6652" xr:uid="{00000000-0005-0000-0000-0000C8820000}"/>
    <cellStyle name="Normal 166 2 3" xfId="2825" xr:uid="{00000000-0005-0000-0000-0000C9820000}"/>
    <cellStyle name="Normal 166 2 3 2" xfId="2826" xr:uid="{00000000-0005-0000-0000-0000CA820000}"/>
    <cellStyle name="Normal 166 2 3 2 2" xfId="11498" xr:uid="{00000000-0005-0000-0000-0000CB820000}"/>
    <cellStyle name="Normal 166 2 3 2 3" xfId="17253" xr:uid="{00000000-0005-0000-0000-0000CC820000}"/>
    <cellStyle name="Normal 166 2 3 3" xfId="11497" xr:uid="{00000000-0005-0000-0000-0000CD820000}"/>
    <cellStyle name="Normal 166 2 3 4" xfId="17252" xr:uid="{00000000-0005-0000-0000-0000CE820000}"/>
    <cellStyle name="Normal 166 2 3_LNG &amp; LPG rework" xfId="6880" xr:uid="{00000000-0005-0000-0000-0000CF820000}"/>
    <cellStyle name="Normal 166 2 4" xfId="2827" xr:uid="{00000000-0005-0000-0000-0000D0820000}"/>
    <cellStyle name="Normal 166 2 4 2" xfId="11499" xr:uid="{00000000-0005-0000-0000-0000D1820000}"/>
    <cellStyle name="Normal 166 2 4 3" xfId="17254" xr:uid="{00000000-0005-0000-0000-0000D2820000}"/>
    <cellStyle name="Normal 166 2 5" xfId="11492" xr:uid="{00000000-0005-0000-0000-0000D3820000}"/>
    <cellStyle name="Normal 166 2 6" xfId="17247" xr:uid="{00000000-0005-0000-0000-0000D4820000}"/>
    <cellStyle name="Normal 166 2_LNG &amp; LPG rework" xfId="6653" xr:uid="{00000000-0005-0000-0000-0000D5820000}"/>
    <cellStyle name="Normal 166 3" xfId="2828" xr:uid="{00000000-0005-0000-0000-0000D6820000}"/>
    <cellStyle name="Normal 166 3 2" xfId="2829" xr:uid="{00000000-0005-0000-0000-0000D7820000}"/>
    <cellStyle name="Normal 166 3 2 2" xfId="2830" xr:uid="{00000000-0005-0000-0000-0000D8820000}"/>
    <cellStyle name="Normal 166 3 2 2 2" xfId="2831" xr:uid="{00000000-0005-0000-0000-0000D9820000}"/>
    <cellStyle name="Normal 166 3 2 2 2 2" xfId="11503" xr:uid="{00000000-0005-0000-0000-0000DA820000}"/>
    <cellStyle name="Normal 166 3 2 2 2 3" xfId="17258" xr:uid="{00000000-0005-0000-0000-0000DB820000}"/>
    <cellStyle name="Normal 166 3 2 2 3" xfId="11502" xr:uid="{00000000-0005-0000-0000-0000DC820000}"/>
    <cellStyle name="Normal 166 3 2 2 4" xfId="17257" xr:uid="{00000000-0005-0000-0000-0000DD820000}"/>
    <cellStyle name="Normal 166 3 2 2_LNG &amp; LPG rework" xfId="6882" xr:uid="{00000000-0005-0000-0000-0000DE820000}"/>
    <cellStyle name="Normal 166 3 2 3" xfId="2832" xr:uid="{00000000-0005-0000-0000-0000DF820000}"/>
    <cellStyle name="Normal 166 3 2 3 2" xfId="11504" xr:uid="{00000000-0005-0000-0000-0000E0820000}"/>
    <cellStyle name="Normal 166 3 2 3 3" xfId="17259" xr:uid="{00000000-0005-0000-0000-0000E1820000}"/>
    <cellStyle name="Normal 166 3 2 4" xfId="11501" xr:uid="{00000000-0005-0000-0000-0000E2820000}"/>
    <cellStyle name="Normal 166 3 2 5" xfId="17256" xr:uid="{00000000-0005-0000-0000-0000E3820000}"/>
    <cellStyle name="Normal 166 3 2_LNG &amp; LPG rework" xfId="6881" xr:uid="{00000000-0005-0000-0000-0000E4820000}"/>
    <cellStyle name="Normal 166 3 3" xfId="2833" xr:uid="{00000000-0005-0000-0000-0000E5820000}"/>
    <cellStyle name="Normal 166 3 3 2" xfId="2834" xr:uid="{00000000-0005-0000-0000-0000E6820000}"/>
    <cellStyle name="Normal 166 3 3 2 2" xfId="11506" xr:uid="{00000000-0005-0000-0000-0000E7820000}"/>
    <cellStyle name="Normal 166 3 3 2 3" xfId="17261" xr:uid="{00000000-0005-0000-0000-0000E8820000}"/>
    <cellStyle name="Normal 166 3 3 3" xfId="11505" xr:uid="{00000000-0005-0000-0000-0000E9820000}"/>
    <cellStyle name="Normal 166 3 3 4" xfId="17260" xr:uid="{00000000-0005-0000-0000-0000EA820000}"/>
    <cellStyle name="Normal 166 3 3_LNG &amp; LPG rework" xfId="6884" xr:uid="{00000000-0005-0000-0000-0000EB820000}"/>
    <cellStyle name="Normal 166 3 4" xfId="2835" xr:uid="{00000000-0005-0000-0000-0000EC820000}"/>
    <cellStyle name="Normal 166 3 4 2" xfId="11507" xr:uid="{00000000-0005-0000-0000-0000ED820000}"/>
    <cellStyle name="Normal 166 3 4 3" xfId="17262" xr:uid="{00000000-0005-0000-0000-0000EE820000}"/>
    <cellStyle name="Normal 166 3 5" xfId="11500" xr:uid="{00000000-0005-0000-0000-0000EF820000}"/>
    <cellStyle name="Normal 166 3 6" xfId="17255" xr:uid="{00000000-0005-0000-0000-0000F0820000}"/>
    <cellStyle name="Normal 166 3_LNG &amp; LPG rework" xfId="6883" xr:uid="{00000000-0005-0000-0000-0000F1820000}"/>
    <cellStyle name="Normal 166 4" xfId="2836" xr:uid="{00000000-0005-0000-0000-0000F2820000}"/>
    <cellStyle name="Normal 166 4 2" xfId="2837" xr:uid="{00000000-0005-0000-0000-0000F3820000}"/>
    <cellStyle name="Normal 166 4 2 2" xfId="2838" xr:uid="{00000000-0005-0000-0000-0000F4820000}"/>
    <cellStyle name="Normal 166 4 2 2 2" xfId="11510" xr:uid="{00000000-0005-0000-0000-0000F5820000}"/>
    <cellStyle name="Normal 166 4 2 2 3" xfId="17265" xr:uid="{00000000-0005-0000-0000-0000F6820000}"/>
    <cellStyle name="Normal 166 4 2 3" xfId="11509" xr:uid="{00000000-0005-0000-0000-0000F7820000}"/>
    <cellStyle name="Normal 166 4 2 4" xfId="17264" xr:uid="{00000000-0005-0000-0000-0000F8820000}"/>
    <cellStyle name="Normal 166 4 2_LNG &amp; LPG rework" xfId="6886" xr:uid="{00000000-0005-0000-0000-0000F9820000}"/>
    <cellStyle name="Normal 166 4 3" xfId="2839" xr:uid="{00000000-0005-0000-0000-0000FA820000}"/>
    <cellStyle name="Normal 166 4 3 2" xfId="11511" xr:uid="{00000000-0005-0000-0000-0000FB820000}"/>
    <cellStyle name="Normal 166 4 3 3" xfId="17266" xr:uid="{00000000-0005-0000-0000-0000FC820000}"/>
    <cellStyle name="Normal 166 4 4" xfId="11508" xr:uid="{00000000-0005-0000-0000-0000FD820000}"/>
    <cellStyle name="Normal 166 4 5" xfId="17263" xr:uid="{00000000-0005-0000-0000-0000FE820000}"/>
    <cellStyle name="Normal 166 4_LNG &amp; LPG rework" xfId="6885" xr:uid="{00000000-0005-0000-0000-0000FF820000}"/>
    <cellStyle name="Normal 166 5" xfId="2840" xr:uid="{00000000-0005-0000-0000-000000830000}"/>
    <cellStyle name="Normal 166 5 2" xfId="2841" xr:uid="{00000000-0005-0000-0000-000001830000}"/>
    <cellStyle name="Normal 166 5 2 2" xfId="11513" xr:uid="{00000000-0005-0000-0000-000002830000}"/>
    <cellStyle name="Normal 166 5 2 3" xfId="17268" xr:uid="{00000000-0005-0000-0000-000003830000}"/>
    <cellStyle name="Normal 166 5 3" xfId="11512" xr:uid="{00000000-0005-0000-0000-000004830000}"/>
    <cellStyle name="Normal 166 5 4" xfId="17267" xr:uid="{00000000-0005-0000-0000-000005830000}"/>
    <cellStyle name="Normal 166 5_LNG &amp; LPG rework" xfId="6887" xr:uid="{00000000-0005-0000-0000-000006830000}"/>
    <cellStyle name="Normal 166 6" xfId="2842" xr:uid="{00000000-0005-0000-0000-000007830000}"/>
    <cellStyle name="Normal 166 6 2" xfId="11514" xr:uid="{00000000-0005-0000-0000-000008830000}"/>
    <cellStyle name="Normal 166 6 3" xfId="17269" xr:uid="{00000000-0005-0000-0000-000009830000}"/>
    <cellStyle name="Normal 166 7" xfId="11491" xr:uid="{00000000-0005-0000-0000-00000A830000}"/>
    <cellStyle name="Normal 166 8" xfId="17246" xr:uid="{00000000-0005-0000-0000-00000B830000}"/>
    <cellStyle name="Normal 166_LNG &amp; LPG rework" xfId="6654" xr:uid="{00000000-0005-0000-0000-00000C830000}"/>
    <cellStyle name="Normal 167" xfId="2843" xr:uid="{00000000-0005-0000-0000-00000D830000}"/>
    <cellStyle name="Normal 167 2" xfId="2844" xr:uid="{00000000-0005-0000-0000-00000E830000}"/>
    <cellStyle name="Normal 167 2 2" xfId="2845" xr:uid="{00000000-0005-0000-0000-00000F830000}"/>
    <cellStyle name="Normal 167 2 2 2" xfId="2846" xr:uid="{00000000-0005-0000-0000-000010830000}"/>
    <cellStyle name="Normal 167 2 2 2 2" xfId="2847" xr:uid="{00000000-0005-0000-0000-000011830000}"/>
    <cellStyle name="Normal 167 2 2 2 2 2" xfId="11519" xr:uid="{00000000-0005-0000-0000-000012830000}"/>
    <cellStyle name="Normal 167 2 2 2 2 3" xfId="17274" xr:uid="{00000000-0005-0000-0000-000013830000}"/>
    <cellStyle name="Normal 167 2 2 2 3" xfId="11518" xr:uid="{00000000-0005-0000-0000-000014830000}"/>
    <cellStyle name="Normal 167 2 2 2 4" xfId="17273" xr:uid="{00000000-0005-0000-0000-000015830000}"/>
    <cellStyle name="Normal 167 2 2 2_LNG &amp; LPG rework" xfId="6890" xr:uid="{00000000-0005-0000-0000-000016830000}"/>
    <cellStyle name="Normal 167 2 2 3" xfId="2848" xr:uid="{00000000-0005-0000-0000-000017830000}"/>
    <cellStyle name="Normal 167 2 2 3 2" xfId="11520" xr:uid="{00000000-0005-0000-0000-000018830000}"/>
    <cellStyle name="Normal 167 2 2 3 3" xfId="17275" xr:uid="{00000000-0005-0000-0000-000019830000}"/>
    <cellStyle name="Normal 167 2 2 4" xfId="11517" xr:uid="{00000000-0005-0000-0000-00001A830000}"/>
    <cellStyle name="Normal 167 2 2 5" xfId="17272" xr:uid="{00000000-0005-0000-0000-00001B830000}"/>
    <cellStyle name="Normal 167 2 2_LNG &amp; LPG rework" xfId="6889" xr:uid="{00000000-0005-0000-0000-00001C830000}"/>
    <cellStyle name="Normal 167 2 3" xfId="2849" xr:uid="{00000000-0005-0000-0000-00001D830000}"/>
    <cellStyle name="Normal 167 2 3 2" xfId="2850" xr:uid="{00000000-0005-0000-0000-00001E830000}"/>
    <cellStyle name="Normal 167 2 3 2 2" xfId="11522" xr:uid="{00000000-0005-0000-0000-00001F830000}"/>
    <cellStyle name="Normal 167 2 3 2 3" xfId="17277" xr:uid="{00000000-0005-0000-0000-000020830000}"/>
    <cellStyle name="Normal 167 2 3 3" xfId="11521" xr:uid="{00000000-0005-0000-0000-000021830000}"/>
    <cellStyle name="Normal 167 2 3 4" xfId="17276" xr:uid="{00000000-0005-0000-0000-000022830000}"/>
    <cellStyle name="Normal 167 2 3_LNG &amp; LPG rework" xfId="6892" xr:uid="{00000000-0005-0000-0000-000023830000}"/>
    <cellStyle name="Normal 167 2 4" xfId="2851" xr:uid="{00000000-0005-0000-0000-000024830000}"/>
    <cellStyle name="Normal 167 2 4 2" xfId="11523" xr:uid="{00000000-0005-0000-0000-000025830000}"/>
    <cellStyle name="Normal 167 2 4 3" xfId="17278" xr:uid="{00000000-0005-0000-0000-000026830000}"/>
    <cellStyle name="Normal 167 2 5" xfId="11516" xr:uid="{00000000-0005-0000-0000-000027830000}"/>
    <cellStyle name="Normal 167 2 6" xfId="17271" xr:uid="{00000000-0005-0000-0000-000028830000}"/>
    <cellStyle name="Normal 167 2_LNG &amp; LPG rework" xfId="6891" xr:uid="{00000000-0005-0000-0000-000029830000}"/>
    <cellStyle name="Normal 167 3" xfId="2852" xr:uid="{00000000-0005-0000-0000-00002A830000}"/>
    <cellStyle name="Normal 167 3 2" xfId="2853" xr:uid="{00000000-0005-0000-0000-00002B830000}"/>
    <cellStyle name="Normal 167 3 2 2" xfId="2854" xr:uid="{00000000-0005-0000-0000-00002C830000}"/>
    <cellStyle name="Normal 167 3 2 2 2" xfId="2855" xr:uid="{00000000-0005-0000-0000-00002D830000}"/>
    <cellStyle name="Normal 167 3 2 2 2 2" xfId="11527" xr:uid="{00000000-0005-0000-0000-00002E830000}"/>
    <cellStyle name="Normal 167 3 2 2 2 3" xfId="17282" xr:uid="{00000000-0005-0000-0000-00002F830000}"/>
    <cellStyle name="Normal 167 3 2 2 3" xfId="11526" xr:uid="{00000000-0005-0000-0000-000030830000}"/>
    <cellStyle name="Normal 167 3 2 2 4" xfId="17281" xr:uid="{00000000-0005-0000-0000-000031830000}"/>
    <cellStyle name="Normal 167 3 2 2_LNG &amp; LPG rework" xfId="6978" xr:uid="{00000000-0005-0000-0000-000032830000}"/>
    <cellStyle name="Normal 167 3 2 3" xfId="2856" xr:uid="{00000000-0005-0000-0000-000033830000}"/>
    <cellStyle name="Normal 167 3 2 3 2" xfId="11528" xr:uid="{00000000-0005-0000-0000-000034830000}"/>
    <cellStyle name="Normal 167 3 2 3 3" xfId="17283" xr:uid="{00000000-0005-0000-0000-000035830000}"/>
    <cellStyle name="Normal 167 3 2 4" xfId="11525" xr:uid="{00000000-0005-0000-0000-000036830000}"/>
    <cellStyle name="Normal 167 3 2 5" xfId="17280" xr:uid="{00000000-0005-0000-0000-000037830000}"/>
    <cellStyle name="Normal 167 3 2_LNG &amp; LPG rework" xfId="6894" xr:uid="{00000000-0005-0000-0000-000038830000}"/>
    <cellStyle name="Normal 167 3 3" xfId="2857" xr:uid="{00000000-0005-0000-0000-000039830000}"/>
    <cellStyle name="Normal 167 3 3 2" xfId="2858" xr:uid="{00000000-0005-0000-0000-00003A830000}"/>
    <cellStyle name="Normal 167 3 3 2 2" xfId="11530" xr:uid="{00000000-0005-0000-0000-00003B830000}"/>
    <cellStyle name="Normal 167 3 3 2 3" xfId="17285" xr:uid="{00000000-0005-0000-0000-00003C830000}"/>
    <cellStyle name="Normal 167 3 3 3" xfId="11529" xr:uid="{00000000-0005-0000-0000-00003D830000}"/>
    <cellStyle name="Normal 167 3 3 4" xfId="17284" xr:uid="{00000000-0005-0000-0000-00003E830000}"/>
    <cellStyle name="Normal 167 3 3_LNG &amp; LPG rework" xfId="6895" xr:uid="{00000000-0005-0000-0000-00003F830000}"/>
    <cellStyle name="Normal 167 3 4" xfId="2859" xr:uid="{00000000-0005-0000-0000-000040830000}"/>
    <cellStyle name="Normal 167 3 4 2" xfId="11531" xr:uid="{00000000-0005-0000-0000-000041830000}"/>
    <cellStyle name="Normal 167 3 4 3" xfId="17286" xr:uid="{00000000-0005-0000-0000-000042830000}"/>
    <cellStyle name="Normal 167 3 5" xfId="11524" xr:uid="{00000000-0005-0000-0000-000043830000}"/>
    <cellStyle name="Normal 167 3 6" xfId="17279" xr:uid="{00000000-0005-0000-0000-000044830000}"/>
    <cellStyle name="Normal 167 3_LNG &amp; LPG rework" xfId="6893" xr:uid="{00000000-0005-0000-0000-000045830000}"/>
    <cellStyle name="Normal 167 4" xfId="2860" xr:uid="{00000000-0005-0000-0000-000046830000}"/>
    <cellStyle name="Normal 167 4 2" xfId="2861" xr:uid="{00000000-0005-0000-0000-000047830000}"/>
    <cellStyle name="Normal 167 4 2 2" xfId="2862" xr:uid="{00000000-0005-0000-0000-000048830000}"/>
    <cellStyle name="Normal 167 4 2 2 2" xfId="11534" xr:uid="{00000000-0005-0000-0000-000049830000}"/>
    <cellStyle name="Normal 167 4 2 2 3" xfId="17289" xr:uid="{00000000-0005-0000-0000-00004A830000}"/>
    <cellStyle name="Normal 167 4 2 3" xfId="11533" xr:uid="{00000000-0005-0000-0000-00004B830000}"/>
    <cellStyle name="Normal 167 4 2 4" xfId="17288" xr:uid="{00000000-0005-0000-0000-00004C830000}"/>
    <cellStyle name="Normal 167 4 2_LNG &amp; LPG rework" xfId="6896" xr:uid="{00000000-0005-0000-0000-00004D830000}"/>
    <cellStyle name="Normal 167 4 3" xfId="2863" xr:uid="{00000000-0005-0000-0000-00004E830000}"/>
    <cellStyle name="Normal 167 4 3 2" xfId="11535" xr:uid="{00000000-0005-0000-0000-00004F830000}"/>
    <cellStyle name="Normal 167 4 3 3" xfId="17290" xr:uid="{00000000-0005-0000-0000-000050830000}"/>
    <cellStyle name="Normal 167 4 4" xfId="11532" xr:uid="{00000000-0005-0000-0000-000051830000}"/>
    <cellStyle name="Normal 167 4 5" xfId="17287" xr:uid="{00000000-0005-0000-0000-000052830000}"/>
    <cellStyle name="Normal 167 4_LNG &amp; LPG rework" xfId="6897" xr:uid="{00000000-0005-0000-0000-000053830000}"/>
    <cellStyle name="Normal 167 5" xfId="2864" xr:uid="{00000000-0005-0000-0000-000054830000}"/>
    <cellStyle name="Normal 167 5 2" xfId="2865" xr:uid="{00000000-0005-0000-0000-000055830000}"/>
    <cellStyle name="Normal 167 5 2 2" xfId="11537" xr:uid="{00000000-0005-0000-0000-000056830000}"/>
    <cellStyle name="Normal 167 5 2 3" xfId="17292" xr:uid="{00000000-0005-0000-0000-000057830000}"/>
    <cellStyle name="Normal 167 5 3" xfId="11536" xr:uid="{00000000-0005-0000-0000-000058830000}"/>
    <cellStyle name="Normal 167 5 4" xfId="17291" xr:uid="{00000000-0005-0000-0000-000059830000}"/>
    <cellStyle name="Normal 167 5_LNG &amp; LPG rework" xfId="6898" xr:uid="{00000000-0005-0000-0000-00005A830000}"/>
    <cellStyle name="Normal 167 6" xfId="2866" xr:uid="{00000000-0005-0000-0000-00005B830000}"/>
    <cellStyle name="Normal 167 6 2" xfId="11538" xr:uid="{00000000-0005-0000-0000-00005C830000}"/>
    <cellStyle name="Normal 167 6 3" xfId="17293" xr:uid="{00000000-0005-0000-0000-00005D830000}"/>
    <cellStyle name="Normal 167 7" xfId="11515" xr:uid="{00000000-0005-0000-0000-00005E830000}"/>
    <cellStyle name="Normal 167 8" xfId="17270" xr:uid="{00000000-0005-0000-0000-00005F830000}"/>
    <cellStyle name="Normal 167_LNG &amp; LPG rework" xfId="6888" xr:uid="{00000000-0005-0000-0000-000060830000}"/>
    <cellStyle name="Normal 168" xfId="2867" xr:uid="{00000000-0005-0000-0000-000061830000}"/>
    <cellStyle name="Normal 168 2" xfId="2868" xr:uid="{00000000-0005-0000-0000-000062830000}"/>
    <cellStyle name="Normal 168 2 2" xfId="2869" xr:uid="{00000000-0005-0000-0000-000063830000}"/>
    <cellStyle name="Normal 168 2 2 2" xfId="2870" xr:uid="{00000000-0005-0000-0000-000064830000}"/>
    <cellStyle name="Normal 168 2 2 2 2" xfId="2871" xr:uid="{00000000-0005-0000-0000-000065830000}"/>
    <cellStyle name="Normal 168 2 2 2 2 2" xfId="11543" xr:uid="{00000000-0005-0000-0000-000066830000}"/>
    <cellStyle name="Normal 168 2 2 2 2 3" xfId="17298" xr:uid="{00000000-0005-0000-0000-000067830000}"/>
    <cellStyle name="Normal 168 2 2 2 3" xfId="11542" xr:uid="{00000000-0005-0000-0000-000068830000}"/>
    <cellStyle name="Normal 168 2 2 2 4" xfId="17297" xr:uid="{00000000-0005-0000-0000-000069830000}"/>
    <cellStyle name="Normal 168 2 2 2_LNG &amp; LPG rework" xfId="6901" xr:uid="{00000000-0005-0000-0000-00006A830000}"/>
    <cellStyle name="Normal 168 2 2 3" xfId="2872" xr:uid="{00000000-0005-0000-0000-00006B830000}"/>
    <cellStyle name="Normal 168 2 2 3 2" xfId="11544" xr:uid="{00000000-0005-0000-0000-00006C830000}"/>
    <cellStyle name="Normal 168 2 2 3 3" xfId="17299" xr:uid="{00000000-0005-0000-0000-00006D830000}"/>
    <cellStyle name="Normal 168 2 2 4" xfId="11541" xr:uid="{00000000-0005-0000-0000-00006E830000}"/>
    <cellStyle name="Normal 168 2 2 5" xfId="17296" xr:uid="{00000000-0005-0000-0000-00006F830000}"/>
    <cellStyle name="Normal 168 2 2_LNG &amp; LPG rework" xfId="6902" xr:uid="{00000000-0005-0000-0000-000070830000}"/>
    <cellStyle name="Normal 168 2 3" xfId="2873" xr:uid="{00000000-0005-0000-0000-000071830000}"/>
    <cellStyle name="Normal 168 2 3 2" xfId="2874" xr:uid="{00000000-0005-0000-0000-000072830000}"/>
    <cellStyle name="Normal 168 2 3 2 2" xfId="11546" xr:uid="{00000000-0005-0000-0000-000073830000}"/>
    <cellStyle name="Normal 168 2 3 2 3" xfId="17301" xr:uid="{00000000-0005-0000-0000-000074830000}"/>
    <cellStyle name="Normal 168 2 3 3" xfId="11545" xr:uid="{00000000-0005-0000-0000-000075830000}"/>
    <cellStyle name="Normal 168 2 3 4" xfId="17300" xr:uid="{00000000-0005-0000-0000-000076830000}"/>
    <cellStyle name="Normal 168 2 3_LNG &amp; LPG rework" xfId="6903" xr:uid="{00000000-0005-0000-0000-000077830000}"/>
    <cellStyle name="Normal 168 2 4" xfId="2875" xr:uid="{00000000-0005-0000-0000-000078830000}"/>
    <cellStyle name="Normal 168 2 4 2" xfId="11547" xr:uid="{00000000-0005-0000-0000-000079830000}"/>
    <cellStyle name="Normal 168 2 4 3" xfId="17302" xr:uid="{00000000-0005-0000-0000-00007A830000}"/>
    <cellStyle name="Normal 168 2 5" xfId="11540" xr:uid="{00000000-0005-0000-0000-00007B830000}"/>
    <cellStyle name="Normal 168 2 6" xfId="17295" xr:uid="{00000000-0005-0000-0000-00007C830000}"/>
    <cellStyle name="Normal 168 2_LNG &amp; LPG rework" xfId="6900" xr:uid="{00000000-0005-0000-0000-00007D830000}"/>
    <cellStyle name="Normal 168 3" xfId="2876" xr:uid="{00000000-0005-0000-0000-00007E830000}"/>
    <cellStyle name="Normal 168 3 2" xfId="2877" xr:uid="{00000000-0005-0000-0000-00007F830000}"/>
    <cellStyle name="Normal 168 3 2 2" xfId="2878" xr:uid="{00000000-0005-0000-0000-000080830000}"/>
    <cellStyle name="Normal 168 3 2 2 2" xfId="2879" xr:uid="{00000000-0005-0000-0000-000081830000}"/>
    <cellStyle name="Normal 168 3 2 2 2 2" xfId="11551" xr:uid="{00000000-0005-0000-0000-000082830000}"/>
    <cellStyle name="Normal 168 3 2 2 2 3" xfId="17306" xr:uid="{00000000-0005-0000-0000-000083830000}"/>
    <cellStyle name="Normal 168 3 2 2 3" xfId="11550" xr:uid="{00000000-0005-0000-0000-000084830000}"/>
    <cellStyle name="Normal 168 3 2 2 4" xfId="17305" xr:uid="{00000000-0005-0000-0000-000085830000}"/>
    <cellStyle name="Normal 168 3 2 2_LNG &amp; LPG rework" xfId="6906" xr:uid="{00000000-0005-0000-0000-000086830000}"/>
    <cellStyle name="Normal 168 3 2 3" xfId="2880" xr:uid="{00000000-0005-0000-0000-000087830000}"/>
    <cellStyle name="Normal 168 3 2 3 2" xfId="11552" xr:uid="{00000000-0005-0000-0000-000088830000}"/>
    <cellStyle name="Normal 168 3 2 3 3" xfId="17307" xr:uid="{00000000-0005-0000-0000-000089830000}"/>
    <cellStyle name="Normal 168 3 2 4" xfId="11549" xr:uid="{00000000-0005-0000-0000-00008A830000}"/>
    <cellStyle name="Normal 168 3 2 5" xfId="17304" xr:uid="{00000000-0005-0000-0000-00008B830000}"/>
    <cellStyle name="Normal 168 3 2_LNG &amp; LPG rework" xfId="6905" xr:uid="{00000000-0005-0000-0000-00008C830000}"/>
    <cellStyle name="Normal 168 3 3" xfId="2881" xr:uid="{00000000-0005-0000-0000-00008D830000}"/>
    <cellStyle name="Normal 168 3 3 2" xfId="2882" xr:uid="{00000000-0005-0000-0000-00008E830000}"/>
    <cellStyle name="Normal 168 3 3 2 2" xfId="11554" xr:uid="{00000000-0005-0000-0000-00008F830000}"/>
    <cellStyle name="Normal 168 3 3 2 3" xfId="17309" xr:uid="{00000000-0005-0000-0000-000090830000}"/>
    <cellStyle name="Normal 168 3 3 3" xfId="11553" xr:uid="{00000000-0005-0000-0000-000091830000}"/>
    <cellStyle name="Normal 168 3 3 4" xfId="17308" xr:uid="{00000000-0005-0000-0000-000092830000}"/>
    <cellStyle name="Normal 168 3 3_LNG &amp; LPG rework" xfId="6907" xr:uid="{00000000-0005-0000-0000-000093830000}"/>
    <cellStyle name="Normal 168 3 4" xfId="2883" xr:uid="{00000000-0005-0000-0000-000094830000}"/>
    <cellStyle name="Normal 168 3 4 2" xfId="11555" xr:uid="{00000000-0005-0000-0000-000095830000}"/>
    <cellStyle name="Normal 168 3 4 3" xfId="17310" xr:uid="{00000000-0005-0000-0000-000096830000}"/>
    <cellStyle name="Normal 168 3 5" xfId="11548" xr:uid="{00000000-0005-0000-0000-000097830000}"/>
    <cellStyle name="Normal 168 3 6" xfId="17303" xr:uid="{00000000-0005-0000-0000-000098830000}"/>
    <cellStyle name="Normal 168 3_LNG &amp; LPG rework" xfId="6904" xr:uid="{00000000-0005-0000-0000-000099830000}"/>
    <cellStyle name="Normal 168 4" xfId="2884" xr:uid="{00000000-0005-0000-0000-00009A830000}"/>
    <cellStyle name="Normal 168 4 2" xfId="2885" xr:uid="{00000000-0005-0000-0000-00009B830000}"/>
    <cellStyle name="Normal 168 4 2 2" xfId="2886" xr:uid="{00000000-0005-0000-0000-00009C830000}"/>
    <cellStyle name="Normal 168 4 2 2 2" xfId="11558" xr:uid="{00000000-0005-0000-0000-00009D830000}"/>
    <cellStyle name="Normal 168 4 2 2 3" xfId="17313" xr:uid="{00000000-0005-0000-0000-00009E830000}"/>
    <cellStyle name="Normal 168 4 2 3" xfId="11557" xr:uid="{00000000-0005-0000-0000-00009F830000}"/>
    <cellStyle name="Normal 168 4 2 4" xfId="17312" xr:uid="{00000000-0005-0000-0000-0000A0830000}"/>
    <cellStyle name="Normal 168 4 2_LNG &amp; LPG rework" xfId="6908" xr:uid="{00000000-0005-0000-0000-0000A1830000}"/>
    <cellStyle name="Normal 168 4 3" xfId="2887" xr:uid="{00000000-0005-0000-0000-0000A2830000}"/>
    <cellStyle name="Normal 168 4 3 2" xfId="11559" xr:uid="{00000000-0005-0000-0000-0000A3830000}"/>
    <cellStyle name="Normal 168 4 3 3" xfId="17314" xr:uid="{00000000-0005-0000-0000-0000A4830000}"/>
    <cellStyle name="Normal 168 4 4" xfId="11556" xr:uid="{00000000-0005-0000-0000-0000A5830000}"/>
    <cellStyle name="Normal 168 4 5" xfId="17311" xr:uid="{00000000-0005-0000-0000-0000A6830000}"/>
    <cellStyle name="Normal 168 4_LNG &amp; LPG rework" xfId="6909" xr:uid="{00000000-0005-0000-0000-0000A7830000}"/>
    <cellStyle name="Normal 168 5" xfId="2888" xr:uid="{00000000-0005-0000-0000-0000A8830000}"/>
    <cellStyle name="Normal 168 5 2" xfId="2889" xr:uid="{00000000-0005-0000-0000-0000A9830000}"/>
    <cellStyle name="Normal 168 5 2 2" xfId="11561" xr:uid="{00000000-0005-0000-0000-0000AA830000}"/>
    <cellStyle name="Normal 168 5 2 3" xfId="17316" xr:uid="{00000000-0005-0000-0000-0000AB830000}"/>
    <cellStyle name="Normal 168 5 3" xfId="11560" xr:uid="{00000000-0005-0000-0000-0000AC830000}"/>
    <cellStyle name="Normal 168 5 4" xfId="17315" xr:uid="{00000000-0005-0000-0000-0000AD830000}"/>
    <cellStyle name="Normal 168 5_LNG &amp; LPG rework" xfId="6910" xr:uid="{00000000-0005-0000-0000-0000AE830000}"/>
    <cellStyle name="Normal 168 6" xfId="2890" xr:uid="{00000000-0005-0000-0000-0000AF830000}"/>
    <cellStyle name="Normal 168 6 2" xfId="11562" xr:uid="{00000000-0005-0000-0000-0000B0830000}"/>
    <cellStyle name="Normal 168 6 3" xfId="17317" xr:uid="{00000000-0005-0000-0000-0000B1830000}"/>
    <cellStyle name="Normal 168 7" xfId="11539" xr:uid="{00000000-0005-0000-0000-0000B2830000}"/>
    <cellStyle name="Normal 168 8" xfId="17294" xr:uid="{00000000-0005-0000-0000-0000B3830000}"/>
    <cellStyle name="Normal 168_LNG &amp; LPG rework" xfId="6899" xr:uid="{00000000-0005-0000-0000-0000B4830000}"/>
    <cellStyle name="Normal 169" xfId="2891" xr:uid="{00000000-0005-0000-0000-0000B5830000}"/>
    <cellStyle name="Normal 17" xfId="368" xr:uid="{00000000-0005-0000-0000-0000B6830000}"/>
    <cellStyle name="Normal 17 2" xfId="2892" xr:uid="{00000000-0005-0000-0000-0000B7830000}"/>
    <cellStyle name="Normal 17 3" xfId="2893" xr:uid="{00000000-0005-0000-0000-0000B8830000}"/>
    <cellStyle name="Normal 17 4" xfId="2894" xr:uid="{00000000-0005-0000-0000-0000B9830000}"/>
    <cellStyle name="Normal 17 5" xfId="2895" xr:uid="{00000000-0005-0000-0000-0000BA830000}"/>
    <cellStyle name="Normal 17 6" xfId="7835" xr:uid="{00000000-0005-0000-0000-0000BB830000}"/>
    <cellStyle name="Normal 17_LNG &amp; LPG rework" xfId="6911" xr:uid="{00000000-0005-0000-0000-0000BC830000}"/>
    <cellStyle name="Normal 170" xfId="2896" xr:uid="{00000000-0005-0000-0000-0000BD830000}"/>
    <cellStyle name="Normal 171" xfId="2897" xr:uid="{00000000-0005-0000-0000-0000BE830000}"/>
    <cellStyle name="Normal 172" xfId="2898" xr:uid="{00000000-0005-0000-0000-0000BF830000}"/>
    <cellStyle name="Normal 173" xfId="2899" xr:uid="{00000000-0005-0000-0000-0000C0830000}"/>
    <cellStyle name="Normal 173 2" xfId="2900" xr:uid="{00000000-0005-0000-0000-0000C1830000}"/>
    <cellStyle name="Normal 173 2 2" xfId="2901" xr:uid="{00000000-0005-0000-0000-0000C2830000}"/>
    <cellStyle name="Normal 173 2 2 2" xfId="2902" xr:uid="{00000000-0005-0000-0000-0000C3830000}"/>
    <cellStyle name="Normal 173 2 2 2 2" xfId="2903" xr:uid="{00000000-0005-0000-0000-0000C4830000}"/>
    <cellStyle name="Normal 173 2 2 2 2 2" xfId="11567" xr:uid="{00000000-0005-0000-0000-0000C5830000}"/>
    <cellStyle name="Normal 173 2 2 2 2 3" xfId="17322" xr:uid="{00000000-0005-0000-0000-0000C6830000}"/>
    <cellStyle name="Normal 173 2 2 2 3" xfId="11566" xr:uid="{00000000-0005-0000-0000-0000C7830000}"/>
    <cellStyle name="Normal 173 2 2 2 4" xfId="17321" xr:uid="{00000000-0005-0000-0000-0000C8830000}"/>
    <cellStyle name="Normal 173 2 2 2_LNG &amp; LPG rework" xfId="6648" xr:uid="{00000000-0005-0000-0000-0000C9830000}"/>
    <cellStyle name="Normal 173 2 2 3" xfId="2904" xr:uid="{00000000-0005-0000-0000-0000CA830000}"/>
    <cellStyle name="Normal 173 2 2 3 2" xfId="11568" xr:uid="{00000000-0005-0000-0000-0000CB830000}"/>
    <cellStyle name="Normal 173 2 2 3 3" xfId="17323" xr:uid="{00000000-0005-0000-0000-0000CC830000}"/>
    <cellStyle name="Normal 173 2 2 4" xfId="11565" xr:uid="{00000000-0005-0000-0000-0000CD830000}"/>
    <cellStyle name="Normal 173 2 2 5" xfId="17320" xr:uid="{00000000-0005-0000-0000-0000CE830000}"/>
    <cellStyle name="Normal 173 2 2_LNG &amp; LPG rework" xfId="6649" xr:uid="{00000000-0005-0000-0000-0000CF830000}"/>
    <cellStyle name="Normal 173 2 3" xfId="2905" xr:uid="{00000000-0005-0000-0000-0000D0830000}"/>
    <cellStyle name="Normal 173 2 3 2" xfId="2906" xr:uid="{00000000-0005-0000-0000-0000D1830000}"/>
    <cellStyle name="Normal 173 2 3 2 2" xfId="11570" xr:uid="{00000000-0005-0000-0000-0000D2830000}"/>
    <cellStyle name="Normal 173 2 3 2 3" xfId="17325" xr:uid="{00000000-0005-0000-0000-0000D3830000}"/>
    <cellStyle name="Normal 173 2 3 3" xfId="11569" xr:uid="{00000000-0005-0000-0000-0000D4830000}"/>
    <cellStyle name="Normal 173 2 3 4" xfId="17324" xr:uid="{00000000-0005-0000-0000-0000D5830000}"/>
    <cellStyle name="Normal 173 2 3_LNG &amp; LPG rework" xfId="6647" xr:uid="{00000000-0005-0000-0000-0000D6830000}"/>
    <cellStyle name="Normal 173 2 4" xfId="2907" xr:uid="{00000000-0005-0000-0000-0000D7830000}"/>
    <cellStyle name="Normal 173 2 4 2" xfId="11571" xr:uid="{00000000-0005-0000-0000-0000D8830000}"/>
    <cellStyle name="Normal 173 2 4 3" xfId="17326" xr:uid="{00000000-0005-0000-0000-0000D9830000}"/>
    <cellStyle name="Normal 173 2 5" xfId="11564" xr:uid="{00000000-0005-0000-0000-0000DA830000}"/>
    <cellStyle name="Normal 173 2 6" xfId="17319" xr:uid="{00000000-0005-0000-0000-0000DB830000}"/>
    <cellStyle name="Normal 173 2_LNG &amp; LPG rework" xfId="6650" xr:uid="{00000000-0005-0000-0000-0000DC830000}"/>
    <cellStyle name="Normal 173 3" xfId="2908" xr:uid="{00000000-0005-0000-0000-0000DD830000}"/>
    <cellStyle name="Normal 173 3 2" xfId="2909" xr:uid="{00000000-0005-0000-0000-0000DE830000}"/>
    <cellStyle name="Normal 173 3 2 2" xfId="2910" xr:uid="{00000000-0005-0000-0000-0000DF830000}"/>
    <cellStyle name="Normal 173 3 2 2 2" xfId="2911" xr:uid="{00000000-0005-0000-0000-0000E0830000}"/>
    <cellStyle name="Normal 173 3 2 2 2 2" xfId="11575" xr:uid="{00000000-0005-0000-0000-0000E1830000}"/>
    <cellStyle name="Normal 173 3 2 2 2 3" xfId="17330" xr:uid="{00000000-0005-0000-0000-0000E2830000}"/>
    <cellStyle name="Normal 173 3 2 2 3" xfId="11574" xr:uid="{00000000-0005-0000-0000-0000E3830000}"/>
    <cellStyle name="Normal 173 3 2 2 4" xfId="17329" xr:uid="{00000000-0005-0000-0000-0000E4830000}"/>
    <cellStyle name="Normal 173 3 2 2_LNG &amp; LPG rework" xfId="6644" xr:uid="{00000000-0005-0000-0000-0000E5830000}"/>
    <cellStyle name="Normal 173 3 2 3" xfId="2912" xr:uid="{00000000-0005-0000-0000-0000E6830000}"/>
    <cellStyle name="Normal 173 3 2 3 2" xfId="11576" xr:uid="{00000000-0005-0000-0000-0000E7830000}"/>
    <cellStyle name="Normal 173 3 2 3 3" xfId="17331" xr:uid="{00000000-0005-0000-0000-0000E8830000}"/>
    <cellStyle name="Normal 173 3 2 4" xfId="11573" xr:uid="{00000000-0005-0000-0000-0000E9830000}"/>
    <cellStyle name="Normal 173 3 2 5" xfId="17328" xr:uid="{00000000-0005-0000-0000-0000EA830000}"/>
    <cellStyle name="Normal 173 3 2_LNG &amp; LPG rework" xfId="6645" xr:uid="{00000000-0005-0000-0000-0000EB830000}"/>
    <cellStyle name="Normal 173 3 3" xfId="2913" xr:uid="{00000000-0005-0000-0000-0000EC830000}"/>
    <cellStyle name="Normal 173 3 3 2" xfId="2914" xr:uid="{00000000-0005-0000-0000-0000ED830000}"/>
    <cellStyle name="Normal 173 3 3 2 2" xfId="11578" xr:uid="{00000000-0005-0000-0000-0000EE830000}"/>
    <cellStyle name="Normal 173 3 3 2 3" xfId="17333" xr:uid="{00000000-0005-0000-0000-0000EF830000}"/>
    <cellStyle name="Normal 173 3 3 3" xfId="11577" xr:uid="{00000000-0005-0000-0000-0000F0830000}"/>
    <cellStyle name="Normal 173 3 3 4" xfId="17332" xr:uid="{00000000-0005-0000-0000-0000F1830000}"/>
    <cellStyle name="Normal 173 3 3_LNG &amp; LPG rework" xfId="6912" xr:uid="{00000000-0005-0000-0000-0000F2830000}"/>
    <cellStyle name="Normal 173 3 4" xfId="2915" xr:uid="{00000000-0005-0000-0000-0000F3830000}"/>
    <cellStyle name="Normal 173 3 4 2" xfId="11579" xr:uid="{00000000-0005-0000-0000-0000F4830000}"/>
    <cellStyle name="Normal 173 3 4 3" xfId="17334" xr:uid="{00000000-0005-0000-0000-0000F5830000}"/>
    <cellStyle name="Normal 173 3 5" xfId="11572" xr:uid="{00000000-0005-0000-0000-0000F6830000}"/>
    <cellStyle name="Normal 173 3 6" xfId="17327" xr:uid="{00000000-0005-0000-0000-0000F7830000}"/>
    <cellStyle name="Normal 173 3_LNG &amp; LPG rework" xfId="6646" xr:uid="{00000000-0005-0000-0000-0000F8830000}"/>
    <cellStyle name="Normal 173 4" xfId="2916" xr:uid="{00000000-0005-0000-0000-0000F9830000}"/>
    <cellStyle name="Normal 173 4 2" xfId="2917" xr:uid="{00000000-0005-0000-0000-0000FA830000}"/>
    <cellStyle name="Normal 173 4 2 2" xfId="2918" xr:uid="{00000000-0005-0000-0000-0000FB830000}"/>
    <cellStyle name="Normal 173 4 2 2 2" xfId="11582" xr:uid="{00000000-0005-0000-0000-0000FC830000}"/>
    <cellStyle name="Normal 173 4 2 2 3" xfId="17337" xr:uid="{00000000-0005-0000-0000-0000FD830000}"/>
    <cellStyle name="Normal 173 4 2 3" xfId="11581" xr:uid="{00000000-0005-0000-0000-0000FE830000}"/>
    <cellStyle name="Normal 173 4 2 4" xfId="17336" xr:uid="{00000000-0005-0000-0000-0000FF830000}"/>
    <cellStyle name="Normal 173 4 2_LNG &amp; LPG rework" xfId="6914" xr:uid="{00000000-0005-0000-0000-000000840000}"/>
    <cellStyle name="Normal 173 4 3" xfId="2919" xr:uid="{00000000-0005-0000-0000-000001840000}"/>
    <cellStyle name="Normal 173 4 3 2" xfId="11583" xr:uid="{00000000-0005-0000-0000-000002840000}"/>
    <cellStyle name="Normal 173 4 3 3" xfId="17338" xr:uid="{00000000-0005-0000-0000-000003840000}"/>
    <cellStyle name="Normal 173 4 4" xfId="11580" xr:uid="{00000000-0005-0000-0000-000004840000}"/>
    <cellStyle name="Normal 173 4 5" xfId="17335" xr:uid="{00000000-0005-0000-0000-000005840000}"/>
    <cellStyle name="Normal 173 4_LNG &amp; LPG rework" xfId="6913" xr:uid="{00000000-0005-0000-0000-000006840000}"/>
    <cellStyle name="Normal 173 5" xfId="2920" xr:uid="{00000000-0005-0000-0000-000007840000}"/>
    <cellStyle name="Normal 173 5 2" xfId="2921" xr:uid="{00000000-0005-0000-0000-000008840000}"/>
    <cellStyle name="Normal 173 5 2 2" xfId="11585" xr:uid="{00000000-0005-0000-0000-000009840000}"/>
    <cellStyle name="Normal 173 5 2 3" xfId="17340" xr:uid="{00000000-0005-0000-0000-00000A840000}"/>
    <cellStyle name="Normal 173 5 3" xfId="11584" xr:uid="{00000000-0005-0000-0000-00000B840000}"/>
    <cellStyle name="Normal 173 5 4" xfId="17339" xr:uid="{00000000-0005-0000-0000-00000C840000}"/>
    <cellStyle name="Normal 173 5_LNG &amp; LPG rework" xfId="6643" xr:uid="{00000000-0005-0000-0000-00000D840000}"/>
    <cellStyle name="Normal 173 6" xfId="2922" xr:uid="{00000000-0005-0000-0000-00000E840000}"/>
    <cellStyle name="Normal 173 6 2" xfId="11586" xr:uid="{00000000-0005-0000-0000-00000F840000}"/>
    <cellStyle name="Normal 173 6 3" xfId="17341" xr:uid="{00000000-0005-0000-0000-000010840000}"/>
    <cellStyle name="Normal 173 7" xfId="11563" xr:uid="{00000000-0005-0000-0000-000011840000}"/>
    <cellStyle name="Normal 173 8" xfId="17318" xr:uid="{00000000-0005-0000-0000-000012840000}"/>
    <cellStyle name="Normal 173_LNG &amp; LPG rework" xfId="6979" xr:uid="{00000000-0005-0000-0000-000013840000}"/>
    <cellStyle name="Normal 174" xfId="2923" xr:uid="{00000000-0005-0000-0000-000014840000}"/>
    <cellStyle name="Normal 174 2" xfId="2924" xr:uid="{00000000-0005-0000-0000-000015840000}"/>
    <cellStyle name="Normal 174 2 2" xfId="2925" xr:uid="{00000000-0005-0000-0000-000016840000}"/>
    <cellStyle name="Normal 174 2 2 2" xfId="2926" xr:uid="{00000000-0005-0000-0000-000017840000}"/>
    <cellStyle name="Normal 174 2 2 2 2" xfId="2927" xr:uid="{00000000-0005-0000-0000-000018840000}"/>
    <cellStyle name="Normal 174 2 2 2 2 2" xfId="11591" xr:uid="{00000000-0005-0000-0000-000019840000}"/>
    <cellStyle name="Normal 174 2 2 2 2 3" xfId="17346" xr:uid="{00000000-0005-0000-0000-00001A840000}"/>
    <cellStyle name="Normal 174 2 2 2 3" xfId="11590" xr:uid="{00000000-0005-0000-0000-00001B840000}"/>
    <cellStyle name="Normal 174 2 2 2 4" xfId="17345" xr:uid="{00000000-0005-0000-0000-00001C840000}"/>
    <cellStyle name="Normal 174 2 2 2_LNG &amp; LPG rework" xfId="6917" xr:uid="{00000000-0005-0000-0000-00001D840000}"/>
    <cellStyle name="Normal 174 2 2 3" xfId="2928" xr:uid="{00000000-0005-0000-0000-00001E840000}"/>
    <cellStyle name="Normal 174 2 2 3 2" xfId="11592" xr:uid="{00000000-0005-0000-0000-00001F840000}"/>
    <cellStyle name="Normal 174 2 2 3 3" xfId="17347" xr:uid="{00000000-0005-0000-0000-000020840000}"/>
    <cellStyle name="Normal 174 2 2 4" xfId="11589" xr:uid="{00000000-0005-0000-0000-000021840000}"/>
    <cellStyle name="Normal 174 2 2 5" xfId="17344" xr:uid="{00000000-0005-0000-0000-000022840000}"/>
    <cellStyle name="Normal 174 2 2_LNG &amp; LPG rework" xfId="6916" xr:uid="{00000000-0005-0000-0000-000023840000}"/>
    <cellStyle name="Normal 174 2 3" xfId="2929" xr:uid="{00000000-0005-0000-0000-000024840000}"/>
    <cellStyle name="Normal 174 2 3 2" xfId="2930" xr:uid="{00000000-0005-0000-0000-000025840000}"/>
    <cellStyle name="Normal 174 2 3 2 2" xfId="11594" xr:uid="{00000000-0005-0000-0000-000026840000}"/>
    <cellStyle name="Normal 174 2 3 2 3" xfId="17349" xr:uid="{00000000-0005-0000-0000-000027840000}"/>
    <cellStyle name="Normal 174 2 3 3" xfId="11593" xr:uid="{00000000-0005-0000-0000-000028840000}"/>
    <cellStyle name="Normal 174 2 3 4" xfId="17348" xr:uid="{00000000-0005-0000-0000-000029840000}"/>
    <cellStyle name="Normal 174 2 3_LNG &amp; LPG rework" xfId="6919" xr:uid="{00000000-0005-0000-0000-00002A840000}"/>
    <cellStyle name="Normal 174 2 4" xfId="2931" xr:uid="{00000000-0005-0000-0000-00002B840000}"/>
    <cellStyle name="Normal 174 2 4 2" xfId="11595" xr:uid="{00000000-0005-0000-0000-00002C840000}"/>
    <cellStyle name="Normal 174 2 4 3" xfId="17350" xr:uid="{00000000-0005-0000-0000-00002D840000}"/>
    <cellStyle name="Normal 174 2 5" xfId="11588" xr:uid="{00000000-0005-0000-0000-00002E840000}"/>
    <cellStyle name="Normal 174 2 6" xfId="17343" xr:uid="{00000000-0005-0000-0000-00002F840000}"/>
    <cellStyle name="Normal 174 2_LNG &amp; LPG rework" xfId="6918" xr:uid="{00000000-0005-0000-0000-000030840000}"/>
    <cellStyle name="Normal 174 3" xfId="2932" xr:uid="{00000000-0005-0000-0000-000031840000}"/>
    <cellStyle name="Normal 174 3 2" xfId="2933" xr:uid="{00000000-0005-0000-0000-000032840000}"/>
    <cellStyle name="Normal 174 3 2 2" xfId="2934" xr:uid="{00000000-0005-0000-0000-000033840000}"/>
    <cellStyle name="Normal 174 3 2 2 2" xfId="2935" xr:uid="{00000000-0005-0000-0000-000034840000}"/>
    <cellStyle name="Normal 174 3 2 2 2 2" xfId="11599" xr:uid="{00000000-0005-0000-0000-000035840000}"/>
    <cellStyle name="Normal 174 3 2 2 2 3" xfId="17354" xr:uid="{00000000-0005-0000-0000-000036840000}"/>
    <cellStyle name="Normal 174 3 2 2 3" xfId="11598" xr:uid="{00000000-0005-0000-0000-000037840000}"/>
    <cellStyle name="Normal 174 3 2 2 4" xfId="17353" xr:uid="{00000000-0005-0000-0000-000038840000}"/>
    <cellStyle name="Normal 174 3 2 2_LNG &amp; LPG rework" xfId="6922" xr:uid="{00000000-0005-0000-0000-000039840000}"/>
    <cellStyle name="Normal 174 3 2 3" xfId="2936" xr:uid="{00000000-0005-0000-0000-00003A840000}"/>
    <cellStyle name="Normal 174 3 2 3 2" xfId="11600" xr:uid="{00000000-0005-0000-0000-00003B840000}"/>
    <cellStyle name="Normal 174 3 2 3 3" xfId="17355" xr:uid="{00000000-0005-0000-0000-00003C840000}"/>
    <cellStyle name="Normal 174 3 2 4" xfId="11597" xr:uid="{00000000-0005-0000-0000-00003D840000}"/>
    <cellStyle name="Normal 174 3 2 5" xfId="17352" xr:uid="{00000000-0005-0000-0000-00003E840000}"/>
    <cellStyle name="Normal 174 3 2_LNG &amp; LPG rework" xfId="6921" xr:uid="{00000000-0005-0000-0000-00003F840000}"/>
    <cellStyle name="Normal 174 3 3" xfId="2937" xr:uid="{00000000-0005-0000-0000-000040840000}"/>
    <cellStyle name="Normal 174 3 3 2" xfId="2938" xr:uid="{00000000-0005-0000-0000-000041840000}"/>
    <cellStyle name="Normal 174 3 3 2 2" xfId="11602" xr:uid="{00000000-0005-0000-0000-000042840000}"/>
    <cellStyle name="Normal 174 3 3 2 3" xfId="17357" xr:uid="{00000000-0005-0000-0000-000043840000}"/>
    <cellStyle name="Normal 174 3 3 3" xfId="11601" xr:uid="{00000000-0005-0000-0000-000044840000}"/>
    <cellStyle name="Normal 174 3 3 4" xfId="17356" xr:uid="{00000000-0005-0000-0000-000045840000}"/>
    <cellStyle name="Normal 174 3 3_LNG &amp; LPG rework" xfId="6923" xr:uid="{00000000-0005-0000-0000-000046840000}"/>
    <cellStyle name="Normal 174 3 4" xfId="2939" xr:uid="{00000000-0005-0000-0000-000047840000}"/>
    <cellStyle name="Normal 174 3 4 2" xfId="11603" xr:uid="{00000000-0005-0000-0000-000048840000}"/>
    <cellStyle name="Normal 174 3 4 3" xfId="17358" xr:uid="{00000000-0005-0000-0000-000049840000}"/>
    <cellStyle name="Normal 174 3 5" xfId="11596" xr:uid="{00000000-0005-0000-0000-00004A840000}"/>
    <cellStyle name="Normal 174 3 6" xfId="17351" xr:uid="{00000000-0005-0000-0000-00004B840000}"/>
    <cellStyle name="Normal 174 3_LNG &amp; LPG rework" xfId="6920" xr:uid="{00000000-0005-0000-0000-00004C840000}"/>
    <cellStyle name="Normal 174 4" xfId="2940" xr:uid="{00000000-0005-0000-0000-00004D840000}"/>
    <cellStyle name="Normal 174 4 2" xfId="2941" xr:uid="{00000000-0005-0000-0000-00004E840000}"/>
    <cellStyle name="Normal 174 4 2 2" xfId="2942" xr:uid="{00000000-0005-0000-0000-00004F840000}"/>
    <cellStyle name="Normal 174 4 2 2 2" xfId="11606" xr:uid="{00000000-0005-0000-0000-000050840000}"/>
    <cellStyle name="Normal 174 4 2 2 3" xfId="17361" xr:uid="{00000000-0005-0000-0000-000051840000}"/>
    <cellStyle name="Normal 174 4 2 3" xfId="11605" xr:uid="{00000000-0005-0000-0000-000052840000}"/>
    <cellStyle name="Normal 174 4 2 4" xfId="17360" xr:uid="{00000000-0005-0000-0000-000053840000}"/>
    <cellStyle name="Normal 174 4 2_LNG &amp; LPG rework" xfId="6924" xr:uid="{00000000-0005-0000-0000-000054840000}"/>
    <cellStyle name="Normal 174 4 3" xfId="2943" xr:uid="{00000000-0005-0000-0000-000055840000}"/>
    <cellStyle name="Normal 174 4 3 2" xfId="11607" xr:uid="{00000000-0005-0000-0000-000056840000}"/>
    <cellStyle name="Normal 174 4 3 3" xfId="17362" xr:uid="{00000000-0005-0000-0000-000057840000}"/>
    <cellStyle name="Normal 174 4 4" xfId="11604" xr:uid="{00000000-0005-0000-0000-000058840000}"/>
    <cellStyle name="Normal 174 4 5" xfId="17359" xr:uid="{00000000-0005-0000-0000-000059840000}"/>
    <cellStyle name="Normal 174 4_LNG &amp; LPG rework" xfId="6925" xr:uid="{00000000-0005-0000-0000-00005A840000}"/>
    <cellStyle name="Normal 174 5" xfId="2944" xr:uid="{00000000-0005-0000-0000-00005B840000}"/>
    <cellStyle name="Normal 174 5 2" xfId="2945" xr:uid="{00000000-0005-0000-0000-00005C840000}"/>
    <cellStyle name="Normal 174 5 2 2" xfId="11609" xr:uid="{00000000-0005-0000-0000-00005D840000}"/>
    <cellStyle name="Normal 174 5 2 3" xfId="17364" xr:uid="{00000000-0005-0000-0000-00005E840000}"/>
    <cellStyle name="Normal 174 5 3" xfId="11608" xr:uid="{00000000-0005-0000-0000-00005F840000}"/>
    <cellStyle name="Normal 174 5 4" xfId="17363" xr:uid="{00000000-0005-0000-0000-000060840000}"/>
    <cellStyle name="Normal 174 5_LNG &amp; LPG rework" xfId="6926" xr:uid="{00000000-0005-0000-0000-000061840000}"/>
    <cellStyle name="Normal 174 6" xfId="2946" xr:uid="{00000000-0005-0000-0000-000062840000}"/>
    <cellStyle name="Normal 174 6 2" xfId="11610" xr:uid="{00000000-0005-0000-0000-000063840000}"/>
    <cellStyle name="Normal 174 6 3" xfId="17365" xr:uid="{00000000-0005-0000-0000-000064840000}"/>
    <cellStyle name="Normal 174 7" xfId="11587" xr:uid="{00000000-0005-0000-0000-000065840000}"/>
    <cellStyle name="Normal 174 8" xfId="17342" xr:uid="{00000000-0005-0000-0000-000066840000}"/>
    <cellStyle name="Normal 174_LNG &amp; LPG rework" xfId="6915" xr:uid="{00000000-0005-0000-0000-000067840000}"/>
    <cellStyle name="Normal 175" xfId="2947" xr:uid="{00000000-0005-0000-0000-000068840000}"/>
    <cellStyle name="Normal 175 2" xfId="2948" xr:uid="{00000000-0005-0000-0000-000069840000}"/>
    <cellStyle name="Normal 175 2 2" xfId="2949" xr:uid="{00000000-0005-0000-0000-00006A840000}"/>
    <cellStyle name="Normal 175 2 2 2" xfId="2950" xr:uid="{00000000-0005-0000-0000-00006B840000}"/>
    <cellStyle name="Normal 175 2 2 2 2" xfId="2951" xr:uid="{00000000-0005-0000-0000-00006C840000}"/>
    <cellStyle name="Normal 175 2 2 2 2 2" xfId="11615" xr:uid="{00000000-0005-0000-0000-00006D840000}"/>
    <cellStyle name="Normal 175 2 2 2 2 3" xfId="17370" xr:uid="{00000000-0005-0000-0000-00006E840000}"/>
    <cellStyle name="Normal 175 2 2 2 3" xfId="11614" xr:uid="{00000000-0005-0000-0000-00006F840000}"/>
    <cellStyle name="Normal 175 2 2 2 4" xfId="17369" xr:uid="{00000000-0005-0000-0000-000070840000}"/>
    <cellStyle name="Normal 175 2 2 2_LNG &amp; LPG rework" xfId="6929" xr:uid="{00000000-0005-0000-0000-000071840000}"/>
    <cellStyle name="Normal 175 2 2 3" xfId="2952" xr:uid="{00000000-0005-0000-0000-000072840000}"/>
    <cellStyle name="Normal 175 2 2 3 2" xfId="11616" xr:uid="{00000000-0005-0000-0000-000073840000}"/>
    <cellStyle name="Normal 175 2 2 3 3" xfId="17371" xr:uid="{00000000-0005-0000-0000-000074840000}"/>
    <cellStyle name="Normal 175 2 2 4" xfId="11613" xr:uid="{00000000-0005-0000-0000-000075840000}"/>
    <cellStyle name="Normal 175 2 2 5" xfId="17368" xr:uid="{00000000-0005-0000-0000-000076840000}"/>
    <cellStyle name="Normal 175 2 2_LNG &amp; LPG rework" xfId="6930" xr:uid="{00000000-0005-0000-0000-000077840000}"/>
    <cellStyle name="Normal 175 2 3" xfId="2953" xr:uid="{00000000-0005-0000-0000-000078840000}"/>
    <cellStyle name="Normal 175 2 3 2" xfId="2954" xr:uid="{00000000-0005-0000-0000-000079840000}"/>
    <cellStyle name="Normal 175 2 3 2 2" xfId="11618" xr:uid="{00000000-0005-0000-0000-00007A840000}"/>
    <cellStyle name="Normal 175 2 3 2 3" xfId="17373" xr:uid="{00000000-0005-0000-0000-00007B840000}"/>
    <cellStyle name="Normal 175 2 3 3" xfId="11617" xr:uid="{00000000-0005-0000-0000-00007C840000}"/>
    <cellStyle name="Normal 175 2 3 4" xfId="17372" xr:uid="{00000000-0005-0000-0000-00007D840000}"/>
    <cellStyle name="Normal 175 2 3_LNG &amp; LPG rework" xfId="6931" xr:uid="{00000000-0005-0000-0000-00007E840000}"/>
    <cellStyle name="Normal 175 2 4" xfId="2955" xr:uid="{00000000-0005-0000-0000-00007F840000}"/>
    <cellStyle name="Normal 175 2 4 2" xfId="11619" xr:uid="{00000000-0005-0000-0000-000080840000}"/>
    <cellStyle name="Normal 175 2 4 3" xfId="17374" xr:uid="{00000000-0005-0000-0000-000081840000}"/>
    <cellStyle name="Normal 175 2 5" xfId="11612" xr:uid="{00000000-0005-0000-0000-000082840000}"/>
    <cellStyle name="Normal 175 2 6" xfId="17367" xr:uid="{00000000-0005-0000-0000-000083840000}"/>
    <cellStyle name="Normal 175 2_LNG &amp; LPG rework" xfId="6928" xr:uid="{00000000-0005-0000-0000-000084840000}"/>
    <cellStyle name="Normal 175 3" xfId="2956" xr:uid="{00000000-0005-0000-0000-000085840000}"/>
    <cellStyle name="Normal 175 3 2" xfId="2957" xr:uid="{00000000-0005-0000-0000-000086840000}"/>
    <cellStyle name="Normal 175 3 2 2" xfId="2958" xr:uid="{00000000-0005-0000-0000-000087840000}"/>
    <cellStyle name="Normal 175 3 2 2 2" xfId="2959" xr:uid="{00000000-0005-0000-0000-000088840000}"/>
    <cellStyle name="Normal 175 3 2 2 2 2" xfId="11623" xr:uid="{00000000-0005-0000-0000-000089840000}"/>
    <cellStyle name="Normal 175 3 2 2 2 3" xfId="17378" xr:uid="{00000000-0005-0000-0000-00008A840000}"/>
    <cellStyle name="Normal 175 3 2 2 3" xfId="11622" xr:uid="{00000000-0005-0000-0000-00008B840000}"/>
    <cellStyle name="Normal 175 3 2 2 4" xfId="17377" xr:uid="{00000000-0005-0000-0000-00008C840000}"/>
    <cellStyle name="Normal 175 3 2 2_LNG &amp; LPG rework" xfId="6934" xr:uid="{00000000-0005-0000-0000-00008D840000}"/>
    <cellStyle name="Normal 175 3 2 3" xfId="2960" xr:uid="{00000000-0005-0000-0000-00008E840000}"/>
    <cellStyle name="Normal 175 3 2 3 2" xfId="11624" xr:uid="{00000000-0005-0000-0000-00008F840000}"/>
    <cellStyle name="Normal 175 3 2 3 3" xfId="17379" xr:uid="{00000000-0005-0000-0000-000090840000}"/>
    <cellStyle name="Normal 175 3 2 4" xfId="11621" xr:uid="{00000000-0005-0000-0000-000091840000}"/>
    <cellStyle name="Normal 175 3 2 5" xfId="17376" xr:uid="{00000000-0005-0000-0000-000092840000}"/>
    <cellStyle name="Normal 175 3 2_LNG &amp; LPG rework" xfId="6933" xr:uid="{00000000-0005-0000-0000-000093840000}"/>
    <cellStyle name="Normal 175 3 3" xfId="2961" xr:uid="{00000000-0005-0000-0000-000094840000}"/>
    <cellStyle name="Normal 175 3 3 2" xfId="2962" xr:uid="{00000000-0005-0000-0000-000095840000}"/>
    <cellStyle name="Normal 175 3 3 2 2" xfId="11626" xr:uid="{00000000-0005-0000-0000-000096840000}"/>
    <cellStyle name="Normal 175 3 3 2 3" xfId="17381" xr:uid="{00000000-0005-0000-0000-000097840000}"/>
    <cellStyle name="Normal 175 3 3 3" xfId="11625" xr:uid="{00000000-0005-0000-0000-000098840000}"/>
    <cellStyle name="Normal 175 3 3 4" xfId="17380" xr:uid="{00000000-0005-0000-0000-000099840000}"/>
    <cellStyle name="Normal 175 3 3_LNG &amp; LPG rework" xfId="6935" xr:uid="{00000000-0005-0000-0000-00009A840000}"/>
    <cellStyle name="Normal 175 3 4" xfId="2963" xr:uid="{00000000-0005-0000-0000-00009B840000}"/>
    <cellStyle name="Normal 175 3 4 2" xfId="11627" xr:uid="{00000000-0005-0000-0000-00009C840000}"/>
    <cellStyle name="Normal 175 3 4 3" xfId="17382" xr:uid="{00000000-0005-0000-0000-00009D840000}"/>
    <cellStyle name="Normal 175 3 5" xfId="11620" xr:uid="{00000000-0005-0000-0000-00009E840000}"/>
    <cellStyle name="Normal 175 3 6" xfId="17375" xr:uid="{00000000-0005-0000-0000-00009F840000}"/>
    <cellStyle name="Normal 175 3_LNG &amp; LPG rework" xfId="6932" xr:uid="{00000000-0005-0000-0000-0000A0840000}"/>
    <cellStyle name="Normal 175 4" xfId="2964" xr:uid="{00000000-0005-0000-0000-0000A1840000}"/>
    <cellStyle name="Normal 175 4 2" xfId="2965" xr:uid="{00000000-0005-0000-0000-0000A2840000}"/>
    <cellStyle name="Normal 175 4 2 2" xfId="2966" xr:uid="{00000000-0005-0000-0000-0000A3840000}"/>
    <cellStyle name="Normal 175 4 2 2 2" xfId="11630" xr:uid="{00000000-0005-0000-0000-0000A4840000}"/>
    <cellStyle name="Normal 175 4 2 2 3" xfId="17385" xr:uid="{00000000-0005-0000-0000-0000A5840000}"/>
    <cellStyle name="Normal 175 4 2 3" xfId="11629" xr:uid="{00000000-0005-0000-0000-0000A6840000}"/>
    <cellStyle name="Normal 175 4 2 4" xfId="17384" xr:uid="{00000000-0005-0000-0000-0000A7840000}"/>
    <cellStyle name="Normal 175 4 2_LNG &amp; LPG rework" xfId="6936" xr:uid="{00000000-0005-0000-0000-0000A8840000}"/>
    <cellStyle name="Normal 175 4 3" xfId="2967" xr:uid="{00000000-0005-0000-0000-0000A9840000}"/>
    <cellStyle name="Normal 175 4 3 2" xfId="11631" xr:uid="{00000000-0005-0000-0000-0000AA840000}"/>
    <cellStyle name="Normal 175 4 3 3" xfId="17386" xr:uid="{00000000-0005-0000-0000-0000AB840000}"/>
    <cellStyle name="Normal 175 4 4" xfId="11628" xr:uid="{00000000-0005-0000-0000-0000AC840000}"/>
    <cellStyle name="Normal 175 4 5" xfId="17383" xr:uid="{00000000-0005-0000-0000-0000AD840000}"/>
    <cellStyle name="Normal 175 4_LNG &amp; LPG rework" xfId="6937" xr:uid="{00000000-0005-0000-0000-0000AE840000}"/>
    <cellStyle name="Normal 175 5" xfId="2968" xr:uid="{00000000-0005-0000-0000-0000AF840000}"/>
    <cellStyle name="Normal 175 5 2" xfId="2969" xr:uid="{00000000-0005-0000-0000-0000B0840000}"/>
    <cellStyle name="Normal 175 5 2 2" xfId="11633" xr:uid="{00000000-0005-0000-0000-0000B1840000}"/>
    <cellStyle name="Normal 175 5 2 3" xfId="17388" xr:uid="{00000000-0005-0000-0000-0000B2840000}"/>
    <cellStyle name="Normal 175 5 3" xfId="11632" xr:uid="{00000000-0005-0000-0000-0000B3840000}"/>
    <cellStyle name="Normal 175 5 4" xfId="17387" xr:uid="{00000000-0005-0000-0000-0000B4840000}"/>
    <cellStyle name="Normal 175 5_LNG &amp; LPG rework" xfId="6938" xr:uid="{00000000-0005-0000-0000-0000B5840000}"/>
    <cellStyle name="Normal 175 6" xfId="2970" xr:uid="{00000000-0005-0000-0000-0000B6840000}"/>
    <cellStyle name="Normal 175 6 2" xfId="11634" xr:uid="{00000000-0005-0000-0000-0000B7840000}"/>
    <cellStyle name="Normal 175 6 3" xfId="17389" xr:uid="{00000000-0005-0000-0000-0000B8840000}"/>
    <cellStyle name="Normal 175 7" xfId="11611" xr:uid="{00000000-0005-0000-0000-0000B9840000}"/>
    <cellStyle name="Normal 175 8" xfId="17366" xr:uid="{00000000-0005-0000-0000-0000BA840000}"/>
    <cellStyle name="Normal 175_LNG &amp; LPG rework" xfId="6927" xr:uid="{00000000-0005-0000-0000-0000BB840000}"/>
    <cellStyle name="Normal 176" xfId="2971" xr:uid="{00000000-0005-0000-0000-0000BC840000}"/>
    <cellStyle name="Normal 176 2" xfId="2972" xr:uid="{00000000-0005-0000-0000-0000BD840000}"/>
    <cellStyle name="Normal 176 2 2" xfId="2973" xr:uid="{00000000-0005-0000-0000-0000BE840000}"/>
    <cellStyle name="Normal 176 2 2 2" xfId="2974" xr:uid="{00000000-0005-0000-0000-0000BF840000}"/>
    <cellStyle name="Normal 176 2 2 2 2" xfId="2975" xr:uid="{00000000-0005-0000-0000-0000C0840000}"/>
    <cellStyle name="Normal 176 2 2 2 2 2" xfId="11639" xr:uid="{00000000-0005-0000-0000-0000C1840000}"/>
    <cellStyle name="Normal 176 2 2 2 2 3" xfId="17394" xr:uid="{00000000-0005-0000-0000-0000C2840000}"/>
    <cellStyle name="Normal 176 2 2 2 3" xfId="11638" xr:uid="{00000000-0005-0000-0000-0000C3840000}"/>
    <cellStyle name="Normal 176 2 2 2 4" xfId="17393" xr:uid="{00000000-0005-0000-0000-0000C4840000}"/>
    <cellStyle name="Normal 176 2 2 2_LNG &amp; LPG rework" xfId="6941" xr:uid="{00000000-0005-0000-0000-0000C5840000}"/>
    <cellStyle name="Normal 176 2 2 3" xfId="2976" xr:uid="{00000000-0005-0000-0000-0000C6840000}"/>
    <cellStyle name="Normal 176 2 2 3 2" xfId="11640" xr:uid="{00000000-0005-0000-0000-0000C7840000}"/>
    <cellStyle name="Normal 176 2 2 3 3" xfId="17395" xr:uid="{00000000-0005-0000-0000-0000C8840000}"/>
    <cellStyle name="Normal 176 2 2 4" xfId="11637" xr:uid="{00000000-0005-0000-0000-0000C9840000}"/>
    <cellStyle name="Normal 176 2 2 5" xfId="17392" xr:uid="{00000000-0005-0000-0000-0000CA840000}"/>
    <cellStyle name="Normal 176 2 2_LNG &amp; LPG rework" xfId="6942" xr:uid="{00000000-0005-0000-0000-0000CB840000}"/>
    <cellStyle name="Normal 176 2 3" xfId="2977" xr:uid="{00000000-0005-0000-0000-0000CC840000}"/>
    <cellStyle name="Normal 176 2 3 2" xfId="2978" xr:uid="{00000000-0005-0000-0000-0000CD840000}"/>
    <cellStyle name="Normal 176 2 3 2 2" xfId="11642" xr:uid="{00000000-0005-0000-0000-0000CE840000}"/>
    <cellStyle name="Normal 176 2 3 2 3" xfId="17397" xr:uid="{00000000-0005-0000-0000-0000CF840000}"/>
    <cellStyle name="Normal 176 2 3 3" xfId="11641" xr:uid="{00000000-0005-0000-0000-0000D0840000}"/>
    <cellStyle name="Normal 176 2 3 4" xfId="17396" xr:uid="{00000000-0005-0000-0000-0000D1840000}"/>
    <cellStyle name="Normal 176 2 3_LNG &amp; LPG rework" xfId="6943" xr:uid="{00000000-0005-0000-0000-0000D2840000}"/>
    <cellStyle name="Normal 176 2 4" xfId="2979" xr:uid="{00000000-0005-0000-0000-0000D3840000}"/>
    <cellStyle name="Normal 176 2 4 2" xfId="11643" xr:uid="{00000000-0005-0000-0000-0000D4840000}"/>
    <cellStyle name="Normal 176 2 4 3" xfId="17398" xr:uid="{00000000-0005-0000-0000-0000D5840000}"/>
    <cellStyle name="Normal 176 2 5" xfId="11636" xr:uid="{00000000-0005-0000-0000-0000D6840000}"/>
    <cellStyle name="Normal 176 2 6" xfId="17391" xr:uid="{00000000-0005-0000-0000-0000D7840000}"/>
    <cellStyle name="Normal 176 2_LNG &amp; LPG rework" xfId="6940" xr:uid="{00000000-0005-0000-0000-0000D8840000}"/>
    <cellStyle name="Normal 176 3" xfId="2980" xr:uid="{00000000-0005-0000-0000-0000D9840000}"/>
    <cellStyle name="Normal 176 3 2" xfId="2981" xr:uid="{00000000-0005-0000-0000-0000DA840000}"/>
    <cellStyle name="Normal 176 3 2 2" xfId="2982" xr:uid="{00000000-0005-0000-0000-0000DB840000}"/>
    <cellStyle name="Normal 176 3 2 2 2" xfId="2983" xr:uid="{00000000-0005-0000-0000-0000DC840000}"/>
    <cellStyle name="Normal 176 3 2 2 2 2" xfId="11647" xr:uid="{00000000-0005-0000-0000-0000DD840000}"/>
    <cellStyle name="Normal 176 3 2 2 2 3" xfId="17402" xr:uid="{00000000-0005-0000-0000-0000DE840000}"/>
    <cellStyle name="Normal 176 3 2 2 3" xfId="11646" xr:uid="{00000000-0005-0000-0000-0000DF840000}"/>
    <cellStyle name="Normal 176 3 2 2 4" xfId="17401" xr:uid="{00000000-0005-0000-0000-0000E0840000}"/>
    <cellStyle name="Normal 176 3 2 2_LNG &amp; LPG rework" xfId="6572" xr:uid="{00000000-0005-0000-0000-0000E1840000}"/>
    <cellStyle name="Normal 176 3 2 3" xfId="2984" xr:uid="{00000000-0005-0000-0000-0000E2840000}"/>
    <cellStyle name="Normal 176 3 2 3 2" xfId="11648" xr:uid="{00000000-0005-0000-0000-0000E3840000}"/>
    <cellStyle name="Normal 176 3 2 3 3" xfId="17403" xr:uid="{00000000-0005-0000-0000-0000E4840000}"/>
    <cellStyle name="Normal 176 3 2 4" xfId="11645" xr:uid="{00000000-0005-0000-0000-0000E5840000}"/>
    <cellStyle name="Normal 176 3 2 5" xfId="17400" xr:uid="{00000000-0005-0000-0000-0000E6840000}"/>
    <cellStyle name="Normal 176 3 2_LNG &amp; LPG rework" xfId="6574" xr:uid="{00000000-0005-0000-0000-0000E7840000}"/>
    <cellStyle name="Normal 176 3 3" xfId="2985" xr:uid="{00000000-0005-0000-0000-0000E8840000}"/>
    <cellStyle name="Normal 176 3 3 2" xfId="2986" xr:uid="{00000000-0005-0000-0000-0000E9840000}"/>
    <cellStyle name="Normal 176 3 3 2 2" xfId="11650" xr:uid="{00000000-0005-0000-0000-0000EA840000}"/>
    <cellStyle name="Normal 176 3 3 2 3" xfId="17405" xr:uid="{00000000-0005-0000-0000-0000EB840000}"/>
    <cellStyle name="Normal 176 3 3 3" xfId="11649" xr:uid="{00000000-0005-0000-0000-0000EC840000}"/>
    <cellStyle name="Normal 176 3 3 4" xfId="17404" xr:uid="{00000000-0005-0000-0000-0000ED840000}"/>
    <cellStyle name="Normal 176 3 3_LNG &amp; LPG rework" xfId="6571" xr:uid="{00000000-0005-0000-0000-0000EE840000}"/>
    <cellStyle name="Normal 176 3 4" xfId="2987" xr:uid="{00000000-0005-0000-0000-0000EF840000}"/>
    <cellStyle name="Normal 176 3 4 2" xfId="11651" xr:uid="{00000000-0005-0000-0000-0000F0840000}"/>
    <cellStyle name="Normal 176 3 4 3" xfId="17406" xr:uid="{00000000-0005-0000-0000-0000F1840000}"/>
    <cellStyle name="Normal 176 3 5" xfId="11644" xr:uid="{00000000-0005-0000-0000-0000F2840000}"/>
    <cellStyle name="Normal 176 3 6" xfId="17399" xr:uid="{00000000-0005-0000-0000-0000F3840000}"/>
    <cellStyle name="Normal 176 3_LNG &amp; LPG rework" xfId="6642" xr:uid="{00000000-0005-0000-0000-0000F4840000}"/>
    <cellStyle name="Normal 176 4" xfId="2988" xr:uid="{00000000-0005-0000-0000-0000F5840000}"/>
    <cellStyle name="Normal 176 4 2" xfId="2989" xr:uid="{00000000-0005-0000-0000-0000F6840000}"/>
    <cellStyle name="Normal 176 4 2 2" xfId="2990" xr:uid="{00000000-0005-0000-0000-0000F7840000}"/>
    <cellStyle name="Normal 176 4 2 2 2" xfId="11654" xr:uid="{00000000-0005-0000-0000-0000F8840000}"/>
    <cellStyle name="Normal 176 4 2 2 3" xfId="17409" xr:uid="{00000000-0005-0000-0000-0000F9840000}"/>
    <cellStyle name="Normal 176 4 2 3" xfId="11653" xr:uid="{00000000-0005-0000-0000-0000FA840000}"/>
    <cellStyle name="Normal 176 4 2 4" xfId="17408" xr:uid="{00000000-0005-0000-0000-0000FB840000}"/>
    <cellStyle name="Normal 176 4 2_LNG &amp; LPG rework" xfId="6573" xr:uid="{00000000-0005-0000-0000-0000FC840000}"/>
    <cellStyle name="Normal 176 4 3" xfId="2991" xr:uid="{00000000-0005-0000-0000-0000FD840000}"/>
    <cellStyle name="Normal 176 4 3 2" xfId="11655" xr:uid="{00000000-0005-0000-0000-0000FE840000}"/>
    <cellStyle name="Normal 176 4 3 3" xfId="17410" xr:uid="{00000000-0005-0000-0000-0000FF840000}"/>
    <cellStyle name="Normal 176 4 4" xfId="11652" xr:uid="{00000000-0005-0000-0000-000000850000}"/>
    <cellStyle name="Normal 176 4 5" xfId="17407" xr:uid="{00000000-0005-0000-0000-000001850000}"/>
    <cellStyle name="Normal 176 4_LNG &amp; LPG rework" xfId="6575" xr:uid="{00000000-0005-0000-0000-000002850000}"/>
    <cellStyle name="Normal 176 5" xfId="2992" xr:uid="{00000000-0005-0000-0000-000003850000}"/>
    <cellStyle name="Normal 176 5 2" xfId="2993" xr:uid="{00000000-0005-0000-0000-000004850000}"/>
    <cellStyle name="Normal 176 5 2 2" xfId="11657" xr:uid="{00000000-0005-0000-0000-000005850000}"/>
    <cellStyle name="Normal 176 5 2 3" xfId="17412" xr:uid="{00000000-0005-0000-0000-000006850000}"/>
    <cellStyle name="Normal 176 5 3" xfId="11656" xr:uid="{00000000-0005-0000-0000-000007850000}"/>
    <cellStyle name="Normal 176 5 4" xfId="17411" xr:uid="{00000000-0005-0000-0000-000008850000}"/>
    <cellStyle name="Normal 176 5_LNG &amp; LPG rework" xfId="6944" xr:uid="{00000000-0005-0000-0000-000009850000}"/>
    <cellStyle name="Normal 176 6" xfId="2994" xr:uid="{00000000-0005-0000-0000-00000A850000}"/>
    <cellStyle name="Normal 176 6 2" xfId="11658" xr:uid="{00000000-0005-0000-0000-00000B850000}"/>
    <cellStyle name="Normal 176 6 3" xfId="17413" xr:uid="{00000000-0005-0000-0000-00000C850000}"/>
    <cellStyle name="Normal 176 7" xfId="11635" xr:uid="{00000000-0005-0000-0000-00000D850000}"/>
    <cellStyle name="Normal 176 8" xfId="17390" xr:uid="{00000000-0005-0000-0000-00000E850000}"/>
    <cellStyle name="Normal 176_LNG &amp; LPG rework" xfId="6939" xr:uid="{00000000-0005-0000-0000-00000F850000}"/>
    <cellStyle name="Normal 177" xfId="2995" xr:uid="{00000000-0005-0000-0000-000010850000}"/>
    <cellStyle name="Normal 177 2" xfId="2996" xr:uid="{00000000-0005-0000-0000-000011850000}"/>
    <cellStyle name="Normal 177 2 2" xfId="2997" xr:uid="{00000000-0005-0000-0000-000012850000}"/>
    <cellStyle name="Normal 177 2 2 2" xfId="2998" xr:uid="{00000000-0005-0000-0000-000013850000}"/>
    <cellStyle name="Normal 177 2 2 2 2" xfId="2999" xr:uid="{00000000-0005-0000-0000-000014850000}"/>
    <cellStyle name="Normal 177 2 2 2 2 2" xfId="11663" xr:uid="{00000000-0005-0000-0000-000015850000}"/>
    <cellStyle name="Normal 177 2 2 2 2 3" xfId="17418" xr:uid="{00000000-0005-0000-0000-000016850000}"/>
    <cellStyle name="Normal 177 2 2 2 3" xfId="11662" xr:uid="{00000000-0005-0000-0000-000017850000}"/>
    <cellStyle name="Normal 177 2 2 2 4" xfId="17417" xr:uid="{00000000-0005-0000-0000-000018850000}"/>
    <cellStyle name="Normal 177 2 2 2_LNG &amp; LPG rework" xfId="6947" xr:uid="{00000000-0005-0000-0000-000019850000}"/>
    <cellStyle name="Normal 177 2 2 3" xfId="3000" xr:uid="{00000000-0005-0000-0000-00001A850000}"/>
    <cellStyle name="Normal 177 2 2 3 2" xfId="11664" xr:uid="{00000000-0005-0000-0000-00001B850000}"/>
    <cellStyle name="Normal 177 2 2 3 3" xfId="17419" xr:uid="{00000000-0005-0000-0000-00001C850000}"/>
    <cellStyle name="Normal 177 2 2 4" xfId="11661" xr:uid="{00000000-0005-0000-0000-00001D850000}"/>
    <cellStyle name="Normal 177 2 2 5" xfId="17416" xr:uid="{00000000-0005-0000-0000-00001E850000}"/>
    <cellStyle name="Normal 177 2 2_LNG &amp; LPG rework" xfId="6948" xr:uid="{00000000-0005-0000-0000-00001F850000}"/>
    <cellStyle name="Normal 177 2 3" xfId="3001" xr:uid="{00000000-0005-0000-0000-000020850000}"/>
    <cellStyle name="Normal 177 2 3 2" xfId="3002" xr:uid="{00000000-0005-0000-0000-000021850000}"/>
    <cellStyle name="Normal 177 2 3 2 2" xfId="11666" xr:uid="{00000000-0005-0000-0000-000022850000}"/>
    <cellStyle name="Normal 177 2 3 2 3" xfId="17421" xr:uid="{00000000-0005-0000-0000-000023850000}"/>
    <cellStyle name="Normal 177 2 3 3" xfId="11665" xr:uid="{00000000-0005-0000-0000-000024850000}"/>
    <cellStyle name="Normal 177 2 3 4" xfId="17420" xr:uid="{00000000-0005-0000-0000-000025850000}"/>
    <cellStyle name="Normal 177 2 3_LNG &amp; LPG rework" xfId="6949" xr:uid="{00000000-0005-0000-0000-000026850000}"/>
    <cellStyle name="Normal 177 2 4" xfId="3003" xr:uid="{00000000-0005-0000-0000-000027850000}"/>
    <cellStyle name="Normal 177 2 4 2" xfId="11667" xr:uid="{00000000-0005-0000-0000-000028850000}"/>
    <cellStyle name="Normal 177 2 4 3" xfId="17422" xr:uid="{00000000-0005-0000-0000-000029850000}"/>
    <cellStyle name="Normal 177 2 5" xfId="11660" xr:uid="{00000000-0005-0000-0000-00002A850000}"/>
    <cellStyle name="Normal 177 2 6" xfId="17415" xr:uid="{00000000-0005-0000-0000-00002B850000}"/>
    <cellStyle name="Normal 177 2_LNG &amp; LPG rework" xfId="6946" xr:uid="{00000000-0005-0000-0000-00002C850000}"/>
    <cellStyle name="Normal 177 3" xfId="3004" xr:uid="{00000000-0005-0000-0000-00002D850000}"/>
    <cellStyle name="Normal 177 3 2" xfId="3005" xr:uid="{00000000-0005-0000-0000-00002E850000}"/>
    <cellStyle name="Normal 177 3 2 2" xfId="3006" xr:uid="{00000000-0005-0000-0000-00002F850000}"/>
    <cellStyle name="Normal 177 3 2 2 2" xfId="3007" xr:uid="{00000000-0005-0000-0000-000030850000}"/>
    <cellStyle name="Normal 177 3 2 2 2 2" xfId="11671" xr:uid="{00000000-0005-0000-0000-000031850000}"/>
    <cellStyle name="Normal 177 3 2 2 2 3" xfId="17426" xr:uid="{00000000-0005-0000-0000-000032850000}"/>
    <cellStyle name="Normal 177 3 2 2 3" xfId="11670" xr:uid="{00000000-0005-0000-0000-000033850000}"/>
    <cellStyle name="Normal 177 3 2 2 4" xfId="17425" xr:uid="{00000000-0005-0000-0000-000034850000}"/>
    <cellStyle name="Normal 177 3 2 2_LNG &amp; LPG rework" xfId="6951" xr:uid="{00000000-0005-0000-0000-000035850000}"/>
    <cellStyle name="Normal 177 3 2 3" xfId="3008" xr:uid="{00000000-0005-0000-0000-000036850000}"/>
    <cellStyle name="Normal 177 3 2 3 2" xfId="11672" xr:uid="{00000000-0005-0000-0000-000037850000}"/>
    <cellStyle name="Normal 177 3 2 3 3" xfId="17427" xr:uid="{00000000-0005-0000-0000-000038850000}"/>
    <cellStyle name="Normal 177 3 2 4" xfId="11669" xr:uid="{00000000-0005-0000-0000-000039850000}"/>
    <cellStyle name="Normal 177 3 2 5" xfId="17424" xr:uid="{00000000-0005-0000-0000-00003A850000}"/>
    <cellStyle name="Normal 177 3 2_LNG &amp; LPG rework" xfId="6950" xr:uid="{00000000-0005-0000-0000-00003B850000}"/>
    <cellStyle name="Normal 177 3 3" xfId="3009" xr:uid="{00000000-0005-0000-0000-00003C850000}"/>
    <cellStyle name="Normal 177 3 3 2" xfId="3010" xr:uid="{00000000-0005-0000-0000-00003D850000}"/>
    <cellStyle name="Normal 177 3 3 2 2" xfId="11674" xr:uid="{00000000-0005-0000-0000-00003E850000}"/>
    <cellStyle name="Normal 177 3 3 2 3" xfId="17429" xr:uid="{00000000-0005-0000-0000-00003F850000}"/>
    <cellStyle name="Normal 177 3 3 3" xfId="11673" xr:uid="{00000000-0005-0000-0000-000040850000}"/>
    <cellStyle name="Normal 177 3 3 4" xfId="17428" xr:uid="{00000000-0005-0000-0000-000041850000}"/>
    <cellStyle name="Normal 177 3 3_LNG &amp; LPG rework" xfId="6953" xr:uid="{00000000-0005-0000-0000-000042850000}"/>
    <cellStyle name="Normal 177 3 4" xfId="3011" xr:uid="{00000000-0005-0000-0000-000043850000}"/>
    <cellStyle name="Normal 177 3 4 2" xfId="11675" xr:uid="{00000000-0005-0000-0000-000044850000}"/>
    <cellStyle name="Normal 177 3 4 3" xfId="17430" xr:uid="{00000000-0005-0000-0000-000045850000}"/>
    <cellStyle name="Normal 177 3 5" xfId="11668" xr:uid="{00000000-0005-0000-0000-000046850000}"/>
    <cellStyle name="Normal 177 3 6" xfId="17423" xr:uid="{00000000-0005-0000-0000-000047850000}"/>
    <cellStyle name="Normal 177 3_LNG &amp; LPG rework" xfId="6952" xr:uid="{00000000-0005-0000-0000-000048850000}"/>
    <cellStyle name="Normal 177 4" xfId="3012" xr:uid="{00000000-0005-0000-0000-000049850000}"/>
    <cellStyle name="Normal 177 4 2" xfId="3013" xr:uid="{00000000-0005-0000-0000-00004A850000}"/>
    <cellStyle name="Normal 177 4 2 2" xfId="3014" xr:uid="{00000000-0005-0000-0000-00004B850000}"/>
    <cellStyle name="Normal 177 4 2 2 2" xfId="11678" xr:uid="{00000000-0005-0000-0000-00004C850000}"/>
    <cellStyle name="Normal 177 4 2 2 3" xfId="17433" xr:uid="{00000000-0005-0000-0000-00004D850000}"/>
    <cellStyle name="Normal 177 4 2 3" xfId="11677" xr:uid="{00000000-0005-0000-0000-00004E850000}"/>
    <cellStyle name="Normal 177 4 2 4" xfId="17432" xr:uid="{00000000-0005-0000-0000-00004F850000}"/>
    <cellStyle name="Normal 177 4 2_LNG &amp; LPG rework" xfId="6955" xr:uid="{00000000-0005-0000-0000-000050850000}"/>
    <cellStyle name="Normal 177 4 3" xfId="3015" xr:uid="{00000000-0005-0000-0000-000051850000}"/>
    <cellStyle name="Normal 177 4 3 2" xfId="11679" xr:uid="{00000000-0005-0000-0000-000052850000}"/>
    <cellStyle name="Normal 177 4 3 3" xfId="17434" xr:uid="{00000000-0005-0000-0000-000053850000}"/>
    <cellStyle name="Normal 177 4 4" xfId="11676" xr:uid="{00000000-0005-0000-0000-000054850000}"/>
    <cellStyle name="Normal 177 4 5" xfId="17431" xr:uid="{00000000-0005-0000-0000-000055850000}"/>
    <cellStyle name="Normal 177 4_LNG &amp; LPG rework" xfId="6954" xr:uid="{00000000-0005-0000-0000-000056850000}"/>
    <cellStyle name="Normal 177 5" xfId="3016" xr:uid="{00000000-0005-0000-0000-000057850000}"/>
    <cellStyle name="Normal 177 5 2" xfId="3017" xr:uid="{00000000-0005-0000-0000-000058850000}"/>
    <cellStyle name="Normal 177 5 2 2" xfId="11681" xr:uid="{00000000-0005-0000-0000-000059850000}"/>
    <cellStyle name="Normal 177 5 2 3" xfId="17436" xr:uid="{00000000-0005-0000-0000-00005A850000}"/>
    <cellStyle name="Normal 177 5 3" xfId="11680" xr:uid="{00000000-0005-0000-0000-00005B850000}"/>
    <cellStyle name="Normal 177 5 4" xfId="17435" xr:uid="{00000000-0005-0000-0000-00005C850000}"/>
    <cellStyle name="Normal 177 5_LNG &amp; LPG rework" xfId="6956" xr:uid="{00000000-0005-0000-0000-00005D850000}"/>
    <cellStyle name="Normal 177 6" xfId="3018" xr:uid="{00000000-0005-0000-0000-00005E850000}"/>
    <cellStyle name="Normal 177 6 2" xfId="11682" xr:uid="{00000000-0005-0000-0000-00005F850000}"/>
    <cellStyle name="Normal 177 6 3" xfId="17437" xr:uid="{00000000-0005-0000-0000-000060850000}"/>
    <cellStyle name="Normal 177 7" xfId="11659" xr:uid="{00000000-0005-0000-0000-000061850000}"/>
    <cellStyle name="Normal 177 8" xfId="17414" xr:uid="{00000000-0005-0000-0000-000062850000}"/>
    <cellStyle name="Normal 177_LNG &amp; LPG rework" xfId="6945" xr:uid="{00000000-0005-0000-0000-000063850000}"/>
    <cellStyle name="Normal 178" xfId="3019" xr:uid="{00000000-0005-0000-0000-000064850000}"/>
    <cellStyle name="Normal 178 2" xfId="3020" xr:uid="{00000000-0005-0000-0000-000065850000}"/>
    <cellStyle name="Normal 178 2 2" xfId="3021" xr:uid="{00000000-0005-0000-0000-000066850000}"/>
    <cellStyle name="Normal 178 2 2 2" xfId="3022" xr:uid="{00000000-0005-0000-0000-000067850000}"/>
    <cellStyle name="Normal 178 2 2 2 2" xfId="3023" xr:uid="{00000000-0005-0000-0000-000068850000}"/>
    <cellStyle name="Normal 178 2 2 2 2 2" xfId="11687" xr:uid="{00000000-0005-0000-0000-000069850000}"/>
    <cellStyle name="Normal 178 2 2 2 2 3" xfId="17442" xr:uid="{00000000-0005-0000-0000-00006A850000}"/>
    <cellStyle name="Normal 178 2 2 2 3" xfId="11686" xr:uid="{00000000-0005-0000-0000-00006B850000}"/>
    <cellStyle name="Normal 178 2 2 2 4" xfId="17441" xr:uid="{00000000-0005-0000-0000-00006C850000}"/>
    <cellStyle name="Normal 178 2 2 2_LNG &amp; LPG rework" xfId="6959" xr:uid="{00000000-0005-0000-0000-00006D850000}"/>
    <cellStyle name="Normal 178 2 2 3" xfId="3024" xr:uid="{00000000-0005-0000-0000-00006E850000}"/>
    <cellStyle name="Normal 178 2 2 3 2" xfId="11688" xr:uid="{00000000-0005-0000-0000-00006F850000}"/>
    <cellStyle name="Normal 178 2 2 3 3" xfId="17443" xr:uid="{00000000-0005-0000-0000-000070850000}"/>
    <cellStyle name="Normal 178 2 2 4" xfId="11685" xr:uid="{00000000-0005-0000-0000-000071850000}"/>
    <cellStyle name="Normal 178 2 2 5" xfId="17440" xr:uid="{00000000-0005-0000-0000-000072850000}"/>
    <cellStyle name="Normal 178 2 2_LNG &amp; LPG rework" xfId="6960" xr:uid="{00000000-0005-0000-0000-000073850000}"/>
    <cellStyle name="Normal 178 2 3" xfId="3025" xr:uid="{00000000-0005-0000-0000-000074850000}"/>
    <cellStyle name="Normal 178 2 3 2" xfId="3026" xr:uid="{00000000-0005-0000-0000-000075850000}"/>
    <cellStyle name="Normal 178 2 3 2 2" xfId="11690" xr:uid="{00000000-0005-0000-0000-000076850000}"/>
    <cellStyle name="Normal 178 2 3 2 3" xfId="17445" xr:uid="{00000000-0005-0000-0000-000077850000}"/>
    <cellStyle name="Normal 178 2 3 3" xfId="11689" xr:uid="{00000000-0005-0000-0000-000078850000}"/>
    <cellStyle name="Normal 178 2 3 4" xfId="17444" xr:uid="{00000000-0005-0000-0000-000079850000}"/>
    <cellStyle name="Normal 178 2 3_LNG &amp; LPG rework" xfId="6961" xr:uid="{00000000-0005-0000-0000-00007A850000}"/>
    <cellStyle name="Normal 178 2 4" xfId="3027" xr:uid="{00000000-0005-0000-0000-00007B850000}"/>
    <cellStyle name="Normal 178 2 4 2" xfId="11691" xr:uid="{00000000-0005-0000-0000-00007C850000}"/>
    <cellStyle name="Normal 178 2 4 3" xfId="17446" xr:uid="{00000000-0005-0000-0000-00007D850000}"/>
    <cellStyle name="Normal 178 2 5" xfId="11684" xr:uid="{00000000-0005-0000-0000-00007E850000}"/>
    <cellStyle name="Normal 178 2 6" xfId="17439" xr:uid="{00000000-0005-0000-0000-00007F850000}"/>
    <cellStyle name="Normal 178 2_LNG &amp; LPG rework" xfId="6958" xr:uid="{00000000-0005-0000-0000-000080850000}"/>
    <cellStyle name="Normal 178 3" xfId="3028" xr:uid="{00000000-0005-0000-0000-000081850000}"/>
    <cellStyle name="Normal 178 3 2" xfId="3029" xr:uid="{00000000-0005-0000-0000-000082850000}"/>
    <cellStyle name="Normal 178 3 2 2" xfId="3030" xr:uid="{00000000-0005-0000-0000-000083850000}"/>
    <cellStyle name="Normal 178 3 2 2 2" xfId="3031" xr:uid="{00000000-0005-0000-0000-000084850000}"/>
    <cellStyle name="Normal 178 3 2 2 2 2" xfId="11695" xr:uid="{00000000-0005-0000-0000-000085850000}"/>
    <cellStyle name="Normal 178 3 2 2 2 3" xfId="17450" xr:uid="{00000000-0005-0000-0000-000086850000}"/>
    <cellStyle name="Normal 178 3 2 2 3" xfId="11694" xr:uid="{00000000-0005-0000-0000-000087850000}"/>
    <cellStyle name="Normal 178 3 2 2 4" xfId="17449" xr:uid="{00000000-0005-0000-0000-000088850000}"/>
    <cellStyle name="Normal 178 3 2 2_LNG &amp; LPG rework" xfId="6964" xr:uid="{00000000-0005-0000-0000-000089850000}"/>
    <cellStyle name="Normal 178 3 2 3" xfId="3032" xr:uid="{00000000-0005-0000-0000-00008A850000}"/>
    <cellStyle name="Normal 178 3 2 3 2" xfId="11696" xr:uid="{00000000-0005-0000-0000-00008B850000}"/>
    <cellStyle name="Normal 178 3 2 3 3" xfId="17451" xr:uid="{00000000-0005-0000-0000-00008C850000}"/>
    <cellStyle name="Normal 178 3 2 4" xfId="11693" xr:uid="{00000000-0005-0000-0000-00008D850000}"/>
    <cellStyle name="Normal 178 3 2 5" xfId="17448" xr:uid="{00000000-0005-0000-0000-00008E850000}"/>
    <cellStyle name="Normal 178 3 2_LNG &amp; LPG rework" xfId="6963" xr:uid="{00000000-0005-0000-0000-00008F850000}"/>
    <cellStyle name="Normal 178 3 3" xfId="3033" xr:uid="{00000000-0005-0000-0000-000090850000}"/>
    <cellStyle name="Normal 178 3 3 2" xfId="3034" xr:uid="{00000000-0005-0000-0000-000091850000}"/>
    <cellStyle name="Normal 178 3 3 2 2" xfId="11698" xr:uid="{00000000-0005-0000-0000-000092850000}"/>
    <cellStyle name="Normal 178 3 3 2 3" xfId="17453" xr:uid="{00000000-0005-0000-0000-000093850000}"/>
    <cellStyle name="Normal 178 3 3 3" xfId="11697" xr:uid="{00000000-0005-0000-0000-000094850000}"/>
    <cellStyle name="Normal 178 3 3 4" xfId="17452" xr:uid="{00000000-0005-0000-0000-000095850000}"/>
    <cellStyle name="Normal 178 3 3_LNG &amp; LPG rework" xfId="6965" xr:uid="{00000000-0005-0000-0000-000096850000}"/>
    <cellStyle name="Normal 178 3 4" xfId="3035" xr:uid="{00000000-0005-0000-0000-000097850000}"/>
    <cellStyle name="Normal 178 3 4 2" xfId="11699" xr:uid="{00000000-0005-0000-0000-000098850000}"/>
    <cellStyle name="Normal 178 3 4 3" xfId="17454" xr:uid="{00000000-0005-0000-0000-000099850000}"/>
    <cellStyle name="Normal 178 3 5" xfId="11692" xr:uid="{00000000-0005-0000-0000-00009A850000}"/>
    <cellStyle name="Normal 178 3 6" xfId="17447" xr:uid="{00000000-0005-0000-0000-00009B850000}"/>
    <cellStyle name="Normal 178 3_LNG &amp; LPG rework" xfId="6962" xr:uid="{00000000-0005-0000-0000-00009C850000}"/>
    <cellStyle name="Normal 178 4" xfId="3036" xr:uid="{00000000-0005-0000-0000-00009D850000}"/>
    <cellStyle name="Normal 178 4 2" xfId="3037" xr:uid="{00000000-0005-0000-0000-00009E850000}"/>
    <cellStyle name="Normal 178 4 2 2" xfId="3038" xr:uid="{00000000-0005-0000-0000-00009F850000}"/>
    <cellStyle name="Normal 178 4 2 2 2" xfId="11702" xr:uid="{00000000-0005-0000-0000-0000A0850000}"/>
    <cellStyle name="Normal 178 4 2 2 3" xfId="17457" xr:uid="{00000000-0005-0000-0000-0000A1850000}"/>
    <cellStyle name="Normal 178 4 2 3" xfId="11701" xr:uid="{00000000-0005-0000-0000-0000A2850000}"/>
    <cellStyle name="Normal 178 4 2 4" xfId="17456" xr:uid="{00000000-0005-0000-0000-0000A3850000}"/>
    <cellStyle name="Normal 178 4 2_LNG &amp; LPG rework" xfId="6966" xr:uid="{00000000-0005-0000-0000-0000A4850000}"/>
    <cellStyle name="Normal 178 4 3" xfId="3039" xr:uid="{00000000-0005-0000-0000-0000A5850000}"/>
    <cellStyle name="Normal 178 4 3 2" xfId="11703" xr:uid="{00000000-0005-0000-0000-0000A6850000}"/>
    <cellStyle name="Normal 178 4 3 3" xfId="17458" xr:uid="{00000000-0005-0000-0000-0000A7850000}"/>
    <cellStyle name="Normal 178 4 4" xfId="11700" xr:uid="{00000000-0005-0000-0000-0000A8850000}"/>
    <cellStyle name="Normal 178 4 5" xfId="17455" xr:uid="{00000000-0005-0000-0000-0000A9850000}"/>
    <cellStyle name="Normal 178 4_LNG &amp; LPG rework" xfId="6967" xr:uid="{00000000-0005-0000-0000-0000AA850000}"/>
    <cellStyle name="Normal 178 5" xfId="3040" xr:uid="{00000000-0005-0000-0000-0000AB850000}"/>
    <cellStyle name="Normal 178 5 2" xfId="3041" xr:uid="{00000000-0005-0000-0000-0000AC850000}"/>
    <cellStyle name="Normal 178 5 2 2" xfId="11705" xr:uid="{00000000-0005-0000-0000-0000AD850000}"/>
    <cellStyle name="Normal 178 5 2 3" xfId="17460" xr:uid="{00000000-0005-0000-0000-0000AE850000}"/>
    <cellStyle name="Normal 178 5 3" xfId="11704" xr:uid="{00000000-0005-0000-0000-0000AF850000}"/>
    <cellStyle name="Normal 178 5 4" xfId="17459" xr:uid="{00000000-0005-0000-0000-0000B0850000}"/>
    <cellStyle name="Normal 178 5_LNG &amp; LPG rework" xfId="6968" xr:uid="{00000000-0005-0000-0000-0000B1850000}"/>
    <cellStyle name="Normal 178 6" xfId="3042" xr:uid="{00000000-0005-0000-0000-0000B2850000}"/>
    <cellStyle name="Normal 178 6 2" xfId="11706" xr:uid="{00000000-0005-0000-0000-0000B3850000}"/>
    <cellStyle name="Normal 178 6 3" xfId="17461" xr:uid="{00000000-0005-0000-0000-0000B4850000}"/>
    <cellStyle name="Normal 178 7" xfId="11683" xr:uid="{00000000-0005-0000-0000-0000B5850000}"/>
    <cellStyle name="Normal 178 8" xfId="17438" xr:uid="{00000000-0005-0000-0000-0000B6850000}"/>
    <cellStyle name="Normal 178_LNG &amp; LPG rework" xfId="6957" xr:uid="{00000000-0005-0000-0000-0000B7850000}"/>
    <cellStyle name="Normal 179" xfId="3043" xr:uid="{00000000-0005-0000-0000-0000B8850000}"/>
    <cellStyle name="Normal 179 2" xfId="3044" xr:uid="{00000000-0005-0000-0000-0000B9850000}"/>
    <cellStyle name="Normal 179 2 2" xfId="3045" xr:uid="{00000000-0005-0000-0000-0000BA850000}"/>
    <cellStyle name="Normal 179 2 2 2" xfId="3046" xr:uid="{00000000-0005-0000-0000-0000BB850000}"/>
    <cellStyle name="Normal 179 2 2 2 2" xfId="3047" xr:uid="{00000000-0005-0000-0000-0000BC850000}"/>
    <cellStyle name="Normal 179 2 2 2 2 2" xfId="11711" xr:uid="{00000000-0005-0000-0000-0000BD850000}"/>
    <cellStyle name="Normal 179 2 2 2 2 3" xfId="17466" xr:uid="{00000000-0005-0000-0000-0000BE850000}"/>
    <cellStyle name="Normal 179 2 2 2 3" xfId="11710" xr:uid="{00000000-0005-0000-0000-0000BF850000}"/>
    <cellStyle name="Normal 179 2 2 2 4" xfId="17465" xr:uid="{00000000-0005-0000-0000-0000C0850000}"/>
    <cellStyle name="Normal 179 2 2 2_LNG &amp; LPG rework" xfId="6971" xr:uid="{00000000-0005-0000-0000-0000C1850000}"/>
    <cellStyle name="Normal 179 2 2 3" xfId="3048" xr:uid="{00000000-0005-0000-0000-0000C2850000}"/>
    <cellStyle name="Normal 179 2 2 3 2" xfId="11712" xr:uid="{00000000-0005-0000-0000-0000C3850000}"/>
    <cellStyle name="Normal 179 2 2 3 3" xfId="17467" xr:uid="{00000000-0005-0000-0000-0000C4850000}"/>
    <cellStyle name="Normal 179 2 2 4" xfId="11709" xr:uid="{00000000-0005-0000-0000-0000C5850000}"/>
    <cellStyle name="Normal 179 2 2 5" xfId="17464" xr:uid="{00000000-0005-0000-0000-0000C6850000}"/>
    <cellStyle name="Normal 179 2 2_LNG &amp; LPG rework" xfId="6972" xr:uid="{00000000-0005-0000-0000-0000C7850000}"/>
    <cellStyle name="Normal 179 2 3" xfId="3049" xr:uid="{00000000-0005-0000-0000-0000C8850000}"/>
    <cellStyle name="Normal 179 2 3 2" xfId="3050" xr:uid="{00000000-0005-0000-0000-0000C9850000}"/>
    <cellStyle name="Normal 179 2 3 2 2" xfId="11714" xr:uid="{00000000-0005-0000-0000-0000CA850000}"/>
    <cellStyle name="Normal 179 2 3 2 3" xfId="17469" xr:uid="{00000000-0005-0000-0000-0000CB850000}"/>
    <cellStyle name="Normal 179 2 3 3" xfId="11713" xr:uid="{00000000-0005-0000-0000-0000CC850000}"/>
    <cellStyle name="Normal 179 2 3 4" xfId="17468" xr:uid="{00000000-0005-0000-0000-0000CD850000}"/>
    <cellStyle name="Normal 179 2 3_LNG &amp; LPG rework" xfId="6973" xr:uid="{00000000-0005-0000-0000-0000CE850000}"/>
    <cellStyle name="Normal 179 2 4" xfId="3051" xr:uid="{00000000-0005-0000-0000-0000CF850000}"/>
    <cellStyle name="Normal 179 2 4 2" xfId="11715" xr:uid="{00000000-0005-0000-0000-0000D0850000}"/>
    <cellStyle name="Normal 179 2 4 3" xfId="17470" xr:uid="{00000000-0005-0000-0000-0000D1850000}"/>
    <cellStyle name="Normal 179 2 5" xfId="11708" xr:uid="{00000000-0005-0000-0000-0000D2850000}"/>
    <cellStyle name="Normal 179 2 6" xfId="17463" xr:uid="{00000000-0005-0000-0000-0000D3850000}"/>
    <cellStyle name="Normal 179 2_LNG &amp; LPG rework" xfId="6970" xr:uid="{00000000-0005-0000-0000-0000D4850000}"/>
    <cellStyle name="Normal 179 3" xfId="3052" xr:uid="{00000000-0005-0000-0000-0000D5850000}"/>
    <cellStyle name="Normal 179 3 2" xfId="3053" xr:uid="{00000000-0005-0000-0000-0000D6850000}"/>
    <cellStyle name="Normal 179 3 2 2" xfId="3054" xr:uid="{00000000-0005-0000-0000-0000D7850000}"/>
    <cellStyle name="Normal 179 3 2 2 2" xfId="3055" xr:uid="{00000000-0005-0000-0000-0000D8850000}"/>
    <cellStyle name="Normal 179 3 2 2 2 2" xfId="11719" xr:uid="{00000000-0005-0000-0000-0000D9850000}"/>
    <cellStyle name="Normal 179 3 2 2 2 3" xfId="17474" xr:uid="{00000000-0005-0000-0000-0000DA850000}"/>
    <cellStyle name="Normal 179 3 2 2 3" xfId="11718" xr:uid="{00000000-0005-0000-0000-0000DB850000}"/>
    <cellStyle name="Normal 179 3 2 2 4" xfId="17473" xr:uid="{00000000-0005-0000-0000-0000DC850000}"/>
    <cellStyle name="Normal 179 3 2 2_LNG &amp; LPG rework" xfId="6976" xr:uid="{00000000-0005-0000-0000-0000DD850000}"/>
    <cellStyle name="Normal 179 3 2 3" xfId="3056" xr:uid="{00000000-0005-0000-0000-0000DE850000}"/>
    <cellStyle name="Normal 179 3 2 3 2" xfId="11720" xr:uid="{00000000-0005-0000-0000-0000DF850000}"/>
    <cellStyle name="Normal 179 3 2 3 3" xfId="17475" xr:uid="{00000000-0005-0000-0000-0000E0850000}"/>
    <cellStyle name="Normal 179 3 2 4" xfId="11717" xr:uid="{00000000-0005-0000-0000-0000E1850000}"/>
    <cellStyle name="Normal 179 3 2 5" xfId="17472" xr:uid="{00000000-0005-0000-0000-0000E2850000}"/>
    <cellStyle name="Normal 179 3 2_LNG &amp; LPG rework" xfId="6975" xr:uid="{00000000-0005-0000-0000-0000E3850000}"/>
    <cellStyle name="Normal 179 3 3" xfId="3057" xr:uid="{00000000-0005-0000-0000-0000E4850000}"/>
    <cellStyle name="Normal 179 3 3 2" xfId="3058" xr:uid="{00000000-0005-0000-0000-0000E5850000}"/>
    <cellStyle name="Normal 179 3 3 2 2" xfId="11722" xr:uid="{00000000-0005-0000-0000-0000E6850000}"/>
    <cellStyle name="Normal 179 3 3 2 3" xfId="17477" xr:uid="{00000000-0005-0000-0000-0000E7850000}"/>
    <cellStyle name="Normal 179 3 3 3" xfId="11721" xr:uid="{00000000-0005-0000-0000-0000E8850000}"/>
    <cellStyle name="Normal 179 3 3 4" xfId="17476" xr:uid="{00000000-0005-0000-0000-0000E9850000}"/>
    <cellStyle name="Normal 179 3 3_LNG &amp; LPG rework" xfId="6977" xr:uid="{00000000-0005-0000-0000-0000EA850000}"/>
    <cellStyle name="Normal 179 3 4" xfId="3059" xr:uid="{00000000-0005-0000-0000-0000EB850000}"/>
    <cellStyle name="Normal 179 3 4 2" xfId="11723" xr:uid="{00000000-0005-0000-0000-0000EC850000}"/>
    <cellStyle name="Normal 179 3 4 3" xfId="17478" xr:uid="{00000000-0005-0000-0000-0000ED850000}"/>
    <cellStyle name="Normal 179 3 5" xfId="11716" xr:uid="{00000000-0005-0000-0000-0000EE850000}"/>
    <cellStyle name="Normal 179 3 6" xfId="17471" xr:uid="{00000000-0005-0000-0000-0000EF850000}"/>
    <cellStyle name="Normal 179 3_LNG &amp; LPG rework" xfId="6974" xr:uid="{00000000-0005-0000-0000-0000F0850000}"/>
    <cellStyle name="Normal 179 4" xfId="3060" xr:uid="{00000000-0005-0000-0000-0000F1850000}"/>
    <cellStyle name="Normal 179 4 2" xfId="3061" xr:uid="{00000000-0005-0000-0000-0000F2850000}"/>
    <cellStyle name="Normal 179 4 2 2" xfId="3062" xr:uid="{00000000-0005-0000-0000-0000F3850000}"/>
    <cellStyle name="Normal 179 4 2 2 2" xfId="11726" xr:uid="{00000000-0005-0000-0000-0000F4850000}"/>
    <cellStyle name="Normal 179 4 2 2 3" xfId="17481" xr:uid="{00000000-0005-0000-0000-0000F5850000}"/>
    <cellStyle name="Normal 179 4 2 3" xfId="11725" xr:uid="{00000000-0005-0000-0000-0000F6850000}"/>
    <cellStyle name="Normal 179 4 2 4" xfId="17480" xr:uid="{00000000-0005-0000-0000-0000F7850000}"/>
    <cellStyle name="Normal 179 4 2_LNG &amp; LPG rework" xfId="6598" xr:uid="{00000000-0005-0000-0000-0000F8850000}"/>
    <cellStyle name="Normal 179 4 3" xfId="3063" xr:uid="{00000000-0005-0000-0000-0000F9850000}"/>
    <cellStyle name="Normal 179 4 3 2" xfId="11727" xr:uid="{00000000-0005-0000-0000-0000FA850000}"/>
    <cellStyle name="Normal 179 4 3 3" xfId="17482" xr:uid="{00000000-0005-0000-0000-0000FB850000}"/>
    <cellStyle name="Normal 179 4 4" xfId="11724" xr:uid="{00000000-0005-0000-0000-0000FC850000}"/>
    <cellStyle name="Normal 179 4 5" xfId="17479" xr:uid="{00000000-0005-0000-0000-0000FD850000}"/>
    <cellStyle name="Normal 179 4_LNG &amp; LPG rework" xfId="6639" xr:uid="{00000000-0005-0000-0000-0000FE850000}"/>
    <cellStyle name="Normal 179 5" xfId="3064" xr:uid="{00000000-0005-0000-0000-0000FF850000}"/>
    <cellStyle name="Normal 179 5 2" xfId="3065" xr:uid="{00000000-0005-0000-0000-000000860000}"/>
    <cellStyle name="Normal 179 5 2 2" xfId="11729" xr:uid="{00000000-0005-0000-0000-000001860000}"/>
    <cellStyle name="Normal 179 5 2 3" xfId="17484" xr:uid="{00000000-0005-0000-0000-000002860000}"/>
    <cellStyle name="Normal 179 5 3" xfId="11728" xr:uid="{00000000-0005-0000-0000-000003860000}"/>
    <cellStyle name="Normal 179 5 4" xfId="17483" xr:uid="{00000000-0005-0000-0000-000004860000}"/>
    <cellStyle name="Normal 179 5_LNG &amp; LPG rework" xfId="6597" xr:uid="{00000000-0005-0000-0000-000005860000}"/>
    <cellStyle name="Normal 179 6" xfId="3066" xr:uid="{00000000-0005-0000-0000-000006860000}"/>
    <cellStyle name="Normal 179 6 2" xfId="11730" xr:uid="{00000000-0005-0000-0000-000007860000}"/>
    <cellStyle name="Normal 179 6 3" xfId="17485" xr:uid="{00000000-0005-0000-0000-000008860000}"/>
    <cellStyle name="Normal 179 7" xfId="11707" xr:uid="{00000000-0005-0000-0000-000009860000}"/>
    <cellStyle name="Normal 179 8" xfId="17462" xr:uid="{00000000-0005-0000-0000-00000A860000}"/>
    <cellStyle name="Normal 179_LNG &amp; LPG rework" xfId="6969" xr:uid="{00000000-0005-0000-0000-00000B860000}"/>
    <cellStyle name="Normal 18" xfId="369" xr:uid="{00000000-0005-0000-0000-00000C860000}"/>
    <cellStyle name="Normal 18 2" xfId="3067" xr:uid="{00000000-0005-0000-0000-00000D860000}"/>
    <cellStyle name="Normal 18 3" xfId="3068" xr:uid="{00000000-0005-0000-0000-00000E860000}"/>
    <cellStyle name="Normal 18 4" xfId="3069" xr:uid="{00000000-0005-0000-0000-00000F860000}"/>
    <cellStyle name="Normal 18 5" xfId="3070" xr:uid="{00000000-0005-0000-0000-000010860000}"/>
    <cellStyle name="Normal 18 6" xfId="7836" xr:uid="{00000000-0005-0000-0000-000011860000}"/>
    <cellStyle name="Normal 18_LNG &amp; LPG rework" xfId="6640" xr:uid="{00000000-0005-0000-0000-000012860000}"/>
    <cellStyle name="Normal 180" xfId="3071" xr:uid="{00000000-0005-0000-0000-000013860000}"/>
    <cellStyle name="Normal 180 2" xfId="3072" xr:uid="{00000000-0005-0000-0000-000014860000}"/>
    <cellStyle name="Normal 180 2 2" xfId="3073" xr:uid="{00000000-0005-0000-0000-000015860000}"/>
    <cellStyle name="Normal 180 2 2 2" xfId="3074" xr:uid="{00000000-0005-0000-0000-000016860000}"/>
    <cellStyle name="Normal 180 2 2 2 2" xfId="3075" xr:uid="{00000000-0005-0000-0000-000017860000}"/>
    <cellStyle name="Normal 180 2 2 2 2 2" xfId="11735" xr:uid="{00000000-0005-0000-0000-000018860000}"/>
    <cellStyle name="Normal 180 2 2 2 2 3" xfId="17490" xr:uid="{00000000-0005-0000-0000-000019860000}"/>
    <cellStyle name="Normal 180 2 2 2 3" xfId="11734" xr:uid="{00000000-0005-0000-0000-00001A860000}"/>
    <cellStyle name="Normal 180 2 2 2 4" xfId="17489" xr:uid="{00000000-0005-0000-0000-00001B860000}"/>
    <cellStyle name="Normal 180 2 2 2_LNG &amp; LPG rework" xfId="6602" xr:uid="{00000000-0005-0000-0000-00001C860000}"/>
    <cellStyle name="Normal 180 2 2 3" xfId="3076" xr:uid="{00000000-0005-0000-0000-00001D860000}"/>
    <cellStyle name="Normal 180 2 2 3 2" xfId="11736" xr:uid="{00000000-0005-0000-0000-00001E860000}"/>
    <cellStyle name="Normal 180 2 2 3 3" xfId="17491" xr:uid="{00000000-0005-0000-0000-00001F860000}"/>
    <cellStyle name="Normal 180 2 2 4" xfId="11733" xr:uid="{00000000-0005-0000-0000-000020860000}"/>
    <cellStyle name="Normal 180 2 2 5" xfId="17488" xr:uid="{00000000-0005-0000-0000-000021860000}"/>
    <cellStyle name="Normal 180 2 2_LNG &amp; LPG rework" xfId="6601" xr:uid="{00000000-0005-0000-0000-000022860000}"/>
    <cellStyle name="Normal 180 2 3" xfId="3077" xr:uid="{00000000-0005-0000-0000-000023860000}"/>
    <cellStyle name="Normal 180 2 3 2" xfId="3078" xr:uid="{00000000-0005-0000-0000-000024860000}"/>
    <cellStyle name="Normal 180 2 3 2 2" xfId="11738" xr:uid="{00000000-0005-0000-0000-000025860000}"/>
    <cellStyle name="Normal 180 2 3 2 3" xfId="17493" xr:uid="{00000000-0005-0000-0000-000026860000}"/>
    <cellStyle name="Normal 180 2 3 3" xfId="11737" xr:uid="{00000000-0005-0000-0000-000027860000}"/>
    <cellStyle name="Normal 180 2 3 4" xfId="17492" xr:uid="{00000000-0005-0000-0000-000028860000}"/>
    <cellStyle name="Normal 180 2 3_LNG &amp; LPG rework" xfId="6595" xr:uid="{00000000-0005-0000-0000-000029860000}"/>
    <cellStyle name="Normal 180 2 4" xfId="3079" xr:uid="{00000000-0005-0000-0000-00002A860000}"/>
    <cellStyle name="Normal 180 2 4 2" xfId="11739" xr:uid="{00000000-0005-0000-0000-00002B860000}"/>
    <cellStyle name="Normal 180 2 4 3" xfId="17494" xr:uid="{00000000-0005-0000-0000-00002C860000}"/>
    <cellStyle name="Normal 180 2 5" xfId="11732" xr:uid="{00000000-0005-0000-0000-00002D860000}"/>
    <cellStyle name="Normal 180 2 6" xfId="17487" xr:uid="{00000000-0005-0000-0000-00002E860000}"/>
    <cellStyle name="Normal 180 2_LNG &amp; LPG rework" xfId="6600" xr:uid="{00000000-0005-0000-0000-00002F860000}"/>
    <cellStyle name="Normal 180 3" xfId="3080" xr:uid="{00000000-0005-0000-0000-000030860000}"/>
    <cellStyle name="Normal 180 3 2" xfId="3081" xr:uid="{00000000-0005-0000-0000-000031860000}"/>
    <cellStyle name="Normal 180 3 2 2" xfId="3082" xr:uid="{00000000-0005-0000-0000-000032860000}"/>
    <cellStyle name="Normal 180 3 2 2 2" xfId="3083" xr:uid="{00000000-0005-0000-0000-000033860000}"/>
    <cellStyle name="Normal 180 3 2 2 2 2" xfId="11743" xr:uid="{00000000-0005-0000-0000-000034860000}"/>
    <cellStyle name="Normal 180 3 2 2 2 3" xfId="17498" xr:uid="{00000000-0005-0000-0000-000035860000}"/>
    <cellStyle name="Normal 180 3 2 2 3" xfId="11742" xr:uid="{00000000-0005-0000-0000-000036860000}"/>
    <cellStyle name="Normal 180 3 2 2 4" xfId="17497" xr:uid="{00000000-0005-0000-0000-000037860000}"/>
    <cellStyle name="Normal 180 3 2 2_LNG &amp; LPG rework" xfId="6983" xr:uid="{00000000-0005-0000-0000-000038860000}"/>
    <cellStyle name="Normal 180 3 2 3" xfId="3084" xr:uid="{00000000-0005-0000-0000-000039860000}"/>
    <cellStyle name="Normal 180 3 2 3 2" xfId="11744" xr:uid="{00000000-0005-0000-0000-00003A860000}"/>
    <cellStyle name="Normal 180 3 2 3 3" xfId="17499" xr:uid="{00000000-0005-0000-0000-00003B860000}"/>
    <cellStyle name="Normal 180 3 2 4" xfId="11741" xr:uid="{00000000-0005-0000-0000-00003C860000}"/>
    <cellStyle name="Normal 180 3 2 5" xfId="17496" xr:uid="{00000000-0005-0000-0000-00003D860000}"/>
    <cellStyle name="Normal 180 3 2_LNG &amp; LPG rework" xfId="6641" xr:uid="{00000000-0005-0000-0000-00003E860000}"/>
    <cellStyle name="Normal 180 3 3" xfId="3085" xr:uid="{00000000-0005-0000-0000-00003F860000}"/>
    <cellStyle name="Normal 180 3 3 2" xfId="3086" xr:uid="{00000000-0005-0000-0000-000040860000}"/>
    <cellStyle name="Normal 180 3 3 2 2" xfId="11746" xr:uid="{00000000-0005-0000-0000-000041860000}"/>
    <cellStyle name="Normal 180 3 3 2 3" xfId="17501" xr:uid="{00000000-0005-0000-0000-000042860000}"/>
    <cellStyle name="Normal 180 3 3 3" xfId="11745" xr:uid="{00000000-0005-0000-0000-000043860000}"/>
    <cellStyle name="Normal 180 3 3 4" xfId="17500" xr:uid="{00000000-0005-0000-0000-000044860000}"/>
    <cellStyle name="Normal 180 3 3_LNG &amp; LPG rework" xfId="6606" xr:uid="{00000000-0005-0000-0000-000045860000}"/>
    <cellStyle name="Normal 180 3 4" xfId="3087" xr:uid="{00000000-0005-0000-0000-000046860000}"/>
    <cellStyle name="Normal 180 3 4 2" xfId="11747" xr:uid="{00000000-0005-0000-0000-000047860000}"/>
    <cellStyle name="Normal 180 3 4 3" xfId="17502" xr:uid="{00000000-0005-0000-0000-000048860000}"/>
    <cellStyle name="Normal 180 3 5" xfId="11740" xr:uid="{00000000-0005-0000-0000-000049860000}"/>
    <cellStyle name="Normal 180 3 6" xfId="17495" xr:uid="{00000000-0005-0000-0000-00004A860000}"/>
    <cellStyle name="Normal 180 3_LNG &amp; LPG rework" xfId="6582" xr:uid="{00000000-0005-0000-0000-00004B860000}"/>
    <cellStyle name="Normal 180 4" xfId="3088" xr:uid="{00000000-0005-0000-0000-00004C860000}"/>
    <cellStyle name="Normal 180 4 2" xfId="3089" xr:uid="{00000000-0005-0000-0000-00004D860000}"/>
    <cellStyle name="Normal 180 4 2 2" xfId="3090" xr:uid="{00000000-0005-0000-0000-00004E860000}"/>
    <cellStyle name="Normal 180 4 2 2 2" xfId="11750" xr:uid="{00000000-0005-0000-0000-00004F860000}"/>
    <cellStyle name="Normal 180 4 2 2 3" xfId="17505" xr:uid="{00000000-0005-0000-0000-000050860000}"/>
    <cellStyle name="Normal 180 4 2 3" xfId="11749" xr:uid="{00000000-0005-0000-0000-000051860000}"/>
    <cellStyle name="Normal 180 4 2 4" xfId="17504" xr:uid="{00000000-0005-0000-0000-000052860000}"/>
    <cellStyle name="Normal 180 4 2_LNG &amp; LPG rework" xfId="6577" xr:uid="{00000000-0005-0000-0000-000053860000}"/>
    <cellStyle name="Normal 180 4 3" xfId="3091" xr:uid="{00000000-0005-0000-0000-000054860000}"/>
    <cellStyle name="Normal 180 4 3 2" xfId="11751" xr:uid="{00000000-0005-0000-0000-000055860000}"/>
    <cellStyle name="Normal 180 4 3 3" xfId="17506" xr:uid="{00000000-0005-0000-0000-000056860000}"/>
    <cellStyle name="Normal 180 4 4" xfId="11748" xr:uid="{00000000-0005-0000-0000-000057860000}"/>
    <cellStyle name="Normal 180 4 5" xfId="17503" xr:uid="{00000000-0005-0000-0000-000058860000}"/>
    <cellStyle name="Normal 180 4_LNG &amp; LPG rework" xfId="6576" xr:uid="{00000000-0005-0000-0000-000059860000}"/>
    <cellStyle name="Normal 180 5" xfId="3092" xr:uid="{00000000-0005-0000-0000-00005A860000}"/>
    <cellStyle name="Normal 180 5 2" xfId="3093" xr:uid="{00000000-0005-0000-0000-00005B860000}"/>
    <cellStyle name="Normal 180 5 2 2" xfId="11753" xr:uid="{00000000-0005-0000-0000-00005C860000}"/>
    <cellStyle name="Normal 180 5 2 3" xfId="17508" xr:uid="{00000000-0005-0000-0000-00005D860000}"/>
    <cellStyle name="Normal 180 5 3" xfId="11752" xr:uid="{00000000-0005-0000-0000-00005E860000}"/>
    <cellStyle name="Normal 180 5 4" xfId="17507" xr:uid="{00000000-0005-0000-0000-00005F860000}"/>
    <cellStyle name="Normal 180 5_LNG &amp; LPG rework" xfId="6578" xr:uid="{00000000-0005-0000-0000-000060860000}"/>
    <cellStyle name="Normal 180 6" xfId="3094" xr:uid="{00000000-0005-0000-0000-000061860000}"/>
    <cellStyle name="Normal 180 6 2" xfId="11754" xr:uid="{00000000-0005-0000-0000-000062860000}"/>
    <cellStyle name="Normal 180 6 3" xfId="17509" xr:uid="{00000000-0005-0000-0000-000063860000}"/>
    <cellStyle name="Normal 180 7" xfId="11731" xr:uid="{00000000-0005-0000-0000-000064860000}"/>
    <cellStyle name="Normal 180 8" xfId="17486" xr:uid="{00000000-0005-0000-0000-000065860000}"/>
    <cellStyle name="Normal 180_LNG &amp; LPG rework" xfId="6603" xr:uid="{00000000-0005-0000-0000-000066860000}"/>
    <cellStyle name="Normal 181" xfId="3095" xr:uid="{00000000-0005-0000-0000-000067860000}"/>
    <cellStyle name="Normal 181 2" xfId="3096" xr:uid="{00000000-0005-0000-0000-000068860000}"/>
    <cellStyle name="Normal 181 2 2" xfId="3097" xr:uid="{00000000-0005-0000-0000-000069860000}"/>
    <cellStyle name="Normal 181 2 2 2" xfId="3098" xr:uid="{00000000-0005-0000-0000-00006A860000}"/>
    <cellStyle name="Normal 181 2 2 2 2" xfId="3099" xr:uid="{00000000-0005-0000-0000-00006B860000}"/>
    <cellStyle name="Normal 181 2 2 2 2 2" xfId="11759" xr:uid="{00000000-0005-0000-0000-00006C860000}"/>
    <cellStyle name="Normal 181 2 2 2 2 3" xfId="17514" xr:uid="{00000000-0005-0000-0000-00006D860000}"/>
    <cellStyle name="Normal 181 2 2 2 3" xfId="11758" xr:uid="{00000000-0005-0000-0000-00006E860000}"/>
    <cellStyle name="Normal 181 2 2 2 4" xfId="17513" xr:uid="{00000000-0005-0000-0000-00006F860000}"/>
    <cellStyle name="Normal 181 2 2 2_LNG &amp; LPG rework" xfId="6635" xr:uid="{00000000-0005-0000-0000-000070860000}"/>
    <cellStyle name="Normal 181 2 2 3" xfId="3100" xr:uid="{00000000-0005-0000-0000-000071860000}"/>
    <cellStyle name="Normal 181 2 2 3 2" xfId="11760" xr:uid="{00000000-0005-0000-0000-000072860000}"/>
    <cellStyle name="Normal 181 2 2 3 3" xfId="17515" xr:uid="{00000000-0005-0000-0000-000073860000}"/>
    <cellStyle name="Normal 181 2 2 4" xfId="11757" xr:uid="{00000000-0005-0000-0000-000074860000}"/>
    <cellStyle name="Normal 181 2 2 5" xfId="17512" xr:uid="{00000000-0005-0000-0000-000075860000}"/>
    <cellStyle name="Normal 181 2 2_LNG &amp; LPG rework" xfId="6636" xr:uid="{00000000-0005-0000-0000-000076860000}"/>
    <cellStyle name="Normal 181 2 3" xfId="3101" xr:uid="{00000000-0005-0000-0000-000077860000}"/>
    <cellStyle name="Normal 181 2 3 2" xfId="3102" xr:uid="{00000000-0005-0000-0000-000078860000}"/>
    <cellStyle name="Normal 181 2 3 2 2" xfId="11762" xr:uid="{00000000-0005-0000-0000-000079860000}"/>
    <cellStyle name="Normal 181 2 3 2 3" xfId="17517" xr:uid="{00000000-0005-0000-0000-00007A860000}"/>
    <cellStyle name="Normal 181 2 3 3" xfId="11761" xr:uid="{00000000-0005-0000-0000-00007B860000}"/>
    <cellStyle name="Normal 181 2 3 4" xfId="17516" xr:uid="{00000000-0005-0000-0000-00007C860000}"/>
    <cellStyle name="Normal 181 2 3_LNG &amp; LPG rework" xfId="6634" xr:uid="{00000000-0005-0000-0000-00007D860000}"/>
    <cellStyle name="Normal 181 2 4" xfId="3103" xr:uid="{00000000-0005-0000-0000-00007E860000}"/>
    <cellStyle name="Normal 181 2 4 2" xfId="11763" xr:uid="{00000000-0005-0000-0000-00007F860000}"/>
    <cellStyle name="Normal 181 2 4 3" xfId="17518" xr:uid="{00000000-0005-0000-0000-000080860000}"/>
    <cellStyle name="Normal 181 2 5" xfId="11756" xr:uid="{00000000-0005-0000-0000-000081860000}"/>
    <cellStyle name="Normal 181 2 6" xfId="17511" xr:uid="{00000000-0005-0000-0000-000082860000}"/>
    <cellStyle name="Normal 181 2_LNG &amp; LPG rework" xfId="6637" xr:uid="{00000000-0005-0000-0000-000083860000}"/>
    <cellStyle name="Normal 181 3" xfId="3104" xr:uid="{00000000-0005-0000-0000-000084860000}"/>
    <cellStyle name="Normal 181 3 2" xfId="3105" xr:uid="{00000000-0005-0000-0000-000085860000}"/>
    <cellStyle name="Normal 181 3 2 2" xfId="3106" xr:uid="{00000000-0005-0000-0000-000086860000}"/>
    <cellStyle name="Normal 181 3 2 2 2" xfId="3107" xr:uid="{00000000-0005-0000-0000-000087860000}"/>
    <cellStyle name="Normal 181 3 2 2 2 2" xfId="11767" xr:uid="{00000000-0005-0000-0000-000088860000}"/>
    <cellStyle name="Normal 181 3 2 2 2 3" xfId="17522" xr:uid="{00000000-0005-0000-0000-000089860000}"/>
    <cellStyle name="Normal 181 3 2 2 3" xfId="11766" xr:uid="{00000000-0005-0000-0000-00008A860000}"/>
    <cellStyle name="Normal 181 3 2 2 4" xfId="17521" xr:uid="{00000000-0005-0000-0000-00008B860000}"/>
    <cellStyle name="Normal 181 3 2 2_LNG &amp; LPG rework" xfId="6633" xr:uid="{00000000-0005-0000-0000-00008C860000}"/>
    <cellStyle name="Normal 181 3 2 3" xfId="3108" xr:uid="{00000000-0005-0000-0000-00008D860000}"/>
    <cellStyle name="Normal 181 3 2 3 2" xfId="11768" xr:uid="{00000000-0005-0000-0000-00008E860000}"/>
    <cellStyle name="Normal 181 3 2 3 3" xfId="17523" xr:uid="{00000000-0005-0000-0000-00008F860000}"/>
    <cellStyle name="Normal 181 3 2 4" xfId="11765" xr:uid="{00000000-0005-0000-0000-000090860000}"/>
    <cellStyle name="Normal 181 3 2 5" xfId="17520" xr:uid="{00000000-0005-0000-0000-000091860000}"/>
    <cellStyle name="Normal 181 3 2_LNG &amp; LPG rework" xfId="6579" xr:uid="{00000000-0005-0000-0000-000092860000}"/>
    <cellStyle name="Normal 181 3 3" xfId="3109" xr:uid="{00000000-0005-0000-0000-000093860000}"/>
    <cellStyle name="Normal 181 3 3 2" xfId="3110" xr:uid="{00000000-0005-0000-0000-000094860000}"/>
    <cellStyle name="Normal 181 3 3 2 2" xfId="11770" xr:uid="{00000000-0005-0000-0000-000095860000}"/>
    <cellStyle name="Normal 181 3 3 2 3" xfId="17525" xr:uid="{00000000-0005-0000-0000-000096860000}"/>
    <cellStyle name="Normal 181 3 3 3" xfId="11769" xr:uid="{00000000-0005-0000-0000-000097860000}"/>
    <cellStyle name="Normal 181 3 3 4" xfId="17524" xr:uid="{00000000-0005-0000-0000-000098860000}"/>
    <cellStyle name="Normal 181 3 3_LNG &amp; LPG rework" xfId="6632" xr:uid="{00000000-0005-0000-0000-000099860000}"/>
    <cellStyle name="Normal 181 3 4" xfId="3111" xr:uid="{00000000-0005-0000-0000-00009A860000}"/>
    <cellStyle name="Normal 181 3 4 2" xfId="11771" xr:uid="{00000000-0005-0000-0000-00009B860000}"/>
    <cellStyle name="Normal 181 3 4 3" xfId="17526" xr:uid="{00000000-0005-0000-0000-00009C860000}"/>
    <cellStyle name="Normal 181 3 5" xfId="11764" xr:uid="{00000000-0005-0000-0000-00009D860000}"/>
    <cellStyle name="Normal 181 3 6" xfId="17519" xr:uid="{00000000-0005-0000-0000-00009E860000}"/>
    <cellStyle name="Normal 181 3_LNG &amp; LPG rework" xfId="6605" xr:uid="{00000000-0005-0000-0000-00009F860000}"/>
    <cellStyle name="Normal 181 4" xfId="3112" xr:uid="{00000000-0005-0000-0000-0000A0860000}"/>
    <cellStyle name="Normal 181 4 2" xfId="3113" xr:uid="{00000000-0005-0000-0000-0000A1860000}"/>
    <cellStyle name="Normal 181 4 2 2" xfId="3114" xr:uid="{00000000-0005-0000-0000-0000A2860000}"/>
    <cellStyle name="Normal 181 4 2 2 2" xfId="11774" xr:uid="{00000000-0005-0000-0000-0000A3860000}"/>
    <cellStyle name="Normal 181 4 2 2 3" xfId="17529" xr:uid="{00000000-0005-0000-0000-0000A4860000}"/>
    <cellStyle name="Normal 181 4 2 3" xfId="11773" xr:uid="{00000000-0005-0000-0000-0000A5860000}"/>
    <cellStyle name="Normal 181 4 2 4" xfId="17528" xr:uid="{00000000-0005-0000-0000-0000A6860000}"/>
    <cellStyle name="Normal 181 4 2_LNG &amp; LPG rework" xfId="6604" xr:uid="{00000000-0005-0000-0000-0000A7860000}"/>
    <cellStyle name="Normal 181 4 3" xfId="3115" xr:uid="{00000000-0005-0000-0000-0000A8860000}"/>
    <cellStyle name="Normal 181 4 3 2" xfId="11775" xr:uid="{00000000-0005-0000-0000-0000A9860000}"/>
    <cellStyle name="Normal 181 4 3 3" xfId="17530" xr:uid="{00000000-0005-0000-0000-0000AA860000}"/>
    <cellStyle name="Normal 181 4 4" xfId="11772" xr:uid="{00000000-0005-0000-0000-0000AB860000}"/>
    <cellStyle name="Normal 181 4 5" xfId="17527" xr:uid="{00000000-0005-0000-0000-0000AC860000}"/>
    <cellStyle name="Normal 181 4_LNG &amp; LPG rework" xfId="6631" xr:uid="{00000000-0005-0000-0000-0000AD860000}"/>
    <cellStyle name="Normal 181 5" xfId="3116" xr:uid="{00000000-0005-0000-0000-0000AE860000}"/>
    <cellStyle name="Normal 181 5 2" xfId="3117" xr:uid="{00000000-0005-0000-0000-0000AF860000}"/>
    <cellStyle name="Normal 181 5 2 2" xfId="11777" xr:uid="{00000000-0005-0000-0000-0000B0860000}"/>
    <cellStyle name="Normal 181 5 2 3" xfId="17532" xr:uid="{00000000-0005-0000-0000-0000B1860000}"/>
    <cellStyle name="Normal 181 5 3" xfId="11776" xr:uid="{00000000-0005-0000-0000-0000B2860000}"/>
    <cellStyle name="Normal 181 5 4" xfId="17531" xr:uid="{00000000-0005-0000-0000-0000B3860000}"/>
    <cellStyle name="Normal 181 5_LNG &amp; LPG rework" xfId="6630" xr:uid="{00000000-0005-0000-0000-0000B4860000}"/>
    <cellStyle name="Normal 181 6" xfId="3118" xr:uid="{00000000-0005-0000-0000-0000B5860000}"/>
    <cellStyle name="Normal 181 6 2" xfId="11778" xr:uid="{00000000-0005-0000-0000-0000B6860000}"/>
    <cellStyle name="Normal 181 6 3" xfId="17533" xr:uid="{00000000-0005-0000-0000-0000B7860000}"/>
    <cellStyle name="Normal 181 7" xfId="11755" xr:uid="{00000000-0005-0000-0000-0000B8860000}"/>
    <cellStyle name="Normal 181 8" xfId="17510" xr:uid="{00000000-0005-0000-0000-0000B9860000}"/>
    <cellStyle name="Normal 181_LNG &amp; LPG rework" xfId="6638" xr:uid="{00000000-0005-0000-0000-0000BA860000}"/>
    <cellStyle name="Normal 182" xfId="3119" xr:uid="{00000000-0005-0000-0000-0000BB860000}"/>
    <cellStyle name="Normal 182 2" xfId="3120" xr:uid="{00000000-0005-0000-0000-0000BC860000}"/>
    <cellStyle name="Normal 182 2 2" xfId="3121" xr:uid="{00000000-0005-0000-0000-0000BD860000}"/>
    <cellStyle name="Normal 182 2 2 2" xfId="3122" xr:uid="{00000000-0005-0000-0000-0000BE860000}"/>
    <cellStyle name="Normal 182 2 2 2 2" xfId="3123" xr:uid="{00000000-0005-0000-0000-0000BF860000}"/>
    <cellStyle name="Normal 182 2 2 2 2 2" xfId="11783" xr:uid="{00000000-0005-0000-0000-0000C0860000}"/>
    <cellStyle name="Normal 182 2 2 2 2 3" xfId="17538" xr:uid="{00000000-0005-0000-0000-0000C1860000}"/>
    <cellStyle name="Normal 182 2 2 2 3" xfId="11782" xr:uid="{00000000-0005-0000-0000-0000C2860000}"/>
    <cellStyle name="Normal 182 2 2 2 4" xfId="17537" xr:uid="{00000000-0005-0000-0000-0000C3860000}"/>
    <cellStyle name="Normal 182 2 2 2_LNG &amp; LPG rework" xfId="6599" xr:uid="{00000000-0005-0000-0000-0000C4860000}"/>
    <cellStyle name="Normal 182 2 2 3" xfId="3124" xr:uid="{00000000-0005-0000-0000-0000C5860000}"/>
    <cellStyle name="Normal 182 2 2 3 2" xfId="11784" xr:uid="{00000000-0005-0000-0000-0000C6860000}"/>
    <cellStyle name="Normal 182 2 2 3 3" xfId="17539" xr:uid="{00000000-0005-0000-0000-0000C7860000}"/>
    <cellStyle name="Normal 182 2 2 4" xfId="11781" xr:uid="{00000000-0005-0000-0000-0000C8860000}"/>
    <cellStyle name="Normal 182 2 2 5" xfId="17536" xr:uid="{00000000-0005-0000-0000-0000C9860000}"/>
    <cellStyle name="Normal 182 2 2_LNG &amp; LPG rework" xfId="6628" xr:uid="{00000000-0005-0000-0000-0000CA860000}"/>
    <cellStyle name="Normal 182 2 3" xfId="3125" xr:uid="{00000000-0005-0000-0000-0000CB860000}"/>
    <cellStyle name="Normal 182 2 3 2" xfId="3126" xr:uid="{00000000-0005-0000-0000-0000CC860000}"/>
    <cellStyle name="Normal 182 2 3 2 2" xfId="11786" xr:uid="{00000000-0005-0000-0000-0000CD860000}"/>
    <cellStyle name="Normal 182 2 3 2 3" xfId="17541" xr:uid="{00000000-0005-0000-0000-0000CE860000}"/>
    <cellStyle name="Normal 182 2 3 3" xfId="11785" xr:uid="{00000000-0005-0000-0000-0000CF860000}"/>
    <cellStyle name="Normal 182 2 3 4" xfId="17540" xr:uid="{00000000-0005-0000-0000-0000D0860000}"/>
    <cellStyle name="Normal 182 2 3_LNG &amp; LPG rework" xfId="6586" xr:uid="{00000000-0005-0000-0000-0000D1860000}"/>
    <cellStyle name="Normal 182 2 4" xfId="3127" xr:uid="{00000000-0005-0000-0000-0000D2860000}"/>
    <cellStyle name="Normal 182 2 4 2" xfId="11787" xr:uid="{00000000-0005-0000-0000-0000D3860000}"/>
    <cellStyle name="Normal 182 2 4 3" xfId="17542" xr:uid="{00000000-0005-0000-0000-0000D4860000}"/>
    <cellStyle name="Normal 182 2 5" xfId="11780" xr:uid="{00000000-0005-0000-0000-0000D5860000}"/>
    <cellStyle name="Normal 182 2 6" xfId="17535" xr:uid="{00000000-0005-0000-0000-0000D6860000}"/>
    <cellStyle name="Normal 182 2_LNG &amp; LPG rework" xfId="6596" xr:uid="{00000000-0005-0000-0000-0000D7860000}"/>
    <cellStyle name="Normal 182 3" xfId="3128" xr:uid="{00000000-0005-0000-0000-0000D8860000}"/>
    <cellStyle name="Normal 182 3 2" xfId="3129" xr:uid="{00000000-0005-0000-0000-0000D9860000}"/>
    <cellStyle name="Normal 182 3 2 2" xfId="3130" xr:uid="{00000000-0005-0000-0000-0000DA860000}"/>
    <cellStyle name="Normal 182 3 2 2 2" xfId="3131" xr:uid="{00000000-0005-0000-0000-0000DB860000}"/>
    <cellStyle name="Normal 182 3 2 2 2 2" xfId="11791" xr:uid="{00000000-0005-0000-0000-0000DC860000}"/>
    <cellStyle name="Normal 182 3 2 2 2 3" xfId="17546" xr:uid="{00000000-0005-0000-0000-0000DD860000}"/>
    <cellStyle name="Normal 182 3 2 2 3" xfId="11790" xr:uid="{00000000-0005-0000-0000-0000DE860000}"/>
    <cellStyle name="Normal 182 3 2 2 4" xfId="17545" xr:uid="{00000000-0005-0000-0000-0000DF860000}"/>
    <cellStyle name="Normal 182 3 2 2_LNG &amp; LPG rework" xfId="6627" xr:uid="{00000000-0005-0000-0000-0000E0860000}"/>
    <cellStyle name="Normal 182 3 2 3" xfId="3132" xr:uid="{00000000-0005-0000-0000-0000E1860000}"/>
    <cellStyle name="Normal 182 3 2 3 2" xfId="11792" xr:uid="{00000000-0005-0000-0000-0000E2860000}"/>
    <cellStyle name="Normal 182 3 2 3 3" xfId="17547" xr:uid="{00000000-0005-0000-0000-0000E3860000}"/>
    <cellStyle name="Normal 182 3 2 4" xfId="11789" xr:uid="{00000000-0005-0000-0000-0000E4860000}"/>
    <cellStyle name="Normal 182 3 2 5" xfId="17544" xr:uid="{00000000-0005-0000-0000-0000E5860000}"/>
    <cellStyle name="Normal 182 3 2_LNG &amp; LPG rework" xfId="6589" xr:uid="{00000000-0005-0000-0000-0000E6860000}"/>
    <cellStyle name="Normal 182 3 3" xfId="3133" xr:uid="{00000000-0005-0000-0000-0000E7860000}"/>
    <cellStyle name="Normal 182 3 3 2" xfId="3134" xr:uid="{00000000-0005-0000-0000-0000E8860000}"/>
    <cellStyle name="Normal 182 3 3 2 2" xfId="11794" xr:uid="{00000000-0005-0000-0000-0000E9860000}"/>
    <cellStyle name="Normal 182 3 3 2 3" xfId="17549" xr:uid="{00000000-0005-0000-0000-0000EA860000}"/>
    <cellStyle name="Normal 182 3 3 3" xfId="11793" xr:uid="{00000000-0005-0000-0000-0000EB860000}"/>
    <cellStyle name="Normal 182 3 3 4" xfId="17548" xr:uid="{00000000-0005-0000-0000-0000EC860000}"/>
    <cellStyle name="Normal 182 3 3_LNG &amp; LPG rework" xfId="6593" xr:uid="{00000000-0005-0000-0000-0000ED860000}"/>
    <cellStyle name="Normal 182 3 4" xfId="3135" xr:uid="{00000000-0005-0000-0000-0000EE860000}"/>
    <cellStyle name="Normal 182 3 4 2" xfId="11795" xr:uid="{00000000-0005-0000-0000-0000EF860000}"/>
    <cellStyle name="Normal 182 3 4 3" xfId="17550" xr:uid="{00000000-0005-0000-0000-0000F0860000}"/>
    <cellStyle name="Normal 182 3 5" xfId="11788" xr:uid="{00000000-0005-0000-0000-0000F1860000}"/>
    <cellStyle name="Normal 182 3 6" xfId="17543" xr:uid="{00000000-0005-0000-0000-0000F2860000}"/>
    <cellStyle name="Normal 182 3_LNG &amp; LPG rework" xfId="6626" xr:uid="{00000000-0005-0000-0000-0000F3860000}"/>
    <cellStyle name="Normal 182 4" xfId="3136" xr:uid="{00000000-0005-0000-0000-0000F4860000}"/>
    <cellStyle name="Normal 182 4 2" xfId="3137" xr:uid="{00000000-0005-0000-0000-0000F5860000}"/>
    <cellStyle name="Normal 182 4 2 2" xfId="3138" xr:uid="{00000000-0005-0000-0000-0000F6860000}"/>
    <cellStyle name="Normal 182 4 2 2 2" xfId="11798" xr:uid="{00000000-0005-0000-0000-0000F7860000}"/>
    <cellStyle name="Normal 182 4 2 2 3" xfId="17553" xr:uid="{00000000-0005-0000-0000-0000F8860000}"/>
    <cellStyle name="Normal 182 4 2 3" xfId="11797" xr:uid="{00000000-0005-0000-0000-0000F9860000}"/>
    <cellStyle name="Normal 182 4 2 4" xfId="17552" xr:uid="{00000000-0005-0000-0000-0000FA860000}"/>
    <cellStyle name="Normal 182 4 2_LNG &amp; LPG rework" xfId="6587" xr:uid="{00000000-0005-0000-0000-0000FB860000}"/>
    <cellStyle name="Normal 182 4 3" xfId="3139" xr:uid="{00000000-0005-0000-0000-0000FC860000}"/>
    <cellStyle name="Normal 182 4 3 2" xfId="11799" xr:uid="{00000000-0005-0000-0000-0000FD860000}"/>
    <cellStyle name="Normal 182 4 3 3" xfId="17554" xr:uid="{00000000-0005-0000-0000-0000FE860000}"/>
    <cellStyle name="Normal 182 4 4" xfId="11796" xr:uid="{00000000-0005-0000-0000-0000FF860000}"/>
    <cellStyle name="Normal 182 4 5" xfId="17551" xr:uid="{00000000-0005-0000-0000-000000870000}"/>
    <cellStyle name="Normal 182 4_LNG &amp; LPG rework" xfId="6585" xr:uid="{00000000-0005-0000-0000-000001870000}"/>
    <cellStyle name="Normal 182 5" xfId="3140" xr:uid="{00000000-0005-0000-0000-000002870000}"/>
    <cellStyle name="Normal 182 5 2" xfId="3141" xr:uid="{00000000-0005-0000-0000-000003870000}"/>
    <cellStyle name="Normal 182 5 2 2" xfId="11801" xr:uid="{00000000-0005-0000-0000-000004870000}"/>
    <cellStyle name="Normal 182 5 2 3" xfId="17556" xr:uid="{00000000-0005-0000-0000-000005870000}"/>
    <cellStyle name="Normal 182 5 3" xfId="11800" xr:uid="{00000000-0005-0000-0000-000006870000}"/>
    <cellStyle name="Normal 182 5 4" xfId="17555" xr:uid="{00000000-0005-0000-0000-000007870000}"/>
    <cellStyle name="Normal 182 5_LNG &amp; LPG rework" xfId="6591" xr:uid="{00000000-0005-0000-0000-000008870000}"/>
    <cellStyle name="Normal 182 6" xfId="3142" xr:uid="{00000000-0005-0000-0000-000009870000}"/>
    <cellStyle name="Normal 182 6 2" xfId="11802" xr:uid="{00000000-0005-0000-0000-00000A870000}"/>
    <cellStyle name="Normal 182 6 3" xfId="17557" xr:uid="{00000000-0005-0000-0000-00000B870000}"/>
    <cellStyle name="Normal 182 7" xfId="11779" xr:uid="{00000000-0005-0000-0000-00000C870000}"/>
    <cellStyle name="Normal 182 8" xfId="17534" xr:uid="{00000000-0005-0000-0000-00000D870000}"/>
    <cellStyle name="Normal 182_LNG &amp; LPG rework" xfId="6629" xr:uid="{00000000-0005-0000-0000-00000E870000}"/>
    <cellStyle name="Normal 183" xfId="3143" xr:uid="{00000000-0005-0000-0000-00000F870000}"/>
    <cellStyle name="Normal 183 2" xfId="3144" xr:uid="{00000000-0005-0000-0000-000010870000}"/>
    <cellStyle name="Normal 183 2 2" xfId="3145" xr:uid="{00000000-0005-0000-0000-000011870000}"/>
    <cellStyle name="Normal 183 2 2 2" xfId="3146" xr:uid="{00000000-0005-0000-0000-000012870000}"/>
    <cellStyle name="Normal 183 2 2 2 2" xfId="3147" xr:uid="{00000000-0005-0000-0000-000013870000}"/>
    <cellStyle name="Normal 183 2 2 2 2 2" xfId="11807" xr:uid="{00000000-0005-0000-0000-000014870000}"/>
    <cellStyle name="Normal 183 2 2 2 2 3" xfId="17562" xr:uid="{00000000-0005-0000-0000-000015870000}"/>
    <cellStyle name="Normal 183 2 2 2 3" xfId="11806" xr:uid="{00000000-0005-0000-0000-000016870000}"/>
    <cellStyle name="Normal 183 2 2 2 4" xfId="17561" xr:uid="{00000000-0005-0000-0000-000017870000}"/>
    <cellStyle name="Normal 183 2 2 2_LNG &amp; LPG rework" xfId="6622" xr:uid="{00000000-0005-0000-0000-000018870000}"/>
    <cellStyle name="Normal 183 2 2 3" xfId="3148" xr:uid="{00000000-0005-0000-0000-000019870000}"/>
    <cellStyle name="Normal 183 2 2 3 2" xfId="11808" xr:uid="{00000000-0005-0000-0000-00001A870000}"/>
    <cellStyle name="Normal 183 2 2 3 3" xfId="17563" xr:uid="{00000000-0005-0000-0000-00001B870000}"/>
    <cellStyle name="Normal 183 2 2 4" xfId="11805" xr:uid="{00000000-0005-0000-0000-00001C870000}"/>
    <cellStyle name="Normal 183 2 2 5" xfId="17560" xr:uid="{00000000-0005-0000-0000-00001D870000}"/>
    <cellStyle name="Normal 183 2 2_LNG &amp; LPG rework" xfId="6625" xr:uid="{00000000-0005-0000-0000-00001E870000}"/>
    <cellStyle name="Normal 183 2 3" xfId="3149" xr:uid="{00000000-0005-0000-0000-00001F870000}"/>
    <cellStyle name="Normal 183 2 3 2" xfId="3150" xr:uid="{00000000-0005-0000-0000-000020870000}"/>
    <cellStyle name="Normal 183 2 3 2 2" xfId="11810" xr:uid="{00000000-0005-0000-0000-000021870000}"/>
    <cellStyle name="Normal 183 2 3 2 3" xfId="17565" xr:uid="{00000000-0005-0000-0000-000022870000}"/>
    <cellStyle name="Normal 183 2 3 3" xfId="11809" xr:uid="{00000000-0005-0000-0000-000023870000}"/>
    <cellStyle name="Normal 183 2 3 4" xfId="17564" xr:uid="{00000000-0005-0000-0000-000024870000}"/>
    <cellStyle name="Normal 183 2 3_LNG &amp; LPG rework" xfId="6615" xr:uid="{00000000-0005-0000-0000-000025870000}"/>
    <cellStyle name="Normal 183 2 4" xfId="3151" xr:uid="{00000000-0005-0000-0000-000026870000}"/>
    <cellStyle name="Normal 183 2 4 2" xfId="11811" xr:uid="{00000000-0005-0000-0000-000027870000}"/>
    <cellStyle name="Normal 183 2 4 3" xfId="17566" xr:uid="{00000000-0005-0000-0000-000028870000}"/>
    <cellStyle name="Normal 183 2 5" xfId="11804" xr:uid="{00000000-0005-0000-0000-000029870000}"/>
    <cellStyle name="Normal 183 2 6" xfId="17559" xr:uid="{00000000-0005-0000-0000-00002A870000}"/>
    <cellStyle name="Normal 183 2_LNG &amp; LPG rework" xfId="6623" xr:uid="{00000000-0005-0000-0000-00002B870000}"/>
    <cellStyle name="Normal 183 3" xfId="3152" xr:uid="{00000000-0005-0000-0000-00002C870000}"/>
    <cellStyle name="Normal 183 3 2" xfId="3153" xr:uid="{00000000-0005-0000-0000-00002D870000}"/>
    <cellStyle name="Normal 183 3 2 2" xfId="3154" xr:uid="{00000000-0005-0000-0000-00002E870000}"/>
    <cellStyle name="Normal 183 3 2 2 2" xfId="3155" xr:uid="{00000000-0005-0000-0000-00002F870000}"/>
    <cellStyle name="Normal 183 3 2 2 2 2" xfId="11815" xr:uid="{00000000-0005-0000-0000-000030870000}"/>
    <cellStyle name="Normal 183 3 2 2 2 3" xfId="17570" xr:uid="{00000000-0005-0000-0000-000031870000}"/>
    <cellStyle name="Normal 183 3 2 2 3" xfId="11814" xr:uid="{00000000-0005-0000-0000-000032870000}"/>
    <cellStyle name="Normal 183 3 2 2 4" xfId="17569" xr:uid="{00000000-0005-0000-0000-000033870000}"/>
    <cellStyle name="Normal 183 3 2 2_LNG &amp; LPG rework" xfId="6989" xr:uid="{00000000-0005-0000-0000-000034870000}"/>
    <cellStyle name="Normal 183 3 2 3" xfId="3156" xr:uid="{00000000-0005-0000-0000-000035870000}"/>
    <cellStyle name="Normal 183 3 2 3 2" xfId="11816" xr:uid="{00000000-0005-0000-0000-000036870000}"/>
    <cellStyle name="Normal 183 3 2 3 3" xfId="17571" xr:uid="{00000000-0005-0000-0000-000037870000}"/>
    <cellStyle name="Normal 183 3 2 4" xfId="11813" xr:uid="{00000000-0005-0000-0000-000038870000}"/>
    <cellStyle name="Normal 183 3 2 5" xfId="17568" xr:uid="{00000000-0005-0000-0000-000039870000}"/>
    <cellStyle name="Normal 183 3 2_LNG &amp; LPG rework" xfId="6588" xr:uid="{00000000-0005-0000-0000-00003A870000}"/>
    <cellStyle name="Normal 183 3 3" xfId="3157" xr:uid="{00000000-0005-0000-0000-00003B870000}"/>
    <cellStyle name="Normal 183 3 3 2" xfId="3158" xr:uid="{00000000-0005-0000-0000-00003C870000}"/>
    <cellStyle name="Normal 183 3 3 2 2" xfId="11818" xr:uid="{00000000-0005-0000-0000-00003D870000}"/>
    <cellStyle name="Normal 183 3 3 2 3" xfId="17573" xr:uid="{00000000-0005-0000-0000-00003E870000}"/>
    <cellStyle name="Normal 183 3 3 3" xfId="11817" xr:uid="{00000000-0005-0000-0000-00003F870000}"/>
    <cellStyle name="Normal 183 3 3 4" xfId="17572" xr:uid="{00000000-0005-0000-0000-000040870000}"/>
    <cellStyle name="Normal 183 3 3_LNG &amp; LPG rework" xfId="6988" xr:uid="{00000000-0005-0000-0000-000041870000}"/>
    <cellStyle name="Normal 183 3 4" xfId="3159" xr:uid="{00000000-0005-0000-0000-000042870000}"/>
    <cellStyle name="Normal 183 3 4 2" xfId="11819" xr:uid="{00000000-0005-0000-0000-000043870000}"/>
    <cellStyle name="Normal 183 3 4 3" xfId="17574" xr:uid="{00000000-0005-0000-0000-000044870000}"/>
    <cellStyle name="Normal 183 3 5" xfId="11812" xr:uid="{00000000-0005-0000-0000-000045870000}"/>
    <cellStyle name="Normal 183 3 6" xfId="17567" xr:uid="{00000000-0005-0000-0000-000046870000}"/>
    <cellStyle name="Normal 183 3_LNG &amp; LPG rework" xfId="6583" xr:uid="{00000000-0005-0000-0000-000047870000}"/>
    <cellStyle name="Normal 183 4" xfId="3160" xr:uid="{00000000-0005-0000-0000-000048870000}"/>
    <cellStyle name="Normal 183 4 2" xfId="3161" xr:uid="{00000000-0005-0000-0000-000049870000}"/>
    <cellStyle name="Normal 183 4 2 2" xfId="3162" xr:uid="{00000000-0005-0000-0000-00004A870000}"/>
    <cellStyle name="Normal 183 4 2 2 2" xfId="11822" xr:uid="{00000000-0005-0000-0000-00004B870000}"/>
    <cellStyle name="Normal 183 4 2 2 3" xfId="17577" xr:uid="{00000000-0005-0000-0000-00004C870000}"/>
    <cellStyle name="Normal 183 4 2 3" xfId="11821" xr:uid="{00000000-0005-0000-0000-00004D870000}"/>
    <cellStyle name="Normal 183 4 2 4" xfId="17576" xr:uid="{00000000-0005-0000-0000-00004E870000}"/>
    <cellStyle name="Normal 183 4 2_LNG &amp; LPG rework" xfId="6987" xr:uid="{00000000-0005-0000-0000-00004F870000}"/>
    <cellStyle name="Normal 183 4 3" xfId="3163" xr:uid="{00000000-0005-0000-0000-000050870000}"/>
    <cellStyle name="Normal 183 4 3 2" xfId="11823" xr:uid="{00000000-0005-0000-0000-000051870000}"/>
    <cellStyle name="Normal 183 4 3 3" xfId="17578" xr:uid="{00000000-0005-0000-0000-000052870000}"/>
    <cellStyle name="Normal 183 4 4" xfId="11820" xr:uid="{00000000-0005-0000-0000-000053870000}"/>
    <cellStyle name="Normal 183 4 5" xfId="17575" xr:uid="{00000000-0005-0000-0000-000054870000}"/>
    <cellStyle name="Normal 183 4_LNG &amp; LPG rework" xfId="6609" xr:uid="{00000000-0005-0000-0000-000055870000}"/>
    <cellStyle name="Normal 183 5" xfId="3164" xr:uid="{00000000-0005-0000-0000-000056870000}"/>
    <cellStyle name="Normal 183 5 2" xfId="3165" xr:uid="{00000000-0005-0000-0000-000057870000}"/>
    <cellStyle name="Normal 183 5 2 2" xfId="11825" xr:uid="{00000000-0005-0000-0000-000058870000}"/>
    <cellStyle name="Normal 183 5 2 3" xfId="17580" xr:uid="{00000000-0005-0000-0000-000059870000}"/>
    <cellStyle name="Normal 183 5 3" xfId="11824" xr:uid="{00000000-0005-0000-0000-00005A870000}"/>
    <cellStyle name="Normal 183 5 4" xfId="17579" xr:uid="{00000000-0005-0000-0000-00005B870000}"/>
    <cellStyle name="Normal 183 5_LNG &amp; LPG rework" xfId="6986" xr:uid="{00000000-0005-0000-0000-00005C870000}"/>
    <cellStyle name="Normal 183 6" xfId="3166" xr:uid="{00000000-0005-0000-0000-00005D870000}"/>
    <cellStyle name="Normal 183 6 2" xfId="11826" xr:uid="{00000000-0005-0000-0000-00005E870000}"/>
    <cellStyle name="Normal 183 6 3" xfId="17581" xr:uid="{00000000-0005-0000-0000-00005F870000}"/>
    <cellStyle name="Normal 183 7" xfId="11803" xr:uid="{00000000-0005-0000-0000-000060870000}"/>
    <cellStyle name="Normal 183 8" xfId="17558" xr:uid="{00000000-0005-0000-0000-000061870000}"/>
    <cellStyle name="Normal 183_LNG &amp; LPG rework" xfId="6624" xr:uid="{00000000-0005-0000-0000-000062870000}"/>
    <cellStyle name="Normal 184" xfId="3167" xr:uid="{00000000-0005-0000-0000-000063870000}"/>
    <cellStyle name="Normal 185" xfId="3168" xr:uid="{00000000-0005-0000-0000-000064870000}"/>
    <cellStyle name="Normal 185 2" xfId="3169" xr:uid="{00000000-0005-0000-0000-000065870000}"/>
    <cellStyle name="Normal 185 2 2" xfId="3170" xr:uid="{00000000-0005-0000-0000-000066870000}"/>
    <cellStyle name="Normal 185 2 2 2" xfId="3171" xr:uid="{00000000-0005-0000-0000-000067870000}"/>
    <cellStyle name="Normal 185 2 2 2 2" xfId="3172" xr:uid="{00000000-0005-0000-0000-000068870000}"/>
    <cellStyle name="Normal 185 2 2 2 2 2" xfId="11831" xr:uid="{00000000-0005-0000-0000-000069870000}"/>
    <cellStyle name="Normal 185 2 2 2 2 3" xfId="17586" xr:uid="{00000000-0005-0000-0000-00006A870000}"/>
    <cellStyle name="Normal 185 2 2 2 3" xfId="11830" xr:uid="{00000000-0005-0000-0000-00006B870000}"/>
    <cellStyle name="Normal 185 2 2 2 4" xfId="17585" xr:uid="{00000000-0005-0000-0000-00006C870000}"/>
    <cellStyle name="Normal 185 2 2 2_LNG &amp; LPG rework" xfId="6618" xr:uid="{00000000-0005-0000-0000-00006D870000}"/>
    <cellStyle name="Normal 185 2 2 3" xfId="3173" xr:uid="{00000000-0005-0000-0000-00006E870000}"/>
    <cellStyle name="Normal 185 2 2 3 2" xfId="11832" xr:uid="{00000000-0005-0000-0000-00006F870000}"/>
    <cellStyle name="Normal 185 2 2 3 3" xfId="17587" xr:uid="{00000000-0005-0000-0000-000070870000}"/>
    <cellStyle name="Normal 185 2 2 4" xfId="11829" xr:uid="{00000000-0005-0000-0000-000071870000}"/>
    <cellStyle name="Normal 185 2 2 5" xfId="17584" xr:uid="{00000000-0005-0000-0000-000072870000}"/>
    <cellStyle name="Normal 185 2 2_LNG &amp; LPG rework" xfId="6619" xr:uid="{00000000-0005-0000-0000-000073870000}"/>
    <cellStyle name="Normal 185 2 3" xfId="3174" xr:uid="{00000000-0005-0000-0000-000074870000}"/>
    <cellStyle name="Normal 185 2 3 2" xfId="3175" xr:uid="{00000000-0005-0000-0000-000075870000}"/>
    <cellStyle name="Normal 185 2 3 2 2" xfId="11834" xr:uid="{00000000-0005-0000-0000-000076870000}"/>
    <cellStyle name="Normal 185 2 3 2 3" xfId="17589" xr:uid="{00000000-0005-0000-0000-000077870000}"/>
    <cellStyle name="Normal 185 2 3 3" xfId="11833" xr:uid="{00000000-0005-0000-0000-000078870000}"/>
    <cellStyle name="Normal 185 2 3 4" xfId="17588" xr:uid="{00000000-0005-0000-0000-000079870000}"/>
    <cellStyle name="Normal 185 2 3_LNG &amp; LPG rework" xfId="6991" xr:uid="{00000000-0005-0000-0000-00007A870000}"/>
    <cellStyle name="Normal 185 2 4" xfId="3176" xr:uid="{00000000-0005-0000-0000-00007B870000}"/>
    <cellStyle name="Normal 185 2 4 2" xfId="11835" xr:uid="{00000000-0005-0000-0000-00007C870000}"/>
    <cellStyle name="Normal 185 2 4 3" xfId="17590" xr:uid="{00000000-0005-0000-0000-00007D870000}"/>
    <cellStyle name="Normal 185 2 5" xfId="11828" xr:uid="{00000000-0005-0000-0000-00007E870000}"/>
    <cellStyle name="Normal 185 2 6" xfId="17583" xr:uid="{00000000-0005-0000-0000-00007F870000}"/>
    <cellStyle name="Normal 185 2_LNG &amp; LPG rework" xfId="6621" xr:uid="{00000000-0005-0000-0000-000080870000}"/>
    <cellStyle name="Normal 185 3" xfId="3177" xr:uid="{00000000-0005-0000-0000-000081870000}"/>
    <cellStyle name="Normal 185 3 2" xfId="3178" xr:uid="{00000000-0005-0000-0000-000082870000}"/>
    <cellStyle name="Normal 185 3 2 2" xfId="3179" xr:uid="{00000000-0005-0000-0000-000083870000}"/>
    <cellStyle name="Normal 185 3 2 2 2" xfId="3180" xr:uid="{00000000-0005-0000-0000-000084870000}"/>
    <cellStyle name="Normal 185 3 2 2 2 2" xfId="11839" xr:uid="{00000000-0005-0000-0000-000085870000}"/>
    <cellStyle name="Normal 185 3 2 2 2 3" xfId="17594" xr:uid="{00000000-0005-0000-0000-000086870000}"/>
    <cellStyle name="Normal 185 3 2 2 3" xfId="11838" xr:uid="{00000000-0005-0000-0000-000087870000}"/>
    <cellStyle name="Normal 185 3 2 2 4" xfId="17593" xr:uid="{00000000-0005-0000-0000-000088870000}"/>
    <cellStyle name="Normal 185 3 2 2_LNG &amp; LPG rework" xfId="6614" xr:uid="{00000000-0005-0000-0000-000089870000}"/>
    <cellStyle name="Normal 185 3 2 3" xfId="3181" xr:uid="{00000000-0005-0000-0000-00008A870000}"/>
    <cellStyle name="Normal 185 3 2 3 2" xfId="11840" xr:uid="{00000000-0005-0000-0000-00008B870000}"/>
    <cellStyle name="Normal 185 3 2 3 3" xfId="17595" xr:uid="{00000000-0005-0000-0000-00008C870000}"/>
    <cellStyle name="Normal 185 3 2 4" xfId="11837" xr:uid="{00000000-0005-0000-0000-00008D870000}"/>
    <cellStyle name="Normal 185 3 2 5" xfId="17592" xr:uid="{00000000-0005-0000-0000-00008E870000}"/>
    <cellStyle name="Normal 185 3 2_LNG &amp; LPG rework" xfId="6990" xr:uid="{00000000-0005-0000-0000-00008F870000}"/>
    <cellStyle name="Normal 185 3 3" xfId="3182" xr:uid="{00000000-0005-0000-0000-000090870000}"/>
    <cellStyle name="Normal 185 3 3 2" xfId="3183" xr:uid="{00000000-0005-0000-0000-000091870000}"/>
    <cellStyle name="Normal 185 3 3 2 2" xfId="11842" xr:uid="{00000000-0005-0000-0000-000092870000}"/>
    <cellStyle name="Normal 185 3 3 2 3" xfId="17597" xr:uid="{00000000-0005-0000-0000-000093870000}"/>
    <cellStyle name="Normal 185 3 3 3" xfId="11841" xr:uid="{00000000-0005-0000-0000-000094870000}"/>
    <cellStyle name="Normal 185 3 3 4" xfId="17596" xr:uid="{00000000-0005-0000-0000-000095870000}"/>
    <cellStyle name="Normal 185 3 3_LNG &amp; LPG rework" xfId="6613" xr:uid="{00000000-0005-0000-0000-000096870000}"/>
    <cellStyle name="Normal 185 3 4" xfId="3184" xr:uid="{00000000-0005-0000-0000-000097870000}"/>
    <cellStyle name="Normal 185 3 4 2" xfId="11843" xr:uid="{00000000-0005-0000-0000-000098870000}"/>
    <cellStyle name="Normal 185 3 4 3" xfId="17598" xr:uid="{00000000-0005-0000-0000-000099870000}"/>
    <cellStyle name="Normal 185 3 5" xfId="11836" xr:uid="{00000000-0005-0000-0000-00009A870000}"/>
    <cellStyle name="Normal 185 3 6" xfId="17591" xr:uid="{00000000-0005-0000-0000-00009B870000}"/>
    <cellStyle name="Normal 185 3_LNG &amp; LPG rework" xfId="6608" xr:uid="{00000000-0005-0000-0000-00009C870000}"/>
    <cellStyle name="Normal 185 4" xfId="3185" xr:uid="{00000000-0005-0000-0000-00009D870000}"/>
    <cellStyle name="Normal 185 4 2" xfId="3186" xr:uid="{00000000-0005-0000-0000-00009E870000}"/>
    <cellStyle name="Normal 185 4 2 2" xfId="3187" xr:uid="{00000000-0005-0000-0000-00009F870000}"/>
    <cellStyle name="Normal 185 4 2 2 2" xfId="11846" xr:uid="{00000000-0005-0000-0000-0000A0870000}"/>
    <cellStyle name="Normal 185 4 2 2 3" xfId="17601" xr:uid="{00000000-0005-0000-0000-0000A1870000}"/>
    <cellStyle name="Normal 185 4 2 3" xfId="11845" xr:uid="{00000000-0005-0000-0000-0000A2870000}"/>
    <cellStyle name="Normal 185 4 2 4" xfId="17600" xr:uid="{00000000-0005-0000-0000-0000A3870000}"/>
    <cellStyle name="Normal 185 4 2_LNG &amp; LPG rework" xfId="6590" xr:uid="{00000000-0005-0000-0000-0000A4870000}"/>
    <cellStyle name="Normal 185 4 3" xfId="3188" xr:uid="{00000000-0005-0000-0000-0000A5870000}"/>
    <cellStyle name="Normal 185 4 3 2" xfId="11847" xr:uid="{00000000-0005-0000-0000-0000A6870000}"/>
    <cellStyle name="Normal 185 4 3 3" xfId="17602" xr:uid="{00000000-0005-0000-0000-0000A7870000}"/>
    <cellStyle name="Normal 185 4 4" xfId="11844" xr:uid="{00000000-0005-0000-0000-0000A8870000}"/>
    <cellStyle name="Normal 185 4 5" xfId="17599" xr:uid="{00000000-0005-0000-0000-0000A9870000}"/>
    <cellStyle name="Normal 185 4_LNG &amp; LPG rework" xfId="6612" xr:uid="{00000000-0005-0000-0000-0000AA870000}"/>
    <cellStyle name="Normal 185 5" xfId="3189" xr:uid="{00000000-0005-0000-0000-0000AB870000}"/>
    <cellStyle name="Normal 185 5 2" xfId="3190" xr:uid="{00000000-0005-0000-0000-0000AC870000}"/>
    <cellStyle name="Normal 185 5 2 2" xfId="11849" xr:uid="{00000000-0005-0000-0000-0000AD870000}"/>
    <cellStyle name="Normal 185 5 2 3" xfId="17604" xr:uid="{00000000-0005-0000-0000-0000AE870000}"/>
    <cellStyle name="Normal 185 5 3" xfId="11848" xr:uid="{00000000-0005-0000-0000-0000AF870000}"/>
    <cellStyle name="Normal 185 5 4" xfId="17603" xr:uid="{00000000-0005-0000-0000-0000B0870000}"/>
    <cellStyle name="Normal 185 5_LNG &amp; LPG rework" xfId="6592" xr:uid="{00000000-0005-0000-0000-0000B1870000}"/>
    <cellStyle name="Normal 185 6" xfId="3191" xr:uid="{00000000-0005-0000-0000-0000B2870000}"/>
    <cellStyle name="Normal 185 6 2" xfId="11850" xr:uid="{00000000-0005-0000-0000-0000B3870000}"/>
    <cellStyle name="Normal 185 6 3" xfId="17605" xr:uid="{00000000-0005-0000-0000-0000B4870000}"/>
    <cellStyle name="Normal 185 7" xfId="11827" xr:uid="{00000000-0005-0000-0000-0000B5870000}"/>
    <cellStyle name="Normal 185 8" xfId="17582" xr:uid="{00000000-0005-0000-0000-0000B6870000}"/>
    <cellStyle name="Normal 185_LNG &amp; LPG rework" xfId="6620" xr:uid="{00000000-0005-0000-0000-0000B7870000}"/>
    <cellStyle name="Normal 186" xfId="3192" xr:uid="{00000000-0005-0000-0000-0000B8870000}"/>
    <cellStyle name="Normal 186 2" xfId="3193" xr:uid="{00000000-0005-0000-0000-0000B9870000}"/>
    <cellStyle name="Normal 186 2 2" xfId="3194" xr:uid="{00000000-0005-0000-0000-0000BA870000}"/>
    <cellStyle name="Normal 186 2 2 2" xfId="3195" xr:uid="{00000000-0005-0000-0000-0000BB870000}"/>
    <cellStyle name="Normal 186 2 2 2 2" xfId="3196" xr:uid="{00000000-0005-0000-0000-0000BC870000}"/>
    <cellStyle name="Normal 186 2 2 2 2 2" xfId="11855" xr:uid="{00000000-0005-0000-0000-0000BD870000}"/>
    <cellStyle name="Normal 186 2 2 2 2 3" xfId="17610" xr:uid="{00000000-0005-0000-0000-0000BE870000}"/>
    <cellStyle name="Normal 186 2 2 2 3" xfId="11854" xr:uid="{00000000-0005-0000-0000-0000BF870000}"/>
    <cellStyle name="Normal 186 2 2 2 4" xfId="17609" xr:uid="{00000000-0005-0000-0000-0000C0870000}"/>
    <cellStyle name="Normal 186 2 2 2_LNG &amp; LPG rework" xfId="6581" xr:uid="{00000000-0005-0000-0000-0000C1870000}"/>
    <cellStyle name="Normal 186 2 2 3" xfId="3197" xr:uid="{00000000-0005-0000-0000-0000C2870000}"/>
    <cellStyle name="Normal 186 2 2 3 2" xfId="11856" xr:uid="{00000000-0005-0000-0000-0000C3870000}"/>
    <cellStyle name="Normal 186 2 2 3 3" xfId="17611" xr:uid="{00000000-0005-0000-0000-0000C4870000}"/>
    <cellStyle name="Normal 186 2 2 4" xfId="11853" xr:uid="{00000000-0005-0000-0000-0000C5870000}"/>
    <cellStyle name="Normal 186 2 2 5" xfId="17608" xr:uid="{00000000-0005-0000-0000-0000C6870000}"/>
    <cellStyle name="Normal 186 2 2_LNG &amp; LPG rework" xfId="6617" xr:uid="{00000000-0005-0000-0000-0000C7870000}"/>
    <cellStyle name="Normal 186 2 3" xfId="3198" xr:uid="{00000000-0005-0000-0000-0000C8870000}"/>
    <cellStyle name="Normal 186 2 3 2" xfId="3199" xr:uid="{00000000-0005-0000-0000-0000C9870000}"/>
    <cellStyle name="Normal 186 2 3 2 2" xfId="11858" xr:uid="{00000000-0005-0000-0000-0000CA870000}"/>
    <cellStyle name="Normal 186 2 3 2 3" xfId="17613" xr:uid="{00000000-0005-0000-0000-0000CB870000}"/>
    <cellStyle name="Normal 186 2 3 3" xfId="11857" xr:uid="{00000000-0005-0000-0000-0000CC870000}"/>
    <cellStyle name="Normal 186 2 3 4" xfId="17612" xr:uid="{00000000-0005-0000-0000-0000CD870000}"/>
    <cellStyle name="Normal 186 2 3_LNG &amp; LPG rework" xfId="6616" xr:uid="{00000000-0005-0000-0000-0000CE870000}"/>
    <cellStyle name="Normal 186 2 4" xfId="3200" xr:uid="{00000000-0005-0000-0000-0000CF870000}"/>
    <cellStyle name="Normal 186 2 4 2" xfId="11859" xr:uid="{00000000-0005-0000-0000-0000D0870000}"/>
    <cellStyle name="Normal 186 2 4 3" xfId="17614" xr:uid="{00000000-0005-0000-0000-0000D1870000}"/>
    <cellStyle name="Normal 186 2 5" xfId="11852" xr:uid="{00000000-0005-0000-0000-0000D2870000}"/>
    <cellStyle name="Normal 186 2 6" xfId="17607" xr:uid="{00000000-0005-0000-0000-0000D3870000}"/>
    <cellStyle name="Normal 186 2_LNG &amp; LPG rework" xfId="6580" xr:uid="{00000000-0005-0000-0000-0000D4870000}"/>
    <cellStyle name="Normal 186 3" xfId="3201" xr:uid="{00000000-0005-0000-0000-0000D5870000}"/>
    <cellStyle name="Normal 186 3 2" xfId="3202" xr:uid="{00000000-0005-0000-0000-0000D6870000}"/>
    <cellStyle name="Normal 186 3 2 2" xfId="3203" xr:uid="{00000000-0005-0000-0000-0000D7870000}"/>
    <cellStyle name="Normal 186 3 2 2 2" xfId="3204" xr:uid="{00000000-0005-0000-0000-0000D8870000}"/>
    <cellStyle name="Normal 186 3 2 2 2 2" xfId="11863" xr:uid="{00000000-0005-0000-0000-0000D9870000}"/>
    <cellStyle name="Normal 186 3 2 2 2 3" xfId="17618" xr:uid="{00000000-0005-0000-0000-0000DA870000}"/>
    <cellStyle name="Normal 186 3 2 2 3" xfId="11862" xr:uid="{00000000-0005-0000-0000-0000DB870000}"/>
    <cellStyle name="Normal 186 3 2 2 4" xfId="17617" xr:uid="{00000000-0005-0000-0000-0000DC870000}"/>
    <cellStyle name="Normal 186 3 2 2_LNG &amp; LPG rework" xfId="6994" xr:uid="{00000000-0005-0000-0000-0000DD870000}"/>
    <cellStyle name="Normal 186 3 2 3" xfId="3205" xr:uid="{00000000-0005-0000-0000-0000DE870000}"/>
    <cellStyle name="Normal 186 3 2 3 2" xfId="11864" xr:uid="{00000000-0005-0000-0000-0000DF870000}"/>
    <cellStyle name="Normal 186 3 2 3 3" xfId="17619" xr:uid="{00000000-0005-0000-0000-0000E0870000}"/>
    <cellStyle name="Normal 186 3 2 4" xfId="11861" xr:uid="{00000000-0005-0000-0000-0000E1870000}"/>
    <cellStyle name="Normal 186 3 2 5" xfId="17616" xr:uid="{00000000-0005-0000-0000-0000E2870000}"/>
    <cellStyle name="Normal 186 3 2_LNG &amp; LPG rework" xfId="6993" xr:uid="{00000000-0005-0000-0000-0000E3870000}"/>
    <cellStyle name="Normal 186 3 3" xfId="3206" xr:uid="{00000000-0005-0000-0000-0000E4870000}"/>
    <cellStyle name="Normal 186 3 3 2" xfId="3207" xr:uid="{00000000-0005-0000-0000-0000E5870000}"/>
    <cellStyle name="Normal 186 3 3 2 2" xfId="11866" xr:uid="{00000000-0005-0000-0000-0000E6870000}"/>
    <cellStyle name="Normal 186 3 3 2 3" xfId="17621" xr:uid="{00000000-0005-0000-0000-0000E7870000}"/>
    <cellStyle name="Normal 186 3 3 3" xfId="11865" xr:uid="{00000000-0005-0000-0000-0000E8870000}"/>
    <cellStyle name="Normal 186 3 3 4" xfId="17620" xr:uid="{00000000-0005-0000-0000-0000E9870000}"/>
    <cellStyle name="Normal 186 3 3_LNG &amp; LPG rework" xfId="6995" xr:uid="{00000000-0005-0000-0000-0000EA870000}"/>
    <cellStyle name="Normal 186 3 4" xfId="3208" xr:uid="{00000000-0005-0000-0000-0000EB870000}"/>
    <cellStyle name="Normal 186 3 4 2" xfId="11867" xr:uid="{00000000-0005-0000-0000-0000EC870000}"/>
    <cellStyle name="Normal 186 3 4 3" xfId="17622" xr:uid="{00000000-0005-0000-0000-0000ED870000}"/>
    <cellStyle name="Normal 186 3 5" xfId="11860" xr:uid="{00000000-0005-0000-0000-0000EE870000}"/>
    <cellStyle name="Normal 186 3 6" xfId="17615" xr:uid="{00000000-0005-0000-0000-0000EF870000}"/>
    <cellStyle name="Normal 186 3_LNG &amp; LPG rework" xfId="6992" xr:uid="{00000000-0005-0000-0000-0000F0870000}"/>
    <cellStyle name="Normal 186 4" xfId="3209" xr:uid="{00000000-0005-0000-0000-0000F1870000}"/>
    <cellStyle name="Normal 186 4 2" xfId="3210" xr:uid="{00000000-0005-0000-0000-0000F2870000}"/>
    <cellStyle name="Normal 186 4 2 2" xfId="3211" xr:uid="{00000000-0005-0000-0000-0000F3870000}"/>
    <cellStyle name="Normal 186 4 2 2 2" xfId="11870" xr:uid="{00000000-0005-0000-0000-0000F4870000}"/>
    <cellStyle name="Normal 186 4 2 2 3" xfId="17625" xr:uid="{00000000-0005-0000-0000-0000F5870000}"/>
    <cellStyle name="Normal 186 4 2 3" xfId="11869" xr:uid="{00000000-0005-0000-0000-0000F6870000}"/>
    <cellStyle name="Normal 186 4 2 4" xfId="17624" xr:uid="{00000000-0005-0000-0000-0000F7870000}"/>
    <cellStyle name="Normal 186 4 2_LNG &amp; LPG rework" xfId="6997" xr:uid="{00000000-0005-0000-0000-0000F8870000}"/>
    <cellStyle name="Normal 186 4 3" xfId="3212" xr:uid="{00000000-0005-0000-0000-0000F9870000}"/>
    <cellStyle name="Normal 186 4 3 2" xfId="11871" xr:uid="{00000000-0005-0000-0000-0000FA870000}"/>
    <cellStyle name="Normal 186 4 3 3" xfId="17626" xr:uid="{00000000-0005-0000-0000-0000FB870000}"/>
    <cellStyle name="Normal 186 4 4" xfId="11868" xr:uid="{00000000-0005-0000-0000-0000FC870000}"/>
    <cellStyle name="Normal 186 4 5" xfId="17623" xr:uid="{00000000-0005-0000-0000-0000FD870000}"/>
    <cellStyle name="Normal 186 4_LNG &amp; LPG rework" xfId="6996" xr:uid="{00000000-0005-0000-0000-0000FE870000}"/>
    <cellStyle name="Normal 186 5" xfId="3213" xr:uid="{00000000-0005-0000-0000-0000FF870000}"/>
    <cellStyle name="Normal 186 5 2" xfId="3214" xr:uid="{00000000-0005-0000-0000-000000880000}"/>
    <cellStyle name="Normal 186 5 2 2" xfId="11873" xr:uid="{00000000-0005-0000-0000-000001880000}"/>
    <cellStyle name="Normal 186 5 2 3" xfId="17628" xr:uid="{00000000-0005-0000-0000-000002880000}"/>
    <cellStyle name="Normal 186 5 3" xfId="11872" xr:uid="{00000000-0005-0000-0000-000003880000}"/>
    <cellStyle name="Normal 186 5 4" xfId="17627" xr:uid="{00000000-0005-0000-0000-000004880000}"/>
    <cellStyle name="Normal 186 5_LNG &amp; LPG rework" xfId="6998" xr:uid="{00000000-0005-0000-0000-000005880000}"/>
    <cellStyle name="Normal 186 6" xfId="3215" xr:uid="{00000000-0005-0000-0000-000006880000}"/>
    <cellStyle name="Normal 186 6 2" xfId="11874" xr:uid="{00000000-0005-0000-0000-000007880000}"/>
    <cellStyle name="Normal 186 6 3" xfId="17629" xr:uid="{00000000-0005-0000-0000-000008880000}"/>
    <cellStyle name="Normal 186 7" xfId="11851" xr:uid="{00000000-0005-0000-0000-000009880000}"/>
    <cellStyle name="Normal 186 8" xfId="17606" xr:uid="{00000000-0005-0000-0000-00000A880000}"/>
    <cellStyle name="Normal 186_LNG &amp; LPG rework" xfId="6594" xr:uid="{00000000-0005-0000-0000-00000B880000}"/>
    <cellStyle name="Normal 187" xfId="3216" xr:uid="{00000000-0005-0000-0000-00000C880000}"/>
    <cellStyle name="Normal 187 2" xfId="3217" xr:uid="{00000000-0005-0000-0000-00000D880000}"/>
    <cellStyle name="Normal 187 2 2" xfId="3218" xr:uid="{00000000-0005-0000-0000-00000E880000}"/>
    <cellStyle name="Normal 187 2 2 2" xfId="3219" xr:uid="{00000000-0005-0000-0000-00000F880000}"/>
    <cellStyle name="Normal 187 2 2 2 2" xfId="3220" xr:uid="{00000000-0005-0000-0000-000010880000}"/>
    <cellStyle name="Normal 187 2 2 2 2 2" xfId="11879" xr:uid="{00000000-0005-0000-0000-000011880000}"/>
    <cellStyle name="Normal 187 2 2 2 2 3" xfId="17634" xr:uid="{00000000-0005-0000-0000-000012880000}"/>
    <cellStyle name="Normal 187 2 2 2 3" xfId="11878" xr:uid="{00000000-0005-0000-0000-000013880000}"/>
    <cellStyle name="Normal 187 2 2 2 4" xfId="17633" xr:uid="{00000000-0005-0000-0000-000014880000}"/>
    <cellStyle name="Normal 187 2 2 2_LNG &amp; LPG rework" xfId="7002" xr:uid="{00000000-0005-0000-0000-000015880000}"/>
    <cellStyle name="Normal 187 2 2 3" xfId="3221" xr:uid="{00000000-0005-0000-0000-000016880000}"/>
    <cellStyle name="Normal 187 2 2 3 2" xfId="11880" xr:uid="{00000000-0005-0000-0000-000017880000}"/>
    <cellStyle name="Normal 187 2 2 3 3" xfId="17635" xr:uid="{00000000-0005-0000-0000-000018880000}"/>
    <cellStyle name="Normal 187 2 2 4" xfId="11877" xr:uid="{00000000-0005-0000-0000-000019880000}"/>
    <cellStyle name="Normal 187 2 2 5" xfId="17632" xr:uid="{00000000-0005-0000-0000-00001A880000}"/>
    <cellStyle name="Normal 187 2 2_LNG &amp; LPG rework" xfId="7001" xr:uid="{00000000-0005-0000-0000-00001B880000}"/>
    <cellStyle name="Normal 187 2 3" xfId="3222" xr:uid="{00000000-0005-0000-0000-00001C880000}"/>
    <cellStyle name="Normal 187 2 3 2" xfId="3223" xr:uid="{00000000-0005-0000-0000-00001D880000}"/>
    <cellStyle name="Normal 187 2 3 2 2" xfId="11882" xr:uid="{00000000-0005-0000-0000-00001E880000}"/>
    <cellStyle name="Normal 187 2 3 2 3" xfId="17637" xr:uid="{00000000-0005-0000-0000-00001F880000}"/>
    <cellStyle name="Normal 187 2 3 3" xfId="11881" xr:uid="{00000000-0005-0000-0000-000020880000}"/>
    <cellStyle name="Normal 187 2 3 4" xfId="17636" xr:uid="{00000000-0005-0000-0000-000021880000}"/>
    <cellStyle name="Normal 187 2 3_LNG &amp; LPG rework" xfId="7003" xr:uid="{00000000-0005-0000-0000-000022880000}"/>
    <cellStyle name="Normal 187 2 4" xfId="3224" xr:uid="{00000000-0005-0000-0000-000023880000}"/>
    <cellStyle name="Normal 187 2 4 2" xfId="11883" xr:uid="{00000000-0005-0000-0000-000024880000}"/>
    <cellStyle name="Normal 187 2 4 3" xfId="17638" xr:uid="{00000000-0005-0000-0000-000025880000}"/>
    <cellStyle name="Normal 187 2 5" xfId="11876" xr:uid="{00000000-0005-0000-0000-000026880000}"/>
    <cellStyle name="Normal 187 2 6" xfId="17631" xr:uid="{00000000-0005-0000-0000-000027880000}"/>
    <cellStyle name="Normal 187 2_LNG &amp; LPG rework" xfId="7000" xr:uid="{00000000-0005-0000-0000-000028880000}"/>
    <cellStyle name="Normal 187 3" xfId="3225" xr:uid="{00000000-0005-0000-0000-000029880000}"/>
    <cellStyle name="Normal 187 3 2" xfId="3226" xr:uid="{00000000-0005-0000-0000-00002A880000}"/>
    <cellStyle name="Normal 187 3 2 2" xfId="3227" xr:uid="{00000000-0005-0000-0000-00002B880000}"/>
    <cellStyle name="Normal 187 3 2 2 2" xfId="3228" xr:uid="{00000000-0005-0000-0000-00002C880000}"/>
    <cellStyle name="Normal 187 3 2 2 2 2" xfId="11887" xr:uid="{00000000-0005-0000-0000-00002D880000}"/>
    <cellStyle name="Normal 187 3 2 2 2 3" xfId="17642" xr:uid="{00000000-0005-0000-0000-00002E880000}"/>
    <cellStyle name="Normal 187 3 2 2 3" xfId="11886" xr:uid="{00000000-0005-0000-0000-00002F880000}"/>
    <cellStyle name="Normal 187 3 2 2 4" xfId="17641" xr:uid="{00000000-0005-0000-0000-000030880000}"/>
    <cellStyle name="Normal 187 3 2 2_LNG &amp; LPG rework" xfId="7006" xr:uid="{00000000-0005-0000-0000-000031880000}"/>
    <cellStyle name="Normal 187 3 2 3" xfId="3229" xr:uid="{00000000-0005-0000-0000-000032880000}"/>
    <cellStyle name="Normal 187 3 2 3 2" xfId="11888" xr:uid="{00000000-0005-0000-0000-000033880000}"/>
    <cellStyle name="Normal 187 3 2 3 3" xfId="17643" xr:uid="{00000000-0005-0000-0000-000034880000}"/>
    <cellStyle name="Normal 187 3 2 4" xfId="11885" xr:uid="{00000000-0005-0000-0000-000035880000}"/>
    <cellStyle name="Normal 187 3 2 5" xfId="17640" xr:uid="{00000000-0005-0000-0000-000036880000}"/>
    <cellStyle name="Normal 187 3 2_LNG &amp; LPG rework" xfId="7005" xr:uid="{00000000-0005-0000-0000-000037880000}"/>
    <cellStyle name="Normal 187 3 3" xfId="3230" xr:uid="{00000000-0005-0000-0000-000038880000}"/>
    <cellStyle name="Normal 187 3 3 2" xfId="3231" xr:uid="{00000000-0005-0000-0000-000039880000}"/>
    <cellStyle name="Normal 187 3 3 2 2" xfId="11890" xr:uid="{00000000-0005-0000-0000-00003A880000}"/>
    <cellStyle name="Normal 187 3 3 2 3" xfId="17645" xr:uid="{00000000-0005-0000-0000-00003B880000}"/>
    <cellStyle name="Normal 187 3 3 3" xfId="11889" xr:uid="{00000000-0005-0000-0000-00003C880000}"/>
    <cellStyle name="Normal 187 3 3 4" xfId="17644" xr:uid="{00000000-0005-0000-0000-00003D880000}"/>
    <cellStyle name="Normal 187 3 3_LNG &amp; LPG rework" xfId="7007" xr:uid="{00000000-0005-0000-0000-00003E880000}"/>
    <cellStyle name="Normal 187 3 4" xfId="3232" xr:uid="{00000000-0005-0000-0000-00003F880000}"/>
    <cellStyle name="Normal 187 3 4 2" xfId="11891" xr:uid="{00000000-0005-0000-0000-000040880000}"/>
    <cellStyle name="Normal 187 3 4 3" xfId="17646" xr:uid="{00000000-0005-0000-0000-000041880000}"/>
    <cellStyle name="Normal 187 3 5" xfId="11884" xr:uid="{00000000-0005-0000-0000-000042880000}"/>
    <cellStyle name="Normal 187 3 6" xfId="17639" xr:uid="{00000000-0005-0000-0000-000043880000}"/>
    <cellStyle name="Normal 187 3_LNG &amp; LPG rework" xfId="7004" xr:uid="{00000000-0005-0000-0000-000044880000}"/>
    <cellStyle name="Normal 187 4" xfId="3233" xr:uid="{00000000-0005-0000-0000-000045880000}"/>
    <cellStyle name="Normal 187 4 2" xfId="3234" xr:uid="{00000000-0005-0000-0000-000046880000}"/>
    <cellStyle name="Normal 187 4 2 2" xfId="3235" xr:uid="{00000000-0005-0000-0000-000047880000}"/>
    <cellStyle name="Normal 187 4 2 2 2" xfId="11894" xr:uid="{00000000-0005-0000-0000-000048880000}"/>
    <cellStyle name="Normal 187 4 2 2 3" xfId="17649" xr:uid="{00000000-0005-0000-0000-000049880000}"/>
    <cellStyle name="Normal 187 4 2 3" xfId="11893" xr:uid="{00000000-0005-0000-0000-00004A880000}"/>
    <cellStyle name="Normal 187 4 2 4" xfId="17648" xr:uid="{00000000-0005-0000-0000-00004B880000}"/>
    <cellStyle name="Normal 187 4 2_LNG &amp; LPG rework" xfId="7009" xr:uid="{00000000-0005-0000-0000-00004C880000}"/>
    <cellStyle name="Normal 187 4 3" xfId="3236" xr:uid="{00000000-0005-0000-0000-00004D880000}"/>
    <cellStyle name="Normal 187 4 3 2" xfId="11895" xr:uid="{00000000-0005-0000-0000-00004E880000}"/>
    <cellStyle name="Normal 187 4 3 3" xfId="17650" xr:uid="{00000000-0005-0000-0000-00004F880000}"/>
    <cellStyle name="Normal 187 4 4" xfId="11892" xr:uid="{00000000-0005-0000-0000-000050880000}"/>
    <cellStyle name="Normal 187 4 5" xfId="17647" xr:uid="{00000000-0005-0000-0000-000051880000}"/>
    <cellStyle name="Normal 187 4_LNG &amp; LPG rework" xfId="7008" xr:uid="{00000000-0005-0000-0000-000052880000}"/>
    <cellStyle name="Normal 187 5" xfId="3237" xr:uid="{00000000-0005-0000-0000-000053880000}"/>
    <cellStyle name="Normal 187 5 2" xfId="3238" xr:uid="{00000000-0005-0000-0000-000054880000}"/>
    <cellStyle name="Normal 187 5 2 2" xfId="11897" xr:uid="{00000000-0005-0000-0000-000055880000}"/>
    <cellStyle name="Normal 187 5 2 3" xfId="17652" xr:uid="{00000000-0005-0000-0000-000056880000}"/>
    <cellStyle name="Normal 187 5 3" xfId="11896" xr:uid="{00000000-0005-0000-0000-000057880000}"/>
    <cellStyle name="Normal 187 5 4" xfId="17651" xr:uid="{00000000-0005-0000-0000-000058880000}"/>
    <cellStyle name="Normal 187 5_LNG &amp; LPG rework" xfId="7010" xr:uid="{00000000-0005-0000-0000-000059880000}"/>
    <cellStyle name="Normal 187 6" xfId="3239" xr:uid="{00000000-0005-0000-0000-00005A880000}"/>
    <cellStyle name="Normal 187 6 2" xfId="11898" xr:uid="{00000000-0005-0000-0000-00005B880000}"/>
    <cellStyle name="Normal 187 6 3" xfId="17653" xr:uid="{00000000-0005-0000-0000-00005C880000}"/>
    <cellStyle name="Normal 187 7" xfId="11875" xr:uid="{00000000-0005-0000-0000-00005D880000}"/>
    <cellStyle name="Normal 187 8" xfId="17630" xr:uid="{00000000-0005-0000-0000-00005E880000}"/>
    <cellStyle name="Normal 187_LNG &amp; LPG rework" xfId="6999" xr:uid="{00000000-0005-0000-0000-00005F880000}"/>
    <cellStyle name="Normal 188" xfId="3240" xr:uid="{00000000-0005-0000-0000-000060880000}"/>
    <cellStyle name="Normal 188 2" xfId="3241" xr:uid="{00000000-0005-0000-0000-000061880000}"/>
    <cellStyle name="Normal 188 2 2" xfId="3242" xr:uid="{00000000-0005-0000-0000-000062880000}"/>
    <cellStyle name="Normal 188 2 2 2" xfId="3243" xr:uid="{00000000-0005-0000-0000-000063880000}"/>
    <cellStyle name="Normal 188 2 2 2 2" xfId="3244" xr:uid="{00000000-0005-0000-0000-000064880000}"/>
    <cellStyle name="Normal 188 2 2 2 2 2" xfId="11903" xr:uid="{00000000-0005-0000-0000-000065880000}"/>
    <cellStyle name="Normal 188 2 2 2 2 3" xfId="17658" xr:uid="{00000000-0005-0000-0000-000066880000}"/>
    <cellStyle name="Normal 188 2 2 2 3" xfId="11902" xr:uid="{00000000-0005-0000-0000-000067880000}"/>
    <cellStyle name="Normal 188 2 2 2 4" xfId="17657" xr:uid="{00000000-0005-0000-0000-000068880000}"/>
    <cellStyle name="Normal 188 2 2 2_LNG &amp; LPG rework" xfId="7014" xr:uid="{00000000-0005-0000-0000-000069880000}"/>
    <cellStyle name="Normal 188 2 2 3" xfId="3245" xr:uid="{00000000-0005-0000-0000-00006A880000}"/>
    <cellStyle name="Normal 188 2 2 3 2" xfId="11904" xr:uid="{00000000-0005-0000-0000-00006B880000}"/>
    <cellStyle name="Normal 188 2 2 3 3" xfId="17659" xr:uid="{00000000-0005-0000-0000-00006C880000}"/>
    <cellStyle name="Normal 188 2 2 4" xfId="11901" xr:uid="{00000000-0005-0000-0000-00006D880000}"/>
    <cellStyle name="Normal 188 2 2 5" xfId="17656" xr:uid="{00000000-0005-0000-0000-00006E880000}"/>
    <cellStyle name="Normal 188 2 2_LNG &amp; LPG rework" xfId="7013" xr:uid="{00000000-0005-0000-0000-00006F880000}"/>
    <cellStyle name="Normal 188 2 3" xfId="3246" xr:uid="{00000000-0005-0000-0000-000070880000}"/>
    <cellStyle name="Normal 188 2 3 2" xfId="3247" xr:uid="{00000000-0005-0000-0000-000071880000}"/>
    <cellStyle name="Normal 188 2 3 2 2" xfId="11906" xr:uid="{00000000-0005-0000-0000-000072880000}"/>
    <cellStyle name="Normal 188 2 3 2 3" xfId="17661" xr:uid="{00000000-0005-0000-0000-000073880000}"/>
    <cellStyle name="Normal 188 2 3 3" xfId="11905" xr:uid="{00000000-0005-0000-0000-000074880000}"/>
    <cellStyle name="Normal 188 2 3 4" xfId="17660" xr:uid="{00000000-0005-0000-0000-000075880000}"/>
    <cellStyle name="Normal 188 2 3_LNG &amp; LPG rework" xfId="7015" xr:uid="{00000000-0005-0000-0000-000076880000}"/>
    <cellStyle name="Normal 188 2 4" xfId="3248" xr:uid="{00000000-0005-0000-0000-000077880000}"/>
    <cellStyle name="Normal 188 2 4 2" xfId="11907" xr:uid="{00000000-0005-0000-0000-000078880000}"/>
    <cellStyle name="Normal 188 2 4 3" xfId="17662" xr:uid="{00000000-0005-0000-0000-000079880000}"/>
    <cellStyle name="Normal 188 2 5" xfId="11900" xr:uid="{00000000-0005-0000-0000-00007A880000}"/>
    <cellStyle name="Normal 188 2 6" xfId="17655" xr:uid="{00000000-0005-0000-0000-00007B880000}"/>
    <cellStyle name="Normal 188 2_LNG &amp; LPG rework" xfId="7012" xr:uid="{00000000-0005-0000-0000-00007C880000}"/>
    <cellStyle name="Normal 188 3" xfId="3249" xr:uid="{00000000-0005-0000-0000-00007D880000}"/>
    <cellStyle name="Normal 188 3 2" xfId="3250" xr:uid="{00000000-0005-0000-0000-00007E880000}"/>
    <cellStyle name="Normal 188 3 2 2" xfId="3251" xr:uid="{00000000-0005-0000-0000-00007F880000}"/>
    <cellStyle name="Normal 188 3 2 2 2" xfId="3252" xr:uid="{00000000-0005-0000-0000-000080880000}"/>
    <cellStyle name="Normal 188 3 2 2 2 2" xfId="11911" xr:uid="{00000000-0005-0000-0000-000081880000}"/>
    <cellStyle name="Normal 188 3 2 2 2 3" xfId="17666" xr:uid="{00000000-0005-0000-0000-000082880000}"/>
    <cellStyle name="Normal 188 3 2 2 3" xfId="11910" xr:uid="{00000000-0005-0000-0000-000083880000}"/>
    <cellStyle name="Normal 188 3 2 2 4" xfId="17665" xr:uid="{00000000-0005-0000-0000-000084880000}"/>
    <cellStyle name="Normal 188 3 2 2_LNG &amp; LPG rework" xfId="7018" xr:uid="{00000000-0005-0000-0000-000085880000}"/>
    <cellStyle name="Normal 188 3 2 3" xfId="3253" xr:uid="{00000000-0005-0000-0000-000086880000}"/>
    <cellStyle name="Normal 188 3 2 3 2" xfId="11912" xr:uid="{00000000-0005-0000-0000-000087880000}"/>
    <cellStyle name="Normal 188 3 2 3 3" xfId="17667" xr:uid="{00000000-0005-0000-0000-000088880000}"/>
    <cellStyle name="Normal 188 3 2 4" xfId="11909" xr:uid="{00000000-0005-0000-0000-000089880000}"/>
    <cellStyle name="Normal 188 3 2 5" xfId="17664" xr:uid="{00000000-0005-0000-0000-00008A880000}"/>
    <cellStyle name="Normal 188 3 2_LNG &amp; LPG rework" xfId="7017" xr:uid="{00000000-0005-0000-0000-00008B880000}"/>
    <cellStyle name="Normal 188 3 3" xfId="3254" xr:uid="{00000000-0005-0000-0000-00008C880000}"/>
    <cellStyle name="Normal 188 3 3 2" xfId="3255" xr:uid="{00000000-0005-0000-0000-00008D880000}"/>
    <cellStyle name="Normal 188 3 3 2 2" xfId="11914" xr:uid="{00000000-0005-0000-0000-00008E880000}"/>
    <cellStyle name="Normal 188 3 3 2 3" xfId="17669" xr:uid="{00000000-0005-0000-0000-00008F880000}"/>
    <cellStyle name="Normal 188 3 3 3" xfId="11913" xr:uid="{00000000-0005-0000-0000-000090880000}"/>
    <cellStyle name="Normal 188 3 3 4" xfId="17668" xr:uid="{00000000-0005-0000-0000-000091880000}"/>
    <cellStyle name="Normal 188 3 3_LNG &amp; LPG rework" xfId="7019" xr:uid="{00000000-0005-0000-0000-000092880000}"/>
    <cellStyle name="Normal 188 3 4" xfId="3256" xr:uid="{00000000-0005-0000-0000-000093880000}"/>
    <cellStyle name="Normal 188 3 4 2" xfId="11915" xr:uid="{00000000-0005-0000-0000-000094880000}"/>
    <cellStyle name="Normal 188 3 4 3" xfId="17670" xr:uid="{00000000-0005-0000-0000-000095880000}"/>
    <cellStyle name="Normal 188 3 5" xfId="11908" xr:uid="{00000000-0005-0000-0000-000096880000}"/>
    <cellStyle name="Normal 188 3 6" xfId="17663" xr:uid="{00000000-0005-0000-0000-000097880000}"/>
    <cellStyle name="Normal 188 3_LNG &amp; LPG rework" xfId="7016" xr:uid="{00000000-0005-0000-0000-000098880000}"/>
    <cellStyle name="Normal 188 4" xfId="3257" xr:uid="{00000000-0005-0000-0000-000099880000}"/>
    <cellStyle name="Normal 188 4 2" xfId="3258" xr:uid="{00000000-0005-0000-0000-00009A880000}"/>
    <cellStyle name="Normal 188 4 2 2" xfId="3259" xr:uid="{00000000-0005-0000-0000-00009B880000}"/>
    <cellStyle name="Normal 188 4 2 2 2" xfId="11918" xr:uid="{00000000-0005-0000-0000-00009C880000}"/>
    <cellStyle name="Normal 188 4 2 2 3" xfId="17673" xr:uid="{00000000-0005-0000-0000-00009D880000}"/>
    <cellStyle name="Normal 188 4 2 3" xfId="11917" xr:uid="{00000000-0005-0000-0000-00009E880000}"/>
    <cellStyle name="Normal 188 4 2 4" xfId="17672" xr:uid="{00000000-0005-0000-0000-00009F880000}"/>
    <cellStyle name="Normal 188 4 2_LNG &amp; LPG rework" xfId="7021" xr:uid="{00000000-0005-0000-0000-0000A0880000}"/>
    <cellStyle name="Normal 188 4 3" xfId="3260" xr:uid="{00000000-0005-0000-0000-0000A1880000}"/>
    <cellStyle name="Normal 188 4 3 2" xfId="11919" xr:uid="{00000000-0005-0000-0000-0000A2880000}"/>
    <cellStyle name="Normal 188 4 3 3" xfId="17674" xr:uid="{00000000-0005-0000-0000-0000A3880000}"/>
    <cellStyle name="Normal 188 4 4" xfId="11916" xr:uid="{00000000-0005-0000-0000-0000A4880000}"/>
    <cellStyle name="Normal 188 4 5" xfId="17671" xr:uid="{00000000-0005-0000-0000-0000A5880000}"/>
    <cellStyle name="Normal 188 4_LNG &amp; LPG rework" xfId="7020" xr:uid="{00000000-0005-0000-0000-0000A6880000}"/>
    <cellStyle name="Normal 188 5" xfId="3261" xr:uid="{00000000-0005-0000-0000-0000A7880000}"/>
    <cellStyle name="Normal 188 5 2" xfId="3262" xr:uid="{00000000-0005-0000-0000-0000A8880000}"/>
    <cellStyle name="Normal 188 5 2 2" xfId="11921" xr:uid="{00000000-0005-0000-0000-0000A9880000}"/>
    <cellStyle name="Normal 188 5 2 3" xfId="17676" xr:uid="{00000000-0005-0000-0000-0000AA880000}"/>
    <cellStyle name="Normal 188 5 3" xfId="11920" xr:uid="{00000000-0005-0000-0000-0000AB880000}"/>
    <cellStyle name="Normal 188 5 4" xfId="17675" xr:uid="{00000000-0005-0000-0000-0000AC880000}"/>
    <cellStyle name="Normal 188 5_LNG &amp; LPG rework" xfId="7022" xr:uid="{00000000-0005-0000-0000-0000AD880000}"/>
    <cellStyle name="Normal 188 6" xfId="3263" xr:uid="{00000000-0005-0000-0000-0000AE880000}"/>
    <cellStyle name="Normal 188 6 2" xfId="11922" xr:uid="{00000000-0005-0000-0000-0000AF880000}"/>
    <cellStyle name="Normal 188 6 3" xfId="17677" xr:uid="{00000000-0005-0000-0000-0000B0880000}"/>
    <cellStyle name="Normal 188 7" xfId="11899" xr:uid="{00000000-0005-0000-0000-0000B1880000}"/>
    <cellStyle name="Normal 188 8" xfId="17654" xr:uid="{00000000-0005-0000-0000-0000B2880000}"/>
    <cellStyle name="Normal 188_LNG &amp; LPG rework" xfId="7011" xr:uid="{00000000-0005-0000-0000-0000B3880000}"/>
    <cellStyle name="Normal 189" xfId="3264" xr:uid="{00000000-0005-0000-0000-0000B4880000}"/>
    <cellStyle name="Normal 189 2" xfId="3265" xr:uid="{00000000-0005-0000-0000-0000B5880000}"/>
    <cellStyle name="Normal 189 2 2" xfId="3266" xr:uid="{00000000-0005-0000-0000-0000B6880000}"/>
    <cellStyle name="Normal 189 2 2 2" xfId="3267" xr:uid="{00000000-0005-0000-0000-0000B7880000}"/>
    <cellStyle name="Normal 189 2 2 2 2" xfId="3268" xr:uid="{00000000-0005-0000-0000-0000B8880000}"/>
    <cellStyle name="Normal 189 2 2 2 2 2" xfId="11927" xr:uid="{00000000-0005-0000-0000-0000B9880000}"/>
    <cellStyle name="Normal 189 2 2 2 2 3" xfId="17682" xr:uid="{00000000-0005-0000-0000-0000BA880000}"/>
    <cellStyle name="Normal 189 2 2 2 3" xfId="11926" xr:uid="{00000000-0005-0000-0000-0000BB880000}"/>
    <cellStyle name="Normal 189 2 2 2 4" xfId="17681" xr:uid="{00000000-0005-0000-0000-0000BC880000}"/>
    <cellStyle name="Normal 189 2 2 2_LNG &amp; LPG rework" xfId="7026" xr:uid="{00000000-0005-0000-0000-0000BD880000}"/>
    <cellStyle name="Normal 189 2 2 3" xfId="3269" xr:uid="{00000000-0005-0000-0000-0000BE880000}"/>
    <cellStyle name="Normal 189 2 2 3 2" xfId="11928" xr:uid="{00000000-0005-0000-0000-0000BF880000}"/>
    <cellStyle name="Normal 189 2 2 3 3" xfId="17683" xr:uid="{00000000-0005-0000-0000-0000C0880000}"/>
    <cellStyle name="Normal 189 2 2 4" xfId="11925" xr:uid="{00000000-0005-0000-0000-0000C1880000}"/>
    <cellStyle name="Normal 189 2 2 5" xfId="17680" xr:uid="{00000000-0005-0000-0000-0000C2880000}"/>
    <cellStyle name="Normal 189 2 2_LNG &amp; LPG rework" xfId="7025" xr:uid="{00000000-0005-0000-0000-0000C3880000}"/>
    <cellStyle name="Normal 189 2 3" xfId="3270" xr:uid="{00000000-0005-0000-0000-0000C4880000}"/>
    <cellStyle name="Normal 189 2 3 2" xfId="3271" xr:uid="{00000000-0005-0000-0000-0000C5880000}"/>
    <cellStyle name="Normal 189 2 3 2 2" xfId="11930" xr:uid="{00000000-0005-0000-0000-0000C6880000}"/>
    <cellStyle name="Normal 189 2 3 2 3" xfId="17685" xr:uid="{00000000-0005-0000-0000-0000C7880000}"/>
    <cellStyle name="Normal 189 2 3 3" xfId="11929" xr:uid="{00000000-0005-0000-0000-0000C8880000}"/>
    <cellStyle name="Normal 189 2 3 4" xfId="17684" xr:uid="{00000000-0005-0000-0000-0000C9880000}"/>
    <cellStyle name="Normal 189 2 3_LNG &amp; LPG rework" xfId="7027" xr:uid="{00000000-0005-0000-0000-0000CA880000}"/>
    <cellStyle name="Normal 189 2 4" xfId="3272" xr:uid="{00000000-0005-0000-0000-0000CB880000}"/>
    <cellStyle name="Normal 189 2 4 2" xfId="11931" xr:uid="{00000000-0005-0000-0000-0000CC880000}"/>
    <cellStyle name="Normal 189 2 4 3" xfId="17686" xr:uid="{00000000-0005-0000-0000-0000CD880000}"/>
    <cellStyle name="Normal 189 2 5" xfId="11924" xr:uid="{00000000-0005-0000-0000-0000CE880000}"/>
    <cellStyle name="Normal 189 2 6" xfId="17679" xr:uid="{00000000-0005-0000-0000-0000CF880000}"/>
    <cellStyle name="Normal 189 2_LNG &amp; LPG rework" xfId="7024" xr:uid="{00000000-0005-0000-0000-0000D0880000}"/>
    <cellStyle name="Normal 189 3" xfId="3273" xr:uid="{00000000-0005-0000-0000-0000D1880000}"/>
    <cellStyle name="Normal 189 3 2" xfId="3274" xr:uid="{00000000-0005-0000-0000-0000D2880000}"/>
    <cellStyle name="Normal 189 3 2 2" xfId="3275" xr:uid="{00000000-0005-0000-0000-0000D3880000}"/>
    <cellStyle name="Normal 189 3 2 2 2" xfId="3276" xr:uid="{00000000-0005-0000-0000-0000D4880000}"/>
    <cellStyle name="Normal 189 3 2 2 2 2" xfId="11935" xr:uid="{00000000-0005-0000-0000-0000D5880000}"/>
    <cellStyle name="Normal 189 3 2 2 2 3" xfId="17690" xr:uid="{00000000-0005-0000-0000-0000D6880000}"/>
    <cellStyle name="Normal 189 3 2 2 3" xfId="11934" xr:uid="{00000000-0005-0000-0000-0000D7880000}"/>
    <cellStyle name="Normal 189 3 2 2 4" xfId="17689" xr:uid="{00000000-0005-0000-0000-0000D8880000}"/>
    <cellStyle name="Normal 189 3 2 2_LNG &amp; LPG rework" xfId="7030" xr:uid="{00000000-0005-0000-0000-0000D9880000}"/>
    <cellStyle name="Normal 189 3 2 3" xfId="3277" xr:uid="{00000000-0005-0000-0000-0000DA880000}"/>
    <cellStyle name="Normal 189 3 2 3 2" xfId="11936" xr:uid="{00000000-0005-0000-0000-0000DB880000}"/>
    <cellStyle name="Normal 189 3 2 3 3" xfId="17691" xr:uid="{00000000-0005-0000-0000-0000DC880000}"/>
    <cellStyle name="Normal 189 3 2 4" xfId="11933" xr:uid="{00000000-0005-0000-0000-0000DD880000}"/>
    <cellStyle name="Normal 189 3 2 5" xfId="17688" xr:uid="{00000000-0005-0000-0000-0000DE880000}"/>
    <cellStyle name="Normal 189 3 2_LNG &amp; LPG rework" xfId="7029" xr:uid="{00000000-0005-0000-0000-0000DF880000}"/>
    <cellStyle name="Normal 189 3 3" xfId="3278" xr:uid="{00000000-0005-0000-0000-0000E0880000}"/>
    <cellStyle name="Normal 189 3 3 2" xfId="3279" xr:uid="{00000000-0005-0000-0000-0000E1880000}"/>
    <cellStyle name="Normal 189 3 3 2 2" xfId="11938" xr:uid="{00000000-0005-0000-0000-0000E2880000}"/>
    <cellStyle name="Normal 189 3 3 2 3" xfId="17693" xr:uid="{00000000-0005-0000-0000-0000E3880000}"/>
    <cellStyle name="Normal 189 3 3 3" xfId="11937" xr:uid="{00000000-0005-0000-0000-0000E4880000}"/>
    <cellStyle name="Normal 189 3 3 4" xfId="17692" xr:uid="{00000000-0005-0000-0000-0000E5880000}"/>
    <cellStyle name="Normal 189 3 3_LNG &amp; LPG rework" xfId="7031" xr:uid="{00000000-0005-0000-0000-0000E6880000}"/>
    <cellStyle name="Normal 189 3 4" xfId="3280" xr:uid="{00000000-0005-0000-0000-0000E7880000}"/>
    <cellStyle name="Normal 189 3 4 2" xfId="11939" xr:uid="{00000000-0005-0000-0000-0000E8880000}"/>
    <cellStyle name="Normal 189 3 4 3" xfId="17694" xr:uid="{00000000-0005-0000-0000-0000E9880000}"/>
    <cellStyle name="Normal 189 3 5" xfId="11932" xr:uid="{00000000-0005-0000-0000-0000EA880000}"/>
    <cellStyle name="Normal 189 3 6" xfId="17687" xr:uid="{00000000-0005-0000-0000-0000EB880000}"/>
    <cellStyle name="Normal 189 3_LNG &amp; LPG rework" xfId="7028" xr:uid="{00000000-0005-0000-0000-0000EC880000}"/>
    <cellStyle name="Normal 189 4" xfId="3281" xr:uid="{00000000-0005-0000-0000-0000ED880000}"/>
    <cellStyle name="Normal 189 4 2" xfId="3282" xr:uid="{00000000-0005-0000-0000-0000EE880000}"/>
    <cellStyle name="Normal 189 4 2 2" xfId="3283" xr:uid="{00000000-0005-0000-0000-0000EF880000}"/>
    <cellStyle name="Normal 189 4 2 2 2" xfId="11942" xr:uid="{00000000-0005-0000-0000-0000F0880000}"/>
    <cellStyle name="Normal 189 4 2 2 3" xfId="17697" xr:uid="{00000000-0005-0000-0000-0000F1880000}"/>
    <cellStyle name="Normal 189 4 2 3" xfId="11941" xr:uid="{00000000-0005-0000-0000-0000F2880000}"/>
    <cellStyle name="Normal 189 4 2 4" xfId="17696" xr:uid="{00000000-0005-0000-0000-0000F3880000}"/>
    <cellStyle name="Normal 189 4 2_LNG &amp; LPG rework" xfId="7033" xr:uid="{00000000-0005-0000-0000-0000F4880000}"/>
    <cellStyle name="Normal 189 4 3" xfId="3284" xr:uid="{00000000-0005-0000-0000-0000F5880000}"/>
    <cellStyle name="Normal 189 4 3 2" xfId="11943" xr:uid="{00000000-0005-0000-0000-0000F6880000}"/>
    <cellStyle name="Normal 189 4 3 3" xfId="17698" xr:uid="{00000000-0005-0000-0000-0000F7880000}"/>
    <cellStyle name="Normal 189 4 4" xfId="11940" xr:uid="{00000000-0005-0000-0000-0000F8880000}"/>
    <cellStyle name="Normal 189 4 5" xfId="17695" xr:uid="{00000000-0005-0000-0000-0000F9880000}"/>
    <cellStyle name="Normal 189 4_LNG &amp; LPG rework" xfId="7032" xr:uid="{00000000-0005-0000-0000-0000FA880000}"/>
    <cellStyle name="Normal 189 5" xfId="3285" xr:uid="{00000000-0005-0000-0000-0000FB880000}"/>
    <cellStyle name="Normal 189 5 2" xfId="3286" xr:uid="{00000000-0005-0000-0000-0000FC880000}"/>
    <cellStyle name="Normal 189 5 2 2" xfId="11945" xr:uid="{00000000-0005-0000-0000-0000FD880000}"/>
    <cellStyle name="Normal 189 5 2 3" xfId="17700" xr:uid="{00000000-0005-0000-0000-0000FE880000}"/>
    <cellStyle name="Normal 189 5 3" xfId="11944" xr:uid="{00000000-0005-0000-0000-0000FF880000}"/>
    <cellStyle name="Normal 189 5 4" xfId="17699" xr:uid="{00000000-0005-0000-0000-000000890000}"/>
    <cellStyle name="Normal 189 5_LNG &amp; LPG rework" xfId="7034" xr:uid="{00000000-0005-0000-0000-000001890000}"/>
    <cellStyle name="Normal 189 6" xfId="3287" xr:uid="{00000000-0005-0000-0000-000002890000}"/>
    <cellStyle name="Normal 189 6 2" xfId="11946" xr:uid="{00000000-0005-0000-0000-000003890000}"/>
    <cellStyle name="Normal 189 6 3" xfId="17701" xr:uid="{00000000-0005-0000-0000-000004890000}"/>
    <cellStyle name="Normal 189 7" xfId="11923" xr:uid="{00000000-0005-0000-0000-000005890000}"/>
    <cellStyle name="Normal 189 8" xfId="17678" xr:uid="{00000000-0005-0000-0000-000006890000}"/>
    <cellStyle name="Normal 189_LNG &amp; LPG rework" xfId="7023" xr:uid="{00000000-0005-0000-0000-000007890000}"/>
    <cellStyle name="Normal 19" xfId="370" xr:uid="{00000000-0005-0000-0000-000008890000}"/>
    <cellStyle name="Normal 19 2" xfId="3288" xr:uid="{00000000-0005-0000-0000-000009890000}"/>
    <cellStyle name="Normal 19 3" xfId="3289" xr:uid="{00000000-0005-0000-0000-00000A890000}"/>
    <cellStyle name="Normal 19 4" xfId="3290" xr:uid="{00000000-0005-0000-0000-00000B890000}"/>
    <cellStyle name="Normal 19 5" xfId="3291" xr:uid="{00000000-0005-0000-0000-00000C890000}"/>
    <cellStyle name="Normal 19_LNG &amp; LPG rework" xfId="7035" xr:uid="{00000000-0005-0000-0000-00000D890000}"/>
    <cellStyle name="Normal 190" xfId="3292" xr:uid="{00000000-0005-0000-0000-00000E890000}"/>
    <cellStyle name="Normal 191" xfId="3293" xr:uid="{00000000-0005-0000-0000-00000F890000}"/>
    <cellStyle name="Normal 192" xfId="3294" xr:uid="{00000000-0005-0000-0000-000010890000}"/>
    <cellStyle name="Normal 193" xfId="3295" xr:uid="{00000000-0005-0000-0000-000011890000}"/>
    <cellStyle name="Normal 194" xfId="3296" xr:uid="{00000000-0005-0000-0000-000012890000}"/>
    <cellStyle name="Normal 195" xfId="3297" xr:uid="{00000000-0005-0000-0000-000013890000}"/>
    <cellStyle name="Normal 196" xfId="3298" xr:uid="{00000000-0005-0000-0000-000014890000}"/>
    <cellStyle name="Normal 196 2" xfId="3299" xr:uid="{00000000-0005-0000-0000-000015890000}"/>
    <cellStyle name="Normal 196 2 2" xfId="3300" xr:uid="{00000000-0005-0000-0000-000016890000}"/>
    <cellStyle name="Normal 196 2 2 2" xfId="3301" xr:uid="{00000000-0005-0000-0000-000017890000}"/>
    <cellStyle name="Normal 196 2 2 2 2" xfId="3302" xr:uid="{00000000-0005-0000-0000-000018890000}"/>
    <cellStyle name="Normal 196 2 2 2 2 2" xfId="11951" xr:uid="{00000000-0005-0000-0000-000019890000}"/>
    <cellStyle name="Normal 196 2 2 2 2 3" xfId="17706" xr:uid="{00000000-0005-0000-0000-00001A890000}"/>
    <cellStyle name="Normal 196 2 2 2 3" xfId="11950" xr:uid="{00000000-0005-0000-0000-00001B890000}"/>
    <cellStyle name="Normal 196 2 2 2 4" xfId="17705" xr:uid="{00000000-0005-0000-0000-00001C890000}"/>
    <cellStyle name="Normal 196 2 2 2_LNG &amp; LPG rework" xfId="7039" xr:uid="{00000000-0005-0000-0000-00001D890000}"/>
    <cellStyle name="Normal 196 2 2 3" xfId="3303" xr:uid="{00000000-0005-0000-0000-00001E890000}"/>
    <cellStyle name="Normal 196 2 2 3 2" xfId="11952" xr:uid="{00000000-0005-0000-0000-00001F890000}"/>
    <cellStyle name="Normal 196 2 2 3 3" xfId="17707" xr:uid="{00000000-0005-0000-0000-000020890000}"/>
    <cellStyle name="Normal 196 2 2 4" xfId="11949" xr:uid="{00000000-0005-0000-0000-000021890000}"/>
    <cellStyle name="Normal 196 2 2 5" xfId="17704" xr:uid="{00000000-0005-0000-0000-000022890000}"/>
    <cellStyle name="Normal 196 2 2_LNG &amp; LPG rework" xfId="7038" xr:uid="{00000000-0005-0000-0000-000023890000}"/>
    <cellStyle name="Normal 196 2 3" xfId="3304" xr:uid="{00000000-0005-0000-0000-000024890000}"/>
    <cellStyle name="Normal 196 2 3 2" xfId="3305" xr:uid="{00000000-0005-0000-0000-000025890000}"/>
    <cellStyle name="Normal 196 2 3 2 2" xfId="11954" xr:uid="{00000000-0005-0000-0000-000026890000}"/>
    <cellStyle name="Normal 196 2 3 2 3" xfId="17709" xr:uid="{00000000-0005-0000-0000-000027890000}"/>
    <cellStyle name="Normal 196 2 3 3" xfId="11953" xr:uid="{00000000-0005-0000-0000-000028890000}"/>
    <cellStyle name="Normal 196 2 3 4" xfId="17708" xr:uid="{00000000-0005-0000-0000-000029890000}"/>
    <cellStyle name="Normal 196 2 3_LNG &amp; LPG rework" xfId="7040" xr:uid="{00000000-0005-0000-0000-00002A890000}"/>
    <cellStyle name="Normal 196 2 4" xfId="3306" xr:uid="{00000000-0005-0000-0000-00002B890000}"/>
    <cellStyle name="Normal 196 2 4 2" xfId="11955" xr:uid="{00000000-0005-0000-0000-00002C890000}"/>
    <cellStyle name="Normal 196 2 4 3" xfId="17710" xr:uid="{00000000-0005-0000-0000-00002D890000}"/>
    <cellStyle name="Normal 196 2 5" xfId="11948" xr:uid="{00000000-0005-0000-0000-00002E890000}"/>
    <cellStyle name="Normal 196 2 6" xfId="17703" xr:uid="{00000000-0005-0000-0000-00002F890000}"/>
    <cellStyle name="Normal 196 2_LNG &amp; LPG rework" xfId="7037" xr:uid="{00000000-0005-0000-0000-000030890000}"/>
    <cellStyle name="Normal 196 3" xfId="3307" xr:uid="{00000000-0005-0000-0000-000031890000}"/>
    <cellStyle name="Normal 196 3 2" xfId="3308" xr:uid="{00000000-0005-0000-0000-000032890000}"/>
    <cellStyle name="Normal 196 3 2 2" xfId="3309" xr:uid="{00000000-0005-0000-0000-000033890000}"/>
    <cellStyle name="Normal 196 3 2 2 2" xfId="3310" xr:uid="{00000000-0005-0000-0000-000034890000}"/>
    <cellStyle name="Normal 196 3 2 2 2 2" xfId="11959" xr:uid="{00000000-0005-0000-0000-000035890000}"/>
    <cellStyle name="Normal 196 3 2 2 2 3" xfId="17714" xr:uid="{00000000-0005-0000-0000-000036890000}"/>
    <cellStyle name="Normal 196 3 2 2 3" xfId="11958" xr:uid="{00000000-0005-0000-0000-000037890000}"/>
    <cellStyle name="Normal 196 3 2 2 4" xfId="17713" xr:uid="{00000000-0005-0000-0000-000038890000}"/>
    <cellStyle name="Normal 196 3 2 2_LNG &amp; LPG rework" xfId="7043" xr:uid="{00000000-0005-0000-0000-000039890000}"/>
    <cellStyle name="Normal 196 3 2 3" xfId="3311" xr:uid="{00000000-0005-0000-0000-00003A890000}"/>
    <cellStyle name="Normal 196 3 2 3 2" xfId="11960" xr:uid="{00000000-0005-0000-0000-00003B890000}"/>
    <cellStyle name="Normal 196 3 2 3 3" xfId="17715" xr:uid="{00000000-0005-0000-0000-00003C890000}"/>
    <cellStyle name="Normal 196 3 2 4" xfId="11957" xr:uid="{00000000-0005-0000-0000-00003D890000}"/>
    <cellStyle name="Normal 196 3 2 5" xfId="17712" xr:uid="{00000000-0005-0000-0000-00003E890000}"/>
    <cellStyle name="Normal 196 3 2_LNG &amp; LPG rework" xfId="7042" xr:uid="{00000000-0005-0000-0000-00003F890000}"/>
    <cellStyle name="Normal 196 3 3" xfId="3312" xr:uid="{00000000-0005-0000-0000-000040890000}"/>
    <cellStyle name="Normal 196 3 3 2" xfId="3313" xr:uid="{00000000-0005-0000-0000-000041890000}"/>
    <cellStyle name="Normal 196 3 3 2 2" xfId="11962" xr:uid="{00000000-0005-0000-0000-000042890000}"/>
    <cellStyle name="Normal 196 3 3 2 3" xfId="17717" xr:uid="{00000000-0005-0000-0000-000043890000}"/>
    <cellStyle name="Normal 196 3 3 3" xfId="11961" xr:uid="{00000000-0005-0000-0000-000044890000}"/>
    <cellStyle name="Normal 196 3 3 4" xfId="17716" xr:uid="{00000000-0005-0000-0000-000045890000}"/>
    <cellStyle name="Normal 196 3 3_LNG &amp; LPG rework" xfId="7044" xr:uid="{00000000-0005-0000-0000-000046890000}"/>
    <cellStyle name="Normal 196 3 4" xfId="3314" xr:uid="{00000000-0005-0000-0000-000047890000}"/>
    <cellStyle name="Normal 196 3 4 2" xfId="11963" xr:uid="{00000000-0005-0000-0000-000048890000}"/>
    <cellStyle name="Normal 196 3 4 3" xfId="17718" xr:uid="{00000000-0005-0000-0000-000049890000}"/>
    <cellStyle name="Normal 196 3 5" xfId="11956" xr:uid="{00000000-0005-0000-0000-00004A890000}"/>
    <cellStyle name="Normal 196 3 6" xfId="17711" xr:uid="{00000000-0005-0000-0000-00004B890000}"/>
    <cellStyle name="Normal 196 3_LNG &amp; LPG rework" xfId="7041" xr:uid="{00000000-0005-0000-0000-00004C890000}"/>
    <cellStyle name="Normal 196 4" xfId="3315" xr:uid="{00000000-0005-0000-0000-00004D890000}"/>
    <cellStyle name="Normal 196 4 2" xfId="3316" xr:uid="{00000000-0005-0000-0000-00004E890000}"/>
    <cellStyle name="Normal 196 4 2 2" xfId="3317" xr:uid="{00000000-0005-0000-0000-00004F890000}"/>
    <cellStyle name="Normal 196 4 2 2 2" xfId="11966" xr:uid="{00000000-0005-0000-0000-000050890000}"/>
    <cellStyle name="Normal 196 4 2 2 3" xfId="17721" xr:uid="{00000000-0005-0000-0000-000051890000}"/>
    <cellStyle name="Normal 196 4 2 3" xfId="11965" xr:uid="{00000000-0005-0000-0000-000052890000}"/>
    <cellStyle name="Normal 196 4 2 4" xfId="17720" xr:uid="{00000000-0005-0000-0000-000053890000}"/>
    <cellStyle name="Normal 196 4 2_LNG &amp; LPG rework" xfId="7046" xr:uid="{00000000-0005-0000-0000-000054890000}"/>
    <cellStyle name="Normal 196 4 3" xfId="3318" xr:uid="{00000000-0005-0000-0000-000055890000}"/>
    <cellStyle name="Normal 196 4 3 2" xfId="11967" xr:uid="{00000000-0005-0000-0000-000056890000}"/>
    <cellStyle name="Normal 196 4 3 3" xfId="17722" xr:uid="{00000000-0005-0000-0000-000057890000}"/>
    <cellStyle name="Normal 196 4 4" xfId="11964" xr:uid="{00000000-0005-0000-0000-000058890000}"/>
    <cellStyle name="Normal 196 4 5" xfId="17719" xr:uid="{00000000-0005-0000-0000-000059890000}"/>
    <cellStyle name="Normal 196 4_LNG &amp; LPG rework" xfId="7045" xr:uid="{00000000-0005-0000-0000-00005A890000}"/>
    <cellStyle name="Normal 196 5" xfId="3319" xr:uid="{00000000-0005-0000-0000-00005B890000}"/>
    <cellStyle name="Normal 196 5 2" xfId="3320" xr:uid="{00000000-0005-0000-0000-00005C890000}"/>
    <cellStyle name="Normal 196 5 2 2" xfId="11969" xr:uid="{00000000-0005-0000-0000-00005D890000}"/>
    <cellStyle name="Normal 196 5 2 3" xfId="17724" xr:uid="{00000000-0005-0000-0000-00005E890000}"/>
    <cellStyle name="Normal 196 5 3" xfId="11968" xr:uid="{00000000-0005-0000-0000-00005F890000}"/>
    <cellStyle name="Normal 196 5 4" xfId="17723" xr:uid="{00000000-0005-0000-0000-000060890000}"/>
    <cellStyle name="Normal 196 5_LNG &amp; LPG rework" xfId="7047" xr:uid="{00000000-0005-0000-0000-000061890000}"/>
    <cellStyle name="Normal 196 6" xfId="3321" xr:uid="{00000000-0005-0000-0000-000062890000}"/>
    <cellStyle name="Normal 196 6 2" xfId="11970" xr:uid="{00000000-0005-0000-0000-000063890000}"/>
    <cellStyle name="Normal 196 6 3" xfId="17725" xr:uid="{00000000-0005-0000-0000-000064890000}"/>
    <cellStyle name="Normal 196 7" xfId="11947" xr:uid="{00000000-0005-0000-0000-000065890000}"/>
    <cellStyle name="Normal 196 8" xfId="17702" xr:uid="{00000000-0005-0000-0000-000066890000}"/>
    <cellStyle name="Normal 196_LNG &amp; LPG rework" xfId="7036" xr:uid="{00000000-0005-0000-0000-000067890000}"/>
    <cellStyle name="Normal 197" xfId="3322" xr:uid="{00000000-0005-0000-0000-000068890000}"/>
    <cellStyle name="Normal 197 2" xfId="3323" xr:uid="{00000000-0005-0000-0000-000069890000}"/>
    <cellStyle name="Normal 197 2 2" xfId="3324" xr:uid="{00000000-0005-0000-0000-00006A890000}"/>
    <cellStyle name="Normal 197 2 2 2" xfId="3325" xr:uid="{00000000-0005-0000-0000-00006B890000}"/>
    <cellStyle name="Normal 197 2 2 2 2" xfId="3326" xr:uid="{00000000-0005-0000-0000-00006C890000}"/>
    <cellStyle name="Normal 197 2 2 2 2 2" xfId="11975" xr:uid="{00000000-0005-0000-0000-00006D890000}"/>
    <cellStyle name="Normal 197 2 2 2 2 3" xfId="17730" xr:uid="{00000000-0005-0000-0000-00006E890000}"/>
    <cellStyle name="Normal 197 2 2 2 3" xfId="11974" xr:uid="{00000000-0005-0000-0000-00006F890000}"/>
    <cellStyle name="Normal 197 2 2 2 4" xfId="17729" xr:uid="{00000000-0005-0000-0000-000070890000}"/>
    <cellStyle name="Normal 197 2 2 2_LNG &amp; LPG rework" xfId="7051" xr:uid="{00000000-0005-0000-0000-000071890000}"/>
    <cellStyle name="Normal 197 2 2 3" xfId="3327" xr:uid="{00000000-0005-0000-0000-000072890000}"/>
    <cellStyle name="Normal 197 2 2 3 2" xfId="11976" xr:uid="{00000000-0005-0000-0000-000073890000}"/>
    <cellStyle name="Normal 197 2 2 3 3" xfId="17731" xr:uid="{00000000-0005-0000-0000-000074890000}"/>
    <cellStyle name="Normal 197 2 2 4" xfId="11973" xr:uid="{00000000-0005-0000-0000-000075890000}"/>
    <cellStyle name="Normal 197 2 2 5" xfId="17728" xr:uid="{00000000-0005-0000-0000-000076890000}"/>
    <cellStyle name="Normal 197 2 2_LNG &amp; LPG rework" xfId="7050" xr:uid="{00000000-0005-0000-0000-000077890000}"/>
    <cellStyle name="Normal 197 2 3" xfId="3328" xr:uid="{00000000-0005-0000-0000-000078890000}"/>
    <cellStyle name="Normal 197 2 3 2" xfId="3329" xr:uid="{00000000-0005-0000-0000-000079890000}"/>
    <cellStyle name="Normal 197 2 3 2 2" xfId="11978" xr:uid="{00000000-0005-0000-0000-00007A890000}"/>
    <cellStyle name="Normal 197 2 3 2 3" xfId="17733" xr:uid="{00000000-0005-0000-0000-00007B890000}"/>
    <cellStyle name="Normal 197 2 3 3" xfId="11977" xr:uid="{00000000-0005-0000-0000-00007C890000}"/>
    <cellStyle name="Normal 197 2 3 4" xfId="17732" xr:uid="{00000000-0005-0000-0000-00007D890000}"/>
    <cellStyle name="Normal 197 2 3_LNG &amp; LPG rework" xfId="7052" xr:uid="{00000000-0005-0000-0000-00007E890000}"/>
    <cellStyle name="Normal 197 2 4" xfId="3330" xr:uid="{00000000-0005-0000-0000-00007F890000}"/>
    <cellStyle name="Normal 197 2 4 2" xfId="11979" xr:uid="{00000000-0005-0000-0000-000080890000}"/>
    <cellStyle name="Normal 197 2 4 3" xfId="17734" xr:uid="{00000000-0005-0000-0000-000081890000}"/>
    <cellStyle name="Normal 197 2 5" xfId="11972" xr:uid="{00000000-0005-0000-0000-000082890000}"/>
    <cellStyle name="Normal 197 2 6" xfId="17727" xr:uid="{00000000-0005-0000-0000-000083890000}"/>
    <cellStyle name="Normal 197 2_LNG &amp; LPG rework" xfId="7049" xr:uid="{00000000-0005-0000-0000-000084890000}"/>
    <cellStyle name="Normal 197 3" xfId="3331" xr:uid="{00000000-0005-0000-0000-000085890000}"/>
    <cellStyle name="Normal 197 3 2" xfId="3332" xr:uid="{00000000-0005-0000-0000-000086890000}"/>
    <cellStyle name="Normal 197 3 2 2" xfId="3333" xr:uid="{00000000-0005-0000-0000-000087890000}"/>
    <cellStyle name="Normal 197 3 2 2 2" xfId="3334" xr:uid="{00000000-0005-0000-0000-000088890000}"/>
    <cellStyle name="Normal 197 3 2 2 2 2" xfId="11983" xr:uid="{00000000-0005-0000-0000-000089890000}"/>
    <cellStyle name="Normal 197 3 2 2 2 3" xfId="17738" xr:uid="{00000000-0005-0000-0000-00008A890000}"/>
    <cellStyle name="Normal 197 3 2 2 3" xfId="11982" xr:uid="{00000000-0005-0000-0000-00008B890000}"/>
    <cellStyle name="Normal 197 3 2 2 4" xfId="17737" xr:uid="{00000000-0005-0000-0000-00008C890000}"/>
    <cellStyle name="Normal 197 3 2 2_LNG &amp; LPG rework" xfId="7055" xr:uid="{00000000-0005-0000-0000-00008D890000}"/>
    <cellStyle name="Normal 197 3 2 3" xfId="3335" xr:uid="{00000000-0005-0000-0000-00008E890000}"/>
    <cellStyle name="Normal 197 3 2 3 2" xfId="11984" xr:uid="{00000000-0005-0000-0000-00008F890000}"/>
    <cellStyle name="Normal 197 3 2 3 3" xfId="17739" xr:uid="{00000000-0005-0000-0000-000090890000}"/>
    <cellStyle name="Normal 197 3 2 4" xfId="11981" xr:uid="{00000000-0005-0000-0000-000091890000}"/>
    <cellStyle name="Normal 197 3 2 5" xfId="17736" xr:uid="{00000000-0005-0000-0000-000092890000}"/>
    <cellStyle name="Normal 197 3 2_LNG &amp; LPG rework" xfId="7054" xr:uid="{00000000-0005-0000-0000-000093890000}"/>
    <cellStyle name="Normal 197 3 3" xfId="3336" xr:uid="{00000000-0005-0000-0000-000094890000}"/>
    <cellStyle name="Normal 197 3 3 2" xfId="3337" xr:uid="{00000000-0005-0000-0000-000095890000}"/>
    <cellStyle name="Normal 197 3 3 2 2" xfId="11986" xr:uid="{00000000-0005-0000-0000-000096890000}"/>
    <cellStyle name="Normal 197 3 3 2 3" xfId="17741" xr:uid="{00000000-0005-0000-0000-000097890000}"/>
    <cellStyle name="Normal 197 3 3 3" xfId="11985" xr:uid="{00000000-0005-0000-0000-000098890000}"/>
    <cellStyle name="Normal 197 3 3 4" xfId="17740" xr:uid="{00000000-0005-0000-0000-000099890000}"/>
    <cellStyle name="Normal 197 3 3_LNG &amp; LPG rework" xfId="7056" xr:uid="{00000000-0005-0000-0000-00009A890000}"/>
    <cellStyle name="Normal 197 3 4" xfId="3338" xr:uid="{00000000-0005-0000-0000-00009B890000}"/>
    <cellStyle name="Normal 197 3 4 2" xfId="11987" xr:uid="{00000000-0005-0000-0000-00009C890000}"/>
    <cellStyle name="Normal 197 3 4 3" xfId="17742" xr:uid="{00000000-0005-0000-0000-00009D890000}"/>
    <cellStyle name="Normal 197 3 5" xfId="11980" xr:uid="{00000000-0005-0000-0000-00009E890000}"/>
    <cellStyle name="Normal 197 3 6" xfId="17735" xr:uid="{00000000-0005-0000-0000-00009F890000}"/>
    <cellStyle name="Normal 197 3_LNG &amp; LPG rework" xfId="7053" xr:uid="{00000000-0005-0000-0000-0000A0890000}"/>
    <cellStyle name="Normal 197 4" xfId="3339" xr:uid="{00000000-0005-0000-0000-0000A1890000}"/>
    <cellStyle name="Normal 197 4 2" xfId="3340" xr:uid="{00000000-0005-0000-0000-0000A2890000}"/>
    <cellStyle name="Normal 197 4 2 2" xfId="3341" xr:uid="{00000000-0005-0000-0000-0000A3890000}"/>
    <cellStyle name="Normal 197 4 2 2 2" xfId="11990" xr:uid="{00000000-0005-0000-0000-0000A4890000}"/>
    <cellStyle name="Normal 197 4 2 2 3" xfId="17745" xr:uid="{00000000-0005-0000-0000-0000A5890000}"/>
    <cellStyle name="Normal 197 4 2 3" xfId="11989" xr:uid="{00000000-0005-0000-0000-0000A6890000}"/>
    <cellStyle name="Normal 197 4 2 4" xfId="17744" xr:uid="{00000000-0005-0000-0000-0000A7890000}"/>
    <cellStyle name="Normal 197 4 2_LNG &amp; LPG rework" xfId="7058" xr:uid="{00000000-0005-0000-0000-0000A8890000}"/>
    <cellStyle name="Normal 197 4 3" xfId="3342" xr:uid="{00000000-0005-0000-0000-0000A9890000}"/>
    <cellStyle name="Normal 197 4 3 2" xfId="11991" xr:uid="{00000000-0005-0000-0000-0000AA890000}"/>
    <cellStyle name="Normal 197 4 3 3" xfId="17746" xr:uid="{00000000-0005-0000-0000-0000AB890000}"/>
    <cellStyle name="Normal 197 4 4" xfId="11988" xr:uid="{00000000-0005-0000-0000-0000AC890000}"/>
    <cellStyle name="Normal 197 4 5" xfId="17743" xr:uid="{00000000-0005-0000-0000-0000AD890000}"/>
    <cellStyle name="Normal 197 4_LNG &amp; LPG rework" xfId="7057" xr:uid="{00000000-0005-0000-0000-0000AE890000}"/>
    <cellStyle name="Normal 197 5" xfId="3343" xr:uid="{00000000-0005-0000-0000-0000AF890000}"/>
    <cellStyle name="Normal 197 5 2" xfId="3344" xr:uid="{00000000-0005-0000-0000-0000B0890000}"/>
    <cellStyle name="Normal 197 5 2 2" xfId="11993" xr:uid="{00000000-0005-0000-0000-0000B1890000}"/>
    <cellStyle name="Normal 197 5 2 3" xfId="17748" xr:uid="{00000000-0005-0000-0000-0000B2890000}"/>
    <cellStyle name="Normal 197 5 3" xfId="11992" xr:uid="{00000000-0005-0000-0000-0000B3890000}"/>
    <cellStyle name="Normal 197 5 4" xfId="17747" xr:uid="{00000000-0005-0000-0000-0000B4890000}"/>
    <cellStyle name="Normal 197 5_LNG &amp; LPG rework" xfId="7059" xr:uid="{00000000-0005-0000-0000-0000B5890000}"/>
    <cellStyle name="Normal 197 6" xfId="3345" xr:uid="{00000000-0005-0000-0000-0000B6890000}"/>
    <cellStyle name="Normal 197 6 2" xfId="11994" xr:uid="{00000000-0005-0000-0000-0000B7890000}"/>
    <cellStyle name="Normal 197 6 3" xfId="17749" xr:uid="{00000000-0005-0000-0000-0000B8890000}"/>
    <cellStyle name="Normal 197 7" xfId="11971" xr:uid="{00000000-0005-0000-0000-0000B9890000}"/>
    <cellStyle name="Normal 197 8" xfId="17726" xr:uid="{00000000-0005-0000-0000-0000BA890000}"/>
    <cellStyle name="Normal 197_LNG &amp; LPG rework" xfId="7048" xr:uid="{00000000-0005-0000-0000-0000BB890000}"/>
    <cellStyle name="Normal 198" xfId="3346" xr:uid="{00000000-0005-0000-0000-0000BC890000}"/>
    <cellStyle name="Normal 198 2" xfId="3347" xr:uid="{00000000-0005-0000-0000-0000BD890000}"/>
    <cellStyle name="Normal 199" xfId="3348" xr:uid="{00000000-0005-0000-0000-0000BE890000}"/>
    <cellStyle name="Normal 199 2" xfId="3349" xr:uid="{00000000-0005-0000-0000-0000BF890000}"/>
    <cellStyle name="Normal 2" xfId="43" xr:uid="{00000000-0005-0000-0000-0000C0890000}"/>
    <cellStyle name="Normal 2 10" xfId="3350" xr:uid="{00000000-0005-0000-0000-0000C1890000}"/>
    <cellStyle name="Normal 2 10 2" xfId="11995" xr:uid="{00000000-0005-0000-0000-0000C2890000}"/>
    <cellStyle name="Normal 2 10 3" xfId="17750" xr:uid="{00000000-0005-0000-0000-0000C3890000}"/>
    <cellStyle name="Normal 2 11" xfId="3351" xr:uid="{00000000-0005-0000-0000-0000C4890000}"/>
    <cellStyle name="Normal 2 11 2" xfId="11996" xr:uid="{00000000-0005-0000-0000-0000C5890000}"/>
    <cellStyle name="Normal 2 11 3" xfId="17751" xr:uid="{00000000-0005-0000-0000-0000C6890000}"/>
    <cellStyle name="Normal 2 12" xfId="3352" xr:uid="{00000000-0005-0000-0000-0000C7890000}"/>
    <cellStyle name="Normal 2 13" xfId="26212" xr:uid="{00000000-0005-0000-0000-0000C8890000}"/>
    <cellStyle name="Normal 2 2" xfId="106" xr:uid="{00000000-0005-0000-0000-0000C9890000}"/>
    <cellStyle name="Normal 2 2 10" xfId="3353" xr:uid="{00000000-0005-0000-0000-0000CA890000}"/>
    <cellStyle name="Normal 2 2 10 2" xfId="11997" xr:uid="{00000000-0005-0000-0000-0000CB890000}"/>
    <cellStyle name="Normal 2 2 10 3" xfId="17752" xr:uid="{00000000-0005-0000-0000-0000CC890000}"/>
    <cellStyle name="Normal 2 2 11" xfId="3354" xr:uid="{00000000-0005-0000-0000-0000CD890000}"/>
    <cellStyle name="Normal 2 2 11 2" xfId="11998" xr:uid="{00000000-0005-0000-0000-0000CE890000}"/>
    <cellStyle name="Normal 2 2 11 3" xfId="17753" xr:uid="{00000000-0005-0000-0000-0000CF890000}"/>
    <cellStyle name="Normal 2 2 12" xfId="3355" xr:uid="{00000000-0005-0000-0000-0000D0890000}"/>
    <cellStyle name="Normal 2 2 13" xfId="29513" xr:uid="{00000000-0005-0000-0000-0000D1890000}"/>
    <cellStyle name="Normal 2 2 13 2" xfId="39182" xr:uid="{00000000-0005-0000-0000-0000D2890000}"/>
    <cellStyle name="Normal 2 2 2" xfId="372" xr:uid="{00000000-0005-0000-0000-0000D3890000}"/>
    <cellStyle name="Normal 2 2 2 2" xfId="3356" xr:uid="{00000000-0005-0000-0000-0000D4890000}"/>
    <cellStyle name="Normal 2 2 2 3" xfId="3357" xr:uid="{00000000-0005-0000-0000-0000D5890000}"/>
    <cellStyle name="Normal 2 2 2_Monthly Price Data" xfId="3358" xr:uid="{00000000-0005-0000-0000-0000D6890000}"/>
    <cellStyle name="Normal 2 2 3" xfId="373" xr:uid="{00000000-0005-0000-0000-0000D7890000}"/>
    <cellStyle name="Normal 2 2 3 10" xfId="3359" xr:uid="{00000000-0005-0000-0000-0000D8890000}"/>
    <cellStyle name="Normal 2 2 3 10 2" xfId="11999" xr:uid="{00000000-0005-0000-0000-0000D9890000}"/>
    <cellStyle name="Normal 2 2 3 10 3" xfId="17755" xr:uid="{00000000-0005-0000-0000-0000DA890000}"/>
    <cellStyle name="Normal 2 2 3 11" xfId="3360" xr:uid="{00000000-0005-0000-0000-0000DB890000}"/>
    <cellStyle name="Normal 2 2 3 11 2" xfId="12000" xr:uid="{00000000-0005-0000-0000-0000DC890000}"/>
    <cellStyle name="Normal 2 2 3 11 3" xfId="17756" xr:uid="{00000000-0005-0000-0000-0000DD890000}"/>
    <cellStyle name="Normal 2 2 3 12" xfId="3361" xr:uid="{00000000-0005-0000-0000-0000DE890000}"/>
    <cellStyle name="Normal 2 2 3 12 2" xfId="12001" xr:uid="{00000000-0005-0000-0000-0000DF890000}"/>
    <cellStyle name="Normal 2 2 3 12 3" xfId="17757" xr:uid="{00000000-0005-0000-0000-0000E0890000}"/>
    <cellStyle name="Normal 2 2 3 13" xfId="9213" xr:uid="{00000000-0005-0000-0000-0000E1890000}"/>
    <cellStyle name="Normal 2 2 3 14" xfId="17754" xr:uid="{00000000-0005-0000-0000-0000E2890000}"/>
    <cellStyle name="Normal 2 2 3 2" xfId="374" xr:uid="{00000000-0005-0000-0000-0000E3890000}"/>
    <cellStyle name="Normal 2 2 3 2 10" xfId="3362" xr:uid="{00000000-0005-0000-0000-0000E4890000}"/>
    <cellStyle name="Normal 2 2 3 2 10 2" xfId="12002" xr:uid="{00000000-0005-0000-0000-0000E5890000}"/>
    <cellStyle name="Normal 2 2 3 2 10 3" xfId="17759" xr:uid="{00000000-0005-0000-0000-0000E6890000}"/>
    <cellStyle name="Normal 2 2 3 2 11" xfId="3363" xr:uid="{00000000-0005-0000-0000-0000E7890000}"/>
    <cellStyle name="Normal 2 2 3 2 11 2" xfId="12003" xr:uid="{00000000-0005-0000-0000-0000E8890000}"/>
    <cellStyle name="Normal 2 2 3 2 11 3" xfId="17760" xr:uid="{00000000-0005-0000-0000-0000E9890000}"/>
    <cellStyle name="Normal 2 2 3 2 12" xfId="9214" xr:uid="{00000000-0005-0000-0000-0000EA890000}"/>
    <cellStyle name="Normal 2 2 3 2 13" xfId="17758" xr:uid="{00000000-0005-0000-0000-0000EB890000}"/>
    <cellStyle name="Normal 2 2 3 2 2" xfId="375" xr:uid="{00000000-0005-0000-0000-0000EC890000}"/>
    <cellStyle name="Normal 2 2 3 2 2 10" xfId="3364" xr:uid="{00000000-0005-0000-0000-0000ED890000}"/>
    <cellStyle name="Normal 2 2 3 2 2 10 2" xfId="12004" xr:uid="{00000000-0005-0000-0000-0000EE890000}"/>
    <cellStyle name="Normal 2 2 3 2 2 10 3" xfId="17762" xr:uid="{00000000-0005-0000-0000-0000EF890000}"/>
    <cellStyle name="Normal 2 2 3 2 2 11" xfId="9215" xr:uid="{00000000-0005-0000-0000-0000F0890000}"/>
    <cellStyle name="Normal 2 2 3 2 2 12" xfId="17761" xr:uid="{00000000-0005-0000-0000-0000F1890000}"/>
    <cellStyle name="Normal 2 2 3 2 2 2" xfId="376" xr:uid="{00000000-0005-0000-0000-0000F2890000}"/>
    <cellStyle name="Normal 2 2 3 2 2 2 10" xfId="17763" xr:uid="{00000000-0005-0000-0000-0000F3890000}"/>
    <cellStyle name="Normal 2 2 3 2 2 2 2" xfId="377" xr:uid="{00000000-0005-0000-0000-0000F4890000}"/>
    <cellStyle name="Normal 2 2 3 2 2 2 2 2" xfId="3365" xr:uid="{00000000-0005-0000-0000-0000F5890000}"/>
    <cellStyle name="Normal 2 2 3 2 2 2 2 2 2" xfId="12005" xr:uid="{00000000-0005-0000-0000-0000F6890000}"/>
    <cellStyle name="Normal 2 2 3 2 2 2 2 2 3" xfId="17765" xr:uid="{00000000-0005-0000-0000-0000F7890000}"/>
    <cellStyle name="Normal 2 2 3 2 2 2 2 3" xfId="3366" xr:uid="{00000000-0005-0000-0000-0000F8890000}"/>
    <cellStyle name="Normal 2 2 3 2 2 2 2 3 2" xfId="12006" xr:uid="{00000000-0005-0000-0000-0000F9890000}"/>
    <cellStyle name="Normal 2 2 3 2 2 2 2 3 3" xfId="17766" xr:uid="{00000000-0005-0000-0000-0000FA890000}"/>
    <cellStyle name="Normal 2 2 3 2 2 2 2 4" xfId="3367" xr:uid="{00000000-0005-0000-0000-0000FB890000}"/>
    <cellStyle name="Normal 2 2 3 2 2 2 2 4 2" xfId="12007" xr:uid="{00000000-0005-0000-0000-0000FC890000}"/>
    <cellStyle name="Normal 2 2 3 2 2 2 2 4 3" xfId="17767" xr:uid="{00000000-0005-0000-0000-0000FD890000}"/>
    <cellStyle name="Normal 2 2 3 2 2 2 2 5" xfId="3368" xr:uid="{00000000-0005-0000-0000-0000FE890000}"/>
    <cellStyle name="Normal 2 2 3 2 2 2 2 5 2" xfId="12008" xr:uid="{00000000-0005-0000-0000-0000FF890000}"/>
    <cellStyle name="Normal 2 2 3 2 2 2 2 5 3" xfId="17768" xr:uid="{00000000-0005-0000-0000-0000008A0000}"/>
    <cellStyle name="Normal 2 2 3 2 2 2 2 6" xfId="3369" xr:uid="{00000000-0005-0000-0000-0000018A0000}"/>
    <cellStyle name="Normal 2 2 3 2 2 2 2 6 2" xfId="12009" xr:uid="{00000000-0005-0000-0000-0000028A0000}"/>
    <cellStyle name="Normal 2 2 3 2 2 2 2 6 3" xfId="17769" xr:uid="{00000000-0005-0000-0000-0000038A0000}"/>
    <cellStyle name="Normal 2 2 3 2 2 2 2 7" xfId="9217" xr:uid="{00000000-0005-0000-0000-0000048A0000}"/>
    <cellStyle name="Normal 2 2 3 2 2 2 2 8" xfId="17764" xr:uid="{00000000-0005-0000-0000-0000058A0000}"/>
    <cellStyle name="Normal 2 2 3 2 2 2 2_LNG &amp; LPG rework" xfId="7065" xr:uid="{00000000-0005-0000-0000-0000068A0000}"/>
    <cellStyle name="Normal 2 2 3 2 2 2 3" xfId="3370" xr:uid="{00000000-0005-0000-0000-0000078A0000}"/>
    <cellStyle name="Normal 2 2 3 2 2 2 3 2" xfId="3371" xr:uid="{00000000-0005-0000-0000-0000088A0000}"/>
    <cellStyle name="Normal 2 2 3 2 2 2 3 2 2" xfId="12011" xr:uid="{00000000-0005-0000-0000-0000098A0000}"/>
    <cellStyle name="Normal 2 2 3 2 2 2 3 2 3" xfId="17771" xr:uid="{00000000-0005-0000-0000-00000A8A0000}"/>
    <cellStyle name="Normal 2 2 3 2 2 2 3 3" xfId="3372" xr:uid="{00000000-0005-0000-0000-00000B8A0000}"/>
    <cellStyle name="Normal 2 2 3 2 2 2 3 3 2" xfId="12012" xr:uid="{00000000-0005-0000-0000-00000C8A0000}"/>
    <cellStyle name="Normal 2 2 3 2 2 2 3 3 3" xfId="17772" xr:uid="{00000000-0005-0000-0000-00000D8A0000}"/>
    <cellStyle name="Normal 2 2 3 2 2 2 3 4" xfId="3373" xr:uid="{00000000-0005-0000-0000-00000E8A0000}"/>
    <cellStyle name="Normal 2 2 3 2 2 2 3 4 2" xfId="12013" xr:uid="{00000000-0005-0000-0000-00000F8A0000}"/>
    <cellStyle name="Normal 2 2 3 2 2 2 3 4 3" xfId="17773" xr:uid="{00000000-0005-0000-0000-0000108A0000}"/>
    <cellStyle name="Normal 2 2 3 2 2 2 3 5" xfId="3374" xr:uid="{00000000-0005-0000-0000-0000118A0000}"/>
    <cellStyle name="Normal 2 2 3 2 2 2 3 5 2" xfId="12014" xr:uid="{00000000-0005-0000-0000-0000128A0000}"/>
    <cellStyle name="Normal 2 2 3 2 2 2 3 5 3" xfId="17774" xr:uid="{00000000-0005-0000-0000-0000138A0000}"/>
    <cellStyle name="Normal 2 2 3 2 2 2 3 6" xfId="12010" xr:uid="{00000000-0005-0000-0000-0000148A0000}"/>
    <cellStyle name="Normal 2 2 3 2 2 2 3 7" xfId="17770" xr:uid="{00000000-0005-0000-0000-0000158A0000}"/>
    <cellStyle name="Normal 2 2 3 2 2 2 3_LNG &amp; LPG rework" xfId="7066" xr:uid="{00000000-0005-0000-0000-0000168A0000}"/>
    <cellStyle name="Normal 2 2 3 2 2 2 4" xfId="3375" xr:uid="{00000000-0005-0000-0000-0000178A0000}"/>
    <cellStyle name="Normal 2 2 3 2 2 2 4 2" xfId="12015" xr:uid="{00000000-0005-0000-0000-0000188A0000}"/>
    <cellStyle name="Normal 2 2 3 2 2 2 4 3" xfId="17775" xr:uid="{00000000-0005-0000-0000-0000198A0000}"/>
    <cellStyle name="Normal 2 2 3 2 2 2 5" xfId="3376" xr:uid="{00000000-0005-0000-0000-00001A8A0000}"/>
    <cellStyle name="Normal 2 2 3 2 2 2 5 2" xfId="12016" xr:uid="{00000000-0005-0000-0000-00001B8A0000}"/>
    <cellStyle name="Normal 2 2 3 2 2 2 5 3" xfId="17776" xr:uid="{00000000-0005-0000-0000-00001C8A0000}"/>
    <cellStyle name="Normal 2 2 3 2 2 2 6" xfId="3377" xr:uid="{00000000-0005-0000-0000-00001D8A0000}"/>
    <cellStyle name="Normal 2 2 3 2 2 2 6 2" xfId="12017" xr:uid="{00000000-0005-0000-0000-00001E8A0000}"/>
    <cellStyle name="Normal 2 2 3 2 2 2 6 3" xfId="17777" xr:uid="{00000000-0005-0000-0000-00001F8A0000}"/>
    <cellStyle name="Normal 2 2 3 2 2 2 7" xfId="3378" xr:uid="{00000000-0005-0000-0000-0000208A0000}"/>
    <cellStyle name="Normal 2 2 3 2 2 2 7 2" xfId="12018" xr:uid="{00000000-0005-0000-0000-0000218A0000}"/>
    <cellStyle name="Normal 2 2 3 2 2 2 7 3" xfId="17778" xr:uid="{00000000-0005-0000-0000-0000228A0000}"/>
    <cellStyle name="Normal 2 2 3 2 2 2 8" xfId="3379" xr:uid="{00000000-0005-0000-0000-0000238A0000}"/>
    <cellStyle name="Normal 2 2 3 2 2 2 8 2" xfId="12019" xr:uid="{00000000-0005-0000-0000-0000248A0000}"/>
    <cellStyle name="Normal 2 2 3 2 2 2 8 3" xfId="17779" xr:uid="{00000000-0005-0000-0000-0000258A0000}"/>
    <cellStyle name="Normal 2 2 3 2 2 2 9" xfId="9216" xr:uid="{00000000-0005-0000-0000-0000268A0000}"/>
    <cellStyle name="Normal 2 2 3 2 2 2_LNG &amp; LPG rework" xfId="7064" xr:uid="{00000000-0005-0000-0000-0000278A0000}"/>
    <cellStyle name="Normal 2 2 3 2 2 3" xfId="378" xr:uid="{00000000-0005-0000-0000-0000288A0000}"/>
    <cellStyle name="Normal 2 2 3 2 2 3 2" xfId="3380" xr:uid="{00000000-0005-0000-0000-0000298A0000}"/>
    <cellStyle name="Normal 2 2 3 2 2 3 2 2" xfId="12020" xr:uid="{00000000-0005-0000-0000-00002A8A0000}"/>
    <cellStyle name="Normal 2 2 3 2 2 3 2 3" xfId="17781" xr:uid="{00000000-0005-0000-0000-00002B8A0000}"/>
    <cellStyle name="Normal 2 2 3 2 2 3 3" xfId="3381" xr:uid="{00000000-0005-0000-0000-00002C8A0000}"/>
    <cellStyle name="Normal 2 2 3 2 2 3 3 2" xfId="12021" xr:uid="{00000000-0005-0000-0000-00002D8A0000}"/>
    <cellStyle name="Normal 2 2 3 2 2 3 3 3" xfId="17782" xr:uid="{00000000-0005-0000-0000-00002E8A0000}"/>
    <cellStyle name="Normal 2 2 3 2 2 3 4" xfId="3382" xr:uid="{00000000-0005-0000-0000-00002F8A0000}"/>
    <cellStyle name="Normal 2 2 3 2 2 3 4 2" xfId="12022" xr:uid="{00000000-0005-0000-0000-0000308A0000}"/>
    <cellStyle name="Normal 2 2 3 2 2 3 4 3" xfId="17783" xr:uid="{00000000-0005-0000-0000-0000318A0000}"/>
    <cellStyle name="Normal 2 2 3 2 2 3 5" xfId="3383" xr:uid="{00000000-0005-0000-0000-0000328A0000}"/>
    <cellStyle name="Normal 2 2 3 2 2 3 5 2" xfId="12023" xr:uid="{00000000-0005-0000-0000-0000338A0000}"/>
    <cellStyle name="Normal 2 2 3 2 2 3 5 3" xfId="17784" xr:uid="{00000000-0005-0000-0000-0000348A0000}"/>
    <cellStyle name="Normal 2 2 3 2 2 3 6" xfId="3384" xr:uid="{00000000-0005-0000-0000-0000358A0000}"/>
    <cellStyle name="Normal 2 2 3 2 2 3 6 2" xfId="12024" xr:uid="{00000000-0005-0000-0000-0000368A0000}"/>
    <cellStyle name="Normal 2 2 3 2 2 3 6 3" xfId="17785" xr:uid="{00000000-0005-0000-0000-0000378A0000}"/>
    <cellStyle name="Normal 2 2 3 2 2 3 7" xfId="9218" xr:uid="{00000000-0005-0000-0000-0000388A0000}"/>
    <cellStyle name="Normal 2 2 3 2 2 3 8" xfId="17780" xr:uid="{00000000-0005-0000-0000-0000398A0000}"/>
    <cellStyle name="Normal 2 2 3 2 2 3_LNG &amp; LPG rework" xfId="7067" xr:uid="{00000000-0005-0000-0000-00003A8A0000}"/>
    <cellStyle name="Normal 2 2 3 2 2 4" xfId="3385" xr:uid="{00000000-0005-0000-0000-00003B8A0000}"/>
    <cellStyle name="Normal 2 2 3 2 2 4 2" xfId="3386" xr:uid="{00000000-0005-0000-0000-00003C8A0000}"/>
    <cellStyle name="Normal 2 2 3 2 2 4 2 2" xfId="12026" xr:uid="{00000000-0005-0000-0000-00003D8A0000}"/>
    <cellStyle name="Normal 2 2 3 2 2 4 2 3" xfId="17787" xr:uid="{00000000-0005-0000-0000-00003E8A0000}"/>
    <cellStyle name="Normal 2 2 3 2 2 4 3" xfId="3387" xr:uid="{00000000-0005-0000-0000-00003F8A0000}"/>
    <cellStyle name="Normal 2 2 3 2 2 4 3 2" xfId="12027" xr:uid="{00000000-0005-0000-0000-0000408A0000}"/>
    <cellStyle name="Normal 2 2 3 2 2 4 3 3" xfId="17788" xr:uid="{00000000-0005-0000-0000-0000418A0000}"/>
    <cellStyle name="Normal 2 2 3 2 2 4 4" xfId="3388" xr:uid="{00000000-0005-0000-0000-0000428A0000}"/>
    <cellStyle name="Normal 2 2 3 2 2 4 4 2" xfId="12028" xr:uid="{00000000-0005-0000-0000-0000438A0000}"/>
    <cellStyle name="Normal 2 2 3 2 2 4 4 3" xfId="17789" xr:uid="{00000000-0005-0000-0000-0000448A0000}"/>
    <cellStyle name="Normal 2 2 3 2 2 4 5" xfId="3389" xr:uid="{00000000-0005-0000-0000-0000458A0000}"/>
    <cellStyle name="Normal 2 2 3 2 2 4 5 2" xfId="12029" xr:uid="{00000000-0005-0000-0000-0000468A0000}"/>
    <cellStyle name="Normal 2 2 3 2 2 4 5 3" xfId="17790" xr:uid="{00000000-0005-0000-0000-0000478A0000}"/>
    <cellStyle name="Normal 2 2 3 2 2 4 6" xfId="12025" xr:uid="{00000000-0005-0000-0000-0000488A0000}"/>
    <cellStyle name="Normal 2 2 3 2 2 4 7" xfId="17786" xr:uid="{00000000-0005-0000-0000-0000498A0000}"/>
    <cellStyle name="Normal 2 2 3 2 2 4_LNG &amp; LPG rework" xfId="7068" xr:uid="{00000000-0005-0000-0000-00004A8A0000}"/>
    <cellStyle name="Normal 2 2 3 2 2 5" xfId="3390" xr:uid="{00000000-0005-0000-0000-00004B8A0000}"/>
    <cellStyle name="Normal 2 2 3 2 2 5 2" xfId="3391" xr:uid="{00000000-0005-0000-0000-00004C8A0000}"/>
    <cellStyle name="Normal 2 2 3 2 2 5 2 2" xfId="12031" xr:uid="{00000000-0005-0000-0000-00004D8A0000}"/>
    <cellStyle name="Normal 2 2 3 2 2 5 2 3" xfId="17792" xr:uid="{00000000-0005-0000-0000-00004E8A0000}"/>
    <cellStyle name="Normal 2 2 3 2 2 5 3" xfId="3392" xr:uid="{00000000-0005-0000-0000-00004F8A0000}"/>
    <cellStyle name="Normal 2 2 3 2 2 5 3 2" xfId="12032" xr:uid="{00000000-0005-0000-0000-0000508A0000}"/>
    <cellStyle name="Normal 2 2 3 2 2 5 3 3" xfId="17793" xr:uid="{00000000-0005-0000-0000-0000518A0000}"/>
    <cellStyle name="Normal 2 2 3 2 2 5 4" xfId="3393" xr:uid="{00000000-0005-0000-0000-0000528A0000}"/>
    <cellStyle name="Normal 2 2 3 2 2 5 4 2" xfId="12033" xr:uid="{00000000-0005-0000-0000-0000538A0000}"/>
    <cellStyle name="Normal 2 2 3 2 2 5 4 3" xfId="17794" xr:uid="{00000000-0005-0000-0000-0000548A0000}"/>
    <cellStyle name="Normal 2 2 3 2 2 5 5" xfId="3394" xr:uid="{00000000-0005-0000-0000-0000558A0000}"/>
    <cellStyle name="Normal 2 2 3 2 2 5 5 2" xfId="12034" xr:uid="{00000000-0005-0000-0000-0000568A0000}"/>
    <cellStyle name="Normal 2 2 3 2 2 5 5 3" xfId="17795" xr:uid="{00000000-0005-0000-0000-0000578A0000}"/>
    <cellStyle name="Normal 2 2 3 2 2 5 6" xfId="12030" xr:uid="{00000000-0005-0000-0000-0000588A0000}"/>
    <cellStyle name="Normal 2 2 3 2 2 5 7" xfId="17791" xr:uid="{00000000-0005-0000-0000-0000598A0000}"/>
    <cellStyle name="Normal 2 2 3 2 2 5_LNG &amp; LPG rework" xfId="7069" xr:uid="{00000000-0005-0000-0000-00005A8A0000}"/>
    <cellStyle name="Normal 2 2 3 2 2 6" xfId="3395" xr:uid="{00000000-0005-0000-0000-00005B8A0000}"/>
    <cellStyle name="Normal 2 2 3 2 2 6 2" xfId="12035" xr:uid="{00000000-0005-0000-0000-00005C8A0000}"/>
    <cellStyle name="Normal 2 2 3 2 2 6 3" xfId="17796" xr:uid="{00000000-0005-0000-0000-00005D8A0000}"/>
    <cellStyle name="Normal 2 2 3 2 2 7" xfId="3396" xr:uid="{00000000-0005-0000-0000-00005E8A0000}"/>
    <cellStyle name="Normal 2 2 3 2 2 7 2" xfId="12036" xr:uid="{00000000-0005-0000-0000-00005F8A0000}"/>
    <cellStyle name="Normal 2 2 3 2 2 7 3" xfId="17797" xr:uid="{00000000-0005-0000-0000-0000608A0000}"/>
    <cellStyle name="Normal 2 2 3 2 2 8" xfId="3397" xr:uid="{00000000-0005-0000-0000-0000618A0000}"/>
    <cellStyle name="Normal 2 2 3 2 2 8 2" xfId="12037" xr:uid="{00000000-0005-0000-0000-0000628A0000}"/>
    <cellStyle name="Normal 2 2 3 2 2 8 3" xfId="17798" xr:uid="{00000000-0005-0000-0000-0000638A0000}"/>
    <cellStyle name="Normal 2 2 3 2 2 9" xfId="3398" xr:uid="{00000000-0005-0000-0000-0000648A0000}"/>
    <cellStyle name="Normal 2 2 3 2 2 9 2" xfId="12038" xr:uid="{00000000-0005-0000-0000-0000658A0000}"/>
    <cellStyle name="Normal 2 2 3 2 2 9 3" xfId="17799" xr:uid="{00000000-0005-0000-0000-0000668A0000}"/>
    <cellStyle name="Normal 2 2 3 2 2_LNG &amp; LPG rework" xfId="7063" xr:uid="{00000000-0005-0000-0000-0000678A0000}"/>
    <cellStyle name="Normal 2 2 3 2 3" xfId="379" xr:uid="{00000000-0005-0000-0000-0000688A0000}"/>
    <cellStyle name="Normal 2 2 3 2 3 10" xfId="17800" xr:uid="{00000000-0005-0000-0000-0000698A0000}"/>
    <cellStyle name="Normal 2 2 3 2 3 2" xfId="380" xr:uid="{00000000-0005-0000-0000-00006A8A0000}"/>
    <cellStyle name="Normal 2 2 3 2 3 2 2" xfId="3399" xr:uid="{00000000-0005-0000-0000-00006B8A0000}"/>
    <cellStyle name="Normal 2 2 3 2 3 2 2 2" xfId="12039" xr:uid="{00000000-0005-0000-0000-00006C8A0000}"/>
    <cellStyle name="Normal 2 2 3 2 3 2 2 3" xfId="17802" xr:uid="{00000000-0005-0000-0000-00006D8A0000}"/>
    <cellStyle name="Normal 2 2 3 2 3 2 3" xfId="3400" xr:uid="{00000000-0005-0000-0000-00006E8A0000}"/>
    <cellStyle name="Normal 2 2 3 2 3 2 3 2" xfId="12040" xr:uid="{00000000-0005-0000-0000-00006F8A0000}"/>
    <cellStyle name="Normal 2 2 3 2 3 2 3 3" xfId="17803" xr:uid="{00000000-0005-0000-0000-0000708A0000}"/>
    <cellStyle name="Normal 2 2 3 2 3 2 4" xfId="3401" xr:uid="{00000000-0005-0000-0000-0000718A0000}"/>
    <cellStyle name="Normal 2 2 3 2 3 2 4 2" xfId="12041" xr:uid="{00000000-0005-0000-0000-0000728A0000}"/>
    <cellStyle name="Normal 2 2 3 2 3 2 4 3" xfId="17804" xr:uid="{00000000-0005-0000-0000-0000738A0000}"/>
    <cellStyle name="Normal 2 2 3 2 3 2 5" xfId="3402" xr:uid="{00000000-0005-0000-0000-0000748A0000}"/>
    <cellStyle name="Normal 2 2 3 2 3 2 5 2" xfId="12042" xr:uid="{00000000-0005-0000-0000-0000758A0000}"/>
    <cellStyle name="Normal 2 2 3 2 3 2 5 3" xfId="17805" xr:uid="{00000000-0005-0000-0000-0000768A0000}"/>
    <cellStyle name="Normal 2 2 3 2 3 2 6" xfId="3403" xr:uid="{00000000-0005-0000-0000-0000778A0000}"/>
    <cellStyle name="Normal 2 2 3 2 3 2 6 2" xfId="12043" xr:uid="{00000000-0005-0000-0000-0000788A0000}"/>
    <cellStyle name="Normal 2 2 3 2 3 2 6 3" xfId="17806" xr:uid="{00000000-0005-0000-0000-0000798A0000}"/>
    <cellStyle name="Normal 2 2 3 2 3 2 7" xfId="9220" xr:uid="{00000000-0005-0000-0000-00007A8A0000}"/>
    <cellStyle name="Normal 2 2 3 2 3 2 8" xfId="17801" xr:uid="{00000000-0005-0000-0000-00007B8A0000}"/>
    <cellStyle name="Normal 2 2 3 2 3 2_LNG &amp; LPG rework" xfId="7071" xr:uid="{00000000-0005-0000-0000-00007C8A0000}"/>
    <cellStyle name="Normal 2 2 3 2 3 3" xfId="3404" xr:uid="{00000000-0005-0000-0000-00007D8A0000}"/>
    <cellStyle name="Normal 2 2 3 2 3 3 2" xfId="3405" xr:uid="{00000000-0005-0000-0000-00007E8A0000}"/>
    <cellStyle name="Normal 2 2 3 2 3 3 2 2" xfId="12045" xr:uid="{00000000-0005-0000-0000-00007F8A0000}"/>
    <cellStyle name="Normal 2 2 3 2 3 3 2 3" xfId="17808" xr:uid="{00000000-0005-0000-0000-0000808A0000}"/>
    <cellStyle name="Normal 2 2 3 2 3 3 3" xfId="3406" xr:uid="{00000000-0005-0000-0000-0000818A0000}"/>
    <cellStyle name="Normal 2 2 3 2 3 3 3 2" xfId="12046" xr:uid="{00000000-0005-0000-0000-0000828A0000}"/>
    <cellStyle name="Normal 2 2 3 2 3 3 3 3" xfId="17809" xr:uid="{00000000-0005-0000-0000-0000838A0000}"/>
    <cellStyle name="Normal 2 2 3 2 3 3 4" xfId="3407" xr:uid="{00000000-0005-0000-0000-0000848A0000}"/>
    <cellStyle name="Normal 2 2 3 2 3 3 4 2" xfId="12047" xr:uid="{00000000-0005-0000-0000-0000858A0000}"/>
    <cellStyle name="Normal 2 2 3 2 3 3 4 3" xfId="17810" xr:uid="{00000000-0005-0000-0000-0000868A0000}"/>
    <cellStyle name="Normal 2 2 3 2 3 3 5" xfId="3408" xr:uid="{00000000-0005-0000-0000-0000878A0000}"/>
    <cellStyle name="Normal 2 2 3 2 3 3 5 2" xfId="12048" xr:uid="{00000000-0005-0000-0000-0000888A0000}"/>
    <cellStyle name="Normal 2 2 3 2 3 3 5 3" xfId="17811" xr:uid="{00000000-0005-0000-0000-0000898A0000}"/>
    <cellStyle name="Normal 2 2 3 2 3 3 6" xfId="12044" xr:uid="{00000000-0005-0000-0000-00008A8A0000}"/>
    <cellStyle name="Normal 2 2 3 2 3 3 7" xfId="17807" xr:uid="{00000000-0005-0000-0000-00008B8A0000}"/>
    <cellStyle name="Normal 2 2 3 2 3 3_LNG &amp; LPG rework" xfId="7072" xr:uid="{00000000-0005-0000-0000-00008C8A0000}"/>
    <cellStyle name="Normal 2 2 3 2 3 4" xfId="3409" xr:uid="{00000000-0005-0000-0000-00008D8A0000}"/>
    <cellStyle name="Normal 2 2 3 2 3 4 2" xfId="12049" xr:uid="{00000000-0005-0000-0000-00008E8A0000}"/>
    <cellStyle name="Normal 2 2 3 2 3 4 3" xfId="17812" xr:uid="{00000000-0005-0000-0000-00008F8A0000}"/>
    <cellStyle name="Normal 2 2 3 2 3 5" xfId="3410" xr:uid="{00000000-0005-0000-0000-0000908A0000}"/>
    <cellStyle name="Normal 2 2 3 2 3 5 2" xfId="12050" xr:uid="{00000000-0005-0000-0000-0000918A0000}"/>
    <cellStyle name="Normal 2 2 3 2 3 5 3" xfId="17813" xr:uid="{00000000-0005-0000-0000-0000928A0000}"/>
    <cellStyle name="Normal 2 2 3 2 3 6" xfId="3411" xr:uid="{00000000-0005-0000-0000-0000938A0000}"/>
    <cellStyle name="Normal 2 2 3 2 3 6 2" xfId="12051" xr:uid="{00000000-0005-0000-0000-0000948A0000}"/>
    <cellStyle name="Normal 2 2 3 2 3 6 3" xfId="17814" xr:uid="{00000000-0005-0000-0000-0000958A0000}"/>
    <cellStyle name="Normal 2 2 3 2 3 7" xfId="3412" xr:uid="{00000000-0005-0000-0000-0000968A0000}"/>
    <cellStyle name="Normal 2 2 3 2 3 7 2" xfId="12052" xr:uid="{00000000-0005-0000-0000-0000978A0000}"/>
    <cellStyle name="Normal 2 2 3 2 3 7 3" xfId="17815" xr:uid="{00000000-0005-0000-0000-0000988A0000}"/>
    <cellStyle name="Normal 2 2 3 2 3 8" xfId="3413" xr:uid="{00000000-0005-0000-0000-0000998A0000}"/>
    <cellStyle name="Normal 2 2 3 2 3 8 2" xfId="12053" xr:uid="{00000000-0005-0000-0000-00009A8A0000}"/>
    <cellStyle name="Normal 2 2 3 2 3 8 3" xfId="17816" xr:uid="{00000000-0005-0000-0000-00009B8A0000}"/>
    <cellStyle name="Normal 2 2 3 2 3 9" xfId="9219" xr:uid="{00000000-0005-0000-0000-00009C8A0000}"/>
    <cellStyle name="Normal 2 2 3 2 3_LNG &amp; LPG rework" xfId="7070" xr:uid="{00000000-0005-0000-0000-00009D8A0000}"/>
    <cellStyle name="Normal 2 2 3 2 4" xfId="381" xr:uid="{00000000-0005-0000-0000-00009E8A0000}"/>
    <cellStyle name="Normal 2 2 3 2 4 2" xfId="3414" xr:uid="{00000000-0005-0000-0000-00009F8A0000}"/>
    <cellStyle name="Normal 2 2 3 2 4 2 2" xfId="12054" xr:uid="{00000000-0005-0000-0000-0000A08A0000}"/>
    <cellStyle name="Normal 2 2 3 2 4 2 3" xfId="17818" xr:uid="{00000000-0005-0000-0000-0000A18A0000}"/>
    <cellStyle name="Normal 2 2 3 2 4 3" xfId="3415" xr:uid="{00000000-0005-0000-0000-0000A28A0000}"/>
    <cellStyle name="Normal 2 2 3 2 4 3 2" xfId="12055" xr:uid="{00000000-0005-0000-0000-0000A38A0000}"/>
    <cellStyle name="Normal 2 2 3 2 4 3 3" xfId="17819" xr:uid="{00000000-0005-0000-0000-0000A48A0000}"/>
    <cellStyle name="Normal 2 2 3 2 4 4" xfId="3416" xr:uid="{00000000-0005-0000-0000-0000A58A0000}"/>
    <cellStyle name="Normal 2 2 3 2 4 4 2" xfId="12056" xr:uid="{00000000-0005-0000-0000-0000A68A0000}"/>
    <cellStyle name="Normal 2 2 3 2 4 4 3" xfId="17820" xr:uid="{00000000-0005-0000-0000-0000A78A0000}"/>
    <cellStyle name="Normal 2 2 3 2 4 5" xfId="3417" xr:uid="{00000000-0005-0000-0000-0000A88A0000}"/>
    <cellStyle name="Normal 2 2 3 2 4 5 2" xfId="12057" xr:uid="{00000000-0005-0000-0000-0000A98A0000}"/>
    <cellStyle name="Normal 2 2 3 2 4 5 3" xfId="17821" xr:uid="{00000000-0005-0000-0000-0000AA8A0000}"/>
    <cellStyle name="Normal 2 2 3 2 4 6" xfId="3418" xr:uid="{00000000-0005-0000-0000-0000AB8A0000}"/>
    <cellStyle name="Normal 2 2 3 2 4 6 2" xfId="12058" xr:uid="{00000000-0005-0000-0000-0000AC8A0000}"/>
    <cellStyle name="Normal 2 2 3 2 4 6 3" xfId="17822" xr:uid="{00000000-0005-0000-0000-0000AD8A0000}"/>
    <cellStyle name="Normal 2 2 3 2 4 7" xfId="9221" xr:uid="{00000000-0005-0000-0000-0000AE8A0000}"/>
    <cellStyle name="Normal 2 2 3 2 4 8" xfId="17817" xr:uid="{00000000-0005-0000-0000-0000AF8A0000}"/>
    <cellStyle name="Normal 2 2 3 2 4_LNG &amp; LPG rework" xfId="7073" xr:uid="{00000000-0005-0000-0000-0000B08A0000}"/>
    <cellStyle name="Normal 2 2 3 2 5" xfId="3419" xr:uid="{00000000-0005-0000-0000-0000B18A0000}"/>
    <cellStyle name="Normal 2 2 3 2 5 2" xfId="3420" xr:uid="{00000000-0005-0000-0000-0000B28A0000}"/>
    <cellStyle name="Normal 2 2 3 2 5 2 2" xfId="12060" xr:uid="{00000000-0005-0000-0000-0000B38A0000}"/>
    <cellStyle name="Normal 2 2 3 2 5 2 3" xfId="17824" xr:uid="{00000000-0005-0000-0000-0000B48A0000}"/>
    <cellStyle name="Normal 2 2 3 2 5 3" xfId="3421" xr:uid="{00000000-0005-0000-0000-0000B58A0000}"/>
    <cellStyle name="Normal 2 2 3 2 5 3 2" xfId="12061" xr:uid="{00000000-0005-0000-0000-0000B68A0000}"/>
    <cellStyle name="Normal 2 2 3 2 5 3 3" xfId="17825" xr:uid="{00000000-0005-0000-0000-0000B78A0000}"/>
    <cellStyle name="Normal 2 2 3 2 5 4" xfId="3422" xr:uid="{00000000-0005-0000-0000-0000B88A0000}"/>
    <cellStyle name="Normal 2 2 3 2 5 4 2" xfId="12062" xr:uid="{00000000-0005-0000-0000-0000B98A0000}"/>
    <cellStyle name="Normal 2 2 3 2 5 4 3" xfId="17826" xr:uid="{00000000-0005-0000-0000-0000BA8A0000}"/>
    <cellStyle name="Normal 2 2 3 2 5 5" xfId="3423" xr:uid="{00000000-0005-0000-0000-0000BB8A0000}"/>
    <cellStyle name="Normal 2 2 3 2 5 5 2" xfId="12063" xr:uid="{00000000-0005-0000-0000-0000BC8A0000}"/>
    <cellStyle name="Normal 2 2 3 2 5 5 3" xfId="17827" xr:uid="{00000000-0005-0000-0000-0000BD8A0000}"/>
    <cellStyle name="Normal 2 2 3 2 5 6" xfId="12059" xr:uid="{00000000-0005-0000-0000-0000BE8A0000}"/>
    <cellStyle name="Normal 2 2 3 2 5 7" xfId="17823" xr:uid="{00000000-0005-0000-0000-0000BF8A0000}"/>
    <cellStyle name="Normal 2 2 3 2 5_LNG &amp; LPG rework" xfId="7074" xr:uid="{00000000-0005-0000-0000-0000C08A0000}"/>
    <cellStyle name="Normal 2 2 3 2 6" xfId="3424" xr:uid="{00000000-0005-0000-0000-0000C18A0000}"/>
    <cellStyle name="Normal 2 2 3 2 6 2" xfId="3425" xr:uid="{00000000-0005-0000-0000-0000C28A0000}"/>
    <cellStyle name="Normal 2 2 3 2 6 2 2" xfId="12065" xr:uid="{00000000-0005-0000-0000-0000C38A0000}"/>
    <cellStyle name="Normal 2 2 3 2 6 2 3" xfId="17829" xr:uid="{00000000-0005-0000-0000-0000C48A0000}"/>
    <cellStyle name="Normal 2 2 3 2 6 3" xfId="3426" xr:uid="{00000000-0005-0000-0000-0000C58A0000}"/>
    <cellStyle name="Normal 2 2 3 2 6 3 2" xfId="12066" xr:uid="{00000000-0005-0000-0000-0000C68A0000}"/>
    <cellStyle name="Normal 2 2 3 2 6 3 3" xfId="17830" xr:uid="{00000000-0005-0000-0000-0000C78A0000}"/>
    <cellStyle name="Normal 2 2 3 2 6 4" xfId="3427" xr:uid="{00000000-0005-0000-0000-0000C88A0000}"/>
    <cellStyle name="Normal 2 2 3 2 6 4 2" xfId="12067" xr:uid="{00000000-0005-0000-0000-0000C98A0000}"/>
    <cellStyle name="Normal 2 2 3 2 6 4 3" xfId="17831" xr:uid="{00000000-0005-0000-0000-0000CA8A0000}"/>
    <cellStyle name="Normal 2 2 3 2 6 5" xfId="3428" xr:uid="{00000000-0005-0000-0000-0000CB8A0000}"/>
    <cellStyle name="Normal 2 2 3 2 6 5 2" xfId="12068" xr:uid="{00000000-0005-0000-0000-0000CC8A0000}"/>
    <cellStyle name="Normal 2 2 3 2 6 5 3" xfId="17832" xr:uid="{00000000-0005-0000-0000-0000CD8A0000}"/>
    <cellStyle name="Normal 2 2 3 2 6 6" xfId="12064" xr:uid="{00000000-0005-0000-0000-0000CE8A0000}"/>
    <cellStyle name="Normal 2 2 3 2 6 7" xfId="17828" xr:uid="{00000000-0005-0000-0000-0000CF8A0000}"/>
    <cellStyle name="Normal 2 2 3 2 6_LNG &amp; LPG rework" xfId="7075" xr:uid="{00000000-0005-0000-0000-0000D08A0000}"/>
    <cellStyle name="Normal 2 2 3 2 7" xfId="3429" xr:uid="{00000000-0005-0000-0000-0000D18A0000}"/>
    <cellStyle name="Normal 2 2 3 2 7 2" xfId="12069" xr:uid="{00000000-0005-0000-0000-0000D28A0000}"/>
    <cellStyle name="Normal 2 2 3 2 7 3" xfId="17833" xr:uid="{00000000-0005-0000-0000-0000D38A0000}"/>
    <cellStyle name="Normal 2 2 3 2 8" xfId="3430" xr:uid="{00000000-0005-0000-0000-0000D48A0000}"/>
    <cellStyle name="Normal 2 2 3 2 8 2" xfId="12070" xr:uid="{00000000-0005-0000-0000-0000D58A0000}"/>
    <cellStyle name="Normal 2 2 3 2 8 3" xfId="17834" xr:uid="{00000000-0005-0000-0000-0000D68A0000}"/>
    <cellStyle name="Normal 2 2 3 2 9" xfId="3431" xr:uid="{00000000-0005-0000-0000-0000D78A0000}"/>
    <cellStyle name="Normal 2 2 3 2 9 2" xfId="12071" xr:uid="{00000000-0005-0000-0000-0000D88A0000}"/>
    <cellStyle name="Normal 2 2 3 2 9 3" xfId="17835" xr:uid="{00000000-0005-0000-0000-0000D98A0000}"/>
    <cellStyle name="Normal 2 2 3 2_LNG &amp; LPG rework" xfId="7062" xr:uid="{00000000-0005-0000-0000-0000DA8A0000}"/>
    <cellStyle name="Normal 2 2 3 3" xfId="382" xr:uid="{00000000-0005-0000-0000-0000DB8A0000}"/>
    <cellStyle name="Normal 2 2 3 3 10" xfId="3432" xr:uid="{00000000-0005-0000-0000-0000DC8A0000}"/>
    <cellStyle name="Normal 2 2 3 3 10 2" xfId="12072" xr:uid="{00000000-0005-0000-0000-0000DD8A0000}"/>
    <cellStyle name="Normal 2 2 3 3 10 3" xfId="17837" xr:uid="{00000000-0005-0000-0000-0000DE8A0000}"/>
    <cellStyle name="Normal 2 2 3 3 11" xfId="9222" xr:uid="{00000000-0005-0000-0000-0000DF8A0000}"/>
    <cellStyle name="Normal 2 2 3 3 12" xfId="17836" xr:uid="{00000000-0005-0000-0000-0000E08A0000}"/>
    <cellStyle name="Normal 2 2 3 3 2" xfId="383" xr:uid="{00000000-0005-0000-0000-0000E18A0000}"/>
    <cellStyle name="Normal 2 2 3 3 2 10" xfId="17838" xr:uid="{00000000-0005-0000-0000-0000E28A0000}"/>
    <cellStyle name="Normal 2 2 3 3 2 2" xfId="384" xr:uid="{00000000-0005-0000-0000-0000E38A0000}"/>
    <cellStyle name="Normal 2 2 3 3 2 2 2" xfId="3433" xr:uid="{00000000-0005-0000-0000-0000E48A0000}"/>
    <cellStyle name="Normal 2 2 3 3 2 2 2 2" xfId="12073" xr:uid="{00000000-0005-0000-0000-0000E58A0000}"/>
    <cellStyle name="Normal 2 2 3 3 2 2 2 3" xfId="17840" xr:uid="{00000000-0005-0000-0000-0000E68A0000}"/>
    <cellStyle name="Normal 2 2 3 3 2 2 3" xfId="3434" xr:uid="{00000000-0005-0000-0000-0000E78A0000}"/>
    <cellStyle name="Normal 2 2 3 3 2 2 3 2" xfId="12074" xr:uid="{00000000-0005-0000-0000-0000E88A0000}"/>
    <cellStyle name="Normal 2 2 3 3 2 2 3 3" xfId="17841" xr:uid="{00000000-0005-0000-0000-0000E98A0000}"/>
    <cellStyle name="Normal 2 2 3 3 2 2 4" xfId="3435" xr:uid="{00000000-0005-0000-0000-0000EA8A0000}"/>
    <cellStyle name="Normal 2 2 3 3 2 2 4 2" xfId="12075" xr:uid="{00000000-0005-0000-0000-0000EB8A0000}"/>
    <cellStyle name="Normal 2 2 3 3 2 2 4 3" xfId="17842" xr:uid="{00000000-0005-0000-0000-0000EC8A0000}"/>
    <cellStyle name="Normal 2 2 3 3 2 2 5" xfId="3436" xr:uid="{00000000-0005-0000-0000-0000ED8A0000}"/>
    <cellStyle name="Normal 2 2 3 3 2 2 5 2" xfId="12076" xr:uid="{00000000-0005-0000-0000-0000EE8A0000}"/>
    <cellStyle name="Normal 2 2 3 3 2 2 5 3" xfId="17843" xr:uid="{00000000-0005-0000-0000-0000EF8A0000}"/>
    <cellStyle name="Normal 2 2 3 3 2 2 6" xfId="3437" xr:uid="{00000000-0005-0000-0000-0000F08A0000}"/>
    <cellStyle name="Normal 2 2 3 3 2 2 6 2" xfId="12077" xr:uid="{00000000-0005-0000-0000-0000F18A0000}"/>
    <cellStyle name="Normal 2 2 3 3 2 2 6 3" xfId="17844" xr:uid="{00000000-0005-0000-0000-0000F28A0000}"/>
    <cellStyle name="Normal 2 2 3 3 2 2 7" xfId="9224" xr:uid="{00000000-0005-0000-0000-0000F38A0000}"/>
    <cellStyle name="Normal 2 2 3 3 2 2 8" xfId="17839" xr:uid="{00000000-0005-0000-0000-0000F48A0000}"/>
    <cellStyle name="Normal 2 2 3 3 2 2_LNG &amp; LPG rework" xfId="7078" xr:uid="{00000000-0005-0000-0000-0000F58A0000}"/>
    <cellStyle name="Normal 2 2 3 3 2 3" xfId="3438" xr:uid="{00000000-0005-0000-0000-0000F68A0000}"/>
    <cellStyle name="Normal 2 2 3 3 2 3 2" xfId="3439" xr:uid="{00000000-0005-0000-0000-0000F78A0000}"/>
    <cellStyle name="Normal 2 2 3 3 2 3 2 2" xfId="12079" xr:uid="{00000000-0005-0000-0000-0000F88A0000}"/>
    <cellStyle name="Normal 2 2 3 3 2 3 2 3" xfId="17846" xr:uid="{00000000-0005-0000-0000-0000F98A0000}"/>
    <cellStyle name="Normal 2 2 3 3 2 3 3" xfId="3440" xr:uid="{00000000-0005-0000-0000-0000FA8A0000}"/>
    <cellStyle name="Normal 2 2 3 3 2 3 3 2" xfId="12080" xr:uid="{00000000-0005-0000-0000-0000FB8A0000}"/>
    <cellStyle name="Normal 2 2 3 3 2 3 3 3" xfId="17847" xr:uid="{00000000-0005-0000-0000-0000FC8A0000}"/>
    <cellStyle name="Normal 2 2 3 3 2 3 4" xfId="3441" xr:uid="{00000000-0005-0000-0000-0000FD8A0000}"/>
    <cellStyle name="Normal 2 2 3 3 2 3 4 2" xfId="12081" xr:uid="{00000000-0005-0000-0000-0000FE8A0000}"/>
    <cellStyle name="Normal 2 2 3 3 2 3 4 3" xfId="17848" xr:uid="{00000000-0005-0000-0000-0000FF8A0000}"/>
    <cellStyle name="Normal 2 2 3 3 2 3 5" xfId="3442" xr:uid="{00000000-0005-0000-0000-0000008B0000}"/>
    <cellStyle name="Normal 2 2 3 3 2 3 5 2" xfId="12082" xr:uid="{00000000-0005-0000-0000-0000018B0000}"/>
    <cellStyle name="Normal 2 2 3 3 2 3 5 3" xfId="17849" xr:uid="{00000000-0005-0000-0000-0000028B0000}"/>
    <cellStyle name="Normal 2 2 3 3 2 3 6" xfId="12078" xr:uid="{00000000-0005-0000-0000-0000038B0000}"/>
    <cellStyle name="Normal 2 2 3 3 2 3 7" xfId="17845" xr:uid="{00000000-0005-0000-0000-0000048B0000}"/>
    <cellStyle name="Normal 2 2 3 3 2 3_LNG &amp; LPG rework" xfId="7079" xr:uid="{00000000-0005-0000-0000-0000058B0000}"/>
    <cellStyle name="Normal 2 2 3 3 2 4" xfId="3443" xr:uid="{00000000-0005-0000-0000-0000068B0000}"/>
    <cellStyle name="Normal 2 2 3 3 2 4 2" xfId="12083" xr:uid="{00000000-0005-0000-0000-0000078B0000}"/>
    <cellStyle name="Normal 2 2 3 3 2 4 3" xfId="17850" xr:uid="{00000000-0005-0000-0000-0000088B0000}"/>
    <cellStyle name="Normal 2 2 3 3 2 5" xfId="3444" xr:uid="{00000000-0005-0000-0000-0000098B0000}"/>
    <cellStyle name="Normal 2 2 3 3 2 5 2" xfId="12084" xr:uid="{00000000-0005-0000-0000-00000A8B0000}"/>
    <cellStyle name="Normal 2 2 3 3 2 5 3" xfId="17851" xr:uid="{00000000-0005-0000-0000-00000B8B0000}"/>
    <cellStyle name="Normal 2 2 3 3 2 6" xfId="3445" xr:uid="{00000000-0005-0000-0000-00000C8B0000}"/>
    <cellStyle name="Normal 2 2 3 3 2 6 2" xfId="12085" xr:uid="{00000000-0005-0000-0000-00000D8B0000}"/>
    <cellStyle name="Normal 2 2 3 3 2 6 3" xfId="17852" xr:uid="{00000000-0005-0000-0000-00000E8B0000}"/>
    <cellStyle name="Normal 2 2 3 3 2 7" xfId="3446" xr:uid="{00000000-0005-0000-0000-00000F8B0000}"/>
    <cellStyle name="Normal 2 2 3 3 2 7 2" xfId="12086" xr:uid="{00000000-0005-0000-0000-0000108B0000}"/>
    <cellStyle name="Normal 2 2 3 3 2 7 3" xfId="17853" xr:uid="{00000000-0005-0000-0000-0000118B0000}"/>
    <cellStyle name="Normal 2 2 3 3 2 8" xfId="3447" xr:uid="{00000000-0005-0000-0000-0000128B0000}"/>
    <cellStyle name="Normal 2 2 3 3 2 8 2" xfId="12087" xr:uid="{00000000-0005-0000-0000-0000138B0000}"/>
    <cellStyle name="Normal 2 2 3 3 2 8 3" xfId="17854" xr:uid="{00000000-0005-0000-0000-0000148B0000}"/>
    <cellStyle name="Normal 2 2 3 3 2 9" xfId="9223" xr:uid="{00000000-0005-0000-0000-0000158B0000}"/>
    <cellStyle name="Normal 2 2 3 3 2_LNG &amp; LPG rework" xfId="7077" xr:uid="{00000000-0005-0000-0000-0000168B0000}"/>
    <cellStyle name="Normal 2 2 3 3 3" xfId="385" xr:uid="{00000000-0005-0000-0000-0000178B0000}"/>
    <cellStyle name="Normal 2 2 3 3 3 2" xfId="3448" xr:uid="{00000000-0005-0000-0000-0000188B0000}"/>
    <cellStyle name="Normal 2 2 3 3 3 2 2" xfId="12088" xr:uid="{00000000-0005-0000-0000-0000198B0000}"/>
    <cellStyle name="Normal 2 2 3 3 3 2 3" xfId="17856" xr:uid="{00000000-0005-0000-0000-00001A8B0000}"/>
    <cellStyle name="Normal 2 2 3 3 3 3" xfId="3449" xr:uid="{00000000-0005-0000-0000-00001B8B0000}"/>
    <cellStyle name="Normal 2 2 3 3 3 3 2" xfId="12089" xr:uid="{00000000-0005-0000-0000-00001C8B0000}"/>
    <cellStyle name="Normal 2 2 3 3 3 3 3" xfId="17857" xr:uid="{00000000-0005-0000-0000-00001D8B0000}"/>
    <cellStyle name="Normal 2 2 3 3 3 4" xfId="3450" xr:uid="{00000000-0005-0000-0000-00001E8B0000}"/>
    <cellStyle name="Normal 2 2 3 3 3 4 2" xfId="12090" xr:uid="{00000000-0005-0000-0000-00001F8B0000}"/>
    <cellStyle name="Normal 2 2 3 3 3 4 3" xfId="17858" xr:uid="{00000000-0005-0000-0000-0000208B0000}"/>
    <cellStyle name="Normal 2 2 3 3 3 5" xfId="3451" xr:uid="{00000000-0005-0000-0000-0000218B0000}"/>
    <cellStyle name="Normal 2 2 3 3 3 5 2" xfId="12091" xr:uid="{00000000-0005-0000-0000-0000228B0000}"/>
    <cellStyle name="Normal 2 2 3 3 3 5 3" xfId="17859" xr:uid="{00000000-0005-0000-0000-0000238B0000}"/>
    <cellStyle name="Normal 2 2 3 3 3 6" xfId="3452" xr:uid="{00000000-0005-0000-0000-0000248B0000}"/>
    <cellStyle name="Normal 2 2 3 3 3 6 2" xfId="12092" xr:uid="{00000000-0005-0000-0000-0000258B0000}"/>
    <cellStyle name="Normal 2 2 3 3 3 6 3" xfId="17860" xr:uid="{00000000-0005-0000-0000-0000268B0000}"/>
    <cellStyle name="Normal 2 2 3 3 3 7" xfId="9225" xr:uid="{00000000-0005-0000-0000-0000278B0000}"/>
    <cellStyle name="Normal 2 2 3 3 3 8" xfId="17855" xr:uid="{00000000-0005-0000-0000-0000288B0000}"/>
    <cellStyle name="Normal 2 2 3 3 3_LNG &amp; LPG rework" xfId="7080" xr:uid="{00000000-0005-0000-0000-0000298B0000}"/>
    <cellStyle name="Normal 2 2 3 3 4" xfId="3453" xr:uid="{00000000-0005-0000-0000-00002A8B0000}"/>
    <cellStyle name="Normal 2 2 3 3 4 2" xfId="3454" xr:uid="{00000000-0005-0000-0000-00002B8B0000}"/>
    <cellStyle name="Normal 2 2 3 3 4 2 2" xfId="12094" xr:uid="{00000000-0005-0000-0000-00002C8B0000}"/>
    <cellStyle name="Normal 2 2 3 3 4 2 3" xfId="17862" xr:uid="{00000000-0005-0000-0000-00002D8B0000}"/>
    <cellStyle name="Normal 2 2 3 3 4 3" xfId="3455" xr:uid="{00000000-0005-0000-0000-00002E8B0000}"/>
    <cellStyle name="Normal 2 2 3 3 4 3 2" xfId="12095" xr:uid="{00000000-0005-0000-0000-00002F8B0000}"/>
    <cellStyle name="Normal 2 2 3 3 4 3 3" xfId="17863" xr:uid="{00000000-0005-0000-0000-0000308B0000}"/>
    <cellStyle name="Normal 2 2 3 3 4 4" xfId="3456" xr:uid="{00000000-0005-0000-0000-0000318B0000}"/>
    <cellStyle name="Normal 2 2 3 3 4 4 2" xfId="12096" xr:uid="{00000000-0005-0000-0000-0000328B0000}"/>
    <cellStyle name="Normal 2 2 3 3 4 4 3" xfId="17864" xr:uid="{00000000-0005-0000-0000-0000338B0000}"/>
    <cellStyle name="Normal 2 2 3 3 4 5" xfId="3457" xr:uid="{00000000-0005-0000-0000-0000348B0000}"/>
    <cellStyle name="Normal 2 2 3 3 4 5 2" xfId="12097" xr:uid="{00000000-0005-0000-0000-0000358B0000}"/>
    <cellStyle name="Normal 2 2 3 3 4 5 3" xfId="17865" xr:uid="{00000000-0005-0000-0000-0000368B0000}"/>
    <cellStyle name="Normal 2 2 3 3 4 6" xfId="12093" xr:uid="{00000000-0005-0000-0000-0000378B0000}"/>
    <cellStyle name="Normal 2 2 3 3 4 7" xfId="17861" xr:uid="{00000000-0005-0000-0000-0000388B0000}"/>
    <cellStyle name="Normal 2 2 3 3 4_LNG &amp; LPG rework" xfId="7081" xr:uid="{00000000-0005-0000-0000-0000398B0000}"/>
    <cellStyle name="Normal 2 2 3 3 5" xfId="3458" xr:uid="{00000000-0005-0000-0000-00003A8B0000}"/>
    <cellStyle name="Normal 2 2 3 3 5 2" xfId="3459" xr:uid="{00000000-0005-0000-0000-00003B8B0000}"/>
    <cellStyle name="Normal 2 2 3 3 5 2 2" xfId="12099" xr:uid="{00000000-0005-0000-0000-00003C8B0000}"/>
    <cellStyle name="Normal 2 2 3 3 5 2 3" xfId="17867" xr:uid="{00000000-0005-0000-0000-00003D8B0000}"/>
    <cellStyle name="Normal 2 2 3 3 5 3" xfId="3460" xr:uid="{00000000-0005-0000-0000-00003E8B0000}"/>
    <cellStyle name="Normal 2 2 3 3 5 3 2" xfId="12100" xr:uid="{00000000-0005-0000-0000-00003F8B0000}"/>
    <cellStyle name="Normal 2 2 3 3 5 3 3" xfId="17868" xr:uid="{00000000-0005-0000-0000-0000408B0000}"/>
    <cellStyle name="Normal 2 2 3 3 5 4" xfId="3461" xr:uid="{00000000-0005-0000-0000-0000418B0000}"/>
    <cellStyle name="Normal 2 2 3 3 5 4 2" xfId="12101" xr:uid="{00000000-0005-0000-0000-0000428B0000}"/>
    <cellStyle name="Normal 2 2 3 3 5 4 3" xfId="17869" xr:uid="{00000000-0005-0000-0000-0000438B0000}"/>
    <cellStyle name="Normal 2 2 3 3 5 5" xfId="3462" xr:uid="{00000000-0005-0000-0000-0000448B0000}"/>
    <cellStyle name="Normal 2 2 3 3 5 5 2" xfId="12102" xr:uid="{00000000-0005-0000-0000-0000458B0000}"/>
    <cellStyle name="Normal 2 2 3 3 5 5 3" xfId="17870" xr:uid="{00000000-0005-0000-0000-0000468B0000}"/>
    <cellStyle name="Normal 2 2 3 3 5 6" xfId="12098" xr:uid="{00000000-0005-0000-0000-0000478B0000}"/>
    <cellStyle name="Normal 2 2 3 3 5 7" xfId="17866" xr:uid="{00000000-0005-0000-0000-0000488B0000}"/>
    <cellStyle name="Normal 2 2 3 3 5_LNG &amp; LPG rework" xfId="7082" xr:uid="{00000000-0005-0000-0000-0000498B0000}"/>
    <cellStyle name="Normal 2 2 3 3 6" xfId="3463" xr:uid="{00000000-0005-0000-0000-00004A8B0000}"/>
    <cellStyle name="Normal 2 2 3 3 6 2" xfId="12103" xr:uid="{00000000-0005-0000-0000-00004B8B0000}"/>
    <cellStyle name="Normal 2 2 3 3 6 3" xfId="17871" xr:uid="{00000000-0005-0000-0000-00004C8B0000}"/>
    <cellStyle name="Normal 2 2 3 3 7" xfId="3464" xr:uid="{00000000-0005-0000-0000-00004D8B0000}"/>
    <cellStyle name="Normal 2 2 3 3 7 2" xfId="12104" xr:uid="{00000000-0005-0000-0000-00004E8B0000}"/>
    <cellStyle name="Normal 2 2 3 3 7 3" xfId="17872" xr:uid="{00000000-0005-0000-0000-00004F8B0000}"/>
    <cellStyle name="Normal 2 2 3 3 8" xfId="3465" xr:uid="{00000000-0005-0000-0000-0000508B0000}"/>
    <cellStyle name="Normal 2 2 3 3 8 2" xfId="12105" xr:uid="{00000000-0005-0000-0000-0000518B0000}"/>
    <cellStyle name="Normal 2 2 3 3 8 3" xfId="17873" xr:uid="{00000000-0005-0000-0000-0000528B0000}"/>
    <cellStyle name="Normal 2 2 3 3 9" xfId="3466" xr:uid="{00000000-0005-0000-0000-0000538B0000}"/>
    <cellStyle name="Normal 2 2 3 3 9 2" xfId="12106" xr:uid="{00000000-0005-0000-0000-0000548B0000}"/>
    <cellStyle name="Normal 2 2 3 3 9 3" xfId="17874" xr:uid="{00000000-0005-0000-0000-0000558B0000}"/>
    <cellStyle name="Normal 2 2 3 3_LNG &amp; LPG rework" xfId="7076" xr:uid="{00000000-0005-0000-0000-0000568B0000}"/>
    <cellStyle name="Normal 2 2 3 4" xfId="386" xr:uid="{00000000-0005-0000-0000-0000578B0000}"/>
    <cellStyle name="Normal 2 2 3 4 10" xfId="17875" xr:uid="{00000000-0005-0000-0000-0000588B0000}"/>
    <cellStyle name="Normal 2 2 3 4 2" xfId="387" xr:uid="{00000000-0005-0000-0000-0000598B0000}"/>
    <cellStyle name="Normal 2 2 3 4 2 2" xfId="3467" xr:uid="{00000000-0005-0000-0000-00005A8B0000}"/>
    <cellStyle name="Normal 2 2 3 4 2 2 2" xfId="12107" xr:uid="{00000000-0005-0000-0000-00005B8B0000}"/>
    <cellStyle name="Normal 2 2 3 4 2 2 3" xfId="17877" xr:uid="{00000000-0005-0000-0000-00005C8B0000}"/>
    <cellStyle name="Normal 2 2 3 4 2 3" xfId="3468" xr:uid="{00000000-0005-0000-0000-00005D8B0000}"/>
    <cellStyle name="Normal 2 2 3 4 2 3 2" xfId="12108" xr:uid="{00000000-0005-0000-0000-00005E8B0000}"/>
    <cellStyle name="Normal 2 2 3 4 2 3 3" xfId="17878" xr:uid="{00000000-0005-0000-0000-00005F8B0000}"/>
    <cellStyle name="Normal 2 2 3 4 2 4" xfId="3469" xr:uid="{00000000-0005-0000-0000-0000608B0000}"/>
    <cellStyle name="Normal 2 2 3 4 2 4 2" xfId="12109" xr:uid="{00000000-0005-0000-0000-0000618B0000}"/>
    <cellStyle name="Normal 2 2 3 4 2 4 3" xfId="17879" xr:uid="{00000000-0005-0000-0000-0000628B0000}"/>
    <cellStyle name="Normal 2 2 3 4 2 5" xfId="3470" xr:uid="{00000000-0005-0000-0000-0000638B0000}"/>
    <cellStyle name="Normal 2 2 3 4 2 5 2" xfId="12110" xr:uid="{00000000-0005-0000-0000-0000648B0000}"/>
    <cellStyle name="Normal 2 2 3 4 2 5 3" xfId="17880" xr:uid="{00000000-0005-0000-0000-0000658B0000}"/>
    <cellStyle name="Normal 2 2 3 4 2 6" xfId="3471" xr:uid="{00000000-0005-0000-0000-0000668B0000}"/>
    <cellStyle name="Normal 2 2 3 4 2 6 2" xfId="12111" xr:uid="{00000000-0005-0000-0000-0000678B0000}"/>
    <cellStyle name="Normal 2 2 3 4 2 6 3" xfId="17881" xr:uid="{00000000-0005-0000-0000-0000688B0000}"/>
    <cellStyle name="Normal 2 2 3 4 2 7" xfId="9227" xr:uid="{00000000-0005-0000-0000-0000698B0000}"/>
    <cellStyle name="Normal 2 2 3 4 2 8" xfId="17876" xr:uid="{00000000-0005-0000-0000-00006A8B0000}"/>
    <cellStyle name="Normal 2 2 3 4 2_LNG &amp; LPG rework" xfId="7084" xr:uid="{00000000-0005-0000-0000-00006B8B0000}"/>
    <cellStyle name="Normal 2 2 3 4 3" xfId="3472" xr:uid="{00000000-0005-0000-0000-00006C8B0000}"/>
    <cellStyle name="Normal 2 2 3 4 3 2" xfId="3473" xr:uid="{00000000-0005-0000-0000-00006D8B0000}"/>
    <cellStyle name="Normal 2 2 3 4 3 2 2" xfId="12113" xr:uid="{00000000-0005-0000-0000-00006E8B0000}"/>
    <cellStyle name="Normal 2 2 3 4 3 2 3" xfId="17883" xr:uid="{00000000-0005-0000-0000-00006F8B0000}"/>
    <cellStyle name="Normal 2 2 3 4 3 3" xfId="3474" xr:uid="{00000000-0005-0000-0000-0000708B0000}"/>
    <cellStyle name="Normal 2 2 3 4 3 3 2" xfId="12114" xr:uid="{00000000-0005-0000-0000-0000718B0000}"/>
    <cellStyle name="Normal 2 2 3 4 3 3 3" xfId="17884" xr:uid="{00000000-0005-0000-0000-0000728B0000}"/>
    <cellStyle name="Normal 2 2 3 4 3 4" xfId="3475" xr:uid="{00000000-0005-0000-0000-0000738B0000}"/>
    <cellStyle name="Normal 2 2 3 4 3 4 2" xfId="12115" xr:uid="{00000000-0005-0000-0000-0000748B0000}"/>
    <cellStyle name="Normal 2 2 3 4 3 4 3" xfId="17885" xr:uid="{00000000-0005-0000-0000-0000758B0000}"/>
    <cellStyle name="Normal 2 2 3 4 3 5" xfId="3476" xr:uid="{00000000-0005-0000-0000-0000768B0000}"/>
    <cellStyle name="Normal 2 2 3 4 3 5 2" xfId="12116" xr:uid="{00000000-0005-0000-0000-0000778B0000}"/>
    <cellStyle name="Normal 2 2 3 4 3 5 3" xfId="17886" xr:uid="{00000000-0005-0000-0000-0000788B0000}"/>
    <cellStyle name="Normal 2 2 3 4 3 6" xfId="12112" xr:uid="{00000000-0005-0000-0000-0000798B0000}"/>
    <cellStyle name="Normal 2 2 3 4 3 7" xfId="17882" xr:uid="{00000000-0005-0000-0000-00007A8B0000}"/>
    <cellStyle name="Normal 2 2 3 4 3_LNG &amp; LPG rework" xfId="7085" xr:uid="{00000000-0005-0000-0000-00007B8B0000}"/>
    <cellStyle name="Normal 2 2 3 4 4" xfId="3477" xr:uid="{00000000-0005-0000-0000-00007C8B0000}"/>
    <cellStyle name="Normal 2 2 3 4 4 2" xfId="12117" xr:uid="{00000000-0005-0000-0000-00007D8B0000}"/>
    <cellStyle name="Normal 2 2 3 4 4 3" xfId="17887" xr:uid="{00000000-0005-0000-0000-00007E8B0000}"/>
    <cellStyle name="Normal 2 2 3 4 5" xfId="3478" xr:uid="{00000000-0005-0000-0000-00007F8B0000}"/>
    <cellStyle name="Normal 2 2 3 4 5 2" xfId="12118" xr:uid="{00000000-0005-0000-0000-0000808B0000}"/>
    <cellStyle name="Normal 2 2 3 4 5 3" xfId="17888" xr:uid="{00000000-0005-0000-0000-0000818B0000}"/>
    <cellStyle name="Normal 2 2 3 4 6" xfId="3479" xr:uid="{00000000-0005-0000-0000-0000828B0000}"/>
    <cellStyle name="Normal 2 2 3 4 6 2" xfId="12119" xr:uid="{00000000-0005-0000-0000-0000838B0000}"/>
    <cellStyle name="Normal 2 2 3 4 6 3" xfId="17889" xr:uid="{00000000-0005-0000-0000-0000848B0000}"/>
    <cellStyle name="Normal 2 2 3 4 7" xfId="3480" xr:uid="{00000000-0005-0000-0000-0000858B0000}"/>
    <cellStyle name="Normal 2 2 3 4 7 2" xfId="12120" xr:uid="{00000000-0005-0000-0000-0000868B0000}"/>
    <cellStyle name="Normal 2 2 3 4 7 3" xfId="17890" xr:uid="{00000000-0005-0000-0000-0000878B0000}"/>
    <cellStyle name="Normal 2 2 3 4 8" xfId="3481" xr:uid="{00000000-0005-0000-0000-0000888B0000}"/>
    <cellStyle name="Normal 2 2 3 4 8 2" xfId="12121" xr:uid="{00000000-0005-0000-0000-0000898B0000}"/>
    <cellStyle name="Normal 2 2 3 4 8 3" xfId="17891" xr:uid="{00000000-0005-0000-0000-00008A8B0000}"/>
    <cellStyle name="Normal 2 2 3 4 9" xfId="9226" xr:uid="{00000000-0005-0000-0000-00008B8B0000}"/>
    <cellStyle name="Normal 2 2 3 4_LNG &amp; LPG rework" xfId="7083" xr:uid="{00000000-0005-0000-0000-00008C8B0000}"/>
    <cellStyle name="Normal 2 2 3 5" xfId="388" xr:uid="{00000000-0005-0000-0000-00008D8B0000}"/>
    <cellStyle name="Normal 2 2 3 5 2" xfId="3482" xr:uid="{00000000-0005-0000-0000-00008E8B0000}"/>
    <cellStyle name="Normal 2 2 3 5 2 2" xfId="12122" xr:uid="{00000000-0005-0000-0000-00008F8B0000}"/>
    <cellStyle name="Normal 2 2 3 5 2 3" xfId="17893" xr:uid="{00000000-0005-0000-0000-0000908B0000}"/>
    <cellStyle name="Normal 2 2 3 5 3" xfId="3483" xr:uid="{00000000-0005-0000-0000-0000918B0000}"/>
    <cellStyle name="Normal 2 2 3 5 3 2" xfId="12123" xr:uid="{00000000-0005-0000-0000-0000928B0000}"/>
    <cellStyle name="Normal 2 2 3 5 3 3" xfId="17894" xr:uid="{00000000-0005-0000-0000-0000938B0000}"/>
    <cellStyle name="Normal 2 2 3 5 4" xfId="3484" xr:uid="{00000000-0005-0000-0000-0000948B0000}"/>
    <cellStyle name="Normal 2 2 3 5 4 2" xfId="12124" xr:uid="{00000000-0005-0000-0000-0000958B0000}"/>
    <cellStyle name="Normal 2 2 3 5 4 3" xfId="17895" xr:uid="{00000000-0005-0000-0000-0000968B0000}"/>
    <cellStyle name="Normal 2 2 3 5 5" xfId="3485" xr:uid="{00000000-0005-0000-0000-0000978B0000}"/>
    <cellStyle name="Normal 2 2 3 5 5 2" xfId="12125" xr:uid="{00000000-0005-0000-0000-0000988B0000}"/>
    <cellStyle name="Normal 2 2 3 5 5 3" xfId="17896" xr:uid="{00000000-0005-0000-0000-0000998B0000}"/>
    <cellStyle name="Normal 2 2 3 5 6" xfId="3486" xr:uid="{00000000-0005-0000-0000-00009A8B0000}"/>
    <cellStyle name="Normal 2 2 3 5 6 2" xfId="12126" xr:uid="{00000000-0005-0000-0000-00009B8B0000}"/>
    <cellStyle name="Normal 2 2 3 5 6 3" xfId="17897" xr:uid="{00000000-0005-0000-0000-00009C8B0000}"/>
    <cellStyle name="Normal 2 2 3 5 7" xfId="9228" xr:uid="{00000000-0005-0000-0000-00009D8B0000}"/>
    <cellStyle name="Normal 2 2 3 5 8" xfId="17892" xr:uid="{00000000-0005-0000-0000-00009E8B0000}"/>
    <cellStyle name="Normal 2 2 3 5_LNG &amp; LPG rework" xfId="7086" xr:uid="{00000000-0005-0000-0000-00009F8B0000}"/>
    <cellStyle name="Normal 2 2 3 6" xfId="3487" xr:uid="{00000000-0005-0000-0000-0000A08B0000}"/>
    <cellStyle name="Normal 2 2 3 6 2" xfId="3488" xr:uid="{00000000-0005-0000-0000-0000A18B0000}"/>
    <cellStyle name="Normal 2 2 3 6 2 2" xfId="12128" xr:uid="{00000000-0005-0000-0000-0000A28B0000}"/>
    <cellStyle name="Normal 2 2 3 6 2 3" xfId="17899" xr:uid="{00000000-0005-0000-0000-0000A38B0000}"/>
    <cellStyle name="Normal 2 2 3 6 3" xfId="3489" xr:uid="{00000000-0005-0000-0000-0000A48B0000}"/>
    <cellStyle name="Normal 2 2 3 6 3 2" xfId="12129" xr:uid="{00000000-0005-0000-0000-0000A58B0000}"/>
    <cellStyle name="Normal 2 2 3 6 3 3" xfId="17900" xr:uid="{00000000-0005-0000-0000-0000A68B0000}"/>
    <cellStyle name="Normal 2 2 3 6 4" xfId="3490" xr:uid="{00000000-0005-0000-0000-0000A78B0000}"/>
    <cellStyle name="Normal 2 2 3 6 4 2" xfId="12130" xr:uid="{00000000-0005-0000-0000-0000A88B0000}"/>
    <cellStyle name="Normal 2 2 3 6 4 3" xfId="17901" xr:uid="{00000000-0005-0000-0000-0000A98B0000}"/>
    <cellStyle name="Normal 2 2 3 6 5" xfId="3491" xr:uid="{00000000-0005-0000-0000-0000AA8B0000}"/>
    <cellStyle name="Normal 2 2 3 6 5 2" xfId="12131" xr:uid="{00000000-0005-0000-0000-0000AB8B0000}"/>
    <cellStyle name="Normal 2 2 3 6 5 3" xfId="17902" xr:uid="{00000000-0005-0000-0000-0000AC8B0000}"/>
    <cellStyle name="Normal 2 2 3 6 6" xfId="12127" xr:uid="{00000000-0005-0000-0000-0000AD8B0000}"/>
    <cellStyle name="Normal 2 2 3 6 7" xfId="17898" xr:uid="{00000000-0005-0000-0000-0000AE8B0000}"/>
    <cellStyle name="Normal 2 2 3 6_LNG &amp; LPG rework" xfId="7087" xr:uid="{00000000-0005-0000-0000-0000AF8B0000}"/>
    <cellStyle name="Normal 2 2 3 7" xfId="3492" xr:uid="{00000000-0005-0000-0000-0000B08B0000}"/>
    <cellStyle name="Normal 2 2 3 7 2" xfId="3493" xr:uid="{00000000-0005-0000-0000-0000B18B0000}"/>
    <cellStyle name="Normal 2 2 3 7 2 2" xfId="12133" xr:uid="{00000000-0005-0000-0000-0000B28B0000}"/>
    <cellStyle name="Normal 2 2 3 7 2 3" xfId="17904" xr:uid="{00000000-0005-0000-0000-0000B38B0000}"/>
    <cellStyle name="Normal 2 2 3 7 3" xfId="3494" xr:uid="{00000000-0005-0000-0000-0000B48B0000}"/>
    <cellStyle name="Normal 2 2 3 7 3 2" xfId="12134" xr:uid="{00000000-0005-0000-0000-0000B58B0000}"/>
    <cellStyle name="Normal 2 2 3 7 3 3" xfId="17905" xr:uid="{00000000-0005-0000-0000-0000B68B0000}"/>
    <cellStyle name="Normal 2 2 3 7 4" xfId="3495" xr:uid="{00000000-0005-0000-0000-0000B78B0000}"/>
    <cellStyle name="Normal 2 2 3 7 4 2" xfId="12135" xr:uid="{00000000-0005-0000-0000-0000B88B0000}"/>
    <cellStyle name="Normal 2 2 3 7 4 3" xfId="17906" xr:uid="{00000000-0005-0000-0000-0000B98B0000}"/>
    <cellStyle name="Normal 2 2 3 7 5" xfId="3496" xr:uid="{00000000-0005-0000-0000-0000BA8B0000}"/>
    <cellStyle name="Normal 2 2 3 7 5 2" xfId="12136" xr:uid="{00000000-0005-0000-0000-0000BB8B0000}"/>
    <cellStyle name="Normal 2 2 3 7 5 3" xfId="17907" xr:uid="{00000000-0005-0000-0000-0000BC8B0000}"/>
    <cellStyle name="Normal 2 2 3 7 6" xfId="12132" xr:uid="{00000000-0005-0000-0000-0000BD8B0000}"/>
    <cellStyle name="Normal 2 2 3 7 7" xfId="17903" xr:uid="{00000000-0005-0000-0000-0000BE8B0000}"/>
    <cellStyle name="Normal 2 2 3 7_LNG &amp; LPG rework" xfId="7088" xr:uid="{00000000-0005-0000-0000-0000BF8B0000}"/>
    <cellStyle name="Normal 2 2 3 8" xfId="3497" xr:uid="{00000000-0005-0000-0000-0000C08B0000}"/>
    <cellStyle name="Normal 2 2 3 8 2" xfId="12137" xr:uid="{00000000-0005-0000-0000-0000C18B0000}"/>
    <cellStyle name="Normal 2 2 3 8 3" xfId="17908" xr:uid="{00000000-0005-0000-0000-0000C28B0000}"/>
    <cellStyle name="Normal 2 2 3 9" xfId="3498" xr:uid="{00000000-0005-0000-0000-0000C38B0000}"/>
    <cellStyle name="Normal 2 2 3 9 2" xfId="12138" xr:uid="{00000000-0005-0000-0000-0000C48B0000}"/>
    <cellStyle name="Normal 2 2 3 9 3" xfId="17909" xr:uid="{00000000-0005-0000-0000-0000C58B0000}"/>
    <cellStyle name="Normal 2 2 3_LNG &amp; LPG rework" xfId="7061" xr:uid="{00000000-0005-0000-0000-0000C68B0000}"/>
    <cellStyle name="Normal 2 2 4" xfId="389" xr:uid="{00000000-0005-0000-0000-0000C78B0000}"/>
    <cellStyle name="Normal 2 2 4 10" xfId="3499" xr:uid="{00000000-0005-0000-0000-0000C88B0000}"/>
    <cellStyle name="Normal 2 2 4 10 2" xfId="12139" xr:uid="{00000000-0005-0000-0000-0000C98B0000}"/>
    <cellStyle name="Normal 2 2 4 10 3" xfId="17911" xr:uid="{00000000-0005-0000-0000-0000CA8B0000}"/>
    <cellStyle name="Normal 2 2 4 11" xfId="3500" xr:uid="{00000000-0005-0000-0000-0000CB8B0000}"/>
    <cellStyle name="Normal 2 2 4 11 2" xfId="12140" xr:uid="{00000000-0005-0000-0000-0000CC8B0000}"/>
    <cellStyle name="Normal 2 2 4 11 3" xfId="17912" xr:uid="{00000000-0005-0000-0000-0000CD8B0000}"/>
    <cellStyle name="Normal 2 2 4 12" xfId="9229" xr:uid="{00000000-0005-0000-0000-0000CE8B0000}"/>
    <cellStyle name="Normal 2 2 4 13" xfId="17910" xr:uid="{00000000-0005-0000-0000-0000CF8B0000}"/>
    <cellStyle name="Normal 2 2 4 2" xfId="390" xr:uid="{00000000-0005-0000-0000-0000D08B0000}"/>
    <cellStyle name="Normal 2 2 4 2 10" xfId="3501" xr:uid="{00000000-0005-0000-0000-0000D18B0000}"/>
    <cellStyle name="Normal 2 2 4 2 10 2" xfId="12141" xr:uid="{00000000-0005-0000-0000-0000D28B0000}"/>
    <cellStyle name="Normal 2 2 4 2 10 3" xfId="17914" xr:uid="{00000000-0005-0000-0000-0000D38B0000}"/>
    <cellStyle name="Normal 2 2 4 2 11" xfId="9230" xr:uid="{00000000-0005-0000-0000-0000D48B0000}"/>
    <cellStyle name="Normal 2 2 4 2 12" xfId="17913" xr:uid="{00000000-0005-0000-0000-0000D58B0000}"/>
    <cellStyle name="Normal 2 2 4 2 2" xfId="391" xr:uid="{00000000-0005-0000-0000-0000D68B0000}"/>
    <cellStyle name="Normal 2 2 4 2 2 10" xfId="17915" xr:uid="{00000000-0005-0000-0000-0000D78B0000}"/>
    <cellStyle name="Normal 2 2 4 2 2 2" xfId="392" xr:uid="{00000000-0005-0000-0000-0000D88B0000}"/>
    <cellStyle name="Normal 2 2 4 2 2 2 2" xfId="3502" xr:uid="{00000000-0005-0000-0000-0000D98B0000}"/>
    <cellStyle name="Normal 2 2 4 2 2 2 2 2" xfId="12142" xr:uid="{00000000-0005-0000-0000-0000DA8B0000}"/>
    <cellStyle name="Normal 2 2 4 2 2 2 2 3" xfId="17917" xr:uid="{00000000-0005-0000-0000-0000DB8B0000}"/>
    <cellStyle name="Normal 2 2 4 2 2 2 3" xfId="3503" xr:uid="{00000000-0005-0000-0000-0000DC8B0000}"/>
    <cellStyle name="Normal 2 2 4 2 2 2 3 2" xfId="12143" xr:uid="{00000000-0005-0000-0000-0000DD8B0000}"/>
    <cellStyle name="Normal 2 2 4 2 2 2 3 3" xfId="17918" xr:uid="{00000000-0005-0000-0000-0000DE8B0000}"/>
    <cellStyle name="Normal 2 2 4 2 2 2 4" xfId="3504" xr:uid="{00000000-0005-0000-0000-0000DF8B0000}"/>
    <cellStyle name="Normal 2 2 4 2 2 2 4 2" xfId="12144" xr:uid="{00000000-0005-0000-0000-0000E08B0000}"/>
    <cellStyle name="Normal 2 2 4 2 2 2 4 3" xfId="17919" xr:uid="{00000000-0005-0000-0000-0000E18B0000}"/>
    <cellStyle name="Normal 2 2 4 2 2 2 5" xfId="3505" xr:uid="{00000000-0005-0000-0000-0000E28B0000}"/>
    <cellStyle name="Normal 2 2 4 2 2 2 5 2" xfId="12145" xr:uid="{00000000-0005-0000-0000-0000E38B0000}"/>
    <cellStyle name="Normal 2 2 4 2 2 2 5 3" xfId="17920" xr:uid="{00000000-0005-0000-0000-0000E48B0000}"/>
    <cellStyle name="Normal 2 2 4 2 2 2 6" xfId="3506" xr:uid="{00000000-0005-0000-0000-0000E58B0000}"/>
    <cellStyle name="Normal 2 2 4 2 2 2 6 2" xfId="12146" xr:uid="{00000000-0005-0000-0000-0000E68B0000}"/>
    <cellStyle name="Normal 2 2 4 2 2 2 6 3" xfId="17921" xr:uid="{00000000-0005-0000-0000-0000E78B0000}"/>
    <cellStyle name="Normal 2 2 4 2 2 2 7" xfId="9232" xr:uid="{00000000-0005-0000-0000-0000E88B0000}"/>
    <cellStyle name="Normal 2 2 4 2 2 2 8" xfId="17916" xr:uid="{00000000-0005-0000-0000-0000E98B0000}"/>
    <cellStyle name="Normal 2 2 4 2 2 2_LNG &amp; LPG rework" xfId="7092" xr:uid="{00000000-0005-0000-0000-0000EA8B0000}"/>
    <cellStyle name="Normal 2 2 4 2 2 3" xfId="3507" xr:uid="{00000000-0005-0000-0000-0000EB8B0000}"/>
    <cellStyle name="Normal 2 2 4 2 2 3 2" xfId="3508" xr:uid="{00000000-0005-0000-0000-0000EC8B0000}"/>
    <cellStyle name="Normal 2 2 4 2 2 3 2 2" xfId="12148" xr:uid="{00000000-0005-0000-0000-0000ED8B0000}"/>
    <cellStyle name="Normal 2 2 4 2 2 3 2 3" xfId="17923" xr:uid="{00000000-0005-0000-0000-0000EE8B0000}"/>
    <cellStyle name="Normal 2 2 4 2 2 3 3" xfId="3509" xr:uid="{00000000-0005-0000-0000-0000EF8B0000}"/>
    <cellStyle name="Normal 2 2 4 2 2 3 3 2" xfId="12149" xr:uid="{00000000-0005-0000-0000-0000F08B0000}"/>
    <cellStyle name="Normal 2 2 4 2 2 3 3 3" xfId="17924" xr:uid="{00000000-0005-0000-0000-0000F18B0000}"/>
    <cellStyle name="Normal 2 2 4 2 2 3 4" xfId="3510" xr:uid="{00000000-0005-0000-0000-0000F28B0000}"/>
    <cellStyle name="Normal 2 2 4 2 2 3 4 2" xfId="12150" xr:uid="{00000000-0005-0000-0000-0000F38B0000}"/>
    <cellStyle name="Normal 2 2 4 2 2 3 4 3" xfId="17925" xr:uid="{00000000-0005-0000-0000-0000F48B0000}"/>
    <cellStyle name="Normal 2 2 4 2 2 3 5" xfId="3511" xr:uid="{00000000-0005-0000-0000-0000F58B0000}"/>
    <cellStyle name="Normal 2 2 4 2 2 3 5 2" xfId="12151" xr:uid="{00000000-0005-0000-0000-0000F68B0000}"/>
    <cellStyle name="Normal 2 2 4 2 2 3 5 3" xfId="17926" xr:uid="{00000000-0005-0000-0000-0000F78B0000}"/>
    <cellStyle name="Normal 2 2 4 2 2 3 6" xfId="12147" xr:uid="{00000000-0005-0000-0000-0000F88B0000}"/>
    <cellStyle name="Normal 2 2 4 2 2 3 7" xfId="17922" xr:uid="{00000000-0005-0000-0000-0000F98B0000}"/>
    <cellStyle name="Normal 2 2 4 2 2 3_LNG &amp; LPG rework" xfId="7093" xr:uid="{00000000-0005-0000-0000-0000FA8B0000}"/>
    <cellStyle name="Normal 2 2 4 2 2 4" xfId="3512" xr:uid="{00000000-0005-0000-0000-0000FB8B0000}"/>
    <cellStyle name="Normal 2 2 4 2 2 4 2" xfId="12152" xr:uid="{00000000-0005-0000-0000-0000FC8B0000}"/>
    <cellStyle name="Normal 2 2 4 2 2 4 3" xfId="17927" xr:uid="{00000000-0005-0000-0000-0000FD8B0000}"/>
    <cellStyle name="Normal 2 2 4 2 2 5" xfId="3513" xr:uid="{00000000-0005-0000-0000-0000FE8B0000}"/>
    <cellStyle name="Normal 2 2 4 2 2 5 2" xfId="12153" xr:uid="{00000000-0005-0000-0000-0000FF8B0000}"/>
    <cellStyle name="Normal 2 2 4 2 2 5 3" xfId="17928" xr:uid="{00000000-0005-0000-0000-0000008C0000}"/>
    <cellStyle name="Normal 2 2 4 2 2 6" xfId="3514" xr:uid="{00000000-0005-0000-0000-0000018C0000}"/>
    <cellStyle name="Normal 2 2 4 2 2 6 2" xfId="12154" xr:uid="{00000000-0005-0000-0000-0000028C0000}"/>
    <cellStyle name="Normal 2 2 4 2 2 6 3" xfId="17929" xr:uid="{00000000-0005-0000-0000-0000038C0000}"/>
    <cellStyle name="Normal 2 2 4 2 2 7" xfId="3515" xr:uid="{00000000-0005-0000-0000-0000048C0000}"/>
    <cellStyle name="Normal 2 2 4 2 2 7 2" xfId="12155" xr:uid="{00000000-0005-0000-0000-0000058C0000}"/>
    <cellStyle name="Normal 2 2 4 2 2 7 3" xfId="17930" xr:uid="{00000000-0005-0000-0000-0000068C0000}"/>
    <cellStyle name="Normal 2 2 4 2 2 8" xfId="3516" xr:uid="{00000000-0005-0000-0000-0000078C0000}"/>
    <cellStyle name="Normal 2 2 4 2 2 8 2" xfId="12156" xr:uid="{00000000-0005-0000-0000-0000088C0000}"/>
    <cellStyle name="Normal 2 2 4 2 2 8 3" xfId="17931" xr:uid="{00000000-0005-0000-0000-0000098C0000}"/>
    <cellStyle name="Normal 2 2 4 2 2 9" xfId="9231" xr:uid="{00000000-0005-0000-0000-00000A8C0000}"/>
    <cellStyle name="Normal 2 2 4 2 2_LNG &amp; LPG rework" xfId="7091" xr:uid="{00000000-0005-0000-0000-00000B8C0000}"/>
    <cellStyle name="Normal 2 2 4 2 3" xfId="393" xr:uid="{00000000-0005-0000-0000-00000C8C0000}"/>
    <cellStyle name="Normal 2 2 4 2 3 2" xfId="3517" xr:uid="{00000000-0005-0000-0000-00000D8C0000}"/>
    <cellStyle name="Normal 2 2 4 2 3 2 2" xfId="12157" xr:uid="{00000000-0005-0000-0000-00000E8C0000}"/>
    <cellStyle name="Normal 2 2 4 2 3 2 3" xfId="17933" xr:uid="{00000000-0005-0000-0000-00000F8C0000}"/>
    <cellStyle name="Normal 2 2 4 2 3 3" xfId="3518" xr:uid="{00000000-0005-0000-0000-0000108C0000}"/>
    <cellStyle name="Normal 2 2 4 2 3 3 2" xfId="12158" xr:uid="{00000000-0005-0000-0000-0000118C0000}"/>
    <cellStyle name="Normal 2 2 4 2 3 3 3" xfId="17934" xr:uid="{00000000-0005-0000-0000-0000128C0000}"/>
    <cellStyle name="Normal 2 2 4 2 3 4" xfId="3519" xr:uid="{00000000-0005-0000-0000-0000138C0000}"/>
    <cellStyle name="Normal 2 2 4 2 3 4 2" xfId="12159" xr:uid="{00000000-0005-0000-0000-0000148C0000}"/>
    <cellStyle name="Normal 2 2 4 2 3 4 3" xfId="17935" xr:uid="{00000000-0005-0000-0000-0000158C0000}"/>
    <cellStyle name="Normal 2 2 4 2 3 5" xfId="3520" xr:uid="{00000000-0005-0000-0000-0000168C0000}"/>
    <cellStyle name="Normal 2 2 4 2 3 5 2" xfId="12160" xr:uid="{00000000-0005-0000-0000-0000178C0000}"/>
    <cellStyle name="Normal 2 2 4 2 3 5 3" xfId="17936" xr:uid="{00000000-0005-0000-0000-0000188C0000}"/>
    <cellStyle name="Normal 2 2 4 2 3 6" xfId="3521" xr:uid="{00000000-0005-0000-0000-0000198C0000}"/>
    <cellStyle name="Normal 2 2 4 2 3 6 2" xfId="12161" xr:uid="{00000000-0005-0000-0000-00001A8C0000}"/>
    <cellStyle name="Normal 2 2 4 2 3 6 3" xfId="17937" xr:uid="{00000000-0005-0000-0000-00001B8C0000}"/>
    <cellStyle name="Normal 2 2 4 2 3 7" xfId="9233" xr:uid="{00000000-0005-0000-0000-00001C8C0000}"/>
    <cellStyle name="Normal 2 2 4 2 3 8" xfId="17932" xr:uid="{00000000-0005-0000-0000-00001D8C0000}"/>
    <cellStyle name="Normal 2 2 4 2 3_LNG &amp; LPG rework" xfId="7094" xr:uid="{00000000-0005-0000-0000-00001E8C0000}"/>
    <cellStyle name="Normal 2 2 4 2 4" xfId="3522" xr:uid="{00000000-0005-0000-0000-00001F8C0000}"/>
    <cellStyle name="Normal 2 2 4 2 4 2" xfId="3523" xr:uid="{00000000-0005-0000-0000-0000208C0000}"/>
    <cellStyle name="Normal 2 2 4 2 4 2 2" xfId="12163" xr:uid="{00000000-0005-0000-0000-0000218C0000}"/>
    <cellStyle name="Normal 2 2 4 2 4 2 3" xfId="17939" xr:uid="{00000000-0005-0000-0000-0000228C0000}"/>
    <cellStyle name="Normal 2 2 4 2 4 3" xfId="3524" xr:uid="{00000000-0005-0000-0000-0000238C0000}"/>
    <cellStyle name="Normal 2 2 4 2 4 3 2" xfId="12164" xr:uid="{00000000-0005-0000-0000-0000248C0000}"/>
    <cellStyle name="Normal 2 2 4 2 4 3 3" xfId="17940" xr:uid="{00000000-0005-0000-0000-0000258C0000}"/>
    <cellStyle name="Normal 2 2 4 2 4 4" xfId="3525" xr:uid="{00000000-0005-0000-0000-0000268C0000}"/>
    <cellStyle name="Normal 2 2 4 2 4 4 2" xfId="12165" xr:uid="{00000000-0005-0000-0000-0000278C0000}"/>
    <cellStyle name="Normal 2 2 4 2 4 4 3" xfId="17941" xr:uid="{00000000-0005-0000-0000-0000288C0000}"/>
    <cellStyle name="Normal 2 2 4 2 4 5" xfId="3526" xr:uid="{00000000-0005-0000-0000-0000298C0000}"/>
    <cellStyle name="Normal 2 2 4 2 4 5 2" xfId="12166" xr:uid="{00000000-0005-0000-0000-00002A8C0000}"/>
    <cellStyle name="Normal 2 2 4 2 4 5 3" xfId="17942" xr:uid="{00000000-0005-0000-0000-00002B8C0000}"/>
    <cellStyle name="Normal 2 2 4 2 4 6" xfId="12162" xr:uid="{00000000-0005-0000-0000-00002C8C0000}"/>
    <cellStyle name="Normal 2 2 4 2 4 7" xfId="17938" xr:uid="{00000000-0005-0000-0000-00002D8C0000}"/>
    <cellStyle name="Normal 2 2 4 2 4_LNG &amp; LPG rework" xfId="7095" xr:uid="{00000000-0005-0000-0000-00002E8C0000}"/>
    <cellStyle name="Normal 2 2 4 2 5" xfId="3527" xr:uid="{00000000-0005-0000-0000-00002F8C0000}"/>
    <cellStyle name="Normal 2 2 4 2 5 2" xfId="3528" xr:uid="{00000000-0005-0000-0000-0000308C0000}"/>
    <cellStyle name="Normal 2 2 4 2 5 2 2" xfId="12168" xr:uid="{00000000-0005-0000-0000-0000318C0000}"/>
    <cellStyle name="Normal 2 2 4 2 5 2 3" xfId="17944" xr:uid="{00000000-0005-0000-0000-0000328C0000}"/>
    <cellStyle name="Normal 2 2 4 2 5 3" xfId="3529" xr:uid="{00000000-0005-0000-0000-0000338C0000}"/>
    <cellStyle name="Normal 2 2 4 2 5 3 2" xfId="12169" xr:uid="{00000000-0005-0000-0000-0000348C0000}"/>
    <cellStyle name="Normal 2 2 4 2 5 3 3" xfId="17945" xr:uid="{00000000-0005-0000-0000-0000358C0000}"/>
    <cellStyle name="Normal 2 2 4 2 5 4" xfId="3530" xr:uid="{00000000-0005-0000-0000-0000368C0000}"/>
    <cellStyle name="Normal 2 2 4 2 5 4 2" xfId="12170" xr:uid="{00000000-0005-0000-0000-0000378C0000}"/>
    <cellStyle name="Normal 2 2 4 2 5 4 3" xfId="17946" xr:uid="{00000000-0005-0000-0000-0000388C0000}"/>
    <cellStyle name="Normal 2 2 4 2 5 5" xfId="3531" xr:uid="{00000000-0005-0000-0000-0000398C0000}"/>
    <cellStyle name="Normal 2 2 4 2 5 5 2" xfId="12171" xr:uid="{00000000-0005-0000-0000-00003A8C0000}"/>
    <cellStyle name="Normal 2 2 4 2 5 5 3" xfId="17947" xr:uid="{00000000-0005-0000-0000-00003B8C0000}"/>
    <cellStyle name="Normal 2 2 4 2 5 6" xfId="12167" xr:uid="{00000000-0005-0000-0000-00003C8C0000}"/>
    <cellStyle name="Normal 2 2 4 2 5 7" xfId="17943" xr:uid="{00000000-0005-0000-0000-00003D8C0000}"/>
    <cellStyle name="Normal 2 2 4 2 5_LNG &amp; LPG rework" xfId="7096" xr:uid="{00000000-0005-0000-0000-00003E8C0000}"/>
    <cellStyle name="Normal 2 2 4 2 6" xfId="3532" xr:uid="{00000000-0005-0000-0000-00003F8C0000}"/>
    <cellStyle name="Normal 2 2 4 2 6 2" xfId="12172" xr:uid="{00000000-0005-0000-0000-0000408C0000}"/>
    <cellStyle name="Normal 2 2 4 2 6 3" xfId="17948" xr:uid="{00000000-0005-0000-0000-0000418C0000}"/>
    <cellStyle name="Normal 2 2 4 2 7" xfId="3533" xr:uid="{00000000-0005-0000-0000-0000428C0000}"/>
    <cellStyle name="Normal 2 2 4 2 7 2" xfId="12173" xr:uid="{00000000-0005-0000-0000-0000438C0000}"/>
    <cellStyle name="Normal 2 2 4 2 7 3" xfId="17949" xr:uid="{00000000-0005-0000-0000-0000448C0000}"/>
    <cellStyle name="Normal 2 2 4 2 8" xfId="3534" xr:uid="{00000000-0005-0000-0000-0000458C0000}"/>
    <cellStyle name="Normal 2 2 4 2 8 2" xfId="12174" xr:uid="{00000000-0005-0000-0000-0000468C0000}"/>
    <cellStyle name="Normal 2 2 4 2 8 3" xfId="17950" xr:uid="{00000000-0005-0000-0000-0000478C0000}"/>
    <cellStyle name="Normal 2 2 4 2 9" xfId="3535" xr:uid="{00000000-0005-0000-0000-0000488C0000}"/>
    <cellStyle name="Normal 2 2 4 2 9 2" xfId="12175" xr:uid="{00000000-0005-0000-0000-0000498C0000}"/>
    <cellStyle name="Normal 2 2 4 2 9 3" xfId="17951" xr:uid="{00000000-0005-0000-0000-00004A8C0000}"/>
    <cellStyle name="Normal 2 2 4 2_LNG &amp; LPG rework" xfId="7090" xr:uid="{00000000-0005-0000-0000-00004B8C0000}"/>
    <cellStyle name="Normal 2 2 4 3" xfId="394" xr:uid="{00000000-0005-0000-0000-00004C8C0000}"/>
    <cellStyle name="Normal 2 2 4 3 10" xfId="17952" xr:uid="{00000000-0005-0000-0000-00004D8C0000}"/>
    <cellStyle name="Normal 2 2 4 3 2" xfId="395" xr:uid="{00000000-0005-0000-0000-00004E8C0000}"/>
    <cellStyle name="Normal 2 2 4 3 2 2" xfId="3536" xr:uid="{00000000-0005-0000-0000-00004F8C0000}"/>
    <cellStyle name="Normal 2 2 4 3 2 2 2" xfId="12176" xr:uid="{00000000-0005-0000-0000-0000508C0000}"/>
    <cellStyle name="Normal 2 2 4 3 2 2 3" xfId="17954" xr:uid="{00000000-0005-0000-0000-0000518C0000}"/>
    <cellStyle name="Normal 2 2 4 3 2 3" xfId="3537" xr:uid="{00000000-0005-0000-0000-0000528C0000}"/>
    <cellStyle name="Normal 2 2 4 3 2 3 2" xfId="12177" xr:uid="{00000000-0005-0000-0000-0000538C0000}"/>
    <cellStyle name="Normal 2 2 4 3 2 3 3" xfId="17955" xr:uid="{00000000-0005-0000-0000-0000548C0000}"/>
    <cellStyle name="Normal 2 2 4 3 2 4" xfId="3538" xr:uid="{00000000-0005-0000-0000-0000558C0000}"/>
    <cellStyle name="Normal 2 2 4 3 2 4 2" xfId="12178" xr:uid="{00000000-0005-0000-0000-0000568C0000}"/>
    <cellStyle name="Normal 2 2 4 3 2 4 3" xfId="17956" xr:uid="{00000000-0005-0000-0000-0000578C0000}"/>
    <cellStyle name="Normal 2 2 4 3 2 5" xfId="3539" xr:uid="{00000000-0005-0000-0000-0000588C0000}"/>
    <cellStyle name="Normal 2 2 4 3 2 5 2" xfId="12179" xr:uid="{00000000-0005-0000-0000-0000598C0000}"/>
    <cellStyle name="Normal 2 2 4 3 2 5 3" xfId="17957" xr:uid="{00000000-0005-0000-0000-00005A8C0000}"/>
    <cellStyle name="Normal 2 2 4 3 2 6" xfId="3540" xr:uid="{00000000-0005-0000-0000-00005B8C0000}"/>
    <cellStyle name="Normal 2 2 4 3 2 6 2" xfId="12180" xr:uid="{00000000-0005-0000-0000-00005C8C0000}"/>
    <cellStyle name="Normal 2 2 4 3 2 6 3" xfId="17958" xr:uid="{00000000-0005-0000-0000-00005D8C0000}"/>
    <cellStyle name="Normal 2 2 4 3 2 7" xfId="9235" xr:uid="{00000000-0005-0000-0000-00005E8C0000}"/>
    <cellStyle name="Normal 2 2 4 3 2 8" xfId="17953" xr:uid="{00000000-0005-0000-0000-00005F8C0000}"/>
    <cellStyle name="Normal 2 2 4 3 2_LNG &amp; LPG rework" xfId="7098" xr:uid="{00000000-0005-0000-0000-0000608C0000}"/>
    <cellStyle name="Normal 2 2 4 3 3" xfId="3541" xr:uid="{00000000-0005-0000-0000-0000618C0000}"/>
    <cellStyle name="Normal 2 2 4 3 3 2" xfId="3542" xr:uid="{00000000-0005-0000-0000-0000628C0000}"/>
    <cellStyle name="Normal 2 2 4 3 3 2 2" xfId="12182" xr:uid="{00000000-0005-0000-0000-0000638C0000}"/>
    <cellStyle name="Normal 2 2 4 3 3 2 3" xfId="17960" xr:uid="{00000000-0005-0000-0000-0000648C0000}"/>
    <cellStyle name="Normal 2 2 4 3 3 3" xfId="3543" xr:uid="{00000000-0005-0000-0000-0000658C0000}"/>
    <cellStyle name="Normal 2 2 4 3 3 3 2" xfId="12183" xr:uid="{00000000-0005-0000-0000-0000668C0000}"/>
    <cellStyle name="Normal 2 2 4 3 3 3 3" xfId="17961" xr:uid="{00000000-0005-0000-0000-0000678C0000}"/>
    <cellStyle name="Normal 2 2 4 3 3 4" xfId="3544" xr:uid="{00000000-0005-0000-0000-0000688C0000}"/>
    <cellStyle name="Normal 2 2 4 3 3 4 2" xfId="12184" xr:uid="{00000000-0005-0000-0000-0000698C0000}"/>
    <cellStyle name="Normal 2 2 4 3 3 4 3" xfId="17962" xr:uid="{00000000-0005-0000-0000-00006A8C0000}"/>
    <cellStyle name="Normal 2 2 4 3 3 5" xfId="3545" xr:uid="{00000000-0005-0000-0000-00006B8C0000}"/>
    <cellStyle name="Normal 2 2 4 3 3 5 2" xfId="12185" xr:uid="{00000000-0005-0000-0000-00006C8C0000}"/>
    <cellStyle name="Normal 2 2 4 3 3 5 3" xfId="17963" xr:uid="{00000000-0005-0000-0000-00006D8C0000}"/>
    <cellStyle name="Normal 2 2 4 3 3 6" xfId="12181" xr:uid="{00000000-0005-0000-0000-00006E8C0000}"/>
    <cellStyle name="Normal 2 2 4 3 3 7" xfId="17959" xr:uid="{00000000-0005-0000-0000-00006F8C0000}"/>
    <cellStyle name="Normal 2 2 4 3 3_LNG &amp; LPG rework" xfId="7099" xr:uid="{00000000-0005-0000-0000-0000708C0000}"/>
    <cellStyle name="Normal 2 2 4 3 4" xfId="3546" xr:uid="{00000000-0005-0000-0000-0000718C0000}"/>
    <cellStyle name="Normal 2 2 4 3 4 2" xfId="12186" xr:uid="{00000000-0005-0000-0000-0000728C0000}"/>
    <cellStyle name="Normal 2 2 4 3 4 3" xfId="17964" xr:uid="{00000000-0005-0000-0000-0000738C0000}"/>
    <cellStyle name="Normal 2 2 4 3 5" xfId="3547" xr:uid="{00000000-0005-0000-0000-0000748C0000}"/>
    <cellStyle name="Normal 2 2 4 3 5 2" xfId="12187" xr:uid="{00000000-0005-0000-0000-0000758C0000}"/>
    <cellStyle name="Normal 2 2 4 3 5 3" xfId="17965" xr:uid="{00000000-0005-0000-0000-0000768C0000}"/>
    <cellStyle name="Normal 2 2 4 3 6" xfId="3548" xr:uid="{00000000-0005-0000-0000-0000778C0000}"/>
    <cellStyle name="Normal 2 2 4 3 6 2" xfId="12188" xr:uid="{00000000-0005-0000-0000-0000788C0000}"/>
    <cellStyle name="Normal 2 2 4 3 6 3" xfId="17966" xr:uid="{00000000-0005-0000-0000-0000798C0000}"/>
    <cellStyle name="Normal 2 2 4 3 7" xfId="3549" xr:uid="{00000000-0005-0000-0000-00007A8C0000}"/>
    <cellStyle name="Normal 2 2 4 3 7 2" xfId="12189" xr:uid="{00000000-0005-0000-0000-00007B8C0000}"/>
    <cellStyle name="Normal 2 2 4 3 7 3" xfId="17967" xr:uid="{00000000-0005-0000-0000-00007C8C0000}"/>
    <cellStyle name="Normal 2 2 4 3 8" xfId="3550" xr:uid="{00000000-0005-0000-0000-00007D8C0000}"/>
    <cellStyle name="Normal 2 2 4 3 8 2" xfId="12190" xr:uid="{00000000-0005-0000-0000-00007E8C0000}"/>
    <cellStyle name="Normal 2 2 4 3 8 3" xfId="17968" xr:uid="{00000000-0005-0000-0000-00007F8C0000}"/>
    <cellStyle name="Normal 2 2 4 3 9" xfId="9234" xr:uid="{00000000-0005-0000-0000-0000808C0000}"/>
    <cellStyle name="Normal 2 2 4 3_LNG &amp; LPG rework" xfId="7097" xr:uid="{00000000-0005-0000-0000-0000818C0000}"/>
    <cellStyle name="Normal 2 2 4 4" xfId="396" xr:uid="{00000000-0005-0000-0000-0000828C0000}"/>
    <cellStyle name="Normal 2 2 4 4 2" xfId="3551" xr:uid="{00000000-0005-0000-0000-0000838C0000}"/>
    <cellStyle name="Normal 2 2 4 4 2 2" xfId="12191" xr:uid="{00000000-0005-0000-0000-0000848C0000}"/>
    <cellStyle name="Normal 2 2 4 4 2 3" xfId="17970" xr:uid="{00000000-0005-0000-0000-0000858C0000}"/>
    <cellStyle name="Normal 2 2 4 4 3" xfId="3552" xr:uid="{00000000-0005-0000-0000-0000868C0000}"/>
    <cellStyle name="Normal 2 2 4 4 3 2" xfId="12192" xr:uid="{00000000-0005-0000-0000-0000878C0000}"/>
    <cellStyle name="Normal 2 2 4 4 3 3" xfId="17971" xr:uid="{00000000-0005-0000-0000-0000888C0000}"/>
    <cellStyle name="Normal 2 2 4 4 4" xfId="3553" xr:uid="{00000000-0005-0000-0000-0000898C0000}"/>
    <cellStyle name="Normal 2 2 4 4 4 2" xfId="12193" xr:uid="{00000000-0005-0000-0000-00008A8C0000}"/>
    <cellStyle name="Normal 2 2 4 4 4 3" xfId="17972" xr:uid="{00000000-0005-0000-0000-00008B8C0000}"/>
    <cellStyle name="Normal 2 2 4 4 5" xfId="3554" xr:uid="{00000000-0005-0000-0000-00008C8C0000}"/>
    <cellStyle name="Normal 2 2 4 4 5 2" xfId="12194" xr:uid="{00000000-0005-0000-0000-00008D8C0000}"/>
    <cellStyle name="Normal 2 2 4 4 5 3" xfId="17973" xr:uid="{00000000-0005-0000-0000-00008E8C0000}"/>
    <cellStyle name="Normal 2 2 4 4 6" xfId="3555" xr:uid="{00000000-0005-0000-0000-00008F8C0000}"/>
    <cellStyle name="Normal 2 2 4 4 6 2" xfId="12195" xr:uid="{00000000-0005-0000-0000-0000908C0000}"/>
    <cellStyle name="Normal 2 2 4 4 6 3" xfId="17974" xr:uid="{00000000-0005-0000-0000-0000918C0000}"/>
    <cellStyle name="Normal 2 2 4 4 7" xfId="9236" xr:uid="{00000000-0005-0000-0000-0000928C0000}"/>
    <cellStyle name="Normal 2 2 4 4 8" xfId="17969" xr:uid="{00000000-0005-0000-0000-0000938C0000}"/>
    <cellStyle name="Normal 2 2 4 4_LNG &amp; LPG rework" xfId="7100" xr:uid="{00000000-0005-0000-0000-0000948C0000}"/>
    <cellStyle name="Normal 2 2 4 5" xfId="3556" xr:uid="{00000000-0005-0000-0000-0000958C0000}"/>
    <cellStyle name="Normal 2 2 4 5 2" xfId="3557" xr:uid="{00000000-0005-0000-0000-0000968C0000}"/>
    <cellStyle name="Normal 2 2 4 5 2 2" xfId="12197" xr:uid="{00000000-0005-0000-0000-0000978C0000}"/>
    <cellStyle name="Normal 2 2 4 5 2 3" xfId="17976" xr:uid="{00000000-0005-0000-0000-0000988C0000}"/>
    <cellStyle name="Normal 2 2 4 5 3" xfId="3558" xr:uid="{00000000-0005-0000-0000-0000998C0000}"/>
    <cellStyle name="Normal 2 2 4 5 3 2" xfId="12198" xr:uid="{00000000-0005-0000-0000-00009A8C0000}"/>
    <cellStyle name="Normal 2 2 4 5 3 3" xfId="17977" xr:uid="{00000000-0005-0000-0000-00009B8C0000}"/>
    <cellStyle name="Normal 2 2 4 5 4" xfId="3559" xr:uid="{00000000-0005-0000-0000-00009C8C0000}"/>
    <cellStyle name="Normal 2 2 4 5 4 2" xfId="12199" xr:uid="{00000000-0005-0000-0000-00009D8C0000}"/>
    <cellStyle name="Normal 2 2 4 5 4 3" xfId="17978" xr:uid="{00000000-0005-0000-0000-00009E8C0000}"/>
    <cellStyle name="Normal 2 2 4 5 5" xfId="3560" xr:uid="{00000000-0005-0000-0000-00009F8C0000}"/>
    <cellStyle name="Normal 2 2 4 5 5 2" xfId="12200" xr:uid="{00000000-0005-0000-0000-0000A08C0000}"/>
    <cellStyle name="Normal 2 2 4 5 5 3" xfId="17979" xr:uid="{00000000-0005-0000-0000-0000A18C0000}"/>
    <cellStyle name="Normal 2 2 4 5 6" xfId="12196" xr:uid="{00000000-0005-0000-0000-0000A28C0000}"/>
    <cellStyle name="Normal 2 2 4 5 7" xfId="17975" xr:uid="{00000000-0005-0000-0000-0000A38C0000}"/>
    <cellStyle name="Normal 2 2 4 5_LNG &amp; LPG rework" xfId="7101" xr:uid="{00000000-0005-0000-0000-0000A48C0000}"/>
    <cellStyle name="Normal 2 2 4 6" xfId="3561" xr:uid="{00000000-0005-0000-0000-0000A58C0000}"/>
    <cellStyle name="Normal 2 2 4 6 2" xfId="3562" xr:uid="{00000000-0005-0000-0000-0000A68C0000}"/>
    <cellStyle name="Normal 2 2 4 6 2 2" xfId="12202" xr:uid="{00000000-0005-0000-0000-0000A78C0000}"/>
    <cellStyle name="Normal 2 2 4 6 2 3" xfId="17981" xr:uid="{00000000-0005-0000-0000-0000A88C0000}"/>
    <cellStyle name="Normal 2 2 4 6 3" xfId="3563" xr:uid="{00000000-0005-0000-0000-0000A98C0000}"/>
    <cellStyle name="Normal 2 2 4 6 3 2" xfId="12203" xr:uid="{00000000-0005-0000-0000-0000AA8C0000}"/>
    <cellStyle name="Normal 2 2 4 6 3 3" xfId="17982" xr:uid="{00000000-0005-0000-0000-0000AB8C0000}"/>
    <cellStyle name="Normal 2 2 4 6 4" xfId="3564" xr:uid="{00000000-0005-0000-0000-0000AC8C0000}"/>
    <cellStyle name="Normal 2 2 4 6 4 2" xfId="12204" xr:uid="{00000000-0005-0000-0000-0000AD8C0000}"/>
    <cellStyle name="Normal 2 2 4 6 4 3" xfId="17983" xr:uid="{00000000-0005-0000-0000-0000AE8C0000}"/>
    <cellStyle name="Normal 2 2 4 6 5" xfId="3565" xr:uid="{00000000-0005-0000-0000-0000AF8C0000}"/>
    <cellStyle name="Normal 2 2 4 6 5 2" xfId="12205" xr:uid="{00000000-0005-0000-0000-0000B08C0000}"/>
    <cellStyle name="Normal 2 2 4 6 5 3" xfId="17984" xr:uid="{00000000-0005-0000-0000-0000B18C0000}"/>
    <cellStyle name="Normal 2 2 4 6 6" xfId="12201" xr:uid="{00000000-0005-0000-0000-0000B28C0000}"/>
    <cellStyle name="Normal 2 2 4 6 7" xfId="17980" xr:uid="{00000000-0005-0000-0000-0000B38C0000}"/>
    <cellStyle name="Normal 2 2 4 6_LNG &amp; LPG rework" xfId="7102" xr:uid="{00000000-0005-0000-0000-0000B48C0000}"/>
    <cellStyle name="Normal 2 2 4 7" xfId="3566" xr:uid="{00000000-0005-0000-0000-0000B58C0000}"/>
    <cellStyle name="Normal 2 2 4 7 2" xfId="12206" xr:uid="{00000000-0005-0000-0000-0000B68C0000}"/>
    <cellStyle name="Normal 2 2 4 7 3" xfId="17985" xr:uid="{00000000-0005-0000-0000-0000B78C0000}"/>
    <cellStyle name="Normal 2 2 4 8" xfId="3567" xr:uid="{00000000-0005-0000-0000-0000B88C0000}"/>
    <cellStyle name="Normal 2 2 4 8 2" xfId="12207" xr:uid="{00000000-0005-0000-0000-0000B98C0000}"/>
    <cellStyle name="Normal 2 2 4 8 3" xfId="17986" xr:uid="{00000000-0005-0000-0000-0000BA8C0000}"/>
    <cellStyle name="Normal 2 2 4 9" xfId="3568" xr:uid="{00000000-0005-0000-0000-0000BB8C0000}"/>
    <cellStyle name="Normal 2 2 4 9 2" xfId="12208" xr:uid="{00000000-0005-0000-0000-0000BC8C0000}"/>
    <cellStyle name="Normal 2 2 4 9 3" xfId="17987" xr:uid="{00000000-0005-0000-0000-0000BD8C0000}"/>
    <cellStyle name="Normal 2 2 4_LNG &amp; LPG rework" xfId="7089" xr:uid="{00000000-0005-0000-0000-0000BE8C0000}"/>
    <cellStyle name="Normal 2 2 5" xfId="397" xr:uid="{00000000-0005-0000-0000-0000BF8C0000}"/>
    <cellStyle name="Normal 2 2 5 10" xfId="3569" xr:uid="{00000000-0005-0000-0000-0000C08C0000}"/>
    <cellStyle name="Normal 2 2 5 10 2" xfId="12209" xr:uid="{00000000-0005-0000-0000-0000C18C0000}"/>
    <cellStyle name="Normal 2 2 5 10 3" xfId="17989" xr:uid="{00000000-0005-0000-0000-0000C28C0000}"/>
    <cellStyle name="Normal 2 2 5 11" xfId="9237" xr:uid="{00000000-0005-0000-0000-0000C38C0000}"/>
    <cellStyle name="Normal 2 2 5 12" xfId="17988" xr:uid="{00000000-0005-0000-0000-0000C48C0000}"/>
    <cellStyle name="Normal 2 2 5 2" xfId="398" xr:uid="{00000000-0005-0000-0000-0000C58C0000}"/>
    <cellStyle name="Normal 2 2 5 2 10" xfId="17990" xr:uid="{00000000-0005-0000-0000-0000C68C0000}"/>
    <cellStyle name="Normal 2 2 5 2 2" xfId="399" xr:uid="{00000000-0005-0000-0000-0000C78C0000}"/>
    <cellStyle name="Normal 2 2 5 2 2 2" xfId="3570" xr:uid="{00000000-0005-0000-0000-0000C88C0000}"/>
    <cellStyle name="Normal 2 2 5 2 2 2 2" xfId="12210" xr:uid="{00000000-0005-0000-0000-0000C98C0000}"/>
    <cellStyle name="Normal 2 2 5 2 2 2 3" xfId="17992" xr:uid="{00000000-0005-0000-0000-0000CA8C0000}"/>
    <cellStyle name="Normal 2 2 5 2 2 3" xfId="3571" xr:uid="{00000000-0005-0000-0000-0000CB8C0000}"/>
    <cellStyle name="Normal 2 2 5 2 2 3 2" xfId="12211" xr:uid="{00000000-0005-0000-0000-0000CC8C0000}"/>
    <cellStyle name="Normal 2 2 5 2 2 3 3" xfId="17993" xr:uid="{00000000-0005-0000-0000-0000CD8C0000}"/>
    <cellStyle name="Normal 2 2 5 2 2 4" xfId="3572" xr:uid="{00000000-0005-0000-0000-0000CE8C0000}"/>
    <cellStyle name="Normal 2 2 5 2 2 4 2" xfId="12212" xr:uid="{00000000-0005-0000-0000-0000CF8C0000}"/>
    <cellStyle name="Normal 2 2 5 2 2 4 3" xfId="17994" xr:uid="{00000000-0005-0000-0000-0000D08C0000}"/>
    <cellStyle name="Normal 2 2 5 2 2 5" xfId="3573" xr:uid="{00000000-0005-0000-0000-0000D18C0000}"/>
    <cellStyle name="Normal 2 2 5 2 2 5 2" xfId="12213" xr:uid="{00000000-0005-0000-0000-0000D28C0000}"/>
    <cellStyle name="Normal 2 2 5 2 2 5 3" xfId="17995" xr:uid="{00000000-0005-0000-0000-0000D38C0000}"/>
    <cellStyle name="Normal 2 2 5 2 2 6" xfId="3574" xr:uid="{00000000-0005-0000-0000-0000D48C0000}"/>
    <cellStyle name="Normal 2 2 5 2 2 6 2" xfId="12214" xr:uid="{00000000-0005-0000-0000-0000D58C0000}"/>
    <cellStyle name="Normal 2 2 5 2 2 6 3" xfId="17996" xr:uid="{00000000-0005-0000-0000-0000D68C0000}"/>
    <cellStyle name="Normal 2 2 5 2 2 7" xfId="9239" xr:uid="{00000000-0005-0000-0000-0000D78C0000}"/>
    <cellStyle name="Normal 2 2 5 2 2 8" xfId="17991" xr:uid="{00000000-0005-0000-0000-0000D88C0000}"/>
    <cellStyle name="Normal 2 2 5 2 2_LNG &amp; LPG rework" xfId="7105" xr:uid="{00000000-0005-0000-0000-0000D98C0000}"/>
    <cellStyle name="Normal 2 2 5 2 3" xfId="3575" xr:uid="{00000000-0005-0000-0000-0000DA8C0000}"/>
    <cellStyle name="Normal 2 2 5 2 3 2" xfId="3576" xr:uid="{00000000-0005-0000-0000-0000DB8C0000}"/>
    <cellStyle name="Normal 2 2 5 2 3 2 2" xfId="12216" xr:uid="{00000000-0005-0000-0000-0000DC8C0000}"/>
    <cellStyle name="Normal 2 2 5 2 3 2 3" xfId="17998" xr:uid="{00000000-0005-0000-0000-0000DD8C0000}"/>
    <cellStyle name="Normal 2 2 5 2 3 3" xfId="3577" xr:uid="{00000000-0005-0000-0000-0000DE8C0000}"/>
    <cellStyle name="Normal 2 2 5 2 3 3 2" xfId="12217" xr:uid="{00000000-0005-0000-0000-0000DF8C0000}"/>
    <cellStyle name="Normal 2 2 5 2 3 3 3" xfId="17999" xr:uid="{00000000-0005-0000-0000-0000E08C0000}"/>
    <cellStyle name="Normal 2 2 5 2 3 4" xfId="3578" xr:uid="{00000000-0005-0000-0000-0000E18C0000}"/>
    <cellStyle name="Normal 2 2 5 2 3 4 2" xfId="12218" xr:uid="{00000000-0005-0000-0000-0000E28C0000}"/>
    <cellStyle name="Normal 2 2 5 2 3 4 3" xfId="18000" xr:uid="{00000000-0005-0000-0000-0000E38C0000}"/>
    <cellStyle name="Normal 2 2 5 2 3 5" xfId="3579" xr:uid="{00000000-0005-0000-0000-0000E48C0000}"/>
    <cellStyle name="Normal 2 2 5 2 3 5 2" xfId="12219" xr:uid="{00000000-0005-0000-0000-0000E58C0000}"/>
    <cellStyle name="Normal 2 2 5 2 3 5 3" xfId="18001" xr:uid="{00000000-0005-0000-0000-0000E68C0000}"/>
    <cellStyle name="Normal 2 2 5 2 3 6" xfId="12215" xr:uid="{00000000-0005-0000-0000-0000E78C0000}"/>
    <cellStyle name="Normal 2 2 5 2 3 7" xfId="17997" xr:uid="{00000000-0005-0000-0000-0000E88C0000}"/>
    <cellStyle name="Normal 2 2 5 2 3_LNG &amp; LPG rework" xfId="7106" xr:uid="{00000000-0005-0000-0000-0000E98C0000}"/>
    <cellStyle name="Normal 2 2 5 2 4" xfId="3580" xr:uid="{00000000-0005-0000-0000-0000EA8C0000}"/>
    <cellStyle name="Normal 2 2 5 2 4 2" xfId="12220" xr:uid="{00000000-0005-0000-0000-0000EB8C0000}"/>
    <cellStyle name="Normal 2 2 5 2 4 3" xfId="18002" xr:uid="{00000000-0005-0000-0000-0000EC8C0000}"/>
    <cellStyle name="Normal 2 2 5 2 5" xfId="3581" xr:uid="{00000000-0005-0000-0000-0000ED8C0000}"/>
    <cellStyle name="Normal 2 2 5 2 5 2" xfId="12221" xr:uid="{00000000-0005-0000-0000-0000EE8C0000}"/>
    <cellStyle name="Normal 2 2 5 2 5 3" xfId="18003" xr:uid="{00000000-0005-0000-0000-0000EF8C0000}"/>
    <cellStyle name="Normal 2 2 5 2 6" xfId="3582" xr:uid="{00000000-0005-0000-0000-0000F08C0000}"/>
    <cellStyle name="Normal 2 2 5 2 6 2" xfId="12222" xr:uid="{00000000-0005-0000-0000-0000F18C0000}"/>
    <cellStyle name="Normal 2 2 5 2 6 3" xfId="18004" xr:uid="{00000000-0005-0000-0000-0000F28C0000}"/>
    <cellStyle name="Normal 2 2 5 2 7" xfId="3583" xr:uid="{00000000-0005-0000-0000-0000F38C0000}"/>
    <cellStyle name="Normal 2 2 5 2 7 2" xfId="12223" xr:uid="{00000000-0005-0000-0000-0000F48C0000}"/>
    <cellStyle name="Normal 2 2 5 2 7 3" xfId="18005" xr:uid="{00000000-0005-0000-0000-0000F58C0000}"/>
    <cellStyle name="Normal 2 2 5 2 8" xfId="3584" xr:uid="{00000000-0005-0000-0000-0000F68C0000}"/>
    <cellStyle name="Normal 2 2 5 2 8 2" xfId="12224" xr:uid="{00000000-0005-0000-0000-0000F78C0000}"/>
    <cellStyle name="Normal 2 2 5 2 8 3" xfId="18006" xr:uid="{00000000-0005-0000-0000-0000F88C0000}"/>
    <cellStyle name="Normal 2 2 5 2 9" xfId="9238" xr:uid="{00000000-0005-0000-0000-0000F98C0000}"/>
    <cellStyle name="Normal 2 2 5 2_LNG &amp; LPG rework" xfId="7104" xr:uid="{00000000-0005-0000-0000-0000FA8C0000}"/>
    <cellStyle name="Normal 2 2 5 3" xfId="400" xr:uid="{00000000-0005-0000-0000-0000FB8C0000}"/>
    <cellStyle name="Normal 2 2 5 3 2" xfId="3585" xr:uid="{00000000-0005-0000-0000-0000FC8C0000}"/>
    <cellStyle name="Normal 2 2 5 3 2 2" xfId="12225" xr:uid="{00000000-0005-0000-0000-0000FD8C0000}"/>
    <cellStyle name="Normal 2 2 5 3 2 3" xfId="18008" xr:uid="{00000000-0005-0000-0000-0000FE8C0000}"/>
    <cellStyle name="Normal 2 2 5 3 3" xfId="3586" xr:uid="{00000000-0005-0000-0000-0000FF8C0000}"/>
    <cellStyle name="Normal 2 2 5 3 3 2" xfId="12226" xr:uid="{00000000-0005-0000-0000-0000008D0000}"/>
    <cellStyle name="Normal 2 2 5 3 3 3" xfId="18009" xr:uid="{00000000-0005-0000-0000-0000018D0000}"/>
    <cellStyle name="Normal 2 2 5 3 4" xfId="3587" xr:uid="{00000000-0005-0000-0000-0000028D0000}"/>
    <cellStyle name="Normal 2 2 5 3 4 2" xfId="12227" xr:uid="{00000000-0005-0000-0000-0000038D0000}"/>
    <cellStyle name="Normal 2 2 5 3 4 3" xfId="18010" xr:uid="{00000000-0005-0000-0000-0000048D0000}"/>
    <cellStyle name="Normal 2 2 5 3 5" xfId="3588" xr:uid="{00000000-0005-0000-0000-0000058D0000}"/>
    <cellStyle name="Normal 2 2 5 3 5 2" xfId="12228" xr:uid="{00000000-0005-0000-0000-0000068D0000}"/>
    <cellStyle name="Normal 2 2 5 3 5 3" xfId="18011" xr:uid="{00000000-0005-0000-0000-0000078D0000}"/>
    <cellStyle name="Normal 2 2 5 3 6" xfId="3589" xr:uid="{00000000-0005-0000-0000-0000088D0000}"/>
    <cellStyle name="Normal 2 2 5 3 6 2" xfId="12229" xr:uid="{00000000-0005-0000-0000-0000098D0000}"/>
    <cellStyle name="Normal 2 2 5 3 6 3" xfId="18012" xr:uid="{00000000-0005-0000-0000-00000A8D0000}"/>
    <cellStyle name="Normal 2 2 5 3 7" xfId="9240" xr:uid="{00000000-0005-0000-0000-00000B8D0000}"/>
    <cellStyle name="Normal 2 2 5 3 8" xfId="18007" xr:uid="{00000000-0005-0000-0000-00000C8D0000}"/>
    <cellStyle name="Normal 2 2 5 3_LNG &amp; LPG rework" xfId="7107" xr:uid="{00000000-0005-0000-0000-00000D8D0000}"/>
    <cellStyle name="Normal 2 2 5 4" xfId="3590" xr:uid="{00000000-0005-0000-0000-00000E8D0000}"/>
    <cellStyle name="Normal 2 2 5 4 2" xfId="3591" xr:uid="{00000000-0005-0000-0000-00000F8D0000}"/>
    <cellStyle name="Normal 2 2 5 4 2 2" xfId="12231" xr:uid="{00000000-0005-0000-0000-0000108D0000}"/>
    <cellStyle name="Normal 2 2 5 4 2 3" xfId="18014" xr:uid="{00000000-0005-0000-0000-0000118D0000}"/>
    <cellStyle name="Normal 2 2 5 4 3" xfId="3592" xr:uid="{00000000-0005-0000-0000-0000128D0000}"/>
    <cellStyle name="Normal 2 2 5 4 3 2" xfId="12232" xr:uid="{00000000-0005-0000-0000-0000138D0000}"/>
    <cellStyle name="Normal 2 2 5 4 3 3" xfId="18015" xr:uid="{00000000-0005-0000-0000-0000148D0000}"/>
    <cellStyle name="Normal 2 2 5 4 4" xfId="3593" xr:uid="{00000000-0005-0000-0000-0000158D0000}"/>
    <cellStyle name="Normal 2 2 5 4 4 2" xfId="12233" xr:uid="{00000000-0005-0000-0000-0000168D0000}"/>
    <cellStyle name="Normal 2 2 5 4 4 3" xfId="18016" xr:uid="{00000000-0005-0000-0000-0000178D0000}"/>
    <cellStyle name="Normal 2 2 5 4 5" xfId="3594" xr:uid="{00000000-0005-0000-0000-0000188D0000}"/>
    <cellStyle name="Normal 2 2 5 4 5 2" xfId="12234" xr:uid="{00000000-0005-0000-0000-0000198D0000}"/>
    <cellStyle name="Normal 2 2 5 4 5 3" xfId="18017" xr:uid="{00000000-0005-0000-0000-00001A8D0000}"/>
    <cellStyle name="Normal 2 2 5 4 6" xfId="12230" xr:uid="{00000000-0005-0000-0000-00001B8D0000}"/>
    <cellStyle name="Normal 2 2 5 4 7" xfId="18013" xr:uid="{00000000-0005-0000-0000-00001C8D0000}"/>
    <cellStyle name="Normal 2 2 5 4_LNG &amp; LPG rework" xfId="7108" xr:uid="{00000000-0005-0000-0000-00001D8D0000}"/>
    <cellStyle name="Normal 2 2 5 5" xfId="3595" xr:uid="{00000000-0005-0000-0000-00001E8D0000}"/>
    <cellStyle name="Normal 2 2 5 5 2" xfId="3596" xr:uid="{00000000-0005-0000-0000-00001F8D0000}"/>
    <cellStyle name="Normal 2 2 5 5 2 2" xfId="12236" xr:uid="{00000000-0005-0000-0000-0000208D0000}"/>
    <cellStyle name="Normal 2 2 5 5 2 3" xfId="18019" xr:uid="{00000000-0005-0000-0000-0000218D0000}"/>
    <cellStyle name="Normal 2 2 5 5 3" xfId="3597" xr:uid="{00000000-0005-0000-0000-0000228D0000}"/>
    <cellStyle name="Normal 2 2 5 5 3 2" xfId="12237" xr:uid="{00000000-0005-0000-0000-0000238D0000}"/>
    <cellStyle name="Normal 2 2 5 5 3 3" xfId="18020" xr:uid="{00000000-0005-0000-0000-0000248D0000}"/>
    <cellStyle name="Normal 2 2 5 5 4" xfId="3598" xr:uid="{00000000-0005-0000-0000-0000258D0000}"/>
    <cellStyle name="Normal 2 2 5 5 4 2" xfId="12238" xr:uid="{00000000-0005-0000-0000-0000268D0000}"/>
    <cellStyle name="Normal 2 2 5 5 4 3" xfId="18021" xr:uid="{00000000-0005-0000-0000-0000278D0000}"/>
    <cellStyle name="Normal 2 2 5 5 5" xfId="3599" xr:uid="{00000000-0005-0000-0000-0000288D0000}"/>
    <cellStyle name="Normal 2 2 5 5 5 2" xfId="12239" xr:uid="{00000000-0005-0000-0000-0000298D0000}"/>
    <cellStyle name="Normal 2 2 5 5 5 3" xfId="18022" xr:uid="{00000000-0005-0000-0000-00002A8D0000}"/>
    <cellStyle name="Normal 2 2 5 5 6" xfId="12235" xr:uid="{00000000-0005-0000-0000-00002B8D0000}"/>
    <cellStyle name="Normal 2 2 5 5 7" xfId="18018" xr:uid="{00000000-0005-0000-0000-00002C8D0000}"/>
    <cellStyle name="Normal 2 2 5 5_LNG &amp; LPG rework" xfId="7109" xr:uid="{00000000-0005-0000-0000-00002D8D0000}"/>
    <cellStyle name="Normal 2 2 5 6" xfId="3600" xr:uid="{00000000-0005-0000-0000-00002E8D0000}"/>
    <cellStyle name="Normal 2 2 5 6 2" xfId="12240" xr:uid="{00000000-0005-0000-0000-00002F8D0000}"/>
    <cellStyle name="Normal 2 2 5 6 3" xfId="18023" xr:uid="{00000000-0005-0000-0000-0000308D0000}"/>
    <cellStyle name="Normal 2 2 5 7" xfId="3601" xr:uid="{00000000-0005-0000-0000-0000318D0000}"/>
    <cellStyle name="Normal 2 2 5 7 2" xfId="12241" xr:uid="{00000000-0005-0000-0000-0000328D0000}"/>
    <cellStyle name="Normal 2 2 5 7 3" xfId="18024" xr:uid="{00000000-0005-0000-0000-0000338D0000}"/>
    <cellStyle name="Normal 2 2 5 8" xfId="3602" xr:uid="{00000000-0005-0000-0000-0000348D0000}"/>
    <cellStyle name="Normal 2 2 5 8 2" xfId="12242" xr:uid="{00000000-0005-0000-0000-0000358D0000}"/>
    <cellStyle name="Normal 2 2 5 8 3" xfId="18025" xr:uid="{00000000-0005-0000-0000-0000368D0000}"/>
    <cellStyle name="Normal 2 2 5 9" xfId="3603" xr:uid="{00000000-0005-0000-0000-0000378D0000}"/>
    <cellStyle name="Normal 2 2 5 9 2" xfId="12243" xr:uid="{00000000-0005-0000-0000-0000388D0000}"/>
    <cellStyle name="Normal 2 2 5 9 3" xfId="18026" xr:uid="{00000000-0005-0000-0000-0000398D0000}"/>
    <cellStyle name="Normal 2 2 5_LNG &amp; LPG rework" xfId="7103" xr:uid="{00000000-0005-0000-0000-00003A8D0000}"/>
    <cellStyle name="Normal 2 2 6" xfId="401" xr:uid="{00000000-0005-0000-0000-00003B8D0000}"/>
    <cellStyle name="Normal 2 2 6 10" xfId="18027" xr:uid="{00000000-0005-0000-0000-00003C8D0000}"/>
    <cellStyle name="Normal 2 2 6 2" xfId="402" xr:uid="{00000000-0005-0000-0000-00003D8D0000}"/>
    <cellStyle name="Normal 2 2 6 2 2" xfId="3604" xr:uid="{00000000-0005-0000-0000-00003E8D0000}"/>
    <cellStyle name="Normal 2 2 6 2 2 2" xfId="12244" xr:uid="{00000000-0005-0000-0000-00003F8D0000}"/>
    <cellStyle name="Normal 2 2 6 2 2 3" xfId="18029" xr:uid="{00000000-0005-0000-0000-0000408D0000}"/>
    <cellStyle name="Normal 2 2 6 2 3" xfId="3605" xr:uid="{00000000-0005-0000-0000-0000418D0000}"/>
    <cellStyle name="Normal 2 2 6 2 3 2" xfId="12245" xr:uid="{00000000-0005-0000-0000-0000428D0000}"/>
    <cellStyle name="Normal 2 2 6 2 3 3" xfId="18030" xr:uid="{00000000-0005-0000-0000-0000438D0000}"/>
    <cellStyle name="Normal 2 2 6 2 4" xfId="3606" xr:uid="{00000000-0005-0000-0000-0000448D0000}"/>
    <cellStyle name="Normal 2 2 6 2 4 2" xfId="12246" xr:uid="{00000000-0005-0000-0000-0000458D0000}"/>
    <cellStyle name="Normal 2 2 6 2 4 3" xfId="18031" xr:uid="{00000000-0005-0000-0000-0000468D0000}"/>
    <cellStyle name="Normal 2 2 6 2 5" xfId="3607" xr:uid="{00000000-0005-0000-0000-0000478D0000}"/>
    <cellStyle name="Normal 2 2 6 2 5 2" xfId="12247" xr:uid="{00000000-0005-0000-0000-0000488D0000}"/>
    <cellStyle name="Normal 2 2 6 2 5 3" xfId="18032" xr:uid="{00000000-0005-0000-0000-0000498D0000}"/>
    <cellStyle name="Normal 2 2 6 2 6" xfId="3608" xr:uid="{00000000-0005-0000-0000-00004A8D0000}"/>
    <cellStyle name="Normal 2 2 6 2 6 2" xfId="12248" xr:uid="{00000000-0005-0000-0000-00004B8D0000}"/>
    <cellStyle name="Normal 2 2 6 2 6 3" xfId="18033" xr:uid="{00000000-0005-0000-0000-00004C8D0000}"/>
    <cellStyle name="Normal 2 2 6 2 7" xfId="9242" xr:uid="{00000000-0005-0000-0000-00004D8D0000}"/>
    <cellStyle name="Normal 2 2 6 2 8" xfId="18028" xr:uid="{00000000-0005-0000-0000-00004E8D0000}"/>
    <cellStyle name="Normal 2 2 6 2_LNG &amp; LPG rework" xfId="7111" xr:uid="{00000000-0005-0000-0000-00004F8D0000}"/>
    <cellStyle name="Normal 2 2 6 3" xfId="3609" xr:uid="{00000000-0005-0000-0000-0000508D0000}"/>
    <cellStyle name="Normal 2 2 6 3 2" xfId="3610" xr:uid="{00000000-0005-0000-0000-0000518D0000}"/>
    <cellStyle name="Normal 2 2 6 3 2 2" xfId="12250" xr:uid="{00000000-0005-0000-0000-0000528D0000}"/>
    <cellStyle name="Normal 2 2 6 3 2 3" xfId="18035" xr:uid="{00000000-0005-0000-0000-0000538D0000}"/>
    <cellStyle name="Normal 2 2 6 3 3" xfId="3611" xr:uid="{00000000-0005-0000-0000-0000548D0000}"/>
    <cellStyle name="Normal 2 2 6 3 3 2" xfId="12251" xr:uid="{00000000-0005-0000-0000-0000558D0000}"/>
    <cellStyle name="Normal 2 2 6 3 3 3" xfId="18036" xr:uid="{00000000-0005-0000-0000-0000568D0000}"/>
    <cellStyle name="Normal 2 2 6 3 4" xfId="3612" xr:uid="{00000000-0005-0000-0000-0000578D0000}"/>
    <cellStyle name="Normal 2 2 6 3 4 2" xfId="12252" xr:uid="{00000000-0005-0000-0000-0000588D0000}"/>
    <cellStyle name="Normal 2 2 6 3 4 3" xfId="18037" xr:uid="{00000000-0005-0000-0000-0000598D0000}"/>
    <cellStyle name="Normal 2 2 6 3 5" xfId="3613" xr:uid="{00000000-0005-0000-0000-00005A8D0000}"/>
    <cellStyle name="Normal 2 2 6 3 5 2" xfId="12253" xr:uid="{00000000-0005-0000-0000-00005B8D0000}"/>
    <cellStyle name="Normal 2 2 6 3 5 3" xfId="18038" xr:uid="{00000000-0005-0000-0000-00005C8D0000}"/>
    <cellStyle name="Normal 2 2 6 3 6" xfId="12249" xr:uid="{00000000-0005-0000-0000-00005D8D0000}"/>
    <cellStyle name="Normal 2 2 6 3 7" xfId="18034" xr:uid="{00000000-0005-0000-0000-00005E8D0000}"/>
    <cellStyle name="Normal 2 2 6 3_LNG &amp; LPG rework" xfId="7112" xr:uid="{00000000-0005-0000-0000-00005F8D0000}"/>
    <cellStyle name="Normal 2 2 6 4" xfId="3614" xr:uid="{00000000-0005-0000-0000-0000608D0000}"/>
    <cellStyle name="Normal 2 2 6 4 2" xfId="12254" xr:uid="{00000000-0005-0000-0000-0000618D0000}"/>
    <cellStyle name="Normal 2 2 6 4 3" xfId="18039" xr:uid="{00000000-0005-0000-0000-0000628D0000}"/>
    <cellStyle name="Normal 2 2 6 5" xfId="3615" xr:uid="{00000000-0005-0000-0000-0000638D0000}"/>
    <cellStyle name="Normal 2 2 6 5 2" xfId="12255" xr:uid="{00000000-0005-0000-0000-0000648D0000}"/>
    <cellStyle name="Normal 2 2 6 5 3" xfId="18040" xr:uid="{00000000-0005-0000-0000-0000658D0000}"/>
    <cellStyle name="Normal 2 2 6 6" xfId="3616" xr:uid="{00000000-0005-0000-0000-0000668D0000}"/>
    <cellStyle name="Normal 2 2 6 6 2" xfId="12256" xr:uid="{00000000-0005-0000-0000-0000678D0000}"/>
    <cellStyle name="Normal 2 2 6 6 3" xfId="18041" xr:uid="{00000000-0005-0000-0000-0000688D0000}"/>
    <cellStyle name="Normal 2 2 6 7" xfId="3617" xr:uid="{00000000-0005-0000-0000-0000698D0000}"/>
    <cellStyle name="Normal 2 2 6 7 2" xfId="12257" xr:uid="{00000000-0005-0000-0000-00006A8D0000}"/>
    <cellStyle name="Normal 2 2 6 7 3" xfId="18042" xr:uid="{00000000-0005-0000-0000-00006B8D0000}"/>
    <cellStyle name="Normal 2 2 6 8" xfId="3618" xr:uid="{00000000-0005-0000-0000-00006C8D0000}"/>
    <cellStyle name="Normal 2 2 6 8 2" xfId="12258" xr:uid="{00000000-0005-0000-0000-00006D8D0000}"/>
    <cellStyle name="Normal 2 2 6 8 3" xfId="18043" xr:uid="{00000000-0005-0000-0000-00006E8D0000}"/>
    <cellStyle name="Normal 2 2 6 9" xfId="9241" xr:uid="{00000000-0005-0000-0000-00006F8D0000}"/>
    <cellStyle name="Normal 2 2 6_LNG &amp; LPG rework" xfId="7110" xr:uid="{00000000-0005-0000-0000-0000708D0000}"/>
    <cellStyle name="Normal 2 2 7" xfId="403" xr:uid="{00000000-0005-0000-0000-0000718D0000}"/>
    <cellStyle name="Normal 2 2 7 2" xfId="3619" xr:uid="{00000000-0005-0000-0000-0000728D0000}"/>
    <cellStyle name="Normal 2 2 7 2 2" xfId="12259" xr:uid="{00000000-0005-0000-0000-0000738D0000}"/>
    <cellStyle name="Normal 2 2 7 2 3" xfId="18045" xr:uid="{00000000-0005-0000-0000-0000748D0000}"/>
    <cellStyle name="Normal 2 2 7 3" xfId="3620" xr:uid="{00000000-0005-0000-0000-0000758D0000}"/>
    <cellStyle name="Normal 2 2 7 3 2" xfId="12260" xr:uid="{00000000-0005-0000-0000-0000768D0000}"/>
    <cellStyle name="Normal 2 2 7 3 3" xfId="18046" xr:uid="{00000000-0005-0000-0000-0000778D0000}"/>
    <cellStyle name="Normal 2 2 7 4" xfId="9243" xr:uid="{00000000-0005-0000-0000-0000788D0000}"/>
    <cellStyle name="Normal 2 2 7 5" xfId="18044" xr:uid="{00000000-0005-0000-0000-0000798D0000}"/>
    <cellStyle name="Normal 2 2 7_LNG &amp; LPG rework" xfId="7113" xr:uid="{00000000-0005-0000-0000-00007A8D0000}"/>
    <cellStyle name="Normal 2 2 8" xfId="371" xr:uid="{00000000-0005-0000-0000-00007B8D0000}"/>
    <cellStyle name="Normal 2 2 8 2" xfId="3621" xr:uid="{00000000-0005-0000-0000-00007C8D0000}"/>
    <cellStyle name="Normal 2 2 8 2 2" xfId="12261" xr:uid="{00000000-0005-0000-0000-00007D8D0000}"/>
    <cellStyle name="Normal 2 2 8 2 3" xfId="18048" xr:uid="{00000000-0005-0000-0000-00007E8D0000}"/>
    <cellStyle name="Normal 2 2 8 3" xfId="3622" xr:uid="{00000000-0005-0000-0000-00007F8D0000}"/>
    <cellStyle name="Normal 2 2 8 3 2" xfId="12262" xr:uid="{00000000-0005-0000-0000-0000808D0000}"/>
    <cellStyle name="Normal 2 2 8 3 3" xfId="18049" xr:uid="{00000000-0005-0000-0000-0000818D0000}"/>
    <cellStyle name="Normal 2 2 8 4" xfId="3623" xr:uid="{00000000-0005-0000-0000-0000828D0000}"/>
    <cellStyle name="Normal 2 2 8 4 2" xfId="12263" xr:uid="{00000000-0005-0000-0000-0000838D0000}"/>
    <cellStyle name="Normal 2 2 8 4 3" xfId="18050" xr:uid="{00000000-0005-0000-0000-0000848D0000}"/>
    <cellStyle name="Normal 2 2 8 5" xfId="3624" xr:uid="{00000000-0005-0000-0000-0000858D0000}"/>
    <cellStyle name="Normal 2 2 8 5 2" xfId="12264" xr:uid="{00000000-0005-0000-0000-0000868D0000}"/>
    <cellStyle name="Normal 2 2 8 5 3" xfId="18051" xr:uid="{00000000-0005-0000-0000-0000878D0000}"/>
    <cellStyle name="Normal 2 2 8 6" xfId="9212" xr:uid="{00000000-0005-0000-0000-0000888D0000}"/>
    <cellStyle name="Normal 2 2 8 7" xfId="18047" xr:uid="{00000000-0005-0000-0000-0000898D0000}"/>
    <cellStyle name="Normal 2 2 8_LNG &amp; LPG rework" xfId="7114" xr:uid="{00000000-0005-0000-0000-00008A8D0000}"/>
    <cellStyle name="Normal 2 2 9" xfId="3625" xr:uid="{00000000-0005-0000-0000-00008B8D0000}"/>
    <cellStyle name="Normal 2 2 9 2" xfId="3626" xr:uid="{00000000-0005-0000-0000-00008C8D0000}"/>
    <cellStyle name="Normal 2 2 9 2 2" xfId="12266" xr:uid="{00000000-0005-0000-0000-00008D8D0000}"/>
    <cellStyle name="Normal 2 2 9 2 3" xfId="18053" xr:uid="{00000000-0005-0000-0000-00008E8D0000}"/>
    <cellStyle name="Normal 2 2 9 3" xfId="3627" xr:uid="{00000000-0005-0000-0000-00008F8D0000}"/>
    <cellStyle name="Normal 2 2 9 3 2" xfId="12267" xr:uid="{00000000-0005-0000-0000-0000908D0000}"/>
    <cellStyle name="Normal 2 2 9 3 3" xfId="18054" xr:uid="{00000000-0005-0000-0000-0000918D0000}"/>
    <cellStyle name="Normal 2 2 9 4" xfId="3628" xr:uid="{00000000-0005-0000-0000-0000928D0000}"/>
    <cellStyle name="Normal 2 2 9 4 2" xfId="12268" xr:uid="{00000000-0005-0000-0000-0000938D0000}"/>
    <cellStyle name="Normal 2 2 9 4 3" xfId="18055" xr:uid="{00000000-0005-0000-0000-0000948D0000}"/>
    <cellStyle name="Normal 2 2 9 5" xfId="3629" xr:uid="{00000000-0005-0000-0000-0000958D0000}"/>
    <cellStyle name="Normal 2 2 9 5 2" xfId="12269" xr:uid="{00000000-0005-0000-0000-0000968D0000}"/>
    <cellStyle name="Normal 2 2 9 5 3" xfId="18056" xr:uid="{00000000-0005-0000-0000-0000978D0000}"/>
    <cellStyle name="Normal 2 2 9 6" xfId="12265" xr:uid="{00000000-0005-0000-0000-0000988D0000}"/>
    <cellStyle name="Normal 2 2 9 7" xfId="18052" xr:uid="{00000000-0005-0000-0000-0000998D0000}"/>
    <cellStyle name="Normal 2 2 9_LNG &amp; LPG rework" xfId="7115" xr:uid="{00000000-0005-0000-0000-00009A8D0000}"/>
    <cellStyle name="Normal 2 2_LNG &amp; LPG rework" xfId="7060" xr:uid="{00000000-0005-0000-0000-00009B8D0000}"/>
    <cellStyle name="Normal 2 3" xfId="404" xr:uid="{00000000-0005-0000-0000-00009C8D0000}"/>
    <cellStyle name="Normal 2 3 2" xfId="3630" xr:uid="{00000000-0005-0000-0000-00009D8D0000}"/>
    <cellStyle name="Normal 2 3 3" xfId="3631" xr:uid="{00000000-0005-0000-0000-00009E8D0000}"/>
    <cellStyle name="Normal 2 3 4" xfId="39183" xr:uid="{00000000-0005-0000-0000-00009F8D0000}"/>
    <cellStyle name="Normal 2 4" xfId="405" xr:uid="{00000000-0005-0000-0000-0000A08D0000}"/>
    <cellStyle name="Normal 2 4 10" xfId="3632" xr:uid="{00000000-0005-0000-0000-0000A18D0000}"/>
    <cellStyle name="Normal 2 4 10 2" xfId="12270" xr:uid="{00000000-0005-0000-0000-0000A28D0000}"/>
    <cellStyle name="Normal 2 4 10 3" xfId="18057" xr:uid="{00000000-0005-0000-0000-0000A38D0000}"/>
    <cellStyle name="Normal 2 4 11" xfId="3633" xr:uid="{00000000-0005-0000-0000-0000A48D0000}"/>
    <cellStyle name="Normal 2 4 11 2" xfId="12271" xr:uid="{00000000-0005-0000-0000-0000A58D0000}"/>
    <cellStyle name="Normal 2 4 11 3" xfId="18058" xr:uid="{00000000-0005-0000-0000-0000A68D0000}"/>
    <cellStyle name="Normal 2 4 12" xfId="3634" xr:uid="{00000000-0005-0000-0000-0000A78D0000}"/>
    <cellStyle name="Normal 2 4 12 2" xfId="12272" xr:uid="{00000000-0005-0000-0000-0000A88D0000}"/>
    <cellStyle name="Normal 2 4 12 3" xfId="18059" xr:uid="{00000000-0005-0000-0000-0000A98D0000}"/>
    <cellStyle name="Normal 2 4 13" xfId="7827" xr:uid="{00000000-0005-0000-0000-0000AA8D0000}"/>
    <cellStyle name="Normal 2 4 2" xfId="406" xr:uid="{00000000-0005-0000-0000-0000AB8D0000}"/>
    <cellStyle name="Normal 2 4 2 2" xfId="407" xr:uid="{00000000-0005-0000-0000-0000AC8D0000}"/>
    <cellStyle name="Normal 2 4 2 2 10" xfId="3635" xr:uid="{00000000-0005-0000-0000-0000AD8D0000}"/>
    <cellStyle name="Normal 2 4 2 2 10 2" xfId="12273" xr:uid="{00000000-0005-0000-0000-0000AE8D0000}"/>
    <cellStyle name="Normal 2 4 2 2 10 3" xfId="18062" xr:uid="{00000000-0005-0000-0000-0000AF8D0000}"/>
    <cellStyle name="Normal 2 4 2 2 11" xfId="3636" xr:uid="{00000000-0005-0000-0000-0000B08D0000}"/>
    <cellStyle name="Normal 2 4 2 2 11 2" xfId="12274" xr:uid="{00000000-0005-0000-0000-0000B18D0000}"/>
    <cellStyle name="Normal 2 4 2 2 11 3" xfId="18063" xr:uid="{00000000-0005-0000-0000-0000B28D0000}"/>
    <cellStyle name="Normal 2 4 2 2 12" xfId="9245" xr:uid="{00000000-0005-0000-0000-0000B38D0000}"/>
    <cellStyle name="Normal 2 4 2 2 13" xfId="18061" xr:uid="{00000000-0005-0000-0000-0000B48D0000}"/>
    <cellStyle name="Normal 2 4 2 2 2" xfId="408" xr:uid="{00000000-0005-0000-0000-0000B58D0000}"/>
    <cellStyle name="Normal 2 4 2 2 2 10" xfId="3637" xr:uid="{00000000-0005-0000-0000-0000B68D0000}"/>
    <cellStyle name="Normal 2 4 2 2 2 10 2" xfId="12275" xr:uid="{00000000-0005-0000-0000-0000B78D0000}"/>
    <cellStyle name="Normal 2 4 2 2 2 10 3" xfId="18065" xr:uid="{00000000-0005-0000-0000-0000B88D0000}"/>
    <cellStyle name="Normal 2 4 2 2 2 11" xfId="9246" xr:uid="{00000000-0005-0000-0000-0000B98D0000}"/>
    <cellStyle name="Normal 2 4 2 2 2 12" xfId="18064" xr:uid="{00000000-0005-0000-0000-0000BA8D0000}"/>
    <cellStyle name="Normal 2 4 2 2 2 2" xfId="409" xr:uid="{00000000-0005-0000-0000-0000BB8D0000}"/>
    <cellStyle name="Normal 2 4 2 2 2 2 10" xfId="18066" xr:uid="{00000000-0005-0000-0000-0000BC8D0000}"/>
    <cellStyle name="Normal 2 4 2 2 2 2 2" xfId="410" xr:uid="{00000000-0005-0000-0000-0000BD8D0000}"/>
    <cellStyle name="Normal 2 4 2 2 2 2 2 2" xfId="3638" xr:uid="{00000000-0005-0000-0000-0000BE8D0000}"/>
    <cellStyle name="Normal 2 4 2 2 2 2 2 2 2" xfId="12276" xr:uid="{00000000-0005-0000-0000-0000BF8D0000}"/>
    <cellStyle name="Normal 2 4 2 2 2 2 2 2 3" xfId="18068" xr:uid="{00000000-0005-0000-0000-0000C08D0000}"/>
    <cellStyle name="Normal 2 4 2 2 2 2 2 3" xfId="3639" xr:uid="{00000000-0005-0000-0000-0000C18D0000}"/>
    <cellStyle name="Normal 2 4 2 2 2 2 2 3 2" xfId="12277" xr:uid="{00000000-0005-0000-0000-0000C28D0000}"/>
    <cellStyle name="Normal 2 4 2 2 2 2 2 3 3" xfId="18069" xr:uid="{00000000-0005-0000-0000-0000C38D0000}"/>
    <cellStyle name="Normal 2 4 2 2 2 2 2 4" xfId="3640" xr:uid="{00000000-0005-0000-0000-0000C48D0000}"/>
    <cellStyle name="Normal 2 4 2 2 2 2 2 4 2" xfId="12278" xr:uid="{00000000-0005-0000-0000-0000C58D0000}"/>
    <cellStyle name="Normal 2 4 2 2 2 2 2 4 3" xfId="18070" xr:uid="{00000000-0005-0000-0000-0000C68D0000}"/>
    <cellStyle name="Normal 2 4 2 2 2 2 2 5" xfId="3641" xr:uid="{00000000-0005-0000-0000-0000C78D0000}"/>
    <cellStyle name="Normal 2 4 2 2 2 2 2 5 2" xfId="12279" xr:uid="{00000000-0005-0000-0000-0000C88D0000}"/>
    <cellStyle name="Normal 2 4 2 2 2 2 2 5 3" xfId="18071" xr:uid="{00000000-0005-0000-0000-0000C98D0000}"/>
    <cellStyle name="Normal 2 4 2 2 2 2 2 6" xfId="3642" xr:uid="{00000000-0005-0000-0000-0000CA8D0000}"/>
    <cellStyle name="Normal 2 4 2 2 2 2 2 6 2" xfId="12280" xr:uid="{00000000-0005-0000-0000-0000CB8D0000}"/>
    <cellStyle name="Normal 2 4 2 2 2 2 2 6 3" xfId="18072" xr:uid="{00000000-0005-0000-0000-0000CC8D0000}"/>
    <cellStyle name="Normal 2 4 2 2 2 2 2 7" xfId="9248" xr:uid="{00000000-0005-0000-0000-0000CD8D0000}"/>
    <cellStyle name="Normal 2 4 2 2 2 2 2 8" xfId="18067" xr:uid="{00000000-0005-0000-0000-0000CE8D0000}"/>
    <cellStyle name="Normal 2 4 2 2 2 2 2_LNG &amp; LPG rework" xfId="7120" xr:uid="{00000000-0005-0000-0000-0000CF8D0000}"/>
    <cellStyle name="Normal 2 4 2 2 2 2 3" xfId="3643" xr:uid="{00000000-0005-0000-0000-0000D08D0000}"/>
    <cellStyle name="Normal 2 4 2 2 2 2 3 2" xfId="3644" xr:uid="{00000000-0005-0000-0000-0000D18D0000}"/>
    <cellStyle name="Normal 2 4 2 2 2 2 3 2 2" xfId="12282" xr:uid="{00000000-0005-0000-0000-0000D28D0000}"/>
    <cellStyle name="Normal 2 4 2 2 2 2 3 2 3" xfId="18074" xr:uid="{00000000-0005-0000-0000-0000D38D0000}"/>
    <cellStyle name="Normal 2 4 2 2 2 2 3 3" xfId="3645" xr:uid="{00000000-0005-0000-0000-0000D48D0000}"/>
    <cellStyle name="Normal 2 4 2 2 2 2 3 3 2" xfId="12283" xr:uid="{00000000-0005-0000-0000-0000D58D0000}"/>
    <cellStyle name="Normal 2 4 2 2 2 2 3 3 3" xfId="18075" xr:uid="{00000000-0005-0000-0000-0000D68D0000}"/>
    <cellStyle name="Normal 2 4 2 2 2 2 3 4" xfId="3646" xr:uid="{00000000-0005-0000-0000-0000D78D0000}"/>
    <cellStyle name="Normal 2 4 2 2 2 2 3 4 2" xfId="12284" xr:uid="{00000000-0005-0000-0000-0000D88D0000}"/>
    <cellStyle name="Normal 2 4 2 2 2 2 3 4 3" xfId="18076" xr:uid="{00000000-0005-0000-0000-0000D98D0000}"/>
    <cellStyle name="Normal 2 4 2 2 2 2 3 5" xfId="3647" xr:uid="{00000000-0005-0000-0000-0000DA8D0000}"/>
    <cellStyle name="Normal 2 4 2 2 2 2 3 5 2" xfId="12285" xr:uid="{00000000-0005-0000-0000-0000DB8D0000}"/>
    <cellStyle name="Normal 2 4 2 2 2 2 3 5 3" xfId="18077" xr:uid="{00000000-0005-0000-0000-0000DC8D0000}"/>
    <cellStyle name="Normal 2 4 2 2 2 2 3 6" xfId="12281" xr:uid="{00000000-0005-0000-0000-0000DD8D0000}"/>
    <cellStyle name="Normal 2 4 2 2 2 2 3 7" xfId="18073" xr:uid="{00000000-0005-0000-0000-0000DE8D0000}"/>
    <cellStyle name="Normal 2 4 2 2 2 2 3_LNG &amp; LPG rework" xfId="7121" xr:uid="{00000000-0005-0000-0000-0000DF8D0000}"/>
    <cellStyle name="Normal 2 4 2 2 2 2 4" xfId="3648" xr:uid="{00000000-0005-0000-0000-0000E08D0000}"/>
    <cellStyle name="Normal 2 4 2 2 2 2 4 2" xfId="12286" xr:uid="{00000000-0005-0000-0000-0000E18D0000}"/>
    <cellStyle name="Normal 2 4 2 2 2 2 4 3" xfId="18078" xr:uid="{00000000-0005-0000-0000-0000E28D0000}"/>
    <cellStyle name="Normal 2 4 2 2 2 2 5" xfId="3649" xr:uid="{00000000-0005-0000-0000-0000E38D0000}"/>
    <cellStyle name="Normal 2 4 2 2 2 2 5 2" xfId="12287" xr:uid="{00000000-0005-0000-0000-0000E48D0000}"/>
    <cellStyle name="Normal 2 4 2 2 2 2 5 3" xfId="18079" xr:uid="{00000000-0005-0000-0000-0000E58D0000}"/>
    <cellStyle name="Normal 2 4 2 2 2 2 6" xfId="3650" xr:uid="{00000000-0005-0000-0000-0000E68D0000}"/>
    <cellStyle name="Normal 2 4 2 2 2 2 6 2" xfId="12288" xr:uid="{00000000-0005-0000-0000-0000E78D0000}"/>
    <cellStyle name="Normal 2 4 2 2 2 2 6 3" xfId="18080" xr:uid="{00000000-0005-0000-0000-0000E88D0000}"/>
    <cellStyle name="Normal 2 4 2 2 2 2 7" xfId="3651" xr:uid="{00000000-0005-0000-0000-0000E98D0000}"/>
    <cellStyle name="Normal 2 4 2 2 2 2 7 2" xfId="12289" xr:uid="{00000000-0005-0000-0000-0000EA8D0000}"/>
    <cellStyle name="Normal 2 4 2 2 2 2 7 3" xfId="18081" xr:uid="{00000000-0005-0000-0000-0000EB8D0000}"/>
    <cellStyle name="Normal 2 4 2 2 2 2 8" xfId="3652" xr:uid="{00000000-0005-0000-0000-0000EC8D0000}"/>
    <cellStyle name="Normal 2 4 2 2 2 2 8 2" xfId="12290" xr:uid="{00000000-0005-0000-0000-0000ED8D0000}"/>
    <cellStyle name="Normal 2 4 2 2 2 2 8 3" xfId="18082" xr:uid="{00000000-0005-0000-0000-0000EE8D0000}"/>
    <cellStyle name="Normal 2 4 2 2 2 2 9" xfId="9247" xr:uid="{00000000-0005-0000-0000-0000EF8D0000}"/>
    <cellStyle name="Normal 2 4 2 2 2 2_LNG &amp; LPG rework" xfId="7119" xr:uid="{00000000-0005-0000-0000-0000F08D0000}"/>
    <cellStyle name="Normal 2 4 2 2 2 3" xfId="411" xr:uid="{00000000-0005-0000-0000-0000F18D0000}"/>
    <cellStyle name="Normal 2 4 2 2 2 3 2" xfId="3653" xr:uid="{00000000-0005-0000-0000-0000F28D0000}"/>
    <cellStyle name="Normal 2 4 2 2 2 3 2 2" xfId="12291" xr:uid="{00000000-0005-0000-0000-0000F38D0000}"/>
    <cellStyle name="Normal 2 4 2 2 2 3 2 3" xfId="18084" xr:uid="{00000000-0005-0000-0000-0000F48D0000}"/>
    <cellStyle name="Normal 2 4 2 2 2 3 3" xfId="3654" xr:uid="{00000000-0005-0000-0000-0000F58D0000}"/>
    <cellStyle name="Normal 2 4 2 2 2 3 3 2" xfId="12292" xr:uid="{00000000-0005-0000-0000-0000F68D0000}"/>
    <cellStyle name="Normal 2 4 2 2 2 3 3 3" xfId="18085" xr:uid="{00000000-0005-0000-0000-0000F78D0000}"/>
    <cellStyle name="Normal 2 4 2 2 2 3 4" xfId="3655" xr:uid="{00000000-0005-0000-0000-0000F88D0000}"/>
    <cellStyle name="Normal 2 4 2 2 2 3 4 2" xfId="12293" xr:uid="{00000000-0005-0000-0000-0000F98D0000}"/>
    <cellStyle name="Normal 2 4 2 2 2 3 4 3" xfId="18086" xr:uid="{00000000-0005-0000-0000-0000FA8D0000}"/>
    <cellStyle name="Normal 2 4 2 2 2 3 5" xfId="3656" xr:uid="{00000000-0005-0000-0000-0000FB8D0000}"/>
    <cellStyle name="Normal 2 4 2 2 2 3 5 2" xfId="12294" xr:uid="{00000000-0005-0000-0000-0000FC8D0000}"/>
    <cellStyle name="Normal 2 4 2 2 2 3 5 3" xfId="18087" xr:uid="{00000000-0005-0000-0000-0000FD8D0000}"/>
    <cellStyle name="Normal 2 4 2 2 2 3 6" xfId="3657" xr:uid="{00000000-0005-0000-0000-0000FE8D0000}"/>
    <cellStyle name="Normal 2 4 2 2 2 3 6 2" xfId="12295" xr:uid="{00000000-0005-0000-0000-0000FF8D0000}"/>
    <cellStyle name="Normal 2 4 2 2 2 3 6 3" xfId="18088" xr:uid="{00000000-0005-0000-0000-0000008E0000}"/>
    <cellStyle name="Normal 2 4 2 2 2 3 7" xfId="9249" xr:uid="{00000000-0005-0000-0000-0000018E0000}"/>
    <cellStyle name="Normal 2 4 2 2 2 3 8" xfId="18083" xr:uid="{00000000-0005-0000-0000-0000028E0000}"/>
    <cellStyle name="Normal 2 4 2 2 2 3_LNG &amp; LPG rework" xfId="7122" xr:uid="{00000000-0005-0000-0000-0000038E0000}"/>
    <cellStyle name="Normal 2 4 2 2 2 4" xfId="3658" xr:uid="{00000000-0005-0000-0000-0000048E0000}"/>
    <cellStyle name="Normal 2 4 2 2 2 4 2" xfId="3659" xr:uid="{00000000-0005-0000-0000-0000058E0000}"/>
    <cellStyle name="Normal 2 4 2 2 2 4 2 2" xfId="12297" xr:uid="{00000000-0005-0000-0000-0000068E0000}"/>
    <cellStyle name="Normal 2 4 2 2 2 4 2 3" xfId="18090" xr:uid="{00000000-0005-0000-0000-0000078E0000}"/>
    <cellStyle name="Normal 2 4 2 2 2 4 3" xfId="3660" xr:uid="{00000000-0005-0000-0000-0000088E0000}"/>
    <cellStyle name="Normal 2 4 2 2 2 4 3 2" xfId="12298" xr:uid="{00000000-0005-0000-0000-0000098E0000}"/>
    <cellStyle name="Normal 2 4 2 2 2 4 3 3" xfId="18091" xr:uid="{00000000-0005-0000-0000-00000A8E0000}"/>
    <cellStyle name="Normal 2 4 2 2 2 4 4" xfId="3661" xr:uid="{00000000-0005-0000-0000-00000B8E0000}"/>
    <cellStyle name="Normal 2 4 2 2 2 4 4 2" xfId="12299" xr:uid="{00000000-0005-0000-0000-00000C8E0000}"/>
    <cellStyle name="Normal 2 4 2 2 2 4 4 3" xfId="18092" xr:uid="{00000000-0005-0000-0000-00000D8E0000}"/>
    <cellStyle name="Normal 2 4 2 2 2 4 5" xfId="3662" xr:uid="{00000000-0005-0000-0000-00000E8E0000}"/>
    <cellStyle name="Normal 2 4 2 2 2 4 5 2" xfId="12300" xr:uid="{00000000-0005-0000-0000-00000F8E0000}"/>
    <cellStyle name="Normal 2 4 2 2 2 4 5 3" xfId="18093" xr:uid="{00000000-0005-0000-0000-0000108E0000}"/>
    <cellStyle name="Normal 2 4 2 2 2 4 6" xfId="12296" xr:uid="{00000000-0005-0000-0000-0000118E0000}"/>
    <cellStyle name="Normal 2 4 2 2 2 4 7" xfId="18089" xr:uid="{00000000-0005-0000-0000-0000128E0000}"/>
    <cellStyle name="Normal 2 4 2 2 2 4_LNG &amp; LPG rework" xfId="7123" xr:uid="{00000000-0005-0000-0000-0000138E0000}"/>
    <cellStyle name="Normal 2 4 2 2 2 5" xfId="3663" xr:uid="{00000000-0005-0000-0000-0000148E0000}"/>
    <cellStyle name="Normal 2 4 2 2 2 5 2" xfId="3664" xr:uid="{00000000-0005-0000-0000-0000158E0000}"/>
    <cellStyle name="Normal 2 4 2 2 2 5 2 2" xfId="12302" xr:uid="{00000000-0005-0000-0000-0000168E0000}"/>
    <cellStyle name="Normal 2 4 2 2 2 5 2 3" xfId="18095" xr:uid="{00000000-0005-0000-0000-0000178E0000}"/>
    <cellStyle name="Normal 2 4 2 2 2 5 3" xfId="3665" xr:uid="{00000000-0005-0000-0000-0000188E0000}"/>
    <cellStyle name="Normal 2 4 2 2 2 5 3 2" xfId="12303" xr:uid="{00000000-0005-0000-0000-0000198E0000}"/>
    <cellStyle name="Normal 2 4 2 2 2 5 3 3" xfId="18096" xr:uid="{00000000-0005-0000-0000-00001A8E0000}"/>
    <cellStyle name="Normal 2 4 2 2 2 5 4" xfId="3666" xr:uid="{00000000-0005-0000-0000-00001B8E0000}"/>
    <cellStyle name="Normal 2 4 2 2 2 5 4 2" xfId="12304" xr:uid="{00000000-0005-0000-0000-00001C8E0000}"/>
    <cellStyle name="Normal 2 4 2 2 2 5 4 3" xfId="18097" xr:uid="{00000000-0005-0000-0000-00001D8E0000}"/>
    <cellStyle name="Normal 2 4 2 2 2 5 5" xfId="3667" xr:uid="{00000000-0005-0000-0000-00001E8E0000}"/>
    <cellStyle name="Normal 2 4 2 2 2 5 5 2" xfId="12305" xr:uid="{00000000-0005-0000-0000-00001F8E0000}"/>
    <cellStyle name="Normal 2 4 2 2 2 5 5 3" xfId="18098" xr:uid="{00000000-0005-0000-0000-0000208E0000}"/>
    <cellStyle name="Normal 2 4 2 2 2 5 6" xfId="12301" xr:uid="{00000000-0005-0000-0000-0000218E0000}"/>
    <cellStyle name="Normal 2 4 2 2 2 5 7" xfId="18094" xr:uid="{00000000-0005-0000-0000-0000228E0000}"/>
    <cellStyle name="Normal 2 4 2 2 2 5_LNG &amp; LPG rework" xfId="7124" xr:uid="{00000000-0005-0000-0000-0000238E0000}"/>
    <cellStyle name="Normal 2 4 2 2 2 6" xfId="3668" xr:uid="{00000000-0005-0000-0000-0000248E0000}"/>
    <cellStyle name="Normal 2 4 2 2 2 6 2" xfId="12306" xr:uid="{00000000-0005-0000-0000-0000258E0000}"/>
    <cellStyle name="Normal 2 4 2 2 2 6 3" xfId="18099" xr:uid="{00000000-0005-0000-0000-0000268E0000}"/>
    <cellStyle name="Normal 2 4 2 2 2 7" xfId="3669" xr:uid="{00000000-0005-0000-0000-0000278E0000}"/>
    <cellStyle name="Normal 2 4 2 2 2 7 2" xfId="12307" xr:uid="{00000000-0005-0000-0000-0000288E0000}"/>
    <cellStyle name="Normal 2 4 2 2 2 7 3" xfId="18100" xr:uid="{00000000-0005-0000-0000-0000298E0000}"/>
    <cellStyle name="Normal 2 4 2 2 2 8" xfId="3670" xr:uid="{00000000-0005-0000-0000-00002A8E0000}"/>
    <cellStyle name="Normal 2 4 2 2 2 8 2" xfId="12308" xr:uid="{00000000-0005-0000-0000-00002B8E0000}"/>
    <cellStyle name="Normal 2 4 2 2 2 8 3" xfId="18101" xr:uid="{00000000-0005-0000-0000-00002C8E0000}"/>
    <cellStyle name="Normal 2 4 2 2 2 9" xfId="3671" xr:uid="{00000000-0005-0000-0000-00002D8E0000}"/>
    <cellStyle name="Normal 2 4 2 2 2 9 2" xfId="12309" xr:uid="{00000000-0005-0000-0000-00002E8E0000}"/>
    <cellStyle name="Normal 2 4 2 2 2 9 3" xfId="18102" xr:uid="{00000000-0005-0000-0000-00002F8E0000}"/>
    <cellStyle name="Normal 2 4 2 2 2_LNG &amp; LPG rework" xfId="7118" xr:uid="{00000000-0005-0000-0000-0000308E0000}"/>
    <cellStyle name="Normal 2 4 2 2 3" xfId="412" xr:uid="{00000000-0005-0000-0000-0000318E0000}"/>
    <cellStyle name="Normal 2 4 2 2 3 10" xfId="18103" xr:uid="{00000000-0005-0000-0000-0000328E0000}"/>
    <cellStyle name="Normal 2 4 2 2 3 2" xfId="413" xr:uid="{00000000-0005-0000-0000-0000338E0000}"/>
    <cellStyle name="Normal 2 4 2 2 3 2 2" xfId="3672" xr:uid="{00000000-0005-0000-0000-0000348E0000}"/>
    <cellStyle name="Normal 2 4 2 2 3 2 2 2" xfId="12310" xr:uid="{00000000-0005-0000-0000-0000358E0000}"/>
    <cellStyle name="Normal 2 4 2 2 3 2 2 3" xfId="18105" xr:uid="{00000000-0005-0000-0000-0000368E0000}"/>
    <cellStyle name="Normal 2 4 2 2 3 2 3" xfId="3673" xr:uid="{00000000-0005-0000-0000-0000378E0000}"/>
    <cellStyle name="Normal 2 4 2 2 3 2 3 2" xfId="12311" xr:uid="{00000000-0005-0000-0000-0000388E0000}"/>
    <cellStyle name="Normal 2 4 2 2 3 2 3 3" xfId="18106" xr:uid="{00000000-0005-0000-0000-0000398E0000}"/>
    <cellStyle name="Normal 2 4 2 2 3 2 4" xfId="3674" xr:uid="{00000000-0005-0000-0000-00003A8E0000}"/>
    <cellStyle name="Normal 2 4 2 2 3 2 4 2" xfId="12312" xr:uid="{00000000-0005-0000-0000-00003B8E0000}"/>
    <cellStyle name="Normal 2 4 2 2 3 2 4 3" xfId="18107" xr:uid="{00000000-0005-0000-0000-00003C8E0000}"/>
    <cellStyle name="Normal 2 4 2 2 3 2 5" xfId="3675" xr:uid="{00000000-0005-0000-0000-00003D8E0000}"/>
    <cellStyle name="Normal 2 4 2 2 3 2 5 2" xfId="12313" xr:uid="{00000000-0005-0000-0000-00003E8E0000}"/>
    <cellStyle name="Normal 2 4 2 2 3 2 5 3" xfId="18108" xr:uid="{00000000-0005-0000-0000-00003F8E0000}"/>
    <cellStyle name="Normal 2 4 2 2 3 2 6" xfId="3676" xr:uid="{00000000-0005-0000-0000-0000408E0000}"/>
    <cellStyle name="Normal 2 4 2 2 3 2 6 2" xfId="12314" xr:uid="{00000000-0005-0000-0000-0000418E0000}"/>
    <cellStyle name="Normal 2 4 2 2 3 2 6 3" xfId="18109" xr:uid="{00000000-0005-0000-0000-0000428E0000}"/>
    <cellStyle name="Normal 2 4 2 2 3 2 7" xfId="9251" xr:uid="{00000000-0005-0000-0000-0000438E0000}"/>
    <cellStyle name="Normal 2 4 2 2 3 2 8" xfId="18104" xr:uid="{00000000-0005-0000-0000-0000448E0000}"/>
    <cellStyle name="Normal 2 4 2 2 3 2_LNG &amp; LPG rework" xfId="7126" xr:uid="{00000000-0005-0000-0000-0000458E0000}"/>
    <cellStyle name="Normal 2 4 2 2 3 3" xfId="3677" xr:uid="{00000000-0005-0000-0000-0000468E0000}"/>
    <cellStyle name="Normal 2 4 2 2 3 3 2" xfId="3678" xr:uid="{00000000-0005-0000-0000-0000478E0000}"/>
    <cellStyle name="Normal 2 4 2 2 3 3 2 2" xfId="12316" xr:uid="{00000000-0005-0000-0000-0000488E0000}"/>
    <cellStyle name="Normal 2 4 2 2 3 3 2 3" xfId="18111" xr:uid="{00000000-0005-0000-0000-0000498E0000}"/>
    <cellStyle name="Normal 2 4 2 2 3 3 3" xfId="3679" xr:uid="{00000000-0005-0000-0000-00004A8E0000}"/>
    <cellStyle name="Normal 2 4 2 2 3 3 3 2" xfId="12317" xr:uid="{00000000-0005-0000-0000-00004B8E0000}"/>
    <cellStyle name="Normal 2 4 2 2 3 3 3 3" xfId="18112" xr:uid="{00000000-0005-0000-0000-00004C8E0000}"/>
    <cellStyle name="Normal 2 4 2 2 3 3 4" xfId="3680" xr:uid="{00000000-0005-0000-0000-00004D8E0000}"/>
    <cellStyle name="Normal 2 4 2 2 3 3 4 2" xfId="12318" xr:uid="{00000000-0005-0000-0000-00004E8E0000}"/>
    <cellStyle name="Normal 2 4 2 2 3 3 4 3" xfId="18113" xr:uid="{00000000-0005-0000-0000-00004F8E0000}"/>
    <cellStyle name="Normal 2 4 2 2 3 3 5" xfId="3681" xr:uid="{00000000-0005-0000-0000-0000508E0000}"/>
    <cellStyle name="Normal 2 4 2 2 3 3 5 2" xfId="12319" xr:uid="{00000000-0005-0000-0000-0000518E0000}"/>
    <cellStyle name="Normal 2 4 2 2 3 3 5 3" xfId="18114" xr:uid="{00000000-0005-0000-0000-0000528E0000}"/>
    <cellStyle name="Normal 2 4 2 2 3 3 6" xfId="12315" xr:uid="{00000000-0005-0000-0000-0000538E0000}"/>
    <cellStyle name="Normal 2 4 2 2 3 3 7" xfId="18110" xr:uid="{00000000-0005-0000-0000-0000548E0000}"/>
    <cellStyle name="Normal 2 4 2 2 3 3_LNG &amp; LPG rework" xfId="7127" xr:uid="{00000000-0005-0000-0000-0000558E0000}"/>
    <cellStyle name="Normal 2 4 2 2 3 4" xfId="3682" xr:uid="{00000000-0005-0000-0000-0000568E0000}"/>
    <cellStyle name="Normal 2 4 2 2 3 4 2" xfId="12320" xr:uid="{00000000-0005-0000-0000-0000578E0000}"/>
    <cellStyle name="Normal 2 4 2 2 3 4 3" xfId="18115" xr:uid="{00000000-0005-0000-0000-0000588E0000}"/>
    <cellStyle name="Normal 2 4 2 2 3 5" xfId="3683" xr:uid="{00000000-0005-0000-0000-0000598E0000}"/>
    <cellStyle name="Normal 2 4 2 2 3 5 2" xfId="12321" xr:uid="{00000000-0005-0000-0000-00005A8E0000}"/>
    <cellStyle name="Normal 2 4 2 2 3 5 3" xfId="18116" xr:uid="{00000000-0005-0000-0000-00005B8E0000}"/>
    <cellStyle name="Normal 2 4 2 2 3 6" xfId="3684" xr:uid="{00000000-0005-0000-0000-00005C8E0000}"/>
    <cellStyle name="Normal 2 4 2 2 3 6 2" xfId="12322" xr:uid="{00000000-0005-0000-0000-00005D8E0000}"/>
    <cellStyle name="Normal 2 4 2 2 3 6 3" xfId="18117" xr:uid="{00000000-0005-0000-0000-00005E8E0000}"/>
    <cellStyle name="Normal 2 4 2 2 3 7" xfId="3685" xr:uid="{00000000-0005-0000-0000-00005F8E0000}"/>
    <cellStyle name="Normal 2 4 2 2 3 7 2" xfId="12323" xr:uid="{00000000-0005-0000-0000-0000608E0000}"/>
    <cellStyle name="Normal 2 4 2 2 3 7 3" xfId="18118" xr:uid="{00000000-0005-0000-0000-0000618E0000}"/>
    <cellStyle name="Normal 2 4 2 2 3 8" xfId="3686" xr:uid="{00000000-0005-0000-0000-0000628E0000}"/>
    <cellStyle name="Normal 2 4 2 2 3 8 2" xfId="12324" xr:uid="{00000000-0005-0000-0000-0000638E0000}"/>
    <cellStyle name="Normal 2 4 2 2 3 8 3" xfId="18119" xr:uid="{00000000-0005-0000-0000-0000648E0000}"/>
    <cellStyle name="Normal 2 4 2 2 3 9" xfId="9250" xr:uid="{00000000-0005-0000-0000-0000658E0000}"/>
    <cellStyle name="Normal 2 4 2 2 3_LNG &amp; LPG rework" xfId="7125" xr:uid="{00000000-0005-0000-0000-0000668E0000}"/>
    <cellStyle name="Normal 2 4 2 2 4" xfId="414" xr:uid="{00000000-0005-0000-0000-0000678E0000}"/>
    <cellStyle name="Normal 2 4 2 2 4 2" xfId="3687" xr:uid="{00000000-0005-0000-0000-0000688E0000}"/>
    <cellStyle name="Normal 2 4 2 2 4 2 2" xfId="12325" xr:uid="{00000000-0005-0000-0000-0000698E0000}"/>
    <cellStyle name="Normal 2 4 2 2 4 2 3" xfId="18121" xr:uid="{00000000-0005-0000-0000-00006A8E0000}"/>
    <cellStyle name="Normal 2 4 2 2 4 3" xfId="3688" xr:uid="{00000000-0005-0000-0000-00006B8E0000}"/>
    <cellStyle name="Normal 2 4 2 2 4 3 2" xfId="12326" xr:uid="{00000000-0005-0000-0000-00006C8E0000}"/>
    <cellStyle name="Normal 2 4 2 2 4 3 3" xfId="18122" xr:uid="{00000000-0005-0000-0000-00006D8E0000}"/>
    <cellStyle name="Normal 2 4 2 2 4 4" xfId="3689" xr:uid="{00000000-0005-0000-0000-00006E8E0000}"/>
    <cellStyle name="Normal 2 4 2 2 4 4 2" xfId="12327" xr:uid="{00000000-0005-0000-0000-00006F8E0000}"/>
    <cellStyle name="Normal 2 4 2 2 4 4 3" xfId="18123" xr:uid="{00000000-0005-0000-0000-0000708E0000}"/>
    <cellStyle name="Normal 2 4 2 2 4 5" xfId="3690" xr:uid="{00000000-0005-0000-0000-0000718E0000}"/>
    <cellStyle name="Normal 2 4 2 2 4 5 2" xfId="12328" xr:uid="{00000000-0005-0000-0000-0000728E0000}"/>
    <cellStyle name="Normal 2 4 2 2 4 5 3" xfId="18124" xr:uid="{00000000-0005-0000-0000-0000738E0000}"/>
    <cellStyle name="Normal 2 4 2 2 4 6" xfId="3691" xr:uid="{00000000-0005-0000-0000-0000748E0000}"/>
    <cellStyle name="Normal 2 4 2 2 4 6 2" xfId="12329" xr:uid="{00000000-0005-0000-0000-0000758E0000}"/>
    <cellStyle name="Normal 2 4 2 2 4 6 3" xfId="18125" xr:uid="{00000000-0005-0000-0000-0000768E0000}"/>
    <cellStyle name="Normal 2 4 2 2 4 7" xfId="9252" xr:uid="{00000000-0005-0000-0000-0000778E0000}"/>
    <cellStyle name="Normal 2 4 2 2 4 8" xfId="18120" xr:uid="{00000000-0005-0000-0000-0000788E0000}"/>
    <cellStyle name="Normal 2 4 2 2 4_LNG &amp; LPG rework" xfId="7128" xr:uid="{00000000-0005-0000-0000-0000798E0000}"/>
    <cellStyle name="Normal 2 4 2 2 5" xfId="3692" xr:uid="{00000000-0005-0000-0000-00007A8E0000}"/>
    <cellStyle name="Normal 2 4 2 2 5 2" xfId="3693" xr:uid="{00000000-0005-0000-0000-00007B8E0000}"/>
    <cellStyle name="Normal 2 4 2 2 5 2 2" xfId="12331" xr:uid="{00000000-0005-0000-0000-00007C8E0000}"/>
    <cellStyle name="Normal 2 4 2 2 5 2 3" xfId="18127" xr:uid="{00000000-0005-0000-0000-00007D8E0000}"/>
    <cellStyle name="Normal 2 4 2 2 5 3" xfId="3694" xr:uid="{00000000-0005-0000-0000-00007E8E0000}"/>
    <cellStyle name="Normal 2 4 2 2 5 3 2" xfId="12332" xr:uid="{00000000-0005-0000-0000-00007F8E0000}"/>
    <cellStyle name="Normal 2 4 2 2 5 3 3" xfId="18128" xr:uid="{00000000-0005-0000-0000-0000808E0000}"/>
    <cellStyle name="Normal 2 4 2 2 5 4" xfId="3695" xr:uid="{00000000-0005-0000-0000-0000818E0000}"/>
    <cellStyle name="Normal 2 4 2 2 5 4 2" xfId="12333" xr:uid="{00000000-0005-0000-0000-0000828E0000}"/>
    <cellStyle name="Normal 2 4 2 2 5 4 3" xfId="18129" xr:uid="{00000000-0005-0000-0000-0000838E0000}"/>
    <cellStyle name="Normal 2 4 2 2 5 5" xfId="3696" xr:uid="{00000000-0005-0000-0000-0000848E0000}"/>
    <cellStyle name="Normal 2 4 2 2 5 5 2" xfId="12334" xr:uid="{00000000-0005-0000-0000-0000858E0000}"/>
    <cellStyle name="Normal 2 4 2 2 5 5 3" xfId="18130" xr:uid="{00000000-0005-0000-0000-0000868E0000}"/>
    <cellStyle name="Normal 2 4 2 2 5 6" xfId="12330" xr:uid="{00000000-0005-0000-0000-0000878E0000}"/>
    <cellStyle name="Normal 2 4 2 2 5 7" xfId="18126" xr:uid="{00000000-0005-0000-0000-0000888E0000}"/>
    <cellStyle name="Normal 2 4 2 2 5_LNG &amp; LPG rework" xfId="7129" xr:uid="{00000000-0005-0000-0000-0000898E0000}"/>
    <cellStyle name="Normal 2 4 2 2 6" xfId="3697" xr:uid="{00000000-0005-0000-0000-00008A8E0000}"/>
    <cellStyle name="Normal 2 4 2 2 6 2" xfId="3698" xr:uid="{00000000-0005-0000-0000-00008B8E0000}"/>
    <cellStyle name="Normal 2 4 2 2 6 2 2" xfId="12336" xr:uid="{00000000-0005-0000-0000-00008C8E0000}"/>
    <cellStyle name="Normal 2 4 2 2 6 2 3" xfId="18132" xr:uid="{00000000-0005-0000-0000-00008D8E0000}"/>
    <cellStyle name="Normal 2 4 2 2 6 3" xfId="3699" xr:uid="{00000000-0005-0000-0000-00008E8E0000}"/>
    <cellStyle name="Normal 2 4 2 2 6 3 2" xfId="12337" xr:uid="{00000000-0005-0000-0000-00008F8E0000}"/>
    <cellStyle name="Normal 2 4 2 2 6 3 3" xfId="18133" xr:uid="{00000000-0005-0000-0000-0000908E0000}"/>
    <cellStyle name="Normal 2 4 2 2 6 4" xfId="3700" xr:uid="{00000000-0005-0000-0000-0000918E0000}"/>
    <cellStyle name="Normal 2 4 2 2 6 4 2" xfId="12338" xr:uid="{00000000-0005-0000-0000-0000928E0000}"/>
    <cellStyle name="Normal 2 4 2 2 6 4 3" xfId="18134" xr:uid="{00000000-0005-0000-0000-0000938E0000}"/>
    <cellStyle name="Normal 2 4 2 2 6 5" xfId="3701" xr:uid="{00000000-0005-0000-0000-0000948E0000}"/>
    <cellStyle name="Normal 2 4 2 2 6 5 2" xfId="12339" xr:uid="{00000000-0005-0000-0000-0000958E0000}"/>
    <cellStyle name="Normal 2 4 2 2 6 5 3" xfId="18135" xr:uid="{00000000-0005-0000-0000-0000968E0000}"/>
    <cellStyle name="Normal 2 4 2 2 6 6" xfId="12335" xr:uid="{00000000-0005-0000-0000-0000978E0000}"/>
    <cellStyle name="Normal 2 4 2 2 6 7" xfId="18131" xr:uid="{00000000-0005-0000-0000-0000988E0000}"/>
    <cellStyle name="Normal 2 4 2 2 6_LNG &amp; LPG rework" xfId="7130" xr:uid="{00000000-0005-0000-0000-0000998E0000}"/>
    <cellStyle name="Normal 2 4 2 2 7" xfId="3702" xr:uid="{00000000-0005-0000-0000-00009A8E0000}"/>
    <cellStyle name="Normal 2 4 2 2 7 2" xfId="12340" xr:uid="{00000000-0005-0000-0000-00009B8E0000}"/>
    <cellStyle name="Normal 2 4 2 2 7 3" xfId="18136" xr:uid="{00000000-0005-0000-0000-00009C8E0000}"/>
    <cellStyle name="Normal 2 4 2 2 8" xfId="3703" xr:uid="{00000000-0005-0000-0000-00009D8E0000}"/>
    <cellStyle name="Normal 2 4 2 2 8 2" xfId="12341" xr:uid="{00000000-0005-0000-0000-00009E8E0000}"/>
    <cellStyle name="Normal 2 4 2 2 8 3" xfId="18137" xr:uid="{00000000-0005-0000-0000-00009F8E0000}"/>
    <cellStyle name="Normal 2 4 2 2 9" xfId="3704" xr:uid="{00000000-0005-0000-0000-0000A08E0000}"/>
    <cellStyle name="Normal 2 4 2 2 9 2" xfId="12342" xr:uid="{00000000-0005-0000-0000-0000A18E0000}"/>
    <cellStyle name="Normal 2 4 2 2 9 3" xfId="18138" xr:uid="{00000000-0005-0000-0000-0000A28E0000}"/>
    <cellStyle name="Normal 2 4 2 2_LNG &amp; LPG rework" xfId="7117" xr:uid="{00000000-0005-0000-0000-0000A38E0000}"/>
    <cellStyle name="Normal 2 4 2 3" xfId="415" xr:uid="{00000000-0005-0000-0000-0000A48E0000}"/>
    <cellStyle name="Normal 2 4 2 3 10" xfId="3705" xr:uid="{00000000-0005-0000-0000-0000A58E0000}"/>
    <cellStyle name="Normal 2 4 2 3 10 2" xfId="12343" xr:uid="{00000000-0005-0000-0000-0000A68E0000}"/>
    <cellStyle name="Normal 2 4 2 3 10 3" xfId="18140" xr:uid="{00000000-0005-0000-0000-0000A78E0000}"/>
    <cellStyle name="Normal 2 4 2 3 11" xfId="9253" xr:uid="{00000000-0005-0000-0000-0000A88E0000}"/>
    <cellStyle name="Normal 2 4 2 3 12" xfId="18139" xr:uid="{00000000-0005-0000-0000-0000A98E0000}"/>
    <cellStyle name="Normal 2 4 2 3 2" xfId="416" xr:uid="{00000000-0005-0000-0000-0000AA8E0000}"/>
    <cellStyle name="Normal 2 4 2 3 2 10" xfId="18141" xr:uid="{00000000-0005-0000-0000-0000AB8E0000}"/>
    <cellStyle name="Normal 2 4 2 3 2 2" xfId="417" xr:uid="{00000000-0005-0000-0000-0000AC8E0000}"/>
    <cellStyle name="Normal 2 4 2 3 2 2 2" xfId="3706" xr:uid="{00000000-0005-0000-0000-0000AD8E0000}"/>
    <cellStyle name="Normal 2 4 2 3 2 2 2 2" xfId="12344" xr:uid="{00000000-0005-0000-0000-0000AE8E0000}"/>
    <cellStyle name="Normal 2 4 2 3 2 2 2 3" xfId="18143" xr:uid="{00000000-0005-0000-0000-0000AF8E0000}"/>
    <cellStyle name="Normal 2 4 2 3 2 2 3" xfId="3707" xr:uid="{00000000-0005-0000-0000-0000B08E0000}"/>
    <cellStyle name="Normal 2 4 2 3 2 2 3 2" xfId="12345" xr:uid="{00000000-0005-0000-0000-0000B18E0000}"/>
    <cellStyle name="Normal 2 4 2 3 2 2 3 3" xfId="18144" xr:uid="{00000000-0005-0000-0000-0000B28E0000}"/>
    <cellStyle name="Normal 2 4 2 3 2 2 4" xfId="3708" xr:uid="{00000000-0005-0000-0000-0000B38E0000}"/>
    <cellStyle name="Normal 2 4 2 3 2 2 4 2" xfId="12346" xr:uid="{00000000-0005-0000-0000-0000B48E0000}"/>
    <cellStyle name="Normal 2 4 2 3 2 2 4 3" xfId="18145" xr:uid="{00000000-0005-0000-0000-0000B58E0000}"/>
    <cellStyle name="Normal 2 4 2 3 2 2 5" xfId="3709" xr:uid="{00000000-0005-0000-0000-0000B68E0000}"/>
    <cellStyle name="Normal 2 4 2 3 2 2 5 2" xfId="12347" xr:uid="{00000000-0005-0000-0000-0000B78E0000}"/>
    <cellStyle name="Normal 2 4 2 3 2 2 5 3" xfId="18146" xr:uid="{00000000-0005-0000-0000-0000B88E0000}"/>
    <cellStyle name="Normal 2 4 2 3 2 2 6" xfId="3710" xr:uid="{00000000-0005-0000-0000-0000B98E0000}"/>
    <cellStyle name="Normal 2 4 2 3 2 2 6 2" xfId="12348" xr:uid="{00000000-0005-0000-0000-0000BA8E0000}"/>
    <cellStyle name="Normal 2 4 2 3 2 2 6 3" xfId="18147" xr:uid="{00000000-0005-0000-0000-0000BB8E0000}"/>
    <cellStyle name="Normal 2 4 2 3 2 2 7" xfId="9255" xr:uid="{00000000-0005-0000-0000-0000BC8E0000}"/>
    <cellStyle name="Normal 2 4 2 3 2 2 8" xfId="18142" xr:uid="{00000000-0005-0000-0000-0000BD8E0000}"/>
    <cellStyle name="Normal 2 4 2 3 2 2_LNG &amp; LPG rework" xfId="7133" xr:uid="{00000000-0005-0000-0000-0000BE8E0000}"/>
    <cellStyle name="Normal 2 4 2 3 2 3" xfId="3711" xr:uid="{00000000-0005-0000-0000-0000BF8E0000}"/>
    <cellStyle name="Normal 2 4 2 3 2 3 2" xfId="3712" xr:uid="{00000000-0005-0000-0000-0000C08E0000}"/>
    <cellStyle name="Normal 2 4 2 3 2 3 2 2" xfId="12350" xr:uid="{00000000-0005-0000-0000-0000C18E0000}"/>
    <cellStyle name="Normal 2 4 2 3 2 3 2 3" xfId="18149" xr:uid="{00000000-0005-0000-0000-0000C28E0000}"/>
    <cellStyle name="Normal 2 4 2 3 2 3 3" xfId="3713" xr:uid="{00000000-0005-0000-0000-0000C38E0000}"/>
    <cellStyle name="Normal 2 4 2 3 2 3 3 2" xfId="12351" xr:uid="{00000000-0005-0000-0000-0000C48E0000}"/>
    <cellStyle name="Normal 2 4 2 3 2 3 3 3" xfId="18150" xr:uid="{00000000-0005-0000-0000-0000C58E0000}"/>
    <cellStyle name="Normal 2 4 2 3 2 3 4" xfId="3714" xr:uid="{00000000-0005-0000-0000-0000C68E0000}"/>
    <cellStyle name="Normal 2 4 2 3 2 3 4 2" xfId="12352" xr:uid="{00000000-0005-0000-0000-0000C78E0000}"/>
    <cellStyle name="Normal 2 4 2 3 2 3 4 3" xfId="18151" xr:uid="{00000000-0005-0000-0000-0000C88E0000}"/>
    <cellStyle name="Normal 2 4 2 3 2 3 5" xfId="3715" xr:uid="{00000000-0005-0000-0000-0000C98E0000}"/>
    <cellStyle name="Normal 2 4 2 3 2 3 5 2" xfId="12353" xr:uid="{00000000-0005-0000-0000-0000CA8E0000}"/>
    <cellStyle name="Normal 2 4 2 3 2 3 5 3" xfId="18152" xr:uid="{00000000-0005-0000-0000-0000CB8E0000}"/>
    <cellStyle name="Normal 2 4 2 3 2 3 6" xfId="12349" xr:uid="{00000000-0005-0000-0000-0000CC8E0000}"/>
    <cellStyle name="Normal 2 4 2 3 2 3 7" xfId="18148" xr:uid="{00000000-0005-0000-0000-0000CD8E0000}"/>
    <cellStyle name="Normal 2 4 2 3 2 3_LNG &amp; LPG rework" xfId="7134" xr:uid="{00000000-0005-0000-0000-0000CE8E0000}"/>
    <cellStyle name="Normal 2 4 2 3 2 4" xfId="3716" xr:uid="{00000000-0005-0000-0000-0000CF8E0000}"/>
    <cellStyle name="Normal 2 4 2 3 2 4 2" xfId="12354" xr:uid="{00000000-0005-0000-0000-0000D08E0000}"/>
    <cellStyle name="Normal 2 4 2 3 2 4 3" xfId="18153" xr:uid="{00000000-0005-0000-0000-0000D18E0000}"/>
    <cellStyle name="Normal 2 4 2 3 2 5" xfId="3717" xr:uid="{00000000-0005-0000-0000-0000D28E0000}"/>
    <cellStyle name="Normal 2 4 2 3 2 5 2" xfId="12355" xr:uid="{00000000-0005-0000-0000-0000D38E0000}"/>
    <cellStyle name="Normal 2 4 2 3 2 5 3" xfId="18154" xr:uid="{00000000-0005-0000-0000-0000D48E0000}"/>
    <cellStyle name="Normal 2 4 2 3 2 6" xfId="3718" xr:uid="{00000000-0005-0000-0000-0000D58E0000}"/>
    <cellStyle name="Normal 2 4 2 3 2 6 2" xfId="12356" xr:uid="{00000000-0005-0000-0000-0000D68E0000}"/>
    <cellStyle name="Normal 2 4 2 3 2 6 3" xfId="18155" xr:uid="{00000000-0005-0000-0000-0000D78E0000}"/>
    <cellStyle name="Normal 2 4 2 3 2 7" xfId="3719" xr:uid="{00000000-0005-0000-0000-0000D88E0000}"/>
    <cellStyle name="Normal 2 4 2 3 2 7 2" xfId="12357" xr:uid="{00000000-0005-0000-0000-0000D98E0000}"/>
    <cellStyle name="Normal 2 4 2 3 2 7 3" xfId="18156" xr:uid="{00000000-0005-0000-0000-0000DA8E0000}"/>
    <cellStyle name="Normal 2 4 2 3 2 8" xfId="3720" xr:uid="{00000000-0005-0000-0000-0000DB8E0000}"/>
    <cellStyle name="Normal 2 4 2 3 2 8 2" xfId="12358" xr:uid="{00000000-0005-0000-0000-0000DC8E0000}"/>
    <cellStyle name="Normal 2 4 2 3 2 8 3" xfId="18157" xr:uid="{00000000-0005-0000-0000-0000DD8E0000}"/>
    <cellStyle name="Normal 2 4 2 3 2 9" xfId="9254" xr:uid="{00000000-0005-0000-0000-0000DE8E0000}"/>
    <cellStyle name="Normal 2 4 2 3 2_LNG &amp; LPG rework" xfId="7132" xr:uid="{00000000-0005-0000-0000-0000DF8E0000}"/>
    <cellStyle name="Normal 2 4 2 3 3" xfId="418" xr:uid="{00000000-0005-0000-0000-0000E08E0000}"/>
    <cellStyle name="Normal 2 4 2 3 3 2" xfId="3721" xr:uid="{00000000-0005-0000-0000-0000E18E0000}"/>
    <cellStyle name="Normal 2 4 2 3 3 2 2" xfId="12359" xr:uid="{00000000-0005-0000-0000-0000E28E0000}"/>
    <cellStyle name="Normal 2 4 2 3 3 2 3" xfId="18159" xr:uid="{00000000-0005-0000-0000-0000E38E0000}"/>
    <cellStyle name="Normal 2 4 2 3 3 3" xfId="3722" xr:uid="{00000000-0005-0000-0000-0000E48E0000}"/>
    <cellStyle name="Normal 2 4 2 3 3 3 2" xfId="12360" xr:uid="{00000000-0005-0000-0000-0000E58E0000}"/>
    <cellStyle name="Normal 2 4 2 3 3 3 3" xfId="18160" xr:uid="{00000000-0005-0000-0000-0000E68E0000}"/>
    <cellStyle name="Normal 2 4 2 3 3 4" xfId="3723" xr:uid="{00000000-0005-0000-0000-0000E78E0000}"/>
    <cellStyle name="Normal 2 4 2 3 3 4 2" xfId="12361" xr:uid="{00000000-0005-0000-0000-0000E88E0000}"/>
    <cellStyle name="Normal 2 4 2 3 3 4 3" xfId="18161" xr:uid="{00000000-0005-0000-0000-0000E98E0000}"/>
    <cellStyle name="Normal 2 4 2 3 3 5" xfId="3724" xr:uid="{00000000-0005-0000-0000-0000EA8E0000}"/>
    <cellStyle name="Normal 2 4 2 3 3 5 2" xfId="12362" xr:uid="{00000000-0005-0000-0000-0000EB8E0000}"/>
    <cellStyle name="Normal 2 4 2 3 3 5 3" xfId="18162" xr:uid="{00000000-0005-0000-0000-0000EC8E0000}"/>
    <cellStyle name="Normal 2 4 2 3 3 6" xfId="3725" xr:uid="{00000000-0005-0000-0000-0000ED8E0000}"/>
    <cellStyle name="Normal 2 4 2 3 3 6 2" xfId="12363" xr:uid="{00000000-0005-0000-0000-0000EE8E0000}"/>
    <cellStyle name="Normal 2 4 2 3 3 6 3" xfId="18163" xr:uid="{00000000-0005-0000-0000-0000EF8E0000}"/>
    <cellStyle name="Normal 2 4 2 3 3 7" xfId="9256" xr:uid="{00000000-0005-0000-0000-0000F08E0000}"/>
    <cellStyle name="Normal 2 4 2 3 3 8" xfId="18158" xr:uid="{00000000-0005-0000-0000-0000F18E0000}"/>
    <cellStyle name="Normal 2 4 2 3 3_LNG &amp; LPG rework" xfId="7135" xr:uid="{00000000-0005-0000-0000-0000F28E0000}"/>
    <cellStyle name="Normal 2 4 2 3 4" xfId="3726" xr:uid="{00000000-0005-0000-0000-0000F38E0000}"/>
    <cellStyle name="Normal 2 4 2 3 4 2" xfId="3727" xr:uid="{00000000-0005-0000-0000-0000F48E0000}"/>
    <cellStyle name="Normal 2 4 2 3 4 2 2" xfId="12365" xr:uid="{00000000-0005-0000-0000-0000F58E0000}"/>
    <cellStyle name="Normal 2 4 2 3 4 2 3" xfId="18165" xr:uid="{00000000-0005-0000-0000-0000F68E0000}"/>
    <cellStyle name="Normal 2 4 2 3 4 3" xfId="3728" xr:uid="{00000000-0005-0000-0000-0000F78E0000}"/>
    <cellStyle name="Normal 2 4 2 3 4 3 2" xfId="12366" xr:uid="{00000000-0005-0000-0000-0000F88E0000}"/>
    <cellStyle name="Normal 2 4 2 3 4 3 3" xfId="18166" xr:uid="{00000000-0005-0000-0000-0000F98E0000}"/>
    <cellStyle name="Normal 2 4 2 3 4 4" xfId="3729" xr:uid="{00000000-0005-0000-0000-0000FA8E0000}"/>
    <cellStyle name="Normal 2 4 2 3 4 4 2" xfId="12367" xr:uid="{00000000-0005-0000-0000-0000FB8E0000}"/>
    <cellStyle name="Normal 2 4 2 3 4 4 3" xfId="18167" xr:uid="{00000000-0005-0000-0000-0000FC8E0000}"/>
    <cellStyle name="Normal 2 4 2 3 4 5" xfId="3730" xr:uid="{00000000-0005-0000-0000-0000FD8E0000}"/>
    <cellStyle name="Normal 2 4 2 3 4 5 2" xfId="12368" xr:uid="{00000000-0005-0000-0000-0000FE8E0000}"/>
    <cellStyle name="Normal 2 4 2 3 4 5 3" xfId="18168" xr:uid="{00000000-0005-0000-0000-0000FF8E0000}"/>
    <cellStyle name="Normal 2 4 2 3 4 6" xfId="12364" xr:uid="{00000000-0005-0000-0000-0000008F0000}"/>
    <cellStyle name="Normal 2 4 2 3 4 7" xfId="18164" xr:uid="{00000000-0005-0000-0000-0000018F0000}"/>
    <cellStyle name="Normal 2 4 2 3 4_LNG &amp; LPG rework" xfId="7136" xr:uid="{00000000-0005-0000-0000-0000028F0000}"/>
    <cellStyle name="Normal 2 4 2 3 5" xfId="3731" xr:uid="{00000000-0005-0000-0000-0000038F0000}"/>
    <cellStyle name="Normal 2 4 2 3 5 2" xfId="3732" xr:uid="{00000000-0005-0000-0000-0000048F0000}"/>
    <cellStyle name="Normal 2 4 2 3 5 2 2" xfId="12370" xr:uid="{00000000-0005-0000-0000-0000058F0000}"/>
    <cellStyle name="Normal 2 4 2 3 5 2 3" xfId="18170" xr:uid="{00000000-0005-0000-0000-0000068F0000}"/>
    <cellStyle name="Normal 2 4 2 3 5 3" xfId="3733" xr:uid="{00000000-0005-0000-0000-0000078F0000}"/>
    <cellStyle name="Normal 2 4 2 3 5 3 2" xfId="12371" xr:uid="{00000000-0005-0000-0000-0000088F0000}"/>
    <cellStyle name="Normal 2 4 2 3 5 3 3" xfId="18171" xr:uid="{00000000-0005-0000-0000-0000098F0000}"/>
    <cellStyle name="Normal 2 4 2 3 5 4" xfId="3734" xr:uid="{00000000-0005-0000-0000-00000A8F0000}"/>
    <cellStyle name="Normal 2 4 2 3 5 4 2" xfId="12372" xr:uid="{00000000-0005-0000-0000-00000B8F0000}"/>
    <cellStyle name="Normal 2 4 2 3 5 4 3" xfId="18172" xr:uid="{00000000-0005-0000-0000-00000C8F0000}"/>
    <cellStyle name="Normal 2 4 2 3 5 5" xfId="3735" xr:uid="{00000000-0005-0000-0000-00000D8F0000}"/>
    <cellStyle name="Normal 2 4 2 3 5 5 2" xfId="12373" xr:uid="{00000000-0005-0000-0000-00000E8F0000}"/>
    <cellStyle name="Normal 2 4 2 3 5 5 3" xfId="18173" xr:uid="{00000000-0005-0000-0000-00000F8F0000}"/>
    <cellStyle name="Normal 2 4 2 3 5 6" xfId="12369" xr:uid="{00000000-0005-0000-0000-0000108F0000}"/>
    <cellStyle name="Normal 2 4 2 3 5 7" xfId="18169" xr:uid="{00000000-0005-0000-0000-0000118F0000}"/>
    <cellStyle name="Normal 2 4 2 3 5_LNG &amp; LPG rework" xfId="7137" xr:uid="{00000000-0005-0000-0000-0000128F0000}"/>
    <cellStyle name="Normal 2 4 2 3 6" xfId="3736" xr:uid="{00000000-0005-0000-0000-0000138F0000}"/>
    <cellStyle name="Normal 2 4 2 3 6 2" xfId="12374" xr:uid="{00000000-0005-0000-0000-0000148F0000}"/>
    <cellStyle name="Normal 2 4 2 3 6 3" xfId="18174" xr:uid="{00000000-0005-0000-0000-0000158F0000}"/>
    <cellStyle name="Normal 2 4 2 3 7" xfId="3737" xr:uid="{00000000-0005-0000-0000-0000168F0000}"/>
    <cellStyle name="Normal 2 4 2 3 7 2" xfId="12375" xr:uid="{00000000-0005-0000-0000-0000178F0000}"/>
    <cellStyle name="Normal 2 4 2 3 7 3" xfId="18175" xr:uid="{00000000-0005-0000-0000-0000188F0000}"/>
    <cellStyle name="Normal 2 4 2 3 8" xfId="3738" xr:uid="{00000000-0005-0000-0000-0000198F0000}"/>
    <cellStyle name="Normal 2 4 2 3 8 2" xfId="12376" xr:uid="{00000000-0005-0000-0000-00001A8F0000}"/>
    <cellStyle name="Normal 2 4 2 3 8 3" xfId="18176" xr:uid="{00000000-0005-0000-0000-00001B8F0000}"/>
    <cellStyle name="Normal 2 4 2 3 9" xfId="3739" xr:uid="{00000000-0005-0000-0000-00001C8F0000}"/>
    <cellStyle name="Normal 2 4 2 3 9 2" xfId="12377" xr:uid="{00000000-0005-0000-0000-00001D8F0000}"/>
    <cellStyle name="Normal 2 4 2 3 9 3" xfId="18177" xr:uid="{00000000-0005-0000-0000-00001E8F0000}"/>
    <cellStyle name="Normal 2 4 2 3_LNG &amp; LPG rework" xfId="7131" xr:uid="{00000000-0005-0000-0000-00001F8F0000}"/>
    <cellStyle name="Normal 2 4 2 4" xfId="419" xr:uid="{00000000-0005-0000-0000-0000208F0000}"/>
    <cellStyle name="Normal 2 4 2 4 10" xfId="18178" xr:uid="{00000000-0005-0000-0000-0000218F0000}"/>
    <cellStyle name="Normal 2 4 2 4 2" xfId="420" xr:uid="{00000000-0005-0000-0000-0000228F0000}"/>
    <cellStyle name="Normal 2 4 2 4 2 2" xfId="3740" xr:uid="{00000000-0005-0000-0000-0000238F0000}"/>
    <cellStyle name="Normal 2 4 2 4 2 2 2" xfId="12378" xr:uid="{00000000-0005-0000-0000-0000248F0000}"/>
    <cellStyle name="Normal 2 4 2 4 2 2 3" xfId="18180" xr:uid="{00000000-0005-0000-0000-0000258F0000}"/>
    <cellStyle name="Normal 2 4 2 4 2 3" xfId="3741" xr:uid="{00000000-0005-0000-0000-0000268F0000}"/>
    <cellStyle name="Normal 2 4 2 4 2 3 2" xfId="12379" xr:uid="{00000000-0005-0000-0000-0000278F0000}"/>
    <cellStyle name="Normal 2 4 2 4 2 3 3" xfId="18181" xr:uid="{00000000-0005-0000-0000-0000288F0000}"/>
    <cellStyle name="Normal 2 4 2 4 2 4" xfId="3742" xr:uid="{00000000-0005-0000-0000-0000298F0000}"/>
    <cellStyle name="Normal 2 4 2 4 2 4 2" xfId="12380" xr:uid="{00000000-0005-0000-0000-00002A8F0000}"/>
    <cellStyle name="Normal 2 4 2 4 2 4 3" xfId="18182" xr:uid="{00000000-0005-0000-0000-00002B8F0000}"/>
    <cellStyle name="Normal 2 4 2 4 2 5" xfId="3743" xr:uid="{00000000-0005-0000-0000-00002C8F0000}"/>
    <cellStyle name="Normal 2 4 2 4 2 5 2" xfId="12381" xr:uid="{00000000-0005-0000-0000-00002D8F0000}"/>
    <cellStyle name="Normal 2 4 2 4 2 5 3" xfId="18183" xr:uid="{00000000-0005-0000-0000-00002E8F0000}"/>
    <cellStyle name="Normal 2 4 2 4 2 6" xfId="3744" xr:uid="{00000000-0005-0000-0000-00002F8F0000}"/>
    <cellStyle name="Normal 2 4 2 4 2 6 2" xfId="12382" xr:uid="{00000000-0005-0000-0000-0000308F0000}"/>
    <cellStyle name="Normal 2 4 2 4 2 6 3" xfId="18184" xr:uid="{00000000-0005-0000-0000-0000318F0000}"/>
    <cellStyle name="Normal 2 4 2 4 2 7" xfId="9258" xr:uid="{00000000-0005-0000-0000-0000328F0000}"/>
    <cellStyle name="Normal 2 4 2 4 2 8" xfId="18179" xr:uid="{00000000-0005-0000-0000-0000338F0000}"/>
    <cellStyle name="Normal 2 4 2 4 2_LNG &amp; LPG rework" xfId="7139" xr:uid="{00000000-0005-0000-0000-0000348F0000}"/>
    <cellStyle name="Normal 2 4 2 4 3" xfId="3745" xr:uid="{00000000-0005-0000-0000-0000358F0000}"/>
    <cellStyle name="Normal 2 4 2 4 3 2" xfId="3746" xr:uid="{00000000-0005-0000-0000-0000368F0000}"/>
    <cellStyle name="Normal 2 4 2 4 3 2 2" xfId="12384" xr:uid="{00000000-0005-0000-0000-0000378F0000}"/>
    <cellStyle name="Normal 2 4 2 4 3 2 3" xfId="18186" xr:uid="{00000000-0005-0000-0000-0000388F0000}"/>
    <cellStyle name="Normal 2 4 2 4 3 3" xfId="3747" xr:uid="{00000000-0005-0000-0000-0000398F0000}"/>
    <cellStyle name="Normal 2 4 2 4 3 3 2" xfId="12385" xr:uid="{00000000-0005-0000-0000-00003A8F0000}"/>
    <cellStyle name="Normal 2 4 2 4 3 3 3" xfId="18187" xr:uid="{00000000-0005-0000-0000-00003B8F0000}"/>
    <cellStyle name="Normal 2 4 2 4 3 4" xfId="3748" xr:uid="{00000000-0005-0000-0000-00003C8F0000}"/>
    <cellStyle name="Normal 2 4 2 4 3 4 2" xfId="12386" xr:uid="{00000000-0005-0000-0000-00003D8F0000}"/>
    <cellStyle name="Normal 2 4 2 4 3 4 3" xfId="18188" xr:uid="{00000000-0005-0000-0000-00003E8F0000}"/>
    <cellStyle name="Normal 2 4 2 4 3 5" xfId="3749" xr:uid="{00000000-0005-0000-0000-00003F8F0000}"/>
    <cellStyle name="Normal 2 4 2 4 3 5 2" xfId="12387" xr:uid="{00000000-0005-0000-0000-0000408F0000}"/>
    <cellStyle name="Normal 2 4 2 4 3 5 3" xfId="18189" xr:uid="{00000000-0005-0000-0000-0000418F0000}"/>
    <cellStyle name="Normal 2 4 2 4 3 6" xfId="12383" xr:uid="{00000000-0005-0000-0000-0000428F0000}"/>
    <cellStyle name="Normal 2 4 2 4 3 7" xfId="18185" xr:uid="{00000000-0005-0000-0000-0000438F0000}"/>
    <cellStyle name="Normal 2 4 2 4 3_LNG &amp; LPG rework" xfId="7140" xr:uid="{00000000-0005-0000-0000-0000448F0000}"/>
    <cellStyle name="Normal 2 4 2 4 4" xfId="3750" xr:uid="{00000000-0005-0000-0000-0000458F0000}"/>
    <cellStyle name="Normal 2 4 2 4 4 2" xfId="12388" xr:uid="{00000000-0005-0000-0000-0000468F0000}"/>
    <cellStyle name="Normal 2 4 2 4 4 3" xfId="18190" xr:uid="{00000000-0005-0000-0000-0000478F0000}"/>
    <cellStyle name="Normal 2 4 2 4 5" xfId="3751" xr:uid="{00000000-0005-0000-0000-0000488F0000}"/>
    <cellStyle name="Normal 2 4 2 4 5 2" xfId="12389" xr:uid="{00000000-0005-0000-0000-0000498F0000}"/>
    <cellStyle name="Normal 2 4 2 4 5 3" xfId="18191" xr:uid="{00000000-0005-0000-0000-00004A8F0000}"/>
    <cellStyle name="Normal 2 4 2 4 6" xfId="3752" xr:uid="{00000000-0005-0000-0000-00004B8F0000}"/>
    <cellStyle name="Normal 2 4 2 4 6 2" xfId="12390" xr:uid="{00000000-0005-0000-0000-00004C8F0000}"/>
    <cellStyle name="Normal 2 4 2 4 6 3" xfId="18192" xr:uid="{00000000-0005-0000-0000-00004D8F0000}"/>
    <cellStyle name="Normal 2 4 2 4 7" xfId="3753" xr:uid="{00000000-0005-0000-0000-00004E8F0000}"/>
    <cellStyle name="Normal 2 4 2 4 7 2" xfId="12391" xr:uid="{00000000-0005-0000-0000-00004F8F0000}"/>
    <cellStyle name="Normal 2 4 2 4 7 3" xfId="18193" xr:uid="{00000000-0005-0000-0000-0000508F0000}"/>
    <cellStyle name="Normal 2 4 2 4 8" xfId="3754" xr:uid="{00000000-0005-0000-0000-0000518F0000}"/>
    <cellStyle name="Normal 2 4 2 4 8 2" xfId="12392" xr:uid="{00000000-0005-0000-0000-0000528F0000}"/>
    <cellStyle name="Normal 2 4 2 4 8 3" xfId="18194" xr:uid="{00000000-0005-0000-0000-0000538F0000}"/>
    <cellStyle name="Normal 2 4 2 4 9" xfId="9257" xr:uid="{00000000-0005-0000-0000-0000548F0000}"/>
    <cellStyle name="Normal 2 4 2 4_LNG &amp; LPG rework" xfId="7138" xr:uid="{00000000-0005-0000-0000-0000558F0000}"/>
    <cellStyle name="Normal 2 4 2 5" xfId="421" xr:uid="{00000000-0005-0000-0000-0000568F0000}"/>
    <cellStyle name="Normal 2 4 2 5 2" xfId="3755" xr:uid="{00000000-0005-0000-0000-0000578F0000}"/>
    <cellStyle name="Normal 2 4 2 5 2 2" xfId="12393" xr:uid="{00000000-0005-0000-0000-0000588F0000}"/>
    <cellStyle name="Normal 2 4 2 5 2 3" xfId="18196" xr:uid="{00000000-0005-0000-0000-0000598F0000}"/>
    <cellStyle name="Normal 2 4 2 5 3" xfId="3756" xr:uid="{00000000-0005-0000-0000-00005A8F0000}"/>
    <cellStyle name="Normal 2 4 2 5 3 2" xfId="12394" xr:uid="{00000000-0005-0000-0000-00005B8F0000}"/>
    <cellStyle name="Normal 2 4 2 5 3 3" xfId="18197" xr:uid="{00000000-0005-0000-0000-00005C8F0000}"/>
    <cellStyle name="Normal 2 4 2 5 4" xfId="3757" xr:uid="{00000000-0005-0000-0000-00005D8F0000}"/>
    <cellStyle name="Normal 2 4 2 5 4 2" xfId="12395" xr:uid="{00000000-0005-0000-0000-00005E8F0000}"/>
    <cellStyle name="Normal 2 4 2 5 4 3" xfId="18198" xr:uid="{00000000-0005-0000-0000-00005F8F0000}"/>
    <cellStyle name="Normal 2 4 2 5 5" xfId="3758" xr:uid="{00000000-0005-0000-0000-0000608F0000}"/>
    <cellStyle name="Normal 2 4 2 5 5 2" xfId="12396" xr:uid="{00000000-0005-0000-0000-0000618F0000}"/>
    <cellStyle name="Normal 2 4 2 5 5 3" xfId="18199" xr:uid="{00000000-0005-0000-0000-0000628F0000}"/>
    <cellStyle name="Normal 2 4 2 5 6" xfId="3759" xr:uid="{00000000-0005-0000-0000-0000638F0000}"/>
    <cellStyle name="Normal 2 4 2 5 6 2" xfId="12397" xr:uid="{00000000-0005-0000-0000-0000648F0000}"/>
    <cellStyle name="Normal 2 4 2 5 6 3" xfId="18200" xr:uid="{00000000-0005-0000-0000-0000658F0000}"/>
    <cellStyle name="Normal 2 4 2 5 7" xfId="9259" xr:uid="{00000000-0005-0000-0000-0000668F0000}"/>
    <cellStyle name="Normal 2 4 2 5 8" xfId="18195" xr:uid="{00000000-0005-0000-0000-0000678F0000}"/>
    <cellStyle name="Normal 2 4 2 5_LNG &amp; LPG rework" xfId="7141" xr:uid="{00000000-0005-0000-0000-0000688F0000}"/>
    <cellStyle name="Normal 2 4 2 6" xfId="3760" xr:uid="{00000000-0005-0000-0000-0000698F0000}"/>
    <cellStyle name="Normal 2 4 2 6 2" xfId="12398" xr:uid="{00000000-0005-0000-0000-00006A8F0000}"/>
    <cellStyle name="Normal 2 4 2 6 3" xfId="18201" xr:uid="{00000000-0005-0000-0000-00006B8F0000}"/>
    <cellStyle name="Normal 2 4 2 7" xfId="9244" xr:uid="{00000000-0005-0000-0000-00006C8F0000}"/>
    <cellStyle name="Normal 2 4 2 8" xfId="18060" xr:uid="{00000000-0005-0000-0000-00006D8F0000}"/>
    <cellStyle name="Normal 2 4 2_LNG &amp; LPG rework" xfId="7116" xr:uid="{00000000-0005-0000-0000-00006E8F0000}"/>
    <cellStyle name="Normal 2 4 3" xfId="422" xr:uid="{00000000-0005-0000-0000-00006F8F0000}"/>
    <cellStyle name="Normal 2 4 3 10" xfId="3761" xr:uid="{00000000-0005-0000-0000-0000708F0000}"/>
    <cellStyle name="Normal 2 4 3 10 2" xfId="12399" xr:uid="{00000000-0005-0000-0000-0000718F0000}"/>
    <cellStyle name="Normal 2 4 3 10 3" xfId="18203" xr:uid="{00000000-0005-0000-0000-0000728F0000}"/>
    <cellStyle name="Normal 2 4 3 11" xfId="3762" xr:uid="{00000000-0005-0000-0000-0000738F0000}"/>
    <cellStyle name="Normal 2 4 3 11 2" xfId="12400" xr:uid="{00000000-0005-0000-0000-0000748F0000}"/>
    <cellStyle name="Normal 2 4 3 11 3" xfId="18204" xr:uid="{00000000-0005-0000-0000-0000758F0000}"/>
    <cellStyle name="Normal 2 4 3 12" xfId="9260" xr:uid="{00000000-0005-0000-0000-0000768F0000}"/>
    <cellStyle name="Normal 2 4 3 13" xfId="18202" xr:uid="{00000000-0005-0000-0000-0000778F0000}"/>
    <cellStyle name="Normal 2 4 3 2" xfId="423" xr:uid="{00000000-0005-0000-0000-0000788F0000}"/>
    <cellStyle name="Normal 2 4 3 2 10" xfId="3763" xr:uid="{00000000-0005-0000-0000-0000798F0000}"/>
    <cellStyle name="Normal 2 4 3 2 10 2" xfId="12401" xr:uid="{00000000-0005-0000-0000-00007A8F0000}"/>
    <cellStyle name="Normal 2 4 3 2 10 3" xfId="18206" xr:uid="{00000000-0005-0000-0000-00007B8F0000}"/>
    <cellStyle name="Normal 2 4 3 2 11" xfId="9261" xr:uid="{00000000-0005-0000-0000-00007C8F0000}"/>
    <cellStyle name="Normal 2 4 3 2 12" xfId="18205" xr:uid="{00000000-0005-0000-0000-00007D8F0000}"/>
    <cellStyle name="Normal 2 4 3 2 2" xfId="424" xr:uid="{00000000-0005-0000-0000-00007E8F0000}"/>
    <cellStyle name="Normal 2 4 3 2 2 10" xfId="18207" xr:uid="{00000000-0005-0000-0000-00007F8F0000}"/>
    <cellStyle name="Normal 2 4 3 2 2 2" xfId="425" xr:uid="{00000000-0005-0000-0000-0000808F0000}"/>
    <cellStyle name="Normal 2 4 3 2 2 2 2" xfId="3764" xr:uid="{00000000-0005-0000-0000-0000818F0000}"/>
    <cellStyle name="Normal 2 4 3 2 2 2 2 2" xfId="12402" xr:uid="{00000000-0005-0000-0000-0000828F0000}"/>
    <cellStyle name="Normal 2 4 3 2 2 2 2 3" xfId="18209" xr:uid="{00000000-0005-0000-0000-0000838F0000}"/>
    <cellStyle name="Normal 2 4 3 2 2 2 3" xfId="3765" xr:uid="{00000000-0005-0000-0000-0000848F0000}"/>
    <cellStyle name="Normal 2 4 3 2 2 2 3 2" xfId="12403" xr:uid="{00000000-0005-0000-0000-0000858F0000}"/>
    <cellStyle name="Normal 2 4 3 2 2 2 3 3" xfId="18210" xr:uid="{00000000-0005-0000-0000-0000868F0000}"/>
    <cellStyle name="Normal 2 4 3 2 2 2 4" xfId="3766" xr:uid="{00000000-0005-0000-0000-0000878F0000}"/>
    <cellStyle name="Normal 2 4 3 2 2 2 4 2" xfId="12404" xr:uid="{00000000-0005-0000-0000-0000888F0000}"/>
    <cellStyle name="Normal 2 4 3 2 2 2 4 3" xfId="18211" xr:uid="{00000000-0005-0000-0000-0000898F0000}"/>
    <cellStyle name="Normal 2 4 3 2 2 2 5" xfId="3767" xr:uid="{00000000-0005-0000-0000-00008A8F0000}"/>
    <cellStyle name="Normal 2 4 3 2 2 2 5 2" xfId="12405" xr:uid="{00000000-0005-0000-0000-00008B8F0000}"/>
    <cellStyle name="Normal 2 4 3 2 2 2 5 3" xfId="18212" xr:uid="{00000000-0005-0000-0000-00008C8F0000}"/>
    <cellStyle name="Normal 2 4 3 2 2 2 6" xfId="3768" xr:uid="{00000000-0005-0000-0000-00008D8F0000}"/>
    <cellStyle name="Normal 2 4 3 2 2 2 6 2" xfId="12406" xr:uid="{00000000-0005-0000-0000-00008E8F0000}"/>
    <cellStyle name="Normal 2 4 3 2 2 2 6 3" xfId="18213" xr:uid="{00000000-0005-0000-0000-00008F8F0000}"/>
    <cellStyle name="Normal 2 4 3 2 2 2 7" xfId="9263" xr:uid="{00000000-0005-0000-0000-0000908F0000}"/>
    <cellStyle name="Normal 2 4 3 2 2 2 8" xfId="18208" xr:uid="{00000000-0005-0000-0000-0000918F0000}"/>
    <cellStyle name="Normal 2 4 3 2 2 2_LNG &amp; LPG rework" xfId="7145" xr:uid="{00000000-0005-0000-0000-0000928F0000}"/>
    <cellStyle name="Normal 2 4 3 2 2 3" xfId="3769" xr:uid="{00000000-0005-0000-0000-0000938F0000}"/>
    <cellStyle name="Normal 2 4 3 2 2 3 2" xfId="3770" xr:uid="{00000000-0005-0000-0000-0000948F0000}"/>
    <cellStyle name="Normal 2 4 3 2 2 3 2 2" xfId="12408" xr:uid="{00000000-0005-0000-0000-0000958F0000}"/>
    <cellStyle name="Normal 2 4 3 2 2 3 2 3" xfId="18215" xr:uid="{00000000-0005-0000-0000-0000968F0000}"/>
    <cellStyle name="Normal 2 4 3 2 2 3 3" xfId="3771" xr:uid="{00000000-0005-0000-0000-0000978F0000}"/>
    <cellStyle name="Normal 2 4 3 2 2 3 3 2" xfId="12409" xr:uid="{00000000-0005-0000-0000-0000988F0000}"/>
    <cellStyle name="Normal 2 4 3 2 2 3 3 3" xfId="18216" xr:uid="{00000000-0005-0000-0000-0000998F0000}"/>
    <cellStyle name="Normal 2 4 3 2 2 3 4" xfId="3772" xr:uid="{00000000-0005-0000-0000-00009A8F0000}"/>
    <cellStyle name="Normal 2 4 3 2 2 3 4 2" xfId="12410" xr:uid="{00000000-0005-0000-0000-00009B8F0000}"/>
    <cellStyle name="Normal 2 4 3 2 2 3 4 3" xfId="18217" xr:uid="{00000000-0005-0000-0000-00009C8F0000}"/>
    <cellStyle name="Normal 2 4 3 2 2 3 5" xfId="3773" xr:uid="{00000000-0005-0000-0000-00009D8F0000}"/>
    <cellStyle name="Normal 2 4 3 2 2 3 5 2" xfId="12411" xr:uid="{00000000-0005-0000-0000-00009E8F0000}"/>
    <cellStyle name="Normal 2 4 3 2 2 3 5 3" xfId="18218" xr:uid="{00000000-0005-0000-0000-00009F8F0000}"/>
    <cellStyle name="Normal 2 4 3 2 2 3 6" xfId="12407" xr:uid="{00000000-0005-0000-0000-0000A08F0000}"/>
    <cellStyle name="Normal 2 4 3 2 2 3 7" xfId="18214" xr:uid="{00000000-0005-0000-0000-0000A18F0000}"/>
    <cellStyle name="Normal 2 4 3 2 2 3_LNG &amp; LPG rework" xfId="7146" xr:uid="{00000000-0005-0000-0000-0000A28F0000}"/>
    <cellStyle name="Normal 2 4 3 2 2 4" xfId="3774" xr:uid="{00000000-0005-0000-0000-0000A38F0000}"/>
    <cellStyle name="Normal 2 4 3 2 2 4 2" xfId="12412" xr:uid="{00000000-0005-0000-0000-0000A48F0000}"/>
    <cellStyle name="Normal 2 4 3 2 2 4 3" xfId="18219" xr:uid="{00000000-0005-0000-0000-0000A58F0000}"/>
    <cellStyle name="Normal 2 4 3 2 2 5" xfId="3775" xr:uid="{00000000-0005-0000-0000-0000A68F0000}"/>
    <cellStyle name="Normal 2 4 3 2 2 5 2" xfId="12413" xr:uid="{00000000-0005-0000-0000-0000A78F0000}"/>
    <cellStyle name="Normal 2 4 3 2 2 5 3" xfId="18220" xr:uid="{00000000-0005-0000-0000-0000A88F0000}"/>
    <cellStyle name="Normal 2 4 3 2 2 6" xfId="3776" xr:uid="{00000000-0005-0000-0000-0000A98F0000}"/>
    <cellStyle name="Normal 2 4 3 2 2 6 2" xfId="12414" xr:uid="{00000000-0005-0000-0000-0000AA8F0000}"/>
    <cellStyle name="Normal 2 4 3 2 2 6 3" xfId="18221" xr:uid="{00000000-0005-0000-0000-0000AB8F0000}"/>
    <cellStyle name="Normal 2 4 3 2 2 7" xfId="3777" xr:uid="{00000000-0005-0000-0000-0000AC8F0000}"/>
    <cellStyle name="Normal 2 4 3 2 2 7 2" xfId="12415" xr:uid="{00000000-0005-0000-0000-0000AD8F0000}"/>
    <cellStyle name="Normal 2 4 3 2 2 7 3" xfId="18222" xr:uid="{00000000-0005-0000-0000-0000AE8F0000}"/>
    <cellStyle name="Normal 2 4 3 2 2 8" xfId="3778" xr:uid="{00000000-0005-0000-0000-0000AF8F0000}"/>
    <cellStyle name="Normal 2 4 3 2 2 8 2" xfId="12416" xr:uid="{00000000-0005-0000-0000-0000B08F0000}"/>
    <cellStyle name="Normal 2 4 3 2 2 8 3" xfId="18223" xr:uid="{00000000-0005-0000-0000-0000B18F0000}"/>
    <cellStyle name="Normal 2 4 3 2 2 9" xfId="9262" xr:uid="{00000000-0005-0000-0000-0000B28F0000}"/>
    <cellStyle name="Normal 2 4 3 2 2_LNG &amp; LPG rework" xfId="7144" xr:uid="{00000000-0005-0000-0000-0000B38F0000}"/>
    <cellStyle name="Normal 2 4 3 2 3" xfId="426" xr:uid="{00000000-0005-0000-0000-0000B48F0000}"/>
    <cellStyle name="Normal 2 4 3 2 3 2" xfId="3779" xr:uid="{00000000-0005-0000-0000-0000B58F0000}"/>
    <cellStyle name="Normal 2 4 3 2 3 2 2" xfId="12417" xr:uid="{00000000-0005-0000-0000-0000B68F0000}"/>
    <cellStyle name="Normal 2 4 3 2 3 2 3" xfId="18225" xr:uid="{00000000-0005-0000-0000-0000B78F0000}"/>
    <cellStyle name="Normal 2 4 3 2 3 3" xfId="3780" xr:uid="{00000000-0005-0000-0000-0000B88F0000}"/>
    <cellStyle name="Normal 2 4 3 2 3 3 2" xfId="12418" xr:uid="{00000000-0005-0000-0000-0000B98F0000}"/>
    <cellStyle name="Normal 2 4 3 2 3 3 3" xfId="18226" xr:uid="{00000000-0005-0000-0000-0000BA8F0000}"/>
    <cellStyle name="Normal 2 4 3 2 3 4" xfId="3781" xr:uid="{00000000-0005-0000-0000-0000BB8F0000}"/>
    <cellStyle name="Normal 2 4 3 2 3 4 2" xfId="12419" xr:uid="{00000000-0005-0000-0000-0000BC8F0000}"/>
    <cellStyle name="Normal 2 4 3 2 3 4 3" xfId="18227" xr:uid="{00000000-0005-0000-0000-0000BD8F0000}"/>
    <cellStyle name="Normal 2 4 3 2 3 5" xfId="3782" xr:uid="{00000000-0005-0000-0000-0000BE8F0000}"/>
    <cellStyle name="Normal 2 4 3 2 3 5 2" xfId="12420" xr:uid="{00000000-0005-0000-0000-0000BF8F0000}"/>
    <cellStyle name="Normal 2 4 3 2 3 5 3" xfId="18228" xr:uid="{00000000-0005-0000-0000-0000C08F0000}"/>
    <cellStyle name="Normal 2 4 3 2 3 6" xfId="3783" xr:uid="{00000000-0005-0000-0000-0000C18F0000}"/>
    <cellStyle name="Normal 2 4 3 2 3 6 2" xfId="12421" xr:uid="{00000000-0005-0000-0000-0000C28F0000}"/>
    <cellStyle name="Normal 2 4 3 2 3 6 3" xfId="18229" xr:uid="{00000000-0005-0000-0000-0000C38F0000}"/>
    <cellStyle name="Normal 2 4 3 2 3 7" xfId="9264" xr:uid="{00000000-0005-0000-0000-0000C48F0000}"/>
    <cellStyle name="Normal 2 4 3 2 3 8" xfId="18224" xr:uid="{00000000-0005-0000-0000-0000C58F0000}"/>
    <cellStyle name="Normal 2 4 3 2 3_LNG &amp; LPG rework" xfId="7147" xr:uid="{00000000-0005-0000-0000-0000C68F0000}"/>
    <cellStyle name="Normal 2 4 3 2 4" xfId="3784" xr:uid="{00000000-0005-0000-0000-0000C78F0000}"/>
    <cellStyle name="Normal 2 4 3 2 4 2" xfId="3785" xr:uid="{00000000-0005-0000-0000-0000C88F0000}"/>
    <cellStyle name="Normal 2 4 3 2 4 2 2" xfId="12423" xr:uid="{00000000-0005-0000-0000-0000C98F0000}"/>
    <cellStyle name="Normal 2 4 3 2 4 2 3" xfId="18231" xr:uid="{00000000-0005-0000-0000-0000CA8F0000}"/>
    <cellStyle name="Normal 2 4 3 2 4 3" xfId="3786" xr:uid="{00000000-0005-0000-0000-0000CB8F0000}"/>
    <cellStyle name="Normal 2 4 3 2 4 3 2" xfId="12424" xr:uid="{00000000-0005-0000-0000-0000CC8F0000}"/>
    <cellStyle name="Normal 2 4 3 2 4 3 3" xfId="18232" xr:uid="{00000000-0005-0000-0000-0000CD8F0000}"/>
    <cellStyle name="Normal 2 4 3 2 4 4" xfId="3787" xr:uid="{00000000-0005-0000-0000-0000CE8F0000}"/>
    <cellStyle name="Normal 2 4 3 2 4 4 2" xfId="12425" xr:uid="{00000000-0005-0000-0000-0000CF8F0000}"/>
    <cellStyle name="Normal 2 4 3 2 4 4 3" xfId="18233" xr:uid="{00000000-0005-0000-0000-0000D08F0000}"/>
    <cellStyle name="Normal 2 4 3 2 4 5" xfId="3788" xr:uid="{00000000-0005-0000-0000-0000D18F0000}"/>
    <cellStyle name="Normal 2 4 3 2 4 5 2" xfId="12426" xr:uid="{00000000-0005-0000-0000-0000D28F0000}"/>
    <cellStyle name="Normal 2 4 3 2 4 5 3" xfId="18234" xr:uid="{00000000-0005-0000-0000-0000D38F0000}"/>
    <cellStyle name="Normal 2 4 3 2 4 6" xfId="12422" xr:uid="{00000000-0005-0000-0000-0000D48F0000}"/>
    <cellStyle name="Normal 2 4 3 2 4 7" xfId="18230" xr:uid="{00000000-0005-0000-0000-0000D58F0000}"/>
    <cellStyle name="Normal 2 4 3 2 4_LNG &amp; LPG rework" xfId="7148" xr:uid="{00000000-0005-0000-0000-0000D68F0000}"/>
    <cellStyle name="Normal 2 4 3 2 5" xfId="3789" xr:uid="{00000000-0005-0000-0000-0000D78F0000}"/>
    <cellStyle name="Normal 2 4 3 2 5 2" xfId="3790" xr:uid="{00000000-0005-0000-0000-0000D88F0000}"/>
    <cellStyle name="Normal 2 4 3 2 5 2 2" xfId="12428" xr:uid="{00000000-0005-0000-0000-0000D98F0000}"/>
    <cellStyle name="Normal 2 4 3 2 5 2 3" xfId="18236" xr:uid="{00000000-0005-0000-0000-0000DA8F0000}"/>
    <cellStyle name="Normal 2 4 3 2 5 3" xfId="3791" xr:uid="{00000000-0005-0000-0000-0000DB8F0000}"/>
    <cellStyle name="Normal 2 4 3 2 5 3 2" xfId="12429" xr:uid="{00000000-0005-0000-0000-0000DC8F0000}"/>
    <cellStyle name="Normal 2 4 3 2 5 3 3" xfId="18237" xr:uid="{00000000-0005-0000-0000-0000DD8F0000}"/>
    <cellStyle name="Normal 2 4 3 2 5 4" xfId="3792" xr:uid="{00000000-0005-0000-0000-0000DE8F0000}"/>
    <cellStyle name="Normal 2 4 3 2 5 4 2" xfId="12430" xr:uid="{00000000-0005-0000-0000-0000DF8F0000}"/>
    <cellStyle name="Normal 2 4 3 2 5 4 3" xfId="18238" xr:uid="{00000000-0005-0000-0000-0000E08F0000}"/>
    <cellStyle name="Normal 2 4 3 2 5 5" xfId="3793" xr:uid="{00000000-0005-0000-0000-0000E18F0000}"/>
    <cellStyle name="Normal 2 4 3 2 5 5 2" xfId="12431" xr:uid="{00000000-0005-0000-0000-0000E28F0000}"/>
    <cellStyle name="Normal 2 4 3 2 5 5 3" xfId="18239" xr:uid="{00000000-0005-0000-0000-0000E38F0000}"/>
    <cellStyle name="Normal 2 4 3 2 5 6" xfId="12427" xr:uid="{00000000-0005-0000-0000-0000E48F0000}"/>
    <cellStyle name="Normal 2 4 3 2 5 7" xfId="18235" xr:uid="{00000000-0005-0000-0000-0000E58F0000}"/>
    <cellStyle name="Normal 2 4 3 2 5_LNG &amp; LPG rework" xfId="7149" xr:uid="{00000000-0005-0000-0000-0000E68F0000}"/>
    <cellStyle name="Normal 2 4 3 2 6" xfId="3794" xr:uid="{00000000-0005-0000-0000-0000E78F0000}"/>
    <cellStyle name="Normal 2 4 3 2 6 2" xfId="12432" xr:uid="{00000000-0005-0000-0000-0000E88F0000}"/>
    <cellStyle name="Normal 2 4 3 2 6 3" xfId="18240" xr:uid="{00000000-0005-0000-0000-0000E98F0000}"/>
    <cellStyle name="Normal 2 4 3 2 7" xfId="3795" xr:uid="{00000000-0005-0000-0000-0000EA8F0000}"/>
    <cellStyle name="Normal 2 4 3 2 7 2" xfId="12433" xr:uid="{00000000-0005-0000-0000-0000EB8F0000}"/>
    <cellStyle name="Normal 2 4 3 2 7 3" xfId="18241" xr:uid="{00000000-0005-0000-0000-0000EC8F0000}"/>
    <cellStyle name="Normal 2 4 3 2 8" xfId="3796" xr:uid="{00000000-0005-0000-0000-0000ED8F0000}"/>
    <cellStyle name="Normal 2 4 3 2 8 2" xfId="12434" xr:uid="{00000000-0005-0000-0000-0000EE8F0000}"/>
    <cellStyle name="Normal 2 4 3 2 8 3" xfId="18242" xr:uid="{00000000-0005-0000-0000-0000EF8F0000}"/>
    <cellStyle name="Normal 2 4 3 2 9" xfId="3797" xr:uid="{00000000-0005-0000-0000-0000F08F0000}"/>
    <cellStyle name="Normal 2 4 3 2 9 2" xfId="12435" xr:uid="{00000000-0005-0000-0000-0000F18F0000}"/>
    <cellStyle name="Normal 2 4 3 2 9 3" xfId="18243" xr:uid="{00000000-0005-0000-0000-0000F28F0000}"/>
    <cellStyle name="Normal 2 4 3 2_LNG &amp; LPG rework" xfId="7143" xr:uid="{00000000-0005-0000-0000-0000F38F0000}"/>
    <cellStyle name="Normal 2 4 3 3" xfId="427" xr:uid="{00000000-0005-0000-0000-0000F48F0000}"/>
    <cellStyle name="Normal 2 4 3 3 10" xfId="18244" xr:uid="{00000000-0005-0000-0000-0000F58F0000}"/>
    <cellStyle name="Normal 2 4 3 3 2" xfId="428" xr:uid="{00000000-0005-0000-0000-0000F68F0000}"/>
    <cellStyle name="Normal 2 4 3 3 2 2" xfId="3798" xr:uid="{00000000-0005-0000-0000-0000F78F0000}"/>
    <cellStyle name="Normal 2 4 3 3 2 2 2" xfId="12436" xr:uid="{00000000-0005-0000-0000-0000F88F0000}"/>
    <cellStyle name="Normal 2 4 3 3 2 2 3" xfId="18246" xr:uid="{00000000-0005-0000-0000-0000F98F0000}"/>
    <cellStyle name="Normal 2 4 3 3 2 3" xfId="3799" xr:uid="{00000000-0005-0000-0000-0000FA8F0000}"/>
    <cellStyle name="Normal 2 4 3 3 2 3 2" xfId="12437" xr:uid="{00000000-0005-0000-0000-0000FB8F0000}"/>
    <cellStyle name="Normal 2 4 3 3 2 3 3" xfId="18247" xr:uid="{00000000-0005-0000-0000-0000FC8F0000}"/>
    <cellStyle name="Normal 2 4 3 3 2 4" xfId="3800" xr:uid="{00000000-0005-0000-0000-0000FD8F0000}"/>
    <cellStyle name="Normal 2 4 3 3 2 4 2" xfId="12438" xr:uid="{00000000-0005-0000-0000-0000FE8F0000}"/>
    <cellStyle name="Normal 2 4 3 3 2 4 3" xfId="18248" xr:uid="{00000000-0005-0000-0000-0000FF8F0000}"/>
    <cellStyle name="Normal 2 4 3 3 2 5" xfId="3801" xr:uid="{00000000-0005-0000-0000-000000900000}"/>
    <cellStyle name="Normal 2 4 3 3 2 5 2" xfId="12439" xr:uid="{00000000-0005-0000-0000-000001900000}"/>
    <cellStyle name="Normal 2 4 3 3 2 5 3" xfId="18249" xr:uid="{00000000-0005-0000-0000-000002900000}"/>
    <cellStyle name="Normal 2 4 3 3 2 6" xfId="3802" xr:uid="{00000000-0005-0000-0000-000003900000}"/>
    <cellStyle name="Normal 2 4 3 3 2 6 2" xfId="12440" xr:uid="{00000000-0005-0000-0000-000004900000}"/>
    <cellStyle name="Normal 2 4 3 3 2 6 3" xfId="18250" xr:uid="{00000000-0005-0000-0000-000005900000}"/>
    <cellStyle name="Normal 2 4 3 3 2 7" xfId="9266" xr:uid="{00000000-0005-0000-0000-000006900000}"/>
    <cellStyle name="Normal 2 4 3 3 2 8" xfId="18245" xr:uid="{00000000-0005-0000-0000-000007900000}"/>
    <cellStyle name="Normal 2 4 3 3 2_LNG &amp; LPG rework" xfId="7151" xr:uid="{00000000-0005-0000-0000-000008900000}"/>
    <cellStyle name="Normal 2 4 3 3 3" xfId="3803" xr:uid="{00000000-0005-0000-0000-000009900000}"/>
    <cellStyle name="Normal 2 4 3 3 3 2" xfId="3804" xr:uid="{00000000-0005-0000-0000-00000A900000}"/>
    <cellStyle name="Normal 2 4 3 3 3 2 2" xfId="12442" xr:uid="{00000000-0005-0000-0000-00000B900000}"/>
    <cellStyle name="Normal 2 4 3 3 3 2 3" xfId="18252" xr:uid="{00000000-0005-0000-0000-00000C900000}"/>
    <cellStyle name="Normal 2 4 3 3 3 3" xfId="3805" xr:uid="{00000000-0005-0000-0000-00000D900000}"/>
    <cellStyle name="Normal 2 4 3 3 3 3 2" xfId="12443" xr:uid="{00000000-0005-0000-0000-00000E900000}"/>
    <cellStyle name="Normal 2 4 3 3 3 3 3" xfId="18253" xr:uid="{00000000-0005-0000-0000-00000F900000}"/>
    <cellStyle name="Normal 2 4 3 3 3 4" xfId="3806" xr:uid="{00000000-0005-0000-0000-000010900000}"/>
    <cellStyle name="Normal 2 4 3 3 3 4 2" xfId="12444" xr:uid="{00000000-0005-0000-0000-000011900000}"/>
    <cellStyle name="Normal 2 4 3 3 3 4 3" xfId="18254" xr:uid="{00000000-0005-0000-0000-000012900000}"/>
    <cellStyle name="Normal 2 4 3 3 3 5" xfId="3807" xr:uid="{00000000-0005-0000-0000-000013900000}"/>
    <cellStyle name="Normal 2 4 3 3 3 5 2" xfId="12445" xr:uid="{00000000-0005-0000-0000-000014900000}"/>
    <cellStyle name="Normal 2 4 3 3 3 5 3" xfId="18255" xr:uid="{00000000-0005-0000-0000-000015900000}"/>
    <cellStyle name="Normal 2 4 3 3 3 6" xfId="12441" xr:uid="{00000000-0005-0000-0000-000016900000}"/>
    <cellStyle name="Normal 2 4 3 3 3 7" xfId="18251" xr:uid="{00000000-0005-0000-0000-000017900000}"/>
    <cellStyle name="Normal 2 4 3 3 3_LNG &amp; LPG rework" xfId="7152" xr:uid="{00000000-0005-0000-0000-000018900000}"/>
    <cellStyle name="Normal 2 4 3 3 4" xfId="3808" xr:uid="{00000000-0005-0000-0000-000019900000}"/>
    <cellStyle name="Normal 2 4 3 3 4 2" xfId="12446" xr:uid="{00000000-0005-0000-0000-00001A900000}"/>
    <cellStyle name="Normal 2 4 3 3 4 3" xfId="18256" xr:uid="{00000000-0005-0000-0000-00001B900000}"/>
    <cellStyle name="Normal 2 4 3 3 5" xfId="3809" xr:uid="{00000000-0005-0000-0000-00001C900000}"/>
    <cellStyle name="Normal 2 4 3 3 5 2" xfId="12447" xr:uid="{00000000-0005-0000-0000-00001D900000}"/>
    <cellStyle name="Normal 2 4 3 3 5 3" xfId="18257" xr:uid="{00000000-0005-0000-0000-00001E900000}"/>
    <cellStyle name="Normal 2 4 3 3 6" xfId="3810" xr:uid="{00000000-0005-0000-0000-00001F900000}"/>
    <cellStyle name="Normal 2 4 3 3 6 2" xfId="12448" xr:uid="{00000000-0005-0000-0000-000020900000}"/>
    <cellStyle name="Normal 2 4 3 3 6 3" xfId="18258" xr:uid="{00000000-0005-0000-0000-000021900000}"/>
    <cellStyle name="Normal 2 4 3 3 7" xfId="3811" xr:uid="{00000000-0005-0000-0000-000022900000}"/>
    <cellStyle name="Normal 2 4 3 3 7 2" xfId="12449" xr:uid="{00000000-0005-0000-0000-000023900000}"/>
    <cellStyle name="Normal 2 4 3 3 7 3" xfId="18259" xr:uid="{00000000-0005-0000-0000-000024900000}"/>
    <cellStyle name="Normal 2 4 3 3 8" xfId="3812" xr:uid="{00000000-0005-0000-0000-000025900000}"/>
    <cellStyle name="Normal 2 4 3 3 8 2" xfId="12450" xr:uid="{00000000-0005-0000-0000-000026900000}"/>
    <cellStyle name="Normal 2 4 3 3 8 3" xfId="18260" xr:uid="{00000000-0005-0000-0000-000027900000}"/>
    <cellStyle name="Normal 2 4 3 3 9" xfId="9265" xr:uid="{00000000-0005-0000-0000-000028900000}"/>
    <cellStyle name="Normal 2 4 3 3_LNG &amp; LPG rework" xfId="7150" xr:uid="{00000000-0005-0000-0000-000029900000}"/>
    <cellStyle name="Normal 2 4 3 4" xfId="429" xr:uid="{00000000-0005-0000-0000-00002A900000}"/>
    <cellStyle name="Normal 2 4 3 4 2" xfId="3813" xr:uid="{00000000-0005-0000-0000-00002B900000}"/>
    <cellStyle name="Normal 2 4 3 4 2 2" xfId="12451" xr:uid="{00000000-0005-0000-0000-00002C900000}"/>
    <cellStyle name="Normal 2 4 3 4 2 3" xfId="18262" xr:uid="{00000000-0005-0000-0000-00002D900000}"/>
    <cellStyle name="Normal 2 4 3 4 3" xfId="3814" xr:uid="{00000000-0005-0000-0000-00002E900000}"/>
    <cellStyle name="Normal 2 4 3 4 3 2" xfId="12452" xr:uid="{00000000-0005-0000-0000-00002F900000}"/>
    <cellStyle name="Normal 2 4 3 4 3 3" xfId="18263" xr:uid="{00000000-0005-0000-0000-000030900000}"/>
    <cellStyle name="Normal 2 4 3 4 4" xfId="3815" xr:uid="{00000000-0005-0000-0000-000031900000}"/>
    <cellStyle name="Normal 2 4 3 4 4 2" xfId="12453" xr:uid="{00000000-0005-0000-0000-000032900000}"/>
    <cellStyle name="Normal 2 4 3 4 4 3" xfId="18264" xr:uid="{00000000-0005-0000-0000-000033900000}"/>
    <cellStyle name="Normal 2 4 3 4 5" xfId="3816" xr:uid="{00000000-0005-0000-0000-000034900000}"/>
    <cellStyle name="Normal 2 4 3 4 5 2" xfId="12454" xr:uid="{00000000-0005-0000-0000-000035900000}"/>
    <cellStyle name="Normal 2 4 3 4 5 3" xfId="18265" xr:uid="{00000000-0005-0000-0000-000036900000}"/>
    <cellStyle name="Normal 2 4 3 4 6" xfId="3817" xr:uid="{00000000-0005-0000-0000-000037900000}"/>
    <cellStyle name="Normal 2 4 3 4 6 2" xfId="12455" xr:uid="{00000000-0005-0000-0000-000038900000}"/>
    <cellStyle name="Normal 2 4 3 4 6 3" xfId="18266" xr:uid="{00000000-0005-0000-0000-000039900000}"/>
    <cellStyle name="Normal 2 4 3 4 7" xfId="9267" xr:uid="{00000000-0005-0000-0000-00003A900000}"/>
    <cellStyle name="Normal 2 4 3 4 8" xfId="18261" xr:uid="{00000000-0005-0000-0000-00003B900000}"/>
    <cellStyle name="Normal 2 4 3 4_LNG &amp; LPG rework" xfId="7153" xr:uid="{00000000-0005-0000-0000-00003C900000}"/>
    <cellStyle name="Normal 2 4 3 5" xfId="3818" xr:uid="{00000000-0005-0000-0000-00003D900000}"/>
    <cellStyle name="Normal 2 4 3 5 2" xfId="3819" xr:uid="{00000000-0005-0000-0000-00003E900000}"/>
    <cellStyle name="Normal 2 4 3 5 2 2" xfId="12457" xr:uid="{00000000-0005-0000-0000-00003F900000}"/>
    <cellStyle name="Normal 2 4 3 5 2 3" xfId="18268" xr:uid="{00000000-0005-0000-0000-000040900000}"/>
    <cellStyle name="Normal 2 4 3 5 3" xfId="3820" xr:uid="{00000000-0005-0000-0000-000041900000}"/>
    <cellStyle name="Normal 2 4 3 5 3 2" xfId="12458" xr:uid="{00000000-0005-0000-0000-000042900000}"/>
    <cellStyle name="Normal 2 4 3 5 3 3" xfId="18269" xr:uid="{00000000-0005-0000-0000-000043900000}"/>
    <cellStyle name="Normal 2 4 3 5 4" xfId="3821" xr:uid="{00000000-0005-0000-0000-000044900000}"/>
    <cellStyle name="Normal 2 4 3 5 4 2" xfId="12459" xr:uid="{00000000-0005-0000-0000-000045900000}"/>
    <cellStyle name="Normal 2 4 3 5 4 3" xfId="18270" xr:uid="{00000000-0005-0000-0000-000046900000}"/>
    <cellStyle name="Normal 2 4 3 5 5" xfId="3822" xr:uid="{00000000-0005-0000-0000-000047900000}"/>
    <cellStyle name="Normal 2 4 3 5 5 2" xfId="12460" xr:uid="{00000000-0005-0000-0000-000048900000}"/>
    <cellStyle name="Normal 2 4 3 5 5 3" xfId="18271" xr:uid="{00000000-0005-0000-0000-000049900000}"/>
    <cellStyle name="Normal 2 4 3 5 6" xfId="12456" xr:uid="{00000000-0005-0000-0000-00004A900000}"/>
    <cellStyle name="Normal 2 4 3 5 7" xfId="18267" xr:uid="{00000000-0005-0000-0000-00004B900000}"/>
    <cellStyle name="Normal 2 4 3 5_LNG &amp; LPG rework" xfId="7154" xr:uid="{00000000-0005-0000-0000-00004C900000}"/>
    <cellStyle name="Normal 2 4 3 6" xfId="3823" xr:uid="{00000000-0005-0000-0000-00004D900000}"/>
    <cellStyle name="Normal 2 4 3 6 2" xfId="3824" xr:uid="{00000000-0005-0000-0000-00004E900000}"/>
    <cellStyle name="Normal 2 4 3 6 2 2" xfId="12462" xr:uid="{00000000-0005-0000-0000-00004F900000}"/>
    <cellStyle name="Normal 2 4 3 6 2 3" xfId="18273" xr:uid="{00000000-0005-0000-0000-000050900000}"/>
    <cellStyle name="Normal 2 4 3 6 3" xfId="3825" xr:uid="{00000000-0005-0000-0000-000051900000}"/>
    <cellStyle name="Normal 2 4 3 6 3 2" xfId="12463" xr:uid="{00000000-0005-0000-0000-000052900000}"/>
    <cellStyle name="Normal 2 4 3 6 3 3" xfId="18274" xr:uid="{00000000-0005-0000-0000-000053900000}"/>
    <cellStyle name="Normal 2 4 3 6 4" xfId="3826" xr:uid="{00000000-0005-0000-0000-000054900000}"/>
    <cellStyle name="Normal 2 4 3 6 4 2" xfId="12464" xr:uid="{00000000-0005-0000-0000-000055900000}"/>
    <cellStyle name="Normal 2 4 3 6 4 3" xfId="18275" xr:uid="{00000000-0005-0000-0000-000056900000}"/>
    <cellStyle name="Normal 2 4 3 6 5" xfId="3827" xr:uid="{00000000-0005-0000-0000-000057900000}"/>
    <cellStyle name="Normal 2 4 3 6 5 2" xfId="12465" xr:uid="{00000000-0005-0000-0000-000058900000}"/>
    <cellStyle name="Normal 2 4 3 6 5 3" xfId="18276" xr:uid="{00000000-0005-0000-0000-000059900000}"/>
    <cellStyle name="Normal 2 4 3 6 6" xfId="12461" xr:uid="{00000000-0005-0000-0000-00005A900000}"/>
    <cellStyle name="Normal 2 4 3 6 7" xfId="18272" xr:uid="{00000000-0005-0000-0000-00005B900000}"/>
    <cellStyle name="Normal 2 4 3 6_LNG &amp; LPG rework" xfId="7155" xr:uid="{00000000-0005-0000-0000-00005C900000}"/>
    <cellStyle name="Normal 2 4 3 7" xfId="3828" xr:uid="{00000000-0005-0000-0000-00005D900000}"/>
    <cellStyle name="Normal 2 4 3 7 2" xfId="12466" xr:uid="{00000000-0005-0000-0000-00005E900000}"/>
    <cellStyle name="Normal 2 4 3 7 3" xfId="18277" xr:uid="{00000000-0005-0000-0000-00005F900000}"/>
    <cellStyle name="Normal 2 4 3 8" xfId="3829" xr:uid="{00000000-0005-0000-0000-000060900000}"/>
    <cellStyle name="Normal 2 4 3 8 2" xfId="12467" xr:uid="{00000000-0005-0000-0000-000061900000}"/>
    <cellStyle name="Normal 2 4 3 8 3" xfId="18278" xr:uid="{00000000-0005-0000-0000-000062900000}"/>
    <cellStyle name="Normal 2 4 3 9" xfId="3830" xr:uid="{00000000-0005-0000-0000-000063900000}"/>
    <cellStyle name="Normal 2 4 3 9 2" xfId="12468" xr:uid="{00000000-0005-0000-0000-000064900000}"/>
    <cellStyle name="Normal 2 4 3 9 3" xfId="18279" xr:uid="{00000000-0005-0000-0000-000065900000}"/>
    <cellStyle name="Normal 2 4 3_LNG &amp; LPG rework" xfId="7142" xr:uid="{00000000-0005-0000-0000-000066900000}"/>
    <cellStyle name="Normal 2 4 4" xfId="430" xr:uid="{00000000-0005-0000-0000-000067900000}"/>
    <cellStyle name="Normal 2 4 4 10" xfId="3831" xr:uid="{00000000-0005-0000-0000-000068900000}"/>
    <cellStyle name="Normal 2 4 4 10 2" xfId="12469" xr:uid="{00000000-0005-0000-0000-000069900000}"/>
    <cellStyle name="Normal 2 4 4 10 3" xfId="18281" xr:uid="{00000000-0005-0000-0000-00006A900000}"/>
    <cellStyle name="Normal 2 4 4 11" xfId="9268" xr:uid="{00000000-0005-0000-0000-00006B900000}"/>
    <cellStyle name="Normal 2 4 4 12" xfId="18280" xr:uid="{00000000-0005-0000-0000-00006C900000}"/>
    <cellStyle name="Normal 2 4 4 2" xfId="431" xr:uid="{00000000-0005-0000-0000-00006D900000}"/>
    <cellStyle name="Normal 2 4 4 2 10" xfId="18282" xr:uid="{00000000-0005-0000-0000-00006E900000}"/>
    <cellStyle name="Normal 2 4 4 2 2" xfId="432" xr:uid="{00000000-0005-0000-0000-00006F900000}"/>
    <cellStyle name="Normal 2 4 4 2 2 2" xfId="3832" xr:uid="{00000000-0005-0000-0000-000070900000}"/>
    <cellStyle name="Normal 2 4 4 2 2 2 2" xfId="12470" xr:uid="{00000000-0005-0000-0000-000071900000}"/>
    <cellStyle name="Normal 2 4 4 2 2 2 3" xfId="18284" xr:uid="{00000000-0005-0000-0000-000072900000}"/>
    <cellStyle name="Normal 2 4 4 2 2 3" xfId="3833" xr:uid="{00000000-0005-0000-0000-000073900000}"/>
    <cellStyle name="Normal 2 4 4 2 2 3 2" xfId="12471" xr:uid="{00000000-0005-0000-0000-000074900000}"/>
    <cellStyle name="Normal 2 4 4 2 2 3 3" xfId="18285" xr:uid="{00000000-0005-0000-0000-000075900000}"/>
    <cellStyle name="Normal 2 4 4 2 2 4" xfId="3834" xr:uid="{00000000-0005-0000-0000-000076900000}"/>
    <cellStyle name="Normal 2 4 4 2 2 4 2" xfId="12472" xr:uid="{00000000-0005-0000-0000-000077900000}"/>
    <cellStyle name="Normal 2 4 4 2 2 4 3" xfId="18286" xr:uid="{00000000-0005-0000-0000-000078900000}"/>
    <cellStyle name="Normal 2 4 4 2 2 5" xfId="3835" xr:uid="{00000000-0005-0000-0000-000079900000}"/>
    <cellStyle name="Normal 2 4 4 2 2 5 2" xfId="12473" xr:uid="{00000000-0005-0000-0000-00007A900000}"/>
    <cellStyle name="Normal 2 4 4 2 2 5 3" xfId="18287" xr:uid="{00000000-0005-0000-0000-00007B900000}"/>
    <cellStyle name="Normal 2 4 4 2 2 6" xfId="3836" xr:uid="{00000000-0005-0000-0000-00007C900000}"/>
    <cellStyle name="Normal 2 4 4 2 2 6 2" xfId="12474" xr:uid="{00000000-0005-0000-0000-00007D900000}"/>
    <cellStyle name="Normal 2 4 4 2 2 6 3" xfId="18288" xr:uid="{00000000-0005-0000-0000-00007E900000}"/>
    <cellStyle name="Normal 2 4 4 2 2 7" xfId="9270" xr:uid="{00000000-0005-0000-0000-00007F900000}"/>
    <cellStyle name="Normal 2 4 4 2 2 8" xfId="18283" xr:uid="{00000000-0005-0000-0000-000080900000}"/>
    <cellStyle name="Normal 2 4 4 2 2_LNG &amp; LPG rework" xfId="7158" xr:uid="{00000000-0005-0000-0000-000081900000}"/>
    <cellStyle name="Normal 2 4 4 2 3" xfId="3837" xr:uid="{00000000-0005-0000-0000-000082900000}"/>
    <cellStyle name="Normal 2 4 4 2 3 2" xfId="3838" xr:uid="{00000000-0005-0000-0000-000083900000}"/>
    <cellStyle name="Normal 2 4 4 2 3 2 2" xfId="12476" xr:uid="{00000000-0005-0000-0000-000084900000}"/>
    <cellStyle name="Normal 2 4 4 2 3 2 3" xfId="18290" xr:uid="{00000000-0005-0000-0000-000085900000}"/>
    <cellStyle name="Normal 2 4 4 2 3 3" xfId="3839" xr:uid="{00000000-0005-0000-0000-000086900000}"/>
    <cellStyle name="Normal 2 4 4 2 3 3 2" xfId="12477" xr:uid="{00000000-0005-0000-0000-000087900000}"/>
    <cellStyle name="Normal 2 4 4 2 3 3 3" xfId="18291" xr:uid="{00000000-0005-0000-0000-000088900000}"/>
    <cellStyle name="Normal 2 4 4 2 3 4" xfId="3840" xr:uid="{00000000-0005-0000-0000-000089900000}"/>
    <cellStyle name="Normal 2 4 4 2 3 4 2" xfId="12478" xr:uid="{00000000-0005-0000-0000-00008A900000}"/>
    <cellStyle name="Normal 2 4 4 2 3 4 3" xfId="18292" xr:uid="{00000000-0005-0000-0000-00008B900000}"/>
    <cellStyle name="Normal 2 4 4 2 3 5" xfId="3841" xr:uid="{00000000-0005-0000-0000-00008C900000}"/>
    <cellStyle name="Normal 2 4 4 2 3 5 2" xfId="12479" xr:uid="{00000000-0005-0000-0000-00008D900000}"/>
    <cellStyle name="Normal 2 4 4 2 3 5 3" xfId="18293" xr:uid="{00000000-0005-0000-0000-00008E900000}"/>
    <cellStyle name="Normal 2 4 4 2 3 6" xfId="12475" xr:uid="{00000000-0005-0000-0000-00008F900000}"/>
    <cellStyle name="Normal 2 4 4 2 3 7" xfId="18289" xr:uid="{00000000-0005-0000-0000-000090900000}"/>
    <cellStyle name="Normal 2 4 4 2 3_LNG &amp; LPG rework" xfId="7159" xr:uid="{00000000-0005-0000-0000-000091900000}"/>
    <cellStyle name="Normal 2 4 4 2 4" xfId="3842" xr:uid="{00000000-0005-0000-0000-000092900000}"/>
    <cellStyle name="Normal 2 4 4 2 4 2" xfId="12480" xr:uid="{00000000-0005-0000-0000-000093900000}"/>
    <cellStyle name="Normal 2 4 4 2 4 3" xfId="18294" xr:uid="{00000000-0005-0000-0000-000094900000}"/>
    <cellStyle name="Normal 2 4 4 2 5" xfId="3843" xr:uid="{00000000-0005-0000-0000-000095900000}"/>
    <cellStyle name="Normal 2 4 4 2 5 2" xfId="12481" xr:uid="{00000000-0005-0000-0000-000096900000}"/>
    <cellStyle name="Normal 2 4 4 2 5 3" xfId="18295" xr:uid="{00000000-0005-0000-0000-000097900000}"/>
    <cellStyle name="Normal 2 4 4 2 6" xfId="3844" xr:uid="{00000000-0005-0000-0000-000098900000}"/>
    <cellStyle name="Normal 2 4 4 2 6 2" xfId="12482" xr:uid="{00000000-0005-0000-0000-000099900000}"/>
    <cellStyle name="Normal 2 4 4 2 6 3" xfId="18296" xr:uid="{00000000-0005-0000-0000-00009A900000}"/>
    <cellStyle name="Normal 2 4 4 2 7" xfId="3845" xr:uid="{00000000-0005-0000-0000-00009B900000}"/>
    <cellStyle name="Normal 2 4 4 2 7 2" xfId="12483" xr:uid="{00000000-0005-0000-0000-00009C900000}"/>
    <cellStyle name="Normal 2 4 4 2 7 3" xfId="18297" xr:uid="{00000000-0005-0000-0000-00009D900000}"/>
    <cellStyle name="Normal 2 4 4 2 8" xfId="3846" xr:uid="{00000000-0005-0000-0000-00009E900000}"/>
    <cellStyle name="Normal 2 4 4 2 8 2" xfId="12484" xr:uid="{00000000-0005-0000-0000-00009F900000}"/>
    <cellStyle name="Normal 2 4 4 2 8 3" xfId="18298" xr:uid="{00000000-0005-0000-0000-0000A0900000}"/>
    <cellStyle name="Normal 2 4 4 2 9" xfId="9269" xr:uid="{00000000-0005-0000-0000-0000A1900000}"/>
    <cellStyle name="Normal 2 4 4 2_LNG &amp; LPG rework" xfId="7157" xr:uid="{00000000-0005-0000-0000-0000A2900000}"/>
    <cellStyle name="Normal 2 4 4 3" xfId="433" xr:uid="{00000000-0005-0000-0000-0000A3900000}"/>
    <cellStyle name="Normal 2 4 4 3 2" xfId="3847" xr:uid="{00000000-0005-0000-0000-0000A4900000}"/>
    <cellStyle name="Normal 2 4 4 3 2 2" xfId="12485" xr:uid="{00000000-0005-0000-0000-0000A5900000}"/>
    <cellStyle name="Normal 2 4 4 3 2 3" xfId="18300" xr:uid="{00000000-0005-0000-0000-0000A6900000}"/>
    <cellStyle name="Normal 2 4 4 3 3" xfId="3848" xr:uid="{00000000-0005-0000-0000-0000A7900000}"/>
    <cellStyle name="Normal 2 4 4 3 3 2" xfId="12486" xr:uid="{00000000-0005-0000-0000-0000A8900000}"/>
    <cellStyle name="Normal 2 4 4 3 3 3" xfId="18301" xr:uid="{00000000-0005-0000-0000-0000A9900000}"/>
    <cellStyle name="Normal 2 4 4 3 4" xfId="3849" xr:uid="{00000000-0005-0000-0000-0000AA900000}"/>
    <cellStyle name="Normal 2 4 4 3 4 2" xfId="12487" xr:uid="{00000000-0005-0000-0000-0000AB900000}"/>
    <cellStyle name="Normal 2 4 4 3 4 3" xfId="18302" xr:uid="{00000000-0005-0000-0000-0000AC900000}"/>
    <cellStyle name="Normal 2 4 4 3 5" xfId="3850" xr:uid="{00000000-0005-0000-0000-0000AD900000}"/>
    <cellStyle name="Normal 2 4 4 3 5 2" xfId="12488" xr:uid="{00000000-0005-0000-0000-0000AE900000}"/>
    <cellStyle name="Normal 2 4 4 3 5 3" xfId="18303" xr:uid="{00000000-0005-0000-0000-0000AF900000}"/>
    <cellStyle name="Normal 2 4 4 3 6" xfId="3851" xr:uid="{00000000-0005-0000-0000-0000B0900000}"/>
    <cellStyle name="Normal 2 4 4 3 6 2" xfId="12489" xr:uid="{00000000-0005-0000-0000-0000B1900000}"/>
    <cellStyle name="Normal 2 4 4 3 6 3" xfId="18304" xr:uid="{00000000-0005-0000-0000-0000B2900000}"/>
    <cellStyle name="Normal 2 4 4 3 7" xfId="9271" xr:uid="{00000000-0005-0000-0000-0000B3900000}"/>
    <cellStyle name="Normal 2 4 4 3 8" xfId="18299" xr:uid="{00000000-0005-0000-0000-0000B4900000}"/>
    <cellStyle name="Normal 2 4 4 3_LNG &amp; LPG rework" xfId="7160" xr:uid="{00000000-0005-0000-0000-0000B5900000}"/>
    <cellStyle name="Normal 2 4 4 4" xfId="3852" xr:uid="{00000000-0005-0000-0000-0000B6900000}"/>
    <cellStyle name="Normal 2 4 4 4 2" xfId="3853" xr:uid="{00000000-0005-0000-0000-0000B7900000}"/>
    <cellStyle name="Normal 2 4 4 4 2 2" xfId="12491" xr:uid="{00000000-0005-0000-0000-0000B8900000}"/>
    <cellStyle name="Normal 2 4 4 4 2 3" xfId="18306" xr:uid="{00000000-0005-0000-0000-0000B9900000}"/>
    <cellStyle name="Normal 2 4 4 4 3" xfId="3854" xr:uid="{00000000-0005-0000-0000-0000BA900000}"/>
    <cellStyle name="Normal 2 4 4 4 3 2" xfId="12492" xr:uid="{00000000-0005-0000-0000-0000BB900000}"/>
    <cellStyle name="Normal 2 4 4 4 3 3" xfId="18307" xr:uid="{00000000-0005-0000-0000-0000BC900000}"/>
    <cellStyle name="Normal 2 4 4 4 4" xfId="3855" xr:uid="{00000000-0005-0000-0000-0000BD900000}"/>
    <cellStyle name="Normal 2 4 4 4 4 2" xfId="12493" xr:uid="{00000000-0005-0000-0000-0000BE900000}"/>
    <cellStyle name="Normal 2 4 4 4 4 3" xfId="18308" xr:uid="{00000000-0005-0000-0000-0000BF900000}"/>
    <cellStyle name="Normal 2 4 4 4 5" xfId="3856" xr:uid="{00000000-0005-0000-0000-0000C0900000}"/>
    <cellStyle name="Normal 2 4 4 4 5 2" xfId="12494" xr:uid="{00000000-0005-0000-0000-0000C1900000}"/>
    <cellStyle name="Normal 2 4 4 4 5 3" xfId="18309" xr:uid="{00000000-0005-0000-0000-0000C2900000}"/>
    <cellStyle name="Normal 2 4 4 4 6" xfId="12490" xr:uid="{00000000-0005-0000-0000-0000C3900000}"/>
    <cellStyle name="Normal 2 4 4 4 7" xfId="18305" xr:uid="{00000000-0005-0000-0000-0000C4900000}"/>
    <cellStyle name="Normal 2 4 4 4_LNG &amp; LPG rework" xfId="7161" xr:uid="{00000000-0005-0000-0000-0000C5900000}"/>
    <cellStyle name="Normal 2 4 4 5" xfId="3857" xr:uid="{00000000-0005-0000-0000-0000C6900000}"/>
    <cellStyle name="Normal 2 4 4 5 2" xfId="3858" xr:uid="{00000000-0005-0000-0000-0000C7900000}"/>
    <cellStyle name="Normal 2 4 4 5 2 2" xfId="12496" xr:uid="{00000000-0005-0000-0000-0000C8900000}"/>
    <cellStyle name="Normal 2 4 4 5 2 3" xfId="18311" xr:uid="{00000000-0005-0000-0000-0000C9900000}"/>
    <cellStyle name="Normal 2 4 4 5 3" xfId="3859" xr:uid="{00000000-0005-0000-0000-0000CA900000}"/>
    <cellStyle name="Normal 2 4 4 5 3 2" xfId="12497" xr:uid="{00000000-0005-0000-0000-0000CB900000}"/>
    <cellStyle name="Normal 2 4 4 5 3 3" xfId="18312" xr:uid="{00000000-0005-0000-0000-0000CC900000}"/>
    <cellStyle name="Normal 2 4 4 5 4" xfId="3860" xr:uid="{00000000-0005-0000-0000-0000CD900000}"/>
    <cellStyle name="Normal 2 4 4 5 4 2" xfId="12498" xr:uid="{00000000-0005-0000-0000-0000CE900000}"/>
    <cellStyle name="Normal 2 4 4 5 4 3" xfId="18313" xr:uid="{00000000-0005-0000-0000-0000CF900000}"/>
    <cellStyle name="Normal 2 4 4 5 5" xfId="3861" xr:uid="{00000000-0005-0000-0000-0000D0900000}"/>
    <cellStyle name="Normal 2 4 4 5 5 2" xfId="12499" xr:uid="{00000000-0005-0000-0000-0000D1900000}"/>
    <cellStyle name="Normal 2 4 4 5 5 3" xfId="18314" xr:uid="{00000000-0005-0000-0000-0000D2900000}"/>
    <cellStyle name="Normal 2 4 4 5 6" xfId="12495" xr:uid="{00000000-0005-0000-0000-0000D3900000}"/>
    <cellStyle name="Normal 2 4 4 5 7" xfId="18310" xr:uid="{00000000-0005-0000-0000-0000D4900000}"/>
    <cellStyle name="Normal 2 4 4 5_LNG &amp; LPG rework" xfId="7162" xr:uid="{00000000-0005-0000-0000-0000D5900000}"/>
    <cellStyle name="Normal 2 4 4 6" xfId="3862" xr:uid="{00000000-0005-0000-0000-0000D6900000}"/>
    <cellStyle name="Normal 2 4 4 6 2" xfId="12500" xr:uid="{00000000-0005-0000-0000-0000D7900000}"/>
    <cellStyle name="Normal 2 4 4 6 3" xfId="18315" xr:uid="{00000000-0005-0000-0000-0000D8900000}"/>
    <cellStyle name="Normal 2 4 4 7" xfId="3863" xr:uid="{00000000-0005-0000-0000-0000D9900000}"/>
    <cellStyle name="Normal 2 4 4 7 2" xfId="12501" xr:uid="{00000000-0005-0000-0000-0000DA900000}"/>
    <cellStyle name="Normal 2 4 4 7 3" xfId="18316" xr:uid="{00000000-0005-0000-0000-0000DB900000}"/>
    <cellStyle name="Normal 2 4 4 8" xfId="3864" xr:uid="{00000000-0005-0000-0000-0000DC900000}"/>
    <cellStyle name="Normal 2 4 4 8 2" xfId="12502" xr:uid="{00000000-0005-0000-0000-0000DD900000}"/>
    <cellStyle name="Normal 2 4 4 8 3" xfId="18317" xr:uid="{00000000-0005-0000-0000-0000DE900000}"/>
    <cellStyle name="Normal 2 4 4 9" xfId="3865" xr:uid="{00000000-0005-0000-0000-0000DF900000}"/>
    <cellStyle name="Normal 2 4 4 9 2" xfId="12503" xr:uid="{00000000-0005-0000-0000-0000E0900000}"/>
    <cellStyle name="Normal 2 4 4 9 3" xfId="18318" xr:uid="{00000000-0005-0000-0000-0000E1900000}"/>
    <cellStyle name="Normal 2 4 4_LNG &amp; LPG rework" xfId="7156" xr:uid="{00000000-0005-0000-0000-0000E2900000}"/>
    <cellStyle name="Normal 2 4 5" xfId="434" xr:uid="{00000000-0005-0000-0000-0000E3900000}"/>
    <cellStyle name="Normal 2 4 5 10" xfId="18319" xr:uid="{00000000-0005-0000-0000-0000E4900000}"/>
    <cellStyle name="Normal 2 4 5 2" xfId="435" xr:uid="{00000000-0005-0000-0000-0000E5900000}"/>
    <cellStyle name="Normal 2 4 5 2 2" xfId="3866" xr:uid="{00000000-0005-0000-0000-0000E6900000}"/>
    <cellStyle name="Normal 2 4 5 2 2 2" xfId="12504" xr:uid="{00000000-0005-0000-0000-0000E7900000}"/>
    <cellStyle name="Normal 2 4 5 2 2 3" xfId="18321" xr:uid="{00000000-0005-0000-0000-0000E8900000}"/>
    <cellStyle name="Normal 2 4 5 2 3" xfId="3867" xr:uid="{00000000-0005-0000-0000-0000E9900000}"/>
    <cellStyle name="Normal 2 4 5 2 3 2" xfId="12505" xr:uid="{00000000-0005-0000-0000-0000EA900000}"/>
    <cellStyle name="Normal 2 4 5 2 3 3" xfId="18322" xr:uid="{00000000-0005-0000-0000-0000EB900000}"/>
    <cellStyle name="Normal 2 4 5 2 4" xfId="3868" xr:uid="{00000000-0005-0000-0000-0000EC900000}"/>
    <cellStyle name="Normal 2 4 5 2 4 2" xfId="12506" xr:uid="{00000000-0005-0000-0000-0000ED900000}"/>
    <cellStyle name="Normal 2 4 5 2 4 3" xfId="18323" xr:uid="{00000000-0005-0000-0000-0000EE900000}"/>
    <cellStyle name="Normal 2 4 5 2 5" xfId="3869" xr:uid="{00000000-0005-0000-0000-0000EF900000}"/>
    <cellStyle name="Normal 2 4 5 2 5 2" xfId="12507" xr:uid="{00000000-0005-0000-0000-0000F0900000}"/>
    <cellStyle name="Normal 2 4 5 2 5 3" xfId="18324" xr:uid="{00000000-0005-0000-0000-0000F1900000}"/>
    <cellStyle name="Normal 2 4 5 2 6" xfId="3870" xr:uid="{00000000-0005-0000-0000-0000F2900000}"/>
    <cellStyle name="Normal 2 4 5 2 6 2" xfId="12508" xr:uid="{00000000-0005-0000-0000-0000F3900000}"/>
    <cellStyle name="Normal 2 4 5 2 6 3" xfId="18325" xr:uid="{00000000-0005-0000-0000-0000F4900000}"/>
    <cellStyle name="Normal 2 4 5 2 7" xfId="9273" xr:uid="{00000000-0005-0000-0000-0000F5900000}"/>
    <cellStyle name="Normal 2 4 5 2 8" xfId="18320" xr:uid="{00000000-0005-0000-0000-0000F6900000}"/>
    <cellStyle name="Normal 2 4 5 2_LNG &amp; LPG rework" xfId="7164" xr:uid="{00000000-0005-0000-0000-0000F7900000}"/>
    <cellStyle name="Normal 2 4 5 3" xfId="3871" xr:uid="{00000000-0005-0000-0000-0000F8900000}"/>
    <cellStyle name="Normal 2 4 5 3 2" xfId="3872" xr:uid="{00000000-0005-0000-0000-0000F9900000}"/>
    <cellStyle name="Normal 2 4 5 3 2 2" xfId="12510" xr:uid="{00000000-0005-0000-0000-0000FA900000}"/>
    <cellStyle name="Normal 2 4 5 3 2 3" xfId="18327" xr:uid="{00000000-0005-0000-0000-0000FB900000}"/>
    <cellStyle name="Normal 2 4 5 3 3" xfId="3873" xr:uid="{00000000-0005-0000-0000-0000FC900000}"/>
    <cellStyle name="Normal 2 4 5 3 3 2" xfId="12511" xr:uid="{00000000-0005-0000-0000-0000FD900000}"/>
    <cellStyle name="Normal 2 4 5 3 3 3" xfId="18328" xr:uid="{00000000-0005-0000-0000-0000FE900000}"/>
    <cellStyle name="Normal 2 4 5 3 4" xfId="3874" xr:uid="{00000000-0005-0000-0000-0000FF900000}"/>
    <cellStyle name="Normal 2 4 5 3 4 2" xfId="12512" xr:uid="{00000000-0005-0000-0000-000000910000}"/>
    <cellStyle name="Normal 2 4 5 3 4 3" xfId="18329" xr:uid="{00000000-0005-0000-0000-000001910000}"/>
    <cellStyle name="Normal 2 4 5 3 5" xfId="3875" xr:uid="{00000000-0005-0000-0000-000002910000}"/>
    <cellStyle name="Normal 2 4 5 3 5 2" xfId="12513" xr:uid="{00000000-0005-0000-0000-000003910000}"/>
    <cellStyle name="Normal 2 4 5 3 5 3" xfId="18330" xr:uid="{00000000-0005-0000-0000-000004910000}"/>
    <cellStyle name="Normal 2 4 5 3 6" xfId="12509" xr:uid="{00000000-0005-0000-0000-000005910000}"/>
    <cellStyle name="Normal 2 4 5 3 7" xfId="18326" xr:uid="{00000000-0005-0000-0000-000006910000}"/>
    <cellStyle name="Normal 2 4 5 3_LNG &amp; LPG rework" xfId="7165" xr:uid="{00000000-0005-0000-0000-000007910000}"/>
    <cellStyle name="Normal 2 4 5 4" xfId="3876" xr:uid="{00000000-0005-0000-0000-000008910000}"/>
    <cellStyle name="Normal 2 4 5 4 2" xfId="12514" xr:uid="{00000000-0005-0000-0000-000009910000}"/>
    <cellStyle name="Normal 2 4 5 4 3" xfId="18331" xr:uid="{00000000-0005-0000-0000-00000A910000}"/>
    <cellStyle name="Normal 2 4 5 5" xfId="3877" xr:uid="{00000000-0005-0000-0000-00000B910000}"/>
    <cellStyle name="Normal 2 4 5 5 2" xfId="12515" xr:uid="{00000000-0005-0000-0000-00000C910000}"/>
    <cellStyle name="Normal 2 4 5 5 3" xfId="18332" xr:uid="{00000000-0005-0000-0000-00000D910000}"/>
    <cellStyle name="Normal 2 4 5 6" xfId="3878" xr:uid="{00000000-0005-0000-0000-00000E910000}"/>
    <cellStyle name="Normal 2 4 5 6 2" xfId="12516" xr:uid="{00000000-0005-0000-0000-00000F910000}"/>
    <cellStyle name="Normal 2 4 5 6 3" xfId="18333" xr:uid="{00000000-0005-0000-0000-000010910000}"/>
    <cellStyle name="Normal 2 4 5 7" xfId="3879" xr:uid="{00000000-0005-0000-0000-000011910000}"/>
    <cellStyle name="Normal 2 4 5 7 2" xfId="12517" xr:uid="{00000000-0005-0000-0000-000012910000}"/>
    <cellStyle name="Normal 2 4 5 7 3" xfId="18334" xr:uid="{00000000-0005-0000-0000-000013910000}"/>
    <cellStyle name="Normal 2 4 5 8" xfId="3880" xr:uid="{00000000-0005-0000-0000-000014910000}"/>
    <cellStyle name="Normal 2 4 5 8 2" xfId="12518" xr:uid="{00000000-0005-0000-0000-000015910000}"/>
    <cellStyle name="Normal 2 4 5 8 3" xfId="18335" xr:uid="{00000000-0005-0000-0000-000016910000}"/>
    <cellStyle name="Normal 2 4 5 9" xfId="9272" xr:uid="{00000000-0005-0000-0000-000017910000}"/>
    <cellStyle name="Normal 2 4 5_LNG &amp; LPG rework" xfId="7163" xr:uid="{00000000-0005-0000-0000-000018910000}"/>
    <cellStyle name="Normal 2 4 6" xfId="436" xr:uid="{00000000-0005-0000-0000-000019910000}"/>
    <cellStyle name="Normal 2 4 6 2" xfId="3881" xr:uid="{00000000-0005-0000-0000-00001A910000}"/>
    <cellStyle name="Normal 2 4 6 2 2" xfId="3882" xr:uid="{00000000-0005-0000-0000-00001B910000}"/>
    <cellStyle name="Normal 2 4 6 2 2 2" xfId="12520" xr:uid="{00000000-0005-0000-0000-00001C910000}"/>
    <cellStyle name="Normal 2 4 6 2 2 3" xfId="18338" xr:uid="{00000000-0005-0000-0000-00001D910000}"/>
    <cellStyle name="Normal 2 4 6 2 3" xfId="3883" xr:uid="{00000000-0005-0000-0000-00001E910000}"/>
    <cellStyle name="Normal 2 4 6 2 3 2" xfId="12521" xr:uid="{00000000-0005-0000-0000-00001F910000}"/>
    <cellStyle name="Normal 2 4 6 2 3 3" xfId="18339" xr:uid="{00000000-0005-0000-0000-000020910000}"/>
    <cellStyle name="Normal 2 4 6 2 4" xfId="3884" xr:uid="{00000000-0005-0000-0000-000021910000}"/>
    <cellStyle name="Normal 2 4 6 2 4 2" xfId="12522" xr:uid="{00000000-0005-0000-0000-000022910000}"/>
    <cellStyle name="Normal 2 4 6 2 4 3" xfId="18340" xr:uid="{00000000-0005-0000-0000-000023910000}"/>
    <cellStyle name="Normal 2 4 6 2 5" xfId="3885" xr:uid="{00000000-0005-0000-0000-000024910000}"/>
    <cellStyle name="Normal 2 4 6 2 5 2" xfId="12523" xr:uid="{00000000-0005-0000-0000-000025910000}"/>
    <cellStyle name="Normal 2 4 6 2 5 3" xfId="18341" xr:uid="{00000000-0005-0000-0000-000026910000}"/>
    <cellStyle name="Normal 2 4 6 2 6" xfId="12519" xr:uid="{00000000-0005-0000-0000-000027910000}"/>
    <cellStyle name="Normal 2 4 6 2 7" xfId="18337" xr:uid="{00000000-0005-0000-0000-000028910000}"/>
    <cellStyle name="Normal 2 4 6 2_LNG &amp; LPG rework" xfId="7167" xr:uid="{00000000-0005-0000-0000-000029910000}"/>
    <cellStyle name="Normal 2 4 6 3" xfId="3886" xr:uid="{00000000-0005-0000-0000-00002A910000}"/>
    <cellStyle name="Normal 2 4 6 3 2" xfId="12524" xr:uid="{00000000-0005-0000-0000-00002B910000}"/>
    <cellStyle name="Normal 2 4 6 3 3" xfId="18342" xr:uid="{00000000-0005-0000-0000-00002C910000}"/>
    <cellStyle name="Normal 2 4 6 4" xfId="3887" xr:uid="{00000000-0005-0000-0000-00002D910000}"/>
    <cellStyle name="Normal 2 4 6 4 2" xfId="12525" xr:uid="{00000000-0005-0000-0000-00002E910000}"/>
    <cellStyle name="Normal 2 4 6 4 3" xfId="18343" xr:uid="{00000000-0005-0000-0000-00002F910000}"/>
    <cellStyle name="Normal 2 4 6 5" xfId="3888" xr:uid="{00000000-0005-0000-0000-000030910000}"/>
    <cellStyle name="Normal 2 4 6 5 2" xfId="12526" xr:uid="{00000000-0005-0000-0000-000031910000}"/>
    <cellStyle name="Normal 2 4 6 5 3" xfId="18344" xr:uid="{00000000-0005-0000-0000-000032910000}"/>
    <cellStyle name="Normal 2 4 6 6" xfId="3889" xr:uid="{00000000-0005-0000-0000-000033910000}"/>
    <cellStyle name="Normal 2 4 6 6 2" xfId="12527" xr:uid="{00000000-0005-0000-0000-000034910000}"/>
    <cellStyle name="Normal 2 4 6 6 3" xfId="18345" xr:uid="{00000000-0005-0000-0000-000035910000}"/>
    <cellStyle name="Normal 2 4 6 7" xfId="3890" xr:uid="{00000000-0005-0000-0000-000036910000}"/>
    <cellStyle name="Normal 2 4 6 7 2" xfId="12528" xr:uid="{00000000-0005-0000-0000-000037910000}"/>
    <cellStyle name="Normal 2 4 6 7 3" xfId="18346" xr:uid="{00000000-0005-0000-0000-000038910000}"/>
    <cellStyle name="Normal 2 4 6 8" xfId="9274" xr:uid="{00000000-0005-0000-0000-000039910000}"/>
    <cellStyle name="Normal 2 4 6 9" xfId="18336" xr:uid="{00000000-0005-0000-0000-00003A910000}"/>
    <cellStyle name="Normal 2 4 6_LNG &amp; LPG rework" xfId="7166" xr:uid="{00000000-0005-0000-0000-00003B910000}"/>
    <cellStyle name="Normal 2 4 7" xfId="3891" xr:uid="{00000000-0005-0000-0000-00003C910000}"/>
    <cellStyle name="Normal 2 4 7 2" xfId="3892" xr:uid="{00000000-0005-0000-0000-00003D910000}"/>
    <cellStyle name="Normal 2 4 7 2 2" xfId="12530" xr:uid="{00000000-0005-0000-0000-00003E910000}"/>
    <cellStyle name="Normal 2 4 7 2 3" xfId="18348" xr:uid="{00000000-0005-0000-0000-00003F910000}"/>
    <cellStyle name="Normal 2 4 7 3" xfId="3893" xr:uid="{00000000-0005-0000-0000-000040910000}"/>
    <cellStyle name="Normal 2 4 7 3 2" xfId="12531" xr:uid="{00000000-0005-0000-0000-000041910000}"/>
    <cellStyle name="Normal 2 4 7 3 3" xfId="18349" xr:uid="{00000000-0005-0000-0000-000042910000}"/>
    <cellStyle name="Normal 2 4 7 4" xfId="3894" xr:uid="{00000000-0005-0000-0000-000043910000}"/>
    <cellStyle name="Normal 2 4 7 4 2" xfId="12532" xr:uid="{00000000-0005-0000-0000-000044910000}"/>
    <cellStyle name="Normal 2 4 7 4 3" xfId="18350" xr:uid="{00000000-0005-0000-0000-000045910000}"/>
    <cellStyle name="Normal 2 4 7 5" xfId="3895" xr:uid="{00000000-0005-0000-0000-000046910000}"/>
    <cellStyle name="Normal 2 4 7 5 2" xfId="12533" xr:uid="{00000000-0005-0000-0000-000047910000}"/>
    <cellStyle name="Normal 2 4 7 5 3" xfId="18351" xr:uid="{00000000-0005-0000-0000-000048910000}"/>
    <cellStyle name="Normal 2 4 7 6" xfId="12529" xr:uid="{00000000-0005-0000-0000-000049910000}"/>
    <cellStyle name="Normal 2 4 7 7" xfId="18347" xr:uid="{00000000-0005-0000-0000-00004A910000}"/>
    <cellStyle name="Normal 2 4 7_LNG &amp; LPG rework" xfId="7168" xr:uid="{00000000-0005-0000-0000-00004B910000}"/>
    <cellStyle name="Normal 2 4 8" xfId="3896" xr:uid="{00000000-0005-0000-0000-00004C910000}"/>
    <cellStyle name="Normal 2 4 8 2" xfId="12534" xr:uid="{00000000-0005-0000-0000-00004D910000}"/>
    <cellStyle name="Normal 2 4 8 3" xfId="18352" xr:uid="{00000000-0005-0000-0000-00004E910000}"/>
    <cellStyle name="Normal 2 4 9" xfId="3897" xr:uid="{00000000-0005-0000-0000-00004F910000}"/>
    <cellStyle name="Normal 2 4 9 2" xfId="12535" xr:uid="{00000000-0005-0000-0000-000050910000}"/>
    <cellStyle name="Normal 2 4 9 3" xfId="18353" xr:uid="{00000000-0005-0000-0000-000051910000}"/>
    <cellStyle name="Normal 2 4_Data - Monthly Commodity Prices" xfId="6485" xr:uid="{00000000-0005-0000-0000-000052910000}"/>
    <cellStyle name="Normal 2 5" xfId="437" xr:uid="{00000000-0005-0000-0000-000053910000}"/>
    <cellStyle name="Normal 2 5 10" xfId="8900" xr:uid="{00000000-0005-0000-0000-000054910000}"/>
    <cellStyle name="Normal 2 5 2" xfId="438" xr:uid="{00000000-0005-0000-0000-000055910000}"/>
    <cellStyle name="Normal 2 5 2 10" xfId="3898" xr:uid="{00000000-0005-0000-0000-000056910000}"/>
    <cellStyle name="Normal 2 5 2 10 2" xfId="12536" xr:uid="{00000000-0005-0000-0000-000057910000}"/>
    <cellStyle name="Normal 2 5 2 10 3" xfId="18355" xr:uid="{00000000-0005-0000-0000-000058910000}"/>
    <cellStyle name="Normal 2 5 2 11" xfId="3899" xr:uid="{00000000-0005-0000-0000-000059910000}"/>
    <cellStyle name="Normal 2 5 2 11 2" xfId="12537" xr:uid="{00000000-0005-0000-0000-00005A910000}"/>
    <cellStyle name="Normal 2 5 2 11 3" xfId="18356" xr:uid="{00000000-0005-0000-0000-00005B910000}"/>
    <cellStyle name="Normal 2 5 2 12" xfId="3900" xr:uid="{00000000-0005-0000-0000-00005C910000}"/>
    <cellStyle name="Normal 2 5 2 12 2" xfId="12538" xr:uid="{00000000-0005-0000-0000-00005D910000}"/>
    <cellStyle name="Normal 2 5 2 12 3" xfId="18357" xr:uid="{00000000-0005-0000-0000-00005E910000}"/>
    <cellStyle name="Normal 2 5 2 13" xfId="3901" xr:uid="{00000000-0005-0000-0000-00005F910000}"/>
    <cellStyle name="Normal 2 5 2 13 2" xfId="12539" xr:uid="{00000000-0005-0000-0000-000060910000}"/>
    <cellStyle name="Normal 2 5 2 13 3" xfId="18358" xr:uid="{00000000-0005-0000-0000-000061910000}"/>
    <cellStyle name="Normal 2 5 2 14" xfId="9275" xr:uid="{00000000-0005-0000-0000-000062910000}"/>
    <cellStyle name="Normal 2 5 2 15" xfId="18354" xr:uid="{00000000-0005-0000-0000-000063910000}"/>
    <cellStyle name="Normal 2 5 2 2" xfId="439" xr:uid="{00000000-0005-0000-0000-000064910000}"/>
    <cellStyle name="Normal 2 5 2 2 10" xfId="3902" xr:uid="{00000000-0005-0000-0000-000065910000}"/>
    <cellStyle name="Normal 2 5 2 2 10 2" xfId="12540" xr:uid="{00000000-0005-0000-0000-000066910000}"/>
    <cellStyle name="Normal 2 5 2 2 10 3" xfId="18360" xr:uid="{00000000-0005-0000-0000-000067910000}"/>
    <cellStyle name="Normal 2 5 2 2 11" xfId="3903" xr:uid="{00000000-0005-0000-0000-000068910000}"/>
    <cellStyle name="Normal 2 5 2 2 11 2" xfId="12541" xr:uid="{00000000-0005-0000-0000-000069910000}"/>
    <cellStyle name="Normal 2 5 2 2 11 3" xfId="18361" xr:uid="{00000000-0005-0000-0000-00006A910000}"/>
    <cellStyle name="Normal 2 5 2 2 12" xfId="9276" xr:uid="{00000000-0005-0000-0000-00006B910000}"/>
    <cellStyle name="Normal 2 5 2 2 13" xfId="18359" xr:uid="{00000000-0005-0000-0000-00006C910000}"/>
    <cellStyle name="Normal 2 5 2 2 2" xfId="440" xr:uid="{00000000-0005-0000-0000-00006D910000}"/>
    <cellStyle name="Normal 2 5 2 2 2 10" xfId="3904" xr:uid="{00000000-0005-0000-0000-00006E910000}"/>
    <cellStyle name="Normal 2 5 2 2 2 10 2" xfId="12542" xr:uid="{00000000-0005-0000-0000-00006F910000}"/>
    <cellStyle name="Normal 2 5 2 2 2 10 3" xfId="18363" xr:uid="{00000000-0005-0000-0000-000070910000}"/>
    <cellStyle name="Normal 2 5 2 2 2 11" xfId="9277" xr:uid="{00000000-0005-0000-0000-000071910000}"/>
    <cellStyle name="Normal 2 5 2 2 2 12" xfId="18362" xr:uid="{00000000-0005-0000-0000-000072910000}"/>
    <cellStyle name="Normal 2 5 2 2 2 2" xfId="441" xr:uid="{00000000-0005-0000-0000-000073910000}"/>
    <cellStyle name="Normal 2 5 2 2 2 2 10" xfId="18364" xr:uid="{00000000-0005-0000-0000-000074910000}"/>
    <cellStyle name="Normal 2 5 2 2 2 2 2" xfId="442" xr:uid="{00000000-0005-0000-0000-000075910000}"/>
    <cellStyle name="Normal 2 5 2 2 2 2 2 2" xfId="3905" xr:uid="{00000000-0005-0000-0000-000076910000}"/>
    <cellStyle name="Normal 2 5 2 2 2 2 2 2 2" xfId="12543" xr:uid="{00000000-0005-0000-0000-000077910000}"/>
    <cellStyle name="Normal 2 5 2 2 2 2 2 2 3" xfId="18366" xr:uid="{00000000-0005-0000-0000-000078910000}"/>
    <cellStyle name="Normal 2 5 2 2 2 2 2 3" xfId="3906" xr:uid="{00000000-0005-0000-0000-000079910000}"/>
    <cellStyle name="Normal 2 5 2 2 2 2 2 3 2" xfId="12544" xr:uid="{00000000-0005-0000-0000-00007A910000}"/>
    <cellStyle name="Normal 2 5 2 2 2 2 2 3 3" xfId="18367" xr:uid="{00000000-0005-0000-0000-00007B910000}"/>
    <cellStyle name="Normal 2 5 2 2 2 2 2 4" xfId="3907" xr:uid="{00000000-0005-0000-0000-00007C910000}"/>
    <cellStyle name="Normal 2 5 2 2 2 2 2 4 2" xfId="12545" xr:uid="{00000000-0005-0000-0000-00007D910000}"/>
    <cellStyle name="Normal 2 5 2 2 2 2 2 4 3" xfId="18368" xr:uid="{00000000-0005-0000-0000-00007E910000}"/>
    <cellStyle name="Normal 2 5 2 2 2 2 2 5" xfId="3908" xr:uid="{00000000-0005-0000-0000-00007F910000}"/>
    <cellStyle name="Normal 2 5 2 2 2 2 2 5 2" xfId="12546" xr:uid="{00000000-0005-0000-0000-000080910000}"/>
    <cellStyle name="Normal 2 5 2 2 2 2 2 5 3" xfId="18369" xr:uid="{00000000-0005-0000-0000-000081910000}"/>
    <cellStyle name="Normal 2 5 2 2 2 2 2 6" xfId="3909" xr:uid="{00000000-0005-0000-0000-000082910000}"/>
    <cellStyle name="Normal 2 5 2 2 2 2 2 6 2" xfId="12547" xr:uid="{00000000-0005-0000-0000-000083910000}"/>
    <cellStyle name="Normal 2 5 2 2 2 2 2 6 3" xfId="18370" xr:uid="{00000000-0005-0000-0000-000084910000}"/>
    <cellStyle name="Normal 2 5 2 2 2 2 2 7" xfId="9279" xr:uid="{00000000-0005-0000-0000-000085910000}"/>
    <cellStyle name="Normal 2 5 2 2 2 2 2 8" xfId="18365" xr:uid="{00000000-0005-0000-0000-000086910000}"/>
    <cellStyle name="Normal 2 5 2 2 2 2 2_LNG &amp; LPG rework" xfId="7173" xr:uid="{00000000-0005-0000-0000-000087910000}"/>
    <cellStyle name="Normal 2 5 2 2 2 2 3" xfId="3910" xr:uid="{00000000-0005-0000-0000-000088910000}"/>
    <cellStyle name="Normal 2 5 2 2 2 2 3 2" xfId="3911" xr:uid="{00000000-0005-0000-0000-000089910000}"/>
    <cellStyle name="Normal 2 5 2 2 2 2 3 2 2" xfId="12549" xr:uid="{00000000-0005-0000-0000-00008A910000}"/>
    <cellStyle name="Normal 2 5 2 2 2 2 3 2 3" xfId="18372" xr:uid="{00000000-0005-0000-0000-00008B910000}"/>
    <cellStyle name="Normal 2 5 2 2 2 2 3 3" xfId="3912" xr:uid="{00000000-0005-0000-0000-00008C910000}"/>
    <cellStyle name="Normal 2 5 2 2 2 2 3 3 2" xfId="12550" xr:uid="{00000000-0005-0000-0000-00008D910000}"/>
    <cellStyle name="Normal 2 5 2 2 2 2 3 3 3" xfId="18373" xr:uid="{00000000-0005-0000-0000-00008E910000}"/>
    <cellStyle name="Normal 2 5 2 2 2 2 3 4" xfId="3913" xr:uid="{00000000-0005-0000-0000-00008F910000}"/>
    <cellStyle name="Normal 2 5 2 2 2 2 3 4 2" xfId="12551" xr:uid="{00000000-0005-0000-0000-000090910000}"/>
    <cellStyle name="Normal 2 5 2 2 2 2 3 4 3" xfId="18374" xr:uid="{00000000-0005-0000-0000-000091910000}"/>
    <cellStyle name="Normal 2 5 2 2 2 2 3 5" xfId="3914" xr:uid="{00000000-0005-0000-0000-000092910000}"/>
    <cellStyle name="Normal 2 5 2 2 2 2 3 5 2" xfId="12552" xr:uid="{00000000-0005-0000-0000-000093910000}"/>
    <cellStyle name="Normal 2 5 2 2 2 2 3 5 3" xfId="18375" xr:uid="{00000000-0005-0000-0000-000094910000}"/>
    <cellStyle name="Normal 2 5 2 2 2 2 3 6" xfId="12548" xr:uid="{00000000-0005-0000-0000-000095910000}"/>
    <cellStyle name="Normal 2 5 2 2 2 2 3 7" xfId="18371" xr:uid="{00000000-0005-0000-0000-000096910000}"/>
    <cellStyle name="Normal 2 5 2 2 2 2 3_LNG &amp; LPG rework" xfId="7174" xr:uid="{00000000-0005-0000-0000-000097910000}"/>
    <cellStyle name="Normal 2 5 2 2 2 2 4" xfId="3915" xr:uid="{00000000-0005-0000-0000-000098910000}"/>
    <cellStyle name="Normal 2 5 2 2 2 2 4 2" xfId="12553" xr:uid="{00000000-0005-0000-0000-000099910000}"/>
    <cellStyle name="Normal 2 5 2 2 2 2 4 3" xfId="18376" xr:uid="{00000000-0005-0000-0000-00009A910000}"/>
    <cellStyle name="Normal 2 5 2 2 2 2 5" xfId="3916" xr:uid="{00000000-0005-0000-0000-00009B910000}"/>
    <cellStyle name="Normal 2 5 2 2 2 2 5 2" xfId="12554" xr:uid="{00000000-0005-0000-0000-00009C910000}"/>
    <cellStyle name="Normal 2 5 2 2 2 2 5 3" xfId="18377" xr:uid="{00000000-0005-0000-0000-00009D910000}"/>
    <cellStyle name="Normal 2 5 2 2 2 2 6" xfId="3917" xr:uid="{00000000-0005-0000-0000-00009E910000}"/>
    <cellStyle name="Normal 2 5 2 2 2 2 6 2" xfId="12555" xr:uid="{00000000-0005-0000-0000-00009F910000}"/>
    <cellStyle name="Normal 2 5 2 2 2 2 6 3" xfId="18378" xr:uid="{00000000-0005-0000-0000-0000A0910000}"/>
    <cellStyle name="Normal 2 5 2 2 2 2 7" xfId="3918" xr:uid="{00000000-0005-0000-0000-0000A1910000}"/>
    <cellStyle name="Normal 2 5 2 2 2 2 7 2" xfId="12556" xr:uid="{00000000-0005-0000-0000-0000A2910000}"/>
    <cellStyle name="Normal 2 5 2 2 2 2 7 3" xfId="18379" xr:uid="{00000000-0005-0000-0000-0000A3910000}"/>
    <cellStyle name="Normal 2 5 2 2 2 2 8" xfId="3919" xr:uid="{00000000-0005-0000-0000-0000A4910000}"/>
    <cellStyle name="Normal 2 5 2 2 2 2 8 2" xfId="12557" xr:uid="{00000000-0005-0000-0000-0000A5910000}"/>
    <cellStyle name="Normal 2 5 2 2 2 2 8 3" xfId="18380" xr:uid="{00000000-0005-0000-0000-0000A6910000}"/>
    <cellStyle name="Normal 2 5 2 2 2 2 9" xfId="9278" xr:uid="{00000000-0005-0000-0000-0000A7910000}"/>
    <cellStyle name="Normal 2 5 2 2 2 2_LNG &amp; LPG rework" xfId="7172" xr:uid="{00000000-0005-0000-0000-0000A8910000}"/>
    <cellStyle name="Normal 2 5 2 2 2 3" xfId="443" xr:uid="{00000000-0005-0000-0000-0000A9910000}"/>
    <cellStyle name="Normal 2 5 2 2 2 3 2" xfId="3920" xr:uid="{00000000-0005-0000-0000-0000AA910000}"/>
    <cellStyle name="Normal 2 5 2 2 2 3 2 2" xfId="12558" xr:uid="{00000000-0005-0000-0000-0000AB910000}"/>
    <cellStyle name="Normal 2 5 2 2 2 3 2 3" xfId="18382" xr:uid="{00000000-0005-0000-0000-0000AC910000}"/>
    <cellStyle name="Normal 2 5 2 2 2 3 3" xfId="3921" xr:uid="{00000000-0005-0000-0000-0000AD910000}"/>
    <cellStyle name="Normal 2 5 2 2 2 3 3 2" xfId="12559" xr:uid="{00000000-0005-0000-0000-0000AE910000}"/>
    <cellStyle name="Normal 2 5 2 2 2 3 3 3" xfId="18383" xr:uid="{00000000-0005-0000-0000-0000AF910000}"/>
    <cellStyle name="Normal 2 5 2 2 2 3 4" xfId="3922" xr:uid="{00000000-0005-0000-0000-0000B0910000}"/>
    <cellStyle name="Normal 2 5 2 2 2 3 4 2" xfId="12560" xr:uid="{00000000-0005-0000-0000-0000B1910000}"/>
    <cellStyle name="Normal 2 5 2 2 2 3 4 3" xfId="18384" xr:uid="{00000000-0005-0000-0000-0000B2910000}"/>
    <cellStyle name="Normal 2 5 2 2 2 3 5" xfId="3923" xr:uid="{00000000-0005-0000-0000-0000B3910000}"/>
    <cellStyle name="Normal 2 5 2 2 2 3 5 2" xfId="12561" xr:uid="{00000000-0005-0000-0000-0000B4910000}"/>
    <cellStyle name="Normal 2 5 2 2 2 3 5 3" xfId="18385" xr:uid="{00000000-0005-0000-0000-0000B5910000}"/>
    <cellStyle name="Normal 2 5 2 2 2 3 6" xfId="3924" xr:uid="{00000000-0005-0000-0000-0000B6910000}"/>
    <cellStyle name="Normal 2 5 2 2 2 3 6 2" xfId="12562" xr:uid="{00000000-0005-0000-0000-0000B7910000}"/>
    <cellStyle name="Normal 2 5 2 2 2 3 6 3" xfId="18386" xr:uid="{00000000-0005-0000-0000-0000B8910000}"/>
    <cellStyle name="Normal 2 5 2 2 2 3 7" xfId="9280" xr:uid="{00000000-0005-0000-0000-0000B9910000}"/>
    <cellStyle name="Normal 2 5 2 2 2 3 8" xfId="18381" xr:uid="{00000000-0005-0000-0000-0000BA910000}"/>
    <cellStyle name="Normal 2 5 2 2 2 3_LNG &amp; LPG rework" xfId="7175" xr:uid="{00000000-0005-0000-0000-0000BB910000}"/>
    <cellStyle name="Normal 2 5 2 2 2 4" xfId="3925" xr:uid="{00000000-0005-0000-0000-0000BC910000}"/>
    <cellStyle name="Normal 2 5 2 2 2 4 2" xfId="3926" xr:uid="{00000000-0005-0000-0000-0000BD910000}"/>
    <cellStyle name="Normal 2 5 2 2 2 4 2 2" xfId="12564" xr:uid="{00000000-0005-0000-0000-0000BE910000}"/>
    <cellStyle name="Normal 2 5 2 2 2 4 2 3" xfId="18388" xr:uid="{00000000-0005-0000-0000-0000BF910000}"/>
    <cellStyle name="Normal 2 5 2 2 2 4 3" xfId="3927" xr:uid="{00000000-0005-0000-0000-0000C0910000}"/>
    <cellStyle name="Normal 2 5 2 2 2 4 3 2" xfId="12565" xr:uid="{00000000-0005-0000-0000-0000C1910000}"/>
    <cellStyle name="Normal 2 5 2 2 2 4 3 3" xfId="18389" xr:uid="{00000000-0005-0000-0000-0000C2910000}"/>
    <cellStyle name="Normal 2 5 2 2 2 4 4" xfId="3928" xr:uid="{00000000-0005-0000-0000-0000C3910000}"/>
    <cellStyle name="Normal 2 5 2 2 2 4 4 2" xfId="12566" xr:uid="{00000000-0005-0000-0000-0000C4910000}"/>
    <cellStyle name="Normal 2 5 2 2 2 4 4 3" xfId="18390" xr:uid="{00000000-0005-0000-0000-0000C5910000}"/>
    <cellStyle name="Normal 2 5 2 2 2 4 5" xfId="3929" xr:uid="{00000000-0005-0000-0000-0000C6910000}"/>
    <cellStyle name="Normal 2 5 2 2 2 4 5 2" xfId="12567" xr:uid="{00000000-0005-0000-0000-0000C7910000}"/>
    <cellStyle name="Normal 2 5 2 2 2 4 5 3" xfId="18391" xr:uid="{00000000-0005-0000-0000-0000C8910000}"/>
    <cellStyle name="Normal 2 5 2 2 2 4 6" xfId="12563" xr:uid="{00000000-0005-0000-0000-0000C9910000}"/>
    <cellStyle name="Normal 2 5 2 2 2 4 7" xfId="18387" xr:uid="{00000000-0005-0000-0000-0000CA910000}"/>
    <cellStyle name="Normal 2 5 2 2 2 4_LNG &amp; LPG rework" xfId="7176" xr:uid="{00000000-0005-0000-0000-0000CB910000}"/>
    <cellStyle name="Normal 2 5 2 2 2 5" xfId="3930" xr:uid="{00000000-0005-0000-0000-0000CC910000}"/>
    <cellStyle name="Normal 2 5 2 2 2 5 2" xfId="3931" xr:uid="{00000000-0005-0000-0000-0000CD910000}"/>
    <cellStyle name="Normal 2 5 2 2 2 5 2 2" xfId="12569" xr:uid="{00000000-0005-0000-0000-0000CE910000}"/>
    <cellStyle name="Normal 2 5 2 2 2 5 2 3" xfId="18393" xr:uid="{00000000-0005-0000-0000-0000CF910000}"/>
    <cellStyle name="Normal 2 5 2 2 2 5 3" xfId="3932" xr:uid="{00000000-0005-0000-0000-0000D0910000}"/>
    <cellStyle name="Normal 2 5 2 2 2 5 3 2" xfId="12570" xr:uid="{00000000-0005-0000-0000-0000D1910000}"/>
    <cellStyle name="Normal 2 5 2 2 2 5 3 3" xfId="18394" xr:uid="{00000000-0005-0000-0000-0000D2910000}"/>
    <cellStyle name="Normal 2 5 2 2 2 5 4" xfId="3933" xr:uid="{00000000-0005-0000-0000-0000D3910000}"/>
    <cellStyle name="Normal 2 5 2 2 2 5 4 2" xfId="12571" xr:uid="{00000000-0005-0000-0000-0000D4910000}"/>
    <cellStyle name="Normal 2 5 2 2 2 5 4 3" xfId="18395" xr:uid="{00000000-0005-0000-0000-0000D5910000}"/>
    <cellStyle name="Normal 2 5 2 2 2 5 5" xfId="3934" xr:uid="{00000000-0005-0000-0000-0000D6910000}"/>
    <cellStyle name="Normal 2 5 2 2 2 5 5 2" xfId="12572" xr:uid="{00000000-0005-0000-0000-0000D7910000}"/>
    <cellStyle name="Normal 2 5 2 2 2 5 5 3" xfId="18396" xr:uid="{00000000-0005-0000-0000-0000D8910000}"/>
    <cellStyle name="Normal 2 5 2 2 2 5 6" xfId="12568" xr:uid="{00000000-0005-0000-0000-0000D9910000}"/>
    <cellStyle name="Normal 2 5 2 2 2 5 7" xfId="18392" xr:uid="{00000000-0005-0000-0000-0000DA910000}"/>
    <cellStyle name="Normal 2 5 2 2 2 5_LNG &amp; LPG rework" xfId="7177" xr:uid="{00000000-0005-0000-0000-0000DB910000}"/>
    <cellStyle name="Normal 2 5 2 2 2 6" xfId="3935" xr:uid="{00000000-0005-0000-0000-0000DC910000}"/>
    <cellStyle name="Normal 2 5 2 2 2 6 2" xfId="12573" xr:uid="{00000000-0005-0000-0000-0000DD910000}"/>
    <cellStyle name="Normal 2 5 2 2 2 6 3" xfId="18397" xr:uid="{00000000-0005-0000-0000-0000DE910000}"/>
    <cellStyle name="Normal 2 5 2 2 2 7" xfId="3936" xr:uid="{00000000-0005-0000-0000-0000DF910000}"/>
    <cellStyle name="Normal 2 5 2 2 2 7 2" xfId="12574" xr:uid="{00000000-0005-0000-0000-0000E0910000}"/>
    <cellStyle name="Normal 2 5 2 2 2 7 3" xfId="18398" xr:uid="{00000000-0005-0000-0000-0000E1910000}"/>
    <cellStyle name="Normal 2 5 2 2 2 8" xfId="3937" xr:uid="{00000000-0005-0000-0000-0000E2910000}"/>
    <cellStyle name="Normal 2 5 2 2 2 8 2" xfId="12575" xr:uid="{00000000-0005-0000-0000-0000E3910000}"/>
    <cellStyle name="Normal 2 5 2 2 2 8 3" xfId="18399" xr:uid="{00000000-0005-0000-0000-0000E4910000}"/>
    <cellStyle name="Normal 2 5 2 2 2 9" xfId="3938" xr:uid="{00000000-0005-0000-0000-0000E5910000}"/>
    <cellStyle name="Normal 2 5 2 2 2 9 2" xfId="12576" xr:uid="{00000000-0005-0000-0000-0000E6910000}"/>
    <cellStyle name="Normal 2 5 2 2 2 9 3" xfId="18400" xr:uid="{00000000-0005-0000-0000-0000E7910000}"/>
    <cellStyle name="Normal 2 5 2 2 2_LNG &amp; LPG rework" xfId="7171" xr:uid="{00000000-0005-0000-0000-0000E8910000}"/>
    <cellStyle name="Normal 2 5 2 2 3" xfId="444" xr:uid="{00000000-0005-0000-0000-0000E9910000}"/>
    <cellStyle name="Normal 2 5 2 2 3 10" xfId="18401" xr:uid="{00000000-0005-0000-0000-0000EA910000}"/>
    <cellStyle name="Normal 2 5 2 2 3 2" xfId="445" xr:uid="{00000000-0005-0000-0000-0000EB910000}"/>
    <cellStyle name="Normal 2 5 2 2 3 2 2" xfId="3939" xr:uid="{00000000-0005-0000-0000-0000EC910000}"/>
    <cellStyle name="Normal 2 5 2 2 3 2 2 2" xfId="12577" xr:uid="{00000000-0005-0000-0000-0000ED910000}"/>
    <cellStyle name="Normal 2 5 2 2 3 2 2 3" xfId="18403" xr:uid="{00000000-0005-0000-0000-0000EE910000}"/>
    <cellStyle name="Normal 2 5 2 2 3 2 3" xfId="3940" xr:uid="{00000000-0005-0000-0000-0000EF910000}"/>
    <cellStyle name="Normal 2 5 2 2 3 2 3 2" xfId="12578" xr:uid="{00000000-0005-0000-0000-0000F0910000}"/>
    <cellStyle name="Normal 2 5 2 2 3 2 3 3" xfId="18404" xr:uid="{00000000-0005-0000-0000-0000F1910000}"/>
    <cellStyle name="Normal 2 5 2 2 3 2 4" xfId="3941" xr:uid="{00000000-0005-0000-0000-0000F2910000}"/>
    <cellStyle name="Normal 2 5 2 2 3 2 4 2" xfId="12579" xr:uid="{00000000-0005-0000-0000-0000F3910000}"/>
    <cellStyle name="Normal 2 5 2 2 3 2 4 3" xfId="18405" xr:uid="{00000000-0005-0000-0000-0000F4910000}"/>
    <cellStyle name="Normal 2 5 2 2 3 2 5" xfId="3942" xr:uid="{00000000-0005-0000-0000-0000F5910000}"/>
    <cellStyle name="Normal 2 5 2 2 3 2 5 2" xfId="12580" xr:uid="{00000000-0005-0000-0000-0000F6910000}"/>
    <cellStyle name="Normal 2 5 2 2 3 2 5 3" xfId="18406" xr:uid="{00000000-0005-0000-0000-0000F7910000}"/>
    <cellStyle name="Normal 2 5 2 2 3 2 6" xfId="3943" xr:uid="{00000000-0005-0000-0000-0000F8910000}"/>
    <cellStyle name="Normal 2 5 2 2 3 2 6 2" xfId="12581" xr:uid="{00000000-0005-0000-0000-0000F9910000}"/>
    <cellStyle name="Normal 2 5 2 2 3 2 6 3" xfId="18407" xr:uid="{00000000-0005-0000-0000-0000FA910000}"/>
    <cellStyle name="Normal 2 5 2 2 3 2 7" xfId="9282" xr:uid="{00000000-0005-0000-0000-0000FB910000}"/>
    <cellStyle name="Normal 2 5 2 2 3 2 8" xfId="18402" xr:uid="{00000000-0005-0000-0000-0000FC910000}"/>
    <cellStyle name="Normal 2 5 2 2 3 2_LNG &amp; LPG rework" xfId="7179" xr:uid="{00000000-0005-0000-0000-0000FD910000}"/>
    <cellStyle name="Normal 2 5 2 2 3 3" xfId="3944" xr:uid="{00000000-0005-0000-0000-0000FE910000}"/>
    <cellStyle name="Normal 2 5 2 2 3 3 2" xfId="3945" xr:uid="{00000000-0005-0000-0000-0000FF910000}"/>
    <cellStyle name="Normal 2 5 2 2 3 3 2 2" xfId="12583" xr:uid="{00000000-0005-0000-0000-000000920000}"/>
    <cellStyle name="Normal 2 5 2 2 3 3 2 3" xfId="18409" xr:uid="{00000000-0005-0000-0000-000001920000}"/>
    <cellStyle name="Normal 2 5 2 2 3 3 3" xfId="3946" xr:uid="{00000000-0005-0000-0000-000002920000}"/>
    <cellStyle name="Normal 2 5 2 2 3 3 3 2" xfId="12584" xr:uid="{00000000-0005-0000-0000-000003920000}"/>
    <cellStyle name="Normal 2 5 2 2 3 3 3 3" xfId="18410" xr:uid="{00000000-0005-0000-0000-000004920000}"/>
    <cellStyle name="Normal 2 5 2 2 3 3 4" xfId="3947" xr:uid="{00000000-0005-0000-0000-000005920000}"/>
    <cellStyle name="Normal 2 5 2 2 3 3 4 2" xfId="12585" xr:uid="{00000000-0005-0000-0000-000006920000}"/>
    <cellStyle name="Normal 2 5 2 2 3 3 4 3" xfId="18411" xr:uid="{00000000-0005-0000-0000-000007920000}"/>
    <cellStyle name="Normal 2 5 2 2 3 3 5" xfId="3948" xr:uid="{00000000-0005-0000-0000-000008920000}"/>
    <cellStyle name="Normal 2 5 2 2 3 3 5 2" xfId="12586" xr:uid="{00000000-0005-0000-0000-000009920000}"/>
    <cellStyle name="Normal 2 5 2 2 3 3 5 3" xfId="18412" xr:uid="{00000000-0005-0000-0000-00000A920000}"/>
    <cellStyle name="Normal 2 5 2 2 3 3 6" xfId="12582" xr:uid="{00000000-0005-0000-0000-00000B920000}"/>
    <cellStyle name="Normal 2 5 2 2 3 3 7" xfId="18408" xr:uid="{00000000-0005-0000-0000-00000C920000}"/>
    <cellStyle name="Normal 2 5 2 2 3 3_LNG &amp; LPG rework" xfId="7180" xr:uid="{00000000-0005-0000-0000-00000D920000}"/>
    <cellStyle name="Normal 2 5 2 2 3 4" xfId="3949" xr:uid="{00000000-0005-0000-0000-00000E920000}"/>
    <cellStyle name="Normal 2 5 2 2 3 4 2" xfId="12587" xr:uid="{00000000-0005-0000-0000-00000F920000}"/>
    <cellStyle name="Normal 2 5 2 2 3 4 3" xfId="18413" xr:uid="{00000000-0005-0000-0000-000010920000}"/>
    <cellStyle name="Normal 2 5 2 2 3 5" xfId="3950" xr:uid="{00000000-0005-0000-0000-000011920000}"/>
    <cellStyle name="Normal 2 5 2 2 3 5 2" xfId="12588" xr:uid="{00000000-0005-0000-0000-000012920000}"/>
    <cellStyle name="Normal 2 5 2 2 3 5 3" xfId="18414" xr:uid="{00000000-0005-0000-0000-000013920000}"/>
    <cellStyle name="Normal 2 5 2 2 3 6" xfId="3951" xr:uid="{00000000-0005-0000-0000-000014920000}"/>
    <cellStyle name="Normal 2 5 2 2 3 6 2" xfId="12589" xr:uid="{00000000-0005-0000-0000-000015920000}"/>
    <cellStyle name="Normal 2 5 2 2 3 6 3" xfId="18415" xr:uid="{00000000-0005-0000-0000-000016920000}"/>
    <cellStyle name="Normal 2 5 2 2 3 7" xfId="3952" xr:uid="{00000000-0005-0000-0000-000017920000}"/>
    <cellStyle name="Normal 2 5 2 2 3 7 2" xfId="12590" xr:uid="{00000000-0005-0000-0000-000018920000}"/>
    <cellStyle name="Normal 2 5 2 2 3 7 3" xfId="18416" xr:uid="{00000000-0005-0000-0000-000019920000}"/>
    <cellStyle name="Normal 2 5 2 2 3 8" xfId="3953" xr:uid="{00000000-0005-0000-0000-00001A920000}"/>
    <cellStyle name="Normal 2 5 2 2 3 8 2" xfId="12591" xr:uid="{00000000-0005-0000-0000-00001B920000}"/>
    <cellStyle name="Normal 2 5 2 2 3 8 3" xfId="18417" xr:uid="{00000000-0005-0000-0000-00001C920000}"/>
    <cellStyle name="Normal 2 5 2 2 3 9" xfId="9281" xr:uid="{00000000-0005-0000-0000-00001D920000}"/>
    <cellStyle name="Normal 2 5 2 2 3_LNG &amp; LPG rework" xfId="7178" xr:uid="{00000000-0005-0000-0000-00001E920000}"/>
    <cellStyle name="Normal 2 5 2 2 4" xfId="446" xr:uid="{00000000-0005-0000-0000-00001F920000}"/>
    <cellStyle name="Normal 2 5 2 2 4 2" xfId="3954" xr:uid="{00000000-0005-0000-0000-000020920000}"/>
    <cellStyle name="Normal 2 5 2 2 4 2 2" xfId="12592" xr:uid="{00000000-0005-0000-0000-000021920000}"/>
    <cellStyle name="Normal 2 5 2 2 4 2 3" xfId="18419" xr:uid="{00000000-0005-0000-0000-000022920000}"/>
    <cellStyle name="Normal 2 5 2 2 4 3" xfId="3955" xr:uid="{00000000-0005-0000-0000-000023920000}"/>
    <cellStyle name="Normal 2 5 2 2 4 3 2" xfId="12593" xr:uid="{00000000-0005-0000-0000-000024920000}"/>
    <cellStyle name="Normal 2 5 2 2 4 3 3" xfId="18420" xr:uid="{00000000-0005-0000-0000-000025920000}"/>
    <cellStyle name="Normal 2 5 2 2 4 4" xfId="3956" xr:uid="{00000000-0005-0000-0000-000026920000}"/>
    <cellStyle name="Normal 2 5 2 2 4 4 2" xfId="12594" xr:uid="{00000000-0005-0000-0000-000027920000}"/>
    <cellStyle name="Normal 2 5 2 2 4 4 3" xfId="18421" xr:uid="{00000000-0005-0000-0000-000028920000}"/>
    <cellStyle name="Normal 2 5 2 2 4 5" xfId="3957" xr:uid="{00000000-0005-0000-0000-000029920000}"/>
    <cellStyle name="Normal 2 5 2 2 4 5 2" xfId="12595" xr:uid="{00000000-0005-0000-0000-00002A920000}"/>
    <cellStyle name="Normal 2 5 2 2 4 5 3" xfId="18422" xr:uid="{00000000-0005-0000-0000-00002B920000}"/>
    <cellStyle name="Normal 2 5 2 2 4 6" xfId="3958" xr:uid="{00000000-0005-0000-0000-00002C920000}"/>
    <cellStyle name="Normal 2 5 2 2 4 6 2" xfId="12596" xr:uid="{00000000-0005-0000-0000-00002D920000}"/>
    <cellStyle name="Normal 2 5 2 2 4 6 3" xfId="18423" xr:uid="{00000000-0005-0000-0000-00002E920000}"/>
    <cellStyle name="Normal 2 5 2 2 4 7" xfId="9283" xr:uid="{00000000-0005-0000-0000-00002F920000}"/>
    <cellStyle name="Normal 2 5 2 2 4 8" xfId="18418" xr:uid="{00000000-0005-0000-0000-000030920000}"/>
    <cellStyle name="Normal 2 5 2 2 4_LNG &amp; LPG rework" xfId="7181" xr:uid="{00000000-0005-0000-0000-000031920000}"/>
    <cellStyle name="Normal 2 5 2 2 5" xfId="3959" xr:uid="{00000000-0005-0000-0000-000032920000}"/>
    <cellStyle name="Normal 2 5 2 2 5 2" xfId="3960" xr:uid="{00000000-0005-0000-0000-000033920000}"/>
    <cellStyle name="Normal 2 5 2 2 5 2 2" xfId="12598" xr:uid="{00000000-0005-0000-0000-000034920000}"/>
    <cellStyle name="Normal 2 5 2 2 5 2 3" xfId="18425" xr:uid="{00000000-0005-0000-0000-000035920000}"/>
    <cellStyle name="Normal 2 5 2 2 5 3" xfId="3961" xr:uid="{00000000-0005-0000-0000-000036920000}"/>
    <cellStyle name="Normal 2 5 2 2 5 3 2" xfId="12599" xr:uid="{00000000-0005-0000-0000-000037920000}"/>
    <cellStyle name="Normal 2 5 2 2 5 3 3" xfId="18426" xr:uid="{00000000-0005-0000-0000-000038920000}"/>
    <cellStyle name="Normal 2 5 2 2 5 4" xfId="3962" xr:uid="{00000000-0005-0000-0000-000039920000}"/>
    <cellStyle name="Normal 2 5 2 2 5 4 2" xfId="12600" xr:uid="{00000000-0005-0000-0000-00003A920000}"/>
    <cellStyle name="Normal 2 5 2 2 5 4 3" xfId="18427" xr:uid="{00000000-0005-0000-0000-00003B920000}"/>
    <cellStyle name="Normal 2 5 2 2 5 5" xfId="3963" xr:uid="{00000000-0005-0000-0000-00003C920000}"/>
    <cellStyle name="Normal 2 5 2 2 5 5 2" xfId="12601" xr:uid="{00000000-0005-0000-0000-00003D920000}"/>
    <cellStyle name="Normal 2 5 2 2 5 5 3" xfId="18428" xr:uid="{00000000-0005-0000-0000-00003E920000}"/>
    <cellStyle name="Normal 2 5 2 2 5 6" xfId="12597" xr:uid="{00000000-0005-0000-0000-00003F920000}"/>
    <cellStyle name="Normal 2 5 2 2 5 7" xfId="18424" xr:uid="{00000000-0005-0000-0000-000040920000}"/>
    <cellStyle name="Normal 2 5 2 2 5_LNG &amp; LPG rework" xfId="7182" xr:uid="{00000000-0005-0000-0000-000041920000}"/>
    <cellStyle name="Normal 2 5 2 2 6" xfId="3964" xr:uid="{00000000-0005-0000-0000-000042920000}"/>
    <cellStyle name="Normal 2 5 2 2 6 2" xfId="3965" xr:uid="{00000000-0005-0000-0000-000043920000}"/>
    <cellStyle name="Normal 2 5 2 2 6 2 2" xfId="12603" xr:uid="{00000000-0005-0000-0000-000044920000}"/>
    <cellStyle name="Normal 2 5 2 2 6 2 3" xfId="18430" xr:uid="{00000000-0005-0000-0000-000045920000}"/>
    <cellStyle name="Normal 2 5 2 2 6 3" xfId="3966" xr:uid="{00000000-0005-0000-0000-000046920000}"/>
    <cellStyle name="Normal 2 5 2 2 6 3 2" xfId="12604" xr:uid="{00000000-0005-0000-0000-000047920000}"/>
    <cellStyle name="Normal 2 5 2 2 6 3 3" xfId="18431" xr:uid="{00000000-0005-0000-0000-000048920000}"/>
    <cellStyle name="Normal 2 5 2 2 6 4" xfId="3967" xr:uid="{00000000-0005-0000-0000-000049920000}"/>
    <cellStyle name="Normal 2 5 2 2 6 4 2" xfId="12605" xr:uid="{00000000-0005-0000-0000-00004A920000}"/>
    <cellStyle name="Normal 2 5 2 2 6 4 3" xfId="18432" xr:uid="{00000000-0005-0000-0000-00004B920000}"/>
    <cellStyle name="Normal 2 5 2 2 6 5" xfId="3968" xr:uid="{00000000-0005-0000-0000-00004C920000}"/>
    <cellStyle name="Normal 2 5 2 2 6 5 2" xfId="12606" xr:uid="{00000000-0005-0000-0000-00004D920000}"/>
    <cellStyle name="Normal 2 5 2 2 6 5 3" xfId="18433" xr:uid="{00000000-0005-0000-0000-00004E920000}"/>
    <cellStyle name="Normal 2 5 2 2 6 6" xfId="12602" xr:uid="{00000000-0005-0000-0000-00004F920000}"/>
    <cellStyle name="Normal 2 5 2 2 6 7" xfId="18429" xr:uid="{00000000-0005-0000-0000-000050920000}"/>
    <cellStyle name="Normal 2 5 2 2 6_LNG &amp; LPG rework" xfId="7183" xr:uid="{00000000-0005-0000-0000-000051920000}"/>
    <cellStyle name="Normal 2 5 2 2 7" xfId="3969" xr:uid="{00000000-0005-0000-0000-000052920000}"/>
    <cellStyle name="Normal 2 5 2 2 7 2" xfId="12607" xr:uid="{00000000-0005-0000-0000-000053920000}"/>
    <cellStyle name="Normal 2 5 2 2 7 3" xfId="18434" xr:uid="{00000000-0005-0000-0000-000054920000}"/>
    <cellStyle name="Normal 2 5 2 2 8" xfId="3970" xr:uid="{00000000-0005-0000-0000-000055920000}"/>
    <cellStyle name="Normal 2 5 2 2 8 2" xfId="12608" xr:uid="{00000000-0005-0000-0000-000056920000}"/>
    <cellStyle name="Normal 2 5 2 2 8 3" xfId="18435" xr:uid="{00000000-0005-0000-0000-000057920000}"/>
    <cellStyle name="Normal 2 5 2 2 9" xfId="3971" xr:uid="{00000000-0005-0000-0000-000058920000}"/>
    <cellStyle name="Normal 2 5 2 2 9 2" xfId="12609" xr:uid="{00000000-0005-0000-0000-000059920000}"/>
    <cellStyle name="Normal 2 5 2 2 9 3" xfId="18436" xr:uid="{00000000-0005-0000-0000-00005A920000}"/>
    <cellStyle name="Normal 2 5 2 2_LNG &amp; LPG rework" xfId="7170" xr:uid="{00000000-0005-0000-0000-00005B920000}"/>
    <cellStyle name="Normal 2 5 2 3" xfId="447" xr:uid="{00000000-0005-0000-0000-00005C920000}"/>
    <cellStyle name="Normal 2 5 2 3 10" xfId="3972" xr:uid="{00000000-0005-0000-0000-00005D920000}"/>
    <cellStyle name="Normal 2 5 2 3 10 2" xfId="12610" xr:uid="{00000000-0005-0000-0000-00005E920000}"/>
    <cellStyle name="Normal 2 5 2 3 10 3" xfId="18438" xr:uid="{00000000-0005-0000-0000-00005F920000}"/>
    <cellStyle name="Normal 2 5 2 3 11" xfId="9284" xr:uid="{00000000-0005-0000-0000-000060920000}"/>
    <cellStyle name="Normal 2 5 2 3 12" xfId="18437" xr:uid="{00000000-0005-0000-0000-000061920000}"/>
    <cellStyle name="Normal 2 5 2 3 2" xfId="448" xr:uid="{00000000-0005-0000-0000-000062920000}"/>
    <cellStyle name="Normal 2 5 2 3 2 10" xfId="18439" xr:uid="{00000000-0005-0000-0000-000063920000}"/>
    <cellStyle name="Normal 2 5 2 3 2 2" xfId="449" xr:uid="{00000000-0005-0000-0000-000064920000}"/>
    <cellStyle name="Normal 2 5 2 3 2 2 2" xfId="3973" xr:uid="{00000000-0005-0000-0000-000065920000}"/>
    <cellStyle name="Normal 2 5 2 3 2 2 2 2" xfId="12611" xr:uid="{00000000-0005-0000-0000-000066920000}"/>
    <cellStyle name="Normal 2 5 2 3 2 2 2 3" xfId="18441" xr:uid="{00000000-0005-0000-0000-000067920000}"/>
    <cellStyle name="Normal 2 5 2 3 2 2 3" xfId="3974" xr:uid="{00000000-0005-0000-0000-000068920000}"/>
    <cellStyle name="Normal 2 5 2 3 2 2 3 2" xfId="12612" xr:uid="{00000000-0005-0000-0000-000069920000}"/>
    <cellStyle name="Normal 2 5 2 3 2 2 3 3" xfId="18442" xr:uid="{00000000-0005-0000-0000-00006A920000}"/>
    <cellStyle name="Normal 2 5 2 3 2 2 4" xfId="3975" xr:uid="{00000000-0005-0000-0000-00006B920000}"/>
    <cellStyle name="Normal 2 5 2 3 2 2 4 2" xfId="12613" xr:uid="{00000000-0005-0000-0000-00006C920000}"/>
    <cellStyle name="Normal 2 5 2 3 2 2 4 3" xfId="18443" xr:uid="{00000000-0005-0000-0000-00006D920000}"/>
    <cellStyle name="Normal 2 5 2 3 2 2 5" xfId="3976" xr:uid="{00000000-0005-0000-0000-00006E920000}"/>
    <cellStyle name="Normal 2 5 2 3 2 2 5 2" xfId="12614" xr:uid="{00000000-0005-0000-0000-00006F920000}"/>
    <cellStyle name="Normal 2 5 2 3 2 2 5 3" xfId="18444" xr:uid="{00000000-0005-0000-0000-000070920000}"/>
    <cellStyle name="Normal 2 5 2 3 2 2 6" xfId="3977" xr:uid="{00000000-0005-0000-0000-000071920000}"/>
    <cellStyle name="Normal 2 5 2 3 2 2 6 2" xfId="12615" xr:uid="{00000000-0005-0000-0000-000072920000}"/>
    <cellStyle name="Normal 2 5 2 3 2 2 6 3" xfId="18445" xr:uid="{00000000-0005-0000-0000-000073920000}"/>
    <cellStyle name="Normal 2 5 2 3 2 2 7" xfId="9286" xr:uid="{00000000-0005-0000-0000-000074920000}"/>
    <cellStyle name="Normal 2 5 2 3 2 2 8" xfId="18440" xr:uid="{00000000-0005-0000-0000-000075920000}"/>
    <cellStyle name="Normal 2 5 2 3 2 2_LNG &amp; LPG rework" xfId="7186" xr:uid="{00000000-0005-0000-0000-000076920000}"/>
    <cellStyle name="Normal 2 5 2 3 2 3" xfId="3978" xr:uid="{00000000-0005-0000-0000-000077920000}"/>
    <cellStyle name="Normal 2 5 2 3 2 3 2" xfId="3979" xr:uid="{00000000-0005-0000-0000-000078920000}"/>
    <cellStyle name="Normal 2 5 2 3 2 3 2 2" xfId="12617" xr:uid="{00000000-0005-0000-0000-000079920000}"/>
    <cellStyle name="Normal 2 5 2 3 2 3 2 3" xfId="18447" xr:uid="{00000000-0005-0000-0000-00007A920000}"/>
    <cellStyle name="Normal 2 5 2 3 2 3 3" xfId="3980" xr:uid="{00000000-0005-0000-0000-00007B920000}"/>
    <cellStyle name="Normal 2 5 2 3 2 3 3 2" xfId="12618" xr:uid="{00000000-0005-0000-0000-00007C920000}"/>
    <cellStyle name="Normal 2 5 2 3 2 3 3 3" xfId="18448" xr:uid="{00000000-0005-0000-0000-00007D920000}"/>
    <cellStyle name="Normal 2 5 2 3 2 3 4" xfId="3981" xr:uid="{00000000-0005-0000-0000-00007E920000}"/>
    <cellStyle name="Normal 2 5 2 3 2 3 4 2" xfId="12619" xr:uid="{00000000-0005-0000-0000-00007F920000}"/>
    <cellStyle name="Normal 2 5 2 3 2 3 4 3" xfId="18449" xr:uid="{00000000-0005-0000-0000-000080920000}"/>
    <cellStyle name="Normal 2 5 2 3 2 3 5" xfId="3982" xr:uid="{00000000-0005-0000-0000-000081920000}"/>
    <cellStyle name="Normal 2 5 2 3 2 3 5 2" xfId="12620" xr:uid="{00000000-0005-0000-0000-000082920000}"/>
    <cellStyle name="Normal 2 5 2 3 2 3 5 3" xfId="18450" xr:uid="{00000000-0005-0000-0000-000083920000}"/>
    <cellStyle name="Normal 2 5 2 3 2 3 6" xfId="12616" xr:uid="{00000000-0005-0000-0000-000084920000}"/>
    <cellStyle name="Normal 2 5 2 3 2 3 7" xfId="18446" xr:uid="{00000000-0005-0000-0000-000085920000}"/>
    <cellStyle name="Normal 2 5 2 3 2 3_LNG &amp; LPG rework" xfId="7187" xr:uid="{00000000-0005-0000-0000-000086920000}"/>
    <cellStyle name="Normal 2 5 2 3 2 4" xfId="3983" xr:uid="{00000000-0005-0000-0000-000087920000}"/>
    <cellStyle name="Normal 2 5 2 3 2 4 2" xfId="12621" xr:uid="{00000000-0005-0000-0000-000088920000}"/>
    <cellStyle name="Normal 2 5 2 3 2 4 3" xfId="18451" xr:uid="{00000000-0005-0000-0000-000089920000}"/>
    <cellStyle name="Normal 2 5 2 3 2 5" xfId="3984" xr:uid="{00000000-0005-0000-0000-00008A920000}"/>
    <cellStyle name="Normal 2 5 2 3 2 5 2" xfId="12622" xr:uid="{00000000-0005-0000-0000-00008B920000}"/>
    <cellStyle name="Normal 2 5 2 3 2 5 3" xfId="18452" xr:uid="{00000000-0005-0000-0000-00008C920000}"/>
    <cellStyle name="Normal 2 5 2 3 2 6" xfId="3985" xr:uid="{00000000-0005-0000-0000-00008D920000}"/>
    <cellStyle name="Normal 2 5 2 3 2 6 2" xfId="12623" xr:uid="{00000000-0005-0000-0000-00008E920000}"/>
    <cellStyle name="Normal 2 5 2 3 2 6 3" xfId="18453" xr:uid="{00000000-0005-0000-0000-00008F920000}"/>
    <cellStyle name="Normal 2 5 2 3 2 7" xfId="3986" xr:uid="{00000000-0005-0000-0000-000090920000}"/>
    <cellStyle name="Normal 2 5 2 3 2 7 2" xfId="12624" xr:uid="{00000000-0005-0000-0000-000091920000}"/>
    <cellStyle name="Normal 2 5 2 3 2 7 3" xfId="18454" xr:uid="{00000000-0005-0000-0000-000092920000}"/>
    <cellStyle name="Normal 2 5 2 3 2 8" xfId="3987" xr:uid="{00000000-0005-0000-0000-000093920000}"/>
    <cellStyle name="Normal 2 5 2 3 2 8 2" xfId="12625" xr:uid="{00000000-0005-0000-0000-000094920000}"/>
    <cellStyle name="Normal 2 5 2 3 2 8 3" xfId="18455" xr:uid="{00000000-0005-0000-0000-000095920000}"/>
    <cellStyle name="Normal 2 5 2 3 2 9" xfId="9285" xr:uid="{00000000-0005-0000-0000-000096920000}"/>
    <cellStyle name="Normal 2 5 2 3 2_LNG &amp; LPG rework" xfId="7185" xr:uid="{00000000-0005-0000-0000-000097920000}"/>
    <cellStyle name="Normal 2 5 2 3 3" xfId="450" xr:uid="{00000000-0005-0000-0000-000098920000}"/>
    <cellStyle name="Normal 2 5 2 3 3 2" xfId="3988" xr:uid="{00000000-0005-0000-0000-000099920000}"/>
    <cellStyle name="Normal 2 5 2 3 3 2 2" xfId="12626" xr:uid="{00000000-0005-0000-0000-00009A920000}"/>
    <cellStyle name="Normal 2 5 2 3 3 2 3" xfId="18457" xr:uid="{00000000-0005-0000-0000-00009B920000}"/>
    <cellStyle name="Normal 2 5 2 3 3 3" xfId="3989" xr:uid="{00000000-0005-0000-0000-00009C920000}"/>
    <cellStyle name="Normal 2 5 2 3 3 3 2" xfId="12627" xr:uid="{00000000-0005-0000-0000-00009D920000}"/>
    <cellStyle name="Normal 2 5 2 3 3 3 3" xfId="18458" xr:uid="{00000000-0005-0000-0000-00009E920000}"/>
    <cellStyle name="Normal 2 5 2 3 3 4" xfId="3990" xr:uid="{00000000-0005-0000-0000-00009F920000}"/>
    <cellStyle name="Normal 2 5 2 3 3 4 2" xfId="12628" xr:uid="{00000000-0005-0000-0000-0000A0920000}"/>
    <cellStyle name="Normal 2 5 2 3 3 4 3" xfId="18459" xr:uid="{00000000-0005-0000-0000-0000A1920000}"/>
    <cellStyle name="Normal 2 5 2 3 3 5" xfId="3991" xr:uid="{00000000-0005-0000-0000-0000A2920000}"/>
    <cellStyle name="Normal 2 5 2 3 3 5 2" xfId="12629" xr:uid="{00000000-0005-0000-0000-0000A3920000}"/>
    <cellStyle name="Normal 2 5 2 3 3 5 3" xfId="18460" xr:uid="{00000000-0005-0000-0000-0000A4920000}"/>
    <cellStyle name="Normal 2 5 2 3 3 6" xfId="3992" xr:uid="{00000000-0005-0000-0000-0000A5920000}"/>
    <cellStyle name="Normal 2 5 2 3 3 6 2" xfId="12630" xr:uid="{00000000-0005-0000-0000-0000A6920000}"/>
    <cellStyle name="Normal 2 5 2 3 3 6 3" xfId="18461" xr:uid="{00000000-0005-0000-0000-0000A7920000}"/>
    <cellStyle name="Normal 2 5 2 3 3 7" xfId="9287" xr:uid="{00000000-0005-0000-0000-0000A8920000}"/>
    <cellStyle name="Normal 2 5 2 3 3 8" xfId="18456" xr:uid="{00000000-0005-0000-0000-0000A9920000}"/>
    <cellStyle name="Normal 2 5 2 3 3_LNG &amp; LPG rework" xfId="7188" xr:uid="{00000000-0005-0000-0000-0000AA920000}"/>
    <cellStyle name="Normal 2 5 2 3 4" xfId="3993" xr:uid="{00000000-0005-0000-0000-0000AB920000}"/>
    <cellStyle name="Normal 2 5 2 3 4 2" xfId="3994" xr:uid="{00000000-0005-0000-0000-0000AC920000}"/>
    <cellStyle name="Normal 2 5 2 3 4 2 2" xfId="12632" xr:uid="{00000000-0005-0000-0000-0000AD920000}"/>
    <cellStyle name="Normal 2 5 2 3 4 2 3" xfId="18463" xr:uid="{00000000-0005-0000-0000-0000AE920000}"/>
    <cellStyle name="Normal 2 5 2 3 4 3" xfId="3995" xr:uid="{00000000-0005-0000-0000-0000AF920000}"/>
    <cellStyle name="Normal 2 5 2 3 4 3 2" xfId="12633" xr:uid="{00000000-0005-0000-0000-0000B0920000}"/>
    <cellStyle name="Normal 2 5 2 3 4 3 3" xfId="18464" xr:uid="{00000000-0005-0000-0000-0000B1920000}"/>
    <cellStyle name="Normal 2 5 2 3 4 4" xfId="3996" xr:uid="{00000000-0005-0000-0000-0000B2920000}"/>
    <cellStyle name="Normal 2 5 2 3 4 4 2" xfId="12634" xr:uid="{00000000-0005-0000-0000-0000B3920000}"/>
    <cellStyle name="Normal 2 5 2 3 4 4 3" xfId="18465" xr:uid="{00000000-0005-0000-0000-0000B4920000}"/>
    <cellStyle name="Normal 2 5 2 3 4 5" xfId="3997" xr:uid="{00000000-0005-0000-0000-0000B5920000}"/>
    <cellStyle name="Normal 2 5 2 3 4 5 2" xfId="12635" xr:uid="{00000000-0005-0000-0000-0000B6920000}"/>
    <cellStyle name="Normal 2 5 2 3 4 5 3" xfId="18466" xr:uid="{00000000-0005-0000-0000-0000B7920000}"/>
    <cellStyle name="Normal 2 5 2 3 4 6" xfId="12631" xr:uid="{00000000-0005-0000-0000-0000B8920000}"/>
    <cellStyle name="Normal 2 5 2 3 4 7" xfId="18462" xr:uid="{00000000-0005-0000-0000-0000B9920000}"/>
    <cellStyle name="Normal 2 5 2 3 4_LNG &amp; LPG rework" xfId="7189" xr:uid="{00000000-0005-0000-0000-0000BA920000}"/>
    <cellStyle name="Normal 2 5 2 3 5" xfId="3998" xr:uid="{00000000-0005-0000-0000-0000BB920000}"/>
    <cellStyle name="Normal 2 5 2 3 5 2" xfId="3999" xr:uid="{00000000-0005-0000-0000-0000BC920000}"/>
    <cellStyle name="Normal 2 5 2 3 5 2 2" xfId="12637" xr:uid="{00000000-0005-0000-0000-0000BD920000}"/>
    <cellStyle name="Normal 2 5 2 3 5 2 3" xfId="18468" xr:uid="{00000000-0005-0000-0000-0000BE920000}"/>
    <cellStyle name="Normal 2 5 2 3 5 3" xfId="4000" xr:uid="{00000000-0005-0000-0000-0000BF920000}"/>
    <cellStyle name="Normal 2 5 2 3 5 3 2" xfId="12638" xr:uid="{00000000-0005-0000-0000-0000C0920000}"/>
    <cellStyle name="Normal 2 5 2 3 5 3 3" xfId="18469" xr:uid="{00000000-0005-0000-0000-0000C1920000}"/>
    <cellStyle name="Normal 2 5 2 3 5 4" xfId="4001" xr:uid="{00000000-0005-0000-0000-0000C2920000}"/>
    <cellStyle name="Normal 2 5 2 3 5 4 2" xfId="12639" xr:uid="{00000000-0005-0000-0000-0000C3920000}"/>
    <cellStyle name="Normal 2 5 2 3 5 4 3" xfId="18470" xr:uid="{00000000-0005-0000-0000-0000C4920000}"/>
    <cellStyle name="Normal 2 5 2 3 5 5" xfId="4002" xr:uid="{00000000-0005-0000-0000-0000C5920000}"/>
    <cellStyle name="Normal 2 5 2 3 5 5 2" xfId="12640" xr:uid="{00000000-0005-0000-0000-0000C6920000}"/>
    <cellStyle name="Normal 2 5 2 3 5 5 3" xfId="18471" xr:uid="{00000000-0005-0000-0000-0000C7920000}"/>
    <cellStyle name="Normal 2 5 2 3 5 6" xfId="12636" xr:uid="{00000000-0005-0000-0000-0000C8920000}"/>
    <cellStyle name="Normal 2 5 2 3 5 7" xfId="18467" xr:uid="{00000000-0005-0000-0000-0000C9920000}"/>
    <cellStyle name="Normal 2 5 2 3 5_LNG &amp; LPG rework" xfId="7190" xr:uid="{00000000-0005-0000-0000-0000CA920000}"/>
    <cellStyle name="Normal 2 5 2 3 6" xfId="4003" xr:uid="{00000000-0005-0000-0000-0000CB920000}"/>
    <cellStyle name="Normal 2 5 2 3 6 2" xfId="12641" xr:uid="{00000000-0005-0000-0000-0000CC920000}"/>
    <cellStyle name="Normal 2 5 2 3 6 3" xfId="18472" xr:uid="{00000000-0005-0000-0000-0000CD920000}"/>
    <cellStyle name="Normal 2 5 2 3 7" xfId="4004" xr:uid="{00000000-0005-0000-0000-0000CE920000}"/>
    <cellStyle name="Normal 2 5 2 3 7 2" xfId="12642" xr:uid="{00000000-0005-0000-0000-0000CF920000}"/>
    <cellStyle name="Normal 2 5 2 3 7 3" xfId="18473" xr:uid="{00000000-0005-0000-0000-0000D0920000}"/>
    <cellStyle name="Normal 2 5 2 3 8" xfId="4005" xr:uid="{00000000-0005-0000-0000-0000D1920000}"/>
    <cellStyle name="Normal 2 5 2 3 8 2" xfId="12643" xr:uid="{00000000-0005-0000-0000-0000D2920000}"/>
    <cellStyle name="Normal 2 5 2 3 8 3" xfId="18474" xr:uid="{00000000-0005-0000-0000-0000D3920000}"/>
    <cellStyle name="Normal 2 5 2 3 9" xfId="4006" xr:uid="{00000000-0005-0000-0000-0000D4920000}"/>
    <cellStyle name="Normal 2 5 2 3 9 2" xfId="12644" xr:uid="{00000000-0005-0000-0000-0000D5920000}"/>
    <cellStyle name="Normal 2 5 2 3 9 3" xfId="18475" xr:uid="{00000000-0005-0000-0000-0000D6920000}"/>
    <cellStyle name="Normal 2 5 2 3_LNG &amp; LPG rework" xfId="7184" xr:uid="{00000000-0005-0000-0000-0000D7920000}"/>
    <cellStyle name="Normal 2 5 2 4" xfId="451" xr:uid="{00000000-0005-0000-0000-0000D8920000}"/>
    <cellStyle name="Normal 2 5 2 4 10" xfId="18476" xr:uid="{00000000-0005-0000-0000-0000D9920000}"/>
    <cellStyle name="Normal 2 5 2 4 2" xfId="452" xr:uid="{00000000-0005-0000-0000-0000DA920000}"/>
    <cellStyle name="Normal 2 5 2 4 2 2" xfId="4007" xr:uid="{00000000-0005-0000-0000-0000DB920000}"/>
    <cellStyle name="Normal 2 5 2 4 2 2 2" xfId="12645" xr:uid="{00000000-0005-0000-0000-0000DC920000}"/>
    <cellStyle name="Normal 2 5 2 4 2 2 3" xfId="18478" xr:uid="{00000000-0005-0000-0000-0000DD920000}"/>
    <cellStyle name="Normal 2 5 2 4 2 3" xfId="4008" xr:uid="{00000000-0005-0000-0000-0000DE920000}"/>
    <cellStyle name="Normal 2 5 2 4 2 3 2" xfId="12646" xr:uid="{00000000-0005-0000-0000-0000DF920000}"/>
    <cellStyle name="Normal 2 5 2 4 2 3 3" xfId="18479" xr:uid="{00000000-0005-0000-0000-0000E0920000}"/>
    <cellStyle name="Normal 2 5 2 4 2 4" xfId="4009" xr:uid="{00000000-0005-0000-0000-0000E1920000}"/>
    <cellStyle name="Normal 2 5 2 4 2 4 2" xfId="12647" xr:uid="{00000000-0005-0000-0000-0000E2920000}"/>
    <cellStyle name="Normal 2 5 2 4 2 4 3" xfId="18480" xr:uid="{00000000-0005-0000-0000-0000E3920000}"/>
    <cellStyle name="Normal 2 5 2 4 2 5" xfId="4010" xr:uid="{00000000-0005-0000-0000-0000E4920000}"/>
    <cellStyle name="Normal 2 5 2 4 2 5 2" xfId="12648" xr:uid="{00000000-0005-0000-0000-0000E5920000}"/>
    <cellStyle name="Normal 2 5 2 4 2 5 3" xfId="18481" xr:uid="{00000000-0005-0000-0000-0000E6920000}"/>
    <cellStyle name="Normal 2 5 2 4 2 6" xfId="4011" xr:uid="{00000000-0005-0000-0000-0000E7920000}"/>
    <cellStyle name="Normal 2 5 2 4 2 6 2" xfId="12649" xr:uid="{00000000-0005-0000-0000-0000E8920000}"/>
    <cellStyle name="Normal 2 5 2 4 2 6 3" xfId="18482" xr:uid="{00000000-0005-0000-0000-0000E9920000}"/>
    <cellStyle name="Normal 2 5 2 4 2 7" xfId="9289" xr:uid="{00000000-0005-0000-0000-0000EA920000}"/>
    <cellStyle name="Normal 2 5 2 4 2 8" xfId="18477" xr:uid="{00000000-0005-0000-0000-0000EB920000}"/>
    <cellStyle name="Normal 2 5 2 4 2_LNG &amp; LPG rework" xfId="7192" xr:uid="{00000000-0005-0000-0000-0000EC920000}"/>
    <cellStyle name="Normal 2 5 2 4 3" xfId="4012" xr:uid="{00000000-0005-0000-0000-0000ED920000}"/>
    <cellStyle name="Normal 2 5 2 4 3 2" xfId="4013" xr:uid="{00000000-0005-0000-0000-0000EE920000}"/>
    <cellStyle name="Normal 2 5 2 4 3 2 2" xfId="12651" xr:uid="{00000000-0005-0000-0000-0000EF920000}"/>
    <cellStyle name="Normal 2 5 2 4 3 2 3" xfId="18484" xr:uid="{00000000-0005-0000-0000-0000F0920000}"/>
    <cellStyle name="Normal 2 5 2 4 3 3" xfId="4014" xr:uid="{00000000-0005-0000-0000-0000F1920000}"/>
    <cellStyle name="Normal 2 5 2 4 3 3 2" xfId="12652" xr:uid="{00000000-0005-0000-0000-0000F2920000}"/>
    <cellStyle name="Normal 2 5 2 4 3 3 3" xfId="18485" xr:uid="{00000000-0005-0000-0000-0000F3920000}"/>
    <cellStyle name="Normal 2 5 2 4 3 4" xfId="4015" xr:uid="{00000000-0005-0000-0000-0000F4920000}"/>
    <cellStyle name="Normal 2 5 2 4 3 4 2" xfId="12653" xr:uid="{00000000-0005-0000-0000-0000F5920000}"/>
    <cellStyle name="Normal 2 5 2 4 3 4 3" xfId="18486" xr:uid="{00000000-0005-0000-0000-0000F6920000}"/>
    <cellStyle name="Normal 2 5 2 4 3 5" xfId="4016" xr:uid="{00000000-0005-0000-0000-0000F7920000}"/>
    <cellStyle name="Normal 2 5 2 4 3 5 2" xfId="12654" xr:uid="{00000000-0005-0000-0000-0000F8920000}"/>
    <cellStyle name="Normal 2 5 2 4 3 5 3" xfId="18487" xr:uid="{00000000-0005-0000-0000-0000F9920000}"/>
    <cellStyle name="Normal 2 5 2 4 3 6" xfId="12650" xr:uid="{00000000-0005-0000-0000-0000FA920000}"/>
    <cellStyle name="Normal 2 5 2 4 3 7" xfId="18483" xr:uid="{00000000-0005-0000-0000-0000FB920000}"/>
    <cellStyle name="Normal 2 5 2 4 3_LNG &amp; LPG rework" xfId="7193" xr:uid="{00000000-0005-0000-0000-0000FC920000}"/>
    <cellStyle name="Normal 2 5 2 4 4" xfId="4017" xr:uid="{00000000-0005-0000-0000-0000FD920000}"/>
    <cellStyle name="Normal 2 5 2 4 4 2" xfId="12655" xr:uid="{00000000-0005-0000-0000-0000FE920000}"/>
    <cellStyle name="Normal 2 5 2 4 4 3" xfId="18488" xr:uid="{00000000-0005-0000-0000-0000FF920000}"/>
    <cellStyle name="Normal 2 5 2 4 5" xfId="4018" xr:uid="{00000000-0005-0000-0000-000000930000}"/>
    <cellStyle name="Normal 2 5 2 4 5 2" xfId="12656" xr:uid="{00000000-0005-0000-0000-000001930000}"/>
    <cellStyle name="Normal 2 5 2 4 5 3" xfId="18489" xr:uid="{00000000-0005-0000-0000-000002930000}"/>
    <cellStyle name="Normal 2 5 2 4 6" xfId="4019" xr:uid="{00000000-0005-0000-0000-000003930000}"/>
    <cellStyle name="Normal 2 5 2 4 6 2" xfId="12657" xr:uid="{00000000-0005-0000-0000-000004930000}"/>
    <cellStyle name="Normal 2 5 2 4 6 3" xfId="18490" xr:uid="{00000000-0005-0000-0000-000005930000}"/>
    <cellStyle name="Normal 2 5 2 4 7" xfId="4020" xr:uid="{00000000-0005-0000-0000-000006930000}"/>
    <cellStyle name="Normal 2 5 2 4 7 2" xfId="12658" xr:uid="{00000000-0005-0000-0000-000007930000}"/>
    <cellStyle name="Normal 2 5 2 4 7 3" xfId="18491" xr:uid="{00000000-0005-0000-0000-000008930000}"/>
    <cellStyle name="Normal 2 5 2 4 8" xfId="4021" xr:uid="{00000000-0005-0000-0000-000009930000}"/>
    <cellStyle name="Normal 2 5 2 4 8 2" xfId="12659" xr:uid="{00000000-0005-0000-0000-00000A930000}"/>
    <cellStyle name="Normal 2 5 2 4 8 3" xfId="18492" xr:uid="{00000000-0005-0000-0000-00000B930000}"/>
    <cellStyle name="Normal 2 5 2 4 9" xfId="9288" xr:uid="{00000000-0005-0000-0000-00000C930000}"/>
    <cellStyle name="Normal 2 5 2 4_LNG &amp; LPG rework" xfId="7191" xr:uid="{00000000-0005-0000-0000-00000D930000}"/>
    <cellStyle name="Normal 2 5 2 5" xfId="453" xr:uid="{00000000-0005-0000-0000-00000E930000}"/>
    <cellStyle name="Normal 2 5 2 5 2" xfId="4022" xr:uid="{00000000-0005-0000-0000-00000F930000}"/>
    <cellStyle name="Normal 2 5 2 5 2 2" xfId="12660" xr:uid="{00000000-0005-0000-0000-000010930000}"/>
    <cellStyle name="Normal 2 5 2 5 2 3" xfId="18494" xr:uid="{00000000-0005-0000-0000-000011930000}"/>
    <cellStyle name="Normal 2 5 2 5 3" xfId="4023" xr:uid="{00000000-0005-0000-0000-000012930000}"/>
    <cellStyle name="Normal 2 5 2 5 3 2" xfId="12661" xr:uid="{00000000-0005-0000-0000-000013930000}"/>
    <cellStyle name="Normal 2 5 2 5 3 3" xfId="18495" xr:uid="{00000000-0005-0000-0000-000014930000}"/>
    <cellStyle name="Normal 2 5 2 5 4" xfId="9290" xr:uid="{00000000-0005-0000-0000-000015930000}"/>
    <cellStyle name="Normal 2 5 2 5 5" xfId="18493" xr:uid="{00000000-0005-0000-0000-000016930000}"/>
    <cellStyle name="Normal 2 5 2 5_LNG &amp; LPG rework" xfId="7194" xr:uid="{00000000-0005-0000-0000-000017930000}"/>
    <cellStyle name="Normal 2 5 2 6" xfId="4024" xr:uid="{00000000-0005-0000-0000-000018930000}"/>
    <cellStyle name="Normal 2 5 2 6 2" xfId="4025" xr:uid="{00000000-0005-0000-0000-000019930000}"/>
    <cellStyle name="Normal 2 5 2 6 2 2" xfId="12663" xr:uid="{00000000-0005-0000-0000-00001A930000}"/>
    <cellStyle name="Normal 2 5 2 6 2 3" xfId="18497" xr:uid="{00000000-0005-0000-0000-00001B930000}"/>
    <cellStyle name="Normal 2 5 2 6 3" xfId="4026" xr:uid="{00000000-0005-0000-0000-00001C930000}"/>
    <cellStyle name="Normal 2 5 2 6 3 2" xfId="12664" xr:uid="{00000000-0005-0000-0000-00001D930000}"/>
    <cellStyle name="Normal 2 5 2 6 3 3" xfId="18498" xr:uid="{00000000-0005-0000-0000-00001E930000}"/>
    <cellStyle name="Normal 2 5 2 6 4" xfId="4027" xr:uid="{00000000-0005-0000-0000-00001F930000}"/>
    <cellStyle name="Normal 2 5 2 6 4 2" xfId="12665" xr:uid="{00000000-0005-0000-0000-000020930000}"/>
    <cellStyle name="Normal 2 5 2 6 4 3" xfId="18499" xr:uid="{00000000-0005-0000-0000-000021930000}"/>
    <cellStyle name="Normal 2 5 2 6 5" xfId="4028" xr:uid="{00000000-0005-0000-0000-000022930000}"/>
    <cellStyle name="Normal 2 5 2 6 5 2" xfId="12666" xr:uid="{00000000-0005-0000-0000-000023930000}"/>
    <cellStyle name="Normal 2 5 2 6 5 3" xfId="18500" xr:uid="{00000000-0005-0000-0000-000024930000}"/>
    <cellStyle name="Normal 2 5 2 6 6" xfId="12662" xr:uid="{00000000-0005-0000-0000-000025930000}"/>
    <cellStyle name="Normal 2 5 2 6 7" xfId="18496" xr:uid="{00000000-0005-0000-0000-000026930000}"/>
    <cellStyle name="Normal 2 5 2 6_LNG &amp; LPG rework" xfId="7195" xr:uid="{00000000-0005-0000-0000-000027930000}"/>
    <cellStyle name="Normal 2 5 2 7" xfId="4029" xr:uid="{00000000-0005-0000-0000-000028930000}"/>
    <cellStyle name="Normal 2 5 2 7 2" xfId="4030" xr:uid="{00000000-0005-0000-0000-000029930000}"/>
    <cellStyle name="Normal 2 5 2 7 2 2" xfId="12668" xr:uid="{00000000-0005-0000-0000-00002A930000}"/>
    <cellStyle name="Normal 2 5 2 7 2 3" xfId="18502" xr:uid="{00000000-0005-0000-0000-00002B930000}"/>
    <cellStyle name="Normal 2 5 2 7 3" xfId="4031" xr:uid="{00000000-0005-0000-0000-00002C930000}"/>
    <cellStyle name="Normal 2 5 2 7 3 2" xfId="12669" xr:uid="{00000000-0005-0000-0000-00002D930000}"/>
    <cellStyle name="Normal 2 5 2 7 3 3" xfId="18503" xr:uid="{00000000-0005-0000-0000-00002E930000}"/>
    <cellStyle name="Normal 2 5 2 7 4" xfId="4032" xr:uid="{00000000-0005-0000-0000-00002F930000}"/>
    <cellStyle name="Normal 2 5 2 7 4 2" xfId="12670" xr:uid="{00000000-0005-0000-0000-000030930000}"/>
    <cellStyle name="Normal 2 5 2 7 4 3" xfId="18504" xr:uid="{00000000-0005-0000-0000-000031930000}"/>
    <cellStyle name="Normal 2 5 2 7 5" xfId="4033" xr:uid="{00000000-0005-0000-0000-000032930000}"/>
    <cellStyle name="Normal 2 5 2 7 5 2" xfId="12671" xr:uid="{00000000-0005-0000-0000-000033930000}"/>
    <cellStyle name="Normal 2 5 2 7 5 3" xfId="18505" xr:uid="{00000000-0005-0000-0000-000034930000}"/>
    <cellStyle name="Normal 2 5 2 7 6" xfId="12667" xr:uid="{00000000-0005-0000-0000-000035930000}"/>
    <cellStyle name="Normal 2 5 2 7 7" xfId="18501" xr:uid="{00000000-0005-0000-0000-000036930000}"/>
    <cellStyle name="Normal 2 5 2 7_LNG &amp; LPG rework" xfId="7196" xr:uid="{00000000-0005-0000-0000-000037930000}"/>
    <cellStyle name="Normal 2 5 2 8" xfId="4034" xr:uid="{00000000-0005-0000-0000-000038930000}"/>
    <cellStyle name="Normal 2 5 2 8 2" xfId="4035" xr:uid="{00000000-0005-0000-0000-000039930000}"/>
    <cellStyle name="Normal 2 5 2 8 2 2" xfId="12673" xr:uid="{00000000-0005-0000-0000-00003A930000}"/>
    <cellStyle name="Normal 2 5 2 8 2 3" xfId="18507" xr:uid="{00000000-0005-0000-0000-00003B930000}"/>
    <cellStyle name="Normal 2 5 2 8 3" xfId="4036" xr:uid="{00000000-0005-0000-0000-00003C930000}"/>
    <cellStyle name="Normal 2 5 2 8 3 2" xfId="12674" xr:uid="{00000000-0005-0000-0000-00003D930000}"/>
    <cellStyle name="Normal 2 5 2 8 3 3" xfId="18508" xr:uid="{00000000-0005-0000-0000-00003E930000}"/>
    <cellStyle name="Normal 2 5 2 8 4" xfId="4037" xr:uid="{00000000-0005-0000-0000-00003F930000}"/>
    <cellStyle name="Normal 2 5 2 8 4 2" xfId="12675" xr:uid="{00000000-0005-0000-0000-000040930000}"/>
    <cellStyle name="Normal 2 5 2 8 4 3" xfId="18509" xr:uid="{00000000-0005-0000-0000-000041930000}"/>
    <cellStyle name="Normal 2 5 2 8 5" xfId="4038" xr:uid="{00000000-0005-0000-0000-000042930000}"/>
    <cellStyle name="Normal 2 5 2 8 5 2" xfId="12676" xr:uid="{00000000-0005-0000-0000-000043930000}"/>
    <cellStyle name="Normal 2 5 2 8 5 3" xfId="18510" xr:uid="{00000000-0005-0000-0000-000044930000}"/>
    <cellStyle name="Normal 2 5 2 8 6" xfId="12672" xr:uid="{00000000-0005-0000-0000-000045930000}"/>
    <cellStyle name="Normal 2 5 2 8 7" xfId="18506" xr:uid="{00000000-0005-0000-0000-000046930000}"/>
    <cellStyle name="Normal 2 5 2 8_LNG &amp; LPG rework" xfId="7197" xr:uid="{00000000-0005-0000-0000-000047930000}"/>
    <cellStyle name="Normal 2 5 2 9" xfId="4039" xr:uid="{00000000-0005-0000-0000-000048930000}"/>
    <cellStyle name="Normal 2 5 2 9 2" xfId="12677" xr:uid="{00000000-0005-0000-0000-000049930000}"/>
    <cellStyle name="Normal 2 5 2 9 3" xfId="18511" xr:uid="{00000000-0005-0000-0000-00004A930000}"/>
    <cellStyle name="Normal 2 5 2_LNG &amp; LPG rework" xfId="7169" xr:uid="{00000000-0005-0000-0000-00004B930000}"/>
    <cellStyle name="Normal 2 5 3" xfId="454" xr:uid="{00000000-0005-0000-0000-00004C930000}"/>
    <cellStyle name="Normal 2 5 3 10" xfId="4040" xr:uid="{00000000-0005-0000-0000-00004D930000}"/>
    <cellStyle name="Normal 2 5 3 10 2" xfId="12678" xr:uid="{00000000-0005-0000-0000-00004E930000}"/>
    <cellStyle name="Normal 2 5 3 10 3" xfId="18513" xr:uid="{00000000-0005-0000-0000-00004F930000}"/>
    <cellStyle name="Normal 2 5 3 11" xfId="4041" xr:uid="{00000000-0005-0000-0000-000050930000}"/>
    <cellStyle name="Normal 2 5 3 11 2" xfId="12679" xr:uid="{00000000-0005-0000-0000-000051930000}"/>
    <cellStyle name="Normal 2 5 3 11 3" xfId="18514" xr:uid="{00000000-0005-0000-0000-000052930000}"/>
    <cellStyle name="Normal 2 5 3 12" xfId="4042" xr:uid="{00000000-0005-0000-0000-000053930000}"/>
    <cellStyle name="Normal 2 5 3 12 2" xfId="12680" xr:uid="{00000000-0005-0000-0000-000054930000}"/>
    <cellStyle name="Normal 2 5 3 12 3" xfId="18515" xr:uid="{00000000-0005-0000-0000-000055930000}"/>
    <cellStyle name="Normal 2 5 3 13" xfId="9291" xr:uid="{00000000-0005-0000-0000-000056930000}"/>
    <cellStyle name="Normal 2 5 3 14" xfId="18512" xr:uid="{00000000-0005-0000-0000-000057930000}"/>
    <cellStyle name="Normal 2 5 3 2" xfId="455" xr:uid="{00000000-0005-0000-0000-000058930000}"/>
    <cellStyle name="Normal 2 5 3 2 10" xfId="4043" xr:uid="{00000000-0005-0000-0000-000059930000}"/>
    <cellStyle name="Normal 2 5 3 2 10 2" xfId="12681" xr:uid="{00000000-0005-0000-0000-00005A930000}"/>
    <cellStyle name="Normal 2 5 3 2 10 3" xfId="18517" xr:uid="{00000000-0005-0000-0000-00005B930000}"/>
    <cellStyle name="Normal 2 5 3 2 11" xfId="9292" xr:uid="{00000000-0005-0000-0000-00005C930000}"/>
    <cellStyle name="Normal 2 5 3 2 12" xfId="18516" xr:uid="{00000000-0005-0000-0000-00005D930000}"/>
    <cellStyle name="Normal 2 5 3 2 2" xfId="456" xr:uid="{00000000-0005-0000-0000-00005E930000}"/>
    <cellStyle name="Normal 2 5 3 2 2 10" xfId="18518" xr:uid="{00000000-0005-0000-0000-00005F930000}"/>
    <cellStyle name="Normal 2 5 3 2 2 2" xfId="457" xr:uid="{00000000-0005-0000-0000-000060930000}"/>
    <cellStyle name="Normal 2 5 3 2 2 2 2" xfId="4044" xr:uid="{00000000-0005-0000-0000-000061930000}"/>
    <cellStyle name="Normal 2 5 3 2 2 2 2 2" xfId="12682" xr:uid="{00000000-0005-0000-0000-000062930000}"/>
    <cellStyle name="Normal 2 5 3 2 2 2 2 3" xfId="18520" xr:uid="{00000000-0005-0000-0000-000063930000}"/>
    <cellStyle name="Normal 2 5 3 2 2 2 3" xfId="4045" xr:uid="{00000000-0005-0000-0000-000064930000}"/>
    <cellStyle name="Normal 2 5 3 2 2 2 3 2" xfId="12683" xr:uid="{00000000-0005-0000-0000-000065930000}"/>
    <cellStyle name="Normal 2 5 3 2 2 2 3 3" xfId="18521" xr:uid="{00000000-0005-0000-0000-000066930000}"/>
    <cellStyle name="Normal 2 5 3 2 2 2 4" xfId="4046" xr:uid="{00000000-0005-0000-0000-000067930000}"/>
    <cellStyle name="Normal 2 5 3 2 2 2 4 2" xfId="12684" xr:uid="{00000000-0005-0000-0000-000068930000}"/>
    <cellStyle name="Normal 2 5 3 2 2 2 4 3" xfId="18522" xr:uid="{00000000-0005-0000-0000-000069930000}"/>
    <cellStyle name="Normal 2 5 3 2 2 2 5" xfId="4047" xr:uid="{00000000-0005-0000-0000-00006A930000}"/>
    <cellStyle name="Normal 2 5 3 2 2 2 5 2" xfId="12685" xr:uid="{00000000-0005-0000-0000-00006B930000}"/>
    <cellStyle name="Normal 2 5 3 2 2 2 5 3" xfId="18523" xr:uid="{00000000-0005-0000-0000-00006C930000}"/>
    <cellStyle name="Normal 2 5 3 2 2 2 6" xfId="4048" xr:uid="{00000000-0005-0000-0000-00006D930000}"/>
    <cellStyle name="Normal 2 5 3 2 2 2 6 2" xfId="12686" xr:uid="{00000000-0005-0000-0000-00006E930000}"/>
    <cellStyle name="Normal 2 5 3 2 2 2 6 3" xfId="18524" xr:uid="{00000000-0005-0000-0000-00006F930000}"/>
    <cellStyle name="Normal 2 5 3 2 2 2 7" xfId="9294" xr:uid="{00000000-0005-0000-0000-000070930000}"/>
    <cellStyle name="Normal 2 5 3 2 2 2 8" xfId="18519" xr:uid="{00000000-0005-0000-0000-000071930000}"/>
    <cellStyle name="Normal 2 5 3 2 2 2_LNG &amp; LPG rework" xfId="7201" xr:uid="{00000000-0005-0000-0000-000072930000}"/>
    <cellStyle name="Normal 2 5 3 2 2 3" xfId="4049" xr:uid="{00000000-0005-0000-0000-000073930000}"/>
    <cellStyle name="Normal 2 5 3 2 2 3 2" xfId="4050" xr:uid="{00000000-0005-0000-0000-000074930000}"/>
    <cellStyle name="Normal 2 5 3 2 2 3 2 2" xfId="12688" xr:uid="{00000000-0005-0000-0000-000075930000}"/>
    <cellStyle name="Normal 2 5 3 2 2 3 2 3" xfId="18526" xr:uid="{00000000-0005-0000-0000-000076930000}"/>
    <cellStyle name="Normal 2 5 3 2 2 3 3" xfId="4051" xr:uid="{00000000-0005-0000-0000-000077930000}"/>
    <cellStyle name="Normal 2 5 3 2 2 3 3 2" xfId="12689" xr:uid="{00000000-0005-0000-0000-000078930000}"/>
    <cellStyle name="Normal 2 5 3 2 2 3 3 3" xfId="18527" xr:uid="{00000000-0005-0000-0000-000079930000}"/>
    <cellStyle name="Normal 2 5 3 2 2 3 4" xfId="4052" xr:uid="{00000000-0005-0000-0000-00007A930000}"/>
    <cellStyle name="Normal 2 5 3 2 2 3 4 2" xfId="12690" xr:uid="{00000000-0005-0000-0000-00007B930000}"/>
    <cellStyle name="Normal 2 5 3 2 2 3 4 3" xfId="18528" xr:uid="{00000000-0005-0000-0000-00007C930000}"/>
    <cellStyle name="Normal 2 5 3 2 2 3 5" xfId="4053" xr:uid="{00000000-0005-0000-0000-00007D930000}"/>
    <cellStyle name="Normal 2 5 3 2 2 3 5 2" xfId="12691" xr:uid="{00000000-0005-0000-0000-00007E930000}"/>
    <cellStyle name="Normal 2 5 3 2 2 3 5 3" xfId="18529" xr:uid="{00000000-0005-0000-0000-00007F930000}"/>
    <cellStyle name="Normal 2 5 3 2 2 3 6" xfId="12687" xr:uid="{00000000-0005-0000-0000-000080930000}"/>
    <cellStyle name="Normal 2 5 3 2 2 3 7" xfId="18525" xr:uid="{00000000-0005-0000-0000-000081930000}"/>
    <cellStyle name="Normal 2 5 3 2 2 3_LNG &amp; LPG rework" xfId="7202" xr:uid="{00000000-0005-0000-0000-000082930000}"/>
    <cellStyle name="Normal 2 5 3 2 2 4" xfId="4054" xr:uid="{00000000-0005-0000-0000-000083930000}"/>
    <cellStyle name="Normal 2 5 3 2 2 4 2" xfId="12692" xr:uid="{00000000-0005-0000-0000-000084930000}"/>
    <cellStyle name="Normal 2 5 3 2 2 4 3" xfId="18530" xr:uid="{00000000-0005-0000-0000-000085930000}"/>
    <cellStyle name="Normal 2 5 3 2 2 5" xfId="4055" xr:uid="{00000000-0005-0000-0000-000086930000}"/>
    <cellStyle name="Normal 2 5 3 2 2 5 2" xfId="12693" xr:uid="{00000000-0005-0000-0000-000087930000}"/>
    <cellStyle name="Normal 2 5 3 2 2 5 3" xfId="18531" xr:uid="{00000000-0005-0000-0000-000088930000}"/>
    <cellStyle name="Normal 2 5 3 2 2 6" xfId="4056" xr:uid="{00000000-0005-0000-0000-000089930000}"/>
    <cellStyle name="Normal 2 5 3 2 2 6 2" xfId="12694" xr:uid="{00000000-0005-0000-0000-00008A930000}"/>
    <cellStyle name="Normal 2 5 3 2 2 6 3" xfId="18532" xr:uid="{00000000-0005-0000-0000-00008B930000}"/>
    <cellStyle name="Normal 2 5 3 2 2 7" xfId="4057" xr:uid="{00000000-0005-0000-0000-00008C930000}"/>
    <cellStyle name="Normal 2 5 3 2 2 7 2" xfId="12695" xr:uid="{00000000-0005-0000-0000-00008D930000}"/>
    <cellStyle name="Normal 2 5 3 2 2 7 3" xfId="18533" xr:uid="{00000000-0005-0000-0000-00008E930000}"/>
    <cellStyle name="Normal 2 5 3 2 2 8" xfId="4058" xr:uid="{00000000-0005-0000-0000-00008F930000}"/>
    <cellStyle name="Normal 2 5 3 2 2 8 2" xfId="12696" xr:uid="{00000000-0005-0000-0000-000090930000}"/>
    <cellStyle name="Normal 2 5 3 2 2 8 3" xfId="18534" xr:uid="{00000000-0005-0000-0000-000091930000}"/>
    <cellStyle name="Normal 2 5 3 2 2 9" xfId="9293" xr:uid="{00000000-0005-0000-0000-000092930000}"/>
    <cellStyle name="Normal 2 5 3 2 2_LNG &amp; LPG rework" xfId="7200" xr:uid="{00000000-0005-0000-0000-000093930000}"/>
    <cellStyle name="Normal 2 5 3 2 3" xfId="458" xr:uid="{00000000-0005-0000-0000-000094930000}"/>
    <cellStyle name="Normal 2 5 3 2 3 2" xfId="4059" xr:uid="{00000000-0005-0000-0000-000095930000}"/>
    <cellStyle name="Normal 2 5 3 2 3 2 2" xfId="12697" xr:uid="{00000000-0005-0000-0000-000096930000}"/>
    <cellStyle name="Normal 2 5 3 2 3 2 3" xfId="18536" xr:uid="{00000000-0005-0000-0000-000097930000}"/>
    <cellStyle name="Normal 2 5 3 2 3 3" xfId="4060" xr:uid="{00000000-0005-0000-0000-000098930000}"/>
    <cellStyle name="Normal 2 5 3 2 3 3 2" xfId="12698" xr:uid="{00000000-0005-0000-0000-000099930000}"/>
    <cellStyle name="Normal 2 5 3 2 3 3 3" xfId="18537" xr:uid="{00000000-0005-0000-0000-00009A930000}"/>
    <cellStyle name="Normal 2 5 3 2 3 4" xfId="4061" xr:uid="{00000000-0005-0000-0000-00009B930000}"/>
    <cellStyle name="Normal 2 5 3 2 3 4 2" xfId="12699" xr:uid="{00000000-0005-0000-0000-00009C930000}"/>
    <cellStyle name="Normal 2 5 3 2 3 4 3" xfId="18538" xr:uid="{00000000-0005-0000-0000-00009D930000}"/>
    <cellStyle name="Normal 2 5 3 2 3 5" xfId="4062" xr:uid="{00000000-0005-0000-0000-00009E930000}"/>
    <cellStyle name="Normal 2 5 3 2 3 5 2" xfId="12700" xr:uid="{00000000-0005-0000-0000-00009F930000}"/>
    <cellStyle name="Normal 2 5 3 2 3 5 3" xfId="18539" xr:uid="{00000000-0005-0000-0000-0000A0930000}"/>
    <cellStyle name="Normal 2 5 3 2 3 6" xfId="4063" xr:uid="{00000000-0005-0000-0000-0000A1930000}"/>
    <cellStyle name="Normal 2 5 3 2 3 6 2" xfId="12701" xr:uid="{00000000-0005-0000-0000-0000A2930000}"/>
    <cellStyle name="Normal 2 5 3 2 3 6 3" xfId="18540" xr:uid="{00000000-0005-0000-0000-0000A3930000}"/>
    <cellStyle name="Normal 2 5 3 2 3 7" xfId="9295" xr:uid="{00000000-0005-0000-0000-0000A4930000}"/>
    <cellStyle name="Normal 2 5 3 2 3 8" xfId="18535" xr:uid="{00000000-0005-0000-0000-0000A5930000}"/>
    <cellStyle name="Normal 2 5 3 2 3_LNG &amp; LPG rework" xfId="7203" xr:uid="{00000000-0005-0000-0000-0000A6930000}"/>
    <cellStyle name="Normal 2 5 3 2 4" xfId="4064" xr:uid="{00000000-0005-0000-0000-0000A7930000}"/>
    <cellStyle name="Normal 2 5 3 2 4 2" xfId="4065" xr:uid="{00000000-0005-0000-0000-0000A8930000}"/>
    <cellStyle name="Normal 2 5 3 2 4 2 2" xfId="12703" xr:uid="{00000000-0005-0000-0000-0000A9930000}"/>
    <cellStyle name="Normal 2 5 3 2 4 2 3" xfId="18542" xr:uid="{00000000-0005-0000-0000-0000AA930000}"/>
    <cellStyle name="Normal 2 5 3 2 4 3" xfId="4066" xr:uid="{00000000-0005-0000-0000-0000AB930000}"/>
    <cellStyle name="Normal 2 5 3 2 4 3 2" xfId="12704" xr:uid="{00000000-0005-0000-0000-0000AC930000}"/>
    <cellStyle name="Normal 2 5 3 2 4 3 3" xfId="18543" xr:uid="{00000000-0005-0000-0000-0000AD930000}"/>
    <cellStyle name="Normal 2 5 3 2 4 4" xfId="4067" xr:uid="{00000000-0005-0000-0000-0000AE930000}"/>
    <cellStyle name="Normal 2 5 3 2 4 4 2" xfId="12705" xr:uid="{00000000-0005-0000-0000-0000AF930000}"/>
    <cellStyle name="Normal 2 5 3 2 4 4 3" xfId="18544" xr:uid="{00000000-0005-0000-0000-0000B0930000}"/>
    <cellStyle name="Normal 2 5 3 2 4 5" xfId="4068" xr:uid="{00000000-0005-0000-0000-0000B1930000}"/>
    <cellStyle name="Normal 2 5 3 2 4 5 2" xfId="12706" xr:uid="{00000000-0005-0000-0000-0000B2930000}"/>
    <cellStyle name="Normal 2 5 3 2 4 5 3" xfId="18545" xr:uid="{00000000-0005-0000-0000-0000B3930000}"/>
    <cellStyle name="Normal 2 5 3 2 4 6" xfId="12702" xr:uid="{00000000-0005-0000-0000-0000B4930000}"/>
    <cellStyle name="Normal 2 5 3 2 4 7" xfId="18541" xr:uid="{00000000-0005-0000-0000-0000B5930000}"/>
    <cellStyle name="Normal 2 5 3 2 4_LNG &amp; LPG rework" xfId="7204" xr:uid="{00000000-0005-0000-0000-0000B6930000}"/>
    <cellStyle name="Normal 2 5 3 2 5" xfId="4069" xr:uid="{00000000-0005-0000-0000-0000B7930000}"/>
    <cellStyle name="Normal 2 5 3 2 5 2" xfId="4070" xr:uid="{00000000-0005-0000-0000-0000B8930000}"/>
    <cellStyle name="Normal 2 5 3 2 5 2 2" xfId="12708" xr:uid="{00000000-0005-0000-0000-0000B9930000}"/>
    <cellStyle name="Normal 2 5 3 2 5 2 3" xfId="18547" xr:uid="{00000000-0005-0000-0000-0000BA930000}"/>
    <cellStyle name="Normal 2 5 3 2 5 3" xfId="4071" xr:uid="{00000000-0005-0000-0000-0000BB930000}"/>
    <cellStyle name="Normal 2 5 3 2 5 3 2" xfId="12709" xr:uid="{00000000-0005-0000-0000-0000BC930000}"/>
    <cellStyle name="Normal 2 5 3 2 5 3 3" xfId="18548" xr:uid="{00000000-0005-0000-0000-0000BD930000}"/>
    <cellStyle name="Normal 2 5 3 2 5 4" xfId="4072" xr:uid="{00000000-0005-0000-0000-0000BE930000}"/>
    <cellStyle name="Normal 2 5 3 2 5 4 2" xfId="12710" xr:uid="{00000000-0005-0000-0000-0000BF930000}"/>
    <cellStyle name="Normal 2 5 3 2 5 4 3" xfId="18549" xr:uid="{00000000-0005-0000-0000-0000C0930000}"/>
    <cellStyle name="Normal 2 5 3 2 5 5" xfId="4073" xr:uid="{00000000-0005-0000-0000-0000C1930000}"/>
    <cellStyle name="Normal 2 5 3 2 5 5 2" xfId="12711" xr:uid="{00000000-0005-0000-0000-0000C2930000}"/>
    <cellStyle name="Normal 2 5 3 2 5 5 3" xfId="18550" xr:uid="{00000000-0005-0000-0000-0000C3930000}"/>
    <cellStyle name="Normal 2 5 3 2 5 6" xfId="12707" xr:uid="{00000000-0005-0000-0000-0000C4930000}"/>
    <cellStyle name="Normal 2 5 3 2 5 7" xfId="18546" xr:uid="{00000000-0005-0000-0000-0000C5930000}"/>
    <cellStyle name="Normal 2 5 3 2 5_LNG &amp; LPG rework" xfId="7205" xr:uid="{00000000-0005-0000-0000-0000C6930000}"/>
    <cellStyle name="Normal 2 5 3 2 6" xfId="4074" xr:uid="{00000000-0005-0000-0000-0000C7930000}"/>
    <cellStyle name="Normal 2 5 3 2 6 2" xfId="12712" xr:uid="{00000000-0005-0000-0000-0000C8930000}"/>
    <cellStyle name="Normal 2 5 3 2 6 3" xfId="18551" xr:uid="{00000000-0005-0000-0000-0000C9930000}"/>
    <cellStyle name="Normal 2 5 3 2 7" xfId="4075" xr:uid="{00000000-0005-0000-0000-0000CA930000}"/>
    <cellStyle name="Normal 2 5 3 2 7 2" xfId="12713" xr:uid="{00000000-0005-0000-0000-0000CB930000}"/>
    <cellStyle name="Normal 2 5 3 2 7 3" xfId="18552" xr:uid="{00000000-0005-0000-0000-0000CC930000}"/>
    <cellStyle name="Normal 2 5 3 2 8" xfId="4076" xr:uid="{00000000-0005-0000-0000-0000CD930000}"/>
    <cellStyle name="Normal 2 5 3 2 8 2" xfId="12714" xr:uid="{00000000-0005-0000-0000-0000CE930000}"/>
    <cellStyle name="Normal 2 5 3 2 8 3" xfId="18553" xr:uid="{00000000-0005-0000-0000-0000CF930000}"/>
    <cellStyle name="Normal 2 5 3 2 9" xfId="4077" xr:uid="{00000000-0005-0000-0000-0000D0930000}"/>
    <cellStyle name="Normal 2 5 3 2 9 2" xfId="12715" xr:uid="{00000000-0005-0000-0000-0000D1930000}"/>
    <cellStyle name="Normal 2 5 3 2 9 3" xfId="18554" xr:uid="{00000000-0005-0000-0000-0000D2930000}"/>
    <cellStyle name="Normal 2 5 3 2_LNG &amp; LPG rework" xfId="7199" xr:uid="{00000000-0005-0000-0000-0000D3930000}"/>
    <cellStyle name="Normal 2 5 3 3" xfId="459" xr:uid="{00000000-0005-0000-0000-0000D4930000}"/>
    <cellStyle name="Normal 2 5 3 3 10" xfId="18555" xr:uid="{00000000-0005-0000-0000-0000D5930000}"/>
    <cellStyle name="Normal 2 5 3 3 2" xfId="460" xr:uid="{00000000-0005-0000-0000-0000D6930000}"/>
    <cellStyle name="Normal 2 5 3 3 2 2" xfId="4078" xr:uid="{00000000-0005-0000-0000-0000D7930000}"/>
    <cellStyle name="Normal 2 5 3 3 2 2 2" xfId="12716" xr:uid="{00000000-0005-0000-0000-0000D8930000}"/>
    <cellStyle name="Normal 2 5 3 3 2 2 3" xfId="18557" xr:uid="{00000000-0005-0000-0000-0000D9930000}"/>
    <cellStyle name="Normal 2 5 3 3 2 3" xfId="4079" xr:uid="{00000000-0005-0000-0000-0000DA930000}"/>
    <cellStyle name="Normal 2 5 3 3 2 3 2" xfId="12717" xr:uid="{00000000-0005-0000-0000-0000DB930000}"/>
    <cellStyle name="Normal 2 5 3 3 2 3 3" xfId="18558" xr:uid="{00000000-0005-0000-0000-0000DC930000}"/>
    <cellStyle name="Normal 2 5 3 3 2 4" xfId="4080" xr:uid="{00000000-0005-0000-0000-0000DD930000}"/>
    <cellStyle name="Normal 2 5 3 3 2 4 2" xfId="12718" xr:uid="{00000000-0005-0000-0000-0000DE930000}"/>
    <cellStyle name="Normal 2 5 3 3 2 4 3" xfId="18559" xr:uid="{00000000-0005-0000-0000-0000DF930000}"/>
    <cellStyle name="Normal 2 5 3 3 2 5" xfId="4081" xr:uid="{00000000-0005-0000-0000-0000E0930000}"/>
    <cellStyle name="Normal 2 5 3 3 2 5 2" xfId="12719" xr:uid="{00000000-0005-0000-0000-0000E1930000}"/>
    <cellStyle name="Normal 2 5 3 3 2 5 3" xfId="18560" xr:uid="{00000000-0005-0000-0000-0000E2930000}"/>
    <cellStyle name="Normal 2 5 3 3 2 6" xfId="4082" xr:uid="{00000000-0005-0000-0000-0000E3930000}"/>
    <cellStyle name="Normal 2 5 3 3 2 6 2" xfId="12720" xr:uid="{00000000-0005-0000-0000-0000E4930000}"/>
    <cellStyle name="Normal 2 5 3 3 2 6 3" xfId="18561" xr:uid="{00000000-0005-0000-0000-0000E5930000}"/>
    <cellStyle name="Normal 2 5 3 3 2 7" xfId="9297" xr:uid="{00000000-0005-0000-0000-0000E6930000}"/>
    <cellStyle name="Normal 2 5 3 3 2 8" xfId="18556" xr:uid="{00000000-0005-0000-0000-0000E7930000}"/>
    <cellStyle name="Normal 2 5 3 3 2_LNG &amp; LPG rework" xfId="7207" xr:uid="{00000000-0005-0000-0000-0000E8930000}"/>
    <cellStyle name="Normal 2 5 3 3 3" xfId="4083" xr:uid="{00000000-0005-0000-0000-0000E9930000}"/>
    <cellStyle name="Normal 2 5 3 3 3 2" xfId="4084" xr:uid="{00000000-0005-0000-0000-0000EA930000}"/>
    <cellStyle name="Normal 2 5 3 3 3 2 2" xfId="12722" xr:uid="{00000000-0005-0000-0000-0000EB930000}"/>
    <cellStyle name="Normal 2 5 3 3 3 2 3" xfId="18563" xr:uid="{00000000-0005-0000-0000-0000EC930000}"/>
    <cellStyle name="Normal 2 5 3 3 3 3" xfId="4085" xr:uid="{00000000-0005-0000-0000-0000ED930000}"/>
    <cellStyle name="Normal 2 5 3 3 3 3 2" xfId="12723" xr:uid="{00000000-0005-0000-0000-0000EE930000}"/>
    <cellStyle name="Normal 2 5 3 3 3 3 3" xfId="18564" xr:uid="{00000000-0005-0000-0000-0000EF930000}"/>
    <cellStyle name="Normal 2 5 3 3 3 4" xfId="4086" xr:uid="{00000000-0005-0000-0000-0000F0930000}"/>
    <cellStyle name="Normal 2 5 3 3 3 4 2" xfId="12724" xr:uid="{00000000-0005-0000-0000-0000F1930000}"/>
    <cellStyle name="Normal 2 5 3 3 3 4 3" xfId="18565" xr:uid="{00000000-0005-0000-0000-0000F2930000}"/>
    <cellStyle name="Normal 2 5 3 3 3 5" xfId="4087" xr:uid="{00000000-0005-0000-0000-0000F3930000}"/>
    <cellStyle name="Normal 2 5 3 3 3 5 2" xfId="12725" xr:uid="{00000000-0005-0000-0000-0000F4930000}"/>
    <cellStyle name="Normal 2 5 3 3 3 5 3" xfId="18566" xr:uid="{00000000-0005-0000-0000-0000F5930000}"/>
    <cellStyle name="Normal 2 5 3 3 3 6" xfId="12721" xr:uid="{00000000-0005-0000-0000-0000F6930000}"/>
    <cellStyle name="Normal 2 5 3 3 3 7" xfId="18562" xr:uid="{00000000-0005-0000-0000-0000F7930000}"/>
    <cellStyle name="Normal 2 5 3 3 3_LNG &amp; LPG rework" xfId="7208" xr:uid="{00000000-0005-0000-0000-0000F8930000}"/>
    <cellStyle name="Normal 2 5 3 3 4" xfId="4088" xr:uid="{00000000-0005-0000-0000-0000F9930000}"/>
    <cellStyle name="Normal 2 5 3 3 4 2" xfId="12726" xr:uid="{00000000-0005-0000-0000-0000FA930000}"/>
    <cellStyle name="Normal 2 5 3 3 4 3" xfId="18567" xr:uid="{00000000-0005-0000-0000-0000FB930000}"/>
    <cellStyle name="Normal 2 5 3 3 5" xfId="4089" xr:uid="{00000000-0005-0000-0000-0000FC930000}"/>
    <cellStyle name="Normal 2 5 3 3 5 2" xfId="12727" xr:uid="{00000000-0005-0000-0000-0000FD930000}"/>
    <cellStyle name="Normal 2 5 3 3 5 3" xfId="18568" xr:uid="{00000000-0005-0000-0000-0000FE930000}"/>
    <cellStyle name="Normal 2 5 3 3 6" xfId="4090" xr:uid="{00000000-0005-0000-0000-0000FF930000}"/>
    <cellStyle name="Normal 2 5 3 3 6 2" xfId="12728" xr:uid="{00000000-0005-0000-0000-000000940000}"/>
    <cellStyle name="Normal 2 5 3 3 6 3" xfId="18569" xr:uid="{00000000-0005-0000-0000-000001940000}"/>
    <cellStyle name="Normal 2 5 3 3 7" xfId="4091" xr:uid="{00000000-0005-0000-0000-000002940000}"/>
    <cellStyle name="Normal 2 5 3 3 7 2" xfId="12729" xr:uid="{00000000-0005-0000-0000-000003940000}"/>
    <cellStyle name="Normal 2 5 3 3 7 3" xfId="18570" xr:uid="{00000000-0005-0000-0000-000004940000}"/>
    <cellStyle name="Normal 2 5 3 3 8" xfId="4092" xr:uid="{00000000-0005-0000-0000-000005940000}"/>
    <cellStyle name="Normal 2 5 3 3 8 2" xfId="12730" xr:uid="{00000000-0005-0000-0000-000006940000}"/>
    <cellStyle name="Normal 2 5 3 3 8 3" xfId="18571" xr:uid="{00000000-0005-0000-0000-000007940000}"/>
    <cellStyle name="Normal 2 5 3 3 9" xfId="9296" xr:uid="{00000000-0005-0000-0000-000008940000}"/>
    <cellStyle name="Normal 2 5 3 3_LNG &amp; LPG rework" xfId="7206" xr:uid="{00000000-0005-0000-0000-000009940000}"/>
    <cellStyle name="Normal 2 5 3 4" xfId="461" xr:uid="{00000000-0005-0000-0000-00000A940000}"/>
    <cellStyle name="Normal 2 5 3 4 2" xfId="4093" xr:uid="{00000000-0005-0000-0000-00000B940000}"/>
    <cellStyle name="Normal 2 5 3 4 2 2" xfId="12731" xr:uid="{00000000-0005-0000-0000-00000C940000}"/>
    <cellStyle name="Normal 2 5 3 4 2 3" xfId="18573" xr:uid="{00000000-0005-0000-0000-00000D940000}"/>
    <cellStyle name="Normal 2 5 3 4 3" xfId="4094" xr:uid="{00000000-0005-0000-0000-00000E940000}"/>
    <cellStyle name="Normal 2 5 3 4 3 2" xfId="12732" xr:uid="{00000000-0005-0000-0000-00000F940000}"/>
    <cellStyle name="Normal 2 5 3 4 3 3" xfId="18574" xr:uid="{00000000-0005-0000-0000-000010940000}"/>
    <cellStyle name="Normal 2 5 3 4 4" xfId="9298" xr:uid="{00000000-0005-0000-0000-000011940000}"/>
    <cellStyle name="Normal 2 5 3 4 5" xfId="18572" xr:uid="{00000000-0005-0000-0000-000012940000}"/>
    <cellStyle name="Normal 2 5 3 4_LNG &amp; LPG rework" xfId="7209" xr:uid="{00000000-0005-0000-0000-000013940000}"/>
    <cellStyle name="Normal 2 5 3 5" xfId="4095" xr:uid="{00000000-0005-0000-0000-000014940000}"/>
    <cellStyle name="Normal 2 5 3 5 2" xfId="4096" xr:uid="{00000000-0005-0000-0000-000015940000}"/>
    <cellStyle name="Normal 2 5 3 5 2 2" xfId="12734" xr:uid="{00000000-0005-0000-0000-000016940000}"/>
    <cellStyle name="Normal 2 5 3 5 2 3" xfId="18576" xr:uid="{00000000-0005-0000-0000-000017940000}"/>
    <cellStyle name="Normal 2 5 3 5 3" xfId="4097" xr:uid="{00000000-0005-0000-0000-000018940000}"/>
    <cellStyle name="Normal 2 5 3 5 3 2" xfId="12735" xr:uid="{00000000-0005-0000-0000-000019940000}"/>
    <cellStyle name="Normal 2 5 3 5 3 3" xfId="18577" xr:uid="{00000000-0005-0000-0000-00001A940000}"/>
    <cellStyle name="Normal 2 5 3 5 4" xfId="4098" xr:uid="{00000000-0005-0000-0000-00001B940000}"/>
    <cellStyle name="Normal 2 5 3 5 4 2" xfId="12736" xr:uid="{00000000-0005-0000-0000-00001C940000}"/>
    <cellStyle name="Normal 2 5 3 5 4 3" xfId="18578" xr:uid="{00000000-0005-0000-0000-00001D940000}"/>
    <cellStyle name="Normal 2 5 3 5 5" xfId="4099" xr:uid="{00000000-0005-0000-0000-00001E940000}"/>
    <cellStyle name="Normal 2 5 3 5 5 2" xfId="12737" xr:uid="{00000000-0005-0000-0000-00001F940000}"/>
    <cellStyle name="Normal 2 5 3 5 5 3" xfId="18579" xr:uid="{00000000-0005-0000-0000-000020940000}"/>
    <cellStyle name="Normal 2 5 3 5 6" xfId="12733" xr:uid="{00000000-0005-0000-0000-000021940000}"/>
    <cellStyle name="Normal 2 5 3 5 7" xfId="18575" xr:uid="{00000000-0005-0000-0000-000022940000}"/>
    <cellStyle name="Normal 2 5 3 5_LNG &amp; LPG rework" xfId="7210" xr:uid="{00000000-0005-0000-0000-000023940000}"/>
    <cellStyle name="Normal 2 5 3 6" xfId="4100" xr:uid="{00000000-0005-0000-0000-000024940000}"/>
    <cellStyle name="Normal 2 5 3 6 2" xfId="4101" xr:uid="{00000000-0005-0000-0000-000025940000}"/>
    <cellStyle name="Normal 2 5 3 6 2 2" xfId="12739" xr:uid="{00000000-0005-0000-0000-000026940000}"/>
    <cellStyle name="Normal 2 5 3 6 2 3" xfId="18581" xr:uid="{00000000-0005-0000-0000-000027940000}"/>
    <cellStyle name="Normal 2 5 3 6 3" xfId="4102" xr:uid="{00000000-0005-0000-0000-000028940000}"/>
    <cellStyle name="Normal 2 5 3 6 3 2" xfId="12740" xr:uid="{00000000-0005-0000-0000-000029940000}"/>
    <cellStyle name="Normal 2 5 3 6 3 3" xfId="18582" xr:uid="{00000000-0005-0000-0000-00002A940000}"/>
    <cellStyle name="Normal 2 5 3 6 4" xfId="4103" xr:uid="{00000000-0005-0000-0000-00002B940000}"/>
    <cellStyle name="Normal 2 5 3 6 4 2" xfId="12741" xr:uid="{00000000-0005-0000-0000-00002C940000}"/>
    <cellStyle name="Normal 2 5 3 6 4 3" xfId="18583" xr:uid="{00000000-0005-0000-0000-00002D940000}"/>
    <cellStyle name="Normal 2 5 3 6 5" xfId="4104" xr:uid="{00000000-0005-0000-0000-00002E940000}"/>
    <cellStyle name="Normal 2 5 3 6 5 2" xfId="12742" xr:uid="{00000000-0005-0000-0000-00002F940000}"/>
    <cellStyle name="Normal 2 5 3 6 5 3" xfId="18584" xr:uid="{00000000-0005-0000-0000-000030940000}"/>
    <cellStyle name="Normal 2 5 3 6 6" xfId="12738" xr:uid="{00000000-0005-0000-0000-000031940000}"/>
    <cellStyle name="Normal 2 5 3 6 7" xfId="18580" xr:uid="{00000000-0005-0000-0000-000032940000}"/>
    <cellStyle name="Normal 2 5 3 6_LNG &amp; LPG rework" xfId="7211" xr:uid="{00000000-0005-0000-0000-000033940000}"/>
    <cellStyle name="Normal 2 5 3 7" xfId="4105" xr:uid="{00000000-0005-0000-0000-000034940000}"/>
    <cellStyle name="Normal 2 5 3 7 2" xfId="4106" xr:uid="{00000000-0005-0000-0000-000035940000}"/>
    <cellStyle name="Normal 2 5 3 7 2 2" xfId="12744" xr:uid="{00000000-0005-0000-0000-000036940000}"/>
    <cellStyle name="Normal 2 5 3 7 2 3" xfId="18586" xr:uid="{00000000-0005-0000-0000-000037940000}"/>
    <cellStyle name="Normal 2 5 3 7 3" xfId="4107" xr:uid="{00000000-0005-0000-0000-000038940000}"/>
    <cellStyle name="Normal 2 5 3 7 3 2" xfId="12745" xr:uid="{00000000-0005-0000-0000-000039940000}"/>
    <cellStyle name="Normal 2 5 3 7 3 3" xfId="18587" xr:uid="{00000000-0005-0000-0000-00003A940000}"/>
    <cellStyle name="Normal 2 5 3 7 4" xfId="4108" xr:uid="{00000000-0005-0000-0000-00003B940000}"/>
    <cellStyle name="Normal 2 5 3 7 4 2" xfId="12746" xr:uid="{00000000-0005-0000-0000-00003C940000}"/>
    <cellStyle name="Normal 2 5 3 7 4 3" xfId="18588" xr:uid="{00000000-0005-0000-0000-00003D940000}"/>
    <cellStyle name="Normal 2 5 3 7 5" xfId="4109" xr:uid="{00000000-0005-0000-0000-00003E940000}"/>
    <cellStyle name="Normal 2 5 3 7 5 2" xfId="12747" xr:uid="{00000000-0005-0000-0000-00003F940000}"/>
    <cellStyle name="Normal 2 5 3 7 5 3" xfId="18589" xr:uid="{00000000-0005-0000-0000-000040940000}"/>
    <cellStyle name="Normal 2 5 3 7 6" xfId="12743" xr:uid="{00000000-0005-0000-0000-000041940000}"/>
    <cellStyle name="Normal 2 5 3 7 7" xfId="18585" xr:uid="{00000000-0005-0000-0000-000042940000}"/>
    <cellStyle name="Normal 2 5 3 7_LNG &amp; LPG rework" xfId="7212" xr:uid="{00000000-0005-0000-0000-000043940000}"/>
    <cellStyle name="Normal 2 5 3 8" xfId="4110" xr:uid="{00000000-0005-0000-0000-000044940000}"/>
    <cellStyle name="Normal 2 5 3 8 2" xfId="12748" xr:uid="{00000000-0005-0000-0000-000045940000}"/>
    <cellStyle name="Normal 2 5 3 8 3" xfId="18590" xr:uid="{00000000-0005-0000-0000-000046940000}"/>
    <cellStyle name="Normal 2 5 3 9" xfId="4111" xr:uid="{00000000-0005-0000-0000-000047940000}"/>
    <cellStyle name="Normal 2 5 3 9 2" xfId="12749" xr:uid="{00000000-0005-0000-0000-000048940000}"/>
    <cellStyle name="Normal 2 5 3 9 3" xfId="18591" xr:uid="{00000000-0005-0000-0000-000049940000}"/>
    <cellStyle name="Normal 2 5 3_LNG &amp; LPG rework" xfId="7198" xr:uid="{00000000-0005-0000-0000-00004A940000}"/>
    <cellStyle name="Normal 2 5 4" xfId="462" xr:uid="{00000000-0005-0000-0000-00004B940000}"/>
    <cellStyle name="Normal 2 5 4 10" xfId="4112" xr:uid="{00000000-0005-0000-0000-00004C940000}"/>
    <cellStyle name="Normal 2 5 4 10 2" xfId="12750" xr:uid="{00000000-0005-0000-0000-00004D940000}"/>
    <cellStyle name="Normal 2 5 4 10 3" xfId="18593" xr:uid="{00000000-0005-0000-0000-00004E940000}"/>
    <cellStyle name="Normal 2 5 4 11" xfId="9299" xr:uid="{00000000-0005-0000-0000-00004F940000}"/>
    <cellStyle name="Normal 2 5 4 12" xfId="18592" xr:uid="{00000000-0005-0000-0000-000050940000}"/>
    <cellStyle name="Normal 2 5 4 2" xfId="463" xr:uid="{00000000-0005-0000-0000-000051940000}"/>
    <cellStyle name="Normal 2 5 4 2 10" xfId="18594" xr:uid="{00000000-0005-0000-0000-000052940000}"/>
    <cellStyle name="Normal 2 5 4 2 2" xfId="464" xr:uid="{00000000-0005-0000-0000-000053940000}"/>
    <cellStyle name="Normal 2 5 4 2 2 2" xfId="4113" xr:uid="{00000000-0005-0000-0000-000054940000}"/>
    <cellStyle name="Normal 2 5 4 2 2 2 2" xfId="12751" xr:uid="{00000000-0005-0000-0000-000055940000}"/>
    <cellStyle name="Normal 2 5 4 2 2 2 3" xfId="18596" xr:uid="{00000000-0005-0000-0000-000056940000}"/>
    <cellStyle name="Normal 2 5 4 2 2 3" xfId="4114" xr:uid="{00000000-0005-0000-0000-000057940000}"/>
    <cellStyle name="Normal 2 5 4 2 2 3 2" xfId="12752" xr:uid="{00000000-0005-0000-0000-000058940000}"/>
    <cellStyle name="Normal 2 5 4 2 2 3 3" xfId="18597" xr:uid="{00000000-0005-0000-0000-000059940000}"/>
    <cellStyle name="Normal 2 5 4 2 2 4" xfId="4115" xr:uid="{00000000-0005-0000-0000-00005A940000}"/>
    <cellStyle name="Normal 2 5 4 2 2 4 2" xfId="12753" xr:uid="{00000000-0005-0000-0000-00005B940000}"/>
    <cellStyle name="Normal 2 5 4 2 2 4 3" xfId="18598" xr:uid="{00000000-0005-0000-0000-00005C940000}"/>
    <cellStyle name="Normal 2 5 4 2 2 5" xfId="4116" xr:uid="{00000000-0005-0000-0000-00005D940000}"/>
    <cellStyle name="Normal 2 5 4 2 2 5 2" xfId="12754" xr:uid="{00000000-0005-0000-0000-00005E940000}"/>
    <cellStyle name="Normal 2 5 4 2 2 5 3" xfId="18599" xr:uid="{00000000-0005-0000-0000-00005F940000}"/>
    <cellStyle name="Normal 2 5 4 2 2 6" xfId="4117" xr:uid="{00000000-0005-0000-0000-000060940000}"/>
    <cellStyle name="Normal 2 5 4 2 2 6 2" xfId="12755" xr:uid="{00000000-0005-0000-0000-000061940000}"/>
    <cellStyle name="Normal 2 5 4 2 2 6 3" xfId="18600" xr:uid="{00000000-0005-0000-0000-000062940000}"/>
    <cellStyle name="Normal 2 5 4 2 2 7" xfId="9301" xr:uid="{00000000-0005-0000-0000-000063940000}"/>
    <cellStyle name="Normal 2 5 4 2 2 8" xfId="18595" xr:uid="{00000000-0005-0000-0000-000064940000}"/>
    <cellStyle name="Normal 2 5 4 2 2_LNG &amp; LPG rework" xfId="7215" xr:uid="{00000000-0005-0000-0000-000065940000}"/>
    <cellStyle name="Normal 2 5 4 2 3" xfId="4118" xr:uid="{00000000-0005-0000-0000-000066940000}"/>
    <cellStyle name="Normal 2 5 4 2 3 2" xfId="4119" xr:uid="{00000000-0005-0000-0000-000067940000}"/>
    <cellStyle name="Normal 2 5 4 2 3 2 2" xfId="12757" xr:uid="{00000000-0005-0000-0000-000068940000}"/>
    <cellStyle name="Normal 2 5 4 2 3 2 3" xfId="18602" xr:uid="{00000000-0005-0000-0000-000069940000}"/>
    <cellStyle name="Normal 2 5 4 2 3 3" xfId="4120" xr:uid="{00000000-0005-0000-0000-00006A940000}"/>
    <cellStyle name="Normal 2 5 4 2 3 3 2" xfId="12758" xr:uid="{00000000-0005-0000-0000-00006B940000}"/>
    <cellStyle name="Normal 2 5 4 2 3 3 3" xfId="18603" xr:uid="{00000000-0005-0000-0000-00006C940000}"/>
    <cellStyle name="Normal 2 5 4 2 3 4" xfId="4121" xr:uid="{00000000-0005-0000-0000-00006D940000}"/>
    <cellStyle name="Normal 2 5 4 2 3 4 2" xfId="12759" xr:uid="{00000000-0005-0000-0000-00006E940000}"/>
    <cellStyle name="Normal 2 5 4 2 3 4 3" xfId="18604" xr:uid="{00000000-0005-0000-0000-00006F940000}"/>
    <cellStyle name="Normal 2 5 4 2 3 5" xfId="4122" xr:uid="{00000000-0005-0000-0000-000070940000}"/>
    <cellStyle name="Normal 2 5 4 2 3 5 2" xfId="12760" xr:uid="{00000000-0005-0000-0000-000071940000}"/>
    <cellStyle name="Normal 2 5 4 2 3 5 3" xfId="18605" xr:uid="{00000000-0005-0000-0000-000072940000}"/>
    <cellStyle name="Normal 2 5 4 2 3 6" xfId="12756" xr:uid="{00000000-0005-0000-0000-000073940000}"/>
    <cellStyle name="Normal 2 5 4 2 3 7" xfId="18601" xr:uid="{00000000-0005-0000-0000-000074940000}"/>
    <cellStyle name="Normal 2 5 4 2 3_LNG &amp; LPG rework" xfId="7216" xr:uid="{00000000-0005-0000-0000-000075940000}"/>
    <cellStyle name="Normal 2 5 4 2 4" xfId="4123" xr:uid="{00000000-0005-0000-0000-000076940000}"/>
    <cellStyle name="Normal 2 5 4 2 4 2" xfId="12761" xr:uid="{00000000-0005-0000-0000-000077940000}"/>
    <cellStyle name="Normal 2 5 4 2 4 3" xfId="18606" xr:uid="{00000000-0005-0000-0000-000078940000}"/>
    <cellStyle name="Normal 2 5 4 2 5" xfId="4124" xr:uid="{00000000-0005-0000-0000-000079940000}"/>
    <cellStyle name="Normal 2 5 4 2 5 2" xfId="12762" xr:uid="{00000000-0005-0000-0000-00007A940000}"/>
    <cellStyle name="Normal 2 5 4 2 5 3" xfId="18607" xr:uid="{00000000-0005-0000-0000-00007B940000}"/>
    <cellStyle name="Normal 2 5 4 2 6" xfId="4125" xr:uid="{00000000-0005-0000-0000-00007C940000}"/>
    <cellStyle name="Normal 2 5 4 2 6 2" xfId="12763" xr:uid="{00000000-0005-0000-0000-00007D940000}"/>
    <cellStyle name="Normal 2 5 4 2 6 3" xfId="18608" xr:uid="{00000000-0005-0000-0000-00007E940000}"/>
    <cellStyle name="Normal 2 5 4 2 7" xfId="4126" xr:uid="{00000000-0005-0000-0000-00007F940000}"/>
    <cellStyle name="Normal 2 5 4 2 7 2" xfId="12764" xr:uid="{00000000-0005-0000-0000-000080940000}"/>
    <cellStyle name="Normal 2 5 4 2 7 3" xfId="18609" xr:uid="{00000000-0005-0000-0000-000081940000}"/>
    <cellStyle name="Normal 2 5 4 2 8" xfId="4127" xr:uid="{00000000-0005-0000-0000-000082940000}"/>
    <cellStyle name="Normal 2 5 4 2 8 2" xfId="12765" xr:uid="{00000000-0005-0000-0000-000083940000}"/>
    <cellStyle name="Normal 2 5 4 2 8 3" xfId="18610" xr:uid="{00000000-0005-0000-0000-000084940000}"/>
    <cellStyle name="Normal 2 5 4 2 9" xfId="9300" xr:uid="{00000000-0005-0000-0000-000085940000}"/>
    <cellStyle name="Normal 2 5 4 2_LNG &amp; LPG rework" xfId="7214" xr:uid="{00000000-0005-0000-0000-000086940000}"/>
    <cellStyle name="Normal 2 5 4 3" xfId="465" xr:uid="{00000000-0005-0000-0000-000087940000}"/>
    <cellStyle name="Normal 2 5 4 3 2" xfId="4128" xr:uid="{00000000-0005-0000-0000-000088940000}"/>
    <cellStyle name="Normal 2 5 4 3 2 2" xfId="12766" xr:uid="{00000000-0005-0000-0000-000089940000}"/>
    <cellStyle name="Normal 2 5 4 3 2 3" xfId="18612" xr:uid="{00000000-0005-0000-0000-00008A940000}"/>
    <cellStyle name="Normal 2 5 4 3 3" xfId="4129" xr:uid="{00000000-0005-0000-0000-00008B940000}"/>
    <cellStyle name="Normal 2 5 4 3 3 2" xfId="12767" xr:uid="{00000000-0005-0000-0000-00008C940000}"/>
    <cellStyle name="Normal 2 5 4 3 3 3" xfId="18613" xr:uid="{00000000-0005-0000-0000-00008D940000}"/>
    <cellStyle name="Normal 2 5 4 3 4" xfId="4130" xr:uid="{00000000-0005-0000-0000-00008E940000}"/>
    <cellStyle name="Normal 2 5 4 3 4 2" xfId="12768" xr:uid="{00000000-0005-0000-0000-00008F940000}"/>
    <cellStyle name="Normal 2 5 4 3 4 3" xfId="18614" xr:uid="{00000000-0005-0000-0000-000090940000}"/>
    <cellStyle name="Normal 2 5 4 3 5" xfId="4131" xr:uid="{00000000-0005-0000-0000-000091940000}"/>
    <cellStyle name="Normal 2 5 4 3 5 2" xfId="12769" xr:uid="{00000000-0005-0000-0000-000092940000}"/>
    <cellStyle name="Normal 2 5 4 3 5 3" xfId="18615" xr:uid="{00000000-0005-0000-0000-000093940000}"/>
    <cellStyle name="Normal 2 5 4 3 6" xfId="4132" xr:uid="{00000000-0005-0000-0000-000094940000}"/>
    <cellStyle name="Normal 2 5 4 3 6 2" xfId="12770" xr:uid="{00000000-0005-0000-0000-000095940000}"/>
    <cellStyle name="Normal 2 5 4 3 6 3" xfId="18616" xr:uid="{00000000-0005-0000-0000-000096940000}"/>
    <cellStyle name="Normal 2 5 4 3 7" xfId="9302" xr:uid="{00000000-0005-0000-0000-000097940000}"/>
    <cellStyle name="Normal 2 5 4 3 8" xfId="18611" xr:uid="{00000000-0005-0000-0000-000098940000}"/>
    <cellStyle name="Normal 2 5 4 3_LNG &amp; LPG rework" xfId="7217" xr:uid="{00000000-0005-0000-0000-000099940000}"/>
    <cellStyle name="Normal 2 5 4 4" xfId="4133" xr:uid="{00000000-0005-0000-0000-00009A940000}"/>
    <cellStyle name="Normal 2 5 4 4 2" xfId="4134" xr:uid="{00000000-0005-0000-0000-00009B940000}"/>
    <cellStyle name="Normal 2 5 4 4 2 2" xfId="12772" xr:uid="{00000000-0005-0000-0000-00009C940000}"/>
    <cellStyle name="Normal 2 5 4 4 2 3" xfId="18618" xr:uid="{00000000-0005-0000-0000-00009D940000}"/>
    <cellStyle name="Normal 2 5 4 4 3" xfId="4135" xr:uid="{00000000-0005-0000-0000-00009E940000}"/>
    <cellStyle name="Normal 2 5 4 4 3 2" xfId="12773" xr:uid="{00000000-0005-0000-0000-00009F940000}"/>
    <cellStyle name="Normal 2 5 4 4 3 3" xfId="18619" xr:uid="{00000000-0005-0000-0000-0000A0940000}"/>
    <cellStyle name="Normal 2 5 4 4 4" xfId="4136" xr:uid="{00000000-0005-0000-0000-0000A1940000}"/>
    <cellStyle name="Normal 2 5 4 4 4 2" xfId="12774" xr:uid="{00000000-0005-0000-0000-0000A2940000}"/>
    <cellStyle name="Normal 2 5 4 4 4 3" xfId="18620" xr:uid="{00000000-0005-0000-0000-0000A3940000}"/>
    <cellStyle name="Normal 2 5 4 4 5" xfId="4137" xr:uid="{00000000-0005-0000-0000-0000A4940000}"/>
    <cellStyle name="Normal 2 5 4 4 5 2" xfId="12775" xr:uid="{00000000-0005-0000-0000-0000A5940000}"/>
    <cellStyle name="Normal 2 5 4 4 5 3" xfId="18621" xr:uid="{00000000-0005-0000-0000-0000A6940000}"/>
    <cellStyle name="Normal 2 5 4 4 6" xfId="12771" xr:uid="{00000000-0005-0000-0000-0000A7940000}"/>
    <cellStyle name="Normal 2 5 4 4 7" xfId="18617" xr:uid="{00000000-0005-0000-0000-0000A8940000}"/>
    <cellStyle name="Normal 2 5 4 4_LNG &amp; LPG rework" xfId="7218" xr:uid="{00000000-0005-0000-0000-0000A9940000}"/>
    <cellStyle name="Normal 2 5 4 5" xfId="4138" xr:uid="{00000000-0005-0000-0000-0000AA940000}"/>
    <cellStyle name="Normal 2 5 4 5 2" xfId="4139" xr:uid="{00000000-0005-0000-0000-0000AB940000}"/>
    <cellStyle name="Normal 2 5 4 5 2 2" xfId="12777" xr:uid="{00000000-0005-0000-0000-0000AC940000}"/>
    <cellStyle name="Normal 2 5 4 5 2 3" xfId="18623" xr:uid="{00000000-0005-0000-0000-0000AD940000}"/>
    <cellStyle name="Normal 2 5 4 5 3" xfId="4140" xr:uid="{00000000-0005-0000-0000-0000AE940000}"/>
    <cellStyle name="Normal 2 5 4 5 3 2" xfId="12778" xr:uid="{00000000-0005-0000-0000-0000AF940000}"/>
    <cellStyle name="Normal 2 5 4 5 3 3" xfId="18624" xr:uid="{00000000-0005-0000-0000-0000B0940000}"/>
    <cellStyle name="Normal 2 5 4 5 4" xfId="4141" xr:uid="{00000000-0005-0000-0000-0000B1940000}"/>
    <cellStyle name="Normal 2 5 4 5 4 2" xfId="12779" xr:uid="{00000000-0005-0000-0000-0000B2940000}"/>
    <cellStyle name="Normal 2 5 4 5 4 3" xfId="18625" xr:uid="{00000000-0005-0000-0000-0000B3940000}"/>
    <cellStyle name="Normal 2 5 4 5 5" xfId="4142" xr:uid="{00000000-0005-0000-0000-0000B4940000}"/>
    <cellStyle name="Normal 2 5 4 5 5 2" xfId="12780" xr:uid="{00000000-0005-0000-0000-0000B5940000}"/>
    <cellStyle name="Normal 2 5 4 5 5 3" xfId="18626" xr:uid="{00000000-0005-0000-0000-0000B6940000}"/>
    <cellStyle name="Normal 2 5 4 5 6" xfId="12776" xr:uid="{00000000-0005-0000-0000-0000B7940000}"/>
    <cellStyle name="Normal 2 5 4 5 7" xfId="18622" xr:uid="{00000000-0005-0000-0000-0000B8940000}"/>
    <cellStyle name="Normal 2 5 4 5_LNG &amp; LPG rework" xfId="7219" xr:uid="{00000000-0005-0000-0000-0000B9940000}"/>
    <cellStyle name="Normal 2 5 4 6" xfId="4143" xr:uid="{00000000-0005-0000-0000-0000BA940000}"/>
    <cellStyle name="Normal 2 5 4 6 2" xfId="12781" xr:uid="{00000000-0005-0000-0000-0000BB940000}"/>
    <cellStyle name="Normal 2 5 4 6 3" xfId="18627" xr:uid="{00000000-0005-0000-0000-0000BC940000}"/>
    <cellStyle name="Normal 2 5 4 7" xfId="4144" xr:uid="{00000000-0005-0000-0000-0000BD940000}"/>
    <cellStyle name="Normal 2 5 4 7 2" xfId="12782" xr:uid="{00000000-0005-0000-0000-0000BE940000}"/>
    <cellStyle name="Normal 2 5 4 7 3" xfId="18628" xr:uid="{00000000-0005-0000-0000-0000BF940000}"/>
    <cellStyle name="Normal 2 5 4 8" xfId="4145" xr:uid="{00000000-0005-0000-0000-0000C0940000}"/>
    <cellStyle name="Normal 2 5 4 8 2" xfId="12783" xr:uid="{00000000-0005-0000-0000-0000C1940000}"/>
    <cellStyle name="Normal 2 5 4 8 3" xfId="18629" xr:uid="{00000000-0005-0000-0000-0000C2940000}"/>
    <cellStyle name="Normal 2 5 4 9" xfId="4146" xr:uid="{00000000-0005-0000-0000-0000C3940000}"/>
    <cellStyle name="Normal 2 5 4 9 2" xfId="12784" xr:uid="{00000000-0005-0000-0000-0000C4940000}"/>
    <cellStyle name="Normal 2 5 4 9 3" xfId="18630" xr:uid="{00000000-0005-0000-0000-0000C5940000}"/>
    <cellStyle name="Normal 2 5 4_LNG &amp; LPG rework" xfId="7213" xr:uid="{00000000-0005-0000-0000-0000C6940000}"/>
    <cellStyle name="Normal 2 5 5" xfId="466" xr:uid="{00000000-0005-0000-0000-0000C7940000}"/>
    <cellStyle name="Normal 2 5 5 10" xfId="18631" xr:uid="{00000000-0005-0000-0000-0000C8940000}"/>
    <cellStyle name="Normal 2 5 5 2" xfId="467" xr:uid="{00000000-0005-0000-0000-0000C9940000}"/>
    <cellStyle name="Normal 2 5 5 2 2" xfId="4147" xr:uid="{00000000-0005-0000-0000-0000CA940000}"/>
    <cellStyle name="Normal 2 5 5 2 2 2" xfId="12785" xr:uid="{00000000-0005-0000-0000-0000CB940000}"/>
    <cellStyle name="Normal 2 5 5 2 2 3" xfId="18633" xr:uid="{00000000-0005-0000-0000-0000CC940000}"/>
    <cellStyle name="Normal 2 5 5 2 3" xfId="4148" xr:uid="{00000000-0005-0000-0000-0000CD940000}"/>
    <cellStyle name="Normal 2 5 5 2 3 2" xfId="12786" xr:uid="{00000000-0005-0000-0000-0000CE940000}"/>
    <cellStyle name="Normal 2 5 5 2 3 3" xfId="18634" xr:uid="{00000000-0005-0000-0000-0000CF940000}"/>
    <cellStyle name="Normal 2 5 5 2 4" xfId="4149" xr:uid="{00000000-0005-0000-0000-0000D0940000}"/>
    <cellStyle name="Normal 2 5 5 2 4 2" xfId="12787" xr:uid="{00000000-0005-0000-0000-0000D1940000}"/>
    <cellStyle name="Normal 2 5 5 2 4 3" xfId="18635" xr:uid="{00000000-0005-0000-0000-0000D2940000}"/>
    <cellStyle name="Normal 2 5 5 2 5" xfId="4150" xr:uid="{00000000-0005-0000-0000-0000D3940000}"/>
    <cellStyle name="Normal 2 5 5 2 5 2" xfId="12788" xr:uid="{00000000-0005-0000-0000-0000D4940000}"/>
    <cellStyle name="Normal 2 5 5 2 5 3" xfId="18636" xr:uid="{00000000-0005-0000-0000-0000D5940000}"/>
    <cellStyle name="Normal 2 5 5 2 6" xfId="4151" xr:uid="{00000000-0005-0000-0000-0000D6940000}"/>
    <cellStyle name="Normal 2 5 5 2 6 2" xfId="12789" xr:uid="{00000000-0005-0000-0000-0000D7940000}"/>
    <cellStyle name="Normal 2 5 5 2 6 3" xfId="18637" xr:uid="{00000000-0005-0000-0000-0000D8940000}"/>
    <cellStyle name="Normal 2 5 5 2 7" xfId="9304" xr:uid="{00000000-0005-0000-0000-0000D9940000}"/>
    <cellStyle name="Normal 2 5 5 2 8" xfId="18632" xr:uid="{00000000-0005-0000-0000-0000DA940000}"/>
    <cellStyle name="Normal 2 5 5 2_LNG &amp; LPG rework" xfId="7221" xr:uid="{00000000-0005-0000-0000-0000DB940000}"/>
    <cellStyle name="Normal 2 5 5 3" xfId="4152" xr:uid="{00000000-0005-0000-0000-0000DC940000}"/>
    <cellStyle name="Normal 2 5 5 3 2" xfId="4153" xr:uid="{00000000-0005-0000-0000-0000DD940000}"/>
    <cellStyle name="Normal 2 5 5 3 2 2" xfId="12791" xr:uid="{00000000-0005-0000-0000-0000DE940000}"/>
    <cellStyle name="Normal 2 5 5 3 2 3" xfId="18639" xr:uid="{00000000-0005-0000-0000-0000DF940000}"/>
    <cellStyle name="Normal 2 5 5 3 3" xfId="4154" xr:uid="{00000000-0005-0000-0000-0000E0940000}"/>
    <cellStyle name="Normal 2 5 5 3 3 2" xfId="12792" xr:uid="{00000000-0005-0000-0000-0000E1940000}"/>
    <cellStyle name="Normal 2 5 5 3 3 3" xfId="18640" xr:uid="{00000000-0005-0000-0000-0000E2940000}"/>
    <cellStyle name="Normal 2 5 5 3 4" xfId="4155" xr:uid="{00000000-0005-0000-0000-0000E3940000}"/>
    <cellStyle name="Normal 2 5 5 3 4 2" xfId="12793" xr:uid="{00000000-0005-0000-0000-0000E4940000}"/>
    <cellStyle name="Normal 2 5 5 3 4 3" xfId="18641" xr:uid="{00000000-0005-0000-0000-0000E5940000}"/>
    <cellStyle name="Normal 2 5 5 3 5" xfId="4156" xr:uid="{00000000-0005-0000-0000-0000E6940000}"/>
    <cellStyle name="Normal 2 5 5 3 5 2" xfId="12794" xr:uid="{00000000-0005-0000-0000-0000E7940000}"/>
    <cellStyle name="Normal 2 5 5 3 5 3" xfId="18642" xr:uid="{00000000-0005-0000-0000-0000E8940000}"/>
    <cellStyle name="Normal 2 5 5 3 6" xfId="12790" xr:uid="{00000000-0005-0000-0000-0000E9940000}"/>
    <cellStyle name="Normal 2 5 5 3 7" xfId="18638" xr:uid="{00000000-0005-0000-0000-0000EA940000}"/>
    <cellStyle name="Normal 2 5 5 3_LNG &amp; LPG rework" xfId="7222" xr:uid="{00000000-0005-0000-0000-0000EB940000}"/>
    <cellStyle name="Normal 2 5 5 4" xfId="4157" xr:uid="{00000000-0005-0000-0000-0000EC940000}"/>
    <cellStyle name="Normal 2 5 5 4 2" xfId="12795" xr:uid="{00000000-0005-0000-0000-0000ED940000}"/>
    <cellStyle name="Normal 2 5 5 4 3" xfId="18643" xr:uid="{00000000-0005-0000-0000-0000EE940000}"/>
    <cellStyle name="Normal 2 5 5 5" xfId="4158" xr:uid="{00000000-0005-0000-0000-0000EF940000}"/>
    <cellStyle name="Normal 2 5 5 5 2" xfId="12796" xr:uid="{00000000-0005-0000-0000-0000F0940000}"/>
    <cellStyle name="Normal 2 5 5 5 3" xfId="18644" xr:uid="{00000000-0005-0000-0000-0000F1940000}"/>
    <cellStyle name="Normal 2 5 5 6" xfId="4159" xr:uid="{00000000-0005-0000-0000-0000F2940000}"/>
    <cellStyle name="Normal 2 5 5 6 2" xfId="12797" xr:uid="{00000000-0005-0000-0000-0000F3940000}"/>
    <cellStyle name="Normal 2 5 5 6 3" xfId="18645" xr:uid="{00000000-0005-0000-0000-0000F4940000}"/>
    <cellStyle name="Normal 2 5 5 7" xfId="4160" xr:uid="{00000000-0005-0000-0000-0000F5940000}"/>
    <cellStyle name="Normal 2 5 5 7 2" xfId="12798" xr:uid="{00000000-0005-0000-0000-0000F6940000}"/>
    <cellStyle name="Normal 2 5 5 7 3" xfId="18646" xr:uid="{00000000-0005-0000-0000-0000F7940000}"/>
    <cellStyle name="Normal 2 5 5 8" xfId="4161" xr:uid="{00000000-0005-0000-0000-0000F8940000}"/>
    <cellStyle name="Normal 2 5 5 8 2" xfId="12799" xr:uid="{00000000-0005-0000-0000-0000F9940000}"/>
    <cellStyle name="Normal 2 5 5 8 3" xfId="18647" xr:uid="{00000000-0005-0000-0000-0000FA940000}"/>
    <cellStyle name="Normal 2 5 5 9" xfId="9303" xr:uid="{00000000-0005-0000-0000-0000FB940000}"/>
    <cellStyle name="Normal 2 5 5_LNG &amp; LPG rework" xfId="7220" xr:uid="{00000000-0005-0000-0000-0000FC940000}"/>
    <cellStyle name="Normal 2 5 6" xfId="468" xr:uid="{00000000-0005-0000-0000-0000FD940000}"/>
    <cellStyle name="Normal 2 5 6 2" xfId="4162" xr:uid="{00000000-0005-0000-0000-0000FE940000}"/>
    <cellStyle name="Normal 2 5 6 2 2" xfId="12800" xr:uid="{00000000-0005-0000-0000-0000FF940000}"/>
    <cellStyle name="Normal 2 5 6 2 3" xfId="18649" xr:uid="{00000000-0005-0000-0000-000000950000}"/>
    <cellStyle name="Normal 2 5 6 3" xfId="4163" xr:uid="{00000000-0005-0000-0000-000001950000}"/>
    <cellStyle name="Normal 2 5 6 3 2" xfId="12801" xr:uid="{00000000-0005-0000-0000-000002950000}"/>
    <cellStyle name="Normal 2 5 6 3 3" xfId="18650" xr:uid="{00000000-0005-0000-0000-000003950000}"/>
    <cellStyle name="Normal 2 5 6 4" xfId="4164" xr:uid="{00000000-0005-0000-0000-000004950000}"/>
    <cellStyle name="Normal 2 5 6 4 2" xfId="12802" xr:uid="{00000000-0005-0000-0000-000005950000}"/>
    <cellStyle name="Normal 2 5 6 4 3" xfId="18651" xr:uid="{00000000-0005-0000-0000-000006950000}"/>
    <cellStyle name="Normal 2 5 6 5" xfId="4165" xr:uid="{00000000-0005-0000-0000-000007950000}"/>
    <cellStyle name="Normal 2 5 6 5 2" xfId="12803" xr:uid="{00000000-0005-0000-0000-000008950000}"/>
    <cellStyle name="Normal 2 5 6 5 3" xfId="18652" xr:uid="{00000000-0005-0000-0000-000009950000}"/>
    <cellStyle name="Normal 2 5 6 6" xfId="4166" xr:uid="{00000000-0005-0000-0000-00000A950000}"/>
    <cellStyle name="Normal 2 5 6 6 2" xfId="12804" xr:uid="{00000000-0005-0000-0000-00000B950000}"/>
    <cellStyle name="Normal 2 5 6 6 3" xfId="18653" xr:uid="{00000000-0005-0000-0000-00000C950000}"/>
    <cellStyle name="Normal 2 5 6 7" xfId="9305" xr:uid="{00000000-0005-0000-0000-00000D950000}"/>
    <cellStyle name="Normal 2 5 6 8" xfId="18648" xr:uid="{00000000-0005-0000-0000-00000E950000}"/>
    <cellStyle name="Normal 2 5 6_LNG &amp; LPG rework" xfId="7223" xr:uid="{00000000-0005-0000-0000-00000F950000}"/>
    <cellStyle name="Normal 2 5 7" xfId="4167" xr:uid="{00000000-0005-0000-0000-000010950000}"/>
    <cellStyle name="Normal 2 5 7 2" xfId="12805" xr:uid="{00000000-0005-0000-0000-000011950000}"/>
    <cellStyle name="Normal 2 5 7 3" xfId="18654" xr:uid="{00000000-0005-0000-0000-000012950000}"/>
    <cellStyle name="Normal 2 5 8" xfId="7824" xr:uid="{00000000-0005-0000-0000-000013950000}"/>
    <cellStyle name="Normal 2 5 9" xfId="8905" xr:uid="{00000000-0005-0000-0000-000014950000}"/>
    <cellStyle name="Normal 2 5_Data - Monthly Commodity Prices" xfId="6482" xr:uid="{00000000-0005-0000-0000-000015950000}"/>
    <cellStyle name="Normal 2 6" xfId="191" xr:uid="{00000000-0005-0000-0000-000016950000}"/>
    <cellStyle name="Normal 2 6 2" xfId="4168" xr:uid="{00000000-0005-0000-0000-000017950000}"/>
    <cellStyle name="Normal 2 6 3" xfId="4169" xr:uid="{00000000-0005-0000-0000-000018950000}"/>
    <cellStyle name="Normal 2 6 4" xfId="9067" xr:uid="{00000000-0005-0000-0000-000019950000}"/>
    <cellStyle name="Normal 2 6 5" xfId="18655" xr:uid="{00000000-0005-0000-0000-00001A950000}"/>
    <cellStyle name="Normal 2 6_LNG &amp; LPG rework" xfId="7224" xr:uid="{00000000-0005-0000-0000-00001B950000}"/>
    <cellStyle name="Normal 2 7" xfId="4170" xr:uid="{00000000-0005-0000-0000-00001C950000}"/>
    <cellStyle name="Normal 2 7 2" xfId="4171" xr:uid="{00000000-0005-0000-0000-00001D950000}"/>
    <cellStyle name="Normal 2 7 2 2" xfId="12807" xr:uid="{00000000-0005-0000-0000-00001E950000}"/>
    <cellStyle name="Normal 2 7 2 3" xfId="18657" xr:uid="{00000000-0005-0000-0000-00001F950000}"/>
    <cellStyle name="Normal 2 7 3" xfId="4172" xr:uid="{00000000-0005-0000-0000-000020950000}"/>
    <cellStyle name="Normal 2 7 3 2" xfId="12808" xr:uid="{00000000-0005-0000-0000-000021950000}"/>
    <cellStyle name="Normal 2 7 3 3" xfId="18658" xr:uid="{00000000-0005-0000-0000-000022950000}"/>
    <cellStyle name="Normal 2 7 4" xfId="4173" xr:uid="{00000000-0005-0000-0000-000023950000}"/>
    <cellStyle name="Normal 2 7 4 2" xfId="12809" xr:uid="{00000000-0005-0000-0000-000024950000}"/>
    <cellStyle name="Normal 2 7 4 3" xfId="18659" xr:uid="{00000000-0005-0000-0000-000025950000}"/>
    <cellStyle name="Normal 2 7 5" xfId="4174" xr:uid="{00000000-0005-0000-0000-000026950000}"/>
    <cellStyle name="Normal 2 7 5 2" xfId="12810" xr:uid="{00000000-0005-0000-0000-000027950000}"/>
    <cellStyle name="Normal 2 7 5 3" xfId="18660" xr:uid="{00000000-0005-0000-0000-000028950000}"/>
    <cellStyle name="Normal 2 7 6" xfId="12806" xr:uid="{00000000-0005-0000-0000-000029950000}"/>
    <cellStyle name="Normal 2 7 7" xfId="18656" xr:uid="{00000000-0005-0000-0000-00002A950000}"/>
    <cellStyle name="Normal 2 7_LNG &amp; LPG rework" xfId="7225" xr:uid="{00000000-0005-0000-0000-00002B950000}"/>
    <cellStyle name="Normal 2 8" xfId="4175" xr:uid="{00000000-0005-0000-0000-00002C950000}"/>
    <cellStyle name="Normal 2 8 2" xfId="4176" xr:uid="{00000000-0005-0000-0000-00002D950000}"/>
    <cellStyle name="Normal 2 8 2 2" xfId="12812" xr:uid="{00000000-0005-0000-0000-00002E950000}"/>
    <cellStyle name="Normal 2 8 2 3" xfId="18662" xr:uid="{00000000-0005-0000-0000-00002F950000}"/>
    <cellStyle name="Normal 2 8 3" xfId="4177" xr:uid="{00000000-0005-0000-0000-000030950000}"/>
    <cellStyle name="Normal 2 8 3 2" xfId="12813" xr:uid="{00000000-0005-0000-0000-000031950000}"/>
    <cellStyle name="Normal 2 8 3 3" xfId="18663" xr:uid="{00000000-0005-0000-0000-000032950000}"/>
    <cellStyle name="Normal 2 8 4" xfId="4178" xr:uid="{00000000-0005-0000-0000-000033950000}"/>
    <cellStyle name="Normal 2 8 4 2" xfId="12814" xr:uid="{00000000-0005-0000-0000-000034950000}"/>
    <cellStyle name="Normal 2 8 4 3" xfId="18664" xr:uid="{00000000-0005-0000-0000-000035950000}"/>
    <cellStyle name="Normal 2 8 5" xfId="4179" xr:uid="{00000000-0005-0000-0000-000036950000}"/>
    <cellStyle name="Normal 2 8 5 2" xfId="12815" xr:uid="{00000000-0005-0000-0000-000037950000}"/>
    <cellStyle name="Normal 2 8 5 3" xfId="18665" xr:uid="{00000000-0005-0000-0000-000038950000}"/>
    <cellStyle name="Normal 2 8 6" xfId="12811" xr:uid="{00000000-0005-0000-0000-000039950000}"/>
    <cellStyle name="Normal 2 8 7" xfId="18661" xr:uid="{00000000-0005-0000-0000-00003A950000}"/>
    <cellStyle name="Normal 2 8_LNG &amp; LPG rework" xfId="7226" xr:uid="{00000000-0005-0000-0000-00003B950000}"/>
    <cellStyle name="Normal 2 9" xfId="4180" xr:uid="{00000000-0005-0000-0000-00003C950000}"/>
    <cellStyle name="Normal 2 9 2" xfId="4181" xr:uid="{00000000-0005-0000-0000-00003D950000}"/>
    <cellStyle name="Normal 2 9 2 2" xfId="12817" xr:uid="{00000000-0005-0000-0000-00003E950000}"/>
    <cellStyle name="Normal 2 9 2 3" xfId="18667" xr:uid="{00000000-0005-0000-0000-00003F950000}"/>
    <cellStyle name="Normal 2 9 3" xfId="4182" xr:uid="{00000000-0005-0000-0000-000040950000}"/>
    <cellStyle name="Normal 2 9 3 2" xfId="12818" xr:uid="{00000000-0005-0000-0000-000041950000}"/>
    <cellStyle name="Normal 2 9 3 3" xfId="18668" xr:uid="{00000000-0005-0000-0000-000042950000}"/>
    <cellStyle name="Normal 2 9 4" xfId="4183" xr:uid="{00000000-0005-0000-0000-000043950000}"/>
    <cellStyle name="Normal 2 9 4 2" xfId="12819" xr:uid="{00000000-0005-0000-0000-000044950000}"/>
    <cellStyle name="Normal 2 9 4 3" xfId="18669" xr:uid="{00000000-0005-0000-0000-000045950000}"/>
    <cellStyle name="Normal 2 9 5" xfId="4184" xr:uid="{00000000-0005-0000-0000-000046950000}"/>
    <cellStyle name="Normal 2 9 5 2" xfId="12820" xr:uid="{00000000-0005-0000-0000-000047950000}"/>
    <cellStyle name="Normal 2 9 5 3" xfId="18670" xr:uid="{00000000-0005-0000-0000-000048950000}"/>
    <cellStyle name="Normal 2 9 6" xfId="12816" xr:uid="{00000000-0005-0000-0000-000049950000}"/>
    <cellStyle name="Normal 2 9 7" xfId="18666" xr:uid="{00000000-0005-0000-0000-00004A950000}"/>
    <cellStyle name="Normal 2 9_LNG &amp; LPG rework" xfId="7227" xr:uid="{00000000-0005-0000-0000-00004B950000}"/>
    <cellStyle name="Normal 2_2015  Data" xfId="469" xr:uid="{00000000-0005-0000-0000-00004C950000}"/>
    <cellStyle name="Normal 20" xfId="470" xr:uid="{00000000-0005-0000-0000-00004D950000}"/>
    <cellStyle name="Normal 20 2" xfId="4185" xr:uid="{00000000-0005-0000-0000-00004E950000}"/>
    <cellStyle name="Normal 20 3" xfId="4186" xr:uid="{00000000-0005-0000-0000-00004F950000}"/>
    <cellStyle name="Normal 20 4" xfId="4187" xr:uid="{00000000-0005-0000-0000-000050950000}"/>
    <cellStyle name="Normal 20 4 2" xfId="12821" xr:uid="{00000000-0005-0000-0000-000051950000}"/>
    <cellStyle name="Normal 20 4 3" xfId="18672" xr:uid="{00000000-0005-0000-0000-000052950000}"/>
    <cellStyle name="Normal 20 5" xfId="4188" xr:uid="{00000000-0005-0000-0000-000053950000}"/>
    <cellStyle name="Normal 20 5 2" xfId="12822" xr:uid="{00000000-0005-0000-0000-000054950000}"/>
    <cellStyle name="Normal 20 5 3" xfId="18673" xr:uid="{00000000-0005-0000-0000-000055950000}"/>
    <cellStyle name="Normal 20 6" xfId="4189" xr:uid="{00000000-0005-0000-0000-000056950000}"/>
    <cellStyle name="Normal 20 7" xfId="9306" xr:uid="{00000000-0005-0000-0000-000057950000}"/>
    <cellStyle name="Normal 20 8" xfId="18671" xr:uid="{00000000-0005-0000-0000-000058950000}"/>
    <cellStyle name="Normal 20_LNG &amp; LPG rework" xfId="7228" xr:uid="{00000000-0005-0000-0000-000059950000}"/>
    <cellStyle name="Normal 200" xfId="4190" xr:uid="{00000000-0005-0000-0000-00005A950000}"/>
    <cellStyle name="Normal 201" xfId="4191" xr:uid="{00000000-0005-0000-0000-00005B950000}"/>
    <cellStyle name="Normal 201 2" xfId="4192" xr:uid="{00000000-0005-0000-0000-00005C950000}"/>
    <cellStyle name="Normal 201 2 2" xfId="4193" xr:uid="{00000000-0005-0000-0000-00005D950000}"/>
    <cellStyle name="Normal 201 2 2 2" xfId="4194" xr:uid="{00000000-0005-0000-0000-00005E950000}"/>
    <cellStyle name="Normal 201 2 2 2 2" xfId="4195" xr:uid="{00000000-0005-0000-0000-00005F950000}"/>
    <cellStyle name="Normal 201 2 2 2 2 2" xfId="12827" xr:uid="{00000000-0005-0000-0000-000060950000}"/>
    <cellStyle name="Normal 201 2 2 2 2 3" xfId="18678" xr:uid="{00000000-0005-0000-0000-000061950000}"/>
    <cellStyle name="Normal 201 2 2 2 3" xfId="12826" xr:uid="{00000000-0005-0000-0000-000062950000}"/>
    <cellStyle name="Normal 201 2 2 2 4" xfId="18677" xr:uid="{00000000-0005-0000-0000-000063950000}"/>
    <cellStyle name="Normal 201 2 2 2_LNG &amp; LPG rework" xfId="7232" xr:uid="{00000000-0005-0000-0000-000064950000}"/>
    <cellStyle name="Normal 201 2 2 3" xfId="4196" xr:uid="{00000000-0005-0000-0000-000065950000}"/>
    <cellStyle name="Normal 201 2 2 3 2" xfId="12828" xr:uid="{00000000-0005-0000-0000-000066950000}"/>
    <cellStyle name="Normal 201 2 2 3 3" xfId="18679" xr:uid="{00000000-0005-0000-0000-000067950000}"/>
    <cellStyle name="Normal 201 2 2 4" xfId="12825" xr:uid="{00000000-0005-0000-0000-000068950000}"/>
    <cellStyle name="Normal 201 2 2 5" xfId="18676" xr:uid="{00000000-0005-0000-0000-000069950000}"/>
    <cellStyle name="Normal 201 2 2_LNG &amp; LPG rework" xfId="7231" xr:uid="{00000000-0005-0000-0000-00006A950000}"/>
    <cellStyle name="Normal 201 2 3" xfId="4197" xr:uid="{00000000-0005-0000-0000-00006B950000}"/>
    <cellStyle name="Normal 201 2 3 2" xfId="4198" xr:uid="{00000000-0005-0000-0000-00006C950000}"/>
    <cellStyle name="Normal 201 2 3 2 2" xfId="12830" xr:uid="{00000000-0005-0000-0000-00006D950000}"/>
    <cellStyle name="Normal 201 2 3 2 3" xfId="18681" xr:uid="{00000000-0005-0000-0000-00006E950000}"/>
    <cellStyle name="Normal 201 2 3 3" xfId="12829" xr:uid="{00000000-0005-0000-0000-00006F950000}"/>
    <cellStyle name="Normal 201 2 3 4" xfId="18680" xr:uid="{00000000-0005-0000-0000-000070950000}"/>
    <cellStyle name="Normal 201 2 3_LNG &amp; LPG rework" xfId="7233" xr:uid="{00000000-0005-0000-0000-000071950000}"/>
    <cellStyle name="Normal 201 2 4" xfId="4199" xr:uid="{00000000-0005-0000-0000-000072950000}"/>
    <cellStyle name="Normal 201 2 4 2" xfId="12831" xr:uid="{00000000-0005-0000-0000-000073950000}"/>
    <cellStyle name="Normal 201 2 4 3" xfId="18682" xr:uid="{00000000-0005-0000-0000-000074950000}"/>
    <cellStyle name="Normal 201 2 5" xfId="12824" xr:uid="{00000000-0005-0000-0000-000075950000}"/>
    <cellStyle name="Normal 201 2 6" xfId="18675" xr:uid="{00000000-0005-0000-0000-000076950000}"/>
    <cellStyle name="Normal 201 2_LNG &amp; LPG rework" xfId="7230" xr:uid="{00000000-0005-0000-0000-000077950000}"/>
    <cellStyle name="Normal 201 3" xfId="4200" xr:uid="{00000000-0005-0000-0000-000078950000}"/>
    <cellStyle name="Normal 201 3 2" xfId="4201" xr:uid="{00000000-0005-0000-0000-000079950000}"/>
    <cellStyle name="Normal 201 3 2 2" xfId="4202" xr:uid="{00000000-0005-0000-0000-00007A950000}"/>
    <cellStyle name="Normal 201 3 2 2 2" xfId="4203" xr:uid="{00000000-0005-0000-0000-00007B950000}"/>
    <cellStyle name="Normal 201 3 2 2 2 2" xfId="12835" xr:uid="{00000000-0005-0000-0000-00007C950000}"/>
    <cellStyle name="Normal 201 3 2 2 2 3" xfId="18686" xr:uid="{00000000-0005-0000-0000-00007D950000}"/>
    <cellStyle name="Normal 201 3 2 2 3" xfId="12834" xr:uid="{00000000-0005-0000-0000-00007E950000}"/>
    <cellStyle name="Normal 201 3 2 2 4" xfId="18685" xr:uid="{00000000-0005-0000-0000-00007F950000}"/>
    <cellStyle name="Normal 201 3 2 2_LNG &amp; LPG rework" xfId="7236" xr:uid="{00000000-0005-0000-0000-000080950000}"/>
    <cellStyle name="Normal 201 3 2 3" xfId="4204" xr:uid="{00000000-0005-0000-0000-000081950000}"/>
    <cellStyle name="Normal 201 3 2 3 2" xfId="12836" xr:uid="{00000000-0005-0000-0000-000082950000}"/>
    <cellStyle name="Normal 201 3 2 3 3" xfId="18687" xr:uid="{00000000-0005-0000-0000-000083950000}"/>
    <cellStyle name="Normal 201 3 2 4" xfId="12833" xr:uid="{00000000-0005-0000-0000-000084950000}"/>
    <cellStyle name="Normal 201 3 2 5" xfId="18684" xr:uid="{00000000-0005-0000-0000-000085950000}"/>
    <cellStyle name="Normal 201 3 2_LNG &amp; LPG rework" xfId="7235" xr:uid="{00000000-0005-0000-0000-000086950000}"/>
    <cellStyle name="Normal 201 3 3" xfId="4205" xr:uid="{00000000-0005-0000-0000-000087950000}"/>
    <cellStyle name="Normal 201 3 3 2" xfId="4206" xr:uid="{00000000-0005-0000-0000-000088950000}"/>
    <cellStyle name="Normal 201 3 3 2 2" xfId="12838" xr:uid="{00000000-0005-0000-0000-000089950000}"/>
    <cellStyle name="Normal 201 3 3 2 3" xfId="18689" xr:uid="{00000000-0005-0000-0000-00008A950000}"/>
    <cellStyle name="Normal 201 3 3 3" xfId="12837" xr:uid="{00000000-0005-0000-0000-00008B950000}"/>
    <cellStyle name="Normal 201 3 3 4" xfId="18688" xr:uid="{00000000-0005-0000-0000-00008C950000}"/>
    <cellStyle name="Normal 201 3 3_LNG &amp; LPG rework" xfId="7237" xr:uid="{00000000-0005-0000-0000-00008D950000}"/>
    <cellStyle name="Normal 201 3 4" xfId="4207" xr:uid="{00000000-0005-0000-0000-00008E950000}"/>
    <cellStyle name="Normal 201 3 4 2" xfId="12839" xr:uid="{00000000-0005-0000-0000-00008F950000}"/>
    <cellStyle name="Normal 201 3 4 3" xfId="18690" xr:uid="{00000000-0005-0000-0000-000090950000}"/>
    <cellStyle name="Normal 201 3 5" xfId="12832" xr:uid="{00000000-0005-0000-0000-000091950000}"/>
    <cellStyle name="Normal 201 3 6" xfId="18683" xr:uid="{00000000-0005-0000-0000-000092950000}"/>
    <cellStyle name="Normal 201 3_LNG &amp; LPG rework" xfId="7234" xr:uid="{00000000-0005-0000-0000-000093950000}"/>
    <cellStyle name="Normal 201 4" xfId="4208" xr:uid="{00000000-0005-0000-0000-000094950000}"/>
    <cellStyle name="Normal 201 4 2" xfId="4209" xr:uid="{00000000-0005-0000-0000-000095950000}"/>
    <cellStyle name="Normal 201 4 2 2" xfId="4210" xr:uid="{00000000-0005-0000-0000-000096950000}"/>
    <cellStyle name="Normal 201 4 2 2 2" xfId="12842" xr:uid="{00000000-0005-0000-0000-000097950000}"/>
    <cellStyle name="Normal 201 4 2 2 3" xfId="18693" xr:uid="{00000000-0005-0000-0000-000098950000}"/>
    <cellStyle name="Normal 201 4 2 3" xfId="12841" xr:uid="{00000000-0005-0000-0000-000099950000}"/>
    <cellStyle name="Normal 201 4 2 4" xfId="18692" xr:uid="{00000000-0005-0000-0000-00009A950000}"/>
    <cellStyle name="Normal 201 4 2_LNG &amp; LPG rework" xfId="7239" xr:uid="{00000000-0005-0000-0000-00009B950000}"/>
    <cellStyle name="Normal 201 4 3" xfId="4211" xr:uid="{00000000-0005-0000-0000-00009C950000}"/>
    <cellStyle name="Normal 201 4 3 2" xfId="12843" xr:uid="{00000000-0005-0000-0000-00009D950000}"/>
    <cellStyle name="Normal 201 4 3 3" xfId="18694" xr:uid="{00000000-0005-0000-0000-00009E950000}"/>
    <cellStyle name="Normal 201 4 4" xfId="12840" xr:uid="{00000000-0005-0000-0000-00009F950000}"/>
    <cellStyle name="Normal 201 4 5" xfId="18691" xr:uid="{00000000-0005-0000-0000-0000A0950000}"/>
    <cellStyle name="Normal 201 4_LNG &amp; LPG rework" xfId="7238" xr:uid="{00000000-0005-0000-0000-0000A1950000}"/>
    <cellStyle name="Normal 201 5" xfId="4212" xr:uid="{00000000-0005-0000-0000-0000A2950000}"/>
    <cellStyle name="Normal 201 5 2" xfId="4213" xr:uid="{00000000-0005-0000-0000-0000A3950000}"/>
    <cellStyle name="Normal 201 5 2 2" xfId="12845" xr:uid="{00000000-0005-0000-0000-0000A4950000}"/>
    <cellStyle name="Normal 201 5 2 3" xfId="18696" xr:uid="{00000000-0005-0000-0000-0000A5950000}"/>
    <cellStyle name="Normal 201 5 3" xfId="12844" xr:uid="{00000000-0005-0000-0000-0000A6950000}"/>
    <cellStyle name="Normal 201 5 4" xfId="18695" xr:uid="{00000000-0005-0000-0000-0000A7950000}"/>
    <cellStyle name="Normal 201 5_LNG &amp; LPG rework" xfId="7240" xr:uid="{00000000-0005-0000-0000-0000A8950000}"/>
    <cellStyle name="Normal 201 6" xfId="4214" xr:uid="{00000000-0005-0000-0000-0000A9950000}"/>
    <cellStyle name="Normal 201 6 2" xfId="12846" xr:uid="{00000000-0005-0000-0000-0000AA950000}"/>
    <cellStyle name="Normal 201 6 3" xfId="18697" xr:uid="{00000000-0005-0000-0000-0000AB950000}"/>
    <cellStyle name="Normal 201 7" xfId="12823" xr:uid="{00000000-0005-0000-0000-0000AC950000}"/>
    <cellStyle name="Normal 201 8" xfId="18674" xr:uid="{00000000-0005-0000-0000-0000AD950000}"/>
    <cellStyle name="Normal 201_LNG &amp; LPG rework" xfId="7229" xr:uid="{00000000-0005-0000-0000-0000AE950000}"/>
    <cellStyle name="Normal 202" xfId="4215" xr:uid="{00000000-0005-0000-0000-0000AF950000}"/>
    <cellStyle name="Normal 202 2" xfId="4216" xr:uid="{00000000-0005-0000-0000-0000B0950000}"/>
    <cellStyle name="Normal 202 2 2" xfId="4217" xr:uid="{00000000-0005-0000-0000-0000B1950000}"/>
    <cellStyle name="Normal 202 2 2 2" xfId="4218" xr:uid="{00000000-0005-0000-0000-0000B2950000}"/>
    <cellStyle name="Normal 202 2 2 2 2" xfId="4219" xr:uid="{00000000-0005-0000-0000-0000B3950000}"/>
    <cellStyle name="Normal 202 2 2 2 2 2" xfId="12851" xr:uid="{00000000-0005-0000-0000-0000B4950000}"/>
    <cellStyle name="Normal 202 2 2 2 2 3" xfId="18702" xr:uid="{00000000-0005-0000-0000-0000B5950000}"/>
    <cellStyle name="Normal 202 2 2 2 3" xfId="12850" xr:uid="{00000000-0005-0000-0000-0000B6950000}"/>
    <cellStyle name="Normal 202 2 2 2 4" xfId="18701" xr:uid="{00000000-0005-0000-0000-0000B7950000}"/>
    <cellStyle name="Normal 202 2 2 2_LNG &amp; LPG rework" xfId="7244" xr:uid="{00000000-0005-0000-0000-0000B8950000}"/>
    <cellStyle name="Normal 202 2 2 3" xfId="4220" xr:uid="{00000000-0005-0000-0000-0000B9950000}"/>
    <cellStyle name="Normal 202 2 2 3 2" xfId="12852" xr:uid="{00000000-0005-0000-0000-0000BA950000}"/>
    <cellStyle name="Normal 202 2 2 3 3" xfId="18703" xr:uid="{00000000-0005-0000-0000-0000BB950000}"/>
    <cellStyle name="Normal 202 2 2 4" xfId="12849" xr:uid="{00000000-0005-0000-0000-0000BC950000}"/>
    <cellStyle name="Normal 202 2 2 5" xfId="18700" xr:uid="{00000000-0005-0000-0000-0000BD950000}"/>
    <cellStyle name="Normal 202 2 2_LNG &amp; LPG rework" xfId="7243" xr:uid="{00000000-0005-0000-0000-0000BE950000}"/>
    <cellStyle name="Normal 202 2 3" xfId="4221" xr:uid="{00000000-0005-0000-0000-0000BF950000}"/>
    <cellStyle name="Normal 202 2 3 2" xfId="4222" xr:uid="{00000000-0005-0000-0000-0000C0950000}"/>
    <cellStyle name="Normal 202 2 3 2 2" xfId="12854" xr:uid="{00000000-0005-0000-0000-0000C1950000}"/>
    <cellStyle name="Normal 202 2 3 2 3" xfId="18705" xr:uid="{00000000-0005-0000-0000-0000C2950000}"/>
    <cellStyle name="Normal 202 2 3 3" xfId="12853" xr:uid="{00000000-0005-0000-0000-0000C3950000}"/>
    <cellStyle name="Normal 202 2 3 4" xfId="18704" xr:uid="{00000000-0005-0000-0000-0000C4950000}"/>
    <cellStyle name="Normal 202 2 3_LNG &amp; LPG rework" xfId="7245" xr:uid="{00000000-0005-0000-0000-0000C5950000}"/>
    <cellStyle name="Normal 202 2 4" xfId="4223" xr:uid="{00000000-0005-0000-0000-0000C6950000}"/>
    <cellStyle name="Normal 202 2 4 2" xfId="12855" xr:uid="{00000000-0005-0000-0000-0000C7950000}"/>
    <cellStyle name="Normal 202 2 4 3" xfId="18706" xr:uid="{00000000-0005-0000-0000-0000C8950000}"/>
    <cellStyle name="Normal 202 2 5" xfId="12848" xr:uid="{00000000-0005-0000-0000-0000C9950000}"/>
    <cellStyle name="Normal 202 2 6" xfId="18699" xr:uid="{00000000-0005-0000-0000-0000CA950000}"/>
    <cellStyle name="Normal 202 2_LNG &amp; LPG rework" xfId="7242" xr:uid="{00000000-0005-0000-0000-0000CB950000}"/>
    <cellStyle name="Normal 202 3" xfId="4224" xr:uid="{00000000-0005-0000-0000-0000CC950000}"/>
    <cellStyle name="Normal 202 3 2" xfId="4225" xr:uid="{00000000-0005-0000-0000-0000CD950000}"/>
    <cellStyle name="Normal 202 3 2 2" xfId="4226" xr:uid="{00000000-0005-0000-0000-0000CE950000}"/>
    <cellStyle name="Normal 202 3 2 2 2" xfId="4227" xr:uid="{00000000-0005-0000-0000-0000CF950000}"/>
    <cellStyle name="Normal 202 3 2 2 2 2" xfId="12859" xr:uid="{00000000-0005-0000-0000-0000D0950000}"/>
    <cellStyle name="Normal 202 3 2 2 2 3" xfId="18710" xr:uid="{00000000-0005-0000-0000-0000D1950000}"/>
    <cellStyle name="Normal 202 3 2 2 3" xfId="12858" xr:uid="{00000000-0005-0000-0000-0000D2950000}"/>
    <cellStyle name="Normal 202 3 2 2 4" xfId="18709" xr:uid="{00000000-0005-0000-0000-0000D3950000}"/>
    <cellStyle name="Normal 202 3 2 2_LNG &amp; LPG rework" xfId="7248" xr:uid="{00000000-0005-0000-0000-0000D4950000}"/>
    <cellStyle name="Normal 202 3 2 3" xfId="4228" xr:uid="{00000000-0005-0000-0000-0000D5950000}"/>
    <cellStyle name="Normal 202 3 2 3 2" xfId="12860" xr:uid="{00000000-0005-0000-0000-0000D6950000}"/>
    <cellStyle name="Normal 202 3 2 3 3" xfId="18711" xr:uid="{00000000-0005-0000-0000-0000D7950000}"/>
    <cellStyle name="Normal 202 3 2 4" xfId="12857" xr:uid="{00000000-0005-0000-0000-0000D8950000}"/>
    <cellStyle name="Normal 202 3 2 5" xfId="18708" xr:uid="{00000000-0005-0000-0000-0000D9950000}"/>
    <cellStyle name="Normal 202 3 2_LNG &amp; LPG rework" xfId="7247" xr:uid="{00000000-0005-0000-0000-0000DA950000}"/>
    <cellStyle name="Normal 202 3 3" xfId="4229" xr:uid="{00000000-0005-0000-0000-0000DB950000}"/>
    <cellStyle name="Normal 202 3 3 2" xfId="4230" xr:uid="{00000000-0005-0000-0000-0000DC950000}"/>
    <cellStyle name="Normal 202 3 3 2 2" xfId="12862" xr:uid="{00000000-0005-0000-0000-0000DD950000}"/>
    <cellStyle name="Normal 202 3 3 2 3" xfId="18713" xr:uid="{00000000-0005-0000-0000-0000DE950000}"/>
    <cellStyle name="Normal 202 3 3 3" xfId="12861" xr:uid="{00000000-0005-0000-0000-0000DF950000}"/>
    <cellStyle name="Normal 202 3 3 4" xfId="18712" xr:uid="{00000000-0005-0000-0000-0000E0950000}"/>
    <cellStyle name="Normal 202 3 3_LNG &amp; LPG rework" xfId="7249" xr:uid="{00000000-0005-0000-0000-0000E1950000}"/>
    <cellStyle name="Normal 202 3 4" xfId="4231" xr:uid="{00000000-0005-0000-0000-0000E2950000}"/>
    <cellStyle name="Normal 202 3 4 2" xfId="12863" xr:uid="{00000000-0005-0000-0000-0000E3950000}"/>
    <cellStyle name="Normal 202 3 4 3" xfId="18714" xr:uid="{00000000-0005-0000-0000-0000E4950000}"/>
    <cellStyle name="Normal 202 3 5" xfId="12856" xr:uid="{00000000-0005-0000-0000-0000E5950000}"/>
    <cellStyle name="Normal 202 3 6" xfId="18707" xr:uid="{00000000-0005-0000-0000-0000E6950000}"/>
    <cellStyle name="Normal 202 3_LNG &amp; LPG rework" xfId="7246" xr:uid="{00000000-0005-0000-0000-0000E7950000}"/>
    <cellStyle name="Normal 202 4" xfId="4232" xr:uid="{00000000-0005-0000-0000-0000E8950000}"/>
    <cellStyle name="Normal 202 4 2" xfId="4233" xr:uid="{00000000-0005-0000-0000-0000E9950000}"/>
    <cellStyle name="Normal 202 4 2 2" xfId="4234" xr:uid="{00000000-0005-0000-0000-0000EA950000}"/>
    <cellStyle name="Normal 202 4 2 2 2" xfId="12866" xr:uid="{00000000-0005-0000-0000-0000EB950000}"/>
    <cellStyle name="Normal 202 4 2 2 3" xfId="18717" xr:uid="{00000000-0005-0000-0000-0000EC950000}"/>
    <cellStyle name="Normal 202 4 2 3" xfId="12865" xr:uid="{00000000-0005-0000-0000-0000ED950000}"/>
    <cellStyle name="Normal 202 4 2 4" xfId="18716" xr:uid="{00000000-0005-0000-0000-0000EE950000}"/>
    <cellStyle name="Normal 202 4 2_LNG &amp; LPG rework" xfId="7251" xr:uid="{00000000-0005-0000-0000-0000EF950000}"/>
    <cellStyle name="Normal 202 4 3" xfId="4235" xr:uid="{00000000-0005-0000-0000-0000F0950000}"/>
    <cellStyle name="Normal 202 4 3 2" xfId="12867" xr:uid="{00000000-0005-0000-0000-0000F1950000}"/>
    <cellStyle name="Normal 202 4 3 3" xfId="18718" xr:uid="{00000000-0005-0000-0000-0000F2950000}"/>
    <cellStyle name="Normal 202 4 4" xfId="12864" xr:uid="{00000000-0005-0000-0000-0000F3950000}"/>
    <cellStyle name="Normal 202 4 5" xfId="18715" xr:uid="{00000000-0005-0000-0000-0000F4950000}"/>
    <cellStyle name="Normal 202 4_LNG &amp; LPG rework" xfId="7250" xr:uid="{00000000-0005-0000-0000-0000F5950000}"/>
    <cellStyle name="Normal 202 5" xfId="4236" xr:uid="{00000000-0005-0000-0000-0000F6950000}"/>
    <cellStyle name="Normal 202 5 2" xfId="4237" xr:uid="{00000000-0005-0000-0000-0000F7950000}"/>
    <cellStyle name="Normal 202 5 2 2" xfId="12869" xr:uid="{00000000-0005-0000-0000-0000F8950000}"/>
    <cellStyle name="Normal 202 5 2 3" xfId="18720" xr:uid="{00000000-0005-0000-0000-0000F9950000}"/>
    <cellStyle name="Normal 202 5 3" xfId="12868" xr:uid="{00000000-0005-0000-0000-0000FA950000}"/>
    <cellStyle name="Normal 202 5 4" xfId="18719" xr:uid="{00000000-0005-0000-0000-0000FB950000}"/>
    <cellStyle name="Normal 202 5_LNG &amp; LPG rework" xfId="7252" xr:uid="{00000000-0005-0000-0000-0000FC950000}"/>
    <cellStyle name="Normal 202 6" xfId="4238" xr:uid="{00000000-0005-0000-0000-0000FD950000}"/>
    <cellStyle name="Normal 202 6 2" xfId="12870" xr:uid="{00000000-0005-0000-0000-0000FE950000}"/>
    <cellStyle name="Normal 202 6 3" xfId="18721" xr:uid="{00000000-0005-0000-0000-0000FF950000}"/>
    <cellStyle name="Normal 202 7" xfId="12847" xr:uid="{00000000-0005-0000-0000-000000960000}"/>
    <cellStyle name="Normal 202 8" xfId="18698" xr:uid="{00000000-0005-0000-0000-000001960000}"/>
    <cellStyle name="Normal 202_LNG &amp; LPG rework" xfId="7241" xr:uid="{00000000-0005-0000-0000-000002960000}"/>
    <cellStyle name="Normal 203" xfId="4239" xr:uid="{00000000-0005-0000-0000-000003960000}"/>
    <cellStyle name="Normal 203 2" xfId="4240" xr:uid="{00000000-0005-0000-0000-000004960000}"/>
    <cellStyle name="Normal 203 2 2" xfId="4241" xr:uid="{00000000-0005-0000-0000-000005960000}"/>
    <cellStyle name="Normal 203 2 2 2" xfId="4242" xr:uid="{00000000-0005-0000-0000-000006960000}"/>
    <cellStyle name="Normal 203 2 2 2 2" xfId="12874" xr:uid="{00000000-0005-0000-0000-000007960000}"/>
    <cellStyle name="Normal 203 2 2 2 3" xfId="18725" xr:uid="{00000000-0005-0000-0000-000008960000}"/>
    <cellStyle name="Normal 203 2 2 3" xfId="12873" xr:uid="{00000000-0005-0000-0000-000009960000}"/>
    <cellStyle name="Normal 203 2 2 4" xfId="18724" xr:uid="{00000000-0005-0000-0000-00000A960000}"/>
    <cellStyle name="Normal 203 2 2_LNG &amp; LPG rework" xfId="7255" xr:uid="{00000000-0005-0000-0000-00000B960000}"/>
    <cellStyle name="Normal 203 2 3" xfId="4243" xr:uid="{00000000-0005-0000-0000-00000C960000}"/>
    <cellStyle name="Normal 203 2 3 2" xfId="12875" xr:uid="{00000000-0005-0000-0000-00000D960000}"/>
    <cellStyle name="Normal 203 2 3 3" xfId="18726" xr:uid="{00000000-0005-0000-0000-00000E960000}"/>
    <cellStyle name="Normal 203 2 4" xfId="12872" xr:uid="{00000000-0005-0000-0000-00000F960000}"/>
    <cellStyle name="Normal 203 2 5" xfId="18723" xr:uid="{00000000-0005-0000-0000-000010960000}"/>
    <cellStyle name="Normal 203 2_LNG &amp; LPG rework" xfId="7254" xr:uid="{00000000-0005-0000-0000-000011960000}"/>
    <cellStyle name="Normal 203 3" xfId="4244" xr:uid="{00000000-0005-0000-0000-000012960000}"/>
    <cellStyle name="Normal 203 3 2" xfId="4245" xr:uid="{00000000-0005-0000-0000-000013960000}"/>
    <cellStyle name="Normal 203 3 2 2" xfId="12877" xr:uid="{00000000-0005-0000-0000-000014960000}"/>
    <cellStyle name="Normal 203 3 2 3" xfId="18728" xr:uid="{00000000-0005-0000-0000-000015960000}"/>
    <cellStyle name="Normal 203 3 3" xfId="12876" xr:uid="{00000000-0005-0000-0000-000016960000}"/>
    <cellStyle name="Normal 203 3 4" xfId="18727" xr:uid="{00000000-0005-0000-0000-000017960000}"/>
    <cellStyle name="Normal 203 3_LNG &amp; LPG rework" xfId="7256" xr:uid="{00000000-0005-0000-0000-000018960000}"/>
    <cellStyle name="Normal 203 4" xfId="4246" xr:uid="{00000000-0005-0000-0000-000019960000}"/>
    <cellStyle name="Normal 203 4 2" xfId="12878" xr:uid="{00000000-0005-0000-0000-00001A960000}"/>
    <cellStyle name="Normal 203 4 3" xfId="18729" xr:uid="{00000000-0005-0000-0000-00001B960000}"/>
    <cellStyle name="Normal 203 5" xfId="12871" xr:uid="{00000000-0005-0000-0000-00001C960000}"/>
    <cellStyle name="Normal 203 6" xfId="18722" xr:uid="{00000000-0005-0000-0000-00001D960000}"/>
    <cellStyle name="Normal 203_LNG &amp; LPG rework" xfId="7253" xr:uid="{00000000-0005-0000-0000-00001E960000}"/>
    <cellStyle name="Normal 204" xfId="4247" xr:uid="{00000000-0005-0000-0000-00001F960000}"/>
    <cellStyle name="Normal 204 2" xfId="4248" xr:uid="{00000000-0005-0000-0000-000020960000}"/>
    <cellStyle name="Normal 204 2 2" xfId="4249" xr:uid="{00000000-0005-0000-0000-000021960000}"/>
    <cellStyle name="Normal 204 2 2 2" xfId="4250" xr:uid="{00000000-0005-0000-0000-000022960000}"/>
    <cellStyle name="Normal 204 2 2 2 2" xfId="12882" xr:uid="{00000000-0005-0000-0000-000023960000}"/>
    <cellStyle name="Normal 204 2 2 2 3" xfId="18733" xr:uid="{00000000-0005-0000-0000-000024960000}"/>
    <cellStyle name="Normal 204 2 2 3" xfId="12881" xr:uid="{00000000-0005-0000-0000-000025960000}"/>
    <cellStyle name="Normal 204 2 2 4" xfId="18732" xr:uid="{00000000-0005-0000-0000-000026960000}"/>
    <cellStyle name="Normal 204 2 2_LNG &amp; LPG rework" xfId="7259" xr:uid="{00000000-0005-0000-0000-000027960000}"/>
    <cellStyle name="Normal 204 2 3" xfId="4251" xr:uid="{00000000-0005-0000-0000-000028960000}"/>
    <cellStyle name="Normal 204 2 3 2" xfId="12883" xr:uid="{00000000-0005-0000-0000-000029960000}"/>
    <cellStyle name="Normal 204 2 3 3" xfId="18734" xr:uid="{00000000-0005-0000-0000-00002A960000}"/>
    <cellStyle name="Normal 204 2 4" xfId="12880" xr:uid="{00000000-0005-0000-0000-00002B960000}"/>
    <cellStyle name="Normal 204 2 5" xfId="18731" xr:uid="{00000000-0005-0000-0000-00002C960000}"/>
    <cellStyle name="Normal 204 2_LNG &amp; LPG rework" xfId="7258" xr:uid="{00000000-0005-0000-0000-00002D960000}"/>
    <cellStyle name="Normal 204 3" xfId="4252" xr:uid="{00000000-0005-0000-0000-00002E960000}"/>
    <cellStyle name="Normal 204 3 2" xfId="4253" xr:uid="{00000000-0005-0000-0000-00002F960000}"/>
    <cellStyle name="Normal 204 3 2 2" xfId="12885" xr:uid="{00000000-0005-0000-0000-000030960000}"/>
    <cellStyle name="Normal 204 3 2 3" xfId="18736" xr:uid="{00000000-0005-0000-0000-000031960000}"/>
    <cellStyle name="Normal 204 3 3" xfId="12884" xr:uid="{00000000-0005-0000-0000-000032960000}"/>
    <cellStyle name="Normal 204 3 4" xfId="18735" xr:uid="{00000000-0005-0000-0000-000033960000}"/>
    <cellStyle name="Normal 204 3_LNG &amp; LPG rework" xfId="7260" xr:uid="{00000000-0005-0000-0000-000034960000}"/>
    <cellStyle name="Normal 204 4" xfId="4254" xr:uid="{00000000-0005-0000-0000-000035960000}"/>
    <cellStyle name="Normal 204 4 2" xfId="12886" xr:uid="{00000000-0005-0000-0000-000036960000}"/>
    <cellStyle name="Normal 204 4 3" xfId="18737" xr:uid="{00000000-0005-0000-0000-000037960000}"/>
    <cellStyle name="Normal 204 5" xfId="12879" xr:uid="{00000000-0005-0000-0000-000038960000}"/>
    <cellStyle name="Normal 204 6" xfId="18730" xr:uid="{00000000-0005-0000-0000-000039960000}"/>
    <cellStyle name="Normal 204_LNG &amp; LPG rework" xfId="7257" xr:uid="{00000000-0005-0000-0000-00003A960000}"/>
    <cellStyle name="Normal 205" xfId="4255" xr:uid="{00000000-0005-0000-0000-00003B960000}"/>
    <cellStyle name="Normal 205 2" xfId="4256" xr:uid="{00000000-0005-0000-0000-00003C960000}"/>
    <cellStyle name="Normal 205 2 2" xfId="4257" xr:uid="{00000000-0005-0000-0000-00003D960000}"/>
    <cellStyle name="Normal 205 2 2 2" xfId="4258" xr:uid="{00000000-0005-0000-0000-00003E960000}"/>
    <cellStyle name="Normal 205 2 2 2 2" xfId="12890" xr:uid="{00000000-0005-0000-0000-00003F960000}"/>
    <cellStyle name="Normal 205 2 2 2 3" xfId="18741" xr:uid="{00000000-0005-0000-0000-000040960000}"/>
    <cellStyle name="Normal 205 2 2 3" xfId="12889" xr:uid="{00000000-0005-0000-0000-000041960000}"/>
    <cellStyle name="Normal 205 2 2 4" xfId="18740" xr:uid="{00000000-0005-0000-0000-000042960000}"/>
    <cellStyle name="Normal 205 2 2_LNG &amp; LPG rework" xfId="7263" xr:uid="{00000000-0005-0000-0000-000043960000}"/>
    <cellStyle name="Normal 205 2 3" xfId="4259" xr:uid="{00000000-0005-0000-0000-000044960000}"/>
    <cellStyle name="Normal 205 2 3 2" xfId="12891" xr:uid="{00000000-0005-0000-0000-000045960000}"/>
    <cellStyle name="Normal 205 2 3 3" xfId="18742" xr:uid="{00000000-0005-0000-0000-000046960000}"/>
    <cellStyle name="Normal 205 2 4" xfId="12888" xr:uid="{00000000-0005-0000-0000-000047960000}"/>
    <cellStyle name="Normal 205 2 5" xfId="18739" xr:uid="{00000000-0005-0000-0000-000048960000}"/>
    <cellStyle name="Normal 205 2_LNG &amp; LPG rework" xfId="7262" xr:uid="{00000000-0005-0000-0000-000049960000}"/>
    <cellStyle name="Normal 205 3" xfId="4260" xr:uid="{00000000-0005-0000-0000-00004A960000}"/>
    <cellStyle name="Normal 205 3 2" xfId="4261" xr:uid="{00000000-0005-0000-0000-00004B960000}"/>
    <cellStyle name="Normal 205 3 2 2" xfId="12893" xr:uid="{00000000-0005-0000-0000-00004C960000}"/>
    <cellStyle name="Normal 205 3 2 3" xfId="18744" xr:uid="{00000000-0005-0000-0000-00004D960000}"/>
    <cellStyle name="Normal 205 3 3" xfId="12892" xr:uid="{00000000-0005-0000-0000-00004E960000}"/>
    <cellStyle name="Normal 205 3 4" xfId="18743" xr:uid="{00000000-0005-0000-0000-00004F960000}"/>
    <cellStyle name="Normal 205 3_LNG &amp; LPG rework" xfId="7264" xr:uid="{00000000-0005-0000-0000-000050960000}"/>
    <cellStyle name="Normal 205 4" xfId="4262" xr:uid="{00000000-0005-0000-0000-000051960000}"/>
    <cellStyle name="Normal 205 4 2" xfId="12894" xr:uid="{00000000-0005-0000-0000-000052960000}"/>
    <cellStyle name="Normal 205 4 3" xfId="18745" xr:uid="{00000000-0005-0000-0000-000053960000}"/>
    <cellStyle name="Normal 205 5" xfId="12887" xr:uid="{00000000-0005-0000-0000-000054960000}"/>
    <cellStyle name="Normal 205 6" xfId="18738" xr:uid="{00000000-0005-0000-0000-000055960000}"/>
    <cellStyle name="Normal 205_LNG &amp; LPG rework" xfId="7261" xr:uid="{00000000-0005-0000-0000-000056960000}"/>
    <cellStyle name="Normal 206" xfId="4263" xr:uid="{00000000-0005-0000-0000-000057960000}"/>
    <cellStyle name="Normal 207" xfId="4264" xr:uid="{00000000-0005-0000-0000-000058960000}"/>
    <cellStyle name="Normal 208" xfId="4265" xr:uid="{00000000-0005-0000-0000-000059960000}"/>
    <cellStyle name="Normal 208 2" xfId="4266" xr:uid="{00000000-0005-0000-0000-00005A960000}"/>
    <cellStyle name="Normal 208 2 2" xfId="12896" xr:uid="{00000000-0005-0000-0000-00005B960000}"/>
    <cellStyle name="Normal 208 2 3" xfId="18747" xr:uid="{00000000-0005-0000-0000-00005C960000}"/>
    <cellStyle name="Normal 208 3" xfId="12895" xr:uid="{00000000-0005-0000-0000-00005D960000}"/>
    <cellStyle name="Normal 208 4" xfId="18746" xr:uid="{00000000-0005-0000-0000-00005E960000}"/>
    <cellStyle name="Normal 208_LNG &amp; LPG rework" xfId="7265" xr:uid="{00000000-0005-0000-0000-00005F960000}"/>
    <cellStyle name="Normal 209" xfId="4267" xr:uid="{00000000-0005-0000-0000-000060960000}"/>
    <cellStyle name="Normal 21" xfId="471" xr:uid="{00000000-0005-0000-0000-000061960000}"/>
    <cellStyle name="Normal 21 2" xfId="4268" xr:uid="{00000000-0005-0000-0000-000062960000}"/>
    <cellStyle name="Normal 21 3" xfId="4269" xr:uid="{00000000-0005-0000-0000-000063960000}"/>
    <cellStyle name="Normal 21 4" xfId="4270" xr:uid="{00000000-0005-0000-0000-000064960000}"/>
    <cellStyle name="Normal 21_Monthly Price Data" xfId="6556" xr:uid="{00000000-0005-0000-0000-000065960000}"/>
    <cellStyle name="Normal 210" xfId="4271" xr:uid="{00000000-0005-0000-0000-000066960000}"/>
    <cellStyle name="Normal 211" xfId="4272" xr:uid="{00000000-0005-0000-0000-000067960000}"/>
    <cellStyle name="Normal 212" xfId="4273" xr:uid="{00000000-0005-0000-0000-000068960000}"/>
    <cellStyle name="Normal 213" xfId="4274" xr:uid="{00000000-0005-0000-0000-000069960000}"/>
    <cellStyle name="Normal 214" xfId="4275" xr:uid="{00000000-0005-0000-0000-00006A960000}"/>
    <cellStyle name="Normal 215" xfId="6392" xr:uid="{00000000-0005-0000-0000-00006B960000}"/>
    <cellStyle name="Normal 216" xfId="6401" xr:uid="{00000000-0005-0000-0000-00006C960000}"/>
    <cellStyle name="Normal 217" xfId="6400" xr:uid="{00000000-0005-0000-0000-00006D960000}"/>
    <cellStyle name="Normal 218" xfId="6403" xr:uid="{00000000-0005-0000-0000-00006E960000}"/>
    <cellStyle name="Normal 219" xfId="6397" xr:uid="{00000000-0005-0000-0000-00006F960000}"/>
    <cellStyle name="Normal 22" xfId="478" xr:uid="{00000000-0005-0000-0000-000070960000}"/>
    <cellStyle name="Normal 22 2" xfId="4276" xr:uid="{00000000-0005-0000-0000-000071960000}"/>
    <cellStyle name="Normal 22 3" xfId="4277" xr:uid="{00000000-0005-0000-0000-000072960000}"/>
    <cellStyle name="Normal 22_Monthly Price Data" xfId="6555" xr:uid="{00000000-0005-0000-0000-000073960000}"/>
    <cellStyle name="Normal 220" xfId="6398" xr:uid="{00000000-0005-0000-0000-000074960000}"/>
    <cellStyle name="Normal 221" xfId="6396" xr:uid="{00000000-0005-0000-0000-000075960000}"/>
    <cellStyle name="Normal 222" xfId="6402" xr:uid="{00000000-0005-0000-0000-000076960000}"/>
    <cellStyle name="Normal 223" xfId="6399" xr:uid="{00000000-0005-0000-0000-000077960000}"/>
    <cellStyle name="Normal 224" xfId="6395" xr:uid="{00000000-0005-0000-0000-000078960000}"/>
    <cellStyle name="Normal 225" xfId="6393" xr:uid="{00000000-0005-0000-0000-000079960000}"/>
    <cellStyle name="Normal 226" xfId="6404" xr:uid="{00000000-0005-0000-0000-00007A960000}"/>
    <cellStyle name="Normal 227" xfId="6421" xr:uid="{00000000-0005-0000-0000-00007B960000}"/>
    <cellStyle name="Normal 228" xfId="6413" xr:uid="{00000000-0005-0000-0000-00007C960000}"/>
    <cellStyle name="Normal 229" xfId="6411" xr:uid="{00000000-0005-0000-0000-00007D960000}"/>
    <cellStyle name="Normal 23" xfId="4278" xr:uid="{00000000-0005-0000-0000-00007E960000}"/>
    <cellStyle name="Normal 23 2" xfId="4279" xr:uid="{00000000-0005-0000-0000-00007F960000}"/>
    <cellStyle name="Normal 23 3" xfId="4280" xr:uid="{00000000-0005-0000-0000-000080960000}"/>
    <cellStyle name="Normal 23 4" xfId="4281" xr:uid="{00000000-0005-0000-0000-000081960000}"/>
    <cellStyle name="Normal 23_LNG &amp; LPG rework" xfId="7266" xr:uid="{00000000-0005-0000-0000-000082960000}"/>
    <cellStyle name="Normal 230" xfId="6418" xr:uid="{00000000-0005-0000-0000-000083960000}"/>
    <cellStyle name="Normal 231" xfId="6410" xr:uid="{00000000-0005-0000-0000-000084960000}"/>
    <cellStyle name="Normal 232" xfId="6420" xr:uid="{00000000-0005-0000-0000-000085960000}"/>
    <cellStyle name="Normal 233" xfId="6416" xr:uid="{00000000-0005-0000-0000-000086960000}"/>
    <cellStyle name="Normal 234" xfId="6417" xr:uid="{00000000-0005-0000-0000-000087960000}"/>
    <cellStyle name="Normal 235" xfId="6414" xr:uid="{00000000-0005-0000-0000-000088960000}"/>
    <cellStyle name="Normal 236" xfId="6407" xr:uid="{00000000-0005-0000-0000-000089960000}"/>
    <cellStyle name="Normal 237" xfId="6408" xr:uid="{00000000-0005-0000-0000-00008A960000}"/>
    <cellStyle name="Normal 238" xfId="6405" xr:uid="{00000000-0005-0000-0000-00008B960000}"/>
    <cellStyle name="Normal 239" xfId="6419" xr:uid="{00000000-0005-0000-0000-00008C960000}"/>
    <cellStyle name="Normal 24" xfId="4282" xr:uid="{00000000-0005-0000-0000-00008D960000}"/>
    <cellStyle name="Normal 24 2" xfId="4283" xr:uid="{00000000-0005-0000-0000-00008E960000}"/>
    <cellStyle name="Normal 24 3" xfId="4284" xr:uid="{00000000-0005-0000-0000-00008F960000}"/>
    <cellStyle name="Normal 24 4" xfId="4285" xr:uid="{00000000-0005-0000-0000-000090960000}"/>
    <cellStyle name="Normal 24_LNG &amp; LPG rework" xfId="7267" xr:uid="{00000000-0005-0000-0000-000091960000}"/>
    <cellStyle name="Normal 240" xfId="6406" xr:uid="{00000000-0005-0000-0000-000092960000}"/>
    <cellStyle name="Normal 241" xfId="6412" xr:uid="{00000000-0005-0000-0000-000093960000}"/>
    <cellStyle name="Normal 242" xfId="6394" xr:uid="{00000000-0005-0000-0000-000094960000}"/>
    <cellStyle name="Normal 243" xfId="6415" xr:uid="{00000000-0005-0000-0000-000095960000}"/>
    <cellStyle name="Normal 244" xfId="6409" xr:uid="{00000000-0005-0000-0000-000096960000}"/>
    <cellStyle name="Normal 245" xfId="6422" xr:uid="{00000000-0005-0000-0000-000097960000}"/>
    <cellStyle name="Normal 246" xfId="6476" xr:uid="{00000000-0005-0000-0000-000098960000}"/>
    <cellStyle name="Normal 246 2" xfId="14819" xr:uid="{00000000-0005-0000-0000-000099960000}"/>
    <cellStyle name="Normal 246 3" xfId="20740" xr:uid="{00000000-0005-0000-0000-00009A960000}"/>
    <cellStyle name="Normal 247" xfId="6479" xr:uid="{00000000-0005-0000-0000-00009B960000}"/>
    <cellStyle name="Normal 247 2" xfId="14822" xr:uid="{00000000-0005-0000-0000-00009C960000}"/>
    <cellStyle name="Normal 247 3" xfId="20743" xr:uid="{00000000-0005-0000-0000-00009D960000}"/>
    <cellStyle name="Normal 248" xfId="6520" xr:uid="{00000000-0005-0000-0000-00009E960000}"/>
    <cellStyle name="Normal 248 2" xfId="20772" xr:uid="{00000000-0005-0000-0000-00009F960000}"/>
    <cellStyle name="Normal 248 3" xfId="7837" xr:uid="{00000000-0005-0000-0000-0000A0960000}"/>
    <cellStyle name="Normal 249" xfId="6557" xr:uid="{00000000-0005-0000-0000-0000A1960000}"/>
    <cellStyle name="Normal 249 2" xfId="20789" xr:uid="{00000000-0005-0000-0000-0000A2960000}"/>
    <cellStyle name="Normal 25" xfId="4286" xr:uid="{00000000-0005-0000-0000-0000A3960000}"/>
    <cellStyle name="Normal 25 2" xfId="4287" xr:uid="{00000000-0005-0000-0000-0000A4960000}"/>
    <cellStyle name="Normal 25 3" xfId="4288" xr:uid="{00000000-0005-0000-0000-0000A5960000}"/>
    <cellStyle name="Normal 25 4" xfId="4289" xr:uid="{00000000-0005-0000-0000-0000A6960000}"/>
    <cellStyle name="Normal 25_LNG &amp; LPG rework" xfId="7268" xr:uid="{00000000-0005-0000-0000-0000A7960000}"/>
    <cellStyle name="Normal 250" xfId="7786" xr:uid="{00000000-0005-0000-0000-0000A8960000}"/>
    <cellStyle name="Normal 250 2" xfId="20803" xr:uid="{00000000-0005-0000-0000-0000A9960000}"/>
    <cellStyle name="Normal 250 3" xfId="8909" xr:uid="{00000000-0005-0000-0000-0000AA960000}"/>
    <cellStyle name="Normal 251" xfId="7787" xr:uid="{00000000-0005-0000-0000-0000AB960000}"/>
    <cellStyle name="Normal 251 2" xfId="20804" xr:uid="{00000000-0005-0000-0000-0000AC960000}"/>
    <cellStyle name="Normal 251 3" xfId="8910" xr:uid="{00000000-0005-0000-0000-0000AD960000}"/>
    <cellStyle name="Normal 252" xfId="7788" xr:uid="{00000000-0005-0000-0000-0000AE960000}"/>
    <cellStyle name="Normal 253" xfId="7789" xr:uid="{00000000-0005-0000-0000-0000AF960000}"/>
    <cellStyle name="Normal 254" xfId="7790" xr:uid="{00000000-0005-0000-0000-0000B0960000}"/>
    <cellStyle name="Normal 255" xfId="7791" xr:uid="{00000000-0005-0000-0000-0000B1960000}"/>
    <cellStyle name="Normal 256" xfId="7792" xr:uid="{00000000-0005-0000-0000-0000B2960000}"/>
    <cellStyle name="Normal 257" xfId="7793" xr:uid="{00000000-0005-0000-0000-0000B3960000}"/>
    <cellStyle name="Normal 257 2" xfId="20805" xr:uid="{00000000-0005-0000-0000-0000B4960000}"/>
    <cellStyle name="Normal 257 3" xfId="8924" xr:uid="{00000000-0005-0000-0000-0000B5960000}"/>
    <cellStyle name="Normal 258" xfId="7794" xr:uid="{00000000-0005-0000-0000-0000B6960000}"/>
    <cellStyle name="Normal 258 2" xfId="20806" xr:uid="{00000000-0005-0000-0000-0000B7960000}"/>
    <cellStyle name="Normal 258 3" xfId="8925" xr:uid="{00000000-0005-0000-0000-0000B8960000}"/>
    <cellStyle name="Normal 259" xfId="7795" xr:uid="{00000000-0005-0000-0000-0000B9960000}"/>
    <cellStyle name="Normal 259 2" xfId="20807" xr:uid="{00000000-0005-0000-0000-0000BA960000}"/>
    <cellStyle name="Normal 259 3" xfId="8926" xr:uid="{00000000-0005-0000-0000-0000BB960000}"/>
    <cellStyle name="Normal 26" xfId="4290" xr:uid="{00000000-0005-0000-0000-0000BC960000}"/>
    <cellStyle name="Normal 26 2" xfId="4291" xr:uid="{00000000-0005-0000-0000-0000BD960000}"/>
    <cellStyle name="Normal 26 3" xfId="4292" xr:uid="{00000000-0005-0000-0000-0000BE960000}"/>
    <cellStyle name="Normal 26 4" xfId="4293" xr:uid="{00000000-0005-0000-0000-0000BF960000}"/>
    <cellStyle name="Normal 26_LNG &amp; LPG rework" xfId="7269" xr:uid="{00000000-0005-0000-0000-0000C0960000}"/>
    <cellStyle name="Normal 260" xfId="7796" xr:uid="{00000000-0005-0000-0000-0000C1960000}"/>
    <cellStyle name="Normal 261" xfId="7797" xr:uid="{00000000-0005-0000-0000-0000C2960000}"/>
    <cellStyle name="Normal 262" xfId="7798" xr:uid="{00000000-0005-0000-0000-0000C3960000}"/>
    <cellStyle name="Normal 263" xfId="7799" xr:uid="{00000000-0005-0000-0000-0000C4960000}"/>
    <cellStyle name="Normal 264" xfId="7800" xr:uid="{00000000-0005-0000-0000-0000C5960000}"/>
    <cellStyle name="Normal 265" xfId="7801" xr:uid="{00000000-0005-0000-0000-0000C6960000}"/>
    <cellStyle name="Normal 266" xfId="20810" xr:uid="{00000000-0005-0000-0000-0000C7960000}"/>
    <cellStyle name="Normal 267" xfId="20811" xr:uid="{00000000-0005-0000-0000-0000C8960000}"/>
    <cellStyle name="Normal 267 2" xfId="21893" xr:uid="{00000000-0005-0000-0000-0000C9960000}"/>
    <cellStyle name="Normal 268" xfId="20812" xr:uid="{00000000-0005-0000-0000-0000CA960000}"/>
    <cellStyle name="Normal 268 2" xfId="21894" xr:uid="{00000000-0005-0000-0000-0000CB960000}"/>
    <cellStyle name="Normal 269" xfId="20814" xr:uid="{00000000-0005-0000-0000-0000CC960000}"/>
    <cellStyle name="Normal 269 2" xfId="21895" xr:uid="{00000000-0005-0000-0000-0000CD960000}"/>
    <cellStyle name="Normal 27" xfId="4294" xr:uid="{00000000-0005-0000-0000-0000CE960000}"/>
    <cellStyle name="Normal 27 2" xfId="4295" xr:uid="{00000000-0005-0000-0000-0000CF960000}"/>
    <cellStyle name="Normal 27 3" xfId="4296" xr:uid="{00000000-0005-0000-0000-0000D0960000}"/>
    <cellStyle name="Normal 27 4" xfId="4297" xr:uid="{00000000-0005-0000-0000-0000D1960000}"/>
    <cellStyle name="Normal 27_LNG &amp; LPG rework" xfId="7270" xr:uid="{00000000-0005-0000-0000-0000D2960000}"/>
    <cellStyle name="Normal 270" xfId="20815" xr:uid="{00000000-0005-0000-0000-0000D3960000}"/>
    <cellStyle name="Normal 270 2" xfId="25103" xr:uid="{00000000-0005-0000-0000-0000D4960000}"/>
    <cellStyle name="Normal 271" xfId="20816" xr:uid="{00000000-0005-0000-0000-0000D5960000}"/>
    <cellStyle name="Normal 272" xfId="20817" xr:uid="{00000000-0005-0000-0000-0000D6960000}"/>
    <cellStyle name="Normal 272 2" xfId="37036" xr:uid="{00000000-0005-0000-0000-0000D7960000}"/>
    <cellStyle name="Normal 273" xfId="20818" xr:uid="{00000000-0005-0000-0000-0000D8960000}"/>
    <cellStyle name="Normal 274" xfId="7802" xr:uid="{00000000-0005-0000-0000-0000D9960000}"/>
    <cellStyle name="Normal 274 2" xfId="29422" xr:uid="{00000000-0005-0000-0000-0000DA960000}"/>
    <cellStyle name="Normal 275" xfId="7804" xr:uid="{00000000-0005-0000-0000-0000DB960000}"/>
    <cellStyle name="Normal 276" xfId="8906" xr:uid="{00000000-0005-0000-0000-0000DC960000}"/>
    <cellStyle name="Normal 276 2" xfId="29424" xr:uid="{00000000-0005-0000-0000-0000DD960000}"/>
    <cellStyle name="Normal 277" xfId="20824" xr:uid="{00000000-0005-0000-0000-0000DE960000}"/>
    <cellStyle name="Normal 277 2" xfId="29427" xr:uid="{00000000-0005-0000-0000-0000DF960000}"/>
    <cellStyle name="Normal 277 3" xfId="45604" xr:uid="{00000000-0005-0000-0000-0000E0960000}"/>
    <cellStyle name="Normal 278" xfId="20827" xr:uid="{00000000-0005-0000-0000-0000E1960000}"/>
    <cellStyle name="Normal 278 2" xfId="29426" xr:uid="{00000000-0005-0000-0000-0000E2960000}"/>
    <cellStyle name="Normal 278 3" xfId="45605" xr:uid="{00000000-0005-0000-0000-0000E3960000}"/>
    <cellStyle name="Normal 279" xfId="21888" xr:uid="{00000000-0005-0000-0000-0000E4960000}"/>
    <cellStyle name="Normal 279 2" xfId="29441" xr:uid="{00000000-0005-0000-0000-0000E5960000}"/>
    <cellStyle name="Normal 279 3" xfId="45607" xr:uid="{00000000-0005-0000-0000-0000E6960000}"/>
    <cellStyle name="Normal 28" xfId="4298" xr:uid="{00000000-0005-0000-0000-0000E7960000}"/>
    <cellStyle name="Normal 28 2" xfId="4299" xr:uid="{00000000-0005-0000-0000-0000E8960000}"/>
    <cellStyle name="Normal 28 3" xfId="4300" xr:uid="{00000000-0005-0000-0000-0000E9960000}"/>
    <cellStyle name="Normal 28_Monthly Price Data" xfId="6554" xr:uid="{00000000-0005-0000-0000-0000EA960000}"/>
    <cellStyle name="Normal 280" xfId="21897" xr:uid="{00000000-0005-0000-0000-0000EB960000}"/>
    <cellStyle name="Normal 280 2" xfId="29443" xr:uid="{00000000-0005-0000-0000-0000EC960000}"/>
    <cellStyle name="Normal 280 3" xfId="45606" xr:uid="{00000000-0005-0000-0000-0000ED960000}"/>
    <cellStyle name="Normal 281" xfId="21900" xr:uid="{00000000-0005-0000-0000-0000EE960000}"/>
    <cellStyle name="Normal 281 2" xfId="29444" xr:uid="{00000000-0005-0000-0000-0000EF960000}"/>
    <cellStyle name="Normal 281 3" xfId="45608" xr:uid="{00000000-0005-0000-0000-0000F0960000}"/>
    <cellStyle name="Normal 282" xfId="22882" xr:uid="{00000000-0005-0000-0000-0000F1960000}"/>
    <cellStyle name="Normal 282 2" xfId="29446" xr:uid="{00000000-0005-0000-0000-0000F2960000}"/>
    <cellStyle name="Normal 283" xfId="26215" xr:uid="{00000000-0005-0000-0000-0000F3960000}"/>
    <cellStyle name="Normal 283 2" xfId="29447" xr:uid="{00000000-0005-0000-0000-0000F4960000}"/>
    <cellStyle name="Normal 284" xfId="26218" xr:uid="{00000000-0005-0000-0000-0000F5960000}"/>
    <cellStyle name="Normal 284 2" xfId="29448" xr:uid="{00000000-0005-0000-0000-0000F6960000}"/>
    <cellStyle name="Normal 285" xfId="29450" xr:uid="{00000000-0005-0000-0000-0000F7960000}"/>
    <cellStyle name="Normal 286" xfId="29452" xr:uid="{00000000-0005-0000-0000-0000F8960000}"/>
    <cellStyle name="Normal 287" xfId="29453" xr:uid="{00000000-0005-0000-0000-0000F9960000}"/>
    <cellStyle name="Normal 288" xfId="29455" xr:uid="{00000000-0005-0000-0000-0000FA960000}"/>
    <cellStyle name="Normal 289" xfId="29456" xr:uid="{00000000-0005-0000-0000-0000FB960000}"/>
    <cellStyle name="Normal 29" xfId="4301" xr:uid="{00000000-0005-0000-0000-0000FC960000}"/>
    <cellStyle name="Normal 29 2" xfId="4302" xr:uid="{00000000-0005-0000-0000-0000FD960000}"/>
    <cellStyle name="Normal 29 2 2" xfId="4303" xr:uid="{00000000-0005-0000-0000-0000FE960000}"/>
    <cellStyle name="Normal 29 2_Monthly Price Data" xfId="6552" xr:uid="{00000000-0005-0000-0000-0000FF960000}"/>
    <cellStyle name="Normal 29 3" xfId="4304" xr:uid="{00000000-0005-0000-0000-000000970000}"/>
    <cellStyle name="Normal 29 4" xfId="4305" xr:uid="{00000000-0005-0000-0000-000001970000}"/>
    <cellStyle name="Normal 29 5" xfId="4306" xr:uid="{00000000-0005-0000-0000-000002970000}"/>
    <cellStyle name="Normal 29 6" xfId="4307" xr:uid="{00000000-0005-0000-0000-000003970000}"/>
    <cellStyle name="Normal 29_Monthly Price Data" xfId="6553" xr:uid="{00000000-0005-0000-0000-000004970000}"/>
    <cellStyle name="Normal 290" xfId="29457" xr:uid="{00000000-0005-0000-0000-000005970000}"/>
    <cellStyle name="Normal 291" xfId="29458" xr:uid="{00000000-0005-0000-0000-000006970000}"/>
    <cellStyle name="Normal 292" xfId="29459" xr:uid="{00000000-0005-0000-0000-000007970000}"/>
    <cellStyle name="Normal 293" xfId="29460" xr:uid="{00000000-0005-0000-0000-000008970000}"/>
    <cellStyle name="Normal 294" xfId="29461" xr:uid="{00000000-0005-0000-0000-000009970000}"/>
    <cellStyle name="Normal 295" xfId="29463" xr:uid="{00000000-0005-0000-0000-00000A970000}"/>
    <cellStyle name="Normal 296" xfId="29464" xr:uid="{00000000-0005-0000-0000-00000B970000}"/>
    <cellStyle name="Normal 297" xfId="29466" xr:uid="{00000000-0005-0000-0000-00000C970000}"/>
    <cellStyle name="Normal 298" xfId="29467" xr:uid="{00000000-0005-0000-0000-00000D970000}"/>
    <cellStyle name="Normal 299" xfId="29469" xr:uid="{00000000-0005-0000-0000-00000E970000}"/>
    <cellStyle name="Normal 3" xfId="44" xr:uid="{00000000-0005-0000-0000-00000F970000}"/>
    <cellStyle name="Normal 3 2" xfId="107" xr:uid="{00000000-0005-0000-0000-000010970000}"/>
    <cellStyle name="Normal 3 2 2" xfId="472" xr:uid="{00000000-0005-0000-0000-000011970000}"/>
    <cellStyle name="Normal 3 2 3" xfId="9000" xr:uid="{00000000-0005-0000-0000-000012970000}"/>
    <cellStyle name="Normal 3 2 4" xfId="14971" xr:uid="{00000000-0005-0000-0000-000013970000}"/>
    <cellStyle name="Normal 3 2_LNG &amp; LPG rework" xfId="6549" xr:uid="{00000000-0005-0000-0000-000014970000}"/>
    <cellStyle name="Normal 3 3" xfId="4308" xr:uid="{00000000-0005-0000-0000-000015970000}"/>
    <cellStyle name="Normal 3 4" xfId="4309" xr:uid="{00000000-0005-0000-0000-000016970000}"/>
    <cellStyle name="Normal 3 5" xfId="4310" xr:uid="{00000000-0005-0000-0000-000017970000}"/>
    <cellStyle name="Normal 3 5 2" xfId="12897" xr:uid="{00000000-0005-0000-0000-000018970000}"/>
    <cellStyle name="Normal 3 5 3" xfId="18748" xr:uid="{00000000-0005-0000-0000-000019970000}"/>
    <cellStyle name="Normal 3 6" xfId="8945" xr:uid="{00000000-0005-0000-0000-00001A970000}"/>
    <cellStyle name="Normal 3 7" xfId="14868" xr:uid="{00000000-0005-0000-0000-00001B970000}"/>
    <cellStyle name="Normal 3 7 2" xfId="39184" xr:uid="{00000000-0005-0000-0000-00001C970000}"/>
    <cellStyle name="Normal 3 8" xfId="29514" xr:uid="{00000000-0005-0000-0000-00001D970000}"/>
    <cellStyle name="Normal 3 8 2" xfId="39188" xr:uid="{00000000-0005-0000-0000-00001E970000}"/>
    <cellStyle name="Normal 3_2015  Data" xfId="473" xr:uid="{00000000-0005-0000-0000-00001F970000}"/>
    <cellStyle name="Normal 30" xfId="4311" xr:uid="{00000000-0005-0000-0000-000020970000}"/>
    <cellStyle name="Normal 30 10" xfId="20821" xr:uid="{00000000-0005-0000-0000-000021970000}"/>
    <cellStyle name="Normal 30 2" xfId="4312" xr:uid="{00000000-0005-0000-0000-000022970000}"/>
    <cellStyle name="Normal 30 2 2" xfId="4313" xr:uid="{00000000-0005-0000-0000-000023970000}"/>
    <cellStyle name="Normal 30 2 2 2" xfId="4314" xr:uid="{00000000-0005-0000-0000-000024970000}"/>
    <cellStyle name="Normal 30 2 2 2 2" xfId="4315" xr:uid="{00000000-0005-0000-0000-000025970000}"/>
    <cellStyle name="Normal 30 2 2 2 2 2" xfId="12901" xr:uid="{00000000-0005-0000-0000-000026970000}"/>
    <cellStyle name="Normal 30 2 2 2 2 3" xfId="18752" xr:uid="{00000000-0005-0000-0000-000027970000}"/>
    <cellStyle name="Normal 30 2 2 2 3" xfId="12900" xr:uid="{00000000-0005-0000-0000-000028970000}"/>
    <cellStyle name="Normal 30 2 2 2 4" xfId="18751" xr:uid="{00000000-0005-0000-0000-000029970000}"/>
    <cellStyle name="Normal 30 2 2 2_LNG &amp; LPG rework" xfId="7273" xr:uid="{00000000-0005-0000-0000-00002A970000}"/>
    <cellStyle name="Normal 30 2 2 3" xfId="4316" xr:uid="{00000000-0005-0000-0000-00002B970000}"/>
    <cellStyle name="Normal 30 2 2 3 2" xfId="12902" xr:uid="{00000000-0005-0000-0000-00002C970000}"/>
    <cellStyle name="Normal 30 2 2 3 3" xfId="18753" xr:uid="{00000000-0005-0000-0000-00002D970000}"/>
    <cellStyle name="Normal 30 2 2 4" xfId="12899" xr:uid="{00000000-0005-0000-0000-00002E970000}"/>
    <cellStyle name="Normal 30 2 2 5" xfId="18750" xr:uid="{00000000-0005-0000-0000-00002F970000}"/>
    <cellStyle name="Normal 30 2 2_LNG &amp; LPG rework" xfId="7272" xr:uid="{00000000-0005-0000-0000-000030970000}"/>
    <cellStyle name="Normal 30 2 3" xfId="4317" xr:uid="{00000000-0005-0000-0000-000031970000}"/>
    <cellStyle name="Normal 30 2 3 2" xfId="4318" xr:uid="{00000000-0005-0000-0000-000032970000}"/>
    <cellStyle name="Normal 30 2 3 2 2" xfId="12904" xr:uid="{00000000-0005-0000-0000-000033970000}"/>
    <cellStyle name="Normal 30 2 3 2 3" xfId="18755" xr:uid="{00000000-0005-0000-0000-000034970000}"/>
    <cellStyle name="Normal 30 2 3 3" xfId="12903" xr:uid="{00000000-0005-0000-0000-000035970000}"/>
    <cellStyle name="Normal 30 2 3 4" xfId="18754" xr:uid="{00000000-0005-0000-0000-000036970000}"/>
    <cellStyle name="Normal 30 2 3_LNG &amp; LPG rework" xfId="7274" xr:uid="{00000000-0005-0000-0000-000037970000}"/>
    <cellStyle name="Normal 30 2 4" xfId="4319" xr:uid="{00000000-0005-0000-0000-000038970000}"/>
    <cellStyle name="Normal 30 2 4 2" xfId="12905" xr:uid="{00000000-0005-0000-0000-000039970000}"/>
    <cellStyle name="Normal 30 2 4 3" xfId="18756" xr:uid="{00000000-0005-0000-0000-00003A970000}"/>
    <cellStyle name="Normal 30 2 5" xfId="4320" xr:uid="{00000000-0005-0000-0000-00003B970000}"/>
    <cellStyle name="Normal 30 2 6" xfId="12898" xr:uid="{00000000-0005-0000-0000-00003C970000}"/>
    <cellStyle name="Normal 30 2 7" xfId="18749" xr:uid="{00000000-0005-0000-0000-00003D970000}"/>
    <cellStyle name="Normal 30 2_LNG &amp; LPG rework" xfId="7271" xr:uid="{00000000-0005-0000-0000-00003E970000}"/>
    <cellStyle name="Normal 30 3" xfId="4321" xr:uid="{00000000-0005-0000-0000-00003F970000}"/>
    <cellStyle name="Normal 30 3 2" xfId="4322" xr:uid="{00000000-0005-0000-0000-000040970000}"/>
    <cellStyle name="Normal 30 3 2 2" xfId="4323" xr:uid="{00000000-0005-0000-0000-000041970000}"/>
    <cellStyle name="Normal 30 3 2 2 2" xfId="4324" xr:uid="{00000000-0005-0000-0000-000042970000}"/>
    <cellStyle name="Normal 30 3 2 2 2 2" xfId="12909" xr:uid="{00000000-0005-0000-0000-000043970000}"/>
    <cellStyle name="Normal 30 3 2 2 2 3" xfId="18760" xr:uid="{00000000-0005-0000-0000-000044970000}"/>
    <cellStyle name="Normal 30 3 2 2 3" xfId="12908" xr:uid="{00000000-0005-0000-0000-000045970000}"/>
    <cellStyle name="Normal 30 3 2 2 4" xfId="18759" xr:uid="{00000000-0005-0000-0000-000046970000}"/>
    <cellStyle name="Normal 30 3 2 2_LNG &amp; LPG rework" xfId="7277" xr:uid="{00000000-0005-0000-0000-000047970000}"/>
    <cellStyle name="Normal 30 3 2 3" xfId="4325" xr:uid="{00000000-0005-0000-0000-000048970000}"/>
    <cellStyle name="Normal 30 3 2 3 2" xfId="12910" xr:uid="{00000000-0005-0000-0000-000049970000}"/>
    <cellStyle name="Normal 30 3 2 3 3" xfId="18761" xr:uid="{00000000-0005-0000-0000-00004A970000}"/>
    <cellStyle name="Normal 30 3 2 4" xfId="12907" xr:uid="{00000000-0005-0000-0000-00004B970000}"/>
    <cellStyle name="Normal 30 3 2 5" xfId="18758" xr:uid="{00000000-0005-0000-0000-00004C970000}"/>
    <cellStyle name="Normal 30 3 2_LNG &amp; LPG rework" xfId="7276" xr:uid="{00000000-0005-0000-0000-00004D970000}"/>
    <cellStyle name="Normal 30 3 3" xfId="4326" xr:uid="{00000000-0005-0000-0000-00004E970000}"/>
    <cellStyle name="Normal 30 3 3 2" xfId="4327" xr:uid="{00000000-0005-0000-0000-00004F970000}"/>
    <cellStyle name="Normal 30 3 3 2 2" xfId="12912" xr:uid="{00000000-0005-0000-0000-000050970000}"/>
    <cellStyle name="Normal 30 3 3 2 3" xfId="18763" xr:uid="{00000000-0005-0000-0000-000051970000}"/>
    <cellStyle name="Normal 30 3 3 3" xfId="12911" xr:uid="{00000000-0005-0000-0000-000052970000}"/>
    <cellStyle name="Normal 30 3 3 4" xfId="18762" xr:uid="{00000000-0005-0000-0000-000053970000}"/>
    <cellStyle name="Normal 30 3 3_LNG &amp; LPG rework" xfId="7278" xr:uid="{00000000-0005-0000-0000-000054970000}"/>
    <cellStyle name="Normal 30 3 4" xfId="4328" xr:uid="{00000000-0005-0000-0000-000055970000}"/>
    <cellStyle name="Normal 30 3 4 2" xfId="12913" xr:uid="{00000000-0005-0000-0000-000056970000}"/>
    <cellStyle name="Normal 30 3 4 3" xfId="18764" xr:uid="{00000000-0005-0000-0000-000057970000}"/>
    <cellStyle name="Normal 30 3 5" xfId="12906" xr:uid="{00000000-0005-0000-0000-000058970000}"/>
    <cellStyle name="Normal 30 3 6" xfId="18757" xr:uid="{00000000-0005-0000-0000-000059970000}"/>
    <cellStyle name="Normal 30 3_LNG &amp; LPG rework" xfId="7275" xr:uid="{00000000-0005-0000-0000-00005A970000}"/>
    <cellStyle name="Normal 30 4" xfId="4329" xr:uid="{00000000-0005-0000-0000-00005B970000}"/>
    <cellStyle name="Normal 30 4 2" xfId="4330" xr:uid="{00000000-0005-0000-0000-00005C970000}"/>
    <cellStyle name="Normal 30 4 2 2" xfId="4331" xr:uid="{00000000-0005-0000-0000-00005D970000}"/>
    <cellStyle name="Normal 30 4 2 2 2" xfId="12916" xr:uid="{00000000-0005-0000-0000-00005E970000}"/>
    <cellStyle name="Normal 30 4 2 2 3" xfId="18767" xr:uid="{00000000-0005-0000-0000-00005F970000}"/>
    <cellStyle name="Normal 30 4 2 3" xfId="12915" xr:uid="{00000000-0005-0000-0000-000060970000}"/>
    <cellStyle name="Normal 30 4 2 4" xfId="18766" xr:uid="{00000000-0005-0000-0000-000061970000}"/>
    <cellStyle name="Normal 30 4 2_LNG &amp; LPG rework" xfId="7280" xr:uid="{00000000-0005-0000-0000-000062970000}"/>
    <cellStyle name="Normal 30 4 3" xfId="4332" xr:uid="{00000000-0005-0000-0000-000063970000}"/>
    <cellStyle name="Normal 30 4 3 2" xfId="12917" xr:uid="{00000000-0005-0000-0000-000064970000}"/>
    <cellStyle name="Normal 30 4 3 3" xfId="18768" xr:uid="{00000000-0005-0000-0000-000065970000}"/>
    <cellStyle name="Normal 30 4 4" xfId="12914" xr:uid="{00000000-0005-0000-0000-000066970000}"/>
    <cellStyle name="Normal 30 4 5" xfId="18765" xr:uid="{00000000-0005-0000-0000-000067970000}"/>
    <cellStyle name="Normal 30 4_LNG &amp; LPG rework" xfId="7279" xr:uid="{00000000-0005-0000-0000-000068970000}"/>
    <cellStyle name="Normal 30 5" xfId="4333" xr:uid="{00000000-0005-0000-0000-000069970000}"/>
    <cellStyle name="Normal 30 5 2" xfId="4334" xr:uid="{00000000-0005-0000-0000-00006A970000}"/>
    <cellStyle name="Normal 30 5 2 2" xfId="12919" xr:uid="{00000000-0005-0000-0000-00006B970000}"/>
    <cellStyle name="Normal 30 5 2 3" xfId="18770" xr:uid="{00000000-0005-0000-0000-00006C970000}"/>
    <cellStyle name="Normal 30 5 3" xfId="12918" xr:uid="{00000000-0005-0000-0000-00006D970000}"/>
    <cellStyle name="Normal 30 5 4" xfId="18769" xr:uid="{00000000-0005-0000-0000-00006E970000}"/>
    <cellStyle name="Normal 30 5_LNG &amp; LPG rework" xfId="7281" xr:uid="{00000000-0005-0000-0000-00006F970000}"/>
    <cellStyle name="Normal 30 6" xfId="4335" xr:uid="{00000000-0005-0000-0000-000070970000}"/>
    <cellStyle name="Normal 30 6 2" xfId="12920" xr:uid="{00000000-0005-0000-0000-000071970000}"/>
    <cellStyle name="Normal 30 6 3" xfId="18771" xr:uid="{00000000-0005-0000-0000-000072970000}"/>
    <cellStyle name="Normal 30 7" xfId="4336" xr:uid="{00000000-0005-0000-0000-000073970000}"/>
    <cellStyle name="Normal 30 8" xfId="7831" xr:uid="{00000000-0005-0000-0000-000074970000}"/>
    <cellStyle name="Normal 30 9" xfId="8901" xr:uid="{00000000-0005-0000-0000-000075970000}"/>
    <cellStyle name="Normal 30_Data - Monthly Commodity Prices" xfId="6486" xr:uid="{00000000-0005-0000-0000-000076970000}"/>
    <cellStyle name="Normal 300" xfId="29470" xr:uid="{00000000-0005-0000-0000-000077970000}"/>
    <cellStyle name="Normal 301" xfId="29484" xr:uid="{00000000-0005-0000-0000-000078970000}"/>
    <cellStyle name="Normal 302" xfId="29485" xr:uid="{00000000-0005-0000-0000-000079970000}"/>
    <cellStyle name="Normal 303" xfId="29487" xr:uid="{00000000-0005-0000-0000-00007A970000}"/>
    <cellStyle name="Normal 304" xfId="29488" xr:uid="{00000000-0005-0000-0000-00007B970000}"/>
    <cellStyle name="Normal 305" xfId="29489" xr:uid="{00000000-0005-0000-0000-00007C970000}"/>
    <cellStyle name="Normal 306" xfId="29493" xr:uid="{00000000-0005-0000-0000-00007D970000}"/>
    <cellStyle name="Normal 306 2" xfId="32757" xr:uid="{00000000-0005-0000-0000-00007E970000}"/>
    <cellStyle name="Normal 307" xfId="29494" xr:uid="{00000000-0005-0000-0000-00007F970000}"/>
    <cellStyle name="Normal 307 2" xfId="32758" xr:uid="{00000000-0005-0000-0000-000080970000}"/>
    <cellStyle name="Normal 307 3" xfId="45610" xr:uid="{00000000-0005-0000-0000-000081970000}"/>
    <cellStyle name="Normal 308" xfId="29496" xr:uid="{00000000-0005-0000-0000-000082970000}"/>
    <cellStyle name="Normal 308 2" xfId="32759" xr:uid="{00000000-0005-0000-0000-000083970000}"/>
    <cellStyle name="Normal 309" xfId="29499" xr:uid="{00000000-0005-0000-0000-000084970000}"/>
    <cellStyle name="Normal 31" xfId="4337" xr:uid="{00000000-0005-0000-0000-000085970000}"/>
    <cellStyle name="Normal 31 2" xfId="4338" xr:uid="{00000000-0005-0000-0000-000086970000}"/>
    <cellStyle name="Normal 31 2 2" xfId="4339" xr:uid="{00000000-0005-0000-0000-000087970000}"/>
    <cellStyle name="Normal 31 2 2 2" xfId="4340" xr:uid="{00000000-0005-0000-0000-000088970000}"/>
    <cellStyle name="Normal 31 2 2 2 2" xfId="4341" xr:uid="{00000000-0005-0000-0000-000089970000}"/>
    <cellStyle name="Normal 31 2 2 2 2 2" xfId="12925" xr:uid="{00000000-0005-0000-0000-00008A970000}"/>
    <cellStyle name="Normal 31 2 2 2 2 3" xfId="18776" xr:uid="{00000000-0005-0000-0000-00008B970000}"/>
    <cellStyle name="Normal 31 2 2 2 3" xfId="12924" xr:uid="{00000000-0005-0000-0000-00008C970000}"/>
    <cellStyle name="Normal 31 2 2 2 4" xfId="18775" xr:uid="{00000000-0005-0000-0000-00008D970000}"/>
    <cellStyle name="Normal 31 2 2 2_LNG &amp; LPG rework" xfId="7285" xr:uid="{00000000-0005-0000-0000-00008E970000}"/>
    <cellStyle name="Normal 31 2 2 3" xfId="4342" xr:uid="{00000000-0005-0000-0000-00008F970000}"/>
    <cellStyle name="Normal 31 2 2 3 2" xfId="12926" xr:uid="{00000000-0005-0000-0000-000090970000}"/>
    <cellStyle name="Normal 31 2 2 3 3" xfId="18777" xr:uid="{00000000-0005-0000-0000-000091970000}"/>
    <cellStyle name="Normal 31 2 2 4" xfId="12923" xr:uid="{00000000-0005-0000-0000-000092970000}"/>
    <cellStyle name="Normal 31 2 2 5" xfId="18774" xr:uid="{00000000-0005-0000-0000-000093970000}"/>
    <cellStyle name="Normal 31 2 2_LNG &amp; LPG rework" xfId="7284" xr:uid="{00000000-0005-0000-0000-000094970000}"/>
    <cellStyle name="Normal 31 2 3" xfId="4343" xr:uid="{00000000-0005-0000-0000-000095970000}"/>
    <cellStyle name="Normal 31 2 3 2" xfId="4344" xr:uid="{00000000-0005-0000-0000-000096970000}"/>
    <cellStyle name="Normal 31 2 3 2 2" xfId="12928" xr:uid="{00000000-0005-0000-0000-000097970000}"/>
    <cellStyle name="Normal 31 2 3 2 3" xfId="18779" xr:uid="{00000000-0005-0000-0000-000098970000}"/>
    <cellStyle name="Normal 31 2 3 3" xfId="12927" xr:uid="{00000000-0005-0000-0000-000099970000}"/>
    <cellStyle name="Normal 31 2 3 4" xfId="18778" xr:uid="{00000000-0005-0000-0000-00009A970000}"/>
    <cellStyle name="Normal 31 2 3_LNG &amp; LPG rework" xfId="7286" xr:uid="{00000000-0005-0000-0000-00009B970000}"/>
    <cellStyle name="Normal 31 2 4" xfId="4345" xr:uid="{00000000-0005-0000-0000-00009C970000}"/>
    <cellStyle name="Normal 31 2 4 2" xfId="12929" xr:uid="{00000000-0005-0000-0000-00009D970000}"/>
    <cellStyle name="Normal 31 2 4 3" xfId="18780" xr:uid="{00000000-0005-0000-0000-00009E970000}"/>
    <cellStyle name="Normal 31 2 5" xfId="4346" xr:uid="{00000000-0005-0000-0000-00009F970000}"/>
    <cellStyle name="Normal 31 2 6" xfId="12922" xr:uid="{00000000-0005-0000-0000-0000A0970000}"/>
    <cellStyle name="Normal 31 2 7" xfId="18773" xr:uid="{00000000-0005-0000-0000-0000A1970000}"/>
    <cellStyle name="Normal 31 2_LNG &amp; LPG rework" xfId="7283" xr:uid="{00000000-0005-0000-0000-0000A2970000}"/>
    <cellStyle name="Normal 31 3" xfId="4347" xr:uid="{00000000-0005-0000-0000-0000A3970000}"/>
    <cellStyle name="Normal 31 3 2" xfId="4348" xr:uid="{00000000-0005-0000-0000-0000A4970000}"/>
    <cellStyle name="Normal 31 3 2 2" xfId="4349" xr:uid="{00000000-0005-0000-0000-0000A5970000}"/>
    <cellStyle name="Normal 31 3 2 2 2" xfId="4350" xr:uid="{00000000-0005-0000-0000-0000A6970000}"/>
    <cellStyle name="Normal 31 3 2 2 2 2" xfId="12933" xr:uid="{00000000-0005-0000-0000-0000A7970000}"/>
    <cellStyle name="Normal 31 3 2 2 2 3" xfId="18784" xr:uid="{00000000-0005-0000-0000-0000A8970000}"/>
    <cellStyle name="Normal 31 3 2 2 3" xfId="12932" xr:uid="{00000000-0005-0000-0000-0000A9970000}"/>
    <cellStyle name="Normal 31 3 2 2 4" xfId="18783" xr:uid="{00000000-0005-0000-0000-0000AA970000}"/>
    <cellStyle name="Normal 31 3 2 2_LNG &amp; LPG rework" xfId="7289" xr:uid="{00000000-0005-0000-0000-0000AB970000}"/>
    <cellStyle name="Normal 31 3 2 3" xfId="4351" xr:uid="{00000000-0005-0000-0000-0000AC970000}"/>
    <cellStyle name="Normal 31 3 2 3 2" xfId="12934" xr:uid="{00000000-0005-0000-0000-0000AD970000}"/>
    <cellStyle name="Normal 31 3 2 3 3" xfId="18785" xr:uid="{00000000-0005-0000-0000-0000AE970000}"/>
    <cellStyle name="Normal 31 3 2 4" xfId="4352" xr:uid="{00000000-0005-0000-0000-0000AF970000}"/>
    <cellStyle name="Normal 31 3 2 4 2" xfId="12935" xr:uid="{00000000-0005-0000-0000-0000B0970000}"/>
    <cellStyle name="Normal 31 3 2 4 3" xfId="18786" xr:uid="{00000000-0005-0000-0000-0000B1970000}"/>
    <cellStyle name="Normal 31 3 2 5" xfId="4353" xr:uid="{00000000-0005-0000-0000-0000B2970000}"/>
    <cellStyle name="Normal 31 3 2 5 2" xfId="12936" xr:uid="{00000000-0005-0000-0000-0000B3970000}"/>
    <cellStyle name="Normal 31 3 2 5 3" xfId="18787" xr:uid="{00000000-0005-0000-0000-0000B4970000}"/>
    <cellStyle name="Normal 31 3 2 6" xfId="12931" xr:uid="{00000000-0005-0000-0000-0000B5970000}"/>
    <cellStyle name="Normal 31 3 2 7" xfId="18782" xr:uid="{00000000-0005-0000-0000-0000B6970000}"/>
    <cellStyle name="Normal 31 3 2_LNG &amp; LPG rework" xfId="7288" xr:uid="{00000000-0005-0000-0000-0000B7970000}"/>
    <cellStyle name="Normal 31 3 3" xfId="4354" xr:uid="{00000000-0005-0000-0000-0000B8970000}"/>
    <cellStyle name="Normal 31 3 3 2" xfId="4355" xr:uid="{00000000-0005-0000-0000-0000B9970000}"/>
    <cellStyle name="Normal 31 3 3 2 2" xfId="12938" xr:uid="{00000000-0005-0000-0000-0000BA970000}"/>
    <cellStyle name="Normal 31 3 3 2 3" xfId="18789" xr:uid="{00000000-0005-0000-0000-0000BB970000}"/>
    <cellStyle name="Normal 31 3 3 3" xfId="12937" xr:uid="{00000000-0005-0000-0000-0000BC970000}"/>
    <cellStyle name="Normal 31 3 3 4" xfId="18788" xr:uid="{00000000-0005-0000-0000-0000BD970000}"/>
    <cellStyle name="Normal 31 3 3_LNG &amp; LPG rework" xfId="7290" xr:uid="{00000000-0005-0000-0000-0000BE970000}"/>
    <cellStyle name="Normal 31 3 4" xfId="4356" xr:uid="{00000000-0005-0000-0000-0000BF970000}"/>
    <cellStyle name="Normal 31 3 4 2" xfId="12939" xr:uid="{00000000-0005-0000-0000-0000C0970000}"/>
    <cellStyle name="Normal 31 3 4 3" xfId="18790" xr:uid="{00000000-0005-0000-0000-0000C1970000}"/>
    <cellStyle name="Normal 31 3 5" xfId="4357" xr:uid="{00000000-0005-0000-0000-0000C2970000}"/>
    <cellStyle name="Normal 31 3 5 2" xfId="12940" xr:uid="{00000000-0005-0000-0000-0000C3970000}"/>
    <cellStyle name="Normal 31 3 5 3" xfId="18791" xr:uid="{00000000-0005-0000-0000-0000C4970000}"/>
    <cellStyle name="Normal 31 3 6" xfId="4358" xr:uid="{00000000-0005-0000-0000-0000C5970000}"/>
    <cellStyle name="Normal 31 3 6 2" xfId="12941" xr:uid="{00000000-0005-0000-0000-0000C6970000}"/>
    <cellStyle name="Normal 31 3 6 3" xfId="18792" xr:uid="{00000000-0005-0000-0000-0000C7970000}"/>
    <cellStyle name="Normal 31 3 7" xfId="12930" xr:uid="{00000000-0005-0000-0000-0000C8970000}"/>
    <cellStyle name="Normal 31 3 8" xfId="18781" xr:uid="{00000000-0005-0000-0000-0000C9970000}"/>
    <cellStyle name="Normal 31 3_LNG &amp; LPG rework" xfId="7287" xr:uid="{00000000-0005-0000-0000-0000CA970000}"/>
    <cellStyle name="Normal 31 4" xfId="4359" xr:uid="{00000000-0005-0000-0000-0000CB970000}"/>
    <cellStyle name="Normal 31 4 2" xfId="4360" xr:uid="{00000000-0005-0000-0000-0000CC970000}"/>
    <cellStyle name="Normal 31 4 2 2" xfId="4361" xr:uid="{00000000-0005-0000-0000-0000CD970000}"/>
    <cellStyle name="Normal 31 4 2 2 2" xfId="12944" xr:uid="{00000000-0005-0000-0000-0000CE970000}"/>
    <cellStyle name="Normal 31 4 2 2 3" xfId="18795" xr:uid="{00000000-0005-0000-0000-0000CF970000}"/>
    <cellStyle name="Normal 31 4 2 3" xfId="12943" xr:uid="{00000000-0005-0000-0000-0000D0970000}"/>
    <cellStyle name="Normal 31 4 2 4" xfId="18794" xr:uid="{00000000-0005-0000-0000-0000D1970000}"/>
    <cellStyle name="Normal 31 4 2_LNG &amp; LPG rework" xfId="7292" xr:uid="{00000000-0005-0000-0000-0000D2970000}"/>
    <cellStyle name="Normal 31 4 3" xfId="4362" xr:uid="{00000000-0005-0000-0000-0000D3970000}"/>
    <cellStyle name="Normal 31 4 3 2" xfId="12945" xr:uid="{00000000-0005-0000-0000-0000D4970000}"/>
    <cellStyle name="Normal 31 4 3 3" xfId="18796" xr:uid="{00000000-0005-0000-0000-0000D5970000}"/>
    <cellStyle name="Normal 31 4 4" xfId="12942" xr:uid="{00000000-0005-0000-0000-0000D6970000}"/>
    <cellStyle name="Normal 31 4 5" xfId="18793" xr:uid="{00000000-0005-0000-0000-0000D7970000}"/>
    <cellStyle name="Normal 31 4_LNG &amp; LPG rework" xfId="7291" xr:uid="{00000000-0005-0000-0000-0000D8970000}"/>
    <cellStyle name="Normal 31 5" xfId="4363" xr:uid="{00000000-0005-0000-0000-0000D9970000}"/>
    <cellStyle name="Normal 31 5 2" xfId="4364" xr:uid="{00000000-0005-0000-0000-0000DA970000}"/>
    <cellStyle name="Normal 31 5 2 2" xfId="12947" xr:uid="{00000000-0005-0000-0000-0000DB970000}"/>
    <cellStyle name="Normal 31 5 2 3" xfId="18798" xr:uid="{00000000-0005-0000-0000-0000DC970000}"/>
    <cellStyle name="Normal 31 5 3" xfId="12946" xr:uid="{00000000-0005-0000-0000-0000DD970000}"/>
    <cellStyle name="Normal 31 5 4" xfId="18797" xr:uid="{00000000-0005-0000-0000-0000DE970000}"/>
    <cellStyle name="Normal 31 5_LNG &amp; LPG rework" xfId="7293" xr:uid="{00000000-0005-0000-0000-0000DF970000}"/>
    <cellStyle name="Normal 31 6" xfId="4365" xr:uid="{00000000-0005-0000-0000-0000E0970000}"/>
    <cellStyle name="Normal 31 6 2" xfId="12948" xr:uid="{00000000-0005-0000-0000-0000E1970000}"/>
    <cellStyle name="Normal 31 6 3" xfId="18799" xr:uid="{00000000-0005-0000-0000-0000E2970000}"/>
    <cellStyle name="Normal 31 7" xfId="4366" xr:uid="{00000000-0005-0000-0000-0000E3970000}"/>
    <cellStyle name="Normal 31 7 2" xfId="12949" xr:uid="{00000000-0005-0000-0000-0000E4970000}"/>
    <cellStyle name="Normal 31 7 3" xfId="18800" xr:uid="{00000000-0005-0000-0000-0000E5970000}"/>
    <cellStyle name="Normal 31 8" xfId="12921" xr:uid="{00000000-0005-0000-0000-0000E6970000}"/>
    <cellStyle name="Normal 31 9" xfId="18772" xr:uid="{00000000-0005-0000-0000-0000E7970000}"/>
    <cellStyle name="Normal 31_LNG &amp; LPG rework" xfId="7282" xr:uid="{00000000-0005-0000-0000-0000E8970000}"/>
    <cellStyle name="Normal 310" xfId="29500" xr:uid="{00000000-0005-0000-0000-0000E9970000}"/>
    <cellStyle name="Normal 311" xfId="29501" xr:uid="{00000000-0005-0000-0000-0000EA970000}"/>
    <cellStyle name="Normal 311 2" xfId="45611" xr:uid="{00000000-0005-0000-0000-0000EB970000}"/>
    <cellStyle name="Normal 312" xfId="26220" xr:uid="{00000000-0005-0000-0000-0000EC970000}"/>
    <cellStyle name="Normal 313" xfId="29553" xr:uid="{00000000-0005-0000-0000-0000ED970000}"/>
    <cellStyle name="Normal 314" xfId="30617" xr:uid="{00000000-0005-0000-0000-0000EE970000}"/>
    <cellStyle name="Normal 315" xfId="32764" xr:uid="{00000000-0005-0000-0000-0000EF970000}"/>
    <cellStyle name="Normal 32" xfId="4367" xr:uid="{00000000-0005-0000-0000-0000F0970000}"/>
    <cellStyle name="Normal 32 2" xfId="4368" xr:uid="{00000000-0005-0000-0000-0000F1970000}"/>
    <cellStyle name="Normal 32 2 2" xfId="4369" xr:uid="{00000000-0005-0000-0000-0000F2970000}"/>
    <cellStyle name="Normal 32 2 2 2" xfId="4370" xr:uid="{00000000-0005-0000-0000-0000F3970000}"/>
    <cellStyle name="Normal 32 2 2 2 2" xfId="4371" xr:uid="{00000000-0005-0000-0000-0000F4970000}"/>
    <cellStyle name="Normal 32 2 2 2 2 2" xfId="12954" xr:uid="{00000000-0005-0000-0000-0000F5970000}"/>
    <cellStyle name="Normal 32 2 2 2 2 3" xfId="18805" xr:uid="{00000000-0005-0000-0000-0000F6970000}"/>
    <cellStyle name="Normal 32 2 2 2 3" xfId="12953" xr:uid="{00000000-0005-0000-0000-0000F7970000}"/>
    <cellStyle name="Normal 32 2 2 2 4" xfId="18804" xr:uid="{00000000-0005-0000-0000-0000F8970000}"/>
    <cellStyle name="Normal 32 2 2 2_LNG &amp; LPG rework" xfId="7297" xr:uid="{00000000-0005-0000-0000-0000F9970000}"/>
    <cellStyle name="Normal 32 2 2 3" xfId="4372" xr:uid="{00000000-0005-0000-0000-0000FA970000}"/>
    <cellStyle name="Normal 32 2 2 3 2" xfId="12955" xr:uid="{00000000-0005-0000-0000-0000FB970000}"/>
    <cellStyle name="Normal 32 2 2 3 3" xfId="18806" xr:uid="{00000000-0005-0000-0000-0000FC970000}"/>
    <cellStyle name="Normal 32 2 2 4" xfId="4373" xr:uid="{00000000-0005-0000-0000-0000FD970000}"/>
    <cellStyle name="Normal 32 2 2 4 2" xfId="12956" xr:uid="{00000000-0005-0000-0000-0000FE970000}"/>
    <cellStyle name="Normal 32 2 2 4 3" xfId="18807" xr:uid="{00000000-0005-0000-0000-0000FF970000}"/>
    <cellStyle name="Normal 32 2 2 5" xfId="4374" xr:uid="{00000000-0005-0000-0000-000000980000}"/>
    <cellStyle name="Normal 32 2 2 5 2" xfId="12957" xr:uid="{00000000-0005-0000-0000-000001980000}"/>
    <cellStyle name="Normal 32 2 2 5 3" xfId="18808" xr:uid="{00000000-0005-0000-0000-000002980000}"/>
    <cellStyle name="Normal 32 2 2 6" xfId="12952" xr:uid="{00000000-0005-0000-0000-000003980000}"/>
    <cellStyle name="Normal 32 2 2 7" xfId="18803" xr:uid="{00000000-0005-0000-0000-000004980000}"/>
    <cellStyle name="Normal 32 2 2_LNG &amp; LPG rework" xfId="7296" xr:uid="{00000000-0005-0000-0000-000005980000}"/>
    <cellStyle name="Normal 32 2 3" xfId="4375" xr:uid="{00000000-0005-0000-0000-000006980000}"/>
    <cellStyle name="Normal 32 2 3 2" xfId="4376" xr:uid="{00000000-0005-0000-0000-000007980000}"/>
    <cellStyle name="Normal 32 2 3 2 2" xfId="12959" xr:uid="{00000000-0005-0000-0000-000008980000}"/>
    <cellStyle name="Normal 32 2 3 2 3" xfId="18810" xr:uid="{00000000-0005-0000-0000-000009980000}"/>
    <cellStyle name="Normal 32 2 3 3" xfId="4377" xr:uid="{00000000-0005-0000-0000-00000A980000}"/>
    <cellStyle name="Normal 32 2 3 3 2" xfId="12960" xr:uid="{00000000-0005-0000-0000-00000B980000}"/>
    <cellStyle name="Normal 32 2 3 3 3" xfId="18811" xr:uid="{00000000-0005-0000-0000-00000C980000}"/>
    <cellStyle name="Normal 32 2 3 4" xfId="4378" xr:uid="{00000000-0005-0000-0000-00000D980000}"/>
    <cellStyle name="Normal 32 2 3 4 2" xfId="12961" xr:uid="{00000000-0005-0000-0000-00000E980000}"/>
    <cellStyle name="Normal 32 2 3 4 3" xfId="18812" xr:uid="{00000000-0005-0000-0000-00000F980000}"/>
    <cellStyle name="Normal 32 2 3 5" xfId="4379" xr:uid="{00000000-0005-0000-0000-000010980000}"/>
    <cellStyle name="Normal 32 2 3 5 2" xfId="12962" xr:uid="{00000000-0005-0000-0000-000011980000}"/>
    <cellStyle name="Normal 32 2 3 5 3" xfId="18813" xr:uid="{00000000-0005-0000-0000-000012980000}"/>
    <cellStyle name="Normal 32 2 3 6" xfId="12958" xr:uid="{00000000-0005-0000-0000-000013980000}"/>
    <cellStyle name="Normal 32 2 3 7" xfId="18809" xr:uid="{00000000-0005-0000-0000-000014980000}"/>
    <cellStyle name="Normal 32 2 3_LNG &amp; LPG rework" xfId="7298" xr:uid="{00000000-0005-0000-0000-000015980000}"/>
    <cellStyle name="Normal 32 2 4" xfId="4380" xr:uid="{00000000-0005-0000-0000-000016980000}"/>
    <cellStyle name="Normal 32 2 4 2" xfId="12963" xr:uid="{00000000-0005-0000-0000-000017980000}"/>
    <cellStyle name="Normal 32 2 4 3" xfId="18814" xr:uid="{00000000-0005-0000-0000-000018980000}"/>
    <cellStyle name="Normal 32 2 5" xfId="4381" xr:uid="{00000000-0005-0000-0000-000019980000}"/>
    <cellStyle name="Normal 32 2 5 2" xfId="12964" xr:uid="{00000000-0005-0000-0000-00001A980000}"/>
    <cellStyle name="Normal 32 2 5 3" xfId="18815" xr:uid="{00000000-0005-0000-0000-00001B980000}"/>
    <cellStyle name="Normal 32 2 6" xfId="4382" xr:uid="{00000000-0005-0000-0000-00001C980000}"/>
    <cellStyle name="Normal 32 2 6 2" xfId="12965" xr:uid="{00000000-0005-0000-0000-00001D980000}"/>
    <cellStyle name="Normal 32 2 6 3" xfId="18816" xr:uid="{00000000-0005-0000-0000-00001E980000}"/>
    <cellStyle name="Normal 32 2 7" xfId="4383" xr:uid="{00000000-0005-0000-0000-00001F980000}"/>
    <cellStyle name="Normal 32 2 7 2" xfId="12966" xr:uid="{00000000-0005-0000-0000-000020980000}"/>
    <cellStyle name="Normal 32 2 7 3" xfId="18817" xr:uid="{00000000-0005-0000-0000-000021980000}"/>
    <cellStyle name="Normal 32 2 8" xfId="12951" xr:uid="{00000000-0005-0000-0000-000022980000}"/>
    <cellStyle name="Normal 32 2 9" xfId="18802" xr:uid="{00000000-0005-0000-0000-000023980000}"/>
    <cellStyle name="Normal 32 2_LNG &amp; LPG rework" xfId="7295" xr:uid="{00000000-0005-0000-0000-000024980000}"/>
    <cellStyle name="Normal 32 3" xfId="4384" xr:uid="{00000000-0005-0000-0000-000025980000}"/>
    <cellStyle name="Normal 32 3 2" xfId="4385" xr:uid="{00000000-0005-0000-0000-000026980000}"/>
    <cellStyle name="Normal 32 3 2 2" xfId="4386" xr:uid="{00000000-0005-0000-0000-000027980000}"/>
    <cellStyle name="Normal 32 3 2 2 2" xfId="4387" xr:uid="{00000000-0005-0000-0000-000028980000}"/>
    <cellStyle name="Normal 32 3 2 2 2 2" xfId="12970" xr:uid="{00000000-0005-0000-0000-000029980000}"/>
    <cellStyle name="Normal 32 3 2 2 2 3" xfId="18821" xr:uid="{00000000-0005-0000-0000-00002A980000}"/>
    <cellStyle name="Normal 32 3 2 2 3" xfId="12969" xr:uid="{00000000-0005-0000-0000-00002B980000}"/>
    <cellStyle name="Normal 32 3 2 2 4" xfId="18820" xr:uid="{00000000-0005-0000-0000-00002C980000}"/>
    <cellStyle name="Normal 32 3 2 2_LNG &amp; LPG rework" xfId="7301" xr:uid="{00000000-0005-0000-0000-00002D980000}"/>
    <cellStyle name="Normal 32 3 2 3" xfId="4388" xr:uid="{00000000-0005-0000-0000-00002E980000}"/>
    <cellStyle name="Normal 32 3 2 3 2" xfId="12971" xr:uid="{00000000-0005-0000-0000-00002F980000}"/>
    <cellStyle name="Normal 32 3 2 3 3" xfId="18822" xr:uid="{00000000-0005-0000-0000-000030980000}"/>
    <cellStyle name="Normal 32 3 2 4" xfId="12968" xr:uid="{00000000-0005-0000-0000-000031980000}"/>
    <cellStyle name="Normal 32 3 2 5" xfId="18819" xr:uid="{00000000-0005-0000-0000-000032980000}"/>
    <cellStyle name="Normal 32 3 2_LNG &amp; LPG rework" xfId="7300" xr:uid="{00000000-0005-0000-0000-000033980000}"/>
    <cellStyle name="Normal 32 3 3" xfId="4389" xr:uid="{00000000-0005-0000-0000-000034980000}"/>
    <cellStyle name="Normal 32 3 3 2" xfId="4390" xr:uid="{00000000-0005-0000-0000-000035980000}"/>
    <cellStyle name="Normal 32 3 3 2 2" xfId="12973" xr:uid="{00000000-0005-0000-0000-000036980000}"/>
    <cellStyle name="Normal 32 3 3 2 3" xfId="18824" xr:uid="{00000000-0005-0000-0000-000037980000}"/>
    <cellStyle name="Normal 32 3 3 3" xfId="12972" xr:uid="{00000000-0005-0000-0000-000038980000}"/>
    <cellStyle name="Normal 32 3 3 4" xfId="18823" xr:uid="{00000000-0005-0000-0000-000039980000}"/>
    <cellStyle name="Normal 32 3 3_LNG &amp; LPG rework" xfId="7302" xr:uid="{00000000-0005-0000-0000-00003A980000}"/>
    <cellStyle name="Normal 32 3 4" xfId="4391" xr:uid="{00000000-0005-0000-0000-00003B980000}"/>
    <cellStyle name="Normal 32 3 4 2" xfId="12974" xr:uid="{00000000-0005-0000-0000-00003C980000}"/>
    <cellStyle name="Normal 32 3 4 3" xfId="18825" xr:uid="{00000000-0005-0000-0000-00003D980000}"/>
    <cellStyle name="Normal 32 3 5" xfId="4392" xr:uid="{00000000-0005-0000-0000-00003E980000}"/>
    <cellStyle name="Normal 32 3 6" xfId="12967" xr:uid="{00000000-0005-0000-0000-00003F980000}"/>
    <cellStyle name="Normal 32 3 7" xfId="18818" xr:uid="{00000000-0005-0000-0000-000040980000}"/>
    <cellStyle name="Normal 32 3_LNG &amp; LPG rework" xfId="7299" xr:uid="{00000000-0005-0000-0000-000041980000}"/>
    <cellStyle name="Normal 32 4" xfId="4393" xr:uid="{00000000-0005-0000-0000-000042980000}"/>
    <cellStyle name="Normal 32 4 2" xfId="4394" xr:uid="{00000000-0005-0000-0000-000043980000}"/>
    <cellStyle name="Normal 32 4 2 2" xfId="4395" xr:uid="{00000000-0005-0000-0000-000044980000}"/>
    <cellStyle name="Normal 32 4 2 2 2" xfId="12977" xr:uid="{00000000-0005-0000-0000-000045980000}"/>
    <cellStyle name="Normal 32 4 2 2 3" xfId="18828" xr:uid="{00000000-0005-0000-0000-000046980000}"/>
    <cellStyle name="Normal 32 4 2 3" xfId="12976" xr:uid="{00000000-0005-0000-0000-000047980000}"/>
    <cellStyle name="Normal 32 4 2 4" xfId="18827" xr:uid="{00000000-0005-0000-0000-000048980000}"/>
    <cellStyle name="Normal 32 4 2_LNG &amp; LPG rework" xfId="7304" xr:uid="{00000000-0005-0000-0000-000049980000}"/>
    <cellStyle name="Normal 32 4 3" xfId="4396" xr:uid="{00000000-0005-0000-0000-00004A980000}"/>
    <cellStyle name="Normal 32 4 3 2" xfId="12978" xr:uid="{00000000-0005-0000-0000-00004B980000}"/>
    <cellStyle name="Normal 32 4 3 3" xfId="18829" xr:uid="{00000000-0005-0000-0000-00004C980000}"/>
    <cellStyle name="Normal 32 4 4" xfId="4397" xr:uid="{00000000-0005-0000-0000-00004D980000}"/>
    <cellStyle name="Normal 32 4 4 2" xfId="12979" xr:uid="{00000000-0005-0000-0000-00004E980000}"/>
    <cellStyle name="Normal 32 4 4 3" xfId="18830" xr:uid="{00000000-0005-0000-0000-00004F980000}"/>
    <cellStyle name="Normal 32 4 5" xfId="4398" xr:uid="{00000000-0005-0000-0000-000050980000}"/>
    <cellStyle name="Normal 32 4 5 2" xfId="12980" xr:uid="{00000000-0005-0000-0000-000051980000}"/>
    <cellStyle name="Normal 32 4 5 3" xfId="18831" xr:uid="{00000000-0005-0000-0000-000052980000}"/>
    <cellStyle name="Normal 32 4 6" xfId="12975" xr:uid="{00000000-0005-0000-0000-000053980000}"/>
    <cellStyle name="Normal 32 4 7" xfId="18826" xr:uid="{00000000-0005-0000-0000-000054980000}"/>
    <cellStyle name="Normal 32 4_LNG &amp; LPG rework" xfId="7303" xr:uid="{00000000-0005-0000-0000-000055980000}"/>
    <cellStyle name="Normal 32 5" xfId="4399" xr:uid="{00000000-0005-0000-0000-000056980000}"/>
    <cellStyle name="Normal 32 5 2" xfId="4400" xr:uid="{00000000-0005-0000-0000-000057980000}"/>
    <cellStyle name="Normal 32 5 2 2" xfId="12982" xr:uid="{00000000-0005-0000-0000-000058980000}"/>
    <cellStyle name="Normal 32 5 2 3" xfId="18833" xr:uid="{00000000-0005-0000-0000-000059980000}"/>
    <cellStyle name="Normal 32 5 3" xfId="4401" xr:uid="{00000000-0005-0000-0000-00005A980000}"/>
    <cellStyle name="Normal 32 5 3 2" xfId="12983" xr:uid="{00000000-0005-0000-0000-00005B980000}"/>
    <cellStyle name="Normal 32 5 3 3" xfId="18834" xr:uid="{00000000-0005-0000-0000-00005C980000}"/>
    <cellStyle name="Normal 32 5 4" xfId="4402" xr:uid="{00000000-0005-0000-0000-00005D980000}"/>
    <cellStyle name="Normal 32 5 4 2" xfId="12984" xr:uid="{00000000-0005-0000-0000-00005E980000}"/>
    <cellStyle name="Normal 32 5 4 3" xfId="18835" xr:uid="{00000000-0005-0000-0000-00005F980000}"/>
    <cellStyle name="Normal 32 5 5" xfId="4403" xr:uid="{00000000-0005-0000-0000-000060980000}"/>
    <cellStyle name="Normal 32 5 5 2" xfId="12985" xr:uid="{00000000-0005-0000-0000-000061980000}"/>
    <cellStyle name="Normal 32 5 5 3" xfId="18836" xr:uid="{00000000-0005-0000-0000-000062980000}"/>
    <cellStyle name="Normal 32 5 6" xfId="12981" xr:uid="{00000000-0005-0000-0000-000063980000}"/>
    <cellStyle name="Normal 32 5 7" xfId="18832" xr:uid="{00000000-0005-0000-0000-000064980000}"/>
    <cellStyle name="Normal 32 5_LNG &amp; LPG rework" xfId="7305" xr:uid="{00000000-0005-0000-0000-000065980000}"/>
    <cellStyle name="Normal 32 6" xfId="4404" xr:uid="{00000000-0005-0000-0000-000066980000}"/>
    <cellStyle name="Normal 32 6 2" xfId="12986" xr:uid="{00000000-0005-0000-0000-000067980000}"/>
    <cellStyle name="Normal 32 6 3" xfId="18837" xr:uid="{00000000-0005-0000-0000-000068980000}"/>
    <cellStyle name="Normal 32 7" xfId="4405" xr:uid="{00000000-0005-0000-0000-000069980000}"/>
    <cellStyle name="Normal 32 8" xfId="12950" xr:uid="{00000000-0005-0000-0000-00006A980000}"/>
    <cellStyle name="Normal 32 9" xfId="18801" xr:uid="{00000000-0005-0000-0000-00006B980000}"/>
    <cellStyle name="Normal 32_LNG &amp; LPG rework" xfId="7294" xr:uid="{00000000-0005-0000-0000-00006C980000}"/>
    <cellStyle name="Normal 33" xfId="4406" xr:uid="{00000000-0005-0000-0000-00006D980000}"/>
    <cellStyle name="Normal 33 10" xfId="26207" xr:uid="{00000000-0005-0000-0000-00006E980000}"/>
    <cellStyle name="Normal 33 2" xfId="4407" xr:uid="{00000000-0005-0000-0000-00006F980000}"/>
    <cellStyle name="Normal 33 2 2" xfId="4408" xr:uid="{00000000-0005-0000-0000-000070980000}"/>
    <cellStyle name="Normal 33 2 2 2" xfId="4409" xr:uid="{00000000-0005-0000-0000-000071980000}"/>
    <cellStyle name="Normal 33 2 2 2 2" xfId="4410" xr:uid="{00000000-0005-0000-0000-000072980000}"/>
    <cellStyle name="Normal 33 2 2 2 2 2" xfId="12991" xr:uid="{00000000-0005-0000-0000-000073980000}"/>
    <cellStyle name="Normal 33 2 2 2 2 3" xfId="18842" xr:uid="{00000000-0005-0000-0000-000074980000}"/>
    <cellStyle name="Normal 33 2 2 2 3" xfId="12990" xr:uid="{00000000-0005-0000-0000-000075980000}"/>
    <cellStyle name="Normal 33 2 2 2 4" xfId="18841" xr:uid="{00000000-0005-0000-0000-000076980000}"/>
    <cellStyle name="Normal 33 2 2 2_LNG &amp; LPG rework" xfId="7309" xr:uid="{00000000-0005-0000-0000-000077980000}"/>
    <cellStyle name="Normal 33 2 2 3" xfId="4411" xr:uid="{00000000-0005-0000-0000-000078980000}"/>
    <cellStyle name="Normal 33 2 2 3 2" xfId="12992" xr:uid="{00000000-0005-0000-0000-000079980000}"/>
    <cellStyle name="Normal 33 2 2 3 3" xfId="18843" xr:uid="{00000000-0005-0000-0000-00007A980000}"/>
    <cellStyle name="Normal 33 2 2 4" xfId="4412" xr:uid="{00000000-0005-0000-0000-00007B980000}"/>
    <cellStyle name="Normal 33 2 2 4 2" xfId="12993" xr:uid="{00000000-0005-0000-0000-00007C980000}"/>
    <cellStyle name="Normal 33 2 2 4 3" xfId="18844" xr:uid="{00000000-0005-0000-0000-00007D980000}"/>
    <cellStyle name="Normal 33 2 2 5" xfId="4413" xr:uid="{00000000-0005-0000-0000-00007E980000}"/>
    <cellStyle name="Normal 33 2 2 5 2" xfId="12994" xr:uid="{00000000-0005-0000-0000-00007F980000}"/>
    <cellStyle name="Normal 33 2 2 5 3" xfId="18845" xr:uid="{00000000-0005-0000-0000-000080980000}"/>
    <cellStyle name="Normal 33 2 2 6" xfId="12989" xr:uid="{00000000-0005-0000-0000-000081980000}"/>
    <cellStyle name="Normal 33 2 2 7" xfId="18840" xr:uid="{00000000-0005-0000-0000-000082980000}"/>
    <cellStyle name="Normal 33 2 2_LNG &amp; LPG rework" xfId="7308" xr:uid="{00000000-0005-0000-0000-000083980000}"/>
    <cellStyle name="Normal 33 2 3" xfId="4414" xr:uid="{00000000-0005-0000-0000-000084980000}"/>
    <cellStyle name="Normal 33 2 3 2" xfId="4415" xr:uid="{00000000-0005-0000-0000-000085980000}"/>
    <cellStyle name="Normal 33 2 3 2 2" xfId="12996" xr:uid="{00000000-0005-0000-0000-000086980000}"/>
    <cellStyle name="Normal 33 2 3 2 3" xfId="18847" xr:uid="{00000000-0005-0000-0000-000087980000}"/>
    <cellStyle name="Normal 33 2 3 3" xfId="4416" xr:uid="{00000000-0005-0000-0000-000088980000}"/>
    <cellStyle name="Normal 33 2 3 3 2" xfId="12997" xr:uid="{00000000-0005-0000-0000-000089980000}"/>
    <cellStyle name="Normal 33 2 3 3 3" xfId="18848" xr:uid="{00000000-0005-0000-0000-00008A980000}"/>
    <cellStyle name="Normal 33 2 3 4" xfId="4417" xr:uid="{00000000-0005-0000-0000-00008B980000}"/>
    <cellStyle name="Normal 33 2 3 4 2" xfId="12998" xr:uid="{00000000-0005-0000-0000-00008C980000}"/>
    <cellStyle name="Normal 33 2 3 4 3" xfId="18849" xr:uid="{00000000-0005-0000-0000-00008D980000}"/>
    <cellStyle name="Normal 33 2 3 5" xfId="4418" xr:uid="{00000000-0005-0000-0000-00008E980000}"/>
    <cellStyle name="Normal 33 2 3 5 2" xfId="12999" xr:uid="{00000000-0005-0000-0000-00008F980000}"/>
    <cellStyle name="Normal 33 2 3 5 3" xfId="18850" xr:uid="{00000000-0005-0000-0000-000090980000}"/>
    <cellStyle name="Normal 33 2 3 6" xfId="12995" xr:uid="{00000000-0005-0000-0000-000091980000}"/>
    <cellStyle name="Normal 33 2 3 7" xfId="18846" xr:uid="{00000000-0005-0000-0000-000092980000}"/>
    <cellStyle name="Normal 33 2 3_LNG &amp; LPG rework" xfId="7310" xr:uid="{00000000-0005-0000-0000-000093980000}"/>
    <cellStyle name="Normal 33 2 4" xfId="4419" xr:uid="{00000000-0005-0000-0000-000094980000}"/>
    <cellStyle name="Normal 33 2 4 2" xfId="13000" xr:uid="{00000000-0005-0000-0000-000095980000}"/>
    <cellStyle name="Normal 33 2 4 3" xfId="18851" xr:uid="{00000000-0005-0000-0000-000096980000}"/>
    <cellStyle name="Normal 33 2 5" xfId="4420" xr:uid="{00000000-0005-0000-0000-000097980000}"/>
    <cellStyle name="Normal 33 2 5 2" xfId="13001" xr:uid="{00000000-0005-0000-0000-000098980000}"/>
    <cellStyle name="Normal 33 2 5 3" xfId="18852" xr:uid="{00000000-0005-0000-0000-000099980000}"/>
    <cellStyle name="Normal 33 2 6" xfId="4421" xr:uid="{00000000-0005-0000-0000-00009A980000}"/>
    <cellStyle name="Normal 33 2 6 2" xfId="13002" xr:uid="{00000000-0005-0000-0000-00009B980000}"/>
    <cellStyle name="Normal 33 2 6 3" xfId="18853" xr:uid="{00000000-0005-0000-0000-00009C980000}"/>
    <cellStyle name="Normal 33 2 7" xfId="4422" xr:uid="{00000000-0005-0000-0000-00009D980000}"/>
    <cellStyle name="Normal 33 2 7 2" xfId="13003" xr:uid="{00000000-0005-0000-0000-00009E980000}"/>
    <cellStyle name="Normal 33 2 7 3" xfId="18854" xr:uid="{00000000-0005-0000-0000-00009F980000}"/>
    <cellStyle name="Normal 33 2 8" xfId="12988" xr:uid="{00000000-0005-0000-0000-0000A0980000}"/>
    <cellStyle name="Normal 33 2 9" xfId="18839" xr:uid="{00000000-0005-0000-0000-0000A1980000}"/>
    <cellStyle name="Normal 33 2_LNG &amp; LPG rework" xfId="7307" xr:uid="{00000000-0005-0000-0000-0000A2980000}"/>
    <cellStyle name="Normal 33 3" xfId="4423" xr:uid="{00000000-0005-0000-0000-0000A3980000}"/>
    <cellStyle name="Normal 33 3 2" xfId="4424" xr:uid="{00000000-0005-0000-0000-0000A4980000}"/>
    <cellStyle name="Normal 33 3 2 2" xfId="4425" xr:uid="{00000000-0005-0000-0000-0000A5980000}"/>
    <cellStyle name="Normal 33 3 2 2 2" xfId="4426" xr:uid="{00000000-0005-0000-0000-0000A6980000}"/>
    <cellStyle name="Normal 33 3 2 2 2 2" xfId="13007" xr:uid="{00000000-0005-0000-0000-0000A7980000}"/>
    <cellStyle name="Normal 33 3 2 2 2 3" xfId="18858" xr:uid="{00000000-0005-0000-0000-0000A8980000}"/>
    <cellStyle name="Normal 33 3 2 2 3" xfId="13006" xr:uid="{00000000-0005-0000-0000-0000A9980000}"/>
    <cellStyle name="Normal 33 3 2 2 4" xfId="18857" xr:uid="{00000000-0005-0000-0000-0000AA980000}"/>
    <cellStyle name="Normal 33 3 2 2_LNG &amp; LPG rework" xfId="7313" xr:uid="{00000000-0005-0000-0000-0000AB980000}"/>
    <cellStyle name="Normal 33 3 2 3" xfId="4427" xr:uid="{00000000-0005-0000-0000-0000AC980000}"/>
    <cellStyle name="Normal 33 3 2 3 2" xfId="13008" xr:uid="{00000000-0005-0000-0000-0000AD980000}"/>
    <cellStyle name="Normal 33 3 2 3 3" xfId="18859" xr:uid="{00000000-0005-0000-0000-0000AE980000}"/>
    <cellStyle name="Normal 33 3 2 4" xfId="13005" xr:uid="{00000000-0005-0000-0000-0000AF980000}"/>
    <cellStyle name="Normal 33 3 2 5" xfId="18856" xr:uid="{00000000-0005-0000-0000-0000B0980000}"/>
    <cellStyle name="Normal 33 3 2_LNG &amp; LPG rework" xfId="7312" xr:uid="{00000000-0005-0000-0000-0000B1980000}"/>
    <cellStyle name="Normal 33 3 3" xfId="4428" xr:uid="{00000000-0005-0000-0000-0000B2980000}"/>
    <cellStyle name="Normal 33 3 3 2" xfId="4429" xr:uid="{00000000-0005-0000-0000-0000B3980000}"/>
    <cellStyle name="Normal 33 3 3 2 2" xfId="13010" xr:uid="{00000000-0005-0000-0000-0000B4980000}"/>
    <cellStyle name="Normal 33 3 3 2 3" xfId="18861" xr:uid="{00000000-0005-0000-0000-0000B5980000}"/>
    <cellStyle name="Normal 33 3 3 3" xfId="13009" xr:uid="{00000000-0005-0000-0000-0000B6980000}"/>
    <cellStyle name="Normal 33 3 3 4" xfId="18860" xr:uid="{00000000-0005-0000-0000-0000B7980000}"/>
    <cellStyle name="Normal 33 3 3_LNG &amp; LPG rework" xfId="7314" xr:uid="{00000000-0005-0000-0000-0000B8980000}"/>
    <cellStyle name="Normal 33 3 4" xfId="4430" xr:uid="{00000000-0005-0000-0000-0000B9980000}"/>
    <cellStyle name="Normal 33 3 4 2" xfId="13011" xr:uid="{00000000-0005-0000-0000-0000BA980000}"/>
    <cellStyle name="Normal 33 3 4 3" xfId="18862" xr:uid="{00000000-0005-0000-0000-0000BB980000}"/>
    <cellStyle name="Normal 33 3 5" xfId="4431" xr:uid="{00000000-0005-0000-0000-0000BC980000}"/>
    <cellStyle name="Normal 33 3 6" xfId="13004" xr:uid="{00000000-0005-0000-0000-0000BD980000}"/>
    <cellStyle name="Normal 33 3 7" xfId="18855" xr:uid="{00000000-0005-0000-0000-0000BE980000}"/>
    <cellStyle name="Normal 33 3_LNG &amp; LPG rework" xfId="7311" xr:uid="{00000000-0005-0000-0000-0000BF980000}"/>
    <cellStyle name="Normal 33 4" xfId="4432" xr:uid="{00000000-0005-0000-0000-0000C0980000}"/>
    <cellStyle name="Normal 33 4 2" xfId="4433" xr:uid="{00000000-0005-0000-0000-0000C1980000}"/>
    <cellStyle name="Normal 33 4 2 2" xfId="4434" xr:uid="{00000000-0005-0000-0000-0000C2980000}"/>
    <cellStyle name="Normal 33 4 2 2 2" xfId="13014" xr:uid="{00000000-0005-0000-0000-0000C3980000}"/>
    <cellStyle name="Normal 33 4 2 2 3" xfId="18865" xr:uid="{00000000-0005-0000-0000-0000C4980000}"/>
    <cellStyle name="Normal 33 4 2 3" xfId="13013" xr:uid="{00000000-0005-0000-0000-0000C5980000}"/>
    <cellStyle name="Normal 33 4 2 4" xfId="18864" xr:uid="{00000000-0005-0000-0000-0000C6980000}"/>
    <cellStyle name="Normal 33 4 2_LNG &amp; LPG rework" xfId="7316" xr:uid="{00000000-0005-0000-0000-0000C7980000}"/>
    <cellStyle name="Normal 33 4 3" xfId="4435" xr:uid="{00000000-0005-0000-0000-0000C8980000}"/>
    <cellStyle name="Normal 33 4 3 2" xfId="13015" xr:uid="{00000000-0005-0000-0000-0000C9980000}"/>
    <cellStyle name="Normal 33 4 3 3" xfId="18866" xr:uid="{00000000-0005-0000-0000-0000CA980000}"/>
    <cellStyle name="Normal 33 4 4" xfId="4436" xr:uid="{00000000-0005-0000-0000-0000CB980000}"/>
    <cellStyle name="Normal 33 4 4 2" xfId="13016" xr:uid="{00000000-0005-0000-0000-0000CC980000}"/>
    <cellStyle name="Normal 33 4 4 3" xfId="18867" xr:uid="{00000000-0005-0000-0000-0000CD980000}"/>
    <cellStyle name="Normal 33 4 5" xfId="4437" xr:uid="{00000000-0005-0000-0000-0000CE980000}"/>
    <cellStyle name="Normal 33 4 5 2" xfId="13017" xr:uid="{00000000-0005-0000-0000-0000CF980000}"/>
    <cellStyle name="Normal 33 4 5 3" xfId="18868" xr:uid="{00000000-0005-0000-0000-0000D0980000}"/>
    <cellStyle name="Normal 33 4 6" xfId="13012" xr:uid="{00000000-0005-0000-0000-0000D1980000}"/>
    <cellStyle name="Normal 33 4 7" xfId="18863" xr:uid="{00000000-0005-0000-0000-0000D2980000}"/>
    <cellStyle name="Normal 33 4_LNG &amp; LPG rework" xfId="7315" xr:uid="{00000000-0005-0000-0000-0000D3980000}"/>
    <cellStyle name="Normal 33 5" xfId="4438" xr:uid="{00000000-0005-0000-0000-0000D4980000}"/>
    <cellStyle name="Normal 33 5 2" xfId="4439" xr:uid="{00000000-0005-0000-0000-0000D5980000}"/>
    <cellStyle name="Normal 33 5 2 2" xfId="13019" xr:uid="{00000000-0005-0000-0000-0000D6980000}"/>
    <cellStyle name="Normal 33 5 2 3" xfId="18870" xr:uid="{00000000-0005-0000-0000-0000D7980000}"/>
    <cellStyle name="Normal 33 5 3" xfId="4440" xr:uid="{00000000-0005-0000-0000-0000D8980000}"/>
    <cellStyle name="Normal 33 5 3 2" xfId="13020" xr:uid="{00000000-0005-0000-0000-0000D9980000}"/>
    <cellStyle name="Normal 33 5 3 3" xfId="18871" xr:uid="{00000000-0005-0000-0000-0000DA980000}"/>
    <cellStyle name="Normal 33 5 4" xfId="4441" xr:uid="{00000000-0005-0000-0000-0000DB980000}"/>
    <cellStyle name="Normal 33 5 4 2" xfId="13021" xr:uid="{00000000-0005-0000-0000-0000DC980000}"/>
    <cellStyle name="Normal 33 5 4 3" xfId="18872" xr:uid="{00000000-0005-0000-0000-0000DD980000}"/>
    <cellStyle name="Normal 33 5 5" xfId="4442" xr:uid="{00000000-0005-0000-0000-0000DE980000}"/>
    <cellStyle name="Normal 33 5 5 2" xfId="13022" xr:uid="{00000000-0005-0000-0000-0000DF980000}"/>
    <cellStyle name="Normal 33 5 5 3" xfId="18873" xr:uid="{00000000-0005-0000-0000-0000E0980000}"/>
    <cellStyle name="Normal 33 5 6" xfId="13018" xr:uid="{00000000-0005-0000-0000-0000E1980000}"/>
    <cellStyle name="Normal 33 5 7" xfId="18869" xr:uid="{00000000-0005-0000-0000-0000E2980000}"/>
    <cellStyle name="Normal 33 5_LNG &amp; LPG rework" xfId="7317" xr:uid="{00000000-0005-0000-0000-0000E3980000}"/>
    <cellStyle name="Normal 33 6" xfId="4443" xr:uid="{00000000-0005-0000-0000-0000E4980000}"/>
    <cellStyle name="Normal 33 6 2" xfId="13023" xr:uid="{00000000-0005-0000-0000-0000E5980000}"/>
    <cellStyle name="Normal 33 6 3" xfId="18874" xr:uid="{00000000-0005-0000-0000-0000E6980000}"/>
    <cellStyle name="Normal 33 7" xfId="4444" xr:uid="{00000000-0005-0000-0000-0000E7980000}"/>
    <cellStyle name="Normal 33 8" xfId="12987" xr:uid="{00000000-0005-0000-0000-0000E8980000}"/>
    <cellStyle name="Normal 33 9" xfId="18838" xr:uid="{00000000-0005-0000-0000-0000E9980000}"/>
    <cellStyle name="Normal 33_LNG &amp; LPG rework" xfId="7306" xr:uid="{00000000-0005-0000-0000-0000EA980000}"/>
    <cellStyle name="Normal 34" xfId="4445" xr:uid="{00000000-0005-0000-0000-0000EB980000}"/>
    <cellStyle name="Normal 34 2" xfId="4446" xr:uid="{00000000-0005-0000-0000-0000EC980000}"/>
    <cellStyle name="Normal 34 2 2" xfId="4447" xr:uid="{00000000-0005-0000-0000-0000ED980000}"/>
    <cellStyle name="Normal 34 2 2 2" xfId="4448" xr:uid="{00000000-0005-0000-0000-0000EE980000}"/>
    <cellStyle name="Normal 34 2 2 2 2" xfId="4449" xr:uid="{00000000-0005-0000-0000-0000EF980000}"/>
    <cellStyle name="Normal 34 2 2 2 2 2" xfId="13028" xr:uid="{00000000-0005-0000-0000-0000F0980000}"/>
    <cellStyle name="Normal 34 2 2 2 2 3" xfId="18879" xr:uid="{00000000-0005-0000-0000-0000F1980000}"/>
    <cellStyle name="Normal 34 2 2 2 3" xfId="13027" xr:uid="{00000000-0005-0000-0000-0000F2980000}"/>
    <cellStyle name="Normal 34 2 2 2 4" xfId="18878" xr:uid="{00000000-0005-0000-0000-0000F3980000}"/>
    <cellStyle name="Normal 34 2 2 2_LNG &amp; LPG rework" xfId="7321" xr:uid="{00000000-0005-0000-0000-0000F4980000}"/>
    <cellStyle name="Normal 34 2 2 3" xfId="4450" xr:uid="{00000000-0005-0000-0000-0000F5980000}"/>
    <cellStyle name="Normal 34 2 2 3 2" xfId="13029" xr:uid="{00000000-0005-0000-0000-0000F6980000}"/>
    <cellStyle name="Normal 34 2 2 3 3" xfId="18880" xr:uid="{00000000-0005-0000-0000-0000F7980000}"/>
    <cellStyle name="Normal 34 2 2 4" xfId="4451" xr:uid="{00000000-0005-0000-0000-0000F8980000}"/>
    <cellStyle name="Normal 34 2 2 4 2" xfId="13030" xr:uid="{00000000-0005-0000-0000-0000F9980000}"/>
    <cellStyle name="Normal 34 2 2 4 3" xfId="18881" xr:uid="{00000000-0005-0000-0000-0000FA980000}"/>
    <cellStyle name="Normal 34 2 2 5" xfId="4452" xr:uid="{00000000-0005-0000-0000-0000FB980000}"/>
    <cellStyle name="Normal 34 2 2 5 2" xfId="13031" xr:uid="{00000000-0005-0000-0000-0000FC980000}"/>
    <cellStyle name="Normal 34 2 2 5 3" xfId="18882" xr:uid="{00000000-0005-0000-0000-0000FD980000}"/>
    <cellStyle name="Normal 34 2 2 6" xfId="13026" xr:uid="{00000000-0005-0000-0000-0000FE980000}"/>
    <cellStyle name="Normal 34 2 2 7" xfId="18877" xr:uid="{00000000-0005-0000-0000-0000FF980000}"/>
    <cellStyle name="Normal 34 2 2_LNG &amp; LPG rework" xfId="7320" xr:uid="{00000000-0005-0000-0000-000000990000}"/>
    <cellStyle name="Normal 34 2 3" xfId="4453" xr:uid="{00000000-0005-0000-0000-000001990000}"/>
    <cellStyle name="Normal 34 2 3 2" xfId="4454" xr:uid="{00000000-0005-0000-0000-000002990000}"/>
    <cellStyle name="Normal 34 2 3 2 2" xfId="13033" xr:uid="{00000000-0005-0000-0000-000003990000}"/>
    <cellStyle name="Normal 34 2 3 2 3" xfId="18884" xr:uid="{00000000-0005-0000-0000-000004990000}"/>
    <cellStyle name="Normal 34 2 3 3" xfId="4455" xr:uid="{00000000-0005-0000-0000-000005990000}"/>
    <cellStyle name="Normal 34 2 3 3 2" xfId="13034" xr:uid="{00000000-0005-0000-0000-000006990000}"/>
    <cellStyle name="Normal 34 2 3 3 3" xfId="18885" xr:uid="{00000000-0005-0000-0000-000007990000}"/>
    <cellStyle name="Normal 34 2 3 4" xfId="4456" xr:uid="{00000000-0005-0000-0000-000008990000}"/>
    <cellStyle name="Normal 34 2 3 4 2" xfId="13035" xr:uid="{00000000-0005-0000-0000-000009990000}"/>
    <cellStyle name="Normal 34 2 3 4 3" xfId="18886" xr:uid="{00000000-0005-0000-0000-00000A990000}"/>
    <cellStyle name="Normal 34 2 3 5" xfId="4457" xr:uid="{00000000-0005-0000-0000-00000B990000}"/>
    <cellStyle name="Normal 34 2 3 5 2" xfId="13036" xr:uid="{00000000-0005-0000-0000-00000C990000}"/>
    <cellStyle name="Normal 34 2 3 5 3" xfId="18887" xr:uid="{00000000-0005-0000-0000-00000D990000}"/>
    <cellStyle name="Normal 34 2 3 6" xfId="13032" xr:uid="{00000000-0005-0000-0000-00000E990000}"/>
    <cellStyle name="Normal 34 2 3 7" xfId="18883" xr:uid="{00000000-0005-0000-0000-00000F990000}"/>
    <cellStyle name="Normal 34 2 3_LNG &amp; LPG rework" xfId="7322" xr:uid="{00000000-0005-0000-0000-000010990000}"/>
    <cellStyle name="Normal 34 2 4" xfId="4458" xr:uid="{00000000-0005-0000-0000-000011990000}"/>
    <cellStyle name="Normal 34 2 4 2" xfId="13037" xr:uid="{00000000-0005-0000-0000-000012990000}"/>
    <cellStyle name="Normal 34 2 4 3" xfId="18888" xr:uid="{00000000-0005-0000-0000-000013990000}"/>
    <cellStyle name="Normal 34 2 5" xfId="4459" xr:uid="{00000000-0005-0000-0000-000014990000}"/>
    <cellStyle name="Normal 34 2 5 2" xfId="13038" xr:uid="{00000000-0005-0000-0000-000015990000}"/>
    <cellStyle name="Normal 34 2 5 3" xfId="18889" xr:uid="{00000000-0005-0000-0000-000016990000}"/>
    <cellStyle name="Normal 34 2 6" xfId="4460" xr:uid="{00000000-0005-0000-0000-000017990000}"/>
    <cellStyle name="Normal 34 2 6 2" xfId="13039" xr:uid="{00000000-0005-0000-0000-000018990000}"/>
    <cellStyle name="Normal 34 2 6 3" xfId="18890" xr:uid="{00000000-0005-0000-0000-000019990000}"/>
    <cellStyle name="Normal 34 2 7" xfId="4461" xr:uid="{00000000-0005-0000-0000-00001A990000}"/>
    <cellStyle name="Normal 34 2 7 2" xfId="13040" xr:uid="{00000000-0005-0000-0000-00001B990000}"/>
    <cellStyle name="Normal 34 2 7 3" xfId="18891" xr:uid="{00000000-0005-0000-0000-00001C990000}"/>
    <cellStyle name="Normal 34 2 8" xfId="13025" xr:uid="{00000000-0005-0000-0000-00001D990000}"/>
    <cellStyle name="Normal 34 2 9" xfId="18876" xr:uid="{00000000-0005-0000-0000-00001E990000}"/>
    <cellStyle name="Normal 34 2_LNG &amp; LPG rework" xfId="7319" xr:uid="{00000000-0005-0000-0000-00001F990000}"/>
    <cellStyle name="Normal 34 3" xfId="4462" xr:uid="{00000000-0005-0000-0000-000020990000}"/>
    <cellStyle name="Normal 34 3 2" xfId="4463" xr:uid="{00000000-0005-0000-0000-000021990000}"/>
    <cellStyle name="Normal 34 3 2 2" xfId="4464" xr:uid="{00000000-0005-0000-0000-000022990000}"/>
    <cellStyle name="Normal 34 3 2 2 2" xfId="4465" xr:uid="{00000000-0005-0000-0000-000023990000}"/>
    <cellStyle name="Normal 34 3 2 2 2 2" xfId="13044" xr:uid="{00000000-0005-0000-0000-000024990000}"/>
    <cellStyle name="Normal 34 3 2 2 2 3" xfId="18895" xr:uid="{00000000-0005-0000-0000-000025990000}"/>
    <cellStyle name="Normal 34 3 2 2 3" xfId="13043" xr:uid="{00000000-0005-0000-0000-000026990000}"/>
    <cellStyle name="Normal 34 3 2 2 4" xfId="18894" xr:uid="{00000000-0005-0000-0000-000027990000}"/>
    <cellStyle name="Normal 34 3 2 2_LNG &amp; LPG rework" xfId="7325" xr:uid="{00000000-0005-0000-0000-000028990000}"/>
    <cellStyle name="Normal 34 3 2 3" xfId="4466" xr:uid="{00000000-0005-0000-0000-000029990000}"/>
    <cellStyle name="Normal 34 3 2 3 2" xfId="13045" xr:uid="{00000000-0005-0000-0000-00002A990000}"/>
    <cellStyle name="Normal 34 3 2 3 3" xfId="18896" xr:uid="{00000000-0005-0000-0000-00002B990000}"/>
    <cellStyle name="Normal 34 3 2 4" xfId="13042" xr:uid="{00000000-0005-0000-0000-00002C990000}"/>
    <cellStyle name="Normal 34 3 2 5" xfId="18893" xr:uid="{00000000-0005-0000-0000-00002D990000}"/>
    <cellStyle name="Normal 34 3 2_LNG &amp; LPG rework" xfId="7324" xr:uid="{00000000-0005-0000-0000-00002E990000}"/>
    <cellStyle name="Normal 34 3 3" xfId="4467" xr:uid="{00000000-0005-0000-0000-00002F990000}"/>
    <cellStyle name="Normal 34 3 3 2" xfId="4468" xr:uid="{00000000-0005-0000-0000-000030990000}"/>
    <cellStyle name="Normal 34 3 3 2 2" xfId="13047" xr:uid="{00000000-0005-0000-0000-000031990000}"/>
    <cellStyle name="Normal 34 3 3 2 3" xfId="18898" xr:uid="{00000000-0005-0000-0000-000032990000}"/>
    <cellStyle name="Normal 34 3 3 3" xfId="13046" xr:uid="{00000000-0005-0000-0000-000033990000}"/>
    <cellStyle name="Normal 34 3 3 4" xfId="18897" xr:uid="{00000000-0005-0000-0000-000034990000}"/>
    <cellStyle name="Normal 34 3 3_LNG &amp; LPG rework" xfId="7326" xr:uid="{00000000-0005-0000-0000-000035990000}"/>
    <cellStyle name="Normal 34 3 4" xfId="4469" xr:uid="{00000000-0005-0000-0000-000036990000}"/>
    <cellStyle name="Normal 34 3 4 2" xfId="13048" xr:uid="{00000000-0005-0000-0000-000037990000}"/>
    <cellStyle name="Normal 34 3 4 3" xfId="18899" xr:uid="{00000000-0005-0000-0000-000038990000}"/>
    <cellStyle name="Normal 34 3 5" xfId="4470" xr:uid="{00000000-0005-0000-0000-000039990000}"/>
    <cellStyle name="Normal 34 3 6" xfId="13041" xr:uid="{00000000-0005-0000-0000-00003A990000}"/>
    <cellStyle name="Normal 34 3 7" xfId="18892" xr:uid="{00000000-0005-0000-0000-00003B990000}"/>
    <cellStyle name="Normal 34 3_LNG &amp; LPG rework" xfId="7323" xr:uid="{00000000-0005-0000-0000-00003C990000}"/>
    <cellStyle name="Normal 34 4" xfId="4471" xr:uid="{00000000-0005-0000-0000-00003D990000}"/>
    <cellStyle name="Normal 34 4 2" xfId="4472" xr:uid="{00000000-0005-0000-0000-00003E990000}"/>
    <cellStyle name="Normal 34 4 2 2" xfId="4473" xr:uid="{00000000-0005-0000-0000-00003F990000}"/>
    <cellStyle name="Normal 34 4 2 2 2" xfId="13051" xr:uid="{00000000-0005-0000-0000-000040990000}"/>
    <cellStyle name="Normal 34 4 2 2 3" xfId="18902" xr:uid="{00000000-0005-0000-0000-000041990000}"/>
    <cellStyle name="Normal 34 4 2 3" xfId="13050" xr:uid="{00000000-0005-0000-0000-000042990000}"/>
    <cellStyle name="Normal 34 4 2 4" xfId="18901" xr:uid="{00000000-0005-0000-0000-000043990000}"/>
    <cellStyle name="Normal 34 4 2_LNG &amp; LPG rework" xfId="7328" xr:uid="{00000000-0005-0000-0000-000044990000}"/>
    <cellStyle name="Normal 34 4 3" xfId="4474" xr:uid="{00000000-0005-0000-0000-000045990000}"/>
    <cellStyle name="Normal 34 4 3 2" xfId="13052" xr:uid="{00000000-0005-0000-0000-000046990000}"/>
    <cellStyle name="Normal 34 4 3 3" xfId="18903" xr:uid="{00000000-0005-0000-0000-000047990000}"/>
    <cellStyle name="Normal 34 4 4" xfId="4475" xr:uid="{00000000-0005-0000-0000-000048990000}"/>
    <cellStyle name="Normal 34 4 5" xfId="13049" xr:uid="{00000000-0005-0000-0000-000049990000}"/>
    <cellStyle name="Normal 34 4 6" xfId="18900" xr:uid="{00000000-0005-0000-0000-00004A990000}"/>
    <cellStyle name="Normal 34 4_LNG &amp; LPG rework" xfId="7327" xr:uid="{00000000-0005-0000-0000-00004B990000}"/>
    <cellStyle name="Normal 34 5" xfId="4476" xr:uid="{00000000-0005-0000-0000-00004C990000}"/>
    <cellStyle name="Normal 34 5 2" xfId="4477" xr:uid="{00000000-0005-0000-0000-00004D990000}"/>
    <cellStyle name="Normal 34 5 2 2" xfId="13054" xr:uid="{00000000-0005-0000-0000-00004E990000}"/>
    <cellStyle name="Normal 34 5 2 3" xfId="18905" xr:uid="{00000000-0005-0000-0000-00004F990000}"/>
    <cellStyle name="Normal 34 5 3" xfId="13053" xr:uid="{00000000-0005-0000-0000-000050990000}"/>
    <cellStyle name="Normal 34 5 4" xfId="18904" xr:uid="{00000000-0005-0000-0000-000051990000}"/>
    <cellStyle name="Normal 34 5_LNG &amp; LPG rework" xfId="7329" xr:uid="{00000000-0005-0000-0000-000052990000}"/>
    <cellStyle name="Normal 34 6" xfId="4478" xr:uid="{00000000-0005-0000-0000-000053990000}"/>
    <cellStyle name="Normal 34 6 2" xfId="13055" xr:uid="{00000000-0005-0000-0000-000054990000}"/>
    <cellStyle name="Normal 34 6 3" xfId="18906" xr:uid="{00000000-0005-0000-0000-000055990000}"/>
    <cellStyle name="Normal 34 7" xfId="4479" xr:uid="{00000000-0005-0000-0000-000056990000}"/>
    <cellStyle name="Normal 34 8" xfId="13024" xr:uid="{00000000-0005-0000-0000-000057990000}"/>
    <cellStyle name="Normal 34 9" xfId="18875" xr:uid="{00000000-0005-0000-0000-000058990000}"/>
    <cellStyle name="Normal 34_LNG &amp; LPG rework" xfId="7318" xr:uid="{00000000-0005-0000-0000-000059990000}"/>
    <cellStyle name="Normal 35" xfId="4480" xr:uid="{00000000-0005-0000-0000-00005A990000}"/>
    <cellStyle name="Normal 35 10" xfId="8902" xr:uid="{00000000-0005-0000-0000-00005B990000}"/>
    <cellStyle name="Normal 35 2" xfId="4481" xr:uid="{00000000-0005-0000-0000-00005C990000}"/>
    <cellStyle name="Normal 35 2 2" xfId="4482" xr:uid="{00000000-0005-0000-0000-00005D990000}"/>
    <cellStyle name="Normal 35 2 2 2" xfId="4483" xr:uid="{00000000-0005-0000-0000-00005E990000}"/>
    <cellStyle name="Normal 35 2 2 2 2" xfId="4484" xr:uid="{00000000-0005-0000-0000-00005F990000}"/>
    <cellStyle name="Normal 35 2 2 2 2 2" xfId="13059" xr:uid="{00000000-0005-0000-0000-000060990000}"/>
    <cellStyle name="Normal 35 2 2 2 2 3" xfId="18910" xr:uid="{00000000-0005-0000-0000-000061990000}"/>
    <cellStyle name="Normal 35 2 2 2 3" xfId="13058" xr:uid="{00000000-0005-0000-0000-000062990000}"/>
    <cellStyle name="Normal 35 2 2 2 4" xfId="18909" xr:uid="{00000000-0005-0000-0000-000063990000}"/>
    <cellStyle name="Normal 35 2 2 2_LNG &amp; LPG rework" xfId="7332" xr:uid="{00000000-0005-0000-0000-000064990000}"/>
    <cellStyle name="Normal 35 2 2 3" xfId="4485" xr:uid="{00000000-0005-0000-0000-000065990000}"/>
    <cellStyle name="Normal 35 2 2 3 2" xfId="13060" xr:uid="{00000000-0005-0000-0000-000066990000}"/>
    <cellStyle name="Normal 35 2 2 3 3" xfId="18911" xr:uid="{00000000-0005-0000-0000-000067990000}"/>
    <cellStyle name="Normal 35 2 2 4" xfId="13057" xr:uid="{00000000-0005-0000-0000-000068990000}"/>
    <cellStyle name="Normal 35 2 2 5" xfId="18908" xr:uid="{00000000-0005-0000-0000-000069990000}"/>
    <cellStyle name="Normal 35 2 2_LNG &amp; LPG rework" xfId="7331" xr:uid="{00000000-0005-0000-0000-00006A990000}"/>
    <cellStyle name="Normal 35 2 3" xfId="4486" xr:uid="{00000000-0005-0000-0000-00006B990000}"/>
    <cellStyle name="Normal 35 2 3 2" xfId="4487" xr:uid="{00000000-0005-0000-0000-00006C990000}"/>
    <cellStyle name="Normal 35 2 3 2 2" xfId="13062" xr:uid="{00000000-0005-0000-0000-00006D990000}"/>
    <cellStyle name="Normal 35 2 3 2 3" xfId="18913" xr:uid="{00000000-0005-0000-0000-00006E990000}"/>
    <cellStyle name="Normal 35 2 3 3" xfId="13061" xr:uid="{00000000-0005-0000-0000-00006F990000}"/>
    <cellStyle name="Normal 35 2 3 4" xfId="18912" xr:uid="{00000000-0005-0000-0000-000070990000}"/>
    <cellStyle name="Normal 35 2 3_LNG &amp; LPG rework" xfId="7333" xr:uid="{00000000-0005-0000-0000-000071990000}"/>
    <cellStyle name="Normal 35 2 4" xfId="4488" xr:uid="{00000000-0005-0000-0000-000072990000}"/>
    <cellStyle name="Normal 35 2 4 2" xfId="13063" xr:uid="{00000000-0005-0000-0000-000073990000}"/>
    <cellStyle name="Normal 35 2 4 3" xfId="18914" xr:uid="{00000000-0005-0000-0000-000074990000}"/>
    <cellStyle name="Normal 35 2 5" xfId="4489" xr:uid="{00000000-0005-0000-0000-000075990000}"/>
    <cellStyle name="Normal 35 2 6" xfId="13056" xr:uid="{00000000-0005-0000-0000-000076990000}"/>
    <cellStyle name="Normal 35 2 7" xfId="18907" xr:uid="{00000000-0005-0000-0000-000077990000}"/>
    <cellStyle name="Normal 35 2_LNG &amp; LPG rework" xfId="7330" xr:uid="{00000000-0005-0000-0000-000078990000}"/>
    <cellStyle name="Normal 35 3" xfId="4490" xr:uid="{00000000-0005-0000-0000-000079990000}"/>
    <cellStyle name="Normal 35 3 2" xfId="4491" xr:uid="{00000000-0005-0000-0000-00007A990000}"/>
    <cellStyle name="Normal 35 3 2 2" xfId="4492" xr:uid="{00000000-0005-0000-0000-00007B990000}"/>
    <cellStyle name="Normal 35 3 2 2 2" xfId="4493" xr:uid="{00000000-0005-0000-0000-00007C990000}"/>
    <cellStyle name="Normal 35 3 2 2 2 2" xfId="13067" xr:uid="{00000000-0005-0000-0000-00007D990000}"/>
    <cellStyle name="Normal 35 3 2 2 2 3" xfId="18918" xr:uid="{00000000-0005-0000-0000-00007E990000}"/>
    <cellStyle name="Normal 35 3 2 2 3" xfId="13066" xr:uid="{00000000-0005-0000-0000-00007F990000}"/>
    <cellStyle name="Normal 35 3 2 2 4" xfId="18917" xr:uid="{00000000-0005-0000-0000-000080990000}"/>
    <cellStyle name="Normal 35 3 2 2_LNG &amp; LPG rework" xfId="7336" xr:uid="{00000000-0005-0000-0000-000081990000}"/>
    <cellStyle name="Normal 35 3 2 3" xfId="4494" xr:uid="{00000000-0005-0000-0000-000082990000}"/>
    <cellStyle name="Normal 35 3 2 3 2" xfId="13068" xr:uid="{00000000-0005-0000-0000-000083990000}"/>
    <cellStyle name="Normal 35 3 2 3 3" xfId="18919" xr:uid="{00000000-0005-0000-0000-000084990000}"/>
    <cellStyle name="Normal 35 3 2 4" xfId="13065" xr:uid="{00000000-0005-0000-0000-000085990000}"/>
    <cellStyle name="Normal 35 3 2 5" xfId="18916" xr:uid="{00000000-0005-0000-0000-000086990000}"/>
    <cellStyle name="Normal 35 3 2_LNG &amp; LPG rework" xfId="7335" xr:uid="{00000000-0005-0000-0000-000087990000}"/>
    <cellStyle name="Normal 35 3 3" xfId="4495" xr:uid="{00000000-0005-0000-0000-000088990000}"/>
    <cellStyle name="Normal 35 3 3 2" xfId="4496" xr:uid="{00000000-0005-0000-0000-000089990000}"/>
    <cellStyle name="Normal 35 3 3 2 2" xfId="13070" xr:uid="{00000000-0005-0000-0000-00008A990000}"/>
    <cellStyle name="Normal 35 3 3 2 3" xfId="18921" xr:uid="{00000000-0005-0000-0000-00008B990000}"/>
    <cellStyle name="Normal 35 3 3 3" xfId="13069" xr:uid="{00000000-0005-0000-0000-00008C990000}"/>
    <cellStyle name="Normal 35 3 3 4" xfId="18920" xr:uid="{00000000-0005-0000-0000-00008D990000}"/>
    <cellStyle name="Normal 35 3 3_LNG &amp; LPG rework" xfId="7337" xr:uid="{00000000-0005-0000-0000-00008E990000}"/>
    <cellStyle name="Normal 35 3 4" xfId="4497" xr:uid="{00000000-0005-0000-0000-00008F990000}"/>
    <cellStyle name="Normal 35 3 4 2" xfId="13071" xr:uid="{00000000-0005-0000-0000-000090990000}"/>
    <cellStyle name="Normal 35 3 4 3" xfId="18922" xr:uid="{00000000-0005-0000-0000-000091990000}"/>
    <cellStyle name="Normal 35 3 5" xfId="4498" xr:uid="{00000000-0005-0000-0000-000092990000}"/>
    <cellStyle name="Normal 35 3 6" xfId="13064" xr:uid="{00000000-0005-0000-0000-000093990000}"/>
    <cellStyle name="Normal 35 3 7" xfId="18915" xr:uid="{00000000-0005-0000-0000-000094990000}"/>
    <cellStyle name="Normal 35 3_LNG &amp; LPG rework" xfId="7334" xr:uid="{00000000-0005-0000-0000-000095990000}"/>
    <cellStyle name="Normal 35 4" xfId="4499" xr:uid="{00000000-0005-0000-0000-000096990000}"/>
    <cellStyle name="Normal 35 4 2" xfId="4500" xr:uid="{00000000-0005-0000-0000-000097990000}"/>
    <cellStyle name="Normal 35 4 2 2" xfId="4501" xr:uid="{00000000-0005-0000-0000-000098990000}"/>
    <cellStyle name="Normal 35 4 2 2 2" xfId="13074" xr:uid="{00000000-0005-0000-0000-000099990000}"/>
    <cellStyle name="Normal 35 4 2 2 3" xfId="18925" xr:uid="{00000000-0005-0000-0000-00009A990000}"/>
    <cellStyle name="Normal 35 4 2 3" xfId="4502" xr:uid="{00000000-0005-0000-0000-00009B990000}"/>
    <cellStyle name="Normal 35 4 2 3 2" xfId="13075" xr:uid="{00000000-0005-0000-0000-00009C990000}"/>
    <cellStyle name="Normal 35 4 2 3 3" xfId="18926" xr:uid="{00000000-0005-0000-0000-00009D990000}"/>
    <cellStyle name="Normal 35 4 2 4" xfId="4503" xr:uid="{00000000-0005-0000-0000-00009E990000}"/>
    <cellStyle name="Normal 35 4 2 4 2" xfId="13076" xr:uid="{00000000-0005-0000-0000-00009F990000}"/>
    <cellStyle name="Normal 35 4 2 4 3" xfId="18927" xr:uid="{00000000-0005-0000-0000-0000A0990000}"/>
    <cellStyle name="Normal 35 4 2 5" xfId="4504" xr:uid="{00000000-0005-0000-0000-0000A1990000}"/>
    <cellStyle name="Normal 35 4 2 5 2" xfId="13077" xr:uid="{00000000-0005-0000-0000-0000A2990000}"/>
    <cellStyle name="Normal 35 4 2 5 3" xfId="18928" xr:uid="{00000000-0005-0000-0000-0000A3990000}"/>
    <cellStyle name="Normal 35 4 2 6" xfId="13073" xr:uid="{00000000-0005-0000-0000-0000A4990000}"/>
    <cellStyle name="Normal 35 4 2 7" xfId="18924" xr:uid="{00000000-0005-0000-0000-0000A5990000}"/>
    <cellStyle name="Normal 35 4 2_LNG &amp; LPG rework" xfId="7339" xr:uid="{00000000-0005-0000-0000-0000A6990000}"/>
    <cellStyle name="Normal 35 4 3" xfId="4505" xr:uid="{00000000-0005-0000-0000-0000A7990000}"/>
    <cellStyle name="Normal 35 4 3 2" xfId="13078" xr:uid="{00000000-0005-0000-0000-0000A8990000}"/>
    <cellStyle name="Normal 35 4 3 3" xfId="18929" xr:uid="{00000000-0005-0000-0000-0000A9990000}"/>
    <cellStyle name="Normal 35 4 4" xfId="4506" xr:uid="{00000000-0005-0000-0000-0000AA990000}"/>
    <cellStyle name="Normal 35 4 4 2" xfId="13079" xr:uid="{00000000-0005-0000-0000-0000AB990000}"/>
    <cellStyle name="Normal 35 4 4 3" xfId="18930" xr:uid="{00000000-0005-0000-0000-0000AC990000}"/>
    <cellStyle name="Normal 35 4 5" xfId="4507" xr:uid="{00000000-0005-0000-0000-0000AD990000}"/>
    <cellStyle name="Normal 35 4 5 2" xfId="13080" xr:uid="{00000000-0005-0000-0000-0000AE990000}"/>
    <cellStyle name="Normal 35 4 5 3" xfId="18931" xr:uid="{00000000-0005-0000-0000-0000AF990000}"/>
    <cellStyle name="Normal 35 4 6" xfId="4508" xr:uid="{00000000-0005-0000-0000-0000B0990000}"/>
    <cellStyle name="Normal 35 4 6 2" xfId="13081" xr:uid="{00000000-0005-0000-0000-0000B1990000}"/>
    <cellStyle name="Normal 35 4 6 3" xfId="18932" xr:uid="{00000000-0005-0000-0000-0000B2990000}"/>
    <cellStyle name="Normal 35 4 7" xfId="13072" xr:uid="{00000000-0005-0000-0000-0000B3990000}"/>
    <cellStyle name="Normal 35 4 8" xfId="18923" xr:uid="{00000000-0005-0000-0000-0000B4990000}"/>
    <cellStyle name="Normal 35 4_LNG &amp; LPG rework" xfId="7338" xr:uid="{00000000-0005-0000-0000-0000B5990000}"/>
    <cellStyle name="Normal 35 5" xfId="4509" xr:uid="{00000000-0005-0000-0000-0000B6990000}"/>
    <cellStyle name="Normal 35 5 2" xfId="4510" xr:uid="{00000000-0005-0000-0000-0000B7990000}"/>
    <cellStyle name="Normal 35 5 2 2" xfId="13083" xr:uid="{00000000-0005-0000-0000-0000B8990000}"/>
    <cellStyle name="Normal 35 5 2 3" xfId="18934" xr:uid="{00000000-0005-0000-0000-0000B9990000}"/>
    <cellStyle name="Normal 35 5 3" xfId="13082" xr:uid="{00000000-0005-0000-0000-0000BA990000}"/>
    <cellStyle name="Normal 35 5 4" xfId="18933" xr:uid="{00000000-0005-0000-0000-0000BB990000}"/>
    <cellStyle name="Normal 35 5_LNG &amp; LPG rework" xfId="7340" xr:uid="{00000000-0005-0000-0000-0000BC990000}"/>
    <cellStyle name="Normal 35 6" xfId="4511" xr:uid="{00000000-0005-0000-0000-0000BD990000}"/>
    <cellStyle name="Normal 35 6 2" xfId="13084" xr:uid="{00000000-0005-0000-0000-0000BE990000}"/>
    <cellStyle name="Normal 35 6 3" xfId="18935" xr:uid="{00000000-0005-0000-0000-0000BF990000}"/>
    <cellStyle name="Normal 35 7" xfId="4512" xr:uid="{00000000-0005-0000-0000-0000C0990000}"/>
    <cellStyle name="Normal 35 7 2" xfId="13085" xr:uid="{00000000-0005-0000-0000-0000C1990000}"/>
    <cellStyle name="Normal 35 7 3" xfId="18936" xr:uid="{00000000-0005-0000-0000-0000C2990000}"/>
    <cellStyle name="Normal 35 8" xfId="4513" xr:uid="{00000000-0005-0000-0000-0000C3990000}"/>
    <cellStyle name="Normal 35 8 2" xfId="13086" xr:uid="{00000000-0005-0000-0000-0000C4990000}"/>
    <cellStyle name="Normal 35 8 3" xfId="18937" xr:uid="{00000000-0005-0000-0000-0000C5990000}"/>
    <cellStyle name="Normal 35 9" xfId="7828" xr:uid="{00000000-0005-0000-0000-0000C6990000}"/>
    <cellStyle name="Normal 35_Data - Monthly Commodity Prices" xfId="6483" xr:uid="{00000000-0005-0000-0000-0000C7990000}"/>
    <cellStyle name="Normal 36" xfId="4514" xr:uid="{00000000-0005-0000-0000-0000C8990000}"/>
    <cellStyle name="Normal 36 10" xfId="18938" xr:uid="{00000000-0005-0000-0000-0000C9990000}"/>
    <cellStyle name="Normal 36 2" xfId="4515" xr:uid="{00000000-0005-0000-0000-0000CA990000}"/>
    <cellStyle name="Normal 36 2 2" xfId="4516" xr:uid="{00000000-0005-0000-0000-0000CB990000}"/>
    <cellStyle name="Normal 36 2 2 2" xfId="4517" xr:uid="{00000000-0005-0000-0000-0000CC990000}"/>
    <cellStyle name="Normal 36 2 2 2 2" xfId="4518" xr:uid="{00000000-0005-0000-0000-0000CD990000}"/>
    <cellStyle name="Normal 36 2 2 2 2 2" xfId="13091" xr:uid="{00000000-0005-0000-0000-0000CE990000}"/>
    <cellStyle name="Normal 36 2 2 2 2 3" xfId="18942" xr:uid="{00000000-0005-0000-0000-0000CF990000}"/>
    <cellStyle name="Normal 36 2 2 2 3" xfId="13090" xr:uid="{00000000-0005-0000-0000-0000D0990000}"/>
    <cellStyle name="Normal 36 2 2 2 4" xfId="18941" xr:uid="{00000000-0005-0000-0000-0000D1990000}"/>
    <cellStyle name="Normal 36 2 2 2_LNG &amp; LPG rework" xfId="7344" xr:uid="{00000000-0005-0000-0000-0000D2990000}"/>
    <cellStyle name="Normal 36 2 2 3" xfId="4519" xr:uid="{00000000-0005-0000-0000-0000D3990000}"/>
    <cellStyle name="Normal 36 2 2 3 2" xfId="13092" xr:uid="{00000000-0005-0000-0000-0000D4990000}"/>
    <cellStyle name="Normal 36 2 2 3 3" xfId="18943" xr:uid="{00000000-0005-0000-0000-0000D5990000}"/>
    <cellStyle name="Normal 36 2 2 4" xfId="4520" xr:uid="{00000000-0005-0000-0000-0000D6990000}"/>
    <cellStyle name="Normal 36 2 2 4 2" xfId="13093" xr:uid="{00000000-0005-0000-0000-0000D7990000}"/>
    <cellStyle name="Normal 36 2 2 4 3" xfId="18944" xr:uid="{00000000-0005-0000-0000-0000D8990000}"/>
    <cellStyle name="Normal 36 2 2 5" xfId="4521" xr:uid="{00000000-0005-0000-0000-0000D9990000}"/>
    <cellStyle name="Normal 36 2 2 5 2" xfId="13094" xr:uid="{00000000-0005-0000-0000-0000DA990000}"/>
    <cellStyle name="Normal 36 2 2 5 3" xfId="18945" xr:uid="{00000000-0005-0000-0000-0000DB990000}"/>
    <cellStyle name="Normal 36 2 2 6" xfId="13089" xr:uid="{00000000-0005-0000-0000-0000DC990000}"/>
    <cellStyle name="Normal 36 2 2 7" xfId="18940" xr:uid="{00000000-0005-0000-0000-0000DD990000}"/>
    <cellStyle name="Normal 36 2 2_LNG &amp; LPG rework" xfId="7343" xr:uid="{00000000-0005-0000-0000-0000DE990000}"/>
    <cellStyle name="Normal 36 2 3" xfId="4522" xr:uid="{00000000-0005-0000-0000-0000DF990000}"/>
    <cellStyle name="Normal 36 2 3 2" xfId="4523" xr:uid="{00000000-0005-0000-0000-0000E0990000}"/>
    <cellStyle name="Normal 36 2 3 2 2" xfId="13096" xr:uid="{00000000-0005-0000-0000-0000E1990000}"/>
    <cellStyle name="Normal 36 2 3 2 3" xfId="18947" xr:uid="{00000000-0005-0000-0000-0000E2990000}"/>
    <cellStyle name="Normal 36 2 3 3" xfId="4524" xr:uid="{00000000-0005-0000-0000-0000E3990000}"/>
    <cellStyle name="Normal 36 2 3 3 2" xfId="13097" xr:uid="{00000000-0005-0000-0000-0000E4990000}"/>
    <cellStyle name="Normal 36 2 3 3 3" xfId="18948" xr:uid="{00000000-0005-0000-0000-0000E5990000}"/>
    <cellStyle name="Normal 36 2 3 4" xfId="4525" xr:uid="{00000000-0005-0000-0000-0000E6990000}"/>
    <cellStyle name="Normal 36 2 3 4 2" xfId="13098" xr:uid="{00000000-0005-0000-0000-0000E7990000}"/>
    <cellStyle name="Normal 36 2 3 4 3" xfId="18949" xr:uid="{00000000-0005-0000-0000-0000E8990000}"/>
    <cellStyle name="Normal 36 2 3 5" xfId="4526" xr:uid="{00000000-0005-0000-0000-0000E9990000}"/>
    <cellStyle name="Normal 36 2 3 5 2" xfId="13099" xr:uid="{00000000-0005-0000-0000-0000EA990000}"/>
    <cellStyle name="Normal 36 2 3 5 3" xfId="18950" xr:uid="{00000000-0005-0000-0000-0000EB990000}"/>
    <cellStyle name="Normal 36 2 3 6" xfId="13095" xr:uid="{00000000-0005-0000-0000-0000EC990000}"/>
    <cellStyle name="Normal 36 2 3 7" xfId="18946" xr:uid="{00000000-0005-0000-0000-0000ED990000}"/>
    <cellStyle name="Normal 36 2 3_LNG &amp; LPG rework" xfId="7345" xr:uid="{00000000-0005-0000-0000-0000EE990000}"/>
    <cellStyle name="Normal 36 2 4" xfId="4527" xr:uid="{00000000-0005-0000-0000-0000EF990000}"/>
    <cellStyle name="Normal 36 2 4 2" xfId="13100" xr:uid="{00000000-0005-0000-0000-0000F0990000}"/>
    <cellStyle name="Normal 36 2 4 3" xfId="18951" xr:uid="{00000000-0005-0000-0000-0000F1990000}"/>
    <cellStyle name="Normal 36 2 5" xfId="4528" xr:uid="{00000000-0005-0000-0000-0000F2990000}"/>
    <cellStyle name="Normal 36 2 5 2" xfId="13101" xr:uid="{00000000-0005-0000-0000-0000F3990000}"/>
    <cellStyle name="Normal 36 2 5 3" xfId="18952" xr:uid="{00000000-0005-0000-0000-0000F4990000}"/>
    <cellStyle name="Normal 36 2 6" xfId="4529" xr:uid="{00000000-0005-0000-0000-0000F5990000}"/>
    <cellStyle name="Normal 36 2 6 2" xfId="13102" xr:uid="{00000000-0005-0000-0000-0000F6990000}"/>
    <cellStyle name="Normal 36 2 6 3" xfId="18953" xr:uid="{00000000-0005-0000-0000-0000F7990000}"/>
    <cellStyle name="Normal 36 2 7" xfId="4530" xr:uid="{00000000-0005-0000-0000-0000F8990000}"/>
    <cellStyle name="Normal 36 2 7 2" xfId="13103" xr:uid="{00000000-0005-0000-0000-0000F9990000}"/>
    <cellStyle name="Normal 36 2 7 3" xfId="18954" xr:uid="{00000000-0005-0000-0000-0000FA990000}"/>
    <cellStyle name="Normal 36 2 8" xfId="13088" xr:uid="{00000000-0005-0000-0000-0000FB990000}"/>
    <cellStyle name="Normal 36 2 9" xfId="18939" xr:uid="{00000000-0005-0000-0000-0000FC990000}"/>
    <cellStyle name="Normal 36 2_LNG &amp; LPG rework" xfId="7342" xr:uid="{00000000-0005-0000-0000-0000FD990000}"/>
    <cellStyle name="Normal 36 3" xfId="4531" xr:uid="{00000000-0005-0000-0000-0000FE990000}"/>
    <cellStyle name="Normal 36 3 2" xfId="4532" xr:uid="{00000000-0005-0000-0000-0000FF990000}"/>
    <cellStyle name="Normal 36 3 2 2" xfId="4533" xr:uid="{00000000-0005-0000-0000-0000009A0000}"/>
    <cellStyle name="Normal 36 3 2 2 2" xfId="4534" xr:uid="{00000000-0005-0000-0000-0000019A0000}"/>
    <cellStyle name="Normal 36 3 2 2 2 2" xfId="13107" xr:uid="{00000000-0005-0000-0000-0000029A0000}"/>
    <cellStyle name="Normal 36 3 2 2 2 3" xfId="18958" xr:uid="{00000000-0005-0000-0000-0000039A0000}"/>
    <cellStyle name="Normal 36 3 2 2 3" xfId="13106" xr:uid="{00000000-0005-0000-0000-0000049A0000}"/>
    <cellStyle name="Normal 36 3 2 2 4" xfId="18957" xr:uid="{00000000-0005-0000-0000-0000059A0000}"/>
    <cellStyle name="Normal 36 3 2 2_LNG &amp; LPG rework" xfId="7348" xr:uid="{00000000-0005-0000-0000-0000069A0000}"/>
    <cellStyle name="Normal 36 3 2 3" xfId="4535" xr:uid="{00000000-0005-0000-0000-0000079A0000}"/>
    <cellStyle name="Normal 36 3 2 3 2" xfId="13108" xr:uid="{00000000-0005-0000-0000-0000089A0000}"/>
    <cellStyle name="Normal 36 3 2 3 3" xfId="18959" xr:uid="{00000000-0005-0000-0000-0000099A0000}"/>
    <cellStyle name="Normal 36 3 2 4" xfId="13105" xr:uid="{00000000-0005-0000-0000-00000A9A0000}"/>
    <cellStyle name="Normal 36 3 2 5" xfId="18956" xr:uid="{00000000-0005-0000-0000-00000B9A0000}"/>
    <cellStyle name="Normal 36 3 2_LNG &amp; LPG rework" xfId="7347" xr:uid="{00000000-0005-0000-0000-00000C9A0000}"/>
    <cellStyle name="Normal 36 3 3" xfId="4536" xr:uid="{00000000-0005-0000-0000-00000D9A0000}"/>
    <cellStyle name="Normal 36 3 3 2" xfId="4537" xr:uid="{00000000-0005-0000-0000-00000E9A0000}"/>
    <cellStyle name="Normal 36 3 3 2 2" xfId="13110" xr:uid="{00000000-0005-0000-0000-00000F9A0000}"/>
    <cellStyle name="Normal 36 3 3 2 3" xfId="18961" xr:uid="{00000000-0005-0000-0000-0000109A0000}"/>
    <cellStyle name="Normal 36 3 3 3" xfId="13109" xr:uid="{00000000-0005-0000-0000-0000119A0000}"/>
    <cellStyle name="Normal 36 3 3 4" xfId="18960" xr:uid="{00000000-0005-0000-0000-0000129A0000}"/>
    <cellStyle name="Normal 36 3 3_LNG &amp; LPG rework" xfId="7349" xr:uid="{00000000-0005-0000-0000-0000139A0000}"/>
    <cellStyle name="Normal 36 3 4" xfId="4538" xr:uid="{00000000-0005-0000-0000-0000149A0000}"/>
    <cellStyle name="Normal 36 3 4 2" xfId="13111" xr:uid="{00000000-0005-0000-0000-0000159A0000}"/>
    <cellStyle name="Normal 36 3 4 3" xfId="18962" xr:uid="{00000000-0005-0000-0000-0000169A0000}"/>
    <cellStyle name="Normal 36 3 5" xfId="4539" xr:uid="{00000000-0005-0000-0000-0000179A0000}"/>
    <cellStyle name="Normal 36 3 5 2" xfId="13112" xr:uid="{00000000-0005-0000-0000-0000189A0000}"/>
    <cellStyle name="Normal 36 3 5 3" xfId="18963" xr:uid="{00000000-0005-0000-0000-0000199A0000}"/>
    <cellStyle name="Normal 36 3 6" xfId="13104" xr:uid="{00000000-0005-0000-0000-00001A9A0000}"/>
    <cellStyle name="Normal 36 3 7" xfId="18955" xr:uid="{00000000-0005-0000-0000-00001B9A0000}"/>
    <cellStyle name="Normal 36 3_LNG &amp; LPG rework" xfId="7346" xr:uid="{00000000-0005-0000-0000-00001C9A0000}"/>
    <cellStyle name="Normal 36 4" xfId="4540" xr:uid="{00000000-0005-0000-0000-00001D9A0000}"/>
    <cellStyle name="Normal 36 4 2" xfId="4541" xr:uid="{00000000-0005-0000-0000-00001E9A0000}"/>
    <cellStyle name="Normal 36 4 2 2" xfId="4542" xr:uid="{00000000-0005-0000-0000-00001F9A0000}"/>
    <cellStyle name="Normal 36 4 2 2 2" xfId="13115" xr:uid="{00000000-0005-0000-0000-0000209A0000}"/>
    <cellStyle name="Normal 36 4 2 2 3" xfId="18966" xr:uid="{00000000-0005-0000-0000-0000219A0000}"/>
    <cellStyle name="Normal 36 4 2 3" xfId="13114" xr:uid="{00000000-0005-0000-0000-0000229A0000}"/>
    <cellStyle name="Normal 36 4 2 4" xfId="18965" xr:uid="{00000000-0005-0000-0000-0000239A0000}"/>
    <cellStyle name="Normal 36 4 2_LNG &amp; LPG rework" xfId="7351" xr:uid="{00000000-0005-0000-0000-0000249A0000}"/>
    <cellStyle name="Normal 36 4 3" xfId="4543" xr:uid="{00000000-0005-0000-0000-0000259A0000}"/>
    <cellStyle name="Normal 36 4 3 2" xfId="13116" xr:uid="{00000000-0005-0000-0000-0000269A0000}"/>
    <cellStyle name="Normal 36 4 3 3" xfId="18967" xr:uid="{00000000-0005-0000-0000-0000279A0000}"/>
    <cellStyle name="Normal 36 4 4" xfId="4544" xr:uid="{00000000-0005-0000-0000-0000289A0000}"/>
    <cellStyle name="Normal 36 4 4 2" xfId="13117" xr:uid="{00000000-0005-0000-0000-0000299A0000}"/>
    <cellStyle name="Normal 36 4 4 3" xfId="18968" xr:uid="{00000000-0005-0000-0000-00002A9A0000}"/>
    <cellStyle name="Normal 36 4 5" xfId="4545" xr:uid="{00000000-0005-0000-0000-00002B9A0000}"/>
    <cellStyle name="Normal 36 4 5 2" xfId="13118" xr:uid="{00000000-0005-0000-0000-00002C9A0000}"/>
    <cellStyle name="Normal 36 4 5 3" xfId="18969" xr:uid="{00000000-0005-0000-0000-00002D9A0000}"/>
    <cellStyle name="Normal 36 4 6" xfId="13113" xr:uid="{00000000-0005-0000-0000-00002E9A0000}"/>
    <cellStyle name="Normal 36 4 7" xfId="18964" xr:uid="{00000000-0005-0000-0000-00002F9A0000}"/>
    <cellStyle name="Normal 36 4_LNG &amp; LPG rework" xfId="7350" xr:uid="{00000000-0005-0000-0000-0000309A0000}"/>
    <cellStyle name="Normal 36 5" xfId="4546" xr:uid="{00000000-0005-0000-0000-0000319A0000}"/>
    <cellStyle name="Normal 36 5 2" xfId="4547" xr:uid="{00000000-0005-0000-0000-0000329A0000}"/>
    <cellStyle name="Normal 36 5 2 2" xfId="13120" xr:uid="{00000000-0005-0000-0000-0000339A0000}"/>
    <cellStyle name="Normal 36 5 2 3" xfId="18971" xr:uid="{00000000-0005-0000-0000-0000349A0000}"/>
    <cellStyle name="Normal 36 5 3" xfId="13119" xr:uid="{00000000-0005-0000-0000-0000359A0000}"/>
    <cellStyle name="Normal 36 5 4" xfId="18970" xr:uid="{00000000-0005-0000-0000-0000369A0000}"/>
    <cellStyle name="Normal 36 5_LNG &amp; LPG rework" xfId="7352" xr:uid="{00000000-0005-0000-0000-0000379A0000}"/>
    <cellStyle name="Normal 36 6" xfId="4548" xr:uid="{00000000-0005-0000-0000-0000389A0000}"/>
    <cellStyle name="Normal 36 6 2" xfId="13121" xr:uid="{00000000-0005-0000-0000-0000399A0000}"/>
    <cellStyle name="Normal 36 6 3" xfId="18972" xr:uid="{00000000-0005-0000-0000-00003A9A0000}"/>
    <cellStyle name="Normal 36 7" xfId="4549" xr:uid="{00000000-0005-0000-0000-00003B9A0000}"/>
    <cellStyle name="Normal 36 7 2" xfId="13122" xr:uid="{00000000-0005-0000-0000-00003C9A0000}"/>
    <cellStyle name="Normal 36 7 3" xfId="18973" xr:uid="{00000000-0005-0000-0000-00003D9A0000}"/>
    <cellStyle name="Normal 36 8" xfId="4550" xr:uid="{00000000-0005-0000-0000-00003E9A0000}"/>
    <cellStyle name="Normal 36 8 2" xfId="13123" xr:uid="{00000000-0005-0000-0000-00003F9A0000}"/>
    <cellStyle name="Normal 36 8 3" xfId="18974" xr:uid="{00000000-0005-0000-0000-0000409A0000}"/>
    <cellStyle name="Normal 36 9" xfId="13087" xr:uid="{00000000-0005-0000-0000-0000419A0000}"/>
    <cellStyle name="Normal 36_LNG &amp; LPG rework" xfId="7341" xr:uid="{00000000-0005-0000-0000-0000429A0000}"/>
    <cellStyle name="Normal 37" xfId="4551" xr:uid="{00000000-0005-0000-0000-0000439A0000}"/>
    <cellStyle name="Normal 37 2" xfId="4552" xr:uid="{00000000-0005-0000-0000-0000449A0000}"/>
    <cellStyle name="Normal 37 2 2" xfId="4553" xr:uid="{00000000-0005-0000-0000-0000459A0000}"/>
    <cellStyle name="Normal 37 2 2 2" xfId="4554" xr:uid="{00000000-0005-0000-0000-0000469A0000}"/>
    <cellStyle name="Normal 37 2 2 2 2" xfId="4555" xr:uid="{00000000-0005-0000-0000-0000479A0000}"/>
    <cellStyle name="Normal 37 2 2 2 2 2" xfId="13128" xr:uid="{00000000-0005-0000-0000-0000489A0000}"/>
    <cellStyle name="Normal 37 2 2 2 2 3" xfId="18979" xr:uid="{00000000-0005-0000-0000-0000499A0000}"/>
    <cellStyle name="Normal 37 2 2 2 3" xfId="13127" xr:uid="{00000000-0005-0000-0000-00004A9A0000}"/>
    <cellStyle name="Normal 37 2 2 2 4" xfId="18978" xr:uid="{00000000-0005-0000-0000-00004B9A0000}"/>
    <cellStyle name="Normal 37 2 2 2_LNG &amp; LPG rework" xfId="7356" xr:uid="{00000000-0005-0000-0000-00004C9A0000}"/>
    <cellStyle name="Normal 37 2 2 3" xfId="4556" xr:uid="{00000000-0005-0000-0000-00004D9A0000}"/>
    <cellStyle name="Normal 37 2 2 3 2" xfId="13129" xr:uid="{00000000-0005-0000-0000-00004E9A0000}"/>
    <cellStyle name="Normal 37 2 2 3 3" xfId="18980" xr:uid="{00000000-0005-0000-0000-00004F9A0000}"/>
    <cellStyle name="Normal 37 2 2 4" xfId="13126" xr:uid="{00000000-0005-0000-0000-0000509A0000}"/>
    <cellStyle name="Normal 37 2 2 5" xfId="18977" xr:uid="{00000000-0005-0000-0000-0000519A0000}"/>
    <cellStyle name="Normal 37 2 2_LNG &amp; LPG rework" xfId="7355" xr:uid="{00000000-0005-0000-0000-0000529A0000}"/>
    <cellStyle name="Normal 37 2 3" xfId="4557" xr:uid="{00000000-0005-0000-0000-0000539A0000}"/>
    <cellStyle name="Normal 37 2 3 2" xfId="4558" xr:uid="{00000000-0005-0000-0000-0000549A0000}"/>
    <cellStyle name="Normal 37 2 3 2 2" xfId="13131" xr:uid="{00000000-0005-0000-0000-0000559A0000}"/>
    <cellStyle name="Normal 37 2 3 2 3" xfId="18982" xr:uid="{00000000-0005-0000-0000-0000569A0000}"/>
    <cellStyle name="Normal 37 2 3 3" xfId="13130" xr:uid="{00000000-0005-0000-0000-0000579A0000}"/>
    <cellStyle name="Normal 37 2 3 4" xfId="18981" xr:uid="{00000000-0005-0000-0000-0000589A0000}"/>
    <cellStyle name="Normal 37 2 3_LNG &amp; LPG rework" xfId="7357" xr:uid="{00000000-0005-0000-0000-0000599A0000}"/>
    <cellStyle name="Normal 37 2 4" xfId="4559" xr:uid="{00000000-0005-0000-0000-00005A9A0000}"/>
    <cellStyle name="Normal 37 2 4 2" xfId="13132" xr:uid="{00000000-0005-0000-0000-00005B9A0000}"/>
    <cellStyle name="Normal 37 2 4 3" xfId="18983" xr:uid="{00000000-0005-0000-0000-00005C9A0000}"/>
    <cellStyle name="Normal 37 2 5" xfId="4560" xr:uid="{00000000-0005-0000-0000-00005D9A0000}"/>
    <cellStyle name="Normal 37 2 6" xfId="13125" xr:uid="{00000000-0005-0000-0000-00005E9A0000}"/>
    <cellStyle name="Normal 37 2 7" xfId="18976" xr:uid="{00000000-0005-0000-0000-00005F9A0000}"/>
    <cellStyle name="Normal 37 2_LNG &amp; LPG rework" xfId="7354" xr:uid="{00000000-0005-0000-0000-0000609A0000}"/>
    <cellStyle name="Normal 37 3" xfId="4561" xr:uid="{00000000-0005-0000-0000-0000619A0000}"/>
    <cellStyle name="Normal 37 3 2" xfId="4562" xr:uid="{00000000-0005-0000-0000-0000629A0000}"/>
    <cellStyle name="Normal 37 3 2 2" xfId="4563" xr:uid="{00000000-0005-0000-0000-0000639A0000}"/>
    <cellStyle name="Normal 37 3 2 2 2" xfId="4564" xr:uid="{00000000-0005-0000-0000-0000649A0000}"/>
    <cellStyle name="Normal 37 3 2 2 2 2" xfId="13136" xr:uid="{00000000-0005-0000-0000-0000659A0000}"/>
    <cellStyle name="Normal 37 3 2 2 2 3" xfId="18987" xr:uid="{00000000-0005-0000-0000-0000669A0000}"/>
    <cellStyle name="Normal 37 3 2 2 3" xfId="13135" xr:uid="{00000000-0005-0000-0000-0000679A0000}"/>
    <cellStyle name="Normal 37 3 2 2 4" xfId="18986" xr:uid="{00000000-0005-0000-0000-0000689A0000}"/>
    <cellStyle name="Normal 37 3 2 2_LNG &amp; LPG rework" xfId="7360" xr:uid="{00000000-0005-0000-0000-0000699A0000}"/>
    <cellStyle name="Normal 37 3 2 3" xfId="4565" xr:uid="{00000000-0005-0000-0000-00006A9A0000}"/>
    <cellStyle name="Normal 37 3 2 3 2" xfId="13137" xr:uid="{00000000-0005-0000-0000-00006B9A0000}"/>
    <cellStyle name="Normal 37 3 2 3 3" xfId="18988" xr:uid="{00000000-0005-0000-0000-00006C9A0000}"/>
    <cellStyle name="Normal 37 3 2 4" xfId="13134" xr:uid="{00000000-0005-0000-0000-00006D9A0000}"/>
    <cellStyle name="Normal 37 3 2 5" xfId="18985" xr:uid="{00000000-0005-0000-0000-00006E9A0000}"/>
    <cellStyle name="Normal 37 3 2_LNG &amp; LPG rework" xfId="7359" xr:uid="{00000000-0005-0000-0000-00006F9A0000}"/>
    <cellStyle name="Normal 37 3 3" xfId="4566" xr:uid="{00000000-0005-0000-0000-0000709A0000}"/>
    <cellStyle name="Normal 37 3 3 2" xfId="4567" xr:uid="{00000000-0005-0000-0000-0000719A0000}"/>
    <cellStyle name="Normal 37 3 3 2 2" xfId="13139" xr:uid="{00000000-0005-0000-0000-0000729A0000}"/>
    <cellStyle name="Normal 37 3 3 2 3" xfId="18990" xr:uid="{00000000-0005-0000-0000-0000739A0000}"/>
    <cellStyle name="Normal 37 3 3 3" xfId="13138" xr:uid="{00000000-0005-0000-0000-0000749A0000}"/>
    <cellStyle name="Normal 37 3 3 4" xfId="18989" xr:uid="{00000000-0005-0000-0000-0000759A0000}"/>
    <cellStyle name="Normal 37 3 3_LNG &amp; LPG rework" xfId="7361" xr:uid="{00000000-0005-0000-0000-0000769A0000}"/>
    <cellStyle name="Normal 37 3 4" xfId="4568" xr:uid="{00000000-0005-0000-0000-0000779A0000}"/>
    <cellStyle name="Normal 37 3 4 2" xfId="13140" xr:uid="{00000000-0005-0000-0000-0000789A0000}"/>
    <cellStyle name="Normal 37 3 4 3" xfId="18991" xr:uid="{00000000-0005-0000-0000-0000799A0000}"/>
    <cellStyle name="Normal 37 3 5" xfId="13133" xr:uid="{00000000-0005-0000-0000-00007A9A0000}"/>
    <cellStyle name="Normal 37 3 6" xfId="18984" xr:uid="{00000000-0005-0000-0000-00007B9A0000}"/>
    <cellStyle name="Normal 37 3_LNG &amp; LPG rework" xfId="7358" xr:uid="{00000000-0005-0000-0000-00007C9A0000}"/>
    <cellStyle name="Normal 37 4" xfId="4569" xr:uid="{00000000-0005-0000-0000-00007D9A0000}"/>
    <cellStyle name="Normal 37 4 2" xfId="4570" xr:uid="{00000000-0005-0000-0000-00007E9A0000}"/>
    <cellStyle name="Normal 37 4 2 2" xfId="4571" xr:uid="{00000000-0005-0000-0000-00007F9A0000}"/>
    <cellStyle name="Normal 37 4 2 2 2" xfId="13143" xr:uid="{00000000-0005-0000-0000-0000809A0000}"/>
    <cellStyle name="Normal 37 4 2 2 3" xfId="18994" xr:uid="{00000000-0005-0000-0000-0000819A0000}"/>
    <cellStyle name="Normal 37 4 2 3" xfId="13142" xr:uid="{00000000-0005-0000-0000-0000829A0000}"/>
    <cellStyle name="Normal 37 4 2 4" xfId="18993" xr:uid="{00000000-0005-0000-0000-0000839A0000}"/>
    <cellStyle name="Normal 37 4 2_LNG &amp; LPG rework" xfId="7363" xr:uid="{00000000-0005-0000-0000-0000849A0000}"/>
    <cellStyle name="Normal 37 4 3" xfId="4572" xr:uid="{00000000-0005-0000-0000-0000859A0000}"/>
    <cellStyle name="Normal 37 4 3 2" xfId="13144" xr:uid="{00000000-0005-0000-0000-0000869A0000}"/>
    <cellStyle name="Normal 37 4 3 3" xfId="18995" xr:uid="{00000000-0005-0000-0000-0000879A0000}"/>
    <cellStyle name="Normal 37 4 4" xfId="13141" xr:uid="{00000000-0005-0000-0000-0000889A0000}"/>
    <cellStyle name="Normal 37 4 5" xfId="18992" xr:uid="{00000000-0005-0000-0000-0000899A0000}"/>
    <cellStyle name="Normal 37 4_LNG &amp; LPG rework" xfId="7362" xr:uid="{00000000-0005-0000-0000-00008A9A0000}"/>
    <cellStyle name="Normal 37 5" xfId="4573" xr:uid="{00000000-0005-0000-0000-00008B9A0000}"/>
    <cellStyle name="Normal 37 5 2" xfId="4574" xr:uid="{00000000-0005-0000-0000-00008C9A0000}"/>
    <cellStyle name="Normal 37 5 2 2" xfId="13146" xr:uid="{00000000-0005-0000-0000-00008D9A0000}"/>
    <cellStyle name="Normal 37 5 2 3" xfId="18997" xr:uid="{00000000-0005-0000-0000-00008E9A0000}"/>
    <cellStyle name="Normal 37 5 3" xfId="13145" xr:uid="{00000000-0005-0000-0000-00008F9A0000}"/>
    <cellStyle name="Normal 37 5 4" xfId="18996" xr:uid="{00000000-0005-0000-0000-0000909A0000}"/>
    <cellStyle name="Normal 37 5_LNG &amp; LPG rework" xfId="7364" xr:uid="{00000000-0005-0000-0000-0000919A0000}"/>
    <cellStyle name="Normal 37 6" xfId="4575" xr:uid="{00000000-0005-0000-0000-0000929A0000}"/>
    <cellStyle name="Normal 37 6 2" xfId="13147" xr:uid="{00000000-0005-0000-0000-0000939A0000}"/>
    <cellStyle name="Normal 37 6 3" xfId="18998" xr:uid="{00000000-0005-0000-0000-0000949A0000}"/>
    <cellStyle name="Normal 37 7" xfId="4576" xr:uid="{00000000-0005-0000-0000-0000959A0000}"/>
    <cellStyle name="Normal 37 8" xfId="13124" xr:uid="{00000000-0005-0000-0000-0000969A0000}"/>
    <cellStyle name="Normal 37 9" xfId="18975" xr:uid="{00000000-0005-0000-0000-0000979A0000}"/>
    <cellStyle name="Normal 37_LNG &amp; LPG rework" xfId="7353" xr:uid="{00000000-0005-0000-0000-0000989A0000}"/>
    <cellStyle name="Normal 38" xfId="4577" xr:uid="{00000000-0005-0000-0000-0000999A0000}"/>
    <cellStyle name="Normal 38 2" xfId="4578" xr:uid="{00000000-0005-0000-0000-00009A9A0000}"/>
    <cellStyle name="Normal 38 3" xfId="4579" xr:uid="{00000000-0005-0000-0000-00009B9A0000}"/>
    <cellStyle name="Normal 38 4" xfId="4580" xr:uid="{00000000-0005-0000-0000-00009C9A0000}"/>
    <cellStyle name="Normal 38_LNG &amp; LPG rework" xfId="7365" xr:uid="{00000000-0005-0000-0000-00009D9A0000}"/>
    <cellStyle name="Normal 39" xfId="4581" xr:uid="{00000000-0005-0000-0000-00009E9A0000}"/>
    <cellStyle name="Normal 39 2" xfId="4582" xr:uid="{00000000-0005-0000-0000-00009F9A0000}"/>
    <cellStyle name="Normal 39 2 2" xfId="4583" xr:uid="{00000000-0005-0000-0000-0000A09A0000}"/>
    <cellStyle name="Normal 39 2 2 2" xfId="4584" xr:uid="{00000000-0005-0000-0000-0000A19A0000}"/>
    <cellStyle name="Normal 39 2 2 2 2" xfId="4585" xr:uid="{00000000-0005-0000-0000-0000A29A0000}"/>
    <cellStyle name="Normal 39 2 2 2 2 2" xfId="13152" xr:uid="{00000000-0005-0000-0000-0000A39A0000}"/>
    <cellStyle name="Normal 39 2 2 2 2 3" xfId="19003" xr:uid="{00000000-0005-0000-0000-0000A49A0000}"/>
    <cellStyle name="Normal 39 2 2 2 3" xfId="13151" xr:uid="{00000000-0005-0000-0000-0000A59A0000}"/>
    <cellStyle name="Normal 39 2 2 2 4" xfId="19002" xr:uid="{00000000-0005-0000-0000-0000A69A0000}"/>
    <cellStyle name="Normal 39 2 2 2_LNG &amp; LPG rework" xfId="7369" xr:uid="{00000000-0005-0000-0000-0000A79A0000}"/>
    <cellStyle name="Normal 39 2 2 3" xfId="4586" xr:uid="{00000000-0005-0000-0000-0000A89A0000}"/>
    <cellStyle name="Normal 39 2 2 3 2" xfId="13153" xr:uid="{00000000-0005-0000-0000-0000A99A0000}"/>
    <cellStyle name="Normal 39 2 2 3 3" xfId="19004" xr:uid="{00000000-0005-0000-0000-0000AA9A0000}"/>
    <cellStyle name="Normal 39 2 2 4" xfId="4587" xr:uid="{00000000-0005-0000-0000-0000AB9A0000}"/>
    <cellStyle name="Normal 39 2 2 4 2" xfId="13154" xr:uid="{00000000-0005-0000-0000-0000AC9A0000}"/>
    <cellStyle name="Normal 39 2 2 4 3" xfId="19005" xr:uid="{00000000-0005-0000-0000-0000AD9A0000}"/>
    <cellStyle name="Normal 39 2 2 5" xfId="4588" xr:uid="{00000000-0005-0000-0000-0000AE9A0000}"/>
    <cellStyle name="Normal 39 2 2 5 2" xfId="13155" xr:uid="{00000000-0005-0000-0000-0000AF9A0000}"/>
    <cellStyle name="Normal 39 2 2 5 3" xfId="19006" xr:uid="{00000000-0005-0000-0000-0000B09A0000}"/>
    <cellStyle name="Normal 39 2 2 6" xfId="13150" xr:uid="{00000000-0005-0000-0000-0000B19A0000}"/>
    <cellStyle name="Normal 39 2 2 7" xfId="19001" xr:uid="{00000000-0005-0000-0000-0000B29A0000}"/>
    <cellStyle name="Normal 39 2 2_LNG &amp; LPG rework" xfId="7368" xr:uid="{00000000-0005-0000-0000-0000B39A0000}"/>
    <cellStyle name="Normal 39 2 3" xfId="4589" xr:uid="{00000000-0005-0000-0000-0000B49A0000}"/>
    <cellStyle name="Normal 39 2 3 2" xfId="4590" xr:uid="{00000000-0005-0000-0000-0000B59A0000}"/>
    <cellStyle name="Normal 39 2 3 2 2" xfId="13157" xr:uid="{00000000-0005-0000-0000-0000B69A0000}"/>
    <cellStyle name="Normal 39 2 3 2 3" xfId="19008" xr:uid="{00000000-0005-0000-0000-0000B79A0000}"/>
    <cellStyle name="Normal 39 2 3 3" xfId="13156" xr:uid="{00000000-0005-0000-0000-0000B89A0000}"/>
    <cellStyle name="Normal 39 2 3 4" xfId="19007" xr:uid="{00000000-0005-0000-0000-0000B99A0000}"/>
    <cellStyle name="Normal 39 2 3_LNG &amp; LPG rework" xfId="7370" xr:uid="{00000000-0005-0000-0000-0000BA9A0000}"/>
    <cellStyle name="Normal 39 2 4" xfId="4591" xr:uid="{00000000-0005-0000-0000-0000BB9A0000}"/>
    <cellStyle name="Normal 39 2 4 2" xfId="13158" xr:uid="{00000000-0005-0000-0000-0000BC9A0000}"/>
    <cellStyle name="Normal 39 2 4 3" xfId="19009" xr:uid="{00000000-0005-0000-0000-0000BD9A0000}"/>
    <cellStyle name="Normal 39 2 5" xfId="4592" xr:uid="{00000000-0005-0000-0000-0000BE9A0000}"/>
    <cellStyle name="Normal 39 2 5 2" xfId="13159" xr:uid="{00000000-0005-0000-0000-0000BF9A0000}"/>
    <cellStyle name="Normal 39 2 5 3" xfId="19010" xr:uid="{00000000-0005-0000-0000-0000C09A0000}"/>
    <cellStyle name="Normal 39 2 6" xfId="4593" xr:uid="{00000000-0005-0000-0000-0000C19A0000}"/>
    <cellStyle name="Normal 39 2 6 2" xfId="13160" xr:uid="{00000000-0005-0000-0000-0000C29A0000}"/>
    <cellStyle name="Normal 39 2 6 3" xfId="19011" xr:uid="{00000000-0005-0000-0000-0000C39A0000}"/>
    <cellStyle name="Normal 39 2 7" xfId="13149" xr:uid="{00000000-0005-0000-0000-0000C49A0000}"/>
    <cellStyle name="Normal 39 2 8" xfId="19000" xr:uid="{00000000-0005-0000-0000-0000C59A0000}"/>
    <cellStyle name="Normal 39 2_LNG &amp; LPG rework" xfId="7367" xr:uid="{00000000-0005-0000-0000-0000C69A0000}"/>
    <cellStyle name="Normal 39 3" xfId="4594" xr:uid="{00000000-0005-0000-0000-0000C79A0000}"/>
    <cellStyle name="Normal 39 3 2" xfId="4595" xr:uid="{00000000-0005-0000-0000-0000C89A0000}"/>
    <cellStyle name="Normal 39 3 2 2" xfId="4596" xr:uid="{00000000-0005-0000-0000-0000C99A0000}"/>
    <cellStyle name="Normal 39 3 2 2 2" xfId="4597" xr:uid="{00000000-0005-0000-0000-0000CA9A0000}"/>
    <cellStyle name="Normal 39 3 2 2 2 2" xfId="13164" xr:uid="{00000000-0005-0000-0000-0000CB9A0000}"/>
    <cellStyle name="Normal 39 3 2 2 2 3" xfId="19015" xr:uid="{00000000-0005-0000-0000-0000CC9A0000}"/>
    <cellStyle name="Normal 39 3 2 2 3" xfId="13163" xr:uid="{00000000-0005-0000-0000-0000CD9A0000}"/>
    <cellStyle name="Normal 39 3 2 2 4" xfId="19014" xr:uid="{00000000-0005-0000-0000-0000CE9A0000}"/>
    <cellStyle name="Normal 39 3 2 2_LNG &amp; LPG rework" xfId="7373" xr:uid="{00000000-0005-0000-0000-0000CF9A0000}"/>
    <cellStyle name="Normal 39 3 2 3" xfId="4598" xr:uid="{00000000-0005-0000-0000-0000D09A0000}"/>
    <cellStyle name="Normal 39 3 2 3 2" xfId="13165" xr:uid="{00000000-0005-0000-0000-0000D19A0000}"/>
    <cellStyle name="Normal 39 3 2 3 3" xfId="19016" xr:uid="{00000000-0005-0000-0000-0000D29A0000}"/>
    <cellStyle name="Normal 39 3 2 4" xfId="13162" xr:uid="{00000000-0005-0000-0000-0000D39A0000}"/>
    <cellStyle name="Normal 39 3 2 5" xfId="19013" xr:uid="{00000000-0005-0000-0000-0000D49A0000}"/>
    <cellStyle name="Normal 39 3 2_LNG &amp; LPG rework" xfId="7372" xr:uid="{00000000-0005-0000-0000-0000D59A0000}"/>
    <cellStyle name="Normal 39 3 3" xfId="4599" xr:uid="{00000000-0005-0000-0000-0000D69A0000}"/>
    <cellStyle name="Normal 39 3 3 2" xfId="4600" xr:uid="{00000000-0005-0000-0000-0000D79A0000}"/>
    <cellStyle name="Normal 39 3 3 2 2" xfId="13167" xr:uid="{00000000-0005-0000-0000-0000D89A0000}"/>
    <cellStyle name="Normal 39 3 3 2 3" xfId="19018" xr:uid="{00000000-0005-0000-0000-0000D99A0000}"/>
    <cellStyle name="Normal 39 3 3 3" xfId="13166" xr:uid="{00000000-0005-0000-0000-0000DA9A0000}"/>
    <cellStyle name="Normal 39 3 3 4" xfId="19017" xr:uid="{00000000-0005-0000-0000-0000DB9A0000}"/>
    <cellStyle name="Normal 39 3 3_LNG &amp; LPG rework" xfId="7374" xr:uid="{00000000-0005-0000-0000-0000DC9A0000}"/>
    <cellStyle name="Normal 39 3 4" xfId="4601" xr:uid="{00000000-0005-0000-0000-0000DD9A0000}"/>
    <cellStyle name="Normal 39 3 4 2" xfId="13168" xr:uid="{00000000-0005-0000-0000-0000DE9A0000}"/>
    <cellStyle name="Normal 39 3 4 3" xfId="19019" xr:uid="{00000000-0005-0000-0000-0000DF9A0000}"/>
    <cellStyle name="Normal 39 3 5" xfId="4602" xr:uid="{00000000-0005-0000-0000-0000E09A0000}"/>
    <cellStyle name="Normal 39 3 6" xfId="13161" xr:uid="{00000000-0005-0000-0000-0000E19A0000}"/>
    <cellStyle name="Normal 39 3 7" xfId="19012" xr:uid="{00000000-0005-0000-0000-0000E29A0000}"/>
    <cellStyle name="Normal 39 3_LNG &amp; LPG rework" xfId="7371" xr:uid="{00000000-0005-0000-0000-0000E39A0000}"/>
    <cellStyle name="Normal 39 4" xfId="4603" xr:uid="{00000000-0005-0000-0000-0000E49A0000}"/>
    <cellStyle name="Normal 39 4 2" xfId="4604" xr:uid="{00000000-0005-0000-0000-0000E59A0000}"/>
    <cellStyle name="Normal 39 4 2 2" xfId="4605" xr:uid="{00000000-0005-0000-0000-0000E69A0000}"/>
    <cellStyle name="Normal 39 4 2 2 2" xfId="13171" xr:uid="{00000000-0005-0000-0000-0000E79A0000}"/>
    <cellStyle name="Normal 39 4 2 2 3" xfId="19022" xr:uid="{00000000-0005-0000-0000-0000E89A0000}"/>
    <cellStyle name="Normal 39 4 2 3" xfId="13170" xr:uid="{00000000-0005-0000-0000-0000E99A0000}"/>
    <cellStyle name="Normal 39 4 2 4" xfId="19021" xr:uid="{00000000-0005-0000-0000-0000EA9A0000}"/>
    <cellStyle name="Normal 39 4 2_LNG &amp; LPG rework" xfId="7376" xr:uid="{00000000-0005-0000-0000-0000EB9A0000}"/>
    <cellStyle name="Normal 39 4 3" xfId="4606" xr:uid="{00000000-0005-0000-0000-0000EC9A0000}"/>
    <cellStyle name="Normal 39 4 3 2" xfId="13172" xr:uid="{00000000-0005-0000-0000-0000ED9A0000}"/>
    <cellStyle name="Normal 39 4 3 3" xfId="19023" xr:uid="{00000000-0005-0000-0000-0000EE9A0000}"/>
    <cellStyle name="Normal 39 4 4" xfId="13169" xr:uid="{00000000-0005-0000-0000-0000EF9A0000}"/>
    <cellStyle name="Normal 39 4 5" xfId="19020" xr:uid="{00000000-0005-0000-0000-0000F09A0000}"/>
    <cellStyle name="Normal 39 4_LNG &amp; LPG rework" xfId="7375" xr:uid="{00000000-0005-0000-0000-0000F19A0000}"/>
    <cellStyle name="Normal 39 5" xfId="4607" xr:uid="{00000000-0005-0000-0000-0000F29A0000}"/>
    <cellStyle name="Normal 39 5 2" xfId="4608" xr:uid="{00000000-0005-0000-0000-0000F39A0000}"/>
    <cellStyle name="Normal 39 5 2 2" xfId="13174" xr:uid="{00000000-0005-0000-0000-0000F49A0000}"/>
    <cellStyle name="Normal 39 5 2 3" xfId="19025" xr:uid="{00000000-0005-0000-0000-0000F59A0000}"/>
    <cellStyle name="Normal 39 5 3" xfId="13173" xr:uid="{00000000-0005-0000-0000-0000F69A0000}"/>
    <cellStyle name="Normal 39 5 4" xfId="19024" xr:uid="{00000000-0005-0000-0000-0000F79A0000}"/>
    <cellStyle name="Normal 39 5_LNG &amp; LPG rework" xfId="7377" xr:uid="{00000000-0005-0000-0000-0000F89A0000}"/>
    <cellStyle name="Normal 39 6" xfId="4609" xr:uid="{00000000-0005-0000-0000-0000F99A0000}"/>
    <cellStyle name="Normal 39 6 2" xfId="13175" xr:uid="{00000000-0005-0000-0000-0000FA9A0000}"/>
    <cellStyle name="Normal 39 6 3" xfId="19026" xr:uid="{00000000-0005-0000-0000-0000FB9A0000}"/>
    <cellStyle name="Normal 39 7" xfId="4610" xr:uid="{00000000-0005-0000-0000-0000FC9A0000}"/>
    <cellStyle name="Normal 39 8" xfId="13148" xr:uid="{00000000-0005-0000-0000-0000FD9A0000}"/>
    <cellStyle name="Normal 39 9" xfId="18999" xr:uid="{00000000-0005-0000-0000-0000FE9A0000}"/>
    <cellStyle name="Normal 39_LNG &amp; LPG rework" xfId="7366" xr:uid="{00000000-0005-0000-0000-0000FF9A0000}"/>
    <cellStyle name="Normal 4" xfId="45" xr:uid="{00000000-0005-0000-0000-0000009B0000}"/>
    <cellStyle name="Normal 4 10" xfId="4611" xr:uid="{00000000-0005-0000-0000-0000019B0000}"/>
    <cellStyle name="Normal 4 10 2" xfId="13176" xr:uid="{00000000-0005-0000-0000-0000029B0000}"/>
    <cellStyle name="Normal 4 10 3" xfId="19027" xr:uid="{00000000-0005-0000-0000-0000039B0000}"/>
    <cellStyle name="Normal 4 11" xfId="8959" xr:uid="{00000000-0005-0000-0000-0000049B0000}"/>
    <cellStyle name="Normal 4 12" xfId="14882" xr:uid="{00000000-0005-0000-0000-0000059B0000}"/>
    <cellStyle name="Normal 4 12 2" xfId="39185" xr:uid="{00000000-0005-0000-0000-0000069B0000}"/>
    <cellStyle name="Normal 4 13" xfId="20813" xr:uid="{00000000-0005-0000-0000-0000079B0000}"/>
    <cellStyle name="Normal 4 14" xfId="20819" xr:uid="{00000000-0005-0000-0000-0000089B0000}"/>
    <cellStyle name="Normal 4 15" xfId="20820" xr:uid="{00000000-0005-0000-0000-0000099B0000}"/>
    <cellStyle name="Normal 4 16" xfId="26189" xr:uid="{00000000-0005-0000-0000-00000A9B0000}"/>
    <cellStyle name="Normal 4 16 2" xfId="29462" xr:uid="{00000000-0005-0000-0000-00000B9B0000}"/>
    <cellStyle name="Normal 4 17" xfId="29465" xr:uid="{00000000-0005-0000-0000-00000C9B0000}"/>
    <cellStyle name="Normal 4 18" xfId="29486" xr:uid="{00000000-0005-0000-0000-00000D9B0000}"/>
    <cellStyle name="Normal 4 19" xfId="29490" xr:uid="{00000000-0005-0000-0000-00000E9B0000}"/>
    <cellStyle name="Normal 4 2" xfId="121" xr:uid="{00000000-0005-0000-0000-00000F9B0000}"/>
    <cellStyle name="Normal 4 2 2" xfId="475" xr:uid="{00000000-0005-0000-0000-0000109B0000}"/>
    <cellStyle name="Normal 4 2 3" xfId="9013" xr:uid="{00000000-0005-0000-0000-0000119B0000}"/>
    <cellStyle name="Normal 4 2 4" xfId="14985" xr:uid="{00000000-0005-0000-0000-0000129B0000}"/>
    <cellStyle name="Normal 4 2_LNG &amp; LPG rework" xfId="6550" xr:uid="{00000000-0005-0000-0000-0000139B0000}"/>
    <cellStyle name="Normal 4 20" xfId="29491" xr:uid="{00000000-0005-0000-0000-0000149B0000}"/>
    <cellStyle name="Normal 4 21" xfId="29492" xr:uid="{00000000-0005-0000-0000-0000159B0000}"/>
    <cellStyle name="Normal 4 22" xfId="29495" xr:uid="{00000000-0005-0000-0000-0000169B0000}"/>
    <cellStyle name="Normal 4 23" xfId="29497" xr:uid="{00000000-0005-0000-0000-0000179B0000}"/>
    <cellStyle name="Normal 4 24" xfId="29498" xr:uid="{00000000-0005-0000-0000-0000189B0000}"/>
    <cellStyle name="Normal 4 25" xfId="29515" xr:uid="{00000000-0005-0000-0000-0000199B0000}"/>
    <cellStyle name="Normal 4 3" xfId="474" xr:uid="{00000000-0005-0000-0000-00001A9B0000}"/>
    <cellStyle name="Normal 4 4" xfId="4612" xr:uid="{00000000-0005-0000-0000-00001B9B0000}"/>
    <cellStyle name="Normal 4 5" xfId="4613" xr:uid="{00000000-0005-0000-0000-00001C9B0000}"/>
    <cellStyle name="Normal 4 6" xfId="4614" xr:uid="{00000000-0005-0000-0000-00001D9B0000}"/>
    <cellStyle name="Normal 4 7" xfId="4615" xr:uid="{00000000-0005-0000-0000-00001E9B0000}"/>
    <cellStyle name="Normal 4 8" xfId="4616" xr:uid="{00000000-0005-0000-0000-00001F9B0000}"/>
    <cellStyle name="Normal 4 9" xfId="4617" xr:uid="{00000000-0005-0000-0000-0000209B0000}"/>
    <cellStyle name="Normal 4_2015  Data" xfId="476" xr:uid="{00000000-0005-0000-0000-0000219B0000}"/>
    <cellStyle name="Normal 40" xfId="4618" xr:uid="{00000000-0005-0000-0000-0000229B0000}"/>
    <cellStyle name="Normal 40 10" xfId="20822" xr:uid="{00000000-0005-0000-0000-0000239B0000}"/>
    <cellStyle name="Normal 40 2" xfId="4619" xr:uid="{00000000-0005-0000-0000-0000249B0000}"/>
    <cellStyle name="Normal 40 2 2" xfId="4620" xr:uid="{00000000-0005-0000-0000-0000259B0000}"/>
    <cellStyle name="Normal 40 2 2 2" xfId="4621" xr:uid="{00000000-0005-0000-0000-0000269B0000}"/>
    <cellStyle name="Normal 40 2 2 2 2" xfId="4622" xr:uid="{00000000-0005-0000-0000-0000279B0000}"/>
    <cellStyle name="Normal 40 2 2 2 2 2" xfId="13180" xr:uid="{00000000-0005-0000-0000-0000289B0000}"/>
    <cellStyle name="Normal 40 2 2 2 2 3" xfId="19031" xr:uid="{00000000-0005-0000-0000-0000299B0000}"/>
    <cellStyle name="Normal 40 2 2 2 3" xfId="13179" xr:uid="{00000000-0005-0000-0000-00002A9B0000}"/>
    <cellStyle name="Normal 40 2 2 2 4" xfId="19030" xr:uid="{00000000-0005-0000-0000-00002B9B0000}"/>
    <cellStyle name="Normal 40 2 2 2_LNG &amp; LPG rework" xfId="7380" xr:uid="{00000000-0005-0000-0000-00002C9B0000}"/>
    <cellStyle name="Normal 40 2 2 3" xfId="4623" xr:uid="{00000000-0005-0000-0000-00002D9B0000}"/>
    <cellStyle name="Normal 40 2 2 3 2" xfId="13181" xr:uid="{00000000-0005-0000-0000-00002E9B0000}"/>
    <cellStyle name="Normal 40 2 2 3 3" xfId="19032" xr:uid="{00000000-0005-0000-0000-00002F9B0000}"/>
    <cellStyle name="Normal 40 2 2 4" xfId="13178" xr:uid="{00000000-0005-0000-0000-0000309B0000}"/>
    <cellStyle name="Normal 40 2 2 5" xfId="19029" xr:uid="{00000000-0005-0000-0000-0000319B0000}"/>
    <cellStyle name="Normal 40 2 2_LNG &amp; LPG rework" xfId="7379" xr:uid="{00000000-0005-0000-0000-0000329B0000}"/>
    <cellStyle name="Normal 40 2 3" xfId="4624" xr:uid="{00000000-0005-0000-0000-0000339B0000}"/>
    <cellStyle name="Normal 40 2 3 2" xfId="4625" xr:uid="{00000000-0005-0000-0000-0000349B0000}"/>
    <cellStyle name="Normal 40 2 3 2 2" xfId="13183" xr:uid="{00000000-0005-0000-0000-0000359B0000}"/>
    <cellStyle name="Normal 40 2 3 2 3" xfId="19034" xr:uid="{00000000-0005-0000-0000-0000369B0000}"/>
    <cellStyle name="Normal 40 2 3 3" xfId="13182" xr:uid="{00000000-0005-0000-0000-0000379B0000}"/>
    <cellStyle name="Normal 40 2 3 4" xfId="19033" xr:uid="{00000000-0005-0000-0000-0000389B0000}"/>
    <cellStyle name="Normal 40 2 3_LNG &amp; LPG rework" xfId="7381" xr:uid="{00000000-0005-0000-0000-0000399B0000}"/>
    <cellStyle name="Normal 40 2 4" xfId="4626" xr:uid="{00000000-0005-0000-0000-00003A9B0000}"/>
    <cellStyle name="Normal 40 2 4 2" xfId="13184" xr:uid="{00000000-0005-0000-0000-00003B9B0000}"/>
    <cellStyle name="Normal 40 2 4 3" xfId="19035" xr:uid="{00000000-0005-0000-0000-00003C9B0000}"/>
    <cellStyle name="Normal 40 2 5" xfId="4627" xr:uid="{00000000-0005-0000-0000-00003D9B0000}"/>
    <cellStyle name="Normal 40 2 6" xfId="13177" xr:uid="{00000000-0005-0000-0000-00003E9B0000}"/>
    <cellStyle name="Normal 40 2 7" xfId="19028" xr:uid="{00000000-0005-0000-0000-00003F9B0000}"/>
    <cellStyle name="Normal 40 2_LNG &amp; LPG rework" xfId="7378" xr:uid="{00000000-0005-0000-0000-0000409B0000}"/>
    <cellStyle name="Normal 40 3" xfId="4628" xr:uid="{00000000-0005-0000-0000-0000419B0000}"/>
    <cellStyle name="Normal 40 3 2" xfId="4629" xr:uid="{00000000-0005-0000-0000-0000429B0000}"/>
    <cellStyle name="Normal 40 3 2 2" xfId="4630" xr:uid="{00000000-0005-0000-0000-0000439B0000}"/>
    <cellStyle name="Normal 40 3 2 2 2" xfId="4631" xr:uid="{00000000-0005-0000-0000-0000449B0000}"/>
    <cellStyle name="Normal 40 3 2 2 2 2" xfId="13188" xr:uid="{00000000-0005-0000-0000-0000459B0000}"/>
    <cellStyle name="Normal 40 3 2 2 2 3" xfId="19039" xr:uid="{00000000-0005-0000-0000-0000469B0000}"/>
    <cellStyle name="Normal 40 3 2 2 3" xfId="13187" xr:uid="{00000000-0005-0000-0000-0000479B0000}"/>
    <cellStyle name="Normal 40 3 2 2 4" xfId="19038" xr:uid="{00000000-0005-0000-0000-0000489B0000}"/>
    <cellStyle name="Normal 40 3 2 2_LNG &amp; LPG rework" xfId="7384" xr:uid="{00000000-0005-0000-0000-0000499B0000}"/>
    <cellStyle name="Normal 40 3 2 3" xfId="4632" xr:uid="{00000000-0005-0000-0000-00004A9B0000}"/>
    <cellStyle name="Normal 40 3 2 3 2" xfId="13189" xr:uid="{00000000-0005-0000-0000-00004B9B0000}"/>
    <cellStyle name="Normal 40 3 2 3 3" xfId="19040" xr:uid="{00000000-0005-0000-0000-00004C9B0000}"/>
    <cellStyle name="Normal 40 3 2 4" xfId="13186" xr:uid="{00000000-0005-0000-0000-00004D9B0000}"/>
    <cellStyle name="Normal 40 3 2 5" xfId="19037" xr:uid="{00000000-0005-0000-0000-00004E9B0000}"/>
    <cellStyle name="Normal 40 3 2_LNG &amp; LPG rework" xfId="7383" xr:uid="{00000000-0005-0000-0000-00004F9B0000}"/>
    <cellStyle name="Normal 40 3 3" xfId="4633" xr:uid="{00000000-0005-0000-0000-0000509B0000}"/>
    <cellStyle name="Normal 40 3 3 2" xfId="4634" xr:uid="{00000000-0005-0000-0000-0000519B0000}"/>
    <cellStyle name="Normal 40 3 3 2 2" xfId="13191" xr:uid="{00000000-0005-0000-0000-0000529B0000}"/>
    <cellStyle name="Normal 40 3 3 2 3" xfId="19042" xr:uid="{00000000-0005-0000-0000-0000539B0000}"/>
    <cellStyle name="Normal 40 3 3 3" xfId="13190" xr:uid="{00000000-0005-0000-0000-0000549B0000}"/>
    <cellStyle name="Normal 40 3 3 4" xfId="19041" xr:uid="{00000000-0005-0000-0000-0000559B0000}"/>
    <cellStyle name="Normal 40 3 3_LNG &amp; LPG rework" xfId="7385" xr:uid="{00000000-0005-0000-0000-0000569B0000}"/>
    <cellStyle name="Normal 40 3 4" xfId="4635" xr:uid="{00000000-0005-0000-0000-0000579B0000}"/>
    <cellStyle name="Normal 40 3 4 2" xfId="13192" xr:uid="{00000000-0005-0000-0000-0000589B0000}"/>
    <cellStyle name="Normal 40 3 4 3" xfId="19043" xr:uid="{00000000-0005-0000-0000-0000599B0000}"/>
    <cellStyle name="Normal 40 3 5" xfId="4636" xr:uid="{00000000-0005-0000-0000-00005A9B0000}"/>
    <cellStyle name="Normal 40 3 6" xfId="13185" xr:uid="{00000000-0005-0000-0000-00005B9B0000}"/>
    <cellStyle name="Normal 40 3 7" xfId="19036" xr:uid="{00000000-0005-0000-0000-00005C9B0000}"/>
    <cellStyle name="Normal 40 3_LNG &amp; LPG rework" xfId="7382" xr:uid="{00000000-0005-0000-0000-00005D9B0000}"/>
    <cellStyle name="Normal 40 4" xfId="4637" xr:uid="{00000000-0005-0000-0000-00005E9B0000}"/>
    <cellStyle name="Normal 40 4 2" xfId="4638" xr:uid="{00000000-0005-0000-0000-00005F9B0000}"/>
    <cellStyle name="Normal 40 4 2 2" xfId="4639" xr:uid="{00000000-0005-0000-0000-0000609B0000}"/>
    <cellStyle name="Normal 40 4 2 2 2" xfId="13195" xr:uid="{00000000-0005-0000-0000-0000619B0000}"/>
    <cellStyle name="Normal 40 4 2 2 3" xfId="19046" xr:uid="{00000000-0005-0000-0000-0000629B0000}"/>
    <cellStyle name="Normal 40 4 2 3" xfId="13194" xr:uid="{00000000-0005-0000-0000-0000639B0000}"/>
    <cellStyle name="Normal 40 4 2 4" xfId="19045" xr:uid="{00000000-0005-0000-0000-0000649B0000}"/>
    <cellStyle name="Normal 40 4 2_LNG &amp; LPG rework" xfId="7387" xr:uid="{00000000-0005-0000-0000-0000659B0000}"/>
    <cellStyle name="Normal 40 4 3" xfId="4640" xr:uid="{00000000-0005-0000-0000-0000669B0000}"/>
    <cellStyle name="Normal 40 4 3 2" xfId="13196" xr:uid="{00000000-0005-0000-0000-0000679B0000}"/>
    <cellStyle name="Normal 40 4 3 3" xfId="19047" xr:uid="{00000000-0005-0000-0000-0000689B0000}"/>
    <cellStyle name="Normal 40 4 4" xfId="13193" xr:uid="{00000000-0005-0000-0000-0000699B0000}"/>
    <cellStyle name="Normal 40 4 5" xfId="19044" xr:uid="{00000000-0005-0000-0000-00006A9B0000}"/>
    <cellStyle name="Normal 40 4_LNG &amp; LPG rework" xfId="7386" xr:uid="{00000000-0005-0000-0000-00006B9B0000}"/>
    <cellStyle name="Normal 40 5" xfId="4641" xr:uid="{00000000-0005-0000-0000-00006C9B0000}"/>
    <cellStyle name="Normal 40 5 2" xfId="4642" xr:uid="{00000000-0005-0000-0000-00006D9B0000}"/>
    <cellStyle name="Normal 40 5 2 2" xfId="13198" xr:uid="{00000000-0005-0000-0000-00006E9B0000}"/>
    <cellStyle name="Normal 40 5 2 3" xfId="19049" xr:uid="{00000000-0005-0000-0000-00006F9B0000}"/>
    <cellStyle name="Normal 40 5 3" xfId="13197" xr:uid="{00000000-0005-0000-0000-0000709B0000}"/>
    <cellStyle name="Normal 40 5 4" xfId="19048" xr:uid="{00000000-0005-0000-0000-0000719B0000}"/>
    <cellStyle name="Normal 40 5_LNG &amp; LPG rework" xfId="7388" xr:uid="{00000000-0005-0000-0000-0000729B0000}"/>
    <cellStyle name="Normal 40 6" xfId="4643" xr:uid="{00000000-0005-0000-0000-0000739B0000}"/>
    <cellStyle name="Normal 40 6 2" xfId="13199" xr:uid="{00000000-0005-0000-0000-0000749B0000}"/>
    <cellStyle name="Normal 40 6 3" xfId="19050" xr:uid="{00000000-0005-0000-0000-0000759B0000}"/>
    <cellStyle name="Normal 40 7" xfId="4644" xr:uid="{00000000-0005-0000-0000-0000769B0000}"/>
    <cellStyle name="Normal 40 8" xfId="7826" xr:uid="{00000000-0005-0000-0000-0000779B0000}"/>
    <cellStyle name="Normal 40 9" xfId="8903" xr:uid="{00000000-0005-0000-0000-0000789B0000}"/>
    <cellStyle name="Normal 40_Data - Monthly Commodity Prices" xfId="6518" xr:uid="{00000000-0005-0000-0000-0000799B0000}"/>
    <cellStyle name="Normal 41" xfId="4645" xr:uid="{00000000-0005-0000-0000-00007A9B0000}"/>
    <cellStyle name="Normal 41 2" xfId="4646" xr:uid="{00000000-0005-0000-0000-00007B9B0000}"/>
    <cellStyle name="Normal 41 2 2" xfId="4647" xr:uid="{00000000-0005-0000-0000-00007C9B0000}"/>
    <cellStyle name="Normal 41 2 2 2" xfId="4648" xr:uid="{00000000-0005-0000-0000-00007D9B0000}"/>
    <cellStyle name="Normal 41 2 2 2 2" xfId="4649" xr:uid="{00000000-0005-0000-0000-00007E9B0000}"/>
    <cellStyle name="Normal 41 2 2 2 2 2" xfId="13204" xr:uid="{00000000-0005-0000-0000-00007F9B0000}"/>
    <cellStyle name="Normal 41 2 2 2 2 3" xfId="19055" xr:uid="{00000000-0005-0000-0000-0000809B0000}"/>
    <cellStyle name="Normal 41 2 2 2 3" xfId="13203" xr:uid="{00000000-0005-0000-0000-0000819B0000}"/>
    <cellStyle name="Normal 41 2 2 2 4" xfId="19054" xr:uid="{00000000-0005-0000-0000-0000829B0000}"/>
    <cellStyle name="Normal 41 2 2 2_LNG &amp; LPG rework" xfId="7392" xr:uid="{00000000-0005-0000-0000-0000839B0000}"/>
    <cellStyle name="Normal 41 2 2 3" xfId="4650" xr:uid="{00000000-0005-0000-0000-0000849B0000}"/>
    <cellStyle name="Normal 41 2 2 3 2" xfId="13205" xr:uid="{00000000-0005-0000-0000-0000859B0000}"/>
    <cellStyle name="Normal 41 2 2 3 3" xfId="19056" xr:uid="{00000000-0005-0000-0000-0000869B0000}"/>
    <cellStyle name="Normal 41 2 2 4" xfId="13202" xr:uid="{00000000-0005-0000-0000-0000879B0000}"/>
    <cellStyle name="Normal 41 2 2 5" xfId="19053" xr:uid="{00000000-0005-0000-0000-0000889B0000}"/>
    <cellStyle name="Normal 41 2 2_LNG &amp; LPG rework" xfId="7391" xr:uid="{00000000-0005-0000-0000-0000899B0000}"/>
    <cellStyle name="Normal 41 2 3" xfId="4651" xr:uid="{00000000-0005-0000-0000-00008A9B0000}"/>
    <cellStyle name="Normal 41 2 3 2" xfId="4652" xr:uid="{00000000-0005-0000-0000-00008B9B0000}"/>
    <cellStyle name="Normal 41 2 3 2 2" xfId="13207" xr:uid="{00000000-0005-0000-0000-00008C9B0000}"/>
    <cellStyle name="Normal 41 2 3 2 3" xfId="19058" xr:uid="{00000000-0005-0000-0000-00008D9B0000}"/>
    <cellStyle name="Normal 41 2 3 3" xfId="13206" xr:uid="{00000000-0005-0000-0000-00008E9B0000}"/>
    <cellStyle name="Normal 41 2 3 4" xfId="19057" xr:uid="{00000000-0005-0000-0000-00008F9B0000}"/>
    <cellStyle name="Normal 41 2 3_LNG &amp; LPG rework" xfId="7393" xr:uid="{00000000-0005-0000-0000-0000909B0000}"/>
    <cellStyle name="Normal 41 2 4" xfId="4653" xr:uid="{00000000-0005-0000-0000-0000919B0000}"/>
    <cellStyle name="Normal 41 2 4 2" xfId="13208" xr:uid="{00000000-0005-0000-0000-0000929B0000}"/>
    <cellStyle name="Normal 41 2 4 3" xfId="19059" xr:uid="{00000000-0005-0000-0000-0000939B0000}"/>
    <cellStyle name="Normal 41 2 5" xfId="4654" xr:uid="{00000000-0005-0000-0000-0000949B0000}"/>
    <cellStyle name="Normal 41 2 6" xfId="13201" xr:uid="{00000000-0005-0000-0000-0000959B0000}"/>
    <cellStyle name="Normal 41 2 7" xfId="19052" xr:uid="{00000000-0005-0000-0000-0000969B0000}"/>
    <cellStyle name="Normal 41 2_LNG &amp; LPG rework" xfId="7390" xr:uid="{00000000-0005-0000-0000-0000979B0000}"/>
    <cellStyle name="Normal 41 3" xfId="4655" xr:uid="{00000000-0005-0000-0000-0000989B0000}"/>
    <cellStyle name="Normal 41 3 2" xfId="4656" xr:uid="{00000000-0005-0000-0000-0000999B0000}"/>
    <cellStyle name="Normal 41 3 2 2" xfId="4657" xr:uid="{00000000-0005-0000-0000-00009A9B0000}"/>
    <cellStyle name="Normal 41 3 2 2 2" xfId="4658" xr:uid="{00000000-0005-0000-0000-00009B9B0000}"/>
    <cellStyle name="Normal 41 3 2 2 2 2" xfId="13212" xr:uid="{00000000-0005-0000-0000-00009C9B0000}"/>
    <cellStyle name="Normal 41 3 2 2 2 3" xfId="19063" xr:uid="{00000000-0005-0000-0000-00009D9B0000}"/>
    <cellStyle name="Normal 41 3 2 2 3" xfId="13211" xr:uid="{00000000-0005-0000-0000-00009E9B0000}"/>
    <cellStyle name="Normal 41 3 2 2 4" xfId="19062" xr:uid="{00000000-0005-0000-0000-00009F9B0000}"/>
    <cellStyle name="Normal 41 3 2 2_LNG &amp; LPG rework" xfId="7396" xr:uid="{00000000-0005-0000-0000-0000A09B0000}"/>
    <cellStyle name="Normal 41 3 2 3" xfId="4659" xr:uid="{00000000-0005-0000-0000-0000A19B0000}"/>
    <cellStyle name="Normal 41 3 2 3 2" xfId="13213" xr:uid="{00000000-0005-0000-0000-0000A29B0000}"/>
    <cellStyle name="Normal 41 3 2 3 3" xfId="19064" xr:uid="{00000000-0005-0000-0000-0000A39B0000}"/>
    <cellStyle name="Normal 41 3 2 4" xfId="13210" xr:uid="{00000000-0005-0000-0000-0000A49B0000}"/>
    <cellStyle name="Normal 41 3 2 5" xfId="19061" xr:uid="{00000000-0005-0000-0000-0000A59B0000}"/>
    <cellStyle name="Normal 41 3 2_LNG &amp; LPG rework" xfId="7395" xr:uid="{00000000-0005-0000-0000-0000A69B0000}"/>
    <cellStyle name="Normal 41 3 3" xfId="4660" xr:uid="{00000000-0005-0000-0000-0000A79B0000}"/>
    <cellStyle name="Normal 41 3 3 2" xfId="4661" xr:uid="{00000000-0005-0000-0000-0000A89B0000}"/>
    <cellStyle name="Normal 41 3 3 2 2" xfId="13215" xr:uid="{00000000-0005-0000-0000-0000A99B0000}"/>
    <cellStyle name="Normal 41 3 3 2 3" xfId="19066" xr:uid="{00000000-0005-0000-0000-0000AA9B0000}"/>
    <cellStyle name="Normal 41 3 3 3" xfId="13214" xr:uid="{00000000-0005-0000-0000-0000AB9B0000}"/>
    <cellStyle name="Normal 41 3 3 4" xfId="19065" xr:uid="{00000000-0005-0000-0000-0000AC9B0000}"/>
    <cellStyle name="Normal 41 3 3_LNG &amp; LPG rework" xfId="7397" xr:uid="{00000000-0005-0000-0000-0000AD9B0000}"/>
    <cellStyle name="Normal 41 3 4" xfId="4662" xr:uid="{00000000-0005-0000-0000-0000AE9B0000}"/>
    <cellStyle name="Normal 41 3 4 2" xfId="13216" xr:uid="{00000000-0005-0000-0000-0000AF9B0000}"/>
    <cellStyle name="Normal 41 3 4 3" xfId="19067" xr:uid="{00000000-0005-0000-0000-0000B09B0000}"/>
    <cellStyle name="Normal 41 3 5" xfId="13209" xr:uid="{00000000-0005-0000-0000-0000B19B0000}"/>
    <cellStyle name="Normal 41 3 6" xfId="19060" xr:uid="{00000000-0005-0000-0000-0000B29B0000}"/>
    <cellStyle name="Normal 41 3_LNG &amp; LPG rework" xfId="7394" xr:uid="{00000000-0005-0000-0000-0000B39B0000}"/>
    <cellStyle name="Normal 41 4" xfId="4663" xr:uid="{00000000-0005-0000-0000-0000B49B0000}"/>
    <cellStyle name="Normal 41 4 2" xfId="4664" xr:uid="{00000000-0005-0000-0000-0000B59B0000}"/>
    <cellStyle name="Normal 41 4 2 2" xfId="4665" xr:uid="{00000000-0005-0000-0000-0000B69B0000}"/>
    <cellStyle name="Normal 41 4 2 2 2" xfId="13219" xr:uid="{00000000-0005-0000-0000-0000B79B0000}"/>
    <cellStyle name="Normal 41 4 2 2 3" xfId="19070" xr:uid="{00000000-0005-0000-0000-0000B89B0000}"/>
    <cellStyle name="Normal 41 4 2 3" xfId="13218" xr:uid="{00000000-0005-0000-0000-0000B99B0000}"/>
    <cellStyle name="Normal 41 4 2 4" xfId="19069" xr:uid="{00000000-0005-0000-0000-0000BA9B0000}"/>
    <cellStyle name="Normal 41 4 2_LNG &amp; LPG rework" xfId="7399" xr:uid="{00000000-0005-0000-0000-0000BB9B0000}"/>
    <cellStyle name="Normal 41 4 3" xfId="4666" xr:uid="{00000000-0005-0000-0000-0000BC9B0000}"/>
    <cellStyle name="Normal 41 4 3 2" xfId="13220" xr:uid="{00000000-0005-0000-0000-0000BD9B0000}"/>
    <cellStyle name="Normal 41 4 3 3" xfId="19071" xr:uid="{00000000-0005-0000-0000-0000BE9B0000}"/>
    <cellStyle name="Normal 41 4 4" xfId="13217" xr:uid="{00000000-0005-0000-0000-0000BF9B0000}"/>
    <cellStyle name="Normal 41 4 5" xfId="19068" xr:uid="{00000000-0005-0000-0000-0000C09B0000}"/>
    <cellStyle name="Normal 41 4_LNG &amp; LPG rework" xfId="7398" xr:uid="{00000000-0005-0000-0000-0000C19B0000}"/>
    <cellStyle name="Normal 41 5" xfId="4667" xr:uid="{00000000-0005-0000-0000-0000C29B0000}"/>
    <cellStyle name="Normal 41 5 2" xfId="4668" xr:uid="{00000000-0005-0000-0000-0000C39B0000}"/>
    <cellStyle name="Normal 41 5 2 2" xfId="13222" xr:uid="{00000000-0005-0000-0000-0000C49B0000}"/>
    <cellStyle name="Normal 41 5 2 3" xfId="19073" xr:uid="{00000000-0005-0000-0000-0000C59B0000}"/>
    <cellStyle name="Normal 41 5 3" xfId="13221" xr:uid="{00000000-0005-0000-0000-0000C69B0000}"/>
    <cellStyle name="Normal 41 5 4" xfId="19072" xr:uid="{00000000-0005-0000-0000-0000C79B0000}"/>
    <cellStyle name="Normal 41 5_LNG &amp; LPG rework" xfId="7400" xr:uid="{00000000-0005-0000-0000-0000C89B0000}"/>
    <cellStyle name="Normal 41 6" xfId="4669" xr:uid="{00000000-0005-0000-0000-0000C99B0000}"/>
    <cellStyle name="Normal 41 6 2" xfId="13223" xr:uid="{00000000-0005-0000-0000-0000CA9B0000}"/>
    <cellStyle name="Normal 41 6 3" xfId="19074" xr:uid="{00000000-0005-0000-0000-0000CB9B0000}"/>
    <cellStyle name="Normal 41 7" xfId="4670" xr:uid="{00000000-0005-0000-0000-0000CC9B0000}"/>
    <cellStyle name="Normal 41 8" xfId="13200" xr:uid="{00000000-0005-0000-0000-0000CD9B0000}"/>
    <cellStyle name="Normal 41 9" xfId="19051" xr:uid="{00000000-0005-0000-0000-0000CE9B0000}"/>
    <cellStyle name="Normal 41_LNG &amp; LPG rework" xfId="7389" xr:uid="{00000000-0005-0000-0000-0000CF9B0000}"/>
    <cellStyle name="Normal 42" xfId="4671" xr:uid="{00000000-0005-0000-0000-0000D09B0000}"/>
    <cellStyle name="Normal 42 10" xfId="26211" xr:uid="{00000000-0005-0000-0000-0000D19B0000}"/>
    <cellStyle name="Normal 42 2" xfId="4672" xr:uid="{00000000-0005-0000-0000-0000D29B0000}"/>
    <cellStyle name="Normal 42 2 2" xfId="4673" xr:uid="{00000000-0005-0000-0000-0000D39B0000}"/>
    <cellStyle name="Normal 42 2 2 2" xfId="4674" xr:uid="{00000000-0005-0000-0000-0000D49B0000}"/>
    <cellStyle name="Normal 42 2 2 2 2" xfId="4675" xr:uid="{00000000-0005-0000-0000-0000D59B0000}"/>
    <cellStyle name="Normal 42 2 2 2 2 2" xfId="13228" xr:uid="{00000000-0005-0000-0000-0000D69B0000}"/>
    <cellStyle name="Normal 42 2 2 2 2 3" xfId="19079" xr:uid="{00000000-0005-0000-0000-0000D79B0000}"/>
    <cellStyle name="Normal 42 2 2 2 3" xfId="13227" xr:uid="{00000000-0005-0000-0000-0000D89B0000}"/>
    <cellStyle name="Normal 42 2 2 2 4" xfId="19078" xr:uid="{00000000-0005-0000-0000-0000D99B0000}"/>
    <cellStyle name="Normal 42 2 2 2_LNG &amp; LPG rework" xfId="7404" xr:uid="{00000000-0005-0000-0000-0000DA9B0000}"/>
    <cellStyle name="Normal 42 2 2 3" xfId="4676" xr:uid="{00000000-0005-0000-0000-0000DB9B0000}"/>
    <cellStyle name="Normal 42 2 2 3 2" xfId="13229" xr:uid="{00000000-0005-0000-0000-0000DC9B0000}"/>
    <cellStyle name="Normal 42 2 2 3 3" xfId="19080" xr:uid="{00000000-0005-0000-0000-0000DD9B0000}"/>
    <cellStyle name="Normal 42 2 2 4" xfId="13226" xr:uid="{00000000-0005-0000-0000-0000DE9B0000}"/>
    <cellStyle name="Normal 42 2 2 5" xfId="19077" xr:uid="{00000000-0005-0000-0000-0000DF9B0000}"/>
    <cellStyle name="Normal 42 2 2_LNG &amp; LPG rework" xfId="7403" xr:uid="{00000000-0005-0000-0000-0000E09B0000}"/>
    <cellStyle name="Normal 42 2 3" xfId="4677" xr:uid="{00000000-0005-0000-0000-0000E19B0000}"/>
    <cellStyle name="Normal 42 2 3 2" xfId="4678" xr:uid="{00000000-0005-0000-0000-0000E29B0000}"/>
    <cellStyle name="Normal 42 2 3 2 2" xfId="13231" xr:uid="{00000000-0005-0000-0000-0000E39B0000}"/>
    <cellStyle name="Normal 42 2 3 2 3" xfId="19082" xr:uid="{00000000-0005-0000-0000-0000E49B0000}"/>
    <cellStyle name="Normal 42 2 3 3" xfId="13230" xr:uid="{00000000-0005-0000-0000-0000E59B0000}"/>
    <cellStyle name="Normal 42 2 3 4" xfId="19081" xr:uid="{00000000-0005-0000-0000-0000E69B0000}"/>
    <cellStyle name="Normal 42 2 3_LNG &amp; LPG rework" xfId="7405" xr:uid="{00000000-0005-0000-0000-0000E79B0000}"/>
    <cellStyle name="Normal 42 2 4" xfId="4679" xr:uid="{00000000-0005-0000-0000-0000E89B0000}"/>
    <cellStyle name="Normal 42 2 4 2" xfId="13232" xr:uid="{00000000-0005-0000-0000-0000E99B0000}"/>
    <cellStyle name="Normal 42 2 4 3" xfId="19083" xr:uid="{00000000-0005-0000-0000-0000EA9B0000}"/>
    <cellStyle name="Normal 42 2 5" xfId="4680" xr:uid="{00000000-0005-0000-0000-0000EB9B0000}"/>
    <cellStyle name="Normal 42 2 6" xfId="13225" xr:uid="{00000000-0005-0000-0000-0000EC9B0000}"/>
    <cellStyle name="Normal 42 2 7" xfId="19076" xr:uid="{00000000-0005-0000-0000-0000ED9B0000}"/>
    <cellStyle name="Normal 42 2_LNG &amp; LPG rework" xfId="7402" xr:uid="{00000000-0005-0000-0000-0000EE9B0000}"/>
    <cellStyle name="Normal 42 3" xfId="4681" xr:uid="{00000000-0005-0000-0000-0000EF9B0000}"/>
    <cellStyle name="Normal 42 3 2" xfId="4682" xr:uid="{00000000-0005-0000-0000-0000F09B0000}"/>
    <cellStyle name="Normal 42 3 2 2" xfId="4683" xr:uid="{00000000-0005-0000-0000-0000F19B0000}"/>
    <cellStyle name="Normal 42 3 2 2 2" xfId="4684" xr:uid="{00000000-0005-0000-0000-0000F29B0000}"/>
    <cellStyle name="Normal 42 3 2 2 2 2" xfId="13236" xr:uid="{00000000-0005-0000-0000-0000F39B0000}"/>
    <cellStyle name="Normal 42 3 2 2 2 3" xfId="19087" xr:uid="{00000000-0005-0000-0000-0000F49B0000}"/>
    <cellStyle name="Normal 42 3 2 2 3" xfId="13235" xr:uid="{00000000-0005-0000-0000-0000F59B0000}"/>
    <cellStyle name="Normal 42 3 2 2 4" xfId="19086" xr:uid="{00000000-0005-0000-0000-0000F69B0000}"/>
    <cellStyle name="Normal 42 3 2 2_LNG &amp; LPG rework" xfId="7408" xr:uid="{00000000-0005-0000-0000-0000F79B0000}"/>
    <cellStyle name="Normal 42 3 2 3" xfId="4685" xr:uid="{00000000-0005-0000-0000-0000F89B0000}"/>
    <cellStyle name="Normal 42 3 2 3 2" xfId="13237" xr:uid="{00000000-0005-0000-0000-0000F99B0000}"/>
    <cellStyle name="Normal 42 3 2 3 3" xfId="19088" xr:uid="{00000000-0005-0000-0000-0000FA9B0000}"/>
    <cellStyle name="Normal 42 3 2 4" xfId="13234" xr:uid="{00000000-0005-0000-0000-0000FB9B0000}"/>
    <cellStyle name="Normal 42 3 2 5" xfId="19085" xr:uid="{00000000-0005-0000-0000-0000FC9B0000}"/>
    <cellStyle name="Normal 42 3 2_LNG &amp; LPG rework" xfId="7407" xr:uid="{00000000-0005-0000-0000-0000FD9B0000}"/>
    <cellStyle name="Normal 42 3 3" xfId="4686" xr:uid="{00000000-0005-0000-0000-0000FE9B0000}"/>
    <cellStyle name="Normal 42 3 3 2" xfId="4687" xr:uid="{00000000-0005-0000-0000-0000FF9B0000}"/>
    <cellStyle name="Normal 42 3 3 2 2" xfId="13239" xr:uid="{00000000-0005-0000-0000-0000009C0000}"/>
    <cellStyle name="Normal 42 3 3 2 3" xfId="19090" xr:uid="{00000000-0005-0000-0000-0000019C0000}"/>
    <cellStyle name="Normal 42 3 3 3" xfId="13238" xr:uid="{00000000-0005-0000-0000-0000029C0000}"/>
    <cellStyle name="Normal 42 3 3 4" xfId="19089" xr:uid="{00000000-0005-0000-0000-0000039C0000}"/>
    <cellStyle name="Normal 42 3 3_LNG &amp; LPG rework" xfId="7409" xr:uid="{00000000-0005-0000-0000-0000049C0000}"/>
    <cellStyle name="Normal 42 3 4" xfId="4688" xr:uid="{00000000-0005-0000-0000-0000059C0000}"/>
    <cellStyle name="Normal 42 3 4 2" xfId="13240" xr:uid="{00000000-0005-0000-0000-0000069C0000}"/>
    <cellStyle name="Normal 42 3 4 3" xfId="19091" xr:uid="{00000000-0005-0000-0000-0000079C0000}"/>
    <cellStyle name="Normal 42 3 5" xfId="13233" xr:uid="{00000000-0005-0000-0000-0000089C0000}"/>
    <cellStyle name="Normal 42 3 6" xfId="19084" xr:uid="{00000000-0005-0000-0000-0000099C0000}"/>
    <cellStyle name="Normal 42 3_LNG &amp; LPG rework" xfId="7406" xr:uid="{00000000-0005-0000-0000-00000A9C0000}"/>
    <cellStyle name="Normal 42 4" xfId="4689" xr:uid="{00000000-0005-0000-0000-00000B9C0000}"/>
    <cellStyle name="Normal 42 4 2" xfId="4690" xr:uid="{00000000-0005-0000-0000-00000C9C0000}"/>
    <cellStyle name="Normal 42 4 2 2" xfId="4691" xr:uid="{00000000-0005-0000-0000-00000D9C0000}"/>
    <cellStyle name="Normal 42 4 2 2 2" xfId="13243" xr:uid="{00000000-0005-0000-0000-00000E9C0000}"/>
    <cellStyle name="Normal 42 4 2 2 3" xfId="19094" xr:uid="{00000000-0005-0000-0000-00000F9C0000}"/>
    <cellStyle name="Normal 42 4 2 3" xfId="13242" xr:uid="{00000000-0005-0000-0000-0000109C0000}"/>
    <cellStyle name="Normal 42 4 2 4" xfId="19093" xr:uid="{00000000-0005-0000-0000-0000119C0000}"/>
    <cellStyle name="Normal 42 4 2_LNG &amp; LPG rework" xfId="7411" xr:uid="{00000000-0005-0000-0000-0000129C0000}"/>
    <cellStyle name="Normal 42 4 3" xfId="4692" xr:uid="{00000000-0005-0000-0000-0000139C0000}"/>
    <cellStyle name="Normal 42 4 3 2" xfId="13244" xr:uid="{00000000-0005-0000-0000-0000149C0000}"/>
    <cellStyle name="Normal 42 4 3 3" xfId="19095" xr:uid="{00000000-0005-0000-0000-0000159C0000}"/>
    <cellStyle name="Normal 42 4 4" xfId="13241" xr:uid="{00000000-0005-0000-0000-0000169C0000}"/>
    <cellStyle name="Normal 42 4 5" xfId="19092" xr:uid="{00000000-0005-0000-0000-0000179C0000}"/>
    <cellStyle name="Normal 42 4_LNG &amp; LPG rework" xfId="7410" xr:uid="{00000000-0005-0000-0000-0000189C0000}"/>
    <cellStyle name="Normal 42 5" xfId="4693" xr:uid="{00000000-0005-0000-0000-0000199C0000}"/>
    <cellStyle name="Normal 42 5 2" xfId="4694" xr:uid="{00000000-0005-0000-0000-00001A9C0000}"/>
    <cellStyle name="Normal 42 5 2 2" xfId="13246" xr:uid="{00000000-0005-0000-0000-00001B9C0000}"/>
    <cellStyle name="Normal 42 5 2 3" xfId="19097" xr:uid="{00000000-0005-0000-0000-00001C9C0000}"/>
    <cellStyle name="Normal 42 5 3" xfId="13245" xr:uid="{00000000-0005-0000-0000-00001D9C0000}"/>
    <cellStyle name="Normal 42 5 4" xfId="19096" xr:uid="{00000000-0005-0000-0000-00001E9C0000}"/>
    <cellStyle name="Normal 42 5_LNG &amp; LPG rework" xfId="7412" xr:uid="{00000000-0005-0000-0000-00001F9C0000}"/>
    <cellStyle name="Normal 42 6" xfId="4695" xr:uid="{00000000-0005-0000-0000-0000209C0000}"/>
    <cellStyle name="Normal 42 6 2" xfId="13247" xr:uid="{00000000-0005-0000-0000-0000219C0000}"/>
    <cellStyle name="Normal 42 6 3" xfId="19098" xr:uid="{00000000-0005-0000-0000-0000229C0000}"/>
    <cellStyle name="Normal 42 7" xfId="4696" xr:uid="{00000000-0005-0000-0000-0000239C0000}"/>
    <cellStyle name="Normal 42 8" xfId="13224" xr:uid="{00000000-0005-0000-0000-0000249C0000}"/>
    <cellStyle name="Normal 42 9" xfId="19075" xr:uid="{00000000-0005-0000-0000-0000259C0000}"/>
    <cellStyle name="Normal 42_LNG &amp; LPG rework" xfId="7401" xr:uid="{00000000-0005-0000-0000-0000269C0000}"/>
    <cellStyle name="Normal 43" xfId="4697" xr:uid="{00000000-0005-0000-0000-0000279C0000}"/>
    <cellStyle name="Normal 43 2" xfId="4698" xr:uid="{00000000-0005-0000-0000-0000289C0000}"/>
    <cellStyle name="Normal 43 2 2" xfId="4699" xr:uid="{00000000-0005-0000-0000-0000299C0000}"/>
    <cellStyle name="Normal 43 2 2 2" xfId="4700" xr:uid="{00000000-0005-0000-0000-00002A9C0000}"/>
    <cellStyle name="Normal 43 2 2 2 2" xfId="4701" xr:uid="{00000000-0005-0000-0000-00002B9C0000}"/>
    <cellStyle name="Normal 43 2 2 2 2 2" xfId="13252" xr:uid="{00000000-0005-0000-0000-00002C9C0000}"/>
    <cellStyle name="Normal 43 2 2 2 2 3" xfId="19103" xr:uid="{00000000-0005-0000-0000-00002D9C0000}"/>
    <cellStyle name="Normal 43 2 2 2 3" xfId="13251" xr:uid="{00000000-0005-0000-0000-00002E9C0000}"/>
    <cellStyle name="Normal 43 2 2 2 4" xfId="19102" xr:uid="{00000000-0005-0000-0000-00002F9C0000}"/>
    <cellStyle name="Normal 43 2 2 2_LNG &amp; LPG rework" xfId="7416" xr:uid="{00000000-0005-0000-0000-0000309C0000}"/>
    <cellStyle name="Normal 43 2 2 3" xfId="4702" xr:uid="{00000000-0005-0000-0000-0000319C0000}"/>
    <cellStyle name="Normal 43 2 2 3 2" xfId="13253" xr:uid="{00000000-0005-0000-0000-0000329C0000}"/>
    <cellStyle name="Normal 43 2 2 3 3" xfId="19104" xr:uid="{00000000-0005-0000-0000-0000339C0000}"/>
    <cellStyle name="Normal 43 2 2 4" xfId="13250" xr:uid="{00000000-0005-0000-0000-0000349C0000}"/>
    <cellStyle name="Normal 43 2 2 5" xfId="19101" xr:uid="{00000000-0005-0000-0000-0000359C0000}"/>
    <cellStyle name="Normal 43 2 2_LNG &amp; LPG rework" xfId="7415" xr:uid="{00000000-0005-0000-0000-0000369C0000}"/>
    <cellStyle name="Normal 43 2 3" xfId="4703" xr:uid="{00000000-0005-0000-0000-0000379C0000}"/>
    <cellStyle name="Normal 43 2 3 2" xfId="4704" xr:uid="{00000000-0005-0000-0000-0000389C0000}"/>
    <cellStyle name="Normal 43 2 3 2 2" xfId="13255" xr:uid="{00000000-0005-0000-0000-0000399C0000}"/>
    <cellStyle name="Normal 43 2 3 2 3" xfId="19106" xr:uid="{00000000-0005-0000-0000-00003A9C0000}"/>
    <cellStyle name="Normal 43 2 3 3" xfId="13254" xr:uid="{00000000-0005-0000-0000-00003B9C0000}"/>
    <cellStyle name="Normal 43 2 3 4" xfId="19105" xr:uid="{00000000-0005-0000-0000-00003C9C0000}"/>
    <cellStyle name="Normal 43 2 3_LNG &amp; LPG rework" xfId="7417" xr:uid="{00000000-0005-0000-0000-00003D9C0000}"/>
    <cellStyle name="Normal 43 2 4" xfId="4705" xr:uid="{00000000-0005-0000-0000-00003E9C0000}"/>
    <cellStyle name="Normal 43 2 4 2" xfId="13256" xr:uid="{00000000-0005-0000-0000-00003F9C0000}"/>
    <cellStyle name="Normal 43 2 4 3" xfId="19107" xr:uid="{00000000-0005-0000-0000-0000409C0000}"/>
    <cellStyle name="Normal 43 2 5" xfId="4706" xr:uid="{00000000-0005-0000-0000-0000419C0000}"/>
    <cellStyle name="Normal 43 2 6" xfId="13249" xr:uid="{00000000-0005-0000-0000-0000429C0000}"/>
    <cellStyle name="Normal 43 2 7" xfId="19100" xr:uid="{00000000-0005-0000-0000-0000439C0000}"/>
    <cellStyle name="Normal 43 2_LNG &amp; LPG rework" xfId="7414" xr:uid="{00000000-0005-0000-0000-0000449C0000}"/>
    <cellStyle name="Normal 43 3" xfId="4707" xr:uid="{00000000-0005-0000-0000-0000459C0000}"/>
    <cellStyle name="Normal 43 3 2" xfId="4708" xr:uid="{00000000-0005-0000-0000-0000469C0000}"/>
    <cellStyle name="Normal 43 3 2 2" xfId="4709" xr:uid="{00000000-0005-0000-0000-0000479C0000}"/>
    <cellStyle name="Normal 43 3 2 2 2" xfId="4710" xr:uid="{00000000-0005-0000-0000-0000489C0000}"/>
    <cellStyle name="Normal 43 3 2 2 2 2" xfId="13260" xr:uid="{00000000-0005-0000-0000-0000499C0000}"/>
    <cellStyle name="Normal 43 3 2 2 2 3" xfId="19111" xr:uid="{00000000-0005-0000-0000-00004A9C0000}"/>
    <cellStyle name="Normal 43 3 2 2 3" xfId="13259" xr:uid="{00000000-0005-0000-0000-00004B9C0000}"/>
    <cellStyle name="Normal 43 3 2 2 4" xfId="19110" xr:uid="{00000000-0005-0000-0000-00004C9C0000}"/>
    <cellStyle name="Normal 43 3 2 2_LNG &amp; LPG rework" xfId="7420" xr:uid="{00000000-0005-0000-0000-00004D9C0000}"/>
    <cellStyle name="Normal 43 3 2 3" xfId="4711" xr:uid="{00000000-0005-0000-0000-00004E9C0000}"/>
    <cellStyle name="Normal 43 3 2 3 2" xfId="13261" xr:uid="{00000000-0005-0000-0000-00004F9C0000}"/>
    <cellStyle name="Normal 43 3 2 3 3" xfId="19112" xr:uid="{00000000-0005-0000-0000-0000509C0000}"/>
    <cellStyle name="Normal 43 3 2 4" xfId="13258" xr:uid="{00000000-0005-0000-0000-0000519C0000}"/>
    <cellStyle name="Normal 43 3 2 5" xfId="19109" xr:uid="{00000000-0005-0000-0000-0000529C0000}"/>
    <cellStyle name="Normal 43 3 2_LNG &amp; LPG rework" xfId="7419" xr:uid="{00000000-0005-0000-0000-0000539C0000}"/>
    <cellStyle name="Normal 43 3 3" xfId="4712" xr:uid="{00000000-0005-0000-0000-0000549C0000}"/>
    <cellStyle name="Normal 43 3 3 2" xfId="4713" xr:uid="{00000000-0005-0000-0000-0000559C0000}"/>
    <cellStyle name="Normal 43 3 3 2 2" xfId="13263" xr:uid="{00000000-0005-0000-0000-0000569C0000}"/>
    <cellStyle name="Normal 43 3 3 2 3" xfId="19114" xr:uid="{00000000-0005-0000-0000-0000579C0000}"/>
    <cellStyle name="Normal 43 3 3 3" xfId="13262" xr:uid="{00000000-0005-0000-0000-0000589C0000}"/>
    <cellStyle name="Normal 43 3 3 4" xfId="19113" xr:uid="{00000000-0005-0000-0000-0000599C0000}"/>
    <cellStyle name="Normal 43 3 3_LNG &amp; LPG rework" xfId="7421" xr:uid="{00000000-0005-0000-0000-00005A9C0000}"/>
    <cellStyle name="Normal 43 3 4" xfId="4714" xr:uid="{00000000-0005-0000-0000-00005B9C0000}"/>
    <cellStyle name="Normal 43 3 4 2" xfId="13264" xr:uid="{00000000-0005-0000-0000-00005C9C0000}"/>
    <cellStyle name="Normal 43 3 4 3" xfId="19115" xr:uid="{00000000-0005-0000-0000-00005D9C0000}"/>
    <cellStyle name="Normal 43 3 5" xfId="13257" xr:uid="{00000000-0005-0000-0000-00005E9C0000}"/>
    <cellStyle name="Normal 43 3 6" xfId="19108" xr:uid="{00000000-0005-0000-0000-00005F9C0000}"/>
    <cellStyle name="Normal 43 3_LNG &amp; LPG rework" xfId="7418" xr:uid="{00000000-0005-0000-0000-0000609C0000}"/>
    <cellStyle name="Normal 43 4" xfId="4715" xr:uid="{00000000-0005-0000-0000-0000619C0000}"/>
    <cellStyle name="Normal 43 4 2" xfId="4716" xr:uid="{00000000-0005-0000-0000-0000629C0000}"/>
    <cellStyle name="Normal 43 4 2 2" xfId="4717" xr:uid="{00000000-0005-0000-0000-0000639C0000}"/>
    <cellStyle name="Normal 43 4 2 2 2" xfId="13267" xr:uid="{00000000-0005-0000-0000-0000649C0000}"/>
    <cellStyle name="Normal 43 4 2 2 3" xfId="19118" xr:uid="{00000000-0005-0000-0000-0000659C0000}"/>
    <cellStyle name="Normal 43 4 2 3" xfId="13266" xr:uid="{00000000-0005-0000-0000-0000669C0000}"/>
    <cellStyle name="Normal 43 4 2 4" xfId="19117" xr:uid="{00000000-0005-0000-0000-0000679C0000}"/>
    <cellStyle name="Normal 43 4 2_LNG &amp; LPG rework" xfId="7423" xr:uid="{00000000-0005-0000-0000-0000689C0000}"/>
    <cellStyle name="Normal 43 4 3" xfId="4718" xr:uid="{00000000-0005-0000-0000-0000699C0000}"/>
    <cellStyle name="Normal 43 4 3 2" xfId="13268" xr:uid="{00000000-0005-0000-0000-00006A9C0000}"/>
    <cellStyle name="Normal 43 4 3 3" xfId="19119" xr:uid="{00000000-0005-0000-0000-00006B9C0000}"/>
    <cellStyle name="Normal 43 4 4" xfId="13265" xr:uid="{00000000-0005-0000-0000-00006C9C0000}"/>
    <cellStyle name="Normal 43 4 5" xfId="19116" xr:uid="{00000000-0005-0000-0000-00006D9C0000}"/>
    <cellStyle name="Normal 43 4_LNG &amp; LPG rework" xfId="7422" xr:uid="{00000000-0005-0000-0000-00006E9C0000}"/>
    <cellStyle name="Normal 43 5" xfId="4719" xr:uid="{00000000-0005-0000-0000-00006F9C0000}"/>
    <cellStyle name="Normal 43 5 2" xfId="4720" xr:uid="{00000000-0005-0000-0000-0000709C0000}"/>
    <cellStyle name="Normal 43 5 2 2" xfId="13270" xr:uid="{00000000-0005-0000-0000-0000719C0000}"/>
    <cellStyle name="Normal 43 5 2 3" xfId="19121" xr:uid="{00000000-0005-0000-0000-0000729C0000}"/>
    <cellStyle name="Normal 43 5 3" xfId="13269" xr:uid="{00000000-0005-0000-0000-0000739C0000}"/>
    <cellStyle name="Normal 43 5 4" xfId="19120" xr:uid="{00000000-0005-0000-0000-0000749C0000}"/>
    <cellStyle name="Normal 43 5_LNG &amp; LPG rework" xfId="7424" xr:uid="{00000000-0005-0000-0000-0000759C0000}"/>
    <cellStyle name="Normal 43 6" xfId="4721" xr:uid="{00000000-0005-0000-0000-0000769C0000}"/>
    <cellStyle name="Normal 43 6 2" xfId="13271" xr:uid="{00000000-0005-0000-0000-0000779C0000}"/>
    <cellStyle name="Normal 43 6 3" xfId="19122" xr:uid="{00000000-0005-0000-0000-0000789C0000}"/>
    <cellStyle name="Normal 43 7" xfId="4722" xr:uid="{00000000-0005-0000-0000-0000799C0000}"/>
    <cellStyle name="Normal 43 8" xfId="13248" xr:uid="{00000000-0005-0000-0000-00007A9C0000}"/>
    <cellStyle name="Normal 43 9" xfId="19099" xr:uid="{00000000-0005-0000-0000-00007B9C0000}"/>
    <cellStyle name="Normal 43_LNG &amp; LPG rework" xfId="7413" xr:uid="{00000000-0005-0000-0000-00007C9C0000}"/>
    <cellStyle name="Normal 44" xfId="4723" xr:uid="{00000000-0005-0000-0000-00007D9C0000}"/>
    <cellStyle name="Normal 44 2" xfId="4724" xr:uid="{00000000-0005-0000-0000-00007E9C0000}"/>
    <cellStyle name="Normal 44 2 2" xfId="4725" xr:uid="{00000000-0005-0000-0000-00007F9C0000}"/>
    <cellStyle name="Normal 44 2 2 2" xfId="4726" xr:uid="{00000000-0005-0000-0000-0000809C0000}"/>
    <cellStyle name="Normal 44 2 2 2 2" xfId="4727" xr:uid="{00000000-0005-0000-0000-0000819C0000}"/>
    <cellStyle name="Normal 44 2 2 2 2 2" xfId="13276" xr:uid="{00000000-0005-0000-0000-0000829C0000}"/>
    <cellStyle name="Normal 44 2 2 2 2 3" xfId="19127" xr:uid="{00000000-0005-0000-0000-0000839C0000}"/>
    <cellStyle name="Normal 44 2 2 2 3" xfId="13275" xr:uid="{00000000-0005-0000-0000-0000849C0000}"/>
    <cellStyle name="Normal 44 2 2 2 4" xfId="19126" xr:uid="{00000000-0005-0000-0000-0000859C0000}"/>
    <cellStyle name="Normal 44 2 2 2_LNG &amp; LPG rework" xfId="7428" xr:uid="{00000000-0005-0000-0000-0000869C0000}"/>
    <cellStyle name="Normal 44 2 2 3" xfId="4728" xr:uid="{00000000-0005-0000-0000-0000879C0000}"/>
    <cellStyle name="Normal 44 2 2 3 2" xfId="13277" xr:uid="{00000000-0005-0000-0000-0000889C0000}"/>
    <cellStyle name="Normal 44 2 2 3 3" xfId="19128" xr:uid="{00000000-0005-0000-0000-0000899C0000}"/>
    <cellStyle name="Normal 44 2 2 4" xfId="13274" xr:uid="{00000000-0005-0000-0000-00008A9C0000}"/>
    <cellStyle name="Normal 44 2 2 5" xfId="19125" xr:uid="{00000000-0005-0000-0000-00008B9C0000}"/>
    <cellStyle name="Normal 44 2 2_LNG &amp; LPG rework" xfId="7427" xr:uid="{00000000-0005-0000-0000-00008C9C0000}"/>
    <cellStyle name="Normal 44 2 3" xfId="4729" xr:uid="{00000000-0005-0000-0000-00008D9C0000}"/>
    <cellStyle name="Normal 44 2 3 2" xfId="4730" xr:uid="{00000000-0005-0000-0000-00008E9C0000}"/>
    <cellStyle name="Normal 44 2 3 2 2" xfId="13279" xr:uid="{00000000-0005-0000-0000-00008F9C0000}"/>
    <cellStyle name="Normal 44 2 3 2 3" xfId="19130" xr:uid="{00000000-0005-0000-0000-0000909C0000}"/>
    <cellStyle name="Normal 44 2 3 3" xfId="13278" xr:uid="{00000000-0005-0000-0000-0000919C0000}"/>
    <cellStyle name="Normal 44 2 3 4" xfId="19129" xr:uid="{00000000-0005-0000-0000-0000929C0000}"/>
    <cellStyle name="Normal 44 2 3_LNG &amp; LPG rework" xfId="7429" xr:uid="{00000000-0005-0000-0000-0000939C0000}"/>
    <cellStyle name="Normal 44 2 4" xfId="4731" xr:uid="{00000000-0005-0000-0000-0000949C0000}"/>
    <cellStyle name="Normal 44 2 4 2" xfId="13280" xr:uid="{00000000-0005-0000-0000-0000959C0000}"/>
    <cellStyle name="Normal 44 2 4 3" xfId="19131" xr:uid="{00000000-0005-0000-0000-0000969C0000}"/>
    <cellStyle name="Normal 44 2 5" xfId="4732" xr:uid="{00000000-0005-0000-0000-0000979C0000}"/>
    <cellStyle name="Normal 44 2 6" xfId="13273" xr:uid="{00000000-0005-0000-0000-0000989C0000}"/>
    <cellStyle name="Normal 44 2 7" xfId="19124" xr:uid="{00000000-0005-0000-0000-0000999C0000}"/>
    <cellStyle name="Normal 44 2_LNG &amp; LPG rework" xfId="7426" xr:uid="{00000000-0005-0000-0000-00009A9C0000}"/>
    <cellStyle name="Normal 44 3" xfId="4733" xr:uid="{00000000-0005-0000-0000-00009B9C0000}"/>
    <cellStyle name="Normal 44 3 2" xfId="4734" xr:uid="{00000000-0005-0000-0000-00009C9C0000}"/>
    <cellStyle name="Normal 44 3 2 2" xfId="4735" xr:uid="{00000000-0005-0000-0000-00009D9C0000}"/>
    <cellStyle name="Normal 44 3 2 2 2" xfId="4736" xr:uid="{00000000-0005-0000-0000-00009E9C0000}"/>
    <cellStyle name="Normal 44 3 2 2 2 2" xfId="13284" xr:uid="{00000000-0005-0000-0000-00009F9C0000}"/>
    <cellStyle name="Normal 44 3 2 2 2 3" xfId="19135" xr:uid="{00000000-0005-0000-0000-0000A09C0000}"/>
    <cellStyle name="Normal 44 3 2 2 3" xfId="13283" xr:uid="{00000000-0005-0000-0000-0000A19C0000}"/>
    <cellStyle name="Normal 44 3 2 2 4" xfId="19134" xr:uid="{00000000-0005-0000-0000-0000A29C0000}"/>
    <cellStyle name="Normal 44 3 2 2_LNG &amp; LPG rework" xfId="7432" xr:uid="{00000000-0005-0000-0000-0000A39C0000}"/>
    <cellStyle name="Normal 44 3 2 3" xfId="4737" xr:uid="{00000000-0005-0000-0000-0000A49C0000}"/>
    <cellStyle name="Normal 44 3 2 3 2" xfId="13285" xr:uid="{00000000-0005-0000-0000-0000A59C0000}"/>
    <cellStyle name="Normal 44 3 2 3 3" xfId="19136" xr:uid="{00000000-0005-0000-0000-0000A69C0000}"/>
    <cellStyle name="Normal 44 3 2 4" xfId="13282" xr:uid="{00000000-0005-0000-0000-0000A79C0000}"/>
    <cellStyle name="Normal 44 3 2 5" xfId="19133" xr:uid="{00000000-0005-0000-0000-0000A89C0000}"/>
    <cellStyle name="Normal 44 3 2_LNG &amp; LPG rework" xfId="7431" xr:uid="{00000000-0005-0000-0000-0000A99C0000}"/>
    <cellStyle name="Normal 44 3 3" xfId="4738" xr:uid="{00000000-0005-0000-0000-0000AA9C0000}"/>
    <cellStyle name="Normal 44 3 3 2" xfId="4739" xr:uid="{00000000-0005-0000-0000-0000AB9C0000}"/>
    <cellStyle name="Normal 44 3 3 2 2" xfId="13287" xr:uid="{00000000-0005-0000-0000-0000AC9C0000}"/>
    <cellStyle name="Normal 44 3 3 2 3" xfId="19138" xr:uid="{00000000-0005-0000-0000-0000AD9C0000}"/>
    <cellStyle name="Normal 44 3 3 3" xfId="13286" xr:uid="{00000000-0005-0000-0000-0000AE9C0000}"/>
    <cellStyle name="Normal 44 3 3 4" xfId="19137" xr:uid="{00000000-0005-0000-0000-0000AF9C0000}"/>
    <cellStyle name="Normal 44 3 3_LNG &amp; LPG rework" xfId="7433" xr:uid="{00000000-0005-0000-0000-0000B09C0000}"/>
    <cellStyle name="Normal 44 3 4" xfId="4740" xr:uid="{00000000-0005-0000-0000-0000B19C0000}"/>
    <cellStyle name="Normal 44 3 4 2" xfId="13288" xr:uid="{00000000-0005-0000-0000-0000B29C0000}"/>
    <cellStyle name="Normal 44 3 4 3" xfId="19139" xr:uid="{00000000-0005-0000-0000-0000B39C0000}"/>
    <cellStyle name="Normal 44 3 5" xfId="13281" xr:uid="{00000000-0005-0000-0000-0000B49C0000}"/>
    <cellStyle name="Normal 44 3 6" xfId="19132" xr:uid="{00000000-0005-0000-0000-0000B59C0000}"/>
    <cellStyle name="Normal 44 3_LNG &amp; LPG rework" xfId="7430" xr:uid="{00000000-0005-0000-0000-0000B69C0000}"/>
    <cellStyle name="Normal 44 4" xfId="4741" xr:uid="{00000000-0005-0000-0000-0000B79C0000}"/>
    <cellStyle name="Normal 44 4 2" xfId="4742" xr:uid="{00000000-0005-0000-0000-0000B89C0000}"/>
    <cellStyle name="Normal 44 4 2 2" xfId="4743" xr:uid="{00000000-0005-0000-0000-0000B99C0000}"/>
    <cellStyle name="Normal 44 4 2 2 2" xfId="13291" xr:uid="{00000000-0005-0000-0000-0000BA9C0000}"/>
    <cellStyle name="Normal 44 4 2 2 3" xfId="19142" xr:uid="{00000000-0005-0000-0000-0000BB9C0000}"/>
    <cellStyle name="Normal 44 4 2 3" xfId="13290" xr:uid="{00000000-0005-0000-0000-0000BC9C0000}"/>
    <cellStyle name="Normal 44 4 2 4" xfId="19141" xr:uid="{00000000-0005-0000-0000-0000BD9C0000}"/>
    <cellStyle name="Normal 44 4 2_LNG &amp; LPG rework" xfId="7435" xr:uid="{00000000-0005-0000-0000-0000BE9C0000}"/>
    <cellStyle name="Normal 44 4 3" xfId="4744" xr:uid="{00000000-0005-0000-0000-0000BF9C0000}"/>
    <cellStyle name="Normal 44 4 3 2" xfId="13292" xr:uid="{00000000-0005-0000-0000-0000C09C0000}"/>
    <cellStyle name="Normal 44 4 3 3" xfId="19143" xr:uid="{00000000-0005-0000-0000-0000C19C0000}"/>
    <cellStyle name="Normal 44 4 4" xfId="13289" xr:uid="{00000000-0005-0000-0000-0000C29C0000}"/>
    <cellStyle name="Normal 44 4 5" xfId="19140" xr:uid="{00000000-0005-0000-0000-0000C39C0000}"/>
    <cellStyle name="Normal 44 4_LNG &amp; LPG rework" xfId="7434" xr:uid="{00000000-0005-0000-0000-0000C49C0000}"/>
    <cellStyle name="Normal 44 5" xfId="4745" xr:uid="{00000000-0005-0000-0000-0000C59C0000}"/>
    <cellStyle name="Normal 44 5 2" xfId="4746" xr:uid="{00000000-0005-0000-0000-0000C69C0000}"/>
    <cellStyle name="Normal 44 5 2 2" xfId="13294" xr:uid="{00000000-0005-0000-0000-0000C79C0000}"/>
    <cellStyle name="Normal 44 5 2 3" xfId="19145" xr:uid="{00000000-0005-0000-0000-0000C89C0000}"/>
    <cellStyle name="Normal 44 5 3" xfId="13293" xr:uid="{00000000-0005-0000-0000-0000C99C0000}"/>
    <cellStyle name="Normal 44 5 4" xfId="19144" xr:uid="{00000000-0005-0000-0000-0000CA9C0000}"/>
    <cellStyle name="Normal 44 5_LNG &amp; LPG rework" xfId="7436" xr:uid="{00000000-0005-0000-0000-0000CB9C0000}"/>
    <cellStyle name="Normal 44 6" xfId="4747" xr:uid="{00000000-0005-0000-0000-0000CC9C0000}"/>
    <cellStyle name="Normal 44 6 2" xfId="13295" xr:uid="{00000000-0005-0000-0000-0000CD9C0000}"/>
    <cellStyle name="Normal 44 6 3" xfId="19146" xr:uid="{00000000-0005-0000-0000-0000CE9C0000}"/>
    <cellStyle name="Normal 44 7" xfId="4748" xr:uid="{00000000-0005-0000-0000-0000CF9C0000}"/>
    <cellStyle name="Normal 44 8" xfId="13272" xr:uid="{00000000-0005-0000-0000-0000D09C0000}"/>
    <cellStyle name="Normal 44 9" xfId="19123" xr:uid="{00000000-0005-0000-0000-0000D19C0000}"/>
    <cellStyle name="Normal 44_LNG &amp; LPG rework" xfId="7425" xr:uid="{00000000-0005-0000-0000-0000D29C0000}"/>
    <cellStyle name="Normal 45" xfId="4749" xr:uid="{00000000-0005-0000-0000-0000D39C0000}"/>
    <cellStyle name="Normal 45 2" xfId="4750" xr:uid="{00000000-0005-0000-0000-0000D49C0000}"/>
    <cellStyle name="Normal 45 2 2" xfId="4751" xr:uid="{00000000-0005-0000-0000-0000D59C0000}"/>
    <cellStyle name="Normal 45 2 2 2" xfId="4752" xr:uid="{00000000-0005-0000-0000-0000D69C0000}"/>
    <cellStyle name="Normal 45 2 2 2 2" xfId="4753" xr:uid="{00000000-0005-0000-0000-0000D79C0000}"/>
    <cellStyle name="Normal 45 2 2 2 2 2" xfId="13300" xr:uid="{00000000-0005-0000-0000-0000D89C0000}"/>
    <cellStyle name="Normal 45 2 2 2 2 3" xfId="19151" xr:uid="{00000000-0005-0000-0000-0000D99C0000}"/>
    <cellStyle name="Normal 45 2 2 2 3" xfId="13299" xr:uid="{00000000-0005-0000-0000-0000DA9C0000}"/>
    <cellStyle name="Normal 45 2 2 2 4" xfId="19150" xr:uid="{00000000-0005-0000-0000-0000DB9C0000}"/>
    <cellStyle name="Normal 45 2 2 2_LNG &amp; LPG rework" xfId="7440" xr:uid="{00000000-0005-0000-0000-0000DC9C0000}"/>
    <cellStyle name="Normal 45 2 2 3" xfId="4754" xr:uid="{00000000-0005-0000-0000-0000DD9C0000}"/>
    <cellStyle name="Normal 45 2 2 3 2" xfId="13301" xr:uid="{00000000-0005-0000-0000-0000DE9C0000}"/>
    <cellStyle name="Normal 45 2 2 3 3" xfId="19152" xr:uid="{00000000-0005-0000-0000-0000DF9C0000}"/>
    <cellStyle name="Normal 45 2 2 4" xfId="13298" xr:uid="{00000000-0005-0000-0000-0000E09C0000}"/>
    <cellStyle name="Normal 45 2 2 5" xfId="19149" xr:uid="{00000000-0005-0000-0000-0000E19C0000}"/>
    <cellStyle name="Normal 45 2 2_LNG &amp; LPG rework" xfId="7439" xr:uid="{00000000-0005-0000-0000-0000E29C0000}"/>
    <cellStyle name="Normal 45 2 3" xfId="4755" xr:uid="{00000000-0005-0000-0000-0000E39C0000}"/>
    <cellStyle name="Normal 45 2 3 2" xfId="4756" xr:uid="{00000000-0005-0000-0000-0000E49C0000}"/>
    <cellStyle name="Normal 45 2 3 2 2" xfId="13303" xr:uid="{00000000-0005-0000-0000-0000E59C0000}"/>
    <cellStyle name="Normal 45 2 3 2 3" xfId="19154" xr:uid="{00000000-0005-0000-0000-0000E69C0000}"/>
    <cellStyle name="Normal 45 2 3 3" xfId="13302" xr:uid="{00000000-0005-0000-0000-0000E79C0000}"/>
    <cellStyle name="Normal 45 2 3 4" xfId="19153" xr:uid="{00000000-0005-0000-0000-0000E89C0000}"/>
    <cellStyle name="Normal 45 2 3_LNG &amp; LPG rework" xfId="7441" xr:uid="{00000000-0005-0000-0000-0000E99C0000}"/>
    <cellStyle name="Normal 45 2 4" xfId="4757" xr:uid="{00000000-0005-0000-0000-0000EA9C0000}"/>
    <cellStyle name="Normal 45 2 4 2" xfId="13304" xr:uid="{00000000-0005-0000-0000-0000EB9C0000}"/>
    <cellStyle name="Normal 45 2 4 3" xfId="19155" xr:uid="{00000000-0005-0000-0000-0000EC9C0000}"/>
    <cellStyle name="Normal 45 2 5" xfId="4758" xr:uid="{00000000-0005-0000-0000-0000ED9C0000}"/>
    <cellStyle name="Normal 45 2 6" xfId="13297" xr:uid="{00000000-0005-0000-0000-0000EE9C0000}"/>
    <cellStyle name="Normal 45 2 7" xfId="19148" xr:uid="{00000000-0005-0000-0000-0000EF9C0000}"/>
    <cellStyle name="Normal 45 2_LNG &amp; LPG rework" xfId="7438" xr:uid="{00000000-0005-0000-0000-0000F09C0000}"/>
    <cellStyle name="Normal 45 3" xfId="4759" xr:uid="{00000000-0005-0000-0000-0000F19C0000}"/>
    <cellStyle name="Normal 45 3 2" xfId="4760" xr:uid="{00000000-0005-0000-0000-0000F29C0000}"/>
    <cellStyle name="Normal 45 3 2 2" xfId="4761" xr:uid="{00000000-0005-0000-0000-0000F39C0000}"/>
    <cellStyle name="Normal 45 3 2 2 2" xfId="4762" xr:uid="{00000000-0005-0000-0000-0000F49C0000}"/>
    <cellStyle name="Normal 45 3 2 2 2 2" xfId="13308" xr:uid="{00000000-0005-0000-0000-0000F59C0000}"/>
    <cellStyle name="Normal 45 3 2 2 2 3" xfId="19159" xr:uid="{00000000-0005-0000-0000-0000F69C0000}"/>
    <cellStyle name="Normal 45 3 2 2 3" xfId="13307" xr:uid="{00000000-0005-0000-0000-0000F79C0000}"/>
    <cellStyle name="Normal 45 3 2 2 4" xfId="19158" xr:uid="{00000000-0005-0000-0000-0000F89C0000}"/>
    <cellStyle name="Normal 45 3 2 2_LNG &amp; LPG rework" xfId="7444" xr:uid="{00000000-0005-0000-0000-0000F99C0000}"/>
    <cellStyle name="Normal 45 3 2 3" xfId="4763" xr:uid="{00000000-0005-0000-0000-0000FA9C0000}"/>
    <cellStyle name="Normal 45 3 2 3 2" xfId="13309" xr:uid="{00000000-0005-0000-0000-0000FB9C0000}"/>
    <cellStyle name="Normal 45 3 2 3 3" xfId="19160" xr:uid="{00000000-0005-0000-0000-0000FC9C0000}"/>
    <cellStyle name="Normal 45 3 2 4" xfId="13306" xr:uid="{00000000-0005-0000-0000-0000FD9C0000}"/>
    <cellStyle name="Normal 45 3 2 5" xfId="19157" xr:uid="{00000000-0005-0000-0000-0000FE9C0000}"/>
    <cellStyle name="Normal 45 3 2_LNG &amp; LPG rework" xfId="7443" xr:uid="{00000000-0005-0000-0000-0000FF9C0000}"/>
    <cellStyle name="Normal 45 3 3" xfId="4764" xr:uid="{00000000-0005-0000-0000-0000009D0000}"/>
    <cellStyle name="Normal 45 3 3 2" xfId="4765" xr:uid="{00000000-0005-0000-0000-0000019D0000}"/>
    <cellStyle name="Normal 45 3 3 2 2" xfId="13311" xr:uid="{00000000-0005-0000-0000-0000029D0000}"/>
    <cellStyle name="Normal 45 3 3 2 3" xfId="19162" xr:uid="{00000000-0005-0000-0000-0000039D0000}"/>
    <cellStyle name="Normal 45 3 3 3" xfId="13310" xr:uid="{00000000-0005-0000-0000-0000049D0000}"/>
    <cellStyle name="Normal 45 3 3 4" xfId="19161" xr:uid="{00000000-0005-0000-0000-0000059D0000}"/>
    <cellStyle name="Normal 45 3 3_LNG &amp; LPG rework" xfId="7445" xr:uid="{00000000-0005-0000-0000-0000069D0000}"/>
    <cellStyle name="Normal 45 3 4" xfId="4766" xr:uid="{00000000-0005-0000-0000-0000079D0000}"/>
    <cellStyle name="Normal 45 3 4 2" xfId="13312" xr:uid="{00000000-0005-0000-0000-0000089D0000}"/>
    <cellStyle name="Normal 45 3 4 3" xfId="19163" xr:uid="{00000000-0005-0000-0000-0000099D0000}"/>
    <cellStyle name="Normal 45 3 5" xfId="13305" xr:uid="{00000000-0005-0000-0000-00000A9D0000}"/>
    <cellStyle name="Normal 45 3 6" xfId="19156" xr:uid="{00000000-0005-0000-0000-00000B9D0000}"/>
    <cellStyle name="Normal 45 3_LNG &amp; LPG rework" xfId="7442" xr:uid="{00000000-0005-0000-0000-00000C9D0000}"/>
    <cellStyle name="Normal 45 4" xfId="4767" xr:uid="{00000000-0005-0000-0000-00000D9D0000}"/>
    <cellStyle name="Normal 45 4 2" xfId="4768" xr:uid="{00000000-0005-0000-0000-00000E9D0000}"/>
    <cellStyle name="Normal 45 4 2 2" xfId="4769" xr:uid="{00000000-0005-0000-0000-00000F9D0000}"/>
    <cellStyle name="Normal 45 4 2 2 2" xfId="13315" xr:uid="{00000000-0005-0000-0000-0000109D0000}"/>
    <cellStyle name="Normal 45 4 2 2 3" xfId="19166" xr:uid="{00000000-0005-0000-0000-0000119D0000}"/>
    <cellStyle name="Normal 45 4 2 3" xfId="13314" xr:uid="{00000000-0005-0000-0000-0000129D0000}"/>
    <cellStyle name="Normal 45 4 2 4" xfId="19165" xr:uid="{00000000-0005-0000-0000-0000139D0000}"/>
    <cellStyle name="Normal 45 4 2_LNG &amp; LPG rework" xfId="7447" xr:uid="{00000000-0005-0000-0000-0000149D0000}"/>
    <cellStyle name="Normal 45 4 3" xfId="4770" xr:uid="{00000000-0005-0000-0000-0000159D0000}"/>
    <cellStyle name="Normal 45 4 3 2" xfId="13316" xr:uid="{00000000-0005-0000-0000-0000169D0000}"/>
    <cellStyle name="Normal 45 4 3 3" xfId="19167" xr:uid="{00000000-0005-0000-0000-0000179D0000}"/>
    <cellStyle name="Normal 45 4 4" xfId="13313" xr:uid="{00000000-0005-0000-0000-0000189D0000}"/>
    <cellStyle name="Normal 45 4 5" xfId="19164" xr:uid="{00000000-0005-0000-0000-0000199D0000}"/>
    <cellStyle name="Normal 45 4_LNG &amp; LPG rework" xfId="7446" xr:uid="{00000000-0005-0000-0000-00001A9D0000}"/>
    <cellStyle name="Normal 45 5" xfId="4771" xr:uid="{00000000-0005-0000-0000-00001B9D0000}"/>
    <cellStyle name="Normal 45 5 2" xfId="4772" xr:uid="{00000000-0005-0000-0000-00001C9D0000}"/>
    <cellStyle name="Normal 45 5 2 2" xfId="13318" xr:uid="{00000000-0005-0000-0000-00001D9D0000}"/>
    <cellStyle name="Normal 45 5 2 3" xfId="19169" xr:uid="{00000000-0005-0000-0000-00001E9D0000}"/>
    <cellStyle name="Normal 45 5 3" xfId="13317" xr:uid="{00000000-0005-0000-0000-00001F9D0000}"/>
    <cellStyle name="Normal 45 5 4" xfId="19168" xr:uid="{00000000-0005-0000-0000-0000209D0000}"/>
    <cellStyle name="Normal 45 5_LNG &amp; LPG rework" xfId="7448" xr:uid="{00000000-0005-0000-0000-0000219D0000}"/>
    <cellStyle name="Normal 45 6" xfId="4773" xr:uid="{00000000-0005-0000-0000-0000229D0000}"/>
    <cellStyle name="Normal 45 6 2" xfId="13319" xr:uid="{00000000-0005-0000-0000-0000239D0000}"/>
    <cellStyle name="Normal 45 6 3" xfId="19170" xr:uid="{00000000-0005-0000-0000-0000249D0000}"/>
    <cellStyle name="Normal 45 7" xfId="4774" xr:uid="{00000000-0005-0000-0000-0000259D0000}"/>
    <cellStyle name="Normal 45 8" xfId="13296" xr:uid="{00000000-0005-0000-0000-0000269D0000}"/>
    <cellStyle name="Normal 45 9" xfId="19147" xr:uid="{00000000-0005-0000-0000-0000279D0000}"/>
    <cellStyle name="Normal 45_LNG &amp; LPG rework" xfId="7437" xr:uid="{00000000-0005-0000-0000-0000289D0000}"/>
    <cellStyle name="Normal 46" xfId="4775" xr:uid="{00000000-0005-0000-0000-0000299D0000}"/>
    <cellStyle name="Normal 46 2" xfId="4776" xr:uid="{00000000-0005-0000-0000-00002A9D0000}"/>
    <cellStyle name="Normal 46 2 2" xfId="4777" xr:uid="{00000000-0005-0000-0000-00002B9D0000}"/>
    <cellStyle name="Normal 46 2 2 2" xfId="13321" xr:uid="{00000000-0005-0000-0000-00002C9D0000}"/>
    <cellStyle name="Normal 46 2 2 3" xfId="19172" xr:uid="{00000000-0005-0000-0000-00002D9D0000}"/>
    <cellStyle name="Normal 46 2 3" xfId="4778" xr:uid="{00000000-0005-0000-0000-00002E9D0000}"/>
    <cellStyle name="Normal 46 2 3 2" xfId="13322" xr:uid="{00000000-0005-0000-0000-00002F9D0000}"/>
    <cellStyle name="Normal 46 2 3 3" xfId="19173" xr:uid="{00000000-0005-0000-0000-0000309D0000}"/>
    <cellStyle name="Normal 46 2 4" xfId="4779" xr:uid="{00000000-0005-0000-0000-0000319D0000}"/>
    <cellStyle name="Normal 46 2 4 2" xfId="13323" xr:uid="{00000000-0005-0000-0000-0000329D0000}"/>
    <cellStyle name="Normal 46 2 4 3" xfId="19174" xr:uid="{00000000-0005-0000-0000-0000339D0000}"/>
    <cellStyle name="Normal 46 2 5" xfId="4780" xr:uid="{00000000-0005-0000-0000-0000349D0000}"/>
    <cellStyle name="Normal 46 2 5 2" xfId="13324" xr:uid="{00000000-0005-0000-0000-0000359D0000}"/>
    <cellStyle name="Normal 46 2 5 3" xfId="19175" xr:uid="{00000000-0005-0000-0000-0000369D0000}"/>
    <cellStyle name="Normal 46 2 6" xfId="13320" xr:uid="{00000000-0005-0000-0000-0000379D0000}"/>
    <cellStyle name="Normal 46 2 7" xfId="19171" xr:uid="{00000000-0005-0000-0000-0000389D0000}"/>
    <cellStyle name="Normal 46 2_LNG &amp; LPG rework" xfId="7450" xr:uid="{00000000-0005-0000-0000-0000399D0000}"/>
    <cellStyle name="Normal 46 3" xfId="4781" xr:uid="{00000000-0005-0000-0000-00003A9D0000}"/>
    <cellStyle name="Normal 46 3 2" xfId="4782" xr:uid="{00000000-0005-0000-0000-00003B9D0000}"/>
    <cellStyle name="Normal 46 3 2 2" xfId="13326" xr:uid="{00000000-0005-0000-0000-00003C9D0000}"/>
    <cellStyle name="Normal 46 3 2 3" xfId="19177" xr:uid="{00000000-0005-0000-0000-00003D9D0000}"/>
    <cellStyle name="Normal 46 3 3" xfId="4783" xr:uid="{00000000-0005-0000-0000-00003E9D0000}"/>
    <cellStyle name="Normal 46 3 3 2" xfId="13327" xr:uid="{00000000-0005-0000-0000-00003F9D0000}"/>
    <cellStyle name="Normal 46 3 3 3" xfId="19178" xr:uid="{00000000-0005-0000-0000-0000409D0000}"/>
    <cellStyle name="Normal 46 3 4" xfId="4784" xr:uid="{00000000-0005-0000-0000-0000419D0000}"/>
    <cellStyle name="Normal 46 3 4 2" xfId="13328" xr:uid="{00000000-0005-0000-0000-0000429D0000}"/>
    <cellStyle name="Normal 46 3 4 3" xfId="19179" xr:uid="{00000000-0005-0000-0000-0000439D0000}"/>
    <cellStyle name="Normal 46 3 5" xfId="4785" xr:uid="{00000000-0005-0000-0000-0000449D0000}"/>
    <cellStyle name="Normal 46 3 5 2" xfId="13329" xr:uid="{00000000-0005-0000-0000-0000459D0000}"/>
    <cellStyle name="Normal 46 3 5 3" xfId="19180" xr:uid="{00000000-0005-0000-0000-0000469D0000}"/>
    <cellStyle name="Normal 46 3 6" xfId="13325" xr:uid="{00000000-0005-0000-0000-0000479D0000}"/>
    <cellStyle name="Normal 46 3 7" xfId="19176" xr:uid="{00000000-0005-0000-0000-0000489D0000}"/>
    <cellStyle name="Normal 46 3_LNG &amp; LPG rework" xfId="7451" xr:uid="{00000000-0005-0000-0000-0000499D0000}"/>
    <cellStyle name="Normal 46 4" xfId="4786" xr:uid="{00000000-0005-0000-0000-00004A9D0000}"/>
    <cellStyle name="Normal 46 4 2" xfId="13330" xr:uid="{00000000-0005-0000-0000-00004B9D0000}"/>
    <cellStyle name="Normal 46 4 3" xfId="19181" xr:uid="{00000000-0005-0000-0000-00004C9D0000}"/>
    <cellStyle name="Normal 46 5" xfId="4787" xr:uid="{00000000-0005-0000-0000-00004D9D0000}"/>
    <cellStyle name="Normal 46 5 2" xfId="13331" xr:uid="{00000000-0005-0000-0000-00004E9D0000}"/>
    <cellStyle name="Normal 46 5 3" xfId="19182" xr:uid="{00000000-0005-0000-0000-00004F9D0000}"/>
    <cellStyle name="Normal 46 6" xfId="4788" xr:uid="{00000000-0005-0000-0000-0000509D0000}"/>
    <cellStyle name="Normal 46 6 2" xfId="13332" xr:uid="{00000000-0005-0000-0000-0000519D0000}"/>
    <cellStyle name="Normal 46 6 3" xfId="19183" xr:uid="{00000000-0005-0000-0000-0000529D0000}"/>
    <cellStyle name="Normal 46 7" xfId="4789" xr:uid="{00000000-0005-0000-0000-0000539D0000}"/>
    <cellStyle name="Normal 46 7 2" xfId="13333" xr:uid="{00000000-0005-0000-0000-0000549D0000}"/>
    <cellStyle name="Normal 46 7 3" xfId="19184" xr:uid="{00000000-0005-0000-0000-0000559D0000}"/>
    <cellStyle name="Normal 46 8" xfId="4790" xr:uid="{00000000-0005-0000-0000-0000569D0000}"/>
    <cellStyle name="Normal 46 8 2" xfId="13334" xr:uid="{00000000-0005-0000-0000-0000579D0000}"/>
    <cellStyle name="Normal 46 8 3" xfId="19185" xr:uid="{00000000-0005-0000-0000-0000589D0000}"/>
    <cellStyle name="Normal 46_LNG &amp; LPG rework" xfId="7449" xr:uid="{00000000-0005-0000-0000-0000599D0000}"/>
    <cellStyle name="Normal 47" xfId="4791" xr:uid="{00000000-0005-0000-0000-00005A9D0000}"/>
    <cellStyle name="Normal 47 2" xfId="4792" xr:uid="{00000000-0005-0000-0000-00005B9D0000}"/>
    <cellStyle name="Normal 47 2 2" xfId="4793" xr:uid="{00000000-0005-0000-0000-00005C9D0000}"/>
    <cellStyle name="Normal 47 2 2 2" xfId="13336" xr:uid="{00000000-0005-0000-0000-00005D9D0000}"/>
    <cellStyle name="Normal 47 2 2 3" xfId="19187" xr:uid="{00000000-0005-0000-0000-00005E9D0000}"/>
    <cellStyle name="Normal 47 2 3" xfId="4794" xr:uid="{00000000-0005-0000-0000-00005F9D0000}"/>
    <cellStyle name="Normal 47 2 3 2" xfId="13337" xr:uid="{00000000-0005-0000-0000-0000609D0000}"/>
    <cellStyle name="Normal 47 2 3 3" xfId="19188" xr:uid="{00000000-0005-0000-0000-0000619D0000}"/>
    <cellStyle name="Normal 47 2 4" xfId="4795" xr:uid="{00000000-0005-0000-0000-0000629D0000}"/>
    <cellStyle name="Normal 47 2 4 2" xfId="13338" xr:uid="{00000000-0005-0000-0000-0000639D0000}"/>
    <cellStyle name="Normal 47 2 4 3" xfId="19189" xr:uid="{00000000-0005-0000-0000-0000649D0000}"/>
    <cellStyle name="Normal 47 2 5" xfId="4796" xr:uid="{00000000-0005-0000-0000-0000659D0000}"/>
    <cellStyle name="Normal 47 2 5 2" xfId="13339" xr:uid="{00000000-0005-0000-0000-0000669D0000}"/>
    <cellStyle name="Normal 47 2 5 3" xfId="19190" xr:uid="{00000000-0005-0000-0000-0000679D0000}"/>
    <cellStyle name="Normal 47 2 6" xfId="13335" xr:uid="{00000000-0005-0000-0000-0000689D0000}"/>
    <cellStyle name="Normal 47 2 7" xfId="19186" xr:uid="{00000000-0005-0000-0000-0000699D0000}"/>
    <cellStyle name="Normal 47 2_LNG &amp; LPG rework" xfId="7453" xr:uid="{00000000-0005-0000-0000-00006A9D0000}"/>
    <cellStyle name="Normal 47 3" xfId="4797" xr:uid="{00000000-0005-0000-0000-00006B9D0000}"/>
    <cellStyle name="Normal 47 3 2" xfId="4798" xr:uid="{00000000-0005-0000-0000-00006C9D0000}"/>
    <cellStyle name="Normal 47 3 2 2" xfId="13341" xr:uid="{00000000-0005-0000-0000-00006D9D0000}"/>
    <cellStyle name="Normal 47 3 2 3" xfId="19192" xr:uid="{00000000-0005-0000-0000-00006E9D0000}"/>
    <cellStyle name="Normal 47 3 3" xfId="4799" xr:uid="{00000000-0005-0000-0000-00006F9D0000}"/>
    <cellStyle name="Normal 47 3 3 2" xfId="13342" xr:uid="{00000000-0005-0000-0000-0000709D0000}"/>
    <cellStyle name="Normal 47 3 3 3" xfId="19193" xr:uid="{00000000-0005-0000-0000-0000719D0000}"/>
    <cellStyle name="Normal 47 3 4" xfId="4800" xr:uid="{00000000-0005-0000-0000-0000729D0000}"/>
    <cellStyle name="Normal 47 3 4 2" xfId="13343" xr:uid="{00000000-0005-0000-0000-0000739D0000}"/>
    <cellStyle name="Normal 47 3 4 3" xfId="19194" xr:uid="{00000000-0005-0000-0000-0000749D0000}"/>
    <cellStyle name="Normal 47 3 5" xfId="4801" xr:uid="{00000000-0005-0000-0000-0000759D0000}"/>
    <cellStyle name="Normal 47 3 5 2" xfId="13344" xr:uid="{00000000-0005-0000-0000-0000769D0000}"/>
    <cellStyle name="Normal 47 3 5 3" xfId="19195" xr:uid="{00000000-0005-0000-0000-0000779D0000}"/>
    <cellStyle name="Normal 47 3 6" xfId="13340" xr:uid="{00000000-0005-0000-0000-0000789D0000}"/>
    <cellStyle name="Normal 47 3 7" xfId="19191" xr:uid="{00000000-0005-0000-0000-0000799D0000}"/>
    <cellStyle name="Normal 47 3_LNG &amp; LPG rework" xfId="7454" xr:uid="{00000000-0005-0000-0000-00007A9D0000}"/>
    <cellStyle name="Normal 47 4" xfId="4802" xr:uid="{00000000-0005-0000-0000-00007B9D0000}"/>
    <cellStyle name="Normal 47 4 2" xfId="13345" xr:uid="{00000000-0005-0000-0000-00007C9D0000}"/>
    <cellStyle name="Normal 47 4 3" xfId="19196" xr:uid="{00000000-0005-0000-0000-00007D9D0000}"/>
    <cellStyle name="Normal 47 5" xfId="4803" xr:uid="{00000000-0005-0000-0000-00007E9D0000}"/>
    <cellStyle name="Normal 47 5 2" xfId="13346" xr:uid="{00000000-0005-0000-0000-00007F9D0000}"/>
    <cellStyle name="Normal 47 5 3" xfId="19197" xr:uid="{00000000-0005-0000-0000-0000809D0000}"/>
    <cellStyle name="Normal 47 6" xfId="4804" xr:uid="{00000000-0005-0000-0000-0000819D0000}"/>
    <cellStyle name="Normal 47 6 2" xfId="13347" xr:uid="{00000000-0005-0000-0000-0000829D0000}"/>
    <cellStyle name="Normal 47 6 3" xfId="19198" xr:uid="{00000000-0005-0000-0000-0000839D0000}"/>
    <cellStyle name="Normal 47 7" xfId="4805" xr:uid="{00000000-0005-0000-0000-0000849D0000}"/>
    <cellStyle name="Normal 47 7 2" xfId="13348" xr:uid="{00000000-0005-0000-0000-0000859D0000}"/>
    <cellStyle name="Normal 47 7 3" xfId="19199" xr:uid="{00000000-0005-0000-0000-0000869D0000}"/>
    <cellStyle name="Normal 47 8" xfId="4806" xr:uid="{00000000-0005-0000-0000-0000879D0000}"/>
    <cellStyle name="Normal 47 8 2" xfId="13349" xr:uid="{00000000-0005-0000-0000-0000889D0000}"/>
    <cellStyle name="Normal 47 8 3" xfId="19200" xr:uid="{00000000-0005-0000-0000-0000899D0000}"/>
    <cellStyle name="Normal 47_LNG &amp; LPG rework" xfId="7452" xr:uid="{00000000-0005-0000-0000-00008A9D0000}"/>
    <cellStyle name="Normal 48" xfId="4807" xr:uid="{00000000-0005-0000-0000-00008B9D0000}"/>
    <cellStyle name="Normal 48 2" xfId="4808" xr:uid="{00000000-0005-0000-0000-00008C9D0000}"/>
    <cellStyle name="Normal 48 3" xfId="4809" xr:uid="{00000000-0005-0000-0000-00008D9D0000}"/>
    <cellStyle name="Normal 48_LNG &amp; LPG rework" xfId="7455" xr:uid="{00000000-0005-0000-0000-00008E9D0000}"/>
    <cellStyle name="Normal 49" xfId="4810" xr:uid="{00000000-0005-0000-0000-00008F9D0000}"/>
    <cellStyle name="Normal 49 2" xfId="4811" xr:uid="{00000000-0005-0000-0000-0000909D0000}"/>
    <cellStyle name="Normal 49 2 2" xfId="4812" xr:uid="{00000000-0005-0000-0000-0000919D0000}"/>
    <cellStyle name="Normal 49 2 2 2" xfId="13351" xr:uid="{00000000-0005-0000-0000-0000929D0000}"/>
    <cellStyle name="Normal 49 2 2 3" xfId="19202" xr:uid="{00000000-0005-0000-0000-0000939D0000}"/>
    <cellStyle name="Normal 49 2 3" xfId="4813" xr:uid="{00000000-0005-0000-0000-0000949D0000}"/>
    <cellStyle name="Normal 49 2 3 2" xfId="13352" xr:uid="{00000000-0005-0000-0000-0000959D0000}"/>
    <cellStyle name="Normal 49 2 3 3" xfId="19203" xr:uid="{00000000-0005-0000-0000-0000969D0000}"/>
    <cellStyle name="Normal 49 2 4" xfId="4814" xr:uid="{00000000-0005-0000-0000-0000979D0000}"/>
    <cellStyle name="Normal 49 2 4 2" xfId="13353" xr:uid="{00000000-0005-0000-0000-0000989D0000}"/>
    <cellStyle name="Normal 49 2 4 3" xfId="19204" xr:uid="{00000000-0005-0000-0000-0000999D0000}"/>
    <cellStyle name="Normal 49 2 5" xfId="4815" xr:uid="{00000000-0005-0000-0000-00009A9D0000}"/>
    <cellStyle name="Normal 49 2 5 2" xfId="13354" xr:uid="{00000000-0005-0000-0000-00009B9D0000}"/>
    <cellStyle name="Normal 49 2 5 3" xfId="19205" xr:uid="{00000000-0005-0000-0000-00009C9D0000}"/>
    <cellStyle name="Normal 49 2 6" xfId="13350" xr:uid="{00000000-0005-0000-0000-00009D9D0000}"/>
    <cellStyle name="Normal 49 2 7" xfId="19201" xr:uid="{00000000-0005-0000-0000-00009E9D0000}"/>
    <cellStyle name="Normal 49 2_LNG &amp; LPG rework" xfId="7457" xr:uid="{00000000-0005-0000-0000-00009F9D0000}"/>
    <cellStyle name="Normal 49 3" xfId="4816" xr:uid="{00000000-0005-0000-0000-0000A09D0000}"/>
    <cellStyle name="Normal 49 3 2" xfId="4817" xr:uid="{00000000-0005-0000-0000-0000A19D0000}"/>
    <cellStyle name="Normal 49 3 2 2" xfId="13356" xr:uid="{00000000-0005-0000-0000-0000A29D0000}"/>
    <cellStyle name="Normal 49 3 2 3" xfId="19207" xr:uid="{00000000-0005-0000-0000-0000A39D0000}"/>
    <cellStyle name="Normal 49 3 3" xfId="4818" xr:uid="{00000000-0005-0000-0000-0000A49D0000}"/>
    <cellStyle name="Normal 49 3 3 2" xfId="13357" xr:uid="{00000000-0005-0000-0000-0000A59D0000}"/>
    <cellStyle name="Normal 49 3 3 3" xfId="19208" xr:uid="{00000000-0005-0000-0000-0000A69D0000}"/>
    <cellStyle name="Normal 49 3 4" xfId="4819" xr:uid="{00000000-0005-0000-0000-0000A79D0000}"/>
    <cellStyle name="Normal 49 3 4 2" xfId="13358" xr:uid="{00000000-0005-0000-0000-0000A89D0000}"/>
    <cellStyle name="Normal 49 3 4 3" xfId="19209" xr:uid="{00000000-0005-0000-0000-0000A99D0000}"/>
    <cellStyle name="Normal 49 3 5" xfId="4820" xr:uid="{00000000-0005-0000-0000-0000AA9D0000}"/>
    <cellStyle name="Normal 49 3 5 2" xfId="13359" xr:uid="{00000000-0005-0000-0000-0000AB9D0000}"/>
    <cellStyle name="Normal 49 3 5 3" xfId="19210" xr:uid="{00000000-0005-0000-0000-0000AC9D0000}"/>
    <cellStyle name="Normal 49 3 6" xfId="13355" xr:uid="{00000000-0005-0000-0000-0000AD9D0000}"/>
    <cellStyle name="Normal 49 3 7" xfId="19206" xr:uid="{00000000-0005-0000-0000-0000AE9D0000}"/>
    <cellStyle name="Normal 49 3_LNG &amp; LPG rework" xfId="7458" xr:uid="{00000000-0005-0000-0000-0000AF9D0000}"/>
    <cellStyle name="Normal 49 4" xfId="4821" xr:uid="{00000000-0005-0000-0000-0000B09D0000}"/>
    <cellStyle name="Normal 49 4 2" xfId="13360" xr:uid="{00000000-0005-0000-0000-0000B19D0000}"/>
    <cellStyle name="Normal 49 4 3" xfId="19211" xr:uid="{00000000-0005-0000-0000-0000B29D0000}"/>
    <cellStyle name="Normal 49 5" xfId="4822" xr:uid="{00000000-0005-0000-0000-0000B39D0000}"/>
    <cellStyle name="Normal 49 5 2" xfId="13361" xr:uid="{00000000-0005-0000-0000-0000B49D0000}"/>
    <cellStyle name="Normal 49 5 3" xfId="19212" xr:uid="{00000000-0005-0000-0000-0000B59D0000}"/>
    <cellStyle name="Normal 49 6" xfId="4823" xr:uid="{00000000-0005-0000-0000-0000B69D0000}"/>
    <cellStyle name="Normal 49 6 2" xfId="13362" xr:uid="{00000000-0005-0000-0000-0000B79D0000}"/>
    <cellStyle name="Normal 49 6 3" xfId="19213" xr:uid="{00000000-0005-0000-0000-0000B89D0000}"/>
    <cellStyle name="Normal 49 7" xfId="4824" xr:uid="{00000000-0005-0000-0000-0000B99D0000}"/>
    <cellStyle name="Normal 49 7 2" xfId="13363" xr:uid="{00000000-0005-0000-0000-0000BA9D0000}"/>
    <cellStyle name="Normal 49 7 3" xfId="19214" xr:uid="{00000000-0005-0000-0000-0000BB9D0000}"/>
    <cellStyle name="Normal 49 8" xfId="4825" xr:uid="{00000000-0005-0000-0000-0000BC9D0000}"/>
    <cellStyle name="Normal 49 8 2" xfId="13364" xr:uid="{00000000-0005-0000-0000-0000BD9D0000}"/>
    <cellStyle name="Normal 49 8 3" xfId="19215" xr:uid="{00000000-0005-0000-0000-0000BE9D0000}"/>
    <cellStyle name="Normal 49_LNG &amp; LPG rework" xfId="7456" xr:uid="{00000000-0005-0000-0000-0000BF9D0000}"/>
    <cellStyle name="Normal 5" xfId="46" xr:uid="{00000000-0005-0000-0000-0000C09D0000}"/>
    <cellStyle name="Normal 5 2" xfId="139" xr:uid="{00000000-0005-0000-0000-0000C19D0000}"/>
    <cellStyle name="Normal 5 2 2" xfId="4826" xr:uid="{00000000-0005-0000-0000-0000C29D0000}"/>
    <cellStyle name="Normal 5 2_Monthly Price Data" xfId="6551" xr:uid="{00000000-0005-0000-0000-0000C39D0000}"/>
    <cellStyle name="Normal 5 3" xfId="4827" xr:uid="{00000000-0005-0000-0000-0000C49D0000}"/>
    <cellStyle name="Normal 5 4" xfId="4828" xr:uid="{00000000-0005-0000-0000-0000C59D0000}"/>
    <cellStyle name="Normal 5 5" xfId="4829" xr:uid="{00000000-0005-0000-0000-0000C69D0000}"/>
    <cellStyle name="Normal 5 6" xfId="26219" xr:uid="{00000000-0005-0000-0000-0000C79D0000}"/>
    <cellStyle name="Normal 5 6 2" xfId="39186" xr:uid="{00000000-0005-0000-0000-0000C89D0000}"/>
    <cellStyle name="Normal 5 7" xfId="39189" xr:uid="{00000000-0005-0000-0000-0000C99D0000}"/>
    <cellStyle name="Normal 5_2015  Data" xfId="479" xr:uid="{00000000-0005-0000-0000-0000CA9D0000}"/>
    <cellStyle name="Normal 50" xfId="4830" xr:uid="{00000000-0005-0000-0000-0000CB9D0000}"/>
    <cellStyle name="Normal 50 2" xfId="4831" xr:uid="{00000000-0005-0000-0000-0000CC9D0000}"/>
    <cellStyle name="Normal 50 3" xfId="4832" xr:uid="{00000000-0005-0000-0000-0000CD9D0000}"/>
    <cellStyle name="Normal 50_LNG &amp; LPG rework" xfId="7459" xr:uid="{00000000-0005-0000-0000-0000CE9D0000}"/>
    <cellStyle name="Normal 51" xfId="4833" xr:uid="{00000000-0005-0000-0000-0000CF9D0000}"/>
    <cellStyle name="Normal 51 2" xfId="4834" xr:uid="{00000000-0005-0000-0000-0000D09D0000}"/>
    <cellStyle name="Normal 51 3" xfId="4835" xr:uid="{00000000-0005-0000-0000-0000D19D0000}"/>
    <cellStyle name="Normal 51_LNG &amp; LPG rework" xfId="7460" xr:uid="{00000000-0005-0000-0000-0000D29D0000}"/>
    <cellStyle name="Normal 52" xfId="4836" xr:uid="{00000000-0005-0000-0000-0000D39D0000}"/>
    <cellStyle name="Normal 52 2" xfId="4837" xr:uid="{00000000-0005-0000-0000-0000D49D0000}"/>
    <cellStyle name="Normal 52 3" xfId="4838" xr:uid="{00000000-0005-0000-0000-0000D59D0000}"/>
    <cellStyle name="Normal 52_LNG &amp; LPG rework" xfId="7461" xr:uid="{00000000-0005-0000-0000-0000D69D0000}"/>
    <cellStyle name="Normal 53" xfId="4839" xr:uid="{00000000-0005-0000-0000-0000D79D0000}"/>
    <cellStyle name="Normal 53 2" xfId="4840" xr:uid="{00000000-0005-0000-0000-0000D89D0000}"/>
    <cellStyle name="Normal 53 3" xfId="4841" xr:uid="{00000000-0005-0000-0000-0000D99D0000}"/>
    <cellStyle name="Normal 53_LNG &amp; LPG rework" xfId="7462" xr:uid="{00000000-0005-0000-0000-0000DA9D0000}"/>
    <cellStyle name="Normal 54" xfId="4842" xr:uid="{00000000-0005-0000-0000-0000DB9D0000}"/>
    <cellStyle name="Normal 54 2" xfId="4843" xr:uid="{00000000-0005-0000-0000-0000DC9D0000}"/>
    <cellStyle name="Normal 54 3" xfId="4844" xr:uid="{00000000-0005-0000-0000-0000DD9D0000}"/>
    <cellStyle name="Normal 54_LNG &amp; LPG rework" xfId="7463" xr:uid="{00000000-0005-0000-0000-0000DE9D0000}"/>
    <cellStyle name="Normal 55" xfId="4845" xr:uid="{00000000-0005-0000-0000-0000DF9D0000}"/>
    <cellStyle name="Normal 55 2" xfId="4846" xr:uid="{00000000-0005-0000-0000-0000E09D0000}"/>
    <cellStyle name="Normal 55 3" xfId="4847" xr:uid="{00000000-0005-0000-0000-0000E19D0000}"/>
    <cellStyle name="Normal 55_LNG &amp; LPG rework" xfId="7464" xr:uid="{00000000-0005-0000-0000-0000E29D0000}"/>
    <cellStyle name="Normal 56" xfId="4848" xr:uid="{00000000-0005-0000-0000-0000E39D0000}"/>
    <cellStyle name="Normal 56 2" xfId="4849" xr:uid="{00000000-0005-0000-0000-0000E49D0000}"/>
    <cellStyle name="Normal 56 3" xfId="4850" xr:uid="{00000000-0005-0000-0000-0000E59D0000}"/>
    <cellStyle name="Normal 56_LNG &amp; LPG rework" xfId="7465" xr:uid="{00000000-0005-0000-0000-0000E69D0000}"/>
    <cellStyle name="Normal 57" xfId="4851" xr:uid="{00000000-0005-0000-0000-0000E79D0000}"/>
    <cellStyle name="Normal 57 2" xfId="4852" xr:uid="{00000000-0005-0000-0000-0000E89D0000}"/>
    <cellStyle name="Normal 57_LNG &amp; LPG rework" xfId="7466" xr:uid="{00000000-0005-0000-0000-0000E99D0000}"/>
    <cellStyle name="Normal 58" xfId="4853" xr:uid="{00000000-0005-0000-0000-0000EA9D0000}"/>
    <cellStyle name="Normal 58 2" xfId="4854" xr:uid="{00000000-0005-0000-0000-0000EB9D0000}"/>
    <cellStyle name="Normal 58_LNG &amp; LPG rework" xfId="7467" xr:uid="{00000000-0005-0000-0000-0000EC9D0000}"/>
    <cellStyle name="Normal 59" xfId="4855" xr:uid="{00000000-0005-0000-0000-0000ED9D0000}"/>
    <cellStyle name="Normal 59 2" xfId="4856" xr:uid="{00000000-0005-0000-0000-0000EE9D0000}"/>
    <cellStyle name="Normal 59 3" xfId="4857" xr:uid="{00000000-0005-0000-0000-0000EF9D0000}"/>
    <cellStyle name="Normal 59_LNG &amp; LPG rework" xfId="7468" xr:uid="{00000000-0005-0000-0000-0000F09D0000}"/>
    <cellStyle name="Normal 6" xfId="48" xr:uid="{00000000-0005-0000-0000-0000F19D0000}"/>
    <cellStyle name="Normal 6 2" xfId="141" xr:uid="{00000000-0005-0000-0000-0000F29D0000}"/>
    <cellStyle name="Normal 6 2 2" xfId="481" xr:uid="{00000000-0005-0000-0000-0000F39D0000}"/>
    <cellStyle name="Normal 6 2 3" xfId="4858" xr:uid="{00000000-0005-0000-0000-0000F49D0000}"/>
    <cellStyle name="Normal 6 2 4" xfId="9028" xr:uid="{00000000-0005-0000-0000-0000F59D0000}"/>
    <cellStyle name="Normal 6 2_Data - Monthly Commodity Prices" xfId="6519" xr:uid="{00000000-0005-0000-0000-0000F69D0000}"/>
    <cellStyle name="Normal 6 3" xfId="480" xr:uid="{00000000-0005-0000-0000-0000F79D0000}"/>
    <cellStyle name="Normal 6 4" xfId="4859" xr:uid="{00000000-0005-0000-0000-0000F89D0000}"/>
    <cellStyle name="Normal 6 5" xfId="4860" xr:uid="{00000000-0005-0000-0000-0000F99D0000}"/>
    <cellStyle name="Normal 6 6" xfId="4861" xr:uid="{00000000-0005-0000-0000-0000FA9D0000}"/>
    <cellStyle name="Normal 6 6 2" xfId="13365" xr:uid="{00000000-0005-0000-0000-0000FB9D0000}"/>
    <cellStyle name="Normal 6 6 3" xfId="19216" xr:uid="{00000000-0005-0000-0000-0000FC9D0000}"/>
    <cellStyle name="Normal 6 7" xfId="14897" xr:uid="{00000000-0005-0000-0000-0000FD9D0000}"/>
    <cellStyle name="Normal 6 8" xfId="29516" xr:uid="{00000000-0005-0000-0000-0000FE9D0000}"/>
    <cellStyle name="Normal 6_2015  Data" xfId="482" xr:uid="{00000000-0005-0000-0000-0000FF9D0000}"/>
    <cellStyle name="Normal 60" xfId="4862" xr:uid="{00000000-0005-0000-0000-0000009E0000}"/>
    <cellStyle name="Normal 60 2" xfId="4863" xr:uid="{00000000-0005-0000-0000-0000019E0000}"/>
    <cellStyle name="Normal 60_LNG &amp; LPG rework" xfId="7469" xr:uid="{00000000-0005-0000-0000-0000029E0000}"/>
    <cellStyle name="Normal 61" xfId="4864" xr:uid="{00000000-0005-0000-0000-0000039E0000}"/>
    <cellStyle name="Normal 61 2" xfId="4865" xr:uid="{00000000-0005-0000-0000-0000049E0000}"/>
    <cellStyle name="Normal 61_LNG &amp; LPG rework" xfId="7470" xr:uid="{00000000-0005-0000-0000-0000059E0000}"/>
    <cellStyle name="Normal 62" xfId="4866" xr:uid="{00000000-0005-0000-0000-0000069E0000}"/>
    <cellStyle name="Normal 62 2" xfId="4867" xr:uid="{00000000-0005-0000-0000-0000079E0000}"/>
    <cellStyle name="Normal 62 3" xfId="4868" xr:uid="{00000000-0005-0000-0000-0000089E0000}"/>
    <cellStyle name="Normal 62_LNG &amp; LPG rework" xfId="7471" xr:uid="{00000000-0005-0000-0000-0000099E0000}"/>
    <cellStyle name="Normal 63" xfId="4869" xr:uid="{00000000-0005-0000-0000-00000A9E0000}"/>
    <cellStyle name="Normal 63 2" xfId="4870" xr:uid="{00000000-0005-0000-0000-00000B9E0000}"/>
    <cellStyle name="Normal 63 3" xfId="4871" xr:uid="{00000000-0005-0000-0000-00000C9E0000}"/>
    <cellStyle name="Normal 63_LNG &amp; LPG rework" xfId="7472" xr:uid="{00000000-0005-0000-0000-00000D9E0000}"/>
    <cellStyle name="Normal 64" xfId="4872" xr:uid="{00000000-0005-0000-0000-00000E9E0000}"/>
    <cellStyle name="Normal 64 2" xfId="4873" xr:uid="{00000000-0005-0000-0000-00000F9E0000}"/>
    <cellStyle name="Normal 64 2 2" xfId="4874" xr:uid="{00000000-0005-0000-0000-0000109E0000}"/>
    <cellStyle name="Normal 64 2 2 2" xfId="13367" xr:uid="{00000000-0005-0000-0000-0000119E0000}"/>
    <cellStyle name="Normal 64 2 2 3" xfId="19218" xr:uid="{00000000-0005-0000-0000-0000129E0000}"/>
    <cellStyle name="Normal 64 2 3" xfId="4875" xr:uid="{00000000-0005-0000-0000-0000139E0000}"/>
    <cellStyle name="Normal 64 2 3 2" xfId="13368" xr:uid="{00000000-0005-0000-0000-0000149E0000}"/>
    <cellStyle name="Normal 64 2 3 3" xfId="19219" xr:uid="{00000000-0005-0000-0000-0000159E0000}"/>
    <cellStyle name="Normal 64 2 4" xfId="4876" xr:uid="{00000000-0005-0000-0000-0000169E0000}"/>
    <cellStyle name="Normal 64 2 4 2" xfId="13369" xr:uid="{00000000-0005-0000-0000-0000179E0000}"/>
    <cellStyle name="Normal 64 2 4 3" xfId="19220" xr:uid="{00000000-0005-0000-0000-0000189E0000}"/>
    <cellStyle name="Normal 64 2 5" xfId="4877" xr:uid="{00000000-0005-0000-0000-0000199E0000}"/>
    <cellStyle name="Normal 64 2 5 2" xfId="13370" xr:uid="{00000000-0005-0000-0000-00001A9E0000}"/>
    <cellStyle name="Normal 64 2 5 3" xfId="19221" xr:uid="{00000000-0005-0000-0000-00001B9E0000}"/>
    <cellStyle name="Normal 64 2 6" xfId="13366" xr:uid="{00000000-0005-0000-0000-00001C9E0000}"/>
    <cellStyle name="Normal 64 2 7" xfId="19217" xr:uid="{00000000-0005-0000-0000-00001D9E0000}"/>
    <cellStyle name="Normal 64 2_LNG &amp; LPG rework" xfId="7474" xr:uid="{00000000-0005-0000-0000-00001E9E0000}"/>
    <cellStyle name="Normal 64 3" xfId="4878" xr:uid="{00000000-0005-0000-0000-00001F9E0000}"/>
    <cellStyle name="Normal 64 3 2" xfId="4879" xr:uid="{00000000-0005-0000-0000-0000209E0000}"/>
    <cellStyle name="Normal 64 3 2 2" xfId="13372" xr:uid="{00000000-0005-0000-0000-0000219E0000}"/>
    <cellStyle name="Normal 64 3 2 3" xfId="19223" xr:uid="{00000000-0005-0000-0000-0000229E0000}"/>
    <cellStyle name="Normal 64 3 3" xfId="4880" xr:uid="{00000000-0005-0000-0000-0000239E0000}"/>
    <cellStyle name="Normal 64 3 3 2" xfId="13373" xr:uid="{00000000-0005-0000-0000-0000249E0000}"/>
    <cellStyle name="Normal 64 3 3 3" xfId="19224" xr:uid="{00000000-0005-0000-0000-0000259E0000}"/>
    <cellStyle name="Normal 64 3 4" xfId="4881" xr:uid="{00000000-0005-0000-0000-0000269E0000}"/>
    <cellStyle name="Normal 64 3 4 2" xfId="13374" xr:uid="{00000000-0005-0000-0000-0000279E0000}"/>
    <cellStyle name="Normal 64 3 4 3" xfId="19225" xr:uid="{00000000-0005-0000-0000-0000289E0000}"/>
    <cellStyle name="Normal 64 3 5" xfId="4882" xr:uid="{00000000-0005-0000-0000-0000299E0000}"/>
    <cellStyle name="Normal 64 3 5 2" xfId="13375" xr:uid="{00000000-0005-0000-0000-00002A9E0000}"/>
    <cellStyle name="Normal 64 3 5 3" xfId="19226" xr:uid="{00000000-0005-0000-0000-00002B9E0000}"/>
    <cellStyle name="Normal 64 3 6" xfId="13371" xr:uid="{00000000-0005-0000-0000-00002C9E0000}"/>
    <cellStyle name="Normal 64 3 7" xfId="19222" xr:uid="{00000000-0005-0000-0000-00002D9E0000}"/>
    <cellStyle name="Normal 64 3_LNG &amp; LPG rework" xfId="7475" xr:uid="{00000000-0005-0000-0000-00002E9E0000}"/>
    <cellStyle name="Normal 64 4" xfId="4883" xr:uid="{00000000-0005-0000-0000-00002F9E0000}"/>
    <cellStyle name="Normal 64 4 2" xfId="13376" xr:uid="{00000000-0005-0000-0000-0000309E0000}"/>
    <cellStyle name="Normal 64 4 3" xfId="19227" xr:uid="{00000000-0005-0000-0000-0000319E0000}"/>
    <cellStyle name="Normal 64 5" xfId="4884" xr:uid="{00000000-0005-0000-0000-0000329E0000}"/>
    <cellStyle name="Normal 64 5 2" xfId="13377" xr:uid="{00000000-0005-0000-0000-0000339E0000}"/>
    <cellStyle name="Normal 64 5 3" xfId="19228" xr:uid="{00000000-0005-0000-0000-0000349E0000}"/>
    <cellStyle name="Normal 64 6" xfId="4885" xr:uid="{00000000-0005-0000-0000-0000359E0000}"/>
    <cellStyle name="Normal 64 6 2" xfId="13378" xr:uid="{00000000-0005-0000-0000-0000369E0000}"/>
    <cellStyle name="Normal 64 6 3" xfId="19229" xr:uid="{00000000-0005-0000-0000-0000379E0000}"/>
    <cellStyle name="Normal 64 7" xfId="4886" xr:uid="{00000000-0005-0000-0000-0000389E0000}"/>
    <cellStyle name="Normal 64 7 2" xfId="13379" xr:uid="{00000000-0005-0000-0000-0000399E0000}"/>
    <cellStyle name="Normal 64 7 3" xfId="19230" xr:uid="{00000000-0005-0000-0000-00003A9E0000}"/>
    <cellStyle name="Normal 64 8" xfId="4887" xr:uid="{00000000-0005-0000-0000-00003B9E0000}"/>
    <cellStyle name="Normal 64 8 2" xfId="13380" xr:uid="{00000000-0005-0000-0000-00003C9E0000}"/>
    <cellStyle name="Normal 64 8 3" xfId="19231" xr:uid="{00000000-0005-0000-0000-00003D9E0000}"/>
    <cellStyle name="Normal 64_LNG &amp; LPG rework" xfId="7473" xr:uid="{00000000-0005-0000-0000-00003E9E0000}"/>
    <cellStyle name="Normal 65" xfId="4888" xr:uid="{00000000-0005-0000-0000-00003F9E0000}"/>
    <cellStyle name="Normal 65 2" xfId="4889" xr:uid="{00000000-0005-0000-0000-0000409E0000}"/>
    <cellStyle name="Normal 65 2 2" xfId="4890" xr:uid="{00000000-0005-0000-0000-0000419E0000}"/>
    <cellStyle name="Normal 65 2 2 2" xfId="13382" xr:uid="{00000000-0005-0000-0000-0000429E0000}"/>
    <cellStyle name="Normal 65 2 2 3" xfId="19233" xr:uid="{00000000-0005-0000-0000-0000439E0000}"/>
    <cellStyle name="Normal 65 2 3" xfId="4891" xr:uid="{00000000-0005-0000-0000-0000449E0000}"/>
    <cellStyle name="Normal 65 2 3 2" xfId="13383" xr:uid="{00000000-0005-0000-0000-0000459E0000}"/>
    <cellStyle name="Normal 65 2 3 3" xfId="19234" xr:uid="{00000000-0005-0000-0000-0000469E0000}"/>
    <cellStyle name="Normal 65 2 4" xfId="4892" xr:uid="{00000000-0005-0000-0000-0000479E0000}"/>
    <cellStyle name="Normal 65 2 4 2" xfId="13384" xr:uid="{00000000-0005-0000-0000-0000489E0000}"/>
    <cellStyle name="Normal 65 2 4 3" xfId="19235" xr:uid="{00000000-0005-0000-0000-0000499E0000}"/>
    <cellStyle name="Normal 65 2 5" xfId="4893" xr:uid="{00000000-0005-0000-0000-00004A9E0000}"/>
    <cellStyle name="Normal 65 2 5 2" xfId="13385" xr:uid="{00000000-0005-0000-0000-00004B9E0000}"/>
    <cellStyle name="Normal 65 2 5 3" xfId="19236" xr:uid="{00000000-0005-0000-0000-00004C9E0000}"/>
    <cellStyle name="Normal 65 2 6" xfId="13381" xr:uid="{00000000-0005-0000-0000-00004D9E0000}"/>
    <cellStyle name="Normal 65 2 7" xfId="19232" xr:uid="{00000000-0005-0000-0000-00004E9E0000}"/>
    <cellStyle name="Normal 65 2_LNG &amp; LPG rework" xfId="7477" xr:uid="{00000000-0005-0000-0000-00004F9E0000}"/>
    <cellStyle name="Normal 65 3" xfId="4894" xr:uid="{00000000-0005-0000-0000-0000509E0000}"/>
    <cellStyle name="Normal 65 3 2" xfId="4895" xr:uid="{00000000-0005-0000-0000-0000519E0000}"/>
    <cellStyle name="Normal 65 3 2 2" xfId="13387" xr:uid="{00000000-0005-0000-0000-0000529E0000}"/>
    <cellStyle name="Normal 65 3 2 3" xfId="19238" xr:uid="{00000000-0005-0000-0000-0000539E0000}"/>
    <cellStyle name="Normal 65 3 3" xfId="4896" xr:uid="{00000000-0005-0000-0000-0000549E0000}"/>
    <cellStyle name="Normal 65 3 3 2" xfId="13388" xr:uid="{00000000-0005-0000-0000-0000559E0000}"/>
    <cellStyle name="Normal 65 3 3 3" xfId="19239" xr:uid="{00000000-0005-0000-0000-0000569E0000}"/>
    <cellStyle name="Normal 65 3 4" xfId="4897" xr:uid="{00000000-0005-0000-0000-0000579E0000}"/>
    <cellStyle name="Normal 65 3 4 2" xfId="13389" xr:uid="{00000000-0005-0000-0000-0000589E0000}"/>
    <cellStyle name="Normal 65 3 4 3" xfId="19240" xr:uid="{00000000-0005-0000-0000-0000599E0000}"/>
    <cellStyle name="Normal 65 3 5" xfId="4898" xr:uid="{00000000-0005-0000-0000-00005A9E0000}"/>
    <cellStyle name="Normal 65 3 5 2" xfId="13390" xr:uid="{00000000-0005-0000-0000-00005B9E0000}"/>
    <cellStyle name="Normal 65 3 5 3" xfId="19241" xr:uid="{00000000-0005-0000-0000-00005C9E0000}"/>
    <cellStyle name="Normal 65 3 6" xfId="13386" xr:uid="{00000000-0005-0000-0000-00005D9E0000}"/>
    <cellStyle name="Normal 65 3 7" xfId="19237" xr:uid="{00000000-0005-0000-0000-00005E9E0000}"/>
    <cellStyle name="Normal 65 3_LNG &amp; LPG rework" xfId="7478" xr:uid="{00000000-0005-0000-0000-00005F9E0000}"/>
    <cellStyle name="Normal 65 4" xfId="4899" xr:uid="{00000000-0005-0000-0000-0000609E0000}"/>
    <cellStyle name="Normal 65 4 2" xfId="13391" xr:uid="{00000000-0005-0000-0000-0000619E0000}"/>
    <cellStyle name="Normal 65 4 3" xfId="19242" xr:uid="{00000000-0005-0000-0000-0000629E0000}"/>
    <cellStyle name="Normal 65 5" xfId="4900" xr:uid="{00000000-0005-0000-0000-0000639E0000}"/>
    <cellStyle name="Normal 65 5 2" xfId="13392" xr:uid="{00000000-0005-0000-0000-0000649E0000}"/>
    <cellStyle name="Normal 65 5 3" xfId="19243" xr:uid="{00000000-0005-0000-0000-0000659E0000}"/>
    <cellStyle name="Normal 65 6" xfId="4901" xr:uid="{00000000-0005-0000-0000-0000669E0000}"/>
    <cellStyle name="Normal 65 6 2" xfId="13393" xr:uid="{00000000-0005-0000-0000-0000679E0000}"/>
    <cellStyle name="Normal 65 6 3" xfId="19244" xr:uid="{00000000-0005-0000-0000-0000689E0000}"/>
    <cellStyle name="Normal 65 7" xfId="4902" xr:uid="{00000000-0005-0000-0000-0000699E0000}"/>
    <cellStyle name="Normal 65 7 2" xfId="13394" xr:uid="{00000000-0005-0000-0000-00006A9E0000}"/>
    <cellStyle name="Normal 65 7 3" xfId="19245" xr:uid="{00000000-0005-0000-0000-00006B9E0000}"/>
    <cellStyle name="Normal 65 8" xfId="4903" xr:uid="{00000000-0005-0000-0000-00006C9E0000}"/>
    <cellStyle name="Normal 65 8 2" xfId="13395" xr:uid="{00000000-0005-0000-0000-00006D9E0000}"/>
    <cellStyle name="Normal 65 8 3" xfId="19246" xr:uid="{00000000-0005-0000-0000-00006E9E0000}"/>
    <cellStyle name="Normal 65_LNG &amp; LPG rework" xfId="7476" xr:uid="{00000000-0005-0000-0000-00006F9E0000}"/>
    <cellStyle name="Normal 66" xfId="4904" xr:uid="{00000000-0005-0000-0000-0000709E0000}"/>
    <cellStyle name="Normal 66 2" xfId="4905" xr:uid="{00000000-0005-0000-0000-0000719E0000}"/>
    <cellStyle name="Normal 66 2 2" xfId="4906" xr:uid="{00000000-0005-0000-0000-0000729E0000}"/>
    <cellStyle name="Normal 66 2 2 2" xfId="13397" xr:uid="{00000000-0005-0000-0000-0000739E0000}"/>
    <cellStyle name="Normal 66 2 2 3" xfId="19248" xr:uid="{00000000-0005-0000-0000-0000749E0000}"/>
    <cellStyle name="Normal 66 2 3" xfId="4907" xr:uid="{00000000-0005-0000-0000-0000759E0000}"/>
    <cellStyle name="Normal 66 2 3 2" xfId="13398" xr:uid="{00000000-0005-0000-0000-0000769E0000}"/>
    <cellStyle name="Normal 66 2 3 3" xfId="19249" xr:uid="{00000000-0005-0000-0000-0000779E0000}"/>
    <cellStyle name="Normal 66 2 4" xfId="4908" xr:uid="{00000000-0005-0000-0000-0000789E0000}"/>
    <cellStyle name="Normal 66 2 4 2" xfId="13399" xr:uid="{00000000-0005-0000-0000-0000799E0000}"/>
    <cellStyle name="Normal 66 2 4 3" xfId="19250" xr:uid="{00000000-0005-0000-0000-00007A9E0000}"/>
    <cellStyle name="Normal 66 2 5" xfId="4909" xr:uid="{00000000-0005-0000-0000-00007B9E0000}"/>
    <cellStyle name="Normal 66 2 5 2" xfId="13400" xr:uid="{00000000-0005-0000-0000-00007C9E0000}"/>
    <cellStyle name="Normal 66 2 5 3" xfId="19251" xr:uid="{00000000-0005-0000-0000-00007D9E0000}"/>
    <cellStyle name="Normal 66 2 6" xfId="13396" xr:uid="{00000000-0005-0000-0000-00007E9E0000}"/>
    <cellStyle name="Normal 66 2 7" xfId="19247" xr:uid="{00000000-0005-0000-0000-00007F9E0000}"/>
    <cellStyle name="Normal 66 2_LNG &amp; LPG rework" xfId="7480" xr:uid="{00000000-0005-0000-0000-0000809E0000}"/>
    <cellStyle name="Normal 66 3" xfId="4910" xr:uid="{00000000-0005-0000-0000-0000819E0000}"/>
    <cellStyle name="Normal 66 3 2" xfId="4911" xr:uid="{00000000-0005-0000-0000-0000829E0000}"/>
    <cellStyle name="Normal 66 3 2 2" xfId="13402" xr:uid="{00000000-0005-0000-0000-0000839E0000}"/>
    <cellStyle name="Normal 66 3 2 3" xfId="19253" xr:uid="{00000000-0005-0000-0000-0000849E0000}"/>
    <cellStyle name="Normal 66 3 3" xfId="4912" xr:uid="{00000000-0005-0000-0000-0000859E0000}"/>
    <cellStyle name="Normal 66 3 3 2" xfId="13403" xr:uid="{00000000-0005-0000-0000-0000869E0000}"/>
    <cellStyle name="Normal 66 3 3 3" xfId="19254" xr:uid="{00000000-0005-0000-0000-0000879E0000}"/>
    <cellStyle name="Normal 66 3 4" xfId="4913" xr:uid="{00000000-0005-0000-0000-0000889E0000}"/>
    <cellStyle name="Normal 66 3 4 2" xfId="13404" xr:uid="{00000000-0005-0000-0000-0000899E0000}"/>
    <cellStyle name="Normal 66 3 4 3" xfId="19255" xr:uid="{00000000-0005-0000-0000-00008A9E0000}"/>
    <cellStyle name="Normal 66 3 5" xfId="4914" xr:uid="{00000000-0005-0000-0000-00008B9E0000}"/>
    <cellStyle name="Normal 66 3 5 2" xfId="13405" xr:uid="{00000000-0005-0000-0000-00008C9E0000}"/>
    <cellStyle name="Normal 66 3 5 3" xfId="19256" xr:uid="{00000000-0005-0000-0000-00008D9E0000}"/>
    <cellStyle name="Normal 66 3 6" xfId="13401" xr:uid="{00000000-0005-0000-0000-00008E9E0000}"/>
    <cellStyle name="Normal 66 3 7" xfId="19252" xr:uid="{00000000-0005-0000-0000-00008F9E0000}"/>
    <cellStyle name="Normal 66 3_LNG &amp; LPG rework" xfId="7481" xr:uid="{00000000-0005-0000-0000-0000909E0000}"/>
    <cellStyle name="Normal 66 4" xfId="4915" xr:uid="{00000000-0005-0000-0000-0000919E0000}"/>
    <cellStyle name="Normal 66 4 2" xfId="13406" xr:uid="{00000000-0005-0000-0000-0000929E0000}"/>
    <cellStyle name="Normal 66 4 3" xfId="19257" xr:uid="{00000000-0005-0000-0000-0000939E0000}"/>
    <cellStyle name="Normal 66 5" xfId="4916" xr:uid="{00000000-0005-0000-0000-0000949E0000}"/>
    <cellStyle name="Normal 66 5 2" xfId="13407" xr:uid="{00000000-0005-0000-0000-0000959E0000}"/>
    <cellStyle name="Normal 66 5 3" xfId="19258" xr:uid="{00000000-0005-0000-0000-0000969E0000}"/>
    <cellStyle name="Normal 66 6" xfId="4917" xr:uid="{00000000-0005-0000-0000-0000979E0000}"/>
    <cellStyle name="Normal 66 6 2" xfId="13408" xr:uid="{00000000-0005-0000-0000-0000989E0000}"/>
    <cellStyle name="Normal 66 6 3" xfId="19259" xr:uid="{00000000-0005-0000-0000-0000999E0000}"/>
    <cellStyle name="Normal 66 7" xfId="4918" xr:uid="{00000000-0005-0000-0000-00009A9E0000}"/>
    <cellStyle name="Normal 66 7 2" xfId="13409" xr:uid="{00000000-0005-0000-0000-00009B9E0000}"/>
    <cellStyle name="Normal 66 7 3" xfId="19260" xr:uid="{00000000-0005-0000-0000-00009C9E0000}"/>
    <cellStyle name="Normal 66 8" xfId="4919" xr:uid="{00000000-0005-0000-0000-00009D9E0000}"/>
    <cellStyle name="Normal 66 8 2" xfId="13410" xr:uid="{00000000-0005-0000-0000-00009E9E0000}"/>
    <cellStyle name="Normal 66 8 3" xfId="19261" xr:uid="{00000000-0005-0000-0000-00009F9E0000}"/>
    <cellStyle name="Normal 66_LNG &amp; LPG rework" xfId="7479" xr:uid="{00000000-0005-0000-0000-0000A09E0000}"/>
    <cellStyle name="Normal 67" xfId="4920" xr:uid="{00000000-0005-0000-0000-0000A19E0000}"/>
    <cellStyle name="Normal 67 2" xfId="4921" xr:uid="{00000000-0005-0000-0000-0000A29E0000}"/>
    <cellStyle name="Normal 67 2 2" xfId="4922" xr:uid="{00000000-0005-0000-0000-0000A39E0000}"/>
    <cellStyle name="Normal 67 2 2 2" xfId="13412" xr:uid="{00000000-0005-0000-0000-0000A49E0000}"/>
    <cellStyle name="Normal 67 2 2 3" xfId="19263" xr:uid="{00000000-0005-0000-0000-0000A59E0000}"/>
    <cellStyle name="Normal 67 2 3" xfId="4923" xr:uid="{00000000-0005-0000-0000-0000A69E0000}"/>
    <cellStyle name="Normal 67 2 3 2" xfId="13413" xr:uid="{00000000-0005-0000-0000-0000A79E0000}"/>
    <cellStyle name="Normal 67 2 3 3" xfId="19264" xr:uid="{00000000-0005-0000-0000-0000A89E0000}"/>
    <cellStyle name="Normal 67 2 4" xfId="4924" xr:uid="{00000000-0005-0000-0000-0000A99E0000}"/>
    <cellStyle name="Normal 67 2 4 2" xfId="13414" xr:uid="{00000000-0005-0000-0000-0000AA9E0000}"/>
    <cellStyle name="Normal 67 2 4 3" xfId="19265" xr:uid="{00000000-0005-0000-0000-0000AB9E0000}"/>
    <cellStyle name="Normal 67 2 5" xfId="4925" xr:uid="{00000000-0005-0000-0000-0000AC9E0000}"/>
    <cellStyle name="Normal 67 2 5 2" xfId="13415" xr:uid="{00000000-0005-0000-0000-0000AD9E0000}"/>
    <cellStyle name="Normal 67 2 5 3" xfId="19266" xr:uid="{00000000-0005-0000-0000-0000AE9E0000}"/>
    <cellStyle name="Normal 67 2 6" xfId="13411" xr:uid="{00000000-0005-0000-0000-0000AF9E0000}"/>
    <cellStyle name="Normal 67 2 7" xfId="19262" xr:uid="{00000000-0005-0000-0000-0000B09E0000}"/>
    <cellStyle name="Normal 67 2_LNG &amp; LPG rework" xfId="7483" xr:uid="{00000000-0005-0000-0000-0000B19E0000}"/>
    <cellStyle name="Normal 67 3" xfId="4926" xr:uid="{00000000-0005-0000-0000-0000B29E0000}"/>
    <cellStyle name="Normal 67 3 2" xfId="4927" xr:uid="{00000000-0005-0000-0000-0000B39E0000}"/>
    <cellStyle name="Normal 67 3 2 2" xfId="13417" xr:uid="{00000000-0005-0000-0000-0000B49E0000}"/>
    <cellStyle name="Normal 67 3 2 3" xfId="19268" xr:uid="{00000000-0005-0000-0000-0000B59E0000}"/>
    <cellStyle name="Normal 67 3 3" xfId="4928" xr:uid="{00000000-0005-0000-0000-0000B69E0000}"/>
    <cellStyle name="Normal 67 3 3 2" xfId="13418" xr:uid="{00000000-0005-0000-0000-0000B79E0000}"/>
    <cellStyle name="Normal 67 3 3 3" xfId="19269" xr:uid="{00000000-0005-0000-0000-0000B89E0000}"/>
    <cellStyle name="Normal 67 3 4" xfId="4929" xr:uid="{00000000-0005-0000-0000-0000B99E0000}"/>
    <cellStyle name="Normal 67 3 4 2" xfId="13419" xr:uid="{00000000-0005-0000-0000-0000BA9E0000}"/>
    <cellStyle name="Normal 67 3 4 3" xfId="19270" xr:uid="{00000000-0005-0000-0000-0000BB9E0000}"/>
    <cellStyle name="Normal 67 3 5" xfId="4930" xr:uid="{00000000-0005-0000-0000-0000BC9E0000}"/>
    <cellStyle name="Normal 67 3 5 2" xfId="13420" xr:uid="{00000000-0005-0000-0000-0000BD9E0000}"/>
    <cellStyle name="Normal 67 3 5 3" xfId="19271" xr:uid="{00000000-0005-0000-0000-0000BE9E0000}"/>
    <cellStyle name="Normal 67 3 6" xfId="13416" xr:uid="{00000000-0005-0000-0000-0000BF9E0000}"/>
    <cellStyle name="Normal 67 3 7" xfId="19267" xr:uid="{00000000-0005-0000-0000-0000C09E0000}"/>
    <cellStyle name="Normal 67 3_LNG &amp; LPG rework" xfId="7484" xr:uid="{00000000-0005-0000-0000-0000C19E0000}"/>
    <cellStyle name="Normal 67 4" xfId="4931" xr:uid="{00000000-0005-0000-0000-0000C29E0000}"/>
    <cellStyle name="Normal 67 4 2" xfId="13421" xr:uid="{00000000-0005-0000-0000-0000C39E0000}"/>
    <cellStyle name="Normal 67 4 3" xfId="19272" xr:uid="{00000000-0005-0000-0000-0000C49E0000}"/>
    <cellStyle name="Normal 67 5" xfId="4932" xr:uid="{00000000-0005-0000-0000-0000C59E0000}"/>
    <cellStyle name="Normal 67 5 2" xfId="13422" xr:uid="{00000000-0005-0000-0000-0000C69E0000}"/>
    <cellStyle name="Normal 67 5 3" xfId="19273" xr:uid="{00000000-0005-0000-0000-0000C79E0000}"/>
    <cellStyle name="Normal 67 6" xfId="4933" xr:uid="{00000000-0005-0000-0000-0000C89E0000}"/>
    <cellStyle name="Normal 67 6 2" xfId="13423" xr:uid="{00000000-0005-0000-0000-0000C99E0000}"/>
    <cellStyle name="Normal 67 6 3" xfId="19274" xr:uid="{00000000-0005-0000-0000-0000CA9E0000}"/>
    <cellStyle name="Normal 67 7" xfId="4934" xr:uid="{00000000-0005-0000-0000-0000CB9E0000}"/>
    <cellStyle name="Normal 67 7 2" xfId="13424" xr:uid="{00000000-0005-0000-0000-0000CC9E0000}"/>
    <cellStyle name="Normal 67 7 3" xfId="19275" xr:uid="{00000000-0005-0000-0000-0000CD9E0000}"/>
    <cellStyle name="Normal 67 8" xfId="4935" xr:uid="{00000000-0005-0000-0000-0000CE9E0000}"/>
    <cellStyle name="Normal 67 8 2" xfId="13425" xr:uid="{00000000-0005-0000-0000-0000CF9E0000}"/>
    <cellStyle name="Normal 67 8 3" xfId="19276" xr:uid="{00000000-0005-0000-0000-0000D09E0000}"/>
    <cellStyle name="Normal 67_LNG &amp; LPG rework" xfId="7482" xr:uid="{00000000-0005-0000-0000-0000D19E0000}"/>
    <cellStyle name="Normal 68" xfId="4936" xr:uid="{00000000-0005-0000-0000-0000D29E0000}"/>
    <cellStyle name="Normal 68 2" xfId="4937" xr:uid="{00000000-0005-0000-0000-0000D39E0000}"/>
    <cellStyle name="Normal 68_LNG &amp; LPG rework" xfId="7485" xr:uid="{00000000-0005-0000-0000-0000D49E0000}"/>
    <cellStyle name="Normal 69" xfId="4938" xr:uid="{00000000-0005-0000-0000-0000D59E0000}"/>
    <cellStyle name="Normal 69 2" xfId="4939" xr:uid="{00000000-0005-0000-0000-0000D69E0000}"/>
    <cellStyle name="Normal 69_LNG &amp; LPG rework" xfId="7486" xr:uid="{00000000-0005-0000-0000-0000D79E0000}"/>
    <cellStyle name="Normal 7" xfId="47" xr:uid="{00000000-0005-0000-0000-0000D89E0000}"/>
    <cellStyle name="Normal 7 2" xfId="155" xr:uid="{00000000-0005-0000-0000-0000D99E0000}"/>
    <cellStyle name="Normal 7 2 2" xfId="9042" xr:uid="{00000000-0005-0000-0000-0000DA9E0000}"/>
    <cellStyle name="Normal 7 2 3" xfId="7811" xr:uid="{00000000-0005-0000-0000-0000DB9E0000}"/>
    <cellStyle name="Normal 7 3" xfId="483" xr:uid="{00000000-0005-0000-0000-0000DC9E0000}"/>
    <cellStyle name="Normal 7 4" xfId="4940" xr:uid="{00000000-0005-0000-0000-0000DD9E0000}"/>
    <cellStyle name="Normal 7 5" xfId="4941" xr:uid="{00000000-0005-0000-0000-0000DE9E0000}"/>
    <cellStyle name="Normal 7 6" xfId="14911" xr:uid="{00000000-0005-0000-0000-0000DF9E0000}"/>
    <cellStyle name="Normal 7 6 2" xfId="39181" xr:uid="{00000000-0005-0000-0000-0000E09E0000}"/>
    <cellStyle name="Normal 7 7" xfId="29517" xr:uid="{00000000-0005-0000-0000-0000E19E0000}"/>
    <cellStyle name="Normal 7_Data - Monthly Commodity Prices" xfId="6389" xr:uid="{00000000-0005-0000-0000-0000E29E0000}"/>
    <cellStyle name="Normal 70" xfId="4942" xr:uid="{00000000-0005-0000-0000-0000E39E0000}"/>
    <cellStyle name="Normal 70 2" xfId="4943" xr:uid="{00000000-0005-0000-0000-0000E49E0000}"/>
    <cellStyle name="Normal 70 2 2" xfId="4944" xr:uid="{00000000-0005-0000-0000-0000E59E0000}"/>
    <cellStyle name="Normal 70 2 2 2" xfId="13427" xr:uid="{00000000-0005-0000-0000-0000E69E0000}"/>
    <cellStyle name="Normal 70 2 2 3" xfId="19278" xr:uid="{00000000-0005-0000-0000-0000E79E0000}"/>
    <cellStyle name="Normal 70 2 3" xfId="4945" xr:uid="{00000000-0005-0000-0000-0000E89E0000}"/>
    <cellStyle name="Normal 70 2 3 2" xfId="13428" xr:uid="{00000000-0005-0000-0000-0000E99E0000}"/>
    <cellStyle name="Normal 70 2 3 3" xfId="19279" xr:uid="{00000000-0005-0000-0000-0000EA9E0000}"/>
    <cellStyle name="Normal 70 2 4" xfId="4946" xr:uid="{00000000-0005-0000-0000-0000EB9E0000}"/>
    <cellStyle name="Normal 70 2 4 2" xfId="13429" xr:uid="{00000000-0005-0000-0000-0000EC9E0000}"/>
    <cellStyle name="Normal 70 2 4 3" xfId="19280" xr:uid="{00000000-0005-0000-0000-0000ED9E0000}"/>
    <cellStyle name="Normal 70 2 5" xfId="4947" xr:uid="{00000000-0005-0000-0000-0000EE9E0000}"/>
    <cellStyle name="Normal 70 2 5 2" xfId="13430" xr:uid="{00000000-0005-0000-0000-0000EF9E0000}"/>
    <cellStyle name="Normal 70 2 5 3" xfId="19281" xr:uid="{00000000-0005-0000-0000-0000F09E0000}"/>
    <cellStyle name="Normal 70 2 6" xfId="13426" xr:uid="{00000000-0005-0000-0000-0000F19E0000}"/>
    <cellStyle name="Normal 70 2 7" xfId="19277" xr:uid="{00000000-0005-0000-0000-0000F29E0000}"/>
    <cellStyle name="Normal 70 2_LNG &amp; LPG rework" xfId="7488" xr:uid="{00000000-0005-0000-0000-0000F39E0000}"/>
    <cellStyle name="Normal 70 3" xfId="4948" xr:uid="{00000000-0005-0000-0000-0000F49E0000}"/>
    <cellStyle name="Normal 70 3 2" xfId="4949" xr:uid="{00000000-0005-0000-0000-0000F59E0000}"/>
    <cellStyle name="Normal 70 3 2 2" xfId="13432" xr:uid="{00000000-0005-0000-0000-0000F69E0000}"/>
    <cellStyle name="Normal 70 3 2 3" xfId="19283" xr:uid="{00000000-0005-0000-0000-0000F79E0000}"/>
    <cellStyle name="Normal 70 3 3" xfId="4950" xr:uid="{00000000-0005-0000-0000-0000F89E0000}"/>
    <cellStyle name="Normal 70 3 3 2" xfId="13433" xr:uid="{00000000-0005-0000-0000-0000F99E0000}"/>
    <cellStyle name="Normal 70 3 3 3" xfId="19284" xr:uid="{00000000-0005-0000-0000-0000FA9E0000}"/>
    <cellStyle name="Normal 70 3 4" xfId="4951" xr:uid="{00000000-0005-0000-0000-0000FB9E0000}"/>
    <cellStyle name="Normal 70 3 4 2" xfId="13434" xr:uid="{00000000-0005-0000-0000-0000FC9E0000}"/>
    <cellStyle name="Normal 70 3 4 3" xfId="19285" xr:uid="{00000000-0005-0000-0000-0000FD9E0000}"/>
    <cellStyle name="Normal 70 3 5" xfId="4952" xr:uid="{00000000-0005-0000-0000-0000FE9E0000}"/>
    <cellStyle name="Normal 70 3 5 2" xfId="13435" xr:uid="{00000000-0005-0000-0000-0000FF9E0000}"/>
    <cellStyle name="Normal 70 3 5 3" xfId="19286" xr:uid="{00000000-0005-0000-0000-0000009F0000}"/>
    <cellStyle name="Normal 70 3 6" xfId="13431" xr:uid="{00000000-0005-0000-0000-0000019F0000}"/>
    <cellStyle name="Normal 70 3 7" xfId="19282" xr:uid="{00000000-0005-0000-0000-0000029F0000}"/>
    <cellStyle name="Normal 70 3_LNG &amp; LPG rework" xfId="7489" xr:uid="{00000000-0005-0000-0000-0000039F0000}"/>
    <cellStyle name="Normal 70 4" xfId="4953" xr:uid="{00000000-0005-0000-0000-0000049F0000}"/>
    <cellStyle name="Normal 70 4 2" xfId="13436" xr:uid="{00000000-0005-0000-0000-0000059F0000}"/>
    <cellStyle name="Normal 70 4 3" xfId="19287" xr:uid="{00000000-0005-0000-0000-0000069F0000}"/>
    <cellStyle name="Normal 70 5" xfId="4954" xr:uid="{00000000-0005-0000-0000-0000079F0000}"/>
    <cellStyle name="Normal 70 5 2" xfId="13437" xr:uid="{00000000-0005-0000-0000-0000089F0000}"/>
    <cellStyle name="Normal 70 5 3" xfId="19288" xr:uid="{00000000-0005-0000-0000-0000099F0000}"/>
    <cellStyle name="Normal 70 6" xfId="4955" xr:uid="{00000000-0005-0000-0000-00000A9F0000}"/>
    <cellStyle name="Normal 70 6 2" xfId="13438" xr:uid="{00000000-0005-0000-0000-00000B9F0000}"/>
    <cellStyle name="Normal 70 6 3" xfId="19289" xr:uid="{00000000-0005-0000-0000-00000C9F0000}"/>
    <cellStyle name="Normal 70 7" xfId="4956" xr:uid="{00000000-0005-0000-0000-00000D9F0000}"/>
    <cellStyle name="Normal 70 7 2" xfId="13439" xr:uid="{00000000-0005-0000-0000-00000E9F0000}"/>
    <cellStyle name="Normal 70 7 3" xfId="19290" xr:uid="{00000000-0005-0000-0000-00000F9F0000}"/>
    <cellStyle name="Normal 70 8" xfId="4957" xr:uid="{00000000-0005-0000-0000-0000109F0000}"/>
    <cellStyle name="Normal 70 8 2" xfId="13440" xr:uid="{00000000-0005-0000-0000-0000119F0000}"/>
    <cellStyle name="Normal 70 8 3" xfId="19291" xr:uid="{00000000-0005-0000-0000-0000129F0000}"/>
    <cellStyle name="Normal 70_LNG &amp; LPG rework" xfId="7487" xr:uid="{00000000-0005-0000-0000-0000139F0000}"/>
    <cellStyle name="Normal 71" xfId="4958" xr:uid="{00000000-0005-0000-0000-0000149F0000}"/>
    <cellStyle name="Normal 71 2" xfId="4959" xr:uid="{00000000-0005-0000-0000-0000159F0000}"/>
    <cellStyle name="Normal 71 3" xfId="4960" xr:uid="{00000000-0005-0000-0000-0000169F0000}"/>
    <cellStyle name="Normal 71_LNG &amp; LPG rework" xfId="7490" xr:uid="{00000000-0005-0000-0000-0000179F0000}"/>
    <cellStyle name="Normal 72" xfId="4961" xr:uid="{00000000-0005-0000-0000-0000189F0000}"/>
    <cellStyle name="Normal 72 2" xfId="4962" xr:uid="{00000000-0005-0000-0000-0000199F0000}"/>
    <cellStyle name="Normal 72 2 2" xfId="4963" xr:uid="{00000000-0005-0000-0000-00001A9F0000}"/>
    <cellStyle name="Normal 72 2 2 2" xfId="13442" xr:uid="{00000000-0005-0000-0000-00001B9F0000}"/>
    <cellStyle name="Normal 72 2 2 3" xfId="19293" xr:uid="{00000000-0005-0000-0000-00001C9F0000}"/>
    <cellStyle name="Normal 72 2 3" xfId="4964" xr:uid="{00000000-0005-0000-0000-00001D9F0000}"/>
    <cellStyle name="Normal 72 2 3 2" xfId="13443" xr:uid="{00000000-0005-0000-0000-00001E9F0000}"/>
    <cellStyle name="Normal 72 2 3 3" xfId="19294" xr:uid="{00000000-0005-0000-0000-00001F9F0000}"/>
    <cellStyle name="Normal 72 2 4" xfId="4965" xr:uid="{00000000-0005-0000-0000-0000209F0000}"/>
    <cellStyle name="Normal 72 2 4 2" xfId="13444" xr:uid="{00000000-0005-0000-0000-0000219F0000}"/>
    <cellStyle name="Normal 72 2 4 3" xfId="19295" xr:uid="{00000000-0005-0000-0000-0000229F0000}"/>
    <cellStyle name="Normal 72 2 5" xfId="4966" xr:uid="{00000000-0005-0000-0000-0000239F0000}"/>
    <cellStyle name="Normal 72 2 5 2" xfId="13445" xr:uid="{00000000-0005-0000-0000-0000249F0000}"/>
    <cellStyle name="Normal 72 2 5 3" xfId="19296" xr:uid="{00000000-0005-0000-0000-0000259F0000}"/>
    <cellStyle name="Normal 72 2 6" xfId="13441" xr:uid="{00000000-0005-0000-0000-0000269F0000}"/>
    <cellStyle name="Normal 72 2 7" xfId="19292" xr:uid="{00000000-0005-0000-0000-0000279F0000}"/>
    <cellStyle name="Normal 72 2_LNG &amp; LPG rework" xfId="7492" xr:uid="{00000000-0005-0000-0000-0000289F0000}"/>
    <cellStyle name="Normal 72 3" xfId="4967" xr:uid="{00000000-0005-0000-0000-0000299F0000}"/>
    <cellStyle name="Normal 72 3 2" xfId="4968" xr:uid="{00000000-0005-0000-0000-00002A9F0000}"/>
    <cellStyle name="Normal 72 3 2 2" xfId="13447" xr:uid="{00000000-0005-0000-0000-00002B9F0000}"/>
    <cellStyle name="Normal 72 3 2 3" xfId="19298" xr:uid="{00000000-0005-0000-0000-00002C9F0000}"/>
    <cellStyle name="Normal 72 3 3" xfId="4969" xr:uid="{00000000-0005-0000-0000-00002D9F0000}"/>
    <cellStyle name="Normal 72 3 3 2" xfId="13448" xr:uid="{00000000-0005-0000-0000-00002E9F0000}"/>
    <cellStyle name="Normal 72 3 3 3" xfId="19299" xr:uid="{00000000-0005-0000-0000-00002F9F0000}"/>
    <cellStyle name="Normal 72 3 4" xfId="4970" xr:uid="{00000000-0005-0000-0000-0000309F0000}"/>
    <cellStyle name="Normal 72 3 4 2" xfId="13449" xr:uid="{00000000-0005-0000-0000-0000319F0000}"/>
    <cellStyle name="Normal 72 3 4 3" xfId="19300" xr:uid="{00000000-0005-0000-0000-0000329F0000}"/>
    <cellStyle name="Normal 72 3 5" xfId="4971" xr:uid="{00000000-0005-0000-0000-0000339F0000}"/>
    <cellStyle name="Normal 72 3 5 2" xfId="13450" xr:uid="{00000000-0005-0000-0000-0000349F0000}"/>
    <cellStyle name="Normal 72 3 5 3" xfId="19301" xr:uid="{00000000-0005-0000-0000-0000359F0000}"/>
    <cellStyle name="Normal 72 3 6" xfId="13446" xr:uid="{00000000-0005-0000-0000-0000369F0000}"/>
    <cellStyle name="Normal 72 3 7" xfId="19297" xr:uid="{00000000-0005-0000-0000-0000379F0000}"/>
    <cellStyle name="Normal 72 3_LNG &amp; LPG rework" xfId="7493" xr:uid="{00000000-0005-0000-0000-0000389F0000}"/>
    <cellStyle name="Normal 72 4" xfId="4972" xr:uid="{00000000-0005-0000-0000-0000399F0000}"/>
    <cellStyle name="Normal 72 4 2" xfId="13451" xr:uid="{00000000-0005-0000-0000-00003A9F0000}"/>
    <cellStyle name="Normal 72 4 3" xfId="19302" xr:uid="{00000000-0005-0000-0000-00003B9F0000}"/>
    <cellStyle name="Normal 72 5" xfId="4973" xr:uid="{00000000-0005-0000-0000-00003C9F0000}"/>
    <cellStyle name="Normal 72 5 2" xfId="13452" xr:uid="{00000000-0005-0000-0000-00003D9F0000}"/>
    <cellStyle name="Normal 72 5 3" xfId="19303" xr:uid="{00000000-0005-0000-0000-00003E9F0000}"/>
    <cellStyle name="Normal 72 6" xfId="4974" xr:uid="{00000000-0005-0000-0000-00003F9F0000}"/>
    <cellStyle name="Normal 72 6 2" xfId="13453" xr:uid="{00000000-0005-0000-0000-0000409F0000}"/>
    <cellStyle name="Normal 72 6 3" xfId="19304" xr:uid="{00000000-0005-0000-0000-0000419F0000}"/>
    <cellStyle name="Normal 72 7" xfId="4975" xr:uid="{00000000-0005-0000-0000-0000429F0000}"/>
    <cellStyle name="Normal 72 7 2" xfId="13454" xr:uid="{00000000-0005-0000-0000-0000439F0000}"/>
    <cellStyle name="Normal 72 7 3" xfId="19305" xr:uid="{00000000-0005-0000-0000-0000449F0000}"/>
    <cellStyle name="Normal 72 8" xfId="4976" xr:uid="{00000000-0005-0000-0000-0000459F0000}"/>
    <cellStyle name="Normal 72 8 2" xfId="13455" xr:uid="{00000000-0005-0000-0000-0000469F0000}"/>
    <cellStyle name="Normal 72 8 3" xfId="19306" xr:uid="{00000000-0005-0000-0000-0000479F0000}"/>
    <cellStyle name="Normal 72_LNG &amp; LPG rework" xfId="7491" xr:uid="{00000000-0005-0000-0000-0000489F0000}"/>
    <cellStyle name="Normal 73" xfId="4977" xr:uid="{00000000-0005-0000-0000-0000499F0000}"/>
    <cellStyle name="Normal 73 2" xfId="4978" xr:uid="{00000000-0005-0000-0000-00004A9F0000}"/>
    <cellStyle name="Normal 73 2 2" xfId="4979" xr:uid="{00000000-0005-0000-0000-00004B9F0000}"/>
    <cellStyle name="Normal 73 2 2 2" xfId="13457" xr:uid="{00000000-0005-0000-0000-00004C9F0000}"/>
    <cellStyle name="Normal 73 2 2 3" xfId="19308" xr:uid="{00000000-0005-0000-0000-00004D9F0000}"/>
    <cellStyle name="Normal 73 2 3" xfId="4980" xr:uid="{00000000-0005-0000-0000-00004E9F0000}"/>
    <cellStyle name="Normal 73 2 3 2" xfId="13458" xr:uid="{00000000-0005-0000-0000-00004F9F0000}"/>
    <cellStyle name="Normal 73 2 3 3" xfId="19309" xr:uid="{00000000-0005-0000-0000-0000509F0000}"/>
    <cellStyle name="Normal 73 2 4" xfId="4981" xr:uid="{00000000-0005-0000-0000-0000519F0000}"/>
    <cellStyle name="Normal 73 2 4 2" xfId="13459" xr:uid="{00000000-0005-0000-0000-0000529F0000}"/>
    <cellStyle name="Normal 73 2 4 3" xfId="19310" xr:uid="{00000000-0005-0000-0000-0000539F0000}"/>
    <cellStyle name="Normal 73 2 5" xfId="4982" xr:uid="{00000000-0005-0000-0000-0000549F0000}"/>
    <cellStyle name="Normal 73 2 5 2" xfId="13460" xr:uid="{00000000-0005-0000-0000-0000559F0000}"/>
    <cellStyle name="Normal 73 2 5 3" xfId="19311" xr:uid="{00000000-0005-0000-0000-0000569F0000}"/>
    <cellStyle name="Normal 73 2 6" xfId="13456" xr:uid="{00000000-0005-0000-0000-0000579F0000}"/>
    <cellStyle name="Normal 73 2 7" xfId="19307" xr:uid="{00000000-0005-0000-0000-0000589F0000}"/>
    <cellStyle name="Normal 73 2_LNG &amp; LPG rework" xfId="7495" xr:uid="{00000000-0005-0000-0000-0000599F0000}"/>
    <cellStyle name="Normal 73 3" xfId="4983" xr:uid="{00000000-0005-0000-0000-00005A9F0000}"/>
    <cellStyle name="Normal 73 3 2" xfId="4984" xr:uid="{00000000-0005-0000-0000-00005B9F0000}"/>
    <cellStyle name="Normal 73 3 2 2" xfId="13462" xr:uid="{00000000-0005-0000-0000-00005C9F0000}"/>
    <cellStyle name="Normal 73 3 2 3" xfId="19313" xr:uid="{00000000-0005-0000-0000-00005D9F0000}"/>
    <cellStyle name="Normal 73 3 3" xfId="4985" xr:uid="{00000000-0005-0000-0000-00005E9F0000}"/>
    <cellStyle name="Normal 73 3 3 2" xfId="13463" xr:uid="{00000000-0005-0000-0000-00005F9F0000}"/>
    <cellStyle name="Normal 73 3 3 3" xfId="19314" xr:uid="{00000000-0005-0000-0000-0000609F0000}"/>
    <cellStyle name="Normal 73 3 4" xfId="4986" xr:uid="{00000000-0005-0000-0000-0000619F0000}"/>
    <cellStyle name="Normal 73 3 4 2" xfId="13464" xr:uid="{00000000-0005-0000-0000-0000629F0000}"/>
    <cellStyle name="Normal 73 3 4 3" xfId="19315" xr:uid="{00000000-0005-0000-0000-0000639F0000}"/>
    <cellStyle name="Normal 73 3 5" xfId="4987" xr:uid="{00000000-0005-0000-0000-0000649F0000}"/>
    <cellStyle name="Normal 73 3 5 2" xfId="13465" xr:uid="{00000000-0005-0000-0000-0000659F0000}"/>
    <cellStyle name="Normal 73 3 5 3" xfId="19316" xr:uid="{00000000-0005-0000-0000-0000669F0000}"/>
    <cellStyle name="Normal 73 3 6" xfId="13461" xr:uid="{00000000-0005-0000-0000-0000679F0000}"/>
    <cellStyle name="Normal 73 3 7" xfId="19312" xr:uid="{00000000-0005-0000-0000-0000689F0000}"/>
    <cellStyle name="Normal 73 3_LNG &amp; LPG rework" xfId="7496" xr:uid="{00000000-0005-0000-0000-0000699F0000}"/>
    <cellStyle name="Normal 73 4" xfId="4988" xr:uid="{00000000-0005-0000-0000-00006A9F0000}"/>
    <cellStyle name="Normal 73 4 2" xfId="13466" xr:uid="{00000000-0005-0000-0000-00006B9F0000}"/>
    <cellStyle name="Normal 73 4 3" xfId="19317" xr:uid="{00000000-0005-0000-0000-00006C9F0000}"/>
    <cellStyle name="Normal 73 5" xfId="4989" xr:uid="{00000000-0005-0000-0000-00006D9F0000}"/>
    <cellStyle name="Normal 73 5 2" xfId="13467" xr:uid="{00000000-0005-0000-0000-00006E9F0000}"/>
    <cellStyle name="Normal 73 5 3" xfId="19318" xr:uid="{00000000-0005-0000-0000-00006F9F0000}"/>
    <cellStyle name="Normal 73 6" xfId="4990" xr:uid="{00000000-0005-0000-0000-0000709F0000}"/>
    <cellStyle name="Normal 73 6 2" xfId="13468" xr:uid="{00000000-0005-0000-0000-0000719F0000}"/>
    <cellStyle name="Normal 73 6 3" xfId="19319" xr:uid="{00000000-0005-0000-0000-0000729F0000}"/>
    <cellStyle name="Normal 73 7" xfId="4991" xr:uid="{00000000-0005-0000-0000-0000739F0000}"/>
    <cellStyle name="Normal 73 7 2" xfId="13469" xr:uid="{00000000-0005-0000-0000-0000749F0000}"/>
    <cellStyle name="Normal 73 7 3" xfId="19320" xr:uid="{00000000-0005-0000-0000-0000759F0000}"/>
    <cellStyle name="Normal 73 8" xfId="4992" xr:uid="{00000000-0005-0000-0000-0000769F0000}"/>
    <cellStyle name="Normal 73 8 2" xfId="13470" xr:uid="{00000000-0005-0000-0000-0000779F0000}"/>
    <cellStyle name="Normal 73 8 3" xfId="19321" xr:uid="{00000000-0005-0000-0000-0000789F0000}"/>
    <cellStyle name="Normal 73_LNG &amp; LPG rework" xfId="7494" xr:uid="{00000000-0005-0000-0000-0000799F0000}"/>
    <cellStyle name="Normal 74" xfId="4993" xr:uid="{00000000-0005-0000-0000-00007A9F0000}"/>
    <cellStyle name="Normal 74 2" xfId="4994" xr:uid="{00000000-0005-0000-0000-00007B9F0000}"/>
    <cellStyle name="Normal 74 2 2" xfId="4995" xr:uid="{00000000-0005-0000-0000-00007C9F0000}"/>
    <cellStyle name="Normal 74 2 2 2" xfId="13472" xr:uid="{00000000-0005-0000-0000-00007D9F0000}"/>
    <cellStyle name="Normal 74 2 2 3" xfId="19323" xr:uid="{00000000-0005-0000-0000-00007E9F0000}"/>
    <cellStyle name="Normal 74 2 3" xfId="4996" xr:uid="{00000000-0005-0000-0000-00007F9F0000}"/>
    <cellStyle name="Normal 74 2 3 2" xfId="13473" xr:uid="{00000000-0005-0000-0000-0000809F0000}"/>
    <cellStyle name="Normal 74 2 3 3" xfId="19324" xr:uid="{00000000-0005-0000-0000-0000819F0000}"/>
    <cellStyle name="Normal 74 2 4" xfId="4997" xr:uid="{00000000-0005-0000-0000-0000829F0000}"/>
    <cellStyle name="Normal 74 2 4 2" xfId="13474" xr:uid="{00000000-0005-0000-0000-0000839F0000}"/>
    <cellStyle name="Normal 74 2 4 3" xfId="19325" xr:uid="{00000000-0005-0000-0000-0000849F0000}"/>
    <cellStyle name="Normal 74 2 5" xfId="4998" xr:uid="{00000000-0005-0000-0000-0000859F0000}"/>
    <cellStyle name="Normal 74 2 5 2" xfId="13475" xr:uid="{00000000-0005-0000-0000-0000869F0000}"/>
    <cellStyle name="Normal 74 2 5 3" xfId="19326" xr:uid="{00000000-0005-0000-0000-0000879F0000}"/>
    <cellStyle name="Normal 74 2 6" xfId="13471" xr:uid="{00000000-0005-0000-0000-0000889F0000}"/>
    <cellStyle name="Normal 74 2 7" xfId="19322" xr:uid="{00000000-0005-0000-0000-0000899F0000}"/>
    <cellStyle name="Normal 74 2_LNG &amp; LPG rework" xfId="7498" xr:uid="{00000000-0005-0000-0000-00008A9F0000}"/>
    <cellStyle name="Normal 74 3" xfId="4999" xr:uid="{00000000-0005-0000-0000-00008B9F0000}"/>
    <cellStyle name="Normal 74 3 2" xfId="5000" xr:uid="{00000000-0005-0000-0000-00008C9F0000}"/>
    <cellStyle name="Normal 74 3 2 2" xfId="13477" xr:uid="{00000000-0005-0000-0000-00008D9F0000}"/>
    <cellStyle name="Normal 74 3 2 3" xfId="19328" xr:uid="{00000000-0005-0000-0000-00008E9F0000}"/>
    <cellStyle name="Normal 74 3 3" xfId="5001" xr:uid="{00000000-0005-0000-0000-00008F9F0000}"/>
    <cellStyle name="Normal 74 3 3 2" xfId="13478" xr:uid="{00000000-0005-0000-0000-0000909F0000}"/>
    <cellStyle name="Normal 74 3 3 3" xfId="19329" xr:uid="{00000000-0005-0000-0000-0000919F0000}"/>
    <cellStyle name="Normal 74 3 4" xfId="5002" xr:uid="{00000000-0005-0000-0000-0000929F0000}"/>
    <cellStyle name="Normal 74 3 4 2" xfId="13479" xr:uid="{00000000-0005-0000-0000-0000939F0000}"/>
    <cellStyle name="Normal 74 3 4 3" xfId="19330" xr:uid="{00000000-0005-0000-0000-0000949F0000}"/>
    <cellStyle name="Normal 74 3 5" xfId="5003" xr:uid="{00000000-0005-0000-0000-0000959F0000}"/>
    <cellStyle name="Normal 74 3 5 2" xfId="13480" xr:uid="{00000000-0005-0000-0000-0000969F0000}"/>
    <cellStyle name="Normal 74 3 5 3" xfId="19331" xr:uid="{00000000-0005-0000-0000-0000979F0000}"/>
    <cellStyle name="Normal 74 3 6" xfId="13476" xr:uid="{00000000-0005-0000-0000-0000989F0000}"/>
    <cellStyle name="Normal 74 3 7" xfId="19327" xr:uid="{00000000-0005-0000-0000-0000999F0000}"/>
    <cellStyle name="Normal 74 3_LNG &amp; LPG rework" xfId="7499" xr:uid="{00000000-0005-0000-0000-00009A9F0000}"/>
    <cellStyle name="Normal 74 4" xfId="5004" xr:uid="{00000000-0005-0000-0000-00009B9F0000}"/>
    <cellStyle name="Normal 74 4 2" xfId="13481" xr:uid="{00000000-0005-0000-0000-00009C9F0000}"/>
    <cellStyle name="Normal 74 4 3" xfId="19332" xr:uid="{00000000-0005-0000-0000-00009D9F0000}"/>
    <cellStyle name="Normal 74 5" xfId="5005" xr:uid="{00000000-0005-0000-0000-00009E9F0000}"/>
    <cellStyle name="Normal 74 5 2" xfId="13482" xr:uid="{00000000-0005-0000-0000-00009F9F0000}"/>
    <cellStyle name="Normal 74 5 3" xfId="19333" xr:uid="{00000000-0005-0000-0000-0000A09F0000}"/>
    <cellStyle name="Normal 74 6" xfId="5006" xr:uid="{00000000-0005-0000-0000-0000A19F0000}"/>
    <cellStyle name="Normal 74 6 2" xfId="13483" xr:uid="{00000000-0005-0000-0000-0000A29F0000}"/>
    <cellStyle name="Normal 74 6 3" xfId="19334" xr:uid="{00000000-0005-0000-0000-0000A39F0000}"/>
    <cellStyle name="Normal 74 7" xfId="5007" xr:uid="{00000000-0005-0000-0000-0000A49F0000}"/>
    <cellStyle name="Normal 74 7 2" xfId="13484" xr:uid="{00000000-0005-0000-0000-0000A59F0000}"/>
    <cellStyle name="Normal 74 7 3" xfId="19335" xr:uid="{00000000-0005-0000-0000-0000A69F0000}"/>
    <cellStyle name="Normal 74 8" xfId="5008" xr:uid="{00000000-0005-0000-0000-0000A79F0000}"/>
    <cellStyle name="Normal 74 8 2" xfId="13485" xr:uid="{00000000-0005-0000-0000-0000A89F0000}"/>
    <cellStyle name="Normal 74 8 3" xfId="19336" xr:uid="{00000000-0005-0000-0000-0000A99F0000}"/>
    <cellStyle name="Normal 74_LNG &amp; LPG rework" xfId="7497" xr:uid="{00000000-0005-0000-0000-0000AA9F0000}"/>
    <cellStyle name="Normal 75" xfId="5009" xr:uid="{00000000-0005-0000-0000-0000AB9F0000}"/>
    <cellStyle name="Normal 75 2" xfId="5010" xr:uid="{00000000-0005-0000-0000-0000AC9F0000}"/>
    <cellStyle name="Normal 75 2 2" xfId="5011" xr:uid="{00000000-0005-0000-0000-0000AD9F0000}"/>
    <cellStyle name="Normal 75 2 2 2" xfId="13487" xr:uid="{00000000-0005-0000-0000-0000AE9F0000}"/>
    <cellStyle name="Normal 75 2 2 3" xfId="19338" xr:uid="{00000000-0005-0000-0000-0000AF9F0000}"/>
    <cellStyle name="Normal 75 2 3" xfId="5012" xr:uid="{00000000-0005-0000-0000-0000B09F0000}"/>
    <cellStyle name="Normal 75 2 3 2" xfId="13488" xr:uid="{00000000-0005-0000-0000-0000B19F0000}"/>
    <cellStyle name="Normal 75 2 3 3" xfId="19339" xr:uid="{00000000-0005-0000-0000-0000B29F0000}"/>
    <cellStyle name="Normal 75 2 4" xfId="5013" xr:uid="{00000000-0005-0000-0000-0000B39F0000}"/>
    <cellStyle name="Normal 75 2 4 2" xfId="13489" xr:uid="{00000000-0005-0000-0000-0000B49F0000}"/>
    <cellStyle name="Normal 75 2 4 3" xfId="19340" xr:uid="{00000000-0005-0000-0000-0000B59F0000}"/>
    <cellStyle name="Normal 75 2 5" xfId="5014" xr:uid="{00000000-0005-0000-0000-0000B69F0000}"/>
    <cellStyle name="Normal 75 2 5 2" xfId="13490" xr:uid="{00000000-0005-0000-0000-0000B79F0000}"/>
    <cellStyle name="Normal 75 2 5 3" xfId="19341" xr:uid="{00000000-0005-0000-0000-0000B89F0000}"/>
    <cellStyle name="Normal 75 2 6" xfId="13486" xr:uid="{00000000-0005-0000-0000-0000B99F0000}"/>
    <cellStyle name="Normal 75 2 7" xfId="19337" xr:uid="{00000000-0005-0000-0000-0000BA9F0000}"/>
    <cellStyle name="Normal 75 2_LNG &amp; LPG rework" xfId="7501" xr:uid="{00000000-0005-0000-0000-0000BB9F0000}"/>
    <cellStyle name="Normal 75 3" xfId="5015" xr:uid="{00000000-0005-0000-0000-0000BC9F0000}"/>
    <cellStyle name="Normal 75 3 2" xfId="5016" xr:uid="{00000000-0005-0000-0000-0000BD9F0000}"/>
    <cellStyle name="Normal 75 3 2 2" xfId="13492" xr:uid="{00000000-0005-0000-0000-0000BE9F0000}"/>
    <cellStyle name="Normal 75 3 2 3" xfId="19343" xr:uid="{00000000-0005-0000-0000-0000BF9F0000}"/>
    <cellStyle name="Normal 75 3 3" xfId="5017" xr:uid="{00000000-0005-0000-0000-0000C09F0000}"/>
    <cellStyle name="Normal 75 3 3 2" xfId="13493" xr:uid="{00000000-0005-0000-0000-0000C19F0000}"/>
    <cellStyle name="Normal 75 3 3 3" xfId="19344" xr:uid="{00000000-0005-0000-0000-0000C29F0000}"/>
    <cellStyle name="Normal 75 3 4" xfId="5018" xr:uid="{00000000-0005-0000-0000-0000C39F0000}"/>
    <cellStyle name="Normal 75 3 4 2" xfId="13494" xr:uid="{00000000-0005-0000-0000-0000C49F0000}"/>
    <cellStyle name="Normal 75 3 4 3" xfId="19345" xr:uid="{00000000-0005-0000-0000-0000C59F0000}"/>
    <cellStyle name="Normal 75 3 5" xfId="5019" xr:uid="{00000000-0005-0000-0000-0000C69F0000}"/>
    <cellStyle name="Normal 75 3 5 2" xfId="13495" xr:uid="{00000000-0005-0000-0000-0000C79F0000}"/>
    <cellStyle name="Normal 75 3 5 3" xfId="19346" xr:uid="{00000000-0005-0000-0000-0000C89F0000}"/>
    <cellStyle name="Normal 75 3 6" xfId="13491" xr:uid="{00000000-0005-0000-0000-0000C99F0000}"/>
    <cellStyle name="Normal 75 3 7" xfId="19342" xr:uid="{00000000-0005-0000-0000-0000CA9F0000}"/>
    <cellStyle name="Normal 75 3_LNG &amp; LPG rework" xfId="7502" xr:uid="{00000000-0005-0000-0000-0000CB9F0000}"/>
    <cellStyle name="Normal 75 4" xfId="5020" xr:uid="{00000000-0005-0000-0000-0000CC9F0000}"/>
    <cellStyle name="Normal 75 4 2" xfId="13496" xr:uid="{00000000-0005-0000-0000-0000CD9F0000}"/>
    <cellStyle name="Normal 75 4 3" xfId="19347" xr:uid="{00000000-0005-0000-0000-0000CE9F0000}"/>
    <cellStyle name="Normal 75 5" xfId="5021" xr:uid="{00000000-0005-0000-0000-0000CF9F0000}"/>
    <cellStyle name="Normal 75 5 2" xfId="13497" xr:uid="{00000000-0005-0000-0000-0000D09F0000}"/>
    <cellStyle name="Normal 75 5 3" xfId="19348" xr:uid="{00000000-0005-0000-0000-0000D19F0000}"/>
    <cellStyle name="Normal 75 6" xfId="5022" xr:uid="{00000000-0005-0000-0000-0000D29F0000}"/>
    <cellStyle name="Normal 75 6 2" xfId="13498" xr:uid="{00000000-0005-0000-0000-0000D39F0000}"/>
    <cellStyle name="Normal 75 6 3" xfId="19349" xr:uid="{00000000-0005-0000-0000-0000D49F0000}"/>
    <cellStyle name="Normal 75 7" xfId="5023" xr:uid="{00000000-0005-0000-0000-0000D59F0000}"/>
    <cellStyle name="Normal 75 7 2" xfId="13499" xr:uid="{00000000-0005-0000-0000-0000D69F0000}"/>
    <cellStyle name="Normal 75 7 3" xfId="19350" xr:uid="{00000000-0005-0000-0000-0000D79F0000}"/>
    <cellStyle name="Normal 75 8" xfId="5024" xr:uid="{00000000-0005-0000-0000-0000D89F0000}"/>
    <cellStyle name="Normal 75 8 2" xfId="13500" xr:uid="{00000000-0005-0000-0000-0000D99F0000}"/>
    <cellStyle name="Normal 75 8 3" xfId="19351" xr:uid="{00000000-0005-0000-0000-0000DA9F0000}"/>
    <cellStyle name="Normal 75_LNG &amp; LPG rework" xfId="7500" xr:uid="{00000000-0005-0000-0000-0000DB9F0000}"/>
    <cellStyle name="Normal 76" xfId="5025" xr:uid="{00000000-0005-0000-0000-0000DC9F0000}"/>
    <cellStyle name="Normal 76 2" xfId="5026" xr:uid="{00000000-0005-0000-0000-0000DD9F0000}"/>
    <cellStyle name="Normal 76 2 2" xfId="5027" xr:uid="{00000000-0005-0000-0000-0000DE9F0000}"/>
    <cellStyle name="Normal 76 2 2 2" xfId="13502" xr:uid="{00000000-0005-0000-0000-0000DF9F0000}"/>
    <cellStyle name="Normal 76 2 2 3" xfId="19353" xr:uid="{00000000-0005-0000-0000-0000E09F0000}"/>
    <cellStyle name="Normal 76 2 3" xfId="5028" xr:uid="{00000000-0005-0000-0000-0000E19F0000}"/>
    <cellStyle name="Normal 76 2 3 2" xfId="13503" xr:uid="{00000000-0005-0000-0000-0000E29F0000}"/>
    <cellStyle name="Normal 76 2 3 3" xfId="19354" xr:uid="{00000000-0005-0000-0000-0000E39F0000}"/>
    <cellStyle name="Normal 76 2 4" xfId="5029" xr:uid="{00000000-0005-0000-0000-0000E49F0000}"/>
    <cellStyle name="Normal 76 2 4 2" xfId="13504" xr:uid="{00000000-0005-0000-0000-0000E59F0000}"/>
    <cellStyle name="Normal 76 2 4 3" xfId="19355" xr:uid="{00000000-0005-0000-0000-0000E69F0000}"/>
    <cellStyle name="Normal 76 2 5" xfId="5030" xr:uid="{00000000-0005-0000-0000-0000E79F0000}"/>
    <cellStyle name="Normal 76 2 5 2" xfId="13505" xr:uid="{00000000-0005-0000-0000-0000E89F0000}"/>
    <cellStyle name="Normal 76 2 5 3" xfId="19356" xr:uid="{00000000-0005-0000-0000-0000E99F0000}"/>
    <cellStyle name="Normal 76 2 6" xfId="13501" xr:uid="{00000000-0005-0000-0000-0000EA9F0000}"/>
    <cellStyle name="Normal 76 2 7" xfId="19352" xr:uid="{00000000-0005-0000-0000-0000EB9F0000}"/>
    <cellStyle name="Normal 76 2_LNG &amp; LPG rework" xfId="7504" xr:uid="{00000000-0005-0000-0000-0000EC9F0000}"/>
    <cellStyle name="Normal 76 3" xfId="5031" xr:uid="{00000000-0005-0000-0000-0000ED9F0000}"/>
    <cellStyle name="Normal 76 3 2" xfId="5032" xr:uid="{00000000-0005-0000-0000-0000EE9F0000}"/>
    <cellStyle name="Normal 76 3 2 2" xfId="13507" xr:uid="{00000000-0005-0000-0000-0000EF9F0000}"/>
    <cellStyle name="Normal 76 3 2 3" xfId="19358" xr:uid="{00000000-0005-0000-0000-0000F09F0000}"/>
    <cellStyle name="Normal 76 3 3" xfId="5033" xr:uid="{00000000-0005-0000-0000-0000F19F0000}"/>
    <cellStyle name="Normal 76 3 3 2" xfId="13508" xr:uid="{00000000-0005-0000-0000-0000F29F0000}"/>
    <cellStyle name="Normal 76 3 3 3" xfId="19359" xr:uid="{00000000-0005-0000-0000-0000F39F0000}"/>
    <cellStyle name="Normal 76 3 4" xfId="5034" xr:uid="{00000000-0005-0000-0000-0000F49F0000}"/>
    <cellStyle name="Normal 76 3 4 2" xfId="13509" xr:uid="{00000000-0005-0000-0000-0000F59F0000}"/>
    <cellStyle name="Normal 76 3 4 3" xfId="19360" xr:uid="{00000000-0005-0000-0000-0000F69F0000}"/>
    <cellStyle name="Normal 76 3 5" xfId="5035" xr:uid="{00000000-0005-0000-0000-0000F79F0000}"/>
    <cellStyle name="Normal 76 3 5 2" xfId="13510" xr:uid="{00000000-0005-0000-0000-0000F89F0000}"/>
    <cellStyle name="Normal 76 3 5 3" xfId="19361" xr:uid="{00000000-0005-0000-0000-0000F99F0000}"/>
    <cellStyle name="Normal 76 3 6" xfId="13506" xr:uid="{00000000-0005-0000-0000-0000FA9F0000}"/>
    <cellStyle name="Normal 76 3 7" xfId="19357" xr:uid="{00000000-0005-0000-0000-0000FB9F0000}"/>
    <cellStyle name="Normal 76 3_LNG &amp; LPG rework" xfId="7505" xr:uid="{00000000-0005-0000-0000-0000FC9F0000}"/>
    <cellStyle name="Normal 76 4" xfId="5036" xr:uid="{00000000-0005-0000-0000-0000FD9F0000}"/>
    <cellStyle name="Normal 76 4 2" xfId="13511" xr:uid="{00000000-0005-0000-0000-0000FE9F0000}"/>
    <cellStyle name="Normal 76 4 3" xfId="19362" xr:uid="{00000000-0005-0000-0000-0000FF9F0000}"/>
    <cellStyle name="Normal 76 5" xfId="5037" xr:uid="{00000000-0005-0000-0000-000000A00000}"/>
    <cellStyle name="Normal 76 5 2" xfId="13512" xr:uid="{00000000-0005-0000-0000-000001A00000}"/>
    <cellStyle name="Normal 76 5 3" xfId="19363" xr:uid="{00000000-0005-0000-0000-000002A00000}"/>
    <cellStyle name="Normal 76 6" xfId="5038" xr:uid="{00000000-0005-0000-0000-000003A00000}"/>
    <cellStyle name="Normal 76 6 2" xfId="13513" xr:uid="{00000000-0005-0000-0000-000004A00000}"/>
    <cellStyle name="Normal 76 6 3" xfId="19364" xr:uid="{00000000-0005-0000-0000-000005A00000}"/>
    <cellStyle name="Normal 76 7" xfId="5039" xr:uid="{00000000-0005-0000-0000-000006A00000}"/>
    <cellStyle name="Normal 76 7 2" xfId="13514" xr:uid="{00000000-0005-0000-0000-000007A00000}"/>
    <cellStyle name="Normal 76 7 3" xfId="19365" xr:uid="{00000000-0005-0000-0000-000008A00000}"/>
    <cellStyle name="Normal 76 8" xfId="5040" xr:uid="{00000000-0005-0000-0000-000009A00000}"/>
    <cellStyle name="Normal 76 8 2" xfId="13515" xr:uid="{00000000-0005-0000-0000-00000AA00000}"/>
    <cellStyle name="Normal 76 8 3" xfId="19366" xr:uid="{00000000-0005-0000-0000-00000BA00000}"/>
    <cellStyle name="Normal 76_LNG &amp; LPG rework" xfId="7503" xr:uid="{00000000-0005-0000-0000-00000CA00000}"/>
    <cellStyle name="Normal 77" xfId="5041" xr:uid="{00000000-0005-0000-0000-00000DA00000}"/>
    <cellStyle name="Normal 77 2" xfId="5042" xr:uid="{00000000-0005-0000-0000-00000EA00000}"/>
    <cellStyle name="Normal 77 2 2" xfId="5043" xr:uid="{00000000-0005-0000-0000-00000FA00000}"/>
    <cellStyle name="Normal 77 2 2 2" xfId="13517" xr:uid="{00000000-0005-0000-0000-000010A00000}"/>
    <cellStyle name="Normal 77 2 2 3" xfId="19368" xr:uid="{00000000-0005-0000-0000-000011A00000}"/>
    <cellStyle name="Normal 77 2 3" xfId="5044" xr:uid="{00000000-0005-0000-0000-000012A00000}"/>
    <cellStyle name="Normal 77 2 3 2" xfId="13518" xr:uid="{00000000-0005-0000-0000-000013A00000}"/>
    <cellStyle name="Normal 77 2 3 3" xfId="19369" xr:uid="{00000000-0005-0000-0000-000014A00000}"/>
    <cellStyle name="Normal 77 2 4" xfId="5045" xr:uid="{00000000-0005-0000-0000-000015A00000}"/>
    <cellStyle name="Normal 77 2 4 2" xfId="13519" xr:uid="{00000000-0005-0000-0000-000016A00000}"/>
    <cellStyle name="Normal 77 2 4 3" xfId="19370" xr:uid="{00000000-0005-0000-0000-000017A00000}"/>
    <cellStyle name="Normal 77 2 5" xfId="5046" xr:uid="{00000000-0005-0000-0000-000018A00000}"/>
    <cellStyle name="Normal 77 2 5 2" xfId="13520" xr:uid="{00000000-0005-0000-0000-000019A00000}"/>
    <cellStyle name="Normal 77 2 5 3" xfId="19371" xr:uid="{00000000-0005-0000-0000-00001AA00000}"/>
    <cellStyle name="Normal 77 2 6" xfId="13516" xr:uid="{00000000-0005-0000-0000-00001BA00000}"/>
    <cellStyle name="Normal 77 2 7" xfId="19367" xr:uid="{00000000-0005-0000-0000-00001CA00000}"/>
    <cellStyle name="Normal 77 2_LNG &amp; LPG rework" xfId="7507" xr:uid="{00000000-0005-0000-0000-00001DA00000}"/>
    <cellStyle name="Normal 77 3" xfId="5047" xr:uid="{00000000-0005-0000-0000-00001EA00000}"/>
    <cellStyle name="Normal 77 3 2" xfId="5048" xr:uid="{00000000-0005-0000-0000-00001FA00000}"/>
    <cellStyle name="Normal 77 3 2 2" xfId="13522" xr:uid="{00000000-0005-0000-0000-000020A00000}"/>
    <cellStyle name="Normal 77 3 2 3" xfId="19373" xr:uid="{00000000-0005-0000-0000-000021A00000}"/>
    <cellStyle name="Normal 77 3 3" xfId="5049" xr:uid="{00000000-0005-0000-0000-000022A00000}"/>
    <cellStyle name="Normal 77 3 3 2" xfId="13523" xr:uid="{00000000-0005-0000-0000-000023A00000}"/>
    <cellStyle name="Normal 77 3 3 3" xfId="19374" xr:uid="{00000000-0005-0000-0000-000024A00000}"/>
    <cellStyle name="Normal 77 3 4" xfId="5050" xr:uid="{00000000-0005-0000-0000-000025A00000}"/>
    <cellStyle name="Normal 77 3 4 2" xfId="13524" xr:uid="{00000000-0005-0000-0000-000026A00000}"/>
    <cellStyle name="Normal 77 3 4 3" xfId="19375" xr:uid="{00000000-0005-0000-0000-000027A00000}"/>
    <cellStyle name="Normal 77 3 5" xfId="5051" xr:uid="{00000000-0005-0000-0000-000028A00000}"/>
    <cellStyle name="Normal 77 3 5 2" xfId="13525" xr:uid="{00000000-0005-0000-0000-000029A00000}"/>
    <cellStyle name="Normal 77 3 5 3" xfId="19376" xr:uid="{00000000-0005-0000-0000-00002AA00000}"/>
    <cellStyle name="Normal 77 3 6" xfId="13521" xr:uid="{00000000-0005-0000-0000-00002BA00000}"/>
    <cellStyle name="Normal 77 3 7" xfId="19372" xr:uid="{00000000-0005-0000-0000-00002CA00000}"/>
    <cellStyle name="Normal 77 3_LNG &amp; LPG rework" xfId="7508" xr:uid="{00000000-0005-0000-0000-00002DA00000}"/>
    <cellStyle name="Normal 77 4" xfId="5052" xr:uid="{00000000-0005-0000-0000-00002EA00000}"/>
    <cellStyle name="Normal 77 4 2" xfId="13526" xr:uid="{00000000-0005-0000-0000-00002FA00000}"/>
    <cellStyle name="Normal 77 4 3" xfId="19377" xr:uid="{00000000-0005-0000-0000-000030A00000}"/>
    <cellStyle name="Normal 77 5" xfId="5053" xr:uid="{00000000-0005-0000-0000-000031A00000}"/>
    <cellStyle name="Normal 77 5 2" xfId="13527" xr:uid="{00000000-0005-0000-0000-000032A00000}"/>
    <cellStyle name="Normal 77 5 3" xfId="19378" xr:uid="{00000000-0005-0000-0000-000033A00000}"/>
    <cellStyle name="Normal 77 6" xfId="5054" xr:uid="{00000000-0005-0000-0000-000034A00000}"/>
    <cellStyle name="Normal 77 6 2" xfId="13528" xr:uid="{00000000-0005-0000-0000-000035A00000}"/>
    <cellStyle name="Normal 77 6 3" xfId="19379" xr:uid="{00000000-0005-0000-0000-000036A00000}"/>
    <cellStyle name="Normal 77 7" xfId="5055" xr:uid="{00000000-0005-0000-0000-000037A00000}"/>
    <cellStyle name="Normal 77 7 2" xfId="13529" xr:uid="{00000000-0005-0000-0000-000038A00000}"/>
    <cellStyle name="Normal 77 7 3" xfId="19380" xr:uid="{00000000-0005-0000-0000-000039A00000}"/>
    <cellStyle name="Normal 77 8" xfId="5056" xr:uid="{00000000-0005-0000-0000-00003AA00000}"/>
    <cellStyle name="Normal 77 8 2" xfId="13530" xr:uid="{00000000-0005-0000-0000-00003BA00000}"/>
    <cellStyle name="Normal 77 8 3" xfId="19381" xr:uid="{00000000-0005-0000-0000-00003CA00000}"/>
    <cellStyle name="Normal 77_LNG &amp; LPG rework" xfId="7506" xr:uid="{00000000-0005-0000-0000-00003DA00000}"/>
    <cellStyle name="Normal 78" xfId="5057" xr:uid="{00000000-0005-0000-0000-00003EA00000}"/>
    <cellStyle name="Normal 78 2" xfId="5058" xr:uid="{00000000-0005-0000-0000-00003FA00000}"/>
    <cellStyle name="Normal 78 2 2" xfId="5059" xr:uid="{00000000-0005-0000-0000-000040A00000}"/>
    <cellStyle name="Normal 78 2 2 2" xfId="13532" xr:uid="{00000000-0005-0000-0000-000041A00000}"/>
    <cellStyle name="Normal 78 2 2 3" xfId="19383" xr:uid="{00000000-0005-0000-0000-000042A00000}"/>
    <cellStyle name="Normal 78 2 3" xfId="5060" xr:uid="{00000000-0005-0000-0000-000043A00000}"/>
    <cellStyle name="Normal 78 2 3 2" xfId="13533" xr:uid="{00000000-0005-0000-0000-000044A00000}"/>
    <cellStyle name="Normal 78 2 3 3" xfId="19384" xr:uid="{00000000-0005-0000-0000-000045A00000}"/>
    <cellStyle name="Normal 78 2 4" xfId="5061" xr:uid="{00000000-0005-0000-0000-000046A00000}"/>
    <cellStyle name="Normal 78 2 4 2" xfId="13534" xr:uid="{00000000-0005-0000-0000-000047A00000}"/>
    <cellStyle name="Normal 78 2 4 3" xfId="19385" xr:uid="{00000000-0005-0000-0000-000048A00000}"/>
    <cellStyle name="Normal 78 2 5" xfId="5062" xr:uid="{00000000-0005-0000-0000-000049A00000}"/>
    <cellStyle name="Normal 78 2 5 2" xfId="13535" xr:uid="{00000000-0005-0000-0000-00004AA00000}"/>
    <cellStyle name="Normal 78 2 5 3" xfId="19386" xr:uid="{00000000-0005-0000-0000-00004BA00000}"/>
    <cellStyle name="Normal 78 2 6" xfId="13531" xr:uid="{00000000-0005-0000-0000-00004CA00000}"/>
    <cellStyle name="Normal 78 2 7" xfId="19382" xr:uid="{00000000-0005-0000-0000-00004DA00000}"/>
    <cellStyle name="Normal 78 2_LNG &amp; LPG rework" xfId="7510" xr:uid="{00000000-0005-0000-0000-00004EA00000}"/>
    <cellStyle name="Normal 78 3" xfId="5063" xr:uid="{00000000-0005-0000-0000-00004FA00000}"/>
    <cellStyle name="Normal 78 3 2" xfId="5064" xr:uid="{00000000-0005-0000-0000-000050A00000}"/>
    <cellStyle name="Normal 78 3 2 2" xfId="13537" xr:uid="{00000000-0005-0000-0000-000051A00000}"/>
    <cellStyle name="Normal 78 3 2 3" xfId="19388" xr:uid="{00000000-0005-0000-0000-000052A00000}"/>
    <cellStyle name="Normal 78 3 3" xfId="5065" xr:uid="{00000000-0005-0000-0000-000053A00000}"/>
    <cellStyle name="Normal 78 3 3 2" xfId="13538" xr:uid="{00000000-0005-0000-0000-000054A00000}"/>
    <cellStyle name="Normal 78 3 3 3" xfId="19389" xr:uid="{00000000-0005-0000-0000-000055A00000}"/>
    <cellStyle name="Normal 78 3 4" xfId="5066" xr:uid="{00000000-0005-0000-0000-000056A00000}"/>
    <cellStyle name="Normal 78 3 4 2" xfId="13539" xr:uid="{00000000-0005-0000-0000-000057A00000}"/>
    <cellStyle name="Normal 78 3 4 3" xfId="19390" xr:uid="{00000000-0005-0000-0000-000058A00000}"/>
    <cellStyle name="Normal 78 3 5" xfId="5067" xr:uid="{00000000-0005-0000-0000-000059A00000}"/>
    <cellStyle name="Normal 78 3 5 2" xfId="13540" xr:uid="{00000000-0005-0000-0000-00005AA00000}"/>
    <cellStyle name="Normal 78 3 5 3" xfId="19391" xr:uid="{00000000-0005-0000-0000-00005BA00000}"/>
    <cellStyle name="Normal 78 3 6" xfId="13536" xr:uid="{00000000-0005-0000-0000-00005CA00000}"/>
    <cellStyle name="Normal 78 3 7" xfId="19387" xr:uid="{00000000-0005-0000-0000-00005DA00000}"/>
    <cellStyle name="Normal 78 3_LNG &amp; LPG rework" xfId="7511" xr:uid="{00000000-0005-0000-0000-00005EA00000}"/>
    <cellStyle name="Normal 78 4" xfId="5068" xr:uid="{00000000-0005-0000-0000-00005FA00000}"/>
    <cellStyle name="Normal 78 4 2" xfId="13541" xr:uid="{00000000-0005-0000-0000-000060A00000}"/>
    <cellStyle name="Normal 78 4 3" xfId="19392" xr:uid="{00000000-0005-0000-0000-000061A00000}"/>
    <cellStyle name="Normal 78 5" xfId="5069" xr:uid="{00000000-0005-0000-0000-000062A00000}"/>
    <cellStyle name="Normal 78 5 2" xfId="13542" xr:uid="{00000000-0005-0000-0000-000063A00000}"/>
    <cellStyle name="Normal 78 5 3" xfId="19393" xr:uid="{00000000-0005-0000-0000-000064A00000}"/>
    <cellStyle name="Normal 78 6" xfId="5070" xr:uid="{00000000-0005-0000-0000-000065A00000}"/>
    <cellStyle name="Normal 78 6 2" xfId="13543" xr:uid="{00000000-0005-0000-0000-000066A00000}"/>
    <cellStyle name="Normal 78 6 3" xfId="19394" xr:uid="{00000000-0005-0000-0000-000067A00000}"/>
    <cellStyle name="Normal 78 7" xfId="5071" xr:uid="{00000000-0005-0000-0000-000068A00000}"/>
    <cellStyle name="Normal 78 7 2" xfId="13544" xr:uid="{00000000-0005-0000-0000-000069A00000}"/>
    <cellStyle name="Normal 78 7 3" xfId="19395" xr:uid="{00000000-0005-0000-0000-00006AA00000}"/>
    <cellStyle name="Normal 78 8" xfId="5072" xr:uid="{00000000-0005-0000-0000-00006BA00000}"/>
    <cellStyle name="Normal 78 8 2" xfId="13545" xr:uid="{00000000-0005-0000-0000-00006CA00000}"/>
    <cellStyle name="Normal 78 8 3" xfId="19396" xr:uid="{00000000-0005-0000-0000-00006DA00000}"/>
    <cellStyle name="Normal 78_LNG &amp; LPG rework" xfId="7509" xr:uid="{00000000-0005-0000-0000-00006EA00000}"/>
    <cellStyle name="Normal 79" xfId="5073" xr:uid="{00000000-0005-0000-0000-00006FA00000}"/>
    <cellStyle name="Normal 79 2" xfId="5074" xr:uid="{00000000-0005-0000-0000-000070A00000}"/>
    <cellStyle name="Normal 79 3" xfId="5075" xr:uid="{00000000-0005-0000-0000-000071A00000}"/>
    <cellStyle name="Normal 79_LNG &amp; LPG rework" xfId="7512" xr:uid="{00000000-0005-0000-0000-000072A00000}"/>
    <cellStyle name="Normal 8" xfId="484" xr:uid="{00000000-0005-0000-0000-000073A00000}"/>
    <cellStyle name="Normal 8 10" xfId="8985" xr:uid="{00000000-0005-0000-0000-000074A00000}"/>
    <cellStyle name="Normal 8 11" xfId="14925" xr:uid="{00000000-0005-0000-0000-000075A00000}"/>
    <cellStyle name="Normal 8 12" xfId="7807" xr:uid="{00000000-0005-0000-0000-000076A00000}"/>
    <cellStyle name="Normal 8 12 2" xfId="29518" xr:uid="{00000000-0005-0000-0000-000077A00000}"/>
    <cellStyle name="Normal 8 13" xfId="26205" xr:uid="{00000000-0005-0000-0000-000078A00000}"/>
    <cellStyle name="Normal 8 2" xfId="485" xr:uid="{00000000-0005-0000-0000-000079A00000}"/>
    <cellStyle name="Normal 8 2 2" xfId="5076" xr:uid="{00000000-0005-0000-0000-00007AA00000}"/>
    <cellStyle name="Normal 8 2 3" xfId="26213" xr:uid="{00000000-0005-0000-0000-00007BA00000}"/>
    <cellStyle name="Normal 8 2_LNG &amp; LPG rework" xfId="7513" xr:uid="{00000000-0005-0000-0000-00007CA00000}"/>
    <cellStyle name="Normal 8 3" xfId="5077" xr:uid="{00000000-0005-0000-0000-00007DA00000}"/>
    <cellStyle name="Normal 8 4" xfId="5078" xr:uid="{00000000-0005-0000-0000-00007EA00000}"/>
    <cellStyle name="Normal 8 5" xfId="5079" xr:uid="{00000000-0005-0000-0000-00007FA00000}"/>
    <cellStyle name="Normal 8 6" xfId="5080" xr:uid="{00000000-0005-0000-0000-000080A00000}"/>
    <cellStyle name="Normal 8 7" xfId="5081" xr:uid="{00000000-0005-0000-0000-000081A00000}"/>
    <cellStyle name="Normal 8 7 2" xfId="26214" xr:uid="{00000000-0005-0000-0000-000082A00000}"/>
    <cellStyle name="Normal 8 8" xfId="5082" xr:uid="{00000000-0005-0000-0000-000083A00000}"/>
    <cellStyle name="Normal 8 9" xfId="5083" xr:uid="{00000000-0005-0000-0000-000084A00000}"/>
    <cellStyle name="Normal 8_2015  Data" xfId="486" xr:uid="{00000000-0005-0000-0000-000085A00000}"/>
    <cellStyle name="Normal 80" xfId="5084" xr:uid="{00000000-0005-0000-0000-000086A00000}"/>
    <cellStyle name="Normal 80 2" xfId="5085" xr:uid="{00000000-0005-0000-0000-000087A00000}"/>
    <cellStyle name="Normal 80_LNG &amp; LPG rework" xfId="7514" xr:uid="{00000000-0005-0000-0000-000088A00000}"/>
    <cellStyle name="Normal 81" xfId="5086" xr:uid="{00000000-0005-0000-0000-000089A00000}"/>
    <cellStyle name="Normal 81 2" xfId="5087" xr:uid="{00000000-0005-0000-0000-00008AA00000}"/>
    <cellStyle name="Normal 81_LNG &amp; LPG rework" xfId="7515" xr:uid="{00000000-0005-0000-0000-00008BA00000}"/>
    <cellStyle name="Normal 82" xfId="5088" xr:uid="{00000000-0005-0000-0000-00008CA00000}"/>
    <cellStyle name="Normal 82 2" xfId="5089" xr:uid="{00000000-0005-0000-0000-00008DA00000}"/>
    <cellStyle name="Normal 82_LNG &amp; LPG rework" xfId="7516" xr:uid="{00000000-0005-0000-0000-00008EA00000}"/>
    <cellStyle name="Normal 83" xfId="5090" xr:uid="{00000000-0005-0000-0000-00008FA00000}"/>
    <cellStyle name="Normal 83 2" xfId="5091" xr:uid="{00000000-0005-0000-0000-000090A00000}"/>
    <cellStyle name="Normal 83_LNG &amp; LPG rework" xfId="7517" xr:uid="{00000000-0005-0000-0000-000091A00000}"/>
    <cellStyle name="Normal 84" xfId="5092" xr:uid="{00000000-0005-0000-0000-000092A00000}"/>
    <cellStyle name="Normal 84 2" xfId="5093" xr:uid="{00000000-0005-0000-0000-000093A00000}"/>
    <cellStyle name="Normal 84 2 2" xfId="13546" xr:uid="{00000000-0005-0000-0000-000094A00000}"/>
    <cellStyle name="Normal 84 2 3" xfId="19397" xr:uid="{00000000-0005-0000-0000-000095A00000}"/>
    <cellStyle name="Normal 84 3" xfId="5094" xr:uid="{00000000-0005-0000-0000-000096A00000}"/>
    <cellStyle name="Normal 84 3 2" xfId="13547" xr:uid="{00000000-0005-0000-0000-000097A00000}"/>
    <cellStyle name="Normal 84 3 3" xfId="19398" xr:uid="{00000000-0005-0000-0000-000098A00000}"/>
    <cellStyle name="Normal 84 4" xfId="5095" xr:uid="{00000000-0005-0000-0000-000099A00000}"/>
    <cellStyle name="Normal 84 4 2" xfId="13548" xr:uid="{00000000-0005-0000-0000-00009AA00000}"/>
    <cellStyle name="Normal 84 4 3" xfId="19399" xr:uid="{00000000-0005-0000-0000-00009BA00000}"/>
    <cellStyle name="Normal 84 5" xfId="5096" xr:uid="{00000000-0005-0000-0000-00009CA00000}"/>
    <cellStyle name="Normal 84 5 2" xfId="13549" xr:uid="{00000000-0005-0000-0000-00009DA00000}"/>
    <cellStyle name="Normal 84 5 3" xfId="19400" xr:uid="{00000000-0005-0000-0000-00009EA00000}"/>
    <cellStyle name="Normal 84 6" xfId="5097" xr:uid="{00000000-0005-0000-0000-00009FA00000}"/>
    <cellStyle name="Normal 84 6 2" xfId="13550" xr:uid="{00000000-0005-0000-0000-0000A0A00000}"/>
    <cellStyle name="Normal 84 6 3" xfId="19401" xr:uid="{00000000-0005-0000-0000-0000A1A00000}"/>
    <cellStyle name="Normal 84_LNG &amp; LPG rework" xfId="7518" xr:uid="{00000000-0005-0000-0000-0000A2A00000}"/>
    <cellStyle name="Normal 85" xfId="5098" xr:uid="{00000000-0005-0000-0000-0000A3A00000}"/>
    <cellStyle name="Normal 85 2" xfId="5099" xr:uid="{00000000-0005-0000-0000-0000A4A00000}"/>
    <cellStyle name="Normal 85 3" xfId="5100" xr:uid="{00000000-0005-0000-0000-0000A5A00000}"/>
    <cellStyle name="Normal 85_LNG &amp; LPG rework" xfId="7519" xr:uid="{00000000-0005-0000-0000-0000A6A00000}"/>
    <cellStyle name="Normal 86" xfId="5101" xr:uid="{00000000-0005-0000-0000-0000A7A00000}"/>
    <cellStyle name="Normal 86 2" xfId="5102" xr:uid="{00000000-0005-0000-0000-0000A8A00000}"/>
    <cellStyle name="Normal 86 2 2" xfId="13551" xr:uid="{00000000-0005-0000-0000-0000A9A00000}"/>
    <cellStyle name="Normal 86 2 3" xfId="19402" xr:uid="{00000000-0005-0000-0000-0000AAA00000}"/>
    <cellStyle name="Normal 86 3" xfId="5103" xr:uid="{00000000-0005-0000-0000-0000ABA00000}"/>
    <cellStyle name="Normal 86 3 2" xfId="13552" xr:uid="{00000000-0005-0000-0000-0000ACA00000}"/>
    <cellStyle name="Normal 86 3 3" xfId="19403" xr:uid="{00000000-0005-0000-0000-0000ADA00000}"/>
    <cellStyle name="Normal 86 4" xfId="5104" xr:uid="{00000000-0005-0000-0000-0000AEA00000}"/>
    <cellStyle name="Normal 86 4 2" xfId="13553" xr:uid="{00000000-0005-0000-0000-0000AFA00000}"/>
    <cellStyle name="Normal 86 4 3" xfId="19404" xr:uid="{00000000-0005-0000-0000-0000B0A00000}"/>
    <cellStyle name="Normal 86 5" xfId="5105" xr:uid="{00000000-0005-0000-0000-0000B1A00000}"/>
    <cellStyle name="Normal 86 5 2" xfId="13554" xr:uid="{00000000-0005-0000-0000-0000B2A00000}"/>
    <cellStyle name="Normal 86 5 3" xfId="19405" xr:uid="{00000000-0005-0000-0000-0000B3A00000}"/>
    <cellStyle name="Normal 86 6" xfId="5106" xr:uid="{00000000-0005-0000-0000-0000B4A00000}"/>
    <cellStyle name="Normal 86 6 2" xfId="13555" xr:uid="{00000000-0005-0000-0000-0000B5A00000}"/>
    <cellStyle name="Normal 86 6 3" xfId="19406" xr:uid="{00000000-0005-0000-0000-0000B6A00000}"/>
    <cellStyle name="Normal 86_LNG &amp; LPG rework" xfId="7520" xr:uid="{00000000-0005-0000-0000-0000B7A00000}"/>
    <cellStyle name="Normal 87" xfId="5107" xr:uid="{00000000-0005-0000-0000-0000B8A00000}"/>
    <cellStyle name="Normal 87 2" xfId="5108" xr:uid="{00000000-0005-0000-0000-0000B9A00000}"/>
    <cellStyle name="Normal 87 2 2" xfId="13556" xr:uid="{00000000-0005-0000-0000-0000BAA00000}"/>
    <cellStyle name="Normal 87 2 3" xfId="19407" xr:uid="{00000000-0005-0000-0000-0000BBA00000}"/>
    <cellStyle name="Normal 87 3" xfId="5109" xr:uid="{00000000-0005-0000-0000-0000BCA00000}"/>
    <cellStyle name="Normal 87 3 2" xfId="13557" xr:uid="{00000000-0005-0000-0000-0000BDA00000}"/>
    <cellStyle name="Normal 87 3 3" xfId="19408" xr:uid="{00000000-0005-0000-0000-0000BEA00000}"/>
    <cellStyle name="Normal 87 4" xfId="5110" xr:uid="{00000000-0005-0000-0000-0000BFA00000}"/>
    <cellStyle name="Normal 87 4 2" xfId="13558" xr:uid="{00000000-0005-0000-0000-0000C0A00000}"/>
    <cellStyle name="Normal 87 4 3" xfId="19409" xr:uid="{00000000-0005-0000-0000-0000C1A00000}"/>
    <cellStyle name="Normal 87 5" xfId="5111" xr:uid="{00000000-0005-0000-0000-0000C2A00000}"/>
    <cellStyle name="Normal 87 5 2" xfId="13559" xr:uid="{00000000-0005-0000-0000-0000C3A00000}"/>
    <cellStyle name="Normal 87 5 3" xfId="19410" xr:uid="{00000000-0005-0000-0000-0000C4A00000}"/>
    <cellStyle name="Normal 87 6" xfId="5112" xr:uid="{00000000-0005-0000-0000-0000C5A00000}"/>
    <cellStyle name="Normal 87 6 2" xfId="13560" xr:uid="{00000000-0005-0000-0000-0000C6A00000}"/>
    <cellStyle name="Normal 87 6 3" xfId="19411" xr:uid="{00000000-0005-0000-0000-0000C7A00000}"/>
    <cellStyle name="Normal 87_LNG &amp; LPG rework" xfId="7521" xr:uid="{00000000-0005-0000-0000-0000C8A00000}"/>
    <cellStyle name="Normal 88" xfId="5113" xr:uid="{00000000-0005-0000-0000-0000C9A00000}"/>
    <cellStyle name="Normal 88 2" xfId="5114" xr:uid="{00000000-0005-0000-0000-0000CAA00000}"/>
    <cellStyle name="Normal 88 3" xfId="5115" xr:uid="{00000000-0005-0000-0000-0000CBA00000}"/>
    <cellStyle name="Normal 88_LNG &amp; LPG rework" xfId="7522" xr:uid="{00000000-0005-0000-0000-0000CCA00000}"/>
    <cellStyle name="Normal 89" xfId="5116" xr:uid="{00000000-0005-0000-0000-0000CDA00000}"/>
    <cellStyle name="Normal 89 2" xfId="5117" xr:uid="{00000000-0005-0000-0000-0000CEA00000}"/>
    <cellStyle name="Normal 89_LNG &amp; LPG rework" xfId="7523" xr:uid="{00000000-0005-0000-0000-0000CFA00000}"/>
    <cellStyle name="Normal 9" xfId="487" xr:uid="{00000000-0005-0000-0000-0000D0A00000}"/>
    <cellStyle name="Normal 9 10" xfId="5118" xr:uid="{00000000-0005-0000-0000-0000D1A00000}"/>
    <cellStyle name="Normal 9 10 10" xfId="26209" xr:uid="{00000000-0005-0000-0000-0000D2A00000}"/>
    <cellStyle name="Normal 9 10 2" xfId="5119" xr:uid="{00000000-0005-0000-0000-0000D3A00000}"/>
    <cellStyle name="Normal 9 10 2 2" xfId="5120" xr:uid="{00000000-0005-0000-0000-0000D4A00000}"/>
    <cellStyle name="Normal 9 10 2 2 2" xfId="13563" xr:uid="{00000000-0005-0000-0000-0000D5A00000}"/>
    <cellStyle name="Normal 9 10 2 2 3" xfId="19414" xr:uid="{00000000-0005-0000-0000-0000D6A00000}"/>
    <cellStyle name="Normal 9 10 2 3" xfId="5121" xr:uid="{00000000-0005-0000-0000-0000D7A00000}"/>
    <cellStyle name="Normal 9 10 2 3 2" xfId="13564" xr:uid="{00000000-0005-0000-0000-0000D8A00000}"/>
    <cellStyle name="Normal 9 10 2 3 3" xfId="19415" xr:uid="{00000000-0005-0000-0000-0000D9A00000}"/>
    <cellStyle name="Normal 9 10 2 4" xfId="5122" xr:uid="{00000000-0005-0000-0000-0000DAA00000}"/>
    <cellStyle name="Normal 9 10 2 4 2" xfId="13565" xr:uid="{00000000-0005-0000-0000-0000DBA00000}"/>
    <cellStyle name="Normal 9 10 2 4 3" xfId="19416" xr:uid="{00000000-0005-0000-0000-0000DCA00000}"/>
    <cellStyle name="Normal 9 10 2 5" xfId="5123" xr:uid="{00000000-0005-0000-0000-0000DDA00000}"/>
    <cellStyle name="Normal 9 10 2 5 2" xfId="13566" xr:uid="{00000000-0005-0000-0000-0000DEA00000}"/>
    <cellStyle name="Normal 9 10 2 5 3" xfId="19417" xr:uid="{00000000-0005-0000-0000-0000DFA00000}"/>
    <cellStyle name="Normal 9 10 2 6" xfId="13562" xr:uid="{00000000-0005-0000-0000-0000E0A00000}"/>
    <cellStyle name="Normal 9 10 2 7" xfId="19413" xr:uid="{00000000-0005-0000-0000-0000E1A00000}"/>
    <cellStyle name="Normal 9 10 2_LNG &amp; LPG rework" xfId="7525" xr:uid="{00000000-0005-0000-0000-0000E2A00000}"/>
    <cellStyle name="Normal 9 10 3" xfId="5124" xr:uid="{00000000-0005-0000-0000-0000E3A00000}"/>
    <cellStyle name="Normal 9 10 3 2" xfId="5125" xr:uid="{00000000-0005-0000-0000-0000E4A00000}"/>
    <cellStyle name="Normal 9 10 3 2 2" xfId="13568" xr:uid="{00000000-0005-0000-0000-0000E5A00000}"/>
    <cellStyle name="Normal 9 10 3 2 3" xfId="19419" xr:uid="{00000000-0005-0000-0000-0000E6A00000}"/>
    <cellStyle name="Normal 9 10 3 3" xfId="5126" xr:uid="{00000000-0005-0000-0000-0000E7A00000}"/>
    <cellStyle name="Normal 9 10 3 3 2" xfId="13569" xr:uid="{00000000-0005-0000-0000-0000E8A00000}"/>
    <cellStyle name="Normal 9 10 3 3 3" xfId="19420" xr:uid="{00000000-0005-0000-0000-0000E9A00000}"/>
    <cellStyle name="Normal 9 10 3 4" xfId="5127" xr:uid="{00000000-0005-0000-0000-0000EAA00000}"/>
    <cellStyle name="Normal 9 10 3 4 2" xfId="13570" xr:uid="{00000000-0005-0000-0000-0000EBA00000}"/>
    <cellStyle name="Normal 9 10 3 4 3" xfId="19421" xr:uid="{00000000-0005-0000-0000-0000ECA00000}"/>
    <cellStyle name="Normal 9 10 3 5" xfId="5128" xr:uid="{00000000-0005-0000-0000-0000EDA00000}"/>
    <cellStyle name="Normal 9 10 3 5 2" xfId="13571" xr:uid="{00000000-0005-0000-0000-0000EEA00000}"/>
    <cellStyle name="Normal 9 10 3 5 3" xfId="19422" xr:uid="{00000000-0005-0000-0000-0000EFA00000}"/>
    <cellStyle name="Normal 9 10 3 6" xfId="13567" xr:uid="{00000000-0005-0000-0000-0000F0A00000}"/>
    <cellStyle name="Normal 9 10 3 7" xfId="19418" xr:uid="{00000000-0005-0000-0000-0000F1A00000}"/>
    <cellStyle name="Normal 9 10 3_LNG &amp; LPG rework" xfId="7526" xr:uid="{00000000-0005-0000-0000-0000F2A00000}"/>
    <cellStyle name="Normal 9 10 4" xfId="5129" xr:uid="{00000000-0005-0000-0000-0000F3A00000}"/>
    <cellStyle name="Normal 9 10 4 2" xfId="13572" xr:uid="{00000000-0005-0000-0000-0000F4A00000}"/>
    <cellStyle name="Normal 9 10 4 3" xfId="19423" xr:uid="{00000000-0005-0000-0000-0000F5A00000}"/>
    <cellStyle name="Normal 9 10 5" xfId="5130" xr:uid="{00000000-0005-0000-0000-0000F6A00000}"/>
    <cellStyle name="Normal 9 10 5 2" xfId="13573" xr:uid="{00000000-0005-0000-0000-0000F7A00000}"/>
    <cellStyle name="Normal 9 10 5 3" xfId="19424" xr:uid="{00000000-0005-0000-0000-0000F8A00000}"/>
    <cellStyle name="Normal 9 10 6" xfId="5131" xr:uid="{00000000-0005-0000-0000-0000F9A00000}"/>
    <cellStyle name="Normal 9 10 6 2" xfId="13574" xr:uid="{00000000-0005-0000-0000-0000FAA00000}"/>
    <cellStyle name="Normal 9 10 6 3" xfId="19425" xr:uid="{00000000-0005-0000-0000-0000FBA00000}"/>
    <cellStyle name="Normal 9 10 7" xfId="5132" xr:uid="{00000000-0005-0000-0000-0000FCA00000}"/>
    <cellStyle name="Normal 9 10 7 2" xfId="13575" xr:uid="{00000000-0005-0000-0000-0000FDA00000}"/>
    <cellStyle name="Normal 9 10 7 3" xfId="19426" xr:uid="{00000000-0005-0000-0000-0000FEA00000}"/>
    <cellStyle name="Normal 9 10 8" xfId="13561" xr:uid="{00000000-0005-0000-0000-0000FFA00000}"/>
    <cellStyle name="Normal 9 10 9" xfId="19412" xr:uid="{00000000-0005-0000-0000-000000A10000}"/>
    <cellStyle name="Normal 9 10_LNG &amp; LPG rework" xfId="7524" xr:uid="{00000000-0005-0000-0000-000001A10000}"/>
    <cellStyle name="Normal 9 11" xfId="5133" xr:uid="{00000000-0005-0000-0000-000002A10000}"/>
    <cellStyle name="Normal 9 11 2" xfId="5134" xr:uid="{00000000-0005-0000-0000-000003A10000}"/>
    <cellStyle name="Normal 9 11 2 2" xfId="5135" xr:uid="{00000000-0005-0000-0000-000004A10000}"/>
    <cellStyle name="Normal 9 11 2 2 2" xfId="13578" xr:uid="{00000000-0005-0000-0000-000005A10000}"/>
    <cellStyle name="Normal 9 11 2 2 3" xfId="19429" xr:uid="{00000000-0005-0000-0000-000006A10000}"/>
    <cellStyle name="Normal 9 11 2 3" xfId="5136" xr:uid="{00000000-0005-0000-0000-000007A10000}"/>
    <cellStyle name="Normal 9 11 2 3 2" xfId="13579" xr:uid="{00000000-0005-0000-0000-000008A10000}"/>
    <cellStyle name="Normal 9 11 2 3 3" xfId="19430" xr:uid="{00000000-0005-0000-0000-000009A10000}"/>
    <cellStyle name="Normal 9 11 2 4" xfId="5137" xr:uid="{00000000-0005-0000-0000-00000AA10000}"/>
    <cellStyle name="Normal 9 11 2 4 2" xfId="13580" xr:uid="{00000000-0005-0000-0000-00000BA10000}"/>
    <cellStyle name="Normal 9 11 2 4 3" xfId="19431" xr:uid="{00000000-0005-0000-0000-00000CA10000}"/>
    <cellStyle name="Normal 9 11 2 5" xfId="5138" xr:uid="{00000000-0005-0000-0000-00000DA10000}"/>
    <cellStyle name="Normal 9 11 2 5 2" xfId="13581" xr:uid="{00000000-0005-0000-0000-00000EA10000}"/>
    <cellStyle name="Normal 9 11 2 5 3" xfId="19432" xr:uid="{00000000-0005-0000-0000-00000FA10000}"/>
    <cellStyle name="Normal 9 11 2 6" xfId="13577" xr:uid="{00000000-0005-0000-0000-000010A10000}"/>
    <cellStyle name="Normal 9 11 2 7" xfId="19428" xr:uid="{00000000-0005-0000-0000-000011A10000}"/>
    <cellStyle name="Normal 9 11 2_LNG &amp; LPG rework" xfId="7528" xr:uid="{00000000-0005-0000-0000-000012A10000}"/>
    <cellStyle name="Normal 9 11 3" xfId="5139" xr:uid="{00000000-0005-0000-0000-000013A10000}"/>
    <cellStyle name="Normal 9 11 3 2" xfId="5140" xr:uid="{00000000-0005-0000-0000-000014A10000}"/>
    <cellStyle name="Normal 9 11 3 2 2" xfId="13583" xr:uid="{00000000-0005-0000-0000-000015A10000}"/>
    <cellStyle name="Normal 9 11 3 2 3" xfId="19434" xr:uid="{00000000-0005-0000-0000-000016A10000}"/>
    <cellStyle name="Normal 9 11 3 3" xfId="5141" xr:uid="{00000000-0005-0000-0000-000017A10000}"/>
    <cellStyle name="Normal 9 11 3 3 2" xfId="13584" xr:uid="{00000000-0005-0000-0000-000018A10000}"/>
    <cellStyle name="Normal 9 11 3 3 3" xfId="19435" xr:uid="{00000000-0005-0000-0000-000019A10000}"/>
    <cellStyle name="Normal 9 11 3 4" xfId="5142" xr:uid="{00000000-0005-0000-0000-00001AA10000}"/>
    <cellStyle name="Normal 9 11 3 4 2" xfId="13585" xr:uid="{00000000-0005-0000-0000-00001BA10000}"/>
    <cellStyle name="Normal 9 11 3 4 3" xfId="19436" xr:uid="{00000000-0005-0000-0000-00001CA10000}"/>
    <cellStyle name="Normal 9 11 3 5" xfId="5143" xr:uid="{00000000-0005-0000-0000-00001DA10000}"/>
    <cellStyle name="Normal 9 11 3 5 2" xfId="13586" xr:uid="{00000000-0005-0000-0000-00001EA10000}"/>
    <cellStyle name="Normal 9 11 3 5 3" xfId="19437" xr:uid="{00000000-0005-0000-0000-00001FA10000}"/>
    <cellStyle name="Normal 9 11 3 6" xfId="13582" xr:uid="{00000000-0005-0000-0000-000020A10000}"/>
    <cellStyle name="Normal 9 11 3 7" xfId="19433" xr:uid="{00000000-0005-0000-0000-000021A10000}"/>
    <cellStyle name="Normal 9 11 3_LNG &amp; LPG rework" xfId="7529" xr:uid="{00000000-0005-0000-0000-000022A10000}"/>
    <cellStyle name="Normal 9 11 4" xfId="5144" xr:uid="{00000000-0005-0000-0000-000023A10000}"/>
    <cellStyle name="Normal 9 11 4 2" xfId="13587" xr:uid="{00000000-0005-0000-0000-000024A10000}"/>
    <cellStyle name="Normal 9 11 4 3" xfId="19438" xr:uid="{00000000-0005-0000-0000-000025A10000}"/>
    <cellStyle name="Normal 9 11 5" xfId="5145" xr:uid="{00000000-0005-0000-0000-000026A10000}"/>
    <cellStyle name="Normal 9 11 5 2" xfId="13588" xr:uid="{00000000-0005-0000-0000-000027A10000}"/>
    <cellStyle name="Normal 9 11 5 3" xfId="19439" xr:uid="{00000000-0005-0000-0000-000028A10000}"/>
    <cellStyle name="Normal 9 11 6" xfId="5146" xr:uid="{00000000-0005-0000-0000-000029A10000}"/>
    <cellStyle name="Normal 9 11 6 2" xfId="13589" xr:uid="{00000000-0005-0000-0000-00002AA10000}"/>
    <cellStyle name="Normal 9 11 6 3" xfId="19440" xr:uid="{00000000-0005-0000-0000-00002BA10000}"/>
    <cellStyle name="Normal 9 11 7" xfId="5147" xr:uid="{00000000-0005-0000-0000-00002CA10000}"/>
    <cellStyle name="Normal 9 11 7 2" xfId="13590" xr:uid="{00000000-0005-0000-0000-00002DA10000}"/>
    <cellStyle name="Normal 9 11 7 3" xfId="19441" xr:uid="{00000000-0005-0000-0000-00002EA10000}"/>
    <cellStyle name="Normal 9 11 8" xfId="13576" xr:uid="{00000000-0005-0000-0000-00002FA10000}"/>
    <cellStyle name="Normal 9 11 9" xfId="19427" xr:uid="{00000000-0005-0000-0000-000030A10000}"/>
    <cellStyle name="Normal 9 11_LNG &amp; LPG rework" xfId="7527" xr:uid="{00000000-0005-0000-0000-000031A10000}"/>
    <cellStyle name="Normal 9 12" xfId="5148" xr:uid="{00000000-0005-0000-0000-000032A10000}"/>
    <cellStyle name="Normal 9 12 2" xfId="5149" xr:uid="{00000000-0005-0000-0000-000033A10000}"/>
    <cellStyle name="Normal 9 12 2 2" xfId="5150" xr:uid="{00000000-0005-0000-0000-000034A10000}"/>
    <cellStyle name="Normal 9 12 2 2 2" xfId="13593" xr:uid="{00000000-0005-0000-0000-000035A10000}"/>
    <cellStyle name="Normal 9 12 2 2 3" xfId="19444" xr:uid="{00000000-0005-0000-0000-000036A10000}"/>
    <cellStyle name="Normal 9 12 2 3" xfId="5151" xr:uid="{00000000-0005-0000-0000-000037A10000}"/>
    <cellStyle name="Normal 9 12 2 3 2" xfId="13594" xr:uid="{00000000-0005-0000-0000-000038A10000}"/>
    <cellStyle name="Normal 9 12 2 3 3" xfId="19445" xr:uid="{00000000-0005-0000-0000-000039A10000}"/>
    <cellStyle name="Normal 9 12 2 4" xfId="5152" xr:uid="{00000000-0005-0000-0000-00003AA10000}"/>
    <cellStyle name="Normal 9 12 2 4 2" xfId="13595" xr:uid="{00000000-0005-0000-0000-00003BA10000}"/>
    <cellStyle name="Normal 9 12 2 4 3" xfId="19446" xr:uid="{00000000-0005-0000-0000-00003CA10000}"/>
    <cellStyle name="Normal 9 12 2 5" xfId="5153" xr:uid="{00000000-0005-0000-0000-00003DA10000}"/>
    <cellStyle name="Normal 9 12 2 5 2" xfId="13596" xr:uid="{00000000-0005-0000-0000-00003EA10000}"/>
    <cellStyle name="Normal 9 12 2 5 3" xfId="19447" xr:uid="{00000000-0005-0000-0000-00003FA10000}"/>
    <cellStyle name="Normal 9 12 2 6" xfId="13592" xr:uid="{00000000-0005-0000-0000-000040A10000}"/>
    <cellStyle name="Normal 9 12 2 7" xfId="19443" xr:uid="{00000000-0005-0000-0000-000041A10000}"/>
    <cellStyle name="Normal 9 12 2_LNG &amp; LPG rework" xfId="7531" xr:uid="{00000000-0005-0000-0000-000042A10000}"/>
    <cellStyle name="Normal 9 12 3" xfId="5154" xr:uid="{00000000-0005-0000-0000-000043A10000}"/>
    <cellStyle name="Normal 9 12 3 2" xfId="5155" xr:uid="{00000000-0005-0000-0000-000044A10000}"/>
    <cellStyle name="Normal 9 12 3 2 2" xfId="13598" xr:uid="{00000000-0005-0000-0000-000045A10000}"/>
    <cellStyle name="Normal 9 12 3 2 3" xfId="19449" xr:uid="{00000000-0005-0000-0000-000046A10000}"/>
    <cellStyle name="Normal 9 12 3 3" xfId="5156" xr:uid="{00000000-0005-0000-0000-000047A10000}"/>
    <cellStyle name="Normal 9 12 3 3 2" xfId="13599" xr:uid="{00000000-0005-0000-0000-000048A10000}"/>
    <cellStyle name="Normal 9 12 3 3 3" xfId="19450" xr:uid="{00000000-0005-0000-0000-000049A10000}"/>
    <cellStyle name="Normal 9 12 3 4" xfId="5157" xr:uid="{00000000-0005-0000-0000-00004AA10000}"/>
    <cellStyle name="Normal 9 12 3 4 2" xfId="13600" xr:uid="{00000000-0005-0000-0000-00004BA10000}"/>
    <cellStyle name="Normal 9 12 3 4 3" xfId="19451" xr:uid="{00000000-0005-0000-0000-00004CA10000}"/>
    <cellStyle name="Normal 9 12 3 5" xfId="5158" xr:uid="{00000000-0005-0000-0000-00004DA10000}"/>
    <cellStyle name="Normal 9 12 3 5 2" xfId="13601" xr:uid="{00000000-0005-0000-0000-00004EA10000}"/>
    <cellStyle name="Normal 9 12 3 5 3" xfId="19452" xr:uid="{00000000-0005-0000-0000-00004FA10000}"/>
    <cellStyle name="Normal 9 12 3 6" xfId="13597" xr:uid="{00000000-0005-0000-0000-000050A10000}"/>
    <cellStyle name="Normal 9 12 3 7" xfId="19448" xr:uid="{00000000-0005-0000-0000-000051A10000}"/>
    <cellStyle name="Normal 9 12 3_LNG &amp; LPG rework" xfId="7532" xr:uid="{00000000-0005-0000-0000-000052A10000}"/>
    <cellStyle name="Normal 9 12 4" xfId="5159" xr:uid="{00000000-0005-0000-0000-000053A10000}"/>
    <cellStyle name="Normal 9 12 4 2" xfId="13602" xr:uid="{00000000-0005-0000-0000-000054A10000}"/>
    <cellStyle name="Normal 9 12 4 3" xfId="19453" xr:uid="{00000000-0005-0000-0000-000055A10000}"/>
    <cellStyle name="Normal 9 12 5" xfId="5160" xr:uid="{00000000-0005-0000-0000-000056A10000}"/>
    <cellStyle name="Normal 9 12 5 2" xfId="13603" xr:uid="{00000000-0005-0000-0000-000057A10000}"/>
    <cellStyle name="Normal 9 12 5 3" xfId="19454" xr:uid="{00000000-0005-0000-0000-000058A10000}"/>
    <cellStyle name="Normal 9 12 6" xfId="5161" xr:uid="{00000000-0005-0000-0000-000059A10000}"/>
    <cellStyle name="Normal 9 12 6 2" xfId="13604" xr:uid="{00000000-0005-0000-0000-00005AA10000}"/>
    <cellStyle name="Normal 9 12 6 3" xfId="19455" xr:uid="{00000000-0005-0000-0000-00005BA10000}"/>
    <cellStyle name="Normal 9 12 7" xfId="5162" xr:uid="{00000000-0005-0000-0000-00005CA10000}"/>
    <cellStyle name="Normal 9 12 7 2" xfId="13605" xr:uid="{00000000-0005-0000-0000-00005DA10000}"/>
    <cellStyle name="Normal 9 12 7 3" xfId="19456" xr:uid="{00000000-0005-0000-0000-00005EA10000}"/>
    <cellStyle name="Normal 9 12 8" xfId="13591" xr:uid="{00000000-0005-0000-0000-00005FA10000}"/>
    <cellStyle name="Normal 9 12 9" xfId="19442" xr:uid="{00000000-0005-0000-0000-000060A10000}"/>
    <cellStyle name="Normal 9 12_LNG &amp; LPG rework" xfId="7530" xr:uid="{00000000-0005-0000-0000-000061A10000}"/>
    <cellStyle name="Normal 9 13" xfId="5163" xr:uid="{00000000-0005-0000-0000-000062A10000}"/>
    <cellStyle name="Normal 9 13 2" xfId="5164" xr:uid="{00000000-0005-0000-0000-000063A10000}"/>
    <cellStyle name="Normal 9 13 2 2" xfId="5165" xr:uid="{00000000-0005-0000-0000-000064A10000}"/>
    <cellStyle name="Normal 9 13 2 2 2" xfId="13608" xr:uid="{00000000-0005-0000-0000-000065A10000}"/>
    <cellStyle name="Normal 9 13 2 2 3" xfId="19459" xr:uid="{00000000-0005-0000-0000-000066A10000}"/>
    <cellStyle name="Normal 9 13 2 3" xfId="5166" xr:uid="{00000000-0005-0000-0000-000067A10000}"/>
    <cellStyle name="Normal 9 13 2 3 2" xfId="13609" xr:uid="{00000000-0005-0000-0000-000068A10000}"/>
    <cellStyle name="Normal 9 13 2 3 3" xfId="19460" xr:uid="{00000000-0005-0000-0000-000069A10000}"/>
    <cellStyle name="Normal 9 13 2 4" xfId="5167" xr:uid="{00000000-0005-0000-0000-00006AA10000}"/>
    <cellStyle name="Normal 9 13 2 4 2" xfId="13610" xr:uid="{00000000-0005-0000-0000-00006BA10000}"/>
    <cellStyle name="Normal 9 13 2 4 3" xfId="19461" xr:uid="{00000000-0005-0000-0000-00006CA10000}"/>
    <cellStyle name="Normal 9 13 2 5" xfId="5168" xr:uid="{00000000-0005-0000-0000-00006DA10000}"/>
    <cellStyle name="Normal 9 13 2 5 2" xfId="13611" xr:uid="{00000000-0005-0000-0000-00006EA10000}"/>
    <cellStyle name="Normal 9 13 2 5 3" xfId="19462" xr:uid="{00000000-0005-0000-0000-00006FA10000}"/>
    <cellStyle name="Normal 9 13 2 6" xfId="13607" xr:uid="{00000000-0005-0000-0000-000070A10000}"/>
    <cellStyle name="Normal 9 13 2 7" xfId="19458" xr:uid="{00000000-0005-0000-0000-000071A10000}"/>
    <cellStyle name="Normal 9 13 2_LNG &amp; LPG rework" xfId="7534" xr:uid="{00000000-0005-0000-0000-000072A10000}"/>
    <cellStyle name="Normal 9 13 3" xfId="5169" xr:uid="{00000000-0005-0000-0000-000073A10000}"/>
    <cellStyle name="Normal 9 13 3 2" xfId="5170" xr:uid="{00000000-0005-0000-0000-000074A10000}"/>
    <cellStyle name="Normal 9 13 3 2 2" xfId="13613" xr:uid="{00000000-0005-0000-0000-000075A10000}"/>
    <cellStyle name="Normal 9 13 3 2 3" xfId="19464" xr:uid="{00000000-0005-0000-0000-000076A10000}"/>
    <cellStyle name="Normal 9 13 3 3" xfId="5171" xr:uid="{00000000-0005-0000-0000-000077A10000}"/>
    <cellStyle name="Normal 9 13 3 3 2" xfId="13614" xr:uid="{00000000-0005-0000-0000-000078A10000}"/>
    <cellStyle name="Normal 9 13 3 3 3" xfId="19465" xr:uid="{00000000-0005-0000-0000-000079A10000}"/>
    <cellStyle name="Normal 9 13 3 4" xfId="5172" xr:uid="{00000000-0005-0000-0000-00007AA10000}"/>
    <cellStyle name="Normal 9 13 3 4 2" xfId="13615" xr:uid="{00000000-0005-0000-0000-00007BA10000}"/>
    <cellStyle name="Normal 9 13 3 4 3" xfId="19466" xr:uid="{00000000-0005-0000-0000-00007CA10000}"/>
    <cellStyle name="Normal 9 13 3 5" xfId="5173" xr:uid="{00000000-0005-0000-0000-00007DA10000}"/>
    <cellStyle name="Normal 9 13 3 5 2" xfId="13616" xr:uid="{00000000-0005-0000-0000-00007EA10000}"/>
    <cellStyle name="Normal 9 13 3 5 3" xfId="19467" xr:uid="{00000000-0005-0000-0000-00007FA10000}"/>
    <cellStyle name="Normal 9 13 3 6" xfId="13612" xr:uid="{00000000-0005-0000-0000-000080A10000}"/>
    <cellStyle name="Normal 9 13 3 7" xfId="19463" xr:uid="{00000000-0005-0000-0000-000081A10000}"/>
    <cellStyle name="Normal 9 13 3_LNG &amp; LPG rework" xfId="7535" xr:uid="{00000000-0005-0000-0000-000082A10000}"/>
    <cellStyle name="Normal 9 13 4" xfId="5174" xr:uid="{00000000-0005-0000-0000-000083A10000}"/>
    <cellStyle name="Normal 9 13 4 2" xfId="13617" xr:uid="{00000000-0005-0000-0000-000084A10000}"/>
    <cellStyle name="Normal 9 13 4 3" xfId="19468" xr:uid="{00000000-0005-0000-0000-000085A10000}"/>
    <cellStyle name="Normal 9 13 5" xfId="5175" xr:uid="{00000000-0005-0000-0000-000086A10000}"/>
    <cellStyle name="Normal 9 13 5 2" xfId="13618" xr:uid="{00000000-0005-0000-0000-000087A10000}"/>
    <cellStyle name="Normal 9 13 5 3" xfId="19469" xr:uid="{00000000-0005-0000-0000-000088A10000}"/>
    <cellStyle name="Normal 9 13 6" xfId="5176" xr:uid="{00000000-0005-0000-0000-000089A10000}"/>
    <cellStyle name="Normal 9 13 6 2" xfId="13619" xr:uid="{00000000-0005-0000-0000-00008AA10000}"/>
    <cellStyle name="Normal 9 13 6 3" xfId="19470" xr:uid="{00000000-0005-0000-0000-00008BA10000}"/>
    <cellStyle name="Normal 9 13 7" xfId="5177" xr:uid="{00000000-0005-0000-0000-00008CA10000}"/>
    <cellStyle name="Normal 9 13 7 2" xfId="13620" xr:uid="{00000000-0005-0000-0000-00008DA10000}"/>
    <cellStyle name="Normal 9 13 7 3" xfId="19471" xr:uid="{00000000-0005-0000-0000-00008EA10000}"/>
    <cellStyle name="Normal 9 13 8" xfId="13606" xr:uid="{00000000-0005-0000-0000-00008FA10000}"/>
    <cellStyle name="Normal 9 13 9" xfId="19457" xr:uid="{00000000-0005-0000-0000-000090A10000}"/>
    <cellStyle name="Normal 9 13_LNG &amp; LPG rework" xfId="7533" xr:uid="{00000000-0005-0000-0000-000091A10000}"/>
    <cellStyle name="Normal 9 14" xfId="5178" xr:uid="{00000000-0005-0000-0000-000092A10000}"/>
    <cellStyle name="Normal 9 14 2" xfId="5179" xr:uid="{00000000-0005-0000-0000-000093A10000}"/>
    <cellStyle name="Normal 9 14 2 2" xfId="5180" xr:uid="{00000000-0005-0000-0000-000094A10000}"/>
    <cellStyle name="Normal 9 14 2 2 2" xfId="13623" xr:uid="{00000000-0005-0000-0000-000095A10000}"/>
    <cellStyle name="Normal 9 14 2 2 3" xfId="19474" xr:uid="{00000000-0005-0000-0000-000096A10000}"/>
    <cellStyle name="Normal 9 14 2 3" xfId="5181" xr:uid="{00000000-0005-0000-0000-000097A10000}"/>
    <cellStyle name="Normal 9 14 2 3 2" xfId="13624" xr:uid="{00000000-0005-0000-0000-000098A10000}"/>
    <cellStyle name="Normal 9 14 2 3 3" xfId="19475" xr:uid="{00000000-0005-0000-0000-000099A10000}"/>
    <cellStyle name="Normal 9 14 2 4" xfId="5182" xr:uid="{00000000-0005-0000-0000-00009AA10000}"/>
    <cellStyle name="Normal 9 14 2 4 2" xfId="13625" xr:uid="{00000000-0005-0000-0000-00009BA10000}"/>
    <cellStyle name="Normal 9 14 2 4 3" xfId="19476" xr:uid="{00000000-0005-0000-0000-00009CA10000}"/>
    <cellStyle name="Normal 9 14 2 5" xfId="5183" xr:uid="{00000000-0005-0000-0000-00009DA10000}"/>
    <cellStyle name="Normal 9 14 2 5 2" xfId="13626" xr:uid="{00000000-0005-0000-0000-00009EA10000}"/>
    <cellStyle name="Normal 9 14 2 5 3" xfId="19477" xr:uid="{00000000-0005-0000-0000-00009FA10000}"/>
    <cellStyle name="Normal 9 14 2 6" xfId="13622" xr:uid="{00000000-0005-0000-0000-0000A0A10000}"/>
    <cellStyle name="Normal 9 14 2 7" xfId="19473" xr:uid="{00000000-0005-0000-0000-0000A1A10000}"/>
    <cellStyle name="Normal 9 14 2_LNG &amp; LPG rework" xfId="7537" xr:uid="{00000000-0005-0000-0000-0000A2A10000}"/>
    <cellStyle name="Normal 9 14 3" xfId="5184" xr:uid="{00000000-0005-0000-0000-0000A3A10000}"/>
    <cellStyle name="Normal 9 14 3 2" xfId="5185" xr:uid="{00000000-0005-0000-0000-0000A4A10000}"/>
    <cellStyle name="Normal 9 14 3 2 2" xfId="13628" xr:uid="{00000000-0005-0000-0000-0000A5A10000}"/>
    <cellStyle name="Normal 9 14 3 2 3" xfId="19479" xr:uid="{00000000-0005-0000-0000-0000A6A10000}"/>
    <cellStyle name="Normal 9 14 3 3" xfId="5186" xr:uid="{00000000-0005-0000-0000-0000A7A10000}"/>
    <cellStyle name="Normal 9 14 3 3 2" xfId="13629" xr:uid="{00000000-0005-0000-0000-0000A8A10000}"/>
    <cellStyle name="Normal 9 14 3 3 3" xfId="19480" xr:uid="{00000000-0005-0000-0000-0000A9A10000}"/>
    <cellStyle name="Normal 9 14 3 4" xfId="5187" xr:uid="{00000000-0005-0000-0000-0000AAA10000}"/>
    <cellStyle name="Normal 9 14 3 4 2" xfId="13630" xr:uid="{00000000-0005-0000-0000-0000ABA10000}"/>
    <cellStyle name="Normal 9 14 3 4 3" xfId="19481" xr:uid="{00000000-0005-0000-0000-0000ACA10000}"/>
    <cellStyle name="Normal 9 14 3 5" xfId="5188" xr:uid="{00000000-0005-0000-0000-0000ADA10000}"/>
    <cellStyle name="Normal 9 14 3 5 2" xfId="13631" xr:uid="{00000000-0005-0000-0000-0000AEA10000}"/>
    <cellStyle name="Normal 9 14 3 5 3" xfId="19482" xr:uid="{00000000-0005-0000-0000-0000AFA10000}"/>
    <cellStyle name="Normal 9 14 3 6" xfId="13627" xr:uid="{00000000-0005-0000-0000-0000B0A10000}"/>
    <cellStyle name="Normal 9 14 3 7" xfId="19478" xr:uid="{00000000-0005-0000-0000-0000B1A10000}"/>
    <cellStyle name="Normal 9 14 3_LNG &amp; LPG rework" xfId="7538" xr:uid="{00000000-0005-0000-0000-0000B2A10000}"/>
    <cellStyle name="Normal 9 14 4" xfId="5189" xr:uid="{00000000-0005-0000-0000-0000B3A10000}"/>
    <cellStyle name="Normal 9 14 4 2" xfId="13632" xr:uid="{00000000-0005-0000-0000-0000B4A10000}"/>
    <cellStyle name="Normal 9 14 4 3" xfId="19483" xr:uid="{00000000-0005-0000-0000-0000B5A10000}"/>
    <cellStyle name="Normal 9 14 5" xfId="5190" xr:uid="{00000000-0005-0000-0000-0000B6A10000}"/>
    <cellStyle name="Normal 9 14 5 2" xfId="13633" xr:uid="{00000000-0005-0000-0000-0000B7A10000}"/>
    <cellStyle name="Normal 9 14 5 3" xfId="19484" xr:uid="{00000000-0005-0000-0000-0000B8A10000}"/>
    <cellStyle name="Normal 9 14 6" xfId="5191" xr:uid="{00000000-0005-0000-0000-0000B9A10000}"/>
    <cellStyle name="Normal 9 14 6 2" xfId="13634" xr:uid="{00000000-0005-0000-0000-0000BAA10000}"/>
    <cellStyle name="Normal 9 14 6 3" xfId="19485" xr:uid="{00000000-0005-0000-0000-0000BBA10000}"/>
    <cellStyle name="Normal 9 14 7" xfId="5192" xr:uid="{00000000-0005-0000-0000-0000BCA10000}"/>
    <cellStyle name="Normal 9 14 7 2" xfId="13635" xr:uid="{00000000-0005-0000-0000-0000BDA10000}"/>
    <cellStyle name="Normal 9 14 7 3" xfId="19486" xr:uid="{00000000-0005-0000-0000-0000BEA10000}"/>
    <cellStyle name="Normal 9 14 8" xfId="13621" xr:uid="{00000000-0005-0000-0000-0000BFA10000}"/>
    <cellStyle name="Normal 9 14 9" xfId="19472" xr:uid="{00000000-0005-0000-0000-0000C0A10000}"/>
    <cellStyle name="Normal 9 14_LNG &amp; LPG rework" xfId="7536" xr:uid="{00000000-0005-0000-0000-0000C1A10000}"/>
    <cellStyle name="Normal 9 15" xfId="5193" xr:uid="{00000000-0005-0000-0000-0000C2A10000}"/>
    <cellStyle name="Normal 9 15 2" xfId="5194" xr:uid="{00000000-0005-0000-0000-0000C3A10000}"/>
    <cellStyle name="Normal 9 15 2 2" xfId="5195" xr:uid="{00000000-0005-0000-0000-0000C4A10000}"/>
    <cellStyle name="Normal 9 15 2 2 2" xfId="13638" xr:uid="{00000000-0005-0000-0000-0000C5A10000}"/>
    <cellStyle name="Normal 9 15 2 2 3" xfId="19489" xr:uid="{00000000-0005-0000-0000-0000C6A10000}"/>
    <cellStyle name="Normal 9 15 2 3" xfId="5196" xr:uid="{00000000-0005-0000-0000-0000C7A10000}"/>
    <cellStyle name="Normal 9 15 2 3 2" xfId="13639" xr:uid="{00000000-0005-0000-0000-0000C8A10000}"/>
    <cellStyle name="Normal 9 15 2 3 3" xfId="19490" xr:uid="{00000000-0005-0000-0000-0000C9A10000}"/>
    <cellStyle name="Normal 9 15 2 4" xfId="5197" xr:uid="{00000000-0005-0000-0000-0000CAA10000}"/>
    <cellStyle name="Normal 9 15 2 4 2" xfId="13640" xr:uid="{00000000-0005-0000-0000-0000CBA10000}"/>
    <cellStyle name="Normal 9 15 2 4 3" xfId="19491" xr:uid="{00000000-0005-0000-0000-0000CCA10000}"/>
    <cellStyle name="Normal 9 15 2 5" xfId="5198" xr:uid="{00000000-0005-0000-0000-0000CDA10000}"/>
    <cellStyle name="Normal 9 15 2 5 2" xfId="13641" xr:uid="{00000000-0005-0000-0000-0000CEA10000}"/>
    <cellStyle name="Normal 9 15 2 5 3" xfId="19492" xr:uid="{00000000-0005-0000-0000-0000CFA10000}"/>
    <cellStyle name="Normal 9 15 2 6" xfId="13637" xr:uid="{00000000-0005-0000-0000-0000D0A10000}"/>
    <cellStyle name="Normal 9 15 2 7" xfId="19488" xr:uid="{00000000-0005-0000-0000-0000D1A10000}"/>
    <cellStyle name="Normal 9 15 2_LNG &amp; LPG rework" xfId="7540" xr:uid="{00000000-0005-0000-0000-0000D2A10000}"/>
    <cellStyle name="Normal 9 15 3" xfId="5199" xr:uid="{00000000-0005-0000-0000-0000D3A10000}"/>
    <cellStyle name="Normal 9 15 3 2" xfId="5200" xr:uid="{00000000-0005-0000-0000-0000D4A10000}"/>
    <cellStyle name="Normal 9 15 3 2 2" xfId="13643" xr:uid="{00000000-0005-0000-0000-0000D5A10000}"/>
    <cellStyle name="Normal 9 15 3 2 3" xfId="19494" xr:uid="{00000000-0005-0000-0000-0000D6A10000}"/>
    <cellStyle name="Normal 9 15 3 3" xfId="5201" xr:uid="{00000000-0005-0000-0000-0000D7A10000}"/>
    <cellStyle name="Normal 9 15 3 3 2" xfId="13644" xr:uid="{00000000-0005-0000-0000-0000D8A10000}"/>
    <cellStyle name="Normal 9 15 3 3 3" xfId="19495" xr:uid="{00000000-0005-0000-0000-0000D9A10000}"/>
    <cellStyle name="Normal 9 15 3 4" xfId="5202" xr:uid="{00000000-0005-0000-0000-0000DAA10000}"/>
    <cellStyle name="Normal 9 15 3 4 2" xfId="13645" xr:uid="{00000000-0005-0000-0000-0000DBA10000}"/>
    <cellStyle name="Normal 9 15 3 4 3" xfId="19496" xr:uid="{00000000-0005-0000-0000-0000DCA10000}"/>
    <cellStyle name="Normal 9 15 3 5" xfId="5203" xr:uid="{00000000-0005-0000-0000-0000DDA10000}"/>
    <cellStyle name="Normal 9 15 3 5 2" xfId="13646" xr:uid="{00000000-0005-0000-0000-0000DEA10000}"/>
    <cellStyle name="Normal 9 15 3 5 3" xfId="19497" xr:uid="{00000000-0005-0000-0000-0000DFA10000}"/>
    <cellStyle name="Normal 9 15 3 6" xfId="13642" xr:uid="{00000000-0005-0000-0000-0000E0A10000}"/>
    <cellStyle name="Normal 9 15 3 7" xfId="19493" xr:uid="{00000000-0005-0000-0000-0000E1A10000}"/>
    <cellStyle name="Normal 9 15 3_LNG &amp; LPG rework" xfId="7541" xr:uid="{00000000-0005-0000-0000-0000E2A10000}"/>
    <cellStyle name="Normal 9 15 4" xfId="5204" xr:uid="{00000000-0005-0000-0000-0000E3A10000}"/>
    <cellStyle name="Normal 9 15 4 2" xfId="13647" xr:uid="{00000000-0005-0000-0000-0000E4A10000}"/>
    <cellStyle name="Normal 9 15 4 3" xfId="19498" xr:uid="{00000000-0005-0000-0000-0000E5A10000}"/>
    <cellStyle name="Normal 9 15 5" xfId="5205" xr:uid="{00000000-0005-0000-0000-0000E6A10000}"/>
    <cellStyle name="Normal 9 15 5 2" xfId="13648" xr:uid="{00000000-0005-0000-0000-0000E7A10000}"/>
    <cellStyle name="Normal 9 15 5 3" xfId="19499" xr:uid="{00000000-0005-0000-0000-0000E8A10000}"/>
    <cellStyle name="Normal 9 15 6" xfId="5206" xr:uid="{00000000-0005-0000-0000-0000E9A10000}"/>
    <cellStyle name="Normal 9 15 6 2" xfId="13649" xr:uid="{00000000-0005-0000-0000-0000EAA10000}"/>
    <cellStyle name="Normal 9 15 6 3" xfId="19500" xr:uid="{00000000-0005-0000-0000-0000EBA10000}"/>
    <cellStyle name="Normal 9 15 7" xfId="5207" xr:uid="{00000000-0005-0000-0000-0000ECA10000}"/>
    <cellStyle name="Normal 9 15 7 2" xfId="13650" xr:uid="{00000000-0005-0000-0000-0000EDA10000}"/>
    <cellStyle name="Normal 9 15 7 3" xfId="19501" xr:uid="{00000000-0005-0000-0000-0000EEA10000}"/>
    <cellStyle name="Normal 9 15 8" xfId="13636" xr:uid="{00000000-0005-0000-0000-0000EFA10000}"/>
    <cellStyle name="Normal 9 15 9" xfId="19487" xr:uid="{00000000-0005-0000-0000-0000F0A10000}"/>
    <cellStyle name="Normal 9 15_LNG &amp; LPG rework" xfId="7539" xr:uid="{00000000-0005-0000-0000-0000F1A10000}"/>
    <cellStyle name="Normal 9 16" xfId="5208" xr:uid="{00000000-0005-0000-0000-0000F2A10000}"/>
    <cellStyle name="Normal 9 16 2" xfId="5209" xr:uid="{00000000-0005-0000-0000-0000F3A10000}"/>
    <cellStyle name="Normal 9 16 2 2" xfId="5210" xr:uid="{00000000-0005-0000-0000-0000F4A10000}"/>
    <cellStyle name="Normal 9 16 2 2 2" xfId="13653" xr:uid="{00000000-0005-0000-0000-0000F5A10000}"/>
    <cellStyle name="Normal 9 16 2 2 3" xfId="19504" xr:uid="{00000000-0005-0000-0000-0000F6A10000}"/>
    <cellStyle name="Normal 9 16 2 3" xfId="5211" xr:uid="{00000000-0005-0000-0000-0000F7A10000}"/>
    <cellStyle name="Normal 9 16 2 3 2" xfId="13654" xr:uid="{00000000-0005-0000-0000-0000F8A10000}"/>
    <cellStyle name="Normal 9 16 2 3 3" xfId="19505" xr:uid="{00000000-0005-0000-0000-0000F9A10000}"/>
    <cellStyle name="Normal 9 16 2 4" xfId="5212" xr:uid="{00000000-0005-0000-0000-0000FAA10000}"/>
    <cellStyle name="Normal 9 16 2 4 2" xfId="13655" xr:uid="{00000000-0005-0000-0000-0000FBA10000}"/>
    <cellStyle name="Normal 9 16 2 4 3" xfId="19506" xr:uid="{00000000-0005-0000-0000-0000FCA10000}"/>
    <cellStyle name="Normal 9 16 2 5" xfId="5213" xr:uid="{00000000-0005-0000-0000-0000FDA10000}"/>
    <cellStyle name="Normal 9 16 2 5 2" xfId="13656" xr:uid="{00000000-0005-0000-0000-0000FEA10000}"/>
    <cellStyle name="Normal 9 16 2 5 3" xfId="19507" xr:uid="{00000000-0005-0000-0000-0000FFA10000}"/>
    <cellStyle name="Normal 9 16 2 6" xfId="13652" xr:uid="{00000000-0005-0000-0000-000000A20000}"/>
    <cellStyle name="Normal 9 16 2 7" xfId="19503" xr:uid="{00000000-0005-0000-0000-000001A20000}"/>
    <cellStyle name="Normal 9 16 2_LNG &amp; LPG rework" xfId="7543" xr:uid="{00000000-0005-0000-0000-000002A20000}"/>
    <cellStyle name="Normal 9 16 3" xfId="5214" xr:uid="{00000000-0005-0000-0000-000003A20000}"/>
    <cellStyle name="Normal 9 16 3 2" xfId="5215" xr:uid="{00000000-0005-0000-0000-000004A20000}"/>
    <cellStyle name="Normal 9 16 3 2 2" xfId="13658" xr:uid="{00000000-0005-0000-0000-000005A20000}"/>
    <cellStyle name="Normal 9 16 3 2 3" xfId="19509" xr:uid="{00000000-0005-0000-0000-000006A20000}"/>
    <cellStyle name="Normal 9 16 3 3" xfId="5216" xr:uid="{00000000-0005-0000-0000-000007A20000}"/>
    <cellStyle name="Normal 9 16 3 3 2" xfId="13659" xr:uid="{00000000-0005-0000-0000-000008A20000}"/>
    <cellStyle name="Normal 9 16 3 3 3" xfId="19510" xr:uid="{00000000-0005-0000-0000-000009A20000}"/>
    <cellStyle name="Normal 9 16 3 4" xfId="5217" xr:uid="{00000000-0005-0000-0000-00000AA20000}"/>
    <cellStyle name="Normal 9 16 3 4 2" xfId="13660" xr:uid="{00000000-0005-0000-0000-00000BA20000}"/>
    <cellStyle name="Normal 9 16 3 4 3" xfId="19511" xr:uid="{00000000-0005-0000-0000-00000CA20000}"/>
    <cellStyle name="Normal 9 16 3 5" xfId="5218" xr:uid="{00000000-0005-0000-0000-00000DA20000}"/>
    <cellStyle name="Normal 9 16 3 5 2" xfId="13661" xr:uid="{00000000-0005-0000-0000-00000EA20000}"/>
    <cellStyle name="Normal 9 16 3 5 3" xfId="19512" xr:uid="{00000000-0005-0000-0000-00000FA20000}"/>
    <cellStyle name="Normal 9 16 3 6" xfId="13657" xr:uid="{00000000-0005-0000-0000-000010A20000}"/>
    <cellStyle name="Normal 9 16 3 7" xfId="19508" xr:uid="{00000000-0005-0000-0000-000011A20000}"/>
    <cellStyle name="Normal 9 16 3_LNG &amp; LPG rework" xfId="7544" xr:uid="{00000000-0005-0000-0000-000012A20000}"/>
    <cellStyle name="Normal 9 16 4" xfId="5219" xr:uid="{00000000-0005-0000-0000-000013A20000}"/>
    <cellStyle name="Normal 9 16 4 2" xfId="13662" xr:uid="{00000000-0005-0000-0000-000014A20000}"/>
    <cellStyle name="Normal 9 16 4 3" xfId="19513" xr:uid="{00000000-0005-0000-0000-000015A20000}"/>
    <cellStyle name="Normal 9 16 5" xfId="5220" xr:uid="{00000000-0005-0000-0000-000016A20000}"/>
    <cellStyle name="Normal 9 16 5 2" xfId="13663" xr:uid="{00000000-0005-0000-0000-000017A20000}"/>
    <cellStyle name="Normal 9 16 5 3" xfId="19514" xr:uid="{00000000-0005-0000-0000-000018A20000}"/>
    <cellStyle name="Normal 9 16 6" xfId="5221" xr:uid="{00000000-0005-0000-0000-000019A20000}"/>
    <cellStyle name="Normal 9 16 6 2" xfId="13664" xr:uid="{00000000-0005-0000-0000-00001AA20000}"/>
    <cellStyle name="Normal 9 16 6 3" xfId="19515" xr:uid="{00000000-0005-0000-0000-00001BA20000}"/>
    <cellStyle name="Normal 9 16 7" xfId="5222" xr:uid="{00000000-0005-0000-0000-00001CA20000}"/>
    <cellStyle name="Normal 9 16 7 2" xfId="13665" xr:uid="{00000000-0005-0000-0000-00001DA20000}"/>
    <cellStyle name="Normal 9 16 7 3" xfId="19516" xr:uid="{00000000-0005-0000-0000-00001EA20000}"/>
    <cellStyle name="Normal 9 16 8" xfId="13651" xr:uid="{00000000-0005-0000-0000-00001FA20000}"/>
    <cellStyle name="Normal 9 16 9" xfId="19502" xr:uid="{00000000-0005-0000-0000-000020A20000}"/>
    <cellStyle name="Normal 9 16_LNG &amp; LPG rework" xfId="7542" xr:uid="{00000000-0005-0000-0000-000021A20000}"/>
    <cellStyle name="Normal 9 17" xfId="5223" xr:uid="{00000000-0005-0000-0000-000022A20000}"/>
    <cellStyle name="Normal 9 17 2" xfId="5224" xr:uid="{00000000-0005-0000-0000-000023A20000}"/>
    <cellStyle name="Normal 9 17 2 2" xfId="5225" xr:uid="{00000000-0005-0000-0000-000024A20000}"/>
    <cellStyle name="Normal 9 17 2 2 2" xfId="13668" xr:uid="{00000000-0005-0000-0000-000025A20000}"/>
    <cellStyle name="Normal 9 17 2 2 3" xfId="19519" xr:uid="{00000000-0005-0000-0000-000026A20000}"/>
    <cellStyle name="Normal 9 17 2 3" xfId="5226" xr:uid="{00000000-0005-0000-0000-000027A20000}"/>
    <cellStyle name="Normal 9 17 2 3 2" xfId="13669" xr:uid="{00000000-0005-0000-0000-000028A20000}"/>
    <cellStyle name="Normal 9 17 2 3 3" xfId="19520" xr:uid="{00000000-0005-0000-0000-000029A20000}"/>
    <cellStyle name="Normal 9 17 2 4" xfId="5227" xr:uid="{00000000-0005-0000-0000-00002AA20000}"/>
    <cellStyle name="Normal 9 17 2 4 2" xfId="13670" xr:uid="{00000000-0005-0000-0000-00002BA20000}"/>
    <cellStyle name="Normal 9 17 2 4 3" xfId="19521" xr:uid="{00000000-0005-0000-0000-00002CA20000}"/>
    <cellStyle name="Normal 9 17 2 5" xfId="5228" xr:uid="{00000000-0005-0000-0000-00002DA20000}"/>
    <cellStyle name="Normal 9 17 2 5 2" xfId="13671" xr:uid="{00000000-0005-0000-0000-00002EA20000}"/>
    <cellStyle name="Normal 9 17 2 5 3" xfId="19522" xr:uid="{00000000-0005-0000-0000-00002FA20000}"/>
    <cellStyle name="Normal 9 17 2 6" xfId="13667" xr:uid="{00000000-0005-0000-0000-000030A20000}"/>
    <cellStyle name="Normal 9 17 2 7" xfId="19518" xr:uid="{00000000-0005-0000-0000-000031A20000}"/>
    <cellStyle name="Normal 9 17 2_LNG &amp; LPG rework" xfId="7546" xr:uid="{00000000-0005-0000-0000-000032A20000}"/>
    <cellStyle name="Normal 9 17 3" xfId="5229" xr:uid="{00000000-0005-0000-0000-000033A20000}"/>
    <cellStyle name="Normal 9 17 3 2" xfId="5230" xr:uid="{00000000-0005-0000-0000-000034A20000}"/>
    <cellStyle name="Normal 9 17 3 2 2" xfId="13673" xr:uid="{00000000-0005-0000-0000-000035A20000}"/>
    <cellStyle name="Normal 9 17 3 2 3" xfId="19524" xr:uid="{00000000-0005-0000-0000-000036A20000}"/>
    <cellStyle name="Normal 9 17 3 3" xfId="5231" xr:uid="{00000000-0005-0000-0000-000037A20000}"/>
    <cellStyle name="Normal 9 17 3 3 2" xfId="13674" xr:uid="{00000000-0005-0000-0000-000038A20000}"/>
    <cellStyle name="Normal 9 17 3 3 3" xfId="19525" xr:uid="{00000000-0005-0000-0000-000039A20000}"/>
    <cellStyle name="Normal 9 17 3 4" xfId="5232" xr:uid="{00000000-0005-0000-0000-00003AA20000}"/>
    <cellStyle name="Normal 9 17 3 4 2" xfId="13675" xr:uid="{00000000-0005-0000-0000-00003BA20000}"/>
    <cellStyle name="Normal 9 17 3 4 3" xfId="19526" xr:uid="{00000000-0005-0000-0000-00003CA20000}"/>
    <cellStyle name="Normal 9 17 3 5" xfId="5233" xr:uid="{00000000-0005-0000-0000-00003DA20000}"/>
    <cellStyle name="Normal 9 17 3 5 2" xfId="13676" xr:uid="{00000000-0005-0000-0000-00003EA20000}"/>
    <cellStyle name="Normal 9 17 3 5 3" xfId="19527" xr:uid="{00000000-0005-0000-0000-00003FA20000}"/>
    <cellStyle name="Normal 9 17 3 6" xfId="13672" xr:uid="{00000000-0005-0000-0000-000040A20000}"/>
    <cellStyle name="Normal 9 17 3 7" xfId="19523" xr:uid="{00000000-0005-0000-0000-000041A20000}"/>
    <cellStyle name="Normal 9 17 3_LNG &amp; LPG rework" xfId="7547" xr:uid="{00000000-0005-0000-0000-000042A20000}"/>
    <cellStyle name="Normal 9 17 4" xfId="5234" xr:uid="{00000000-0005-0000-0000-000043A20000}"/>
    <cellStyle name="Normal 9 17 4 2" xfId="13677" xr:uid="{00000000-0005-0000-0000-000044A20000}"/>
    <cellStyle name="Normal 9 17 4 3" xfId="19528" xr:uid="{00000000-0005-0000-0000-000045A20000}"/>
    <cellStyle name="Normal 9 17 5" xfId="5235" xr:uid="{00000000-0005-0000-0000-000046A20000}"/>
    <cellStyle name="Normal 9 17 5 2" xfId="13678" xr:uid="{00000000-0005-0000-0000-000047A20000}"/>
    <cellStyle name="Normal 9 17 5 3" xfId="19529" xr:uid="{00000000-0005-0000-0000-000048A20000}"/>
    <cellStyle name="Normal 9 17 6" xfId="5236" xr:uid="{00000000-0005-0000-0000-000049A20000}"/>
    <cellStyle name="Normal 9 17 6 2" xfId="13679" xr:uid="{00000000-0005-0000-0000-00004AA20000}"/>
    <cellStyle name="Normal 9 17 6 3" xfId="19530" xr:uid="{00000000-0005-0000-0000-00004BA20000}"/>
    <cellStyle name="Normal 9 17 7" xfId="5237" xr:uid="{00000000-0005-0000-0000-00004CA20000}"/>
    <cellStyle name="Normal 9 17 7 2" xfId="13680" xr:uid="{00000000-0005-0000-0000-00004DA20000}"/>
    <cellStyle name="Normal 9 17 7 3" xfId="19531" xr:uid="{00000000-0005-0000-0000-00004EA20000}"/>
    <cellStyle name="Normal 9 17 8" xfId="13666" xr:uid="{00000000-0005-0000-0000-00004FA20000}"/>
    <cellStyle name="Normal 9 17 9" xfId="19517" xr:uid="{00000000-0005-0000-0000-000050A20000}"/>
    <cellStyle name="Normal 9 17_LNG &amp; LPG rework" xfId="7545" xr:uid="{00000000-0005-0000-0000-000051A20000}"/>
    <cellStyle name="Normal 9 18" xfId="5238" xr:uid="{00000000-0005-0000-0000-000052A20000}"/>
    <cellStyle name="Normal 9 18 2" xfId="5239" xr:uid="{00000000-0005-0000-0000-000053A20000}"/>
    <cellStyle name="Normal 9 18 2 2" xfId="5240" xr:uid="{00000000-0005-0000-0000-000054A20000}"/>
    <cellStyle name="Normal 9 18 2 2 2" xfId="13683" xr:uid="{00000000-0005-0000-0000-000055A20000}"/>
    <cellStyle name="Normal 9 18 2 2 3" xfId="19534" xr:uid="{00000000-0005-0000-0000-000056A20000}"/>
    <cellStyle name="Normal 9 18 2 3" xfId="5241" xr:uid="{00000000-0005-0000-0000-000057A20000}"/>
    <cellStyle name="Normal 9 18 2 3 2" xfId="13684" xr:uid="{00000000-0005-0000-0000-000058A20000}"/>
    <cellStyle name="Normal 9 18 2 3 3" xfId="19535" xr:uid="{00000000-0005-0000-0000-000059A20000}"/>
    <cellStyle name="Normal 9 18 2 4" xfId="5242" xr:uid="{00000000-0005-0000-0000-00005AA20000}"/>
    <cellStyle name="Normal 9 18 2 4 2" xfId="13685" xr:uid="{00000000-0005-0000-0000-00005BA20000}"/>
    <cellStyle name="Normal 9 18 2 4 3" xfId="19536" xr:uid="{00000000-0005-0000-0000-00005CA20000}"/>
    <cellStyle name="Normal 9 18 2 5" xfId="5243" xr:uid="{00000000-0005-0000-0000-00005DA20000}"/>
    <cellStyle name="Normal 9 18 2 5 2" xfId="13686" xr:uid="{00000000-0005-0000-0000-00005EA20000}"/>
    <cellStyle name="Normal 9 18 2 5 3" xfId="19537" xr:uid="{00000000-0005-0000-0000-00005FA20000}"/>
    <cellStyle name="Normal 9 18 2 6" xfId="13682" xr:uid="{00000000-0005-0000-0000-000060A20000}"/>
    <cellStyle name="Normal 9 18 2 7" xfId="19533" xr:uid="{00000000-0005-0000-0000-000061A20000}"/>
    <cellStyle name="Normal 9 18 2_LNG &amp; LPG rework" xfId="7549" xr:uid="{00000000-0005-0000-0000-000062A20000}"/>
    <cellStyle name="Normal 9 18 3" xfId="5244" xr:uid="{00000000-0005-0000-0000-000063A20000}"/>
    <cellStyle name="Normal 9 18 3 2" xfId="5245" xr:uid="{00000000-0005-0000-0000-000064A20000}"/>
    <cellStyle name="Normal 9 18 3 2 2" xfId="13688" xr:uid="{00000000-0005-0000-0000-000065A20000}"/>
    <cellStyle name="Normal 9 18 3 2 3" xfId="19539" xr:uid="{00000000-0005-0000-0000-000066A20000}"/>
    <cellStyle name="Normal 9 18 3 3" xfId="5246" xr:uid="{00000000-0005-0000-0000-000067A20000}"/>
    <cellStyle name="Normal 9 18 3 3 2" xfId="13689" xr:uid="{00000000-0005-0000-0000-000068A20000}"/>
    <cellStyle name="Normal 9 18 3 3 3" xfId="19540" xr:uid="{00000000-0005-0000-0000-000069A20000}"/>
    <cellStyle name="Normal 9 18 3 4" xfId="5247" xr:uid="{00000000-0005-0000-0000-00006AA20000}"/>
    <cellStyle name="Normal 9 18 3 4 2" xfId="13690" xr:uid="{00000000-0005-0000-0000-00006BA20000}"/>
    <cellStyle name="Normal 9 18 3 4 3" xfId="19541" xr:uid="{00000000-0005-0000-0000-00006CA20000}"/>
    <cellStyle name="Normal 9 18 3 5" xfId="5248" xr:uid="{00000000-0005-0000-0000-00006DA20000}"/>
    <cellStyle name="Normal 9 18 3 5 2" xfId="13691" xr:uid="{00000000-0005-0000-0000-00006EA20000}"/>
    <cellStyle name="Normal 9 18 3 5 3" xfId="19542" xr:uid="{00000000-0005-0000-0000-00006FA20000}"/>
    <cellStyle name="Normal 9 18 3 6" xfId="13687" xr:uid="{00000000-0005-0000-0000-000070A20000}"/>
    <cellStyle name="Normal 9 18 3 7" xfId="19538" xr:uid="{00000000-0005-0000-0000-000071A20000}"/>
    <cellStyle name="Normal 9 18 3_LNG &amp; LPG rework" xfId="7550" xr:uid="{00000000-0005-0000-0000-000072A20000}"/>
    <cellStyle name="Normal 9 18 4" xfId="5249" xr:uid="{00000000-0005-0000-0000-000073A20000}"/>
    <cellStyle name="Normal 9 18 4 2" xfId="13692" xr:uid="{00000000-0005-0000-0000-000074A20000}"/>
    <cellStyle name="Normal 9 18 4 3" xfId="19543" xr:uid="{00000000-0005-0000-0000-000075A20000}"/>
    <cellStyle name="Normal 9 18 5" xfId="5250" xr:uid="{00000000-0005-0000-0000-000076A20000}"/>
    <cellStyle name="Normal 9 18 5 2" xfId="13693" xr:uid="{00000000-0005-0000-0000-000077A20000}"/>
    <cellStyle name="Normal 9 18 5 3" xfId="19544" xr:uid="{00000000-0005-0000-0000-000078A20000}"/>
    <cellStyle name="Normal 9 18 6" xfId="5251" xr:uid="{00000000-0005-0000-0000-000079A20000}"/>
    <cellStyle name="Normal 9 18 6 2" xfId="13694" xr:uid="{00000000-0005-0000-0000-00007AA20000}"/>
    <cellStyle name="Normal 9 18 6 3" xfId="19545" xr:uid="{00000000-0005-0000-0000-00007BA20000}"/>
    <cellStyle name="Normal 9 18 7" xfId="5252" xr:uid="{00000000-0005-0000-0000-00007CA20000}"/>
    <cellStyle name="Normal 9 18 7 2" xfId="13695" xr:uid="{00000000-0005-0000-0000-00007DA20000}"/>
    <cellStyle name="Normal 9 18 7 3" xfId="19546" xr:uid="{00000000-0005-0000-0000-00007EA20000}"/>
    <cellStyle name="Normal 9 18 8" xfId="13681" xr:uid="{00000000-0005-0000-0000-00007FA20000}"/>
    <cellStyle name="Normal 9 18 9" xfId="19532" xr:uid="{00000000-0005-0000-0000-000080A20000}"/>
    <cellStyle name="Normal 9 18_LNG &amp; LPG rework" xfId="7548" xr:uid="{00000000-0005-0000-0000-000081A20000}"/>
    <cellStyle name="Normal 9 19" xfId="5253" xr:uid="{00000000-0005-0000-0000-000082A20000}"/>
    <cellStyle name="Normal 9 19 2" xfId="5254" xr:uid="{00000000-0005-0000-0000-000083A20000}"/>
    <cellStyle name="Normal 9 19 2 2" xfId="5255" xr:uid="{00000000-0005-0000-0000-000084A20000}"/>
    <cellStyle name="Normal 9 19 2 2 2" xfId="13698" xr:uid="{00000000-0005-0000-0000-000085A20000}"/>
    <cellStyle name="Normal 9 19 2 2 3" xfId="19549" xr:uid="{00000000-0005-0000-0000-000086A20000}"/>
    <cellStyle name="Normal 9 19 2 3" xfId="5256" xr:uid="{00000000-0005-0000-0000-000087A20000}"/>
    <cellStyle name="Normal 9 19 2 3 2" xfId="13699" xr:uid="{00000000-0005-0000-0000-000088A20000}"/>
    <cellStyle name="Normal 9 19 2 3 3" xfId="19550" xr:uid="{00000000-0005-0000-0000-000089A20000}"/>
    <cellStyle name="Normal 9 19 2 4" xfId="5257" xr:uid="{00000000-0005-0000-0000-00008AA20000}"/>
    <cellStyle name="Normal 9 19 2 4 2" xfId="13700" xr:uid="{00000000-0005-0000-0000-00008BA20000}"/>
    <cellStyle name="Normal 9 19 2 4 3" xfId="19551" xr:uid="{00000000-0005-0000-0000-00008CA20000}"/>
    <cellStyle name="Normal 9 19 2 5" xfId="5258" xr:uid="{00000000-0005-0000-0000-00008DA20000}"/>
    <cellStyle name="Normal 9 19 2 5 2" xfId="13701" xr:uid="{00000000-0005-0000-0000-00008EA20000}"/>
    <cellStyle name="Normal 9 19 2 5 3" xfId="19552" xr:uid="{00000000-0005-0000-0000-00008FA20000}"/>
    <cellStyle name="Normal 9 19 2 6" xfId="13697" xr:uid="{00000000-0005-0000-0000-000090A20000}"/>
    <cellStyle name="Normal 9 19 2 7" xfId="19548" xr:uid="{00000000-0005-0000-0000-000091A20000}"/>
    <cellStyle name="Normal 9 19 2_LNG &amp; LPG rework" xfId="7552" xr:uid="{00000000-0005-0000-0000-000092A20000}"/>
    <cellStyle name="Normal 9 19 3" xfId="5259" xr:uid="{00000000-0005-0000-0000-000093A20000}"/>
    <cellStyle name="Normal 9 19 3 2" xfId="5260" xr:uid="{00000000-0005-0000-0000-000094A20000}"/>
    <cellStyle name="Normal 9 19 3 2 2" xfId="13703" xr:uid="{00000000-0005-0000-0000-000095A20000}"/>
    <cellStyle name="Normal 9 19 3 2 3" xfId="19554" xr:uid="{00000000-0005-0000-0000-000096A20000}"/>
    <cellStyle name="Normal 9 19 3 3" xfId="5261" xr:uid="{00000000-0005-0000-0000-000097A20000}"/>
    <cellStyle name="Normal 9 19 3 3 2" xfId="13704" xr:uid="{00000000-0005-0000-0000-000098A20000}"/>
    <cellStyle name="Normal 9 19 3 3 3" xfId="19555" xr:uid="{00000000-0005-0000-0000-000099A20000}"/>
    <cellStyle name="Normal 9 19 3 4" xfId="5262" xr:uid="{00000000-0005-0000-0000-00009AA20000}"/>
    <cellStyle name="Normal 9 19 3 4 2" xfId="13705" xr:uid="{00000000-0005-0000-0000-00009BA20000}"/>
    <cellStyle name="Normal 9 19 3 4 3" xfId="19556" xr:uid="{00000000-0005-0000-0000-00009CA20000}"/>
    <cellStyle name="Normal 9 19 3 5" xfId="5263" xr:uid="{00000000-0005-0000-0000-00009DA20000}"/>
    <cellStyle name="Normal 9 19 3 5 2" xfId="13706" xr:uid="{00000000-0005-0000-0000-00009EA20000}"/>
    <cellStyle name="Normal 9 19 3 5 3" xfId="19557" xr:uid="{00000000-0005-0000-0000-00009FA20000}"/>
    <cellStyle name="Normal 9 19 3 6" xfId="13702" xr:uid="{00000000-0005-0000-0000-0000A0A20000}"/>
    <cellStyle name="Normal 9 19 3 7" xfId="19553" xr:uid="{00000000-0005-0000-0000-0000A1A20000}"/>
    <cellStyle name="Normal 9 19 3_LNG &amp; LPG rework" xfId="7553" xr:uid="{00000000-0005-0000-0000-0000A2A20000}"/>
    <cellStyle name="Normal 9 19 4" xfId="5264" xr:uid="{00000000-0005-0000-0000-0000A3A20000}"/>
    <cellStyle name="Normal 9 19 4 2" xfId="13707" xr:uid="{00000000-0005-0000-0000-0000A4A20000}"/>
    <cellStyle name="Normal 9 19 4 3" xfId="19558" xr:uid="{00000000-0005-0000-0000-0000A5A20000}"/>
    <cellStyle name="Normal 9 19 5" xfId="5265" xr:uid="{00000000-0005-0000-0000-0000A6A20000}"/>
    <cellStyle name="Normal 9 19 5 2" xfId="13708" xr:uid="{00000000-0005-0000-0000-0000A7A20000}"/>
    <cellStyle name="Normal 9 19 5 3" xfId="19559" xr:uid="{00000000-0005-0000-0000-0000A8A20000}"/>
    <cellStyle name="Normal 9 19 6" xfId="5266" xr:uid="{00000000-0005-0000-0000-0000A9A20000}"/>
    <cellStyle name="Normal 9 19 6 2" xfId="13709" xr:uid="{00000000-0005-0000-0000-0000AAA20000}"/>
    <cellStyle name="Normal 9 19 6 3" xfId="19560" xr:uid="{00000000-0005-0000-0000-0000ABA20000}"/>
    <cellStyle name="Normal 9 19 7" xfId="5267" xr:uid="{00000000-0005-0000-0000-0000ACA20000}"/>
    <cellStyle name="Normal 9 19 7 2" xfId="13710" xr:uid="{00000000-0005-0000-0000-0000ADA20000}"/>
    <cellStyle name="Normal 9 19 7 3" xfId="19561" xr:uid="{00000000-0005-0000-0000-0000AEA20000}"/>
    <cellStyle name="Normal 9 19 8" xfId="13696" xr:uid="{00000000-0005-0000-0000-0000AFA20000}"/>
    <cellStyle name="Normal 9 19 9" xfId="19547" xr:uid="{00000000-0005-0000-0000-0000B0A20000}"/>
    <cellStyle name="Normal 9 19_LNG &amp; LPG rework" xfId="7551" xr:uid="{00000000-0005-0000-0000-0000B1A20000}"/>
    <cellStyle name="Normal 9 2" xfId="488" xr:uid="{00000000-0005-0000-0000-0000B2A20000}"/>
    <cellStyle name="Normal 9 2 10" xfId="5268" xr:uid="{00000000-0005-0000-0000-0000B3A20000}"/>
    <cellStyle name="Normal 9 2 10 2" xfId="13711" xr:uid="{00000000-0005-0000-0000-0000B4A20000}"/>
    <cellStyle name="Normal 9 2 10 3" xfId="19563" xr:uid="{00000000-0005-0000-0000-0000B5A20000}"/>
    <cellStyle name="Normal 9 2 11" xfId="5269" xr:uid="{00000000-0005-0000-0000-0000B6A20000}"/>
    <cellStyle name="Normal 9 2 11 2" xfId="13712" xr:uid="{00000000-0005-0000-0000-0000B7A20000}"/>
    <cellStyle name="Normal 9 2 11 3" xfId="19564" xr:uid="{00000000-0005-0000-0000-0000B8A20000}"/>
    <cellStyle name="Normal 9 2 12" xfId="9308" xr:uid="{00000000-0005-0000-0000-0000B9A20000}"/>
    <cellStyle name="Normal 9 2 13" xfId="19562" xr:uid="{00000000-0005-0000-0000-0000BAA20000}"/>
    <cellStyle name="Normal 9 2 2" xfId="489" xr:uid="{00000000-0005-0000-0000-0000BBA20000}"/>
    <cellStyle name="Normal 9 2 2 10" xfId="5270" xr:uid="{00000000-0005-0000-0000-0000BCA20000}"/>
    <cellStyle name="Normal 9 2 2 10 2" xfId="13713" xr:uid="{00000000-0005-0000-0000-0000BDA20000}"/>
    <cellStyle name="Normal 9 2 2 10 3" xfId="19566" xr:uid="{00000000-0005-0000-0000-0000BEA20000}"/>
    <cellStyle name="Normal 9 2 2 11" xfId="9309" xr:uid="{00000000-0005-0000-0000-0000BFA20000}"/>
    <cellStyle name="Normal 9 2 2 12" xfId="19565" xr:uid="{00000000-0005-0000-0000-0000C0A20000}"/>
    <cellStyle name="Normal 9 2 2 2" xfId="490" xr:uid="{00000000-0005-0000-0000-0000C1A20000}"/>
    <cellStyle name="Normal 9 2 2 2 10" xfId="19567" xr:uid="{00000000-0005-0000-0000-0000C2A20000}"/>
    <cellStyle name="Normal 9 2 2 2 2" xfId="491" xr:uid="{00000000-0005-0000-0000-0000C3A20000}"/>
    <cellStyle name="Normal 9 2 2 2 2 2" xfId="5271" xr:uid="{00000000-0005-0000-0000-0000C4A20000}"/>
    <cellStyle name="Normal 9 2 2 2 2 2 2" xfId="13714" xr:uid="{00000000-0005-0000-0000-0000C5A20000}"/>
    <cellStyle name="Normal 9 2 2 2 2 2 3" xfId="19569" xr:uid="{00000000-0005-0000-0000-0000C6A20000}"/>
    <cellStyle name="Normal 9 2 2 2 2 3" xfId="5272" xr:uid="{00000000-0005-0000-0000-0000C7A20000}"/>
    <cellStyle name="Normal 9 2 2 2 2 3 2" xfId="13715" xr:uid="{00000000-0005-0000-0000-0000C8A20000}"/>
    <cellStyle name="Normal 9 2 2 2 2 3 3" xfId="19570" xr:uid="{00000000-0005-0000-0000-0000C9A20000}"/>
    <cellStyle name="Normal 9 2 2 2 2 4" xfId="5273" xr:uid="{00000000-0005-0000-0000-0000CAA20000}"/>
    <cellStyle name="Normal 9 2 2 2 2 4 2" xfId="13716" xr:uid="{00000000-0005-0000-0000-0000CBA20000}"/>
    <cellStyle name="Normal 9 2 2 2 2 4 3" xfId="19571" xr:uid="{00000000-0005-0000-0000-0000CCA20000}"/>
    <cellStyle name="Normal 9 2 2 2 2 5" xfId="5274" xr:uid="{00000000-0005-0000-0000-0000CDA20000}"/>
    <cellStyle name="Normal 9 2 2 2 2 5 2" xfId="13717" xr:uid="{00000000-0005-0000-0000-0000CEA20000}"/>
    <cellStyle name="Normal 9 2 2 2 2 5 3" xfId="19572" xr:uid="{00000000-0005-0000-0000-0000CFA20000}"/>
    <cellStyle name="Normal 9 2 2 2 2 6" xfId="5275" xr:uid="{00000000-0005-0000-0000-0000D0A20000}"/>
    <cellStyle name="Normal 9 2 2 2 2 6 2" xfId="13718" xr:uid="{00000000-0005-0000-0000-0000D1A20000}"/>
    <cellStyle name="Normal 9 2 2 2 2 6 3" xfId="19573" xr:uid="{00000000-0005-0000-0000-0000D2A20000}"/>
    <cellStyle name="Normal 9 2 2 2 2 7" xfId="9311" xr:uid="{00000000-0005-0000-0000-0000D3A20000}"/>
    <cellStyle name="Normal 9 2 2 2 2 8" xfId="19568" xr:uid="{00000000-0005-0000-0000-0000D4A20000}"/>
    <cellStyle name="Normal 9 2 2 2 2_LNG &amp; LPG rework" xfId="7557" xr:uid="{00000000-0005-0000-0000-0000D5A20000}"/>
    <cellStyle name="Normal 9 2 2 2 3" xfId="5276" xr:uid="{00000000-0005-0000-0000-0000D6A20000}"/>
    <cellStyle name="Normal 9 2 2 2 3 2" xfId="5277" xr:uid="{00000000-0005-0000-0000-0000D7A20000}"/>
    <cellStyle name="Normal 9 2 2 2 3 2 2" xfId="13720" xr:uid="{00000000-0005-0000-0000-0000D8A20000}"/>
    <cellStyle name="Normal 9 2 2 2 3 2 3" xfId="19575" xr:uid="{00000000-0005-0000-0000-0000D9A20000}"/>
    <cellStyle name="Normal 9 2 2 2 3 3" xfId="5278" xr:uid="{00000000-0005-0000-0000-0000DAA20000}"/>
    <cellStyle name="Normal 9 2 2 2 3 3 2" xfId="13721" xr:uid="{00000000-0005-0000-0000-0000DBA20000}"/>
    <cellStyle name="Normal 9 2 2 2 3 3 3" xfId="19576" xr:uid="{00000000-0005-0000-0000-0000DCA20000}"/>
    <cellStyle name="Normal 9 2 2 2 3 4" xfId="5279" xr:uid="{00000000-0005-0000-0000-0000DDA20000}"/>
    <cellStyle name="Normal 9 2 2 2 3 4 2" xfId="13722" xr:uid="{00000000-0005-0000-0000-0000DEA20000}"/>
    <cellStyle name="Normal 9 2 2 2 3 4 3" xfId="19577" xr:uid="{00000000-0005-0000-0000-0000DFA20000}"/>
    <cellStyle name="Normal 9 2 2 2 3 5" xfId="5280" xr:uid="{00000000-0005-0000-0000-0000E0A20000}"/>
    <cellStyle name="Normal 9 2 2 2 3 5 2" xfId="13723" xr:uid="{00000000-0005-0000-0000-0000E1A20000}"/>
    <cellStyle name="Normal 9 2 2 2 3 5 3" xfId="19578" xr:uid="{00000000-0005-0000-0000-0000E2A20000}"/>
    <cellStyle name="Normal 9 2 2 2 3 6" xfId="13719" xr:uid="{00000000-0005-0000-0000-0000E3A20000}"/>
    <cellStyle name="Normal 9 2 2 2 3 7" xfId="19574" xr:uid="{00000000-0005-0000-0000-0000E4A20000}"/>
    <cellStyle name="Normal 9 2 2 2 3_LNG &amp; LPG rework" xfId="7558" xr:uid="{00000000-0005-0000-0000-0000E5A20000}"/>
    <cellStyle name="Normal 9 2 2 2 4" xfId="5281" xr:uid="{00000000-0005-0000-0000-0000E6A20000}"/>
    <cellStyle name="Normal 9 2 2 2 4 2" xfId="13724" xr:uid="{00000000-0005-0000-0000-0000E7A20000}"/>
    <cellStyle name="Normal 9 2 2 2 4 3" xfId="19579" xr:uid="{00000000-0005-0000-0000-0000E8A20000}"/>
    <cellStyle name="Normal 9 2 2 2 5" xfId="5282" xr:uid="{00000000-0005-0000-0000-0000E9A20000}"/>
    <cellStyle name="Normal 9 2 2 2 5 2" xfId="13725" xr:uid="{00000000-0005-0000-0000-0000EAA20000}"/>
    <cellStyle name="Normal 9 2 2 2 5 3" xfId="19580" xr:uid="{00000000-0005-0000-0000-0000EBA20000}"/>
    <cellStyle name="Normal 9 2 2 2 6" xfId="5283" xr:uid="{00000000-0005-0000-0000-0000ECA20000}"/>
    <cellStyle name="Normal 9 2 2 2 6 2" xfId="13726" xr:uid="{00000000-0005-0000-0000-0000EDA20000}"/>
    <cellStyle name="Normal 9 2 2 2 6 3" xfId="19581" xr:uid="{00000000-0005-0000-0000-0000EEA20000}"/>
    <cellStyle name="Normal 9 2 2 2 7" xfId="5284" xr:uid="{00000000-0005-0000-0000-0000EFA20000}"/>
    <cellStyle name="Normal 9 2 2 2 7 2" xfId="13727" xr:uid="{00000000-0005-0000-0000-0000F0A20000}"/>
    <cellStyle name="Normal 9 2 2 2 7 3" xfId="19582" xr:uid="{00000000-0005-0000-0000-0000F1A20000}"/>
    <cellStyle name="Normal 9 2 2 2 8" xfId="5285" xr:uid="{00000000-0005-0000-0000-0000F2A20000}"/>
    <cellStyle name="Normal 9 2 2 2 8 2" xfId="13728" xr:uid="{00000000-0005-0000-0000-0000F3A20000}"/>
    <cellStyle name="Normal 9 2 2 2 8 3" xfId="19583" xr:uid="{00000000-0005-0000-0000-0000F4A20000}"/>
    <cellStyle name="Normal 9 2 2 2 9" xfId="9310" xr:uid="{00000000-0005-0000-0000-0000F5A20000}"/>
    <cellStyle name="Normal 9 2 2 2_LNG &amp; LPG rework" xfId="7556" xr:uid="{00000000-0005-0000-0000-0000F6A20000}"/>
    <cellStyle name="Normal 9 2 2 3" xfId="492" xr:uid="{00000000-0005-0000-0000-0000F7A20000}"/>
    <cellStyle name="Normal 9 2 2 3 2" xfId="5286" xr:uid="{00000000-0005-0000-0000-0000F8A20000}"/>
    <cellStyle name="Normal 9 2 2 3 2 2" xfId="13729" xr:uid="{00000000-0005-0000-0000-0000F9A20000}"/>
    <cellStyle name="Normal 9 2 2 3 2 3" xfId="19585" xr:uid="{00000000-0005-0000-0000-0000FAA20000}"/>
    <cellStyle name="Normal 9 2 2 3 3" xfId="5287" xr:uid="{00000000-0005-0000-0000-0000FBA20000}"/>
    <cellStyle name="Normal 9 2 2 3 3 2" xfId="13730" xr:uid="{00000000-0005-0000-0000-0000FCA20000}"/>
    <cellStyle name="Normal 9 2 2 3 3 3" xfId="19586" xr:uid="{00000000-0005-0000-0000-0000FDA20000}"/>
    <cellStyle name="Normal 9 2 2 3 4" xfId="5288" xr:uid="{00000000-0005-0000-0000-0000FEA20000}"/>
    <cellStyle name="Normal 9 2 2 3 4 2" xfId="13731" xr:uid="{00000000-0005-0000-0000-0000FFA20000}"/>
    <cellStyle name="Normal 9 2 2 3 4 3" xfId="19587" xr:uid="{00000000-0005-0000-0000-000000A30000}"/>
    <cellStyle name="Normal 9 2 2 3 5" xfId="5289" xr:uid="{00000000-0005-0000-0000-000001A30000}"/>
    <cellStyle name="Normal 9 2 2 3 5 2" xfId="13732" xr:uid="{00000000-0005-0000-0000-000002A30000}"/>
    <cellStyle name="Normal 9 2 2 3 5 3" xfId="19588" xr:uid="{00000000-0005-0000-0000-000003A30000}"/>
    <cellStyle name="Normal 9 2 2 3 6" xfId="5290" xr:uid="{00000000-0005-0000-0000-000004A30000}"/>
    <cellStyle name="Normal 9 2 2 3 6 2" xfId="13733" xr:uid="{00000000-0005-0000-0000-000005A30000}"/>
    <cellStyle name="Normal 9 2 2 3 6 3" xfId="19589" xr:uid="{00000000-0005-0000-0000-000006A30000}"/>
    <cellStyle name="Normal 9 2 2 3 7" xfId="9312" xr:uid="{00000000-0005-0000-0000-000007A30000}"/>
    <cellStyle name="Normal 9 2 2 3 8" xfId="19584" xr:uid="{00000000-0005-0000-0000-000008A30000}"/>
    <cellStyle name="Normal 9 2 2 3_LNG &amp; LPG rework" xfId="7559" xr:uid="{00000000-0005-0000-0000-000009A30000}"/>
    <cellStyle name="Normal 9 2 2 4" xfId="5291" xr:uid="{00000000-0005-0000-0000-00000AA30000}"/>
    <cellStyle name="Normal 9 2 2 4 2" xfId="5292" xr:uid="{00000000-0005-0000-0000-00000BA30000}"/>
    <cellStyle name="Normal 9 2 2 4 2 2" xfId="13735" xr:uid="{00000000-0005-0000-0000-00000CA30000}"/>
    <cellStyle name="Normal 9 2 2 4 2 3" xfId="19591" xr:uid="{00000000-0005-0000-0000-00000DA30000}"/>
    <cellStyle name="Normal 9 2 2 4 3" xfId="5293" xr:uid="{00000000-0005-0000-0000-00000EA30000}"/>
    <cellStyle name="Normal 9 2 2 4 3 2" xfId="13736" xr:uid="{00000000-0005-0000-0000-00000FA30000}"/>
    <cellStyle name="Normal 9 2 2 4 3 3" xfId="19592" xr:uid="{00000000-0005-0000-0000-000010A30000}"/>
    <cellStyle name="Normal 9 2 2 4 4" xfId="5294" xr:uid="{00000000-0005-0000-0000-000011A30000}"/>
    <cellStyle name="Normal 9 2 2 4 4 2" xfId="13737" xr:uid="{00000000-0005-0000-0000-000012A30000}"/>
    <cellStyle name="Normal 9 2 2 4 4 3" xfId="19593" xr:uid="{00000000-0005-0000-0000-000013A30000}"/>
    <cellStyle name="Normal 9 2 2 4 5" xfId="5295" xr:uid="{00000000-0005-0000-0000-000014A30000}"/>
    <cellStyle name="Normal 9 2 2 4 5 2" xfId="13738" xr:uid="{00000000-0005-0000-0000-000015A30000}"/>
    <cellStyle name="Normal 9 2 2 4 5 3" xfId="19594" xr:uid="{00000000-0005-0000-0000-000016A30000}"/>
    <cellStyle name="Normal 9 2 2 4 6" xfId="13734" xr:uid="{00000000-0005-0000-0000-000017A30000}"/>
    <cellStyle name="Normal 9 2 2 4 7" xfId="19590" xr:uid="{00000000-0005-0000-0000-000018A30000}"/>
    <cellStyle name="Normal 9 2 2 4_LNG &amp; LPG rework" xfId="7560" xr:uid="{00000000-0005-0000-0000-000019A30000}"/>
    <cellStyle name="Normal 9 2 2 5" xfId="5296" xr:uid="{00000000-0005-0000-0000-00001AA30000}"/>
    <cellStyle name="Normal 9 2 2 5 2" xfId="5297" xr:uid="{00000000-0005-0000-0000-00001BA30000}"/>
    <cellStyle name="Normal 9 2 2 5 2 2" xfId="13740" xr:uid="{00000000-0005-0000-0000-00001CA30000}"/>
    <cellStyle name="Normal 9 2 2 5 2 3" xfId="19596" xr:uid="{00000000-0005-0000-0000-00001DA30000}"/>
    <cellStyle name="Normal 9 2 2 5 3" xfId="5298" xr:uid="{00000000-0005-0000-0000-00001EA30000}"/>
    <cellStyle name="Normal 9 2 2 5 3 2" xfId="13741" xr:uid="{00000000-0005-0000-0000-00001FA30000}"/>
    <cellStyle name="Normal 9 2 2 5 3 3" xfId="19597" xr:uid="{00000000-0005-0000-0000-000020A30000}"/>
    <cellStyle name="Normal 9 2 2 5 4" xfId="5299" xr:uid="{00000000-0005-0000-0000-000021A30000}"/>
    <cellStyle name="Normal 9 2 2 5 4 2" xfId="13742" xr:uid="{00000000-0005-0000-0000-000022A30000}"/>
    <cellStyle name="Normal 9 2 2 5 4 3" xfId="19598" xr:uid="{00000000-0005-0000-0000-000023A30000}"/>
    <cellStyle name="Normal 9 2 2 5 5" xfId="5300" xr:uid="{00000000-0005-0000-0000-000024A30000}"/>
    <cellStyle name="Normal 9 2 2 5 5 2" xfId="13743" xr:uid="{00000000-0005-0000-0000-000025A30000}"/>
    <cellStyle name="Normal 9 2 2 5 5 3" xfId="19599" xr:uid="{00000000-0005-0000-0000-000026A30000}"/>
    <cellStyle name="Normal 9 2 2 5 6" xfId="13739" xr:uid="{00000000-0005-0000-0000-000027A30000}"/>
    <cellStyle name="Normal 9 2 2 5 7" xfId="19595" xr:uid="{00000000-0005-0000-0000-000028A30000}"/>
    <cellStyle name="Normal 9 2 2 5_LNG &amp; LPG rework" xfId="7561" xr:uid="{00000000-0005-0000-0000-000029A30000}"/>
    <cellStyle name="Normal 9 2 2 6" xfId="5301" xr:uid="{00000000-0005-0000-0000-00002AA30000}"/>
    <cellStyle name="Normal 9 2 2 6 2" xfId="13744" xr:uid="{00000000-0005-0000-0000-00002BA30000}"/>
    <cellStyle name="Normal 9 2 2 6 3" xfId="19600" xr:uid="{00000000-0005-0000-0000-00002CA30000}"/>
    <cellStyle name="Normal 9 2 2 7" xfId="5302" xr:uid="{00000000-0005-0000-0000-00002DA30000}"/>
    <cellStyle name="Normal 9 2 2 7 2" xfId="13745" xr:uid="{00000000-0005-0000-0000-00002EA30000}"/>
    <cellStyle name="Normal 9 2 2 7 3" xfId="19601" xr:uid="{00000000-0005-0000-0000-00002FA30000}"/>
    <cellStyle name="Normal 9 2 2 8" xfId="5303" xr:uid="{00000000-0005-0000-0000-000030A30000}"/>
    <cellStyle name="Normal 9 2 2 8 2" xfId="13746" xr:uid="{00000000-0005-0000-0000-000031A30000}"/>
    <cellStyle name="Normal 9 2 2 8 3" xfId="19602" xr:uid="{00000000-0005-0000-0000-000032A30000}"/>
    <cellStyle name="Normal 9 2 2 9" xfId="5304" xr:uid="{00000000-0005-0000-0000-000033A30000}"/>
    <cellStyle name="Normal 9 2 2 9 2" xfId="13747" xr:uid="{00000000-0005-0000-0000-000034A30000}"/>
    <cellStyle name="Normal 9 2 2 9 3" xfId="19603" xr:uid="{00000000-0005-0000-0000-000035A30000}"/>
    <cellStyle name="Normal 9 2 2_LNG &amp; LPG rework" xfId="7555" xr:uid="{00000000-0005-0000-0000-000036A30000}"/>
    <cellStyle name="Normal 9 2 3" xfId="493" xr:uid="{00000000-0005-0000-0000-000037A30000}"/>
    <cellStyle name="Normal 9 2 3 10" xfId="19604" xr:uid="{00000000-0005-0000-0000-000038A30000}"/>
    <cellStyle name="Normal 9 2 3 2" xfId="494" xr:uid="{00000000-0005-0000-0000-000039A30000}"/>
    <cellStyle name="Normal 9 2 3 2 2" xfId="5305" xr:uid="{00000000-0005-0000-0000-00003AA30000}"/>
    <cellStyle name="Normal 9 2 3 2 2 2" xfId="13748" xr:uid="{00000000-0005-0000-0000-00003BA30000}"/>
    <cellStyle name="Normal 9 2 3 2 2 3" xfId="19606" xr:uid="{00000000-0005-0000-0000-00003CA30000}"/>
    <cellStyle name="Normal 9 2 3 2 3" xfId="5306" xr:uid="{00000000-0005-0000-0000-00003DA30000}"/>
    <cellStyle name="Normal 9 2 3 2 3 2" xfId="13749" xr:uid="{00000000-0005-0000-0000-00003EA30000}"/>
    <cellStyle name="Normal 9 2 3 2 3 3" xfId="19607" xr:uid="{00000000-0005-0000-0000-00003FA30000}"/>
    <cellStyle name="Normal 9 2 3 2 4" xfId="5307" xr:uid="{00000000-0005-0000-0000-000040A30000}"/>
    <cellStyle name="Normal 9 2 3 2 4 2" xfId="13750" xr:uid="{00000000-0005-0000-0000-000041A30000}"/>
    <cellStyle name="Normal 9 2 3 2 4 3" xfId="19608" xr:uid="{00000000-0005-0000-0000-000042A30000}"/>
    <cellStyle name="Normal 9 2 3 2 5" xfId="5308" xr:uid="{00000000-0005-0000-0000-000043A30000}"/>
    <cellStyle name="Normal 9 2 3 2 5 2" xfId="13751" xr:uid="{00000000-0005-0000-0000-000044A30000}"/>
    <cellStyle name="Normal 9 2 3 2 5 3" xfId="19609" xr:uid="{00000000-0005-0000-0000-000045A30000}"/>
    <cellStyle name="Normal 9 2 3 2 6" xfId="5309" xr:uid="{00000000-0005-0000-0000-000046A30000}"/>
    <cellStyle name="Normal 9 2 3 2 6 2" xfId="13752" xr:uid="{00000000-0005-0000-0000-000047A30000}"/>
    <cellStyle name="Normal 9 2 3 2 6 3" xfId="19610" xr:uid="{00000000-0005-0000-0000-000048A30000}"/>
    <cellStyle name="Normal 9 2 3 2 7" xfId="9314" xr:uid="{00000000-0005-0000-0000-000049A30000}"/>
    <cellStyle name="Normal 9 2 3 2 8" xfId="19605" xr:uid="{00000000-0005-0000-0000-00004AA30000}"/>
    <cellStyle name="Normal 9 2 3 2_LNG &amp; LPG rework" xfId="7563" xr:uid="{00000000-0005-0000-0000-00004BA30000}"/>
    <cellStyle name="Normal 9 2 3 3" xfId="5310" xr:uid="{00000000-0005-0000-0000-00004CA30000}"/>
    <cellStyle name="Normal 9 2 3 3 2" xfId="5311" xr:uid="{00000000-0005-0000-0000-00004DA30000}"/>
    <cellStyle name="Normal 9 2 3 3 2 2" xfId="13754" xr:uid="{00000000-0005-0000-0000-00004EA30000}"/>
    <cellStyle name="Normal 9 2 3 3 2 3" xfId="19612" xr:uid="{00000000-0005-0000-0000-00004FA30000}"/>
    <cellStyle name="Normal 9 2 3 3 3" xfId="5312" xr:uid="{00000000-0005-0000-0000-000050A30000}"/>
    <cellStyle name="Normal 9 2 3 3 3 2" xfId="13755" xr:uid="{00000000-0005-0000-0000-000051A30000}"/>
    <cellStyle name="Normal 9 2 3 3 3 3" xfId="19613" xr:uid="{00000000-0005-0000-0000-000052A30000}"/>
    <cellStyle name="Normal 9 2 3 3 4" xfId="5313" xr:uid="{00000000-0005-0000-0000-000053A30000}"/>
    <cellStyle name="Normal 9 2 3 3 4 2" xfId="13756" xr:uid="{00000000-0005-0000-0000-000054A30000}"/>
    <cellStyle name="Normal 9 2 3 3 4 3" xfId="19614" xr:uid="{00000000-0005-0000-0000-000055A30000}"/>
    <cellStyle name="Normal 9 2 3 3 5" xfId="5314" xr:uid="{00000000-0005-0000-0000-000056A30000}"/>
    <cellStyle name="Normal 9 2 3 3 5 2" xfId="13757" xr:uid="{00000000-0005-0000-0000-000057A30000}"/>
    <cellStyle name="Normal 9 2 3 3 5 3" xfId="19615" xr:uid="{00000000-0005-0000-0000-000058A30000}"/>
    <cellStyle name="Normal 9 2 3 3 6" xfId="13753" xr:uid="{00000000-0005-0000-0000-000059A30000}"/>
    <cellStyle name="Normal 9 2 3 3 7" xfId="19611" xr:uid="{00000000-0005-0000-0000-00005AA30000}"/>
    <cellStyle name="Normal 9 2 3 3_LNG &amp; LPG rework" xfId="7564" xr:uid="{00000000-0005-0000-0000-00005BA30000}"/>
    <cellStyle name="Normal 9 2 3 4" xfId="5315" xr:uid="{00000000-0005-0000-0000-00005CA30000}"/>
    <cellStyle name="Normal 9 2 3 4 2" xfId="13758" xr:uid="{00000000-0005-0000-0000-00005DA30000}"/>
    <cellStyle name="Normal 9 2 3 4 3" xfId="19616" xr:uid="{00000000-0005-0000-0000-00005EA30000}"/>
    <cellStyle name="Normal 9 2 3 5" xfId="5316" xr:uid="{00000000-0005-0000-0000-00005FA30000}"/>
    <cellStyle name="Normal 9 2 3 5 2" xfId="13759" xr:uid="{00000000-0005-0000-0000-000060A30000}"/>
    <cellStyle name="Normal 9 2 3 5 3" xfId="19617" xr:uid="{00000000-0005-0000-0000-000061A30000}"/>
    <cellStyle name="Normal 9 2 3 6" xfId="5317" xr:uid="{00000000-0005-0000-0000-000062A30000}"/>
    <cellStyle name="Normal 9 2 3 6 2" xfId="13760" xr:uid="{00000000-0005-0000-0000-000063A30000}"/>
    <cellStyle name="Normal 9 2 3 6 3" xfId="19618" xr:uid="{00000000-0005-0000-0000-000064A30000}"/>
    <cellStyle name="Normal 9 2 3 7" xfId="5318" xr:uid="{00000000-0005-0000-0000-000065A30000}"/>
    <cellStyle name="Normal 9 2 3 7 2" xfId="13761" xr:uid="{00000000-0005-0000-0000-000066A30000}"/>
    <cellStyle name="Normal 9 2 3 7 3" xfId="19619" xr:uid="{00000000-0005-0000-0000-000067A30000}"/>
    <cellStyle name="Normal 9 2 3 8" xfId="5319" xr:uid="{00000000-0005-0000-0000-000068A30000}"/>
    <cellStyle name="Normal 9 2 3 8 2" xfId="13762" xr:uid="{00000000-0005-0000-0000-000069A30000}"/>
    <cellStyle name="Normal 9 2 3 8 3" xfId="19620" xr:uid="{00000000-0005-0000-0000-00006AA30000}"/>
    <cellStyle name="Normal 9 2 3 9" xfId="9313" xr:uid="{00000000-0005-0000-0000-00006BA30000}"/>
    <cellStyle name="Normal 9 2 3_LNG &amp; LPG rework" xfId="7562" xr:uid="{00000000-0005-0000-0000-00006CA30000}"/>
    <cellStyle name="Normal 9 2 4" xfId="495" xr:uid="{00000000-0005-0000-0000-00006DA30000}"/>
    <cellStyle name="Normal 9 2 4 2" xfId="5320" xr:uid="{00000000-0005-0000-0000-00006EA30000}"/>
    <cellStyle name="Normal 9 2 4 2 2" xfId="13763" xr:uid="{00000000-0005-0000-0000-00006FA30000}"/>
    <cellStyle name="Normal 9 2 4 2 3" xfId="19622" xr:uid="{00000000-0005-0000-0000-000070A30000}"/>
    <cellStyle name="Normal 9 2 4 3" xfId="5321" xr:uid="{00000000-0005-0000-0000-000071A30000}"/>
    <cellStyle name="Normal 9 2 4 3 2" xfId="13764" xr:uid="{00000000-0005-0000-0000-000072A30000}"/>
    <cellStyle name="Normal 9 2 4 3 3" xfId="19623" xr:uid="{00000000-0005-0000-0000-000073A30000}"/>
    <cellStyle name="Normal 9 2 4 4" xfId="5322" xr:uid="{00000000-0005-0000-0000-000074A30000}"/>
    <cellStyle name="Normal 9 2 4 4 2" xfId="13765" xr:uid="{00000000-0005-0000-0000-000075A30000}"/>
    <cellStyle name="Normal 9 2 4 4 3" xfId="19624" xr:uid="{00000000-0005-0000-0000-000076A30000}"/>
    <cellStyle name="Normal 9 2 4 5" xfId="5323" xr:uid="{00000000-0005-0000-0000-000077A30000}"/>
    <cellStyle name="Normal 9 2 4 5 2" xfId="13766" xr:uid="{00000000-0005-0000-0000-000078A30000}"/>
    <cellStyle name="Normal 9 2 4 5 3" xfId="19625" xr:uid="{00000000-0005-0000-0000-000079A30000}"/>
    <cellStyle name="Normal 9 2 4 6" xfId="5324" xr:uid="{00000000-0005-0000-0000-00007AA30000}"/>
    <cellStyle name="Normal 9 2 4 6 2" xfId="13767" xr:uid="{00000000-0005-0000-0000-00007BA30000}"/>
    <cellStyle name="Normal 9 2 4 6 3" xfId="19626" xr:uid="{00000000-0005-0000-0000-00007CA30000}"/>
    <cellStyle name="Normal 9 2 4 7" xfId="9315" xr:uid="{00000000-0005-0000-0000-00007DA30000}"/>
    <cellStyle name="Normal 9 2 4 8" xfId="19621" xr:uid="{00000000-0005-0000-0000-00007EA30000}"/>
    <cellStyle name="Normal 9 2 4_LNG &amp; LPG rework" xfId="7565" xr:uid="{00000000-0005-0000-0000-00007FA30000}"/>
    <cellStyle name="Normal 9 2 5" xfId="5325" xr:uid="{00000000-0005-0000-0000-000080A30000}"/>
    <cellStyle name="Normal 9 2 5 2" xfId="5326" xr:uid="{00000000-0005-0000-0000-000081A30000}"/>
    <cellStyle name="Normal 9 2 5 2 2" xfId="13769" xr:uid="{00000000-0005-0000-0000-000082A30000}"/>
    <cellStyle name="Normal 9 2 5 2 3" xfId="19628" xr:uid="{00000000-0005-0000-0000-000083A30000}"/>
    <cellStyle name="Normal 9 2 5 3" xfId="5327" xr:uid="{00000000-0005-0000-0000-000084A30000}"/>
    <cellStyle name="Normal 9 2 5 3 2" xfId="13770" xr:uid="{00000000-0005-0000-0000-000085A30000}"/>
    <cellStyle name="Normal 9 2 5 3 3" xfId="19629" xr:uid="{00000000-0005-0000-0000-000086A30000}"/>
    <cellStyle name="Normal 9 2 5 4" xfId="5328" xr:uid="{00000000-0005-0000-0000-000087A30000}"/>
    <cellStyle name="Normal 9 2 5 4 2" xfId="13771" xr:uid="{00000000-0005-0000-0000-000088A30000}"/>
    <cellStyle name="Normal 9 2 5 4 3" xfId="19630" xr:uid="{00000000-0005-0000-0000-000089A30000}"/>
    <cellStyle name="Normal 9 2 5 5" xfId="5329" xr:uid="{00000000-0005-0000-0000-00008AA30000}"/>
    <cellStyle name="Normal 9 2 5 5 2" xfId="13772" xr:uid="{00000000-0005-0000-0000-00008BA30000}"/>
    <cellStyle name="Normal 9 2 5 5 3" xfId="19631" xr:uid="{00000000-0005-0000-0000-00008CA30000}"/>
    <cellStyle name="Normal 9 2 5 6" xfId="13768" xr:uid="{00000000-0005-0000-0000-00008DA30000}"/>
    <cellStyle name="Normal 9 2 5 7" xfId="19627" xr:uid="{00000000-0005-0000-0000-00008EA30000}"/>
    <cellStyle name="Normal 9 2 5_LNG &amp; LPG rework" xfId="7566" xr:uid="{00000000-0005-0000-0000-00008FA30000}"/>
    <cellStyle name="Normal 9 2 6" xfId="5330" xr:uid="{00000000-0005-0000-0000-000090A30000}"/>
    <cellStyle name="Normal 9 2 6 2" xfId="5331" xr:uid="{00000000-0005-0000-0000-000091A30000}"/>
    <cellStyle name="Normal 9 2 6 2 2" xfId="13774" xr:uid="{00000000-0005-0000-0000-000092A30000}"/>
    <cellStyle name="Normal 9 2 6 2 3" xfId="19633" xr:uid="{00000000-0005-0000-0000-000093A30000}"/>
    <cellStyle name="Normal 9 2 6 3" xfId="5332" xr:uid="{00000000-0005-0000-0000-000094A30000}"/>
    <cellStyle name="Normal 9 2 6 3 2" xfId="13775" xr:uid="{00000000-0005-0000-0000-000095A30000}"/>
    <cellStyle name="Normal 9 2 6 3 3" xfId="19634" xr:uid="{00000000-0005-0000-0000-000096A30000}"/>
    <cellStyle name="Normal 9 2 6 4" xfId="5333" xr:uid="{00000000-0005-0000-0000-000097A30000}"/>
    <cellStyle name="Normal 9 2 6 4 2" xfId="13776" xr:uid="{00000000-0005-0000-0000-000098A30000}"/>
    <cellStyle name="Normal 9 2 6 4 3" xfId="19635" xr:uid="{00000000-0005-0000-0000-000099A30000}"/>
    <cellStyle name="Normal 9 2 6 5" xfId="5334" xr:uid="{00000000-0005-0000-0000-00009AA30000}"/>
    <cellStyle name="Normal 9 2 6 5 2" xfId="13777" xr:uid="{00000000-0005-0000-0000-00009BA30000}"/>
    <cellStyle name="Normal 9 2 6 5 3" xfId="19636" xr:uid="{00000000-0005-0000-0000-00009CA30000}"/>
    <cellStyle name="Normal 9 2 6 6" xfId="13773" xr:uid="{00000000-0005-0000-0000-00009DA30000}"/>
    <cellStyle name="Normal 9 2 6 7" xfId="19632" xr:uid="{00000000-0005-0000-0000-00009EA30000}"/>
    <cellStyle name="Normal 9 2 6_LNG &amp; LPG rework" xfId="7567" xr:uid="{00000000-0005-0000-0000-00009FA30000}"/>
    <cellStyle name="Normal 9 2 7" xfId="5335" xr:uid="{00000000-0005-0000-0000-0000A0A30000}"/>
    <cellStyle name="Normal 9 2 7 2" xfId="13778" xr:uid="{00000000-0005-0000-0000-0000A1A30000}"/>
    <cellStyle name="Normal 9 2 7 3" xfId="19637" xr:uid="{00000000-0005-0000-0000-0000A2A30000}"/>
    <cellStyle name="Normal 9 2 8" xfId="5336" xr:uid="{00000000-0005-0000-0000-0000A3A30000}"/>
    <cellStyle name="Normal 9 2 8 2" xfId="13779" xr:uid="{00000000-0005-0000-0000-0000A4A30000}"/>
    <cellStyle name="Normal 9 2 8 3" xfId="19638" xr:uid="{00000000-0005-0000-0000-0000A5A30000}"/>
    <cellStyle name="Normal 9 2 9" xfId="5337" xr:uid="{00000000-0005-0000-0000-0000A6A30000}"/>
    <cellStyle name="Normal 9 2 9 2" xfId="13780" xr:uid="{00000000-0005-0000-0000-0000A7A30000}"/>
    <cellStyle name="Normal 9 2 9 3" xfId="19639" xr:uid="{00000000-0005-0000-0000-0000A8A30000}"/>
    <cellStyle name="Normal 9 2_LNG &amp; LPG rework" xfId="7554" xr:uid="{00000000-0005-0000-0000-0000A9A30000}"/>
    <cellStyle name="Normal 9 20" xfId="5338" xr:uid="{00000000-0005-0000-0000-0000AAA30000}"/>
    <cellStyle name="Normal 9 20 2" xfId="5339" xr:uid="{00000000-0005-0000-0000-0000ABA30000}"/>
    <cellStyle name="Normal 9 20 2 2" xfId="5340" xr:uid="{00000000-0005-0000-0000-0000ACA30000}"/>
    <cellStyle name="Normal 9 20 2 2 2" xfId="13783" xr:uid="{00000000-0005-0000-0000-0000ADA30000}"/>
    <cellStyle name="Normal 9 20 2 2 3" xfId="19642" xr:uid="{00000000-0005-0000-0000-0000AEA30000}"/>
    <cellStyle name="Normal 9 20 2 3" xfId="5341" xr:uid="{00000000-0005-0000-0000-0000AFA30000}"/>
    <cellStyle name="Normal 9 20 2 3 2" xfId="13784" xr:uid="{00000000-0005-0000-0000-0000B0A30000}"/>
    <cellStyle name="Normal 9 20 2 3 3" xfId="19643" xr:uid="{00000000-0005-0000-0000-0000B1A30000}"/>
    <cellStyle name="Normal 9 20 2 4" xfId="5342" xr:uid="{00000000-0005-0000-0000-0000B2A30000}"/>
    <cellStyle name="Normal 9 20 2 4 2" xfId="13785" xr:uid="{00000000-0005-0000-0000-0000B3A30000}"/>
    <cellStyle name="Normal 9 20 2 4 3" xfId="19644" xr:uid="{00000000-0005-0000-0000-0000B4A30000}"/>
    <cellStyle name="Normal 9 20 2 5" xfId="5343" xr:uid="{00000000-0005-0000-0000-0000B5A30000}"/>
    <cellStyle name="Normal 9 20 2 5 2" xfId="13786" xr:uid="{00000000-0005-0000-0000-0000B6A30000}"/>
    <cellStyle name="Normal 9 20 2 5 3" xfId="19645" xr:uid="{00000000-0005-0000-0000-0000B7A30000}"/>
    <cellStyle name="Normal 9 20 2 6" xfId="13782" xr:uid="{00000000-0005-0000-0000-0000B8A30000}"/>
    <cellStyle name="Normal 9 20 2 7" xfId="19641" xr:uid="{00000000-0005-0000-0000-0000B9A30000}"/>
    <cellStyle name="Normal 9 20 2_LNG &amp; LPG rework" xfId="7569" xr:uid="{00000000-0005-0000-0000-0000BAA30000}"/>
    <cellStyle name="Normal 9 20 3" xfId="5344" xr:uid="{00000000-0005-0000-0000-0000BBA30000}"/>
    <cellStyle name="Normal 9 20 3 2" xfId="13787" xr:uid="{00000000-0005-0000-0000-0000BCA30000}"/>
    <cellStyle name="Normal 9 20 3 3" xfId="19646" xr:uid="{00000000-0005-0000-0000-0000BDA30000}"/>
    <cellStyle name="Normal 9 20 4" xfId="5345" xr:uid="{00000000-0005-0000-0000-0000BEA30000}"/>
    <cellStyle name="Normal 9 20 4 2" xfId="13788" xr:uid="{00000000-0005-0000-0000-0000BFA30000}"/>
    <cellStyle name="Normal 9 20 4 3" xfId="19647" xr:uid="{00000000-0005-0000-0000-0000C0A30000}"/>
    <cellStyle name="Normal 9 20 5" xfId="5346" xr:uid="{00000000-0005-0000-0000-0000C1A30000}"/>
    <cellStyle name="Normal 9 20 5 2" xfId="13789" xr:uid="{00000000-0005-0000-0000-0000C2A30000}"/>
    <cellStyle name="Normal 9 20 5 3" xfId="19648" xr:uid="{00000000-0005-0000-0000-0000C3A30000}"/>
    <cellStyle name="Normal 9 20 6" xfId="5347" xr:uid="{00000000-0005-0000-0000-0000C4A30000}"/>
    <cellStyle name="Normal 9 20 6 2" xfId="13790" xr:uid="{00000000-0005-0000-0000-0000C5A30000}"/>
    <cellStyle name="Normal 9 20 6 3" xfId="19649" xr:uid="{00000000-0005-0000-0000-0000C6A30000}"/>
    <cellStyle name="Normal 9 20 7" xfId="13781" xr:uid="{00000000-0005-0000-0000-0000C7A30000}"/>
    <cellStyle name="Normal 9 20 8" xfId="19640" xr:uid="{00000000-0005-0000-0000-0000C8A30000}"/>
    <cellStyle name="Normal 9 20_LNG &amp; LPG rework" xfId="7568" xr:uid="{00000000-0005-0000-0000-0000C9A30000}"/>
    <cellStyle name="Normal 9 21" xfId="5348" xr:uid="{00000000-0005-0000-0000-0000CAA30000}"/>
    <cellStyle name="Normal 9 21 2" xfId="5349" xr:uid="{00000000-0005-0000-0000-0000CBA30000}"/>
    <cellStyle name="Normal 9 21 2 2" xfId="13792" xr:uid="{00000000-0005-0000-0000-0000CCA30000}"/>
    <cellStyle name="Normal 9 21 2 3" xfId="19651" xr:uid="{00000000-0005-0000-0000-0000CDA30000}"/>
    <cellStyle name="Normal 9 21 3" xfId="5350" xr:uid="{00000000-0005-0000-0000-0000CEA30000}"/>
    <cellStyle name="Normal 9 21 3 2" xfId="13793" xr:uid="{00000000-0005-0000-0000-0000CFA30000}"/>
    <cellStyle name="Normal 9 21 3 3" xfId="19652" xr:uid="{00000000-0005-0000-0000-0000D0A30000}"/>
    <cellStyle name="Normal 9 21 4" xfId="5351" xr:uid="{00000000-0005-0000-0000-0000D1A30000}"/>
    <cellStyle name="Normal 9 21 4 2" xfId="13794" xr:uid="{00000000-0005-0000-0000-0000D2A30000}"/>
    <cellStyle name="Normal 9 21 4 3" xfId="19653" xr:uid="{00000000-0005-0000-0000-0000D3A30000}"/>
    <cellStyle name="Normal 9 21 5" xfId="5352" xr:uid="{00000000-0005-0000-0000-0000D4A30000}"/>
    <cellStyle name="Normal 9 21 5 2" xfId="13795" xr:uid="{00000000-0005-0000-0000-0000D5A30000}"/>
    <cellStyle name="Normal 9 21 5 3" xfId="19654" xr:uid="{00000000-0005-0000-0000-0000D6A30000}"/>
    <cellStyle name="Normal 9 21 6" xfId="13791" xr:uid="{00000000-0005-0000-0000-0000D7A30000}"/>
    <cellStyle name="Normal 9 21 7" xfId="19650" xr:uid="{00000000-0005-0000-0000-0000D8A30000}"/>
    <cellStyle name="Normal 9 21_LNG &amp; LPG rework" xfId="7570" xr:uid="{00000000-0005-0000-0000-0000D9A30000}"/>
    <cellStyle name="Normal 9 22" xfId="5353" xr:uid="{00000000-0005-0000-0000-0000DAA30000}"/>
    <cellStyle name="Normal 9 22 2" xfId="5354" xr:uid="{00000000-0005-0000-0000-0000DBA30000}"/>
    <cellStyle name="Normal 9 22 2 2" xfId="13797" xr:uid="{00000000-0005-0000-0000-0000DCA30000}"/>
    <cellStyle name="Normal 9 22 2 3" xfId="19656" xr:uid="{00000000-0005-0000-0000-0000DDA30000}"/>
    <cellStyle name="Normal 9 22 3" xfId="5355" xr:uid="{00000000-0005-0000-0000-0000DEA30000}"/>
    <cellStyle name="Normal 9 22 3 2" xfId="13798" xr:uid="{00000000-0005-0000-0000-0000DFA30000}"/>
    <cellStyle name="Normal 9 22 3 3" xfId="19657" xr:uid="{00000000-0005-0000-0000-0000E0A30000}"/>
    <cellStyle name="Normal 9 22 4" xfId="5356" xr:uid="{00000000-0005-0000-0000-0000E1A30000}"/>
    <cellStyle name="Normal 9 22 4 2" xfId="13799" xr:uid="{00000000-0005-0000-0000-0000E2A30000}"/>
    <cellStyle name="Normal 9 22 4 3" xfId="19658" xr:uid="{00000000-0005-0000-0000-0000E3A30000}"/>
    <cellStyle name="Normal 9 22 5" xfId="5357" xr:uid="{00000000-0005-0000-0000-0000E4A30000}"/>
    <cellStyle name="Normal 9 22 5 2" xfId="13800" xr:uid="{00000000-0005-0000-0000-0000E5A30000}"/>
    <cellStyle name="Normal 9 22 5 3" xfId="19659" xr:uid="{00000000-0005-0000-0000-0000E6A30000}"/>
    <cellStyle name="Normal 9 22 6" xfId="13796" xr:uid="{00000000-0005-0000-0000-0000E7A30000}"/>
    <cellStyle name="Normal 9 22 7" xfId="19655" xr:uid="{00000000-0005-0000-0000-0000E8A30000}"/>
    <cellStyle name="Normal 9 22_LNG &amp; LPG rework" xfId="7571" xr:uid="{00000000-0005-0000-0000-0000E9A30000}"/>
    <cellStyle name="Normal 9 23" xfId="5358" xr:uid="{00000000-0005-0000-0000-0000EAA30000}"/>
    <cellStyle name="Normal 9 23 2" xfId="13801" xr:uid="{00000000-0005-0000-0000-0000EBA30000}"/>
    <cellStyle name="Normal 9 23 3" xfId="19660" xr:uid="{00000000-0005-0000-0000-0000ECA30000}"/>
    <cellStyle name="Normal 9 24" xfId="5359" xr:uid="{00000000-0005-0000-0000-0000EDA30000}"/>
    <cellStyle name="Normal 9 24 2" xfId="13802" xr:uid="{00000000-0005-0000-0000-0000EEA30000}"/>
    <cellStyle name="Normal 9 24 3" xfId="19661" xr:uid="{00000000-0005-0000-0000-0000EFA30000}"/>
    <cellStyle name="Normal 9 25" xfId="5360" xr:uid="{00000000-0005-0000-0000-0000F0A30000}"/>
    <cellStyle name="Normal 9 25 2" xfId="13803" xr:uid="{00000000-0005-0000-0000-0000F1A30000}"/>
    <cellStyle name="Normal 9 25 3" xfId="19662" xr:uid="{00000000-0005-0000-0000-0000F2A30000}"/>
    <cellStyle name="Normal 9 26" xfId="5361" xr:uid="{00000000-0005-0000-0000-0000F3A30000}"/>
    <cellStyle name="Normal 9 26 2" xfId="13804" xr:uid="{00000000-0005-0000-0000-0000F4A30000}"/>
    <cellStyle name="Normal 9 26 3" xfId="19663" xr:uid="{00000000-0005-0000-0000-0000F5A30000}"/>
    <cellStyle name="Normal 9 27" xfId="5362" xr:uid="{00000000-0005-0000-0000-0000F6A30000}"/>
    <cellStyle name="Normal 9 27 2" xfId="13805" xr:uid="{00000000-0005-0000-0000-0000F7A30000}"/>
    <cellStyle name="Normal 9 27 3" xfId="19664" xr:uid="{00000000-0005-0000-0000-0000F8A30000}"/>
    <cellStyle name="Normal 9 28" xfId="5363" xr:uid="{00000000-0005-0000-0000-0000F9A30000}"/>
    <cellStyle name="Normal 9 28 2" xfId="13806" xr:uid="{00000000-0005-0000-0000-0000FAA30000}"/>
    <cellStyle name="Normal 9 28 3" xfId="19665" xr:uid="{00000000-0005-0000-0000-0000FBA30000}"/>
    <cellStyle name="Normal 9 29" xfId="9307" xr:uid="{00000000-0005-0000-0000-0000FCA30000}"/>
    <cellStyle name="Normal 9 3" xfId="496" xr:uid="{00000000-0005-0000-0000-0000FDA30000}"/>
    <cellStyle name="Normal 9 3 10" xfId="5364" xr:uid="{00000000-0005-0000-0000-0000FEA30000}"/>
    <cellStyle name="Normal 9 3 10 2" xfId="13807" xr:uid="{00000000-0005-0000-0000-0000FFA30000}"/>
    <cellStyle name="Normal 9 3 10 3" xfId="19667" xr:uid="{00000000-0005-0000-0000-000000A40000}"/>
    <cellStyle name="Normal 9 3 11" xfId="9316" xr:uid="{00000000-0005-0000-0000-000001A40000}"/>
    <cellStyle name="Normal 9 3 12" xfId="19666" xr:uid="{00000000-0005-0000-0000-000002A40000}"/>
    <cellStyle name="Normal 9 3 2" xfId="497" xr:uid="{00000000-0005-0000-0000-000003A40000}"/>
    <cellStyle name="Normal 9 3 2 10" xfId="19668" xr:uid="{00000000-0005-0000-0000-000004A40000}"/>
    <cellStyle name="Normal 9 3 2 2" xfId="498" xr:uid="{00000000-0005-0000-0000-000005A40000}"/>
    <cellStyle name="Normal 9 3 2 2 2" xfId="5365" xr:uid="{00000000-0005-0000-0000-000006A40000}"/>
    <cellStyle name="Normal 9 3 2 2 2 2" xfId="13808" xr:uid="{00000000-0005-0000-0000-000007A40000}"/>
    <cellStyle name="Normal 9 3 2 2 2 3" xfId="19670" xr:uid="{00000000-0005-0000-0000-000008A40000}"/>
    <cellStyle name="Normal 9 3 2 2 3" xfId="5366" xr:uid="{00000000-0005-0000-0000-000009A40000}"/>
    <cellStyle name="Normal 9 3 2 2 3 2" xfId="13809" xr:uid="{00000000-0005-0000-0000-00000AA40000}"/>
    <cellStyle name="Normal 9 3 2 2 3 3" xfId="19671" xr:uid="{00000000-0005-0000-0000-00000BA40000}"/>
    <cellStyle name="Normal 9 3 2 2 4" xfId="5367" xr:uid="{00000000-0005-0000-0000-00000CA40000}"/>
    <cellStyle name="Normal 9 3 2 2 4 2" xfId="13810" xr:uid="{00000000-0005-0000-0000-00000DA40000}"/>
    <cellStyle name="Normal 9 3 2 2 4 3" xfId="19672" xr:uid="{00000000-0005-0000-0000-00000EA40000}"/>
    <cellStyle name="Normal 9 3 2 2 5" xfId="5368" xr:uid="{00000000-0005-0000-0000-00000FA40000}"/>
    <cellStyle name="Normal 9 3 2 2 5 2" xfId="13811" xr:uid="{00000000-0005-0000-0000-000010A40000}"/>
    <cellStyle name="Normal 9 3 2 2 5 3" xfId="19673" xr:uid="{00000000-0005-0000-0000-000011A40000}"/>
    <cellStyle name="Normal 9 3 2 2 6" xfId="5369" xr:uid="{00000000-0005-0000-0000-000012A40000}"/>
    <cellStyle name="Normal 9 3 2 2 6 2" xfId="13812" xr:uid="{00000000-0005-0000-0000-000013A40000}"/>
    <cellStyle name="Normal 9 3 2 2 6 3" xfId="19674" xr:uid="{00000000-0005-0000-0000-000014A40000}"/>
    <cellStyle name="Normal 9 3 2 2 7" xfId="9318" xr:uid="{00000000-0005-0000-0000-000015A40000}"/>
    <cellStyle name="Normal 9 3 2 2 8" xfId="19669" xr:uid="{00000000-0005-0000-0000-000016A40000}"/>
    <cellStyle name="Normal 9 3 2 2_LNG &amp; LPG rework" xfId="7574" xr:uid="{00000000-0005-0000-0000-000017A40000}"/>
    <cellStyle name="Normal 9 3 2 3" xfId="5370" xr:uid="{00000000-0005-0000-0000-000018A40000}"/>
    <cellStyle name="Normal 9 3 2 3 2" xfId="5371" xr:uid="{00000000-0005-0000-0000-000019A40000}"/>
    <cellStyle name="Normal 9 3 2 3 2 2" xfId="13814" xr:uid="{00000000-0005-0000-0000-00001AA40000}"/>
    <cellStyle name="Normal 9 3 2 3 2 3" xfId="19676" xr:uid="{00000000-0005-0000-0000-00001BA40000}"/>
    <cellStyle name="Normal 9 3 2 3 3" xfId="5372" xr:uid="{00000000-0005-0000-0000-00001CA40000}"/>
    <cellStyle name="Normal 9 3 2 3 3 2" xfId="13815" xr:uid="{00000000-0005-0000-0000-00001DA40000}"/>
    <cellStyle name="Normal 9 3 2 3 3 3" xfId="19677" xr:uid="{00000000-0005-0000-0000-00001EA40000}"/>
    <cellStyle name="Normal 9 3 2 3 4" xfId="5373" xr:uid="{00000000-0005-0000-0000-00001FA40000}"/>
    <cellStyle name="Normal 9 3 2 3 4 2" xfId="13816" xr:uid="{00000000-0005-0000-0000-000020A40000}"/>
    <cellStyle name="Normal 9 3 2 3 4 3" xfId="19678" xr:uid="{00000000-0005-0000-0000-000021A40000}"/>
    <cellStyle name="Normal 9 3 2 3 5" xfId="5374" xr:uid="{00000000-0005-0000-0000-000022A40000}"/>
    <cellStyle name="Normal 9 3 2 3 5 2" xfId="13817" xr:uid="{00000000-0005-0000-0000-000023A40000}"/>
    <cellStyle name="Normal 9 3 2 3 5 3" xfId="19679" xr:uid="{00000000-0005-0000-0000-000024A40000}"/>
    <cellStyle name="Normal 9 3 2 3 6" xfId="13813" xr:uid="{00000000-0005-0000-0000-000025A40000}"/>
    <cellStyle name="Normal 9 3 2 3 7" xfId="19675" xr:uid="{00000000-0005-0000-0000-000026A40000}"/>
    <cellStyle name="Normal 9 3 2 3_LNG &amp; LPG rework" xfId="7575" xr:uid="{00000000-0005-0000-0000-000027A40000}"/>
    <cellStyle name="Normal 9 3 2 4" xfId="5375" xr:uid="{00000000-0005-0000-0000-000028A40000}"/>
    <cellStyle name="Normal 9 3 2 4 2" xfId="13818" xr:uid="{00000000-0005-0000-0000-000029A40000}"/>
    <cellStyle name="Normal 9 3 2 4 3" xfId="19680" xr:uid="{00000000-0005-0000-0000-00002AA40000}"/>
    <cellStyle name="Normal 9 3 2 5" xfId="5376" xr:uid="{00000000-0005-0000-0000-00002BA40000}"/>
    <cellStyle name="Normal 9 3 2 5 2" xfId="13819" xr:uid="{00000000-0005-0000-0000-00002CA40000}"/>
    <cellStyle name="Normal 9 3 2 5 3" xfId="19681" xr:uid="{00000000-0005-0000-0000-00002DA40000}"/>
    <cellStyle name="Normal 9 3 2 6" xfId="5377" xr:uid="{00000000-0005-0000-0000-00002EA40000}"/>
    <cellStyle name="Normal 9 3 2 6 2" xfId="13820" xr:uid="{00000000-0005-0000-0000-00002FA40000}"/>
    <cellStyle name="Normal 9 3 2 6 3" xfId="19682" xr:uid="{00000000-0005-0000-0000-000030A40000}"/>
    <cellStyle name="Normal 9 3 2 7" xfId="5378" xr:uid="{00000000-0005-0000-0000-000031A40000}"/>
    <cellStyle name="Normal 9 3 2 7 2" xfId="13821" xr:uid="{00000000-0005-0000-0000-000032A40000}"/>
    <cellStyle name="Normal 9 3 2 7 3" xfId="19683" xr:uid="{00000000-0005-0000-0000-000033A40000}"/>
    <cellStyle name="Normal 9 3 2 8" xfId="5379" xr:uid="{00000000-0005-0000-0000-000034A40000}"/>
    <cellStyle name="Normal 9 3 2 8 2" xfId="13822" xr:uid="{00000000-0005-0000-0000-000035A40000}"/>
    <cellStyle name="Normal 9 3 2 8 3" xfId="19684" xr:uid="{00000000-0005-0000-0000-000036A40000}"/>
    <cellStyle name="Normal 9 3 2 9" xfId="9317" xr:uid="{00000000-0005-0000-0000-000037A40000}"/>
    <cellStyle name="Normal 9 3 2_LNG &amp; LPG rework" xfId="7573" xr:uid="{00000000-0005-0000-0000-000038A40000}"/>
    <cellStyle name="Normal 9 3 3" xfId="499" xr:uid="{00000000-0005-0000-0000-000039A40000}"/>
    <cellStyle name="Normal 9 3 3 2" xfId="5380" xr:uid="{00000000-0005-0000-0000-00003AA40000}"/>
    <cellStyle name="Normal 9 3 3 2 2" xfId="13823" xr:uid="{00000000-0005-0000-0000-00003BA40000}"/>
    <cellStyle name="Normal 9 3 3 2 3" xfId="19686" xr:uid="{00000000-0005-0000-0000-00003CA40000}"/>
    <cellStyle name="Normal 9 3 3 3" xfId="5381" xr:uid="{00000000-0005-0000-0000-00003DA40000}"/>
    <cellStyle name="Normal 9 3 3 3 2" xfId="13824" xr:uid="{00000000-0005-0000-0000-00003EA40000}"/>
    <cellStyle name="Normal 9 3 3 3 3" xfId="19687" xr:uid="{00000000-0005-0000-0000-00003FA40000}"/>
    <cellStyle name="Normal 9 3 3 4" xfId="5382" xr:uid="{00000000-0005-0000-0000-000040A40000}"/>
    <cellStyle name="Normal 9 3 3 4 2" xfId="13825" xr:uid="{00000000-0005-0000-0000-000041A40000}"/>
    <cellStyle name="Normal 9 3 3 4 3" xfId="19688" xr:uid="{00000000-0005-0000-0000-000042A40000}"/>
    <cellStyle name="Normal 9 3 3 5" xfId="5383" xr:uid="{00000000-0005-0000-0000-000043A40000}"/>
    <cellStyle name="Normal 9 3 3 5 2" xfId="13826" xr:uid="{00000000-0005-0000-0000-000044A40000}"/>
    <cellStyle name="Normal 9 3 3 5 3" xfId="19689" xr:uid="{00000000-0005-0000-0000-000045A40000}"/>
    <cellStyle name="Normal 9 3 3 6" xfId="5384" xr:uid="{00000000-0005-0000-0000-000046A40000}"/>
    <cellStyle name="Normal 9 3 3 6 2" xfId="13827" xr:uid="{00000000-0005-0000-0000-000047A40000}"/>
    <cellStyle name="Normal 9 3 3 6 3" xfId="19690" xr:uid="{00000000-0005-0000-0000-000048A40000}"/>
    <cellStyle name="Normal 9 3 3 7" xfId="9319" xr:uid="{00000000-0005-0000-0000-000049A40000}"/>
    <cellStyle name="Normal 9 3 3 8" xfId="19685" xr:uid="{00000000-0005-0000-0000-00004AA40000}"/>
    <cellStyle name="Normal 9 3 3_LNG &amp; LPG rework" xfId="7576" xr:uid="{00000000-0005-0000-0000-00004BA40000}"/>
    <cellStyle name="Normal 9 3 4" xfId="5385" xr:uid="{00000000-0005-0000-0000-00004CA40000}"/>
    <cellStyle name="Normal 9 3 4 2" xfId="5386" xr:uid="{00000000-0005-0000-0000-00004DA40000}"/>
    <cellStyle name="Normal 9 3 4 2 2" xfId="13829" xr:uid="{00000000-0005-0000-0000-00004EA40000}"/>
    <cellStyle name="Normal 9 3 4 2 3" xfId="19692" xr:uid="{00000000-0005-0000-0000-00004FA40000}"/>
    <cellStyle name="Normal 9 3 4 3" xfId="5387" xr:uid="{00000000-0005-0000-0000-000050A40000}"/>
    <cellStyle name="Normal 9 3 4 3 2" xfId="13830" xr:uid="{00000000-0005-0000-0000-000051A40000}"/>
    <cellStyle name="Normal 9 3 4 3 3" xfId="19693" xr:uid="{00000000-0005-0000-0000-000052A40000}"/>
    <cellStyle name="Normal 9 3 4 4" xfId="5388" xr:uid="{00000000-0005-0000-0000-000053A40000}"/>
    <cellStyle name="Normal 9 3 4 4 2" xfId="13831" xr:uid="{00000000-0005-0000-0000-000054A40000}"/>
    <cellStyle name="Normal 9 3 4 4 3" xfId="19694" xr:uid="{00000000-0005-0000-0000-000055A40000}"/>
    <cellStyle name="Normal 9 3 4 5" xfId="5389" xr:uid="{00000000-0005-0000-0000-000056A40000}"/>
    <cellStyle name="Normal 9 3 4 5 2" xfId="13832" xr:uid="{00000000-0005-0000-0000-000057A40000}"/>
    <cellStyle name="Normal 9 3 4 5 3" xfId="19695" xr:uid="{00000000-0005-0000-0000-000058A40000}"/>
    <cellStyle name="Normal 9 3 4 6" xfId="13828" xr:uid="{00000000-0005-0000-0000-000059A40000}"/>
    <cellStyle name="Normal 9 3 4 7" xfId="19691" xr:uid="{00000000-0005-0000-0000-00005AA40000}"/>
    <cellStyle name="Normal 9 3 4_LNG &amp; LPG rework" xfId="7577" xr:uid="{00000000-0005-0000-0000-00005BA40000}"/>
    <cellStyle name="Normal 9 3 5" xfId="5390" xr:uid="{00000000-0005-0000-0000-00005CA40000}"/>
    <cellStyle name="Normal 9 3 5 2" xfId="5391" xr:uid="{00000000-0005-0000-0000-00005DA40000}"/>
    <cellStyle name="Normal 9 3 5 2 2" xfId="13834" xr:uid="{00000000-0005-0000-0000-00005EA40000}"/>
    <cellStyle name="Normal 9 3 5 2 3" xfId="19697" xr:uid="{00000000-0005-0000-0000-00005FA40000}"/>
    <cellStyle name="Normal 9 3 5 3" xfId="5392" xr:uid="{00000000-0005-0000-0000-000060A40000}"/>
    <cellStyle name="Normal 9 3 5 3 2" xfId="13835" xr:uid="{00000000-0005-0000-0000-000061A40000}"/>
    <cellStyle name="Normal 9 3 5 3 3" xfId="19698" xr:uid="{00000000-0005-0000-0000-000062A40000}"/>
    <cellStyle name="Normal 9 3 5 4" xfId="5393" xr:uid="{00000000-0005-0000-0000-000063A40000}"/>
    <cellStyle name="Normal 9 3 5 4 2" xfId="13836" xr:uid="{00000000-0005-0000-0000-000064A40000}"/>
    <cellStyle name="Normal 9 3 5 4 3" xfId="19699" xr:uid="{00000000-0005-0000-0000-000065A40000}"/>
    <cellStyle name="Normal 9 3 5 5" xfId="5394" xr:uid="{00000000-0005-0000-0000-000066A40000}"/>
    <cellStyle name="Normal 9 3 5 5 2" xfId="13837" xr:uid="{00000000-0005-0000-0000-000067A40000}"/>
    <cellStyle name="Normal 9 3 5 5 3" xfId="19700" xr:uid="{00000000-0005-0000-0000-000068A40000}"/>
    <cellStyle name="Normal 9 3 5 6" xfId="13833" xr:uid="{00000000-0005-0000-0000-000069A40000}"/>
    <cellStyle name="Normal 9 3 5 7" xfId="19696" xr:uid="{00000000-0005-0000-0000-00006AA40000}"/>
    <cellStyle name="Normal 9 3 5_LNG &amp; LPG rework" xfId="7578" xr:uid="{00000000-0005-0000-0000-00006BA40000}"/>
    <cellStyle name="Normal 9 3 6" xfId="5395" xr:uid="{00000000-0005-0000-0000-00006CA40000}"/>
    <cellStyle name="Normal 9 3 6 2" xfId="13838" xr:uid="{00000000-0005-0000-0000-00006DA40000}"/>
    <cellStyle name="Normal 9 3 6 3" xfId="19701" xr:uid="{00000000-0005-0000-0000-00006EA40000}"/>
    <cellStyle name="Normal 9 3 7" xfId="5396" xr:uid="{00000000-0005-0000-0000-00006FA40000}"/>
    <cellStyle name="Normal 9 3 7 2" xfId="13839" xr:uid="{00000000-0005-0000-0000-000070A40000}"/>
    <cellStyle name="Normal 9 3 7 3" xfId="19702" xr:uid="{00000000-0005-0000-0000-000071A40000}"/>
    <cellStyle name="Normal 9 3 8" xfId="5397" xr:uid="{00000000-0005-0000-0000-000072A40000}"/>
    <cellStyle name="Normal 9 3 8 2" xfId="13840" xr:uid="{00000000-0005-0000-0000-000073A40000}"/>
    <cellStyle name="Normal 9 3 8 3" xfId="19703" xr:uid="{00000000-0005-0000-0000-000074A40000}"/>
    <cellStyle name="Normal 9 3 9" xfId="5398" xr:uid="{00000000-0005-0000-0000-000075A40000}"/>
    <cellStyle name="Normal 9 3 9 2" xfId="13841" xr:uid="{00000000-0005-0000-0000-000076A40000}"/>
    <cellStyle name="Normal 9 3 9 3" xfId="19704" xr:uid="{00000000-0005-0000-0000-000077A40000}"/>
    <cellStyle name="Normal 9 3_LNG &amp; LPG rework" xfId="7572" xr:uid="{00000000-0005-0000-0000-000078A40000}"/>
    <cellStyle name="Normal 9 30" xfId="14939" xr:uid="{00000000-0005-0000-0000-000079A40000}"/>
    <cellStyle name="Normal 9 31" xfId="29519" xr:uid="{00000000-0005-0000-0000-00007AA40000}"/>
    <cellStyle name="Normal 9 4" xfId="500" xr:uid="{00000000-0005-0000-0000-00007BA40000}"/>
    <cellStyle name="Normal 9 4 10" xfId="19705" xr:uid="{00000000-0005-0000-0000-00007CA40000}"/>
    <cellStyle name="Normal 9 4 2" xfId="501" xr:uid="{00000000-0005-0000-0000-00007DA40000}"/>
    <cellStyle name="Normal 9 4 2 2" xfId="5399" xr:uid="{00000000-0005-0000-0000-00007EA40000}"/>
    <cellStyle name="Normal 9 4 2 2 2" xfId="13842" xr:uid="{00000000-0005-0000-0000-00007FA40000}"/>
    <cellStyle name="Normal 9 4 2 2 3" xfId="19707" xr:uid="{00000000-0005-0000-0000-000080A40000}"/>
    <cellStyle name="Normal 9 4 2 3" xfId="5400" xr:uid="{00000000-0005-0000-0000-000081A40000}"/>
    <cellStyle name="Normal 9 4 2 3 2" xfId="13843" xr:uid="{00000000-0005-0000-0000-000082A40000}"/>
    <cellStyle name="Normal 9 4 2 3 3" xfId="19708" xr:uid="{00000000-0005-0000-0000-000083A40000}"/>
    <cellStyle name="Normal 9 4 2 4" xfId="5401" xr:uid="{00000000-0005-0000-0000-000084A40000}"/>
    <cellStyle name="Normal 9 4 2 4 2" xfId="13844" xr:uid="{00000000-0005-0000-0000-000085A40000}"/>
    <cellStyle name="Normal 9 4 2 4 3" xfId="19709" xr:uid="{00000000-0005-0000-0000-000086A40000}"/>
    <cellStyle name="Normal 9 4 2 5" xfId="5402" xr:uid="{00000000-0005-0000-0000-000087A40000}"/>
    <cellStyle name="Normal 9 4 2 5 2" xfId="13845" xr:uid="{00000000-0005-0000-0000-000088A40000}"/>
    <cellStyle name="Normal 9 4 2 5 3" xfId="19710" xr:uid="{00000000-0005-0000-0000-000089A40000}"/>
    <cellStyle name="Normal 9 4 2 6" xfId="5403" xr:uid="{00000000-0005-0000-0000-00008AA40000}"/>
    <cellStyle name="Normal 9 4 2 6 2" xfId="13846" xr:uid="{00000000-0005-0000-0000-00008BA40000}"/>
    <cellStyle name="Normal 9 4 2 6 3" xfId="19711" xr:uid="{00000000-0005-0000-0000-00008CA40000}"/>
    <cellStyle name="Normal 9 4 2 7" xfId="9321" xr:uid="{00000000-0005-0000-0000-00008DA40000}"/>
    <cellStyle name="Normal 9 4 2 8" xfId="19706" xr:uid="{00000000-0005-0000-0000-00008EA40000}"/>
    <cellStyle name="Normal 9 4 2_LNG &amp; LPG rework" xfId="7580" xr:uid="{00000000-0005-0000-0000-00008FA40000}"/>
    <cellStyle name="Normal 9 4 3" xfId="5404" xr:uid="{00000000-0005-0000-0000-000090A40000}"/>
    <cellStyle name="Normal 9 4 3 2" xfId="5405" xr:uid="{00000000-0005-0000-0000-000091A40000}"/>
    <cellStyle name="Normal 9 4 3 2 2" xfId="13848" xr:uid="{00000000-0005-0000-0000-000092A40000}"/>
    <cellStyle name="Normal 9 4 3 2 3" xfId="19713" xr:uid="{00000000-0005-0000-0000-000093A40000}"/>
    <cellStyle name="Normal 9 4 3 3" xfId="5406" xr:uid="{00000000-0005-0000-0000-000094A40000}"/>
    <cellStyle name="Normal 9 4 3 3 2" xfId="13849" xr:uid="{00000000-0005-0000-0000-000095A40000}"/>
    <cellStyle name="Normal 9 4 3 3 3" xfId="19714" xr:uid="{00000000-0005-0000-0000-000096A40000}"/>
    <cellStyle name="Normal 9 4 3 4" xfId="5407" xr:uid="{00000000-0005-0000-0000-000097A40000}"/>
    <cellStyle name="Normal 9 4 3 4 2" xfId="13850" xr:uid="{00000000-0005-0000-0000-000098A40000}"/>
    <cellStyle name="Normal 9 4 3 4 3" xfId="19715" xr:uid="{00000000-0005-0000-0000-000099A40000}"/>
    <cellStyle name="Normal 9 4 3 5" xfId="5408" xr:uid="{00000000-0005-0000-0000-00009AA40000}"/>
    <cellStyle name="Normal 9 4 3 5 2" xfId="13851" xr:uid="{00000000-0005-0000-0000-00009BA40000}"/>
    <cellStyle name="Normal 9 4 3 5 3" xfId="19716" xr:uid="{00000000-0005-0000-0000-00009CA40000}"/>
    <cellStyle name="Normal 9 4 3 6" xfId="13847" xr:uid="{00000000-0005-0000-0000-00009DA40000}"/>
    <cellStyle name="Normal 9 4 3 7" xfId="19712" xr:uid="{00000000-0005-0000-0000-00009EA40000}"/>
    <cellStyle name="Normal 9 4 3_LNG &amp; LPG rework" xfId="7581" xr:uid="{00000000-0005-0000-0000-00009FA40000}"/>
    <cellStyle name="Normal 9 4 4" xfId="5409" xr:uid="{00000000-0005-0000-0000-0000A0A40000}"/>
    <cellStyle name="Normal 9 4 4 2" xfId="13852" xr:uid="{00000000-0005-0000-0000-0000A1A40000}"/>
    <cellStyle name="Normal 9 4 4 3" xfId="19717" xr:uid="{00000000-0005-0000-0000-0000A2A40000}"/>
    <cellStyle name="Normal 9 4 5" xfId="5410" xr:uid="{00000000-0005-0000-0000-0000A3A40000}"/>
    <cellStyle name="Normal 9 4 5 2" xfId="13853" xr:uid="{00000000-0005-0000-0000-0000A4A40000}"/>
    <cellStyle name="Normal 9 4 5 3" xfId="19718" xr:uid="{00000000-0005-0000-0000-0000A5A40000}"/>
    <cellStyle name="Normal 9 4 6" xfId="5411" xr:uid="{00000000-0005-0000-0000-0000A6A40000}"/>
    <cellStyle name="Normal 9 4 6 2" xfId="13854" xr:uid="{00000000-0005-0000-0000-0000A7A40000}"/>
    <cellStyle name="Normal 9 4 6 3" xfId="19719" xr:uid="{00000000-0005-0000-0000-0000A8A40000}"/>
    <cellStyle name="Normal 9 4 7" xfId="5412" xr:uid="{00000000-0005-0000-0000-0000A9A40000}"/>
    <cellStyle name="Normal 9 4 7 2" xfId="13855" xr:uid="{00000000-0005-0000-0000-0000AAA40000}"/>
    <cellStyle name="Normal 9 4 7 3" xfId="19720" xr:uid="{00000000-0005-0000-0000-0000ABA40000}"/>
    <cellStyle name="Normal 9 4 8" xfId="5413" xr:uid="{00000000-0005-0000-0000-0000ACA40000}"/>
    <cellStyle name="Normal 9 4 8 2" xfId="13856" xr:uid="{00000000-0005-0000-0000-0000ADA40000}"/>
    <cellStyle name="Normal 9 4 8 3" xfId="19721" xr:uid="{00000000-0005-0000-0000-0000AEA40000}"/>
    <cellStyle name="Normal 9 4 9" xfId="9320" xr:uid="{00000000-0005-0000-0000-0000AFA40000}"/>
    <cellStyle name="Normal 9 4_LNG &amp; LPG rework" xfId="7579" xr:uid="{00000000-0005-0000-0000-0000B0A40000}"/>
    <cellStyle name="Normal 9 5" xfId="502" xr:uid="{00000000-0005-0000-0000-0000B1A40000}"/>
    <cellStyle name="Normal 9 5 10" xfId="19722" xr:uid="{00000000-0005-0000-0000-0000B2A40000}"/>
    <cellStyle name="Normal 9 5 2" xfId="5414" xr:uid="{00000000-0005-0000-0000-0000B3A40000}"/>
    <cellStyle name="Normal 9 5 2 2" xfId="5415" xr:uid="{00000000-0005-0000-0000-0000B4A40000}"/>
    <cellStyle name="Normal 9 5 2 2 2" xfId="13858" xr:uid="{00000000-0005-0000-0000-0000B5A40000}"/>
    <cellStyle name="Normal 9 5 2 2 3" xfId="19724" xr:uid="{00000000-0005-0000-0000-0000B6A40000}"/>
    <cellStyle name="Normal 9 5 2 3" xfId="5416" xr:uid="{00000000-0005-0000-0000-0000B7A40000}"/>
    <cellStyle name="Normal 9 5 2 3 2" xfId="13859" xr:uid="{00000000-0005-0000-0000-0000B8A40000}"/>
    <cellStyle name="Normal 9 5 2 3 3" xfId="19725" xr:uid="{00000000-0005-0000-0000-0000B9A40000}"/>
    <cellStyle name="Normal 9 5 2 4" xfId="5417" xr:uid="{00000000-0005-0000-0000-0000BAA40000}"/>
    <cellStyle name="Normal 9 5 2 4 2" xfId="13860" xr:uid="{00000000-0005-0000-0000-0000BBA40000}"/>
    <cellStyle name="Normal 9 5 2 4 3" xfId="19726" xr:uid="{00000000-0005-0000-0000-0000BCA40000}"/>
    <cellStyle name="Normal 9 5 2 5" xfId="5418" xr:uid="{00000000-0005-0000-0000-0000BDA40000}"/>
    <cellStyle name="Normal 9 5 2 5 2" xfId="13861" xr:uid="{00000000-0005-0000-0000-0000BEA40000}"/>
    <cellStyle name="Normal 9 5 2 5 3" xfId="19727" xr:uid="{00000000-0005-0000-0000-0000BFA40000}"/>
    <cellStyle name="Normal 9 5 2 6" xfId="13857" xr:uid="{00000000-0005-0000-0000-0000C0A40000}"/>
    <cellStyle name="Normal 9 5 2 7" xfId="19723" xr:uid="{00000000-0005-0000-0000-0000C1A40000}"/>
    <cellStyle name="Normal 9 5 2_LNG &amp; LPG rework" xfId="7583" xr:uid="{00000000-0005-0000-0000-0000C2A40000}"/>
    <cellStyle name="Normal 9 5 3" xfId="5419" xr:uid="{00000000-0005-0000-0000-0000C3A40000}"/>
    <cellStyle name="Normal 9 5 3 2" xfId="5420" xr:uid="{00000000-0005-0000-0000-0000C4A40000}"/>
    <cellStyle name="Normal 9 5 3 2 2" xfId="13863" xr:uid="{00000000-0005-0000-0000-0000C5A40000}"/>
    <cellStyle name="Normal 9 5 3 2 3" xfId="19729" xr:uid="{00000000-0005-0000-0000-0000C6A40000}"/>
    <cellStyle name="Normal 9 5 3 3" xfId="5421" xr:uid="{00000000-0005-0000-0000-0000C7A40000}"/>
    <cellStyle name="Normal 9 5 3 3 2" xfId="13864" xr:uid="{00000000-0005-0000-0000-0000C8A40000}"/>
    <cellStyle name="Normal 9 5 3 3 3" xfId="19730" xr:uid="{00000000-0005-0000-0000-0000C9A40000}"/>
    <cellStyle name="Normal 9 5 3 4" xfId="5422" xr:uid="{00000000-0005-0000-0000-0000CAA40000}"/>
    <cellStyle name="Normal 9 5 3 4 2" xfId="13865" xr:uid="{00000000-0005-0000-0000-0000CBA40000}"/>
    <cellStyle name="Normal 9 5 3 4 3" xfId="19731" xr:uid="{00000000-0005-0000-0000-0000CCA40000}"/>
    <cellStyle name="Normal 9 5 3 5" xfId="5423" xr:uid="{00000000-0005-0000-0000-0000CDA40000}"/>
    <cellStyle name="Normal 9 5 3 5 2" xfId="13866" xr:uid="{00000000-0005-0000-0000-0000CEA40000}"/>
    <cellStyle name="Normal 9 5 3 5 3" xfId="19732" xr:uid="{00000000-0005-0000-0000-0000CFA40000}"/>
    <cellStyle name="Normal 9 5 3 6" xfId="13862" xr:uid="{00000000-0005-0000-0000-0000D0A40000}"/>
    <cellStyle name="Normal 9 5 3 7" xfId="19728" xr:uid="{00000000-0005-0000-0000-0000D1A40000}"/>
    <cellStyle name="Normal 9 5 3_LNG &amp; LPG rework" xfId="7584" xr:uid="{00000000-0005-0000-0000-0000D2A40000}"/>
    <cellStyle name="Normal 9 5 4" xfId="5424" xr:uid="{00000000-0005-0000-0000-0000D3A40000}"/>
    <cellStyle name="Normal 9 5 4 2" xfId="13867" xr:uid="{00000000-0005-0000-0000-0000D4A40000}"/>
    <cellStyle name="Normal 9 5 4 3" xfId="19733" xr:uid="{00000000-0005-0000-0000-0000D5A40000}"/>
    <cellStyle name="Normal 9 5 5" xfId="5425" xr:uid="{00000000-0005-0000-0000-0000D6A40000}"/>
    <cellStyle name="Normal 9 5 5 2" xfId="13868" xr:uid="{00000000-0005-0000-0000-0000D7A40000}"/>
    <cellStyle name="Normal 9 5 5 3" xfId="19734" xr:uid="{00000000-0005-0000-0000-0000D8A40000}"/>
    <cellStyle name="Normal 9 5 6" xfId="5426" xr:uid="{00000000-0005-0000-0000-0000D9A40000}"/>
    <cellStyle name="Normal 9 5 6 2" xfId="13869" xr:uid="{00000000-0005-0000-0000-0000DAA40000}"/>
    <cellStyle name="Normal 9 5 6 3" xfId="19735" xr:uid="{00000000-0005-0000-0000-0000DBA40000}"/>
    <cellStyle name="Normal 9 5 7" xfId="5427" xr:uid="{00000000-0005-0000-0000-0000DCA40000}"/>
    <cellStyle name="Normal 9 5 7 2" xfId="13870" xr:uid="{00000000-0005-0000-0000-0000DDA40000}"/>
    <cellStyle name="Normal 9 5 7 3" xfId="19736" xr:uid="{00000000-0005-0000-0000-0000DEA40000}"/>
    <cellStyle name="Normal 9 5 8" xfId="5428" xr:uid="{00000000-0005-0000-0000-0000DFA40000}"/>
    <cellStyle name="Normal 9 5 8 2" xfId="13871" xr:uid="{00000000-0005-0000-0000-0000E0A40000}"/>
    <cellStyle name="Normal 9 5 8 3" xfId="19737" xr:uid="{00000000-0005-0000-0000-0000E1A40000}"/>
    <cellStyle name="Normal 9 5 9" xfId="9322" xr:uid="{00000000-0005-0000-0000-0000E2A40000}"/>
    <cellStyle name="Normal 9 5_LNG &amp; LPG rework" xfId="7582" xr:uid="{00000000-0005-0000-0000-0000E3A40000}"/>
    <cellStyle name="Normal 9 6" xfId="5429" xr:uid="{00000000-0005-0000-0000-0000E4A40000}"/>
    <cellStyle name="Normal 9 7" xfId="5430" xr:uid="{00000000-0005-0000-0000-0000E5A40000}"/>
    <cellStyle name="Normal 9 7 2" xfId="5431" xr:uid="{00000000-0005-0000-0000-0000E6A40000}"/>
    <cellStyle name="Normal 9 7 2 2" xfId="5432" xr:uid="{00000000-0005-0000-0000-0000E7A40000}"/>
    <cellStyle name="Normal 9 7 2 2 2" xfId="13874" xr:uid="{00000000-0005-0000-0000-0000E8A40000}"/>
    <cellStyle name="Normal 9 7 2 2 3" xfId="19740" xr:uid="{00000000-0005-0000-0000-0000E9A40000}"/>
    <cellStyle name="Normal 9 7 2 3" xfId="5433" xr:uid="{00000000-0005-0000-0000-0000EAA40000}"/>
    <cellStyle name="Normal 9 7 2 3 2" xfId="13875" xr:uid="{00000000-0005-0000-0000-0000EBA40000}"/>
    <cellStyle name="Normal 9 7 2 3 3" xfId="19741" xr:uid="{00000000-0005-0000-0000-0000ECA40000}"/>
    <cellStyle name="Normal 9 7 2 4" xfId="5434" xr:uid="{00000000-0005-0000-0000-0000EDA40000}"/>
    <cellStyle name="Normal 9 7 2 4 2" xfId="13876" xr:uid="{00000000-0005-0000-0000-0000EEA40000}"/>
    <cellStyle name="Normal 9 7 2 4 3" xfId="19742" xr:uid="{00000000-0005-0000-0000-0000EFA40000}"/>
    <cellStyle name="Normal 9 7 2 5" xfId="5435" xr:uid="{00000000-0005-0000-0000-0000F0A40000}"/>
    <cellStyle name="Normal 9 7 2 5 2" xfId="13877" xr:uid="{00000000-0005-0000-0000-0000F1A40000}"/>
    <cellStyle name="Normal 9 7 2 5 3" xfId="19743" xr:uid="{00000000-0005-0000-0000-0000F2A40000}"/>
    <cellStyle name="Normal 9 7 2 6" xfId="13873" xr:uid="{00000000-0005-0000-0000-0000F3A40000}"/>
    <cellStyle name="Normal 9 7 2 7" xfId="19739" xr:uid="{00000000-0005-0000-0000-0000F4A40000}"/>
    <cellStyle name="Normal 9 7 2_LNG &amp; LPG rework" xfId="7586" xr:uid="{00000000-0005-0000-0000-0000F5A40000}"/>
    <cellStyle name="Normal 9 7 3" xfId="5436" xr:uid="{00000000-0005-0000-0000-0000F6A40000}"/>
    <cellStyle name="Normal 9 7 3 2" xfId="5437" xr:uid="{00000000-0005-0000-0000-0000F7A40000}"/>
    <cellStyle name="Normal 9 7 3 2 2" xfId="13879" xr:uid="{00000000-0005-0000-0000-0000F8A40000}"/>
    <cellStyle name="Normal 9 7 3 2 3" xfId="19745" xr:uid="{00000000-0005-0000-0000-0000F9A40000}"/>
    <cellStyle name="Normal 9 7 3 3" xfId="5438" xr:uid="{00000000-0005-0000-0000-0000FAA40000}"/>
    <cellStyle name="Normal 9 7 3 3 2" xfId="13880" xr:uid="{00000000-0005-0000-0000-0000FBA40000}"/>
    <cellStyle name="Normal 9 7 3 3 3" xfId="19746" xr:uid="{00000000-0005-0000-0000-0000FCA40000}"/>
    <cellStyle name="Normal 9 7 3 4" xfId="5439" xr:uid="{00000000-0005-0000-0000-0000FDA40000}"/>
    <cellStyle name="Normal 9 7 3 4 2" xfId="13881" xr:uid="{00000000-0005-0000-0000-0000FEA40000}"/>
    <cellStyle name="Normal 9 7 3 4 3" xfId="19747" xr:uid="{00000000-0005-0000-0000-0000FFA40000}"/>
    <cellStyle name="Normal 9 7 3 5" xfId="5440" xr:uid="{00000000-0005-0000-0000-000000A50000}"/>
    <cellStyle name="Normal 9 7 3 5 2" xfId="13882" xr:uid="{00000000-0005-0000-0000-000001A50000}"/>
    <cellStyle name="Normal 9 7 3 5 3" xfId="19748" xr:uid="{00000000-0005-0000-0000-000002A50000}"/>
    <cellStyle name="Normal 9 7 3 6" xfId="13878" xr:uid="{00000000-0005-0000-0000-000003A50000}"/>
    <cellStyle name="Normal 9 7 3 7" xfId="19744" xr:uid="{00000000-0005-0000-0000-000004A50000}"/>
    <cellStyle name="Normal 9 7 3_LNG &amp; LPG rework" xfId="7587" xr:uid="{00000000-0005-0000-0000-000005A50000}"/>
    <cellStyle name="Normal 9 7 4" xfId="5441" xr:uid="{00000000-0005-0000-0000-000006A50000}"/>
    <cellStyle name="Normal 9 7 4 2" xfId="13883" xr:uid="{00000000-0005-0000-0000-000007A50000}"/>
    <cellStyle name="Normal 9 7 4 3" xfId="19749" xr:uid="{00000000-0005-0000-0000-000008A50000}"/>
    <cellStyle name="Normal 9 7 5" xfId="5442" xr:uid="{00000000-0005-0000-0000-000009A50000}"/>
    <cellStyle name="Normal 9 7 5 2" xfId="13884" xr:uid="{00000000-0005-0000-0000-00000AA50000}"/>
    <cellStyle name="Normal 9 7 5 3" xfId="19750" xr:uid="{00000000-0005-0000-0000-00000BA50000}"/>
    <cellStyle name="Normal 9 7 6" xfId="5443" xr:uid="{00000000-0005-0000-0000-00000CA50000}"/>
    <cellStyle name="Normal 9 7 6 2" xfId="13885" xr:uid="{00000000-0005-0000-0000-00000DA50000}"/>
    <cellStyle name="Normal 9 7 6 3" xfId="19751" xr:uid="{00000000-0005-0000-0000-00000EA50000}"/>
    <cellStyle name="Normal 9 7 7" xfId="5444" xr:uid="{00000000-0005-0000-0000-00000FA50000}"/>
    <cellStyle name="Normal 9 7 7 2" xfId="13886" xr:uid="{00000000-0005-0000-0000-000010A50000}"/>
    <cellStyle name="Normal 9 7 7 3" xfId="19752" xr:uid="{00000000-0005-0000-0000-000011A50000}"/>
    <cellStyle name="Normal 9 7 8" xfId="13872" xr:uid="{00000000-0005-0000-0000-000012A50000}"/>
    <cellStyle name="Normal 9 7 9" xfId="19738" xr:uid="{00000000-0005-0000-0000-000013A50000}"/>
    <cellStyle name="Normal 9 7_LNG &amp; LPG rework" xfId="7585" xr:uid="{00000000-0005-0000-0000-000014A50000}"/>
    <cellStyle name="Normal 9 8" xfId="5445" xr:uid="{00000000-0005-0000-0000-000015A50000}"/>
    <cellStyle name="Normal 9 8 2" xfId="5446" xr:uid="{00000000-0005-0000-0000-000016A50000}"/>
    <cellStyle name="Normal 9 8 2 2" xfId="5447" xr:uid="{00000000-0005-0000-0000-000017A50000}"/>
    <cellStyle name="Normal 9 8 2 2 2" xfId="13889" xr:uid="{00000000-0005-0000-0000-000018A50000}"/>
    <cellStyle name="Normal 9 8 2 2 3" xfId="19755" xr:uid="{00000000-0005-0000-0000-000019A50000}"/>
    <cellStyle name="Normal 9 8 2 3" xfId="5448" xr:uid="{00000000-0005-0000-0000-00001AA50000}"/>
    <cellStyle name="Normal 9 8 2 3 2" xfId="13890" xr:uid="{00000000-0005-0000-0000-00001BA50000}"/>
    <cellStyle name="Normal 9 8 2 3 3" xfId="19756" xr:uid="{00000000-0005-0000-0000-00001CA50000}"/>
    <cellStyle name="Normal 9 8 2 4" xfId="5449" xr:uid="{00000000-0005-0000-0000-00001DA50000}"/>
    <cellStyle name="Normal 9 8 2 4 2" xfId="13891" xr:uid="{00000000-0005-0000-0000-00001EA50000}"/>
    <cellStyle name="Normal 9 8 2 4 3" xfId="19757" xr:uid="{00000000-0005-0000-0000-00001FA50000}"/>
    <cellStyle name="Normal 9 8 2 5" xfId="5450" xr:uid="{00000000-0005-0000-0000-000020A50000}"/>
    <cellStyle name="Normal 9 8 2 5 2" xfId="13892" xr:uid="{00000000-0005-0000-0000-000021A50000}"/>
    <cellStyle name="Normal 9 8 2 5 3" xfId="19758" xr:uid="{00000000-0005-0000-0000-000022A50000}"/>
    <cellStyle name="Normal 9 8 2 6" xfId="13888" xr:uid="{00000000-0005-0000-0000-000023A50000}"/>
    <cellStyle name="Normal 9 8 2 7" xfId="19754" xr:uid="{00000000-0005-0000-0000-000024A50000}"/>
    <cellStyle name="Normal 9 8 2_LNG &amp; LPG rework" xfId="7589" xr:uid="{00000000-0005-0000-0000-000025A50000}"/>
    <cellStyle name="Normal 9 8 3" xfId="5451" xr:uid="{00000000-0005-0000-0000-000026A50000}"/>
    <cellStyle name="Normal 9 8 3 2" xfId="5452" xr:uid="{00000000-0005-0000-0000-000027A50000}"/>
    <cellStyle name="Normal 9 8 3 2 2" xfId="13894" xr:uid="{00000000-0005-0000-0000-000028A50000}"/>
    <cellStyle name="Normal 9 8 3 2 3" xfId="19760" xr:uid="{00000000-0005-0000-0000-000029A50000}"/>
    <cellStyle name="Normal 9 8 3 3" xfId="5453" xr:uid="{00000000-0005-0000-0000-00002AA50000}"/>
    <cellStyle name="Normal 9 8 3 3 2" xfId="13895" xr:uid="{00000000-0005-0000-0000-00002BA50000}"/>
    <cellStyle name="Normal 9 8 3 3 3" xfId="19761" xr:uid="{00000000-0005-0000-0000-00002CA50000}"/>
    <cellStyle name="Normal 9 8 3 4" xfId="5454" xr:uid="{00000000-0005-0000-0000-00002DA50000}"/>
    <cellStyle name="Normal 9 8 3 4 2" xfId="13896" xr:uid="{00000000-0005-0000-0000-00002EA50000}"/>
    <cellStyle name="Normal 9 8 3 4 3" xfId="19762" xr:uid="{00000000-0005-0000-0000-00002FA50000}"/>
    <cellStyle name="Normal 9 8 3 5" xfId="5455" xr:uid="{00000000-0005-0000-0000-000030A50000}"/>
    <cellStyle name="Normal 9 8 3 5 2" xfId="13897" xr:uid="{00000000-0005-0000-0000-000031A50000}"/>
    <cellStyle name="Normal 9 8 3 5 3" xfId="19763" xr:uid="{00000000-0005-0000-0000-000032A50000}"/>
    <cellStyle name="Normal 9 8 3 6" xfId="13893" xr:uid="{00000000-0005-0000-0000-000033A50000}"/>
    <cellStyle name="Normal 9 8 3 7" xfId="19759" xr:uid="{00000000-0005-0000-0000-000034A50000}"/>
    <cellStyle name="Normal 9 8 3_LNG &amp; LPG rework" xfId="7590" xr:uid="{00000000-0005-0000-0000-000035A50000}"/>
    <cellStyle name="Normal 9 8 4" xfId="5456" xr:uid="{00000000-0005-0000-0000-000036A50000}"/>
    <cellStyle name="Normal 9 8 4 2" xfId="13898" xr:uid="{00000000-0005-0000-0000-000037A50000}"/>
    <cellStyle name="Normal 9 8 4 3" xfId="19764" xr:uid="{00000000-0005-0000-0000-000038A50000}"/>
    <cellStyle name="Normal 9 8 5" xfId="5457" xr:uid="{00000000-0005-0000-0000-000039A50000}"/>
    <cellStyle name="Normal 9 8 5 2" xfId="13899" xr:uid="{00000000-0005-0000-0000-00003AA50000}"/>
    <cellStyle name="Normal 9 8 5 3" xfId="19765" xr:uid="{00000000-0005-0000-0000-00003BA50000}"/>
    <cellStyle name="Normal 9 8 6" xfId="5458" xr:uid="{00000000-0005-0000-0000-00003CA50000}"/>
    <cellStyle name="Normal 9 8 6 2" xfId="13900" xr:uid="{00000000-0005-0000-0000-00003DA50000}"/>
    <cellStyle name="Normal 9 8 6 3" xfId="19766" xr:uid="{00000000-0005-0000-0000-00003EA50000}"/>
    <cellStyle name="Normal 9 8 7" xfId="5459" xr:uid="{00000000-0005-0000-0000-00003FA50000}"/>
    <cellStyle name="Normal 9 8 7 2" xfId="13901" xr:uid="{00000000-0005-0000-0000-000040A50000}"/>
    <cellStyle name="Normal 9 8 7 3" xfId="19767" xr:uid="{00000000-0005-0000-0000-000041A50000}"/>
    <cellStyle name="Normal 9 8 8" xfId="13887" xr:uid="{00000000-0005-0000-0000-000042A50000}"/>
    <cellStyle name="Normal 9 8 9" xfId="19753" xr:uid="{00000000-0005-0000-0000-000043A50000}"/>
    <cellStyle name="Normal 9 8_LNG &amp; LPG rework" xfId="7588" xr:uid="{00000000-0005-0000-0000-000044A50000}"/>
    <cellStyle name="Normal 9 9" xfId="5460" xr:uid="{00000000-0005-0000-0000-000045A50000}"/>
    <cellStyle name="Normal 9 9 2" xfId="5461" xr:uid="{00000000-0005-0000-0000-000046A50000}"/>
    <cellStyle name="Normal 9 9 2 2" xfId="5462" xr:uid="{00000000-0005-0000-0000-000047A50000}"/>
    <cellStyle name="Normal 9 9 2 2 2" xfId="13904" xr:uid="{00000000-0005-0000-0000-000048A50000}"/>
    <cellStyle name="Normal 9 9 2 2 3" xfId="19770" xr:uid="{00000000-0005-0000-0000-000049A50000}"/>
    <cellStyle name="Normal 9 9 2 3" xfId="5463" xr:uid="{00000000-0005-0000-0000-00004AA50000}"/>
    <cellStyle name="Normal 9 9 2 3 2" xfId="13905" xr:uid="{00000000-0005-0000-0000-00004BA50000}"/>
    <cellStyle name="Normal 9 9 2 3 3" xfId="19771" xr:uid="{00000000-0005-0000-0000-00004CA50000}"/>
    <cellStyle name="Normal 9 9 2 4" xfId="5464" xr:uid="{00000000-0005-0000-0000-00004DA50000}"/>
    <cellStyle name="Normal 9 9 2 4 2" xfId="13906" xr:uid="{00000000-0005-0000-0000-00004EA50000}"/>
    <cellStyle name="Normal 9 9 2 4 3" xfId="19772" xr:uid="{00000000-0005-0000-0000-00004FA50000}"/>
    <cellStyle name="Normal 9 9 2 5" xfId="5465" xr:uid="{00000000-0005-0000-0000-000050A50000}"/>
    <cellStyle name="Normal 9 9 2 5 2" xfId="13907" xr:uid="{00000000-0005-0000-0000-000051A50000}"/>
    <cellStyle name="Normal 9 9 2 5 3" xfId="19773" xr:uid="{00000000-0005-0000-0000-000052A50000}"/>
    <cellStyle name="Normal 9 9 2 6" xfId="13903" xr:uid="{00000000-0005-0000-0000-000053A50000}"/>
    <cellStyle name="Normal 9 9 2 7" xfId="19769" xr:uid="{00000000-0005-0000-0000-000054A50000}"/>
    <cellStyle name="Normal 9 9 2_LNG &amp; LPG rework" xfId="7592" xr:uid="{00000000-0005-0000-0000-000055A50000}"/>
    <cellStyle name="Normal 9 9 3" xfId="5466" xr:uid="{00000000-0005-0000-0000-000056A50000}"/>
    <cellStyle name="Normal 9 9 3 2" xfId="5467" xr:uid="{00000000-0005-0000-0000-000057A50000}"/>
    <cellStyle name="Normal 9 9 3 2 2" xfId="13909" xr:uid="{00000000-0005-0000-0000-000058A50000}"/>
    <cellStyle name="Normal 9 9 3 2 3" xfId="19775" xr:uid="{00000000-0005-0000-0000-000059A50000}"/>
    <cellStyle name="Normal 9 9 3 3" xfId="5468" xr:uid="{00000000-0005-0000-0000-00005AA50000}"/>
    <cellStyle name="Normal 9 9 3 3 2" xfId="13910" xr:uid="{00000000-0005-0000-0000-00005BA50000}"/>
    <cellStyle name="Normal 9 9 3 3 3" xfId="19776" xr:uid="{00000000-0005-0000-0000-00005CA50000}"/>
    <cellStyle name="Normal 9 9 3 4" xfId="5469" xr:uid="{00000000-0005-0000-0000-00005DA50000}"/>
    <cellStyle name="Normal 9 9 3 4 2" xfId="13911" xr:uid="{00000000-0005-0000-0000-00005EA50000}"/>
    <cellStyle name="Normal 9 9 3 4 3" xfId="19777" xr:uid="{00000000-0005-0000-0000-00005FA50000}"/>
    <cellStyle name="Normal 9 9 3 5" xfId="5470" xr:uid="{00000000-0005-0000-0000-000060A50000}"/>
    <cellStyle name="Normal 9 9 3 5 2" xfId="13912" xr:uid="{00000000-0005-0000-0000-000061A50000}"/>
    <cellStyle name="Normal 9 9 3 5 3" xfId="19778" xr:uid="{00000000-0005-0000-0000-000062A50000}"/>
    <cellStyle name="Normal 9 9 3 6" xfId="13908" xr:uid="{00000000-0005-0000-0000-000063A50000}"/>
    <cellStyle name="Normal 9 9 3 7" xfId="19774" xr:uid="{00000000-0005-0000-0000-000064A50000}"/>
    <cellStyle name="Normal 9 9 3_LNG &amp; LPG rework" xfId="7593" xr:uid="{00000000-0005-0000-0000-000065A50000}"/>
    <cellStyle name="Normal 9 9 4" xfId="5471" xr:uid="{00000000-0005-0000-0000-000066A50000}"/>
    <cellStyle name="Normal 9 9 4 2" xfId="13913" xr:uid="{00000000-0005-0000-0000-000067A50000}"/>
    <cellStyle name="Normal 9 9 4 3" xfId="19779" xr:uid="{00000000-0005-0000-0000-000068A50000}"/>
    <cellStyle name="Normal 9 9 5" xfId="5472" xr:uid="{00000000-0005-0000-0000-000069A50000}"/>
    <cellStyle name="Normal 9 9 5 2" xfId="13914" xr:uid="{00000000-0005-0000-0000-00006AA50000}"/>
    <cellStyle name="Normal 9 9 5 3" xfId="19780" xr:uid="{00000000-0005-0000-0000-00006BA50000}"/>
    <cellStyle name="Normal 9 9 6" xfId="5473" xr:uid="{00000000-0005-0000-0000-00006CA50000}"/>
    <cellStyle name="Normal 9 9 6 2" xfId="13915" xr:uid="{00000000-0005-0000-0000-00006DA50000}"/>
    <cellStyle name="Normal 9 9 6 3" xfId="19781" xr:uid="{00000000-0005-0000-0000-00006EA50000}"/>
    <cellStyle name="Normal 9 9 7" xfId="5474" xr:uid="{00000000-0005-0000-0000-00006FA50000}"/>
    <cellStyle name="Normal 9 9 7 2" xfId="13916" xr:uid="{00000000-0005-0000-0000-000070A50000}"/>
    <cellStyle name="Normal 9 9 7 3" xfId="19782" xr:uid="{00000000-0005-0000-0000-000071A50000}"/>
    <cellStyle name="Normal 9 9 8" xfId="13902" xr:uid="{00000000-0005-0000-0000-000072A50000}"/>
    <cellStyle name="Normal 9 9 9" xfId="19768" xr:uid="{00000000-0005-0000-0000-000073A50000}"/>
    <cellStyle name="Normal 9 9_LNG &amp; LPG rework" xfId="7591" xr:uid="{00000000-0005-0000-0000-000074A50000}"/>
    <cellStyle name="Normal 9_2015  Data" xfId="503" xr:uid="{00000000-0005-0000-0000-000075A50000}"/>
    <cellStyle name="Normal 90" xfId="5475" xr:uid="{00000000-0005-0000-0000-000076A50000}"/>
    <cellStyle name="Normal 90 2" xfId="5476" xr:uid="{00000000-0005-0000-0000-000077A50000}"/>
    <cellStyle name="Normal 90 3" xfId="5477" xr:uid="{00000000-0005-0000-0000-000078A50000}"/>
    <cellStyle name="Normal 90_LNG &amp; LPG rework" xfId="7594" xr:uid="{00000000-0005-0000-0000-000079A50000}"/>
    <cellStyle name="Normal 91" xfId="5478" xr:uid="{00000000-0005-0000-0000-00007AA50000}"/>
    <cellStyle name="Normal 91 2" xfId="5479" xr:uid="{00000000-0005-0000-0000-00007BA50000}"/>
    <cellStyle name="Normal 91 3" xfId="5480" xr:uid="{00000000-0005-0000-0000-00007CA50000}"/>
    <cellStyle name="Normal 91_LNG &amp; LPG rework" xfId="7595" xr:uid="{00000000-0005-0000-0000-00007DA50000}"/>
    <cellStyle name="Normal 92" xfId="5481" xr:uid="{00000000-0005-0000-0000-00007EA50000}"/>
    <cellStyle name="Normal 92 2" xfId="5482" xr:uid="{00000000-0005-0000-0000-00007FA50000}"/>
    <cellStyle name="Normal 92 3" xfId="5483" xr:uid="{00000000-0005-0000-0000-000080A50000}"/>
    <cellStyle name="Normal 92_LNG &amp; LPG rework" xfId="7596" xr:uid="{00000000-0005-0000-0000-000081A50000}"/>
    <cellStyle name="Normal 93" xfId="5484" xr:uid="{00000000-0005-0000-0000-000082A50000}"/>
    <cellStyle name="Normal 93 2" xfId="5485" xr:uid="{00000000-0005-0000-0000-000083A50000}"/>
    <cellStyle name="Normal 93_LNG &amp; LPG rework" xfId="7597" xr:uid="{00000000-0005-0000-0000-000084A50000}"/>
    <cellStyle name="Normal 94" xfId="5486" xr:uid="{00000000-0005-0000-0000-000085A50000}"/>
    <cellStyle name="Normal 94 2" xfId="5487" xr:uid="{00000000-0005-0000-0000-000086A50000}"/>
    <cellStyle name="Normal 94_LNG &amp; LPG rework" xfId="7598" xr:uid="{00000000-0005-0000-0000-000087A50000}"/>
    <cellStyle name="Normal 95" xfId="5488" xr:uid="{00000000-0005-0000-0000-000088A50000}"/>
    <cellStyle name="Normal 95 2" xfId="5489" xr:uid="{00000000-0005-0000-0000-000089A50000}"/>
    <cellStyle name="Normal 95_LNG &amp; LPG rework" xfId="7599" xr:uid="{00000000-0005-0000-0000-00008AA50000}"/>
    <cellStyle name="Normal 96" xfId="5490" xr:uid="{00000000-0005-0000-0000-00008BA50000}"/>
    <cellStyle name="Normal 96 2" xfId="5491" xr:uid="{00000000-0005-0000-0000-00008CA50000}"/>
    <cellStyle name="Normal 96 2 2" xfId="13917" xr:uid="{00000000-0005-0000-0000-00008DA50000}"/>
    <cellStyle name="Normal 96 2 3" xfId="19783" xr:uid="{00000000-0005-0000-0000-00008EA50000}"/>
    <cellStyle name="Normal 96_LNG &amp; LPG rework" xfId="7600" xr:uid="{00000000-0005-0000-0000-00008FA50000}"/>
    <cellStyle name="Normal 97" xfId="5492" xr:uid="{00000000-0005-0000-0000-000090A50000}"/>
    <cellStyle name="Normal 97 2" xfId="5493" xr:uid="{00000000-0005-0000-0000-000091A50000}"/>
    <cellStyle name="Normal 97 2 2" xfId="13918" xr:uid="{00000000-0005-0000-0000-000092A50000}"/>
    <cellStyle name="Normal 97 2 3" xfId="19784" xr:uid="{00000000-0005-0000-0000-000093A50000}"/>
    <cellStyle name="Normal 97_LNG &amp; LPG rework" xfId="7601" xr:uid="{00000000-0005-0000-0000-000094A50000}"/>
    <cellStyle name="Normal 98" xfId="5494" xr:uid="{00000000-0005-0000-0000-000095A50000}"/>
    <cellStyle name="Normal 98 2" xfId="5495" xr:uid="{00000000-0005-0000-0000-000096A50000}"/>
    <cellStyle name="Normal 98 2 2" xfId="13919" xr:uid="{00000000-0005-0000-0000-000097A50000}"/>
    <cellStyle name="Normal 98 2 3" xfId="19785" xr:uid="{00000000-0005-0000-0000-000098A50000}"/>
    <cellStyle name="Normal 98_LNG &amp; LPG rework" xfId="7602" xr:uid="{00000000-0005-0000-0000-000099A50000}"/>
    <cellStyle name="Normal 99" xfId="5496" xr:uid="{00000000-0005-0000-0000-00009AA50000}"/>
    <cellStyle name="Normal 99 2" xfId="5497" xr:uid="{00000000-0005-0000-0000-00009BA50000}"/>
    <cellStyle name="Normal 99 2 2" xfId="13920" xr:uid="{00000000-0005-0000-0000-00009CA50000}"/>
    <cellStyle name="Normal 99 2 3" xfId="19786" xr:uid="{00000000-0005-0000-0000-00009DA50000}"/>
    <cellStyle name="Normal 99_LNG &amp; LPG rework" xfId="7603" xr:uid="{00000000-0005-0000-0000-00009EA50000}"/>
    <cellStyle name="Note" xfId="6391" builtinId="10" customBuiltin="1"/>
    <cellStyle name="Note 10" xfId="6488" xr:uid="{00000000-0005-0000-0000-0000A0A50000}"/>
    <cellStyle name="Note 10 2" xfId="14825" xr:uid="{00000000-0005-0000-0000-0000A1A50000}"/>
    <cellStyle name="Note 10 3" xfId="20746" xr:uid="{00000000-0005-0000-0000-0000A2A50000}"/>
    <cellStyle name="Note 11" xfId="6501" xr:uid="{00000000-0005-0000-0000-0000A3A50000}"/>
    <cellStyle name="Note 11 2" xfId="14838" xr:uid="{00000000-0005-0000-0000-0000A4A50000}"/>
    <cellStyle name="Note 11 3" xfId="20759" xr:uid="{00000000-0005-0000-0000-0000A5A50000}"/>
    <cellStyle name="Note 12" xfId="6521" xr:uid="{00000000-0005-0000-0000-0000A6A50000}"/>
    <cellStyle name="Note 12 2" xfId="20773" xr:uid="{00000000-0005-0000-0000-0000A7A50000}"/>
    <cellStyle name="Note 13" xfId="6558" xr:uid="{00000000-0005-0000-0000-0000A8A50000}"/>
    <cellStyle name="Note 13 2" xfId="20790" xr:uid="{00000000-0005-0000-0000-0000A9A50000}"/>
    <cellStyle name="Note 14" xfId="8911" xr:uid="{00000000-0005-0000-0000-0000AAA50000}"/>
    <cellStyle name="Note 15" xfId="8929" xr:uid="{00000000-0005-0000-0000-0000ABA50000}"/>
    <cellStyle name="Note 16" xfId="20788" xr:uid="{00000000-0005-0000-0000-0000ACA50000}"/>
    <cellStyle name="Note 17" xfId="29428" xr:uid="{00000000-0005-0000-0000-0000ADA50000}"/>
    <cellStyle name="Note 18" xfId="29471" xr:uid="{00000000-0005-0000-0000-0000AEA50000}"/>
    <cellStyle name="Note 2" xfId="108" xr:uid="{00000000-0005-0000-0000-0000AFA50000}"/>
    <cellStyle name="Note 2 2" xfId="6454" xr:uid="{00000000-0005-0000-0000-0000B0A50000}"/>
    <cellStyle name="Note 2 2 2" xfId="14804" xr:uid="{00000000-0005-0000-0000-0000B1A50000}"/>
    <cellStyle name="Note 2 2 3" xfId="14972" xr:uid="{00000000-0005-0000-0000-0000B2A50000}"/>
    <cellStyle name="Note 2 3" xfId="8946" xr:uid="{00000000-0005-0000-0000-0000B3A50000}"/>
    <cellStyle name="Note 2 4" xfId="14869" xr:uid="{00000000-0005-0000-0000-0000B4A50000}"/>
    <cellStyle name="Note 2_LNG &amp; LPG rework" xfId="7604" xr:uid="{00000000-0005-0000-0000-0000B5A50000}"/>
    <cellStyle name="Note 3" xfId="86" xr:uid="{00000000-0005-0000-0000-0000B6A50000}"/>
    <cellStyle name="Note 3 2" xfId="122" xr:uid="{00000000-0005-0000-0000-0000B7A50000}"/>
    <cellStyle name="Note 3 2 2" xfId="9014" xr:uid="{00000000-0005-0000-0000-0000B8A50000}"/>
    <cellStyle name="Note 3 2 3" xfId="14986" xr:uid="{00000000-0005-0000-0000-0000B9A50000}"/>
    <cellStyle name="Note 3 3" xfId="8960" xr:uid="{00000000-0005-0000-0000-0000BAA50000}"/>
    <cellStyle name="Note 3 4" xfId="14883" xr:uid="{00000000-0005-0000-0000-0000BBA50000}"/>
    <cellStyle name="Note 3_LNG &amp; LPG rework" xfId="7605" xr:uid="{00000000-0005-0000-0000-0000BCA50000}"/>
    <cellStyle name="Note 4" xfId="142" xr:uid="{00000000-0005-0000-0000-0000BDA50000}"/>
    <cellStyle name="Note 4 2" xfId="9029" xr:uid="{00000000-0005-0000-0000-0000BEA50000}"/>
    <cellStyle name="Note 4 3" xfId="14898" xr:uid="{00000000-0005-0000-0000-0000BFA50000}"/>
    <cellStyle name="Note 5" xfId="156" xr:uid="{00000000-0005-0000-0000-0000C0A50000}"/>
    <cellStyle name="Note 5 2" xfId="9043" xr:uid="{00000000-0005-0000-0000-0000C1A50000}"/>
    <cellStyle name="Note 5 3" xfId="14912" xr:uid="{00000000-0005-0000-0000-0000C2A50000}"/>
    <cellStyle name="Note 6" xfId="6390" xr:uid="{00000000-0005-0000-0000-0000C3A50000}"/>
    <cellStyle name="Note 6 2" xfId="14777" xr:uid="{00000000-0005-0000-0000-0000C4A50000}"/>
    <cellStyle name="Note 6 3" xfId="14926" xr:uid="{00000000-0005-0000-0000-0000C5A50000}"/>
    <cellStyle name="Note 7" xfId="6428" xr:uid="{00000000-0005-0000-0000-0000C6A50000}"/>
    <cellStyle name="Note 7 2" xfId="14778" xr:uid="{00000000-0005-0000-0000-0000C7A50000}"/>
    <cellStyle name="Note 7 3" xfId="14940" xr:uid="{00000000-0005-0000-0000-0000C8A50000}"/>
    <cellStyle name="Note 8" xfId="6441" xr:uid="{00000000-0005-0000-0000-0000C9A50000}"/>
    <cellStyle name="Note 8 2" xfId="14791" xr:uid="{00000000-0005-0000-0000-0000CAA50000}"/>
    <cellStyle name="Note 8 3" xfId="14957" xr:uid="{00000000-0005-0000-0000-0000CBA50000}"/>
    <cellStyle name="Note 9" xfId="6455" xr:uid="{00000000-0005-0000-0000-0000CCA50000}"/>
    <cellStyle name="Note 9 2" xfId="14805" xr:uid="{00000000-0005-0000-0000-0000CDA50000}"/>
    <cellStyle name="Note 9 3" xfId="15012" xr:uid="{00000000-0005-0000-0000-0000CEA50000}"/>
    <cellStyle name="Output" xfId="11" builtinId="21" customBuiltin="1"/>
    <cellStyle name="Percent" xfId="90" xr:uid="{00000000-0005-0000-0000-0000D0A50000}"/>
    <cellStyle name="Percent 10" xfId="8942" xr:uid="{00000000-0005-0000-0000-0000D1A50000}"/>
    <cellStyle name="Percent 11" xfId="14854" xr:uid="{00000000-0005-0000-0000-0000D2A50000}"/>
    <cellStyle name="Percent 12" xfId="29423" xr:uid="{00000000-0005-0000-0000-0000D3A50000}"/>
    <cellStyle name="Percent 13" xfId="29442" xr:uid="{00000000-0005-0000-0000-0000D4A50000}"/>
    <cellStyle name="Percent 14" xfId="29445" xr:uid="{00000000-0005-0000-0000-0000D5A50000}"/>
    <cellStyle name="Percent 15" xfId="29449" xr:uid="{00000000-0005-0000-0000-0000D6A50000}"/>
    <cellStyle name="Percent 16" xfId="29451" xr:uid="{00000000-0005-0000-0000-0000D7A50000}"/>
    <cellStyle name="Percent 17" xfId="29454" xr:uid="{00000000-0005-0000-0000-0000D8A50000}"/>
    <cellStyle name="Percent 2" xfId="51" xr:uid="{00000000-0005-0000-0000-0000D9A50000}"/>
    <cellStyle name="Percent 2 10" xfId="20808" xr:uid="{00000000-0005-0000-0000-0000DAA50000}"/>
    <cellStyle name="Percent 2 10 2" xfId="26210" xr:uid="{00000000-0005-0000-0000-0000DBA50000}"/>
    <cellStyle name="Percent 2 11" xfId="26202" xr:uid="{00000000-0005-0000-0000-0000DCA50000}"/>
    <cellStyle name="Percent 2 2" xfId="140" xr:uid="{00000000-0005-0000-0000-0000DDA50000}"/>
    <cellStyle name="Percent 2 2 10" xfId="5498" xr:uid="{00000000-0005-0000-0000-0000DEA50000}"/>
    <cellStyle name="Percent 2 2 10 2" xfId="13921" xr:uid="{00000000-0005-0000-0000-0000DFA50000}"/>
    <cellStyle name="Percent 2 2 10 3" xfId="19787" xr:uid="{00000000-0005-0000-0000-0000E0A50000}"/>
    <cellStyle name="Percent 2 2 11" xfId="5499" xr:uid="{00000000-0005-0000-0000-0000E1A50000}"/>
    <cellStyle name="Percent 2 2 11 2" xfId="13922" xr:uid="{00000000-0005-0000-0000-0000E2A50000}"/>
    <cellStyle name="Percent 2 2 11 3" xfId="19788" xr:uid="{00000000-0005-0000-0000-0000E3A50000}"/>
    <cellStyle name="Percent 2 2 12" xfId="5500" xr:uid="{00000000-0005-0000-0000-0000E4A50000}"/>
    <cellStyle name="Percent 2 2 12 2" xfId="13923" xr:uid="{00000000-0005-0000-0000-0000E5A50000}"/>
    <cellStyle name="Percent 2 2 12 3" xfId="19789" xr:uid="{00000000-0005-0000-0000-0000E6A50000}"/>
    <cellStyle name="Percent 2 2 13" xfId="5501" xr:uid="{00000000-0005-0000-0000-0000E7A50000}"/>
    <cellStyle name="Percent 2 2 13 2" xfId="13924" xr:uid="{00000000-0005-0000-0000-0000E8A50000}"/>
    <cellStyle name="Percent 2 2 13 3" xfId="19790" xr:uid="{00000000-0005-0000-0000-0000E9A50000}"/>
    <cellStyle name="Percent 2 2 14" xfId="5502" xr:uid="{00000000-0005-0000-0000-0000EAA50000}"/>
    <cellStyle name="Percent 2 2 14 2" xfId="13925" xr:uid="{00000000-0005-0000-0000-0000EBA50000}"/>
    <cellStyle name="Percent 2 2 14 3" xfId="19791" xr:uid="{00000000-0005-0000-0000-0000ECA50000}"/>
    <cellStyle name="Percent 2 2 15" xfId="45609" xr:uid="{00000000-0005-0000-0000-0000EDA50000}"/>
    <cellStyle name="Percent 2 2 2" xfId="505" xr:uid="{00000000-0005-0000-0000-0000EEA50000}"/>
    <cellStyle name="Percent 2 2 2 10" xfId="5503" xr:uid="{00000000-0005-0000-0000-0000EFA50000}"/>
    <cellStyle name="Percent 2 2 2 10 2" xfId="13926" xr:uid="{00000000-0005-0000-0000-0000F0A50000}"/>
    <cellStyle name="Percent 2 2 2 10 3" xfId="19793" xr:uid="{00000000-0005-0000-0000-0000F1A50000}"/>
    <cellStyle name="Percent 2 2 2 11" xfId="5504" xr:uid="{00000000-0005-0000-0000-0000F2A50000}"/>
    <cellStyle name="Percent 2 2 2 11 2" xfId="13927" xr:uid="{00000000-0005-0000-0000-0000F3A50000}"/>
    <cellStyle name="Percent 2 2 2 11 3" xfId="19794" xr:uid="{00000000-0005-0000-0000-0000F4A50000}"/>
    <cellStyle name="Percent 2 2 2 12" xfId="5505" xr:uid="{00000000-0005-0000-0000-0000F5A50000}"/>
    <cellStyle name="Percent 2 2 2 12 2" xfId="13928" xr:uid="{00000000-0005-0000-0000-0000F6A50000}"/>
    <cellStyle name="Percent 2 2 2 12 3" xfId="19795" xr:uid="{00000000-0005-0000-0000-0000F7A50000}"/>
    <cellStyle name="Percent 2 2 2 13" xfId="9324" xr:uid="{00000000-0005-0000-0000-0000F8A50000}"/>
    <cellStyle name="Percent 2 2 2 14" xfId="19792" xr:uid="{00000000-0005-0000-0000-0000F9A50000}"/>
    <cellStyle name="Percent 2 2 2 2" xfId="506" xr:uid="{00000000-0005-0000-0000-0000FAA50000}"/>
    <cellStyle name="Percent 2 2 2 2 10" xfId="5506" xr:uid="{00000000-0005-0000-0000-0000FBA50000}"/>
    <cellStyle name="Percent 2 2 2 2 10 2" xfId="13929" xr:uid="{00000000-0005-0000-0000-0000FCA50000}"/>
    <cellStyle name="Percent 2 2 2 2 10 3" xfId="19797" xr:uid="{00000000-0005-0000-0000-0000FDA50000}"/>
    <cellStyle name="Percent 2 2 2 2 11" xfId="5507" xr:uid="{00000000-0005-0000-0000-0000FEA50000}"/>
    <cellStyle name="Percent 2 2 2 2 11 2" xfId="13930" xr:uid="{00000000-0005-0000-0000-0000FFA50000}"/>
    <cellStyle name="Percent 2 2 2 2 11 3" xfId="19798" xr:uid="{00000000-0005-0000-0000-000000A60000}"/>
    <cellStyle name="Percent 2 2 2 2 12" xfId="9325" xr:uid="{00000000-0005-0000-0000-000001A60000}"/>
    <cellStyle name="Percent 2 2 2 2 13" xfId="19796" xr:uid="{00000000-0005-0000-0000-000002A60000}"/>
    <cellStyle name="Percent 2 2 2 2 2" xfId="507" xr:uid="{00000000-0005-0000-0000-000003A60000}"/>
    <cellStyle name="Percent 2 2 2 2 2 10" xfId="5508" xr:uid="{00000000-0005-0000-0000-000004A60000}"/>
    <cellStyle name="Percent 2 2 2 2 2 10 2" xfId="13931" xr:uid="{00000000-0005-0000-0000-000005A60000}"/>
    <cellStyle name="Percent 2 2 2 2 2 10 3" xfId="19800" xr:uid="{00000000-0005-0000-0000-000006A60000}"/>
    <cellStyle name="Percent 2 2 2 2 2 11" xfId="9326" xr:uid="{00000000-0005-0000-0000-000007A60000}"/>
    <cellStyle name="Percent 2 2 2 2 2 12" xfId="19799" xr:uid="{00000000-0005-0000-0000-000008A60000}"/>
    <cellStyle name="Percent 2 2 2 2 2 2" xfId="508" xr:uid="{00000000-0005-0000-0000-000009A60000}"/>
    <cellStyle name="Percent 2 2 2 2 2 2 10" xfId="19801" xr:uid="{00000000-0005-0000-0000-00000AA60000}"/>
    <cellStyle name="Percent 2 2 2 2 2 2 2" xfId="509" xr:uid="{00000000-0005-0000-0000-00000BA60000}"/>
    <cellStyle name="Percent 2 2 2 2 2 2 2 2" xfId="5509" xr:uid="{00000000-0005-0000-0000-00000CA60000}"/>
    <cellStyle name="Percent 2 2 2 2 2 2 2 2 2" xfId="13932" xr:uid="{00000000-0005-0000-0000-00000DA60000}"/>
    <cellStyle name="Percent 2 2 2 2 2 2 2 2 3" xfId="19803" xr:uid="{00000000-0005-0000-0000-00000EA60000}"/>
    <cellStyle name="Percent 2 2 2 2 2 2 2 3" xfId="5510" xr:uid="{00000000-0005-0000-0000-00000FA60000}"/>
    <cellStyle name="Percent 2 2 2 2 2 2 2 3 2" xfId="13933" xr:uid="{00000000-0005-0000-0000-000010A60000}"/>
    <cellStyle name="Percent 2 2 2 2 2 2 2 3 3" xfId="19804" xr:uid="{00000000-0005-0000-0000-000011A60000}"/>
    <cellStyle name="Percent 2 2 2 2 2 2 2 4" xfId="5511" xr:uid="{00000000-0005-0000-0000-000012A60000}"/>
    <cellStyle name="Percent 2 2 2 2 2 2 2 4 2" xfId="13934" xr:uid="{00000000-0005-0000-0000-000013A60000}"/>
    <cellStyle name="Percent 2 2 2 2 2 2 2 4 3" xfId="19805" xr:uid="{00000000-0005-0000-0000-000014A60000}"/>
    <cellStyle name="Percent 2 2 2 2 2 2 2 5" xfId="5512" xr:uid="{00000000-0005-0000-0000-000015A60000}"/>
    <cellStyle name="Percent 2 2 2 2 2 2 2 5 2" xfId="13935" xr:uid="{00000000-0005-0000-0000-000016A60000}"/>
    <cellStyle name="Percent 2 2 2 2 2 2 2 5 3" xfId="19806" xr:uid="{00000000-0005-0000-0000-000017A60000}"/>
    <cellStyle name="Percent 2 2 2 2 2 2 2 6" xfId="5513" xr:uid="{00000000-0005-0000-0000-000018A60000}"/>
    <cellStyle name="Percent 2 2 2 2 2 2 2 6 2" xfId="13936" xr:uid="{00000000-0005-0000-0000-000019A60000}"/>
    <cellStyle name="Percent 2 2 2 2 2 2 2 6 3" xfId="19807" xr:uid="{00000000-0005-0000-0000-00001AA60000}"/>
    <cellStyle name="Percent 2 2 2 2 2 2 2 7" xfId="9328" xr:uid="{00000000-0005-0000-0000-00001BA60000}"/>
    <cellStyle name="Percent 2 2 2 2 2 2 2 8" xfId="19802" xr:uid="{00000000-0005-0000-0000-00001CA60000}"/>
    <cellStyle name="Percent 2 2 2 2 2 2 2_LNG &amp; LPG rework" xfId="7613" xr:uid="{00000000-0005-0000-0000-00001DA60000}"/>
    <cellStyle name="Percent 2 2 2 2 2 2 3" xfId="5514" xr:uid="{00000000-0005-0000-0000-00001EA60000}"/>
    <cellStyle name="Percent 2 2 2 2 2 2 3 2" xfId="5515" xr:uid="{00000000-0005-0000-0000-00001FA60000}"/>
    <cellStyle name="Percent 2 2 2 2 2 2 3 2 2" xfId="13938" xr:uid="{00000000-0005-0000-0000-000020A60000}"/>
    <cellStyle name="Percent 2 2 2 2 2 2 3 2 3" xfId="19809" xr:uid="{00000000-0005-0000-0000-000021A60000}"/>
    <cellStyle name="Percent 2 2 2 2 2 2 3 3" xfId="5516" xr:uid="{00000000-0005-0000-0000-000022A60000}"/>
    <cellStyle name="Percent 2 2 2 2 2 2 3 3 2" xfId="13939" xr:uid="{00000000-0005-0000-0000-000023A60000}"/>
    <cellStyle name="Percent 2 2 2 2 2 2 3 3 3" xfId="19810" xr:uid="{00000000-0005-0000-0000-000024A60000}"/>
    <cellStyle name="Percent 2 2 2 2 2 2 3 4" xfId="5517" xr:uid="{00000000-0005-0000-0000-000025A60000}"/>
    <cellStyle name="Percent 2 2 2 2 2 2 3 4 2" xfId="13940" xr:uid="{00000000-0005-0000-0000-000026A60000}"/>
    <cellStyle name="Percent 2 2 2 2 2 2 3 4 3" xfId="19811" xr:uid="{00000000-0005-0000-0000-000027A60000}"/>
    <cellStyle name="Percent 2 2 2 2 2 2 3 5" xfId="5518" xr:uid="{00000000-0005-0000-0000-000028A60000}"/>
    <cellStyle name="Percent 2 2 2 2 2 2 3 5 2" xfId="13941" xr:uid="{00000000-0005-0000-0000-000029A60000}"/>
    <cellStyle name="Percent 2 2 2 2 2 2 3 5 3" xfId="19812" xr:uid="{00000000-0005-0000-0000-00002AA60000}"/>
    <cellStyle name="Percent 2 2 2 2 2 2 3 6" xfId="13937" xr:uid="{00000000-0005-0000-0000-00002BA60000}"/>
    <cellStyle name="Percent 2 2 2 2 2 2 3 7" xfId="19808" xr:uid="{00000000-0005-0000-0000-00002CA60000}"/>
    <cellStyle name="Percent 2 2 2 2 2 2 3_LNG &amp; LPG rework" xfId="7614" xr:uid="{00000000-0005-0000-0000-00002DA60000}"/>
    <cellStyle name="Percent 2 2 2 2 2 2 4" xfId="5519" xr:uid="{00000000-0005-0000-0000-00002EA60000}"/>
    <cellStyle name="Percent 2 2 2 2 2 2 4 2" xfId="13942" xr:uid="{00000000-0005-0000-0000-00002FA60000}"/>
    <cellStyle name="Percent 2 2 2 2 2 2 4 3" xfId="19813" xr:uid="{00000000-0005-0000-0000-000030A60000}"/>
    <cellStyle name="Percent 2 2 2 2 2 2 5" xfId="5520" xr:uid="{00000000-0005-0000-0000-000031A60000}"/>
    <cellStyle name="Percent 2 2 2 2 2 2 5 2" xfId="13943" xr:uid="{00000000-0005-0000-0000-000032A60000}"/>
    <cellStyle name="Percent 2 2 2 2 2 2 5 3" xfId="19814" xr:uid="{00000000-0005-0000-0000-000033A60000}"/>
    <cellStyle name="Percent 2 2 2 2 2 2 6" xfId="5521" xr:uid="{00000000-0005-0000-0000-000034A60000}"/>
    <cellStyle name="Percent 2 2 2 2 2 2 6 2" xfId="13944" xr:uid="{00000000-0005-0000-0000-000035A60000}"/>
    <cellStyle name="Percent 2 2 2 2 2 2 6 3" xfId="19815" xr:uid="{00000000-0005-0000-0000-000036A60000}"/>
    <cellStyle name="Percent 2 2 2 2 2 2 7" xfId="5522" xr:uid="{00000000-0005-0000-0000-000037A60000}"/>
    <cellStyle name="Percent 2 2 2 2 2 2 7 2" xfId="13945" xr:uid="{00000000-0005-0000-0000-000038A60000}"/>
    <cellStyle name="Percent 2 2 2 2 2 2 7 3" xfId="19816" xr:uid="{00000000-0005-0000-0000-000039A60000}"/>
    <cellStyle name="Percent 2 2 2 2 2 2 8" xfId="5523" xr:uid="{00000000-0005-0000-0000-00003AA60000}"/>
    <cellStyle name="Percent 2 2 2 2 2 2 8 2" xfId="13946" xr:uid="{00000000-0005-0000-0000-00003BA60000}"/>
    <cellStyle name="Percent 2 2 2 2 2 2 8 3" xfId="19817" xr:uid="{00000000-0005-0000-0000-00003CA60000}"/>
    <cellStyle name="Percent 2 2 2 2 2 2 9" xfId="9327" xr:uid="{00000000-0005-0000-0000-00003DA60000}"/>
    <cellStyle name="Percent 2 2 2 2 2 2_LNG &amp; LPG rework" xfId="7612" xr:uid="{00000000-0005-0000-0000-00003EA60000}"/>
    <cellStyle name="Percent 2 2 2 2 2 3" xfId="510" xr:uid="{00000000-0005-0000-0000-00003FA60000}"/>
    <cellStyle name="Percent 2 2 2 2 2 3 2" xfId="5524" xr:uid="{00000000-0005-0000-0000-000040A60000}"/>
    <cellStyle name="Percent 2 2 2 2 2 3 2 2" xfId="13947" xr:uid="{00000000-0005-0000-0000-000041A60000}"/>
    <cellStyle name="Percent 2 2 2 2 2 3 2 3" xfId="19819" xr:uid="{00000000-0005-0000-0000-000042A60000}"/>
    <cellStyle name="Percent 2 2 2 2 2 3 3" xfId="5525" xr:uid="{00000000-0005-0000-0000-000043A60000}"/>
    <cellStyle name="Percent 2 2 2 2 2 3 3 2" xfId="13948" xr:uid="{00000000-0005-0000-0000-000044A60000}"/>
    <cellStyle name="Percent 2 2 2 2 2 3 3 3" xfId="19820" xr:uid="{00000000-0005-0000-0000-000045A60000}"/>
    <cellStyle name="Percent 2 2 2 2 2 3 4" xfId="5526" xr:uid="{00000000-0005-0000-0000-000046A60000}"/>
    <cellStyle name="Percent 2 2 2 2 2 3 4 2" xfId="13949" xr:uid="{00000000-0005-0000-0000-000047A60000}"/>
    <cellStyle name="Percent 2 2 2 2 2 3 4 3" xfId="19821" xr:uid="{00000000-0005-0000-0000-000048A60000}"/>
    <cellStyle name="Percent 2 2 2 2 2 3 5" xfId="5527" xr:uid="{00000000-0005-0000-0000-000049A60000}"/>
    <cellStyle name="Percent 2 2 2 2 2 3 5 2" xfId="13950" xr:uid="{00000000-0005-0000-0000-00004AA60000}"/>
    <cellStyle name="Percent 2 2 2 2 2 3 5 3" xfId="19822" xr:uid="{00000000-0005-0000-0000-00004BA60000}"/>
    <cellStyle name="Percent 2 2 2 2 2 3 6" xfId="5528" xr:uid="{00000000-0005-0000-0000-00004CA60000}"/>
    <cellStyle name="Percent 2 2 2 2 2 3 6 2" xfId="13951" xr:uid="{00000000-0005-0000-0000-00004DA60000}"/>
    <cellStyle name="Percent 2 2 2 2 2 3 6 3" xfId="19823" xr:uid="{00000000-0005-0000-0000-00004EA60000}"/>
    <cellStyle name="Percent 2 2 2 2 2 3 7" xfId="9329" xr:uid="{00000000-0005-0000-0000-00004FA60000}"/>
    <cellStyle name="Percent 2 2 2 2 2 3 8" xfId="19818" xr:uid="{00000000-0005-0000-0000-000050A60000}"/>
    <cellStyle name="Percent 2 2 2 2 2 3_LNG &amp; LPG rework" xfId="7615" xr:uid="{00000000-0005-0000-0000-000051A60000}"/>
    <cellStyle name="Percent 2 2 2 2 2 4" xfId="5529" xr:uid="{00000000-0005-0000-0000-000052A60000}"/>
    <cellStyle name="Percent 2 2 2 2 2 4 2" xfId="5530" xr:uid="{00000000-0005-0000-0000-000053A60000}"/>
    <cellStyle name="Percent 2 2 2 2 2 4 2 2" xfId="13953" xr:uid="{00000000-0005-0000-0000-000054A60000}"/>
    <cellStyle name="Percent 2 2 2 2 2 4 2 3" xfId="19825" xr:uid="{00000000-0005-0000-0000-000055A60000}"/>
    <cellStyle name="Percent 2 2 2 2 2 4 3" xfId="5531" xr:uid="{00000000-0005-0000-0000-000056A60000}"/>
    <cellStyle name="Percent 2 2 2 2 2 4 3 2" xfId="13954" xr:uid="{00000000-0005-0000-0000-000057A60000}"/>
    <cellStyle name="Percent 2 2 2 2 2 4 3 3" xfId="19826" xr:uid="{00000000-0005-0000-0000-000058A60000}"/>
    <cellStyle name="Percent 2 2 2 2 2 4 4" xfId="5532" xr:uid="{00000000-0005-0000-0000-000059A60000}"/>
    <cellStyle name="Percent 2 2 2 2 2 4 4 2" xfId="13955" xr:uid="{00000000-0005-0000-0000-00005AA60000}"/>
    <cellStyle name="Percent 2 2 2 2 2 4 4 3" xfId="19827" xr:uid="{00000000-0005-0000-0000-00005BA60000}"/>
    <cellStyle name="Percent 2 2 2 2 2 4 5" xfId="5533" xr:uid="{00000000-0005-0000-0000-00005CA60000}"/>
    <cellStyle name="Percent 2 2 2 2 2 4 5 2" xfId="13956" xr:uid="{00000000-0005-0000-0000-00005DA60000}"/>
    <cellStyle name="Percent 2 2 2 2 2 4 5 3" xfId="19828" xr:uid="{00000000-0005-0000-0000-00005EA60000}"/>
    <cellStyle name="Percent 2 2 2 2 2 4 6" xfId="13952" xr:uid="{00000000-0005-0000-0000-00005FA60000}"/>
    <cellStyle name="Percent 2 2 2 2 2 4 7" xfId="19824" xr:uid="{00000000-0005-0000-0000-000060A60000}"/>
    <cellStyle name="Percent 2 2 2 2 2 4_LNG &amp; LPG rework" xfId="7616" xr:uid="{00000000-0005-0000-0000-000061A60000}"/>
    <cellStyle name="Percent 2 2 2 2 2 5" xfId="5534" xr:uid="{00000000-0005-0000-0000-000062A60000}"/>
    <cellStyle name="Percent 2 2 2 2 2 5 2" xfId="5535" xr:uid="{00000000-0005-0000-0000-000063A60000}"/>
    <cellStyle name="Percent 2 2 2 2 2 5 2 2" xfId="13958" xr:uid="{00000000-0005-0000-0000-000064A60000}"/>
    <cellStyle name="Percent 2 2 2 2 2 5 2 3" xfId="19830" xr:uid="{00000000-0005-0000-0000-000065A60000}"/>
    <cellStyle name="Percent 2 2 2 2 2 5 3" xfId="5536" xr:uid="{00000000-0005-0000-0000-000066A60000}"/>
    <cellStyle name="Percent 2 2 2 2 2 5 3 2" xfId="13959" xr:uid="{00000000-0005-0000-0000-000067A60000}"/>
    <cellStyle name="Percent 2 2 2 2 2 5 3 3" xfId="19831" xr:uid="{00000000-0005-0000-0000-000068A60000}"/>
    <cellStyle name="Percent 2 2 2 2 2 5 4" xfId="5537" xr:uid="{00000000-0005-0000-0000-000069A60000}"/>
    <cellStyle name="Percent 2 2 2 2 2 5 4 2" xfId="13960" xr:uid="{00000000-0005-0000-0000-00006AA60000}"/>
    <cellStyle name="Percent 2 2 2 2 2 5 4 3" xfId="19832" xr:uid="{00000000-0005-0000-0000-00006BA60000}"/>
    <cellStyle name="Percent 2 2 2 2 2 5 5" xfId="5538" xr:uid="{00000000-0005-0000-0000-00006CA60000}"/>
    <cellStyle name="Percent 2 2 2 2 2 5 5 2" xfId="13961" xr:uid="{00000000-0005-0000-0000-00006DA60000}"/>
    <cellStyle name="Percent 2 2 2 2 2 5 5 3" xfId="19833" xr:uid="{00000000-0005-0000-0000-00006EA60000}"/>
    <cellStyle name="Percent 2 2 2 2 2 5 6" xfId="13957" xr:uid="{00000000-0005-0000-0000-00006FA60000}"/>
    <cellStyle name="Percent 2 2 2 2 2 5 7" xfId="19829" xr:uid="{00000000-0005-0000-0000-000070A60000}"/>
    <cellStyle name="Percent 2 2 2 2 2 5_LNG &amp; LPG rework" xfId="7617" xr:uid="{00000000-0005-0000-0000-000071A60000}"/>
    <cellStyle name="Percent 2 2 2 2 2 6" xfId="5539" xr:uid="{00000000-0005-0000-0000-000072A60000}"/>
    <cellStyle name="Percent 2 2 2 2 2 6 2" xfId="13962" xr:uid="{00000000-0005-0000-0000-000073A60000}"/>
    <cellStyle name="Percent 2 2 2 2 2 6 3" xfId="19834" xr:uid="{00000000-0005-0000-0000-000074A60000}"/>
    <cellStyle name="Percent 2 2 2 2 2 7" xfId="5540" xr:uid="{00000000-0005-0000-0000-000075A60000}"/>
    <cellStyle name="Percent 2 2 2 2 2 7 2" xfId="13963" xr:uid="{00000000-0005-0000-0000-000076A60000}"/>
    <cellStyle name="Percent 2 2 2 2 2 7 3" xfId="19835" xr:uid="{00000000-0005-0000-0000-000077A60000}"/>
    <cellStyle name="Percent 2 2 2 2 2 8" xfId="5541" xr:uid="{00000000-0005-0000-0000-000078A60000}"/>
    <cellStyle name="Percent 2 2 2 2 2 8 2" xfId="13964" xr:uid="{00000000-0005-0000-0000-000079A60000}"/>
    <cellStyle name="Percent 2 2 2 2 2 8 3" xfId="19836" xr:uid="{00000000-0005-0000-0000-00007AA60000}"/>
    <cellStyle name="Percent 2 2 2 2 2 9" xfId="5542" xr:uid="{00000000-0005-0000-0000-00007BA60000}"/>
    <cellStyle name="Percent 2 2 2 2 2 9 2" xfId="13965" xr:uid="{00000000-0005-0000-0000-00007CA60000}"/>
    <cellStyle name="Percent 2 2 2 2 2 9 3" xfId="19837" xr:uid="{00000000-0005-0000-0000-00007DA60000}"/>
    <cellStyle name="Percent 2 2 2 2 2_LNG &amp; LPG rework" xfId="7611" xr:uid="{00000000-0005-0000-0000-00007EA60000}"/>
    <cellStyle name="Percent 2 2 2 2 3" xfId="511" xr:uid="{00000000-0005-0000-0000-00007FA60000}"/>
    <cellStyle name="Percent 2 2 2 2 3 10" xfId="19838" xr:uid="{00000000-0005-0000-0000-000080A60000}"/>
    <cellStyle name="Percent 2 2 2 2 3 2" xfId="512" xr:uid="{00000000-0005-0000-0000-000081A60000}"/>
    <cellStyle name="Percent 2 2 2 2 3 2 2" xfId="5543" xr:uid="{00000000-0005-0000-0000-000082A60000}"/>
    <cellStyle name="Percent 2 2 2 2 3 2 2 2" xfId="13966" xr:uid="{00000000-0005-0000-0000-000083A60000}"/>
    <cellStyle name="Percent 2 2 2 2 3 2 2 3" xfId="19840" xr:uid="{00000000-0005-0000-0000-000084A60000}"/>
    <cellStyle name="Percent 2 2 2 2 3 2 3" xfId="5544" xr:uid="{00000000-0005-0000-0000-000085A60000}"/>
    <cellStyle name="Percent 2 2 2 2 3 2 3 2" xfId="13967" xr:uid="{00000000-0005-0000-0000-000086A60000}"/>
    <cellStyle name="Percent 2 2 2 2 3 2 3 3" xfId="19841" xr:uid="{00000000-0005-0000-0000-000087A60000}"/>
    <cellStyle name="Percent 2 2 2 2 3 2 4" xfId="5545" xr:uid="{00000000-0005-0000-0000-000088A60000}"/>
    <cellStyle name="Percent 2 2 2 2 3 2 4 2" xfId="13968" xr:uid="{00000000-0005-0000-0000-000089A60000}"/>
    <cellStyle name="Percent 2 2 2 2 3 2 4 3" xfId="19842" xr:uid="{00000000-0005-0000-0000-00008AA60000}"/>
    <cellStyle name="Percent 2 2 2 2 3 2 5" xfId="5546" xr:uid="{00000000-0005-0000-0000-00008BA60000}"/>
    <cellStyle name="Percent 2 2 2 2 3 2 5 2" xfId="13969" xr:uid="{00000000-0005-0000-0000-00008CA60000}"/>
    <cellStyle name="Percent 2 2 2 2 3 2 5 3" xfId="19843" xr:uid="{00000000-0005-0000-0000-00008DA60000}"/>
    <cellStyle name="Percent 2 2 2 2 3 2 6" xfId="5547" xr:uid="{00000000-0005-0000-0000-00008EA60000}"/>
    <cellStyle name="Percent 2 2 2 2 3 2 6 2" xfId="13970" xr:uid="{00000000-0005-0000-0000-00008FA60000}"/>
    <cellStyle name="Percent 2 2 2 2 3 2 6 3" xfId="19844" xr:uid="{00000000-0005-0000-0000-000090A60000}"/>
    <cellStyle name="Percent 2 2 2 2 3 2 7" xfId="9331" xr:uid="{00000000-0005-0000-0000-000091A60000}"/>
    <cellStyle name="Percent 2 2 2 2 3 2 8" xfId="19839" xr:uid="{00000000-0005-0000-0000-000092A60000}"/>
    <cellStyle name="Percent 2 2 2 2 3 2_LNG &amp; LPG rework" xfId="7619" xr:uid="{00000000-0005-0000-0000-000093A60000}"/>
    <cellStyle name="Percent 2 2 2 2 3 3" xfId="5548" xr:uid="{00000000-0005-0000-0000-000094A60000}"/>
    <cellStyle name="Percent 2 2 2 2 3 3 2" xfId="5549" xr:uid="{00000000-0005-0000-0000-000095A60000}"/>
    <cellStyle name="Percent 2 2 2 2 3 3 2 2" xfId="13972" xr:uid="{00000000-0005-0000-0000-000096A60000}"/>
    <cellStyle name="Percent 2 2 2 2 3 3 2 3" xfId="19846" xr:uid="{00000000-0005-0000-0000-000097A60000}"/>
    <cellStyle name="Percent 2 2 2 2 3 3 3" xfId="5550" xr:uid="{00000000-0005-0000-0000-000098A60000}"/>
    <cellStyle name="Percent 2 2 2 2 3 3 3 2" xfId="13973" xr:uid="{00000000-0005-0000-0000-000099A60000}"/>
    <cellStyle name="Percent 2 2 2 2 3 3 3 3" xfId="19847" xr:uid="{00000000-0005-0000-0000-00009AA60000}"/>
    <cellStyle name="Percent 2 2 2 2 3 3 4" xfId="5551" xr:uid="{00000000-0005-0000-0000-00009BA60000}"/>
    <cellStyle name="Percent 2 2 2 2 3 3 4 2" xfId="13974" xr:uid="{00000000-0005-0000-0000-00009CA60000}"/>
    <cellStyle name="Percent 2 2 2 2 3 3 4 3" xfId="19848" xr:uid="{00000000-0005-0000-0000-00009DA60000}"/>
    <cellStyle name="Percent 2 2 2 2 3 3 5" xfId="5552" xr:uid="{00000000-0005-0000-0000-00009EA60000}"/>
    <cellStyle name="Percent 2 2 2 2 3 3 5 2" xfId="13975" xr:uid="{00000000-0005-0000-0000-00009FA60000}"/>
    <cellStyle name="Percent 2 2 2 2 3 3 5 3" xfId="19849" xr:uid="{00000000-0005-0000-0000-0000A0A60000}"/>
    <cellStyle name="Percent 2 2 2 2 3 3 6" xfId="13971" xr:uid="{00000000-0005-0000-0000-0000A1A60000}"/>
    <cellStyle name="Percent 2 2 2 2 3 3 7" xfId="19845" xr:uid="{00000000-0005-0000-0000-0000A2A60000}"/>
    <cellStyle name="Percent 2 2 2 2 3 3_LNG &amp; LPG rework" xfId="7620" xr:uid="{00000000-0005-0000-0000-0000A3A60000}"/>
    <cellStyle name="Percent 2 2 2 2 3 4" xfId="5553" xr:uid="{00000000-0005-0000-0000-0000A4A60000}"/>
    <cellStyle name="Percent 2 2 2 2 3 4 2" xfId="13976" xr:uid="{00000000-0005-0000-0000-0000A5A60000}"/>
    <cellStyle name="Percent 2 2 2 2 3 4 3" xfId="19850" xr:uid="{00000000-0005-0000-0000-0000A6A60000}"/>
    <cellStyle name="Percent 2 2 2 2 3 5" xfId="5554" xr:uid="{00000000-0005-0000-0000-0000A7A60000}"/>
    <cellStyle name="Percent 2 2 2 2 3 5 2" xfId="13977" xr:uid="{00000000-0005-0000-0000-0000A8A60000}"/>
    <cellStyle name="Percent 2 2 2 2 3 5 3" xfId="19851" xr:uid="{00000000-0005-0000-0000-0000A9A60000}"/>
    <cellStyle name="Percent 2 2 2 2 3 6" xfId="5555" xr:uid="{00000000-0005-0000-0000-0000AAA60000}"/>
    <cellStyle name="Percent 2 2 2 2 3 6 2" xfId="13978" xr:uid="{00000000-0005-0000-0000-0000ABA60000}"/>
    <cellStyle name="Percent 2 2 2 2 3 6 3" xfId="19852" xr:uid="{00000000-0005-0000-0000-0000ACA60000}"/>
    <cellStyle name="Percent 2 2 2 2 3 7" xfId="5556" xr:uid="{00000000-0005-0000-0000-0000ADA60000}"/>
    <cellStyle name="Percent 2 2 2 2 3 7 2" xfId="13979" xr:uid="{00000000-0005-0000-0000-0000AEA60000}"/>
    <cellStyle name="Percent 2 2 2 2 3 7 3" xfId="19853" xr:uid="{00000000-0005-0000-0000-0000AFA60000}"/>
    <cellStyle name="Percent 2 2 2 2 3 8" xfId="5557" xr:uid="{00000000-0005-0000-0000-0000B0A60000}"/>
    <cellStyle name="Percent 2 2 2 2 3 8 2" xfId="13980" xr:uid="{00000000-0005-0000-0000-0000B1A60000}"/>
    <cellStyle name="Percent 2 2 2 2 3 8 3" xfId="19854" xr:uid="{00000000-0005-0000-0000-0000B2A60000}"/>
    <cellStyle name="Percent 2 2 2 2 3 9" xfId="9330" xr:uid="{00000000-0005-0000-0000-0000B3A60000}"/>
    <cellStyle name="Percent 2 2 2 2 3_LNG &amp; LPG rework" xfId="7618" xr:uid="{00000000-0005-0000-0000-0000B4A60000}"/>
    <cellStyle name="Percent 2 2 2 2 4" xfId="513" xr:uid="{00000000-0005-0000-0000-0000B5A60000}"/>
    <cellStyle name="Percent 2 2 2 2 4 2" xfId="5558" xr:uid="{00000000-0005-0000-0000-0000B6A60000}"/>
    <cellStyle name="Percent 2 2 2 2 4 2 2" xfId="13981" xr:uid="{00000000-0005-0000-0000-0000B7A60000}"/>
    <cellStyle name="Percent 2 2 2 2 4 2 3" xfId="19856" xr:uid="{00000000-0005-0000-0000-0000B8A60000}"/>
    <cellStyle name="Percent 2 2 2 2 4 3" xfId="5559" xr:uid="{00000000-0005-0000-0000-0000B9A60000}"/>
    <cellStyle name="Percent 2 2 2 2 4 3 2" xfId="13982" xr:uid="{00000000-0005-0000-0000-0000BAA60000}"/>
    <cellStyle name="Percent 2 2 2 2 4 3 3" xfId="19857" xr:uid="{00000000-0005-0000-0000-0000BBA60000}"/>
    <cellStyle name="Percent 2 2 2 2 4 4" xfId="5560" xr:uid="{00000000-0005-0000-0000-0000BCA60000}"/>
    <cellStyle name="Percent 2 2 2 2 4 4 2" xfId="13983" xr:uid="{00000000-0005-0000-0000-0000BDA60000}"/>
    <cellStyle name="Percent 2 2 2 2 4 4 3" xfId="19858" xr:uid="{00000000-0005-0000-0000-0000BEA60000}"/>
    <cellStyle name="Percent 2 2 2 2 4 5" xfId="5561" xr:uid="{00000000-0005-0000-0000-0000BFA60000}"/>
    <cellStyle name="Percent 2 2 2 2 4 5 2" xfId="13984" xr:uid="{00000000-0005-0000-0000-0000C0A60000}"/>
    <cellStyle name="Percent 2 2 2 2 4 5 3" xfId="19859" xr:uid="{00000000-0005-0000-0000-0000C1A60000}"/>
    <cellStyle name="Percent 2 2 2 2 4 6" xfId="5562" xr:uid="{00000000-0005-0000-0000-0000C2A60000}"/>
    <cellStyle name="Percent 2 2 2 2 4 6 2" xfId="13985" xr:uid="{00000000-0005-0000-0000-0000C3A60000}"/>
    <cellStyle name="Percent 2 2 2 2 4 6 3" xfId="19860" xr:uid="{00000000-0005-0000-0000-0000C4A60000}"/>
    <cellStyle name="Percent 2 2 2 2 4 7" xfId="9332" xr:uid="{00000000-0005-0000-0000-0000C5A60000}"/>
    <cellStyle name="Percent 2 2 2 2 4 8" xfId="19855" xr:uid="{00000000-0005-0000-0000-0000C6A60000}"/>
    <cellStyle name="Percent 2 2 2 2 4_LNG &amp; LPG rework" xfId="7621" xr:uid="{00000000-0005-0000-0000-0000C7A60000}"/>
    <cellStyle name="Percent 2 2 2 2 5" xfId="5563" xr:uid="{00000000-0005-0000-0000-0000C8A60000}"/>
    <cellStyle name="Percent 2 2 2 2 5 2" xfId="5564" xr:uid="{00000000-0005-0000-0000-0000C9A60000}"/>
    <cellStyle name="Percent 2 2 2 2 5 2 2" xfId="13987" xr:uid="{00000000-0005-0000-0000-0000CAA60000}"/>
    <cellStyle name="Percent 2 2 2 2 5 2 3" xfId="19862" xr:uid="{00000000-0005-0000-0000-0000CBA60000}"/>
    <cellStyle name="Percent 2 2 2 2 5 3" xfId="5565" xr:uid="{00000000-0005-0000-0000-0000CCA60000}"/>
    <cellStyle name="Percent 2 2 2 2 5 3 2" xfId="13988" xr:uid="{00000000-0005-0000-0000-0000CDA60000}"/>
    <cellStyle name="Percent 2 2 2 2 5 3 3" xfId="19863" xr:uid="{00000000-0005-0000-0000-0000CEA60000}"/>
    <cellStyle name="Percent 2 2 2 2 5 4" xfId="5566" xr:uid="{00000000-0005-0000-0000-0000CFA60000}"/>
    <cellStyle name="Percent 2 2 2 2 5 4 2" xfId="13989" xr:uid="{00000000-0005-0000-0000-0000D0A60000}"/>
    <cellStyle name="Percent 2 2 2 2 5 4 3" xfId="19864" xr:uid="{00000000-0005-0000-0000-0000D1A60000}"/>
    <cellStyle name="Percent 2 2 2 2 5 5" xfId="5567" xr:uid="{00000000-0005-0000-0000-0000D2A60000}"/>
    <cellStyle name="Percent 2 2 2 2 5 5 2" xfId="13990" xr:uid="{00000000-0005-0000-0000-0000D3A60000}"/>
    <cellStyle name="Percent 2 2 2 2 5 5 3" xfId="19865" xr:uid="{00000000-0005-0000-0000-0000D4A60000}"/>
    <cellStyle name="Percent 2 2 2 2 5 6" xfId="13986" xr:uid="{00000000-0005-0000-0000-0000D5A60000}"/>
    <cellStyle name="Percent 2 2 2 2 5 7" xfId="19861" xr:uid="{00000000-0005-0000-0000-0000D6A60000}"/>
    <cellStyle name="Percent 2 2 2 2 5_LNG &amp; LPG rework" xfId="7622" xr:uid="{00000000-0005-0000-0000-0000D7A60000}"/>
    <cellStyle name="Percent 2 2 2 2 6" xfId="5568" xr:uid="{00000000-0005-0000-0000-0000D8A60000}"/>
    <cellStyle name="Percent 2 2 2 2 6 2" xfId="5569" xr:uid="{00000000-0005-0000-0000-0000D9A60000}"/>
    <cellStyle name="Percent 2 2 2 2 6 2 2" xfId="13992" xr:uid="{00000000-0005-0000-0000-0000DAA60000}"/>
    <cellStyle name="Percent 2 2 2 2 6 2 3" xfId="19867" xr:uid="{00000000-0005-0000-0000-0000DBA60000}"/>
    <cellStyle name="Percent 2 2 2 2 6 3" xfId="5570" xr:uid="{00000000-0005-0000-0000-0000DCA60000}"/>
    <cellStyle name="Percent 2 2 2 2 6 3 2" xfId="13993" xr:uid="{00000000-0005-0000-0000-0000DDA60000}"/>
    <cellStyle name="Percent 2 2 2 2 6 3 3" xfId="19868" xr:uid="{00000000-0005-0000-0000-0000DEA60000}"/>
    <cellStyle name="Percent 2 2 2 2 6 4" xfId="5571" xr:uid="{00000000-0005-0000-0000-0000DFA60000}"/>
    <cellStyle name="Percent 2 2 2 2 6 4 2" xfId="13994" xr:uid="{00000000-0005-0000-0000-0000E0A60000}"/>
    <cellStyle name="Percent 2 2 2 2 6 4 3" xfId="19869" xr:uid="{00000000-0005-0000-0000-0000E1A60000}"/>
    <cellStyle name="Percent 2 2 2 2 6 5" xfId="5572" xr:uid="{00000000-0005-0000-0000-0000E2A60000}"/>
    <cellStyle name="Percent 2 2 2 2 6 5 2" xfId="13995" xr:uid="{00000000-0005-0000-0000-0000E3A60000}"/>
    <cellStyle name="Percent 2 2 2 2 6 5 3" xfId="19870" xr:uid="{00000000-0005-0000-0000-0000E4A60000}"/>
    <cellStyle name="Percent 2 2 2 2 6 6" xfId="13991" xr:uid="{00000000-0005-0000-0000-0000E5A60000}"/>
    <cellStyle name="Percent 2 2 2 2 6 7" xfId="19866" xr:uid="{00000000-0005-0000-0000-0000E6A60000}"/>
    <cellStyle name="Percent 2 2 2 2 6_LNG &amp; LPG rework" xfId="7623" xr:uid="{00000000-0005-0000-0000-0000E7A60000}"/>
    <cellStyle name="Percent 2 2 2 2 7" xfId="5573" xr:uid="{00000000-0005-0000-0000-0000E8A60000}"/>
    <cellStyle name="Percent 2 2 2 2 7 2" xfId="13996" xr:uid="{00000000-0005-0000-0000-0000E9A60000}"/>
    <cellStyle name="Percent 2 2 2 2 7 3" xfId="19871" xr:uid="{00000000-0005-0000-0000-0000EAA60000}"/>
    <cellStyle name="Percent 2 2 2 2 8" xfId="5574" xr:uid="{00000000-0005-0000-0000-0000EBA60000}"/>
    <cellStyle name="Percent 2 2 2 2 8 2" xfId="13997" xr:uid="{00000000-0005-0000-0000-0000ECA60000}"/>
    <cellStyle name="Percent 2 2 2 2 8 3" xfId="19872" xr:uid="{00000000-0005-0000-0000-0000EDA60000}"/>
    <cellStyle name="Percent 2 2 2 2 9" xfId="5575" xr:uid="{00000000-0005-0000-0000-0000EEA60000}"/>
    <cellStyle name="Percent 2 2 2 2 9 2" xfId="13998" xr:uid="{00000000-0005-0000-0000-0000EFA60000}"/>
    <cellStyle name="Percent 2 2 2 2 9 3" xfId="19873" xr:uid="{00000000-0005-0000-0000-0000F0A60000}"/>
    <cellStyle name="Percent 2 2 2 2_LNG &amp; LPG rework" xfId="7610" xr:uid="{00000000-0005-0000-0000-0000F1A60000}"/>
    <cellStyle name="Percent 2 2 2 3" xfId="514" xr:uid="{00000000-0005-0000-0000-0000F2A60000}"/>
    <cellStyle name="Percent 2 2 2 3 10" xfId="5576" xr:uid="{00000000-0005-0000-0000-0000F3A60000}"/>
    <cellStyle name="Percent 2 2 2 3 10 2" xfId="13999" xr:uid="{00000000-0005-0000-0000-0000F4A60000}"/>
    <cellStyle name="Percent 2 2 2 3 10 3" xfId="19875" xr:uid="{00000000-0005-0000-0000-0000F5A60000}"/>
    <cellStyle name="Percent 2 2 2 3 11" xfId="9333" xr:uid="{00000000-0005-0000-0000-0000F6A60000}"/>
    <cellStyle name="Percent 2 2 2 3 12" xfId="19874" xr:uid="{00000000-0005-0000-0000-0000F7A60000}"/>
    <cellStyle name="Percent 2 2 2 3 2" xfId="515" xr:uid="{00000000-0005-0000-0000-0000F8A60000}"/>
    <cellStyle name="Percent 2 2 2 3 2 10" xfId="19876" xr:uid="{00000000-0005-0000-0000-0000F9A60000}"/>
    <cellStyle name="Percent 2 2 2 3 2 2" xfId="516" xr:uid="{00000000-0005-0000-0000-0000FAA60000}"/>
    <cellStyle name="Percent 2 2 2 3 2 2 2" xfId="5577" xr:uid="{00000000-0005-0000-0000-0000FBA60000}"/>
    <cellStyle name="Percent 2 2 2 3 2 2 2 2" xfId="14000" xr:uid="{00000000-0005-0000-0000-0000FCA60000}"/>
    <cellStyle name="Percent 2 2 2 3 2 2 2 3" xfId="19878" xr:uid="{00000000-0005-0000-0000-0000FDA60000}"/>
    <cellStyle name="Percent 2 2 2 3 2 2 3" xfId="5578" xr:uid="{00000000-0005-0000-0000-0000FEA60000}"/>
    <cellStyle name="Percent 2 2 2 3 2 2 3 2" xfId="14001" xr:uid="{00000000-0005-0000-0000-0000FFA60000}"/>
    <cellStyle name="Percent 2 2 2 3 2 2 3 3" xfId="19879" xr:uid="{00000000-0005-0000-0000-000000A70000}"/>
    <cellStyle name="Percent 2 2 2 3 2 2 4" xfId="5579" xr:uid="{00000000-0005-0000-0000-000001A70000}"/>
    <cellStyle name="Percent 2 2 2 3 2 2 4 2" xfId="14002" xr:uid="{00000000-0005-0000-0000-000002A70000}"/>
    <cellStyle name="Percent 2 2 2 3 2 2 4 3" xfId="19880" xr:uid="{00000000-0005-0000-0000-000003A70000}"/>
    <cellStyle name="Percent 2 2 2 3 2 2 5" xfId="5580" xr:uid="{00000000-0005-0000-0000-000004A70000}"/>
    <cellStyle name="Percent 2 2 2 3 2 2 5 2" xfId="14003" xr:uid="{00000000-0005-0000-0000-000005A70000}"/>
    <cellStyle name="Percent 2 2 2 3 2 2 5 3" xfId="19881" xr:uid="{00000000-0005-0000-0000-000006A70000}"/>
    <cellStyle name="Percent 2 2 2 3 2 2 6" xfId="5581" xr:uid="{00000000-0005-0000-0000-000007A70000}"/>
    <cellStyle name="Percent 2 2 2 3 2 2 6 2" xfId="14004" xr:uid="{00000000-0005-0000-0000-000008A70000}"/>
    <cellStyle name="Percent 2 2 2 3 2 2 6 3" xfId="19882" xr:uid="{00000000-0005-0000-0000-000009A70000}"/>
    <cellStyle name="Percent 2 2 2 3 2 2 7" xfId="9335" xr:uid="{00000000-0005-0000-0000-00000AA70000}"/>
    <cellStyle name="Percent 2 2 2 3 2 2 8" xfId="19877" xr:uid="{00000000-0005-0000-0000-00000BA70000}"/>
    <cellStyle name="Percent 2 2 2 3 2 2_LNG &amp; LPG rework" xfId="7626" xr:uid="{00000000-0005-0000-0000-00000CA70000}"/>
    <cellStyle name="Percent 2 2 2 3 2 3" xfId="5582" xr:uid="{00000000-0005-0000-0000-00000DA70000}"/>
    <cellStyle name="Percent 2 2 2 3 2 3 2" xfId="5583" xr:uid="{00000000-0005-0000-0000-00000EA70000}"/>
    <cellStyle name="Percent 2 2 2 3 2 3 2 2" xfId="14006" xr:uid="{00000000-0005-0000-0000-00000FA70000}"/>
    <cellStyle name="Percent 2 2 2 3 2 3 2 3" xfId="19884" xr:uid="{00000000-0005-0000-0000-000010A70000}"/>
    <cellStyle name="Percent 2 2 2 3 2 3 3" xfId="5584" xr:uid="{00000000-0005-0000-0000-000011A70000}"/>
    <cellStyle name="Percent 2 2 2 3 2 3 3 2" xfId="14007" xr:uid="{00000000-0005-0000-0000-000012A70000}"/>
    <cellStyle name="Percent 2 2 2 3 2 3 3 3" xfId="19885" xr:uid="{00000000-0005-0000-0000-000013A70000}"/>
    <cellStyle name="Percent 2 2 2 3 2 3 4" xfId="5585" xr:uid="{00000000-0005-0000-0000-000014A70000}"/>
    <cellStyle name="Percent 2 2 2 3 2 3 4 2" xfId="14008" xr:uid="{00000000-0005-0000-0000-000015A70000}"/>
    <cellStyle name="Percent 2 2 2 3 2 3 4 3" xfId="19886" xr:uid="{00000000-0005-0000-0000-000016A70000}"/>
    <cellStyle name="Percent 2 2 2 3 2 3 5" xfId="5586" xr:uid="{00000000-0005-0000-0000-000017A70000}"/>
    <cellStyle name="Percent 2 2 2 3 2 3 5 2" xfId="14009" xr:uid="{00000000-0005-0000-0000-000018A70000}"/>
    <cellStyle name="Percent 2 2 2 3 2 3 5 3" xfId="19887" xr:uid="{00000000-0005-0000-0000-000019A70000}"/>
    <cellStyle name="Percent 2 2 2 3 2 3 6" xfId="14005" xr:uid="{00000000-0005-0000-0000-00001AA70000}"/>
    <cellStyle name="Percent 2 2 2 3 2 3 7" xfId="19883" xr:uid="{00000000-0005-0000-0000-00001BA70000}"/>
    <cellStyle name="Percent 2 2 2 3 2 3_LNG &amp; LPG rework" xfId="7627" xr:uid="{00000000-0005-0000-0000-00001CA70000}"/>
    <cellStyle name="Percent 2 2 2 3 2 4" xfId="5587" xr:uid="{00000000-0005-0000-0000-00001DA70000}"/>
    <cellStyle name="Percent 2 2 2 3 2 4 2" xfId="14010" xr:uid="{00000000-0005-0000-0000-00001EA70000}"/>
    <cellStyle name="Percent 2 2 2 3 2 4 3" xfId="19888" xr:uid="{00000000-0005-0000-0000-00001FA70000}"/>
    <cellStyle name="Percent 2 2 2 3 2 5" xfId="5588" xr:uid="{00000000-0005-0000-0000-000020A70000}"/>
    <cellStyle name="Percent 2 2 2 3 2 5 2" xfId="14011" xr:uid="{00000000-0005-0000-0000-000021A70000}"/>
    <cellStyle name="Percent 2 2 2 3 2 5 3" xfId="19889" xr:uid="{00000000-0005-0000-0000-000022A70000}"/>
    <cellStyle name="Percent 2 2 2 3 2 6" xfId="5589" xr:uid="{00000000-0005-0000-0000-000023A70000}"/>
    <cellStyle name="Percent 2 2 2 3 2 6 2" xfId="14012" xr:uid="{00000000-0005-0000-0000-000024A70000}"/>
    <cellStyle name="Percent 2 2 2 3 2 6 3" xfId="19890" xr:uid="{00000000-0005-0000-0000-000025A70000}"/>
    <cellStyle name="Percent 2 2 2 3 2 7" xfId="5590" xr:uid="{00000000-0005-0000-0000-000026A70000}"/>
    <cellStyle name="Percent 2 2 2 3 2 7 2" xfId="14013" xr:uid="{00000000-0005-0000-0000-000027A70000}"/>
    <cellStyle name="Percent 2 2 2 3 2 7 3" xfId="19891" xr:uid="{00000000-0005-0000-0000-000028A70000}"/>
    <cellStyle name="Percent 2 2 2 3 2 8" xfId="5591" xr:uid="{00000000-0005-0000-0000-000029A70000}"/>
    <cellStyle name="Percent 2 2 2 3 2 8 2" xfId="14014" xr:uid="{00000000-0005-0000-0000-00002AA70000}"/>
    <cellStyle name="Percent 2 2 2 3 2 8 3" xfId="19892" xr:uid="{00000000-0005-0000-0000-00002BA70000}"/>
    <cellStyle name="Percent 2 2 2 3 2 9" xfId="9334" xr:uid="{00000000-0005-0000-0000-00002CA70000}"/>
    <cellStyle name="Percent 2 2 2 3 2_LNG &amp; LPG rework" xfId="7625" xr:uid="{00000000-0005-0000-0000-00002DA70000}"/>
    <cellStyle name="Percent 2 2 2 3 3" xfId="517" xr:uid="{00000000-0005-0000-0000-00002EA70000}"/>
    <cellStyle name="Percent 2 2 2 3 3 2" xfId="5592" xr:uid="{00000000-0005-0000-0000-00002FA70000}"/>
    <cellStyle name="Percent 2 2 2 3 3 2 2" xfId="14015" xr:uid="{00000000-0005-0000-0000-000030A70000}"/>
    <cellStyle name="Percent 2 2 2 3 3 2 3" xfId="19894" xr:uid="{00000000-0005-0000-0000-000031A70000}"/>
    <cellStyle name="Percent 2 2 2 3 3 3" xfId="5593" xr:uid="{00000000-0005-0000-0000-000032A70000}"/>
    <cellStyle name="Percent 2 2 2 3 3 3 2" xfId="14016" xr:uid="{00000000-0005-0000-0000-000033A70000}"/>
    <cellStyle name="Percent 2 2 2 3 3 3 3" xfId="19895" xr:uid="{00000000-0005-0000-0000-000034A70000}"/>
    <cellStyle name="Percent 2 2 2 3 3 4" xfId="5594" xr:uid="{00000000-0005-0000-0000-000035A70000}"/>
    <cellStyle name="Percent 2 2 2 3 3 4 2" xfId="14017" xr:uid="{00000000-0005-0000-0000-000036A70000}"/>
    <cellStyle name="Percent 2 2 2 3 3 4 3" xfId="19896" xr:uid="{00000000-0005-0000-0000-000037A70000}"/>
    <cellStyle name="Percent 2 2 2 3 3 5" xfId="5595" xr:uid="{00000000-0005-0000-0000-000038A70000}"/>
    <cellStyle name="Percent 2 2 2 3 3 5 2" xfId="14018" xr:uid="{00000000-0005-0000-0000-000039A70000}"/>
    <cellStyle name="Percent 2 2 2 3 3 5 3" xfId="19897" xr:uid="{00000000-0005-0000-0000-00003AA70000}"/>
    <cellStyle name="Percent 2 2 2 3 3 6" xfId="5596" xr:uid="{00000000-0005-0000-0000-00003BA70000}"/>
    <cellStyle name="Percent 2 2 2 3 3 6 2" xfId="14019" xr:uid="{00000000-0005-0000-0000-00003CA70000}"/>
    <cellStyle name="Percent 2 2 2 3 3 6 3" xfId="19898" xr:uid="{00000000-0005-0000-0000-00003DA70000}"/>
    <cellStyle name="Percent 2 2 2 3 3 7" xfId="9336" xr:uid="{00000000-0005-0000-0000-00003EA70000}"/>
    <cellStyle name="Percent 2 2 2 3 3 8" xfId="19893" xr:uid="{00000000-0005-0000-0000-00003FA70000}"/>
    <cellStyle name="Percent 2 2 2 3 3_LNG &amp; LPG rework" xfId="7628" xr:uid="{00000000-0005-0000-0000-000040A70000}"/>
    <cellStyle name="Percent 2 2 2 3 4" xfId="5597" xr:uid="{00000000-0005-0000-0000-000041A70000}"/>
    <cellStyle name="Percent 2 2 2 3 4 2" xfId="5598" xr:uid="{00000000-0005-0000-0000-000042A70000}"/>
    <cellStyle name="Percent 2 2 2 3 4 2 2" xfId="14021" xr:uid="{00000000-0005-0000-0000-000043A70000}"/>
    <cellStyle name="Percent 2 2 2 3 4 2 3" xfId="19900" xr:uid="{00000000-0005-0000-0000-000044A70000}"/>
    <cellStyle name="Percent 2 2 2 3 4 3" xfId="5599" xr:uid="{00000000-0005-0000-0000-000045A70000}"/>
    <cellStyle name="Percent 2 2 2 3 4 3 2" xfId="14022" xr:uid="{00000000-0005-0000-0000-000046A70000}"/>
    <cellStyle name="Percent 2 2 2 3 4 3 3" xfId="19901" xr:uid="{00000000-0005-0000-0000-000047A70000}"/>
    <cellStyle name="Percent 2 2 2 3 4 4" xfId="5600" xr:uid="{00000000-0005-0000-0000-000048A70000}"/>
    <cellStyle name="Percent 2 2 2 3 4 4 2" xfId="14023" xr:uid="{00000000-0005-0000-0000-000049A70000}"/>
    <cellStyle name="Percent 2 2 2 3 4 4 3" xfId="19902" xr:uid="{00000000-0005-0000-0000-00004AA70000}"/>
    <cellStyle name="Percent 2 2 2 3 4 5" xfId="5601" xr:uid="{00000000-0005-0000-0000-00004BA70000}"/>
    <cellStyle name="Percent 2 2 2 3 4 5 2" xfId="14024" xr:uid="{00000000-0005-0000-0000-00004CA70000}"/>
    <cellStyle name="Percent 2 2 2 3 4 5 3" xfId="19903" xr:uid="{00000000-0005-0000-0000-00004DA70000}"/>
    <cellStyle name="Percent 2 2 2 3 4 6" xfId="14020" xr:uid="{00000000-0005-0000-0000-00004EA70000}"/>
    <cellStyle name="Percent 2 2 2 3 4 7" xfId="19899" xr:uid="{00000000-0005-0000-0000-00004FA70000}"/>
    <cellStyle name="Percent 2 2 2 3 4_LNG &amp; LPG rework" xfId="7629" xr:uid="{00000000-0005-0000-0000-000050A70000}"/>
    <cellStyle name="Percent 2 2 2 3 5" xfId="5602" xr:uid="{00000000-0005-0000-0000-000051A70000}"/>
    <cellStyle name="Percent 2 2 2 3 5 2" xfId="5603" xr:uid="{00000000-0005-0000-0000-000052A70000}"/>
    <cellStyle name="Percent 2 2 2 3 5 2 2" xfId="14026" xr:uid="{00000000-0005-0000-0000-000053A70000}"/>
    <cellStyle name="Percent 2 2 2 3 5 2 3" xfId="19905" xr:uid="{00000000-0005-0000-0000-000054A70000}"/>
    <cellStyle name="Percent 2 2 2 3 5 3" xfId="5604" xr:uid="{00000000-0005-0000-0000-000055A70000}"/>
    <cellStyle name="Percent 2 2 2 3 5 3 2" xfId="14027" xr:uid="{00000000-0005-0000-0000-000056A70000}"/>
    <cellStyle name="Percent 2 2 2 3 5 3 3" xfId="19906" xr:uid="{00000000-0005-0000-0000-000057A70000}"/>
    <cellStyle name="Percent 2 2 2 3 5 4" xfId="5605" xr:uid="{00000000-0005-0000-0000-000058A70000}"/>
    <cellStyle name="Percent 2 2 2 3 5 4 2" xfId="14028" xr:uid="{00000000-0005-0000-0000-000059A70000}"/>
    <cellStyle name="Percent 2 2 2 3 5 4 3" xfId="19907" xr:uid="{00000000-0005-0000-0000-00005AA70000}"/>
    <cellStyle name="Percent 2 2 2 3 5 5" xfId="5606" xr:uid="{00000000-0005-0000-0000-00005BA70000}"/>
    <cellStyle name="Percent 2 2 2 3 5 5 2" xfId="14029" xr:uid="{00000000-0005-0000-0000-00005CA70000}"/>
    <cellStyle name="Percent 2 2 2 3 5 5 3" xfId="19908" xr:uid="{00000000-0005-0000-0000-00005DA70000}"/>
    <cellStyle name="Percent 2 2 2 3 5 6" xfId="14025" xr:uid="{00000000-0005-0000-0000-00005EA70000}"/>
    <cellStyle name="Percent 2 2 2 3 5 7" xfId="19904" xr:uid="{00000000-0005-0000-0000-00005FA70000}"/>
    <cellStyle name="Percent 2 2 2 3 5_LNG &amp; LPG rework" xfId="7630" xr:uid="{00000000-0005-0000-0000-000060A70000}"/>
    <cellStyle name="Percent 2 2 2 3 6" xfId="5607" xr:uid="{00000000-0005-0000-0000-000061A70000}"/>
    <cellStyle name="Percent 2 2 2 3 6 2" xfId="14030" xr:uid="{00000000-0005-0000-0000-000062A70000}"/>
    <cellStyle name="Percent 2 2 2 3 6 3" xfId="19909" xr:uid="{00000000-0005-0000-0000-000063A70000}"/>
    <cellStyle name="Percent 2 2 2 3 7" xfId="5608" xr:uid="{00000000-0005-0000-0000-000064A70000}"/>
    <cellStyle name="Percent 2 2 2 3 7 2" xfId="14031" xr:uid="{00000000-0005-0000-0000-000065A70000}"/>
    <cellStyle name="Percent 2 2 2 3 7 3" xfId="19910" xr:uid="{00000000-0005-0000-0000-000066A70000}"/>
    <cellStyle name="Percent 2 2 2 3 8" xfId="5609" xr:uid="{00000000-0005-0000-0000-000067A70000}"/>
    <cellStyle name="Percent 2 2 2 3 8 2" xfId="14032" xr:uid="{00000000-0005-0000-0000-000068A70000}"/>
    <cellStyle name="Percent 2 2 2 3 8 3" xfId="19911" xr:uid="{00000000-0005-0000-0000-000069A70000}"/>
    <cellStyle name="Percent 2 2 2 3 9" xfId="5610" xr:uid="{00000000-0005-0000-0000-00006AA70000}"/>
    <cellStyle name="Percent 2 2 2 3 9 2" xfId="14033" xr:uid="{00000000-0005-0000-0000-00006BA70000}"/>
    <cellStyle name="Percent 2 2 2 3 9 3" xfId="19912" xr:uid="{00000000-0005-0000-0000-00006CA70000}"/>
    <cellStyle name="Percent 2 2 2 3_LNG &amp; LPG rework" xfId="7624" xr:uid="{00000000-0005-0000-0000-00006DA70000}"/>
    <cellStyle name="Percent 2 2 2 4" xfId="518" xr:uid="{00000000-0005-0000-0000-00006EA70000}"/>
    <cellStyle name="Percent 2 2 2 4 10" xfId="19913" xr:uid="{00000000-0005-0000-0000-00006FA70000}"/>
    <cellStyle name="Percent 2 2 2 4 2" xfId="519" xr:uid="{00000000-0005-0000-0000-000070A70000}"/>
    <cellStyle name="Percent 2 2 2 4 2 2" xfId="5611" xr:uid="{00000000-0005-0000-0000-000071A70000}"/>
    <cellStyle name="Percent 2 2 2 4 2 2 2" xfId="14034" xr:uid="{00000000-0005-0000-0000-000072A70000}"/>
    <cellStyle name="Percent 2 2 2 4 2 2 3" xfId="19915" xr:uid="{00000000-0005-0000-0000-000073A70000}"/>
    <cellStyle name="Percent 2 2 2 4 2 3" xfId="5612" xr:uid="{00000000-0005-0000-0000-000074A70000}"/>
    <cellStyle name="Percent 2 2 2 4 2 3 2" xfId="14035" xr:uid="{00000000-0005-0000-0000-000075A70000}"/>
    <cellStyle name="Percent 2 2 2 4 2 3 3" xfId="19916" xr:uid="{00000000-0005-0000-0000-000076A70000}"/>
    <cellStyle name="Percent 2 2 2 4 2 4" xfId="5613" xr:uid="{00000000-0005-0000-0000-000077A70000}"/>
    <cellStyle name="Percent 2 2 2 4 2 4 2" xfId="14036" xr:uid="{00000000-0005-0000-0000-000078A70000}"/>
    <cellStyle name="Percent 2 2 2 4 2 4 3" xfId="19917" xr:uid="{00000000-0005-0000-0000-000079A70000}"/>
    <cellStyle name="Percent 2 2 2 4 2 5" xfId="5614" xr:uid="{00000000-0005-0000-0000-00007AA70000}"/>
    <cellStyle name="Percent 2 2 2 4 2 5 2" xfId="14037" xr:uid="{00000000-0005-0000-0000-00007BA70000}"/>
    <cellStyle name="Percent 2 2 2 4 2 5 3" xfId="19918" xr:uid="{00000000-0005-0000-0000-00007CA70000}"/>
    <cellStyle name="Percent 2 2 2 4 2 6" xfId="5615" xr:uid="{00000000-0005-0000-0000-00007DA70000}"/>
    <cellStyle name="Percent 2 2 2 4 2 6 2" xfId="14038" xr:uid="{00000000-0005-0000-0000-00007EA70000}"/>
    <cellStyle name="Percent 2 2 2 4 2 6 3" xfId="19919" xr:uid="{00000000-0005-0000-0000-00007FA70000}"/>
    <cellStyle name="Percent 2 2 2 4 2 7" xfId="9338" xr:uid="{00000000-0005-0000-0000-000080A70000}"/>
    <cellStyle name="Percent 2 2 2 4 2 8" xfId="19914" xr:uid="{00000000-0005-0000-0000-000081A70000}"/>
    <cellStyle name="Percent 2 2 2 4 2_LNG &amp; LPG rework" xfId="7632" xr:uid="{00000000-0005-0000-0000-000082A70000}"/>
    <cellStyle name="Percent 2 2 2 4 3" xfId="5616" xr:uid="{00000000-0005-0000-0000-000083A70000}"/>
    <cellStyle name="Percent 2 2 2 4 3 2" xfId="5617" xr:uid="{00000000-0005-0000-0000-000084A70000}"/>
    <cellStyle name="Percent 2 2 2 4 3 2 2" xfId="14040" xr:uid="{00000000-0005-0000-0000-000085A70000}"/>
    <cellStyle name="Percent 2 2 2 4 3 2 3" xfId="19921" xr:uid="{00000000-0005-0000-0000-000086A70000}"/>
    <cellStyle name="Percent 2 2 2 4 3 3" xfId="5618" xr:uid="{00000000-0005-0000-0000-000087A70000}"/>
    <cellStyle name="Percent 2 2 2 4 3 3 2" xfId="14041" xr:uid="{00000000-0005-0000-0000-000088A70000}"/>
    <cellStyle name="Percent 2 2 2 4 3 3 3" xfId="19922" xr:uid="{00000000-0005-0000-0000-000089A70000}"/>
    <cellStyle name="Percent 2 2 2 4 3 4" xfId="5619" xr:uid="{00000000-0005-0000-0000-00008AA70000}"/>
    <cellStyle name="Percent 2 2 2 4 3 4 2" xfId="14042" xr:uid="{00000000-0005-0000-0000-00008BA70000}"/>
    <cellStyle name="Percent 2 2 2 4 3 4 3" xfId="19923" xr:uid="{00000000-0005-0000-0000-00008CA70000}"/>
    <cellStyle name="Percent 2 2 2 4 3 5" xfId="5620" xr:uid="{00000000-0005-0000-0000-00008DA70000}"/>
    <cellStyle name="Percent 2 2 2 4 3 5 2" xfId="14043" xr:uid="{00000000-0005-0000-0000-00008EA70000}"/>
    <cellStyle name="Percent 2 2 2 4 3 5 3" xfId="19924" xr:uid="{00000000-0005-0000-0000-00008FA70000}"/>
    <cellStyle name="Percent 2 2 2 4 3 6" xfId="14039" xr:uid="{00000000-0005-0000-0000-000090A70000}"/>
    <cellStyle name="Percent 2 2 2 4 3 7" xfId="19920" xr:uid="{00000000-0005-0000-0000-000091A70000}"/>
    <cellStyle name="Percent 2 2 2 4 3_LNG &amp; LPG rework" xfId="7633" xr:uid="{00000000-0005-0000-0000-000092A70000}"/>
    <cellStyle name="Percent 2 2 2 4 4" xfId="5621" xr:uid="{00000000-0005-0000-0000-000093A70000}"/>
    <cellStyle name="Percent 2 2 2 4 4 2" xfId="14044" xr:uid="{00000000-0005-0000-0000-000094A70000}"/>
    <cellStyle name="Percent 2 2 2 4 4 3" xfId="19925" xr:uid="{00000000-0005-0000-0000-000095A70000}"/>
    <cellStyle name="Percent 2 2 2 4 5" xfId="5622" xr:uid="{00000000-0005-0000-0000-000096A70000}"/>
    <cellStyle name="Percent 2 2 2 4 5 2" xfId="14045" xr:uid="{00000000-0005-0000-0000-000097A70000}"/>
    <cellStyle name="Percent 2 2 2 4 5 3" xfId="19926" xr:uid="{00000000-0005-0000-0000-000098A70000}"/>
    <cellStyle name="Percent 2 2 2 4 6" xfId="5623" xr:uid="{00000000-0005-0000-0000-000099A70000}"/>
    <cellStyle name="Percent 2 2 2 4 6 2" xfId="14046" xr:uid="{00000000-0005-0000-0000-00009AA70000}"/>
    <cellStyle name="Percent 2 2 2 4 6 3" xfId="19927" xr:uid="{00000000-0005-0000-0000-00009BA70000}"/>
    <cellStyle name="Percent 2 2 2 4 7" xfId="5624" xr:uid="{00000000-0005-0000-0000-00009CA70000}"/>
    <cellStyle name="Percent 2 2 2 4 7 2" xfId="14047" xr:uid="{00000000-0005-0000-0000-00009DA70000}"/>
    <cellStyle name="Percent 2 2 2 4 7 3" xfId="19928" xr:uid="{00000000-0005-0000-0000-00009EA70000}"/>
    <cellStyle name="Percent 2 2 2 4 8" xfId="5625" xr:uid="{00000000-0005-0000-0000-00009FA70000}"/>
    <cellStyle name="Percent 2 2 2 4 8 2" xfId="14048" xr:uid="{00000000-0005-0000-0000-0000A0A70000}"/>
    <cellStyle name="Percent 2 2 2 4 8 3" xfId="19929" xr:uid="{00000000-0005-0000-0000-0000A1A70000}"/>
    <cellStyle name="Percent 2 2 2 4 9" xfId="9337" xr:uid="{00000000-0005-0000-0000-0000A2A70000}"/>
    <cellStyle name="Percent 2 2 2 4_LNG &amp; LPG rework" xfId="7631" xr:uid="{00000000-0005-0000-0000-0000A3A70000}"/>
    <cellStyle name="Percent 2 2 2 5" xfId="520" xr:uid="{00000000-0005-0000-0000-0000A4A70000}"/>
    <cellStyle name="Percent 2 2 2 5 2" xfId="5626" xr:uid="{00000000-0005-0000-0000-0000A5A70000}"/>
    <cellStyle name="Percent 2 2 2 5 2 2" xfId="14049" xr:uid="{00000000-0005-0000-0000-0000A6A70000}"/>
    <cellStyle name="Percent 2 2 2 5 2 3" xfId="19931" xr:uid="{00000000-0005-0000-0000-0000A7A70000}"/>
    <cellStyle name="Percent 2 2 2 5 3" xfId="5627" xr:uid="{00000000-0005-0000-0000-0000A8A70000}"/>
    <cellStyle name="Percent 2 2 2 5 3 2" xfId="14050" xr:uid="{00000000-0005-0000-0000-0000A9A70000}"/>
    <cellStyle name="Percent 2 2 2 5 3 3" xfId="19932" xr:uid="{00000000-0005-0000-0000-0000AAA70000}"/>
    <cellStyle name="Percent 2 2 2 5 4" xfId="5628" xr:uid="{00000000-0005-0000-0000-0000ABA70000}"/>
    <cellStyle name="Percent 2 2 2 5 4 2" xfId="14051" xr:uid="{00000000-0005-0000-0000-0000ACA70000}"/>
    <cellStyle name="Percent 2 2 2 5 4 3" xfId="19933" xr:uid="{00000000-0005-0000-0000-0000ADA70000}"/>
    <cellStyle name="Percent 2 2 2 5 5" xfId="5629" xr:uid="{00000000-0005-0000-0000-0000AEA70000}"/>
    <cellStyle name="Percent 2 2 2 5 5 2" xfId="14052" xr:uid="{00000000-0005-0000-0000-0000AFA70000}"/>
    <cellStyle name="Percent 2 2 2 5 5 3" xfId="19934" xr:uid="{00000000-0005-0000-0000-0000B0A70000}"/>
    <cellStyle name="Percent 2 2 2 5 6" xfId="5630" xr:uid="{00000000-0005-0000-0000-0000B1A70000}"/>
    <cellStyle name="Percent 2 2 2 5 6 2" xfId="14053" xr:uid="{00000000-0005-0000-0000-0000B2A70000}"/>
    <cellStyle name="Percent 2 2 2 5 6 3" xfId="19935" xr:uid="{00000000-0005-0000-0000-0000B3A70000}"/>
    <cellStyle name="Percent 2 2 2 5 7" xfId="9339" xr:uid="{00000000-0005-0000-0000-0000B4A70000}"/>
    <cellStyle name="Percent 2 2 2 5 8" xfId="19930" xr:uid="{00000000-0005-0000-0000-0000B5A70000}"/>
    <cellStyle name="Percent 2 2 2 5_LNG &amp; LPG rework" xfId="7634" xr:uid="{00000000-0005-0000-0000-0000B6A70000}"/>
    <cellStyle name="Percent 2 2 2 6" xfId="5631" xr:uid="{00000000-0005-0000-0000-0000B7A70000}"/>
    <cellStyle name="Percent 2 2 2 6 2" xfId="5632" xr:uid="{00000000-0005-0000-0000-0000B8A70000}"/>
    <cellStyle name="Percent 2 2 2 6 2 2" xfId="14055" xr:uid="{00000000-0005-0000-0000-0000B9A70000}"/>
    <cellStyle name="Percent 2 2 2 6 2 3" xfId="19937" xr:uid="{00000000-0005-0000-0000-0000BAA70000}"/>
    <cellStyle name="Percent 2 2 2 6 3" xfId="5633" xr:uid="{00000000-0005-0000-0000-0000BBA70000}"/>
    <cellStyle name="Percent 2 2 2 6 3 2" xfId="14056" xr:uid="{00000000-0005-0000-0000-0000BCA70000}"/>
    <cellStyle name="Percent 2 2 2 6 3 3" xfId="19938" xr:uid="{00000000-0005-0000-0000-0000BDA70000}"/>
    <cellStyle name="Percent 2 2 2 6 4" xfId="5634" xr:uid="{00000000-0005-0000-0000-0000BEA70000}"/>
    <cellStyle name="Percent 2 2 2 6 4 2" xfId="14057" xr:uid="{00000000-0005-0000-0000-0000BFA70000}"/>
    <cellStyle name="Percent 2 2 2 6 4 3" xfId="19939" xr:uid="{00000000-0005-0000-0000-0000C0A70000}"/>
    <cellStyle name="Percent 2 2 2 6 5" xfId="5635" xr:uid="{00000000-0005-0000-0000-0000C1A70000}"/>
    <cellStyle name="Percent 2 2 2 6 5 2" xfId="14058" xr:uid="{00000000-0005-0000-0000-0000C2A70000}"/>
    <cellStyle name="Percent 2 2 2 6 5 3" xfId="19940" xr:uid="{00000000-0005-0000-0000-0000C3A70000}"/>
    <cellStyle name="Percent 2 2 2 6 6" xfId="14054" xr:uid="{00000000-0005-0000-0000-0000C4A70000}"/>
    <cellStyle name="Percent 2 2 2 6 7" xfId="19936" xr:uid="{00000000-0005-0000-0000-0000C5A70000}"/>
    <cellStyle name="Percent 2 2 2 6_LNG &amp; LPG rework" xfId="7635" xr:uid="{00000000-0005-0000-0000-0000C6A70000}"/>
    <cellStyle name="Percent 2 2 2 7" xfId="5636" xr:uid="{00000000-0005-0000-0000-0000C7A70000}"/>
    <cellStyle name="Percent 2 2 2 7 2" xfId="5637" xr:uid="{00000000-0005-0000-0000-0000C8A70000}"/>
    <cellStyle name="Percent 2 2 2 7 2 2" xfId="14060" xr:uid="{00000000-0005-0000-0000-0000C9A70000}"/>
    <cellStyle name="Percent 2 2 2 7 2 3" xfId="19942" xr:uid="{00000000-0005-0000-0000-0000CAA70000}"/>
    <cellStyle name="Percent 2 2 2 7 3" xfId="5638" xr:uid="{00000000-0005-0000-0000-0000CBA70000}"/>
    <cellStyle name="Percent 2 2 2 7 3 2" xfId="14061" xr:uid="{00000000-0005-0000-0000-0000CCA70000}"/>
    <cellStyle name="Percent 2 2 2 7 3 3" xfId="19943" xr:uid="{00000000-0005-0000-0000-0000CDA70000}"/>
    <cellStyle name="Percent 2 2 2 7 4" xfId="5639" xr:uid="{00000000-0005-0000-0000-0000CEA70000}"/>
    <cellStyle name="Percent 2 2 2 7 4 2" xfId="14062" xr:uid="{00000000-0005-0000-0000-0000CFA70000}"/>
    <cellStyle name="Percent 2 2 2 7 4 3" xfId="19944" xr:uid="{00000000-0005-0000-0000-0000D0A70000}"/>
    <cellStyle name="Percent 2 2 2 7 5" xfId="5640" xr:uid="{00000000-0005-0000-0000-0000D1A70000}"/>
    <cellStyle name="Percent 2 2 2 7 5 2" xfId="14063" xr:uid="{00000000-0005-0000-0000-0000D2A70000}"/>
    <cellStyle name="Percent 2 2 2 7 5 3" xfId="19945" xr:uid="{00000000-0005-0000-0000-0000D3A70000}"/>
    <cellStyle name="Percent 2 2 2 7 6" xfId="14059" xr:uid="{00000000-0005-0000-0000-0000D4A70000}"/>
    <cellStyle name="Percent 2 2 2 7 7" xfId="19941" xr:uid="{00000000-0005-0000-0000-0000D5A70000}"/>
    <cellStyle name="Percent 2 2 2 7_LNG &amp; LPG rework" xfId="7636" xr:uid="{00000000-0005-0000-0000-0000D6A70000}"/>
    <cellStyle name="Percent 2 2 2 8" xfId="5641" xr:uid="{00000000-0005-0000-0000-0000D7A70000}"/>
    <cellStyle name="Percent 2 2 2 8 2" xfId="14064" xr:uid="{00000000-0005-0000-0000-0000D8A70000}"/>
    <cellStyle name="Percent 2 2 2 8 3" xfId="19946" xr:uid="{00000000-0005-0000-0000-0000D9A70000}"/>
    <cellStyle name="Percent 2 2 2 9" xfId="5642" xr:uid="{00000000-0005-0000-0000-0000DAA70000}"/>
    <cellStyle name="Percent 2 2 2 9 2" xfId="14065" xr:uid="{00000000-0005-0000-0000-0000DBA70000}"/>
    <cellStyle name="Percent 2 2 2 9 3" xfId="19947" xr:uid="{00000000-0005-0000-0000-0000DCA70000}"/>
    <cellStyle name="Percent 2 2 2_LNG &amp; LPG rework" xfId="7609" xr:uid="{00000000-0005-0000-0000-0000DDA70000}"/>
    <cellStyle name="Percent 2 2 3" xfId="521" xr:uid="{00000000-0005-0000-0000-0000DEA70000}"/>
    <cellStyle name="Percent 2 2 3 10" xfId="5643" xr:uid="{00000000-0005-0000-0000-0000DFA70000}"/>
    <cellStyle name="Percent 2 2 3 10 2" xfId="14066" xr:uid="{00000000-0005-0000-0000-0000E0A70000}"/>
    <cellStyle name="Percent 2 2 3 10 3" xfId="19949" xr:uid="{00000000-0005-0000-0000-0000E1A70000}"/>
    <cellStyle name="Percent 2 2 3 11" xfId="5644" xr:uid="{00000000-0005-0000-0000-0000E2A70000}"/>
    <cellStyle name="Percent 2 2 3 11 2" xfId="14067" xr:uid="{00000000-0005-0000-0000-0000E3A70000}"/>
    <cellStyle name="Percent 2 2 3 11 3" xfId="19950" xr:uid="{00000000-0005-0000-0000-0000E4A70000}"/>
    <cellStyle name="Percent 2 2 3 12" xfId="9340" xr:uid="{00000000-0005-0000-0000-0000E5A70000}"/>
    <cellStyle name="Percent 2 2 3 13" xfId="19948" xr:uid="{00000000-0005-0000-0000-0000E6A70000}"/>
    <cellStyle name="Percent 2 2 3 2" xfId="522" xr:uid="{00000000-0005-0000-0000-0000E7A70000}"/>
    <cellStyle name="Percent 2 2 3 2 10" xfId="5645" xr:uid="{00000000-0005-0000-0000-0000E8A70000}"/>
    <cellStyle name="Percent 2 2 3 2 10 2" xfId="14068" xr:uid="{00000000-0005-0000-0000-0000E9A70000}"/>
    <cellStyle name="Percent 2 2 3 2 10 3" xfId="19952" xr:uid="{00000000-0005-0000-0000-0000EAA70000}"/>
    <cellStyle name="Percent 2 2 3 2 11" xfId="9341" xr:uid="{00000000-0005-0000-0000-0000EBA70000}"/>
    <cellStyle name="Percent 2 2 3 2 12" xfId="19951" xr:uid="{00000000-0005-0000-0000-0000ECA70000}"/>
    <cellStyle name="Percent 2 2 3 2 2" xfId="523" xr:uid="{00000000-0005-0000-0000-0000EDA70000}"/>
    <cellStyle name="Percent 2 2 3 2 2 10" xfId="19953" xr:uid="{00000000-0005-0000-0000-0000EEA70000}"/>
    <cellStyle name="Percent 2 2 3 2 2 2" xfId="524" xr:uid="{00000000-0005-0000-0000-0000EFA70000}"/>
    <cellStyle name="Percent 2 2 3 2 2 2 2" xfId="5646" xr:uid="{00000000-0005-0000-0000-0000F0A70000}"/>
    <cellStyle name="Percent 2 2 3 2 2 2 2 2" xfId="14069" xr:uid="{00000000-0005-0000-0000-0000F1A70000}"/>
    <cellStyle name="Percent 2 2 3 2 2 2 2 3" xfId="19955" xr:uid="{00000000-0005-0000-0000-0000F2A70000}"/>
    <cellStyle name="Percent 2 2 3 2 2 2 3" xfId="5647" xr:uid="{00000000-0005-0000-0000-0000F3A70000}"/>
    <cellStyle name="Percent 2 2 3 2 2 2 3 2" xfId="14070" xr:uid="{00000000-0005-0000-0000-0000F4A70000}"/>
    <cellStyle name="Percent 2 2 3 2 2 2 3 3" xfId="19956" xr:uid="{00000000-0005-0000-0000-0000F5A70000}"/>
    <cellStyle name="Percent 2 2 3 2 2 2 4" xfId="5648" xr:uid="{00000000-0005-0000-0000-0000F6A70000}"/>
    <cellStyle name="Percent 2 2 3 2 2 2 4 2" xfId="14071" xr:uid="{00000000-0005-0000-0000-0000F7A70000}"/>
    <cellStyle name="Percent 2 2 3 2 2 2 4 3" xfId="19957" xr:uid="{00000000-0005-0000-0000-0000F8A70000}"/>
    <cellStyle name="Percent 2 2 3 2 2 2 5" xfId="5649" xr:uid="{00000000-0005-0000-0000-0000F9A70000}"/>
    <cellStyle name="Percent 2 2 3 2 2 2 5 2" xfId="14072" xr:uid="{00000000-0005-0000-0000-0000FAA70000}"/>
    <cellStyle name="Percent 2 2 3 2 2 2 5 3" xfId="19958" xr:uid="{00000000-0005-0000-0000-0000FBA70000}"/>
    <cellStyle name="Percent 2 2 3 2 2 2 6" xfId="5650" xr:uid="{00000000-0005-0000-0000-0000FCA70000}"/>
    <cellStyle name="Percent 2 2 3 2 2 2 6 2" xfId="14073" xr:uid="{00000000-0005-0000-0000-0000FDA70000}"/>
    <cellStyle name="Percent 2 2 3 2 2 2 6 3" xfId="19959" xr:uid="{00000000-0005-0000-0000-0000FEA70000}"/>
    <cellStyle name="Percent 2 2 3 2 2 2 7" xfId="9343" xr:uid="{00000000-0005-0000-0000-0000FFA70000}"/>
    <cellStyle name="Percent 2 2 3 2 2 2 8" xfId="19954" xr:uid="{00000000-0005-0000-0000-000000A80000}"/>
    <cellStyle name="Percent 2 2 3 2 2 2_LNG &amp; LPG rework" xfId="7640" xr:uid="{00000000-0005-0000-0000-000001A80000}"/>
    <cellStyle name="Percent 2 2 3 2 2 3" xfId="5651" xr:uid="{00000000-0005-0000-0000-000002A80000}"/>
    <cellStyle name="Percent 2 2 3 2 2 3 2" xfId="5652" xr:uid="{00000000-0005-0000-0000-000003A80000}"/>
    <cellStyle name="Percent 2 2 3 2 2 3 2 2" xfId="14075" xr:uid="{00000000-0005-0000-0000-000004A80000}"/>
    <cellStyle name="Percent 2 2 3 2 2 3 2 3" xfId="19961" xr:uid="{00000000-0005-0000-0000-000005A80000}"/>
    <cellStyle name="Percent 2 2 3 2 2 3 3" xfId="5653" xr:uid="{00000000-0005-0000-0000-000006A80000}"/>
    <cellStyle name="Percent 2 2 3 2 2 3 3 2" xfId="14076" xr:uid="{00000000-0005-0000-0000-000007A80000}"/>
    <cellStyle name="Percent 2 2 3 2 2 3 3 3" xfId="19962" xr:uid="{00000000-0005-0000-0000-000008A80000}"/>
    <cellStyle name="Percent 2 2 3 2 2 3 4" xfId="5654" xr:uid="{00000000-0005-0000-0000-000009A80000}"/>
    <cellStyle name="Percent 2 2 3 2 2 3 4 2" xfId="14077" xr:uid="{00000000-0005-0000-0000-00000AA80000}"/>
    <cellStyle name="Percent 2 2 3 2 2 3 4 3" xfId="19963" xr:uid="{00000000-0005-0000-0000-00000BA80000}"/>
    <cellStyle name="Percent 2 2 3 2 2 3 5" xfId="5655" xr:uid="{00000000-0005-0000-0000-00000CA80000}"/>
    <cellStyle name="Percent 2 2 3 2 2 3 5 2" xfId="14078" xr:uid="{00000000-0005-0000-0000-00000DA80000}"/>
    <cellStyle name="Percent 2 2 3 2 2 3 5 3" xfId="19964" xr:uid="{00000000-0005-0000-0000-00000EA80000}"/>
    <cellStyle name="Percent 2 2 3 2 2 3 6" xfId="14074" xr:uid="{00000000-0005-0000-0000-00000FA80000}"/>
    <cellStyle name="Percent 2 2 3 2 2 3 7" xfId="19960" xr:uid="{00000000-0005-0000-0000-000010A80000}"/>
    <cellStyle name="Percent 2 2 3 2 2 3_LNG &amp; LPG rework" xfId="7641" xr:uid="{00000000-0005-0000-0000-000011A80000}"/>
    <cellStyle name="Percent 2 2 3 2 2 4" xfId="5656" xr:uid="{00000000-0005-0000-0000-000012A80000}"/>
    <cellStyle name="Percent 2 2 3 2 2 4 2" xfId="14079" xr:uid="{00000000-0005-0000-0000-000013A80000}"/>
    <cellStyle name="Percent 2 2 3 2 2 4 3" xfId="19965" xr:uid="{00000000-0005-0000-0000-000014A80000}"/>
    <cellStyle name="Percent 2 2 3 2 2 5" xfId="5657" xr:uid="{00000000-0005-0000-0000-000015A80000}"/>
    <cellStyle name="Percent 2 2 3 2 2 5 2" xfId="14080" xr:uid="{00000000-0005-0000-0000-000016A80000}"/>
    <cellStyle name="Percent 2 2 3 2 2 5 3" xfId="19966" xr:uid="{00000000-0005-0000-0000-000017A80000}"/>
    <cellStyle name="Percent 2 2 3 2 2 6" xfId="5658" xr:uid="{00000000-0005-0000-0000-000018A80000}"/>
    <cellStyle name="Percent 2 2 3 2 2 6 2" xfId="14081" xr:uid="{00000000-0005-0000-0000-000019A80000}"/>
    <cellStyle name="Percent 2 2 3 2 2 6 3" xfId="19967" xr:uid="{00000000-0005-0000-0000-00001AA80000}"/>
    <cellStyle name="Percent 2 2 3 2 2 7" xfId="5659" xr:uid="{00000000-0005-0000-0000-00001BA80000}"/>
    <cellStyle name="Percent 2 2 3 2 2 7 2" xfId="14082" xr:uid="{00000000-0005-0000-0000-00001CA80000}"/>
    <cellStyle name="Percent 2 2 3 2 2 7 3" xfId="19968" xr:uid="{00000000-0005-0000-0000-00001DA80000}"/>
    <cellStyle name="Percent 2 2 3 2 2 8" xfId="5660" xr:uid="{00000000-0005-0000-0000-00001EA80000}"/>
    <cellStyle name="Percent 2 2 3 2 2 8 2" xfId="14083" xr:uid="{00000000-0005-0000-0000-00001FA80000}"/>
    <cellStyle name="Percent 2 2 3 2 2 8 3" xfId="19969" xr:uid="{00000000-0005-0000-0000-000020A80000}"/>
    <cellStyle name="Percent 2 2 3 2 2 9" xfId="9342" xr:uid="{00000000-0005-0000-0000-000021A80000}"/>
    <cellStyle name="Percent 2 2 3 2 2_LNG &amp; LPG rework" xfId="7639" xr:uid="{00000000-0005-0000-0000-000022A80000}"/>
    <cellStyle name="Percent 2 2 3 2 3" xfId="525" xr:uid="{00000000-0005-0000-0000-000023A80000}"/>
    <cellStyle name="Percent 2 2 3 2 3 2" xfId="5661" xr:uid="{00000000-0005-0000-0000-000024A80000}"/>
    <cellStyle name="Percent 2 2 3 2 3 2 2" xfId="14084" xr:uid="{00000000-0005-0000-0000-000025A80000}"/>
    <cellStyle name="Percent 2 2 3 2 3 2 3" xfId="19971" xr:uid="{00000000-0005-0000-0000-000026A80000}"/>
    <cellStyle name="Percent 2 2 3 2 3 3" xfId="5662" xr:uid="{00000000-0005-0000-0000-000027A80000}"/>
    <cellStyle name="Percent 2 2 3 2 3 3 2" xfId="14085" xr:uid="{00000000-0005-0000-0000-000028A80000}"/>
    <cellStyle name="Percent 2 2 3 2 3 3 3" xfId="19972" xr:uid="{00000000-0005-0000-0000-000029A80000}"/>
    <cellStyle name="Percent 2 2 3 2 3 4" xfId="5663" xr:uid="{00000000-0005-0000-0000-00002AA80000}"/>
    <cellStyle name="Percent 2 2 3 2 3 4 2" xfId="14086" xr:uid="{00000000-0005-0000-0000-00002BA80000}"/>
    <cellStyle name="Percent 2 2 3 2 3 4 3" xfId="19973" xr:uid="{00000000-0005-0000-0000-00002CA80000}"/>
    <cellStyle name="Percent 2 2 3 2 3 5" xfId="5664" xr:uid="{00000000-0005-0000-0000-00002DA80000}"/>
    <cellStyle name="Percent 2 2 3 2 3 5 2" xfId="14087" xr:uid="{00000000-0005-0000-0000-00002EA80000}"/>
    <cellStyle name="Percent 2 2 3 2 3 5 3" xfId="19974" xr:uid="{00000000-0005-0000-0000-00002FA80000}"/>
    <cellStyle name="Percent 2 2 3 2 3 6" xfId="5665" xr:uid="{00000000-0005-0000-0000-000030A80000}"/>
    <cellStyle name="Percent 2 2 3 2 3 6 2" xfId="14088" xr:uid="{00000000-0005-0000-0000-000031A80000}"/>
    <cellStyle name="Percent 2 2 3 2 3 6 3" xfId="19975" xr:uid="{00000000-0005-0000-0000-000032A80000}"/>
    <cellStyle name="Percent 2 2 3 2 3 7" xfId="9344" xr:uid="{00000000-0005-0000-0000-000033A80000}"/>
    <cellStyle name="Percent 2 2 3 2 3 8" xfId="19970" xr:uid="{00000000-0005-0000-0000-000034A80000}"/>
    <cellStyle name="Percent 2 2 3 2 3_LNG &amp; LPG rework" xfId="7642" xr:uid="{00000000-0005-0000-0000-000035A80000}"/>
    <cellStyle name="Percent 2 2 3 2 4" xfId="5666" xr:uid="{00000000-0005-0000-0000-000036A80000}"/>
    <cellStyle name="Percent 2 2 3 2 4 2" xfId="5667" xr:uid="{00000000-0005-0000-0000-000037A80000}"/>
    <cellStyle name="Percent 2 2 3 2 4 2 2" xfId="14090" xr:uid="{00000000-0005-0000-0000-000038A80000}"/>
    <cellStyle name="Percent 2 2 3 2 4 2 3" xfId="19977" xr:uid="{00000000-0005-0000-0000-000039A80000}"/>
    <cellStyle name="Percent 2 2 3 2 4 3" xfId="5668" xr:uid="{00000000-0005-0000-0000-00003AA80000}"/>
    <cellStyle name="Percent 2 2 3 2 4 3 2" xfId="14091" xr:uid="{00000000-0005-0000-0000-00003BA80000}"/>
    <cellStyle name="Percent 2 2 3 2 4 3 3" xfId="19978" xr:uid="{00000000-0005-0000-0000-00003CA80000}"/>
    <cellStyle name="Percent 2 2 3 2 4 4" xfId="5669" xr:uid="{00000000-0005-0000-0000-00003DA80000}"/>
    <cellStyle name="Percent 2 2 3 2 4 4 2" xfId="14092" xr:uid="{00000000-0005-0000-0000-00003EA80000}"/>
    <cellStyle name="Percent 2 2 3 2 4 4 3" xfId="19979" xr:uid="{00000000-0005-0000-0000-00003FA80000}"/>
    <cellStyle name="Percent 2 2 3 2 4 5" xfId="5670" xr:uid="{00000000-0005-0000-0000-000040A80000}"/>
    <cellStyle name="Percent 2 2 3 2 4 5 2" xfId="14093" xr:uid="{00000000-0005-0000-0000-000041A80000}"/>
    <cellStyle name="Percent 2 2 3 2 4 5 3" xfId="19980" xr:uid="{00000000-0005-0000-0000-000042A80000}"/>
    <cellStyle name="Percent 2 2 3 2 4 6" xfId="14089" xr:uid="{00000000-0005-0000-0000-000043A80000}"/>
    <cellStyle name="Percent 2 2 3 2 4 7" xfId="19976" xr:uid="{00000000-0005-0000-0000-000044A80000}"/>
    <cellStyle name="Percent 2 2 3 2 4_LNG &amp; LPG rework" xfId="7643" xr:uid="{00000000-0005-0000-0000-000045A80000}"/>
    <cellStyle name="Percent 2 2 3 2 5" xfId="5671" xr:uid="{00000000-0005-0000-0000-000046A80000}"/>
    <cellStyle name="Percent 2 2 3 2 5 2" xfId="5672" xr:uid="{00000000-0005-0000-0000-000047A80000}"/>
    <cellStyle name="Percent 2 2 3 2 5 2 2" xfId="14095" xr:uid="{00000000-0005-0000-0000-000048A80000}"/>
    <cellStyle name="Percent 2 2 3 2 5 2 3" xfId="19982" xr:uid="{00000000-0005-0000-0000-000049A80000}"/>
    <cellStyle name="Percent 2 2 3 2 5 3" xfId="5673" xr:uid="{00000000-0005-0000-0000-00004AA80000}"/>
    <cellStyle name="Percent 2 2 3 2 5 3 2" xfId="14096" xr:uid="{00000000-0005-0000-0000-00004BA80000}"/>
    <cellStyle name="Percent 2 2 3 2 5 3 3" xfId="19983" xr:uid="{00000000-0005-0000-0000-00004CA80000}"/>
    <cellStyle name="Percent 2 2 3 2 5 4" xfId="5674" xr:uid="{00000000-0005-0000-0000-00004DA80000}"/>
    <cellStyle name="Percent 2 2 3 2 5 4 2" xfId="14097" xr:uid="{00000000-0005-0000-0000-00004EA80000}"/>
    <cellStyle name="Percent 2 2 3 2 5 4 3" xfId="19984" xr:uid="{00000000-0005-0000-0000-00004FA80000}"/>
    <cellStyle name="Percent 2 2 3 2 5 5" xfId="5675" xr:uid="{00000000-0005-0000-0000-000050A80000}"/>
    <cellStyle name="Percent 2 2 3 2 5 5 2" xfId="14098" xr:uid="{00000000-0005-0000-0000-000051A80000}"/>
    <cellStyle name="Percent 2 2 3 2 5 5 3" xfId="19985" xr:uid="{00000000-0005-0000-0000-000052A80000}"/>
    <cellStyle name="Percent 2 2 3 2 5 6" xfId="14094" xr:uid="{00000000-0005-0000-0000-000053A80000}"/>
    <cellStyle name="Percent 2 2 3 2 5 7" xfId="19981" xr:uid="{00000000-0005-0000-0000-000054A80000}"/>
    <cellStyle name="Percent 2 2 3 2 5_LNG &amp; LPG rework" xfId="7644" xr:uid="{00000000-0005-0000-0000-000055A80000}"/>
    <cellStyle name="Percent 2 2 3 2 6" xfId="5676" xr:uid="{00000000-0005-0000-0000-000056A80000}"/>
    <cellStyle name="Percent 2 2 3 2 6 2" xfId="14099" xr:uid="{00000000-0005-0000-0000-000057A80000}"/>
    <cellStyle name="Percent 2 2 3 2 6 3" xfId="19986" xr:uid="{00000000-0005-0000-0000-000058A80000}"/>
    <cellStyle name="Percent 2 2 3 2 7" xfId="5677" xr:uid="{00000000-0005-0000-0000-000059A80000}"/>
    <cellStyle name="Percent 2 2 3 2 7 2" xfId="14100" xr:uid="{00000000-0005-0000-0000-00005AA80000}"/>
    <cellStyle name="Percent 2 2 3 2 7 3" xfId="19987" xr:uid="{00000000-0005-0000-0000-00005BA80000}"/>
    <cellStyle name="Percent 2 2 3 2 8" xfId="5678" xr:uid="{00000000-0005-0000-0000-00005CA80000}"/>
    <cellStyle name="Percent 2 2 3 2 8 2" xfId="14101" xr:uid="{00000000-0005-0000-0000-00005DA80000}"/>
    <cellStyle name="Percent 2 2 3 2 8 3" xfId="19988" xr:uid="{00000000-0005-0000-0000-00005EA80000}"/>
    <cellStyle name="Percent 2 2 3 2 9" xfId="5679" xr:uid="{00000000-0005-0000-0000-00005FA80000}"/>
    <cellStyle name="Percent 2 2 3 2 9 2" xfId="14102" xr:uid="{00000000-0005-0000-0000-000060A80000}"/>
    <cellStyle name="Percent 2 2 3 2 9 3" xfId="19989" xr:uid="{00000000-0005-0000-0000-000061A80000}"/>
    <cellStyle name="Percent 2 2 3 2_LNG &amp; LPG rework" xfId="7638" xr:uid="{00000000-0005-0000-0000-000062A80000}"/>
    <cellStyle name="Percent 2 2 3 3" xfId="526" xr:uid="{00000000-0005-0000-0000-000063A80000}"/>
    <cellStyle name="Percent 2 2 3 3 10" xfId="19990" xr:uid="{00000000-0005-0000-0000-000064A80000}"/>
    <cellStyle name="Percent 2 2 3 3 2" xfId="527" xr:uid="{00000000-0005-0000-0000-000065A80000}"/>
    <cellStyle name="Percent 2 2 3 3 2 2" xfId="5680" xr:uid="{00000000-0005-0000-0000-000066A80000}"/>
    <cellStyle name="Percent 2 2 3 3 2 2 2" xfId="14103" xr:uid="{00000000-0005-0000-0000-000067A80000}"/>
    <cellStyle name="Percent 2 2 3 3 2 2 3" xfId="19992" xr:uid="{00000000-0005-0000-0000-000068A80000}"/>
    <cellStyle name="Percent 2 2 3 3 2 3" xfId="5681" xr:uid="{00000000-0005-0000-0000-000069A80000}"/>
    <cellStyle name="Percent 2 2 3 3 2 3 2" xfId="14104" xr:uid="{00000000-0005-0000-0000-00006AA80000}"/>
    <cellStyle name="Percent 2 2 3 3 2 3 3" xfId="19993" xr:uid="{00000000-0005-0000-0000-00006BA80000}"/>
    <cellStyle name="Percent 2 2 3 3 2 4" xfId="5682" xr:uid="{00000000-0005-0000-0000-00006CA80000}"/>
    <cellStyle name="Percent 2 2 3 3 2 4 2" xfId="14105" xr:uid="{00000000-0005-0000-0000-00006DA80000}"/>
    <cellStyle name="Percent 2 2 3 3 2 4 3" xfId="19994" xr:uid="{00000000-0005-0000-0000-00006EA80000}"/>
    <cellStyle name="Percent 2 2 3 3 2 5" xfId="5683" xr:uid="{00000000-0005-0000-0000-00006FA80000}"/>
    <cellStyle name="Percent 2 2 3 3 2 5 2" xfId="14106" xr:uid="{00000000-0005-0000-0000-000070A80000}"/>
    <cellStyle name="Percent 2 2 3 3 2 5 3" xfId="19995" xr:uid="{00000000-0005-0000-0000-000071A80000}"/>
    <cellStyle name="Percent 2 2 3 3 2 6" xfId="5684" xr:uid="{00000000-0005-0000-0000-000072A80000}"/>
    <cellStyle name="Percent 2 2 3 3 2 6 2" xfId="14107" xr:uid="{00000000-0005-0000-0000-000073A80000}"/>
    <cellStyle name="Percent 2 2 3 3 2 6 3" xfId="19996" xr:uid="{00000000-0005-0000-0000-000074A80000}"/>
    <cellStyle name="Percent 2 2 3 3 2 7" xfId="9346" xr:uid="{00000000-0005-0000-0000-000075A80000}"/>
    <cellStyle name="Percent 2 2 3 3 2 8" xfId="19991" xr:uid="{00000000-0005-0000-0000-000076A80000}"/>
    <cellStyle name="Percent 2 2 3 3 2_LNG &amp; LPG rework" xfId="7646" xr:uid="{00000000-0005-0000-0000-000077A80000}"/>
    <cellStyle name="Percent 2 2 3 3 3" xfId="5685" xr:uid="{00000000-0005-0000-0000-000078A80000}"/>
    <cellStyle name="Percent 2 2 3 3 3 2" xfId="5686" xr:uid="{00000000-0005-0000-0000-000079A80000}"/>
    <cellStyle name="Percent 2 2 3 3 3 2 2" xfId="14109" xr:uid="{00000000-0005-0000-0000-00007AA80000}"/>
    <cellStyle name="Percent 2 2 3 3 3 2 3" xfId="19998" xr:uid="{00000000-0005-0000-0000-00007BA80000}"/>
    <cellStyle name="Percent 2 2 3 3 3 3" xfId="5687" xr:uid="{00000000-0005-0000-0000-00007CA80000}"/>
    <cellStyle name="Percent 2 2 3 3 3 3 2" xfId="14110" xr:uid="{00000000-0005-0000-0000-00007DA80000}"/>
    <cellStyle name="Percent 2 2 3 3 3 3 3" xfId="19999" xr:uid="{00000000-0005-0000-0000-00007EA80000}"/>
    <cellStyle name="Percent 2 2 3 3 3 4" xfId="5688" xr:uid="{00000000-0005-0000-0000-00007FA80000}"/>
    <cellStyle name="Percent 2 2 3 3 3 4 2" xfId="14111" xr:uid="{00000000-0005-0000-0000-000080A80000}"/>
    <cellStyle name="Percent 2 2 3 3 3 4 3" xfId="20000" xr:uid="{00000000-0005-0000-0000-000081A80000}"/>
    <cellStyle name="Percent 2 2 3 3 3 5" xfId="5689" xr:uid="{00000000-0005-0000-0000-000082A80000}"/>
    <cellStyle name="Percent 2 2 3 3 3 5 2" xfId="14112" xr:uid="{00000000-0005-0000-0000-000083A80000}"/>
    <cellStyle name="Percent 2 2 3 3 3 5 3" xfId="20001" xr:uid="{00000000-0005-0000-0000-000084A80000}"/>
    <cellStyle name="Percent 2 2 3 3 3 6" xfId="14108" xr:uid="{00000000-0005-0000-0000-000085A80000}"/>
    <cellStyle name="Percent 2 2 3 3 3 7" xfId="19997" xr:uid="{00000000-0005-0000-0000-000086A80000}"/>
    <cellStyle name="Percent 2 2 3 3 3_LNG &amp; LPG rework" xfId="7647" xr:uid="{00000000-0005-0000-0000-000087A80000}"/>
    <cellStyle name="Percent 2 2 3 3 4" xfId="5690" xr:uid="{00000000-0005-0000-0000-000088A80000}"/>
    <cellStyle name="Percent 2 2 3 3 4 2" xfId="14113" xr:uid="{00000000-0005-0000-0000-000089A80000}"/>
    <cellStyle name="Percent 2 2 3 3 4 3" xfId="20002" xr:uid="{00000000-0005-0000-0000-00008AA80000}"/>
    <cellStyle name="Percent 2 2 3 3 5" xfId="5691" xr:uid="{00000000-0005-0000-0000-00008BA80000}"/>
    <cellStyle name="Percent 2 2 3 3 5 2" xfId="14114" xr:uid="{00000000-0005-0000-0000-00008CA80000}"/>
    <cellStyle name="Percent 2 2 3 3 5 3" xfId="20003" xr:uid="{00000000-0005-0000-0000-00008DA80000}"/>
    <cellStyle name="Percent 2 2 3 3 6" xfId="5692" xr:uid="{00000000-0005-0000-0000-00008EA80000}"/>
    <cellStyle name="Percent 2 2 3 3 6 2" xfId="14115" xr:uid="{00000000-0005-0000-0000-00008FA80000}"/>
    <cellStyle name="Percent 2 2 3 3 6 3" xfId="20004" xr:uid="{00000000-0005-0000-0000-000090A80000}"/>
    <cellStyle name="Percent 2 2 3 3 7" xfId="5693" xr:uid="{00000000-0005-0000-0000-000091A80000}"/>
    <cellStyle name="Percent 2 2 3 3 7 2" xfId="14116" xr:uid="{00000000-0005-0000-0000-000092A80000}"/>
    <cellStyle name="Percent 2 2 3 3 7 3" xfId="20005" xr:uid="{00000000-0005-0000-0000-000093A80000}"/>
    <cellStyle name="Percent 2 2 3 3 8" xfId="5694" xr:uid="{00000000-0005-0000-0000-000094A80000}"/>
    <cellStyle name="Percent 2 2 3 3 8 2" xfId="14117" xr:uid="{00000000-0005-0000-0000-000095A80000}"/>
    <cellStyle name="Percent 2 2 3 3 8 3" xfId="20006" xr:uid="{00000000-0005-0000-0000-000096A80000}"/>
    <cellStyle name="Percent 2 2 3 3 9" xfId="9345" xr:uid="{00000000-0005-0000-0000-000097A80000}"/>
    <cellStyle name="Percent 2 2 3 3_LNG &amp; LPG rework" xfId="7645" xr:uid="{00000000-0005-0000-0000-000098A80000}"/>
    <cellStyle name="Percent 2 2 3 4" xfId="528" xr:uid="{00000000-0005-0000-0000-000099A80000}"/>
    <cellStyle name="Percent 2 2 3 4 2" xfId="5695" xr:uid="{00000000-0005-0000-0000-00009AA80000}"/>
    <cellStyle name="Percent 2 2 3 4 2 2" xfId="14118" xr:uid="{00000000-0005-0000-0000-00009BA80000}"/>
    <cellStyle name="Percent 2 2 3 4 2 3" xfId="20008" xr:uid="{00000000-0005-0000-0000-00009CA80000}"/>
    <cellStyle name="Percent 2 2 3 4 3" xfId="5696" xr:uid="{00000000-0005-0000-0000-00009DA80000}"/>
    <cellStyle name="Percent 2 2 3 4 3 2" xfId="14119" xr:uid="{00000000-0005-0000-0000-00009EA80000}"/>
    <cellStyle name="Percent 2 2 3 4 3 3" xfId="20009" xr:uid="{00000000-0005-0000-0000-00009FA80000}"/>
    <cellStyle name="Percent 2 2 3 4 4" xfId="5697" xr:uid="{00000000-0005-0000-0000-0000A0A80000}"/>
    <cellStyle name="Percent 2 2 3 4 4 2" xfId="14120" xr:uid="{00000000-0005-0000-0000-0000A1A80000}"/>
    <cellStyle name="Percent 2 2 3 4 4 3" xfId="20010" xr:uid="{00000000-0005-0000-0000-0000A2A80000}"/>
    <cellStyle name="Percent 2 2 3 4 5" xfId="5698" xr:uid="{00000000-0005-0000-0000-0000A3A80000}"/>
    <cellStyle name="Percent 2 2 3 4 5 2" xfId="14121" xr:uid="{00000000-0005-0000-0000-0000A4A80000}"/>
    <cellStyle name="Percent 2 2 3 4 5 3" xfId="20011" xr:uid="{00000000-0005-0000-0000-0000A5A80000}"/>
    <cellStyle name="Percent 2 2 3 4 6" xfId="5699" xr:uid="{00000000-0005-0000-0000-0000A6A80000}"/>
    <cellStyle name="Percent 2 2 3 4 6 2" xfId="14122" xr:uid="{00000000-0005-0000-0000-0000A7A80000}"/>
    <cellStyle name="Percent 2 2 3 4 6 3" xfId="20012" xr:uid="{00000000-0005-0000-0000-0000A8A80000}"/>
    <cellStyle name="Percent 2 2 3 4 7" xfId="9347" xr:uid="{00000000-0005-0000-0000-0000A9A80000}"/>
    <cellStyle name="Percent 2 2 3 4 8" xfId="20007" xr:uid="{00000000-0005-0000-0000-0000AAA80000}"/>
    <cellStyle name="Percent 2 2 3 4_LNG &amp; LPG rework" xfId="7648" xr:uid="{00000000-0005-0000-0000-0000ABA80000}"/>
    <cellStyle name="Percent 2 2 3 5" xfId="5700" xr:uid="{00000000-0005-0000-0000-0000ACA80000}"/>
    <cellStyle name="Percent 2 2 3 5 2" xfId="5701" xr:uid="{00000000-0005-0000-0000-0000ADA80000}"/>
    <cellStyle name="Percent 2 2 3 5 2 2" xfId="14124" xr:uid="{00000000-0005-0000-0000-0000AEA80000}"/>
    <cellStyle name="Percent 2 2 3 5 2 3" xfId="20014" xr:uid="{00000000-0005-0000-0000-0000AFA80000}"/>
    <cellStyle name="Percent 2 2 3 5 3" xfId="5702" xr:uid="{00000000-0005-0000-0000-0000B0A80000}"/>
    <cellStyle name="Percent 2 2 3 5 3 2" xfId="14125" xr:uid="{00000000-0005-0000-0000-0000B1A80000}"/>
    <cellStyle name="Percent 2 2 3 5 3 3" xfId="20015" xr:uid="{00000000-0005-0000-0000-0000B2A80000}"/>
    <cellStyle name="Percent 2 2 3 5 4" xfId="5703" xr:uid="{00000000-0005-0000-0000-0000B3A80000}"/>
    <cellStyle name="Percent 2 2 3 5 4 2" xfId="14126" xr:uid="{00000000-0005-0000-0000-0000B4A80000}"/>
    <cellStyle name="Percent 2 2 3 5 4 3" xfId="20016" xr:uid="{00000000-0005-0000-0000-0000B5A80000}"/>
    <cellStyle name="Percent 2 2 3 5 5" xfId="5704" xr:uid="{00000000-0005-0000-0000-0000B6A80000}"/>
    <cellStyle name="Percent 2 2 3 5 5 2" xfId="14127" xr:uid="{00000000-0005-0000-0000-0000B7A80000}"/>
    <cellStyle name="Percent 2 2 3 5 5 3" xfId="20017" xr:uid="{00000000-0005-0000-0000-0000B8A80000}"/>
    <cellStyle name="Percent 2 2 3 5 6" xfId="14123" xr:uid="{00000000-0005-0000-0000-0000B9A80000}"/>
    <cellStyle name="Percent 2 2 3 5 7" xfId="20013" xr:uid="{00000000-0005-0000-0000-0000BAA80000}"/>
    <cellStyle name="Percent 2 2 3 5_LNG &amp; LPG rework" xfId="7649" xr:uid="{00000000-0005-0000-0000-0000BBA80000}"/>
    <cellStyle name="Percent 2 2 3 6" xfId="5705" xr:uid="{00000000-0005-0000-0000-0000BCA80000}"/>
    <cellStyle name="Percent 2 2 3 6 2" xfId="5706" xr:uid="{00000000-0005-0000-0000-0000BDA80000}"/>
    <cellStyle name="Percent 2 2 3 6 2 2" xfId="14129" xr:uid="{00000000-0005-0000-0000-0000BEA80000}"/>
    <cellStyle name="Percent 2 2 3 6 2 3" xfId="20019" xr:uid="{00000000-0005-0000-0000-0000BFA80000}"/>
    <cellStyle name="Percent 2 2 3 6 3" xfId="5707" xr:uid="{00000000-0005-0000-0000-0000C0A80000}"/>
    <cellStyle name="Percent 2 2 3 6 3 2" xfId="14130" xr:uid="{00000000-0005-0000-0000-0000C1A80000}"/>
    <cellStyle name="Percent 2 2 3 6 3 3" xfId="20020" xr:uid="{00000000-0005-0000-0000-0000C2A80000}"/>
    <cellStyle name="Percent 2 2 3 6 4" xfId="5708" xr:uid="{00000000-0005-0000-0000-0000C3A80000}"/>
    <cellStyle name="Percent 2 2 3 6 4 2" xfId="14131" xr:uid="{00000000-0005-0000-0000-0000C4A80000}"/>
    <cellStyle name="Percent 2 2 3 6 4 3" xfId="20021" xr:uid="{00000000-0005-0000-0000-0000C5A80000}"/>
    <cellStyle name="Percent 2 2 3 6 5" xfId="5709" xr:uid="{00000000-0005-0000-0000-0000C6A80000}"/>
    <cellStyle name="Percent 2 2 3 6 5 2" xfId="14132" xr:uid="{00000000-0005-0000-0000-0000C7A80000}"/>
    <cellStyle name="Percent 2 2 3 6 5 3" xfId="20022" xr:uid="{00000000-0005-0000-0000-0000C8A80000}"/>
    <cellStyle name="Percent 2 2 3 6 6" xfId="14128" xr:uid="{00000000-0005-0000-0000-0000C9A80000}"/>
    <cellStyle name="Percent 2 2 3 6 7" xfId="20018" xr:uid="{00000000-0005-0000-0000-0000CAA80000}"/>
    <cellStyle name="Percent 2 2 3 6_LNG &amp; LPG rework" xfId="7650" xr:uid="{00000000-0005-0000-0000-0000CBA80000}"/>
    <cellStyle name="Percent 2 2 3 7" xfId="5710" xr:uid="{00000000-0005-0000-0000-0000CCA80000}"/>
    <cellStyle name="Percent 2 2 3 7 2" xfId="14133" xr:uid="{00000000-0005-0000-0000-0000CDA80000}"/>
    <cellStyle name="Percent 2 2 3 7 3" xfId="20023" xr:uid="{00000000-0005-0000-0000-0000CEA80000}"/>
    <cellStyle name="Percent 2 2 3 8" xfId="5711" xr:uid="{00000000-0005-0000-0000-0000CFA80000}"/>
    <cellStyle name="Percent 2 2 3 8 2" xfId="14134" xr:uid="{00000000-0005-0000-0000-0000D0A80000}"/>
    <cellStyle name="Percent 2 2 3 8 3" xfId="20024" xr:uid="{00000000-0005-0000-0000-0000D1A80000}"/>
    <cellStyle name="Percent 2 2 3 9" xfId="5712" xr:uid="{00000000-0005-0000-0000-0000D2A80000}"/>
    <cellStyle name="Percent 2 2 3 9 2" xfId="14135" xr:uid="{00000000-0005-0000-0000-0000D3A80000}"/>
    <cellStyle name="Percent 2 2 3 9 3" xfId="20025" xr:uid="{00000000-0005-0000-0000-0000D4A80000}"/>
    <cellStyle name="Percent 2 2 3_LNG &amp; LPG rework" xfId="7637" xr:uid="{00000000-0005-0000-0000-0000D5A80000}"/>
    <cellStyle name="Percent 2 2 4" xfId="529" xr:uid="{00000000-0005-0000-0000-0000D6A80000}"/>
    <cellStyle name="Percent 2 2 4 10" xfId="5713" xr:uid="{00000000-0005-0000-0000-0000D7A80000}"/>
    <cellStyle name="Percent 2 2 4 10 2" xfId="14136" xr:uid="{00000000-0005-0000-0000-0000D8A80000}"/>
    <cellStyle name="Percent 2 2 4 10 3" xfId="20027" xr:uid="{00000000-0005-0000-0000-0000D9A80000}"/>
    <cellStyle name="Percent 2 2 4 11" xfId="9348" xr:uid="{00000000-0005-0000-0000-0000DAA80000}"/>
    <cellStyle name="Percent 2 2 4 12" xfId="20026" xr:uid="{00000000-0005-0000-0000-0000DBA80000}"/>
    <cellStyle name="Percent 2 2 4 2" xfId="530" xr:uid="{00000000-0005-0000-0000-0000DCA80000}"/>
    <cellStyle name="Percent 2 2 4 2 10" xfId="20028" xr:uid="{00000000-0005-0000-0000-0000DDA80000}"/>
    <cellStyle name="Percent 2 2 4 2 2" xfId="531" xr:uid="{00000000-0005-0000-0000-0000DEA80000}"/>
    <cellStyle name="Percent 2 2 4 2 2 2" xfId="5714" xr:uid="{00000000-0005-0000-0000-0000DFA80000}"/>
    <cellStyle name="Percent 2 2 4 2 2 2 2" xfId="14137" xr:uid="{00000000-0005-0000-0000-0000E0A80000}"/>
    <cellStyle name="Percent 2 2 4 2 2 2 3" xfId="20030" xr:uid="{00000000-0005-0000-0000-0000E1A80000}"/>
    <cellStyle name="Percent 2 2 4 2 2 3" xfId="5715" xr:uid="{00000000-0005-0000-0000-0000E2A80000}"/>
    <cellStyle name="Percent 2 2 4 2 2 3 2" xfId="14138" xr:uid="{00000000-0005-0000-0000-0000E3A80000}"/>
    <cellStyle name="Percent 2 2 4 2 2 3 3" xfId="20031" xr:uid="{00000000-0005-0000-0000-0000E4A80000}"/>
    <cellStyle name="Percent 2 2 4 2 2 4" xfId="5716" xr:uid="{00000000-0005-0000-0000-0000E5A80000}"/>
    <cellStyle name="Percent 2 2 4 2 2 4 2" xfId="14139" xr:uid="{00000000-0005-0000-0000-0000E6A80000}"/>
    <cellStyle name="Percent 2 2 4 2 2 4 3" xfId="20032" xr:uid="{00000000-0005-0000-0000-0000E7A80000}"/>
    <cellStyle name="Percent 2 2 4 2 2 5" xfId="5717" xr:uid="{00000000-0005-0000-0000-0000E8A80000}"/>
    <cellStyle name="Percent 2 2 4 2 2 5 2" xfId="14140" xr:uid="{00000000-0005-0000-0000-0000E9A80000}"/>
    <cellStyle name="Percent 2 2 4 2 2 5 3" xfId="20033" xr:uid="{00000000-0005-0000-0000-0000EAA80000}"/>
    <cellStyle name="Percent 2 2 4 2 2 6" xfId="5718" xr:uid="{00000000-0005-0000-0000-0000EBA80000}"/>
    <cellStyle name="Percent 2 2 4 2 2 6 2" xfId="14141" xr:uid="{00000000-0005-0000-0000-0000ECA80000}"/>
    <cellStyle name="Percent 2 2 4 2 2 6 3" xfId="20034" xr:uid="{00000000-0005-0000-0000-0000EDA80000}"/>
    <cellStyle name="Percent 2 2 4 2 2 7" xfId="9350" xr:uid="{00000000-0005-0000-0000-0000EEA80000}"/>
    <cellStyle name="Percent 2 2 4 2 2 8" xfId="20029" xr:uid="{00000000-0005-0000-0000-0000EFA80000}"/>
    <cellStyle name="Percent 2 2 4 2 2_LNG &amp; LPG rework" xfId="7653" xr:uid="{00000000-0005-0000-0000-0000F0A80000}"/>
    <cellStyle name="Percent 2 2 4 2 3" xfId="5719" xr:uid="{00000000-0005-0000-0000-0000F1A80000}"/>
    <cellStyle name="Percent 2 2 4 2 3 2" xfId="5720" xr:uid="{00000000-0005-0000-0000-0000F2A80000}"/>
    <cellStyle name="Percent 2 2 4 2 3 2 2" xfId="14143" xr:uid="{00000000-0005-0000-0000-0000F3A80000}"/>
    <cellStyle name="Percent 2 2 4 2 3 2 3" xfId="20036" xr:uid="{00000000-0005-0000-0000-0000F4A80000}"/>
    <cellStyle name="Percent 2 2 4 2 3 3" xfId="5721" xr:uid="{00000000-0005-0000-0000-0000F5A80000}"/>
    <cellStyle name="Percent 2 2 4 2 3 3 2" xfId="14144" xr:uid="{00000000-0005-0000-0000-0000F6A80000}"/>
    <cellStyle name="Percent 2 2 4 2 3 3 3" xfId="20037" xr:uid="{00000000-0005-0000-0000-0000F7A80000}"/>
    <cellStyle name="Percent 2 2 4 2 3 4" xfId="5722" xr:uid="{00000000-0005-0000-0000-0000F8A80000}"/>
    <cellStyle name="Percent 2 2 4 2 3 4 2" xfId="14145" xr:uid="{00000000-0005-0000-0000-0000F9A80000}"/>
    <cellStyle name="Percent 2 2 4 2 3 4 3" xfId="20038" xr:uid="{00000000-0005-0000-0000-0000FAA80000}"/>
    <cellStyle name="Percent 2 2 4 2 3 5" xfId="5723" xr:uid="{00000000-0005-0000-0000-0000FBA80000}"/>
    <cellStyle name="Percent 2 2 4 2 3 5 2" xfId="14146" xr:uid="{00000000-0005-0000-0000-0000FCA80000}"/>
    <cellStyle name="Percent 2 2 4 2 3 5 3" xfId="20039" xr:uid="{00000000-0005-0000-0000-0000FDA80000}"/>
    <cellStyle name="Percent 2 2 4 2 3 6" xfId="14142" xr:uid="{00000000-0005-0000-0000-0000FEA80000}"/>
    <cellStyle name="Percent 2 2 4 2 3 7" xfId="20035" xr:uid="{00000000-0005-0000-0000-0000FFA80000}"/>
    <cellStyle name="Percent 2 2 4 2 3_LNG &amp; LPG rework" xfId="7654" xr:uid="{00000000-0005-0000-0000-000000A90000}"/>
    <cellStyle name="Percent 2 2 4 2 4" xfId="5724" xr:uid="{00000000-0005-0000-0000-000001A90000}"/>
    <cellStyle name="Percent 2 2 4 2 4 2" xfId="14147" xr:uid="{00000000-0005-0000-0000-000002A90000}"/>
    <cellStyle name="Percent 2 2 4 2 4 3" xfId="20040" xr:uid="{00000000-0005-0000-0000-000003A90000}"/>
    <cellStyle name="Percent 2 2 4 2 5" xfId="5725" xr:uid="{00000000-0005-0000-0000-000004A90000}"/>
    <cellStyle name="Percent 2 2 4 2 5 2" xfId="14148" xr:uid="{00000000-0005-0000-0000-000005A90000}"/>
    <cellStyle name="Percent 2 2 4 2 5 3" xfId="20041" xr:uid="{00000000-0005-0000-0000-000006A90000}"/>
    <cellStyle name="Percent 2 2 4 2 6" xfId="5726" xr:uid="{00000000-0005-0000-0000-000007A90000}"/>
    <cellStyle name="Percent 2 2 4 2 6 2" xfId="14149" xr:uid="{00000000-0005-0000-0000-000008A90000}"/>
    <cellStyle name="Percent 2 2 4 2 6 3" xfId="20042" xr:uid="{00000000-0005-0000-0000-000009A90000}"/>
    <cellStyle name="Percent 2 2 4 2 7" xfId="5727" xr:uid="{00000000-0005-0000-0000-00000AA90000}"/>
    <cellStyle name="Percent 2 2 4 2 7 2" xfId="14150" xr:uid="{00000000-0005-0000-0000-00000BA90000}"/>
    <cellStyle name="Percent 2 2 4 2 7 3" xfId="20043" xr:uid="{00000000-0005-0000-0000-00000CA90000}"/>
    <cellStyle name="Percent 2 2 4 2 8" xfId="5728" xr:uid="{00000000-0005-0000-0000-00000DA90000}"/>
    <cellStyle name="Percent 2 2 4 2 8 2" xfId="14151" xr:uid="{00000000-0005-0000-0000-00000EA90000}"/>
    <cellStyle name="Percent 2 2 4 2 8 3" xfId="20044" xr:uid="{00000000-0005-0000-0000-00000FA90000}"/>
    <cellStyle name="Percent 2 2 4 2 9" xfId="9349" xr:uid="{00000000-0005-0000-0000-000010A90000}"/>
    <cellStyle name="Percent 2 2 4 2_LNG &amp; LPG rework" xfId="7652" xr:uid="{00000000-0005-0000-0000-000011A90000}"/>
    <cellStyle name="Percent 2 2 4 3" xfId="532" xr:uid="{00000000-0005-0000-0000-000012A90000}"/>
    <cellStyle name="Percent 2 2 4 3 2" xfId="5729" xr:uid="{00000000-0005-0000-0000-000013A90000}"/>
    <cellStyle name="Percent 2 2 4 3 2 2" xfId="14152" xr:uid="{00000000-0005-0000-0000-000014A90000}"/>
    <cellStyle name="Percent 2 2 4 3 2 3" xfId="20046" xr:uid="{00000000-0005-0000-0000-000015A90000}"/>
    <cellStyle name="Percent 2 2 4 3 3" xfId="5730" xr:uid="{00000000-0005-0000-0000-000016A90000}"/>
    <cellStyle name="Percent 2 2 4 3 3 2" xfId="14153" xr:uid="{00000000-0005-0000-0000-000017A90000}"/>
    <cellStyle name="Percent 2 2 4 3 3 3" xfId="20047" xr:uid="{00000000-0005-0000-0000-000018A90000}"/>
    <cellStyle name="Percent 2 2 4 3 4" xfId="5731" xr:uid="{00000000-0005-0000-0000-000019A90000}"/>
    <cellStyle name="Percent 2 2 4 3 4 2" xfId="14154" xr:uid="{00000000-0005-0000-0000-00001AA90000}"/>
    <cellStyle name="Percent 2 2 4 3 4 3" xfId="20048" xr:uid="{00000000-0005-0000-0000-00001BA90000}"/>
    <cellStyle name="Percent 2 2 4 3 5" xfId="5732" xr:uid="{00000000-0005-0000-0000-00001CA90000}"/>
    <cellStyle name="Percent 2 2 4 3 5 2" xfId="14155" xr:uid="{00000000-0005-0000-0000-00001DA90000}"/>
    <cellStyle name="Percent 2 2 4 3 5 3" xfId="20049" xr:uid="{00000000-0005-0000-0000-00001EA90000}"/>
    <cellStyle name="Percent 2 2 4 3 6" xfId="5733" xr:uid="{00000000-0005-0000-0000-00001FA90000}"/>
    <cellStyle name="Percent 2 2 4 3 6 2" xfId="14156" xr:uid="{00000000-0005-0000-0000-000020A90000}"/>
    <cellStyle name="Percent 2 2 4 3 6 3" xfId="20050" xr:uid="{00000000-0005-0000-0000-000021A90000}"/>
    <cellStyle name="Percent 2 2 4 3 7" xfId="9351" xr:uid="{00000000-0005-0000-0000-000022A90000}"/>
    <cellStyle name="Percent 2 2 4 3 8" xfId="20045" xr:uid="{00000000-0005-0000-0000-000023A90000}"/>
    <cellStyle name="Percent 2 2 4 3_LNG &amp; LPG rework" xfId="7655" xr:uid="{00000000-0005-0000-0000-000024A90000}"/>
    <cellStyle name="Percent 2 2 4 4" xfId="5734" xr:uid="{00000000-0005-0000-0000-000025A90000}"/>
    <cellStyle name="Percent 2 2 4 4 2" xfId="5735" xr:uid="{00000000-0005-0000-0000-000026A90000}"/>
    <cellStyle name="Percent 2 2 4 4 2 2" xfId="14158" xr:uid="{00000000-0005-0000-0000-000027A90000}"/>
    <cellStyle name="Percent 2 2 4 4 2 3" xfId="20052" xr:uid="{00000000-0005-0000-0000-000028A90000}"/>
    <cellStyle name="Percent 2 2 4 4 3" xfId="5736" xr:uid="{00000000-0005-0000-0000-000029A90000}"/>
    <cellStyle name="Percent 2 2 4 4 3 2" xfId="14159" xr:uid="{00000000-0005-0000-0000-00002AA90000}"/>
    <cellStyle name="Percent 2 2 4 4 3 3" xfId="20053" xr:uid="{00000000-0005-0000-0000-00002BA90000}"/>
    <cellStyle name="Percent 2 2 4 4 4" xfId="5737" xr:uid="{00000000-0005-0000-0000-00002CA90000}"/>
    <cellStyle name="Percent 2 2 4 4 4 2" xfId="14160" xr:uid="{00000000-0005-0000-0000-00002DA90000}"/>
    <cellStyle name="Percent 2 2 4 4 4 3" xfId="20054" xr:uid="{00000000-0005-0000-0000-00002EA90000}"/>
    <cellStyle name="Percent 2 2 4 4 5" xfId="5738" xr:uid="{00000000-0005-0000-0000-00002FA90000}"/>
    <cellStyle name="Percent 2 2 4 4 5 2" xfId="14161" xr:uid="{00000000-0005-0000-0000-000030A90000}"/>
    <cellStyle name="Percent 2 2 4 4 5 3" xfId="20055" xr:uid="{00000000-0005-0000-0000-000031A90000}"/>
    <cellStyle name="Percent 2 2 4 4 6" xfId="14157" xr:uid="{00000000-0005-0000-0000-000032A90000}"/>
    <cellStyle name="Percent 2 2 4 4 7" xfId="20051" xr:uid="{00000000-0005-0000-0000-000033A90000}"/>
    <cellStyle name="Percent 2 2 4 4_LNG &amp; LPG rework" xfId="7656" xr:uid="{00000000-0005-0000-0000-000034A90000}"/>
    <cellStyle name="Percent 2 2 4 5" xfId="5739" xr:uid="{00000000-0005-0000-0000-000035A90000}"/>
    <cellStyle name="Percent 2 2 4 5 2" xfId="5740" xr:uid="{00000000-0005-0000-0000-000036A90000}"/>
    <cellStyle name="Percent 2 2 4 5 2 2" xfId="14163" xr:uid="{00000000-0005-0000-0000-000037A90000}"/>
    <cellStyle name="Percent 2 2 4 5 2 3" xfId="20057" xr:uid="{00000000-0005-0000-0000-000038A90000}"/>
    <cellStyle name="Percent 2 2 4 5 3" xfId="5741" xr:uid="{00000000-0005-0000-0000-000039A90000}"/>
    <cellStyle name="Percent 2 2 4 5 3 2" xfId="14164" xr:uid="{00000000-0005-0000-0000-00003AA90000}"/>
    <cellStyle name="Percent 2 2 4 5 3 3" xfId="20058" xr:uid="{00000000-0005-0000-0000-00003BA90000}"/>
    <cellStyle name="Percent 2 2 4 5 4" xfId="5742" xr:uid="{00000000-0005-0000-0000-00003CA90000}"/>
    <cellStyle name="Percent 2 2 4 5 4 2" xfId="14165" xr:uid="{00000000-0005-0000-0000-00003DA90000}"/>
    <cellStyle name="Percent 2 2 4 5 4 3" xfId="20059" xr:uid="{00000000-0005-0000-0000-00003EA90000}"/>
    <cellStyle name="Percent 2 2 4 5 5" xfId="5743" xr:uid="{00000000-0005-0000-0000-00003FA90000}"/>
    <cellStyle name="Percent 2 2 4 5 5 2" xfId="14166" xr:uid="{00000000-0005-0000-0000-000040A90000}"/>
    <cellStyle name="Percent 2 2 4 5 5 3" xfId="20060" xr:uid="{00000000-0005-0000-0000-000041A90000}"/>
    <cellStyle name="Percent 2 2 4 5 6" xfId="14162" xr:uid="{00000000-0005-0000-0000-000042A90000}"/>
    <cellStyle name="Percent 2 2 4 5 7" xfId="20056" xr:uid="{00000000-0005-0000-0000-000043A90000}"/>
    <cellStyle name="Percent 2 2 4 5_LNG &amp; LPG rework" xfId="7657" xr:uid="{00000000-0005-0000-0000-000044A90000}"/>
    <cellStyle name="Percent 2 2 4 6" xfId="5744" xr:uid="{00000000-0005-0000-0000-000045A90000}"/>
    <cellStyle name="Percent 2 2 4 6 2" xfId="14167" xr:uid="{00000000-0005-0000-0000-000046A90000}"/>
    <cellStyle name="Percent 2 2 4 6 3" xfId="20061" xr:uid="{00000000-0005-0000-0000-000047A90000}"/>
    <cellStyle name="Percent 2 2 4 7" xfId="5745" xr:uid="{00000000-0005-0000-0000-000048A90000}"/>
    <cellStyle name="Percent 2 2 4 7 2" xfId="14168" xr:uid="{00000000-0005-0000-0000-000049A90000}"/>
    <cellStyle name="Percent 2 2 4 7 3" xfId="20062" xr:uid="{00000000-0005-0000-0000-00004AA90000}"/>
    <cellStyle name="Percent 2 2 4 8" xfId="5746" xr:uid="{00000000-0005-0000-0000-00004BA90000}"/>
    <cellStyle name="Percent 2 2 4 8 2" xfId="14169" xr:uid="{00000000-0005-0000-0000-00004CA90000}"/>
    <cellStyle name="Percent 2 2 4 8 3" xfId="20063" xr:uid="{00000000-0005-0000-0000-00004DA90000}"/>
    <cellStyle name="Percent 2 2 4 9" xfId="5747" xr:uid="{00000000-0005-0000-0000-00004EA90000}"/>
    <cellStyle name="Percent 2 2 4 9 2" xfId="14170" xr:uid="{00000000-0005-0000-0000-00004FA90000}"/>
    <cellStyle name="Percent 2 2 4 9 3" xfId="20064" xr:uid="{00000000-0005-0000-0000-000050A90000}"/>
    <cellStyle name="Percent 2 2 4_LNG &amp; LPG rework" xfId="7651" xr:uid="{00000000-0005-0000-0000-000051A90000}"/>
    <cellStyle name="Percent 2 2 5" xfId="533" xr:uid="{00000000-0005-0000-0000-000052A90000}"/>
    <cellStyle name="Percent 2 2 5 10" xfId="20065" xr:uid="{00000000-0005-0000-0000-000053A90000}"/>
    <cellStyle name="Percent 2 2 5 2" xfId="534" xr:uid="{00000000-0005-0000-0000-000054A90000}"/>
    <cellStyle name="Percent 2 2 5 2 2" xfId="5748" xr:uid="{00000000-0005-0000-0000-000055A90000}"/>
    <cellStyle name="Percent 2 2 5 2 2 2" xfId="14171" xr:uid="{00000000-0005-0000-0000-000056A90000}"/>
    <cellStyle name="Percent 2 2 5 2 2 3" xfId="20067" xr:uid="{00000000-0005-0000-0000-000057A90000}"/>
    <cellStyle name="Percent 2 2 5 2 3" xfId="5749" xr:uid="{00000000-0005-0000-0000-000058A90000}"/>
    <cellStyle name="Percent 2 2 5 2 3 2" xfId="14172" xr:uid="{00000000-0005-0000-0000-000059A90000}"/>
    <cellStyle name="Percent 2 2 5 2 3 3" xfId="20068" xr:uid="{00000000-0005-0000-0000-00005AA90000}"/>
    <cellStyle name="Percent 2 2 5 2 4" xfId="5750" xr:uid="{00000000-0005-0000-0000-00005BA90000}"/>
    <cellStyle name="Percent 2 2 5 2 4 2" xfId="14173" xr:uid="{00000000-0005-0000-0000-00005CA90000}"/>
    <cellStyle name="Percent 2 2 5 2 4 3" xfId="20069" xr:uid="{00000000-0005-0000-0000-00005DA90000}"/>
    <cellStyle name="Percent 2 2 5 2 5" xfId="5751" xr:uid="{00000000-0005-0000-0000-00005EA90000}"/>
    <cellStyle name="Percent 2 2 5 2 5 2" xfId="14174" xr:uid="{00000000-0005-0000-0000-00005FA90000}"/>
    <cellStyle name="Percent 2 2 5 2 5 3" xfId="20070" xr:uid="{00000000-0005-0000-0000-000060A90000}"/>
    <cellStyle name="Percent 2 2 5 2 6" xfId="5752" xr:uid="{00000000-0005-0000-0000-000061A90000}"/>
    <cellStyle name="Percent 2 2 5 2 6 2" xfId="14175" xr:uid="{00000000-0005-0000-0000-000062A90000}"/>
    <cellStyle name="Percent 2 2 5 2 6 3" xfId="20071" xr:uid="{00000000-0005-0000-0000-000063A90000}"/>
    <cellStyle name="Percent 2 2 5 2 7" xfId="9353" xr:uid="{00000000-0005-0000-0000-000064A90000}"/>
    <cellStyle name="Percent 2 2 5 2 8" xfId="20066" xr:uid="{00000000-0005-0000-0000-000065A90000}"/>
    <cellStyle name="Percent 2 2 5 2_LNG &amp; LPG rework" xfId="7659" xr:uid="{00000000-0005-0000-0000-000066A90000}"/>
    <cellStyle name="Percent 2 2 5 3" xfId="5753" xr:uid="{00000000-0005-0000-0000-000067A90000}"/>
    <cellStyle name="Percent 2 2 5 3 2" xfId="5754" xr:uid="{00000000-0005-0000-0000-000068A90000}"/>
    <cellStyle name="Percent 2 2 5 3 2 2" xfId="14177" xr:uid="{00000000-0005-0000-0000-000069A90000}"/>
    <cellStyle name="Percent 2 2 5 3 2 3" xfId="20073" xr:uid="{00000000-0005-0000-0000-00006AA90000}"/>
    <cellStyle name="Percent 2 2 5 3 3" xfId="5755" xr:uid="{00000000-0005-0000-0000-00006BA90000}"/>
    <cellStyle name="Percent 2 2 5 3 3 2" xfId="14178" xr:uid="{00000000-0005-0000-0000-00006CA90000}"/>
    <cellStyle name="Percent 2 2 5 3 3 3" xfId="20074" xr:uid="{00000000-0005-0000-0000-00006DA90000}"/>
    <cellStyle name="Percent 2 2 5 3 4" xfId="5756" xr:uid="{00000000-0005-0000-0000-00006EA90000}"/>
    <cellStyle name="Percent 2 2 5 3 4 2" xfId="14179" xr:uid="{00000000-0005-0000-0000-00006FA90000}"/>
    <cellStyle name="Percent 2 2 5 3 4 3" xfId="20075" xr:uid="{00000000-0005-0000-0000-000070A90000}"/>
    <cellStyle name="Percent 2 2 5 3 5" xfId="5757" xr:uid="{00000000-0005-0000-0000-000071A90000}"/>
    <cellStyle name="Percent 2 2 5 3 5 2" xfId="14180" xr:uid="{00000000-0005-0000-0000-000072A90000}"/>
    <cellStyle name="Percent 2 2 5 3 5 3" xfId="20076" xr:uid="{00000000-0005-0000-0000-000073A90000}"/>
    <cellStyle name="Percent 2 2 5 3 6" xfId="14176" xr:uid="{00000000-0005-0000-0000-000074A90000}"/>
    <cellStyle name="Percent 2 2 5 3 7" xfId="20072" xr:uid="{00000000-0005-0000-0000-000075A90000}"/>
    <cellStyle name="Percent 2 2 5 3_LNG &amp; LPG rework" xfId="7660" xr:uid="{00000000-0005-0000-0000-000076A90000}"/>
    <cellStyle name="Percent 2 2 5 4" xfId="5758" xr:uid="{00000000-0005-0000-0000-000077A90000}"/>
    <cellStyle name="Percent 2 2 5 4 2" xfId="14181" xr:uid="{00000000-0005-0000-0000-000078A90000}"/>
    <cellStyle name="Percent 2 2 5 4 3" xfId="20077" xr:uid="{00000000-0005-0000-0000-000079A90000}"/>
    <cellStyle name="Percent 2 2 5 5" xfId="5759" xr:uid="{00000000-0005-0000-0000-00007AA90000}"/>
    <cellStyle name="Percent 2 2 5 5 2" xfId="14182" xr:uid="{00000000-0005-0000-0000-00007BA90000}"/>
    <cellStyle name="Percent 2 2 5 5 3" xfId="20078" xr:uid="{00000000-0005-0000-0000-00007CA90000}"/>
    <cellStyle name="Percent 2 2 5 6" xfId="5760" xr:uid="{00000000-0005-0000-0000-00007DA90000}"/>
    <cellStyle name="Percent 2 2 5 6 2" xfId="14183" xr:uid="{00000000-0005-0000-0000-00007EA90000}"/>
    <cellStyle name="Percent 2 2 5 6 3" xfId="20079" xr:uid="{00000000-0005-0000-0000-00007FA90000}"/>
    <cellStyle name="Percent 2 2 5 7" xfId="5761" xr:uid="{00000000-0005-0000-0000-000080A90000}"/>
    <cellStyle name="Percent 2 2 5 7 2" xfId="14184" xr:uid="{00000000-0005-0000-0000-000081A90000}"/>
    <cellStyle name="Percent 2 2 5 7 3" xfId="20080" xr:uid="{00000000-0005-0000-0000-000082A90000}"/>
    <cellStyle name="Percent 2 2 5 8" xfId="5762" xr:uid="{00000000-0005-0000-0000-000083A90000}"/>
    <cellStyle name="Percent 2 2 5 8 2" xfId="14185" xr:uid="{00000000-0005-0000-0000-000084A90000}"/>
    <cellStyle name="Percent 2 2 5 8 3" xfId="20081" xr:uid="{00000000-0005-0000-0000-000085A90000}"/>
    <cellStyle name="Percent 2 2 5 9" xfId="9352" xr:uid="{00000000-0005-0000-0000-000086A90000}"/>
    <cellStyle name="Percent 2 2 5_LNG &amp; LPG rework" xfId="7658" xr:uid="{00000000-0005-0000-0000-000087A90000}"/>
    <cellStyle name="Percent 2 2 6" xfId="535" xr:uid="{00000000-0005-0000-0000-000088A90000}"/>
    <cellStyle name="Percent 2 2 6 2" xfId="5763" xr:uid="{00000000-0005-0000-0000-000089A90000}"/>
    <cellStyle name="Percent 2 2 6 2 2" xfId="14186" xr:uid="{00000000-0005-0000-0000-00008AA90000}"/>
    <cellStyle name="Percent 2 2 6 2 3" xfId="20083" xr:uid="{00000000-0005-0000-0000-00008BA90000}"/>
    <cellStyle name="Percent 2 2 6 3" xfId="5764" xr:uid="{00000000-0005-0000-0000-00008CA90000}"/>
    <cellStyle name="Percent 2 2 6 3 2" xfId="14187" xr:uid="{00000000-0005-0000-0000-00008DA90000}"/>
    <cellStyle name="Percent 2 2 6 3 3" xfId="20084" xr:uid="{00000000-0005-0000-0000-00008EA90000}"/>
    <cellStyle name="Percent 2 2 6 4" xfId="9354" xr:uid="{00000000-0005-0000-0000-00008FA90000}"/>
    <cellStyle name="Percent 2 2 6 5" xfId="20082" xr:uid="{00000000-0005-0000-0000-000090A90000}"/>
    <cellStyle name="Percent 2 2 6_LNG &amp; LPG rework" xfId="7661" xr:uid="{00000000-0005-0000-0000-000091A90000}"/>
    <cellStyle name="Percent 2 2 7" xfId="504" xr:uid="{00000000-0005-0000-0000-000092A90000}"/>
    <cellStyle name="Percent 2 2 7 2" xfId="5765" xr:uid="{00000000-0005-0000-0000-000093A90000}"/>
    <cellStyle name="Percent 2 2 7 2 2" xfId="14188" xr:uid="{00000000-0005-0000-0000-000094A90000}"/>
    <cellStyle name="Percent 2 2 7 2 3" xfId="20086" xr:uid="{00000000-0005-0000-0000-000095A90000}"/>
    <cellStyle name="Percent 2 2 7 3" xfId="5766" xr:uid="{00000000-0005-0000-0000-000096A90000}"/>
    <cellStyle name="Percent 2 2 7 3 2" xfId="14189" xr:uid="{00000000-0005-0000-0000-000097A90000}"/>
    <cellStyle name="Percent 2 2 7 3 3" xfId="20087" xr:uid="{00000000-0005-0000-0000-000098A90000}"/>
    <cellStyle name="Percent 2 2 7 4" xfId="5767" xr:uid="{00000000-0005-0000-0000-000099A90000}"/>
    <cellStyle name="Percent 2 2 7 4 2" xfId="14190" xr:uid="{00000000-0005-0000-0000-00009AA90000}"/>
    <cellStyle name="Percent 2 2 7 4 3" xfId="20088" xr:uid="{00000000-0005-0000-0000-00009BA90000}"/>
    <cellStyle name="Percent 2 2 7 5" xfId="5768" xr:uid="{00000000-0005-0000-0000-00009CA90000}"/>
    <cellStyle name="Percent 2 2 7 5 2" xfId="14191" xr:uid="{00000000-0005-0000-0000-00009DA90000}"/>
    <cellStyle name="Percent 2 2 7 5 3" xfId="20089" xr:uid="{00000000-0005-0000-0000-00009EA90000}"/>
    <cellStyle name="Percent 2 2 7 6" xfId="9323" xr:uid="{00000000-0005-0000-0000-00009FA90000}"/>
    <cellStyle name="Percent 2 2 7 7" xfId="20085" xr:uid="{00000000-0005-0000-0000-0000A0A90000}"/>
    <cellStyle name="Percent 2 2 7_LNG &amp; LPG rework" xfId="7662" xr:uid="{00000000-0005-0000-0000-0000A1A90000}"/>
    <cellStyle name="Percent 2 2 8" xfId="5769" xr:uid="{00000000-0005-0000-0000-0000A2A90000}"/>
    <cellStyle name="Percent 2 2 8 2" xfId="5770" xr:uid="{00000000-0005-0000-0000-0000A3A90000}"/>
    <cellStyle name="Percent 2 2 8 2 2" xfId="14193" xr:uid="{00000000-0005-0000-0000-0000A4A90000}"/>
    <cellStyle name="Percent 2 2 8 2 3" xfId="20091" xr:uid="{00000000-0005-0000-0000-0000A5A90000}"/>
    <cellStyle name="Percent 2 2 8 3" xfId="5771" xr:uid="{00000000-0005-0000-0000-0000A6A90000}"/>
    <cellStyle name="Percent 2 2 8 3 2" xfId="14194" xr:uid="{00000000-0005-0000-0000-0000A7A90000}"/>
    <cellStyle name="Percent 2 2 8 3 3" xfId="20092" xr:uid="{00000000-0005-0000-0000-0000A8A90000}"/>
    <cellStyle name="Percent 2 2 8 4" xfId="5772" xr:uid="{00000000-0005-0000-0000-0000A9A90000}"/>
    <cellStyle name="Percent 2 2 8 4 2" xfId="14195" xr:uid="{00000000-0005-0000-0000-0000AAA90000}"/>
    <cellStyle name="Percent 2 2 8 4 3" xfId="20093" xr:uid="{00000000-0005-0000-0000-0000ABA90000}"/>
    <cellStyle name="Percent 2 2 8 5" xfId="5773" xr:uid="{00000000-0005-0000-0000-0000ACA90000}"/>
    <cellStyle name="Percent 2 2 8 5 2" xfId="14196" xr:uid="{00000000-0005-0000-0000-0000ADA90000}"/>
    <cellStyle name="Percent 2 2 8 5 3" xfId="20094" xr:uid="{00000000-0005-0000-0000-0000AEA90000}"/>
    <cellStyle name="Percent 2 2 8 6" xfId="14192" xr:uid="{00000000-0005-0000-0000-0000AFA90000}"/>
    <cellStyle name="Percent 2 2 8 7" xfId="20090" xr:uid="{00000000-0005-0000-0000-0000B0A90000}"/>
    <cellStyle name="Percent 2 2 8_LNG &amp; LPG rework" xfId="7663" xr:uid="{00000000-0005-0000-0000-0000B1A90000}"/>
    <cellStyle name="Percent 2 2 9" xfId="5774" xr:uid="{00000000-0005-0000-0000-0000B2A90000}"/>
    <cellStyle name="Percent 2 2 9 2" xfId="5775" xr:uid="{00000000-0005-0000-0000-0000B3A90000}"/>
    <cellStyle name="Percent 2 2 9 2 2" xfId="14198" xr:uid="{00000000-0005-0000-0000-0000B4A90000}"/>
    <cellStyle name="Percent 2 2 9 2 3" xfId="20096" xr:uid="{00000000-0005-0000-0000-0000B5A90000}"/>
    <cellStyle name="Percent 2 2 9 3" xfId="5776" xr:uid="{00000000-0005-0000-0000-0000B6A90000}"/>
    <cellStyle name="Percent 2 2 9 3 2" xfId="14199" xr:uid="{00000000-0005-0000-0000-0000B7A90000}"/>
    <cellStyle name="Percent 2 2 9 3 3" xfId="20097" xr:uid="{00000000-0005-0000-0000-0000B8A90000}"/>
    <cellStyle name="Percent 2 2 9 4" xfId="5777" xr:uid="{00000000-0005-0000-0000-0000B9A90000}"/>
    <cellStyle name="Percent 2 2 9 4 2" xfId="14200" xr:uid="{00000000-0005-0000-0000-0000BAA90000}"/>
    <cellStyle name="Percent 2 2 9 4 3" xfId="20098" xr:uid="{00000000-0005-0000-0000-0000BBA90000}"/>
    <cellStyle name="Percent 2 2 9 5" xfId="5778" xr:uid="{00000000-0005-0000-0000-0000BCA90000}"/>
    <cellStyle name="Percent 2 2 9 5 2" xfId="14201" xr:uid="{00000000-0005-0000-0000-0000BDA90000}"/>
    <cellStyle name="Percent 2 2 9 5 3" xfId="20099" xr:uid="{00000000-0005-0000-0000-0000BEA90000}"/>
    <cellStyle name="Percent 2 2 9 6" xfId="14197" xr:uid="{00000000-0005-0000-0000-0000BFA90000}"/>
    <cellStyle name="Percent 2 2 9 7" xfId="20095" xr:uid="{00000000-0005-0000-0000-0000C0A90000}"/>
    <cellStyle name="Percent 2 2 9_LNG &amp; LPG rework" xfId="7664" xr:uid="{00000000-0005-0000-0000-0000C1A90000}"/>
    <cellStyle name="Percent 2 2_LNG &amp; LPG rework" xfId="7608" xr:uid="{00000000-0005-0000-0000-0000C2A90000}"/>
    <cellStyle name="Percent 2 3" xfId="536" xr:uid="{00000000-0005-0000-0000-0000C3A90000}"/>
    <cellStyle name="Percent 2 3 10" xfId="5779" xr:uid="{00000000-0005-0000-0000-0000C4A90000}"/>
    <cellStyle name="Percent 2 3 10 2" xfId="14202" xr:uid="{00000000-0005-0000-0000-0000C5A90000}"/>
    <cellStyle name="Percent 2 3 10 3" xfId="20101" xr:uid="{00000000-0005-0000-0000-0000C6A90000}"/>
    <cellStyle name="Percent 2 3 11" xfId="5780" xr:uid="{00000000-0005-0000-0000-0000C7A90000}"/>
    <cellStyle name="Percent 2 3 11 2" xfId="14203" xr:uid="{00000000-0005-0000-0000-0000C8A90000}"/>
    <cellStyle name="Percent 2 3 11 3" xfId="20102" xr:uid="{00000000-0005-0000-0000-0000C9A90000}"/>
    <cellStyle name="Percent 2 3 12" xfId="5781" xr:uid="{00000000-0005-0000-0000-0000CAA90000}"/>
    <cellStyle name="Percent 2 3 12 2" xfId="14204" xr:uid="{00000000-0005-0000-0000-0000CBA90000}"/>
    <cellStyle name="Percent 2 3 12 3" xfId="20103" xr:uid="{00000000-0005-0000-0000-0000CCA90000}"/>
    <cellStyle name="Percent 2 3 13" xfId="5782" xr:uid="{00000000-0005-0000-0000-0000CDA90000}"/>
    <cellStyle name="Percent 2 3 13 2" xfId="14205" xr:uid="{00000000-0005-0000-0000-0000CEA90000}"/>
    <cellStyle name="Percent 2 3 13 3" xfId="20104" xr:uid="{00000000-0005-0000-0000-0000CFA90000}"/>
    <cellStyle name="Percent 2 3 14" xfId="9355" xr:uid="{00000000-0005-0000-0000-0000D0A90000}"/>
    <cellStyle name="Percent 2 3 15" xfId="20100" xr:uid="{00000000-0005-0000-0000-0000D1A90000}"/>
    <cellStyle name="Percent 2 3 2" xfId="537" xr:uid="{00000000-0005-0000-0000-0000D2A90000}"/>
    <cellStyle name="Percent 2 3 2 10" xfId="5783" xr:uid="{00000000-0005-0000-0000-0000D3A90000}"/>
    <cellStyle name="Percent 2 3 2 10 2" xfId="14206" xr:uid="{00000000-0005-0000-0000-0000D4A90000}"/>
    <cellStyle name="Percent 2 3 2 10 3" xfId="20106" xr:uid="{00000000-0005-0000-0000-0000D5A90000}"/>
    <cellStyle name="Percent 2 3 2 11" xfId="5784" xr:uid="{00000000-0005-0000-0000-0000D6A90000}"/>
    <cellStyle name="Percent 2 3 2 11 2" xfId="14207" xr:uid="{00000000-0005-0000-0000-0000D7A90000}"/>
    <cellStyle name="Percent 2 3 2 11 3" xfId="20107" xr:uid="{00000000-0005-0000-0000-0000D8A90000}"/>
    <cellStyle name="Percent 2 3 2 12" xfId="5785" xr:uid="{00000000-0005-0000-0000-0000D9A90000}"/>
    <cellStyle name="Percent 2 3 2 12 2" xfId="14208" xr:uid="{00000000-0005-0000-0000-0000DAA90000}"/>
    <cellStyle name="Percent 2 3 2 12 3" xfId="20108" xr:uid="{00000000-0005-0000-0000-0000DBA90000}"/>
    <cellStyle name="Percent 2 3 2 13" xfId="9356" xr:uid="{00000000-0005-0000-0000-0000DCA90000}"/>
    <cellStyle name="Percent 2 3 2 14" xfId="20105" xr:uid="{00000000-0005-0000-0000-0000DDA90000}"/>
    <cellStyle name="Percent 2 3 2 2" xfId="538" xr:uid="{00000000-0005-0000-0000-0000DEA90000}"/>
    <cellStyle name="Percent 2 3 2 2 10" xfId="5786" xr:uid="{00000000-0005-0000-0000-0000DFA90000}"/>
    <cellStyle name="Percent 2 3 2 2 10 2" xfId="14209" xr:uid="{00000000-0005-0000-0000-0000E0A90000}"/>
    <cellStyle name="Percent 2 3 2 2 10 3" xfId="20110" xr:uid="{00000000-0005-0000-0000-0000E1A90000}"/>
    <cellStyle name="Percent 2 3 2 2 11" xfId="5787" xr:uid="{00000000-0005-0000-0000-0000E2A90000}"/>
    <cellStyle name="Percent 2 3 2 2 11 2" xfId="14210" xr:uid="{00000000-0005-0000-0000-0000E3A90000}"/>
    <cellStyle name="Percent 2 3 2 2 11 3" xfId="20111" xr:uid="{00000000-0005-0000-0000-0000E4A90000}"/>
    <cellStyle name="Percent 2 3 2 2 12" xfId="9357" xr:uid="{00000000-0005-0000-0000-0000E5A90000}"/>
    <cellStyle name="Percent 2 3 2 2 13" xfId="20109" xr:uid="{00000000-0005-0000-0000-0000E6A90000}"/>
    <cellStyle name="Percent 2 3 2 2 2" xfId="539" xr:uid="{00000000-0005-0000-0000-0000E7A90000}"/>
    <cellStyle name="Percent 2 3 2 2 2 10" xfId="5788" xr:uid="{00000000-0005-0000-0000-0000E8A90000}"/>
    <cellStyle name="Percent 2 3 2 2 2 10 2" xfId="14211" xr:uid="{00000000-0005-0000-0000-0000E9A90000}"/>
    <cellStyle name="Percent 2 3 2 2 2 10 3" xfId="20113" xr:uid="{00000000-0005-0000-0000-0000EAA90000}"/>
    <cellStyle name="Percent 2 3 2 2 2 11" xfId="9358" xr:uid="{00000000-0005-0000-0000-0000EBA90000}"/>
    <cellStyle name="Percent 2 3 2 2 2 12" xfId="20112" xr:uid="{00000000-0005-0000-0000-0000ECA90000}"/>
    <cellStyle name="Percent 2 3 2 2 2 2" xfId="540" xr:uid="{00000000-0005-0000-0000-0000EDA90000}"/>
    <cellStyle name="Percent 2 3 2 2 2 2 10" xfId="20114" xr:uid="{00000000-0005-0000-0000-0000EEA90000}"/>
    <cellStyle name="Percent 2 3 2 2 2 2 2" xfId="541" xr:uid="{00000000-0005-0000-0000-0000EFA90000}"/>
    <cellStyle name="Percent 2 3 2 2 2 2 2 2" xfId="5789" xr:uid="{00000000-0005-0000-0000-0000F0A90000}"/>
    <cellStyle name="Percent 2 3 2 2 2 2 2 2 2" xfId="14212" xr:uid="{00000000-0005-0000-0000-0000F1A90000}"/>
    <cellStyle name="Percent 2 3 2 2 2 2 2 2 3" xfId="20116" xr:uid="{00000000-0005-0000-0000-0000F2A90000}"/>
    <cellStyle name="Percent 2 3 2 2 2 2 2 3" xfId="5790" xr:uid="{00000000-0005-0000-0000-0000F3A90000}"/>
    <cellStyle name="Percent 2 3 2 2 2 2 2 3 2" xfId="14213" xr:uid="{00000000-0005-0000-0000-0000F4A90000}"/>
    <cellStyle name="Percent 2 3 2 2 2 2 2 3 3" xfId="20117" xr:uid="{00000000-0005-0000-0000-0000F5A90000}"/>
    <cellStyle name="Percent 2 3 2 2 2 2 2 4" xfId="5791" xr:uid="{00000000-0005-0000-0000-0000F6A90000}"/>
    <cellStyle name="Percent 2 3 2 2 2 2 2 4 2" xfId="14214" xr:uid="{00000000-0005-0000-0000-0000F7A90000}"/>
    <cellStyle name="Percent 2 3 2 2 2 2 2 4 3" xfId="20118" xr:uid="{00000000-0005-0000-0000-0000F8A90000}"/>
    <cellStyle name="Percent 2 3 2 2 2 2 2 5" xfId="5792" xr:uid="{00000000-0005-0000-0000-0000F9A90000}"/>
    <cellStyle name="Percent 2 3 2 2 2 2 2 5 2" xfId="14215" xr:uid="{00000000-0005-0000-0000-0000FAA90000}"/>
    <cellStyle name="Percent 2 3 2 2 2 2 2 5 3" xfId="20119" xr:uid="{00000000-0005-0000-0000-0000FBA90000}"/>
    <cellStyle name="Percent 2 3 2 2 2 2 2 6" xfId="5793" xr:uid="{00000000-0005-0000-0000-0000FCA90000}"/>
    <cellStyle name="Percent 2 3 2 2 2 2 2 6 2" xfId="14216" xr:uid="{00000000-0005-0000-0000-0000FDA90000}"/>
    <cellStyle name="Percent 2 3 2 2 2 2 2 6 3" xfId="20120" xr:uid="{00000000-0005-0000-0000-0000FEA90000}"/>
    <cellStyle name="Percent 2 3 2 2 2 2 2 7" xfId="9360" xr:uid="{00000000-0005-0000-0000-0000FFA90000}"/>
    <cellStyle name="Percent 2 3 2 2 2 2 2 8" xfId="20115" xr:uid="{00000000-0005-0000-0000-000000AA0000}"/>
    <cellStyle name="Percent 2 3 2 2 2 2 2_LNG &amp; LPG rework" xfId="7670" xr:uid="{00000000-0005-0000-0000-000001AA0000}"/>
    <cellStyle name="Percent 2 3 2 2 2 2 3" xfId="5794" xr:uid="{00000000-0005-0000-0000-000002AA0000}"/>
    <cellStyle name="Percent 2 3 2 2 2 2 3 2" xfId="5795" xr:uid="{00000000-0005-0000-0000-000003AA0000}"/>
    <cellStyle name="Percent 2 3 2 2 2 2 3 2 2" xfId="14218" xr:uid="{00000000-0005-0000-0000-000004AA0000}"/>
    <cellStyle name="Percent 2 3 2 2 2 2 3 2 3" xfId="20122" xr:uid="{00000000-0005-0000-0000-000005AA0000}"/>
    <cellStyle name="Percent 2 3 2 2 2 2 3 3" xfId="5796" xr:uid="{00000000-0005-0000-0000-000006AA0000}"/>
    <cellStyle name="Percent 2 3 2 2 2 2 3 3 2" xfId="14219" xr:uid="{00000000-0005-0000-0000-000007AA0000}"/>
    <cellStyle name="Percent 2 3 2 2 2 2 3 3 3" xfId="20123" xr:uid="{00000000-0005-0000-0000-000008AA0000}"/>
    <cellStyle name="Percent 2 3 2 2 2 2 3 4" xfId="5797" xr:uid="{00000000-0005-0000-0000-000009AA0000}"/>
    <cellStyle name="Percent 2 3 2 2 2 2 3 4 2" xfId="14220" xr:uid="{00000000-0005-0000-0000-00000AAA0000}"/>
    <cellStyle name="Percent 2 3 2 2 2 2 3 4 3" xfId="20124" xr:uid="{00000000-0005-0000-0000-00000BAA0000}"/>
    <cellStyle name="Percent 2 3 2 2 2 2 3 5" xfId="5798" xr:uid="{00000000-0005-0000-0000-00000CAA0000}"/>
    <cellStyle name="Percent 2 3 2 2 2 2 3 5 2" xfId="14221" xr:uid="{00000000-0005-0000-0000-00000DAA0000}"/>
    <cellStyle name="Percent 2 3 2 2 2 2 3 5 3" xfId="20125" xr:uid="{00000000-0005-0000-0000-00000EAA0000}"/>
    <cellStyle name="Percent 2 3 2 2 2 2 3 6" xfId="14217" xr:uid="{00000000-0005-0000-0000-00000FAA0000}"/>
    <cellStyle name="Percent 2 3 2 2 2 2 3 7" xfId="20121" xr:uid="{00000000-0005-0000-0000-000010AA0000}"/>
    <cellStyle name="Percent 2 3 2 2 2 2 3_LNG &amp; LPG rework" xfId="7671" xr:uid="{00000000-0005-0000-0000-000011AA0000}"/>
    <cellStyle name="Percent 2 3 2 2 2 2 4" xfId="5799" xr:uid="{00000000-0005-0000-0000-000012AA0000}"/>
    <cellStyle name="Percent 2 3 2 2 2 2 4 2" xfId="14222" xr:uid="{00000000-0005-0000-0000-000013AA0000}"/>
    <cellStyle name="Percent 2 3 2 2 2 2 4 3" xfId="20126" xr:uid="{00000000-0005-0000-0000-000014AA0000}"/>
    <cellStyle name="Percent 2 3 2 2 2 2 5" xfId="5800" xr:uid="{00000000-0005-0000-0000-000015AA0000}"/>
    <cellStyle name="Percent 2 3 2 2 2 2 5 2" xfId="14223" xr:uid="{00000000-0005-0000-0000-000016AA0000}"/>
    <cellStyle name="Percent 2 3 2 2 2 2 5 3" xfId="20127" xr:uid="{00000000-0005-0000-0000-000017AA0000}"/>
    <cellStyle name="Percent 2 3 2 2 2 2 6" xfId="5801" xr:uid="{00000000-0005-0000-0000-000018AA0000}"/>
    <cellStyle name="Percent 2 3 2 2 2 2 6 2" xfId="14224" xr:uid="{00000000-0005-0000-0000-000019AA0000}"/>
    <cellStyle name="Percent 2 3 2 2 2 2 6 3" xfId="20128" xr:uid="{00000000-0005-0000-0000-00001AAA0000}"/>
    <cellStyle name="Percent 2 3 2 2 2 2 7" xfId="5802" xr:uid="{00000000-0005-0000-0000-00001BAA0000}"/>
    <cellStyle name="Percent 2 3 2 2 2 2 7 2" xfId="14225" xr:uid="{00000000-0005-0000-0000-00001CAA0000}"/>
    <cellStyle name="Percent 2 3 2 2 2 2 7 3" xfId="20129" xr:uid="{00000000-0005-0000-0000-00001DAA0000}"/>
    <cellStyle name="Percent 2 3 2 2 2 2 8" xfId="5803" xr:uid="{00000000-0005-0000-0000-00001EAA0000}"/>
    <cellStyle name="Percent 2 3 2 2 2 2 8 2" xfId="14226" xr:uid="{00000000-0005-0000-0000-00001FAA0000}"/>
    <cellStyle name="Percent 2 3 2 2 2 2 8 3" xfId="20130" xr:uid="{00000000-0005-0000-0000-000020AA0000}"/>
    <cellStyle name="Percent 2 3 2 2 2 2 9" xfId="9359" xr:uid="{00000000-0005-0000-0000-000021AA0000}"/>
    <cellStyle name="Percent 2 3 2 2 2 2_LNG &amp; LPG rework" xfId="7669" xr:uid="{00000000-0005-0000-0000-000022AA0000}"/>
    <cellStyle name="Percent 2 3 2 2 2 3" xfId="542" xr:uid="{00000000-0005-0000-0000-000023AA0000}"/>
    <cellStyle name="Percent 2 3 2 2 2 3 2" xfId="5804" xr:uid="{00000000-0005-0000-0000-000024AA0000}"/>
    <cellStyle name="Percent 2 3 2 2 2 3 2 2" xfId="14227" xr:uid="{00000000-0005-0000-0000-000025AA0000}"/>
    <cellStyle name="Percent 2 3 2 2 2 3 2 3" xfId="20132" xr:uid="{00000000-0005-0000-0000-000026AA0000}"/>
    <cellStyle name="Percent 2 3 2 2 2 3 3" xfId="5805" xr:uid="{00000000-0005-0000-0000-000027AA0000}"/>
    <cellStyle name="Percent 2 3 2 2 2 3 3 2" xfId="14228" xr:uid="{00000000-0005-0000-0000-000028AA0000}"/>
    <cellStyle name="Percent 2 3 2 2 2 3 3 3" xfId="20133" xr:uid="{00000000-0005-0000-0000-000029AA0000}"/>
    <cellStyle name="Percent 2 3 2 2 2 3 4" xfId="5806" xr:uid="{00000000-0005-0000-0000-00002AAA0000}"/>
    <cellStyle name="Percent 2 3 2 2 2 3 4 2" xfId="14229" xr:uid="{00000000-0005-0000-0000-00002BAA0000}"/>
    <cellStyle name="Percent 2 3 2 2 2 3 4 3" xfId="20134" xr:uid="{00000000-0005-0000-0000-00002CAA0000}"/>
    <cellStyle name="Percent 2 3 2 2 2 3 5" xfId="5807" xr:uid="{00000000-0005-0000-0000-00002DAA0000}"/>
    <cellStyle name="Percent 2 3 2 2 2 3 5 2" xfId="14230" xr:uid="{00000000-0005-0000-0000-00002EAA0000}"/>
    <cellStyle name="Percent 2 3 2 2 2 3 5 3" xfId="20135" xr:uid="{00000000-0005-0000-0000-00002FAA0000}"/>
    <cellStyle name="Percent 2 3 2 2 2 3 6" xfId="5808" xr:uid="{00000000-0005-0000-0000-000030AA0000}"/>
    <cellStyle name="Percent 2 3 2 2 2 3 6 2" xfId="14231" xr:uid="{00000000-0005-0000-0000-000031AA0000}"/>
    <cellStyle name="Percent 2 3 2 2 2 3 6 3" xfId="20136" xr:uid="{00000000-0005-0000-0000-000032AA0000}"/>
    <cellStyle name="Percent 2 3 2 2 2 3 7" xfId="9361" xr:uid="{00000000-0005-0000-0000-000033AA0000}"/>
    <cellStyle name="Percent 2 3 2 2 2 3 8" xfId="20131" xr:uid="{00000000-0005-0000-0000-000034AA0000}"/>
    <cellStyle name="Percent 2 3 2 2 2 3_LNG &amp; LPG rework" xfId="7672" xr:uid="{00000000-0005-0000-0000-000035AA0000}"/>
    <cellStyle name="Percent 2 3 2 2 2 4" xfId="5809" xr:uid="{00000000-0005-0000-0000-000036AA0000}"/>
    <cellStyle name="Percent 2 3 2 2 2 4 2" xfId="5810" xr:uid="{00000000-0005-0000-0000-000037AA0000}"/>
    <cellStyle name="Percent 2 3 2 2 2 4 2 2" xfId="14233" xr:uid="{00000000-0005-0000-0000-000038AA0000}"/>
    <cellStyle name="Percent 2 3 2 2 2 4 2 3" xfId="20138" xr:uid="{00000000-0005-0000-0000-000039AA0000}"/>
    <cellStyle name="Percent 2 3 2 2 2 4 3" xfId="5811" xr:uid="{00000000-0005-0000-0000-00003AAA0000}"/>
    <cellStyle name="Percent 2 3 2 2 2 4 3 2" xfId="14234" xr:uid="{00000000-0005-0000-0000-00003BAA0000}"/>
    <cellStyle name="Percent 2 3 2 2 2 4 3 3" xfId="20139" xr:uid="{00000000-0005-0000-0000-00003CAA0000}"/>
    <cellStyle name="Percent 2 3 2 2 2 4 4" xfId="5812" xr:uid="{00000000-0005-0000-0000-00003DAA0000}"/>
    <cellStyle name="Percent 2 3 2 2 2 4 4 2" xfId="14235" xr:uid="{00000000-0005-0000-0000-00003EAA0000}"/>
    <cellStyle name="Percent 2 3 2 2 2 4 4 3" xfId="20140" xr:uid="{00000000-0005-0000-0000-00003FAA0000}"/>
    <cellStyle name="Percent 2 3 2 2 2 4 5" xfId="5813" xr:uid="{00000000-0005-0000-0000-000040AA0000}"/>
    <cellStyle name="Percent 2 3 2 2 2 4 5 2" xfId="14236" xr:uid="{00000000-0005-0000-0000-000041AA0000}"/>
    <cellStyle name="Percent 2 3 2 2 2 4 5 3" xfId="20141" xr:uid="{00000000-0005-0000-0000-000042AA0000}"/>
    <cellStyle name="Percent 2 3 2 2 2 4 6" xfId="14232" xr:uid="{00000000-0005-0000-0000-000043AA0000}"/>
    <cellStyle name="Percent 2 3 2 2 2 4 7" xfId="20137" xr:uid="{00000000-0005-0000-0000-000044AA0000}"/>
    <cellStyle name="Percent 2 3 2 2 2 4_LNG &amp; LPG rework" xfId="7673" xr:uid="{00000000-0005-0000-0000-000045AA0000}"/>
    <cellStyle name="Percent 2 3 2 2 2 5" xfId="5814" xr:uid="{00000000-0005-0000-0000-000046AA0000}"/>
    <cellStyle name="Percent 2 3 2 2 2 5 2" xfId="5815" xr:uid="{00000000-0005-0000-0000-000047AA0000}"/>
    <cellStyle name="Percent 2 3 2 2 2 5 2 2" xfId="14238" xr:uid="{00000000-0005-0000-0000-000048AA0000}"/>
    <cellStyle name="Percent 2 3 2 2 2 5 2 3" xfId="20143" xr:uid="{00000000-0005-0000-0000-000049AA0000}"/>
    <cellStyle name="Percent 2 3 2 2 2 5 3" xfId="5816" xr:uid="{00000000-0005-0000-0000-00004AAA0000}"/>
    <cellStyle name="Percent 2 3 2 2 2 5 3 2" xfId="14239" xr:uid="{00000000-0005-0000-0000-00004BAA0000}"/>
    <cellStyle name="Percent 2 3 2 2 2 5 3 3" xfId="20144" xr:uid="{00000000-0005-0000-0000-00004CAA0000}"/>
    <cellStyle name="Percent 2 3 2 2 2 5 4" xfId="5817" xr:uid="{00000000-0005-0000-0000-00004DAA0000}"/>
    <cellStyle name="Percent 2 3 2 2 2 5 4 2" xfId="14240" xr:uid="{00000000-0005-0000-0000-00004EAA0000}"/>
    <cellStyle name="Percent 2 3 2 2 2 5 4 3" xfId="20145" xr:uid="{00000000-0005-0000-0000-00004FAA0000}"/>
    <cellStyle name="Percent 2 3 2 2 2 5 5" xfId="5818" xr:uid="{00000000-0005-0000-0000-000050AA0000}"/>
    <cellStyle name="Percent 2 3 2 2 2 5 5 2" xfId="14241" xr:uid="{00000000-0005-0000-0000-000051AA0000}"/>
    <cellStyle name="Percent 2 3 2 2 2 5 5 3" xfId="20146" xr:uid="{00000000-0005-0000-0000-000052AA0000}"/>
    <cellStyle name="Percent 2 3 2 2 2 5 6" xfId="14237" xr:uid="{00000000-0005-0000-0000-000053AA0000}"/>
    <cellStyle name="Percent 2 3 2 2 2 5 7" xfId="20142" xr:uid="{00000000-0005-0000-0000-000054AA0000}"/>
    <cellStyle name="Percent 2 3 2 2 2 5_LNG &amp; LPG rework" xfId="7674" xr:uid="{00000000-0005-0000-0000-000055AA0000}"/>
    <cellStyle name="Percent 2 3 2 2 2 6" xfId="5819" xr:uid="{00000000-0005-0000-0000-000056AA0000}"/>
    <cellStyle name="Percent 2 3 2 2 2 6 2" xfId="14242" xr:uid="{00000000-0005-0000-0000-000057AA0000}"/>
    <cellStyle name="Percent 2 3 2 2 2 6 3" xfId="20147" xr:uid="{00000000-0005-0000-0000-000058AA0000}"/>
    <cellStyle name="Percent 2 3 2 2 2 7" xfId="5820" xr:uid="{00000000-0005-0000-0000-000059AA0000}"/>
    <cellStyle name="Percent 2 3 2 2 2 7 2" xfId="14243" xr:uid="{00000000-0005-0000-0000-00005AAA0000}"/>
    <cellStyle name="Percent 2 3 2 2 2 7 3" xfId="20148" xr:uid="{00000000-0005-0000-0000-00005BAA0000}"/>
    <cellStyle name="Percent 2 3 2 2 2 8" xfId="5821" xr:uid="{00000000-0005-0000-0000-00005CAA0000}"/>
    <cellStyle name="Percent 2 3 2 2 2 8 2" xfId="14244" xr:uid="{00000000-0005-0000-0000-00005DAA0000}"/>
    <cellStyle name="Percent 2 3 2 2 2 8 3" xfId="20149" xr:uid="{00000000-0005-0000-0000-00005EAA0000}"/>
    <cellStyle name="Percent 2 3 2 2 2 9" xfId="5822" xr:uid="{00000000-0005-0000-0000-00005FAA0000}"/>
    <cellStyle name="Percent 2 3 2 2 2 9 2" xfId="14245" xr:uid="{00000000-0005-0000-0000-000060AA0000}"/>
    <cellStyle name="Percent 2 3 2 2 2 9 3" xfId="20150" xr:uid="{00000000-0005-0000-0000-000061AA0000}"/>
    <cellStyle name="Percent 2 3 2 2 2_LNG &amp; LPG rework" xfId="7668" xr:uid="{00000000-0005-0000-0000-000062AA0000}"/>
    <cellStyle name="Percent 2 3 2 2 3" xfId="543" xr:uid="{00000000-0005-0000-0000-000063AA0000}"/>
    <cellStyle name="Percent 2 3 2 2 3 10" xfId="20151" xr:uid="{00000000-0005-0000-0000-000064AA0000}"/>
    <cellStyle name="Percent 2 3 2 2 3 2" xfId="544" xr:uid="{00000000-0005-0000-0000-000065AA0000}"/>
    <cellStyle name="Percent 2 3 2 2 3 2 2" xfId="5823" xr:uid="{00000000-0005-0000-0000-000066AA0000}"/>
    <cellStyle name="Percent 2 3 2 2 3 2 2 2" xfId="14246" xr:uid="{00000000-0005-0000-0000-000067AA0000}"/>
    <cellStyle name="Percent 2 3 2 2 3 2 2 3" xfId="20153" xr:uid="{00000000-0005-0000-0000-000068AA0000}"/>
    <cellStyle name="Percent 2 3 2 2 3 2 3" xfId="5824" xr:uid="{00000000-0005-0000-0000-000069AA0000}"/>
    <cellStyle name="Percent 2 3 2 2 3 2 3 2" xfId="14247" xr:uid="{00000000-0005-0000-0000-00006AAA0000}"/>
    <cellStyle name="Percent 2 3 2 2 3 2 3 3" xfId="20154" xr:uid="{00000000-0005-0000-0000-00006BAA0000}"/>
    <cellStyle name="Percent 2 3 2 2 3 2 4" xfId="5825" xr:uid="{00000000-0005-0000-0000-00006CAA0000}"/>
    <cellStyle name="Percent 2 3 2 2 3 2 4 2" xfId="14248" xr:uid="{00000000-0005-0000-0000-00006DAA0000}"/>
    <cellStyle name="Percent 2 3 2 2 3 2 4 3" xfId="20155" xr:uid="{00000000-0005-0000-0000-00006EAA0000}"/>
    <cellStyle name="Percent 2 3 2 2 3 2 5" xfId="5826" xr:uid="{00000000-0005-0000-0000-00006FAA0000}"/>
    <cellStyle name="Percent 2 3 2 2 3 2 5 2" xfId="14249" xr:uid="{00000000-0005-0000-0000-000070AA0000}"/>
    <cellStyle name="Percent 2 3 2 2 3 2 5 3" xfId="20156" xr:uid="{00000000-0005-0000-0000-000071AA0000}"/>
    <cellStyle name="Percent 2 3 2 2 3 2 6" xfId="5827" xr:uid="{00000000-0005-0000-0000-000072AA0000}"/>
    <cellStyle name="Percent 2 3 2 2 3 2 6 2" xfId="14250" xr:uid="{00000000-0005-0000-0000-000073AA0000}"/>
    <cellStyle name="Percent 2 3 2 2 3 2 6 3" xfId="20157" xr:uid="{00000000-0005-0000-0000-000074AA0000}"/>
    <cellStyle name="Percent 2 3 2 2 3 2 7" xfId="9363" xr:uid="{00000000-0005-0000-0000-000075AA0000}"/>
    <cellStyle name="Percent 2 3 2 2 3 2 8" xfId="20152" xr:uid="{00000000-0005-0000-0000-000076AA0000}"/>
    <cellStyle name="Percent 2 3 2 2 3 2_LNG &amp; LPG rework" xfId="7676" xr:uid="{00000000-0005-0000-0000-000077AA0000}"/>
    <cellStyle name="Percent 2 3 2 2 3 3" xfId="5828" xr:uid="{00000000-0005-0000-0000-000078AA0000}"/>
    <cellStyle name="Percent 2 3 2 2 3 3 2" xfId="5829" xr:uid="{00000000-0005-0000-0000-000079AA0000}"/>
    <cellStyle name="Percent 2 3 2 2 3 3 2 2" xfId="14252" xr:uid="{00000000-0005-0000-0000-00007AAA0000}"/>
    <cellStyle name="Percent 2 3 2 2 3 3 2 3" xfId="20159" xr:uid="{00000000-0005-0000-0000-00007BAA0000}"/>
    <cellStyle name="Percent 2 3 2 2 3 3 3" xfId="5830" xr:uid="{00000000-0005-0000-0000-00007CAA0000}"/>
    <cellStyle name="Percent 2 3 2 2 3 3 3 2" xfId="14253" xr:uid="{00000000-0005-0000-0000-00007DAA0000}"/>
    <cellStyle name="Percent 2 3 2 2 3 3 3 3" xfId="20160" xr:uid="{00000000-0005-0000-0000-00007EAA0000}"/>
    <cellStyle name="Percent 2 3 2 2 3 3 4" xfId="5831" xr:uid="{00000000-0005-0000-0000-00007FAA0000}"/>
    <cellStyle name="Percent 2 3 2 2 3 3 4 2" xfId="14254" xr:uid="{00000000-0005-0000-0000-000080AA0000}"/>
    <cellStyle name="Percent 2 3 2 2 3 3 4 3" xfId="20161" xr:uid="{00000000-0005-0000-0000-000081AA0000}"/>
    <cellStyle name="Percent 2 3 2 2 3 3 5" xfId="5832" xr:uid="{00000000-0005-0000-0000-000082AA0000}"/>
    <cellStyle name="Percent 2 3 2 2 3 3 5 2" xfId="14255" xr:uid="{00000000-0005-0000-0000-000083AA0000}"/>
    <cellStyle name="Percent 2 3 2 2 3 3 5 3" xfId="20162" xr:uid="{00000000-0005-0000-0000-000084AA0000}"/>
    <cellStyle name="Percent 2 3 2 2 3 3 6" xfId="14251" xr:uid="{00000000-0005-0000-0000-000085AA0000}"/>
    <cellStyle name="Percent 2 3 2 2 3 3 7" xfId="20158" xr:uid="{00000000-0005-0000-0000-000086AA0000}"/>
    <cellStyle name="Percent 2 3 2 2 3 3_LNG &amp; LPG rework" xfId="7677" xr:uid="{00000000-0005-0000-0000-000087AA0000}"/>
    <cellStyle name="Percent 2 3 2 2 3 4" xfId="5833" xr:uid="{00000000-0005-0000-0000-000088AA0000}"/>
    <cellStyle name="Percent 2 3 2 2 3 4 2" xfId="14256" xr:uid="{00000000-0005-0000-0000-000089AA0000}"/>
    <cellStyle name="Percent 2 3 2 2 3 4 3" xfId="20163" xr:uid="{00000000-0005-0000-0000-00008AAA0000}"/>
    <cellStyle name="Percent 2 3 2 2 3 5" xfId="5834" xr:uid="{00000000-0005-0000-0000-00008BAA0000}"/>
    <cellStyle name="Percent 2 3 2 2 3 5 2" xfId="14257" xr:uid="{00000000-0005-0000-0000-00008CAA0000}"/>
    <cellStyle name="Percent 2 3 2 2 3 5 3" xfId="20164" xr:uid="{00000000-0005-0000-0000-00008DAA0000}"/>
    <cellStyle name="Percent 2 3 2 2 3 6" xfId="5835" xr:uid="{00000000-0005-0000-0000-00008EAA0000}"/>
    <cellStyle name="Percent 2 3 2 2 3 6 2" xfId="14258" xr:uid="{00000000-0005-0000-0000-00008FAA0000}"/>
    <cellStyle name="Percent 2 3 2 2 3 6 3" xfId="20165" xr:uid="{00000000-0005-0000-0000-000090AA0000}"/>
    <cellStyle name="Percent 2 3 2 2 3 7" xfId="5836" xr:uid="{00000000-0005-0000-0000-000091AA0000}"/>
    <cellStyle name="Percent 2 3 2 2 3 7 2" xfId="14259" xr:uid="{00000000-0005-0000-0000-000092AA0000}"/>
    <cellStyle name="Percent 2 3 2 2 3 7 3" xfId="20166" xr:uid="{00000000-0005-0000-0000-000093AA0000}"/>
    <cellStyle name="Percent 2 3 2 2 3 8" xfId="5837" xr:uid="{00000000-0005-0000-0000-000094AA0000}"/>
    <cellStyle name="Percent 2 3 2 2 3 8 2" xfId="14260" xr:uid="{00000000-0005-0000-0000-000095AA0000}"/>
    <cellStyle name="Percent 2 3 2 2 3 8 3" xfId="20167" xr:uid="{00000000-0005-0000-0000-000096AA0000}"/>
    <cellStyle name="Percent 2 3 2 2 3 9" xfId="9362" xr:uid="{00000000-0005-0000-0000-000097AA0000}"/>
    <cellStyle name="Percent 2 3 2 2 3_LNG &amp; LPG rework" xfId="7675" xr:uid="{00000000-0005-0000-0000-000098AA0000}"/>
    <cellStyle name="Percent 2 3 2 2 4" xfId="545" xr:uid="{00000000-0005-0000-0000-000099AA0000}"/>
    <cellStyle name="Percent 2 3 2 2 4 2" xfId="5838" xr:uid="{00000000-0005-0000-0000-00009AAA0000}"/>
    <cellStyle name="Percent 2 3 2 2 4 2 2" xfId="14261" xr:uid="{00000000-0005-0000-0000-00009BAA0000}"/>
    <cellStyle name="Percent 2 3 2 2 4 2 3" xfId="20169" xr:uid="{00000000-0005-0000-0000-00009CAA0000}"/>
    <cellStyle name="Percent 2 3 2 2 4 3" xfId="5839" xr:uid="{00000000-0005-0000-0000-00009DAA0000}"/>
    <cellStyle name="Percent 2 3 2 2 4 3 2" xfId="14262" xr:uid="{00000000-0005-0000-0000-00009EAA0000}"/>
    <cellStyle name="Percent 2 3 2 2 4 3 3" xfId="20170" xr:uid="{00000000-0005-0000-0000-00009FAA0000}"/>
    <cellStyle name="Percent 2 3 2 2 4 4" xfId="5840" xr:uid="{00000000-0005-0000-0000-0000A0AA0000}"/>
    <cellStyle name="Percent 2 3 2 2 4 4 2" xfId="14263" xr:uid="{00000000-0005-0000-0000-0000A1AA0000}"/>
    <cellStyle name="Percent 2 3 2 2 4 4 3" xfId="20171" xr:uid="{00000000-0005-0000-0000-0000A2AA0000}"/>
    <cellStyle name="Percent 2 3 2 2 4 5" xfId="5841" xr:uid="{00000000-0005-0000-0000-0000A3AA0000}"/>
    <cellStyle name="Percent 2 3 2 2 4 5 2" xfId="14264" xr:uid="{00000000-0005-0000-0000-0000A4AA0000}"/>
    <cellStyle name="Percent 2 3 2 2 4 5 3" xfId="20172" xr:uid="{00000000-0005-0000-0000-0000A5AA0000}"/>
    <cellStyle name="Percent 2 3 2 2 4 6" xfId="5842" xr:uid="{00000000-0005-0000-0000-0000A6AA0000}"/>
    <cellStyle name="Percent 2 3 2 2 4 6 2" xfId="14265" xr:uid="{00000000-0005-0000-0000-0000A7AA0000}"/>
    <cellStyle name="Percent 2 3 2 2 4 6 3" xfId="20173" xr:uid="{00000000-0005-0000-0000-0000A8AA0000}"/>
    <cellStyle name="Percent 2 3 2 2 4 7" xfId="9364" xr:uid="{00000000-0005-0000-0000-0000A9AA0000}"/>
    <cellStyle name="Percent 2 3 2 2 4 8" xfId="20168" xr:uid="{00000000-0005-0000-0000-0000AAAA0000}"/>
    <cellStyle name="Percent 2 3 2 2 4_LNG &amp; LPG rework" xfId="7678" xr:uid="{00000000-0005-0000-0000-0000ABAA0000}"/>
    <cellStyle name="Percent 2 3 2 2 5" xfId="5843" xr:uid="{00000000-0005-0000-0000-0000ACAA0000}"/>
    <cellStyle name="Percent 2 3 2 2 5 2" xfId="5844" xr:uid="{00000000-0005-0000-0000-0000ADAA0000}"/>
    <cellStyle name="Percent 2 3 2 2 5 2 2" xfId="14267" xr:uid="{00000000-0005-0000-0000-0000AEAA0000}"/>
    <cellStyle name="Percent 2 3 2 2 5 2 3" xfId="20175" xr:uid="{00000000-0005-0000-0000-0000AFAA0000}"/>
    <cellStyle name="Percent 2 3 2 2 5 3" xfId="5845" xr:uid="{00000000-0005-0000-0000-0000B0AA0000}"/>
    <cellStyle name="Percent 2 3 2 2 5 3 2" xfId="14268" xr:uid="{00000000-0005-0000-0000-0000B1AA0000}"/>
    <cellStyle name="Percent 2 3 2 2 5 3 3" xfId="20176" xr:uid="{00000000-0005-0000-0000-0000B2AA0000}"/>
    <cellStyle name="Percent 2 3 2 2 5 4" xfId="5846" xr:uid="{00000000-0005-0000-0000-0000B3AA0000}"/>
    <cellStyle name="Percent 2 3 2 2 5 4 2" xfId="14269" xr:uid="{00000000-0005-0000-0000-0000B4AA0000}"/>
    <cellStyle name="Percent 2 3 2 2 5 4 3" xfId="20177" xr:uid="{00000000-0005-0000-0000-0000B5AA0000}"/>
    <cellStyle name="Percent 2 3 2 2 5 5" xfId="5847" xr:uid="{00000000-0005-0000-0000-0000B6AA0000}"/>
    <cellStyle name="Percent 2 3 2 2 5 5 2" xfId="14270" xr:uid="{00000000-0005-0000-0000-0000B7AA0000}"/>
    <cellStyle name="Percent 2 3 2 2 5 5 3" xfId="20178" xr:uid="{00000000-0005-0000-0000-0000B8AA0000}"/>
    <cellStyle name="Percent 2 3 2 2 5 6" xfId="14266" xr:uid="{00000000-0005-0000-0000-0000B9AA0000}"/>
    <cellStyle name="Percent 2 3 2 2 5 7" xfId="20174" xr:uid="{00000000-0005-0000-0000-0000BAAA0000}"/>
    <cellStyle name="Percent 2 3 2 2 5_LNG &amp; LPG rework" xfId="7679" xr:uid="{00000000-0005-0000-0000-0000BBAA0000}"/>
    <cellStyle name="Percent 2 3 2 2 6" xfId="5848" xr:uid="{00000000-0005-0000-0000-0000BCAA0000}"/>
    <cellStyle name="Percent 2 3 2 2 6 2" xfId="5849" xr:uid="{00000000-0005-0000-0000-0000BDAA0000}"/>
    <cellStyle name="Percent 2 3 2 2 6 2 2" xfId="14272" xr:uid="{00000000-0005-0000-0000-0000BEAA0000}"/>
    <cellStyle name="Percent 2 3 2 2 6 2 3" xfId="20180" xr:uid="{00000000-0005-0000-0000-0000BFAA0000}"/>
    <cellStyle name="Percent 2 3 2 2 6 3" xfId="5850" xr:uid="{00000000-0005-0000-0000-0000C0AA0000}"/>
    <cellStyle name="Percent 2 3 2 2 6 3 2" xfId="14273" xr:uid="{00000000-0005-0000-0000-0000C1AA0000}"/>
    <cellStyle name="Percent 2 3 2 2 6 3 3" xfId="20181" xr:uid="{00000000-0005-0000-0000-0000C2AA0000}"/>
    <cellStyle name="Percent 2 3 2 2 6 4" xfId="5851" xr:uid="{00000000-0005-0000-0000-0000C3AA0000}"/>
    <cellStyle name="Percent 2 3 2 2 6 4 2" xfId="14274" xr:uid="{00000000-0005-0000-0000-0000C4AA0000}"/>
    <cellStyle name="Percent 2 3 2 2 6 4 3" xfId="20182" xr:uid="{00000000-0005-0000-0000-0000C5AA0000}"/>
    <cellStyle name="Percent 2 3 2 2 6 5" xfId="5852" xr:uid="{00000000-0005-0000-0000-0000C6AA0000}"/>
    <cellStyle name="Percent 2 3 2 2 6 5 2" xfId="14275" xr:uid="{00000000-0005-0000-0000-0000C7AA0000}"/>
    <cellStyle name="Percent 2 3 2 2 6 5 3" xfId="20183" xr:uid="{00000000-0005-0000-0000-0000C8AA0000}"/>
    <cellStyle name="Percent 2 3 2 2 6 6" xfId="14271" xr:uid="{00000000-0005-0000-0000-0000C9AA0000}"/>
    <cellStyle name="Percent 2 3 2 2 6 7" xfId="20179" xr:uid="{00000000-0005-0000-0000-0000CAAA0000}"/>
    <cellStyle name="Percent 2 3 2 2 6_LNG &amp; LPG rework" xfId="7680" xr:uid="{00000000-0005-0000-0000-0000CBAA0000}"/>
    <cellStyle name="Percent 2 3 2 2 7" xfId="5853" xr:uid="{00000000-0005-0000-0000-0000CCAA0000}"/>
    <cellStyle name="Percent 2 3 2 2 7 2" xfId="14276" xr:uid="{00000000-0005-0000-0000-0000CDAA0000}"/>
    <cellStyle name="Percent 2 3 2 2 7 3" xfId="20184" xr:uid="{00000000-0005-0000-0000-0000CEAA0000}"/>
    <cellStyle name="Percent 2 3 2 2 8" xfId="5854" xr:uid="{00000000-0005-0000-0000-0000CFAA0000}"/>
    <cellStyle name="Percent 2 3 2 2 8 2" xfId="14277" xr:uid="{00000000-0005-0000-0000-0000D0AA0000}"/>
    <cellStyle name="Percent 2 3 2 2 8 3" xfId="20185" xr:uid="{00000000-0005-0000-0000-0000D1AA0000}"/>
    <cellStyle name="Percent 2 3 2 2 9" xfId="5855" xr:uid="{00000000-0005-0000-0000-0000D2AA0000}"/>
    <cellStyle name="Percent 2 3 2 2 9 2" xfId="14278" xr:uid="{00000000-0005-0000-0000-0000D3AA0000}"/>
    <cellStyle name="Percent 2 3 2 2 9 3" xfId="20186" xr:uid="{00000000-0005-0000-0000-0000D4AA0000}"/>
    <cellStyle name="Percent 2 3 2 2_LNG &amp; LPG rework" xfId="7667" xr:uid="{00000000-0005-0000-0000-0000D5AA0000}"/>
    <cellStyle name="Percent 2 3 2 3" xfId="546" xr:uid="{00000000-0005-0000-0000-0000D6AA0000}"/>
    <cellStyle name="Percent 2 3 2 3 10" xfId="5856" xr:uid="{00000000-0005-0000-0000-0000D7AA0000}"/>
    <cellStyle name="Percent 2 3 2 3 10 2" xfId="14279" xr:uid="{00000000-0005-0000-0000-0000D8AA0000}"/>
    <cellStyle name="Percent 2 3 2 3 10 3" xfId="20188" xr:uid="{00000000-0005-0000-0000-0000D9AA0000}"/>
    <cellStyle name="Percent 2 3 2 3 11" xfId="9365" xr:uid="{00000000-0005-0000-0000-0000DAAA0000}"/>
    <cellStyle name="Percent 2 3 2 3 12" xfId="20187" xr:uid="{00000000-0005-0000-0000-0000DBAA0000}"/>
    <cellStyle name="Percent 2 3 2 3 2" xfId="547" xr:uid="{00000000-0005-0000-0000-0000DCAA0000}"/>
    <cellStyle name="Percent 2 3 2 3 2 10" xfId="20189" xr:uid="{00000000-0005-0000-0000-0000DDAA0000}"/>
    <cellStyle name="Percent 2 3 2 3 2 2" xfId="548" xr:uid="{00000000-0005-0000-0000-0000DEAA0000}"/>
    <cellStyle name="Percent 2 3 2 3 2 2 2" xfId="5857" xr:uid="{00000000-0005-0000-0000-0000DFAA0000}"/>
    <cellStyle name="Percent 2 3 2 3 2 2 2 2" xfId="14280" xr:uid="{00000000-0005-0000-0000-0000E0AA0000}"/>
    <cellStyle name="Percent 2 3 2 3 2 2 2 3" xfId="20191" xr:uid="{00000000-0005-0000-0000-0000E1AA0000}"/>
    <cellStyle name="Percent 2 3 2 3 2 2 3" xfId="5858" xr:uid="{00000000-0005-0000-0000-0000E2AA0000}"/>
    <cellStyle name="Percent 2 3 2 3 2 2 3 2" xfId="14281" xr:uid="{00000000-0005-0000-0000-0000E3AA0000}"/>
    <cellStyle name="Percent 2 3 2 3 2 2 3 3" xfId="20192" xr:uid="{00000000-0005-0000-0000-0000E4AA0000}"/>
    <cellStyle name="Percent 2 3 2 3 2 2 4" xfId="5859" xr:uid="{00000000-0005-0000-0000-0000E5AA0000}"/>
    <cellStyle name="Percent 2 3 2 3 2 2 4 2" xfId="14282" xr:uid="{00000000-0005-0000-0000-0000E6AA0000}"/>
    <cellStyle name="Percent 2 3 2 3 2 2 4 3" xfId="20193" xr:uid="{00000000-0005-0000-0000-0000E7AA0000}"/>
    <cellStyle name="Percent 2 3 2 3 2 2 5" xfId="5860" xr:uid="{00000000-0005-0000-0000-0000E8AA0000}"/>
    <cellStyle name="Percent 2 3 2 3 2 2 5 2" xfId="14283" xr:uid="{00000000-0005-0000-0000-0000E9AA0000}"/>
    <cellStyle name="Percent 2 3 2 3 2 2 5 3" xfId="20194" xr:uid="{00000000-0005-0000-0000-0000EAAA0000}"/>
    <cellStyle name="Percent 2 3 2 3 2 2 6" xfId="5861" xr:uid="{00000000-0005-0000-0000-0000EBAA0000}"/>
    <cellStyle name="Percent 2 3 2 3 2 2 6 2" xfId="14284" xr:uid="{00000000-0005-0000-0000-0000ECAA0000}"/>
    <cellStyle name="Percent 2 3 2 3 2 2 6 3" xfId="20195" xr:uid="{00000000-0005-0000-0000-0000EDAA0000}"/>
    <cellStyle name="Percent 2 3 2 3 2 2 7" xfId="9367" xr:uid="{00000000-0005-0000-0000-0000EEAA0000}"/>
    <cellStyle name="Percent 2 3 2 3 2 2 8" xfId="20190" xr:uid="{00000000-0005-0000-0000-0000EFAA0000}"/>
    <cellStyle name="Percent 2 3 2 3 2 2_LNG &amp; LPG rework" xfId="7683" xr:uid="{00000000-0005-0000-0000-0000F0AA0000}"/>
    <cellStyle name="Percent 2 3 2 3 2 3" xfId="5862" xr:uid="{00000000-0005-0000-0000-0000F1AA0000}"/>
    <cellStyle name="Percent 2 3 2 3 2 3 2" xfId="5863" xr:uid="{00000000-0005-0000-0000-0000F2AA0000}"/>
    <cellStyle name="Percent 2 3 2 3 2 3 2 2" xfId="14286" xr:uid="{00000000-0005-0000-0000-0000F3AA0000}"/>
    <cellStyle name="Percent 2 3 2 3 2 3 2 3" xfId="20197" xr:uid="{00000000-0005-0000-0000-0000F4AA0000}"/>
    <cellStyle name="Percent 2 3 2 3 2 3 3" xfId="5864" xr:uid="{00000000-0005-0000-0000-0000F5AA0000}"/>
    <cellStyle name="Percent 2 3 2 3 2 3 3 2" xfId="14287" xr:uid="{00000000-0005-0000-0000-0000F6AA0000}"/>
    <cellStyle name="Percent 2 3 2 3 2 3 3 3" xfId="20198" xr:uid="{00000000-0005-0000-0000-0000F7AA0000}"/>
    <cellStyle name="Percent 2 3 2 3 2 3 4" xfId="5865" xr:uid="{00000000-0005-0000-0000-0000F8AA0000}"/>
    <cellStyle name="Percent 2 3 2 3 2 3 4 2" xfId="14288" xr:uid="{00000000-0005-0000-0000-0000F9AA0000}"/>
    <cellStyle name="Percent 2 3 2 3 2 3 4 3" xfId="20199" xr:uid="{00000000-0005-0000-0000-0000FAAA0000}"/>
    <cellStyle name="Percent 2 3 2 3 2 3 5" xfId="5866" xr:uid="{00000000-0005-0000-0000-0000FBAA0000}"/>
    <cellStyle name="Percent 2 3 2 3 2 3 5 2" xfId="14289" xr:uid="{00000000-0005-0000-0000-0000FCAA0000}"/>
    <cellStyle name="Percent 2 3 2 3 2 3 5 3" xfId="20200" xr:uid="{00000000-0005-0000-0000-0000FDAA0000}"/>
    <cellStyle name="Percent 2 3 2 3 2 3 6" xfId="14285" xr:uid="{00000000-0005-0000-0000-0000FEAA0000}"/>
    <cellStyle name="Percent 2 3 2 3 2 3 7" xfId="20196" xr:uid="{00000000-0005-0000-0000-0000FFAA0000}"/>
    <cellStyle name="Percent 2 3 2 3 2 3_LNG &amp; LPG rework" xfId="7684" xr:uid="{00000000-0005-0000-0000-000000AB0000}"/>
    <cellStyle name="Percent 2 3 2 3 2 4" xfId="5867" xr:uid="{00000000-0005-0000-0000-000001AB0000}"/>
    <cellStyle name="Percent 2 3 2 3 2 4 2" xfId="14290" xr:uid="{00000000-0005-0000-0000-000002AB0000}"/>
    <cellStyle name="Percent 2 3 2 3 2 4 3" xfId="20201" xr:uid="{00000000-0005-0000-0000-000003AB0000}"/>
    <cellStyle name="Percent 2 3 2 3 2 5" xfId="5868" xr:uid="{00000000-0005-0000-0000-000004AB0000}"/>
    <cellStyle name="Percent 2 3 2 3 2 5 2" xfId="14291" xr:uid="{00000000-0005-0000-0000-000005AB0000}"/>
    <cellStyle name="Percent 2 3 2 3 2 5 3" xfId="20202" xr:uid="{00000000-0005-0000-0000-000006AB0000}"/>
    <cellStyle name="Percent 2 3 2 3 2 6" xfId="5869" xr:uid="{00000000-0005-0000-0000-000007AB0000}"/>
    <cellStyle name="Percent 2 3 2 3 2 6 2" xfId="14292" xr:uid="{00000000-0005-0000-0000-000008AB0000}"/>
    <cellStyle name="Percent 2 3 2 3 2 6 3" xfId="20203" xr:uid="{00000000-0005-0000-0000-000009AB0000}"/>
    <cellStyle name="Percent 2 3 2 3 2 7" xfId="5870" xr:uid="{00000000-0005-0000-0000-00000AAB0000}"/>
    <cellStyle name="Percent 2 3 2 3 2 7 2" xfId="14293" xr:uid="{00000000-0005-0000-0000-00000BAB0000}"/>
    <cellStyle name="Percent 2 3 2 3 2 7 3" xfId="20204" xr:uid="{00000000-0005-0000-0000-00000CAB0000}"/>
    <cellStyle name="Percent 2 3 2 3 2 8" xfId="5871" xr:uid="{00000000-0005-0000-0000-00000DAB0000}"/>
    <cellStyle name="Percent 2 3 2 3 2 8 2" xfId="14294" xr:uid="{00000000-0005-0000-0000-00000EAB0000}"/>
    <cellStyle name="Percent 2 3 2 3 2 8 3" xfId="20205" xr:uid="{00000000-0005-0000-0000-00000FAB0000}"/>
    <cellStyle name="Percent 2 3 2 3 2 9" xfId="9366" xr:uid="{00000000-0005-0000-0000-000010AB0000}"/>
    <cellStyle name="Percent 2 3 2 3 2_LNG &amp; LPG rework" xfId="7682" xr:uid="{00000000-0005-0000-0000-000011AB0000}"/>
    <cellStyle name="Percent 2 3 2 3 3" xfId="549" xr:uid="{00000000-0005-0000-0000-000012AB0000}"/>
    <cellStyle name="Percent 2 3 2 3 3 2" xfId="5872" xr:uid="{00000000-0005-0000-0000-000013AB0000}"/>
    <cellStyle name="Percent 2 3 2 3 3 2 2" xfId="14295" xr:uid="{00000000-0005-0000-0000-000014AB0000}"/>
    <cellStyle name="Percent 2 3 2 3 3 2 3" xfId="20207" xr:uid="{00000000-0005-0000-0000-000015AB0000}"/>
    <cellStyle name="Percent 2 3 2 3 3 3" xfId="5873" xr:uid="{00000000-0005-0000-0000-000016AB0000}"/>
    <cellStyle name="Percent 2 3 2 3 3 3 2" xfId="14296" xr:uid="{00000000-0005-0000-0000-000017AB0000}"/>
    <cellStyle name="Percent 2 3 2 3 3 3 3" xfId="20208" xr:uid="{00000000-0005-0000-0000-000018AB0000}"/>
    <cellStyle name="Percent 2 3 2 3 3 4" xfId="5874" xr:uid="{00000000-0005-0000-0000-000019AB0000}"/>
    <cellStyle name="Percent 2 3 2 3 3 4 2" xfId="14297" xr:uid="{00000000-0005-0000-0000-00001AAB0000}"/>
    <cellStyle name="Percent 2 3 2 3 3 4 3" xfId="20209" xr:uid="{00000000-0005-0000-0000-00001BAB0000}"/>
    <cellStyle name="Percent 2 3 2 3 3 5" xfId="5875" xr:uid="{00000000-0005-0000-0000-00001CAB0000}"/>
    <cellStyle name="Percent 2 3 2 3 3 5 2" xfId="14298" xr:uid="{00000000-0005-0000-0000-00001DAB0000}"/>
    <cellStyle name="Percent 2 3 2 3 3 5 3" xfId="20210" xr:uid="{00000000-0005-0000-0000-00001EAB0000}"/>
    <cellStyle name="Percent 2 3 2 3 3 6" xfId="5876" xr:uid="{00000000-0005-0000-0000-00001FAB0000}"/>
    <cellStyle name="Percent 2 3 2 3 3 6 2" xfId="14299" xr:uid="{00000000-0005-0000-0000-000020AB0000}"/>
    <cellStyle name="Percent 2 3 2 3 3 6 3" xfId="20211" xr:uid="{00000000-0005-0000-0000-000021AB0000}"/>
    <cellStyle name="Percent 2 3 2 3 3 7" xfId="9368" xr:uid="{00000000-0005-0000-0000-000022AB0000}"/>
    <cellStyle name="Percent 2 3 2 3 3 8" xfId="20206" xr:uid="{00000000-0005-0000-0000-000023AB0000}"/>
    <cellStyle name="Percent 2 3 2 3 3_LNG &amp; LPG rework" xfId="7685" xr:uid="{00000000-0005-0000-0000-000024AB0000}"/>
    <cellStyle name="Percent 2 3 2 3 4" xfId="5877" xr:uid="{00000000-0005-0000-0000-000025AB0000}"/>
    <cellStyle name="Percent 2 3 2 3 4 2" xfId="5878" xr:uid="{00000000-0005-0000-0000-000026AB0000}"/>
    <cellStyle name="Percent 2 3 2 3 4 2 2" xfId="14301" xr:uid="{00000000-0005-0000-0000-000027AB0000}"/>
    <cellStyle name="Percent 2 3 2 3 4 2 3" xfId="20213" xr:uid="{00000000-0005-0000-0000-000028AB0000}"/>
    <cellStyle name="Percent 2 3 2 3 4 3" xfId="5879" xr:uid="{00000000-0005-0000-0000-000029AB0000}"/>
    <cellStyle name="Percent 2 3 2 3 4 3 2" xfId="14302" xr:uid="{00000000-0005-0000-0000-00002AAB0000}"/>
    <cellStyle name="Percent 2 3 2 3 4 3 3" xfId="20214" xr:uid="{00000000-0005-0000-0000-00002BAB0000}"/>
    <cellStyle name="Percent 2 3 2 3 4 4" xfId="5880" xr:uid="{00000000-0005-0000-0000-00002CAB0000}"/>
    <cellStyle name="Percent 2 3 2 3 4 4 2" xfId="14303" xr:uid="{00000000-0005-0000-0000-00002DAB0000}"/>
    <cellStyle name="Percent 2 3 2 3 4 4 3" xfId="20215" xr:uid="{00000000-0005-0000-0000-00002EAB0000}"/>
    <cellStyle name="Percent 2 3 2 3 4 5" xfId="5881" xr:uid="{00000000-0005-0000-0000-00002FAB0000}"/>
    <cellStyle name="Percent 2 3 2 3 4 5 2" xfId="14304" xr:uid="{00000000-0005-0000-0000-000030AB0000}"/>
    <cellStyle name="Percent 2 3 2 3 4 5 3" xfId="20216" xr:uid="{00000000-0005-0000-0000-000031AB0000}"/>
    <cellStyle name="Percent 2 3 2 3 4 6" xfId="14300" xr:uid="{00000000-0005-0000-0000-000032AB0000}"/>
    <cellStyle name="Percent 2 3 2 3 4 7" xfId="20212" xr:uid="{00000000-0005-0000-0000-000033AB0000}"/>
    <cellStyle name="Percent 2 3 2 3 4_LNG &amp; LPG rework" xfId="7686" xr:uid="{00000000-0005-0000-0000-000034AB0000}"/>
    <cellStyle name="Percent 2 3 2 3 5" xfId="5882" xr:uid="{00000000-0005-0000-0000-000035AB0000}"/>
    <cellStyle name="Percent 2 3 2 3 5 2" xfId="5883" xr:uid="{00000000-0005-0000-0000-000036AB0000}"/>
    <cellStyle name="Percent 2 3 2 3 5 2 2" xfId="14306" xr:uid="{00000000-0005-0000-0000-000037AB0000}"/>
    <cellStyle name="Percent 2 3 2 3 5 2 3" xfId="20218" xr:uid="{00000000-0005-0000-0000-000038AB0000}"/>
    <cellStyle name="Percent 2 3 2 3 5 3" xfId="5884" xr:uid="{00000000-0005-0000-0000-000039AB0000}"/>
    <cellStyle name="Percent 2 3 2 3 5 3 2" xfId="14307" xr:uid="{00000000-0005-0000-0000-00003AAB0000}"/>
    <cellStyle name="Percent 2 3 2 3 5 3 3" xfId="20219" xr:uid="{00000000-0005-0000-0000-00003BAB0000}"/>
    <cellStyle name="Percent 2 3 2 3 5 4" xfId="5885" xr:uid="{00000000-0005-0000-0000-00003CAB0000}"/>
    <cellStyle name="Percent 2 3 2 3 5 4 2" xfId="14308" xr:uid="{00000000-0005-0000-0000-00003DAB0000}"/>
    <cellStyle name="Percent 2 3 2 3 5 4 3" xfId="20220" xr:uid="{00000000-0005-0000-0000-00003EAB0000}"/>
    <cellStyle name="Percent 2 3 2 3 5 5" xfId="5886" xr:uid="{00000000-0005-0000-0000-00003FAB0000}"/>
    <cellStyle name="Percent 2 3 2 3 5 5 2" xfId="14309" xr:uid="{00000000-0005-0000-0000-000040AB0000}"/>
    <cellStyle name="Percent 2 3 2 3 5 5 3" xfId="20221" xr:uid="{00000000-0005-0000-0000-000041AB0000}"/>
    <cellStyle name="Percent 2 3 2 3 5 6" xfId="14305" xr:uid="{00000000-0005-0000-0000-000042AB0000}"/>
    <cellStyle name="Percent 2 3 2 3 5 7" xfId="20217" xr:uid="{00000000-0005-0000-0000-000043AB0000}"/>
    <cellStyle name="Percent 2 3 2 3 5_LNG &amp; LPG rework" xfId="7687" xr:uid="{00000000-0005-0000-0000-000044AB0000}"/>
    <cellStyle name="Percent 2 3 2 3 6" xfId="5887" xr:uid="{00000000-0005-0000-0000-000045AB0000}"/>
    <cellStyle name="Percent 2 3 2 3 6 2" xfId="14310" xr:uid="{00000000-0005-0000-0000-000046AB0000}"/>
    <cellStyle name="Percent 2 3 2 3 6 3" xfId="20222" xr:uid="{00000000-0005-0000-0000-000047AB0000}"/>
    <cellStyle name="Percent 2 3 2 3 7" xfId="5888" xr:uid="{00000000-0005-0000-0000-000048AB0000}"/>
    <cellStyle name="Percent 2 3 2 3 7 2" xfId="14311" xr:uid="{00000000-0005-0000-0000-000049AB0000}"/>
    <cellStyle name="Percent 2 3 2 3 7 3" xfId="20223" xr:uid="{00000000-0005-0000-0000-00004AAB0000}"/>
    <cellStyle name="Percent 2 3 2 3 8" xfId="5889" xr:uid="{00000000-0005-0000-0000-00004BAB0000}"/>
    <cellStyle name="Percent 2 3 2 3 8 2" xfId="14312" xr:uid="{00000000-0005-0000-0000-00004CAB0000}"/>
    <cellStyle name="Percent 2 3 2 3 8 3" xfId="20224" xr:uid="{00000000-0005-0000-0000-00004DAB0000}"/>
    <cellStyle name="Percent 2 3 2 3 9" xfId="5890" xr:uid="{00000000-0005-0000-0000-00004EAB0000}"/>
    <cellStyle name="Percent 2 3 2 3 9 2" xfId="14313" xr:uid="{00000000-0005-0000-0000-00004FAB0000}"/>
    <cellStyle name="Percent 2 3 2 3 9 3" xfId="20225" xr:uid="{00000000-0005-0000-0000-000050AB0000}"/>
    <cellStyle name="Percent 2 3 2 3_LNG &amp; LPG rework" xfId="7681" xr:uid="{00000000-0005-0000-0000-000051AB0000}"/>
    <cellStyle name="Percent 2 3 2 4" xfId="550" xr:uid="{00000000-0005-0000-0000-000052AB0000}"/>
    <cellStyle name="Percent 2 3 2 4 10" xfId="20226" xr:uid="{00000000-0005-0000-0000-000053AB0000}"/>
    <cellStyle name="Percent 2 3 2 4 2" xfId="551" xr:uid="{00000000-0005-0000-0000-000054AB0000}"/>
    <cellStyle name="Percent 2 3 2 4 2 2" xfId="5891" xr:uid="{00000000-0005-0000-0000-000055AB0000}"/>
    <cellStyle name="Percent 2 3 2 4 2 2 2" xfId="14314" xr:uid="{00000000-0005-0000-0000-000056AB0000}"/>
    <cellStyle name="Percent 2 3 2 4 2 2 3" xfId="20228" xr:uid="{00000000-0005-0000-0000-000057AB0000}"/>
    <cellStyle name="Percent 2 3 2 4 2 3" xfId="5892" xr:uid="{00000000-0005-0000-0000-000058AB0000}"/>
    <cellStyle name="Percent 2 3 2 4 2 3 2" xfId="14315" xr:uid="{00000000-0005-0000-0000-000059AB0000}"/>
    <cellStyle name="Percent 2 3 2 4 2 3 3" xfId="20229" xr:uid="{00000000-0005-0000-0000-00005AAB0000}"/>
    <cellStyle name="Percent 2 3 2 4 2 4" xfId="5893" xr:uid="{00000000-0005-0000-0000-00005BAB0000}"/>
    <cellStyle name="Percent 2 3 2 4 2 4 2" xfId="14316" xr:uid="{00000000-0005-0000-0000-00005CAB0000}"/>
    <cellStyle name="Percent 2 3 2 4 2 4 3" xfId="20230" xr:uid="{00000000-0005-0000-0000-00005DAB0000}"/>
    <cellStyle name="Percent 2 3 2 4 2 5" xfId="5894" xr:uid="{00000000-0005-0000-0000-00005EAB0000}"/>
    <cellStyle name="Percent 2 3 2 4 2 5 2" xfId="14317" xr:uid="{00000000-0005-0000-0000-00005FAB0000}"/>
    <cellStyle name="Percent 2 3 2 4 2 5 3" xfId="20231" xr:uid="{00000000-0005-0000-0000-000060AB0000}"/>
    <cellStyle name="Percent 2 3 2 4 2 6" xfId="5895" xr:uid="{00000000-0005-0000-0000-000061AB0000}"/>
    <cellStyle name="Percent 2 3 2 4 2 6 2" xfId="14318" xr:uid="{00000000-0005-0000-0000-000062AB0000}"/>
    <cellStyle name="Percent 2 3 2 4 2 6 3" xfId="20232" xr:uid="{00000000-0005-0000-0000-000063AB0000}"/>
    <cellStyle name="Percent 2 3 2 4 2 7" xfId="9370" xr:uid="{00000000-0005-0000-0000-000064AB0000}"/>
    <cellStyle name="Percent 2 3 2 4 2 8" xfId="20227" xr:uid="{00000000-0005-0000-0000-000065AB0000}"/>
    <cellStyle name="Percent 2 3 2 4 2_LNG &amp; LPG rework" xfId="7689" xr:uid="{00000000-0005-0000-0000-000066AB0000}"/>
    <cellStyle name="Percent 2 3 2 4 3" xfId="5896" xr:uid="{00000000-0005-0000-0000-000067AB0000}"/>
    <cellStyle name="Percent 2 3 2 4 3 2" xfId="5897" xr:uid="{00000000-0005-0000-0000-000068AB0000}"/>
    <cellStyle name="Percent 2 3 2 4 3 2 2" xfId="14320" xr:uid="{00000000-0005-0000-0000-000069AB0000}"/>
    <cellStyle name="Percent 2 3 2 4 3 2 3" xfId="20234" xr:uid="{00000000-0005-0000-0000-00006AAB0000}"/>
    <cellStyle name="Percent 2 3 2 4 3 3" xfId="5898" xr:uid="{00000000-0005-0000-0000-00006BAB0000}"/>
    <cellStyle name="Percent 2 3 2 4 3 3 2" xfId="14321" xr:uid="{00000000-0005-0000-0000-00006CAB0000}"/>
    <cellStyle name="Percent 2 3 2 4 3 3 3" xfId="20235" xr:uid="{00000000-0005-0000-0000-00006DAB0000}"/>
    <cellStyle name="Percent 2 3 2 4 3 4" xfId="5899" xr:uid="{00000000-0005-0000-0000-00006EAB0000}"/>
    <cellStyle name="Percent 2 3 2 4 3 4 2" xfId="14322" xr:uid="{00000000-0005-0000-0000-00006FAB0000}"/>
    <cellStyle name="Percent 2 3 2 4 3 4 3" xfId="20236" xr:uid="{00000000-0005-0000-0000-000070AB0000}"/>
    <cellStyle name="Percent 2 3 2 4 3 5" xfId="5900" xr:uid="{00000000-0005-0000-0000-000071AB0000}"/>
    <cellStyle name="Percent 2 3 2 4 3 5 2" xfId="14323" xr:uid="{00000000-0005-0000-0000-000072AB0000}"/>
    <cellStyle name="Percent 2 3 2 4 3 5 3" xfId="20237" xr:uid="{00000000-0005-0000-0000-000073AB0000}"/>
    <cellStyle name="Percent 2 3 2 4 3 6" xfId="14319" xr:uid="{00000000-0005-0000-0000-000074AB0000}"/>
    <cellStyle name="Percent 2 3 2 4 3 7" xfId="20233" xr:uid="{00000000-0005-0000-0000-000075AB0000}"/>
    <cellStyle name="Percent 2 3 2 4 3_LNG &amp; LPG rework" xfId="7690" xr:uid="{00000000-0005-0000-0000-000076AB0000}"/>
    <cellStyle name="Percent 2 3 2 4 4" xfId="5901" xr:uid="{00000000-0005-0000-0000-000077AB0000}"/>
    <cellStyle name="Percent 2 3 2 4 4 2" xfId="14324" xr:uid="{00000000-0005-0000-0000-000078AB0000}"/>
    <cellStyle name="Percent 2 3 2 4 4 3" xfId="20238" xr:uid="{00000000-0005-0000-0000-000079AB0000}"/>
    <cellStyle name="Percent 2 3 2 4 5" xfId="5902" xr:uid="{00000000-0005-0000-0000-00007AAB0000}"/>
    <cellStyle name="Percent 2 3 2 4 5 2" xfId="14325" xr:uid="{00000000-0005-0000-0000-00007BAB0000}"/>
    <cellStyle name="Percent 2 3 2 4 5 3" xfId="20239" xr:uid="{00000000-0005-0000-0000-00007CAB0000}"/>
    <cellStyle name="Percent 2 3 2 4 6" xfId="5903" xr:uid="{00000000-0005-0000-0000-00007DAB0000}"/>
    <cellStyle name="Percent 2 3 2 4 6 2" xfId="14326" xr:uid="{00000000-0005-0000-0000-00007EAB0000}"/>
    <cellStyle name="Percent 2 3 2 4 6 3" xfId="20240" xr:uid="{00000000-0005-0000-0000-00007FAB0000}"/>
    <cellStyle name="Percent 2 3 2 4 7" xfId="5904" xr:uid="{00000000-0005-0000-0000-000080AB0000}"/>
    <cellStyle name="Percent 2 3 2 4 7 2" xfId="14327" xr:uid="{00000000-0005-0000-0000-000081AB0000}"/>
    <cellStyle name="Percent 2 3 2 4 7 3" xfId="20241" xr:uid="{00000000-0005-0000-0000-000082AB0000}"/>
    <cellStyle name="Percent 2 3 2 4 8" xfId="5905" xr:uid="{00000000-0005-0000-0000-000083AB0000}"/>
    <cellStyle name="Percent 2 3 2 4 8 2" xfId="14328" xr:uid="{00000000-0005-0000-0000-000084AB0000}"/>
    <cellStyle name="Percent 2 3 2 4 8 3" xfId="20242" xr:uid="{00000000-0005-0000-0000-000085AB0000}"/>
    <cellStyle name="Percent 2 3 2 4 9" xfId="9369" xr:uid="{00000000-0005-0000-0000-000086AB0000}"/>
    <cellStyle name="Percent 2 3 2 4_LNG &amp; LPG rework" xfId="7688" xr:uid="{00000000-0005-0000-0000-000087AB0000}"/>
    <cellStyle name="Percent 2 3 2 5" xfId="552" xr:uid="{00000000-0005-0000-0000-000088AB0000}"/>
    <cellStyle name="Percent 2 3 2 5 2" xfId="5906" xr:uid="{00000000-0005-0000-0000-000089AB0000}"/>
    <cellStyle name="Percent 2 3 2 5 2 2" xfId="14329" xr:uid="{00000000-0005-0000-0000-00008AAB0000}"/>
    <cellStyle name="Percent 2 3 2 5 2 3" xfId="20244" xr:uid="{00000000-0005-0000-0000-00008BAB0000}"/>
    <cellStyle name="Percent 2 3 2 5 3" xfId="5907" xr:uid="{00000000-0005-0000-0000-00008CAB0000}"/>
    <cellStyle name="Percent 2 3 2 5 3 2" xfId="14330" xr:uid="{00000000-0005-0000-0000-00008DAB0000}"/>
    <cellStyle name="Percent 2 3 2 5 3 3" xfId="20245" xr:uid="{00000000-0005-0000-0000-00008EAB0000}"/>
    <cellStyle name="Percent 2 3 2 5 4" xfId="5908" xr:uid="{00000000-0005-0000-0000-00008FAB0000}"/>
    <cellStyle name="Percent 2 3 2 5 4 2" xfId="14331" xr:uid="{00000000-0005-0000-0000-000090AB0000}"/>
    <cellStyle name="Percent 2 3 2 5 4 3" xfId="20246" xr:uid="{00000000-0005-0000-0000-000091AB0000}"/>
    <cellStyle name="Percent 2 3 2 5 5" xfId="5909" xr:uid="{00000000-0005-0000-0000-000092AB0000}"/>
    <cellStyle name="Percent 2 3 2 5 5 2" xfId="14332" xr:uid="{00000000-0005-0000-0000-000093AB0000}"/>
    <cellStyle name="Percent 2 3 2 5 5 3" xfId="20247" xr:uid="{00000000-0005-0000-0000-000094AB0000}"/>
    <cellStyle name="Percent 2 3 2 5 6" xfId="5910" xr:uid="{00000000-0005-0000-0000-000095AB0000}"/>
    <cellStyle name="Percent 2 3 2 5 6 2" xfId="14333" xr:uid="{00000000-0005-0000-0000-000096AB0000}"/>
    <cellStyle name="Percent 2 3 2 5 6 3" xfId="20248" xr:uid="{00000000-0005-0000-0000-000097AB0000}"/>
    <cellStyle name="Percent 2 3 2 5 7" xfId="9371" xr:uid="{00000000-0005-0000-0000-000098AB0000}"/>
    <cellStyle name="Percent 2 3 2 5 8" xfId="20243" xr:uid="{00000000-0005-0000-0000-000099AB0000}"/>
    <cellStyle name="Percent 2 3 2 5_LNG &amp; LPG rework" xfId="7691" xr:uid="{00000000-0005-0000-0000-00009AAB0000}"/>
    <cellStyle name="Percent 2 3 2 6" xfId="5911" xr:uid="{00000000-0005-0000-0000-00009BAB0000}"/>
    <cellStyle name="Percent 2 3 2 6 2" xfId="5912" xr:uid="{00000000-0005-0000-0000-00009CAB0000}"/>
    <cellStyle name="Percent 2 3 2 6 2 2" xfId="14335" xr:uid="{00000000-0005-0000-0000-00009DAB0000}"/>
    <cellStyle name="Percent 2 3 2 6 2 3" xfId="20250" xr:uid="{00000000-0005-0000-0000-00009EAB0000}"/>
    <cellStyle name="Percent 2 3 2 6 3" xfId="5913" xr:uid="{00000000-0005-0000-0000-00009FAB0000}"/>
    <cellStyle name="Percent 2 3 2 6 3 2" xfId="14336" xr:uid="{00000000-0005-0000-0000-0000A0AB0000}"/>
    <cellStyle name="Percent 2 3 2 6 3 3" xfId="20251" xr:uid="{00000000-0005-0000-0000-0000A1AB0000}"/>
    <cellStyle name="Percent 2 3 2 6 4" xfId="5914" xr:uid="{00000000-0005-0000-0000-0000A2AB0000}"/>
    <cellStyle name="Percent 2 3 2 6 4 2" xfId="14337" xr:uid="{00000000-0005-0000-0000-0000A3AB0000}"/>
    <cellStyle name="Percent 2 3 2 6 4 3" xfId="20252" xr:uid="{00000000-0005-0000-0000-0000A4AB0000}"/>
    <cellStyle name="Percent 2 3 2 6 5" xfId="5915" xr:uid="{00000000-0005-0000-0000-0000A5AB0000}"/>
    <cellStyle name="Percent 2 3 2 6 5 2" xfId="14338" xr:uid="{00000000-0005-0000-0000-0000A6AB0000}"/>
    <cellStyle name="Percent 2 3 2 6 5 3" xfId="20253" xr:uid="{00000000-0005-0000-0000-0000A7AB0000}"/>
    <cellStyle name="Percent 2 3 2 6 6" xfId="14334" xr:uid="{00000000-0005-0000-0000-0000A8AB0000}"/>
    <cellStyle name="Percent 2 3 2 6 7" xfId="20249" xr:uid="{00000000-0005-0000-0000-0000A9AB0000}"/>
    <cellStyle name="Percent 2 3 2 6_LNG &amp; LPG rework" xfId="7692" xr:uid="{00000000-0005-0000-0000-0000AAAB0000}"/>
    <cellStyle name="Percent 2 3 2 7" xfId="5916" xr:uid="{00000000-0005-0000-0000-0000ABAB0000}"/>
    <cellStyle name="Percent 2 3 2 7 2" xfId="5917" xr:uid="{00000000-0005-0000-0000-0000ACAB0000}"/>
    <cellStyle name="Percent 2 3 2 7 2 2" xfId="14340" xr:uid="{00000000-0005-0000-0000-0000ADAB0000}"/>
    <cellStyle name="Percent 2 3 2 7 2 3" xfId="20255" xr:uid="{00000000-0005-0000-0000-0000AEAB0000}"/>
    <cellStyle name="Percent 2 3 2 7 3" xfId="5918" xr:uid="{00000000-0005-0000-0000-0000AFAB0000}"/>
    <cellStyle name="Percent 2 3 2 7 3 2" xfId="14341" xr:uid="{00000000-0005-0000-0000-0000B0AB0000}"/>
    <cellStyle name="Percent 2 3 2 7 3 3" xfId="20256" xr:uid="{00000000-0005-0000-0000-0000B1AB0000}"/>
    <cellStyle name="Percent 2 3 2 7 4" xfId="5919" xr:uid="{00000000-0005-0000-0000-0000B2AB0000}"/>
    <cellStyle name="Percent 2 3 2 7 4 2" xfId="14342" xr:uid="{00000000-0005-0000-0000-0000B3AB0000}"/>
    <cellStyle name="Percent 2 3 2 7 4 3" xfId="20257" xr:uid="{00000000-0005-0000-0000-0000B4AB0000}"/>
    <cellStyle name="Percent 2 3 2 7 5" xfId="5920" xr:uid="{00000000-0005-0000-0000-0000B5AB0000}"/>
    <cellStyle name="Percent 2 3 2 7 5 2" xfId="14343" xr:uid="{00000000-0005-0000-0000-0000B6AB0000}"/>
    <cellStyle name="Percent 2 3 2 7 5 3" xfId="20258" xr:uid="{00000000-0005-0000-0000-0000B7AB0000}"/>
    <cellStyle name="Percent 2 3 2 7 6" xfId="14339" xr:uid="{00000000-0005-0000-0000-0000B8AB0000}"/>
    <cellStyle name="Percent 2 3 2 7 7" xfId="20254" xr:uid="{00000000-0005-0000-0000-0000B9AB0000}"/>
    <cellStyle name="Percent 2 3 2 7_LNG &amp; LPG rework" xfId="7693" xr:uid="{00000000-0005-0000-0000-0000BAAB0000}"/>
    <cellStyle name="Percent 2 3 2 8" xfId="5921" xr:uid="{00000000-0005-0000-0000-0000BBAB0000}"/>
    <cellStyle name="Percent 2 3 2 8 2" xfId="14344" xr:uid="{00000000-0005-0000-0000-0000BCAB0000}"/>
    <cellStyle name="Percent 2 3 2 8 3" xfId="20259" xr:uid="{00000000-0005-0000-0000-0000BDAB0000}"/>
    <cellStyle name="Percent 2 3 2 9" xfId="5922" xr:uid="{00000000-0005-0000-0000-0000BEAB0000}"/>
    <cellStyle name="Percent 2 3 2 9 2" xfId="14345" xr:uid="{00000000-0005-0000-0000-0000BFAB0000}"/>
    <cellStyle name="Percent 2 3 2 9 3" xfId="20260" xr:uid="{00000000-0005-0000-0000-0000C0AB0000}"/>
    <cellStyle name="Percent 2 3 2_LNG &amp; LPG rework" xfId="7666" xr:uid="{00000000-0005-0000-0000-0000C1AB0000}"/>
    <cellStyle name="Percent 2 3 3" xfId="553" xr:uid="{00000000-0005-0000-0000-0000C2AB0000}"/>
    <cellStyle name="Percent 2 3 3 10" xfId="5923" xr:uid="{00000000-0005-0000-0000-0000C3AB0000}"/>
    <cellStyle name="Percent 2 3 3 10 2" xfId="14346" xr:uid="{00000000-0005-0000-0000-0000C4AB0000}"/>
    <cellStyle name="Percent 2 3 3 10 3" xfId="20262" xr:uid="{00000000-0005-0000-0000-0000C5AB0000}"/>
    <cellStyle name="Percent 2 3 3 11" xfId="5924" xr:uid="{00000000-0005-0000-0000-0000C6AB0000}"/>
    <cellStyle name="Percent 2 3 3 11 2" xfId="14347" xr:uid="{00000000-0005-0000-0000-0000C7AB0000}"/>
    <cellStyle name="Percent 2 3 3 11 3" xfId="20263" xr:uid="{00000000-0005-0000-0000-0000C8AB0000}"/>
    <cellStyle name="Percent 2 3 3 12" xfId="9372" xr:uid="{00000000-0005-0000-0000-0000C9AB0000}"/>
    <cellStyle name="Percent 2 3 3 13" xfId="20261" xr:uid="{00000000-0005-0000-0000-0000CAAB0000}"/>
    <cellStyle name="Percent 2 3 3 2" xfId="554" xr:uid="{00000000-0005-0000-0000-0000CBAB0000}"/>
    <cellStyle name="Percent 2 3 3 2 10" xfId="5925" xr:uid="{00000000-0005-0000-0000-0000CCAB0000}"/>
    <cellStyle name="Percent 2 3 3 2 10 2" xfId="14348" xr:uid="{00000000-0005-0000-0000-0000CDAB0000}"/>
    <cellStyle name="Percent 2 3 3 2 10 3" xfId="20265" xr:uid="{00000000-0005-0000-0000-0000CEAB0000}"/>
    <cellStyle name="Percent 2 3 3 2 11" xfId="9373" xr:uid="{00000000-0005-0000-0000-0000CFAB0000}"/>
    <cellStyle name="Percent 2 3 3 2 12" xfId="20264" xr:uid="{00000000-0005-0000-0000-0000D0AB0000}"/>
    <cellStyle name="Percent 2 3 3 2 2" xfId="555" xr:uid="{00000000-0005-0000-0000-0000D1AB0000}"/>
    <cellStyle name="Percent 2 3 3 2 2 10" xfId="20266" xr:uid="{00000000-0005-0000-0000-0000D2AB0000}"/>
    <cellStyle name="Percent 2 3 3 2 2 2" xfId="556" xr:uid="{00000000-0005-0000-0000-0000D3AB0000}"/>
    <cellStyle name="Percent 2 3 3 2 2 2 2" xfId="5926" xr:uid="{00000000-0005-0000-0000-0000D4AB0000}"/>
    <cellStyle name="Percent 2 3 3 2 2 2 2 2" xfId="14349" xr:uid="{00000000-0005-0000-0000-0000D5AB0000}"/>
    <cellStyle name="Percent 2 3 3 2 2 2 2 3" xfId="20268" xr:uid="{00000000-0005-0000-0000-0000D6AB0000}"/>
    <cellStyle name="Percent 2 3 3 2 2 2 3" xfId="5927" xr:uid="{00000000-0005-0000-0000-0000D7AB0000}"/>
    <cellStyle name="Percent 2 3 3 2 2 2 3 2" xfId="14350" xr:uid="{00000000-0005-0000-0000-0000D8AB0000}"/>
    <cellStyle name="Percent 2 3 3 2 2 2 3 3" xfId="20269" xr:uid="{00000000-0005-0000-0000-0000D9AB0000}"/>
    <cellStyle name="Percent 2 3 3 2 2 2 4" xfId="5928" xr:uid="{00000000-0005-0000-0000-0000DAAB0000}"/>
    <cellStyle name="Percent 2 3 3 2 2 2 4 2" xfId="14351" xr:uid="{00000000-0005-0000-0000-0000DBAB0000}"/>
    <cellStyle name="Percent 2 3 3 2 2 2 4 3" xfId="20270" xr:uid="{00000000-0005-0000-0000-0000DCAB0000}"/>
    <cellStyle name="Percent 2 3 3 2 2 2 5" xfId="5929" xr:uid="{00000000-0005-0000-0000-0000DDAB0000}"/>
    <cellStyle name="Percent 2 3 3 2 2 2 5 2" xfId="14352" xr:uid="{00000000-0005-0000-0000-0000DEAB0000}"/>
    <cellStyle name="Percent 2 3 3 2 2 2 5 3" xfId="20271" xr:uid="{00000000-0005-0000-0000-0000DFAB0000}"/>
    <cellStyle name="Percent 2 3 3 2 2 2 6" xfId="5930" xr:uid="{00000000-0005-0000-0000-0000E0AB0000}"/>
    <cellStyle name="Percent 2 3 3 2 2 2 6 2" xfId="14353" xr:uid="{00000000-0005-0000-0000-0000E1AB0000}"/>
    <cellStyle name="Percent 2 3 3 2 2 2 6 3" xfId="20272" xr:uid="{00000000-0005-0000-0000-0000E2AB0000}"/>
    <cellStyle name="Percent 2 3 3 2 2 2 7" xfId="9375" xr:uid="{00000000-0005-0000-0000-0000E3AB0000}"/>
    <cellStyle name="Percent 2 3 3 2 2 2 8" xfId="20267" xr:uid="{00000000-0005-0000-0000-0000E4AB0000}"/>
    <cellStyle name="Percent 2 3 3 2 2 2_LNG &amp; LPG rework" xfId="7697" xr:uid="{00000000-0005-0000-0000-0000E5AB0000}"/>
    <cellStyle name="Percent 2 3 3 2 2 3" xfId="5931" xr:uid="{00000000-0005-0000-0000-0000E6AB0000}"/>
    <cellStyle name="Percent 2 3 3 2 2 3 2" xfId="5932" xr:uid="{00000000-0005-0000-0000-0000E7AB0000}"/>
    <cellStyle name="Percent 2 3 3 2 2 3 2 2" xfId="14355" xr:uid="{00000000-0005-0000-0000-0000E8AB0000}"/>
    <cellStyle name="Percent 2 3 3 2 2 3 2 3" xfId="20274" xr:uid="{00000000-0005-0000-0000-0000E9AB0000}"/>
    <cellStyle name="Percent 2 3 3 2 2 3 3" xfId="5933" xr:uid="{00000000-0005-0000-0000-0000EAAB0000}"/>
    <cellStyle name="Percent 2 3 3 2 2 3 3 2" xfId="14356" xr:uid="{00000000-0005-0000-0000-0000EBAB0000}"/>
    <cellStyle name="Percent 2 3 3 2 2 3 3 3" xfId="20275" xr:uid="{00000000-0005-0000-0000-0000ECAB0000}"/>
    <cellStyle name="Percent 2 3 3 2 2 3 4" xfId="5934" xr:uid="{00000000-0005-0000-0000-0000EDAB0000}"/>
    <cellStyle name="Percent 2 3 3 2 2 3 4 2" xfId="14357" xr:uid="{00000000-0005-0000-0000-0000EEAB0000}"/>
    <cellStyle name="Percent 2 3 3 2 2 3 4 3" xfId="20276" xr:uid="{00000000-0005-0000-0000-0000EFAB0000}"/>
    <cellStyle name="Percent 2 3 3 2 2 3 5" xfId="5935" xr:uid="{00000000-0005-0000-0000-0000F0AB0000}"/>
    <cellStyle name="Percent 2 3 3 2 2 3 5 2" xfId="14358" xr:uid="{00000000-0005-0000-0000-0000F1AB0000}"/>
    <cellStyle name="Percent 2 3 3 2 2 3 5 3" xfId="20277" xr:uid="{00000000-0005-0000-0000-0000F2AB0000}"/>
    <cellStyle name="Percent 2 3 3 2 2 3 6" xfId="14354" xr:uid="{00000000-0005-0000-0000-0000F3AB0000}"/>
    <cellStyle name="Percent 2 3 3 2 2 3 7" xfId="20273" xr:uid="{00000000-0005-0000-0000-0000F4AB0000}"/>
    <cellStyle name="Percent 2 3 3 2 2 3_LNG &amp; LPG rework" xfId="7698" xr:uid="{00000000-0005-0000-0000-0000F5AB0000}"/>
    <cellStyle name="Percent 2 3 3 2 2 4" xfId="5936" xr:uid="{00000000-0005-0000-0000-0000F6AB0000}"/>
    <cellStyle name="Percent 2 3 3 2 2 4 2" xfId="14359" xr:uid="{00000000-0005-0000-0000-0000F7AB0000}"/>
    <cellStyle name="Percent 2 3 3 2 2 4 3" xfId="20278" xr:uid="{00000000-0005-0000-0000-0000F8AB0000}"/>
    <cellStyle name="Percent 2 3 3 2 2 5" xfId="5937" xr:uid="{00000000-0005-0000-0000-0000F9AB0000}"/>
    <cellStyle name="Percent 2 3 3 2 2 5 2" xfId="14360" xr:uid="{00000000-0005-0000-0000-0000FAAB0000}"/>
    <cellStyle name="Percent 2 3 3 2 2 5 3" xfId="20279" xr:uid="{00000000-0005-0000-0000-0000FBAB0000}"/>
    <cellStyle name="Percent 2 3 3 2 2 6" xfId="5938" xr:uid="{00000000-0005-0000-0000-0000FCAB0000}"/>
    <cellStyle name="Percent 2 3 3 2 2 6 2" xfId="14361" xr:uid="{00000000-0005-0000-0000-0000FDAB0000}"/>
    <cellStyle name="Percent 2 3 3 2 2 6 3" xfId="20280" xr:uid="{00000000-0005-0000-0000-0000FEAB0000}"/>
    <cellStyle name="Percent 2 3 3 2 2 7" xfId="5939" xr:uid="{00000000-0005-0000-0000-0000FFAB0000}"/>
    <cellStyle name="Percent 2 3 3 2 2 7 2" xfId="14362" xr:uid="{00000000-0005-0000-0000-000000AC0000}"/>
    <cellStyle name="Percent 2 3 3 2 2 7 3" xfId="20281" xr:uid="{00000000-0005-0000-0000-000001AC0000}"/>
    <cellStyle name="Percent 2 3 3 2 2 8" xfId="5940" xr:uid="{00000000-0005-0000-0000-000002AC0000}"/>
    <cellStyle name="Percent 2 3 3 2 2 8 2" xfId="14363" xr:uid="{00000000-0005-0000-0000-000003AC0000}"/>
    <cellStyle name="Percent 2 3 3 2 2 8 3" xfId="20282" xr:uid="{00000000-0005-0000-0000-000004AC0000}"/>
    <cellStyle name="Percent 2 3 3 2 2 9" xfId="9374" xr:uid="{00000000-0005-0000-0000-000005AC0000}"/>
    <cellStyle name="Percent 2 3 3 2 2_LNG &amp; LPG rework" xfId="7696" xr:uid="{00000000-0005-0000-0000-000006AC0000}"/>
    <cellStyle name="Percent 2 3 3 2 3" xfId="557" xr:uid="{00000000-0005-0000-0000-000007AC0000}"/>
    <cellStyle name="Percent 2 3 3 2 3 2" xfId="5941" xr:uid="{00000000-0005-0000-0000-000008AC0000}"/>
    <cellStyle name="Percent 2 3 3 2 3 2 2" xfId="14364" xr:uid="{00000000-0005-0000-0000-000009AC0000}"/>
    <cellStyle name="Percent 2 3 3 2 3 2 3" xfId="20284" xr:uid="{00000000-0005-0000-0000-00000AAC0000}"/>
    <cellStyle name="Percent 2 3 3 2 3 3" xfId="5942" xr:uid="{00000000-0005-0000-0000-00000BAC0000}"/>
    <cellStyle name="Percent 2 3 3 2 3 3 2" xfId="14365" xr:uid="{00000000-0005-0000-0000-00000CAC0000}"/>
    <cellStyle name="Percent 2 3 3 2 3 3 3" xfId="20285" xr:uid="{00000000-0005-0000-0000-00000DAC0000}"/>
    <cellStyle name="Percent 2 3 3 2 3 4" xfId="5943" xr:uid="{00000000-0005-0000-0000-00000EAC0000}"/>
    <cellStyle name="Percent 2 3 3 2 3 4 2" xfId="14366" xr:uid="{00000000-0005-0000-0000-00000FAC0000}"/>
    <cellStyle name="Percent 2 3 3 2 3 4 3" xfId="20286" xr:uid="{00000000-0005-0000-0000-000010AC0000}"/>
    <cellStyle name="Percent 2 3 3 2 3 5" xfId="5944" xr:uid="{00000000-0005-0000-0000-000011AC0000}"/>
    <cellStyle name="Percent 2 3 3 2 3 5 2" xfId="14367" xr:uid="{00000000-0005-0000-0000-000012AC0000}"/>
    <cellStyle name="Percent 2 3 3 2 3 5 3" xfId="20287" xr:uid="{00000000-0005-0000-0000-000013AC0000}"/>
    <cellStyle name="Percent 2 3 3 2 3 6" xfId="5945" xr:uid="{00000000-0005-0000-0000-000014AC0000}"/>
    <cellStyle name="Percent 2 3 3 2 3 6 2" xfId="14368" xr:uid="{00000000-0005-0000-0000-000015AC0000}"/>
    <cellStyle name="Percent 2 3 3 2 3 6 3" xfId="20288" xr:uid="{00000000-0005-0000-0000-000016AC0000}"/>
    <cellStyle name="Percent 2 3 3 2 3 7" xfId="9376" xr:uid="{00000000-0005-0000-0000-000017AC0000}"/>
    <cellStyle name="Percent 2 3 3 2 3 8" xfId="20283" xr:uid="{00000000-0005-0000-0000-000018AC0000}"/>
    <cellStyle name="Percent 2 3 3 2 3_LNG &amp; LPG rework" xfId="7699" xr:uid="{00000000-0005-0000-0000-000019AC0000}"/>
    <cellStyle name="Percent 2 3 3 2 4" xfId="5946" xr:uid="{00000000-0005-0000-0000-00001AAC0000}"/>
    <cellStyle name="Percent 2 3 3 2 4 2" xfId="5947" xr:uid="{00000000-0005-0000-0000-00001BAC0000}"/>
    <cellStyle name="Percent 2 3 3 2 4 2 2" xfId="14370" xr:uid="{00000000-0005-0000-0000-00001CAC0000}"/>
    <cellStyle name="Percent 2 3 3 2 4 2 3" xfId="20290" xr:uid="{00000000-0005-0000-0000-00001DAC0000}"/>
    <cellStyle name="Percent 2 3 3 2 4 3" xfId="5948" xr:uid="{00000000-0005-0000-0000-00001EAC0000}"/>
    <cellStyle name="Percent 2 3 3 2 4 3 2" xfId="14371" xr:uid="{00000000-0005-0000-0000-00001FAC0000}"/>
    <cellStyle name="Percent 2 3 3 2 4 3 3" xfId="20291" xr:uid="{00000000-0005-0000-0000-000020AC0000}"/>
    <cellStyle name="Percent 2 3 3 2 4 4" xfId="5949" xr:uid="{00000000-0005-0000-0000-000021AC0000}"/>
    <cellStyle name="Percent 2 3 3 2 4 4 2" xfId="14372" xr:uid="{00000000-0005-0000-0000-000022AC0000}"/>
    <cellStyle name="Percent 2 3 3 2 4 4 3" xfId="20292" xr:uid="{00000000-0005-0000-0000-000023AC0000}"/>
    <cellStyle name="Percent 2 3 3 2 4 5" xfId="5950" xr:uid="{00000000-0005-0000-0000-000024AC0000}"/>
    <cellStyle name="Percent 2 3 3 2 4 5 2" xfId="14373" xr:uid="{00000000-0005-0000-0000-000025AC0000}"/>
    <cellStyle name="Percent 2 3 3 2 4 5 3" xfId="20293" xr:uid="{00000000-0005-0000-0000-000026AC0000}"/>
    <cellStyle name="Percent 2 3 3 2 4 6" xfId="14369" xr:uid="{00000000-0005-0000-0000-000027AC0000}"/>
    <cellStyle name="Percent 2 3 3 2 4 7" xfId="20289" xr:uid="{00000000-0005-0000-0000-000028AC0000}"/>
    <cellStyle name="Percent 2 3 3 2 4_LNG &amp; LPG rework" xfId="7700" xr:uid="{00000000-0005-0000-0000-000029AC0000}"/>
    <cellStyle name="Percent 2 3 3 2 5" xfId="5951" xr:uid="{00000000-0005-0000-0000-00002AAC0000}"/>
    <cellStyle name="Percent 2 3 3 2 5 2" xfId="5952" xr:uid="{00000000-0005-0000-0000-00002BAC0000}"/>
    <cellStyle name="Percent 2 3 3 2 5 2 2" xfId="14375" xr:uid="{00000000-0005-0000-0000-00002CAC0000}"/>
    <cellStyle name="Percent 2 3 3 2 5 2 3" xfId="20295" xr:uid="{00000000-0005-0000-0000-00002DAC0000}"/>
    <cellStyle name="Percent 2 3 3 2 5 3" xfId="5953" xr:uid="{00000000-0005-0000-0000-00002EAC0000}"/>
    <cellStyle name="Percent 2 3 3 2 5 3 2" xfId="14376" xr:uid="{00000000-0005-0000-0000-00002FAC0000}"/>
    <cellStyle name="Percent 2 3 3 2 5 3 3" xfId="20296" xr:uid="{00000000-0005-0000-0000-000030AC0000}"/>
    <cellStyle name="Percent 2 3 3 2 5 4" xfId="5954" xr:uid="{00000000-0005-0000-0000-000031AC0000}"/>
    <cellStyle name="Percent 2 3 3 2 5 4 2" xfId="14377" xr:uid="{00000000-0005-0000-0000-000032AC0000}"/>
    <cellStyle name="Percent 2 3 3 2 5 4 3" xfId="20297" xr:uid="{00000000-0005-0000-0000-000033AC0000}"/>
    <cellStyle name="Percent 2 3 3 2 5 5" xfId="5955" xr:uid="{00000000-0005-0000-0000-000034AC0000}"/>
    <cellStyle name="Percent 2 3 3 2 5 5 2" xfId="14378" xr:uid="{00000000-0005-0000-0000-000035AC0000}"/>
    <cellStyle name="Percent 2 3 3 2 5 5 3" xfId="20298" xr:uid="{00000000-0005-0000-0000-000036AC0000}"/>
    <cellStyle name="Percent 2 3 3 2 5 6" xfId="14374" xr:uid="{00000000-0005-0000-0000-000037AC0000}"/>
    <cellStyle name="Percent 2 3 3 2 5 7" xfId="20294" xr:uid="{00000000-0005-0000-0000-000038AC0000}"/>
    <cellStyle name="Percent 2 3 3 2 5_LNG &amp; LPG rework" xfId="7701" xr:uid="{00000000-0005-0000-0000-000039AC0000}"/>
    <cellStyle name="Percent 2 3 3 2 6" xfId="5956" xr:uid="{00000000-0005-0000-0000-00003AAC0000}"/>
    <cellStyle name="Percent 2 3 3 2 6 2" xfId="14379" xr:uid="{00000000-0005-0000-0000-00003BAC0000}"/>
    <cellStyle name="Percent 2 3 3 2 6 3" xfId="20299" xr:uid="{00000000-0005-0000-0000-00003CAC0000}"/>
    <cellStyle name="Percent 2 3 3 2 7" xfId="5957" xr:uid="{00000000-0005-0000-0000-00003DAC0000}"/>
    <cellStyle name="Percent 2 3 3 2 7 2" xfId="14380" xr:uid="{00000000-0005-0000-0000-00003EAC0000}"/>
    <cellStyle name="Percent 2 3 3 2 7 3" xfId="20300" xr:uid="{00000000-0005-0000-0000-00003FAC0000}"/>
    <cellStyle name="Percent 2 3 3 2 8" xfId="5958" xr:uid="{00000000-0005-0000-0000-000040AC0000}"/>
    <cellStyle name="Percent 2 3 3 2 8 2" xfId="14381" xr:uid="{00000000-0005-0000-0000-000041AC0000}"/>
    <cellStyle name="Percent 2 3 3 2 8 3" xfId="20301" xr:uid="{00000000-0005-0000-0000-000042AC0000}"/>
    <cellStyle name="Percent 2 3 3 2 9" xfId="5959" xr:uid="{00000000-0005-0000-0000-000043AC0000}"/>
    <cellStyle name="Percent 2 3 3 2 9 2" xfId="14382" xr:uid="{00000000-0005-0000-0000-000044AC0000}"/>
    <cellStyle name="Percent 2 3 3 2 9 3" xfId="20302" xr:uid="{00000000-0005-0000-0000-000045AC0000}"/>
    <cellStyle name="Percent 2 3 3 2_LNG &amp; LPG rework" xfId="7695" xr:uid="{00000000-0005-0000-0000-000046AC0000}"/>
    <cellStyle name="Percent 2 3 3 3" xfId="558" xr:uid="{00000000-0005-0000-0000-000047AC0000}"/>
    <cellStyle name="Percent 2 3 3 3 10" xfId="20303" xr:uid="{00000000-0005-0000-0000-000048AC0000}"/>
    <cellStyle name="Percent 2 3 3 3 2" xfId="559" xr:uid="{00000000-0005-0000-0000-000049AC0000}"/>
    <cellStyle name="Percent 2 3 3 3 2 2" xfId="5960" xr:uid="{00000000-0005-0000-0000-00004AAC0000}"/>
    <cellStyle name="Percent 2 3 3 3 2 2 2" xfId="14383" xr:uid="{00000000-0005-0000-0000-00004BAC0000}"/>
    <cellStyle name="Percent 2 3 3 3 2 2 3" xfId="20305" xr:uid="{00000000-0005-0000-0000-00004CAC0000}"/>
    <cellStyle name="Percent 2 3 3 3 2 3" xfId="5961" xr:uid="{00000000-0005-0000-0000-00004DAC0000}"/>
    <cellStyle name="Percent 2 3 3 3 2 3 2" xfId="14384" xr:uid="{00000000-0005-0000-0000-00004EAC0000}"/>
    <cellStyle name="Percent 2 3 3 3 2 3 3" xfId="20306" xr:uid="{00000000-0005-0000-0000-00004FAC0000}"/>
    <cellStyle name="Percent 2 3 3 3 2 4" xfId="5962" xr:uid="{00000000-0005-0000-0000-000050AC0000}"/>
    <cellStyle name="Percent 2 3 3 3 2 4 2" xfId="14385" xr:uid="{00000000-0005-0000-0000-000051AC0000}"/>
    <cellStyle name="Percent 2 3 3 3 2 4 3" xfId="20307" xr:uid="{00000000-0005-0000-0000-000052AC0000}"/>
    <cellStyle name="Percent 2 3 3 3 2 5" xfId="5963" xr:uid="{00000000-0005-0000-0000-000053AC0000}"/>
    <cellStyle name="Percent 2 3 3 3 2 5 2" xfId="14386" xr:uid="{00000000-0005-0000-0000-000054AC0000}"/>
    <cellStyle name="Percent 2 3 3 3 2 5 3" xfId="20308" xr:uid="{00000000-0005-0000-0000-000055AC0000}"/>
    <cellStyle name="Percent 2 3 3 3 2 6" xfId="5964" xr:uid="{00000000-0005-0000-0000-000056AC0000}"/>
    <cellStyle name="Percent 2 3 3 3 2 6 2" xfId="14387" xr:uid="{00000000-0005-0000-0000-000057AC0000}"/>
    <cellStyle name="Percent 2 3 3 3 2 6 3" xfId="20309" xr:uid="{00000000-0005-0000-0000-000058AC0000}"/>
    <cellStyle name="Percent 2 3 3 3 2 7" xfId="9378" xr:uid="{00000000-0005-0000-0000-000059AC0000}"/>
    <cellStyle name="Percent 2 3 3 3 2 8" xfId="20304" xr:uid="{00000000-0005-0000-0000-00005AAC0000}"/>
    <cellStyle name="Percent 2 3 3 3 2_LNG &amp; LPG rework" xfId="7703" xr:uid="{00000000-0005-0000-0000-00005BAC0000}"/>
    <cellStyle name="Percent 2 3 3 3 3" xfId="5965" xr:uid="{00000000-0005-0000-0000-00005CAC0000}"/>
    <cellStyle name="Percent 2 3 3 3 3 2" xfId="5966" xr:uid="{00000000-0005-0000-0000-00005DAC0000}"/>
    <cellStyle name="Percent 2 3 3 3 3 2 2" xfId="14389" xr:uid="{00000000-0005-0000-0000-00005EAC0000}"/>
    <cellStyle name="Percent 2 3 3 3 3 2 3" xfId="20311" xr:uid="{00000000-0005-0000-0000-00005FAC0000}"/>
    <cellStyle name="Percent 2 3 3 3 3 3" xfId="5967" xr:uid="{00000000-0005-0000-0000-000060AC0000}"/>
    <cellStyle name="Percent 2 3 3 3 3 3 2" xfId="14390" xr:uid="{00000000-0005-0000-0000-000061AC0000}"/>
    <cellStyle name="Percent 2 3 3 3 3 3 3" xfId="20312" xr:uid="{00000000-0005-0000-0000-000062AC0000}"/>
    <cellStyle name="Percent 2 3 3 3 3 4" xfId="5968" xr:uid="{00000000-0005-0000-0000-000063AC0000}"/>
    <cellStyle name="Percent 2 3 3 3 3 4 2" xfId="14391" xr:uid="{00000000-0005-0000-0000-000064AC0000}"/>
    <cellStyle name="Percent 2 3 3 3 3 4 3" xfId="20313" xr:uid="{00000000-0005-0000-0000-000065AC0000}"/>
    <cellStyle name="Percent 2 3 3 3 3 5" xfId="5969" xr:uid="{00000000-0005-0000-0000-000066AC0000}"/>
    <cellStyle name="Percent 2 3 3 3 3 5 2" xfId="14392" xr:uid="{00000000-0005-0000-0000-000067AC0000}"/>
    <cellStyle name="Percent 2 3 3 3 3 5 3" xfId="20314" xr:uid="{00000000-0005-0000-0000-000068AC0000}"/>
    <cellStyle name="Percent 2 3 3 3 3 6" xfId="14388" xr:uid="{00000000-0005-0000-0000-000069AC0000}"/>
    <cellStyle name="Percent 2 3 3 3 3 7" xfId="20310" xr:uid="{00000000-0005-0000-0000-00006AAC0000}"/>
    <cellStyle name="Percent 2 3 3 3 3_LNG &amp; LPG rework" xfId="7704" xr:uid="{00000000-0005-0000-0000-00006BAC0000}"/>
    <cellStyle name="Percent 2 3 3 3 4" xfId="5970" xr:uid="{00000000-0005-0000-0000-00006CAC0000}"/>
    <cellStyle name="Percent 2 3 3 3 4 2" xfId="14393" xr:uid="{00000000-0005-0000-0000-00006DAC0000}"/>
    <cellStyle name="Percent 2 3 3 3 4 3" xfId="20315" xr:uid="{00000000-0005-0000-0000-00006EAC0000}"/>
    <cellStyle name="Percent 2 3 3 3 5" xfId="5971" xr:uid="{00000000-0005-0000-0000-00006FAC0000}"/>
    <cellStyle name="Percent 2 3 3 3 5 2" xfId="14394" xr:uid="{00000000-0005-0000-0000-000070AC0000}"/>
    <cellStyle name="Percent 2 3 3 3 5 3" xfId="20316" xr:uid="{00000000-0005-0000-0000-000071AC0000}"/>
    <cellStyle name="Percent 2 3 3 3 6" xfId="5972" xr:uid="{00000000-0005-0000-0000-000072AC0000}"/>
    <cellStyle name="Percent 2 3 3 3 6 2" xfId="14395" xr:uid="{00000000-0005-0000-0000-000073AC0000}"/>
    <cellStyle name="Percent 2 3 3 3 6 3" xfId="20317" xr:uid="{00000000-0005-0000-0000-000074AC0000}"/>
    <cellStyle name="Percent 2 3 3 3 7" xfId="5973" xr:uid="{00000000-0005-0000-0000-000075AC0000}"/>
    <cellStyle name="Percent 2 3 3 3 7 2" xfId="14396" xr:uid="{00000000-0005-0000-0000-000076AC0000}"/>
    <cellStyle name="Percent 2 3 3 3 7 3" xfId="20318" xr:uid="{00000000-0005-0000-0000-000077AC0000}"/>
    <cellStyle name="Percent 2 3 3 3 8" xfId="5974" xr:uid="{00000000-0005-0000-0000-000078AC0000}"/>
    <cellStyle name="Percent 2 3 3 3 8 2" xfId="14397" xr:uid="{00000000-0005-0000-0000-000079AC0000}"/>
    <cellStyle name="Percent 2 3 3 3 8 3" xfId="20319" xr:uid="{00000000-0005-0000-0000-00007AAC0000}"/>
    <cellStyle name="Percent 2 3 3 3 9" xfId="9377" xr:uid="{00000000-0005-0000-0000-00007BAC0000}"/>
    <cellStyle name="Percent 2 3 3 3_LNG &amp; LPG rework" xfId="7702" xr:uid="{00000000-0005-0000-0000-00007CAC0000}"/>
    <cellStyle name="Percent 2 3 3 4" xfId="560" xr:uid="{00000000-0005-0000-0000-00007DAC0000}"/>
    <cellStyle name="Percent 2 3 3 4 2" xfId="5975" xr:uid="{00000000-0005-0000-0000-00007EAC0000}"/>
    <cellStyle name="Percent 2 3 3 4 2 2" xfId="14398" xr:uid="{00000000-0005-0000-0000-00007FAC0000}"/>
    <cellStyle name="Percent 2 3 3 4 2 3" xfId="20321" xr:uid="{00000000-0005-0000-0000-000080AC0000}"/>
    <cellStyle name="Percent 2 3 3 4 3" xfId="5976" xr:uid="{00000000-0005-0000-0000-000081AC0000}"/>
    <cellStyle name="Percent 2 3 3 4 3 2" xfId="14399" xr:uid="{00000000-0005-0000-0000-000082AC0000}"/>
    <cellStyle name="Percent 2 3 3 4 3 3" xfId="20322" xr:uid="{00000000-0005-0000-0000-000083AC0000}"/>
    <cellStyle name="Percent 2 3 3 4 4" xfId="5977" xr:uid="{00000000-0005-0000-0000-000084AC0000}"/>
    <cellStyle name="Percent 2 3 3 4 4 2" xfId="14400" xr:uid="{00000000-0005-0000-0000-000085AC0000}"/>
    <cellStyle name="Percent 2 3 3 4 4 3" xfId="20323" xr:uid="{00000000-0005-0000-0000-000086AC0000}"/>
    <cellStyle name="Percent 2 3 3 4 5" xfId="5978" xr:uid="{00000000-0005-0000-0000-000087AC0000}"/>
    <cellStyle name="Percent 2 3 3 4 5 2" xfId="14401" xr:uid="{00000000-0005-0000-0000-000088AC0000}"/>
    <cellStyle name="Percent 2 3 3 4 5 3" xfId="20324" xr:uid="{00000000-0005-0000-0000-000089AC0000}"/>
    <cellStyle name="Percent 2 3 3 4 6" xfId="5979" xr:uid="{00000000-0005-0000-0000-00008AAC0000}"/>
    <cellStyle name="Percent 2 3 3 4 6 2" xfId="14402" xr:uid="{00000000-0005-0000-0000-00008BAC0000}"/>
    <cellStyle name="Percent 2 3 3 4 6 3" xfId="20325" xr:uid="{00000000-0005-0000-0000-00008CAC0000}"/>
    <cellStyle name="Percent 2 3 3 4 7" xfId="9379" xr:uid="{00000000-0005-0000-0000-00008DAC0000}"/>
    <cellStyle name="Percent 2 3 3 4 8" xfId="20320" xr:uid="{00000000-0005-0000-0000-00008EAC0000}"/>
    <cellStyle name="Percent 2 3 3 4_LNG &amp; LPG rework" xfId="7705" xr:uid="{00000000-0005-0000-0000-00008FAC0000}"/>
    <cellStyle name="Percent 2 3 3 5" xfId="5980" xr:uid="{00000000-0005-0000-0000-000090AC0000}"/>
    <cellStyle name="Percent 2 3 3 5 2" xfId="5981" xr:uid="{00000000-0005-0000-0000-000091AC0000}"/>
    <cellStyle name="Percent 2 3 3 5 2 2" xfId="14404" xr:uid="{00000000-0005-0000-0000-000092AC0000}"/>
    <cellStyle name="Percent 2 3 3 5 2 3" xfId="20327" xr:uid="{00000000-0005-0000-0000-000093AC0000}"/>
    <cellStyle name="Percent 2 3 3 5 3" xfId="5982" xr:uid="{00000000-0005-0000-0000-000094AC0000}"/>
    <cellStyle name="Percent 2 3 3 5 3 2" xfId="14405" xr:uid="{00000000-0005-0000-0000-000095AC0000}"/>
    <cellStyle name="Percent 2 3 3 5 3 3" xfId="20328" xr:uid="{00000000-0005-0000-0000-000096AC0000}"/>
    <cellStyle name="Percent 2 3 3 5 4" xfId="5983" xr:uid="{00000000-0005-0000-0000-000097AC0000}"/>
    <cellStyle name="Percent 2 3 3 5 4 2" xfId="14406" xr:uid="{00000000-0005-0000-0000-000098AC0000}"/>
    <cellStyle name="Percent 2 3 3 5 4 3" xfId="20329" xr:uid="{00000000-0005-0000-0000-000099AC0000}"/>
    <cellStyle name="Percent 2 3 3 5 5" xfId="5984" xr:uid="{00000000-0005-0000-0000-00009AAC0000}"/>
    <cellStyle name="Percent 2 3 3 5 5 2" xfId="14407" xr:uid="{00000000-0005-0000-0000-00009BAC0000}"/>
    <cellStyle name="Percent 2 3 3 5 5 3" xfId="20330" xr:uid="{00000000-0005-0000-0000-00009CAC0000}"/>
    <cellStyle name="Percent 2 3 3 5 6" xfId="14403" xr:uid="{00000000-0005-0000-0000-00009DAC0000}"/>
    <cellStyle name="Percent 2 3 3 5 7" xfId="20326" xr:uid="{00000000-0005-0000-0000-00009EAC0000}"/>
    <cellStyle name="Percent 2 3 3 5_LNG &amp; LPG rework" xfId="7706" xr:uid="{00000000-0005-0000-0000-00009FAC0000}"/>
    <cellStyle name="Percent 2 3 3 6" xfId="5985" xr:uid="{00000000-0005-0000-0000-0000A0AC0000}"/>
    <cellStyle name="Percent 2 3 3 6 2" xfId="5986" xr:uid="{00000000-0005-0000-0000-0000A1AC0000}"/>
    <cellStyle name="Percent 2 3 3 6 2 2" xfId="14409" xr:uid="{00000000-0005-0000-0000-0000A2AC0000}"/>
    <cellStyle name="Percent 2 3 3 6 2 3" xfId="20332" xr:uid="{00000000-0005-0000-0000-0000A3AC0000}"/>
    <cellStyle name="Percent 2 3 3 6 3" xfId="5987" xr:uid="{00000000-0005-0000-0000-0000A4AC0000}"/>
    <cellStyle name="Percent 2 3 3 6 3 2" xfId="14410" xr:uid="{00000000-0005-0000-0000-0000A5AC0000}"/>
    <cellStyle name="Percent 2 3 3 6 3 3" xfId="20333" xr:uid="{00000000-0005-0000-0000-0000A6AC0000}"/>
    <cellStyle name="Percent 2 3 3 6 4" xfId="5988" xr:uid="{00000000-0005-0000-0000-0000A7AC0000}"/>
    <cellStyle name="Percent 2 3 3 6 4 2" xfId="14411" xr:uid="{00000000-0005-0000-0000-0000A8AC0000}"/>
    <cellStyle name="Percent 2 3 3 6 4 3" xfId="20334" xr:uid="{00000000-0005-0000-0000-0000A9AC0000}"/>
    <cellStyle name="Percent 2 3 3 6 5" xfId="5989" xr:uid="{00000000-0005-0000-0000-0000AAAC0000}"/>
    <cellStyle name="Percent 2 3 3 6 5 2" xfId="14412" xr:uid="{00000000-0005-0000-0000-0000ABAC0000}"/>
    <cellStyle name="Percent 2 3 3 6 5 3" xfId="20335" xr:uid="{00000000-0005-0000-0000-0000ACAC0000}"/>
    <cellStyle name="Percent 2 3 3 6 6" xfId="14408" xr:uid="{00000000-0005-0000-0000-0000ADAC0000}"/>
    <cellStyle name="Percent 2 3 3 6 7" xfId="20331" xr:uid="{00000000-0005-0000-0000-0000AEAC0000}"/>
    <cellStyle name="Percent 2 3 3 6_LNG &amp; LPG rework" xfId="7707" xr:uid="{00000000-0005-0000-0000-0000AFAC0000}"/>
    <cellStyle name="Percent 2 3 3 7" xfId="5990" xr:uid="{00000000-0005-0000-0000-0000B0AC0000}"/>
    <cellStyle name="Percent 2 3 3 7 2" xfId="14413" xr:uid="{00000000-0005-0000-0000-0000B1AC0000}"/>
    <cellStyle name="Percent 2 3 3 7 3" xfId="20336" xr:uid="{00000000-0005-0000-0000-0000B2AC0000}"/>
    <cellStyle name="Percent 2 3 3 8" xfId="5991" xr:uid="{00000000-0005-0000-0000-0000B3AC0000}"/>
    <cellStyle name="Percent 2 3 3 8 2" xfId="14414" xr:uid="{00000000-0005-0000-0000-0000B4AC0000}"/>
    <cellStyle name="Percent 2 3 3 8 3" xfId="20337" xr:uid="{00000000-0005-0000-0000-0000B5AC0000}"/>
    <cellStyle name="Percent 2 3 3 9" xfId="5992" xr:uid="{00000000-0005-0000-0000-0000B6AC0000}"/>
    <cellStyle name="Percent 2 3 3 9 2" xfId="14415" xr:uid="{00000000-0005-0000-0000-0000B7AC0000}"/>
    <cellStyle name="Percent 2 3 3 9 3" xfId="20338" xr:uid="{00000000-0005-0000-0000-0000B8AC0000}"/>
    <cellStyle name="Percent 2 3 3_LNG &amp; LPG rework" xfId="7694" xr:uid="{00000000-0005-0000-0000-0000B9AC0000}"/>
    <cellStyle name="Percent 2 3 4" xfId="561" xr:uid="{00000000-0005-0000-0000-0000BAAC0000}"/>
    <cellStyle name="Percent 2 3 4 10" xfId="5993" xr:uid="{00000000-0005-0000-0000-0000BBAC0000}"/>
    <cellStyle name="Percent 2 3 4 10 2" xfId="14416" xr:uid="{00000000-0005-0000-0000-0000BCAC0000}"/>
    <cellStyle name="Percent 2 3 4 10 3" xfId="20340" xr:uid="{00000000-0005-0000-0000-0000BDAC0000}"/>
    <cellStyle name="Percent 2 3 4 11" xfId="9380" xr:uid="{00000000-0005-0000-0000-0000BEAC0000}"/>
    <cellStyle name="Percent 2 3 4 12" xfId="20339" xr:uid="{00000000-0005-0000-0000-0000BFAC0000}"/>
    <cellStyle name="Percent 2 3 4 2" xfId="562" xr:uid="{00000000-0005-0000-0000-0000C0AC0000}"/>
    <cellStyle name="Percent 2 3 4 2 10" xfId="20341" xr:uid="{00000000-0005-0000-0000-0000C1AC0000}"/>
    <cellStyle name="Percent 2 3 4 2 2" xfId="563" xr:uid="{00000000-0005-0000-0000-0000C2AC0000}"/>
    <cellStyle name="Percent 2 3 4 2 2 2" xfId="5994" xr:uid="{00000000-0005-0000-0000-0000C3AC0000}"/>
    <cellStyle name="Percent 2 3 4 2 2 2 2" xfId="14417" xr:uid="{00000000-0005-0000-0000-0000C4AC0000}"/>
    <cellStyle name="Percent 2 3 4 2 2 2 3" xfId="20343" xr:uid="{00000000-0005-0000-0000-0000C5AC0000}"/>
    <cellStyle name="Percent 2 3 4 2 2 3" xfId="5995" xr:uid="{00000000-0005-0000-0000-0000C6AC0000}"/>
    <cellStyle name="Percent 2 3 4 2 2 3 2" xfId="14418" xr:uid="{00000000-0005-0000-0000-0000C7AC0000}"/>
    <cellStyle name="Percent 2 3 4 2 2 3 3" xfId="20344" xr:uid="{00000000-0005-0000-0000-0000C8AC0000}"/>
    <cellStyle name="Percent 2 3 4 2 2 4" xfId="5996" xr:uid="{00000000-0005-0000-0000-0000C9AC0000}"/>
    <cellStyle name="Percent 2 3 4 2 2 4 2" xfId="14419" xr:uid="{00000000-0005-0000-0000-0000CAAC0000}"/>
    <cellStyle name="Percent 2 3 4 2 2 4 3" xfId="20345" xr:uid="{00000000-0005-0000-0000-0000CBAC0000}"/>
    <cellStyle name="Percent 2 3 4 2 2 5" xfId="5997" xr:uid="{00000000-0005-0000-0000-0000CCAC0000}"/>
    <cellStyle name="Percent 2 3 4 2 2 5 2" xfId="14420" xr:uid="{00000000-0005-0000-0000-0000CDAC0000}"/>
    <cellStyle name="Percent 2 3 4 2 2 5 3" xfId="20346" xr:uid="{00000000-0005-0000-0000-0000CEAC0000}"/>
    <cellStyle name="Percent 2 3 4 2 2 6" xfId="5998" xr:uid="{00000000-0005-0000-0000-0000CFAC0000}"/>
    <cellStyle name="Percent 2 3 4 2 2 6 2" xfId="14421" xr:uid="{00000000-0005-0000-0000-0000D0AC0000}"/>
    <cellStyle name="Percent 2 3 4 2 2 6 3" xfId="20347" xr:uid="{00000000-0005-0000-0000-0000D1AC0000}"/>
    <cellStyle name="Percent 2 3 4 2 2 7" xfId="9382" xr:uid="{00000000-0005-0000-0000-0000D2AC0000}"/>
    <cellStyle name="Percent 2 3 4 2 2 8" xfId="20342" xr:uid="{00000000-0005-0000-0000-0000D3AC0000}"/>
    <cellStyle name="Percent 2 3 4 2 2_LNG &amp; LPG rework" xfId="7710" xr:uid="{00000000-0005-0000-0000-0000D4AC0000}"/>
    <cellStyle name="Percent 2 3 4 2 3" xfId="5999" xr:uid="{00000000-0005-0000-0000-0000D5AC0000}"/>
    <cellStyle name="Percent 2 3 4 2 3 2" xfId="6000" xr:uid="{00000000-0005-0000-0000-0000D6AC0000}"/>
    <cellStyle name="Percent 2 3 4 2 3 2 2" xfId="14423" xr:uid="{00000000-0005-0000-0000-0000D7AC0000}"/>
    <cellStyle name="Percent 2 3 4 2 3 2 3" xfId="20349" xr:uid="{00000000-0005-0000-0000-0000D8AC0000}"/>
    <cellStyle name="Percent 2 3 4 2 3 3" xfId="6001" xr:uid="{00000000-0005-0000-0000-0000D9AC0000}"/>
    <cellStyle name="Percent 2 3 4 2 3 3 2" xfId="14424" xr:uid="{00000000-0005-0000-0000-0000DAAC0000}"/>
    <cellStyle name="Percent 2 3 4 2 3 3 3" xfId="20350" xr:uid="{00000000-0005-0000-0000-0000DBAC0000}"/>
    <cellStyle name="Percent 2 3 4 2 3 4" xfId="6002" xr:uid="{00000000-0005-0000-0000-0000DCAC0000}"/>
    <cellStyle name="Percent 2 3 4 2 3 4 2" xfId="14425" xr:uid="{00000000-0005-0000-0000-0000DDAC0000}"/>
    <cellStyle name="Percent 2 3 4 2 3 4 3" xfId="20351" xr:uid="{00000000-0005-0000-0000-0000DEAC0000}"/>
    <cellStyle name="Percent 2 3 4 2 3 5" xfId="6003" xr:uid="{00000000-0005-0000-0000-0000DFAC0000}"/>
    <cellStyle name="Percent 2 3 4 2 3 5 2" xfId="14426" xr:uid="{00000000-0005-0000-0000-0000E0AC0000}"/>
    <cellStyle name="Percent 2 3 4 2 3 5 3" xfId="20352" xr:uid="{00000000-0005-0000-0000-0000E1AC0000}"/>
    <cellStyle name="Percent 2 3 4 2 3 6" xfId="14422" xr:uid="{00000000-0005-0000-0000-0000E2AC0000}"/>
    <cellStyle name="Percent 2 3 4 2 3 7" xfId="20348" xr:uid="{00000000-0005-0000-0000-0000E3AC0000}"/>
    <cellStyle name="Percent 2 3 4 2 3_LNG &amp; LPG rework" xfId="7711" xr:uid="{00000000-0005-0000-0000-0000E4AC0000}"/>
    <cellStyle name="Percent 2 3 4 2 4" xfId="6004" xr:uid="{00000000-0005-0000-0000-0000E5AC0000}"/>
    <cellStyle name="Percent 2 3 4 2 4 2" xfId="14427" xr:uid="{00000000-0005-0000-0000-0000E6AC0000}"/>
    <cellStyle name="Percent 2 3 4 2 4 3" xfId="20353" xr:uid="{00000000-0005-0000-0000-0000E7AC0000}"/>
    <cellStyle name="Percent 2 3 4 2 5" xfId="6005" xr:uid="{00000000-0005-0000-0000-0000E8AC0000}"/>
    <cellStyle name="Percent 2 3 4 2 5 2" xfId="14428" xr:uid="{00000000-0005-0000-0000-0000E9AC0000}"/>
    <cellStyle name="Percent 2 3 4 2 5 3" xfId="20354" xr:uid="{00000000-0005-0000-0000-0000EAAC0000}"/>
    <cellStyle name="Percent 2 3 4 2 6" xfId="6006" xr:uid="{00000000-0005-0000-0000-0000EBAC0000}"/>
    <cellStyle name="Percent 2 3 4 2 6 2" xfId="14429" xr:uid="{00000000-0005-0000-0000-0000ECAC0000}"/>
    <cellStyle name="Percent 2 3 4 2 6 3" xfId="20355" xr:uid="{00000000-0005-0000-0000-0000EDAC0000}"/>
    <cellStyle name="Percent 2 3 4 2 7" xfId="6007" xr:uid="{00000000-0005-0000-0000-0000EEAC0000}"/>
    <cellStyle name="Percent 2 3 4 2 7 2" xfId="14430" xr:uid="{00000000-0005-0000-0000-0000EFAC0000}"/>
    <cellStyle name="Percent 2 3 4 2 7 3" xfId="20356" xr:uid="{00000000-0005-0000-0000-0000F0AC0000}"/>
    <cellStyle name="Percent 2 3 4 2 8" xfId="6008" xr:uid="{00000000-0005-0000-0000-0000F1AC0000}"/>
    <cellStyle name="Percent 2 3 4 2 8 2" xfId="14431" xr:uid="{00000000-0005-0000-0000-0000F2AC0000}"/>
    <cellStyle name="Percent 2 3 4 2 8 3" xfId="20357" xr:uid="{00000000-0005-0000-0000-0000F3AC0000}"/>
    <cellStyle name="Percent 2 3 4 2 9" xfId="9381" xr:uid="{00000000-0005-0000-0000-0000F4AC0000}"/>
    <cellStyle name="Percent 2 3 4 2_LNG &amp; LPG rework" xfId="7709" xr:uid="{00000000-0005-0000-0000-0000F5AC0000}"/>
    <cellStyle name="Percent 2 3 4 3" xfId="564" xr:uid="{00000000-0005-0000-0000-0000F6AC0000}"/>
    <cellStyle name="Percent 2 3 4 3 2" xfId="6009" xr:uid="{00000000-0005-0000-0000-0000F7AC0000}"/>
    <cellStyle name="Percent 2 3 4 3 2 2" xfId="14432" xr:uid="{00000000-0005-0000-0000-0000F8AC0000}"/>
    <cellStyle name="Percent 2 3 4 3 2 3" xfId="20359" xr:uid="{00000000-0005-0000-0000-0000F9AC0000}"/>
    <cellStyle name="Percent 2 3 4 3 3" xfId="6010" xr:uid="{00000000-0005-0000-0000-0000FAAC0000}"/>
    <cellStyle name="Percent 2 3 4 3 3 2" xfId="14433" xr:uid="{00000000-0005-0000-0000-0000FBAC0000}"/>
    <cellStyle name="Percent 2 3 4 3 3 3" xfId="20360" xr:uid="{00000000-0005-0000-0000-0000FCAC0000}"/>
    <cellStyle name="Percent 2 3 4 3 4" xfId="6011" xr:uid="{00000000-0005-0000-0000-0000FDAC0000}"/>
    <cellStyle name="Percent 2 3 4 3 4 2" xfId="14434" xr:uid="{00000000-0005-0000-0000-0000FEAC0000}"/>
    <cellStyle name="Percent 2 3 4 3 4 3" xfId="20361" xr:uid="{00000000-0005-0000-0000-0000FFAC0000}"/>
    <cellStyle name="Percent 2 3 4 3 5" xfId="6012" xr:uid="{00000000-0005-0000-0000-000000AD0000}"/>
    <cellStyle name="Percent 2 3 4 3 5 2" xfId="14435" xr:uid="{00000000-0005-0000-0000-000001AD0000}"/>
    <cellStyle name="Percent 2 3 4 3 5 3" xfId="20362" xr:uid="{00000000-0005-0000-0000-000002AD0000}"/>
    <cellStyle name="Percent 2 3 4 3 6" xfId="6013" xr:uid="{00000000-0005-0000-0000-000003AD0000}"/>
    <cellStyle name="Percent 2 3 4 3 6 2" xfId="14436" xr:uid="{00000000-0005-0000-0000-000004AD0000}"/>
    <cellStyle name="Percent 2 3 4 3 6 3" xfId="20363" xr:uid="{00000000-0005-0000-0000-000005AD0000}"/>
    <cellStyle name="Percent 2 3 4 3 7" xfId="9383" xr:uid="{00000000-0005-0000-0000-000006AD0000}"/>
    <cellStyle name="Percent 2 3 4 3 8" xfId="20358" xr:uid="{00000000-0005-0000-0000-000007AD0000}"/>
    <cellStyle name="Percent 2 3 4 3_LNG &amp; LPG rework" xfId="7712" xr:uid="{00000000-0005-0000-0000-000008AD0000}"/>
    <cellStyle name="Percent 2 3 4 4" xfId="6014" xr:uid="{00000000-0005-0000-0000-000009AD0000}"/>
    <cellStyle name="Percent 2 3 4 4 2" xfId="6015" xr:uid="{00000000-0005-0000-0000-00000AAD0000}"/>
    <cellStyle name="Percent 2 3 4 4 2 2" xfId="14438" xr:uid="{00000000-0005-0000-0000-00000BAD0000}"/>
    <cellStyle name="Percent 2 3 4 4 2 3" xfId="20365" xr:uid="{00000000-0005-0000-0000-00000CAD0000}"/>
    <cellStyle name="Percent 2 3 4 4 3" xfId="6016" xr:uid="{00000000-0005-0000-0000-00000DAD0000}"/>
    <cellStyle name="Percent 2 3 4 4 3 2" xfId="14439" xr:uid="{00000000-0005-0000-0000-00000EAD0000}"/>
    <cellStyle name="Percent 2 3 4 4 3 3" xfId="20366" xr:uid="{00000000-0005-0000-0000-00000FAD0000}"/>
    <cellStyle name="Percent 2 3 4 4 4" xfId="6017" xr:uid="{00000000-0005-0000-0000-000010AD0000}"/>
    <cellStyle name="Percent 2 3 4 4 4 2" xfId="14440" xr:uid="{00000000-0005-0000-0000-000011AD0000}"/>
    <cellStyle name="Percent 2 3 4 4 4 3" xfId="20367" xr:uid="{00000000-0005-0000-0000-000012AD0000}"/>
    <cellStyle name="Percent 2 3 4 4 5" xfId="6018" xr:uid="{00000000-0005-0000-0000-000013AD0000}"/>
    <cellStyle name="Percent 2 3 4 4 5 2" xfId="14441" xr:uid="{00000000-0005-0000-0000-000014AD0000}"/>
    <cellStyle name="Percent 2 3 4 4 5 3" xfId="20368" xr:uid="{00000000-0005-0000-0000-000015AD0000}"/>
    <cellStyle name="Percent 2 3 4 4 6" xfId="14437" xr:uid="{00000000-0005-0000-0000-000016AD0000}"/>
    <cellStyle name="Percent 2 3 4 4 7" xfId="20364" xr:uid="{00000000-0005-0000-0000-000017AD0000}"/>
    <cellStyle name="Percent 2 3 4 4_LNG &amp; LPG rework" xfId="7713" xr:uid="{00000000-0005-0000-0000-000018AD0000}"/>
    <cellStyle name="Percent 2 3 4 5" xfId="6019" xr:uid="{00000000-0005-0000-0000-000019AD0000}"/>
    <cellStyle name="Percent 2 3 4 5 2" xfId="6020" xr:uid="{00000000-0005-0000-0000-00001AAD0000}"/>
    <cellStyle name="Percent 2 3 4 5 2 2" xfId="14443" xr:uid="{00000000-0005-0000-0000-00001BAD0000}"/>
    <cellStyle name="Percent 2 3 4 5 2 3" xfId="20370" xr:uid="{00000000-0005-0000-0000-00001CAD0000}"/>
    <cellStyle name="Percent 2 3 4 5 3" xfId="6021" xr:uid="{00000000-0005-0000-0000-00001DAD0000}"/>
    <cellStyle name="Percent 2 3 4 5 3 2" xfId="14444" xr:uid="{00000000-0005-0000-0000-00001EAD0000}"/>
    <cellStyle name="Percent 2 3 4 5 3 3" xfId="20371" xr:uid="{00000000-0005-0000-0000-00001FAD0000}"/>
    <cellStyle name="Percent 2 3 4 5 4" xfId="6022" xr:uid="{00000000-0005-0000-0000-000020AD0000}"/>
    <cellStyle name="Percent 2 3 4 5 4 2" xfId="14445" xr:uid="{00000000-0005-0000-0000-000021AD0000}"/>
    <cellStyle name="Percent 2 3 4 5 4 3" xfId="20372" xr:uid="{00000000-0005-0000-0000-000022AD0000}"/>
    <cellStyle name="Percent 2 3 4 5 5" xfId="6023" xr:uid="{00000000-0005-0000-0000-000023AD0000}"/>
    <cellStyle name="Percent 2 3 4 5 5 2" xfId="14446" xr:uid="{00000000-0005-0000-0000-000024AD0000}"/>
    <cellStyle name="Percent 2 3 4 5 5 3" xfId="20373" xr:uid="{00000000-0005-0000-0000-000025AD0000}"/>
    <cellStyle name="Percent 2 3 4 5 6" xfId="14442" xr:uid="{00000000-0005-0000-0000-000026AD0000}"/>
    <cellStyle name="Percent 2 3 4 5 7" xfId="20369" xr:uid="{00000000-0005-0000-0000-000027AD0000}"/>
    <cellStyle name="Percent 2 3 4 5_LNG &amp; LPG rework" xfId="7714" xr:uid="{00000000-0005-0000-0000-000028AD0000}"/>
    <cellStyle name="Percent 2 3 4 6" xfId="6024" xr:uid="{00000000-0005-0000-0000-000029AD0000}"/>
    <cellStyle name="Percent 2 3 4 6 2" xfId="14447" xr:uid="{00000000-0005-0000-0000-00002AAD0000}"/>
    <cellStyle name="Percent 2 3 4 6 3" xfId="20374" xr:uid="{00000000-0005-0000-0000-00002BAD0000}"/>
    <cellStyle name="Percent 2 3 4 7" xfId="6025" xr:uid="{00000000-0005-0000-0000-00002CAD0000}"/>
    <cellStyle name="Percent 2 3 4 7 2" xfId="14448" xr:uid="{00000000-0005-0000-0000-00002DAD0000}"/>
    <cellStyle name="Percent 2 3 4 7 3" xfId="20375" xr:uid="{00000000-0005-0000-0000-00002EAD0000}"/>
    <cellStyle name="Percent 2 3 4 8" xfId="6026" xr:uid="{00000000-0005-0000-0000-00002FAD0000}"/>
    <cellStyle name="Percent 2 3 4 8 2" xfId="14449" xr:uid="{00000000-0005-0000-0000-000030AD0000}"/>
    <cellStyle name="Percent 2 3 4 8 3" xfId="20376" xr:uid="{00000000-0005-0000-0000-000031AD0000}"/>
    <cellStyle name="Percent 2 3 4 9" xfId="6027" xr:uid="{00000000-0005-0000-0000-000032AD0000}"/>
    <cellStyle name="Percent 2 3 4 9 2" xfId="14450" xr:uid="{00000000-0005-0000-0000-000033AD0000}"/>
    <cellStyle name="Percent 2 3 4 9 3" xfId="20377" xr:uid="{00000000-0005-0000-0000-000034AD0000}"/>
    <cellStyle name="Percent 2 3 4_LNG &amp; LPG rework" xfId="7708" xr:uid="{00000000-0005-0000-0000-000035AD0000}"/>
    <cellStyle name="Percent 2 3 5" xfId="565" xr:uid="{00000000-0005-0000-0000-000036AD0000}"/>
    <cellStyle name="Percent 2 3 5 10" xfId="20378" xr:uid="{00000000-0005-0000-0000-000037AD0000}"/>
    <cellStyle name="Percent 2 3 5 2" xfId="566" xr:uid="{00000000-0005-0000-0000-000038AD0000}"/>
    <cellStyle name="Percent 2 3 5 2 2" xfId="6028" xr:uid="{00000000-0005-0000-0000-000039AD0000}"/>
    <cellStyle name="Percent 2 3 5 2 2 2" xfId="14451" xr:uid="{00000000-0005-0000-0000-00003AAD0000}"/>
    <cellStyle name="Percent 2 3 5 2 2 3" xfId="20380" xr:uid="{00000000-0005-0000-0000-00003BAD0000}"/>
    <cellStyle name="Percent 2 3 5 2 3" xfId="6029" xr:uid="{00000000-0005-0000-0000-00003CAD0000}"/>
    <cellStyle name="Percent 2 3 5 2 3 2" xfId="14452" xr:uid="{00000000-0005-0000-0000-00003DAD0000}"/>
    <cellStyle name="Percent 2 3 5 2 3 3" xfId="20381" xr:uid="{00000000-0005-0000-0000-00003EAD0000}"/>
    <cellStyle name="Percent 2 3 5 2 4" xfId="6030" xr:uid="{00000000-0005-0000-0000-00003FAD0000}"/>
    <cellStyle name="Percent 2 3 5 2 4 2" xfId="14453" xr:uid="{00000000-0005-0000-0000-000040AD0000}"/>
    <cellStyle name="Percent 2 3 5 2 4 3" xfId="20382" xr:uid="{00000000-0005-0000-0000-000041AD0000}"/>
    <cellStyle name="Percent 2 3 5 2 5" xfId="6031" xr:uid="{00000000-0005-0000-0000-000042AD0000}"/>
    <cellStyle name="Percent 2 3 5 2 5 2" xfId="14454" xr:uid="{00000000-0005-0000-0000-000043AD0000}"/>
    <cellStyle name="Percent 2 3 5 2 5 3" xfId="20383" xr:uid="{00000000-0005-0000-0000-000044AD0000}"/>
    <cellStyle name="Percent 2 3 5 2 6" xfId="6032" xr:uid="{00000000-0005-0000-0000-000045AD0000}"/>
    <cellStyle name="Percent 2 3 5 2 6 2" xfId="14455" xr:uid="{00000000-0005-0000-0000-000046AD0000}"/>
    <cellStyle name="Percent 2 3 5 2 6 3" xfId="20384" xr:uid="{00000000-0005-0000-0000-000047AD0000}"/>
    <cellStyle name="Percent 2 3 5 2 7" xfId="9385" xr:uid="{00000000-0005-0000-0000-000048AD0000}"/>
    <cellStyle name="Percent 2 3 5 2 8" xfId="20379" xr:uid="{00000000-0005-0000-0000-000049AD0000}"/>
    <cellStyle name="Percent 2 3 5 2_LNG &amp; LPG rework" xfId="7716" xr:uid="{00000000-0005-0000-0000-00004AAD0000}"/>
    <cellStyle name="Percent 2 3 5 3" xfId="6033" xr:uid="{00000000-0005-0000-0000-00004BAD0000}"/>
    <cellStyle name="Percent 2 3 5 3 2" xfId="6034" xr:uid="{00000000-0005-0000-0000-00004CAD0000}"/>
    <cellStyle name="Percent 2 3 5 3 2 2" xfId="14457" xr:uid="{00000000-0005-0000-0000-00004DAD0000}"/>
    <cellStyle name="Percent 2 3 5 3 2 3" xfId="20386" xr:uid="{00000000-0005-0000-0000-00004EAD0000}"/>
    <cellStyle name="Percent 2 3 5 3 3" xfId="6035" xr:uid="{00000000-0005-0000-0000-00004FAD0000}"/>
    <cellStyle name="Percent 2 3 5 3 3 2" xfId="14458" xr:uid="{00000000-0005-0000-0000-000050AD0000}"/>
    <cellStyle name="Percent 2 3 5 3 3 3" xfId="20387" xr:uid="{00000000-0005-0000-0000-000051AD0000}"/>
    <cellStyle name="Percent 2 3 5 3 4" xfId="6036" xr:uid="{00000000-0005-0000-0000-000052AD0000}"/>
    <cellStyle name="Percent 2 3 5 3 4 2" xfId="14459" xr:uid="{00000000-0005-0000-0000-000053AD0000}"/>
    <cellStyle name="Percent 2 3 5 3 4 3" xfId="20388" xr:uid="{00000000-0005-0000-0000-000054AD0000}"/>
    <cellStyle name="Percent 2 3 5 3 5" xfId="6037" xr:uid="{00000000-0005-0000-0000-000055AD0000}"/>
    <cellStyle name="Percent 2 3 5 3 5 2" xfId="14460" xr:uid="{00000000-0005-0000-0000-000056AD0000}"/>
    <cellStyle name="Percent 2 3 5 3 5 3" xfId="20389" xr:uid="{00000000-0005-0000-0000-000057AD0000}"/>
    <cellStyle name="Percent 2 3 5 3 6" xfId="14456" xr:uid="{00000000-0005-0000-0000-000058AD0000}"/>
    <cellStyle name="Percent 2 3 5 3 7" xfId="20385" xr:uid="{00000000-0005-0000-0000-000059AD0000}"/>
    <cellStyle name="Percent 2 3 5 3_LNG &amp; LPG rework" xfId="7717" xr:uid="{00000000-0005-0000-0000-00005AAD0000}"/>
    <cellStyle name="Percent 2 3 5 4" xfId="6038" xr:uid="{00000000-0005-0000-0000-00005BAD0000}"/>
    <cellStyle name="Percent 2 3 5 4 2" xfId="14461" xr:uid="{00000000-0005-0000-0000-00005CAD0000}"/>
    <cellStyle name="Percent 2 3 5 4 3" xfId="20390" xr:uid="{00000000-0005-0000-0000-00005DAD0000}"/>
    <cellStyle name="Percent 2 3 5 5" xfId="6039" xr:uid="{00000000-0005-0000-0000-00005EAD0000}"/>
    <cellStyle name="Percent 2 3 5 5 2" xfId="14462" xr:uid="{00000000-0005-0000-0000-00005FAD0000}"/>
    <cellStyle name="Percent 2 3 5 5 3" xfId="20391" xr:uid="{00000000-0005-0000-0000-000060AD0000}"/>
    <cellStyle name="Percent 2 3 5 6" xfId="6040" xr:uid="{00000000-0005-0000-0000-000061AD0000}"/>
    <cellStyle name="Percent 2 3 5 6 2" xfId="14463" xr:uid="{00000000-0005-0000-0000-000062AD0000}"/>
    <cellStyle name="Percent 2 3 5 6 3" xfId="20392" xr:uid="{00000000-0005-0000-0000-000063AD0000}"/>
    <cellStyle name="Percent 2 3 5 7" xfId="6041" xr:uid="{00000000-0005-0000-0000-000064AD0000}"/>
    <cellStyle name="Percent 2 3 5 7 2" xfId="14464" xr:uid="{00000000-0005-0000-0000-000065AD0000}"/>
    <cellStyle name="Percent 2 3 5 7 3" xfId="20393" xr:uid="{00000000-0005-0000-0000-000066AD0000}"/>
    <cellStyle name="Percent 2 3 5 8" xfId="6042" xr:uid="{00000000-0005-0000-0000-000067AD0000}"/>
    <cellStyle name="Percent 2 3 5 8 2" xfId="14465" xr:uid="{00000000-0005-0000-0000-000068AD0000}"/>
    <cellStyle name="Percent 2 3 5 8 3" xfId="20394" xr:uid="{00000000-0005-0000-0000-000069AD0000}"/>
    <cellStyle name="Percent 2 3 5 9" xfId="9384" xr:uid="{00000000-0005-0000-0000-00006AAD0000}"/>
    <cellStyle name="Percent 2 3 5_LNG &amp; LPG rework" xfId="7715" xr:uid="{00000000-0005-0000-0000-00006BAD0000}"/>
    <cellStyle name="Percent 2 3 6" xfId="567" xr:uid="{00000000-0005-0000-0000-00006CAD0000}"/>
    <cellStyle name="Percent 2 3 6 2" xfId="6043" xr:uid="{00000000-0005-0000-0000-00006DAD0000}"/>
    <cellStyle name="Percent 2 3 6 2 2" xfId="14466" xr:uid="{00000000-0005-0000-0000-00006EAD0000}"/>
    <cellStyle name="Percent 2 3 6 2 3" xfId="20396" xr:uid="{00000000-0005-0000-0000-00006FAD0000}"/>
    <cellStyle name="Percent 2 3 6 3" xfId="6044" xr:uid="{00000000-0005-0000-0000-000070AD0000}"/>
    <cellStyle name="Percent 2 3 6 3 2" xfId="14467" xr:uid="{00000000-0005-0000-0000-000071AD0000}"/>
    <cellStyle name="Percent 2 3 6 3 3" xfId="20397" xr:uid="{00000000-0005-0000-0000-000072AD0000}"/>
    <cellStyle name="Percent 2 3 6 4" xfId="6045" xr:uid="{00000000-0005-0000-0000-000073AD0000}"/>
    <cellStyle name="Percent 2 3 6 4 2" xfId="14468" xr:uid="{00000000-0005-0000-0000-000074AD0000}"/>
    <cellStyle name="Percent 2 3 6 4 3" xfId="20398" xr:uid="{00000000-0005-0000-0000-000075AD0000}"/>
    <cellStyle name="Percent 2 3 6 5" xfId="6046" xr:uid="{00000000-0005-0000-0000-000076AD0000}"/>
    <cellStyle name="Percent 2 3 6 5 2" xfId="14469" xr:uid="{00000000-0005-0000-0000-000077AD0000}"/>
    <cellStyle name="Percent 2 3 6 5 3" xfId="20399" xr:uid="{00000000-0005-0000-0000-000078AD0000}"/>
    <cellStyle name="Percent 2 3 6 6" xfId="6047" xr:uid="{00000000-0005-0000-0000-000079AD0000}"/>
    <cellStyle name="Percent 2 3 6 6 2" xfId="14470" xr:uid="{00000000-0005-0000-0000-00007AAD0000}"/>
    <cellStyle name="Percent 2 3 6 6 3" xfId="20400" xr:uid="{00000000-0005-0000-0000-00007BAD0000}"/>
    <cellStyle name="Percent 2 3 6 7" xfId="9386" xr:uid="{00000000-0005-0000-0000-00007CAD0000}"/>
    <cellStyle name="Percent 2 3 6 8" xfId="20395" xr:uid="{00000000-0005-0000-0000-00007DAD0000}"/>
    <cellStyle name="Percent 2 3 6_LNG &amp; LPG rework" xfId="7718" xr:uid="{00000000-0005-0000-0000-00007EAD0000}"/>
    <cellStyle name="Percent 2 3 7" xfId="6048" xr:uid="{00000000-0005-0000-0000-00007FAD0000}"/>
    <cellStyle name="Percent 2 3 7 2" xfId="6049" xr:uid="{00000000-0005-0000-0000-000080AD0000}"/>
    <cellStyle name="Percent 2 3 7 2 2" xfId="14472" xr:uid="{00000000-0005-0000-0000-000081AD0000}"/>
    <cellStyle name="Percent 2 3 7 2 3" xfId="20402" xr:uid="{00000000-0005-0000-0000-000082AD0000}"/>
    <cellStyle name="Percent 2 3 7 3" xfId="6050" xr:uid="{00000000-0005-0000-0000-000083AD0000}"/>
    <cellStyle name="Percent 2 3 7 3 2" xfId="14473" xr:uid="{00000000-0005-0000-0000-000084AD0000}"/>
    <cellStyle name="Percent 2 3 7 3 3" xfId="20403" xr:uid="{00000000-0005-0000-0000-000085AD0000}"/>
    <cellStyle name="Percent 2 3 7 4" xfId="6051" xr:uid="{00000000-0005-0000-0000-000086AD0000}"/>
    <cellStyle name="Percent 2 3 7 4 2" xfId="14474" xr:uid="{00000000-0005-0000-0000-000087AD0000}"/>
    <cellStyle name="Percent 2 3 7 4 3" xfId="20404" xr:uid="{00000000-0005-0000-0000-000088AD0000}"/>
    <cellStyle name="Percent 2 3 7 5" xfId="6052" xr:uid="{00000000-0005-0000-0000-000089AD0000}"/>
    <cellStyle name="Percent 2 3 7 5 2" xfId="14475" xr:uid="{00000000-0005-0000-0000-00008AAD0000}"/>
    <cellStyle name="Percent 2 3 7 5 3" xfId="20405" xr:uid="{00000000-0005-0000-0000-00008BAD0000}"/>
    <cellStyle name="Percent 2 3 7 6" xfId="14471" xr:uid="{00000000-0005-0000-0000-00008CAD0000}"/>
    <cellStyle name="Percent 2 3 7 7" xfId="20401" xr:uid="{00000000-0005-0000-0000-00008DAD0000}"/>
    <cellStyle name="Percent 2 3 7_LNG &amp; LPG rework" xfId="7719" xr:uid="{00000000-0005-0000-0000-00008EAD0000}"/>
    <cellStyle name="Percent 2 3 8" xfId="6053" xr:uid="{00000000-0005-0000-0000-00008FAD0000}"/>
    <cellStyle name="Percent 2 3 8 2" xfId="6054" xr:uid="{00000000-0005-0000-0000-000090AD0000}"/>
    <cellStyle name="Percent 2 3 8 2 2" xfId="14477" xr:uid="{00000000-0005-0000-0000-000091AD0000}"/>
    <cellStyle name="Percent 2 3 8 2 3" xfId="20407" xr:uid="{00000000-0005-0000-0000-000092AD0000}"/>
    <cellStyle name="Percent 2 3 8 3" xfId="6055" xr:uid="{00000000-0005-0000-0000-000093AD0000}"/>
    <cellStyle name="Percent 2 3 8 3 2" xfId="14478" xr:uid="{00000000-0005-0000-0000-000094AD0000}"/>
    <cellStyle name="Percent 2 3 8 3 3" xfId="20408" xr:uid="{00000000-0005-0000-0000-000095AD0000}"/>
    <cellStyle name="Percent 2 3 8 4" xfId="6056" xr:uid="{00000000-0005-0000-0000-000096AD0000}"/>
    <cellStyle name="Percent 2 3 8 4 2" xfId="14479" xr:uid="{00000000-0005-0000-0000-000097AD0000}"/>
    <cellStyle name="Percent 2 3 8 4 3" xfId="20409" xr:uid="{00000000-0005-0000-0000-000098AD0000}"/>
    <cellStyle name="Percent 2 3 8 5" xfId="6057" xr:uid="{00000000-0005-0000-0000-000099AD0000}"/>
    <cellStyle name="Percent 2 3 8 5 2" xfId="14480" xr:uid="{00000000-0005-0000-0000-00009AAD0000}"/>
    <cellStyle name="Percent 2 3 8 5 3" xfId="20410" xr:uid="{00000000-0005-0000-0000-00009BAD0000}"/>
    <cellStyle name="Percent 2 3 8 6" xfId="14476" xr:uid="{00000000-0005-0000-0000-00009CAD0000}"/>
    <cellStyle name="Percent 2 3 8 7" xfId="20406" xr:uid="{00000000-0005-0000-0000-00009DAD0000}"/>
    <cellStyle name="Percent 2 3 8_LNG &amp; LPG rework" xfId="7720" xr:uid="{00000000-0005-0000-0000-00009EAD0000}"/>
    <cellStyle name="Percent 2 3 9" xfId="6058" xr:uid="{00000000-0005-0000-0000-00009FAD0000}"/>
    <cellStyle name="Percent 2 3 9 2" xfId="14481" xr:uid="{00000000-0005-0000-0000-0000A0AD0000}"/>
    <cellStyle name="Percent 2 3 9 3" xfId="20411" xr:uid="{00000000-0005-0000-0000-0000A1AD0000}"/>
    <cellStyle name="Percent 2 3_LNG &amp; LPG rework" xfId="7665" xr:uid="{00000000-0005-0000-0000-0000A2AD0000}"/>
    <cellStyle name="Percent 2 4" xfId="568" xr:uid="{00000000-0005-0000-0000-0000A3AD0000}"/>
    <cellStyle name="Percent 2 4 10" xfId="6059" xr:uid="{00000000-0005-0000-0000-0000A4AD0000}"/>
    <cellStyle name="Percent 2 4 10 2" xfId="14482" xr:uid="{00000000-0005-0000-0000-0000A5AD0000}"/>
    <cellStyle name="Percent 2 4 10 3" xfId="20413" xr:uid="{00000000-0005-0000-0000-0000A6AD0000}"/>
    <cellStyle name="Percent 2 4 11" xfId="6060" xr:uid="{00000000-0005-0000-0000-0000A7AD0000}"/>
    <cellStyle name="Percent 2 4 11 2" xfId="14483" xr:uid="{00000000-0005-0000-0000-0000A8AD0000}"/>
    <cellStyle name="Percent 2 4 11 3" xfId="20414" xr:uid="{00000000-0005-0000-0000-0000A9AD0000}"/>
    <cellStyle name="Percent 2 4 12" xfId="6061" xr:uid="{00000000-0005-0000-0000-0000AAAD0000}"/>
    <cellStyle name="Percent 2 4 12 2" xfId="14484" xr:uid="{00000000-0005-0000-0000-0000ABAD0000}"/>
    <cellStyle name="Percent 2 4 12 3" xfId="20415" xr:uid="{00000000-0005-0000-0000-0000ACAD0000}"/>
    <cellStyle name="Percent 2 4 13" xfId="6062" xr:uid="{00000000-0005-0000-0000-0000ADAD0000}"/>
    <cellStyle name="Percent 2 4 13 2" xfId="14485" xr:uid="{00000000-0005-0000-0000-0000AEAD0000}"/>
    <cellStyle name="Percent 2 4 13 3" xfId="20416" xr:uid="{00000000-0005-0000-0000-0000AFAD0000}"/>
    <cellStyle name="Percent 2 4 14" xfId="9387" xr:uid="{00000000-0005-0000-0000-0000B0AD0000}"/>
    <cellStyle name="Percent 2 4 15" xfId="20412" xr:uid="{00000000-0005-0000-0000-0000B1AD0000}"/>
    <cellStyle name="Percent 2 4 2" xfId="569" xr:uid="{00000000-0005-0000-0000-0000B2AD0000}"/>
    <cellStyle name="Percent 2 4 2 10" xfId="6063" xr:uid="{00000000-0005-0000-0000-0000B3AD0000}"/>
    <cellStyle name="Percent 2 4 2 10 2" xfId="14486" xr:uid="{00000000-0005-0000-0000-0000B4AD0000}"/>
    <cellStyle name="Percent 2 4 2 10 3" xfId="20418" xr:uid="{00000000-0005-0000-0000-0000B5AD0000}"/>
    <cellStyle name="Percent 2 4 2 11" xfId="6064" xr:uid="{00000000-0005-0000-0000-0000B6AD0000}"/>
    <cellStyle name="Percent 2 4 2 11 2" xfId="14487" xr:uid="{00000000-0005-0000-0000-0000B7AD0000}"/>
    <cellStyle name="Percent 2 4 2 11 3" xfId="20419" xr:uid="{00000000-0005-0000-0000-0000B8AD0000}"/>
    <cellStyle name="Percent 2 4 2 12" xfId="6065" xr:uid="{00000000-0005-0000-0000-0000B9AD0000}"/>
    <cellStyle name="Percent 2 4 2 12 2" xfId="14488" xr:uid="{00000000-0005-0000-0000-0000BAAD0000}"/>
    <cellStyle name="Percent 2 4 2 12 3" xfId="20420" xr:uid="{00000000-0005-0000-0000-0000BBAD0000}"/>
    <cellStyle name="Percent 2 4 2 13" xfId="9388" xr:uid="{00000000-0005-0000-0000-0000BCAD0000}"/>
    <cellStyle name="Percent 2 4 2 14" xfId="20417" xr:uid="{00000000-0005-0000-0000-0000BDAD0000}"/>
    <cellStyle name="Percent 2 4 2 2" xfId="570" xr:uid="{00000000-0005-0000-0000-0000BEAD0000}"/>
    <cellStyle name="Percent 2 4 2 2 10" xfId="6066" xr:uid="{00000000-0005-0000-0000-0000BFAD0000}"/>
    <cellStyle name="Percent 2 4 2 2 10 2" xfId="14489" xr:uid="{00000000-0005-0000-0000-0000C0AD0000}"/>
    <cellStyle name="Percent 2 4 2 2 10 3" xfId="20422" xr:uid="{00000000-0005-0000-0000-0000C1AD0000}"/>
    <cellStyle name="Percent 2 4 2 2 11" xfId="6067" xr:uid="{00000000-0005-0000-0000-0000C2AD0000}"/>
    <cellStyle name="Percent 2 4 2 2 11 2" xfId="14490" xr:uid="{00000000-0005-0000-0000-0000C3AD0000}"/>
    <cellStyle name="Percent 2 4 2 2 11 3" xfId="20423" xr:uid="{00000000-0005-0000-0000-0000C4AD0000}"/>
    <cellStyle name="Percent 2 4 2 2 12" xfId="9389" xr:uid="{00000000-0005-0000-0000-0000C5AD0000}"/>
    <cellStyle name="Percent 2 4 2 2 13" xfId="20421" xr:uid="{00000000-0005-0000-0000-0000C6AD0000}"/>
    <cellStyle name="Percent 2 4 2 2 2" xfId="571" xr:uid="{00000000-0005-0000-0000-0000C7AD0000}"/>
    <cellStyle name="Percent 2 4 2 2 2 10" xfId="6068" xr:uid="{00000000-0005-0000-0000-0000C8AD0000}"/>
    <cellStyle name="Percent 2 4 2 2 2 10 2" xfId="14491" xr:uid="{00000000-0005-0000-0000-0000C9AD0000}"/>
    <cellStyle name="Percent 2 4 2 2 2 10 3" xfId="20425" xr:uid="{00000000-0005-0000-0000-0000CAAD0000}"/>
    <cellStyle name="Percent 2 4 2 2 2 11" xfId="9390" xr:uid="{00000000-0005-0000-0000-0000CBAD0000}"/>
    <cellStyle name="Percent 2 4 2 2 2 12" xfId="20424" xr:uid="{00000000-0005-0000-0000-0000CCAD0000}"/>
    <cellStyle name="Percent 2 4 2 2 2 2" xfId="572" xr:uid="{00000000-0005-0000-0000-0000CDAD0000}"/>
    <cellStyle name="Percent 2 4 2 2 2 2 10" xfId="20426" xr:uid="{00000000-0005-0000-0000-0000CEAD0000}"/>
    <cellStyle name="Percent 2 4 2 2 2 2 2" xfId="573" xr:uid="{00000000-0005-0000-0000-0000CFAD0000}"/>
    <cellStyle name="Percent 2 4 2 2 2 2 2 2" xfId="6069" xr:uid="{00000000-0005-0000-0000-0000D0AD0000}"/>
    <cellStyle name="Percent 2 4 2 2 2 2 2 2 2" xfId="14492" xr:uid="{00000000-0005-0000-0000-0000D1AD0000}"/>
    <cellStyle name="Percent 2 4 2 2 2 2 2 2 3" xfId="20428" xr:uid="{00000000-0005-0000-0000-0000D2AD0000}"/>
    <cellStyle name="Percent 2 4 2 2 2 2 2 3" xfId="6070" xr:uid="{00000000-0005-0000-0000-0000D3AD0000}"/>
    <cellStyle name="Percent 2 4 2 2 2 2 2 3 2" xfId="14493" xr:uid="{00000000-0005-0000-0000-0000D4AD0000}"/>
    <cellStyle name="Percent 2 4 2 2 2 2 2 3 3" xfId="20429" xr:uid="{00000000-0005-0000-0000-0000D5AD0000}"/>
    <cellStyle name="Percent 2 4 2 2 2 2 2 4" xfId="6071" xr:uid="{00000000-0005-0000-0000-0000D6AD0000}"/>
    <cellStyle name="Percent 2 4 2 2 2 2 2 4 2" xfId="14494" xr:uid="{00000000-0005-0000-0000-0000D7AD0000}"/>
    <cellStyle name="Percent 2 4 2 2 2 2 2 4 3" xfId="20430" xr:uid="{00000000-0005-0000-0000-0000D8AD0000}"/>
    <cellStyle name="Percent 2 4 2 2 2 2 2 5" xfId="6072" xr:uid="{00000000-0005-0000-0000-0000D9AD0000}"/>
    <cellStyle name="Percent 2 4 2 2 2 2 2 5 2" xfId="14495" xr:uid="{00000000-0005-0000-0000-0000DAAD0000}"/>
    <cellStyle name="Percent 2 4 2 2 2 2 2 5 3" xfId="20431" xr:uid="{00000000-0005-0000-0000-0000DBAD0000}"/>
    <cellStyle name="Percent 2 4 2 2 2 2 2 6" xfId="6073" xr:uid="{00000000-0005-0000-0000-0000DCAD0000}"/>
    <cellStyle name="Percent 2 4 2 2 2 2 2 6 2" xfId="14496" xr:uid="{00000000-0005-0000-0000-0000DDAD0000}"/>
    <cellStyle name="Percent 2 4 2 2 2 2 2 6 3" xfId="20432" xr:uid="{00000000-0005-0000-0000-0000DEAD0000}"/>
    <cellStyle name="Percent 2 4 2 2 2 2 2 7" xfId="9392" xr:uid="{00000000-0005-0000-0000-0000DFAD0000}"/>
    <cellStyle name="Percent 2 4 2 2 2 2 2 8" xfId="20427" xr:uid="{00000000-0005-0000-0000-0000E0AD0000}"/>
    <cellStyle name="Percent 2 4 2 2 2 2 2_LNG &amp; LPG rework" xfId="7726" xr:uid="{00000000-0005-0000-0000-0000E1AD0000}"/>
    <cellStyle name="Percent 2 4 2 2 2 2 3" xfId="6074" xr:uid="{00000000-0005-0000-0000-0000E2AD0000}"/>
    <cellStyle name="Percent 2 4 2 2 2 2 3 2" xfId="6075" xr:uid="{00000000-0005-0000-0000-0000E3AD0000}"/>
    <cellStyle name="Percent 2 4 2 2 2 2 3 2 2" xfId="14498" xr:uid="{00000000-0005-0000-0000-0000E4AD0000}"/>
    <cellStyle name="Percent 2 4 2 2 2 2 3 2 3" xfId="20434" xr:uid="{00000000-0005-0000-0000-0000E5AD0000}"/>
    <cellStyle name="Percent 2 4 2 2 2 2 3 3" xfId="6076" xr:uid="{00000000-0005-0000-0000-0000E6AD0000}"/>
    <cellStyle name="Percent 2 4 2 2 2 2 3 3 2" xfId="14499" xr:uid="{00000000-0005-0000-0000-0000E7AD0000}"/>
    <cellStyle name="Percent 2 4 2 2 2 2 3 3 3" xfId="20435" xr:uid="{00000000-0005-0000-0000-0000E8AD0000}"/>
    <cellStyle name="Percent 2 4 2 2 2 2 3 4" xfId="6077" xr:uid="{00000000-0005-0000-0000-0000E9AD0000}"/>
    <cellStyle name="Percent 2 4 2 2 2 2 3 4 2" xfId="14500" xr:uid="{00000000-0005-0000-0000-0000EAAD0000}"/>
    <cellStyle name="Percent 2 4 2 2 2 2 3 4 3" xfId="20436" xr:uid="{00000000-0005-0000-0000-0000EBAD0000}"/>
    <cellStyle name="Percent 2 4 2 2 2 2 3 5" xfId="6078" xr:uid="{00000000-0005-0000-0000-0000ECAD0000}"/>
    <cellStyle name="Percent 2 4 2 2 2 2 3 5 2" xfId="14501" xr:uid="{00000000-0005-0000-0000-0000EDAD0000}"/>
    <cellStyle name="Percent 2 4 2 2 2 2 3 5 3" xfId="20437" xr:uid="{00000000-0005-0000-0000-0000EEAD0000}"/>
    <cellStyle name="Percent 2 4 2 2 2 2 3 6" xfId="14497" xr:uid="{00000000-0005-0000-0000-0000EFAD0000}"/>
    <cellStyle name="Percent 2 4 2 2 2 2 3 7" xfId="20433" xr:uid="{00000000-0005-0000-0000-0000F0AD0000}"/>
    <cellStyle name="Percent 2 4 2 2 2 2 3_LNG &amp; LPG rework" xfId="7727" xr:uid="{00000000-0005-0000-0000-0000F1AD0000}"/>
    <cellStyle name="Percent 2 4 2 2 2 2 4" xfId="6079" xr:uid="{00000000-0005-0000-0000-0000F2AD0000}"/>
    <cellStyle name="Percent 2 4 2 2 2 2 4 2" xfId="14502" xr:uid="{00000000-0005-0000-0000-0000F3AD0000}"/>
    <cellStyle name="Percent 2 4 2 2 2 2 4 3" xfId="20438" xr:uid="{00000000-0005-0000-0000-0000F4AD0000}"/>
    <cellStyle name="Percent 2 4 2 2 2 2 5" xfId="6080" xr:uid="{00000000-0005-0000-0000-0000F5AD0000}"/>
    <cellStyle name="Percent 2 4 2 2 2 2 5 2" xfId="14503" xr:uid="{00000000-0005-0000-0000-0000F6AD0000}"/>
    <cellStyle name="Percent 2 4 2 2 2 2 5 3" xfId="20439" xr:uid="{00000000-0005-0000-0000-0000F7AD0000}"/>
    <cellStyle name="Percent 2 4 2 2 2 2 6" xfId="6081" xr:uid="{00000000-0005-0000-0000-0000F8AD0000}"/>
    <cellStyle name="Percent 2 4 2 2 2 2 6 2" xfId="14504" xr:uid="{00000000-0005-0000-0000-0000F9AD0000}"/>
    <cellStyle name="Percent 2 4 2 2 2 2 6 3" xfId="20440" xr:uid="{00000000-0005-0000-0000-0000FAAD0000}"/>
    <cellStyle name="Percent 2 4 2 2 2 2 7" xfId="6082" xr:uid="{00000000-0005-0000-0000-0000FBAD0000}"/>
    <cellStyle name="Percent 2 4 2 2 2 2 7 2" xfId="14505" xr:uid="{00000000-0005-0000-0000-0000FCAD0000}"/>
    <cellStyle name="Percent 2 4 2 2 2 2 7 3" xfId="20441" xr:uid="{00000000-0005-0000-0000-0000FDAD0000}"/>
    <cellStyle name="Percent 2 4 2 2 2 2 8" xfId="6083" xr:uid="{00000000-0005-0000-0000-0000FEAD0000}"/>
    <cellStyle name="Percent 2 4 2 2 2 2 8 2" xfId="14506" xr:uid="{00000000-0005-0000-0000-0000FFAD0000}"/>
    <cellStyle name="Percent 2 4 2 2 2 2 8 3" xfId="20442" xr:uid="{00000000-0005-0000-0000-000000AE0000}"/>
    <cellStyle name="Percent 2 4 2 2 2 2 9" xfId="9391" xr:uid="{00000000-0005-0000-0000-000001AE0000}"/>
    <cellStyle name="Percent 2 4 2 2 2 2_LNG &amp; LPG rework" xfId="7725" xr:uid="{00000000-0005-0000-0000-000002AE0000}"/>
    <cellStyle name="Percent 2 4 2 2 2 3" xfId="574" xr:uid="{00000000-0005-0000-0000-000003AE0000}"/>
    <cellStyle name="Percent 2 4 2 2 2 3 2" xfId="6084" xr:uid="{00000000-0005-0000-0000-000004AE0000}"/>
    <cellStyle name="Percent 2 4 2 2 2 3 2 2" xfId="14507" xr:uid="{00000000-0005-0000-0000-000005AE0000}"/>
    <cellStyle name="Percent 2 4 2 2 2 3 2 3" xfId="20444" xr:uid="{00000000-0005-0000-0000-000006AE0000}"/>
    <cellStyle name="Percent 2 4 2 2 2 3 3" xfId="6085" xr:uid="{00000000-0005-0000-0000-000007AE0000}"/>
    <cellStyle name="Percent 2 4 2 2 2 3 3 2" xfId="14508" xr:uid="{00000000-0005-0000-0000-000008AE0000}"/>
    <cellStyle name="Percent 2 4 2 2 2 3 3 3" xfId="20445" xr:uid="{00000000-0005-0000-0000-000009AE0000}"/>
    <cellStyle name="Percent 2 4 2 2 2 3 4" xfId="6086" xr:uid="{00000000-0005-0000-0000-00000AAE0000}"/>
    <cellStyle name="Percent 2 4 2 2 2 3 4 2" xfId="14509" xr:uid="{00000000-0005-0000-0000-00000BAE0000}"/>
    <cellStyle name="Percent 2 4 2 2 2 3 4 3" xfId="20446" xr:uid="{00000000-0005-0000-0000-00000CAE0000}"/>
    <cellStyle name="Percent 2 4 2 2 2 3 5" xfId="6087" xr:uid="{00000000-0005-0000-0000-00000DAE0000}"/>
    <cellStyle name="Percent 2 4 2 2 2 3 5 2" xfId="14510" xr:uid="{00000000-0005-0000-0000-00000EAE0000}"/>
    <cellStyle name="Percent 2 4 2 2 2 3 5 3" xfId="20447" xr:uid="{00000000-0005-0000-0000-00000FAE0000}"/>
    <cellStyle name="Percent 2 4 2 2 2 3 6" xfId="6088" xr:uid="{00000000-0005-0000-0000-000010AE0000}"/>
    <cellStyle name="Percent 2 4 2 2 2 3 6 2" xfId="14511" xr:uid="{00000000-0005-0000-0000-000011AE0000}"/>
    <cellStyle name="Percent 2 4 2 2 2 3 6 3" xfId="20448" xr:uid="{00000000-0005-0000-0000-000012AE0000}"/>
    <cellStyle name="Percent 2 4 2 2 2 3 7" xfId="9393" xr:uid="{00000000-0005-0000-0000-000013AE0000}"/>
    <cellStyle name="Percent 2 4 2 2 2 3 8" xfId="20443" xr:uid="{00000000-0005-0000-0000-000014AE0000}"/>
    <cellStyle name="Percent 2 4 2 2 2 3_LNG &amp; LPG rework" xfId="7728" xr:uid="{00000000-0005-0000-0000-000015AE0000}"/>
    <cellStyle name="Percent 2 4 2 2 2 4" xfId="6089" xr:uid="{00000000-0005-0000-0000-000016AE0000}"/>
    <cellStyle name="Percent 2 4 2 2 2 4 2" xfId="6090" xr:uid="{00000000-0005-0000-0000-000017AE0000}"/>
    <cellStyle name="Percent 2 4 2 2 2 4 2 2" xfId="14513" xr:uid="{00000000-0005-0000-0000-000018AE0000}"/>
    <cellStyle name="Percent 2 4 2 2 2 4 2 3" xfId="20450" xr:uid="{00000000-0005-0000-0000-000019AE0000}"/>
    <cellStyle name="Percent 2 4 2 2 2 4 3" xfId="6091" xr:uid="{00000000-0005-0000-0000-00001AAE0000}"/>
    <cellStyle name="Percent 2 4 2 2 2 4 3 2" xfId="14514" xr:uid="{00000000-0005-0000-0000-00001BAE0000}"/>
    <cellStyle name="Percent 2 4 2 2 2 4 3 3" xfId="20451" xr:uid="{00000000-0005-0000-0000-00001CAE0000}"/>
    <cellStyle name="Percent 2 4 2 2 2 4 4" xfId="6092" xr:uid="{00000000-0005-0000-0000-00001DAE0000}"/>
    <cellStyle name="Percent 2 4 2 2 2 4 4 2" xfId="14515" xr:uid="{00000000-0005-0000-0000-00001EAE0000}"/>
    <cellStyle name="Percent 2 4 2 2 2 4 4 3" xfId="20452" xr:uid="{00000000-0005-0000-0000-00001FAE0000}"/>
    <cellStyle name="Percent 2 4 2 2 2 4 5" xfId="6093" xr:uid="{00000000-0005-0000-0000-000020AE0000}"/>
    <cellStyle name="Percent 2 4 2 2 2 4 5 2" xfId="14516" xr:uid="{00000000-0005-0000-0000-000021AE0000}"/>
    <cellStyle name="Percent 2 4 2 2 2 4 5 3" xfId="20453" xr:uid="{00000000-0005-0000-0000-000022AE0000}"/>
    <cellStyle name="Percent 2 4 2 2 2 4 6" xfId="14512" xr:uid="{00000000-0005-0000-0000-000023AE0000}"/>
    <cellStyle name="Percent 2 4 2 2 2 4 7" xfId="20449" xr:uid="{00000000-0005-0000-0000-000024AE0000}"/>
    <cellStyle name="Percent 2 4 2 2 2 4_LNG &amp; LPG rework" xfId="7729" xr:uid="{00000000-0005-0000-0000-000025AE0000}"/>
    <cellStyle name="Percent 2 4 2 2 2 5" xfId="6094" xr:uid="{00000000-0005-0000-0000-000026AE0000}"/>
    <cellStyle name="Percent 2 4 2 2 2 5 2" xfId="6095" xr:uid="{00000000-0005-0000-0000-000027AE0000}"/>
    <cellStyle name="Percent 2 4 2 2 2 5 2 2" xfId="14518" xr:uid="{00000000-0005-0000-0000-000028AE0000}"/>
    <cellStyle name="Percent 2 4 2 2 2 5 2 3" xfId="20455" xr:uid="{00000000-0005-0000-0000-000029AE0000}"/>
    <cellStyle name="Percent 2 4 2 2 2 5 3" xfId="6096" xr:uid="{00000000-0005-0000-0000-00002AAE0000}"/>
    <cellStyle name="Percent 2 4 2 2 2 5 3 2" xfId="14519" xr:uid="{00000000-0005-0000-0000-00002BAE0000}"/>
    <cellStyle name="Percent 2 4 2 2 2 5 3 3" xfId="20456" xr:uid="{00000000-0005-0000-0000-00002CAE0000}"/>
    <cellStyle name="Percent 2 4 2 2 2 5 4" xfId="6097" xr:uid="{00000000-0005-0000-0000-00002DAE0000}"/>
    <cellStyle name="Percent 2 4 2 2 2 5 4 2" xfId="14520" xr:uid="{00000000-0005-0000-0000-00002EAE0000}"/>
    <cellStyle name="Percent 2 4 2 2 2 5 4 3" xfId="20457" xr:uid="{00000000-0005-0000-0000-00002FAE0000}"/>
    <cellStyle name="Percent 2 4 2 2 2 5 5" xfId="6098" xr:uid="{00000000-0005-0000-0000-000030AE0000}"/>
    <cellStyle name="Percent 2 4 2 2 2 5 5 2" xfId="14521" xr:uid="{00000000-0005-0000-0000-000031AE0000}"/>
    <cellStyle name="Percent 2 4 2 2 2 5 5 3" xfId="20458" xr:uid="{00000000-0005-0000-0000-000032AE0000}"/>
    <cellStyle name="Percent 2 4 2 2 2 5 6" xfId="14517" xr:uid="{00000000-0005-0000-0000-000033AE0000}"/>
    <cellStyle name="Percent 2 4 2 2 2 5 7" xfId="20454" xr:uid="{00000000-0005-0000-0000-000034AE0000}"/>
    <cellStyle name="Percent 2 4 2 2 2 5_LNG &amp; LPG rework" xfId="7730" xr:uid="{00000000-0005-0000-0000-000035AE0000}"/>
    <cellStyle name="Percent 2 4 2 2 2 6" xfId="6099" xr:uid="{00000000-0005-0000-0000-000036AE0000}"/>
    <cellStyle name="Percent 2 4 2 2 2 6 2" xfId="14522" xr:uid="{00000000-0005-0000-0000-000037AE0000}"/>
    <cellStyle name="Percent 2 4 2 2 2 6 3" xfId="20459" xr:uid="{00000000-0005-0000-0000-000038AE0000}"/>
    <cellStyle name="Percent 2 4 2 2 2 7" xfId="6100" xr:uid="{00000000-0005-0000-0000-000039AE0000}"/>
    <cellStyle name="Percent 2 4 2 2 2 7 2" xfId="14523" xr:uid="{00000000-0005-0000-0000-00003AAE0000}"/>
    <cellStyle name="Percent 2 4 2 2 2 7 3" xfId="20460" xr:uid="{00000000-0005-0000-0000-00003BAE0000}"/>
    <cellStyle name="Percent 2 4 2 2 2 8" xfId="6101" xr:uid="{00000000-0005-0000-0000-00003CAE0000}"/>
    <cellStyle name="Percent 2 4 2 2 2 8 2" xfId="14524" xr:uid="{00000000-0005-0000-0000-00003DAE0000}"/>
    <cellStyle name="Percent 2 4 2 2 2 8 3" xfId="20461" xr:uid="{00000000-0005-0000-0000-00003EAE0000}"/>
    <cellStyle name="Percent 2 4 2 2 2 9" xfId="6102" xr:uid="{00000000-0005-0000-0000-00003FAE0000}"/>
    <cellStyle name="Percent 2 4 2 2 2 9 2" xfId="14525" xr:uid="{00000000-0005-0000-0000-000040AE0000}"/>
    <cellStyle name="Percent 2 4 2 2 2 9 3" xfId="20462" xr:uid="{00000000-0005-0000-0000-000041AE0000}"/>
    <cellStyle name="Percent 2 4 2 2 2_LNG &amp; LPG rework" xfId="7724" xr:uid="{00000000-0005-0000-0000-000042AE0000}"/>
    <cellStyle name="Percent 2 4 2 2 3" xfId="575" xr:uid="{00000000-0005-0000-0000-000043AE0000}"/>
    <cellStyle name="Percent 2 4 2 2 3 10" xfId="20463" xr:uid="{00000000-0005-0000-0000-000044AE0000}"/>
    <cellStyle name="Percent 2 4 2 2 3 2" xfId="576" xr:uid="{00000000-0005-0000-0000-000045AE0000}"/>
    <cellStyle name="Percent 2 4 2 2 3 2 2" xfId="6103" xr:uid="{00000000-0005-0000-0000-000046AE0000}"/>
    <cellStyle name="Percent 2 4 2 2 3 2 2 2" xfId="14526" xr:uid="{00000000-0005-0000-0000-000047AE0000}"/>
    <cellStyle name="Percent 2 4 2 2 3 2 2 3" xfId="20465" xr:uid="{00000000-0005-0000-0000-000048AE0000}"/>
    <cellStyle name="Percent 2 4 2 2 3 2 3" xfId="6104" xr:uid="{00000000-0005-0000-0000-000049AE0000}"/>
    <cellStyle name="Percent 2 4 2 2 3 2 3 2" xfId="14527" xr:uid="{00000000-0005-0000-0000-00004AAE0000}"/>
    <cellStyle name="Percent 2 4 2 2 3 2 3 3" xfId="20466" xr:uid="{00000000-0005-0000-0000-00004BAE0000}"/>
    <cellStyle name="Percent 2 4 2 2 3 2 4" xfId="6105" xr:uid="{00000000-0005-0000-0000-00004CAE0000}"/>
    <cellStyle name="Percent 2 4 2 2 3 2 4 2" xfId="14528" xr:uid="{00000000-0005-0000-0000-00004DAE0000}"/>
    <cellStyle name="Percent 2 4 2 2 3 2 4 3" xfId="20467" xr:uid="{00000000-0005-0000-0000-00004EAE0000}"/>
    <cellStyle name="Percent 2 4 2 2 3 2 5" xfId="6106" xr:uid="{00000000-0005-0000-0000-00004FAE0000}"/>
    <cellStyle name="Percent 2 4 2 2 3 2 5 2" xfId="14529" xr:uid="{00000000-0005-0000-0000-000050AE0000}"/>
    <cellStyle name="Percent 2 4 2 2 3 2 5 3" xfId="20468" xr:uid="{00000000-0005-0000-0000-000051AE0000}"/>
    <cellStyle name="Percent 2 4 2 2 3 2 6" xfId="6107" xr:uid="{00000000-0005-0000-0000-000052AE0000}"/>
    <cellStyle name="Percent 2 4 2 2 3 2 6 2" xfId="14530" xr:uid="{00000000-0005-0000-0000-000053AE0000}"/>
    <cellStyle name="Percent 2 4 2 2 3 2 6 3" xfId="20469" xr:uid="{00000000-0005-0000-0000-000054AE0000}"/>
    <cellStyle name="Percent 2 4 2 2 3 2 7" xfId="9395" xr:uid="{00000000-0005-0000-0000-000055AE0000}"/>
    <cellStyle name="Percent 2 4 2 2 3 2 8" xfId="20464" xr:uid="{00000000-0005-0000-0000-000056AE0000}"/>
    <cellStyle name="Percent 2 4 2 2 3 2_LNG &amp; LPG rework" xfId="7732" xr:uid="{00000000-0005-0000-0000-000057AE0000}"/>
    <cellStyle name="Percent 2 4 2 2 3 3" xfId="6108" xr:uid="{00000000-0005-0000-0000-000058AE0000}"/>
    <cellStyle name="Percent 2 4 2 2 3 3 2" xfId="6109" xr:uid="{00000000-0005-0000-0000-000059AE0000}"/>
    <cellStyle name="Percent 2 4 2 2 3 3 2 2" xfId="14532" xr:uid="{00000000-0005-0000-0000-00005AAE0000}"/>
    <cellStyle name="Percent 2 4 2 2 3 3 2 3" xfId="20471" xr:uid="{00000000-0005-0000-0000-00005BAE0000}"/>
    <cellStyle name="Percent 2 4 2 2 3 3 3" xfId="6110" xr:uid="{00000000-0005-0000-0000-00005CAE0000}"/>
    <cellStyle name="Percent 2 4 2 2 3 3 3 2" xfId="14533" xr:uid="{00000000-0005-0000-0000-00005DAE0000}"/>
    <cellStyle name="Percent 2 4 2 2 3 3 3 3" xfId="20472" xr:uid="{00000000-0005-0000-0000-00005EAE0000}"/>
    <cellStyle name="Percent 2 4 2 2 3 3 4" xfId="6111" xr:uid="{00000000-0005-0000-0000-00005FAE0000}"/>
    <cellStyle name="Percent 2 4 2 2 3 3 4 2" xfId="14534" xr:uid="{00000000-0005-0000-0000-000060AE0000}"/>
    <cellStyle name="Percent 2 4 2 2 3 3 4 3" xfId="20473" xr:uid="{00000000-0005-0000-0000-000061AE0000}"/>
    <cellStyle name="Percent 2 4 2 2 3 3 5" xfId="6112" xr:uid="{00000000-0005-0000-0000-000062AE0000}"/>
    <cellStyle name="Percent 2 4 2 2 3 3 5 2" xfId="14535" xr:uid="{00000000-0005-0000-0000-000063AE0000}"/>
    <cellStyle name="Percent 2 4 2 2 3 3 5 3" xfId="20474" xr:uid="{00000000-0005-0000-0000-000064AE0000}"/>
    <cellStyle name="Percent 2 4 2 2 3 3 6" xfId="14531" xr:uid="{00000000-0005-0000-0000-000065AE0000}"/>
    <cellStyle name="Percent 2 4 2 2 3 3 7" xfId="20470" xr:uid="{00000000-0005-0000-0000-000066AE0000}"/>
    <cellStyle name="Percent 2 4 2 2 3 3_LNG &amp; LPG rework" xfId="7733" xr:uid="{00000000-0005-0000-0000-000067AE0000}"/>
    <cellStyle name="Percent 2 4 2 2 3 4" xfId="6113" xr:uid="{00000000-0005-0000-0000-000068AE0000}"/>
    <cellStyle name="Percent 2 4 2 2 3 4 2" xfId="14536" xr:uid="{00000000-0005-0000-0000-000069AE0000}"/>
    <cellStyle name="Percent 2 4 2 2 3 4 3" xfId="20475" xr:uid="{00000000-0005-0000-0000-00006AAE0000}"/>
    <cellStyle name="Percent 2 4 2 2 3 5" xfId="6114" xr:uid="{00000000-0005-0000-0000-00006BAE0000}"/>
    <cellStyle name="Percent 2 4 2 2 3 5 2" xfId="14537" xr:uid="{00000000-0005-0000-0000-00006CAE0000}"/>
    <cellStyle name="Percent 2 4 2 2 3 5 3" xfId="20476" xr:uid="{00000000-0005-0000-0000-00006DAE0000}"/>
    <cellStyle name="Percent 2 4 2 2 3 6" xfId="6115" xr:uid="{00000000-0005-0000-0000-00006EAE0000}"/>
    <cellStyle name="Percent 2 4 2 2 3 6 2" xfId="14538" xr:uid="{00000000-0005-0000-0000-00006FAE0000}"/>
    <cellStyle name="Percent 2 4 2 2 3 6 3" xfId="20477" xr:uid="{00000000-0005-0000-0000-000070AE0000}"/>
    <cellStyle name="Percent 2 4 2 2 3 7" xfId="6116" xr:uid="{00000000-0005-0000-0000-000071AE0000}"/>
    <cellStyle name="Percent 2 4 2 2 3 7 2" xfId="14539" xr:uid="{00000000-0005-0000-0000-000072AE0000}"/>
    <cellStyle name="Percent 2 4 2 2 3 7 3" xfId="20478" xr:uid="{00000000-0005-0000-0000-000073AE0000}"/>
    <cellStyle name="Percent 2 4 2 2 3 8" xfId="6117" xr:uid="{00000000-0005-0000-0000-000074AE0000}"/>
    <cellStyle name="Percent 2 4 2 2 3 8 2" xfId="14540" xr:uid="{00000000-0005-0000-0000-000075AE0000}"/>
    <cellStyle name="Percent 2 4 2 2 3 8 3" xfId="20479" xr:uid="{00000000-0005-0000-0000-000076AE0000}"/>
    <cellStyle name="Percent 2 4 2 2 3 9" xfId="9394" xr:uid="{00000000-0005-0000-0000-000077AE0000}"/>
    <cellStyle name="Percent 2 4 2 2 3_LNG &amp; LPG rework" xfId="7731" xr:uid="{00000000-0005-0000-0000-000078AE0000}"/>
    <cellStyle name="Percent 2 4 2 2 4" xfId="577" xr:uid="{00000000-0005-0000-0000-000079AE0000}"/>
    <cellStyle name="Percent 2 4 2 2 4 2" xfId="6118" xr:uid="{00000000-0005-0000-0000-00007AAE0000}"/>
    <cellStyle name="Percent 2 4 2 2 4 2 2" xfId="14541" xr:uid="{00000000-0005-0000-0000-00007BAE0000}"/>
    <cellStyle name="Percent 2 4 2 2 4 2 3" xfId="20481" xr:uid="{00000000-0005-0000-0000-00007CAE0000}"/>
    <cellStyle name="Percent 2 4 2 2 4 3" xfId="6119" xr:uid="{00000000-0005-0000-0000-00007DAE0000}"/>
    <cellStyle name="Percent 2 4 2 2 4 3 2" xfId="14542" xr:uid="{00000000-0005-0000-0000-00007EAE0000}"/>
    <cellStyle name="Percent 2 4 2 2 4 3 3" xfId="20482" xr:uid="{00000000-0005-0000-0000-00007FAE0000}"/>
    <cellStyle name="Percent 2 4 2 2 4 4" xfId="6120" xr:uid="{00000000-0005-0000-0000-000080AE0000}"/>
    <cellStyle name="Percent 2 4 2 2 4 4 2" xfId="14543" xr:uid="{00000000-0005-0000-0000-000081AE0000}"/>
    <cellStyle name="Percent 2 4 2 2 4 4 3" xfId="20483" xr:uid="{00000000-0005-0000-0000-000082AE0000}"/>
    <cellStyle name="Percent 2 4 2 2 4 5" xfId="6121" xr:uid="{00000000-0005-0000-0000-000083AE0000}"/>
    <cellStyle name="Percent 2 4 2 2 4 5 2" xfId="14544" xr:uid="{00000000-0005-0000-0000-000084AE0000}"/>
    <cellStyle name="Percent 2 4 2 2 4 5 3" xfId="20484" xr:uid="{00000000-0005-0000-0000-000085AE0000}"/>
    <cellStyle name="Percent 2 4 2 2 4 6" xfId="6122" xr:uid="{00000000-0005-0000-0000-000086AE0000}"/>
    <cellStyle name="Percent 2 4 2 2 4 6 2" xfId="14545" xr:uid="{00000000-0005-0000-0000-000087AE0000}"/>
    <cellStyle name="Percent 2 4 2 2 4 6 3" xfId="20485" xr:uid="{00000000-0005-0000-0000-000088AE0000}"/>
    <cellStyle name="Percent 2 4 2 2 4 7" xfId="9396" xr:uid="{00000000-0005-0000-0000-000089AE0000}"/>
    <cellStyle name="Percent 2 4 2 2 4 8" xfId="20480" xr:uid="{00000000-0005-0000-0000-00008AAE0000}"/>
    <cellStyle name="Percent 2 4 2 2 4_LNG &amp; LPG rework" xfId="7734" xr:uid="{00000000-0005-0000-0000-00008BAE0000}"/>
    <cellStyle name="Percent 2 4 2 2 5" xfId="6123" xr:uid="{00000000-0005-0000-0000-00008CAE0000}"/>
    <cellStyle name="Percent 2 4 2 2 5 2" xfId="6124" xr:uid="{00000000-0005-0000-0000-00008DAE0000}"/>
    <cellStyle name="Percent 2 4 2 2 5 2 2" xfId="14547" xr:uid="{00000000-0005-0000-0000-00008EAE0000}"/>
    <cellStyle name="Percent 2 4 2 2 5 2 3" xfId="20487" xr:uid="{00000000-0005-0000-0000-00008FAE0000}"/>
    <cellStyle name="Percent 2 4 2 2 5 3" xfId="6125" xr:uid="{00000000-0005-0000-0000-000090AE0000}"/>
    <cellStyle name="Percent 2 4 2 2 5 3 2" xfId="14548" xr:uid="{00000000-0005-0000-0000-000091AE0000}"/>
    <cellStyle name="Percent 2 4 2 2 5 3 3" xfId="20488" xr:uid="{00000000-0005-0000-0000-000092AE0000}"/>
    <cellStyle name="Percent 2 4 2 2 5 4" xfId="6126" xr:uid="{00000000-0005-0000-0000-000093AE0000}"/>
    <cellStyle name="Percent 2 4 2 2 5 4 2" xfId="14549" xr:uid="{00000000-0005-0000-0000-000094AE0000}"/>
    <cellStyle name="Percent 2 4 2 2 5 4 3" xfId="20489" xr:uid="{00000000-0005-0000-0000-000095AE0000}"/>
    <cellStyle name="Percent 2 4 2 2 5 5" xfId="6127" xr:uid="{00000000-0005-0000-0000-000096AE0000}"/>
    <cellStyle name="Percent 2 4 2 2 5 5 2" xfId="14550" xr:uid="{00000000-0005-0000-0000-000097AE0000}"/>
    <cellStyle name="Percent 2 4 2 2 5 5 3" xfId="20490" xr:uid="{00000000-0005-0000-0000-000098AE0000}"/>
    <cellStyle name="Percent 2 4 2 2 5 6" xfId="14546" xr:uid="{00000000-0005-0000-0000-000099AE0000}"/>
    <cellStyle name="Percent 2 4 2 2 5 7" xfId="20486" xr:uid="{00000000-0005-0000-0000-00009AAE0000}"/>
    <cellStyle name="Percent 2 4 2 2 5_LNG &amp; LPG rework" xfId="7735" xr:uid="{00000000-0005-0000-0000-00009BAE0000}"/>
    <cellStyle name="Percent 2 4 2 2 6" xfId="6128" xr:uid="{00000000-0005-0000-0000-00009CAE0000}"/>
    <cellStyle name="Percent 2 4 2 2 6 2" xfId="6129" xr:uid="{00000000-0005-0000-0000-00009DAE0000}"/>
    <cellStyle name="Percent 2 4 2 2 6 2 2" xfId="14552" xr:uid="{00000000-0005-0000-0000-00009EAE0000}"/>
    <cellStyle name="Percent 2 4 2 2 6 2 3" xfId="20492" xr:uid="{00000000-0005-0000-0000-00009FAE0000}"/>
    <cellStyle name="Percent 2 4 2 2 6 3" xfId="6130" xr:uid="{00000000-0005-0000-0000-0000A0AE0000}"/>
    <cellStyle name="Percent 2 4 2 2 6 3 2" xfId="14553" xr:uid="{00000000-0005-0000-0000-0000A1AE0000}"/>
    <cellStyle name="Percent 2 4 2 2 6 3 3" xfId="20493" xr:uid="{00000000-0005-0000-0000-0000A2AE0000}"/>
    <cellStyle name="Percent 2 4 2 2 6 4" xfId="6131" xr:uid="{00000000-0005-0000-0000-0000A3AE0000}"/>
    <cellStyle name="Percent 2 4 2 2 6 4 2" xfId="14554" xr:uid="{00000000-0005-0000-0000-0000A4AE0000}"/>
    <cellStyle name="Percent 2 4 2 2 6 4 3" xfId="20494" xr:uid="{00000000-0005-0000-0000-0000A5AE0000}"/>
    <cellStyle name="Percent 2 4 2 2 6 5" xfId="6132" xr:uid="{00000000-0005-0000-0000-0000A6AE0000}"/>
    <cellStyle name="Percent 2 4 2 2 6 5 2" xfId="14555" xr:uid="{00000000-0005-0000-0000-0000A7AE0000}"/>
    <cellStyle name="Percent 2 4 2 2 6 5 3" xfId="20495" xr:uid="{00000000-0005-0000-0000-0000A8AE0000}"/>
    <cellStyle name="Percent 2 4 2 2 6 6" xfId="14551" xr:uid="{00000000-0005-0000-0000-0000A9AE0000}"/>
    <cellStyle name="Percent 2 4 2 2 6 7" xfId="20491" xr:uid="{00000000-0005-0000-0000-0000AAAE0000}"/>
    <cellStyle name="Percent 2 4 2 2 6_LNG &amp; LPG rework" xfId="7736" xr:uid="{00000000-0005-0000-0000-0000ABAE0000}"/>
    <cellStyle name="Percent 2 4 2 2 7" xfId="6133" xr:uid="{00000000-0005-0000-0000-0000ACAE0000}"/>
    <cellStyle name="Percent 2 4 2 2 7 2" xfId="14556" xr:uid="{00000000-0005-0000-0000-0000ADAE0000}"/>
    <cellStyle name="Percent 2 4 2 2 7 3" xfId="20496" xr:uid="{00000000-0005-0000-0000-0000AEAE0000}"/>
    <cellStyle name="Percent 2 4 2 2 8" xfId="6134" xr:uid="{00000000-0005-0000-0000-0000AFAE0000}"/>
    <cellStyle name="Percent 2 4 2 2 8 2" xfId="14557" xr:uid="{00000000-0005-0000-0000-0000B0AE0000}"/>
    <cellStyle name="Percent 2 4 2 2 8 3" xfId="20497" xr:uid="{00000000-0005-0000-0000-0000B1AE0000}"/>
    <cellStyle name="Percent 2 4 2 2 9" xfId="6135" xr:uid="{00000000-0005-0000-0000-0000B2AE0000}"/>
    <cellStyle name="Percent 2 4 2 2 9 2" xfId="14558" xr:uid="{00000000-0005-0000-0000-0000B3AE0000}"/>
    <cellStyle name="Percent 2 4 2 2 9 3" xfId="20498" xr:uid="{00000000-0005-0000-0000-0000B4AE0000}"/>
    <cellStyle name="Percent 2 4 2 2_LNG &amp; LPG rework" xfId="7723" xr:uid="{00000000-0005-0000-0000-0000B5AE0000}"/>
    <cellStyle name="Percent 2 4 2 3" xfId="578" xr:uid="{00000000-0005-0000-0000-0000B6AE0000}"/>
    <cellStyle name="Percent 2 4 2 3 10" xfId="6136" xr:uid="{00000000-0005-0000-0000-0000B7AE0000}"/>
    <cellStyle name="Percent 2 4 2 3 10 2" xfId="14559" xr:uid="{00000000-0005-0000-0000-0000B8AE0000}"/>
    <cellStyle name="Percent 2 4 2 3 10 3" xfId="20500" xr:uid="{00000000-0005-0000-0000-0000B9AE0000}"/>
    <cellStyle name="Percent 2 4 2 3 11" xfId="9397" xr:uid="{00000000-0005-0000-0000-0000BAAE0000}"/>
    <cellStyle name="Percent 2 4 2 3 12" xfId="20499" xr:uid="{00000000-0005-0000-0000-0000BBAE0000}"/>
    <cellStyle name="Percent 2 4 2 3 2" xfId="579" xr:uid="{00000000-0005-0000-0000-0000BCAE0000}"/>
    <cellStyle name="Percent 2 4 2 3 2 10" xfId="20501" xr:uid="{00000000-0005-0000-0000-0000BDAE0000}"/>
    <cellStyle name="Percent 2 4 2 3 2 2" xfId="580" xr:uid="{00000000-0005-0000-0000-0000BEAE0000}"/>
    <cellStyle name="Percent 2 4 2 3 2 2 2" xfId="6137" xr:uid="{00000000-0005-0000-0000-0000BFAE0000}"/>
    <cellStyle name="Percent 2 4 2 3 2 2 2 2" xfId="14560" xr:uid="{00000000-0005-0000-0000-0000C0AE0000}"/>
    <cellStyle name="Percent 2 4 2 3 2 2 2 3" xfId="20503" xr:uid="{00000000-0005-0000-0000-0000C1AE0000}"/>
    <cellStyle name="Percent 2 4 2 3 2 2 3" xfId="6138" xr:uid="{00000000-0005-0000-0000-0000C2AE0000}"/>
    <cellStyle name="Percent 2 4 2 3 2 2 3 2" xfId="14561" xr:uid="{00000000-0005-0000-0000-0000C3AE0000}"/>
    <cellStyle name="Percent 2 4 2 3 2 2 3 3" xfId="20504" xr:uid="{00000000-0005-0000-0000-0000C4AE0000}"/>
    <cellStyle name="Percent 2 4 2 3 2 2 4" xfId="6139" xr:uid="{00000000-0005-0000-0000-0000C5AE0000}"/>
    <cellStyle name="Percent 2 4 2 3 2 2 4 2" xfId="14562" xr:uid="{00000000-0005-0000-0000-0000C6AE0000}"/>
    <cellStyle name="Percent 2 4 2 3 2 2 4 3" xfId="20505" xr:uid="{00000000-0005-0000-0000-0000C7AE0000}"/>
    <cellStyle name="Percent 2 4 2 3 2 2 5" xfId="6140" xr:uid="{00000000-0005-0000-0000-0000C8AE0000}"/>
    <cellStyle name="Percent 2 4 2 3 2 2 5 2" xfId="14563" xr:uid="{00000000-0005-0000-0000-0000C9AE0000}"/>
    <cellStyle name="Percent 2 4 2 3 2 2 5 3" xfId="20506" xr:uid="{00000000-0005-0000-0000-0000CAAE0000}"/>
    <cellStyle name="Percent 2 4 2 3 2 2 6" xfId="6141" xr:uid="{00000000-0005-0000-0000-0000CBAE0000}"/>
    <cellStyle name="Percent 2 4 2 3 2 2 6 2" xfId="14564" xr:uid="{00000000-0005-0000-0000-0000CCAE0000}"/>
    <cellStyle name="Percent 2 4 2 3 2 2 6 3" xfId="20507" xr:uid="{00000000-0005-0000-0000-0000CDAE0000}"/>
    <cellStyle name="Percent 2 4 2 3 2 2 7" xfId="9399" xr:uid="{00000000-0005-0000-0000-0000CEAE0000}"/>
    <cellStyle name="Percent 2 4 2 3 2 2 8" xfId="20502" xr:uid="{00000000-0005-0000-0000-0000CFAE0000}"/>
    <cellStyle name="Percent 2 4 2 3 2 2_LNG &amp; LPG rework" xfId="7739" xr:uid="{00000000-0005-0000-0000-0000D0AE0000}"/>
    <cellStyle name="Percent 2 4 2 3 2 3" xfId="6142" xr:uid="{00000000-0005-0000-0000-0000D1AE0000}"/>
    <cellStyle name="Percent 2 4 2 3 2 3 2" xfId="6143" xr:uid="{00000000-0005-0000-0000-0000D2AE0000}"/>
    <cellStyle name="Percent 2 4 2 3 2 3 2 2" xfId="14566" xr:uid="{00000000-0005-0000-0000-0000D3AE0000}"/>
    <cellStyle name="Percent 2 4 2 3 2 3 2 3" xfId="20509" xr:uid="{00000000-0005-0000-0000-0000D4AE0000}"/>
    <cellStyle name="Percent 2 4 2 3 2 3 3" xfId="6144" xr:uid="{00000000-0005-0000-0000-0000D5AE0000}"/>
    <cellStyle name="Percent 2 4 2 3 2 3 3 2" xfId="14567" xr:uid="{00000000-0005-0000-0000-0000D6AE0000}"/>
    <cellStyle name="Percent 2 4 2 3 2 3 3 3" xfId="20510" xr:uid="{00000000-0005-0000-0000-0000D7AE0000}"/>
    <cellStyle name="Percent 2 4 2 3 2 3 4" xfId="6145" xr:uid="{00000000-0005-0000-0000-0000D8AE0000}"/>
    <cellStyle name="Percent 2 4 2 3 2 3 4 2" xfId="14568" xr:uid="{00000000-0005-0000-0000-0000D9AE0000}"/>
    <cellStyle name="Percent 2 4 2 3 2 3 4 3" xfId="20511" xr:uid="{00000000-0005-0000-0000-0000DAAE0000}"/>
    <cellStyle name="Percent 2 4 2 3 2 3 5" xfId="6146" xr:uid="{00000000-0005-0000-0000-0000DBAE0000}"/>
    <cellStyle name="Percent 2 4 2 3 2 3 5 2" xfId="14569" xr:uid="{00000000-0005-0000-0000-0000DCAE0000}"/>
    <cellStyle name="Percent 2 4 2 3 2 3 5 3" xfId="20512" xr:uid="{00000000-0005-0000-0000-0000DDAE0000}"/>
    <cellStyle name="Percent 2 4 2 3 2 3 6" xfId="14565" xr:uid="{00000000-0005-0000-0000-0000DEAE0000}"/>
    <cellStyle name="Percent 2 4 2 3 2 3 7" xfId="20508" xr:uid="{00000000-0005-0000-0000-0000DFAE0000}"/>
    <cellStyle name="Percent 2 4 2 3 2 3_LNG &amp; LPG rework" xfId="7740" xr:uid="{00000000-0005-0000-0000-0000E0AE0000}"/>
    <cellStyle name="Percent 2 4 2 3 2 4" xfId="6147" xr:uid="{00000000-0005-0000-0000-0000E1AE0000}"/>
    <cellStyle name="Percent 2 4 2 3 2 4 2" xfId="14570" xr:uid="{00000000-0005-0000-0000-0000E2AE0000}"/>
    <cellStyle name="Percent 2 4 2 3 2 4 3" xfId="20513" xr:uid="{00000000-0005-0000-0000-0000E3AE0000}"/>
    <cellStyle name="Percent 2 4 2 3 2 5" xfId="6148" xr:uid="{00000000-0005-0000-0000-0000E4AE0000}"/>
    <cellStyle name="Percent 2 4 2 3 2 5 2" xfId="14571" xr:uid="{00000000-0005-0000-0000-0000E5AE0000}"/>
    <cellStyle name="Percent 2 4 2 3 2 5 3" xfId="20514" xr:uid="{00000000-0005-0000-0000-0000E6AE0000}"/>
    <cellStyle name="Percent 2 4 2 3 2 6" xfId="6149" xr:uid="{00000000-0005-0000-0000-0000E7AE0000}"/>
    <cellStyle name="Percent 2 4 2 3 2 6 2" xfId="14572" xr:uid="{00000000-0005-0000-0000-0000E8AE0000}"/>
    <cellStyle name="Percent 2 4 2 3 2 6 3" xfId="20515" xr:uid="{00000000-0005-0000-0000-0000E9AE0000}"/>
    <cellStyle name="Percent 2 4 2 3 2 7" xfId="6150" xr:uid="{00000000-0005-0000-0000-0000EAAE0000}"/>
    <cellStyle name="Percent 2 4 2 3 2 7 2" xfId="14573" xr:uid="{00000000-0005-0000-0000-0000EBAE0000}"/>
    <cellStyle name="Percent 2 4 2 3 2 7 3" xfId="20516" xr:uid="{00000000-0005-0000-0000-0000ECAE0000}"/>
    <cellStyle name="Percent 2 4 2 3 2 8" xfId="6151" xr:uid="{00000000-0005-0000-0000-0000EDAE0000}"/>
    <cellStyle name="Percent 2 4 2 3 2 8 2" xfId="14574" xr:uid="{00000000-0005-0000-0000-0000EEAE0000}"/>
    <cellStyle name="Percent 2 4 2 3 2 8 3" xfId="20517" xr:uid="{00000000-0005-0000-0000-0000EFAE0000}"/>
    <cellStyle name="Percent 2 4 2 3 2 9" xfId="9398" xr:uid="{00000000-0005-0000-0000-0000F0AE0000}"/>
    <cellStyle name="Percent 2 4 2 3 2_LNG &amp; LPG rework" xfId="7738" xr:uid="{00000000-0005-0000-0000-0000F1AE0000}"/>
    <cellStyle name="Percent 2 4 2 3 3" xfId="581" xr:uid="{00000000-0005-0000-0000-0000F2AE0000}"/>
    <cellStyle name="Percent 2 4 2 3 3 2" xfId="6152" xr:uid="{00000000-0005-0000-0000-0000F3AE0000}"/>
    <cellStyle name="Percent 2 4 2 3 3 2 2" xfId="14575" xr:uid="{00000000-0005-0000-0000-0000F4AE0000}"/>
    <cellStyle name="Percent 2 4 2 3 3 2 3" xfId="20519" xr:uid="{00000000-0005-0000-0000-0000F5AE0000}"/>
    <cellStyle name="Percent 2 4 2 3 3 3" xfId="6153" xr:uid="{00000000-0005-0000-0000-0000F6AE0000}"/>
    <cellStyle name="Percent 2 4 2 3 3 3 2" xfId="14576" xr:uid="{00000000-0005-0000-0000-0000F7AE0000}"/>
    <cellStyle name="Percent 2 4 2 3 3 3 3" xfId="20520" xr:uid="{00000000-0005-0000-0000-0000F8AE0000}"/>
    <cellStyle name="Percent 2 4 2 3 3 4" xfId="6154" xr:uid="{00000000-0005-0000-0000-0000F9AE0000}"/>
    <cellStyle name="Percent 2 4 2 3 3 4 2" xfId="14577" xr:uid="{00000000-0005-0000-0000-0000FAAE0000}"/>
    <cellStyle name="Percent 2 4 2 3 3 4 3" xfId="20521" xr:uid="{00000000-0005-0000-0000-0000FBAE0000}"/>
    <cellStyle name="Percent 2 4 2 3 3 5" xfId="6155" xr:uid="{00000000-0005-0000-0000-0000FCAE0000}"/>
    <cellStyle name="Percent 2 4 2 3 3 5 2" xfId="14578" xr:uid="{00000000-0005-0000-0000-0000FDAE0000}"/>
    <cellStyle name="Percent 2 4 2 3 3 5 3" xfId="20522" xr:uid="{00000000-0005-0000-0000-0000FEAE0000}"/>
    <cellStyle name="Percent 2 4 2 3 3 6" xfId="6156" xr:uid="{00000000-0005-0000-0000-0000FFAE0000}"/>
    <cellStyle name="Percent 2 4 2 3 3 6 2" xfId="14579" xr:uid="{00000000-0005-0000-0000-000000AF0000}"/>
    <cellStyle name="Percent 2 4 2 3 3 6 3" xfId="20523" xr:uid="{00000000-0005-0000-0000-000001AF0000}"/>
    <cellStyle name="Percent 2 4 2 3 3 7" xfId="9400" xr:uid="{00000000-0005-0000-0000-000002AF0000}"/>
    <cellStyle name="Percent 2 4 2 3 3 8" xfId="20518" xr:uid="{00000000-0005-0000-0000-000003AF0000}"/>
    <cellStyle name="Percent 2 4 2 3 3_LNG &amp; LPG rework" xfId="7741" xr:uid="{00000000-0005-0000-0000-000004AF0000}"/>
    <cellStyle name="Percent 2 4 2 3 4" xfId="6157" xr:uid="{00000000-0005-0000-0000-000005AF0000}"/>
    <cellStyle name="Percent 2 4 2 3 4 2" xfId="6158" xr:uid="{00000000-0005-0000-0000-000006AF0000}"/>
    <cellStyle name="Percent 2 4 2 3 4 2 2" xfId="14581" xr:uid="{00000000-0005-0000-0000-000007AF0000}"/>
    <cellStyle name="Percent 2 4 2 3 4 2 3" xfId="20525" xr:uid="{00000000-0005-0000-0000-000008AF0000}"/>
    <cellStyle name="Percent 2 4 2 3 4 3" xfId="6159" xr:uid="{00000000-0005-0000-0000-000009AF0000}"/>
    <cellStyle name="Percent 2 4 2 3 4 3 2" xfId="14582" xr:uid="{00000000-0005-0000-0000-00000AAF0000}"/>
    <cellStyle name="Percent 2 4 2 3 4 3 3" xfId="20526" xr:uid="{00000000-0005-0000-0000-00000BAF0000}"/>
    <cellStyle name="Percent 2 4 2 3 4 4" xfId="6160" xr:uid="{00000000-0005-0000-0000-00000CAF0000}"/>
    <cellStyle name="Percent 2 4 2 3 4 4 2" xfId="14583" xr:uid="{00000000-0005-0000-0000-00000DAF0000}"/>
    <cellStyle name="Percent 2 4 2 3 4 4 3" xfId="20527" xr:uid="{00000000-0005-0000-0000-00000EAF0000}"/>
    <cellStyle name="Percent 2 4 2 3 4 5" xfId="6161" xr:uid="{00000000-0005-0000-0000-00000FAF0000}"/>
    <cellStyle name="Percent 2 4 2 3 4 5 2" xfId="14584" xr:uid="{00000000-0005-0000-0000-000010AF0000}"/>
    <cellStyle name="Percent 2 4 2 3 4 5 3" xfId="20528" xr:uid="{00000000-0005-0000-0000-000011AF0000}"/>
    <cellStyle name="Percent 2 4 2 3 4 6" xfId="14580" xr:uid="{00000000-0005-0000-0000-000012AF0000}"/>
    <cellStyle name="Percent 2 4 2 3 4 7" xfId="20524" xr:uid="{00000000-0005-0000-0000-000013AF0000}"/>
    <cellStyle name="Percent 2 4 2 3 4_LNG &amp; LPG rework" xfId="7742" xr:uid="{00000000-0005-0000-0000-000014AF0000}"/>
    <cellStyle name="Percent 2 4 2 3 5" xfId="6162" xr:uid="{00000000-0005-0000-0000-000015AF0000}"/>
    <cellStyle name="Percent 2 4 2 3 5 2" xfId="6163" xr:uid="{00000000-0005-0000-0000-000016AF0000}"/>
    <cellStyle name="Percent 2 4 2 3 5 2 2" xfId="14586" xr:uid="{00000000-0005-0000-0000-000017AF0000}"/>
    <cellStyle name="Percent 2 4 2 3 5 2 3" xfId="20530" xr:uid="{00000000-0005-0000-0000-000018AF0000}"/>
    <cellStyle name="Percent 2 4 2 3 5 3" xfId="6164" xr:uid="{00000000-0005-0000-0000-000019AF0000}"/>
    <cellStyle name="Percent 2 4 2 3 5 3 2" xfId="14587" xr:uid="{00000000-0005-0000-0000-00001AAF0000}"/>
    <cellStyle name="Percent 2 4 2 3 5 3 3" xfId="20531" xr:uid="{00000000-0005-0000-0000-00001BAF0000}"/>
    <cellStyle name="Percent 2 4 2 3 5 4" xfId="6165" xr:uid="{00000000-0005-0000-0000-00001CAF0000}"/>
    <cellStyle name="Percent 2 4 2 3 5 4 2" xfId="14588" xr:uid="{00000000-0005-0000-0000-00001DAF0000}"/>
    <cellStyle name="Percent 2 4 2 3 5 4 3" xfId="20532" xr:uid="{00000000-0005-0000-0000-00001EAF0000}"/>
    <cellStyle name="Percent 2 4 2 3 5 5" xfId="6166" xr:uid="{00000000-0005-0000-0000-00001FAF0000}"/>
    <cellStyle name="Percent 2 4 2 3 5 5 2" xfId="14589" xr:uid="{00000000-0005-0000-0000-000020AF0000}"/>
    <cellStyle name="Percent 2 4 2 3 5 5 3" xfId="20533" xr:uid="{00000000-0005-0000-0000-000021AF0000}"/>
    <cellStyle name="Percent 2 4 2 3 5 6" xfId="14585" xr:uid="{00000000-0005-0000-0000-000022AF0000}"/>
    <cellStyle name="Percent 2 4 2 3 5 7" xfId="20529" xr:uid="{00000000-0005-0000-0000-000023AF0000}"/>
    <cellStyle name="Percent 2 4 2 3 5_LNG &amp; LPG rework" xfId="7743" xr:uid="{00000000-0005-0000-0000-000024AF0000}"/>
    <cellStyle name="Percent 2 4 2 3 6" xfId="6167" xr:uid="{00000000-0005-0000-0000-000025AF0000}"/>
    <cellStyle name="Percent 2 4 2 3 6 2" xfId="14590" xr:uid="{00000000-0005-0000-0000-000026AF0000}"/>
    <cellStyle name="Percent 2 4 2 3 6 3" xfId="20534" xr:uid="{00000000-0005-0000-0000-000027AF0000}"/>
    <cellStyle name="Percent 2 4 2 3 7" xfId="6168" xr:uid="{00000000-0005-0000-0000-000028AF0000}"/>
    <cellStyle name="Percent 2 4 2 3 7 2" xfId="14591" xr:uid="{00000000-0005-0000-0000-000029AF0000}"/>
    <cellStyle name="Percent 2 4 2 3 7 3" xfId="20535" xr:uid="{00000000-0005-0000-0000-00002AAF0000}"/>
    <cellStyle name="Percent 2 4 2 3 8" xfId="6169" xr:uid="{00000000-0005-0000-0000-00002BAF0000}"/>
    <cellStyle name="Percent 2 4 2 3 8 2" xfId="14592" xr:uid="{00000000-0005-0000-0000-00002CAF0000}"/>
    <cellStyle name="Percent 2 4 2 3 8 3" xfId="20536" xr:uid="{00000000-0005-0000-0000-00002DAF0000}"/>
    <cellStyle name="Percent 2 4 2 3 9" xfId="6170" xr:uid="{00000000-0005-0000-0000-00002EAF0000}"/>
    <cellStyle name="Percent 2 4 2 3 9 2" xfId="14593" xr:uid="{00000000-0005-0000-0000-00002FAF0000}"/>
    <cellStyle name="Percent 2 4 2 3 9 3" xfId="20537" xr:uid="{00000000-0005-0000-0000-000030AF0000}"/>
    <cellStyle name="Percent 2 4 2 3_LNG &amp; LPG rework" xfId="7737" xr:uid="{00000000-0005-0000-0000-000031AF0000}"/>
    <cellStyle name="Percent 2 4 2 4" xfId="582" xr:uid="{00000000-0005-0000-0000-000032AF0000}"/>
    <cellStyle name="Percent 2 4 2 4 10" xfId="20538" xr:uid="{00000000-0005-0000-0000-000033AF0000}"/>
    <cellStyle name="Percent 2 4 2 4 2" xfId="583" xr:uid="{00000000-0005-0000-0000-000034AF0000}"/>
    <cellStyle name="Percent 2 4 2 4 2 2" xfId="6171" xr:uid="{00000000-0005-0000-0000-000035AF0000}"/>
    <cellStyle name="Percent 2 4 2 4 2 2 2" xfId="14594" xr:uid="{00000000-0005-0000-0000-000036AF0000}"/>
    <cellStyle name="Percent 2 4 2 4 2 2 3" xfId="20540" xr:uid="{00000000-0005-0000-0000-000037AF0000}"/>
    <cellStyle name="Percent 2 4 2 4 2 3" xfId="6172" xr:uid="{00000000-0005-0000-0000-000038AF0000}"/>
    <cellStyle name="Percent 2 4 2 4 2 3 2" xfId="14595" xr:uid="{00000000-0005-0000-0000-000039AF0000}"/>
    <cellStyle name="Percent 2 4 2 4 2 3 3" xfId="20541" xr:uid="{00000000-0005-0000-0000-00003AAF0000}"/>
    <cellStyle name="Percent 2 4 2 4 2 4" xfId="6173" xr:uid="{00000000-0005-0000-0000-00003BAF0000}"/>
    <cellStyle name="Percent 2 4 2 4 2 4 2" xfId="14596" xr:uid="{00000000-0005-0000-0000-00003CAF0000}"/>
    <cellStyle name="Percent 2 4 2 4 2 4 3" xfId="20542" xr:uid="{00000000-0005-0000-0000-00003DAF0000}"/>
    <cellStyle name="Percent 2 4 2 4 2 5" xfId="6174" xr:uid="{00000000-0005-0000-0000-00003EAF0000}"/>
    <cellStyle name="Percent 2 4 2 4 2 5 2" xfId="14597" xr:uid="{00000000-0005-0000-0000-00003FAF0000}"/>
    <cellStyle name="Percent 2 4 2 4 2 5 3" xfId="20543" xr:uid="{00000000-0005-0000-0000-000040AF0000}"/>
    <cellStyle name="Percent 2 4 2 4 2 6" xfId="6175" xr:uid="{00000000-0005-0000-0000-000041AF0000}"/>
    <cellStyle name="Percent 2 4 2 4 2 6 2" xfId="14598" xr:uid="{00000000-0005-0000-0000-000042AF0000}"/>
    <cellStyle name="Percent 2 4 2 4 2 6 3" xfId="20544" xr:uid="{00000000-0005-0000-0000-000043AF0000}"/>
    <cellStyle name="Percent 2 4 2 4 2 7" xfId="9402" xr:uid="{00000000-0005-0000-0000-000044AF0000}"/>
    <cellStyle name="Percent 2 4 2 4 2 8" xfId="20539" xr:uid="{00000000-0005-0000-0000-000045AF0000}"/>
    <cellStyle name="Percent 2 4 2 4 2_LNG &amp; LPG rework" xfId="7745" xr:uid="{00000000-0005-0000-0000-000046AF0000}"/>
    <cellStyle name="Percent 2 4 2 4 3" xfId="6176" xr:uid="{00000000-0005-0000-0000-000047AF0000}"/>
    <cellStyle name="Percent 2 4 2 4 3 2" xfId="6177" xr:uid="{00000000-0005-0000-0000-000048AF0000}"/>
    <cellStyle name="Percent 2 4 2 4 3 2 2" xfId="14600" xr:uid="{00000000-0005-0000-0000-000049AF0000}"/>
    <cellStyle name="Percent 2 4 2 4 3 2 3" xfId="20546" xr:uid="{00000000-0005-0000-0000-00004AAF0000}"/>
    <cellStyle name="Percent 2 4 2 4 3 3" xfId="6178" xr:uid="{00000000-0005-0000-0000-00004BAF0000}"/>
    <cellStyle name="Percent 2 4 2 4 3 3 2" xfId="14601" xr:uid="{00000000-0005-0000-0000-00004CAF0000}"/>
    <cellStyle name="Percent 2 4 2 4 3 3 3" xfId="20547" xr:uid="{00000000-0005-0000-0000-00004DAF0000}"/>
    <cellStyle name="Percent 2 4 2 4 3 4" xfId="6179" xr:uid="{00000000-0005-0000-0000-00004EAF0000}"/>
    <cellStyle name="Percent 2 4 2 4 3 4 2" xfId="14602" xr:uid="{00000000-0005-0000-0000-00004FAF0000}"/>
    <cellStyle name="Percent 2 4 2 4 3 4 3" xfId="20548" xr:uid="{00000000-0005-0000-0000-000050AF0000}"/>
    <cellStyle name="Percent 2 4 2 4 3 5" xfId="6180" xr:uid="{00000000-0005-0000-0000-000051AF0000}"/>
    <cellStyle name="Percent 2 4 2 4 3 5 2" xfId="14603" xr:uid="{00000000-0005-0000-0000-000052AF0000}"/>
    <cellStyle name="Percent 2 4 2 4 3 5 3" xfId="20549" xr:uid="{00000000-0005-0000-0000-000053AF0000}"/>
    <cellStyle name="Percent 2 4 2 4 3 6" xfId="14599" xr:uid="{00000000-0005-0000-0000-000054AF0000}"/>
    <cellStyle name="Percent 2 4 2 4 3 7" xfId="20545" xr:uid="{00000000-0005-0000-0000-000055AF0000}"/>
    <cellStyle name="Percent 2 4 2 4 3_LNG &amp; LPG rework" xfId="7746" xr:uid="{00000000-0005-0000-0000-000056AF0000}"/>
    <cellStyle name="Percent 2 4 2 4 4" xfId="6181" xr:uid="{00000000-0005-0000-0000-000057AF0000}"/>
    <cellStyle name="Percent 2 4 2 4 4 2" xfId="14604" xr:uid="{00000000-0005-0000-0000-000058AF0000}"/>
    <cellStyle name="Percent 2 4 2 4 4 3" xfId="20550" xr:uid="{00000000-0005-0000-0000-000059AF0000}"/>
    <cellStyle name="Percent 2 4 2 4 5" xfId="6182" xr:uid="{00000000-0005-0000-0000-00005AAF0000}"/>
    <cellStyle name="Percent 2 4 2 4 5 2" xfId="14605" xr:uid="{00000000-0005-0000-0000-00005BAF0000}"/>
    <cellStyle name="Percent 2 4 2 4 5 3" xfId="20551" xr:uid="{00000000-0005-0000-0000-00005CAF0000}"/>
    <cellStyle name="Percent 2 4 2 4 6" xfId="6183" xr:uid="{00000000-0005-0000-0000-00005DAF0000}"/>
    <cellStyle name="Percent 2 4 2 4 6 2" xfId="14606" xr:uid="{00000000-0005-0000-0000-00005EAF0000}"/>
    <cellStyle name="Percent 2 4 2 4 6 3" xfId="20552" xr:uid="{00000000-0005-0000-0000-00005FAF0000}"/>
    <cellStyle name="Percent 2 4 2 4 7" xfId="6184" xr:uid="{00000000-0005-0000-0000-000060AF0000}"/>
    <cellStyle name="Percent 2 4 2 4 7 2" xfId="14607" xr:uid="{00000000-0005-0000-0000-000061AF0000}"/>
    <cellStyle name="Percent 2 4 2 4 7 3" xfId="20553" xr:uid="{00000000-0005-0000-0000-000062AF0000}"/>
    <cellStyle name="Percent 2 4 2 4 8" xfId="6185" xr:uid="{00000000-0005-0000-0000-000063AF0000}"/>
    <cellStyle name="Percent 2 4 2 4 8 2" xfId="14608" xr:uid="{00000000-0005-0000-0000-000064AF0000}"/>
    <cellStyle name="Percent 2 4 2 4 8 3" xfId="20554" xr:uid="{00000000-0005-0000-0000-000065AF0000}"/>
    <cellStyle name="Percent 2 4 2 4 9" xfId="9401" xr:uid="{00000000-0005-0000-0000-000066AF0000}"/>
    <cellStyle name="Percent 2 4 2 4_LNG &amp; LPG rework" xfId="7744" xr:uid="{00000000-0005-0000-0000-000067AF0000}"/>
    <cellStyle name="Percent 2 4 2 5" xfId="584" xr:uid="{00000000-0005-0000-0000-000068AF0000}"/>
    <cellStyle name="Percent 2 4 2 5 2" xfId="6186" xr:uid="{00000000-0005-0000-0000-000069AF0000}"/>
    <cellStyle name="Percent 2 4 2 5 2 2" xfId="14609" xr:uid="{00000000-0005-0000-0000-00006AAF0000}"/>
    <cellStyle name="Percent 2 4 2 5 2 3" xfId="20556" xr:uid="{00000000-0005-0000-0000-00006BAF0000}"/>
    <cellStyle name="Percent 2 4 2 5 3" xfId="6187" xr:uid="{00000000-0005-0000-0000-00006CAF0000}"/>
    <cellStyle name="Percent 2 4 2 5 3 2" xfId="14610" xr:uid="{00000000-0005-0000-0000-00006DAF0000}"/>
    <cellStyle name="Percent 2 4 2 5 3 3" xfId="20557" xr:uid="{00000000-0005-0000-0000-00006EAF0000}"/>
    <cellStyle name="Percent 2 4 2 5 4" xfId="6188" xr:uid="{00000000-0005-0000-0000-00006FAF0000}"/>
    <cellStyle name="Percent 2 4 2 5 4 2" xfId="14611" xr:uid="{00000000-0005-0000-0000-000070AF0000}"/>
    <cellStyle name="Percent 2 4 2 5 4 3" xfId="20558" xr:uid="{00000000-0005-0000-0000-000071AF0000}"/>
    <cellStyle name="Percent 2 4 2 5 5" xfId="6189" xr:uid="{00000000-0005-0000-0000-000072AF0000}"/>
    <cellStyle name="Percent 2 4 2 5 5 2" xfId="14612" xr:uid="{00000000-0005-0000-0000-000073AF0000}"/>
    <cellStyle name="Percent 2 4 2 5 5 3" xfId="20559" xr:uid="{00000000-0005-0000-0000-000074AF0000}"/>
    <cellStyle name="Percent 2 4 2 5 6" xfId="6190" xr:uid="{00000000-0005-0000-0000-000075AF0000}"/>
    <cellStyle name="Percent 2 4 2 5 6 2" xfId="14613" xr:uid="{00000000-0005-0000-0000-000076AF0000}"/>
    <cellStyle name="Percent 2 4 2 5 6 3" xfId="20560" xr:uid="{00000000-0005-0000-0000-000077AF0000}"/>
    <cellStyle name="Percent 2 4 2 5 7" xfId="9403" xr:uid="{00000000-0005-0000-0000-000078AF0000}"/>
    <cellStyle name="Percent 2 4 2 5 8" xfId="20555" xr:uid="{00000000-0005-0000-0000-000079AF0000}"/>
    <cellStyle name="Percent 2 4 2 5_LNG &amp; LPG rework" xfId="7747" xr:uid="{00000000-0005-0000-0000-00007AAF0000}"/>
    <cellStyle name="Percent 2 4 2 6" xfId="6191" xr:uid="{00000000-0005-0000-0000-00007BAF0000}"/>
    <cellStyle name="Percent 2 4 2 6 2" xfId="6192" xr:uid="{00000000-0005-0000-0000-00007CAF0000}"/>
    <cellStyle name="Percent 2 4 2 6 2 2" xfId="14615" xr:uid="{00000000-0005-0000-0000-00007DAF0000}"/>
    <cellStyle name="Percent 2 4 2 6 2 3" xfId="20562" xr:uid="{00000000-0005-0000-0000-00007EAF0000}"/>
    <cellStyle name="Percent 2 4 2 6 3" xfId="6193" xr:uid="{00000000-0005-0000-0000-00007FAF0000}"/>
    <cellStyle name="Percent 2 4 2 6 3 2" xfId="14616" xr:uid="{00000000-0005-0000-0000-000080AF0000}"/>
    <cellStyle name="Percent 2 4 2 6 3 3" xfId="20563" xr:uid="{00000000-0005-0000-0000-000081AF0000}"/>
    <cellStyle name="Percent 2 4 2 6 4" xfId="6194" xr:uid="{00000000-0005-0000-0000-000082AF0000}"/>
    <cellStyle name="Percent 2 4 2 6 4 2" xfId="14617" xr:uid="{00000000-0005-0000-0000-000083AF0000}"/>
    <cellStyle name="Percent 2 4 2 6 4 3" xfId="20564" xr:uid="{00000000-0005-0000-0000-000084AF0000}"/>
    <cellStyle name="Percent 2 4 2 6 5" xfId="6195" xr:uid="{00000000-0005-0000-0000-000085AF0000}"/>
    <cellStyle name="Percent 2 4 2 6 5 2" xfId="14618" xr:uid="{00000000-0005-0000-0000-000086AF0000}"/>
    <cellStyle name="Percent 2 4 2 6 5 3" xfId="20565" xr:uid="{00000000-0005-0000-0000-000087AF0000}"/>
    <cellStyle name="Percent 2 4 2 6 6" xfId="14614" xr:uid="{00000000-0005-0000-0000-000088AF0000}"/>
    <cellStyle name="Percent 2 4 2 6 7" xfId="20561" xr:uid="{00000000-0005-0000-0000-000089AF0000}"/>
    <cellStyle name="Percent 2 4 2 6_LNG &amp; LPG rework" xfId="7748" xr:uid="{00000000-0005-0000-0000-00008AAF0000}"/>
    <cellStyle name="Percent 2 4 2 7" xfId="6196" xr:uid="{00000000-0005-0000-0000-00008BAF0000}"/>
    <cellStyle name="Percent 2 4 2 7 2" xfId="6197" xr:uid="{00000000-0005-0000-0000-00008CAF0000}"/>
    <cellStyle name="Percent 2 4 2 7 2 2" xfId="14620" xr:uid="{00000000-0005-0000-0000-00008DAF0000}"/>
    <cellStyle name="Percent 2 4 2 7 2 3" xfId="20567" xr:uid="{00000000-0005-0000-0000-00008EAF0000}"/>
    <cellStyle name="Percent 2 4 2 7 3" xfId="6198" xr:uid="{00000000-0005-0000-0000-00008FAF0000}"/>
    <cellStyle name="Percent 2 4 2 7 3 2" xfId="14621" xr:uid="{00000000-0005-0000-0000-000090AF0000}"/>
    <cellStyle name="Percent 2 4 2 7 3 3" xfId="20568" xr:uid="{00000000-0005-0000-0000-000091AF0000}"/>
    <cellStyle name="Percent 2 4 2 7 4" xfId="6199" xr:uid="{00000000-0005-0000-0000-000092AF0000}"/>
    <cellStyle name="Percent 2 4 2 7 4 2" xfId="14622" xr:uid="{00000000-0005-0000-0000-000093AF0000}"/>
    <cellStyle name="Percent 2 4 2 7 4 3" xfId="20569" xr:uid="{00000000-0005-0000-0000-000094AF0000}"/>
    <cellStyle name="Percent 2 4 2 7 5" xfId="6200" xr:uid="{00000000-0005-0000-0000-000095AF0000}"/>
    <cellStyle name="Percent 2 4 2 7 5 2" xfId="14623" xr:uid="{00000000-0005-0000-0000-000096AF0000}"/>
    <cellStyle name="Percent 2 4 2 7 5 3" xfId="20570" xr:uid="{00000000-0005-0000-0000-000097AF0000}"/>
    <cellStyle name="Percent 2 4 2 7 6" xfId="14619" xr:uid="{00000000-0005-0000-0000-000098AF0000}"/>
    <cellStyle name="Percent 2 4 2 7 7" xfId="20566" xr:uid="{00000000-0005-0000-0000-000099AF0000}"/>
    <cellStyle name="Percent 2 4 2 7_LNG &amp; LPG rework" xfId="7749" xr:uid="{00000000-0005-0000-0000-00009AAF0000}"/>
    <cellStyle name="Percent 2 4 2 8" xfId="6201" xr:uid="{00000000-0005-0000-0000-00009BAF0000}"/>
    <cellStyle name="Percent 2 4 2 8 2" xfId="14624" xr:uid="{00000000-0005-0000-0000-00009CAF0000}"/>
    <cellStyle name="Percent 2 4 2 8 3" xfId="20571" xr:uid="{00000000-0005-0000-0000-00009DAF0000}"/>
    <cellStyle name="Percent 2 4 2 9" xfId="6202" xr:uid="{00000000-0005-0000-0000-00009EAF0000}"/>
    <cellStyle name="Percent 2 4 2 9 2" xfId="14625" xr:uid="{00000000-0005-0000-0000-00009FAF0000}"/>
    <cellStyle name="Percent 2 4 2 9 3" xfId="20572" xr:uid="{00000000-0005-0000-0000-0000A0AF0000}"/>
    <cellStyle name="Percent 2 4 2_LNG &amp; LPG rework" xfId="7722" xr:uid="{00000000-0005-0000-0000-0000A1AF0000}"/>
    <cellStyle name="Percent 2 4 3" xfId="585" xr:uid="{00000000-0005-0000-0000-0000A2AF0000}"/>
    <cellStyle name="Percent 2 4 3 10" xfId="6203" xr:uid="{00000000-0005-0000-0000-0000A3AF0000}"/>
    <cellStyle name="Percent 2 4 3 10 2" xfId="14626" xr:uid="{00000000-0005-0000-0000-0000A4AF0000}"/>
    <cellStyle name="Percent 2 4 3 10 3" xfId="20574" xr:uid="{00000000-0005-0000-0000-0000A5AF0000}"/>
    <cellStyle name="Percent 2 4 3 11" xfId="6204" xr:uid="{00000000-0005-0000-0000-0000A6AF0000}"/>
    <cellStyle name="Percent 2 4 3 11 2" xfId="14627" xr:uid="{00000000-0005-0000-0000-0000A7AF0000}"/>
    <cellStyle name="Percent 2 4 3 11 3" xfId="20575" xr:uid="{00000000-0005-0000-0000-0000A8AF0000}"/>
    <cellStyle name="Percent 2 4 3 12" xfId="9404" xr:uid="{00000000-0005-0000-0000-0000A9AF0000}"/>
    <cellStyle name="Percent 2 4 3 13" xfId="20573" xr:uid="{00000000-0005-0000-0000-0000AAAF0000}"/>
    <cellStyle name="Percent 2 4 3 2" xfId="586" xr:uid="{00000000-0005-0000-0000-0000ABAF0000}"/>
    <cellStyle name="Percent 2 4 3 2 10" xfId="6205" xr:uid="{00000000-0005-0000-0000-0000ACAF0000}"/>
    <cellStyle name="Percent 2 4 3 2 10 2" xfId="14628" xr:uid="{00000000-0005-0000-0000-0000ADAF0000}"/>
    <cellStyle name="Percent 2 4 3 2 10 3" xfId="20577" xr:uid="{00000000-0005-0000-0000-0000AEAF0000}"/>
    <cellStyle name="Percent 2 4 3 2 11" xfId="9405" xr:uid="{00000000-0005-0000-0000-0000AFAF0000}"/>
    <cellStyle name="Percent 2 4 3 2 12" xfId="20576" xr:uid="{00000000-0005-0000-0000-0000B0AF0000}"/>
    <cellStyle name="Percent 2 4 3 2 2" xfId="587" xr:uid="{00000000-0005-0000-0000-0000B1AF0000}"/>
    <cellStyle name="Percent 2 4 3 2 2 10" xfId="20578" xr:uid="{00000000-0005-0000-0000-0000B2AF0000}"/>
    <cellStyle name="Percent 2 4 3 2 2 2" xfId="588" xr:uid="{00000000-0005-0000-0000-0000B3AF0000}"/>
    <cellStyle name="Percent 2 4 3 2 2 2 2" xfId="6206" xr:uid="{00000000-0005-0000-0000-0000B4AF0000}"/>
    <cellStyle name="Percent 2 4 3 2 2 2 2 2" xfId="14629" xr:uid="{00000000-0005-0000-0000-0000B5AF0000}"/>
    <cellStyle name="Percent 2 4 3 2 2 2 2 3" xfId="20580" xr:uid="{00000000-0005-0000-0000-0000B6AF0000}"/>
    <cellStyle name="Percent 2 4 3 2 2 2 3" xfId="6207" xr:uid="{00000000-0005-0000-0000-0000B7AF0000}"/>
    <cellStyle name="Percent 2 4 3 2 2 2 3 2" xfId="14630" xr:uid="{00000000-0005-0000-0000-0000B8AF0000}"/>
    <cellStyle name="Percent 2 4 3 2 2 2 3 3" xfId="20581" xr:uid="{00000000-0005-0000-0000-0000B9AF0000}"/>
    <cellStyle name="Percent 2 4 3 2 2 2 4" xfId="6208" xr:uid="{00000000-0005-0000-0000-0000BAAF0000}"/>
    <cellStyle name="Percent 2 4 3 2 2 2 4 2" xfId="14631" xr:uid="{00000000-0005-0000-0000-0000BBAF0000}"/>
    <cellStyle name="Percent 2 4 3 2 2 2 4 3" xfId="20582" xr:uid="{00000000-0005-0000-0000-0000BCAF0000}"/>
    <cellStyle name="Percent 2 4 3 2 2 2 5" xfId="6209" xr:uid="{00000000-0005-0000-0000-0000BDAF0000}"/>
    <cellStyle name="Percent 2 4 3 2 2 2 5 2" xfId="14632" xr:uid="{00000000-0005-0000-0000-0000BEAF0000}"/>
    <cellStyle name="Percent 2 4 3 2 2 2 5 3" xfId="20583" xr:uid="{00000000-0005-0000-0000-0000BFAF0000}"/>
    <cellStyle name="Percent 2 4 3 2 2 2 6" xfId="6210" xr:uid="{00000000-0005-0000-0000-0000C0AF0000}"/>
    <cellStyle name="Percent 2 4 3 2 2 2 6 2" xfId="14633" xr:uid="{00000000-0005-0000-0000-0000C1AF0000}"/>
    <cellStyle name="Percent 2 4 3 2 2 2 6 3" xfId="20584" xr:uid="{00000000-0005-0000-0000-0000C2AF0000}"/>
    <cellStyle name="Percent 2 4 3 2 2 2 7" xfId="9407" xr:uid="{00000000-0005-0000-0000-0000C3AF0000}"/>
    <cellStyle name="Percent 2 4 3 2 2 2 8" xfId="20579" xr:uid="{00000000-0005-0000-0000-0000C4AF0000}"/>
    <cellStyle name="Percent 2 4 3 2 2 2_LNG &amp; LPG rework" xfId="7753" xr:uid="{00000000-0005-0000-0000-0000C5AF0000}"/>
    <cellStyle name="Percent 2 4 3 2 2 3" xfId="6211" xr:uid="{00000000-0005-0000-0000-0000C6AF0000}"/>
    <cellStyle name="Percent 2 4 3 2 2 3 2" xfId="6212" xr:uid="{00000000-0005-0000-0000-0000C7AF0000}"/>
    <cellStyle name="Percent 2 4 3 2 2 3 2 2" xfId="14635" xr:uid="{00000000-0005-0000-0000-0000C8AF0000}"/>
    <cellStyle name="Percent 2 4 3 2 2 3 2 3" xfId="20586" xr:uid="{00000000-0005-0000-0000-0000C9AF0000}"/>
    <cellStyle name="Percent 2 4 3 2 2 3 3" xfId="6213" xr:uid="{00000000-0005-0000-0000-0000CAAF0000}"/>
    <cellStyle name="Percent 2 4 3 2 2 3 3 2" xfId="14636" xr:uid="{00000000-0005-0000-0000-0000CBAF0000}"/>
    <cellStyle name="Percent 2 4 3 2 2 3 3 3" xfId="20587" xr:uid="{00000000-0005-0000-0000-0000CCAF0000}"/>
    <cellStyle name="Percent 2 4 3 2 2 3 4" xfId="6214" xr:uid="{00000000-0005-0000-0000-0000CDAF0000}"/>
    <cellStyle name="Percent 2 4 3 2 2 3 4 2" xfId="14637" xr:uid="{00000000-0005-0000-0000-0000CEAF0000}"/>
    <cellStyle name="Percent 2 4 3 2 2 3 4 3" xfId="20588" xr:uid="{00000000-0005-0000-0000-0000CFAF0000}"/>
    <cellStyle name="Percent 2 4 3 2 2 3 5" xfId="6215" xr:uid="{00000000-0005-0000-0000-0000D0AF0000}"/>
    <cellStyle name="Percent 2 4 3 2 2 3 5 2" xfId="14638" xr:uid="{00000000-0005-0000-0000-0000D1AF0000}"/>
    <cellStyle name="Percent 2 4 3 2 2 3 5 3" xfId="20589" xr:uid="{00000000-0005-0000-0000-0000D2AF0000}"/>
    <cellStyle name="Percent 2 4 3 2 2 3 6" xfId="14634" xr:uid="{00000000-0005-0000-0000-0000D3AF0000}"/>
    <cellStyle name="Percent 2 4 3 2 2 3 7" xfId="20585" xr:uid="{00000000-0005-0000-0000-0000D4AF0000}"/>
    <cellStyle name="Percent 2 4 3 2 2 3_LNG &amp; LPG rework" xfId="7754" xr:uid="{00000000-0005-0000-0000-0000D5AF0000}"/>
    <cellStyle name="Percent 2 4 3 2 2 4" xfId="6216" xr:uid="{00000000-0005-0000-0000-0000D6AF0000}"/>
    <cellStyle name="Percent 2 4 3 2 2 4 2" xfId="14639" xr:uid="{00000000-0005-0000-0000-0000D7AF0000}"/>
    <cellStyle name="Percent 2 4 3 2 2 4 3" xfId="20590" xr:uid="{00000000-0005-0000-0000-0000D8AF0000}"/>
    <cellStyle name="Percent 2 4 3 2 2 5" xfId="6217" xr:uid="{00000000-0005-0000-0000-0000D9AF0000}"/>
    <cellStyle name="Percent 2 4 3 2 2 5 2" xfId="14640" xr:uid="{00000000-0005-0000-0000-0000DAAF0000}"/>
    <cellStyle name="Percent 2 4 3 2 2 5 3" xfId="20591" xr:uid="{00000000-0005-0000-0000-0000DBAF0000}"/>
    <cellStyle name="Percent 2 4 3 2 2 6" xfId="6218" xr:uid="{00000000-0005-0000-0000-0000DCAF0000}"/>
    <cellStyle name="Percent 2 4 3 2 2 6 2" xfId="14641" xr:uid="{00000000-0005-0000-0000-0000DDAF0000}"/>
    <cellStyle name="Percent 2 4 3 2 2 6 3" xfId="20592" xr:uid="{00000000-0005-0000-0000-0000DEAF0000}"/>
    <cellStyle name="Percent 2 4 3 2 2 7" xfId="6219" xr:uid="{00000000-0005-0000-0000-0000DFAF0000}"/>
    <cellStyle name="Percent 2 4 3 2 2 7 2" xfId="14642" xr:uid="{00000000-0005-0000-0000-0000E0AF0000}"/>
    <cellStyle name="Percent 2 4 3 2 2 7 3" xfId="20593" xr:uid="{00000000-0005-0000-0000-0000E1AF0000}"/>
    <cellStyle name="Percent 2 4 3 2 2 8" xfId="6220" xr:uid="{00000000-0005-0000-0000-0000E2AF0000}"/>
    <cellStyle name="Percent 2 4 3 2 2 8 2" xfId="14643" xr:uid="{00000000-0005-0000-0000-0000E3AF0000}"/>
    <cellStyle name="Percent 2 4 3 2 2 8 3" xfId="20594" xr:uid="{00000000-0005-0000-0000-0000E4AF0000}"/>
    <cellStyle name="Percent 2 4 3 2 2 9" xfId="9406" xr:uid="{00000000-0005-0000-0000-0000E5AF0000}"/>
    <cellStyle name="Percent 2 4 3 2 2_LNG &amp; LPG rework" xfId="7752" xr:uid="{00000000-0005-0000-0000-0000E6AF0000}"/>
    <cellStyle name="Percent 2 4 3 2 3" xfId="589" xr:uid="{00000000-0005-0000-0000-0000E7AF0000}"/>
    <cellStyle name="Percent 2 4 3 2 3 2" xfId="6221" xr:uid="{00000000-0005-0000-0000-0000E8AF0000}"/>
    <cellStyle name="Percent 2 4 3 2 3 2 2" xfId="14644" xr:uid="{00000000-0005-0000-0000-0000E9AF0000}"/>
    <cellStyle name="Percent 2 4 3 2 3 2 3" xfId="20596" xr:uid="{00000000-0005-0000-0000-0000EAAF0000}"/>
    <cellStyle name="Percent 2 4 3 2 3 3" xfId="6222" xr:uid="{00000000-0005-0000-0000-0000EBAF0000}"/>
    <cellStyle name="Percent 2 4 3 2 3 3 2" xfId="14645" xr:uid="{00000000-0005-0000-0000-0000ECAF0000}"/>
    <cellStyle name="Percent 2 4 3 2 3 3 3" xfId="20597" xr:uid="{00000000-0005-0000-0000-0000EDAF0000}"/>
    <cellStyle name="Percent 2 4 3 2 3 4" xfId="6223" xr:uid="{00000000-0005-0000-0000-0000EEAF0000}"/>
    <cellStyle name="Percent 2 4 3 2 3 4 2" xfId="14646" xr:uid="{00000000-0005-0000-0000-0000EFAF0000}"/>
    <cellStyle name="Percent 2 4 3 2 3 4 3" xfId="20598" xr:uid="{00000000-0005-0000-0000-0000F0AF0000}"/>
    <cellStyle name="Percent 2 4 3 2 3 5" xfId="6224" xr:uid="{00000000-0005-0000-0000-0000F1AF0000}"/>
    <cellStyle name="Percent 2 4 3 2 3 5 2" xfId="14647" xr:uid="{00000000-0005-0000-0000-0000F2AF0000}"/>
    <cellStyle name="Percent 2 4 3 2 3 5 3" xfId="20599" xr:uid="{00000000-0005-0000-0000-0000F3AF0000}"/>
    <cellStyle name="Percent 2 4 3 2 3 6" xfId="6225" xr:uid="{00000000-0005-0000-0000-0000F4AF0000}"/>
    <cellStyle name="Percent 2 4 3 2 3 6 2" xfId="14648" xr:uid="{00000000-0005-0000-0000-0000F5AF0000}"/>
    <cellStyle name="Percent 2 4 3 2 3 6 3" xfId="20600" xr:uid="{00000000-0005-0000-0000-0000F6AF0000}"/>
    <cellStyle name="Percent 2 4 3 2 3 7" xfId="9408" xr:uid="{00000000-0005-0000-0000-0000F7AF0000}"/>
    <cellStyle name="Percent 2 4 3 2 3 8" xfId="20595" xr:uid="{00000000-0005-0000-0000-0000F8AF0000}"/>
    <cellStyle name="Percent 2 4 3 2 3_LNG &amp; LPG rework" xfId="7755" xr:uid="{00000000-0005-0000-0000-0000F9AF0000}"/>
    <cellStyle name="Percent 2 4 3 2 4" xfId="6226" xr:uid="{00000000-0005-0000-0000-0000FAAF0000}"/>
    <cellStyle name="Percent 2 4 3 2 4 2" xfId="6227" xr:uid="{00000000-0005-0000-0000-0000FBAF0000}"/>
    <cellStyle name="Percent 2 4 3 2 4 2 2" xfId="14650" xr:uid="{00000000-0005-0000-0000-0000FCAF0000}"/>
    <cellStyle name="Percent 2 4 3 2 4 2 3" xfId="20602" xr:uid="{00000000-0005-0000-0000-0000FDAF0000}"/>
    <cellStyle name="Percent 2 4 3 2 4 3" xfId="6228" xr:uid="{00000000-0005-0000-0000-0000FEAF0000}"/>
    <cellStyle name="Percent 2 4 3 2 4 3 2" xfId="14651" xr:uid="{00000000-0005-0000-0000-0000FFAF0000}"/>
    <cellStyle name="Percent 2 4 3 2 4 3 3" xfId="20603" xr:uid="{00000000-0005-0000-0000-000000B00000}"/>
    <cellStyle name="Percent 2 4 3 2 4 4" xfId="6229" xr:uid="{00000000-0005-0000-0000-000001B00000}"/>
    <cellStyle name="Percent 2 4 3 2 4 4 2" xfId="14652" xr:uid="{00000000-0005-0000-0000-000002B00000}"/>
    <cellStyle name="Percent 2 4 3 2 4 4 3" xfId="20604" xr:uid="{00000000-0005-0000-0000-000003B00000}"/>
    <cellStyle name="Percent 2 4 3 2 4 5" xfId="6230" xr:uid="{00000000-0005-0000-0000-000004B00000}"/>
    <cellStyle name="Percent 2 4 3 2 4 5 2" xfId="14653" xr:uid="{00000000-0005-0000-0000-000005B00000}"/>
    <cellStyle name="Percent 2 4 3 2 4 5 3" xfId="20605" xr:uid="{00000000-0005-0000-0000-000006B00000}"/>
    <cellStyle name="Percent 2 4 3 2 4 6" xfId="14649" xr:uid="{00000000-0005-0000-0000-000007B00000}"/>
    <cellStyle name="Percent 2 4 3 2 4 7" xfId="20601" xr:uid="{00000000-0005-0000-0000-000008B00000}"/>
    <cellStyle name="Percent 2 4 3 2 4_LNG &amp; LPG rework" xfId="7756" xr:uid="{00000000-0005-0000-0000-000009B00000}"/>
    <cellStyle name="Percent 2 4 3 2 5" xfId="6231" xr:uid="{00000000-0005-0000-0000-00000AB00000}"/>
    <cellStyle name="Percent 2 4 3 2 5 2" xfId="6232" xr:uid="{00000000-0005-0000-0000-00000BB00000}"/>
    <cellStyle name="Percent 2 4 3 2 5 2 2" xfId="14655" xr:uid="{00000000-0005-0000-0000-00000CB00000}"/>
    <cellStyle name="Percent 2 4 3 2 5 2 3" xfId="20607" xr:uid="{00000000-0005-0000-0000-00000DB00000}"/>
    <cellStyle name="Percent 2 4 3 2 5 3" xfId="6233" xr:uid="{00000000-0005-0000-0000-00000EB00000}"/>
    <cellStyle name="Percent 2 4 3 2 5 3 2" xfId="14656" xr:uid="{00000000-0005-0000-0000-00000FB00000}"/>
    <cellStyle name="Percent 2 4 3 2 5 3 3" xfId="20608" xr:uid="{00000000-0005-0000-0000-000010B00000}"/>
    <cellStyle name="Percent 2 4 3 2 5 4" xfId="6234" xr:uid="{00000000-0005-0000-0000-000011B00000}"/>
    <cellStyle name="Percent 2 4 3 2 5 4 2" xfId="14657" xr:uid="{00000000-0005-0000-0000-000012B00000}"/>
    <cellStyle name="Percent 2 4 3 2 5 4 3" xfId="20609" xr:uid="{00000000-0005-0000-0000-000013B00000}"/>
    <cellStyle name="Percent 2 4 3 2 5 5" xfId="6235" xr:uid="{00000000-0005-0000-0000-000014B00000}"/>
    <cellStyle name="Percent 2 4 3 2 5 5 2" xfId="14658" xr:uid="{00000000-0005-0000-0000-000015B00000}"/>
    <cellStyle name="Percent 2 4 3 2 5 5 3" xfId="20610" xr:uid="{00000000-0005-0000-0000-000016B00000}"/>
    <cellStyle name="Percent 2 4 3 2 5 6" xfId="14654" xr:uid="{00000000-0005-0000-0000-000017B00000}"/>
    <cellStyle name="Percent 2 4 3 2 5 7" xfId="20606" xr:uid="{00000000-0005-0000-0000-000018B00000}"/>
    <cellStyle name="Percent 2 4 3 2 5_LNG &amp; LPG rework" xfId="7757" xr:uid="{00000000-0005-0000-0000-000019B00000}"/>
    <cellStyle name="Percent 2 4 3 2 6" xfId="6236" xr:uid="{00000000-0005-0000-0000-00001AB00000}"/>
    <cellStyle name="Percent 2 4 3 2 6 2" xfId="14659" xr:uid="{00000000-0005-0000-0000-00001BB00000}"/>
    <cellStyle name="Percent 2 4 3 2 6 3" xfId="20611" xr:uid="{00000000-0005-0000-0000-00001CB00000}"/>
    <cellStyle name="Percent 2 4 3 2 7" xfId="6237" xr:uid="{00000000-0005-0000-0000-00001DB00000}"/>
    <cellStyle name="Percent 2 4 3 2 7 2" xfId="14660" xr:uid="{00000000-0005-0000-0000-00001EB00000}"/>
    <cellStyle name="Percent 2 4 3 2 7 3" xfId="20612" xr:uid="{00000000-0005-0000-0000-00001FB00000}"/>
    <cellStyle name="Percent 2 4 3 2 8" xfId="6238" xr:uid="{00000000-0005-0000-0000-000020B00000}"/>
    <cellStyle name="Percent 2 4 3 2 8 2" xfId="14661" xr:uid="{00000000-0005-0000-0000-000021B00000}"/>
    <cellStyle name="Percent 2 4 3 2 8 3" xfId="20613" xr:uid="{00000000-0005-0000-0000-000022B00000}"/>
    <cellStyle name="Percent 2 4 3 2 9" xfId="6239" xr:uid="{00000000-0005-0000-0000-000023B00000}"/>
    <cellStyle name="Percent 2 4 3 2 9 2" xfId="14662" xr:uid="{00000000-0005-0000-0000-000024B00000}"/>
    <cellStyle name="Percent 2 4 3 2 9 3" xfId="20614" xr:uid="{00000000-0005-0000-0000-000025B00000}"/>
    <cellStyle name="Percent 2 4 3 2_LNG &amp; LPG rework" xfId="7751" xr:uid="{00000000-0005-0000-0000-000026B00000}"/>
    <cellStyle name="Percent 2 4 3 3" xfId="590" xr:uid="{00000000-0005-0000-0000-000027B00000}"/>
    <cellStyle name="Percent 2 4 3 3 10" xfId="20615" xr:uid="{00000000-0005-0000-0000-000028B00000}"/>
    <cellStyle name="Percent 2 4 3 3 2" xfId="591" xr:uid="{00000000-0005-0000-0000-000029B00000}"/>
    <cellStyle name="Percent 2 4 3 3 2 2" xfId="6240" xr:uid="{00000000-0005-0000-0000-00002AB00000}"/>
    <cellStyle name="Percent 2 4 3 3 2 2 2" xfId="14663" xr:uid="{00000000-0005-0000-0000-00002BB00000}"/>
    <cellStyle name="Percent 2 4 3 3 2 2 3" xfId="20617" xr:uid="{00000000-0005-0000-0000-00002CB00000}"/>
    <cellStyle name="Percent 2 4 3 3 2 3" xfId="6241" xr:uid="{00000000-0005-0000-0000-00002DB00000}"/>
    <cellStyle name="Percent 2 4 3 3 2 3 2" xfId="14664" xr:uid="{00000000-0005-0000-0000-00002EB00000}"/>
    <cellStyle name="Percent 2 4 3 3 2 3 3" xfId="20618" xr:uid="{00000000-0005-0000-0000-00002FB00000}"/>
    <cellStyle name="Percent 2 4 3 3 2 4" xfId="6242" xr:uid="{00000000-0005-0000-0000-000030B00000}"/>
    <cellStyle name="Percent 2 4 3 3 2 4 2" xfId="14665" xr:uid="{00000000-0005-0000-0000-000031B00000}"/>
    <cellStyle name="Percent 2 4 3 3 2 4 3" xfId="20619" xr:uid="{00000000-0005-0000-0000-000032B00000}"/>
    <cellStyle name="Percent 2 4 3 3 2 5" xfId="6243" xr:uid="{00000000-0005-0000-0000-000033B00000}"/>
    <cellStyle name="Percent 2 4 3 3 2 5 2" xfId="14666" xr:uid="{00000000-0005-0000-0000-000034B00000}"/>
    <cellStyle name="Percent 2 4 3 3 2 5 3" xfId="20620" xr:uid="{00000000-0005-0000-0000-000035B00000}"/>
    <cellStyle name="Percent 2 4 3 3 2 6" xfId="6244" xr:uid="{00000000-0005-0000-0000-000036B00000}"/>
    <cellStyle name="Percent 2 4 3 3 2 6 2" xfId="14667" xr:uid="{00000000-0005-0000-0000-000037B00000}"/>
    <cellStyle name="Percent 2 4 3 3 2 6 3" xfId="20621" xr:uid="{00000000-0005-0000-0000-000038B00000}"/>
    <cellStyle name="Percent 2 4 3 3 2 7" xfId="9410" xr:uid="{00000000-0005-0000-0000-000039B00000}"/>
    <cellStyle name="Percent 2 4 3 3 2 8" xfId="20616" xr:uid="{00000000-0005-0000-0000-00003AB00000}"/>
    <cellStyle name="Percent 2 4 3 3 2_LNG &amp; LPG rework" xfId="7759" xr:uid="{00000000-0005-0000-0000-00003BB00000}"/>
    <cellStyle name="Percent 2 4 3 3 3" xfId="6245" xr:uid="{00000000-0005-0000-0000-00003CB00000}"/>
    <cellStyle name="Percent 2 4 3 3 3 2" xfId="6246" xr:uid="{00000000-0005-0000-0000-00003DB00000}"/>
    <cellStyle name="Percent 2 4 3 3 3 2 2" xfId="14669" xr:uid="{00000000-0005-0000-0000-00003EB00000}"/>
    <cellStyle name="Percent 2 4 3 3 3 2 3" xfId="20623" xr:uid="{00000000-0005-0000-0000-00003FB00000}"/>
    <cellStyle name="Percent 2 4 3 3 3 3" xfId="6247" xr:uid="{00000000-0005-0000-0000-000040B00000}"/>
    <cellStyle name="Percent 2 4 3 3 3 3 2" xfId="14670" xr:uid="{00000000-0005-0000-0000-000041B00000}"/>
    <cellStyle name="Percent 2 4 3 3 3 3 3" xfId="20624" xr:uid="{00000000-0005-0000-0000-000042B00000}"/>
    <cellStyle name="Percent 2 4 3 3 3 4" xfId="6248" xr:uid="{00000000-0005-0000-0000-000043B00000}"/>
    <cellStyle name="Percent 2 4 3 3 3 4 2" xfId="14671" xr:uid="{00000000-0005-0000-0000-000044B00000}"/>
    <cellStyle name="Percent 2 4 3 3 3 4 3" xfId="20625" xr:uid="{00000000-0005-0000-0000-000045B00000}"/>
    <cellStyle name="Percent 2 4 3 3 3 5" xfId="6249" xr:uid="{00000000-0005-0000-0000-000046B00000}"/>
    <cellStyle name="Percent 2 4 3 3 3 5 2" xfId="14672" xr:uid="{00000000-0005-0000-0000-000047B00000}"/>
    <cellStyle name="Percent 2 4 3 3 3 5 3" xfId="20626" xr:uid="{00000000-0005-0000-0000-000048B00000}"/>
    <cellStyle name="Percent 2 4 3 3 3 6" xfId="14668" xr:uid="{00000000-0005-0000-0000-000049B00000}"/>
    <cellStyle name="Percent 2 4 3 3 3 7" xfId="20622" xr:uid="{00000000-0005-0000-0000-00004AB00000}"/>
    <cellStyle name="Percent 2 4 3 3 3_LNG &amp; LPG rework" xfId="7760" xr:uid="{00000000-0005-0000-0000-00004BB00000}"/>
    <cellStyle name="Percent 2 4 3 3 4" xfId="6250" xr:uid="{00000000-0005-0000-0000-00004CB00000}"/>
    <cellStyle name="Percent 2 4 3 3 4 2" xfId="14673" xr:uid="{00000000-0005-0000-0000-00004DB00000}"/>
    <cellStyle name="Percent 2 4 3 3 4 3" xfId="20627" xr:uid="{00000000-0005-0000-0000-00004EB00000}"/>
    <cellStyle name="Percent 2 4 3 3 5" xfId="6251" xr:uid="{00000000-0005-0000-0000-00004FB00000}"/>
    <cellStyle name="Percent 2 4 3 3 5 2" xfId="14674" xr:uid="{00000000-0005-0000-0000-000050B00000}"/>
    <cellStyle name="Percent 2 4 3 3 5 3" xfId="20628" xr:uid="{00000000-0005-0000-0000-000051B00000}"/>
    <cellStyle name="Percent 2 4 3 3 6" xfId="6252" xr:uid="{00000000-0005-0000-0000-000052B00000}"/>
    <cellStyle name="Percent 2 4 3 3 6 2" xfId="14675" xr:uid="{00000000-0005-0000-0000-000053B00000}"/>
    <cellStyle name="Percent 2 4 3 3 6 3" xfId="20629" xr:uid="{00000000-0005-0000-0000-000054B00000}"/>
    <cellStyle name="Percent 2 4 3 3 7" xfId="6253" xr:uid="{00000000-0005-0000-0000-000055B00000}"/>
    <cellStyle name="Percent 2 4 3 3 7 2" xfId="14676" xr:uid="{00000000-0005-0000-0000-000056B00000}"/>
    <cellStyle name="Percent 2 4 3 3 7 3" xfId="20630" xr:uid="{00000000-0005-0000-0000-000057B00000}"/>
    <cellStyle name="Percent 2 4 3 3 8" xfId="6254" xr:uid="{00000000-0005-0000-0000-000058B00000}"/>
    <cellStyle name="Percent 2 4 3 3 8 2" xfId="14677" xr:uid="{00000000-0005-0000-0000-000059B00000}"/>
    <cellStyle name="Percent 2 4 3 3 8 3" xfId="20631" xr:uid="{00000000-0005-0000-0000-00005AB00000}"/>
    <cellStyle name="Percent 2 4 3 3 9" xfId="9409" xr:uid="{00000000-0005-0000-0000-00005BB00000}"/>
    <cellStyle name="Percent 2 4 3 3_LNG &amp; LPG rework" xfId="7758" xr:uid="{00000000-0005-0000-0000-00005CB00000}"/>
    <cellStyle name="Percent 2 4 3 4" xfId="592" xr:uid="{00000000-0005-0000-0000-00005DB00000}"/>
    <cellStyle name="Percent 2 4 3 4 2" xfId="6255" xr:uid="{00000000-0005-0000-0000-00005EB00000}"/>
    <cellStyle name="Percent 2 4 3 4 2 2" xfId="14678" xr:uid="{00000000-0005-0000-0000-00005FB00000}"/>
    <cellStyle name="Percent 2 4 3 4 2 3" xfId="20633" xr:uid="{00000000-0005-0000-0000-000060B00000}"/>
    <cellStyle name="Percent 2 4 3 4 3" xfId="6256" xr:uid="{00000000-0005-0000-0000-000061B00000}"/>
    <cellStyle name="Percent 2 4 3 4 3 2" xfId="14679" xr:uid="{00000000-0005-0000-0000-000062B00000}"/>
    <cellStyle name="Percent 2 4 3 4 3 3" xfId="20634" xr:uid="{00000000-0005-0000-0000-000063B00000}"/>
    <cellStyle name="Percent 2 4 3 4 4" xfId="6257" xr:uid="{00000000-0005-0000-0000-000064B00000}"/>
    <cellStyle name="Percent 2 4 3 4 4 2" xfId="14680" xr:uid="{00000000-0005-0000-0000-000065B00000}"/>
    <cellStyle name="Percent 2 4 3 4 4 3" xfId="20635" xr:uid="{00000000-0005-0000-0000-000066B00000}"/>
    <cellStyle name="Percent 2 4 3 4 5" xfId="6258" xr:uid="{00000000-0005-0000-0000-000067B00000}"/>
    <cellStyle name="Percent 2 4 3 4 5 2" xfId="14681" xr:uid="{00000000-0005-0000-0000-000068B00000}"/>
    <cellStyle name="Percent 2 4 3 4 5 3" xfId="20636" xr:uid="{00000000-0005-0000-0000-000069B00000}"/>
    <cellStyle name="Percent 2 4 3 4 6" xfId="6259" xr:uid="{00000000-0005-0000-0000-00006AB00000}"/>
    <cellStyle name="Percent 2 4 3 4 6 2" xfId="14682" xr:uid="{00000000-0005-0000-0000-00006BB00000}"/>
    <cellStyle name="Percent 2 4 3 4 6 3" xfId="20637" xr:uid="{00000000-0005-0000-0000-00006CB00000}"/>
    <cellStyle name="Percent 2 4 3 4 7" xfId="9411" xr:uid="{00000000-0005-0000-0000-00006DB00000}"/>
    <cellStyle name="Percent 2 4 3 4 8" xfId="20632" xr:uid="{00000000-0005-0000-0000-00006EB00000}"/>
    <cellStyle name="Percent 2 4 3 4_LNG &amp; LPG rework" xfId="7761" xr:uid="{00000000-0005-0000-0000-00006FB00000}"/>
    <cellStyle name="Percent 2 4 3 5" xfId="6260" xr:uid="{00000000-0005-0000-0000-000070B00000}"/>
    <cellStyle name="Percent 2 4 3 5 2" xfId="6261" xr:uid="{00000000-0005-0000-0000-000071B00000}"/>
    <cellStyle name="Percent 2 4 3 5 2 2" xfId="14684" xr:uid="{00000000-0005-0000-0000-000072B00000}"/>
    <cellStyle name="Percent 2 4 3 5 2 3" xfId="20639" xr:uid="{00000000-0005-0000-0000-000073B00000}"/>
    <cellStyle name="Percent 2 4 3 5 3" xfId="6262" xr:uid="{00000000-0005-0000-0000-000074B00000}"/>
    <cellStyle name="Percent 2 4 3 5 3 2" xfId="14685" xr:uid="{00000000-0005-0000-0000-000075B00000}"/>
    <cellStyle name="Percent 2 4 3 5 3 3" xfId="20640" xr:uid="{00000000-0005-0000-0000-000076B00000}"/>
    <cellStyle name="Percent 2 4 3 5 4" xfId="6263" xr:uid="{00000000-0005-0000-0000-000077B00000}"/>
    <cellStyle name="Percent 2 4 3 5 4 2" xfId="14686" xr:uid="{00000000-0005-0000-0000-000078B00000}"/>
    <cellStyle name="Percent 2 4 3 5 4 3" xfId="20641" xr:uid="{00000000-0005-0000-0000-000079B00000}"/>
    <cellStyle name="Percent 2 4 3 5 5" xfId="6264" xr:uid="{00000000-0005-0000-0000-00007AB00000}"/>
    <cellStyle name="Percent 2 4 3 5 5 2" xfId="14687" xr:uid="{00000000-0005-0000-0000-00007BB00000}"/>
    <cellStyle name="Percent 2 4 3 5 5 3" xfId="20642" xr:uid="{00000000-0005-0000-0000-00007CB00000}"/>
    <cellStyle name="Percent 2 4 3 5 6" xfId="14683" xr:uid="{00000000-0005-0000-0000-00007DB00000}"/>
    <cellStyle name="Percent 2 4 3 5 7" xfId="20638" xr:uid="{00000000-0005-0000-0000-00007EB00000}"/>
    <cellStyle name="Percent 2 4 3 5_LNG &amp; LPG rework" xfId="7762" xr:uid="{00000000-0005-0000-0000-00007FB00000}"/>
    <cellStyle name="Percent 2 4 3 6" xfId="6265" xr:uid="{00000000-0005-0000-0000-000080B00000}"/>
    <cellStyle name="Percent 2 4 3 6 2" xfId="6266" xr:uid="{00000000-0005-0000-0000-000081B00000}"/>
    <cellStyle name="Percent 2 4 3 6 2 2" xfId="14689" xr:uid="{00000000-0005-0000-0000-000082B00000}"/>
    <cellStyle name="Percent 2 4 3 6 2 3" xfId="20644" xr:uid="{00000000-0005-0000-0000-000083B00000}"/>
    <cellStyle name="Percent 2 4 3 6 3" xfId="6267" xr:uid="{00000000-0005-0000-0000-000084B00000}"/>
    <cellStyle name="Percent 2 4 3 6 3 2" xfId="14690" xr:uid="{00000000-0005-0000-0000-000085B00000}"/>
    <cellStyle name="Percent 2 4 3 6 3 3" xfId="20645" xr:uid="{00000000-0005-0000-0000-000086B00000}"/>
    <cellStyle name="Percent 2 4 3 6 4" xfId="6268" xr:uid="{00000000-0005-0000-0000-000087B00000}"/>
    <cellStyle name="Percent 2 4 3 6 4 2" xfId="14691" xr:uid="{00000000-0005-0000-0000-000088B00000}"/>
    <cellStyle name="Percent 2 4 3 6 4 3" xfId="20646" xr:uid="{00000000-0005-0000-0000-000089B00000}"/>
    <cellStyle name="Percent 2 4 3 6 5" xfId="6269" xr:uid="{00000000-0005-0000-0000-00008AB00000}"/>
    <cellStyle name="Percent 2 4 3 6 5 2" xfId="14692" xr:uid="{00000000-0005-0000-0000-00008BB00000}"/>
    <cellStyle name="Percent 2 4 3 6 5 3" xfId="20647" xr:uid="{00000000-0005-0000-0000-00008CB00000}"/>
    <cellStyle name="Percent 2 4 3 6 6" xfId="14688" xr:uid="{00000000-0005-0000-0000-00008DB00000}"/>
    <cellStyle name="Percent 2 4 3 6 7" xfId="20643" xr:uid="{00000000-0005-0000-0000-00008EB00000}"/>
    <cellStyle name="Percent 2 4 3 6_LNG &amp; LPG rework" xfId="7763" xr:uid="{00000000-0005-0000-0000-00008FB00000}"/>
    <cellStyle name="Percent 2 4 3 7" xfId="6270" xr:uid="{00000000-0005-0000-0000-000090B00000}"/>
    <cellStyle name="Percent 2 4 3 7 2" xfId="14693" xr:uid="{00000000-0005-0000-0000-000091B00000}"/>
    <cellStyle name="Percent 2 4 3 7 3" xfId="20648" xr:uid="{00000000-0005-0000-0000-000092B00000}"/>
    <cellStyle name="Percent 2 4 3 8" xfId="6271" xr:uid="{00000000-0005-0000-0000-000093B00000}"/>
    <cellStyle name="Percent 2 4 3 8 2" xfId="14694" xr:uid="{00000000-0005-0000-0000-000094B00000}"/>
    <cellStyle name="Percent 2 4 3 8 3" xfId="20649" xr:uid="{00000000-0005-0000-0000-000095B00000}"/>
    <cellStyle name="Percent 2 4 3 9" xfId="6272" xr:uid="{00000000-0005-0000-0000-000096B00000}"/>
    <cellStyle name="Percent 2 4 3 9 2" xfId="14695" xr:uid="{00000000-0005-0000-0000-000097B00000}"/>
    <cellStyle name="Percent 2 4 3 9 3" xfId="20650" xr:uid="{00000000-0005-0000-0000-000098B00000}"/>
    <cellStyle name="Percent 2 4 3_LNG &amp; LPG rework" xfId="7750" xr:uid="{00000000-0005-0000-0000-000099B00000}"/>
    <cellStyle name="Percent 2 4 4" xfId="593" xr:uid="{00000000-0005-0000-0000-00009AB00000}"/>
    <cellStyle name="Percent 2 4 4 10" xfId="6273" xr:uid="{00000000-0005-0000-0000-00009BB00000}"/>
    <cellStyle name="Percent 2 4 4 10 2" xfId="14696" xr:uid="{00000000-0005-0000-0000-00009CB00000}"/>
    <cellStyle name="Percent 2 4 4 10 3" xfId="20652" xr:uid="{00000000-0005-0000-0000-00009DB00000}"/>
    <cellStyle name="Percent 2 4 4 11" xfId="9412" xr:uid="{00000000-0005-0000-0000-00009EB00000}"/>
    <cellStyle name="Percent 2 4 4 12" xfId="20651" xr:uid="{00000000-0005-0000-0000-00009FB00000}"/>
    <cellStyle name="Percent 2 4 4 2" xfId="594" xr:uid="{00000000-0005-0000-0000-0000A0B00000}"/>
    <cellStyle name="Percent 2 4 4 2 10" xfId="20653" xr:uid="{00000000-0005-0000-0000-0000A1B00000}"/>
    <cellStyle name="Percent 2 4 4 2 2" xfId="595" xr:uid="{00000000-0005-0000-0000-0000A2B00000}"/>
    <cellStyle name="Percent 2 4 4 2 2 2" xfId="6274" xr:uid="{00000000-0005-0000-0000-0000A3B00000}"/>
    <cellStyle name="Percent 2 4 4 2 2 2 2" xfId="14697" xr:uid="{00000000-0005-0000-0000-0000A4B00000}"/>
    <cellStyle name="Percent 2 4 4 2 2 2 3" xfId="20655" xr:uid="{00000000-0005-0000-0000-0000A5B00000}"/>
    <cellStyle name="Percent 2 4 4 2 2 3" xfId="6275" xr:uid="{00000000-0005-0000-0000-0000A6B00000}"/>
    <cellStyle name="Percent 2 4 4 2 2 3 2" xfId="14698" xr:uid="{00000000-0005-0000-0000-0000A7B00000}"/>
    <cellStyle name="Percent 2 4 4 2 2 3 3" xfId="20656" xr:uid="{00000000-0005-0000-0000-0000A8B00000}"/>
    <cellStyle name="Percent 2 4 4 2 2 4" xfId="6276" xr:uid="{00000000-0005-0000-0000-0000A9B00000}"/>
    <cellStyle name="Percent 2 4 4 2 2 4 2" xfId="14699" xr:uid="{00000000-0005-0000-0000-0000AAB00000}"/>
    <cellStyle name="Percent 2 4 4 2 2 4 3" xfId="20657" xr:uid="{00000000-0005-0000-0000-0000ABB00000}"/>
    <cellStyle name="Percent 2 4 4 2 2 5" xfId="6277" xr:uid="{00000000-0005-0000-0000-0000ACB00000}"/>
    <cellStyle name="Percent 2 4 4 2 2 5 2" xfId="14700" xr:uid="{00000000-0005-0000-0000-0000ADB00000}"/>
    <cellStyle name="Percent 2 4 4 2 2 5 3" xfId="20658" xr:uid="{00000000-0005-0000-0000-0000AEB00000}"/>
    <cellStyle name="Percent 2 4 4 2 2 6" xfId="6278" xr:uid="{00000000-0005-0000-0000-0000AFB00000}"/>
    <cellStyle name="Percent 2 4 4 2 2 6 2" xfId="14701" xr:uid="{00000000-0005-0000-0000-0000B0B00000}"/>
    <cellStyle name="Percent 2 4 4 2 2 6 3" xfId="20659" xr:uid="{00000000-0005-0000-0000-0000B1B00000}"/>
    <cellStyle name="Percent 2 4 4 2 2 7" xfId="9414" xr:uid="{00000000-0005-0000-0000-0000B2B00000}"/>
    <cellStyle name="Percent 2 4 4 2 2 8" xfId="20654" xr:uid="{00000000-0005-0000-0000-0000B3B00000}"/>
    <cellStyle name="Percent 2 4 4 2 2_LNG &amp; LPG rework" xfId="7766" xr:uid="{00000000-0005-0000-0000-0000B4B00000}"/>
    <cellStyle name="Percent 2 4 4 2 3" xfId="6279" xr:uid="{00000000-0005-0000-0000-0000B5B00000}"/>
    <cellStyle name="Percent 2 4 4 2 3 2" xfId="6280" xr:uid="{00000000-0005-0000-0000-0000B6B00000}"/>
    <cellStyle name="Percent 2 4 4 2 3 2 2" xfId="14703" xr:uid="{00000000-0005-0000-0000-0000B7B00000}"/>
    <cellStyle name="Percent 2 4 4 2 3 2 3" xfId="20661" xr:uid="{00000000-0005-0000-0000-0000B8B00000}"/>
    <cellStyle name="Percent 2 4 4 2 3 3" xfId="6281" xr:uid="{00000000-0005-0000-0000-0000B9B00000}"/>
    <cellStyle name="Percent 2 4 4 2 3 3 2" xfId="14704" xr:uid="{00000000-0005-0000-0000-0000BAB00000}"/>
    <cellStyle name="Percent 2 4 4 2 3 3 3" xfId="20662" xr:uid="{00000000-0005-0000-0000-0000BBB00000}"/>
    <cellStyle name="Percent 2 4 4 2 3 4" xfId="6282" xr:uid="{00000000-0005-0000-0000-0000BCB00000}"/>
    <cellStyle name="Percent 2 4 4 2 3 4 2" xfId="14705" xr:uid="{00000000-0005-0000-0000-0000BDB00000}"/>
    <cellStyle name="Percent 2 4 4 2 3 4 3" xfId="20663" xr:uid="{00000000-0005-0000-0000-0000BEB00000}"/>
    <cellStyle name="Percent 2 4 4 2 3 5" xfId="6283" xr:uid="{00000000-0005-0000-0000-0000BFB00000}"/>
    <cellStyle name="Percent 2 4 4 2 3 5 2" xfId="14706" xr:uid="{00000000-0005-0000-0000-0000C0B00000}"/>
    <cellStyle name="Percent 2 4 4 2 3 5 3" xfId="20664" xr:uid="{00000000-0005-0000-0000-0000C1B00000}"/>
    <cellStyle name="Percent 2 4 4 2 3 6" xfId="14702" xr:uid="{00000000-0005-0000-0000-0000C2B00000}"/>
    <cellStyle name="Percent 2 4 4 2 3 7" xfId="20660" xr:uid="{00000000-0005-0000-0000-0000C3B00000}"/>
    <cellStyle name="Percent 2 4 4 2 3_LNG &amp; LPG rework" xfId="7767" xr:uid="{00000000-0005-0000-0000-0000C4B00000}"/>
    <cellStyle name="Percent 2 4 4 2 4" xfId="6284" xr:uid="{00000000-0005-0000-0000-0000C5B00000}"/>
    <cellStyle name="Percent 2 4 4 2 4 2" xfId="14707" xr:uid="{00000000-0005-0000-0000-0000C6B00000}"/>
    <cellStyle name="Percent 2 4 4 2 4 3" xfId="20665" xr:uid="{00000000-0005-0000-0000-0000C7B00000}"/>
    <cellStyle name="Percent 2 4 4 2 5" xfId="6285" xr:uid="{00000000-0005-0000-0000-0000C8B00000}"/>
    <cellStyle name="Percent 2 4 4 2 5 2" xfId="14708" xr:uid="{00000000-0005-0000-0000-0000C9B00000}"/>
    <cellStyle name="Percent 2 4 4 2 5 3" xfId="20666" xr:uid="{00000000-0005-0000-0000-0000CAB00000}"/>
    <cellStyle name="Percent 2 4 4 2 6" xfId="6286" xr:uid="{00000000-0005-0000-0000-0000CBB00000}"/>
    <cellStyle name="Percent 2 4 4 2 6 2" xfId="14709" xr:uid="{00000000-0005-0000-0000-0000CCB00000}"/>
    <cellStyle name="Percent 2 4 4 2 6 3" xfId="20667" xr:uid="{00000000-0005-0000-0000-0000CDB00000}"/>
    <cellStyle name="Percent 2 4 4 2 7" xfId="6287" xr:uid="{00000000-0005-0000-0000-0000CEB00000}"/>
    <cellStyle name="Percent 2 4 4 2 7 2" xfId="14710" xr:uid="{00000000-0005-0000-0000-0000CFB00000}"/>
    <cellStyle name="Percent 2 4 4 2 7 3" xfId="20668" xr:uid="{00000000-0005-0000-0000-0000D0B00000}"/>
    <cellStyle name="Percent 2 4 4 2 8" xfId="6288" xr:uid="{00000000-0005-0000-0000-0000D1B00000}"/>
    <cellStyle name="Percent 2 4 4 2 8 2" xfId="14711" xr:uid="{00000000-0005-0000-0000-0000D2B00000}"/>
    <cellStyle name="Percent 2 4 4 2 8 3" xfId="20669" xr:uid="{00000000-0005-0000-0000-0000D3B00000}"/>
    <cellStyle name="Percent 2 4 4 2 9" xfId="9413" xr:uid="{00000000-0005-0000-0000-0000D4B00000}"/>
    <cellStyle name="Percent 2 4 4 2_LNG &amp; LPG rework" xfId="7765" xr:uid="{00000000-0005-0000-0000-0000D5B00000}"/>
    <cellStyle name="Percent 2 4 4 3" xfId="596" xr:uid="{00000000-0005-0000-0000-0000D6B00000}"/>
    <cellStyle name="Percent 2 4 4 3 2" xfId="6289" xr:uid="{00000000-0005-0000-0000-0000D7B00000}"/>
    <cellStyle name="Percent 2 4 4 3 2 2" xfId="14712" xr:uid="{00000000-0005-0000-0000-0000D8B00000}"/>
    <cellStyle name="Percent 2 4 4 3 2 3" xfId="20671" xr:uid="{00000000-0005-0000-0000-0000D9B00000}"/>
    <cellStyle name="Percent 2 4 4 3 3" xfId="6290" xr:uid="{00000000-0005-0000-0000-0000DAB00000}"/>
    <cellStyle name="Percent 2 4 4 3 3 2" xfId="14713" xr:uid="{00000000-0005-0000-0000-0000DBB00000}"/>
    <cellStyle name="Percent 2 4 4 3 3 3" xfId="20672" xr:uid="{00000000-0005-0000-0000-0000DCB00000}"/>
    <cellStyle name="Percent 2 4 4 3 4" xfId="6291" xr:uid="{00000000-0005-0000-0000-0000DDB00000}"/>
    <cellStyle name="Percent 2 4 4 3 4 2" xfId="14714" xr:uid="{00000000-0005-0000-0000-0000DEB00000}"/>
    <cellStyle name="Percent 2 4 4 3 4 3" xfId="20673" xr:uid="{00000000-0005-0000-0000-0000DFB00000}"/>
    <cellStyle name="Percent 2 4 4 3 5" xfId="6292" xr:uid="{00000000-0005-0000-0000-0000E0B00000}"/>
    <cellStyle name="Percent 2 4 4 3 5 2" xfId="14715" xr:uid="{00000000-0005-0000-0000-0000E1B00000}"/>
    <cellStyle name="Percent 2 4 4 3 5 3" xfId="20674" xr:uid="{00000000-0005-0000-0000-0000E2B00000}"/>
    <cellStyle name="Percent 2 4 4 3 6" xfId="6293" xr:uid="{00000000-0005-0000-0000-0000E3B00000}"/>
    <cellStyle name="Percent 2 4 4 3 6 2" xfId="14716" xr:uid="{00000000-0005-0000-0000-0000E4B00000}"/>
    <cellStyle name="Percent 2 4 4 3 6 3" xfId="20675" xr:uid="{00000000-0005-0000-0000-0000E5B00000}"/>
    <cellStyle name="Percent 2 4 4 3 7" xfId="9415" xr:uid="{00000000-0005-0000-0000-0000E6B00000}"/>
    <cellStyle name="Percent 2 4 4 3 8" xfId="20670" xr:uid="{00000000-0005-0000-0000-0000E7B00000}"/>
    <cellStyle name="Percent 2 4 4 3_LNG &amp; LPG rework" xfId="7768" xr:uid="{00000000-0005-0000-0000-0000E8B00000}"/>
    <cellStyle name="Percent 2 4 4 4" xfId="6294" xr:uid="{00000000-0005-0000-0000-0000E9B00000}"/>
    <cellStyle name="Percent 2 4 4 4 2" xfId="6295" xr:uid="{00000000-0005-0000-0000-0000EAB00000}"/>
    <cellStyle name="Percent 2 4 4 4 2 2" xfId="14718" xr:uid="{00000000-0005-0000-0000-0000EBB00000}"/>
    <cellStyle name="Percent 2 4 4 4 2 3" xfId="20677" xr:uid="{00000000-0005-0000-0000-0000ECB00000}"/>
    <cellStyle name="Percent 2 4 4 4 3" xfId="6296" xr:uid="{00000000-0005-0000-0000-0000EDB00000}"/>
    <cellStyle name="Percent 2 4 4 4 3 2" xfId="14719" xr:uid="{00000000-0005-0000-0000-0000EEB00000}"/>
    <cellStyle name="Percent 2 4 4 4 3 3" xfId="20678" xr:uid="{00000000-0005-0000-0000-0000EFB00000}"/>
    <cellStyle name="Percent 2 4 4 4 4" xfId="6297" xr:uid="{00000000-0005-0000-0000-0000F0B00000}"/>
    <cellStyle name="Percent 2 4 4 4 4 2" xfId="14720" xr:uid="{00000000-0005-0000-0000-0000F1B00000}"/>
    <cellStyle name="Percent 2 4 4 4 4 3" xfId="20679" xr:uid="{00000000-0005-0000-0000-0000F2B00000}"/>
    <cellStyle name="Percent 2 4 4 4 5" xfId="6298" xr:uid="{00000000-0005-0000-0000-0000F3B00000}"/>
    <cellStyle name="Percent 2 4 4 4 5 2" xfId="14721" xr:uid="{00000000-0005-0000-0000-0000F4B00000}"/>
    <cellStyle name="Percent 2 4 4 4 5 3" xfId="20680" xr:uid="{00000000-0005-0000-0000-0000F5B00000}"/>
    <cellStyle name="Percent 2 4 4 4 6" xfId="14717" xr:uid="{00000000-0005-0000-0000-0000F6B00000}"/>
    <cellStyle name="Percent 2 4 4 4 7" xfId="20676" xr:uid="{00000000-0005-0000-0000-0000F7B00000}"/>
    <cellStyle name="Percent 2 4 4 4_LNG &amp; LPG rework" xfId="7769" xr:uid="{00000000-0005-0000-0000-0000F8B00000}"/>
    <cellStyle name="Percent 2 4 4 5" xfId="6299" xr:uid="{00000000-0005-0000-0000-0000F9B00000}"/>
    <cellStyle name="Percent 2 4 4 5 2" xfId="6300" xr:uid="{00000000-0005-0000-0000-0000FAB00000}"/>
    <cellStyle name="Percent 2 4 4 5 2 2" xfId="14723" xr:uid="{00000000-0005-0000-0000-0000FBB00000}"/>
    <cellStyle name="Percent 2 4 4 5 2 3" xfId="20682" xr:uid="{00000000-0005-0000-0000-0000FCB00000}"/>
    <cellStyle name="Percent 2 4 4 5 3" xfId="6301" xr:uid="{00000000-0005-0000-0000-0000FDB00000}"/>
    <cellStyle name="Percent 2 4 4 5 3 2" xfId="14724" xr:uid="{00000000-0005-0000-0000-0000FEB00000}"/>
    <cellStyle name="Percent 2 4 4 5 3 3" xfId="20683" xr:uid="{00000000-0005-0000-0000-0000FFB00000}"/>
    <cellStyle name="Percent 2 4 4 5 4" xfId="6302" xr:uid="{00000000-0005-0000-0000-000000B10000}"/>
    <cellStyle name="Percent 2 4 4 5 4 2" xfId="14725" xr:uid="{00000000-0005-0000-0000-000001B10000}"/>
    <cellStyle name="Percent 2 4 4 5 4 3" xfId="20684" xr:uid="{00000000-0005-0000-0000-000002B10000}"/>
    <cellStyle name="Percent 2 4 4 5 5" xfId="6303" xr:uid="{00000000-0005-0000-0000-000003B10000}"/>
    <cellStyle name="Percent 2 4 4 5 5 2" xfId="14726" xr:uid="{00000000-0005-0000-0000-000004B10000}"/>
    <cellStyle name="Percent 2 4 4 5 5 3" xfId="20685" xr:uid="{00000000-0005-0000-0000-000005B10000}"/>
    <cellStyle name="Percent 2 4 4 5 6" xfId="14722" xr:uid="{00000000-0005-0000-0000-000006B10000}"/>
    <cellStyle name="Percent 2 4 4 5 7" xfId="20681" xr:uid="{00000000-0005-0000-0000-000007B10000}"/>
    <cellStyle name="Percent 2 4 4 5_LNG &amp; LPG rework" xfId="7770" xr:uid="{00000000-0005-0000-0000-000008B10000}"/>
    <cellStyle name="Percent 2 4 4 6" xfId="6304" xr:uid="{00000000-0005-0000-0000-000009B10000}"/>
    <cellStyle name="Percent 2 4 4 6 2" xfId="14727" xr:uid="{00000000-0005-0000-0000-00000AB10000}"/>
    <cellStyle name="Percent 2 4 4 6 3" xfId="20686" xr:uid="{00000000-0005-0000-0000-00000BB10000}"/>
    <cellStyle name="Percent 2 4 4 7" xfId="6305" xr:uid="{00000000-0005-0000-0000-00000CB10000}"/>
    <cellStyle name="Percent 2 4 4 7 2" xfId="14728" xr:uid="{00000000-0005-0000-0000-00000DB10000}"/>
    <cellStyle name="Percent 2 4 4 7 3" xfId="20687" xr:uid="{00000000-0005-0000-0000-00000EB10000}"/>
    <cellStyle name="Percent 2 4 4 8" xfId="6306" xr:uid="{00000000-0005-0000-0000-00000FB10000}"/>
    <cellStyle name="Percent 2 4 4 8 2" xfId="14729" xr:uid="{00000000-0005-0000-0000-000010B10000}"/>
    <cellStyle name="Percent 2 4 4 8 3" xfId="20688" xr:uid="{00000000-0005-0000-0000-000011B10000}"/>
    <cellStyle name="Percent 2 4 4 9" xfId="6307" xr:uid="{00000000-0005-0000-0000-000012B10000}"/>
    <cellStyle name="Percent 2 4 4 9 2" xfId="14730" xr:uid="{00000000-0005-0000-0000-000013B10000}"/>
    <cellStyle name="Percent 2 4 4 9 3" xfId="20689" xr:uid="{00000000-0005-0000-0000-000014B10000}"/>
    <cellStyle name="Percent 2 4 4_LNG &amp; LPG rework" xfId="7764" xr:uid="{00000000-0005-0000-0000-000015B10000}"/>
    <cellStyle name="Percent 2 4 5" xfId="597" xr:uid="{00000000-0005-0000-0000-000016B10000}"/>
    <cellStyle name="Percent 2 4 5 10" xfId="20690" xr:uid="{00000000-0005-0000-0000-000017B10000}"/>
    <cellStyle name="Percent 2 4 5 2" xfId="598" xr:uid="{00000000-0005-0000-0000-000018B10000}"/>
    <cellStyle name="Percent 2 4 5 2 2" xfId="6308" xr:uid="{00000000-0005-0000-0000-000019B10000}"/>
    <cellStyle name="Percent 2 4 5 2 2 2" xfId="14731" xr:uid="{00000000-0005-0000-0000-00001AB10000}"/>
    <cellStyle name="Percent 2 4 5 2 2 3" xfId="20692" xr:uid="{00000000-0005-0000-0000-00001BB10000}"/>
    <cellStyle name="Percent 2 4 5 2 3" xfId="6309" xr:uid="{00000000-0005-0000-0000-00001CB10000}"/>
    <cellStyle name="Percent 2 4 5 2 3 2" xfId="14732" xr:uid="{00000000-0005-0000-0000-00001DB10000}"/>
    <cellStyle name="Percent 2 4 5 2 3 3" xfId="20693" xr:uid="{00000000-0005-0000-0000-00001EB10000}"/>
    <cellStyle name="Percent 2 4 5 2 4" xfId="6310" xr:uid="{00000000-0005-0000-0000-00001FB10000}"/>
    <cellStyle name="Percent 2 4 5 2 4 2" xfId="14733" xr:uid="{00000000-0005-0000-0000-000020B10000}"/>
    <cellStyle name="Percent 2 4 5 2 4 3" xfId="20694" xr:uid="{00000000-0005-0000-0000-000021B10000}"/>
    <cellStyle name="Percent 2 4 5 2 5" xfId="6311" xr:uid="{00000000-0005-0000-0000-000022B10000}"/>
    <cellStyle name="Percent 2 4 5 2 5 2" xfId="14734" xr:uid="{00000000-0005-0000-0000-000023B10000}"/>
    <cellStyle name="Percent 2 4 5 2 5 3" xfId="20695" xr:uid="{00000000-0005-0000-0000-000024B10000}"/>
    <cellStyle name="Percent 2 4 5 2 6" xfId="6312" xr:uid="{00000000-0005-0000-0000-000025B10000}"/>
    <cellStyle name="Percent 2 4 5 2 6 2" xfId="14735" xr:uid="{00000000-0005-0000-0000-000026B10000}"/>
    <cellStyle name="Percent 2 4 5 2 6 3" xfId="20696" xr:uid="{00000000-0005-0000-0000-000027B10000}"/>
    <cellStyle name="Percent 2 4 5 2 7" xfId="9417" xr:uid="{00000000-0005-0000-0000-000028B10000}"/>
    <cellStyle name="Percent 2 4 5 2 8" xfId="20691" xr:uid="{00000000-0005-0000-0000-000029B10000}"/>
    <cellStyle name="Percent 2 4 5 2_LNG &amp; LPG rework" xfId="7772" xr:uid="{00000000-0005-0000-0000-00002AB10000}"/>
    <cellStyle name="Percent 2 4 5 3" xfId="6313" xr:uid="{00000000-0005-0000-0000-00002BB10000}"/>
    <cellStyle name="Percent 2 4 5 3 2" xfId="6314" xr:uid="{00000000-0005-0000-0000-00002CB10000}"/>
    <cellStyle name="Percent 2 4 5 3 2 2" xfId="14737" xr:uid="{00000000-0005-0000-0000-00002DB10000}"/>
    <cellStyle name="Percent 2 4 5 3 2 3" xfId="20698" xr:uid="{00000000-0005-0000-0000-00002EB10000}"/>
    <cellStyle name="Percent 2 4 5 3 3" xfId="6315" xr:uid="{00000000-0005-0000-0000-00002FB10000}"/>
    <cellStyle name="Percent 2 4 5 3 3 2" xfId="14738" xr:uid="{00000000-0005-0000-0000-000030B10000}"/>
    <cellStyle name="Percent 2 4 5 3 3 3" xfId="20699" xr:uid="{00000000-0005-0000-0000-000031B10000}"/>
    <cellStyle name="Percent 2 4 5 3 4" xfId="6316" xr:uid="{00000000-0005-0000-0000-000032B10000}"/>
    <cellStyle name="Percent 2 4 5 3 4 2" xfId="14739" xr:uid="{00000000-0005-0000-0000-000033B10000}"/>
    <cellStyle name="Percent 2 4 5 3 4 3" xfId="20700" xr:uid="{00000000-0005-0000-0000-000034B10000}"/>
    <cellStyle name="Percent 2 4 5 3 5" xfId="6317" xr:uid="{00000000-0005-0000-0000-000035B10000}"/>
    <cellStyle name="Percent 2 4 5 3 5 2" xfId="14740" xr:uid="{00000000-0005-0000-0000-000036B10000}"/>
    <cellStyle name="Percent 2 4 5 3 5 3" xfId="20701" xr:uid="{00000000-0005-0000-0000-000037B10000}"/>
    <cellStyle name="Percent 2 4 5 3 6" xfId="14736" xr:uid="{00000000-0005-0000-0000-000038B10000}"/>
    <cellStyle name="Percent 2 4 5 3 7" xfId="20697" xr:uid="{00000000-0005-0000-0000-000039B10000}"/>
    <cellStyle name="Percent 2 4 5 3_LNG &amp; LPG rework" xfId="7773" xr:uid="{00000000-0005-0000-0000-00003AB10000}"/>
    <cellStyle name="Percent 2 4 5 4" xfId="6318" xr:uid="{00000000-0005-0000-0000-00003BB10000}"/>
    <cellStyle name="Percent 2 4 5 4 2" xfId="14741" xr:uid="{00000000-0005-0000-0000-00003CB10000}"/>
    <cellStyle name="Percent 2 4 5 4 3" xfId="20702" xr:uid="{00000000-0005-0000-0000-00003DB10000}"/>
    <cellStyle name="Percent 2 4 5 5" xfId="6319" xr:uid="{00000000-0005-0000-0000-00003EB10000}"/>
    <cellStyle name="Percent 2 4 5 5 2" xfId="14742" xr:uid="{00000000-0005-0000-0000-00003FB10000}"/>
    <cellStyle name="Percent 2 4 5 5 3" xfId="20703" xr:uid="{00000000-0005-0000-0000-000040B10000}"/>
    <cellStyle name="Percent 2 4 5 6" xfId="6320" xr:uid="{00000000-0005-0000-0000-000041B10000}"/>
    <cellStyle name="Percent 2 4 5 6 2" xfId="14743" xr:uid="{00000000-0005-0000-0000-000042B10000}"/>
    <cellStyle name="Percent 2 4 5 6 3" xfId="20704" xr:uid="{00000000-0005-0000-0000-000043B10000}"/>
    <cellStyle name="Percent 2 4 5 7" xfId="6321" xr:uid="{00000000-0005-0000-0000-000044B10000}"/>
    <cellStyle name="Percent 2 4 5 7 2" xfId="14744" xr:uid="{00000000-0005-0000-0000-000045B10000}"/>
    <cellStyle name="Percent 2 4 5 7 3" xfId="20705" xr:uid="{00000000-0005-0000-0000-000046B10000}"/>
    <cellStyle name="Percent 2 4 5 8" xfId="6322" xr:uid="{00000000-0005-0000-0000-000047B10000}"/>
    <cellStyle name="Percent 2 4 5 8 2" xfId="14745" xr:uid="{00000000-0005-0000-0000-000048B10000}"/>
    <cellStyle name="Percent 2 4 5 8 3" xfId="20706" xr:uid="{00000000-0005-0000-0000-000049B10000}"/>
    <cellStyle name="Percent 2 4 5 9" xfId="9416" xr:uid="{00000000-0005-0000-0000-00004AB10000}"/>
    <cellStyle name="Percent 2 4 5_LNG &amp; LPG rework" xfId="7771" xr:uid="{00000000-0005-0000-0000-00004BB10000}"/>
    <cellStyle name="Percent 2 4 6" xfId="599" xr:uid="{00000000-0005-0000-0000-00004CB10000}"/>
    <cellStyle name="Percent 2 4 6 2" xfId="6323" xr:uid="{00000000-0005-0000-0000-00004DB10000}"/>
    <cellStyle name="Percent 2 4 6 2 2" xfId="14746" xr:uid="{00000000-0005-0000-0000-00004EB10000}"/>
    <cellStyle name="Percent 2 4 6 2 3" xfId="20708" xr:uid="{00000000-0005-0000-0000-00004FB10000}"/>
    <cellStyle name="Percent 2 4 6 3" xfId="6324" xr:uid="{00000000-0005-0000-0000-000050B10000}"/>
    <cellStyle name="Percent 2 4 6 3 2" xfId="14747" xr:uid="{00000000-0005-0000-0000-000051B10000}"/>
    <cellStyle name="Percent 2 4 6 3 3" xfId="20709" xr:uid="{00000000-0005-0000-0000-000052B10000}"/>
    <cellStyle name="Percent 2 4 6 4" xfId="6325" xr:uid="{00000000-0005-0000-0000-000053B10000}"/>
    <cellStyle name="Percent 2 4 6 4 2" xfId="14748" xr:uid="{00000000-0005-0000-0000-000054B10000}"/>
    <cellStyle name="Percent 2 4 6 4 3" xfId="20710" xr:uid="{00000000-0005-0000-0000-000055B10000}"/>
    <cellStyle name="Percent 2 4 6 5" xfId="6326" xr:uid="{00000000-0005-0000-0000-000056B10000}"/>
    <cellStyle name="Percent 2 4 6 5 2" xfId="14749" xr:uid="{00000000-0005-0000-0000-000057B10000}"/>
    <cellStyle name="Percent 2 4 6 5 3" xfId="20711" xr:uid="{00000000-0005-0000-0000-000058B10000}"/>
    <cellStyle name="Percent 2 4 6 6" xfId="6327" xr:uid="{00000000-0005-0000-0000-000059B10000}"/>
    <cellStyle name="Percent 2 4 6 6 2" xfId="14750" xr:uid="{00000000-0005-0000-0000-00005AB10000}"/>
    <cellStyle name="Percent 2 4 6 6 3" xfId="20712" xr:uid="{00000000-0005-0000-0000-00005BB10000}"/>
    <cellStyle name="Percent 2 4 6 7" xfId="9418" xr:uid="{00000000-0005-0000-0000-00005CB10000}"/>
    <cellStyle name="Percent 2 4 6 8" xfId="20707" xr:uid="{00000000-0005-0000-0000-00005DB10000}"/>
    <cellStyle name="Percent 2 4 6_LNG &amp; LPG rework" xfId="7774" xr:uid="{00000000-0005-0000-0000-00005EB10000}"/>
    <cellStyle name="Percent 2 4 7" xfId="6328" xr:uid="{00000000-0005-0000-0000-00005FB10000}"/>
    <cellStyle name="Percent 2 4 7 2" xfId="6329" xr:uid="{00000000-0005-0000-0000-000060B10000}"/>
    <cellStyle name="Percent 2 4 7 2 2" xfId="14752" xr:uid="{00000000-0005-0000-0000-000061B10000}"/>
    <cellStyle name="Percent 2 4 7 2 3" xfId="20714" xr:uid="{00000000-0005-0000-0000-000062B10000}"/>
    <cellStyle name="Percent 2 4 7 3" xfId="6330" xr:uid="{00000000-0005-0000-0000-000063B10000}"/>
    <cellStyle name="Percent 2 4 7 3 2" xfId="14753" xr:uid="{00000000-0005-0000-0000-000064B10000}"/>
    <cellStyle name="Percent 2 4 7 3 3" xfId="20715" xr:uid="{00000000-0005-0000-0000-000065B10000}"/>
    <cellStyle name="Percent 2 4 7 4" xfId="6331" xr:uid="{00000000-0005-0000-0000-000066B10000}"/>
    <cellStyle name="Percent 2 4 7 4 2" xfId="14754" xr:uid="{00000000-0005-0000-0000-000067B10000}"/>
    <cellStyle name="Percent 2 4 7 4 3" xfId="20716" xr:uid="{00000000-0005-0000-0000-000068B10000}"/>
    <cellStyle name="Percent 2 4 7 5" xfId="6332" xr:uid="{00000000-0005-0000-0000-000069B10000}"/>
    <cellStyle name="Percent 2 4 7 5 2" xfId="14755" xr:uid="{00000000-0005-0000-0000-00006AB10000}"/>
    <cellStyle name="Percent 2 4 7 5 3" xfId="20717" xr:uid="{00000000-0005-0000-0000-00006BB10000}"/>
    <cellStyle name="Percent 2 4 7 6" xfId="14751" xr:uid="{00000000-0005-0000-0000-00006CB10000}"/>
    <cellStyle name="Percent 2 4 7 7" xfId="20713" xr:uid="{00000000-0005-0000-0000-00006DB10000}"/>
    <cellStyle name="Percent 2 4 7_LNG &amp; LPG rework" xfId="7775" xr:uid="{00000000-0005-0000-0000-00006EB10000}"/>
    <cellStyle name="Percent 2 4 8" xfId="6333" xr:uid="{00000000-0005-0000-0000-00006FB10000}"/>
    <cellStyle name="Percent 2 4 8 2" xfId="6334" xr:uid="{00000000-0005-0000-0000-000070B10000}"/>
    <cellStyle name="Percent 2 4 8 2 2" xfId="14757" xr:uid="{00000000-0005-0000-0000-000071B10000}"/>
    <cellStyle name="Percent 2 4 8 2 3" xfId="20719" xr:uid="{00000000-0005-0000-0000-000072B10000}"/>
    <cellStyle name="Percent 2 4 8 3" xfId="6335" xr:uid="{00000000-0005-0000-0000-000073B10000}"/>
    <cellStyle name="Percent 2 4 8 3 2" xfId="14758" xr:uid="{00000000-0005-0000-0000-000074B10000}"/>
    <cellStyle name="Percent 2 4 8 3 3" xfId="20720" xr:uid="{00000000-0005-0000-0000-000075B10000}"/>
    <cellStyle name="Percent 2 4 8 4" xfId="6336" xr:uid="{00000000-0005-0000-0000-000076B10000}"/>
    <cellStyle name="Percent 2 4 8 4 2" xfId="14759" xr:uid="{00000000-0005-0000-0000-000077B10000}"/>
    <cellStyle name="Percent 2 4 8 4 3" xfId="20721" xr:uid="{00000000-0005-0000-0000-000078B10000}"/>
    <cellStyle name="Percent 2 4 8 5" xfId="6337" xr:uid="{00000000-0005-0000-0000-000079B10000}"/>
    <cellStyle name="Percent 2 4 8 5 2" xfId="14760" xr:uid="{00000000-0005-0000-0000-00007AB10000}"/>
    <cellStyle name="Percent 2 4 8 5 3" xfId="20722" xr:uid="{00000000-0005-0000-0000-00007BB10000}"/>
    <cellStyle name="Percent 2 4 8 6" xfId="14756" xr:uid="{00000000-0005-0000-0000-00007CB10000}"/>
    <cellStyle name="Percent 2 4 8 7" xfId="20718" xr:uid="{00000000-0005-0000-0000-00007DB10000}"/>
    <cellStyle name="Percent 2 4 8_LNG &amp; LPG rework" xfId="7776" xr:uid="{00000000-0005-0000-0000-00007EB10000}"/>
    <cellStyle name="Percent 2 4 9" xfId="6338" xr:uid="{00000000-0005-0000-0000-00007FB10000}"/>
    <cellStyle name="Percent 2 4 9 2" xfId="14761" xr:uid="{00000000-0005-0000-0000-000080B10000}"/>
    <cellStyle name="Percent 2 4 9 3" xfId="20723" xr:uid="{00000000-0005-0000-0000-000081B10000}"/>
    <cellStyle name="Percent 2 4_LNG &amp; LPG rework" xfId="7721" xr:uid="{00000000-0005-0000-0000-000082B10000}"/>
    <cellStyle name="Percent 2 5" xfId="238" xr:uid="{00000000-0005-0000-0000-000083B10000}"/>
    <cellStyle name="Percent 2 5 2" xfId="6339" xr:uid="{00000000-0005-0000-0000-000084B10000}"/>
    <cellStyle name="Percent 2 5 2 2" xfId="14762" xr:uid="{00000000-0005-0000-0000-000085B10000}"/>
    <cellStyle name="Percent 2 5 2 3" xfId="20725" xr:uid="{00000000-0005-0000-0000-000086B10000}"/>
    <cellStyle name="Percent 2 5 3" xfId="6340" xr:uid="{00000000-0005-0000-0000-000087B10000}"/>
    <cellStyle name="Percent 2 5 3 2" xfId="14763" xr:uid="{00000000-0005-0000-0000-000088B10000}"/>
    <cellStyle name="Percent 2 5 3 3" xfId="20726" xr:uid="{00000000-0005-0000-0000-000089B10000}"/>
    <cellStyle name="Percent 2 5 4" xfId="6341" xr:uid="{00000000-0005-0000-0000-00008AB10000}"/>
    <cellStyle name="Percent 2 5 4 2" xfId="14764" xr:uid="{00000000-0005-0000-0000-00008BB10000}"/>
    <cellStyle name="Percent 2 5 4 3" xfId="20727" xr:uid="{00000000-0005-0000-0000-00008CB10000}"/>
    <cellStyle name="Percent 2 5 5" xfId="6342" xr:uid="{00000000-0005-0000-0000-00008DB10000}"/>
    <cellStyle name="Percent 2 5 5 2" xfId="14765" xr:uid="{00000000-0005-0000-0000-00008EB10000}"/>
    <cellStyle name="Percent 2 5 5 3" xfId="20728" xr:uid="{00000000-0005-0000-0000-00008FB10000}"/>
    <cellStyle name="Percent 2 5 6" xfId="9101" xr:uid="{00000000-0005-0000-0000-000090B10000}"/>
    <cellStyle name="Percent 2 5 7" xfId="20724" xr:uid="{00000000-0005-0000-0000-000091B10000}"/>
    <cellStyle name="Percent 2 5_LNG &amp; LPG rework" xfId="7777" xr:uid="{00000000-0005-0000-0000-000092B10000}"/>
    <cellStyle name="Percent 2 6" xfId="6343" xr:uid="{00000000-0005-0000-0000-000093B10000}"/>
    <cellStyle name="Percent 2 6 2" xfId="6344" xr:uid="{00000000-0005-0000-0000-000094B10000}"/>
    <cellStyle name="Percent 2 6 2 2" xfId="14767" xr:uid="{00000000-0005-0000-0000-000095B10000}"/>
    <cellStyle name="Percent 2 6 2 3" xfId="20730" xr:uid="{00000000-0005-0000-0000-000096B10000}"/>
    <cellStyle name="Percent 2 6 3" xfId="6345" xr:uid="{00000000-0005-0000-0000-000097B10000}"/>
    <cellStyle name="Percent 2 6 3 2" xfId="14768" xr:uid="{00000000-0005-0000-0000-000098B10000}"/>
    <cellStyle name="Percent 2 6 3 3" xfId="20731" xr:uid="{00000000-0005-0000-0000-000099B10000}"/>
    <cellStyle name="Percent 2 6 4" xfId="6346" xr:uid="{00000000-0005-0000-0000-00009AB10000}"/>
    <cellStyle name="Percent 2 6 4 2" xfId="14769" xr:uid="{00000000-0005-0000-0000-00009BB10000}"/>
    <cellStyle name="Percent 2 6 4 3" xfId="20732" xr:uid="{00000000-0005-0000-0000-00009CB10000}"/>
    <cellStyle name="Percent 2 6 5" xfId="6347" xr:uid="{00000000-0005-0000-0000-00009DB10000}"/>
    <cellStyle name="Percent 2 6 5 2" xfId="14770" xr:uid="{00000000-0005-0000-0000-00009EB10000}"/>
    <cellStyle name="Percent 2 6 5 3" xfId="20733" xr:uid="{00000000-0005-0000-0000-00009FB10000}"/>
    <cellStyle name="Percent 2 6 6" xfId="14766" xr:uid="{00000000-0005-0000-0000-0000A0B10000}"/>
    <cellStyle name="Percent 2 6 7" xfId="20729" xr:uid="{00000000-0005-0000-0000-0000A1B10000}"/>
    <cellStyle name="Percent 2 6_LNG &amp; LPG rework" xfId="7778" xr:uid="{00000000-0005-0000-0000-0000A2B10000}"/>
    <cellStyle name="Percent 2 7" xfId="6348" xr:uid="{00000000-0005-0000-0000-0000A3B10000}"/>
    <cellStyle name="Percent 2 7 2" xfId="6349" xr:uid="{00000000-0005-0000-0000-0000A4B10000}"/>
    <cellStyle name="Percent 2 7 2 2" xfId="14772" xr:uid="{00000000-0005-0000-0000-0000A5B10000}"/>
    <cellStyle name="Percent 2 7 2 3" xfId="20735" xr:uid="{00000000-0005-0000-0000-0000A6B10000}"/>
    <cellStyle name="Percent 2 7 3" xfId="6350" xr:uid="{00000000-0005-0000-0000-0000A7B10000}"/>
    <cellStyle name="Percent 2 7 3 2" xfId="14773" xr:uid="{00000000-0005-0000-0000-0000A8B10000}"/>
    <cellStyle name="Percent 2 7 3 3" xfId="20736" xr:uid="{00000000-0005-0000-0000-0000A9B10000}"/>
    <cellStyle name="Percent 2 7 4" xfId="6351" xr:uid="{00000000-0005-0000-0000-0000AAB10000}"/>
    <cellStyle name="Percent 2 7 4 2" xfId="14774" xr:uid="{00000000-0005-0000-0000-0000ABB10000}"/>
    <cellStyle name="Percent 2 7 4 3" xfId="20737" xr:uid="{00000000-0005-0000-0000-0000ACB10000}"/>
    <cellStyle name="Percent 2 7 5" xfId="6352" xr:uid="{00000000-0005-0000-0000-0000ADB10000}"/>
    <cellStyle name="Percent 2 7 5 2" xfId="14775" xr:uid="{00000000-0005-0000-0000-0000AEB10000}"/>
    <cellStyle name="Percent 2 7 5 3" xfId="20738" xr:uid="{00000000-0005-0000-0000-0000AFB10000}"/>
    <cellStyle name="Percent 2 7 6" xfId="14771" xr:uid="{00000000-0005-0000-0000-0000B0B10000}"/>
    <cellStyle name="Percent 2 7 7" xfId="20734" xr:uid="{00000000-0005-0000-0000-0000B1B10000}"/>
    <cellStyle name="Percent 2 7_LNG &amp; LPG rework" xfId="7779" xr:uid="{00000000-0005-0000-0000-0000B2B10000}"/>
    <cellStyle name="Percent 2 8" xfId="6353" xr:uid="{00000000-0005-0000-0000-0000B3B10000}"/>
    <cellStyle name="Percent 2 9" xfId="6354" xr:uid="{00000000-0005-0000-0000-0000B4B10000}"/>
    <cellStyle name="Percent 2 9 2" xfId="14776" xr:uid="{00000000-0005-0000-0000-0000B5B10000}"/>
    <cellStyle name="Percent 2 9 3" xfId="20739" xr:uid="{00000000-0005-0000-0000-0000B6B10000}"/>
    <cellStyle name="Percent 2_LNG &amp; LPG rework" xfId="7607" xr:uid="{00000000-0005-0000-0000-0000B7B10000}"/>
    <cellStyle name="Percent 3" xfId="93" xr:uid="{00000000-0005-0000-0000-0000B8B10000}"/>
    <cellStyle name="Percent 3 2" xfId="6355" xr:uid="{00000000-0005-0000-0000-0000B9B10000}"/>
    <cellStyle name="Percent 3 3" xfId="8987" xr:uid="{00000000-0005-0000-0000-0000BAB10000}"/>
    <cellStyle name="Percent 3 4" xfId="14970" xr:uid="{00000000-0005-0000-0000-0000BBB10000}"/>
    <cellStyle name="Percent 3 5" xfId="7810" xr:uid="{00000000-0005-0000-0000-0000BCB10000}"/>
    <cellStyle name="Percent 3 5 2" xfId="29520" xr:uid="{00000000-0005-0000-0000-0000BDB10000}"/>
    <cellStyle name="Percent 3 6" xfId="26206" xr:uid="{00000000-0005-0000-0000-0000BEB10000}"/>
    <cellStyle name="Percent 3_LNG &amp; LPG rework" xfId="7780" xr:uid="{00000000-0005-0000-0000-0000BFB10000}"/>
    <cellStyle name="Percent 4" xfId="6356" xr:uid="{00000000-0005-0000-0000-0000C0B10000}"/>
    <cellStyle name="Percent 4 2" xfId="6357" xr:uid="{00000000-0005-0000-0000-0000C1B10000}"/>
    <cellStyle name="Percent 4 3" xfId="29521" xr:uid="{00000000-0005-0000-0000-0000C2B10000}"/>
    <cellStyle name="Percent 4_LNG &amp; LPG rework" xfId="7781" xr:uid="{00000000-0005-0000-0000-0000C3B10000}"/>
    <cellStyle name="Percent 5" xfId="6358" xr:uid="{00000000-0005-0000-0000-0000C4B10000}"/>
    <cellStyle name="Percent 5 2" xfId="6359" xr:uid="{00000000-0005-0000-0000-0000C5B10000}"/>
    <cellStyle name="Percent 5_LNG &amp; LPG rework" xfId="7782" xr:uid="{00000000-0005-0000-0000-0000C6B10000}"/>
    <cellStyle name="Percent 6" xfId="6360" xr:uid="{00000000-0005-0000-0000-0000C7B10000}"/>
    <cellStyle name="Percent 7" xfId="6478" xr:uid="{00000000-0005-0000-0000-0000C8B10000}"/>
    <cellStyle name="Percent 7 2" xfId="14821" xr:uid="{00000000-0005-0000-0000-0000C9B10000}"/>
    <cellStyle name="Percent 7 3" xfId="20742" xr:uid="{00000000-0005-0000-0000-0000CAB10000}"/>
    <cellStyle name="Percent 8" xfId="6481" xr:uid="{00000000-0005-0000-0000-0000CBB10000}"/>
    <cellStyle name="Percent 8 2" xfId="14824" xr:uid="{00000000-0005-0000-0000-0000CCB10000}"/>
    <cellStyle name="Percent 8 3" xfId="20745" xr:uid="{00000000-0005-0000-0000-0000CDB10000}"/>
    <cellStyle name="Percent 8 4" xfId="26208" xr:uid="{00000000-0005-0000-0000-0000CEB10000}"/>
    <cellStyle name="Percent 9" xfId="6535" xr:uid="{00000000-0005-0000-0000-0000CFB10000}"/>
    <cellStyle name="Percent 9 2" xfId="14852" xr:uid="{00000000-0005-0000-0000-0000D0B10000}"/>
    <cellStyle name="Percent 9 3" xfId="25100" xr:uid="{00000000-0005-0000-0000-0000D1B10000}"/>
    <cellStyle name="Percent_LNG &amp; LPG rework" xfId="7606" xr:uid="{00000000-0005-0000-0000-0000D2B10000}"/>
    <cellStyle name="RowHeading" xfId="29522" xr:uid="{00000000-0005-0000-0000-0000D3B10000}"/>
    <cellStyle name="SAS FM Column drillable header" xfId="29523" xr:uid="{00000000-0005-0000-0000-0000D4B10000}"/>
    <cellStyle name="SAS FM Column drillable header Cashflow" xfId="29524" xr:uid="{00000000-0005-0000-0000-0000D5B10000}"/>
    <cellStyle name="SAS FM Column drillable header_Cashflow - Actual - 2009" xfId="29525" xr:uid="{00000000-0005-0000-0000-0000D6B10000}"/>
    <cellStyle name="SAS FM Column header" xfId="29526" xr:uid="{00000000-0005-0000-0000-0000D7B10000}"/>
    <cellStyle name="SAS FM Column header Cashflow" xfId="29527" xr:uid="{00000000-0005-0000-0000-0000D8B10000}"/>
    <cellStyle name="SAS FM Column header_Cashflow - Actual - 2009" xfId="29528" xr:uid="{00000000-0005-0000-0000-0000D9B10000}"/>
    <cellStyle name="SAS FM Drill path" xfId="29529" xr:uid="{00000000-0005-0000-0000-0000DAB10000}"/>
    <cellStyle name="SAS FM Invalid data cell" xfId="29530" xr:uid="{00000000-0005-0000-0000-0000DBB10000}"/>
    <cellStyle name="SAS FM Read-only data cell (data entry table)" xfId="29531" xr:uid="{00000000-0005-0000-0000-0000DCB10000}"/>
    <cellStyle name="SAS FM Read-only data cell (read-only table)" xfId="29532" xr:uid="{00000000-0005-0000-0000-0000DDB10000}"/>
    <cellStyle name="SAS FM Read-only data cell (read-only table) Cashflow" xfId="29533" xr:uid="{00000000-0005-0000-0000-0000DEB10000}"/>
    <cellStyle name="SAS FM Read-only data cell (read-only table)_Cashflow - Actual - 2009" xfId="29534" xr:uid="{00000000-0005-0000-0000-0000DFB10000}"/>
    <cellStyle name="SAS FM Row drillable header" xfId="29535" xr:uid="{00000000-0005-0000-0000-0000E0B10000}"/>
    <cellStyle name="SAS FM Row drillable header Cashflow" xfId="29536" xr:uid="{00000000-0005-0000-0000-0000E1B10000}"/>
    <cellStyle name="SAS FM Row drillable header_Cashflow - Actual - 2009" xfId="29537" xr:uid="{00000000-0005-0000-0000-0000E2B10000}"/>
    <cellStyle name="SAS FM Row header" xfId="29538" xr:uid="{00000000-0005-0000-0000-0000E3B10000}"/>
    <cellStyle name="SAS FM Row header Cashflow" xfId="29539" xr:uid="{00000000-0005-0000-0000-0000E4B10000}"/>
    <cellStyle name="SAS FM Row header_Cashflow - Actual - 2009" xfId="29540" xr:uid="{00000000-0005-0000-0000-0000E5B10000}"/>
    <cellStyle name="SAS FM Slicers" xfId="29541" xr:uid="{00000000-0005-0000-0000-0000E6B10000}"/>
    <cellStyle name="SAS FM Slicers Cashflow" xfId="29542" xr:uid="{00000000-0005-0000-0000-0000E7B10000}"/>
    <cellStyle name="SAS FM Slicers_Cashflow - Actual - 2009" xfId="29543" xr:uid="{00000000-0005-0000-0000-0000E8B10000}"/>
    <cellStyle name="SAS FM Writeable data cell" xfId="29544" xr:uid="{00000000-0005-0000-0000-0000E9B10000}"/>
    <cellStyle name="Satisfaisant" xfId="600" xr:uid="{00000000-0005-0000-0000-0000EAB10000}"/>
    <cellStyle name="Sortie" xfId="601" xr:uid="{00000000-0005-0000-0000-0000EBB10000}"/>
    <cellStyle name="Style 1" xfId="29545" xr:uid="{00000000-0005-0000-0000-0000ECB10000}"/>
    <cellStyle name="Style 1 2" xfId="39187" xr:uid="{00000000-0005-0000-0000-0000EDB10000}"/>
    <cellStyle name="Style 26" xfId="232" xr:uid="{00000000-0005-0000-0000-0000EEB10000}"/>
    <cellStyle name="Style 26 2" xfId="602" xr:uid="{00000000-0005-0000-0000-0000EFB10000}"/>
    <cellStyle name="Style 26 2 2" xfId="6361" xr:uid="{00000000-0005-0000-0000-0000F0B10000}"/>
    <cellStyle name="Style 26 2_LNG &amp; LPG rework" xfId="7784" xr:uid="{00000000-0005-0000-0000-0000F1B10000}"/>
    <cellStyle name="Style 26_LNG &amp; LPG rework" xfId="7783" xr:uid="{00000000-0005-0000-0000-0000F2B10000}"/>
    <cellStyle name="Style 34" xfId="224" xr:uid="{00000000-0005-0000-0000-0000F3B10000}"/>
    <cellStyle name="Style 34 10" xfId="604" xr:uid="{00000000-0005-0000-0000-0000F4B10000}"/>
    <cellStyle name="Style 34 11" xfId="605" xr:uid="{00000000-0005-0000-0000-0000F5B10000}"/>
    <cellStyle name="Style 34 12" xfId="606" xr:uid="{00000000-0005-0000-0000-0000F6B10000}"/>
    <cellStyle name="Style 34 13" xfId="607" xr:uid="{00000000-0005-0000-0000-0000F7B10000}"/>
    <cellStyle name="Style 34 14" xfId="608" xr:uid="{00000000-0005-0000-0000-0000F8B10000}"/>
    <cellStyle name="Style 34 15" xfId="609" xr:uid="{00000000-0005-0000-0000-0000F9B10000}"/>
    <cellStyle name="Style 34 16" xfId="610" xr:uid="{00000000-0005-0000-0000-0000FAB10000}"/>
    <cellStyle name="Style 34 17" xfId="611" xr:uid="{00000000-0005-0000-0000-0000FBB10000}"/>
    <cellStyle name="Style 34 18" xfId="6362" xr:uid="{00000000-0005-0000-0000-0000FCB10000}"/>
    <cellStyle name="Style 34 2" xfId="612" xr:uid="{00000000-0005-0000-0000-0000FDB10000}"/>
    <cellStyle name="Style 34 3" xfId="613" xr:uid="{00000000-0005-0000-0000-0000FEB10000}"/>
    <cellStyle name="Style 34 4" xfId="614" xr:uid="{00000000-0005-0000-0000-0000FFB10000}"/>
    <cellStyle name="Style 34 5" xfId="615" xr:uid="{00000000-0005-0000-0000-000000B20000}"/>
    <cellStyle name="Style 34 6" xfId="616" xr:uid="{00000000-0005-0000-0000-000001B20000}"/>
    <cellStyle name="Style 34 7" xfId="617" xr:uid="{00000000-0005-0000-0000-000002B20000}"/>
    <cellStyle name="Style 34 8" xfId="618" xr:uid="{00000000-0005-0000-0000-000003B20000}"/>
    <cellStyle name="Style 34 9" xfId="619" xr:uid="{00000000-0005-0000-0000-000004B20000}"/>
    <cellStyle name="Style 34_Gigajoule Data" xfId="603" xr:uid="{00000000-0005-0000-0000-000005B20000}"/>
    <cellStyle name="Style 35" xfId="221" xr:uid="{00000000-0005-0000-0000-000006B20000}"/>
    <cellStyle name="Style 35 10" xfId="621" xr:uid="{00000000-0005-0000-0000-000007B20000}"/>
    <cellStyle name="Style 35 11" xfId="622" xr:uid="{00000000-0005-0000-0000-000008B20000}"/>
    <cellStyle name="Style 35 12" xfId="623" xr:uid="{00000000-0005-0000-0000-000009B20000}"/>
    <cellStyle name="Style 35 13" xfId="624" xr:uid="{00000000-0005-0000-0000-00000AB20000}"/>
    <cellStyle name="Style 35 14" xfId="625" xr:uid="{00000000-0005-0000-0000-00000BB20000}"/>
    <cellStyle name="Style 35 15" xfId="626" xr:uid="{00000000-0005-0000-0000-00000CB20000}"/>
    <cellStyle name="Style 35 16" xfId="627" xr:uid="{00000000-0005-0000-0000-00000DB20000}"/>
    <cellStyle name="Style 35 17" xfId="628" xr:uid="{00000000-0005-0000-0000-00000EB20000}"/>
    <cellStyle name="Style 35 18" xfId="6363" xr:uid="{00000000-0005-0000-0000-00000FB20000}"/>
    <cellStyle name="Style 35 2" xfId="629" xr:uid="{00000000-0005-0000-0000-000010B20000}"/>
    <cellStyle name="Style 35 3" xfId="630" xr:uid="{00000000-0005-0000-0000-000011B20000}"/>
    <cellStyle name="Style 35 4" xfId="631" xr:uid="{00000000-0005-0000-0000-000012B20000}"/>
    <cellStyle name="Style 35 5" xfId="632" xr:uid="{00000000-0005-0000-0000-000013B20000}"/>
    <cellStyle name="Style 35 6" xfId="633" xr:uid="{00000000-0005-0000-0000-000014B20000}"/>
    <cellStyle name="Style 35 7" xfId="634" xr:uid="{00000000-0005-0000-0000-000015B20000}"/>
    <cellStyle name="Style 35 8" xfId="635" xr:uid="{00000000-0005-0000-0000-000016B20000}"/>
    <cellStyle name="Style 35 9" xfId="636" xr:uid="{00000000-0005-0000-0000-000017B20000}"/>
    <cellStyle name="Style 35_Gigajoule Data" xfId="620" xr:uid="{00000000-0005-0000-0000-000018B20000}"/>
    <cellStyle name="SubHeading" xfId="29546" xr:uid="{00000000-0005-0000-0000-000019B20000}"/>
    <cellStyle name="SubsidTitle" xfId="29547" xr:uid="{00000000-0005-0000-0000-00001AB20000}"/>
    <cellStyle name="Texte explicatif" xfId="637" xr:uid="{00000000-0005-0000-0000-00001BB20000}"/>
    <cellStyle name="Title" xfId="2" builtinId="15" customBuiltin="1"/>
    <cellStyle name="Title 2" xfId="29425" xr:uid="{00000000-0005-0000-0000-00001DB20000}"/>
    <cellStyle name="Title 3" xfId="29548" xr:uid="{00000000-0005-0000-0000-00001EB20000}"/>
    <cellStyle name="Titre" xfId="638" xr:uid="{00000000-0005-0000-0000-00001FB20000}"/>
    <cellStyle name="Titre 1" xfId="639" xr:uid="{00000000-0005-0000-0000-000020B20000}"/>
    <cellStyle name="Titre 2" xfId="640" xr:uid="{00000000-0005-0000-0000-000021B20000}"/>
    <cellStyle name="Titre 3" xfId="641" xr:uid="{00000000-0005-0000-0000-000022B20000}"/>
    <cellStyle name="Titre 4" xfId="642" xr:uid="{00000000-0005-0000-0000-000023B20000}"/>
    <cellStyle name="Titre_LNG &amp; LPG rework" xfId="7785" xr:uid="{00000000-0005-0000-0000-000024B20000}"/>
    <cellStyle name="Total" xfId="17" builtinId="25" customBuiltin="1"/>
    <cellStyle name="Total 2" xfId="643" xr:uid="{00000000-0005-0000-0000-000026B20000}"/>
    <cellStyle name="Totals" xfId="29549" xr:uid="{00000000-0005-0000-0000-000027B20000}"/>
    <cellStyle name="Totals [0]" xfId="29550" xr:uid="{00000000-0005-0000-0000-000028B20000}"/>
    <cellStyle name="Totals [2]" xfId="29551" xr:uid="{00000000-0005-0000-0000-000029B20000}"/>
    <cellStyle name="Vérification" xfId="644" xr:uid="{00000000-0005-0000-0000-00002AB20000}"/>
    <cellStyle name="Warning Text" xfId="15" builtinId="11" customBuiltin="1"/>
    <cellStyle name="Year" xfId="29552" xr:uid="{00000000-0005-0000-0000-00002CB20000}"/>
  </cellStyles>
  <dxfs count="10">
    <dxf>
      <font>
        <b val="0"/>
        <i/>
        <color theme="5"/>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xr9:uid="{00000000-0011-0000-FFFF-FFFF00000000}"/>
    <tableStyle name="Table Style 2" pivot="0" count="1" xr9:uid="{00000000-0011-0000-FFFF-FFFF01000000}">
      <tableStyleElement type="secondRowStripe" dxfId="9"/>
    </tableStyle>
    <tableStyle name="Table Style 3" pivot="0" count="1" xr9:uid="{00000000-0011-0000-FFFF-FFFF02000000}">
      <tableStyleElement type="secondRowStripe" dxfId="8"/>
    </tableStyle>
  </tableStyles>
  <colors>
    <mruColors>
      <color rgb="FFFFFFCC"/>
      <color rgb="FFFAD6F2"/>
      <color rgb="FFFFFF99"/>
      <color rgb="FFFF66CC"/>
      <color rgb="FFDEB2D7"/>
      <color rgb="FFF2DCDB"/>
      <color rgb="FFFAD6FF"/>
      <color rgb="FFEBF1DE"/>
      <color rgb="FF868686"/>
      <color rgb="FFFF87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8" Type="http://schemas.openxmlformats.org/officeDocument/2006/relationships/customXml" Target="../customXml/item5.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image" Target="../media/image4.png"/></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image" Target="../media/image7.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image" Target="../media/image3.png"/></Relationships>
</file>

<file path=xl/charts/_rels/chart41.xml.rels><?xml version="1.0" encoding="UTF-8" standalone="yes"?>
<Relationships xmlns="http://schemas.openxmlformats.org/package/2006/relationships"><Relationship Id="rId1" Type="http://schemas.openxmlformats.org/officeDocument/2006/relationships/image" Target="../media/image8.pn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image" Target="../media/image9.png"/></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3.xml.rels><?xml version="1.0" encoding="UTF-8" standalone="yes"?>
<Relationships xmlns="http://schemas.openxmlformats.org/package/2006/relationships"><Relationship Id="rId1" Type="http://schemas.openxmlformats.org/officeDocument/2006/relationships/image" Target="../media/image10.pn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2.xml.rels><?xml version="1.0" encoding="UTF-8" standalone="yes"?>
<Relationships xmlns="http://schemas.openxmlformats.org/package/2006/relationships"><Relationship Id="rId1" Type="http://schemas.openxmlformats.org/officeDocument/2006/relationships/image" Target="../media/image10.png"/></Relationships>
</file>

<file path=xl/charts/_rels/chart64.xml.rels><?xml version="1.0" encoding="UTF-8" standalone="yes"?>
<Relationships xmlns="http://schemas.openxmlformats.org/package/2006/relationships"><Relationship Id="rId1" Type="http://schemas.openxmlformats.org/officeDocument/2006/relationships/image" Target="../media/image10.png"/></Relationships>
</file>

<file path=xl/charts/_rels/chart66.xml.rels><?xml version="1.0" encoding="UTF-8" standalone="yes"?>
<Relationships xmlns="http://schemas.openxmlformats.org/package/2006/relationships"><Relationship Id="rId1" Type="http://schemas.openxmlformats.org/officeDocument/2006/relationships/image" Target="../media/image10.png"/></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1.xml.rels><?xml version="1.0" encoding="UTF-8" standalone="yes"?>
<Relationships xmlns="http://schemas.openxmlformats.org/package/2006/relationships"><Relationship Id="rId1" Type="http://schemas.openxmlformats.org/officeDocument/2006/relationships/image" Target="../media/image6.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Prices Comparison'!$AA$9</c:f>
          <c:strCache>
            <c:ptCount val="1"/>
            <c:pt idx="0">
              <c:v>Average price change of selected commodities 
2022 to 2023</c:v>
            </c:pt>
          </c:strCache>
        </c:strRef>
      </c:tx>
      <c:overlay val="1"/>
      <c:txPr>
        <a:bodyPr/>
        <a:lstStyle/>
        <a:p>
          <a:pPr algn="ctr">
            <a:defRPr sz="1600"/>
          </a:pPr>
          <a:endParaRPr lang="en-US"/>
        </a:p>
      </c:txPr>
    </c:title>
    <c:autoTitleDeleted val="0"/>
    <c:plotArea>
      <c:layout>
        <c:manualLayout>
          <c:layoutTarget val="inner"/>
          <c:xMode val="edge"/>
          <c:yMode val="edge"/>
          <c:x val="0.12221588187707828"/>
          <c:y val="0.1914357337001151"/>
          <c:w val="0.84208450804533386"/>
          <c:h val="0.54968851127808294"/>
        </c:manualLayout>
      </c:layout>
      <c:barChart>
        <c:barDir val="col"/>
        <c:grouping val="clustered"/>
        <c:varyColors val="0"/>
        <c:ser>
          <c:idx val="0"/>
          <c:order val="0"/>
          <c:tx>
            <c:strRef>
              <c:f>'Commodity Prices Comparison'!$G$12</c:f>
              <c:strCache>
                <c:ptCount val="1"/>
                <c:pt idx="0">
                  <c:v>US$</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Comparison'!$G$13:$G$23</c:f>
              <c:numCache>
                <c:formatCode>0.0%</c:formatCode>
                <c:ptCount val="11"/>
                <c:pt idx="0">
                  <c:v>-6.2931996101406873E-2</c:v>
                </c:pt>
                <c:pt idx="1">
                  <c:v>-0.17237809815592431</c:v>
                </c:pt>
                <c:pt idx="2">
                  <c:v>-3.7568080297523232E-2</c:v>
                </c:pt>
                <c:pt idx="3">
                  <c:v>0</c:v>
                </c:pt>
                <c:pt idx="4">
                  <c:v>7.8823092186632637E-2</c:v>
                </c:pt>
                <c:pt idx="5">
                  <c:v>-5.5921211995375586E-3</c:v>
                </c:pt>
                <c:pt idx="6">
                  <c:v>-0.19978124461240443</c:v>
                </c:pt>
                <c:pt idx="7">
                  <c:v>-0.16217353318396777</c:v>
                </c:pt>
                <c:pt idx="8">
                  <c:v>-0.14538236321311604</c:v>
                </c:pt>
                <c:pt idx="9">
                  <c:v>-1.1329616019869482E-3</c:v>
                </c:pt>
                <c:pt idx="10">
                  <c:v>5.0503793746722314E-2</c:v>
                </c:pt>
              </c:numCache>
            </c:numRef>
          </c:val>
          <c:extLst>
            <c:ext xmlns:c16="http://schemas.microsoft.com/office/drawing/2014/chart" uri="{C3380CC4-5D6E-409C-BE32-E72D297353CC}">
              <c16:uniqueId val="{00000000-0D4C-4F1D-BDE2-12CA41BBE89B}"/>
            </c:ext>
          </c:extLst>
        </c:ser>
        <c:ser>
          <c:idx val="1"/>
          <c:order val="1"/>
          <c:tx>
            <c:strRef>
              <c:f>'Commodity Prices Comparison'!$H$12</c:f>
              <c:strCache>
                <c:ptCount val="1"/>
                <c:pt idx="0">
                  <c:v>A$</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Comparison'!$H$13:$H$23</c:f>
              <c:numCache>
                <c:formatCode>0.0%</c:formatCode>
                <c:ptCount val="11"/>
                <c:pt idx="0">
                  <c:v>-1.7782066915583816E-2</c:v>
                </c:pt>
                <c:pt idx="1">
                  <c:v>-0.13286477467602875</c:v>
                </c:pt>
                <c:pt idx="2">
                  <c:v>8.3881176598046281E-3</c:v>
                </c:pt>
                <c:pt idx="3">
                  <c:v>0.28455489377193</c:v>
                </c:pt>
                <c:pt idx="4">
                  <c:v>0.12794548407371331</c:v>
                </c:pt>
                <c:pt idx="5">
                  <c:v>4.5352946990705911E-2</c:v>
                </c:pt>
                <c:pt idx="6">
                  <c:v>-0.1706458989892361</c:v>
                </c:pt>
                <c:pt idx="7">
                  <c:v>-0.12430487710984695</c:v>
                </c:pt>
                <c:pt idx="8">
                  <c:v>-0.12462130955808592</c:v>
                </c:pt>
                <c:pt idx="9">
                  <c:v>4.2685995455615133E-2</c:v>
                </c:pt>
                <c:pt idx="10">
                  <c:v>9.3769383759460201E-2</c:v>
                </c:pt>
              </c:numCache>
            </c:numRef>
          </c:val>
          <c:extLst>
            <c:ext xmlns:c16="http://schemas.microsoft.com/office/drawing/2014/chart" uri="{C3380CC4-5D6E-409C-BE32-E72D297353CC}">
              <c16:uniqueId val="{00000001-0D4C-4F1D-BDE2-12CA41BBE89B}"/>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marker>
            <c:symbol val="circle"/>
            <c:size val="5"/>
          </c:marker>
          <c:cat>
            <c:numRef>
              <c:f>'Alumina and Bauxite - WA vs Aus'!$S$8:$S$17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'Alumina and Bauxite - WA vs Aus'!$T$8:$T$17</c:f>
              <c:numCache>
                <c:formatCode>0.00</c:formatCode>
                <c:ptCount val="10"/>
                <c:pt idx="0">
                  <c:v>13.876846259999999</c:v>
                </c:pt>
                <c:pt idx="1">
                  <c:v>13.778493585999998</c:v>
                </c:pt>
                <c:pt idx="2">
                  <c:v>13.829773889999998</c:v>
                </c:pt>
                <c:pt idx="3">
                  <c:v>13.84700406</c:v>
                </c:pt>
                <c:pt idx="4">
                  <c:v>13.498431119999999</c:v>
                </c:pt>
                <c:pt idx="5">
                  <c:v>14.019717422999999</c:v>
                </c:pt>
                <c:pt idx="6">
                  <c:v>14.242609689999998</c:v>
                </c:pt>
                <c:pt idx="7">
                  <c:v>14.193521710000001</c:v>
                </c:pt>
                <c:pt idx="8">
                  <c:v>13.462240954</c:v>
                </c:pt>
                <c:pt idx="9">
                  <c:v>12.762861729999999</c:v>
                </c:pt>
              </c:numCache>
            </c:numRef>
          </c:val>
          <c:smooth val="0"/>
          <c:extLst>
            <c:ext xmlns:c16="http://schemas.microsoft.com/office/drawing/2014/chart" uri="{C3380CC4-5D6E-409C-BE32-E72D297353CC}">
              <c16:uniqueId val="{00000000-979B-480A-B8DF-593FE033C93E}"/>
            </c:ext>
          </c:extLst>
        </c:ser>
        <c:ser>
          <c:idx val="1"/>
          <c:order val="1"/>
          <c:tx>
            <c:v>Rest of Australia</c:v>
          </c:tx>
          <c:marker>
            <c:symbol val="square"/>
            <c:size val="5"/>
          </c:marker>
          <c:cat>
            <c:numRef>
              <c:f>'Alumina and Bauxite - WA vs Aus'!$S$8:$S$17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'Alumina and Bauxite - WA vs Aus'!$U$8:$U$17</c:f>
              <c:numCache>
                <c:formatCode>0.00</c:formatCode>
                <c:ptCount val="10"/>
                <c:pt idx="0">
                  <c:v>6.5986737400000006</c:v>
                </c:pt>
                <c:pt idx="1">
                  <c:v>6.3186864140000036</c:v>
                </c:pt>
                <c:pt idx="2">
                  <c:v>6.8510561100000018</c:v>
                </c:pt>
                <c:pt idx="3">
                  <c:v>6.638765939999999</c:v>
                </c:pt>
                <c:pt idx="4">
                  <c:v>6.5633688799999987</c:v>
                </c:pt>
                <c:pt idx="5">
                  <c:v>6.2194805770000023</c:v>
                </c:pt>
                <c:pt idx="6">
                  <c:v>6.5945323100000017</c:v>
                </c:pt>
                <c:pt idx="7">
                  <c:v>6.4305662899999998</c:v>
                </c:pt>
                <c:pt idx="8">
                  <c:v>6.1139330459999979</c:v>
                </c:pt>
                <c:pt idx="9">
                  <c:v>6.0402032489999993</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max val="20"/>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majorUnit val="5"/>
      </c:valAx>
      <c:catAx>
        <c:axId val="119016448"/>
        <c:scaling>
          <c:orientation val="minMax"/>
        </c:scaling>
        <c:delete val="0"/>
        <c:axPos val="b"/>
        <c:title>
          <c:tx>
            <c:rich>
              <a:bodyPr/>
              <a:lstStyle/>
              <a:p>
                <a:pPr>
                  <a:defRPr/>
                </a:pPr>
                <a:r>
                  <a:rPr lang="en-AU" sz="900" b="1" i="0" baseline="0">
                    <a:effectLst/>
                  </a:rPr>
                  <a:t>Source:  DEMIRS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Copper-Lead-Zinc</a:t>
            </a:r>
          </a:p>
          <a:p>
            <a:pPr>
              <a:defRPr b="1"/>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'Copper-Lead-Zinc - Prices'!$I$7</c:f>
              <c:strCache>
                <c:ptCount val="1"/>
                <c:pt idx="0">
                  <c:v>Copper</c:v>
                </c:pt>
              </c:strCache>
            </c:strRef>
          </c:tx>
          <c:spPr>
            <a:ln w="28575" cap="rnd">
              <a:solidFill>
                <a:srgbClr val="CC00CC"/>
              </a:solidFill>
              <a:round/>
            </a:ln>
            <a:effectLst/>
          </c:spPr>
          <c:marker>
            <c:symbol val="none"/>
          </c:marker>
          <c:cat>
            <c:numRef>
              <c:f>'Copper-Lead-Zinc - Prices'!$H$9:$H$46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'Copper-Lead-Zinc - Prices'!$I$9:$I$46</c:f>
              <c:numCache>
                <c:formatCode>#,##0.00</c:formatCode>
                <c:ptCount val="38"/>
                <c:pt idx="0">
                  <c:v>1373.5153651336814</c:v>
                </c:pt>
                <c:pt idx="1">
                  <c:v>1780.7876515504031</c:v>
                </c:pt>
                <c:pt idx="2">
                  <c:v>2575.9583333333335</c:v>
                </c:pt>
                <c:pt idx="3">
                  <c:v>2831.4749999999999</c:v>
                </c:pt>
                <c:pt idx="4">
                  <c:v>2663.3250000000003</c:v>
                </c:pt>
                <c:pt idx="5">
                  <c:v>2339.7666666666669</c:v>
                </c:pt>
                <c:pt idx="6">
                  <c:v>2301.6916666666666</c:v>
                </c:pt>
                <c:pt idx="7">
                  <c:v>1914.6916666666666</c:v>
                </c:pt>
                <c:pt idx="8">
                  <c:v>2307.1916666666666</c:v>
                </c:pt>
                <c:pt idx="9">
                  <c:v>2936.7249999999999</c:v>
                </c:pt>
                <c:pt idx="10">
                  <c:v>2294.1083333333331</c:v>
                </c:pt>
                <c:pt idx="11">
                  <c:v>2249.2249999999999</c:v>
                </c:pt>
                <c:pt idx="12">
                  <c:v>1654.0576666666666</c:v>
                </c:pt>
                <c:pt idx="13">
                  <c:v>1572.8538333333333</c:v>
                </c:pt>
                <c:pt idx="14">
                  <c:v>1813.4683333333332</c:v>
                </c:pt>
                <c:pt idx="15">
                  <c:v>1578.5108333333337</c:v>
                </c:pt>
                <c:pt idx="16">
                  <c:v>1559.7058333333332</c:v>
                </c:pt>
                <c:pt idx="17">
                  <c:v>1779.1466666666668</c:v>
                </c:pt>
                <c:pt idx="18">
                  <c:v>2865.8858333333333</c:v>
                </c:pt>
                <c:pt idx="19">
                  <c:v>3678.8858333333333</c:v>
                </c:pt>
                <c:pt idx="20">
                  <c:v>6722.3975</c:v>
                </c:pt>
                <c:pt idx="21">
                  <c:v>7118.5249999999987</c:v>
                </c:pt>
                <c:pt idx="22">
                  <c:v>6955.9691666666658</c:v>
                </c:pt>
                <c:pt idx="23">
                  <c:v>5151.9275000000007</c:v>
                </c:pt>
                <c:pt idx="24">
                  <c:v>7534.7816666666668</c:v>
                </c:pt>
                <c:pt idx="25">
                  <c:v>8820.99</c:v>
                </c:pt>
                <c:pt idx="26">
                  <c:v>7949.9472500000002</c:v>
                </c:pt>
                <c:pt idx="27">
                  <c:v>7326.1654916666675</c:v>
                </c:pt>
                <c:pt idx="28">
                  <c:v>6859.684608333333</c:v>
                </c:pt>
                <c:pt idx="29">
                  <c:v>5501.6853083333335</c:v>
                </c:pt>
                <c:pt idx="30">
                  <c:v>4863.2245083333337</c:v>
                </c:pt>
                <c:pt idx="31">
                  <c:v>6162.7687181818183</c:v>
                </c:pt>
                <c:pt idx="32">
                  <c:v>6525.3342864357865</c:v>
                </c:pt>
                <c:pt idx="33">
                  <c:v>6005.1166666666659</c:v>
                </c:pt>
                <c:pt idx="34">
                  <c:v>6168.5916666666681</c:v>
                </c:pt>
                <c:pt idx="35">
                  <c:v>9312.3750000000018</c:v>
                </c:pt>
                <c:pt idx="36">
                  <c:v>8813.8875000000025</c:v>
                </c:pt>
                <c:pt idx="37">
                  <c:v>8482.7666666666664</c:v>
                </c:pt>
              </c:numCache>
            </c:numRef>
          </c:val>
          <c:smooth val="0"/>
          <c:extLst>
            <c:ext xmlns:c16="http://schemas.microsoft.com/office/drawing/2014/chart" uri="{C3380CC4-5D6E-409C-BE32-E72D297353CC}">
              <c16:uniqueId val="{00000000-ECF6-4626-B336-A032D403EE63}"/>
            </c:ext>
          </c:extLst>
        </c:ser>
        <c:ser>
          <c:idx val="1"/>
          <c:order val="1"/>
          <c:tx>
            <c:strRef>
              <c:f>'Copper-Lead-Zinc - Prices'!$J$7</c:f>
              <c:strCache>
                <c:ptCount val="1"/>
                <c:pt idx="0">
                  <c:v>Lead</c:v>
                </c:pt>
              </c:strCache>
            </c:strRef>
          </c:tx>
          <c:spPr>
            <a:ln w="28575" cap="rnd">
              <a:solidFill>
                <a:srgbClr val="FF66FF"/>
              </a:solidFill>
              <a:round/>
            </a:ln>
            <a:effectLst/>
          </c:spPr>
          <c:marker>
            <c:symbol val="none"/>
          </c:marker>
          <c:cat>
            <c:numRef>
              <c:f>'Copper-Lead-Zinc - Prices'!$H$9:$H$46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'Copper-Lead-Zinc - Prices'!$J$9:$J$46</c:f>
              <c:numCache>
                <c:formatCode>#,##0.00</c:formatCode>
                <c:ptCount val="38"/>
                <c:pt idx="0">
                  <c:v>405.64174291666671</c:v>
                </c:pt>
                <c:pt idx="1">
                  <c:v>596.01365683333336</c:v>
                </c:pt>
                <c:pt idx="2">
                  <c:v>648.41666666666663</c:v>
                </c:pt>
                <c:pt idx="3">
                  <c:v>673.96333333333337</c:v>
                </c:pt>
                <c:pt idx="4">
                  <c:v>809.77499999999998</c:v>
                </c:pt>
                <c:pt idx="5">
                  <c:v>557.82833333333338</c:v>
                </c:pt>
                <c:pt idx="6">
                  <c:v>546.88749999999993</c:v>
                </c:pt>
                <c:pt idx="7">
                  <c:v>406.6658333333333</c:v>
                </c:pt>
                <c:pt idx="8">
                  <c:v>547.93333333333328</c:v>
                </c:pt>
                <c:pt idx="9">
                  <c:v>632.92916666666667</c:v>
                </c:pt>
                <c:pt idx="10">
                  <c:v>774.58583333333343</c:v>
                </c:pt>
                <c:pt idx="11">
                  <c:v>624.17250000000001</c:v>
                </c:pt>
                <c:pt idx="12">
                  <c:v>528.65250000000003</c:v>
                </c:pt>
                <c:pt idx="13">
                  <c:v>502.53925000000004</c:v>
                </c:pt>
                <c:pt idx="14">
                  <c:v>453.94416666666666</c:v>
                </c:pt>
                <c:pt idx="15">
                  <c:v>476.04416666666657</c:v>
                </c:pt>
                <c:pt idx="16">
                  <c:v>452.72999999999996</c:v>
                </c:pt>
                <c:pt idx="17">
                  <c:v>515.00833333333333</c:v>
                </c:pt>
                <c:pt idx="18">
                  <c:v>886.54499999999973</c:v>
                </c:pt>
                <c:pt idx="19">
                  <c:v>976.34083333333331</c:v>
                </c:pt>
                <c:pt idx="20">
                  <c:v>1295.4408333333333</c:v>
                </c:pt>
                <c:pt idx="21">
                  <c:v>2580.0658333333336</c:v>
                </c:pt>
                <c:pt idx="22">
                  <c:v>2090.6641666666665</c:v>
                </c:pt>
                <c:pt idx="23">
                  <c:v>1720.8525000000002</c:v>
                </c:pt>
                <c:pt idx="24">
                  <c:v>2148.4508333333333</c:v>
                </c:pt>
                <c:pt idx="25">
                  <c:v>2401.8316666666665</c:v>
                </c:pt>
                <c:pt idx="26">
                  <c:v>2062.2622583333332</c:v>
                </c:pt>
                <c:pt idx="27">
                  <c:v>2142.2553750000002</c:v>
                </c:pt>
                <c:pt idx="28">
                  <c:v>2095.6746749999998</c:v>
                </c:pt>
                <c:pt idx="29">
                  <c:v>1786.4937833333333</c:v>
                </c:pt>
                <c:pt idx="30">
                  <c:v>1870.7442166666667</c:v>
                </c:pt>
                <c:pt idx="31">
                  <c:v>2317.5336234848487</c:v>
                </c:pt>
                <c:pt idx="32">
                  <c:v>2243.8643791500722</c:v>
                </c:pt>
                <c:pt idx="33">
                  <c:v>1997.6575</c:v>
                </c:pt>
                <c:pt idx="34">
                  <c:v>1824.2091666666668</c:v>
                </c:pt>
                <c:pt idx="35">
                  <c:v>2204.5516666666663</c:v>
                </c:pt>
                <c:pt idx="36">
                  <c:v>2152.6174999999998</c:v>
                </c:pt>
                <c:pt idx="37">
                  <c:v>2136.5275000000001</c:v>
                </c:pt>
              </c:numCache>
            </c:numRef>
          </c:val>
          <c:smooth val="0"/>
          <c:extLst>
            <c:ext xmlns:c16="http://schemas.microsoft.com/office/drawing/2014/chart" uri="{C3380CC4-5D6E-409C-BE32-E72D297353CC}">
              <c16:uniqueId val="{00000001-ECF6-4626-B336-A032D403EE63}"/>
            </c:ext>
          </c:extLst>
        </c:ser>
        <c:ser>
          <c:idx val="2"/>
          <c:order val="2"/>
          <c:tx>
            <c:strRef>
              <c:f>'Copper-Lead-Zinc - Prices'!$K$7</c:f>
              <c:strCache>
                <c:ptCount val="1"/>
                <c:pt idx="0">
                  <c:v>Zinc</c:v>
                </c:pt>
              </c:strCache>
            </c:strRef>
          </c:tx>
          <c:spPr>
            <a:ln w="28575" cap="rnd">
              <a:solidFill>
                <a:srgbClr val="FFCCFF"/>
              </a:solidFill>
              <a:round/>
            </a:ln>
            <a:effectLst/>
          </c:spPr>
          <c:marker>
            <c:symbol val="none"/>
          </c:marker>
          <c:cat>
            <c:numRef>
              <c:f>'Copper-Lead-Zinc - Prices'!$H$9:$H$46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'Copper-Lead-Zinc - Prices'!$K$9:$K$46</c:f>
              <c:numCache>
                <c:formatCode>#,##0.00</c:formatCode>
                <c:ptCount val="38"/>
                <c:pt idx="0">
                  <c:v>753.58994358333337</c:v>
                </c:pt>
                <c:pt idx="1">
                  <c:v>797.81946716666664</c:v>
                </c:pt>
                <c:pt idx="2">
                  <c:v>1246.2324999999998</c:v>
                </c:pt>
                <c:pt idx="3">
                  <c:v>1710.9416666666666</c:v>
                </c:pt>
                <c:pt idx="4">
                  <c:v>1518.4666666666669</c:v>
                </c:pt>
                <c:pt idx="5">
                  <c:v>1117.3741666666667</c:v>
                </c:pt>
                <c:pt idx="6">
                  <c:v>1251.3083333333332</c:v>
                </c:pt>
                <c:pt idx="7">
                  <c:v>962.27333333333343</c:v>
                </c:pt>
                <c:pt idx="8">
                  <c:v>998.13583333333327</c:v>
                </c:pt>
                <c:pt idx="9">
                  <c:v>1031.5891666666666</c:v>
                </c:pt>
                <c:pt idx="10">
                  <c:v>1025.5249999999999</c:v>
                </c:pt>
                <c:pt idx="11">
                  <c:v>1316.3666666666666</c:v>
                </c:pt>
                <c:pt idx="12">
                  <c:v>1024.4920833333333</c:v>
                </c:pt>
                <c:pt idx="13">
                  <c:v>1076.3670833333333</c:v>
                </c:pt>
                <c:pt idx="14">
                  <c:v>1128.085</c:v>
                </c:pt>
                <c:pt idx="15">
                  <c:v>886.88583333333327</c:v>
                </c:pt>
                <c:pt idx="16">
                  <c:v>778.73833333333323</c:v>
                </c:pt>
                <c:pt idx="17">
                  <c:v>827.69583333333333</c:v>
                </c:pt>
                <c:pt idx="18">
                  <c:v>1047.7533333333333</c:v>
                </c:pt>
                <c:pt idx="19">
                  <c:v>1381.7683333333334</c:v>
                </c:pt>
                <c:pt idx="20">
                  <c:v>3275.123333333333</c:v>
                </c:pt>
                <c:pt idx="21">
                  <c:v>3226.4958333333338</c:v>
                </c:pt>
                <c:pt idx="22">
                  <c:v>1874.6458333333333</c:v>
                </c:pt>
                <c:pt idx="23">
                  <c:v>1653.8325000000002</c:v>
                </c:pt>
                <c:pt idx="24">
                  <c:v>2160.7441666666668</c:v>
                </c:pt>
                <c:pt idx="25">
                  <c:v>2193.335</c:v>
                </c:pt>
                <c:pt idx="26">
                  <c:v>1948.0039166666666</c:v>
                </c:pt>
                <c:pt idx="27">
                  <c:v>1910.343175</c:v>
                </c:pt>
                <c:pt idx="28">
                  <c:v>2162.0022333333332</c:v>
                </c:pt>
                <c:pt idx="29">
                  <c:v>1932.5104333333336</c:v>
                </c:pt>
                <c:pt idx="30">
                  <c:v>2090.7071083333335</c:v>
                </c:pt>
                <c:pt idx="31">
                  <c:v>2893.9725840909091</c:v>
                </c:pt>
                <c:pt idx="32">
                  <c:v>2925.0660569985571</c:v>
                </c:pt>
                <c:pt idx="33">
                  <c:v>2549.2399999999998</c:v>
                </c:pt>
                <c:pt idx="34">
                  <c:v>2264.5508333333332</c:v>
                </c:pt>
                <c:pt idx="35">
                  <c:v>3002.2208333333333</c:v>
                </c:pt>
                <c:pt idx="36">
                  <c:v>3489.8516666666669</c:v>
                </c:pt>
                <c:pt idx="37">
                  <c:v>2648.4575</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US$</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Copper-Lead-Zinc</a:t>
            </a:r>
          </a:p>
          <a:p>
            <a:pPr>
              <a:defRPr/>
            </a:pPr>
            <a:r>
              <a:rPr lang="en-AU" sz="1100"/>
              <a:t>Monthly</a:t>
            </a:r>
            <a:r>
              <a:rPr lang="en-AU" sz="1100" baseline="0"/>
              <a:t> Prices, L</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'Copper-Lead-Zinc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'Copper-Lead-Zinc - Prices'!$B$9:$B$69</c:f>
              <c:numCache>
                <c:formatCode>#,##0.00</c:formatCode>
                <c:ptCount val="61"/>
                <c:pt idx="0">
                  <c:v>6094.2110000000002</c:v>
                </c:pt>
                <c:pt idx="1">
                  <c:v>5932.02</c:v>
                </c:pt>
                <c:pt idx="2">
                  <c:v>6278.2</c:v>
                </c:pt>
                <c:pt idx="3">
                  <c:v>6451.02</c:v>
                </c:pt>
                <c:pt idx="4">
                  <c:v>6445.1</c:v>
                </c:pt>
                <c:pt idx="5">
                  <c:v>6028.31</c:v>
                </c:pt>
                <c:pt idx="6">
                  <c:v>6028.31</c:v>
                </c:pt>
                <c:pt idx="7">
                  <c:v>5939.85</c:v>
                </c:pt>
                <c:pt idx="8">
                  <c:v>5707.98</c:v>
                </c:pt>
                <c:pt idx="9">
                  <c:v>5745.48</c:v>
                </c:pt>
                <c:pt idx="10">
                  <c:v>5742.89</c:v>
                </c:pt>
                <c:pt idx="11">
                  <c:v>5859.69</c:v>
                </c:pt>
                <c:pt idx="12">
                  <c:v>6062.43</c:v>
                </c:pt>
                <c:pt idx="13">
                  <c:v>6049.2</c:v>
                </c:pt>
                <c:pt idx="14">
                  <c:v>5686.45</c:v>
                </c:pt>
                <c:pt idx="15">
                  <c:v>5178.68</c:v>
                </c:pt>
                <c:pt idx="16">
                  <c:v>5048.25</c:v>
                </c:pt>
                <c:pt idx="17">
                  <c:v>5233.82</c:v>
                </c:pt>
                <c:pt idx="18">
                  <c:v>5742.39</c:v>
                </c:pt>
                <c:pt idx="19">
                  <c:v>6353.76</c:v>
                </c:pt>
                <c:pt idx="20">
                  <c:v>6496.7</c:v>
                </c:pt>
                <c:pt idx="21">
                  <c:v>6712.41</c:v>
                </c:pt>
                <c:pt idx="22">
                  <c:v>6702.77</c:v>
                </c:pt>
                <c:pt idx="23">
                  <c:v>7063.43</c:v>
                </c:pt>
                <c:pt idx="24">
                  <c:v>7755.24</c:v>
                </c:pt>
                <c:pt idx="25">
                  <c:v>7970.5</c:v>
                </c:pt>
                <c:pt idx="26">
                  <c:v>8460.25</c:v>
                </c:pt>
                <c:pt idx="27">
                  <c:v>9004.98</c:v>
                </c:pt>
                <c:pt idx="28">
                  <c:v>9335.5499999999993</c:v>
                </c:pt>
                <c:pt idx="29">
                  <c:v>10183.969999999999</c:v>
                </c:pt>
                <c:pt idx="30">
                  <c:v>9587.65</c:v>
                </c:pt>
                <c:pt idx="31">
                  <c:v>9433.59</c:v>
                </c:pt>
                <c:pt idx="32">
                  <c:v>9357.19</c:v>
                </c:pt>
                <c:pt idx="33">
                  <c:v>9323.69</c:v>
                </c:pt>
                <c:pt idx="34">
                  <c:v>9777.43</c:v>
                </c:pt>
                <c:pt idx="35">
                  <c:v>9764.59</c:v>
                </c:pt>
                <c:pt idx="36">
                  <c:v>9549.11</c:v>
                </c:pt>
                <c:pt idx="37">
                  <c:v>9774.51</c:v>
                </c:pt>
                <c:pt idx="38">
                  <c:v>9939.98</c:v>
                </c:pt>
                <c:pt idx="39">
                  <c:v>10236.700000000001</c:v>
                </c:pt>
                <c:pt idx="40">
                  <c:v>10182.33</c:v>
                </c:pt>
                <c:pt idx="41">
                  <c:v>9362.08</c:v>
                </c:pt>
                <c:pt idx="42">
                  <c:v>9031.99</c:v>
                </c:pt>
                <c:pt idx="43">
                  <c:v>7529.08</c:v>
                </c:pt>
                <c:pt idx="44">
                  <c:v>7960.24</c:v>
                </c:pt>
                <c:pt idx="45">
                  <c:v>7733.82</c:v>
                </c:pt>
                <c:pt idx="46">
                  <c:v>7620.25</c:v>
                </c:pt>
                <c:pt idx="47">
                  <c:v>8028.88</c:v>
                </c:pt>
                <c:pt idx="48">
                  <c:v>8366.7900000000009</c:v>
                </c:pt>
                <c:pt idx="49">
                  <c:v>8999.27</c:v>
                </c:pt>
                <c:pt idx="50">
                  <c:v>8954.4</c:v>
                </c:pt>
                <c:pt idx="51">
                  <c:v>8834.68</c:v>
                </c:pt>
                <c:pt idx="52">
                  <c:v>8813.35</c:v>
                </c:pt>
                <c:pt idx="53">
                  <c:v>8233.58</c:v>
                </c:pt>
                <c:pt idx="54">
                  <c:v>8385.56</c:v>
                </c:pt>
                <c:pt idx="55">
                  <c:v>8444.6200000000008</c:v>
                </c:pt>
                <c:pt idx="56">
                  <c:v>8351.19</c:v>
                </c:pt>
                <c:pt idx="57">
                  <c:v>8270.19</c:v>
                </c:pt>
                <c:pt idx="58">
                  <c:v>7939.24</c:v>
                </c:pt>
                <c:pt idx="59">
                  <c:v>8173.48</c:v>
                </c:pt>
                <c:pt idx="60">
                  <c:v>8393.64</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'Copper-Lead-Zinc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'Copper-Lead-Zinc - Prices'!$C$9:$C$69</c:f>
              <c:numCache>
                <c:formatCode>#,##0.00</c:formatCode>
                <c:ptCount val="61"/>
                <c:pt idx="0">
                  <c:v>1965.473684</c:v>
                </c:pt>
                <c:pt idx="1">
                  <c:v>1994.16</c:v>
                </c:pt>
                <c:pt idx="2">
                  <c:v>2062.08</c:v>
                </c:pt>
                <c:pt idx="3">
                  <c:v>2054.5700000000002</c:v>
                </c:pt>
                <c:pt idx="4">
                  <c:v>1948.85</c:v>
                </c:pt>
                <c:pt idx="5">
                  <c:v>1817.21</c:v>
                </c:pt>
                <c:pt idx="6">
                  <c:v>1817.21</c:v>
                </c:pt>
                <c:pt idx="7">
                  <c:v>1974.02</c:v>
                </c:pt>
                <c:pt idx="8">
                  <c:v>2043.19</c:v>
                </c:pt>
                <c:pt idx="9">
                  <c:v>2070.86</c:v>
                </c:pt>
                <c:pt idx="10">
                  <c:v>2184.3000000000002</c:v>
                </c:pt>
                <c:pt idx="11">
                  <c:v>2031.9</c:v>
                </c:pt>
                <c:pt idx="12">
                  <c:v>1899.25</c:v>
                </c:pt>
                <c:pt idx="13">
                  <c:v>1925.16</c:v>
                </c:pt>
                <c:pt idx="14">
                  <c:v>1872.3</c:v>
                </c:pt>
                <c:pt idx="15">
                  <c:v>1744.64</c:v>
                </c:pt>
                <c:pt idx="16">
                  <c:v>1651.53</c:v>
                </c:pt>
                <c:pt idx="17">
                  <c:v>1618.16</c:v>
                </c:pt>
                <c:pt idx="18">
                  <c:v>1739.86</c:v>
                </c:pt>
                <c:pt idx="19">
                  <c:v>1812.15</c:v>
                </c:pt>
                <c:pt idx="20">
                  <c:v>1935.2</c:v>
                </c:pt>
                <c:pt idx="21">
                  <c:v>1881.36</c:v>
                </c:pt>
                <c:pt idx="22">
                  <c:v>1777.07</c:v>
                </c:pt>
                <c:pt idx="23">
                  <c:v>1914.48</c:v>
                </c:pt>
                <c:pt idx="24">
                  <c:v>2018.6</c:v>
                </c:pt>
                <c:pt idx="25">
                  <c:v>2014.93</c:v>
                </c:pt>
                <c:pt idx="26">
                  <c:v>2085.75</c:v>
                </c:pt>
                <c:pt idx="27">
                  <c:v>1960.76</c:v>
                </c:pt>
                <c:pt idx="28">
                  <c:v>2006.33</c:v>
                </c:pt>
                <c:pt idx="29">
                  <c:v>2185.92</c:v>
                </c:pt>
                <c:pt idx="30">
                  <c:v>2188.98</c:v>
                </c:pt>
                <c:pt idx="31">
                  <c:v>2336.98</c:v>
                </c:pt>
                <c:pt idx="32">
                  <c:v>2428.52</c:v>
                </c:pt>
                <c:pt idx="33">
                  <c:v>2256.48</c:v>
                </c:pt>
                <c:pt idx="34">
                  <c:v>2338.83</c:v>
                </c:pt>
                <c:pt idx="35">
                  <c:v>2346.94</c:v>
                </c:pt>
                <c:pt idx="36">
                  <c:v>2304.1999999999998</c:v>
                </c:pt>
                <c:pt idx="37">
                  <c:v>2341.9899999999998</c:v>
                </c:pt>
                <c:pt idx="38">
                  <c:v>2299.16</c:v>
                </c:pt>
                <c:pt idx="39">
                  <c:v>2358.79</c:v>
                </c:pt>
                <c:pt idx="40">
                  <c:v>2396.0500000000002</c:v>
                </c:pt>
                <c:pt idx="41">
                  <c:v>2144.48</c:v>
                </c:pt>
                <c:pt idx="42">
                  <c:v>2066.73</c:v>
                </c:pt>
                <c:pt idx="43">
                  <c:v>1975.54</c:v>
                </c:pt>
                <c:pt idx="44">
                  <c:v>2077.2399999999998</c:v>
                </c:pt>
                <c:pt idx="45">
                  <c:v>1873.66</c:v>
                </c:pt>
                <c:pt idx="46">
                  <c:v>1987.32</c:v>
                </c:pt>
                <c:pt idx="47">
                  <c:v>2098.65</c:v>
                </c:pt>
                <c:pt idx="48">
                  <c:v>2211.8000000000002</c:v>
                </c:pt>
                <c:pt idx="49">
                  <c:v>2207.5</c:v>
                </c:pt>
                <c:pt idx="50">
                  <c:v>2098.29</c:v>
                </c:pt>
                <c:pt idx="51">
                  <c:v>2114.08</c:v>
                </c:pt>
                <c:pt idx="52">
                  <c:v>2148.31</c:v>
                </c:pt>
                <c:pt idx="53">
                  <c:v>2086.84</c:v>
                </c:pt>
                <c:pt idx="54">
                  <c:v>2117.64</c:v>
                </c:pt>
                <c:pt idx="55">
                  <c:v>2106.13</c:v>
                </c:pt>
                <c:pt idx="56">
                  <c:v>2151.06</c:v>
                </c:pt>
                <c:pt idx="57">
                  <c:v>2252.2399999999998</c:v>
                </c:pt>
                <c:pt idx="58">
                  <c:v>2135.8000000000002</c:v>
                </c:pt>
                <c:pt idx="59">
                  <c:v>2184.64</c:v>
                </c:pt>
                <c:pt idx="60">
                  <c:v>2035.8</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'Copper-Lead-Zinc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'Copper-Lead-Zinc - Prices'!$D$9:$D$69</c:f>
              <c:numCache>
                <c:formatCode>#,##0.00</c:formatCode>
                <c:ptCount val="61"/>
                <c:pt idx="0">
                  <c:v>2625.605</c:v>
                </c:pt>
                <c:pt idx="1">
                  <c:v>2559.1799999999998</c:v>
                </c:pt>
                <c:pt idx="2">
                  <c:v>2702.85</c:v>
                </c:pt>
                <c:pt idx="3">
                  <c:v>2851.4</c:v>
                </c:pt>
                <c:pt idx="4">
                  <c:v>2938.75</c:v>
                </c:pt>
                <c:pt idx="5">
                  <c:v>2747.74</c:v>
                </c:pt>
                <c:pt idx="6">
                  <c:v>2747.74</c:v>
                </c:pt>
                <c:pt idx="7">
                  <c:v>2441.48</c:v>
                </c:pt>
                <c:pt idx="8">
                  <c:v>2275.14</c:v>
                </c:pt>
                <c:pt idx="9">
                  <c:v>2319.64</c:v>
                </c:pt>
                <c:pt idx="10">
                  <c:v>2445.59</c:v>
                </c:pt>
                <c:pt idx="11">
                  <c:v>2432.9499999999998</c:v>
                </c:pt>
                <c:pt idx="12">
                  <c:v>2274.0300000000002</c:v>
                </c:pt>
                <c:pt idx="13">
                  <c:v>2357.27</c:v>
                </c:pt>
                <c:pt idx="14">
                  <c:v>2120.48</c:v>
                </c:pt>
                <c:pt idx="15">
                  <c:v>1905.61</c:v>
                </c:pt>
                <c:pt idx="16">
                  <c:v>1894.08</c:v>
                </c:pt>
                <c:pt idx="17">
                  <c:v>1963.39</c:v>
                </c:pt>
                <c:pt idx="18">
                  <c:v>2020.61</c:v>
                </c:pt>
                <c:pt idx="19">
                  <c:v>2162.2399999999998</c:v>
                </c:pt>
                <c:pt idx="20">
                  <c:v>2406.83</c:v>
                </c:pt>
                <c:pt idx="21">
                  <c:v>2450.5</c:v>
                </c:pt>
                <c:pt idx="22">
                  <c:v>2441.5500000000002</c:v>
                </c:pt>
                <c:pt idx="23">
                  <c:v>2669.69</c:v>
                </c:pt>
                <c:pt idx="24">
                  <c:v>2782.36</c:v>
                </c:pt>
                <c:pt idx="25">
                  <c:v>2707.7</c:v>
                </c:pt>
                <c:pt idx="26">
                  <c:v>2713.2</c:v>
                </c:pt>
                <c:pt idx="27">
                  <c:v>2791.65</c:v>
                </c:pt>
                <c:pt idx="28">
                  <c:v>2827.35</c:v>
                </c:pt>
                <c:pt idx="29">
                  <c:v>2970.29</c:v>
                </c:pt>
                <c:pt idx="30">
                  <c:v>2950.07</c:v>
                </c:pt>
                <c:pt idx="31">
                  <c:v>2942.98</c:v>
                </c:pt>
                <c:pt idx="32">
                  <c:v>2988.9</c:v>
                </c:pt>
                <c:pt idx="33">
                  <c:v>3041.05</c:v>
                </c:pt>
                <c:pt idx="34">
                  <c:v>3369.49</c:v>
                </c:pt>
                <c:pt idx="35">
                  <c:v>3316.65</c:v>
                </c:pt>
                <c:pt idx="36">
                  <c:v>3407.32</c:v>
                </c:pt>
                <c:pt idx="37">
                  <c:v>3674.5</c:v>
                </c:pt>
                <c:pt idx="38">
                  <c:v>3643.68</c:v>
                </c:pt>
                <c:pt idx="39">
                  <c:v>3973.62</c:v>
                </c:pt>
                <c:pt idx="40">
                  <c:v>4370.41</c:v>
                </c:pt>
                <c:pt idx="41">
                  <c:v>3758.77</c:v>
                </c:pt>
                <c:pt idx="42">
                  <c:v>3643.29</c:v>
                </c:pt>
                <c:pt idx="43">
                  <c:v>3096.58</c:v>
                </c:pt>
                <c:pt idx="44">
                  <c:v>3572.13</c:v>
                </c:pt>
                <c:pt idx="45">
                  <c:v>3135.72</c:v>
                </c:pt>
                <c:pt idx="46">
                  <c:v>2959.05</c:v>
                </c:pt>
                <c:pt idx="47">
                  <c:v>2922.97</c:v>
                </c:pt>
                <c:pt idx="48">
                  <c:v>3127.5</c:v>
                </c:pt>
                <c:pt idx="49">
                  <c:v>3288.55</c:v>
                </c:pt>
                <c:pt idx="50">
                  <c:v>3143.04</c:v>
                </c:pt>
                <c:pt idx="51">
                  <c:v>2955.59</c:v>
                </c:pt>
                <c:pt idx="52">
                  <c:v>2772.06</c:v>
                </c:pt>
                <c:pt idx="53">
                  <c:v>2477.1</c:v>
                </c:pt>
                <c:pt idx="54">
                  <c:v>2367.64</c:v>
                </c:pt>
                <c:pt idx="55">
                  <c:v>2395.9899999999998</c:v>
                </c:pt>
                <c:pt idx="56">
                  <c:v>2400.48</c:v>
                </c:pt>
                <c:pt idx="57">
                  <c:v>2487.75</c:v>
                </c:pt>
                <c:pt idx="58">
                  <c:v>2448.75</c:v>
                </c:pt>
                <c:pt idx="59">
                  <c:v>2543.25</c:v>
                </c:pt>
                <c:pt idx="60">
                  <c:v>2501.29</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US$</a:t>
                </a:r>
                <a:r>
                  <a:rPr lang="en-AU" baseline="0"/>
                  <a:t> per </a:t>
                </a:r>
                <a:r>
                  <a:rPr lang="en-AU"/>
                  <a:t>tonne</a:t>
                </a:r>
              </a:p>
            </c:rich>
          </c:tx>
          <c:overlay val="0"/>
        </c:title>
        <c:numFmt formatCode="#,##0" sourceLinked="0"/>
        <c:majorTickMark val="out"/>
        <c:minorTickMark val="none"/>
        <c:tickLblPos val="nextTo"/>
        <c:crossAx val="130587648"/>
        <c:crosses val="autoZero"/>
        <c:crossBetween val="midCat"/>
        <c:majorUnit val="1000"/>
      </c:valAx>
      <c:date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mmm\-yy" sourceLinked="1"/>
        <c:majorTickMark val="out"/>
        <c:minorTickMark val="none"/>
        <c:tickLblPos val="nextTo"/>
        <c:spPr>
          <a:ln/>
        </c:spPr>
        <c:txPr>
          <a:bodyPr rot="-2700000"/>
          <a:lstStyle/>
          <a:p>
            <a:pPr>
              <a:defRPr/>
            </a:pPr>
            <a:endParaRPr lang="en-US"/>
          </a:p>
        </c:txPr>
        <c:crossAx val="130586112"/>
        <c:crosses val="autoZero"/>
        <c:auto val="0"/>
        <c:lblOffset val="100"/>
        <c:baseTimeUnit val="days"/>
        <c:majorUnit val="3"/>
        <c:majorTimeUnit val="months"/>
        <c:minorUnit val="3"/>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'Copper-Lead-Zinc - Q&amp;V'!$L$11:$L$19</c:f>
              <c:numCache>
                <c:formatCode>#,##0.00</c:formatCode>
                <c:ptCount val="9"/>
                <c:pt idx="0">
                  <c:v>40.282176999999997</c:v>
                </c:pt>
                <c:pt idx="1">
                  <c:v>41.489346000000005</c:v>
                </c:pt>
                <c:pt idx="2">
                  <c:v>37.155797</c:v>
                </c:pt>
                <c:pt idx="3">
                  <c:v>33.090511999999997</c:v>
                </c:pt>
                <c:pt idx="4">
                  <c:v>31.913388000000001</c:v>
                </c:pt>
                <c:pt idx="5">
                  <c:v>22.385741000000003</c:v>
                </c:pt>
                <c:pt idx="6">
                  <c:v>31.336533000000003</c:v>
                </c:pt>
                <c:pt idx="7">
                  <c:v>34.384123999999993</c:v>
                </c:pt>
                <c:pt idx="8">
                  <c:v>15.534391000000001</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v>Value</c:v>
          </c:tx>
          <c:spPr>
            <a:ln w="50800">
              <a:solidFill>
                <a:srgbClr val="F6B4E8"/>
              </a:solidFill>
            </a:ln>
          </c:spPr>
          <c:marker>
            <c:symbol val="none"/>
          </c:marker>
          <c:cat>
            <c:numRef>
              <c:f>'Copper-Lead-Zinc - Q&amp;V'!$K$11:$K$19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'Copper-Lead-Zinc - Q&amp;V'!$M$11:$M$19</c:f>
              <c:numCache>
                <c:formatCode>#,##0.00</c:formatCode>
                <c:ptCount val="9"/>
                <c:pt idx="0">
                  <c:v>521.23010099999999</c:v>
                </c:pt>
                <c:pt idx="1">
                  <c:v>528.75195099999996</c:v>
                </c:pt>
                <c:pt idx="2">
                  <c:v>400.06822999999997</c:v>
                </c:pt>
                <c:pt idx="3">
                  <c:v>377.638082</c:v>
                </c:pt>
                <c:pt idx="4">
                  <c:v>392.29862199999997</c:v>
                </c:pt>
                <c:pt idx="5">
                  <c:v>260.774677</c:v>
                </c:pt>
                <c:pt idx="6">
                  <c:v>362.90396299999998</c:v>
                </c:pt>
                <c:pt idx="7">
                  <c:v>402.24887799999999</c:v>
                </c:pt>
                <c:pt idx="8">
                  <c:v>180.350908</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DEMIRS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txPr>
          <a:bodyPr rot="-2700000"/>
          <a:lstStyle/>
          <a:p>
            <a:pPr>
              <a:defRPr/>
            </a:pPr>
            <a:endParaRPr lang="en-US"/>
          </a:p>
        </c:txPr>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max val="6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majorUnit val="10"/>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'Copper-Lead-Zinc - Q&amp;V'!$N$11:$N$19</c:f>
              <c:numCache>
                <c:formatCode>#,##0.00</c:formatCode>
                <c:ptCount val="9"/>
                <c:pt idx="0">
                  <c:v>0</c:v>
                </c:pt>
                <c:pt idx="1">
                  <c:v>0</c:v>
                </c:pt>
                <c:pt idx="2">
                  <c:v>0</c:v>
                </c:pt>
                <c:pt idx="3">
                  <c:v>0</c:v>
                </c:pt>
                <c:pt idx="4">
                  <c:v>0</c:v>
                </c:pt>
                <c:pt idx="5">
                  <c:v>3.1048879999999999</c:v>
                </c:pt>
                <c:pt idx="6">
                  <c:v>9.6369640000000008</c:v>
                </c:pt>
                <c:pt idx="7">
                  <c:v>13.182311</c:v>
                </c:pt>
                <c:pt idx="8">
                  <c:v>12.031482</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v>Value</c:v>
          </c:tx>
          <c:spPr>
            <a:ln w="50800">
              <a:solidFill>
                <a:srgbClr val="F6B4E8"/>
              </a:solidFill>
            </a:ln>
          </c:spPr>
          <c:marker>
            <c:symbol val="none"/>
          </c:marker>
          <c:cat>
            <c:numRef>
              <c:f>'Copper-Lead-Zinc - Q&amp;V'!$K$11:$K$19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'Copper-Lead-Zinc - Q&amp;V'!$O$11:$O$19</c:f>
              <c:numCache>
                <c:formatCode>#,##0.00</c:formatCode>
                <c:ptCount val="9"/>
                <c:pt idx="0">
                  <c:v>0</c:v>
                </c:pt>
                <c:pt idx="1">
                  <c:v>0</c:v>
                </c:pt>
                <c:pt idx="2">
                  <c:v>0</c:v>
                </c:pt>
                <c:pt idx="3">
                  <c:v>0</c:v>
                </c:pt>
                <c:pt idx="4">
                  <c:v>0</c:v>
                </c:pt>
                <c:pt idx="5">
                  <c:v>9.473039</c:v>
                </c:pt>
                <c:pt idx="6">
                  <c:v>31.579426999999999</c:v>
                </c:pt>
                <c:pt idx="7">
                  <c:v>43.622903999999998</c:v>
                </c:pt>
                <c:pt idx="8">
                  <c:v>38.281461999999998</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DEMIRS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valAx>
      <c:valAx>
        <c:axId val="115871104"/>
        <c:scaling>
          <c:orientation val="minMax"/>
          <c:max val="15"/>
          <c:min val="0"/>
        </c:scaling>
        <c:delete val="0"/>
        <c:axPos val="r"/>
        <c:title>
          <c:tx>
            <c:rich>
              <a:bodyPr rot="-5400000" vert="horz"/>
              <a:lstStyle/>
              <a:p>
                <a:pPr>
                  <a:defRPr/>
                </a:pPr>
                <a:r>
                  <a:rPr lang="en-AU"/>
                  <a:t>Thousand tonnes</a:t>
                </a:r>
              </a:p>
            </c:rich>
          </c:tx>
          <c:overlay val="0"/>
        </c:title>
        <c:numFmt formatCode="0.0" sourceLinked="0"/>
        <c:majorTickMark val="out"/>
        <c:minorTickMark val="none"/>
        <c:tickLblPos val="nextTo"/>
        <c:crossAx val="117904896"/>
        <c:crosses val="max"/>
        <c:crossBetween val="between"/>
        <c:majorUnit val="3"/>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'Copper-Lead-Zinc - Q&amp;V'!$P$11:$P$19</c:f>
              <c:numCache>
                <c:formatCode>#,##0.00</c:formatCode>
                <c:ptCount val="9"/>
                <c:pt idx="0">
                  <c:v>20.505474000000003</c:v>
                </c:pt>
                <c:pt idx="1">
                  <c:v>16.877814999999998</c:v>
                </c:pt>
                <c:pt idx="2">
                  <c:v>20.630479999999999</c:v>
                </c:pt>
                <c:pt idx="3">
                  <c:v>16.250889999999998</c:v>
                </c:pt>
                <c:pt idx="4">
                  <c:v>16.719260000000002</c:v>
                </c:pt>
                <c:pt idx="5">
                  <c:v>16.79336</c:v>
                </c:pt>
                <c:pt idx="6">
                  <c:v>12.478883</c:v>
                </c:pt>
                <c:pt idx="7">
                  <c:v>8.3655200000000001</c:v>
                </c:pt>
                <c:pt idx="8">
                  <c:v>12.884283999999999</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v>Value</c:v>
          </c:tx>
          <c:spPr>
            <a:ln w="50800">
              <a:solidFill>
                <a:srgbClr val="F6B4E8"/>
              </a:solidFill>
            </a:ln>
          </c:spPr>
          <c:marker>
            <c:symbol val="none"/>
          </c:marker>
          <c:cat>
            <c:numRef>
              <c:f>'Copper-Lead-Zinc - Q&amp;V'!$K$11:$K$19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'Copper-Lead-Zinc - Q&amp;V'!$Q$11:$Q$19</c:f>
              <c:numCache>
                <c:formatCode>#,##0.00</c:formatCode>
                <c:ptCount val="9"/>
                <c:pt idx="0">
                  <c:v>97.654890999999992</c:v>
                </c:pt>
                <c:pt idx="1">
                  <c:v>88.230382999999989</c:v>
                </c:pt>
                <c:pt idx="2">
                  <c:v>96.293458000000001</c:v>
                </c:pt>
                <c:pt idx="3">
                  <c:v>71.065829999999991</c:v>
                </c:pt>
                <c:pt idx="4">
                  <c:v>80.474464999999995</c:v>
                </c:pt>
                <c:pt idx="5">
                  <c:v>69.194278999999995</c:v>
                </c:pt>
                <c:pt idx="6">
                  <c:v>44.606971999999999</c:v>
                </c:pt>
                <c:pt idx="7">
                  <c:v>30.972905999999998</c:v>
                </c:pt>
                <c:pt idx="8">
                  <c:v>47.440481999999996</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DEMIRS</a:t>
                </a:r>
              </a:p>
            </c:rich>
          </c:tx>
          <c:layout>
            <c:manualLayout>
              <c:xMode val="edge"/>
              <c:yMode val="edge"/>
              <c:x val="1.0375097029371321E-2"/>
              <c:y val="0.93818890285773116"/>
            </c:manualLayout>
          </c:layout>
          <c:overlay val="0"/>
        </c:title>
        <c:numFmt formatCode="mmm\-yy" sourceLinked="1"/>
        <c:majorTickMark val="out"/>
        <c:minorTickMark val="none"/>
        <c:tickLblPos val="nextTo"/>
        <c:txPr>
          <a:bodyPr rot="-2700000"/>
          <a:lstStyle/>
          <a:p>
            <a:pPr>
              <a:defRPr/>
            </a:pPr>
            <a:endParaRPr lang="en-US"/>
          </a:p>
        </c:txPr>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layout>
            <c:manualLayout>
              <c:xMode val="edge"/>
              <c:yMode val="edge"/>
              <c:x val="2.0452664160812695E-2"/>
              <c:y val="0.48491820875331759"/>
            </c:manualLayout>
          </c:layout>
          <c:overlay val="0"/>
        </c:title>
        <c:numFmt formatCode="0" sourceLinked="0"/>
        <c:majorTickMark val="out"/>
        <c:minorTickMark val="none"/>
        <c:tickLblPos val="nextTo"/>
        <c:crossAx val="130118016"/>
        <c:crosses val="autoZero"/>
        <c:crossBetween val="between"/>
      </c:valAx>
      <c:valAx>
        <c:axId val="130126208"/>
        <c:scaling>
          <c:orientation val="minMax"/>
          <c:max val="3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numRef>
              <c:f>'Copper-Lead-Zinc - Q&amp;V'!$K$26:$K$45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'Copper-Lead-Zinc - Q&amp;V'!$L$26:$L$45</c:f>
              <c:numCache>
                <c:formatCode>#,##0.00</c:formatCode>
                <c:ptCount val="20"/>
                <c:pt idx="0">
                  <c:v>42.260094000000002</c:v>
                </c:pt>
                <c:pt idx="1">
                  <c:v>85.220481000000007</c:v>
                </c:pt>
                <c:pt idx="2">
                  <c:v>99.242470999999995</c:v>
                </c:pt>
                <c:pt idx="3">
                  <c:v>105.40498599999999</c:v>
                </c:pt>
                <c:pt idx="4">
                  <c:v>119.055948</c:v>
                </c:pt>
                <c:pt idx="5">
                  <c:v>151.49643399999999</c:v>
                </c:pt>
                <c:pt idx="6">
                  <c:v>155.65068099999999</c:v>
                </c:pt>
                <c:pt idx="7">
                  <c:v>144.95804783199998</c:v>
                </c:pt>
                <c:pt idx="8">
                  <c:v>185.75001993699999</c:v>
                </c:pt>
                <c:pt idx="9">
                  <c:v>216.05661499999999</c:v>
                </c:pt>
                <c:pt idx="10">
                  <c:v>197.08071799999999</c:v>
                </c:pt>
                <c:pt idx="11">
                  <c:v>189.41435100000001</c:v>
                </c:pt>
                <c:pt idx="12">
                  <c:v>181.53603300000003</c:v>
                </c:pt>
                <c:pt idx="13">
                  <c:v>160.27640700000001</c:v>
                </c:pt>
                <c:pt idx="14">
                  <c:v>165.92057600000001</c:v>
                </c:pt>
                <c:pt idx="15">
                  <c:v>172.11437000000001</c:v>
                </c:pt>
                <c:pt idx="16">
                  <c:v>147.235827</c:v>
                </c:pt>
                <c:pt idx="17">
                  <c:v>148.743044</c:v>
                </c:pt>
                <c:pt idx="18">
                  <c:v>143.64904300000001</c:v>
                </c:pt>
                <c:pt idx="19">
                  <c:v>103.640789</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v>Value</c:v>
          </c:tx>
          <c:spPr>
            <a:ln w="50800">
              <a:solidFill>
                <a:srgbClr val="FAD6F2"/>
              </a:solidFill>
            </a:ln>
          </c:spPr>
          <c:marker>
            <c:symbol val="none"/>
          </c:marker>
          <c:cat>
            <c:strRef>
              <c:f>'Copper-Lead-Zinc - Q&amp;V'!$K$26:$K$51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strCache>
            </c:strRef>
          </c:cat>
          <c:val>
            <c:numRef>
              <c:f>'Copper-Lead-Zinc - Q&amp;V'!$M$26:$M$45</c:f>
              <c:numCache>
                <c:formatCode>#,##0.00</c:formatCode>
                <c:ptCount val="20"/>
                <c:pt idx="0">
                  <c:v>168.13437594999999</c:v>
                </c:pt>
                <c:pt idx="1">
                  <c:v>471.20839587999996</c:v>
                </c:pt>
                <c:pt idx="2">
                  <c:v>865.00019402999988</c:v>
                </c:pt>
                <c:pt idx="3">
                  <c:v>885.58278529999995</c:v>
                </c:pt>
                <c:pt idx="4">
                  <c:v>832.51515368000003</c:v>
                </c:pt>
                <c:pt idx="5">
                  <c:v>933.12328494000008</c:v>
                </c:pt>
                <c:pt idx="6">
                  <c:v>1302.14808608</c:v>
                </c:pt>
                <c:pt idx="7">
                  <c:v>1195.22360826</c:v>
                </c:pt>
                <c:pt idx="8">
                  <c:v>1370.4501023600001</c:v>
                </c:pt>
                <c:pt idx="9">
                  <c:v>1492.7644329999998</c:v>
                </c:pt>
                <c:pt idx="10">
                  <c:v>1401.6056509999999</c:v>
                </c:pt>
                <c:pt idx="11">
                  <c:v>1244.427187</c:v>
                </c:pt>
                <c:pt idx="12">
                  <c:v>1188.4528879999998</c:v>
                </c:pt>
                <c:pt idx="13">
                  <c:v>1244.4373860000001</c:v>
                </c:pt>
                <c:pt idx="14">
                  <c:v>1349.6936430000001</c:v>
                </c:pt>
                <c:pt idx="15">
                  <c:v>1415.0997299999999</c:v>
                </c:pt>
                <c:pt idx="16">
                  <c:v>1294.5384939999999</c:v>
                </c:pt>
                <c:pt idx="17">
                  <c:v>1827.9389209999999</c:v>
                </c:pt>
                <c:pt idx="18">
                  <c:v>1698.756885</c:v>
                </c:pt>
                <c:pt idx="19">
                  <c:v>1206.2784259999999</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DEMIRS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majorUnit val="25"/>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numRef>
              <c:f>'Copper-Lead-Zinc - Q&amp;V'!$K$26:$K$45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'Copper-Lead-Zinc - Q&amp;V'!$N$26:$N$45</c:f>
              <c:numCache>
                <c:formatCode>#,##0.00</c:formatCode>
                <c:ptCount val="20"/>
                <c:pt idx="0">
                  <c:v>1.1747399999999999</c:v>
                </c:pt>
                <c:pt idx="1">
                  <c:v>28.595314999999999</c:v>
                </c:pt>
                <c:pt idx="2">
                  <c:v>70.95348899999999</c:v>
                </c:pt>
                <c:pt idx="3">
                  <c:v>37.091524999999997</c:v>
                </c:pt>
                <c:pt idx="4">
                  <c:v>18.538827999999999</c:v>
                </c:pt>
                <c:pt idx="5">
                  <c:v>22.755433000000004</c:v>
                </c:pt>
                <c:pt idx="6">
                  <c:v>52.922928999999996</c:v>
                </c:pt>
                <c:pt idx="7">
                  <c:v>8.3429219999999997</c:v>
                </c:pt>
                <c:pt idx="8">
                  <c:v>8.135294</c:v>
                </c:pt>
                <c:pt idx="9">
                  <c:v>52.261510000000001</c:v>
                </c:pt>
                <c:pt idx="10">
                  <c:v>80.888499999999993</c:v>
                </c:pt>
                <c:pt idx="11">
                  <c:v>20.259029999999999</c:v>
                </c:pt>
                <c:pt idx="12">
                  <c:v>4.76091</c:v>
                </c:pt>
                <c:pt idx="13">
                  <c:v>5.9010800000000003</c:v>
                </c:pt>
                <c:pt idx="14">
                  <c:v>6.0910000000000011</c:v>
                </c:pt>
                <c:pt idx="15">
                  <c:v>2.9168000000000003</c:v>
                </c:pt>
                <c:pt idx="16">
                  <c:v>1.3745150000000002</c:v>
                </c:pt>
                <c:pt idx="17">
                  <c:v>1.2656350000000001</c:v>
                </c:pt>
                <c:pt idx="18">
                  <c:v>0</c:v>
                </c:pt>
                <c:pt idx="19">
                  <c:v>37.955645000000004</c:v>
                </c:pt>
              </c:numCache>
            </c:numRef>
          </c:val>
          <c:extLst>
            <c:ext xmlns:c16="http://schemas.microsoft.com/office/drawing/2014/chart" uri="{C3380CC4-5D6E-409C-BE32-E72D297353CC}">
              <c16:uniqueId val="{00000001-C9ED-4F39-8405-AE8AB588997C}"/>
            </c:ext>
          </c:extLst>
        </c:ser>
        <c:dLbls>
          <c:showLegendKey val="0"/>
          <c:showVal val="0"/>
          <c:showCatName val="0"/>
          <c:showSerName val="0"/>
          <c:showPercent val="0"/>
          <c:showBubbleSize val="0"/>
        </c:dLbls>
        <c:gapWidth val="40"/>
        <c:axId val="1909311472"/>
        <c:axId val="1666309104"/>
      </c:barChart>
      <c:lineChart>
        <c:grouping val="standard"/>
        <c:varyColors val="0"/>
        <c:ser>
          <c:idx val="1"/>
          <c:order val="1"/>
          <c:tx>
            <c:v>Value</c:v>
          </c:tx>
          <c:spPr>
            <a:ln>
              <a:solidFill>
                <a:srgbClr val="FAD6F2"/>
              </a:solidFill>
            </a:ln>
          </c:spPr>
          <c:marker>
            <c:symbol val="none"/>
          </c:marker>
          <c:cat>
            <c:numRef>
              <c:f>'Copper-Lead-Zinc - Q&amp;V'!$K$26:$K$45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'Copper-Lead-Zinc - Q&amp;V'!$O$26:$O$45</c:f>
              <c:numCache>
                <c:formatCode>#,##0.00</c:formatCode>
                <c:ptCount val="20"/>
                <c:pt idx="0">
                  <c:v>1.5446158400000001</c:v>
                </c:pt>
                <c:pt idx="1">
                  <c:v>39.773083839999998</c:v>
                </c:pt>
                <c:pt idx="2">
                  <c:v>127.85454053000001</c:v>
                </c:pt>
                <c:pt idx="3">
                  <c:v>96.781479340000004</c:v>
                </c:pt>
                <c:pt idx="4">
                  <c:v>28.815419949999999</c:v>
                </c:pt>
                <c:pt idx="5">
                  <c:v>48.874789219999997</c:v>
                </c:pt>
                <c:pt idx="6">
                  <c:v>126.64476232</c:v>
                </c:pt>
                <c:pt idx="7">
                  <c:v>19.57646712</c:v>
                </c:pt>
                <c:pt idx="8">
                  <c:v>16.53442321</c:v>
                </c:pt>
                <c:pt idx="9">
                  <c:v>116.056679</c:v>
                </c:pt>
                <c:pt idx="10">
                  <c:v>184.89006699999999</c:v>
                </c:pt>
                <c:pt idx="11">
                  <c:v>48.685219000000004</c:v>
                </c:pt>
                <c:pt idx="12">
                  <c:v>12.78299</c:v>
                </c:pt>
                <c:pt idx="13">
                  <c:v>18.548734</c:v>
                </c:pt>
                <c:pt idx="14">
                  <c:v>17.155192</c:v>
                </c:pt>
                <c:pt idx="15">
                  <c:v>8.3506509999999992</c:v>
                </c:pt>
                <c:pt idx="16">
                  <c:v>3.3216389999999998</c:v>
                </c:pt>
                <c:pt idx="17">
                  <c:v>3.9687389999999998</c:v>
                </c:pt>
                <c:pt idx="18">
                  <c:v>0</c:v>
                </c:pt>
                <c:pt idx="19">
                  <c:v>122.95683199999999</c:v>
                </c:pt>
              </c:numCache>
            </c:numRef>
          </c:val>
          <c:smooth val="0"/>
          <c:extLst>
            <c:ext xmlns:c16="http://schemas.microsoft.com/office/drawing/2014/chart" uri="{C3380CC4-5D6E-409C-BE32-E72D297353CC}">
              <c16:uniqueId val="{00000002-C9ED-4F39-8405-AE8AB588997C}"/>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DEMIRS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666309104"/>
        <c:scaling>
          <c:orientation val="minMax"/>
          <c:max val="100"/>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11472"/>
        <c:crosses val="max"/>
        <c:crossBetween val="between"/>
      </c:valAx>
      <c:catAx>
        <c:axId val="1909311472"/>
        <c:scaling>
          <c:orientation val="minMax"/>
        </c:scaling>
        <c:delete val="1"/>
        <c:axPos val="b"/>
        <c:numFmt formatCode="General" sourceLinked="1"/>
        <c:majorTickMark val="out"/>
        <c:minorTickMark val="none"/>
        <c:tickLblPos val="nextTo"/>
        <c:crossAx val="1666309104"/>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numRef>
              <c:f>'Copper-Lead-Zinc - Q&amp;V'!$K$26:$K$45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'Copper-Lead-Zinc - Q&amp;V'!$P$26:$P$45</c:f>
              <c:numCache>
                <c:formatCode>#,##0.00</c:formatCode>
                <c:ptCount val="20"/>
                <c:pt idx="0">
                  <c:v>51.78387</c:v>
                </c:pt>
                <c:pt idx="1">
                  <c:v>59.104380000000006</c:v>
                </c:pt>
                <c:pt idx="2">
                  <c:v>109.06339100000001</c:v>
                </c:pt>
                <c:pt idx="3">
                  <c:v>173.33780000000002</c:v>
                </c:pt>
                <c:pt idx="4">
                  <c:v>189.81195299999999</c:v>
                </c:pt>
                <c:pt idx="5">
                  <c:v>99.811695999999984</c:v>
                </c:pt>
                <c:pt idx="6">
                  <c:v>81.515219999999999</c:v>
                </c:pt>
                <c:pt idx="7">
                  <c:v>74.400736999999992</c:v>
                </c:pt>
                <c:pt idx="8">
                  <c:v>57.112677000000005</c:v>
                </c:pt>
                <c:pt idx="9">
                  <c:v>47.985600000000005</c:v>
                </c:pt>
                <c:pt idx="10">
                  <c:v>72.763530000000003</c:v>
                </c:pt>
                <c:pt idx="11">
                  <c:v>77.178319999999999</c:v>
                </c:pt>
                <c:pt idx="12">
                  <c:v>94.963539999999995</c:v>
                </c:pt>
                <c:pt idx="13">
                  <c:v>71.788228000000004</c:v>
                </c:pt>
                <c:pt idx="14">
                  <c:v>68.823993000000002</c:v>
                </c:pt>
                <c:pt idx="15">
                  <c:v>77.819270000000003</c:v>
                </c:pt>
                <c:pt idx="16">
                  <c:v>62.050920000000005</c:v>
                </c:pt>
                <c:pt idx="17">
                  <c:v>69.051431000000008</c:v>
                </c:pt>
                <c:pt idx="18">
                  <c:v>70.478444999999994</c:v>
                </c:pt>
                <c:pt idx="19">
                  <c:v>50.522047000000001</c:v>
                </c:pt>
              </c:numCache>
            </c:numRef>
          </c:val>
          <c:extLst>
            <c:ext xmlns:c16="http://schemas.microsoft.com/office/drawing/2014/chart" uri="{C3380CC4-5D6E-409C-BE32-E72D297353CC}">
              <c16:uniqueId val="{00000000-A838-4C3C-855E-1D217E9876DB}"/>
            </c:ext>
          </c:extLst>
        </c:ser>
        <c:dLbls>
          <c:showLegendKey val="0"/>
          <c:showVal val="0"/>
          <c:showCatName val="0"/>
          <c:showSerName val="0"/>
          <c:showPercent val="0"/>
          <c:showBubbleSize val="0"/>
        </c:dLbls>
        <c:gapWidth val="40"/>
        <c:axId val="1909369936"/>
        <c:axId val="1722904080"/>
      </c:barChart>
      <c:lineChart>
        <c:grouping val="standard"/>
        <c:varyColors val="0"/>
        <c:ser>
          <c:idx val="1"/>
          <c:order val="1"/>
          <c:tx>
            <c:v>Value</c:v>
          </c:tx>
          <c:spPr>
            <a:ln>
              <a:solidFill>
                <a:srgbClr val="FAD6F2"/>
              </a:solidFill>
            </a:ln>
          </c:spPr>
          <c:marker>
            <c:symbol val="none"/>
          </c:marker>
          <c:cat>
            <c:numRef>
              <c:f>'Copper-Lead-Zinc - Q&amp;V'!$K$26:$K$45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'Copper-Lead-Zinc - Q&amp;V'!$Q$26:$Q$45</c:f>
              <c:numCache>
                <c:formatCode>#,##0.00</c:formatCode>
                <c:ptCount val="20"/>
                <c:pt idx="0">
                  <c:v>71.168342370000005</c:v>
                </c:pt>
                <c:pt idx="1">
                  <c:v>126.89531962000001</c:v>
                </c:pt>
                <c:pt idx="2">
                  <c:v>491.08046987</c:v>
                </c:pt>
                <c:pt idx="3">
                  <c:v>482.88467758000002</c:v>
                </c:pt>
                <c:pt idx="4">
                  <c:v>293.49248021000005</c:v>
                </c:pt>
                <c:pt idx="5">
                  <c:v>215.92451084000001</c:v>
                </c:pt>
                <c:pt idx="6">
                  <c:v>191.88413472000002</c:v>
                </c:pt>
                <c:pt idx="7">
                  <c:v>153.04113046000001</c:v>
                </c:pt>
                <c:pt idx="8">
                  <c:v>107.3024735</c:v>
                </c:pt>
                <c:pt idx="9">
                  <c:v>96.281334999999999</c:v>
                </c:pt>
                <c:pt idx="10">
                  <c:v>173.001879</c:v>
                </c:pt>
                <c:pt idx="11">
                  <c:v>185.219379</c:v>
                </c:pt>
                <c:pt idx="12">
                  <c:v>204.52397599999998</c:v>
                </c:pt>
                <c:pt idx="13">
                  <c:v>292.12296499999997</c:v>
                </c:pt>
                <c:pt idx="14">
                  <c:v>256.93268499999999</c:v>
                </c:pt>
                <c:pt idx="15">
                  <c:v>262.55607299999997</c:v>
                </c:pt>
                <c:pt idx="16">
                  <c:v>204.01091199999999</c:v>
                </c:pt>
                <c:pt idx="17">
                  <c:v>285.99623299999996</c:v>
                </c:pt>
                <c:pt idx="18">
                  <c:v>336.06413600000002</c:v>
                </c:pt>
                <c:pt idx="19">
                  <c:v>192.21463900000001</c:v>
                </c:pt>
              </c:numCache>
            </c:numRef>
          </c:val>
          <c:smooth val="0"/>
          <c:extLst>
            <c:ext xmlns:c16="http://schemas.microsoft.com/office/drawing/2014/chart" uri="{C3380CC4-5D6E-409C-BE32-E72D297353CC}">
              <c16:uniqueId val="{00000001-A838-4C3C-855E-1D217E9876DB}"/>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DEMIRS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max val="800"/>
        </c:scaling>
        <c:delete val="0"/>
        <c:axPos val="l"/>
        <c:majorGridlines/>
        <c:title>
          <c:tx>
            <c:rich>
              <a:bodyPr rot="-5400000" vert="horz"/>
              <a:lstStyle/>
              <a:p>
                <a:pPr>
                  <a:defRPr/>
                </a:pPr>
                <a:r>
                  <a:rPr lang="en-AU"/>
                  <a:t>$ Million</a:t>
                </a:r>
              </a:p>
            </c:rich>
          </c:tx>
          <c:layout>
            <c:manualLayout>
              <c:xMode val="edge"/>
              <c:yMode val="edge"/>
              <c:x val="1.8486420668691682E-2"/>
              <c:y val="0.43380990297561117"/>
            </c:manualLayout>
          </c:layout>
          <c:overlay val="0"/>
        </c:title>
        <c:numFmt formatCode="#,##0" sourceLinked="0"/>
        <c:majorTickMark val="out"/>
        <c:minorTickMark val="none"/>
        <c:tickLblPos val="nextTo"/>
        <c:crossAx val="130263680"/>
        <c:crosses val="autoZero"/>
        <c:crossBetween val="between"/>
      </c:valAx>
      <c:valAx>
        <c:axId val="1722904080"/>
        <c:scaling>
          <c:orientation val="minMax"/>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69936"/>
        <c:crosses val="max"/>
        <c:crossBetween val="between"/>
        <c:majorUnit val="25"/>
      </c:valAx>
      <c:catAx>
        <c:axId val="1909369936"/>
        <c:scaling>
          <c:orientation val="minMax"/>
        </c:scaling>
        <c:delete val="1"/>
        <c:axPos val="b"/>
        <c:numFmt formatCode="General" sourceLinked="1"/>
        <c:majorTickMark val="out"/>
        <c:minorTickMark val="none"/>
        <c:tickLblPos val="nextTo"/>
        <c:crossAx val="1722904080"/>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'Copper-Lead-Zinc - Exports'!$W$2</c:f>
          <c:strCache>
            <c:ptCount val="1"/>
            <c:pt idx="0">
              <c:v>Copper-Lead-Zinc Exports 2023
Total Value: $</c:v>
            </c:pt>
          </c:strCache>
        </c:strRef>
      </c:tx>
      <c:layout>
        <c:manualLayout>
          <c:xMode val="edge"/>
          <c:yMode val="edge"/>
          <c:x val="0.27556086294900339"/>
          <c:y val="2.1960778888799409E-2"/>
        </c:manualLayout>
      </c:layout>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dLbl>
              <c:idx val="0"/>
              <c:layout>
                <c:manualLayout>
                  <c:x val="-0.10037695010205584"/>
                  <c:y val="2.647610334539042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7B1-9F3B-AF6288FAD45F}"/>
                </c:ext>
              </c:extLst>
            </c:dLbl>
            <c:dLbl>
              <c:idx val="1"/>
              <c:layout>
                <c:manualLayout>
                  <c:x val="6.263661888009675E-2"/>
                  <c:y val="-5.14002891210775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3-47B1-9F3B-AF6288FAD45F}"/>
                </c:ext>
              </c:extLst>
            </c:dLbl>
            <c:dLbl>
              <c:idx val="2"/>
              <c:layout>
                <c:manualLayout>
                  <c:x val="0.20543022426394136"/>
                  <c:y val="-2.5133596107645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3-47B1-9F3B-AF6288FAD45F}"/>
                </c:ext>
              </c:extLst>
            </c:dLbl>
            <c:dLbl>
              <c:idx val="3"/>
              <c:layout>
                <c:manualLayout>
                  <c:x val="-3.143219650880618E-2"/>
                  <c:y val="-5.26571718540453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3-47B1-9F3B-AF6288FAD45F}"/>
                </c:ext>
              </c:extLst>
            </c:dLbl>
            <c:dLbl>
              <c:idx val="4"/>
              <c:layout>
                <c:manualLayout>
                  <c:x val="-4.8313813121471663E-2"/>
                  <c:y val="1.198642515916498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03-47B1-9F3B-AF6288FAD45F}"/>
                </c:ext>
              </c:extLst>
            </c:dLbl>
            <c:dLbl>
              <c:idx val="5"/>
              <c:layout>
                <c:manualLayout>
                  <c:x val="-6.5259828271624146E-2"/>
                  <c:y val="-2.87809657983311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03-47B1-9F3B-AF6288FAD45F}"/>
                </c:ext>
              </c:extLst>
            </c:dLbl>
            <c:dLbl>
              <c:idx val="6"/>
              <c:layout>
                <c:manualLayout>
                  <c:x val="-3.7386606295066217E-2"/>
                  <c:y val="1.58672287910351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03-47B1-9F3B-AF6288FAD45F}"/>
                </c:ext>
              </c:extLst>
            </c:dLbl>
            <c:dLbl>
              <c:idx val="7"/>
              <c:layout>
                <c:manualLayout>
                  <c:x val="-0.10780891725027263"/>
                  <c:y val="2.325645768880295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03-47B1-9F3B-AF6288FAD45F}"/>
                </c:ext>
              </c:extLst>
            </c:dLbl>
            <c:dLbl>
              <c:idx val="8"/>
              <c:layout>
                <c:manualLayout>
                  <c:x val="-0.1364675150203381"/>
                  <c:y val="-1.0303673841516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303-47B1-9F3B-AF6288FAD45F}"/>
                </c:ext>
              </c:extLst>
            </c:dLbl>
            <c:dLbl>
              <c:idx val="9"/>
              <c:layout>
                <c:manualLayout>
                  <c:x val="-1.2336621429430325E-2"/>
                  <c:y val="-2.588985707324590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303-47B1-9F3B-AF6288FAD45F}"/>
                </c:ext>
              </c:extLst>
            </c:dLbl>
            <c:dLbl>
              <c:idx val="10"/>
              <c:layout>
                <c:manualLayout>
                  <c:x val="-1.1656694571946279E-2"/>
                  <c:y val="-0.1058581665056535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303-47B1-9F3B-AF6288FAD45F}"/>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'Copper-Lead-Zinc - Exports'!$A$11:$A$21</c:f>
              <c:strCache>
                <c:ptCount val="11"/>
                <c:pt idx="0">
                  <c:v>Philippines</c:v>
                </c:pt>
                <c:pt idx="1">
                  <c:v>Korea, Republic Of (South)</c:v>
                </c:pt>
                <c:pt idx="2">
                  <c:v>Japan</c:v>
                </c:pt>
                <c:pt idx="3">
                  <c:v>Germany</c:v>
                </c:pt>
                <c:pt idx="4">
                  <c:v>China</c:v>
                </c:pt>
                <c:pt idx="5">
                  <c:v>Sweden</c:v>
                </c:pt>
                <c:pt idx="6">
                  <c:v>Finland</c:v>
                </c:pt>
                <c:pt idx="7">
                  <c:v>Taiwan</c:v>
                </c:pt>
                <c:pt idx="8">
                  <c:v>India</c:v>
                </c:pt>
                <c:pt idx="9">
                  <c:v>n/a</c:v>
                </c:pt>
                <c:pt idx="10">
                  <c:v>Other</c:v>
                </c:pt>
              </c:strCache>
            </c:strRef>
          </c:cat>
          <c:val>
            <c:numRef>
              <c:f>'Copper-Lead-Zinc - Exports'!$D$11:$D$21</c:f>
              <c:numCache>
                <c:formatCode>0.0%</c:formatCode>
                <c:ptCount val="11"/>
                <c:pt idx="0">
                  <c:v>0.29596078385230828</c:v>
                </c:pt>
                <c:pt idx="1">
                  <c:v>0.19429285905544016</c:v>
                </c:pt>
                <c:pt idx="2">
                  <c:v>0.14726278672538848</c:v>
                </c:pt>
                <c:pt idx="3">
                  <c:v>0.11783673320171363</c:v>
                </c:pt>
                <c:pt idx="4">
                  <c:v>0.11171339904698359</c:v>
                </c:pt>
                <c:pt idx="5">
                  <c:v>6.2458053854693919E-2</c:v>
                </c:pt>
                <c:pt idx="6">
                  <c:v>4.9104893740899359E-2</c:v>
                </c:pt>
                <c:pt idx="7">
                  <c:v>1.1126869897751532E-2</c:v>
                </c:pt>
                <c:pt idx="8">
                  <c:v>1.0243620624821086E-2</c:v>
                </c:pt>
                <c:pt idx="9">
                  <c:v>0</c:v>
                </c:pt>
                <c:pt idx="10">
                  <c:v>0</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30998384817282454"/>
          <c:y val="4.778150503023129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2-years'!$Q$12:$R$12</c:f>
              <c:strCache>
                <c:ptCount val="1"/>
                <c:pt idx="0">
                  <c:v>2023 </c:v>
                </c:pt>
              </c:strCache>
            </c:strRef>
          </c:tx>
          <c:spPr>
            <a:solidFill>
              <a:schemeClr val="accent5">
                <a:shade val="76000"/>
              </a:schemeClr>
            </a:solidFill>
            <a:ln>
              <a:noFill/>
            </a:ln>
            <a:effectLst/>
          </c:spPr>
          <c:invertIfNegative val="0"/>
          <c:cat>
            <c:strRef>
              <c:f>'Q&amp;V 2-years'!$N$14:$N$23</c:f>
              <c:strCache>
                <c:ptCount val="10"/>
                <c:pt idx="0">
                  <c:v>Iron ore</c:v>
                </c:pt>
                <c:pt idx="1">
                  <c:v>LNG</c:v>
                </c:pt>
                <c:pt idx="2">
                  <c:v>Spodumene Concentrate</c:v>
                </c:pt>
                <c:pt idx="3">
                  <c:v>Gold</c:v>
                </c:pt>
                <c:pt idx="4">
                  <c:v>Condensate</c:v>
                </c:pt>
                <c:pt idx="5">
                  <c:v>Alumina</c:v>
                </c:pt>
                <c:pt idx="6">
                  <c:v>Nickel</c:v>
                </c:pt>
                <c:pt idx="7">
                  <c:v>Crude Oil</c:v>
                </c:pt>
                <c:pt idx="8">
                  <c:v>Domestic Gas</c:v>
                </c:pt>
                <c:pt idx="9">
                  <c:v>Copper</c:v>
                </c:pt>
              </c:strCache>
            </c:strRef>
          </c:cat>
          <c:val>
            <c:numRef>
              <c:f>'Q&amp;V 2-years'!$Q$14:$Q$23</c:f>
              <c:numCache>
                <c:formatCode>#,##0.00</c:formatCode>
                <c:ptCount val="10"/>
                <c:pt idx="0">
                  <c:v>139059.52957499999</c:v>
                </c:pt>
                <c:pt idx="1">
                  <c:v>42300.119314237854</c:v>
                </c:pt>
                <c:pt idx="2">
                  <c:v>15845.152372563396</c:v>
                </c:pt>
                <c:pt idx="3">
                  <c:v>19890.974642000001</c:v>
                </c:pt>
                <c:pt idx="4">
                  <c:v>7784.3643382544742</c:v>
                </c:pt>
                <c:pt idx="5">
                  <c:v>6581.4648550000002</c:v>
                </c:pt>
                <c:pt idx="6">
                  <c:v>4697.4154349999999</c:v>
                </c:pt>
                <c:pt idx="7">
                  <c:v>2474.0485476072663</c:v>
                </c:pt>
                <c:pt idx="8">
                  <c:v>2753.859242601683</c:v>
                </c:pt>
                <c:pt idx="9">
                  <c:v>1206.2784259999999</c:v>
                </c:pt>
              </c:numCache>
            </c:numRef>
          </c:val>
          <c:extLst>
            <c:ext xmlns:c16="http://schemas.microsoft.com/office/drawing/2014/chart" uri="{C3380CC4-5D6E-409C-BE32-E72D297353CC}">
              <c16:uniqueId val="{00000006-0552-4461-93C9-B7D43BC96067}"/>
            </c:ext>
          </c:extLst>
        </c:ser>
        <c:ser>
          <c:idx val="1"/>
          <c:order val="1"/>
          <c:tx>
            <c:strRef>
              <c:f>'Q&amp;V 2-years'!$O$12:$P$12</c:f>
              <c:strCache>
                <c:ptCount val="1"/>
                <c:pt idx="0">
                  <c:v>2022 </c:v>
                </c:pt>
              </c:strCache>
            </c:strRef>
          </c:tx>
          <c:spPr>
            <a:solidFill>
              <a:schemeClr val="accent5">
                <a:tint val="77000"/>
              </a:schemeClr>
            </a:solidFill>
            <a:ln>
              <a:noFill/>
            </a:ln>
            <a:effectLst/>
          </c:spPr>
          <c:invertIfNegative val="0"/>
          <c:cat>
            <c:strRef>
              <c:f>'Q&amp;V 2-years'!$N$14:$N$23</c:f>
              <c:strCache>
                <c:ptCount val="10"/>
                <c:pt idx="0">
                  <c:v>Iron ore</c:v>
                </c:pt>
                <c:pt idx="1">
                  <c:v>LNG</c:v>
                </c:pt>
                <c:pt idx="2">
                  <c:v>Spodumene Concentrate</c:v>
                </c:pt>
                <c:pt idx="3">
                  <c:v>Gold</c:v>
                </c:pt>
                <c:pt idx="4">
                  <c:v>Condensate</c:v>
                </c:pt>
                <c:pt idx="5">
                  <c:v>Alumina</c:v>
                </c:pt>
                <c:pt idx="6">
                  <c:v>Nickel</c:v>
                </c:pt>
                <c:pt idx="7">
                  <c:v>Crude Oil</c:v>
                </c:pt>
                <c:pt idx="8">
                  <c:v>Domestic Gas</c:v>
                </c:pt>
                <c:pt idx="9">
                  <c:v>Copper</c:v>
                </c:pt>
              </c:strCache>
            </c:strRef>
          </c:cat>
          <c:val>
            <c:numRef>
              <c:f>'Q&amp;V 2-years'!$O$14:$O$23</c:f>
              <c:numCache>
                <c:formatCode>#,##0.00</c:formatCode>
                <c:ptCount val="10"/>
                <c:pt idx="0">
                  <c:v>127522.61195400001</c:v>
                </c:pt>
                <c:pt idx="1">
                  <c:v>54511.850325376261</c:v>
                </c:pt>
                <c:pt idx="2">
                  <c:v>17031.181733999998</c:v>
                </c:pt>
                <c:pt idx="3">
                  <c:v>17875.612413999999</c:v>
                </c:pt>
                <c:pt idx="4">
                  <c:v>9021.1554735518348</c:v>
                </c:pt>
                <c:pt idx="5">
                  <c:v>6860.9122069999994</c:v>
                </c:pt>
                <c:pt idx="6">
                  <c:v>5766.8162189999994</c:v>
                </c:pt>
                <c:pt idx="7">
                  <c:v>4062.2428518730471</c:v>
                </c:pt>
                <c:pt idx="8">
                  <c:v>2166.2656400511623</c:v>
                </c:pt>
                <c:pt idx="9">
                  <c:v>1698.756885</c:v>
                </c:pt>
              </c:numCache>
            </c:numRef>
          </c:val>
          <c:extLst>
            <c:ext xmlns:c16="http://schemas.microsoft.com/office/drawing/2014/chart" uri="{C3380CC4-5D6E-409C-BE32-E72D297353CC}">
              <c16:uniqueId val="{00000007-0552-4461-93C9-B7D43BC96067}"/>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Aus'!$B$8:$B$51</c:f>
              <c:numCache>
                <c:formatCode>#,##0.00</c:formatCode>
                <c:ptCount val="44"/>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189.41435100000001</c:v>
                </c:pt>
                <c:pt idx="36">
                  <c:v>181.53603300000003</c:v>
                </c:pt>
                <c:pt idx="37">
                  <c:v>160.27640700000001</c:v>
                </c:pt>
                <c:pt idx="38">
                  <c:v>165.92057600000001</c:v>
                </c:pt>
                <c:pt idx="39">
                  <c:v>172.11437000000001</c:v>
                </c:pt>
                <c:pt idx="40">
                  <c:v>147.235827</c:v>
                </c:pt>
                <c:pt idx="41">
                  <c:v>148.743044</c:v>
                </c:pt>
                <c:pt idx="42">
                  <c:v>143.64904300000001</c:v>
                </c:pt>
                <c:pt idx="43">
                  <c:v>103.640789</c:v>
                </c:pt>
              </c:numCache>
            </c:numRef>
          </c:val>
          <c:extLst>
            <c:ext xmlns:c16="http://schemas.microsoft.com/office/drawing/2014/chart" uri="{C3380CC4-5D6E-409C-BE32-E72D297353CC}">
              <c16:uniqueId val="{00000001-528E-4483-8ABE-207F14A9165D}"/>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Aus'!$C$8:$C$51</c:f>
              <c:numCache>
                <c:formatCode>#,##0.00</c:formatCode>
                <c:ptCount val="44"/>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672</c:v>
                </c:pt>
                <c:pt idx="38">
                  <c:v>727.3</c:v>
                </c:pt>
                <c:pt idx="39">
                  <c:v>753.99</c:v>
                </c:pt>
                <c:pt idx="40">
                  <c:v>712.960410031577</c:v>
                </c:pt>
                <c:pt idx="41">
                  <c:v>652.399</c:v>
                </c:pt>
                <c:pt idx="42">
                  <c:v>687.22500000000002</c:v>
                </c:pt>
                <c:pt idx="43">
                  <c:v>687.13800000000003</c:v>
                </c:pt>
              </c:numCache>
            </c:numRef>
          </c:val>
          <c:extLst>
            <c:ext xmlns:c16="http://schemas.microsoft.com/office/drawing/2014/chart" uri="{C3380CC4-5D6E-409C-BE32-E72D297353CC}">
              <c16:uniqueId val="{00000000-321E-4548-86D6-F0B281A3442F}"/>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max val="1200"/>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Aus'!$T$9:$T$18</c:f>
              <c:numCache>
                <c:formatCode>#,##0.00</c:formatCode>
                <c:ptCount val="10"/>
                <c:pt idx="0">
                  <c:v>197.08071799999999</c:v>
                </c:pt>
                <c:pt idx="1">
                  <c:v>189.41435100000001</c:v>
                </c:pt>
                <c:pt idx="2">
                  <c:v>181.53603300000003</c:v>
                </c:pt>
                <c:pt idx="3">
                  <c:v>160.27640700000001</c:v>
                </c:pt>
                <c:pt idx="4">
                  <c:v>165.92057600000001</c:v>
                </c:pt>
                <c:pt idx="5">
                  <c:v>172.11437000000001</c:v>
                </c:pt>
                <c:pt idx="6">
                  <c:v>147.235827</c:v>
                </c:pt>
                <c:pt idx="7">
                  <c:v>148.743044</c:v>
                </c:pt>
                <c:pt idx="8">
                  <c:v>143.64904300000001</c:v>
                </c:pt>
                <c:pt idx="9">
                  <c:v>103.640789</c:v>
                </c:pt>
              </c:numCache>
            </c:numRef>
          </c:val>
          <c:smooth val="0"/>
          <c:extLst>
            <c:ext xmlns:c16="http://schemas.microsoft.com/office/drawing/2014/chart" uri="{C3380CC4-5D6E-409C-BE32-E72D297353CC}">
              <c16:uniqueId val="{00000000-1FB5-470E-8A06-DBA7FF6E09DB}"/>
            </c:ext>
          </c:extLst>
        </c:ser>
        <c:ser>
          <c:idx val="1"/>
          <c:order val="1"/>
          <c:tx>
            <c:v>Rest of Australia</c:v>
          </c:tx>
          <c:spPr>
            <a:ln>
              <a:solidFill>
                <a:srgbClr val="FAD6F2"/>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Aus'!$U$9:$U$18</c:f>
              <c:numCache>
                <c:formatCode>#,##0.00</c:formatCode>
                <c:ptCount val="10"/>
                <c:pt idx="0">
                  <c:v>787</c:v>
                </c:pt>
                <c:pt idx="1">
                  <c:v>800</c:v>
                </c:pt>
                <c:pt idx="2">
                  <c:v>769</c:v>
                </c:pt>
                <c:pt idx="3">
                  <c:v>672</c:v>
                </c:pt>
                <c:pt idx="4">
                  <c:v>727.3</c:v>
                </c:pt>
                <c:pt idx="5">
                  <c:v>753.99</c:v>
                </c:pt>
                <c:pt idx="6">
                  <c:v>712.960410031577</c:v>
                </c:pt>
                <c:pt idx="7">
                  <c:v>652.399</c:v>
                </c:pt>
                <c:pt idx="8">
                  <c:v>687.22500000000002</c:v>
                </c:pt>
                <c:pt idx="9">
                  <c:v>687.13800000000003</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max val="1000"/>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majorUnit val="200"/>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1723502005953151"/>
          <c:y val="0.28080177095816755"/>
          <c:w val="0.83640311144108492"/>
          <c:h val="0.5358432496713107"/>
        </c:manualLayout>
      </c:layout>
      <c:barChart>
        <c:barDir val="col"/>
        <c:grouping val="stacked"/>
        <c:varyColors val="0"/>
        <c:ser>
          <c:idx val="0"/>
          <c:order val="0"/>
          <c:tx>
            <c:v>Western Australia</c:v>
          </c:tx>
          <c:spPr>
            <a:solidFill>
              <a:srgbClr val="FF66CC"/>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Aus'!$D$8:$D$51</c:f>
              <c:numCache>
                <c:formatCode>#,##0.00</c:formatCode>
                <c:ptCount val="44"/>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pt idx="39">
                  <c:v>2.9168000000000003</c:v>
                </c:pt>
                <c:pt idx="40">
                  <c:v>1.3745150000000002</c:v>
                </c:pt>
                <c:pt idx="41">
                  <c:v>1.2656350000000001</c:v>
                </c:pt>
                <c:pt idx="42">
                  <c:v>0</c:v>
                </c:pt>
                <c:pt idx="43">
                  <c:v>37.955645000000004</c:v>
                </c:pt>
              </c:numCache>
            </c:numRef>
          </c:val>
          <c:extLst>
            <c:ext xmlns:c16="http://schemas.microsoft.com/office/drawing/2014/chart" uri="{C3380CC4-5D6E-409C-BE32-E72D297353CC}">
              <c16:uniqueId val="{00000000-8618-436C-8D6A-4DF04DC472E5}"/>
            </c:ext>
          </c:extLst>
        </c:ser>
        <c:ser>
          <c:idx val="1"/>
          <c:order val="1"/>
          <c:tx>
            <c:v>Rest of Australia</c:v>
          </c:tx>
          <c:spPr>
            <a:solidFill>
              <a:srgbClr val="DEB2D7"/>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Aus'!$E$8:$E$51</c:f>
              <c:numCache>
                <c:formatCode>#,##0.00</c:formatCode>
                <c:ptCount val="44"/>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631.29</c:v>
                </c:pt>
                <c:pt idx="29">
                  <c:v>561</c:v>
                </c:pt>
                <c:pt idx="30">
                  <c:v>616</c:v>
                </c:pt>
                <c:pt idx="31">
                  <c:v>604</c:v>
                </c:pt>
                <c:pt idx="32">
                  <c:v>613</c:v>
                </c:pt>
                <c:pt idx="33">
                  <c:v>664</c:v>
                </c:pt>
                <c:pt idx="34">
                  <c:v>642</c:v>
                </c:pt>
                <c:pt idx="35">
                  <c:v>634</c:v>
                </c:pt>
                <c:pt idx="36">
                  <c:v>436</c:v>
                </c:pt>
                <c:pt idx="37">
                  <c:v>387</c:v>
                </c:pt>
                <c:pt idx="38">
                  <c:v>438</c:v>
                </c:pt>
                <c:pt idx="39">
                  <c:v>493.82900000000001</c:v>
                </c:pt>
                <c:pt idx="40">
                  <c:v>488.88600000000002</c:v>
                </c:pt>
                <c:pt idx="41">
                  <c:v>480.55599999999998</c:v>
                </c:pt>
                <c:pt idx="42">
                  <c:v>435.267</c:v>
                </c:pt>
                <c:pt idx="43">
                  <c:v>436.50700000000001</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catAx>
        <c:axId val="11888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888320"/>
        <c:crosses val="autoZero"/>
        <c:auto val="0"/>
        <c:lblAlgn val="ctr"/>
        <c:lblOffset val="100"/>
        <c:tickLblSkip val="2"/>
        <c:noMultiLvlLbl val="1"/>
      </c:catAx>
      <c:valAx>
        <c:axId val="118888320"/>
        <c:scaling>
          <c:orientation val="minMax"/>
          <c:max val="1000"/>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Last 10 Years</a:t>
            </a:r>
          </a:p>
        </c:rich>
      </c:tx>
      <c:layout>
        <c:manualLayout>
          <c:xMode val="edge"/>
          <c:yMode val="edge"/>
          <c:x val="0.32240163840586161"/>
          <c:y val="2.0628877558948641E-2"/>
        </c:manualLayout>
      </c:layout>
      <c:overlay val="0"/>
    </c:title>
    <c:autoTitleDeleted val="0"/>
    <c:plotArea>
      <c:layout/>
      <c:lineChart>
        <c:grouping val="standard"/>
        <c:varyColors val="0"/>
        <c:ser>
          <c:idx val="0"/>
          <c:order val="0"/>
          <c:tx>
            <c:v>Western Australia</c:v>
          </c:tx>
          <c:spPr>
            <a:ln>
              <a:solidFill>
                <a:srgbClr val="FF66CC"/>
              </a:solidFill>
            </a:ln>
          </c:spPr>
          <c:marker>
            <c:spPr>
              <a:solidFill>
                <a:srgbClr val="FF66CC"/>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Aus'!$V$9:$V$18</c:f>
              <c:numCache>
                <c:formatCode>#,##0.00</c:formatCode>
                <c:ptCount val="10"/>
                <c:pt idx="0">
                  <c:v>80.888499999999993</c:v>
                </c:pt>
                <c:pt idx="1">
                  <c:v>20.259029999999999</c:v>
                </c:pt>
                <c:pt idx="2">
                  <c:v>4.76091</c:v>
                </c:pt>
                <c:pt idx="3">
                  <c:v>5.9010800000000003</c:v>
                </c:pt>
                <c:pt idx="4">
                  <c:v>6.0910000000000011</c:v>
                </c:pt>
                <c:pt idx="5">
                  <c:v>2.9168000000000003</c:v>
                </c:pt>
                <c:pt idx="6">
                  <c:v>1.3745150000000002</c:v>
                </c:pt>
                <c:pt idx="7">
                  <c:v>1.2656350000000001</c:v>
                </c:pt>
                <c:pt idx="8">
                  <c:v>0</c:v>
                </c:pt>
                <c:pt idx="9">
                  <c:v>37.955645000000004</c:v>
                </c:pt>
              </c:numCache>
            </c:numRef>
          </c:val>
          <c:smooth val="0"/>
          <c:extLst>
            <c:ext xmlns:c16="http://schemas.microsoft.com/office/drawing/2014/chart" uri="{C3380CC4-5D6E-409C-BE32-E72D297353CC}">
              <c16:uniqueId val="{00000000-2B7F-41E7-B800-C499B72DC950}"/>
            </c:ext>
          </c:extLst>
        </c:ser>
        <c:ser>
          <c:idx val="1"/>
          <c:order val="1"/>
          <c:tx>
            <c:v>Rest of Australia</c:v>
          </c:tx>
          <c:spPr>
            <a:ln>
              <a:solidFill>
                <a:srgbClr val="FAD6F2"/>
              </a:solidFill>
            </a:ln>
          </c:spPr>
          <c:marker>
            <c:spPr>
              <a:solidFill>
                <a:srgbClr val="FAD6F2"/>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Aus'!$W$9:$W$18</c:f>
              <c:numCache>
                <c:formatCode>#,##0.00</c:formatCode>
                <c:ptCount val="10"/>
                <c:pt idx="0">
                  <c:v>642</c:v>
                </c:pt>
                <c:pt idx="1">
                  <c:v>634</c:v>
                </c:pt>
                <c:pt idx="2">
                  <c:v>436</c:v>
                </c:pt>
                <c:pt idx="3">
                  <c:v>387</c:v>
                </c:pt>
                <c:pt idx="4">
                  <c:v>438</c:v>
                </c:pt>
                <c:pt idx="5">
                  <c:v>493.82900000000001</c:v>
                </c:pt>
                <c:pt idx="6">
                  <c:v>488.88600000000002</c:v>
                </c:pt>
                <c:pt idx="7">
                  <c:v>480.55599999999998</c:v>
                </c:pt>
                <c:pt idx="8">
                  <c:v>435.267</c:v>
                </c:pt>
                <c:pt idx="9">
                  <c:v>436.50700000000001</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max val="1000"/>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0488192"/>
        <c:crosses val="autoZero"/>
        <c:crossBetween val="between"/>
        <c:majorUnit val="200"/>
      </c:valAx>
      <c:catAx>
        <c:axId val="130488192"/>
        <c:scaling>
          <c:orientation val="minMax"/>
        </c:scaling>
        <c:delete val="0"/>
        <c:axPos val="b"/>
        <c:title>
          <c:tx>
            <c:rich>
              <a:bodyPr/>
              <a:lstStyle/>
              <a:p>
                <a:pPr>
                  <a:defRPr/>
                </a:pPr>
                <a:r>
                  <a:rPr lang="en-AU" sz="900" b="1" i="0" baseline="0">
                    <a:effectLst/>
                  </a:rPr>
                  <a:t>Source:  DEMIRS and OoCE</a:t>
                </a:r>
                <a:endParaRPr lang="en-AU" sz="900">
                  <a:effectLst/>
                </a:endParaRPr>
              </a:p>
            </c:rich>
          </c:tx>
          <c:layout>
            <c:manualLayout>
              <c:xMode val="edge"/>
              <c:yMode val="edge"/>
              <c:x val="6.9910404979668331E-3"/>
              <c:y val="0.94555844293665325"/>
            </c:manualLayout>
          </c:layout>
          <c:overlay val="0"/>
        </c:title>
        <c:numFmt formatCode="General" sourceLinked="1"/>
        <c:majorTickMark val="out"/>
        <c:minorTickMark val="none"/>
        <c:tickLblPos val="nextTo"/>
        <c:txPr>
          <a:bodyPr rot="-2700000"/>
          <a:lstStyle/>
          <a:p>
            <a:pPr>
              <a:defRPr/>
            </a:pPr>
            <a:endParaRPr lang="en-US"/>
          </a:p>
        </c:txPr>
        <c:crossAx val="1304862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159632471160682"/>
          <c:y val="0.26124669888827301"/>
          <c:w val="0.81257822251182332"/>
          <c:h val="0.53389075756208038"/>
        </c:manualLayout>
      </c:layout>
      <c:barChart>
        <c:barDir val="col"/>
        <c:grouping val="stacked"/>
        <c:varyColors val="0"/>
        <c:ser>
          <c:idx val="0"/>
          <c:order val="0"/>
          <c:tx>
            <c:v>Western Australia</c:v>
          </c:tx>
          <c:spPr>
            <a:solidFill>
              <a:srgbClr val="FF66CC"/>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Aus'!$F$8:$F$51</c:f>
              <c:numCache>
                <c:formatCode>#,##0.00</c:formatCode>
                <c:ptCount val="44"/>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47.985600000000005</c:v>
                </c:pt>
                <c:pt idx="34">
                  <c:v>72.763530000000003</c:v>
                </c:pt>
                <c:pt idx="35">
                  <c:v>77.178319999999999</c:v>
                </c:pt>
                <c:pt idx="36">
                  <c:v>94.963539999999995</c:v>
                </c:pt>
                <c:pt idx="37">
                  <c:v>71.788228000000004</c:v>
                </c:pt>
                <c:pt idx="38">
                  <c:v>68.823993000000002</c:v>
                </c:pt>
                <c:pt idx="39">
                  <c:v>77.819270000000003</c:v>
                </c:pt>
                <c:pt idx="40">
                  <c:v>62.050920000000005</c:v>
                </c:pt>
                <c:pt idx="41">
                  <c:v>69.051431000000008</c:v>
                </c:pt>
                <c:pt idx="42">
                  <c:v>70.478444999999994</c:v>
                </c:pt>
                <c:pt idx="43">
                  <c:v>50.522047000000001</c:v>
                </c:pt>
              </c:numCache>
            </c:numRef>
          </c:val>
          <c:extLst>
            <c:ext xmlns:c16="http://schemas.microsoft.com/office/drawing/2014/chart" uri="{C3380CC4-5D6E-409C-BE32-E72D297353CC}">
              <c16:uniqueId val="{00000000-B061-4293-A8EE-659EC05F201D}"/>
            </c:ext>
          </c:extLst>
        </c:ser>
        <c:ser>
          <c:idx val="1"/>
          <c:order val="1"/>
          <c:tx>
            <c:v>Rest of Australia</c:v>
          </c:tx>
          <c:spPr>
            <a:solidFill>
              <a:srgbClr val="DEB2D7"/>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Aus'!$G$8:$G$51</c:f>
              <c:numCache>
                <c:formatCode>#,##0.00</c:formatCode>
                <c:ptCount val="44"/>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1292.77</c:v>
                </c:pt>
                <c:pt idx="29">
                  <c:v>1166</c:v>
                </c:pt>
                <c:pt idx="30">
                  <c:v>1346</c:v>
                </c:pt>
                <c:pt idx="31">
                  <c:v>1387</c:v>
                </c:pt>
                <c:pt idx="32">
                  <c:v>1428</c:v>
                </c:pt>
                <c:pt idx="33">
                  <c:v>1419</c:v>
                </c:pt>
                <c:pt idx="34">
                  <c:v>1421</c:v>
                </c:pt>
                <c:pt idx="35">
                  <c:v>1508</c:v>
                </c:pt>
                <c:pt idx="36">
                  <c:v>806</c:v>
                </c:pt>
                <c:pt idx="37">
                  <c:v>767</c:v>
                </c:pt>
                <c:pt idx="38">
                  <c:v>1056</c:v>
                </c:pt>
                <c:pt idx="39">
                  <c:v>1248.6500000000001</c:v>
                </c:pt>
                <c:pt idx="40">
                  <c:v>1235.1289999999999</c:v>
                </c:pt>
                <c:pt idx="41">
                  <c:v>1239.028</c:v>
                </c:pt>
                <c:pt idx="42">
                  <c:v>1147.28790696805</c:v>
                </c:pt>
                <c:pt idx="43">
                  <c:v>1040.49692280864</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2"/>
        <c:majorTimeUnit val="days"/>
      </c:dateAx>
      <c:valAx>
        <c:axId val="130512384"/>
        <c:scaling>
          <c:orientation val="minMax"/>
          <c:max val="2000"/>
        </c:scaling>
        <c:delete val="0"/>
        <c:axPos val="l"/>
        <c:majorGridlines/>
        <c:title>
          <c:tx>
            <c:rich>
              <a:bodyPr rot="-5400000" vert="horz"/>
              <a:lstStyle/>
              <a:p>
                <a:pPr>
                  <a:defRPr/>
                </a:pPr>
                <a:r>
                  <a:rPr lang="en-AU"/>
                  <a:t>Thousand Tonnes</a:t>
                </a:r>
              </a:p>
            </c:rich>
          </c:tx>
          <c:layout>
            <c:manualLayout>
              <c:xMode val="edge"/>
              <c:yMode val="edge"/>
              <c:x val="1.2800581959295915E-2"/>
              <c:y val="0.34292459407770776"/>
            </c:manualLayout>
          </c:layout>
          <c:overlay val="0"/>
        </c:title>
        <c:numFmt formatCode="0" sourceLinked="0"/>
        <c:majorTickMark val="out"/>
        <c:minorTickMark val="none"/>
        <c:tickLblPos val="nextTo"/>
        <c:txPr>
          <a:bodyPr rot="0" vert="horz"/>
          <a:lstStyle/>
          <a:p>
            <a:pPr>
              <a:defRPr/>
            </a:pPr>
            <a:endParaRPr lang="en-US"/>
          </a:p>
        </c:txPr>
        <c:crossAx val="130510848"/>
        <c:crossesAt val="1"/>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a:solidFill>
                <a:srgbClr val="FF66CC"/>
              </a:solidFill>
            </a:ln>
          </c:spPr>
          <c:marker>
            <c:spPr>
              <a:solidFill>
                <a:srgbClr val="FF66CC"/>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Aus'!$X$9:$X$18</c:f>
              <c:numCache>
                <c:formatCode>#,##0.00</c:formatCode>
                <c:ptCount val="10"/>
                <c:pt idx="0">
                  <c:v>72.763530000000003</c:v>
                </c:pt>
                <c:pt idx="1">
                  <c:v>77.178319999999999</c:v>
                </c:pt>
                <c:pt idx="2">
                  <c:v>94.963539999999995</c:v>
                </c:pt>
                <c:pt idx="3">
                  <c:v>71.788228000000004</c:v>
                </c:pt>
                <c:pt idx="4">
                  <c:v>68.823993000000002</c:v>
                </c:pt>
                <c:pt idx="5">
                  <c:v>77.819270000000003</c:v>
                </c:pt>
                <c:pt idx="6">
                  <c:v>62.050920000000005</c:v>
                </c:pt>
                <c:pt idx="7">
                  <c:v>69.051431000000008</c:v>
                </c:pt>
                <c:pt idx="8">
                  <c:v>70.478444999999994</c:v>
                </c:pt>
                <c:pt idx="9">
                  <c:v>50.522047000000001</c:v>
                </c:pt>
              </c:numCache>
            </c:numRef>
          </c:val>
          <c:smooth val="0"/>
          <c:extLst>
            <c:ext xmlns:c16="http://schemas.microsoft.com/office/drawing/2014/chart" uri="{C3380CC4-5D6E-409C-BE32-E72D297353CC}">
              <c16:uniqueId val="{00000000-671C-45F4-904A-7460F2410EC0}"/>
            </c:ext>
          </c:extLst>
        </c:ser>
        <c:ser>
          <c:idx val="1"/>
          <c:order val="1"/>
          <c:tx>
            <c:v>Rest of Australia</c:v>
          </c:tx>
          <c:spPr>
            <a:ln>
              <a:solidFill>
                <a:srgbClr val="FAD6F2"/>
              </a:solidFill>
            </a:ln>
          </c:spPr>
          <c:marker>
            <c:spPr>
              <a:solidFill>
                <a:srgbClr val="FAD6F2"/>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Aus'!$Y$9:$Y$18</c:f>
              <c:numCache>
                <c:formatCode>#,##0.00</c:formatCode>
                <c:ptCount val="10"/>
                <c:pt idx="0">
                  <c:v>1421</c:v>
                </c:pt>
                <c:pt idx="1">
                  <c:v>1508</c:v>
                </c:pt>
                <c:pt idx="2">
                  <c:v>806</c:v>
                </c:pt>
                <c:pt idx="3">
                  <c:v>767</c:v>
                </c:pt>
                <c:pt idx="4">
                  <c:v>1056</c:v>
                </c:pt>
                <c:pt idx="5">
                  <c:v>1248.6500000000001</c:v>
                </c:pt>
                <c:pt idx="6">
                  <c:v>1235.1289999999999</c:v>
                </c:pt>
                <c:pt idx="7">
                  <c:v>1239.028</c:v>
                </c:pt>
                <c:pt idx="8">
                  <c:v>1147.28790696805</c:v>
                </c:pt>
                <c:pt idx="9">
                  <c:v>1040.49692280864</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max val="2000"/>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DEMIRS and OoCE</a:t>
                </a:r>
                <a:endParaRPr lang="en-AU" sz="900">
                  <a:effectLst/>
                </a:endParaRPr>
              </a:p>
            </c:rich>
          </c:tx>
          <c:layout>
            <c:manualLayout>
              <c:xMode val="edge"/>
              <c:yMode val="edge"/>
              <c:x val="6.7933445082519238E-3"/>
              <c:y val="0.95147395944337287"/>
            </c:manualLayout>
          </c:layout>
          <c:overlay val="0"/>
        </c:title>
        <c:numFmt formatCode="General" sourceLinked="1"/>
        <c:majorTickMark val="out"/>
        <c:minorTickMark val="none"/>
        <c:tickLblPos val="nextTo"/>
        <c:txPr>
          <a:bodyPr rot="-2700000"/>
          <a:lstStyle/>
          <a:p>
            <a:pPr>
              <a:defRPr/>
            </a:pPr>
            <a:endParaRPr lang="en-US"/>
          </a:p>
        </c:txPr>
        <c:crossAx val="1305470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Annual Prices, Historic</a:t>
            </a:r>
            <a:endParaRPr lang="en-AU" sz="1100"/>
          </a:p>
        </c:rich>
      </c:tx>
      <c:overlay val="0"/>
    </c:title>
    <c:autoTitleDeleted val="0"/>
    <c:plotArea>
      <c:layout>
        <c:manualLayout>
          <c:layoutTarget val="inner"/>
          <c:xMode val="edge"/>
          <c:yMode val="edge"/>
          <c:x val="9.7556572820006349E-2"/>
          <c:y val="0.21594454486890244"/>
          <c:w val="0.83100014127612065"/>
          <c:h val="0.57345882610200993"/>
        </c:manualLayout>
      </c:layout>
      <c:lineChart>
        <c:grouping val="standard"/>
        <c:varyColors val="0"/>
        <c:ser>
          <c:idx val="0"/>
          <c:order val="0"/>
          <c:tx>
            <c:v>US$</c:v>
          </c:tx>
          <c:spPr>
            <a:ln>
              <a:solidFill>
                <a:srgbClr val="C89600"/>
              </a:solidFill>
            </a:ln>
          </c:spPr>
          <c:marker>
            <c:symbol val="none"/>
          </c:marker>
          <c:cat>
            <c:numRef>
              <c:f>'Gold - Prices'!$G$8:$G$60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numCache>
            </c:numRef>
          </c:cat>
          <c:val>
            <c:numRef>
              <c:f>'Gold - Prices'!$H$8:$H$60</c:f>
              <c:numCache>
                <c:formatCode>#,##0.00</c:formatCode>
                <c:ptCount val="53"/>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278.80983333333336</c:v>
                </c:pt>
                <c:pt idx="29">
                  <c:v>279.07016666666664</c:v>
                </c:pt>
                <c:pt idx="30">
                  <c:v>270.98433333333332</c:v>
                </c:pt>
                <c:pt idx="31">
                  <c:v>309.90974999999997</c:v>
                </c:pt>
                <c:pt idx="32">
                  <c:v>363.41191666666668</c:v>
                </c:pt>
                <c:pt idx="33">
                  <c:v>409.18650000000002</c:v>
                </c:pt>
                <c:pt idx="34">
                  <c:v>444.86325000000005</c:v>
                </c:pt>
                <c:pt idx="35">
                  <c:v>604.28508333333332</c:v>
                </c:pt>
                <c:pt idx="36">
                  <c:v>696.61141666666674</c:v>
                </c:pt>
                <c:pt idx="37">
                  <c:v>871.50808333333327</c:v>
                </c:pt>
                <c:pt idx="38">
                  <c:v>972.84858333333341</c:v>
                </c:pt>
                <c:pt idx="39">
                  <c:v>1224.5156666666664</c:v>
                </c:pt>
                <c:pt idx="40">
                  <c:v>1568.3911666666665</c:v>
                </c:pt>
                <c:pt idx="41">
                  <c:v>1668.8206666666663</c:v>
                </c:pt>
                <c:pt idx="42">
                  <c:v>1410.8681666666664</c:v>
                </c:pt>
                <c:pt idx="43">
                  <c:v>1266.1936666666666</c:v>
                </c:pt>
                <c:pt idx="44">
                  <c:v>1160.1145833333333</c:v>
                </c:pt>
                <c:pt idx="45">
                  <c:v>1248.3405833333334</c:v>
                </c:pt>
                <c:pt idx="46">
                  <c:v>1257.1273333333331</c:v>
                </c:pt>
                <c:pt idx="47">
                  <c:v>1269.1405000000002</c:v>
                </c:pt>
                <c:pt idx="48">
                  <c:v>1392.1745833333334</c:v>
                </c:pt>
                <c:pt idx="49">
                  <c:v>1769.5873333333336</c:v>
                </c:pt>
                <c:pt idx="50">
                  <c:v>1799.576</c:v>
                </c:pt>
                <c:pt idx="51">
                  <c:v>1800.7952499999999</c:v>
                </c:pt>
                <c:pt idx="52">
                  <c:v>1942.7394999999999</c:v>
                </c:pt>
              </c:numCache>
            </c:numRef>
          </c:val>
          <c:smooth val="0"/>
          <c:extLst>
            <c:ext xmlns:c16="http://schemas.microsoft.com/office/drawing/2014/chart" uri="{C3380CC4-5D6E-409C-BE32-E72D297353CC}">
              <c16:uniqueId val="{00000000-376A-432B-8AB2-6469BA6F3769}"/>
            </c:ext>
          </c:extLst>
        </c:ser>
        <c:ser>
          <c:idx val="1"/>
          <c:order val="1"/>
          <c:tx>
            <c:v>A$</c:v>
          </c:tx>
          <c:spPr>
            <a:ln>
              <a:solidFill>
                <a:srgbClr val="FFC000"/>
              </a:solidFill>
            </a:ln>
          </c:spPr>
          <c:marker>
            <c:symbol val="none"/>
          </c:marker>
          <c:cat>
            <c:numRef>
              <c:f>'Gold - Prices'!$G$8:$G$60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numCache>
            </c:numRef>
          </c:cat>
          <c:val>
            <c:numRef>
              <c:f>'Gold - Prices'!$I$8:$I$60</c:f>
              <c:numCache>
                <c:formatCode>#,##0.00</c:formatCode>
                <c:ptCount val="53"/>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499.25210832669535</c:v>
                </c:pt>
                <c:pt idx="24">
                  <c:v>517.43880151020551</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pt idx="46">
                  <c:v>1645.8166666666666</c:v>
                </c:pt>
                <c:pt idx="47">
                  <c:v>1700.585</c:v>
                </c:pt>
                <c:pt idx="48">
                  <c:v>2009.4724999999996</c:v>
                </c:pt>
                <c:pt idx="49">
                  <c:v>2566.8400000000006</c:v>
                </c:pt>
                <c:pt idx="50">
                  <c:v>2402.1908333333336</c:v>
                </c:pt>
                <c:pt idx="51">
                  <c:v>2594.8344265415394</c:v>
                </c:pt>
                <c:pt idx="52">
                  <c:v>2926.8317733365329</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sz="900"/>
                </a:pPr>
                <a:r>
                  <a:rPr lang="en-AU" sz="900"/>
                  <a:t>Source: Perth Mint and LBMA</a:t>
                </a:r>
              </a:p>
            </c:rich>
          </c:tx>
          <c:layout>
            <c:manualLayout>
              <c:xMode val="edge"/>
              <c:yMode val="edge"/>
              <c:x val="0"/>
              <c:y val="0.9369522893360468"/>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Unit val="1"/>
        <c:majorTimeUnit val="days"/>
      </c:dateAx>
      <c:valAx>
        <c:axId val="132150784"/>
        <c:scaling>
          <c:orientation val="minMax"/>
        </c:scaling>
        <c:delete val="0"/>
        <c:axPos val="l"/>
        <c:majorGridlines/>
        <c:title>
          <c:tx>
            <c:rich>
              <a:bodyPr rot="-5400000" vert="horz"/>
              <a:lstStyle/>
              <a:p>
                <a:pPr>
                  <a:defRPr/>
                </a:pPr>
                <a:r>
                  <a:rPr lang="en-AU"/>
                  <a:t>$</a:t>
                </a:r>
                <a:r>
                  <a:rPr lang="en-AU" baseline="0"/>
                  <a:t> per </a:t>
                </a:r>
                <a:r>
                  <a:rPr lang="en-AU"/>
                  <a:t>ounce</a:t>
                </a:r>
              </a:p>
            </c:rich>
          </c:tx>
          <c:layout>
            <c:manualLayout>
              <c:xMode val="edge"/>
              <c:yMode val="edge"/>
              <c:x val="1.5645336082818879E-2"/>
              <c:y val="0.43371231095159529"/>
            </c:manualLayout>
          </c:layout>
          <c:overlay val="0"/>
        </c:title>
        <c:numFmt formatCode="#,##0" sourceLinked="0"/>
        <c:majorTickMark val="out"/>
        <c:minorTickMark val="none"/>
        <c:tickLblPos val="nextTo"/>
        <c:spPr>
          <a:ln/>
        </c:spPr>
        <c:crossAx val="13214451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Prices, Last 5 Years</a:t>
            </a:r>
          </a:p>
        </c:rich>
      </c:tx>
      <c:layout>
        <c:manualLayout>
          <c:xMode val="edge"/>
          <c:yMode val="edge"/>
          <c:x val="0.37649732147927539"/>
          <c:y val="2.0337978773235541E-2"/>
        </c:manualLayout>
      </c:layout>
      <c:overlay val="0"/>
    </c:title>
    <c:autoTitleDeleted val="0"/>
    <c:plotArea>
      <c:layout/>
      <c:lineChart>
        <c:grouping val="standard"/>
        <c:varyColors val="0"/>
        <c:ser>
          <c:idx val="0"/>
          <c:order val="0"/>
          <c:tx>
            <c:v>US$</c:v>
          </c:tx>
          <c:spPr>
            <a:ln>
              <a:solidFill>
                <a:srgbClr val="C89600"/>
              </a:solidFill>
            </a:ln>
          </c:spPr>
          <c:marker>
            <c:symbol val="none"/>
          </c:marker>
          <c:cat>
            <c:numRef>
              <c:f>'Gold - Prices'!$A$8:$A$68</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'Gold - Prices'!$B$8:$B$68</c:f>
              <c:numCache>
                <c:formatCode>#,##0.00</c:formatCode>
                <c:ptCount val="61"/>
                <c:pt idx="0">
                  <c:v>1247.924</c:v>
                </c:pt>
                <c:pt idx="1">
                  <c:v>1291.7449999999999</c:v>
                </c:pt>
                <c:pt idx="2">
                  <c:v>1320.0650000000001</c:v>
                </c:pt>
                <c:pt idx="3">
                  <c:v>1300.8979999999999</c:v>
                </c:pt>
                <c:pt idx="4">
                  <c:v>1286.4449999999999</c:v>
                </c:pt>
                <c:pt idx="5">
                  <c:v>1283.9480000000001</c:v>
                </c:pt>
                <c:pt idx="6">
                  <c:v>1283.9480000000001</c:v>
                </c:pt>
                <c:pt idx="7">
                  <c:v>1412.9780000000001</c:v>
                </c:pt>
                <c:pt idx="8">
                  <c:v>1498.798</c:v>
                </c:pt>
                <c:pt idx="9">
                  <c:v>1511.3140000000001</c:v>
                </c:pt>
                <c:pt idx="10">
                  <c:v>1494.8</c:v>
                </c:pt>
                <c:pt idx="11">
                  <c:v>1470.0170000000001</c:v>
                </c:pt>
                <c:pt idx="12">
                  <c:v>1476.0440000000001</c:v>
                </c:pt>
                <c:pt idx="13">
                  <c:v>1560.673</c:v>
                </c:pt>
                <c:pt idx="14">
                  <c:v>1597.1030000000001</c:v>
                </c:pt>
                <c:pt idx="15">
                  <c:v>1591.9269999999999</c:v>
                </c:pt>
                <c:pt idx="16">
                  <c:v>1682.93</c:v>
                </c:pt>
                <c:pt idx="17">
                  <c:v>1716.3820000000001</c:v>
                </c:pt>
                <c:pt idx="18">
                  <c:v>1732.2180000000001</c:v>
                </c:pt>
                <c:pt idx="19">
                  <c:v>1843.3130000000001</c:v>
                </c:pt>
                <c:pt idx="20">
                  <c:v>1968.5650000000001</c:v>
                </c:pt>
                <c:pt idx="21">
                  <c:v>1922.2139999999999</c:v>
                </c:pt>
                <c:pt idx="22">
                  <c:v>1900.2750000000001</c:v>
                </c:pt>
                <c:pt idx="23">
                  <c:v>1863.4929999999999</c:v>
                </c:pt>
                <c:pt idx="24">
                  <c:v>1855.9549999999999</c:v>
                </c:pt>
                <c:pt idx="25">
                  <c:v>1866.9849999999999</c:v>
                </c:pt>
                <c:pt idx="26">
                  <c:v>1808.175</c:v>
                </c:pt>
                <c:pt idx="27">
                  <c:v>1718.2280000000001</c:v>
                </c:pt>
                <c:pt idx="28">
                  <c:v>1761.6780000000001</c:v>
                </c:pt>
                <c:pt idx="29">
                  <c:v>1853.2239999999999</c:v>
                </c:pt>
                <c:pt idx="30">
                  <c:v>1834.566</c:v>
                </c:pt>
                <c:pt idx="31">
                  <c:v>1807.0930000000001</c:v>
                </c:pt>
                <c:pt idx="32">
                  <c:v>1783.9690000000001</c:v>
                </c:pt>
                <c:pt idx="33">
                  <c:v>1777.252</c:v>
                </c:pt>
                <c:pt idx="34">
                  <c:v>1776.855</c:v>
                </c:pt>
                <c:pt idx="35">
                  <c:v>1820.2339999999999</c:v>
                </c:pt>
                <c:pt idx="36">
                  <c:v>1786.653</c:v>
                </c:pt>
                <c:pt idx="37">
                  <c:v>1816.7650000000001</c:v>
                </c:pt>
                <c:pt idx="38">
                  <c:v>1856.2950000000001</c:v>
                </c:pt>
                <c:pt idx="39">
                  <c:v>1947.828</c:v>
                </c:pt>
                <c:pt idx="40">
                  <c:v>1933.9</c:v>
                </c:pt>
                <c:pt idx="41">
                  <c:v>1848.3019999999999</c:v>
                </c:pt>
                <c:pt idx="42">
                  <c:v>1833.825</c:v>
                </c:pt>
                <c:pt idx="43">
                  <c:v>1736.3710000000001</c:v>
                </c:pt>
                <c:pt idx="44">
                  <c:v>1765.655</c:v>
                </c:pt>
                <c:pt idx="45">
                  <c:v>1682.9670000000001</c:v>
                </c:pt>
                <c:pt idx="46">
                  <c:v>1664.4449999999999</c:v>
                </c:pt>
                <c:pt idx="47">
                  <c:v>1726.4480000000001</c:v>
                </c:pt>
                <c:pt idx="48">
                  <c:v>1796.742</c:v>
                </c:pt>
                <c:pt idx="49">
                  <c:v>1898.6289999999999</c:v>
                </c:pt>
                <c:pt idx="50">
                  <c:v>1854.54</c:v>
                </c:pt>
                <c:pt idx="51">
                  <c:v>1912.73</c:v>
                </c:pt>
                <c:pt idx="52">
                  <c:v>2000.4169999999999</c:v>
                </c:pt>
                <c:pt idx="53">
                  <c:v>1990.2180000000001</c:v>
                </c:pt>
                <c:pt idx="54">
                  <c:v>1942.9</c:v>
                </c:pt>
                <c:pt idx="55">
                  <c:v>1948.855</c:v>
                </c:pt>
                <c:pt idx="56">
                  <c:v>1920.0250000000001</c:v>
                </c:pt>
                <c:pt idx="57">
                  <c:v>1916.96</c:v>
                </c:pt>
                <c:pt idx="58">
                  <c:v>1913.0360000000001</c:v>
                </c:pt>
                <c:pt idx="59">
                  <c:v>1985.2729999999999</c:v>
                </c:pt>
                <c:pt idx="60">
                  <c:v>2029.2909999999999</c:v>
                </c:pt>
              </c:numCache>
            </c:numRef>
          </c:val>
          <c:smooth val="0"/>
          <c:extLst>
            <c:ext xmlns:c16="http://schemas.microsoft.com/office/drawing/2014/chart" uri="{C3380CC4-5D6E-409C-BE32-E72D297353CC}">
              <c16:uniqueId val="{00000000-E307-4EF4-A21C-A0FCAF78F29E}"/>
            </c:ext>
          </c:extLst>
        </c:ser>
        <c:ser>
          <c:idx val="1"/>
          <c:order val="1"/>
          <c:tx>
            <c:v>A$</c:v>
          </c:tx>
          <c:spPr>
            <a:ln>
              <a:solidFill>
                <a:srgbClr val="FFC000"/>
              </a:solidFill>
            </a:ln>
          </c:spPr>
          <c:marker>
            <c:symbol val="none"/>
          </c:marker>
          <c:cat>
            <c:numRef>
              <c:f>'Gold - Prices'!$A$8:$A$68</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'Gold - Prices'!$C$8:$C$68</c:f>
              <c:numCache>
                <c:formatCode>#,##0.00</c:formatCode>
                <c:ptCount val="61"/>
                <c:pt idx="0">
                  <c:v>1748.32</c:v>
                </c:pt>
                <c:pt idx="1">
                  <c:v>1811.23</c:v>
                </c:pt>
                <c:pt idx="2">
                  <c:v>1849.13</c:v>
                </c:pt>
                <c:pt idx="3">
                  <c:v>1841.84</c:v>
                </c:pt>
                <c:pt idx="4">
                  <c:v>1812.21</c:v>
                </c:pt>
                <c:pt idx="5">
                  <c:v>1850.4</c:v>
                </c:pt>
                <c:pt idx="6">
                  <c:v>1850.4</c:v>
                </c:pt>
                <c:pt idx="7">
                  <c:v>2029.59</c:v>
                </c:pt>
                <c:pt idx="8">
                  <c:v>2218.41</c:v>
                </c:pt>
                <c:pt idx="9">
                  <c:v>2221.84</c:v>
                </c:pt>
                <c:pt idx="10">
                  <c:v>2203.9299999999998</c:v>
                </c:pt>
                <c:pt idx="11">
                  <c:v>2160.4899999999998</c:v>
                </c:pt>
                <c:pt idx="12">
                  <c:v>2156.37</c:v>
                </c:pt>
                <c:pt idx="13">
                  <c:v>2268.7600000000002</c:v>
                </c:pt>
                <c:pt idx="14">
                  <c:v>2397.5300000000002</c:v>
                </c:pt>
                <c:pt idx="15">
                  <c:v>2565.17</c:v>
                </c:pt>
                <c:pt idx="16">
                  <c:v>2679.81</c:v>
                </c:pt>
                <c:pt idx="17">
                  <c:v>2646.51</c:v>
                </c:pt>
                <c:pt idx="18">
                  <c:v>2520.19</c:v>
                </c:pt>
                <c:pt idx="19">
                  <c:v>2616.4699999999998</c:v>
                </c:pt>
                <c:pt idx="20">
                  <c:v>2706.23</c:v>
                </c:pt>
                <c:pt idx="21">
                  <c:v>2668.63</c:v>
                </c:pt>
                <c:pt idx="22">
                  <c:v>2673.54</c:v>
                </c:pt>
                <c:pt idx="23">
                  <c:v>2586.6999999999998</c:v>
                </c:pt>
                <c:pt idx="24">
                  <c:v>2472.54</c:v>
                </c:pt>
                <c:pt idx="25">
                  <c:v>2420.9499999999998</c:v>
                </c:pt>
                <c:pt idx="26">
                  <c:v>2340.19</c:v>
                </c:pt>
                <c:pt idx="27">
                  <c:v>2241.92</c:v>
                </c:pt>
                <c:pt idx="28">
                  <c:v>2289.79</c:v>
                </c:pt>
                <c:pt idx="29">
                  <c:v>2385.63</c:v>
                </c:pt>
                <c:pt idx="30">
                  <c:v>2409.0100000000002</c:v>
                </c:pt>
                <c:pt idx="31">
                  <c:v>2436.5100000000002</c:v>
                </c:pt>
                <c:pt idx="32">
                  <c:v>2449.9299999999998</c:v>
                </c:pt>
                <c:pt idx="33">
                  <c:v>2437.69</c:v>
                </c:pt>
                <c:pt idx="34">
                  <c:v>2405.17</c:v>
                </c:pt>
                <c:pt idx="35">
                  <c:v>2495.37</c:v>
                </c:pt>
                <c:pt idx="36">
                  <c:v>2514.13</c:v>
                </c:pt>
                <c:pt idx="37">
                  <c:v>2538.2399999999998</c:v>
                </c:pt>
                <c:pt idx="38">
                  <c:v>2595.4325389285709</c:v>
                </c:pt>
                <c:pt idx="39">
                  <c:v>2640.7890441935479</c:v>
                </c:pt>
                <c:pt idx="40">
                  <c:v>2630.7344226666669</c:v>
                </c:pt>
                <c:pt idx="41">
                  <c:v>2623.7636222580645</c:v>
                </c:pt>
                <c:pt idx="42">
                  <c:v>2618.6942396666664</c:v>
                </c:pt>
                <c:pt idx="43">
                  <c:v>2539.8083667741939</c:v>
                </c:pt>
                <c:pt idx="44">
                  <c:v>2537.6864038709678</c:v>
                </c:pt>
                <c:pt idx="45">
                  <c:v>2517.5442363333336</c:v>
                </c:pt>
                <c:pt idx="46">
                  <c:v>2617.8040206451606</c:v>
                </c:pt>
                <c:pt idx="47">
                  <c:v>2614.5277180000003</c:v>
                </c:pt>
                <c:pt idx="48">
                  <c:v>2662.9885051612905</c:v>
                </c:pt>
                <c:pt idx="49">
                  <c:v>2730.4556435483869</c:v>
                </c:pt>
                <c:pt idx="50">
                  <c:v>2690.315099285714</c:v>
                </c:pt>
                <c:pt idx="51">
                  <c:v>2866.6851138709671</c:v>
                </c:pt>
                <c:pt idx="52">
                  <c:v>2986.6147209999995</c:v>
                </c:pt>
                <c:pt idx="53">
                  <c:v>2995.5709090322575</c:v>
                </c:pt>
                <c:pt idx="54">
                  <c:v>2895.1332883333325</c:v>
                </c:pt>
                <c:pt idx="55">
                  <c:v>2894.3292848387091</c:v>
                </c:pt>
                <c:pt idx="56">
                  <c:v>2960.7191825806458</c:v>
                </c:pt>
                <c:pt idx="57">
                  <c:v>2984.2054969999995</c:v>
                </c:pt>
                <c:pt idx="58">
                  <c:v>3023.2649787096771</c:v>
                </c:pt>
                <c:pt idx="59">
                  <c:v>3052.067697</c:v>
                </c:pt>
                <c:pt idx="60">
                  <c:v>3042.6198648387103</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0"/>
        </c:scaling>
        <c:delete val="0"/>
        <c:axPos val="l"/>
        <c:majorGridlines/>
        <c:title>
          <c:tx>
            <c:rich>
              <a:bodyPr/>
              <a:lstStyle/>
              <a:p>
                <a:pPr>
                  <a:defRPr/>
                </a:pPr>
                <a:r>
                  <a:rPr lang="en-AU"/>
                  <a:t>$</a:t>
                </a:r>
                <a:r>
                  <a:rPr lang="en-AU" baseline="0"/>
                  <a:t> per </a:t>
                </a:r>
                <a:r>
                  <a:rPr lang="en-AU"/>
                  <a:t>ounce</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midCat"/>
      </c:valAx>
      <c:dateAx>
        <c:axId val="132174976"/>
        <c:scaling>
          <c:orientation val="minMax"/>
        </c:scaling>
        <c:delete val="0"/>
        <c:axPos val="b"/>
        <c:title>
          <c:tx>
            <c:rich>
              <a:bodyPr/>
              <a:lstStyle/>
              <a:p>
                <a:pPr>
                  <a:defRPr sz="900"/>
                </a:pPr>
                <a:r>
                  <a:rPr lang="en-AU" sz="900"/>
                  <a:t>Source: Perth</a:t>
                </a:r>
                <a:r>
                  <a:rPr lang="en-AU" sz="900" baseline="0"/>
                  <a:t> Mint </a:t>
                </a:r>
                <a:r>
                  <a:rPr lang="en-AU" sz="900"/>
                  <a:t>and </a:t>
                </a:r>
                <a:r>
                  <a:rPr lang="en-AU" sz="900" b="1" i="0" u="none" strike="noStrike" kern="1200" baseline="0">
                    <a:solidFill>
                      <a:sysClr val="windowText" lastClr="000000"/>
                    </a:solidFill>
                  </a:rPr>
                  <a:t>LBMA</a:t>
                </a:r>
                <a:endParaRPr lang="en-AU" sz="900"/>
              </a:p>
            </c:rich>
          </c:tx>
          <c:layout>
            <c:manualLayout>
              <c:xMode val="edge"/>
              <c:yMode val="edge"/>
              <c:x val="0"/>
              <c:y val="0.94531619284781088"/>
            </c:manualLayout>
          </c:layout>
          <c:overlay val="0"/>
        </c:title>
        <c:numFmt formatCode="mmm\-yy" sourceLinked="1"/>
        <c:majorTickMark val="out"/>
        <c:minorTickMark val="none"/>
        <c:tickLblPos val="nextTo"/>
        <c:txPr>
          <a:bodyPr rot="-2700000"/>
          <a:lstStyle/>
          <a:p>
            <a:pPr>
              <a:defRPr/>
            </a:pPr>
            <a:endParaRPr lang="en-US"/>
          </a:p>
        </c:txPr>
        <c:crossAx val="13217318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C000"/>
            </a:solidFill>
          </c:spPr>
          <c:invertIfNegative val="0"/>
          <c:cat>
            <c:numRef>
              <c:f>'Gold - Q&amp;V'!$N$10:$N$18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'Gold - Q&amp;V'!$O$10:$O$18</c:f>
              <c:numCache>
                <c:formatCode>0.00</c:formatCode>
                <c:ptCount val="9"/>
                <c:pt idx="0">
                  <c:v>52.716413112901712</c:v>
                </c:pt>
                <c:pt idx="1">
                  <c:v>53.812187543047528</c:v>
                </c:pt>
                <c:pt idx="2">
                  <c:v>53.717884911737585</c:v>
                </c:pt>
                <c:pt idx="3">
                  <c:v>53.605277355571765</c:v>
                </c:pt>
                <c:pt idx="4">
                  <c:v>53.406536931726208</c:v>
                </c:pt>
                <c:pt idx="5">
                  <c:v>49.543430277736618</c:v>
                </c:pt>
                <c:pt idx="6">
                  <c:v>56.338124688135274</c:v>
                </c:pt>
                <c:pt idx="7">
                  <c:v>50.822118874041742</c:v>
                </c:pt>
                <c:pt idx="8">
                  <c:v>54.512742503782938</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v>Value</c:v>
          </c:tx>
          <c:spPr>
            <a:ln>
              <a:solidFill>
                <a:srgbClr val="C89600"/>
              </a:solidFill>
            </a:ln>
          </c:spPr>
          <c:marker>
            <c:symbol val="none"/>
          </c:marker>
          <c:cat>
            <c:numRef>
              <c:f>'Nickel - Q&amp;V'!$R$10:$R$18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'Gold - Q&amp;V'!$P$10:$P$18</c:f>
              <c:numCache>
                <c:formatCode>#,##0.00</c:formatCode>
                <c:ptCount val="9"/>
                <c:pt idx="0">
                  <c:v>4180.1658969999999</c:v>
                </c:pt>
                <c:pt idx="1">
                  <c:v>4481.3439829999998</c:v>
                </c:pt>
                <c:pt idx="2">
                  <c:v>4519.2586309999997</c:v>
                </c:pt>
                <c:pt idx="3">
                  <c:v>4355.6182360000003</c:v>
                </c:pt>
                <c:pt idx="4">
                  <c:v>4519.3915639999996</c:v>
                </c:pt>
                <c:pt idx="5">
                  <c:v>4402.2945890000001</c:v>
                </c:pt>
                <c:pt idx="6">
                  <c:v>5354.7747979999995</c:v>
                </c:pt>
                <c:pt idx="7">
                  <c:v>4812.1359489999995</c:v>
                </c:pt>
                <c:pt idx="8">
                  <c:v>5321.7693060000001</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DEM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ax val="6000"/>
          <c:min val="0"/>
        </c:scaling>
        <c:delete val="0"/>
        <c:axPos val="l"/>
        <c:majorGridlines/>
        <c:title>
          <c:tx>
            <c:rich>
              <a:bodyPr rot="-5400000" vert="horz"/>
              <a:lstStyle/>
              <a:p>
                <a:pPr>
                  <a:defRPr/>
                </a:pPr>
                <a:r>
                  <a:rPr lang="en-AU"/>
                  <a:t>$ 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Q&amp;V'!$O$34</c:f>
              <c:strCache>
                <c:ptCount val="1"/>
                <c:pt idx="0">
                  <c:v>Quantity (t)</c:v>
                </c:pt>
              </c:strCache>
            </c:strRef>
          </c:tx>
          <c:spPr>
            <a:solidFill>
              <a:srgbClr val="FFC000"/>
            </a:solidFill>
            <a:ln>
              <a:noFill/>
            </a:ln>
          </c:spPr>
          <c:invertIfNegative val="0"/>
          <c:cat>
            <c:numRef>
              <c:f>'Gold - Q&amp;V'!$N$35:$N$54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'Gold - Q&amp;V'!$O$35:$O$54</c:f>
              <c:numCache>
                <c:formatCode>#,##0.00</c:formatCode>
                <c:ptCount val="20"/>
                <c:pt idx="0">
                  <c:v>163.88</c:v>
                </c:pt>
                <c:pt idx="1">
                  <c:v>167.28532349</c:v>
                </c:pt>
                <c:pt idx="2">
                  <c:v>162.96909348999998</c:v>
                </c:pt>
                <c:pt idx="3">
                  <c:v>151.44883905999998</c:v>
                </c:pt>
                <c:pt idx="4">
                  <c:v>132.07425353000002</c:v>
                </c:pt>
                <c:pt idx="5">
                  <c:v>146.42791006000002</c:v>
                </c:pt>
                <c:pt idx="6">
                  <c:v>182.89955302999999</c:v>
                </c:pt>
                <c:pt idx="7">
                  <c:v>179.60817457000002</c:v>
                </c:pt>
                <c:pt idx="8">
                  <c:v>181.28663516</c:v>
                </c:pt>
                <c:pt idx="9">
                  <c:v>187.46183645020105</c:v>
                </c:pt>
                <c:pt idx="10">
                  <c:v>194.61577561329443</c:v>
                </c:pt>
                <c:pt idx="11">
                  <c:v>194.47144014692839</c:v>
                </c:pt>
                <c:pt idx="12">
                  <c:v>197.07233863062316</c:v>
                </c:pt>
                <c:pt idx="13">
                  <c:v>210.99182809083629</c:v>
                </c:pt>
                <c:pt idx="14">
                  <c:v>211.09598533001116</c:v>
                </c:pt>
                <c:pt idx="15">
                  <c:v>213.87697104706595</c:v>
                </c:pt>
                <c:pt idx="16">
                  <c:v>209.72645486184584</c:v>
                </c:pt>
                <c:pt idx="17">
                  <c:v>207.37680836642937</c:v>
                </c:pt>
                <c:pt idx="18">
                  <c:v>214.54188674208308</c:v>
                </c:pt>
                <c:pt idx="19">
                  <c:v>211.21641634369655</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Q&amp;V'!$P$34</c:f>
              <c:strCache>
                <c:ptCount val="1"/>
                <c:pt idx="0">
                  <c:v>Value ($ Million)</c:v>
                </c:pt>
              </c:strCache>
            </c:strRef>
          </c:tx>
          <c:spPr>
            <a:ln>
              <a:solidFill>
                <a:srgbClr val="C89600"/>
              </a:solidFill>
            </a:ln>
          </c:spPr>
          <c:marker>
            <c:symbol val="none"/>
          </c:marker>
          <c:cat>
            <c:numRef>
              <c:f>'Gold - Q&amp;V'!$N$35:$N$54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'Gold - Q&amp;V'!$P$35:$P$54</c:f>
              <c:numCache>
                <c:formatCode>#,##0.00</c:formatCode>
                <c:ptCount val="20"/>
                <c:pt idx="0">
                  <c:v>2931.38</c:v>
                </c:pt>
                <c:pt idx="1">
                  <c:v>3144.134798</c:v>
                </c:pt>
                <c:pt idx="2">
                  <c:v>4208.3325700000005</c:v>
                </c:pt>
                <c:pt idx="3">
                  <c:v>4039.0577290000001</c:v>
                </c:pt>
                <c:pt idx="4">
                  <c:v>4399.5130680000002</c:v>
                </c:pt>
                <c:pt idx="5">
                  <c:v>5814.4216130000004</c:v>
                </c:pt>
                <c:pt idx="6">
                  <c:v>7849.1314590000002</c:v>
                </c:pt>
                <c:pt idx="7">
                  <c:v>8793.8925789999994</c:v>
                </c:pt>
                <c:pt idx="8">
                  <c:v>9380.3064720000002</c:v>
                </c:pt>
                <c:pt idx="9">
                  <c:v>8743.0332229999985</c:v>
                </c:pt>
                <c:pt idx="10">
                  <c:v>8780.646553999999</c:v>
                </c:pt>
                <c:pt idx="11">
                  <c:v>9627.6513769999983</c:v>
                </c:pt>
                <c:pt idx="12">
                  <c:v>10629.36248</c:v>
                </c:pt>
                <c:pt idx="13">
                  <c:v>11126.621227</c:v>
                </c:pt>
                <c:pt idx="14">
                  <c:v>11515.697427999998</c:v>
                </c:pt>
                <c:pt idx="15">
                  <c:v>13810.68989</c:v>
                </c:pt>
                <c:pt idx="16">
                  <c:v>17270.493809</c:v>
                </c:pt>
                <c:pt idx="17">
                  <c:v>15981.479809999997</c:v>
                </c:pt>
                <c:pt idx="18">
                  <c:v>17875.612413999999</c:v>
                </c:pt>
                <c:pt idx="19">
                  <c:v>19890.974642000001</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DEM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World'!$I$10</c:f>
          <c:strCache>
            <c:ptCount val="1"/>
            <c:pt idx="0">
              <c:v>Western Australia's Global Production Share 2022 and 2023</c:v>
            </c:pt>
          </c:strCache>
        </c:strRef>
      </c:tx>
      <c:layout>
        <c:manualLayout>
          <c:xMode val="edge"/>
          <c:yMode val="edge"/>
          <c:x val="0.13043838378334197"/>
          <c:y val="1.7977629839750757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World'!$C$7</c:f>
              <c:strCache>
                <c:ptCount val="1"/>
                <c:pt idx="0">
                  <c:v>Western Australia</c:v>
                </c:pt>
              </c:strCache>
            </c:strRef>
          </c:tx>
          <c:spPr>
            <a:solidFill>
              <a:schemeClr val="accent3">
                <a:shade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World'!$C$8:$C$26</c:f>
              <c:numCache>
                <c:formatCode>0.00%</c:formatCode>
                <c:ptCount val="19"/>
                <c:pt idx="0">
                  <c:v>9.2953946308132543E-2</c:v>
                </c:pt>
                <c:pt idx="1">
                  <c:v>2.2712309455159247E-2</c:v>
                </c:pt>
                <c:pt idx="2">
                  <c:v>4.8136107855489985E-3</c:v>
                </c:pt>
                <c:pt idx="3">
                  <c:v>8.9999999999999998E-4</c:v>
                </c:pt>
                <c:pt idx="4">
                  <c:v>0</c:v>
                </c:pt>
                <c:pt idx="5">
                  <c:v>0.36078343022674525</c:v>
                </c:pt>
                <c:pt idx="6">
                  <c:v>6.9894232698523059E-2</c:v>
                </c:pt>
                <c:pt idx="7">
                  <c:v>2.8977642874662739E-2</c:v>
                </c:pt>
                <c:pt idx="8">
                  <c:v>0.35025468799684339</c:v>
                </c:pt>
                <c:pt idx="9">
                  <c:v>8.3889840580173482E-3</c:v>
                </c:pt>
                <c:pt idx="10">
                  <c:v>0.47495421696724949</c:v>
                </c:pt>
                <c:pt idx="11">
                  <c:v>0.12521626860619739</c:v>
                </c:pt>
                <c:pt idx="12">
                  <c:v>2.968834964172179E-2</c:v>
                </c:pt>
                <c:pt idx="13">
                  <c:v>4.1983603041555892E-2</c:v>
                </c:pt>
                <c:pt idx="14">
                  <c:v>7.8643204465526126E-2</c:v>
                </c:pt>
                <c:pt idx="15">
                  <c:v>0.19317594982078851</c:v>
                </c:pt>
                <c:pt idx="16">
                  <c:v>4.2434573991964951E-2</c:v>
                </c:pt>
                <c:pt idx="17">
                  <c:v>4.148285434585691E-3</c:v>
                </c:pt>
                <c:pt idx="18">
                  <c:v>0.10808670624999998</c:v>
                </c:pt>
              </c:numCache>
            </c:numRef>
          </c:val>
          <c:extLst>
            <c:ext xmlns:c16="http://schemas.microsoft.com/office/drawing/2014/chart" uri="{C3380CC4-5D6E-409C-BE32-E72D297353CC}">
              <c16:uniqueId val="{00000000-D6D8-4E7E-8800-145B9026CDAE}"/>
            </c:ext>
          </c:extLst>
        </c:ser>
        <c:ser>
          <c:idx val="1"/>
          <c:order val="1"/>
          <c:tx>
            <c:strRef>
              <c:f>'WA vs Australia vs the World'!$D$7</c:f>
              <c:strCache>
                <c:ptCount val="1"/>
                <c:pt idx="0">
                  <c:v>Rest of Australia</c:v>
                </c:pt>
              </c:strCache>
            </c:strRef>
          </c:tx>
          <c:spPr>
            <a:solidFill>
              <a:schemeClr val="accent3">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World'!$D$8:$D$26</c:f>
              <c:numCache>
                <c:formatCode>0.00%</c:formatCode>
                <c:ptCount val="19"/>
                <c:pt idx="0">
                  <c:v>4.3991758304330823E-2</c:v>
                </c:pt>
                <c:pt idx="1">
                  <c:v>0</c:v>
                </c:pt>
                <c:pt idx="2">
                  <c:v>3.1914219487084061E-2</c:v>
                </c:pt>
                <c:pt idx="3">
                  <c:v>4.0000000000000002E-4</c:v>
                </c:pt>
                <c:pt idx="4">
                  <c:v>0</c:v>
                </c:pt>
                <c:pt idx="5">
                  <c:v>0</c:v>
                </c:pt>
                <c:pt idx="6">
                  <c:v>2.6713604087820104E-2</c:v>
                </c:pt>
                <c:pt idx="7">
                  <c:v>2.0078035320088301E-2</c:v>
                </c:pt>
                <c:pt idx="8">
                  <c:v>4.2667014656756711E-3</c:v>
                </c:pt>
                <c:pt idx="9">
                  <c:v>9.6477092253681326E-2</c:v>
                </c:pt>
                <c:pt idx="10">
                  <c:v>1.4128152136871184E-2</c:v>
                </c:pt>
                <c:pt idx="11">
                  <c:v>8.4065933729051023E-2</c:v>
                </c:pt>
                <c:pt idx="12">
                  <c:v>0.14621603127289839</c:v>
                </c:pt>
                <c:pt idx="13">
                  <c:v>1.0131983365327694E-3</c:v>
                </c:pt>
                <c:pt idx="14">
                  <c:v>0</c:v>
                </c:pt>
                <c:pt idx="15">
                  <c:v>0.16524698924731185</c:v>
                </c:pt>
                <c:pt idx="16">
                  <c:v>8.6976393024105082E-3</c:v>
                </c:pt>
                <c:pt idx="17">
                  <c:v>8.543355793992892E-2</c:v>
                </c:pt>
                <c:pt idx="18">
                  <c:v>0.20441329375</c:v>
                </c:pt>
              </c:numCache>
            </c:numRef>
          </c:val>
          <c:extLst>
            <c:ext xmlns:c16="http://schemas.microsoft.com/office/drawing/2014/chart" uri="{C3380CC4-5D6E-409C-BE32-E72D297353CC}">
              <c16:uniqueId val="{00000001-D6D8-4E7E-8800-145B9026CDAE}"/>
            </c:ext>
          </c:extLst>
        </c:ser>
        <c:ser>
          <c:idx val="2"/>
          <c:order val="2"/>
          <c:tx>
            <c:strRef>
              <c:f>'WA vs Australia vs the World'!$E$7</c:f>
              <c:strCache>
                <c:ptCount val="1"/>
                <c:pt idx="0">
                  <c:v>Rest of World</c:v>
                </c:pt>
              </c:strCache>
            </c:strRef>
          </c:tx>
          <c:spPr>
            <a:solidFill>
              <a:schemeClr val="accent3">
                <a:tint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World'!$E$8:$E$26</c:f>
              <c:numCache>
                <c:formatCode>0.00%</c:formatCode>
                <c:ptCount val="19"/>
                <c:pt idx="0">
                  <c:v>0.86305429538753664</c:v>
                </c:pt>
                <c:pt idx="1">
                  <c:v>0.97728769054484077</c:v>
                </c:pt>
                <c:pt idx="2">
                  <c:v>0.96327216972736696</c:v>
                </c:pt>
                <c:pt idx="3">
                  <c:v>0.99880000000000002</c:v>
                </c:pt>
                <c:pt idx="4">
                  <c:v>1</c:v>
                </c:pt>
                <c:pt idx="5">
                  <c:v>0.63921656977325481</c:v>
                </c:pt>
                <c:pt idx="6">
                  <c:v>0.90339216321365678</c:v>
                </c:pt>
                <c:pt idx="7">
                  <c:v>0.9509443218052489</c:v>
                </c:pt>
                <c:pt idx="8">
                  <c:v>0.64547861053748101</c:v>
                </c:pt>
                <c:pt idx="9">
                  <c:v>0.89513392368830136</c:v>
                </c:pt>
                <c:pt idx="10">
                  <c:v>0.51091763089587938</c:v>
                </c:pt>
                <c:pt idx="11">
                  <c:v>0.79071779766475159</c:v>
                </c:pt>
                <c:pt idx="12">
                  <c:v>0.82409561908537987</c:v>
                </c:pt>
                <c:pt idx="13">
                  <c:v>0.9570031986219113</c:v>
                </c:pt>
                <c:pt idx="14">
                  <c:v>0.92135679553447392</c:v>
                </c:pt>
                <c:pt idx="15">
                  <c:v>0.64157706093189959</c:v>
                </c:pt>
                <c:pt idx="16">
                  <c:v>0.94886778670562455</c:v>
                </c:pt>
                <c:pt idx="17">
                  <c:v>0.91041815662548542</c:v>
                </c:pt>
                <c:pt idx="18">
                  <c:v>0.6875</c:v>
                </c:pt>
              </c:numCache>
            </c:numRef>
          </c:val>
          <c:extLst>
            <c:ext xmlns:c16="http://schemas.microsoft.com/office/drawing/2014/chart" uri="{C3380CC4-5D6E-409C-BE32-E72D297353CC}">
              <c16:uniqueId val="{00000002-D6D8-4E7E-8800-145B9026CDA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2023
Total Value: $22,752,630,000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5793-4BE9-9FAB-E40A3A339E56}"/>
              </c:ext>
            </c:extLst>
          </c:dPt>
          <c:dPt>
            <c:idx val="1"/>
            <c:bubble3D val="0"/>
            <c:spPr>
              <a:solidFill>
                <a:srgbClr val="E79B00"/>
              </a:solidFill>
            </c:spPr>
            <c:extLst>
              <c:ext xmlns:c16="http://schemas.microsoft.com/office/drawing/2014/chart" uri="{C3380CC4-5D6E-409C-BE32-E72D297353CC}">
                <c16:uniqueId val="{00000003-5793-4BE9-9FAB-E40A3A339E56}"/>
              </c:ext>
            </c:extLst>
          </c:dPt>
          <c:dPt>
            <c:idx val="2"/>
            <c:bubble3D val="0"/>
            <c:spPr>
              <a:solidFill>
                <a:srgbClr val="FEB93A"/>
              </a:solidFill>
            </c:spPr>
            <c:extLst>
              <c:ext xmlns:c16="http://schemas.microsoft.com/office/drawing/2014/chart" uri="{C3380CC4-5D6E-409C-BE32-E72D297353CC}">
                <c16:uniqueId val="{00000005-5793-4BE9-9FAB-E40A3A339E56}"/>
              </c:ext>
            </c:extLst>
          </c:dPt>
          <c:dPt>
            <c:idx val="3"/>
            <c:bubble3D val="0"/>
            <c:spPr>
              <a:solidFill>
                <a:srgbClr val="FFCB00"/>
              </a:solidFill>
            </c:spPr>
            <c:extLst>
              <c:ext xmlns:c16="http://schemas.microsoft.com/office/drawing/2014/chart" uri="{C3380CC4-5D6E-409C-BE32-E72D297353CC}">
                <c16:uniqueId val="{00000007-5793-4BE9-9FAB-E40A3A339E56}"/>
              </c:ext>
            </c:extLst>
          </c:dPt>
          <c:dPt>
            <c:idx val="4"/>
            <c:bubble3D val="0"/>
            <c:spPr>
              <a:solidFill>
                <a:srgbClr val="FFE100"/>
              </a:solidFill>
            </c:spPr>
            <c:extLst>
              <c:ext xmlns:c16="http://schemas.microsoft.com/office/drawing/2014/chart" uri="{C3380CC4-5D6E-409C-BE32-E72D297353CC}">
                <c16:uniqueId val="{00000009-5793-4BE9-9FAB-E40A3A339E56}"/>
              </c:ext>
            </c:extLst>
          </c:dPt>
          <c:dPt>
            <c:idx val="5"/>
            <c:bubble3D val="0"/>
            <c:spPr>
              <a:solidFill>
                <a:srgbClr val="FFF6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66"/>
              </a:solidFill>
            </c:spPr>
            <c:extLst>
              <c:ext xmlns:c16="http://schemas.microsoft.com/office/drawing/2014/chart" uri="{C3380CC4-5D6E-409C-BE32-E72D297353CC}">
                <c16:uniqueId val="{0000000F-5793-4BE9-9FAB-E40A3A339E56}"/>
              </c:ext>
            </c:extLst>
          </c:dPt>
          <c:dPt>
            <c:idx val="8"/>
            <c:bubble3D val="0"/>
            <c:spPr>
              <a:solidFill>
                <a:srgbClr val="FFFF99"/>
              </a:solidFill>
            </c:spPr>
            <c:extLst>
              <c:ext xmlns:c16="http://schemas.microsoft.com/office/drawing/2014/chart" uri="{C3380CC4-5D6E-409C-BE32-E72D297353CC}">
                <c16:uniqueId val="{00000011-5793-4BE9-9FAB-E40A3A339E56}"/>
              </c:ext>
            </c:extLst>
          </c:dPt>
          <c:dPt>
            <c:idx val="9"/>
            <c:bubble3D val="0"/>
            <c:spPr>
              <a:solidFill>
                <a:srgbClr val="FFFFCC"/>
              </a:solidFill>
            </c:spPr>
            <c:extLst>
              <c:ext xmlns:c16="http://schemas.microsoft.com/office/drawing/2014/chart" uri="{C3380CC4-5D6E-409C-BE32-E72D297353CC}">
                <c16:uniqueId val="{00000013-5793-4BE9-9FAB-E40A3A339E56}"/>
              </c:ext>
            </c:extLst>
          </c:dPt>
          <c:dPt>
            <c:idx val="10"/>
            <c:bubble3D val="0"/>
            <c:spPr>
              <a:solidFill>
                <a:schemeClr val="bg1"/>
              </a:solidFill>
            </c:spPr>
            <c:extLst>
              <c:ext xmlns:c16="http://schemas.microsoft.com/office/drawing/2014/chart" uri="{C3380CC4-5D6E-409C-BE32-E72D297353CC}">
                <c16:uniqueId val="{00000015-5793-4BE9-9FAB-E40A3A339E56}"/>
              </c:ext>
            </c:extLst>
          </c:dPt>
          <c:dLbls>
            <c:dLbl>
              <c:idx val="0"/>
              <c:layout>
                <c:manualLayout>
                  <c:x val="-0.12195946700078135"/>
                  <c:y val="-0.14159667541557305"/>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7104727045417745"/>
                      <c:h val="0.1766379202599675"/>
                    </c:manualLayout>
                  </c15:layout>
                </c:ext>
                <c:ext xmlns:c16="http://schemas.microsoft.com/office/drawing/2014/chart" uri="{C3380CC4-5D6E-409C-BE32-E72D297353CC}">
                  <c16:uniqueId val="{00000001-5793-4BE9-9FAB-E40A3A339E56}"/>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93-4BE9-9FAB-E40A3A339E56}"/>
                </c:ext>
              </c:extLst>
            </c:dLbl>
            <c:dLbl>
              <c:idx val="2"/>
              <c:layout>
                <c:manualLayout>
                  <c:x val="-9.6308216598209956E-2"/>
                  <c:y val="-5.66167282187071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93-4BE9-9FAB-E40A3A339E56}"/>
                </c:ext>
              </c:extLst>
            </c:dLbl>
            <c:dLbl>
              <c:idx val="3"/>
              <c:layout>
                <c:manualLayout>
                  <c:x val="-0.12664789338690294"/>
                  <c:y val="-3.92553364457761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3-4BE9-9FAB-E40A3A339E56}"/>
                </c:ext>
              </c:extLst>
            </c:dLbl>
            <c:dLbl>
              <c:idx val="4"/>
              <c:layout>
                <c:manualLayout>
                  <c:x val="-0.10787710078381432"/>
                  <c:y val="-4.166144055001974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1468799885207971"/>
                      <c:h val="0.11685852321557151"/>
                    </c:manualLayout>
                  </c15:layout>
                </c:ext>
                <c:ext xmlns:c16="http://schemas.microsoft.com/office/drawing/2014/chart" uri="{C3380CC4-5D6E-409C-BE32-E72D297353CC}">
                  <c16:uniqueId val="{00000009-5793-4BE9-9FAB-E40A3A339E56}"/>
                </c:ext>
              </c:extLst>
            </c:dLbl>
            <c:dLbl>
              <c:idx val="5"/>
              <c:layout>
                <c:manualLayout>
                  <c:x val="0.13305361937361834"/>
                  <c:y val="-0.133668745952210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93-4BE9-9FAB-E40A3A339E56}"/>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3-4BE9-9FAB-E40A3A339E56}"/>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93-4BE9-9FAB-E40A3A339E56}"/>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93-4BE9-9FAB-E40A3A339E56}"/>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93-4BE9-9FAB-E40A3A339E56}"/>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93-4BE9-9FAB-E40A3A339E56}"/>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China</c:v>
                </c:pt>
                <c:pt idx="1">
                  <c:v>Hong Kong</c:v>
                </c:pt>
                <c:pt idx="2">
                  <c:v>India</c:v>
                </c:pt>
                <c:pt idx="3">
                  <c:v>United Kingdom</c:v>
                </c:pt>
                <c:pt idx="4">
                  <c:v>Singapore</c:v>
                </c:pt>
                <c:pt idx="5">
                  <c:v>United States of America</c:v>
                </c:pt>
                <c:pt idx="6">
                  <c:v>Korea, Republic of (South)</c:v>
                </c:pt>
                <c:pt idx="7">
                  <c:v>Switzerland</c:v>
                </c:pt>
                <c:pt idx="8">
                  <c:v>Thailand</c:v>
                </c:pt>
                <c:pt idx="9">
                  <c:v>United Arab Emirates</c:v>
                </c:pt>
                <c:pt idx="10">
                  <c:v>Other</c:v>
                </c:pt>
              </c:strCache>
            </c:strRef>
          </c:cat>
          <c:val>
            <c:numRef>
              <c:f>'Gold - Exports'!$D$10:$D$20</c:f>
              <c:numCache>
                <c:formatCode>0.0%</c:formatCode>
                <c:ptCount val="11"/>
                <c:pt idx="0">
                  <c:v>0.2812310928450909</c:v>
                </c:pt>
                <c:pt idx="1">
                  <c:v>0.24102044466947337</c:v>
                </c:pt>
                <c:pt idx="2">
                  <c:v>0.14568267492593165</c:v>
                </c:pt>
                <c:pt idx="3">
                  <c:v>0.11334131482821985</c:v>
                </c:pt>
                <c:pt idx="4">
                  <c:v>0.10044465189298996</c:v>
                </c:pt>
                <c:pt idx="5">
                  <c:v>7.1919158356638327E-2</c:v>
                </c:pt>
                <c:pt idx="6">
                  <c:v>2.1609369993710617E-2</c:v>
                </c:pt>
                <c:pt idx="7">
                  <c:v>1.270503673641245E-2</c:v>
                </c:pt>
                <c:pt idx="8">
                  <c:v>4.9241340451631303E-3</c:v>
                </c:pt>
                <c:pt idx="9">
                  <c:v>3.8795075558298096E-3</c:v>
                </c:pt>
                <c:pt idx="10" formatCode="0.00%">
                  <c:v>3.2426141505399594E-3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v>Western Australia</c:v>
          </c:tx>
          <c:spPr>
            <a:solidFill>
              <a:srgbClr val="C89600"/>
            </a:solidFill>
          </c:spPr>
          <c:invertIfNegative val="0"/>
          <c:cat>
            <c:numRef>
              <c:f>'Gold - WA vs Aus'!$A$7:$A$140</c:f>
              <c:numCache>
                <c:formatCode>General</c:formatCode>
                <c:ptCount val="134"/>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pt idx="133">
                  <c:v>2023</c:v>
                </c:pt>
              </c:numCache>
            </c:numRef>
          </c:cat>
          <c:val>
            <c:numRef>
              <c:f>'Gold - WA vs Aus'!$B$7:$B$140</c:f>
              <c:numCache>
                <c:formatCode>#,##0.00</c:formatCode>
                <c:ptCount val="134"/>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187.46183645020105</c:v>
                </c:pt>
                <c:pt idx="124">
                  <c:v>194.61577561329443</c:v>
                </c:pt>
                <c:pt idx="125">
                  <c:v>194.47144014692839</c:v>
                </c:pt>
                <c:pt idx="126">
                  <c:v>197.07233863062316</c:v>
                </c:pt>
                <c:pt idx="127">
                  <c:v>210.99182809083629</c:v>
                </c:pt>
                <c:pt idx="128">
                  <c:v>211.09598533001116</c:v>
                </c:pt>
                <c:pt idx="129">
                  <c:v>213.87697104706595</c:v>
                </c:pt>
                <c:pt idx="130">
                  <c:v>209.72645486184584</c:v>
                </c:pt>
                <c:pt idx="131">
                  <c:v>207.37680836642937</c:v>
                </c:pt>
                <c:pt idx="132">
                  <c:v>214.54188674208308</c:v>
                </c:pt>
                <c:pt idx="133">
                  <c:v>211.21641634369655</c:v>
                </c:pt>
              </c:numCache>
            </c:numRef>
          </c:val>
          <c:extLst>
            <c:ext xmlns:c16="http://schemas.microsoft.com/office/drawing/2014/chart" uri="{C3380CC4-5D6E-409C-BE32-E72D297353CC}">
              <c16:uniqueId val="{00000000-8E2A-472E-B9EC-499BBBB08CD1}"/>
            </c:ext>
          </c:extLst>
        </c:ser>
        <c:ser>
          <c:idx val="1"/>
          <c:order val="1"/>
          <c:tx>
            <c:v>Rest of Australia</c:v>
          </c:tx>
          <c:spPr>
            <a:solidFill>
              <a:srgbClr val="FFC000"/>
            </a:solidFill>
          </c:spPr>
          <c:invertIfNegative val="0"/>
          <c:cat>
            <c:numRef>
              <c:f>'Gold - WA vs Aus'!$A$7:$A$140</c:f>
              <c:numCache>
                <c:formatCode>General</c:formatCode>
                <c:ptCount val="134"/>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pt idx="133">
                  <c:v>2023</c:v>
                </c:pt>
              </c:numCache>
            </c:numRef>
          </c:cat>
          <c:val>
            <c:numRef>
              <c:f>'Gold - WA vs Aus'!$C$7:$C$140</c:f>
              <c:numCache>
                <c:formatCode>#,##0.00</c:formatCode>
                <c:ptCount val="134"/>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78.400000000000006</c:v>
                </c:pt>
                <c:pt idx="122">
                  <c:v>69.5</c:v>
                </c:pt>
                <c:pt idx="123">
                  <c:v>81.7</c:v>
                </c:pt>
                <c:pt idx="124">
                  <c:v>85.5</c:v>
                </c:pt>
                <c:pt idx="125">
                  <c:v>89.7</c:v>
                </c:pt>
                <c:pt idx="126">
                  <c:v>94.1</c:v>
                </c:pt>
                <c:pt idx="127">
                  <c:v>87.5</c:v>
                </c:pt>
                <c:pt idx="128">
                  <c:v>96.2</c:v>
                </c:pt>
                <c:pt idx="129">
                  <c:v>106.3</c:v>
                </c:pt>
                <c:pt idx="130">
                  <c:v>107.941</c:v>
                </c:pt>
                <c:pt idx="131">
                  <c:v>94.019000000000005</c:v>
                </c:pt>
                <c:pt idx="132">
                  <c:v>86.501999999999995</c:v>
                </c:pt>
                <c:pt idx="133">
                  <c:v>80.727000000000004</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4"/>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lineChart>
        <c:grouping val="standard"/>
        <c:varyColors val="0"/>
        <c:ser>
          <c:idx val="0"/>
          <c:order val="0"/>
          <c:tx>
            <c:v>Western Australia</c:v>
          </c:tx>
          <c:spPr>
            <a:ln>
              <a:solidFill>
                <a:srgbClr val="C89600"/>
              </a:solidFill>
            </a:ln>
          </c:spPr>
          <c:marker>
            <c:symbol val="square"/>
            <c:size val="5"/>
            <c:spPr>
              <a:solidFill>
                <a:srgbClr val="C89600"/>
              </a:solidFill>
              <a:ln>
                <a:noFill/>
              </a:ln>
            </c:spPr>
          </c:marker>
          <c:cat>
            <c:numRef>
              <c:f>'Gold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'Gold - WA vs Aus'!$Q$8:$Q$17</c:f>
              <c:numCache>
                <c:formatCode>#,##0.00</c:formatCode>
                <c:ptCount val="10"/>
                <c:pt idx="0">
                  <c:v>194.61577561329443</c:v>
                </c:pt>
                <c:pt idx="1">
                  <c:v>194.47144014692839</c:v>
                </c:pt>
                <c:pt idx="2">
                  <c:v>197.07233863062316</c:v>
                </c:pt>
                <c:pt idx="3">
                  <c:v>210.99182809083629</c:v>
                </c:pt>
                <c:pt idx="4">
                  <c:v>211.09598533001116</c:v>
                </c:pt>
                <c:pt idx="5">
                  <c:v>213.87697104706595</c:v>
                </c:pt>
                <c:pt idx="6">
                  <c:v>209.72645486184584</c:v>
                </c:pt>
                <c:pt idx="7">
                  <c:v>207.37680836642937</c:v>
                </c:pt>
                <c:pt idx="8">
                  <c:v>214.54188674208308</c:v>
                </c:pt>
                <c:pt idx="9">
                  <c:v>211.21641634369655</c:v>
                </c:pt>
              </c:numCache>
            </c:numRef>
          </c:val>
          <c:smooth val="0"/>
          <c:extLst>
            <c:ext xmlns:c16="http://schemas.microsoft.com/office/drawing/2014/chart" uri="{C3380CC4-5D6E-409C-BE32-E72D297353CC}">
              <c16:uniqueId val="{00000000-B811-4E33-84A2-3F1B1950E0FE}"/>
            </c:ext>
          </c:extLst>
        </c:ser>
        <c:ser>
          <c:idx val="1"/>
          <c:order val="1"/>
          <c:tx>
            <c:v>Rest of Australia</c:v>
          </c:tx>
          <c:spPr>
            <a:ln>
              <a:solidFill>
                <a:srgbClr val="FFC000"/>
              </a:solidFill>
            </a:ln>
          </c:spPr>
          <c:marker>
            <c:symbol val="diamond"/>
            <c:size val="5"/>
            <c:spPr>
              <a:solidFill>
                <a:srgbClr val="FFC000"/>
              </a:solidFill>
              <a:ln>
                <a:solidFill>
                  <a:srgbClr val="FFC000"/>
                </a:solidFill>
              </a:ln>
            </c:spPr>
          </c:marker>
          <c:cat>
            <c:numRef>
              <c:f>'Gold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'Gold - WA vs Aus'!$R$8:$R$17</c:f>
              <c:numCache>
                <c:formatCode>#,##0.00</c:formatCode>
                <c:ptCount val="10"/>
                <c:pt idx="0">
                  <c:v>85.5</c:v>
                </c:pt>
                <c:pt idx="1">
                  <c:v>89.7</c:v>
                </c:pt>
                <c:pt idx="2">
                  <c:v>94.1</c:v>
                </c:pt>
                <c:pt idx="3">
                  <c:v>87.5</c:v>
                </c:pt>
                <c:pt idx="4">
                  <c:v>96.2</c:v>
                </c:pt>
                <c:pt idx="5">
                  <c:v>106.3</c:v>
                </c:pt>
                <c:pt idx="6">
                  <c:v>107.941</c:v>
                </c:pt>
                <c:pt idx="7">
                  <c:v>94.019000000000005</c:v>
                </c:pt>
                <c:pt idx="8">
                  <c:v>86.501999999999995</c:v>
                </c:pt>
                <c:pt idx="9">
                  <c:v>80.727000000000004</c:v>
                </c:pt>
              </c:numCache>
            </c:numRef>
          </c:val>
          <c:smooth val="0"/>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marker val="1"/>
        <c:smooth val="0"/>
        <c:axId val="118454912"/>
        <c:axId val="118453376"/>
      </c:lineChart>
      <c:valAx>
        <c:axId val="118453376"/>
        <c:scaling>
          <c:orientation val="minMax"/>
          <c:max val="350"/>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DEMIRS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5001435378757603"/>
          <c:y val="0.21129591559675728"/>
          <c:w val="0.46748216899716016"/>
          <c:h val="5.9385594042124047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Annual Prices, Historic</a:t>
            </a:r>
          </a:p>
        </c:rich>
      </c:tx>
      <c:layout>
        <c:manualLayout>
          <c:xMode val="edge"/>
          <c:yMode val="edge"/>
          <c:x val="0.44043361767279099"/>
          <c:y val="2.5493657118245215E-2"/>
        </c:manualLayout>
      </c:layout>
      <c:overlay val="0"/>
    </c:title>
    <c:autoTitleDeleted val="0"/>
    <c:plotArea>
      <c:layout>
        <c:manualLayout>
          <c:layoutTarget val="inner"/>
          <c:xMode val="edge"/>
          <c:yMode val="edge"/>
          <c:x val="0.11711834284605645"/>
          <c:y val="0.28645452780365438"/>
          <c:w val="0.85819722735720405"/>
          <c:h val="0.50146937678217762"/>
        </c:manualLayout>
      </c:layout>
      <c:lineChart>
        <c:grouping val="standard"/>
        <c:varyColors val="0"/>
        <c:ser>
          <c:idx val="0"/>
          <c:order val="0"/>
          <c:tx>
            <c:v>US$</c:v>
          </c:tx>
          <c:spPr>
            <a:ln>
              <a:solidFill>
                <a:srgbClr val="CE8E8D"/>
              </a:solidFill>
            </a:ln>
          </c:spPr>
          <c:marker>
            <c:symbol val="none"/>
          </c:marker>
          <c:cat>
            <c:numRef>
              <c:f>'Iron Ore - Prices'!$G$10:$G$22</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'Iron Ore - Prices'!$H$10:$H$22</c:f>
              <c:numCache>
                <c:formatCode>#,##0.00</c:formatCode>
                <c:ptCount val="13"/>
                <c:pt idx="0">
                  <c:v>167.58166666666668</c:v>
                </c:pt>
                <c:pt idx="1">
                  <c:v>128.42583333333334</c:v>
                </c:pt>
                <c:pt idx="2">
                  <c:v>135.18833333333333</c:v>
                </c:pt>
                <c:pt idx="3">
                  <c:v>96.352916666666673</c:v>
                </c:pt>
                <c:pt idx="4">
                  <c:v>54.300833333333337</c:v>
                </c:pt>
                <c:pt idx="5">
                  <c:v>57.74583333333333</c:v>
                </c:pt>
                <c:pt idx="6">
                  <c:v>71.602500000000006</c:v>
                </c:pt>
                <c:pt idx="7">
                  <c:v>69.38</c:v>
                </c:pt>
                <c:pt idx="8">
                  <c:v>93.331666666666663</c:v>
                </c:pt>
                <c:pt idx="9">
                  <c:v>108.10916666666668</c:v>
                </c:pt>
                <c:pt idx="10">
                  <c:v>160.02833333333336</c:v>
                </c:pt>
                <c:pt idx="11">
                  <c:v>120.40749999999998</c:v>
                </c:pt>
                <c:pt idx="12">
                  <c:v>119.73416666666667</c:v>
                </c:pt>
              </c:numCache>
            </c:numRef>
          </c:val>
          <c:smooth val="0"/>
          <c:extLst>
            <c:ext xmlns:c16="http://schemas.microsoft.com/office/drawing/2014/chart" uri="{C3380CC4-5D6E-409C-BE32-E72D297353CC}">
              <c16:uniqueId val="{00000000-4DF9-411D-B7DB-FD2721FC6A0C}"/>
            </c:ext>
          </c:extLst>
        </c:ser>
        <c:ser>
          <c:idx val="2"/>
          <c:order val="1"/>
          <c:tx>
            <c:v>A$</c:v>
          </c:tx>
          <c:marker>
            <c:symbol val="none"/>
          </c:marker>
          <c:cat>
            <c:numRef>
              <c:f>'Iron Ore - Prices'!$G$10:$G$22</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'Iron Ore - Prices'!$I$10:$I$22</c:f>
              <c:numCache>
                <c:formatCode>#,##0.00</c:formatCode>
                <c:ptCount val="13"/>
                <c:pt idx="0">
                  <c:v>162.39359500074252</c:v>
                </c:pt>
                <c:pt idx="1">
                  <c:v>124.02123322821585</c:v>
                </c:pt>
                <c:pt idx="2">
                  <c:v>139.71546765309628</c:v>
                </c:pt>
                <c:pt idx="3">
                  <c:v>106.50278486438286</c:v>
                </c:pt>
                <c:pt idx="4">
                  <c:v>71.974003408098795</c:v>
                </c:pt>
                <c:pt idx="5">
                  <c:v>77.489999999999995</c:v>
                </c:pt>
                <c:pt idx="6">
                  <c:v>93.28703937731278</c:v>
                </c:pt>
                <c:pt idx="7">
                  <c:v>92.802397500993834</c:v>
                </c:pt>
                <c:pt idx="8">
                  <c:v>134.30853316588613</c:v>
                </c:pt>
                <c:pt idx="9">
                  <c:v>155.54133628125152</c:v>
                </c:pt>
                <c:pt idx="10">
                  <c:v>212.07700457820101</c:v>
                </c:pt>
                <c:pt idx="11">
                  <c:v>172.36656467958414</c:v>
                </c:pt>
                <c:pt idx="12">
                  <c:v>180.18389635046742</c:v>
                </c:pt>
              </c:numCache>
            </c:numRef>
          </c:val>
          <c:smooth val="0"/>
          <c:extLst>
            <c:ext xmlns:c16="http://schemas.microsoft.com/office/drawing/2014/chart" uri="{C3380CC4-5D6E-409C-BE32-E72D297353CC}">
              <c16:uniqueId val="{00000001-60F2-470F-AABA-FE0ECF4B184F}"/>
            </c:ext>
          </c:extLst>
        </c:ser>
        <c:dLbls>
          <c:showLegendKey val="0"/>
          <c:showVal val="0"/>
          <c:showCatName val="0"/>
          <c:showSerName val="0"/>
          <c:showPercent val="0"/>
          <c:showBubbleSize val="0"/>
        </c:dLbls>
        <c:smooth val="0"/>
        <c:axId val="132711168"/>
        <c:axId val="132713088"/>
      </c:lineChart>
      <c:catAx>
        <c:axId val="132711168"/>
        <c:scaling>
          <c:orientation val="minMax"/>
        </c:scaling>
        <c:delete val="0"/>
        <c:axPos val="b"/>
        <c:title>
          <c:tx>
            <c:rich>
              <a:bodyPr/>
              <a:lstStyle/>
              <a:p>
                <a:pPr>
                  <a:defRPr/>
                </a:pPr>
                <a:r>
                  <a:rPr lang="en-AU"/>
                  <a:t>Source: Argus Metals</a:t>
                </a:r>
              </a:p>
            </c:rich>
          </c:tx>
          <c:layout>
            <c:manualLayout>
              <c:xMode val="edge"/>
              <c:yMode val="edge"/>
              <c:x val="0"/>
              <c:y val="0.94175931639875143"/>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max val="300"/>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midCat"/>
      </c:valAx>
    </c:plotArea>
    <c:legend>
      <c:legendPos val="t"/>
      <c:layout>
        <c:manualLayout>
          <c:xMode val="edge"/>
          <c:yMode val="edge"/>
          <c:x val="0.41713782951044165"/>
          <c:y val="0.19118561354936711"/>
          <c:w val="0.15611480205599301"/>
          <c:h val="5.4859027399056765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Prices, Last 5 Years</a:t>
            </a:r>
          </a:p>
        </c:rich>
      </c:tx>
      <c:layout>
        <c:manualLayout>
          <c:xMode val="edge"/>
          <c:yMode val="edge"/>
          <c:x val="0.39106697544396002"/>
          <c:y val="1.556420233463035E-2"/>
        </c:manualLayout>
      </c:layout>
      <c:overlay val="0"/>
    </c:title>
    <c:autoTitleDeleted val="0"/>
    <c:plotArea>
      <c:layout>
        <c:manualLayout>
          <c:layoutTarget val="inner"/>
          <c:xMode val="edge"/>
          <c:yMode val="edge"/>
          <c:x val="8.5343062949245208E-2"/>
          <c:y val="0.21888722080946107"/>
          <c:w val="0.8884584796625089"/>
          <c:h val="0.61863639613141741"/>
        </c:manualLayout>
      </c:layout>
      <c:lineChart>
        <c:grouping val="standard"/>
        <c:varyColors val="0"/>
        <c:ser>
          <c:idx val="0"/>
          <c:order val="0"/>
          <c:tx>
            <c:v>US$</c:v>
          </c:tx>
          <c:spPr>
            <a:ln>
              <a:solidFill>
                <a:srgbClr val="C00000"/>
              </a:solidFill>
            </a:ln>
          </c:spPr>
          <c:marker>
            <c:symbol val="none"/>
          </c:marker>
          <c:cat>
            <c:numRef>
              <c:f>'Iron Ore - Prices'!$A$10:$A$70</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'Iron Ore - Prices'!$B$10:$B$70</c:f>
              <c:numCache>
                <c:formatCode>#,##0.00</c:formatCode>
                <c:ptCount val="61"/>
                <c:pt idx="0">
                  <c:v>69.319999999999993</c:v>
                </c:pt>
                <c:pt idx="1">
                  <c:v>76.11</c:v>
                </c:pt>
                <c:pt idx="2">
                  <c:v>87.12</c:v>
                </c:pt>
                <c:pt idx="3">
                  <c:v>85.75</c:v>
                </c:pt>
                <c:pt idx="4">
                  <c:v>93.54</c:v>
                </c:pt>
                <c:pt idx="5">
                  <c:v>99.06</c:v>
                </c:pt>
                <c:pt idx="6">
                  <c:v>99.06</c:v>
                </c:pt>
                <c:pt idx="7">
                  <c:v>119.96</c:v>
                </c:pt>
                <c:pt idx="8">
                  <c:v>91.19</c:v>
                </c:pt>
                <c:pt idx="9">
                  <c:v>93.3</c:v>
                </c:pt>
                <c:pt idx="10">
                  <c:v>89.61</c:v>
                </c:pt>
                <c:pt idx="11">
                  <c:v>84.25</c:v>
                </c:pt>
                <c:pt idx="12">
                  <c:v>91.4</c:v>
                </c:pt>
                <c:pt idx="13">
                  <c:v>92.8</c:v>
                </c:pt>
                <c:pt idx="14">
                  <c:v>86.03</c:v>
                </c:pt>
                <c:pt idx="15">
                  <c:v>87.55</c:v>
                </c:pt>
                <c:pt idx="16">
                  <c:v>83.51</c:v>
                </c:pt>
                <c:pt idx="17">
                  <c:v>92.29</c:v>
                </c:pt>
                <c:pt idx="18">
                  <c:v>100.42</c:v>
                </c:pt>
                <c:pt idx="19">
                  <c:v>107.32</c:v>
                </c:pt>
                <c:pt idx="20">
                  <c:v>122.43</c:v>
                </c:pt>
                <c:pt idx="21">
                  <c:v>123.96</c:v>
                </c:pt>
                <c:pt idx="22">
                  <c:v>120</c:v>
                </c:pt>
                <c:pt idx="23">
                  <c:v>125</c:v>
                </c:pt>
                <c:pt idx="24">
                  <c:v>156</c:v>
                </c:pt>
                <c:pt idx="25">
                  <c:v>168</c:v>
                </c:pt>
                <c:pt idx="26">
                  <c:v>165.36</c:v>
                </c:pt>
                <c:pt idx="27">
                  <c:v>166.9</c:v>
                </c:pt>
                <c:pt idx="28">
                  <c:v>179.85</c:v>
                </c:pt>
                <c:pt idx="29">
                  <c:v>205.37</c:v>
                </c:pt>
                <c:pt idx="30">
                  <c:v>214.61</c:v>
                </c:pt>
                <c:pt idx="31">
                  <c:v>211.88</c:v>
                </c:pt>
                <c:pt idx="32">
                  <c:v>159.19999999999999</c:v>
                </c:pt>
                <c:pt idx="33">
                  <c:v>120.32</c:v>
                </c:pt>
                <c:pt idx="34">
                  <c:v>120.97</c:v>
                </c:pt>
                <c:pt idx="35">
                  <c:v>94.94</c:v>
                </c:pt>
                <c:pt idx="36">
                  <c:v>112.94</c:v>
                </c:pt>
                <c:pt idx="37">
                  <c:v>131.37</c:v>
                </c:pt>
                <c:pt idx="38">
                  <c:v>141.65</c:v>
                </c:pt>
                <c:pt idx="39">
                  <c:v>150.49</c:v>
                </c:pt>
                <c:pt idx="40">
                  <c:v>150.71</c:v>
                </c:pt>
                <c:pt idx="41">
                  <c:v>133.41999999999999</c:v>
                </c:pt>
                <c:pt idx="42">
                  <c:v>130.07</c:v>
                </c:pt>
                <c:pt idx="43">
                  <c:v>107.43</c:v>
                </c:pt>
                <c:pt idx="44">
                  <c:v>104.84</c:v>
                </c:pt>
                <c:pt idx="45">
                  <c:v>98.35</c:v>
                </c:pt>
                <c:pt idx="46">
                  <c:v>92.28</c:v>
                </c:pt>
                <c:pt idx="47">
                  <c:v>93.13</c:v>
                </c:pt>
                <c:pt idx="48">
                  <c:v>111.15</c:v>
                </c:pt>
                <c:pt idx="49">
                  <c:v>122.93</c:v>
                </c:pt>
                <c:pt idx="50">
                  <c:v>125.75</c:v>
                </c:pt>
                <c:pt idx="51">
                  <c:v>126.67</c:v>
                </c:pt>
                <c:pt idx="52">
                  <c:v>115.37</c:v>
                </c:pt>
                <c:pt idx="53">
                  <c:v>104.37</c:v>
                </c:pt>
                <c:pt idx="54">
                  <c:v>112.91</c:v>
                </c:pt>
                <c:pt idx="55">
                  <c:v>112.96</c:v>
                </c:pt>
                <c:pt idx="56">
                  <c:v>109.3</c:v>
                </c:pt>
                <c:pt idx="57">
                  <c:v>120.53</c:v>
                </c:pt>
                <c:pt idx="58">
                  <c:v>118.97</c:v>
                </c:pt>
                <c:pt idx="59">
                  <c:v>130.69</c:v>
                </c:pt>
                <c:pt idx="60">
                  <c:v>136.36000000000001</c:v>
                </c:pt>
              </c:numCache>
            </c:numRef>
          </c:val>
          <c:smooth val="0"/>
          <c:extLst>
            <c:ext xmlns:c16="http://schemas.microsoft.com/office/drawing/2014/chart" uri="{C3380CC4-5D6E-409C-BE32-E72D297353CC}">
              <c16:uniqueId val="{00000000-5602-4F8B-8ABB-96E33CFE038E}"/>
            </c:ext>
          </c:extLst>
        </c:ser>
        <c:ser>
          <c:idx val="1"/>
          <c:order val="1"/>
          <c:tx>
            <c:v>A$</c:v>
          </c:tx>
          <c:spPr>
            <a:ln>
              <a:solidFill>
                <a:srgbClr val="CE8E8D"/>
              </a:solidFill>
            </a:ln>
          </c:spPr>
          <c:marker>
            <c:symbol val="none"/>
          </c:marker>
          <c:cat>
            <c:numRef>
              <c:f>'Iron Ore - Prices'!$A$10:$A$70</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'Iron Ore - Prices'!$C$10:$C$70</c:f>
              <c:numCache>
                <c:formatCode>#,##0.00</c:formatCode>
                <c:ptCount val="61"/>
                <c:pt idx="0">
                  <c:v>96.461816770300047</c:v>
                </c:pt>
                <c:pt idx="1">
                  <c:v>106.53553384080092</c:v>
                </c:pt>
                <c:pt idx="2">
                  <c:v>121.94848824188129</c:v>
                </c:pt>
                <c:pt idx="3">
                  <c:v>121.10197246750104</c:v>
                </c:pt>
                <c:pt idx="4">
                  <c:v>131.46386567053776</c:v>
                </c:pt>
                <c:pt idx="5">
                  <c:v>142.55466916940406</c:v>
                </c:pt>
                <c:pt idx="6">
                  <c:v>142.55466916940406</c:v>
                </c:pt>
                <c:pt idx="7">
                  <c:v>171.68921357543778</c:v>
                </c:pt>
                <c:pt idx="8">
                  <c:v>134.66214743296743</c:v>
                </c:pt>
                <c:pt idx="9">
                  <c:v>137.04369478698177</c:v>
                </c:pt>
                <c:pt idx="10">
                  <c:v>131.85962049107411</c:v>
                </c:pt>
                <c:pt idx="11">
                  <c:v>123.36575672000836</c:v>
                </c:pt>
                <c:pt idx="12">
                  <c:v>132.90872340734927</c:v>
                </c:pt>
                <c:pt idx="13">
                  <c:v>135.07350443937705</c:v>
                </c:pt>
                <c:pt idx="14">
                  <c:v>128.91189846483508</c:v>
                </c:pt>
                <c:pt idx="15">
                  <c:v>140.54712754390957</c:v>
                </c:pt>
                <c:pt idx="16">
                  <c:v>132.60080821232646</c:v>
                </c:pt>
                <c:pt idx="17">
                  <c:v>141.7758465556214</c:v>
                </c:pt>
                <c:pt idx="18">
                  <c:v>145.70415869221256</c:v>
                </c:pt>
                <c:pt idx="19">
                  <c:v>152.69308094398562</c:v>
                </c:pt>
                <c:pt idx="20">
                  <c:v>170.06056228469831</c:v>
                </c:pt>
                <c:pt idx="21">
                  <c:v>171.26600641826758</c:v>
                </c:pt>
                <c:pt idx="22">
                  <c:v>168.36479037915481</c:v>
                </c:pt>
                <c:pt idx="23">
                  <c:v>172.06457829429925</c:v>
                </c:pt>
                <c:pt idx="24">
                  <c:v>207.43367314633068</c:v>
                </c:pt>
                <c:pt idx="25">
                  <c:v>217.45202362542659</c:v>
                </c:pt>
                <c:pt idx="26">
                  <c:v>213.24254792347722</c:v>
                </c:pt>
                <c:pt idx="27">
                  <c:v>216.44892274554692</c:v>
                </c:pt>
                <c:pt idx="28">
                  <c:v>233.47136941310865</c:v>
                </c:pt>
                <c:pt idx="29">
                  <c:v>264.67155166065243</c:v>
                </c:pt>
                <c:pt idx="30">
                  <c:v>280.71417893714033</c:v>
                </c:pt>
                <c:pt idx="31">
                  <c:v>285.36900425479814</c:v>
                </c:pt>
                <c:pt idx="32">
                  <c:v>218.0551660263894</c:v>
                </c:pt>
                <c:pt idx="33">
                  <c:v>164.32566657354812</c:v>
                </c:pt>
                <c:pt idx="34">
                  <c:v>163.40783066210093</c:v>
                </c:pt>
                <c:pt idx="35">
                  <c:v>129.8203741686867</c:v>
                </c:pt>
                <c:pt idx="36">
                  <c:v>157.94541894753667</c:v>
                </c:pt>
                <c:pt idx="37">
                  <c:v>182.98401108447513</c:v>
                </c:pt>
                <c:pt idx="38">
                  <c:v>197.90014879185208</c:v>
                </c:pt>
                <c:pt idx="39">
                  <c:v>204.23002259867005</c:v>
                </c:pt>
                <c:pt idx="40">
                  <c:v>203.73099019939173</c:v>
                </c:pt>
                <c:pt idx="41">
                  <c:v>189.19455473624501</c:v>
                </c:pt>
                <c:pt idx="42">
                  <c:v>185.01256460101465</c:v>
                </c:pt>
                <c:pt idx="43">
                  <c:v>156.72099033011003</c:v>
                </c:pt>
                <c:pt idx="44">
                  <c:v>150.63120016196339</c:v>
                </c:pt>
                <c:pt idx="45">
                  <c:v>147.06594416001479</c:v>
                </c:pt>
                <c:pt idx="46">
                  <c:v>145.07381030986184</c:v>
                </c:pt>
                <c:pt idx="47">
                  <c:v>141.23542914653225</c:v>
                </c:pt>
                <c:pt idx="48">
                  <c:v>164.61911003487882</c:v>
                </c:pt>
                <c:pt idx="49">
                  <c:v>176.91078906845883</c:v>
                </c:pt>
                <c:pt idx="50">
                  <c:v>181.86156827582215</c:v>
                </c:pt>
                <c:pt idx="51">
                  <c:v>189.4235520532626</c:v>
                </c:pt>
                <c:pt idx="52">
                  <c:v>172.33019945523245</c:v>
                </c:pt>
                <c:pt idx="53">
                  <c:v>156.92479669481997</c:v>
                </c:pt>
                <c:pt idx="54">
                  <c:v>168.31901753389644</c:v>
                </c:pt>
                <c:pt idx="55">
                  <c:v>167.65684964908934</c:v>
                </c:pt>
                <c:pt idx="56">
                  <c:v>168.46013731259629</c:v>
                </c:pt>
                <c:pt idx="57">
                  <c:v>187.60645433859335</c:v>
                </c:pt>
                <c:pt idx="58">
                  <c:v>187.35011585791094</c:v>
                </c:pt>
                <c:pt idx="59">
                  <c:v>201.31353232367789</c:v>
                </c:pt>
                <c:pt idx="60">
                  <c:v>204.04974364224901</c:v>
                </c:pt>
              </c:numCache>
            </c:numRef>
          </c:val>
          <c:smooth val="0"/>
          <c:extLst>
            <c:ext xmlns:c16="http://schemas.microsoft.com/office/drawing/2014/chart" uri="{C3380CC4-5D6E-409C-BE32-E72D297353CC}">
              <c16:uniqueId val="{00000001-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midCat"/>
      </c:valAx>
      <c:date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0"/>
              <c:y val="0.95356965593308618"/>
            </c:manualLayout>
          </c:layout>
          <c:overlay val="0"/>
        </c:title>
        <c:numFmt formatCode="mmm\-yy" sourceLinked="1"/>
        <c:majorTickMark val="out"/>
        <c:minorTickMark val="none"/>
        <c:tickLblPos val="nextTo"/>
        <c:txPr>
          <a:bodyPr rot="-2700000"/>
          <a:lstStyle/>
          <a:p>
            <a:pPr>
              <a:defRPr/>
            </a:pPr>
            <a:endParaRPr lang="en-US"/>
          </a:p>
        </c:txPr>
        <c:crossAx val="131164800"/>
        <c:crosses val="autoZero"/>
        <c:auto val="0"/>
        <c:lblOffset val="100"/>
        <c:baseTimeUnit val="days"/>
        <c:majorUnit val="3"/>
        <c:majorTimeUnit val="months"/>
        <c:minorUnit val="1"/>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'Iron Ore - Q&amp;V'!$Q$10:$Q$18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'Iron Ore - Q&amp;V'!$R$10:$R$18</c:f>
              <c:numCache>
                <c:formatCode>#,##0.00</c:formatCode>
                <c:ptCount val="9"/>
                <c:pt idx="0">
                  <c:v>217.26983650499994</c:v>
                </c:pt>
                <c:pt idx="1">
                  <c:v>202.35076833299996</c:v>
                </c:pt>
                <c:pt idx="2">
                  <c:v>214.690910608</c:v>
                </c:pt>
                <c:pt idx="3">
                  <c:v>213.83013684700003</c:v>
                </c:pt>
                <c:pt idx="4">
                  <c:v>224.97355805300003</c:v>
                </c:pt>
                <c:pt idx="5">
                  <c:v>209.39910229200001</c:v>
                </c:pt>
                <c:pt idx="6">
                  <c:v>213.634025764</c:v>
                </c:pt>
                <c:pt idx="7">
                  <c:v>216.29227132199998</c:v>
                </c:pt>
                <c:pt idx="8">
                  <c:v>220.19715757399999</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v>Value</c:v>
          </c:tx>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'Iron Ore - Q&amp;V'!$S$10:$S$18</c:f>
              <c:numCache>
                <c:formatCode>#,##0.00</c:formatCode>
                <c:ptCount val="9"/>
                <c:pt idx="0">
                  <c:v>25789.256395</c:v>
                </c:pt>
                <c:pt idx="1">
                  <c:v>32807.953959999999</c:v>
                </c:pt>
                <c:pt idx="2">
                  <c:v>35945.287838999997</c:v>
                </c:pt>
                <c:pt idx="3">
                  <c:v>28973.394377999997</c:v>
                </c:pt>
                <c:pt idx="4">
                  <c:v>29795.975777</c:v>
                </c:pt>
                <c:pt idx="5">
                  <c:v>34398.214529999997</c:v>
                </c:pt>
                <c:pt idx="6">
                  <c:v>32139.332321999998</c:v>
                </c:pt>
                <c:pt idx="7">
                  <c:v>33666.547941999997</c:v>
                </c:pt>
                <c:pt idx="8">
                  <c:v>38855.434780999996</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DEMIRS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max val="3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Q&amp;V'!$R$34</c:f>
              <c:strCache>
                <c:ptCount val="1"/>
                <c:pt idx="0">
                  <c:v>Quantity (Mt)</c:v>
                </c:pt>
              </c:strCache>
            </c:strRef>
          </c:tx>
          <c:invertIfNegative val="0"/>
          <c:cat>
            <c:numRef>
              <c:f>'Iron Ore - Q&amp;V'!$Q$35:$Q$54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'Iron Ore - Q&amp;V'!$R$35:$R$54</c:f>
              <c:numCache>
                <c:formatCode>#,##0.00</c:formatCode>
                <c:ptCount val="20"/>
                <c:pt idx="0">
                  <c:v>213.53162907000001</c:v>
                </c:pt>
                <c:pt idx="1">
                  <c:v>240.50167369000002</c:v>
                </c:pt>
                <c:pt idx="2">
                  <c:v>250.325766362</c:v>
                </c:pt>
                <c:pt idx="3">
                  <c:v>264.44915205099994</c:v>
                </c:pt>
                <c:pt idx="4">
                  <c:v>305.88447268200002</c:v>
                </c:pt>
                <c:pt idx="5">
                  <c:v>356.06964630899995</c:v>
                </c:pt>
                <c:pt idx="6">
                  <c:v>393.85115706600004</c:v>
                </c:pt>
                <c:pt idx="7">
                  <c:v>426.67287969500001</c:v>
                </c:pt>
                <c:pt idx="8">
                  <c:v>478.32621689000001</c:v>
                </c:pt>
                <c:pt idx="9">
                  <c:v>544.937833372</c:v>
                </c:pt>
                <c:pt idx="10">
                  <c:v>686.23315313900002</c:v>
                </c:pt>
                <c:pt idx="11">
                  <c:v>742.4098403160001</c:v>
                </c:pt>
                <c:pt idx="12">
                  <c:v>769.27752100500004</c:v>
                </c:pt>
                <c:pt idx="13">
                  <c:v>814.12094474599985</c:v>
                </c:pt>
                <c:pt idx="14">
                  <c:v>813.57781896699998</c:v>
                </c:pt>
                <c:pt idx="15">
                  <c:v>811.78788645099985</c:v>
                </c:pt>
                <c:pt idx="16">
                  <c:v>847.132426775</c:v>
                </c:pt>
                <c:pt idx="17">
                  <c:v>838.29191462299991</c:v>
                </c:pt>
                <c:pt idx="18">
                  <c:v>855.84537384100008</c:v>
                </c:pt>
                <c:pt idx="19">
                  <c:v>859.52255695199995</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Q&amp;V'!$S$34</c:f>
              <c:strCache>
                <c:ptCount val="1"/>
                <c:pt idx="0">
                  <c:v>Value ($ Million)</c:v>
                </c:pt>
              </c:strCache>
            </c:strRef>
          </c:tx>
          <c:marker>
            <c:symbol val="none"/>
          </c:marker>
          <c:cat>
            <c:numRef>
              <c:f>'Iron Ore - Q&amp;V'!$Q$35:$Q$54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'Iron Ore - Q&amp;V'!$S$35:$S$54</c:f>
              <c:numCache>
                <c:formatCode>#,##0.00</c:formatCode>
                <c:ptCount val="20"/>
                <c:pt idx="0">
                  <c:v>6192.9763191399998</c:v>
                </c:pt>
                <c:pt idx="1">
                  <c:v>11308.71794499</c:v>
                </c:pt>
                <c:pt idx="2">
                  <c:v>14780.092745670001</c:v>
                </c:pt>
                <c:pt idx="3">
                  <c:v>16135.90395344</c:v>
                </c:pt>
                <c:pt idx="4">
                  <c:v>31909.855018219998</c:v>
                </c:pt>
                <c:pt idx="5">
                  <c:v>28133.427135669997</c:v>
                </c:pt>
                <c:pt idx="6">
                  <c:v>50262.149327229999</c:v>
                </c:pt>
                <c:pt idx="7">
                  <c:v>62863.290517729998</c:v>
                </c:pt>
                <c:pt idx="8">
                  <c:v>52823.916640019997</c:v>
                </c:pt>
                <c:pt idx="9">
                  <c:v>71124.725319999998</c:v>
                </c:pt>
                <c:pt idx="10">
                  <c:v>65059.73704</c:v>
                </c:pt>
                <c:pt idx="11">
                  <c:v>49630.774950999999</c:v>
                </c:pt>
                <c:pt idx="12">
                  <c:v>55609.172696999995</c:v>
                </c:pt>
                <c:pt idx="13">
                  <c:v>63830.848204999988</c:v>
                </c:pt>
                <c:pt idx="14">
                  <c:v>65755.563037999993</c:v>
                </c:pt>
                <c:pt idx="15">
                  <c:v>99729.341920000006</c:v>
                </c:pt>
                <c:pt idx="16">
                  <c:v>118437.941051</c:v>
                </c:pt>
                <c:pt idx="17">
                  <c:v>157824.71403499998</c:v>
                </c:pt>
                <c:pt idx="18">
                  <c:v>127522.61195399999</c:v>
                </c:pt>
                <c:pt idx="19">
                  <c:v>139059.52957499999</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DEMIRS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max val="200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max val="10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2023
Total Value: $134,399,976,000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6.6638505857916183E-2"/>
                  <c:y val="-2.73021306908575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8.2424942454924627E-2"/>
                  <c:y val="6.318526632486386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016424124121186"/>
                      <c:h val="6.8831934641746931E-2"/>
                    </c:manualLayout>
                  </c15:layout>
                </c:ext>
                <c:ext xmlns:c16="http://schemas.microsoft.com/office/drawing/2014/chart" uri="{C3380CC4-5D6E-409C-BE32-E72D297353CC}">
                  <c16:uniqueId val="{00000004-0A70-4ACE-9B88-BBE6D33169FE}"/>
                </c:ext>
              </c:extLst>
            </c:dLbl>
            <c:dLbl>
              <c:idx val="5"/>
              <c:layout>
                <c:manualLayout>
                  <c:x val="-4.7042700169411755E-2"/>
                  <c:y val="9.346240808113388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China</c:v>
                </c:pt>
                <c:pt idx="1">
                  <c:v>Japan</c:v>
                </c:pt>
                <c:pt idx="2">
                  <c:v>Korea, Republic of (South)</c:v>
                </c:pt>
                <c:pt idx="3">
                  <c:v>Taiwan</c:v>
                </c:pt>
                <c:pt idx="4">
                  <c:v>Vietnam</c:v>
                </c:pt>
                <c:pt idx="5">
                  <c:v>Other</c:v>
                </c:pt>
              </c:strCache>
            </c:strRef>
          </c:cat>
          <c:val>
            <c:numRef>
              <c:f>'Iron Ore - Exports'!$D$10:$D$15</c:f>
              <c:numCache>
                <c:formatCode>0.0%</c:formatCode>
                <c:ptCount val="6"/>
                <c:pt idx="0">
                  <c:v>0.84951413979419166</c:v>
                </c:pt>
                <c:pt idx="1">
                  <c:v>5.9118388533045574E-2</c:v>
                </c:pt>
                <c:pt idx="2">
                  <c:v>5.3558714921199096E-2</c:v>
                </c:pt>
                <c:pt idx="3">
                  <c:v>1.575207870572834E-2</c:v>
                </c:pt>
                <c:pt idx="4">
                  <c:v>9.0335656012319535E-3</c:v>
                </c:pt>
                <c:pt idx="5">
                  <c:v>1.3023112444603413E-2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v>Western Australia</c:v>
          </c:tx>
          <c:invertIfNegative val="0"/>
          <c:cat>
            <c:numRef>
              <c:f>'Iron Ore - WA vs Aus'!$A$7:$A$80</c:f>
              <c:numCache>
                <c:formatCode>General</c:formatCode>
                <c:ptCount val="7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'Iron Ore - WA vs Aus'!$B$7:$B$80</c:f>
              <c:numCache>
                <c:formatCode>#,##0.00</c:formatCode>
                <c:ptCount val="74"/>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544.937833372</c:v>
                </c:pt>
                <c:pt idx="64">
                  <c:v>686.23315313900002</c:v>
                </c:pt>
                <c:pt idx="65">
                  <c:v>742.4098403160001</c:v>
                </c:pt>
                <c:pt idx="66">
                  <c:v>769.27752100500004</c:v>
                </c:pt>
                <c:pt idx="67">
                  <c:v>814.12094474599985</c:v>
                </c:pt>
                <c:pt idx="68">
                  <c:v>813.57781896699998</c:v>
                </c:pt>
                <c:pt idx="69">
                  <c:v>811.78788645099985</c:v>
                </c:pt>
                <c:pt idx="70">
                  <c:v>847.132426775</c:v>
                </c:pt>
                <c:pt idx="71">
                  <c:v>838.29191462299991</c:v>
                </c:pt>
                <c:pt idx="72">
                  <c:v>855.84537384100008</c:v>
                </c:pt>
                <c:pt idx="73">
                  <c:v>859.52255695199995</c:v>
                </c:pt>
              </c:numCache>
            </c:numRef>
          </c:val>
          <c:extLst>
            <c:ext xmlns:c16="http://schemas.microsoft.com/office/drawing/2014/chart" uri="{C3380CC4-5D6E-409C-BE32-E72D297353CC}">
              <c16:uniqueId val="{00000000-E376-493C-8972-340C0178EA88}"/>
            </c:ext>
          </c:extLst>
        </c:ser>
        <c:ser>
          <c:idx val="1"/>
          <c:order val="1"/>
          <c:tx>
            <c:v>Rest of Australia</c:v>
          </c:tx>
          <c:invertIfNegative val="0"/>
          <c:cat>
            <c:numRef>
              <c:f>'Iron Ore - WA vs Aus'!$A$7:$A$80</c:f>
              <c:numCache>
                <c:formatCode>General</c:formatCode>
                <c:ptCount val="7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'Iron Ore - WA vs Aus'!$C$7:$C$80</c:f>
              <c:numCache>
                <c:formatCode>#,##0.00</c:formatCode>
                <c:ptCount val="74"/>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12.558</c:v>
                </c:pt>
                <c:pt idx="60">
                  <c:v>13.754</c:v>
                </c:pt>
                <c:pt idx="61">
                  <c:v>14.381</c:v>
                </c:pt>
                <c:pt idx="62">
                  <c:v>14.849</c:v>
                </c:pt>
                <c:pt idx="63">
                  <c:v>16.393000000000001</c:v>
                </c:pt>
                <c:pt idx="64">
                  <c:v>15.496</c:v>
                </c:pt>
                <c:pt idx="65">
                  <c:v>12.045</c:v>
                </c:pt>
                <c:pt idx="66">
                  <c:v>11.536</c:v>
                </c:pt>
                <c:pt idx="67">
                  <c:v>8.06</c:v>
                </c:pt>
                <c:pt idx="68">
                  <c:v>7.3959999999999999</c:v>
                </c:pt>
                <c:pt idx="69">
                  <c:v>8.0011720000000004</c:v>
                </c:pt>
                <c:pt idx="70">
                  <c:v>8.3033040000000007</c:v>
                </c:pt>
                <c:pt idx="71">
                  <c:v>11.074134000000001</c:v>
                </c:pt>
                <c:pt idx="72">
                  <c:v>10.642755246276</c:v>
                </c:pt>
                <c:pt idx="73">
                  <c:v>10.4704555833424</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Last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8.3030257839648819E-2"/>
          <c:y val="0.30194515004920897"/>
          <c:w val="0.89808941788610164"/>
          <c:h val="0.54588712276043339"/>
        </c:manualLayout>
      </c:layout>
      <c:lineChart>
        <c:grouping val="standard"/>
        <c:varyColors val="0"/>
        <c:ser>
          <c:idx val="0"/>
          <c:order val="0"/>
          <c:tx>
            <c:v>Western Australia</c:v>
          </c:tx>
          <c:cat>
            <c:numRef>
              <c:f>'Iron Ore - WA vs Aus'!$P$9:$P$18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'Iron Ore - WA vs Aus'!$Q$9:$Q$18</c:f>
              <c:numCache>
                <c:formatCode>0.00</c:formatCode>
                <c:ptCount val="10"/>
                <c:pt idx="0">
                  <c:v>686.23315313900002</c:v>
                </c:pt>
                <c:pt idx="1">
                  <c:v>742.4098403160001</c:v>
                </c:pt>
                <c:pt idx="2">
                  <c:v>769.27752100500004</c:v>
                </c:pt>
                <c:pt idx="3">
                  <c:v>814.12094474599985</c:v>
                </c:pt>
                <c:pt idx="4">
                  <c:v>813.57781896699998</c:v>
                </c:pt>
                <c:pt idx="5">
                  <c:v>811.78788645099985</c:v>
                </c:pt>
                <c:pt idx="6">
                  <c:v>847.132426775</c:v>
                </c:pt>
                <c:pt idx="7">
                  <c:v>838.29191462299991</c:v>
                </c:pt>
                <c:pt idx="8">
                  <c:v>855.84537384100008</c:v>
                </c:pt>
                <c:pt idx="9">
                  <c:v>859.52255695199995</c:v>
                </c:pt>
              </c:numCache>
            </c:numRef>
          </c:val>
          <c:smooth val="0"/>
          <c:extLst>
            <c:ext xmlns:c16="http://schemas.microsoft.com/office/drawing/2014/chart" uri="{C3380CC4-5D6E-409C-BE32-E72D297353CC}">
              <c16:uniqueId val="{00000000-61F0-469A-B468-30EBFCC42890}"/>
            </c:ext>
          </c:extLst>
        </c:ser>
        <c:ser>
          <c:idx val="1"/>
          <c:order val="1"/>
          <c:tx>
            <c:v>Rest of Australia</c:v>
          </c:tx>
          <c:cat>
            <c:numRef>
              <c:f>'Iron Ore - WA vs Aus'!$P$9:$P$18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'Iron Ore - WA vs Aus'!$R$9:$R$18</c:f>
              <c:numCache>
                <c:formatCode>0.00</c:formatCode>
                <c:ptCount val="10"/>
                <c:pt idx="0">
                  <c:v>15.496</c:v>
                </c:pt>
                <c:pt idx="1">
                  <c:v>12.045</c:v>
                </c:pt>
                <c:pt idx="2">
                  <c:v>11.536</c:v>
                </c:pt>
                <c:pt idx="3">
                  <c:v>8.06</c:v>
                </c:pt>
                <c:pt idx="4">
                  <c:v>7.3959999999999999</c:v>
                </c:pt>
                <c:pt idx="5">
                  <c:v>8.0011720000000004</c:v>
                </c:pt>
                <c:pt idx="6">
                  <c:v>8.3033040000000007</c:v>
                </c:pt>
                <c:pt idx="7">
                  <c:v>11.074134000000001</c:v>
                </c:pt>
                <c:pt idx="8">
                  <c:v>10.642755246276</c:v>
                </c:pt>
                <c:pt idx="9">
                  <c:v>10.4704555833424</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max val="1000"/>
        </c:scaling>
        <c:delete val="0"/>
        <c:axPos val="l"/>
        <c:majorGridlines/>
        <c:title>
          <c:tx>
            <c:rich>
              <a:bodyPr/>
              <a:lstStyle/>
              <a:p>
                <a:pPr>
                  <a:defRPr/>
                </a:pPr>
                <a:r>
                  <a:rPr lang="en-AU"/>
                  <a:t>Million tonnes</a:t>
                </a:r>
              </a:p>
            </c:rich>
          </c:tx>
          <c:layout>
            <c:manualLayout>
              <c:xMode val="edge"/>
              <c:yMode val="edge"/>
              <c:x val="1.7458081819299372E-2"/>
              <c:y val="0.47971260754618489"/>
            </c:manualLayout>
          </c:layout>
          <c:overlay val="0"/>
        </c:title>
        <c:numFmt formatCode="#,##0" sourceLinked="0"/>
        <c:majorTickMark val="out"/>
        <c:minorTickMark val="none"/>
        <c:tickLblPos val="nextTo"/>
        <c:crossAx val="130907136"/>
        <c:crosses val="autoZero"/>
        <c:crossBetween val="between"/>
        <c:majorUnit val="200"/>
      </c:valAx>
      <c:catAx>
        <c:axId val="130907136"/>
        <c:scaling>
          <c:orientation val="minMax"/>
        </c:scaling>
        <c:delete val="0"/>
        <c:axPos val="b"/>
        <c:title>
          <c:tx>
            <c:rich>
              <a:bodyPr/>
              <a:lstStyle/>
              <a:p>
                <a:pPr>
                  <a:defRPr/>
                </a:pPr>
                <a:r>
                  <a:rPr lang="en-AU"/>
                  <a:t>Source:  DEMIRS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txPr>
          <a:bodyPr rot="-2700000"/>
          <a:lstStyle/>
          <a:p>
            <a:pPr>
              <a:defRPr/>
            </a:pPr>
            <a:endParaRPr lang="en-US"/>
          </a:p>
        </c:txPr>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8.4457914078752264E-2"/>
          <c:y val="0.24977847634176698"/>
          <c:w val="0.82356256976507536"/>
          <c:h val="0.55033190291167244"/>
        </c:manualLayout>
      </c:layout>
      <c:lineChart>
        <c:grouping val="standard"/>
        <c:varyColors val="0"/>
        <c:ser>
          <c:idx val="0"/>
          <c:order val="0"/>
          <c:tx>
            <c:v>Alumina (LHS)</c:v>
          </c:tx>
          <c:marker>
            <c:symbol val="none"/>
          </c:marker>
          <c:cat>
            <c:numRef>
              <c:f>'Alumina and Bauxite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'Alumina and Bauxite - Prices'!$B$9:$B$69</c:f>
              <c:numCache>
                <c:formatCode>#,##0.00</c:formatCode>
                <c:ptCount val="61"/>
                <c:pt idx="0">
                  <c:v>592.35887609284578</c:v>
                </c:pt>
                <c:pt idx="1">
                  <c:v>563.4450303600637</c:v>
                </c:pt>
                <c:pt idx="2">
                  <c:v>538.66072981151183</c:v>
                </c:pt>
                <c:pt idx="3">
                  <c:v>534.13870236016885</c:v>
                </c:pt>
                <c:pt idx="4">
                  <c:v>526.33458904718032</c:v>
                </c:pt>
                <c:pt idx="5">
                  <c:v>525.09412904318549</c:v>
                </c:pt>
                <c:pt idx="6">
                  <c:v>525.09412904318549</c:v>
                </c:pt>
                <c:pt idx="7">
                  <c:v>481.14046038368895</c:v>
                </c:pt>
                <c:pt idx="8">
                  <c:v>451.81703742651098</c:v>
                </c:pt>
                <c:pt idx="9">
                  <c:v>449.51272634315131</c:v>
                </c:pt>
                <c:pt idx="10">
                  <c:v>430.30145532716136</c:v>
                </c:pt>
                <c:pt idx="11">
                  <c:v>408.97919778067535</c:v>
                </c:pt>
                <c:pt idx="12">
                  <c:v>404.42721533325215</c:v>
                </c:pt>
                <c:pt idx="13">
                  <c:v>396.92532127169625</c:v>
                </c:pt>
                <c:pt idx="14">
                  <c:v>416.18601938251527</c:v>
                </c:pt>
                <c:pt idx="15">
                  <c:v>440.0715921396602</c:v>
                </c:pt>
                <c:pt idx="16">
                  <c:v>448.50304503326066</c:v>
                </c:pt>
                <c:pt idx="17">
                  <c:v>352.48516437550927</c:v>
                </c:pt>
                <c:pt idx="18">
                  <c:v>350.1342131681975</c:v>
                </c:pt>
                <c:pt idx="19">
                  <c:v>356.87814281045519</c:v>
                </c:pt>
                <c:pt idx="20">
                  <c:v>372.44613450102361</c:v>
                </c:pt>
                <c:pt idx="21">
                  <c:v>374.6944602262173</c:v>
                </c:pt>
                <c:pt idx="22">
                  <c:v>378.71733743229407</c:v>
                </c:pt>
                <c:pt idx="23">
                  <c:v>373.37707268862522</c:v>
                </c:pt>
                <c:pt idx="24">
                  <c:v>369.11537463760158</c:v>
                </c:pt>
                <c:pt idx="25">
                  <c:v>376.60660378402264</c:v>
                </c:pt>
                <c:pt idx="26">
                  <c:v>384.0978329304437</c:v>
                </c:pt>
                <c:pt idx="27">
                  <c:v>398.32071225827769</c:v>
                </c:pt>
                <c:pt idx="28">
                  <c:v>383.24303772598245</c:v>
                </c:pt>
                <c:pt idx="29">
                  <c:v>367.64673884431613</c:v>
                </c:pt>
                <c:pt idx="30">
                  <c:v>388.47708659188561</c:v>
                </c:pt>
                <c:pt idx="31">
                  <c:v>381.52995205898827</c:v>
                </c:pt>
                <c:pt idx="32">
                  <c:v>395.0206053683923</c:v>
                </c:pt>
                <c:pt idx="33">
                  <c:v>414.38671750278041</c:v>
                </c:pt>
                <c:pt idx="34">
                  <c:v>493.21954852684263</c:v>
                </c:pt>
                <c:pt idx="35">
                  <c:v>611.10860599040382</c:v>
                </c:pt>
                <c:pt idx="36">
                  <c:v>539.33028458145975</c:v>
                </c:pt>
                <c:pt idx="37">
                  <c:v>519.4991193682514</c:v>
                </c:pt>
                <c:pt idx="38">
                  <c:v>524.97953421667216</c:v>
                </c:pt>
                <c:pt idx="39">
                  <c:v>545.48048865632359</c:v>
                </c:pt>
                <c:pt idx="40">
                  <c:v>621.96422706893463</c:v>
                </c:pt>
                <c:pt idx="41">
                  <c:v>562.58212053260854</c:v>
                </c:pt>
                <c:pt idx="42">
                  <c:v>530.9682067793384</c:v>
                </c:pt>
                <c:pt idx="43">
                  <c:v>505.91217742679078</c:v>
                </c:pt>
                <c:pt idx="44">
                  <c:v>493.47999365372959</c:v>
                </c:pt>
                <c:pt idx="45">
                  <c:v>489.98473308684032</c:v>
                </c:pt>
                <c:pt idx="46">
                  <c:v>530.72973477210928</c:v>
                </c:pt>
                <c:pt idx="47">
                  <c:v>480.81888076417579</c:v>
                </c:pt>
                <c:pt idx="48">
                  <c:v>468.754359044132</c:v>
                </c:pt>
                <c:pt idx="49">
                  <c:v>460.43680769530499</c:v>
                </c:pt>
                <c:pt idx="50">
                  <c:v>497.88721329066323</c:v>
                </c:pt>
                <c:pt idx="51">
                  <c:v>544.72863941833975</c:v>
                </c:pt>
                <c:pt idx="52">
                  <c:v>535.9416455155291</c:v>
                </c:pt>
                <c:pt idx="53">
                  <c:v>542.68411938617339</c:v>
                </c:pt>
                <c:pt idx="54">
                  <c:v>509.08402699214878</c:v>
                </c:pt>
                <c:pt idx="55">
                  <c:v>497.18508594946104</c:v>
                </c:pt>
                <c:pt idx="56">
                  <c:v>508.7246818107468</c:v>
                </c:pt>
                <c:pt idx="57">
                  <c:v>525.15135304208104</c:v>
                </c:pt>
                <c:pt idx="58">
                  <c:v>533.64034723646898</c:v>
                </c:pt>
                <c:pt idx="59">
                  <c:v>515.78536961948828</c:v>
                </c:pt>
                <c:pt idx="60">
                  <c:v>492.31908463070744</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marker val="1"/>
        <c:smooth val="0"/>
        <c:axId val="109273472"/>
        <c:axId val="115919488"/>
      </c:lineChart>
      <c:lineChart>
        <c:grouping val="standard"/>
        <c:varyColors val="0"/>
        <c:ser>
          <c:idx val="1"/>
          <c:order val="1"/>
          <c:tx>
            <c:v>Bauxite (RHS)</c:v>
          </c:tx>
          <c:marker>
            <c:symbol val="none"/>
          </c:marker>
          <c:val>
            <c:numRef>
              <c:f>'Alumina and Bauxite - Prices'!$C$9:$C$69</c:f>
              <c:numCache>
                <c:formatCode>#,##0.00</c:formatCode>
                <c:ptCount val="61"/>
                <c:pt idx="0">
                  <c:v>43.462981021477866</c:v>
                </c:pt>
                <c:pt idx="1">
                  <c:v>43.449229682758848</c:v>
                </c:pt>
                <c:pt idx="2">
                  <c:v>44.449539419582194</c:v>
                </c:pt>
                <c:pt idx="3">
                  <c:v>35.813303892079347</c:v>
                </c:pt>
                <c:pt idx="4">
                  <c:v>41.03546713097748</c:v>
                </c:pt>
                <c:pt idx="5">
                  <c:v>41.547911917514028</c:v>
                </c:pt>
                <c:pt idx="6">
                  <c:v>41.547911917514028</c:v>
                </c:pt>
                <c:pt idx="7">
                  <c:v>42.232666852496401</c:v>
                </c:pt>
                <c:pt idx="8">
                  <c:v>45.782533830470413</c:v>
                </c:pt>
                <c:pt idx="9">
                  <c:v>40.607686587136193</c:v>
                </c:pt>
                <c:pt idx="10">
                  <c:v>39.544123931544448</c:v>
                </c:pt>
                <c:pt idx="11">
                  <c:v>36.057185322359011</c:v>
                </c:pt>
                <c:pt idx="12">
                  <c:v>34.289291911341721</c:v>
                </c:pt>
                <c:pt idx="13">
                  <c:v>33.984934016289557</c:v>
                </c:pt>
                <c:pt idx="14">
                  <c:v>35.314612902455785</c:v>
                </c:pt>
                <c:pt idx="15">
                  <c:v>44.773234950724799</c:v>
                </c:pt>
                <c:pt idx="16">
                  <c:v>45.118476517951741</c:v>
                </c:pt>
                <c:pt idx="17">
                  <c:v>44.428343689140611</c:v>
                </c:pt>
                <c:pt idx="18">
                  <c:v>39.597079090549734</c:v>
                </c:pt>
                <c:pt idx="19">
                  <c:v>39.167647865288366</c:v>
                </c:pt>
                <c:pt idx="20">
                  <c:v>38.297941623417472</c:v>
                </c:pt>
                <c:pt idx="21">
                  <c:v>38.435586857400921</c:v>
                </c:pt>
                <c:pt idx="22">
                  <c:v>39.533456598634416</c:v>
                </c:pt>
                <c:pt idx="23">
                  <c:v>38.615834632933122</c:v>
                </c:pt>
                <c:pt idx="24">
                  <c:v>37.778571601204838</c:v>
                </c:pt>
                <c:pt idx="25">
                  <c:v>36.915536705220518</c:v>
                </c:pt>
                <c:pt idx="26">
                  <c:v>36.380467168182442</c:v>
                </c:pt>
                <c:pt idx="27">
                  <c:v>37.40305636000047</c:v>
                </c:pt>
                <c:pt idx="28">
                  <c:v>37.284555435068668</c:v>
                </c:pt>
                <c:pt idx="29">
                  <c:v>35.089373633295544</c:v>
                </c:pt>
                <c:pt idx="30">
                  <c:v>33.722292972635046</c:v>
                </c:pt>
                <c:pt idx="31">
                  <c:v>35.444686509825132</c:v>
                </c:pt>
                <c:pt idx="32">
                  <c:v>36.147556429478513</c:v>
                </c:pt>
                <c:pt idx="33">
                  <c:v>35.67125159615788</c:v>
                </c:pt>
                <c:pt idx="34">
                  <c:v>34.904589211807306</c:v>
                </c:pt>
                <c:pt idx="35">
                  <c:v>36.892901454769628</c:v>
                </c:pt>
                <c:pt idx="36">
                  <c:v>33.819683594342479</c:v>
                </c:pt>
                <c:pt idx="37">
                  <c:v>29.817436391123394</c:v>
                </c:pt>
                <c:pt idx="38">
                  <c:v>31.802668810548269</c:v>
                </c:pt>
                <c:pt idx="39">
                  <c:v>28.642514660837818</c:v>
                </c:pt>
                <c:pt idx="40">
                  <c:v>30.293445395647741</c:v>
                </c:pt>
                <c:pt idx="41">
                  <c:v>29.600651769596155</c:v>
                </c:pt>
                <c:pt idx="42">
                  <c:v>29.162707221040151</c:v>
                </c:pt>
                <c:pt idx="43">
                  <c:v>31.895277894987423</c:v>
                </c:pt>
                <c:pt idx="44">
                  <c:v>27.609646264844244</c:v>
                </c:pt>
                <c:pt idx="45">
                  <c:v>32.584945850989442</c:v>
                </c:pt>
                <c:pt idx="46">
                  <c:v>33.280419444289642</c:v>
                </c:pt>
                <c:pt idx="47">
                  <c:v>35.40126662780964</c:v>
                </c:pt>
                <c:pt idx="48">
                  <c:v>38.489683042295432</c:v>
                </c:pt>
                <c:pt idx="49">
                  <c:v>34.284848117974832</c:v>
                </c:pt>
                <c:pt idx="50">
                  <c:v>38.618453142026482</c:v>
                </c:pt>
                <c:pt idx="51">
                  <c:v>47.443001931926936</c:v>
                </c:pt>
                <c:pt idx="52">
                  <c:v>45.117848653757967</c:v>
                </c:pt>
                <c:pt idx="53">
                  <c:v>45.169004087506686</c:v>
                </c:pt>
                <c:pt idx="54">
                  <c:v>42.644409619736962</c:v>
                </c:pt>
                <c:pt idx="55">
                  <c:v>43.933713583243488</c:v>
                </c:pt>
                <c:pt idx="56">
                  <c:v>44.652734738028563</c:v>
                </c:pt>
                <c:pt idx="57">
                  <c:v>46.789081153602211</c:v>
                </c:pt>
                <c:pt idx="58">
                  <c:v>47.011576455634298</c:v>
                </c:pt>
                <c:pt idx="59">
                  <c:v>48.213654573085805</c:v>
                </c:pt>
                <c:pt idx="60">
                  <c:v>47.586392388559581</c:v>
                </c:pt>
              </c:numCache>
            </c:numRef>
          </c:val>
          <c:smooth val="0"/>
          <c:extLst>
            <c:ext xmlns:c16="http://schemas.microsoft.com/office/drawing/2014/chart" uri="{C3380CC4-5D6E-409C-BE32-E72D297353CC}">
              <c16:uniqueId val="{00000000-F90C-4480-A885-3C8038DD9BAA}"/>
            </c:ext>
          </c:extLst>
        </c:ser>
        <c:dLbls>
          <c:showLegendKey val="0"/>
          <c:showVal val="0"/>
          <c:showCatName val="0"/>
          <c:showSerName val="0"/>
          <c:showPercent val="0"/>
          <c:showBubbleSize val="0"/>
        </c:dLbls>
        <c:marker val="1"/>
        <c:smooth val="0"/>
        <c:axId val="906066200"/>
        <c:axId val="906063576"/>
      </c:lineChart>
      <c:valAx>
        <c:axId val="115919488"/>
        <c:scaling>
          <c:orientation val="minMax"/>
          <c:max val="1000"/>
        </c:scaling>
        <c:delete val="0"/>
        <c:axPos val="l"/>
        <c:majorGridlines/>
        <c:title>
          <c:tx>
            <c:rich>
              <a:bodyPr/>
              <a:lstStyle/>
              <a:p>
                <a:pPr>
                  <a:defRPr/>
                </a:pPr>
                <a:r>
                  <a:rPr lang="en-AU"/>
                  <a:t>A$</a:t>
                </a:r>
                <a:r>
                  <a:rPr lang="en-AU" baseline="0"/>
                  <a:t> per </a:t>
                </a:r>
                <a:r>
                  <a:rPr lang="en-AU"/>
                  <a:t>tonne</a:t>
                </a:r>
              </a:p>
            </c:rich>
          </c:tx>
          <c:layout>
            <c:manualLayout>
              <c:xMode val="edge"/>
              <c:yMode val="edge"/>
              <c:x val="9.3232560977637661E-3"/>
              <c:y val="0.41438294639885154"/>
            </c:manualLayout>
          </c:layout>
          <c:overlay val="0"/>
        </c:title>
        <c:numFmt formatCode="#,##0" sourceLinked="0"/>
        <c:majorTickMark val="out"/>
        <c:minorTickMark val="none"/>
        <c:tickLblPos val="nextTo"/>
        <c:crossAx val="109273472"/>
        <c:crosses val="autoZero"/>
        <c:crossBetween val="between"/>
      </c:valAx>
      <c:date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15919488"/>
        <c:crosses val="autoZero"/>
        <c:auto val="1"/>
        <c:lblOffset val="100"/>
        <c:baseTimeUnit val="days"/>
        <c:majorUnit val="3"/>
        <c:majorTimeUnit val="months"/>
      </c:dateAx>
      <c:valAx>
        <c:axId val="906063576"/>
        <c:scaling>
          <c:orientation val="minMax"/>
          <c:max val="100"/>
        </c:scaling>
        <c:delete val="0"/>
        <c:axPos val="r"/>
        <c:title>
          <c:tx>
            <c:rich>
              <a:bodyPr/>
              <a:lstStyle/>
              <a:p>
                <a:pPr>
                  <a:defRPr/>
                </a:pPr>
                <a:r>
                  <a:rPr lang="en-AU"/>
                  <a:t>A$</a:t>
                </a:r>
                <a:r>
                  <a:rPr lang="en-AU" baseline="0"/>
                  <a:t> per tonne</a:t>
                </a:r>
                <a:endParaRPr lang="en-AU"/>
              </a:p>
            </c:rich>
          </c:tx>
          <c:overlay val="0"/>
        </c:title>
        <c:numFmt formatCode="#,##0" sourceLinked="0"/>
        <c:majorTickMark val="out"/>
        <c:minorTickMark val="none"/>
        <c:tickLblPos val="nextTo"/>
        <c:crossAx val="906066200"/>
        <c:crosses val="max"/>
        <c:crossBetween val="between"/>
        <c:majorUnit val="10"/>
      </c:valAx>
      <c:catAx>
        <c:axId val="906066200"/>
        <c:scaling>
          <c:orientation val="minMax"/>
        </c:scaling>
        <c:delete val="1"/>
        <c:axPos val="b"/>
        <c:majorTickMark val="out"/>
        <c:minorTickMark val="none"/>
        <c:tickLblPos val="nextTo"/>
        <c:crossAx val="906063576"/>
        <c:crosses val="autoZero"/>
        <c:auto val="1"/>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Annual Prices, Historic</a:t>
            </a:r>
          </a:p>
        </c:rich>
      </c:tx>
      <c:layout>
        <c:manualLayout>
          <c:xMode val="edge"/>
          <c:yMode val="edge"/>
          <c:x val="0.38151501284756245"/>
          <c:y val="2.282716711485952E-2"/>
        </c:manualLayout>
      </c:layout>
      <c:overlay val="0"/>
    </c:title>
    <c:autoTitleDeleted val="0"/>
    <c:plotArea>
      <c:layout>
        <c:manualLayout>
          <c:layoutTarget val="inner"/>
          <c:xMode val="edge"/>
          <c:yMode val="edge"/>
          <c:x val="0.10569122703595372"/>
          <c:y val="0.2233326756487381"/>
          <c:w val="0.79688360124720647"/>
          <c:h val="0.59389471316592501"/>
        </c:manualLayout>
      </c:layout>
      <c:lineChart>
        <c:grouping val="standard"/>
        <c:varyColors val="0"/>
        <c:ser>
          <c:idx val="2"/>
          <c:order val="0"/>
          <c:tx>
            <c:v>Lithium Hydroxide (LHS)</c:v>
          </c:tx>
          <c:spPr>
            <a:ln>
              <a:solidFill>
                <a:srgbClr val="F69240"/>
              </a:solidFill>
            </a:ln>
          </c:spPr>
          <c:marker>
            <c:symbol val="none"/>
          </c:marker>
          <c:cat>
            <c:numRef>
              <c:f>'Lithium - Prices'!$G$10:$G$17</c:f>
              <c:numCache>
                <c:formatCode>General</c:formatCode>
                <c:ptCount val="8"/>
                <c:pt idx="0">
                  <c:v>2016</c:v>
                </c:pt>
                <c:pt idx="1">
                  <c:v>2017</c:v>
                </c:pt>
                <c:pt idx="2">
                  <c:v>2018</c:v>
                </c:pt>
                <c:pt idx="3">
                  <c:v>2019</c:v>
                </c:pt>
                <c:pt idx="4">
                  <c:v>2020</c:v>
                </c:pt>
                <c:pt idx="5">
                  <c:v>2021</c:v>
                </c:pt>
                <c:pt idx="6">
                  <c:v>2022</c:v>
                </c:pt>
                <c:pt idx="7">
                  <c:v>2023</c:v>
                </c:pt>
              </c:numCache>
            </c:numRef>
          </c:cat>
          <c:val>
            <c:numRef>
              <c:f>'Lithium - Prices'!$H$10:$H$17</c:f>
              <c:numCache>
                <c:formatCode>#,##0.00</c:formatCode>
                <c:ptCount val="8"/>
                <c:pt idx="0">
                  <c:v>24756.642675188337</c:v>
                </c:pt>
                <c:pt idx="1">
                  <c:v>22008.191697714054</c:v>
                </c:pt>
                <c:pt idx="2">
                  <c:v>20805.067393201785</c:v>
                </c:pt>
                <c:pt idx="3">
                  <c:v>11807.37466021342</c:v>
                </c:pt>
                <c:pt idx="4">
                  <c:v>7298.5137713475133</c:v>
                </c:pt>
                <c:pt idx="5">
                  <c:v>17344.021522889703</c:v>
                </c:pt>
                <c:pt idx="6">
                  <c:v>69010.922039641751</c:v>
                </c:pt>
                <c:pt idx="7">
                  <c:v>39079.229066439708</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a:solidFill>
                <a:srgbClr val="F6BEA2"/>
              </a:solidFill>
            </a:ln>
          </c:spPr>
          <c:marker>
            <c:symbol val="none"/>
          </c:marker>
          <c:cat>
            <c:numRef>
              <c:f>'Lithium - Prices'!$G$10:$G$17</c:f>
              <c:numCache>
                <c:formatCode>General</c:formatCode>
                <c:ptCount val="8"/>
                <c:pt idx="0">
                  <c:v>2016</c:v>
                </c:pt>
                <c:pt idx="1">
                  <c:v>2017</c:v>
                </c:pt>
                <c:pt idx="2">
                  <c:v>2018</c:v>
                </c:pt>
                <c:pt idx="3">
                  <c:v>2019</c:v>
                </c:pt>
                <c:pt idx="4">
                  <c:v>2020</c:v>
                </c:pt>
                <c:pt idx="5">
                  <c:v>2021</c:v>
                </c:pt>
                <c:pt idx="6">
                  <c:v>2022</c:v>
                </c:pt>
                <c:pt idx="7">
                  <c:v>2023</c:v>
                </c:pt>
              </c:numCache>
            </c:numRef>
          </c:cat>
          <c:val>
            <c:numRef>
              <c:f>'Lithium - Prices'!$I$10:$I$17</c:f>
              <c:numCache>
                <c:formatCode>#,##0.00</c:formatCode>
                <c:ptCount val="8"/>
                <c:pt idx="2">
                  <c:v>1161.2748501841718</c:v>
                </c:pt>
                <c:pt idx="3">
                  <c:v>882.85059201799538</c:v>
                </c:pt>
                <c:pt idx="4">
                  <c:v>626.47649672021919</c:v>
                </c:pt>
                <c:pt idx="5">
                  <c:v>1294.9263687976193</c:v>
                </c:pt>
                <c:pt idx="6">
                  <c:v>6361.5047295008289</c:v>
                </c:pt>
                <c:pt idx="7">
                  <c:v>5568.7256793504785</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Asian Metal</a:t>
                </a:r>
              </a:p>
            </c:rich>
          </c:tx>
          <c:layout>
            <c:manualLayout>
              <c:xMode val="edge"/>
              <c:yMode val="edge"/>
              <c:x val="6.2010083718495703E-3"/>
              <c:y val="0.94853747931069499"/>
            </c:manualLayout>
          </c:layout>
          <c:overlay val="0"/>
        </c:title>
        <c:numFmt formatCode="General" sourceLinked="0"/>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max val="100000"/>
        </c:scaling>
        <c:delete val="0"/>
        <c:axPos val="l"/>
        <c:majorGridlines/>
        <c:title>
          <c:tx>
            <c:rich>
              <a:bodyPr rot="-5400000" vert="horz"/>
              <a:lstStyle/>
              <a:p>
                <a:pPr>
                  <a:defRPr/>
                </a:pPr>
                <a:r>
                  <a:rPr lang="en-AU"/>
                  <a:t>US$ per 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midCat"/>
        <c:majorUnit val="20000"/>
      </c:valAx>
      <c:valAx>
        <c:axId val="1398464456"/>
        <c:scaling>
          <c:orientation val="minMax"/>
          <c:max val="10000"/>
        </c:scaling>
        <c:delete val="0"/>
        <c:axPos val="r"/>
        <c:title>
          <c:tx>
            <c:rich>
              <a:bodyPr/>
              <a:lstStyle/>
              <a:p>
                <a:pPr>
                  <a:defRPr/>
                </a:pPr>
                <a:r>
                  <a:rPr lang="en-AU"/>
                  <a:t>A$ per tonne</a:t>
                </a:r>
              </a:p>
            </c:rich>
          </c:tx>
          <c:overlay val="0"/>
        </c:title>
        <c:numFmt formatCode="#,##0" sourceLinked="0"/>
        <c:majorTickMark val="out"/>
        <c:minorTickMark val="none"/>
        <c:tickLblPos val="nextTo"/>
        <c:crossAx val="1398461832"/>
        <c:crosses val="max"/>
        <c:crossBetween val="between"/>
        <c:majorUnit val="2000"/>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spPr>
    <a:ln>
      <a:solidFill>
        <a:schemeClr val="tx1">
          <a:tint val="75000"/>
          <a:shade val="95000"/>
          <a:satMod val="105000"/>
          <a:alpha val="92000"/>
        </a:schemeClr>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a:solidFill>
                <a:srgbClr val="F69240"/>
              </a:solidFill>
            </a:ln>
          </c:spPr>
          <c:marker>
            <c:symbol val="none"/>
          </c:marker>
          <c:cat>
            <c:numRef>
              <c:f>'Lithium - Prices'!$A$10:$A$70</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'Lithium - Prices'!$B$10:$B$70</c:f>
              <c:numCache>
                <c:formatCode>#,##0.00</c:formatCode>
                <c:ptCount val="61"/>
                <c:pt idx="0">
                  <c:v>15695.747885408853</c:v>
                </c:pt>
                <c:pt idx="1">
                  <c:v>15390.061363062987</c:v>
                </c:pt>
                <c:pt idx="2">
                  <c:v>15232.435257957062</c:v>
                </c:pt>
                <c:pt idx="3">
                  <c:v>14258.202168217851</c:v>
                </c:pt>
                <c:pt idx="4">
                  <c:v>14071.589069160367</c:v>
                </c:pt>
                <c:pt idx="5">
                  <c:v>13276.344017049141</c:v>
                </c:pt>
                <c:pt idx="6">
                  <c:v>13276.344017049141</c:v>
                </c:pt>
                <c:pt idx="7">
                  <c:v>11647.749286041295</c:v>
                </c:pt>
                <c:pt idx="8">
                  <c:v>10356.519339959126</c:v>
                </c:pt>
                <c:pt idx="9">
                  <c:v>9561.1873667519994</c:v>
                </c:pt>
                <c:pt idx="10">
                  <c:v>8984.5771595697224</c:v>
                </c:pt>
                <c:pt idx="11">
                  <c:v>8559.7618405174871</c:v>
                </c:pt>
                <c:pt idx="12">
                  <c:v>7802.2545102638787</c:v>
                </c:pt>
                <c:pt idx="13">
                  <c:v>7800.5370595090753</c:v>
                </c:pt>
                <c:pt idx="14">
                  <c:v>7755.0156938647242</c:v>
                </c:pt>
                <c:pt idx="15">
                  <c:v>7823.5945921546363</c:v>
                </c:pt>
                <c:pt idx="16">
                  <c:v>7550.3348251335565</c:v>
                </c:pt>
                <c:pt idx="17">
                  <c:v>7425.838905022918</c:v>
                </c:pt>
                <c:pt idx="18">
                  <c:v>7301.5962308323851</c:v>
                </c:pt>
                <c:pt idx="19">
                  <c:v>7004.7823154251973</c:v>
                </c:pt>
                <c:pt idx="20">
                  <c:v>6935.2115554103084</c:v>
                </c:pt>
                <c:pt idx="21">
                  <c:v>6965.7978791474006</c:v>
                </c:pt>
                <c:pt idx="22">
                  <c:v>6980.0320822312278</c:v>
                </c:pt>
                <c:pt idx="23">
                  <c:v>6965.7633370324129</c:v>
                </c:pt>
                <c:pt idx="24">
                  <c:v>7073.6607804063178</c:v>
                </c:pt>
                <c:pt idx="25">
                  <c:v>7983.8371568955763</c:v>
                </c:pt>
                <c:pt idx="26">
                  <c:v>9250.6835674283484</c:v>
                </c:pt>
                <c:pt idx="27">
                  <c:v>10499.060123891291</c:v>
                </c:pt>
                <c:pt idx="28">
                  <c:v>11785.33560363267</c:v>
                </c:pt>
                <c:pt idx="29">
                  <c:v>13249.57583026559</c:v>
                </c:pt>
                <c:pt idx="30">
                  <c:v>14157.767896660145</c:v>
                </c:pt>
                <c:pt idx="31">
                  <c:v>14508.818445033876</c:v>
                </c:pt>
                <c:pt idx="32">
                  <c:v>16785.068307583409</c:v>
                </c:pt>
                <c:pt idx="33">
                  <c:v>22963.317489067074</c:v>
                </c:pt>
                <c:pt idx="34">
                  <c:v>28113.956908549804</c:v>
                </c:pt>
                <c:pt idx="35">
                  <c:v>28558.364254416887</c:v>
                </c:pt>
                <c:pt idx="36">
                  <c:v>30272.472691251791</c:v>
                </c:pt>
                <c:pt idx="37">
                  <c:v>40713.478177145567</c:v>
                </c:pt>
                <c:pt idx="38">
                  <c:v>56978.311792570181</c:v>
                </c:pt>
                <c:pt idx="39">
                  <c:v>72551.840092643746</c:v>
                </c:pt>
                <c:pt idx="40">
                  <c:v>74847.210889658047</c:v>
                </c:pt>
                <c:pt idx="41">
                  <c:v>69192.00478027387</c:v>
                </c:pt>
                <c:pt idx="42">
                  <c:v>71256.455086269038</c:v>
                </c:pt>
                <c:pt idx="43">
                  <c:v>70918.02192836297</c:v>
                </c:pt>
                <c:pt idx="44">
                  <c:v>70328.345507790116</c:v>
                </c:pt>
                <c:pt idx="45">
                  <c:v>69325.522267157154</c:v>
                </c:pt>
                <c:pt idx="46">
                  <c:v>73594.508578656227</c:v>
                </c:pt>
                <c:pt idx="47">
                  <c:v>78847.972986360241</c:v>
                </c:pt>
                <c:pt idx="48">
                  <c:v>79577.392388813882</c:v>
                </c:pt>
                <c:pt idx="49">
                  <c:v>74141.049646210566</c:v>
                </c:pt>
                <c:pt idx="50">
                  <c:v>65667.023151782691</c:v>
                </c:pt>
                <c:pt idx="51">
                  <c:v>53163.830238952949</c:v>
                </c:pt>
                <c:pt idx="52">
                  <c:v>42118.560798413782</c:v>
                </c:pt>
                <c:pt idx="53">
                  <c:v>41677.254484793026</c:v>
                </c:pt>
                <c:pt idx="54">
                  <c:v>43361.820769964157</c:v>
                </c:pt>
                <c:pt idx="55">
                  <c:v>39612.200514729964</c:v>
                </c:pt>
                <c:pt idx="56">
                  <c:v>31038.28596767745</c:v>
                </c:pt>
                <c:pt idx="57">
                  <c:v>23220.109400402143</c:v>
                </c:pt>
                <c:pt idx="58">
                  <c:v>21571.801175382097</c:v>
                </c:pt>
                <c:pt idx="59">
                  <c:v>19098.286519385307</c:v>
                </c:pt>
                <c:pt idx="60">
                  <c:v>14280.526129582391</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a:solidFill>
                <a:srgbClr val="F6BEA2"/>
              </a:solidFill>
            </a:ln>
          </c:spPr>
          <c:marker>
            <c:symbol val="none"/>
          </c:marker>
          <c:val>
            <c:numRef>
              <c:f>'Lithium - Prices'!$C$10:$C$70</c:f>
              <c:numCache>
                <c:formatCode>#,##0.00</c:formatCode>
                <c:ptCount val="61"/>
                <c:pt idx="0">
                  <c:v>1008.8692607972814</c:v>
                </c:pt>
                <c:pt idx="1">
                  <c:v>987.78078466399143</c:v>
                </c:pt>
                <c:pt idx="2">
                  <c:v>966.30739081746924</c:v>
                </c:pt>
                <c:pt idx="3">
                  <c:v>973.46214113263898</c:v>
                </c:pt>
                <c:pt idx="4">
                  <c:v>947.38590132406239</c:v>
                </c:pt>
                <c:pt idx="5">
                  <c:v>923.88549976536854</c:v>
                </c:pt>
                <c:pt idx="6">
                  <c:v>923.88549976536854</c:v>
                </c:pt>
                <c:pt idx="7">
                  <c:v>877.83910592276391</c:v>
                </c:pt>
                <c:pt idx="8">
                  <c:v>881.67600751017869</c:v>
                </c:pt>
                <c:pt idx="9">
                  <c:v>843.81019661604967</c:v>
                </c:pt>
                <c:pt idx="10">
                  <c:v>789.9511066223439</c:v>
                </c:pt>
                <c:pt idx="11">
                  <c:v>772.93588536763934</c:v>
                </c:pt>
                <c:pt idx="12">
                  <c:v>733.01923831959186</c:v>
                </c:pt>
                <c:pt idx="13">
                  <c:v>719.03352578720103</c:v>
                </c:pt>
                <c:pt idx="14">
                  <c:v>734.24189524316148</c:v>
                </c:pt>
                <c:pt idx="15">
                  <c:v>775.37707143013495</c:v>
                </c:pt>
                <c:pt idx="16">
                  <c:v>731.9958398501077</c:v>
                </c:pt>
                <c:pt idx="17">
                  <c:v>671.48813834573264</c:v>
                </c:pt>
                <c:pt idx="18">
                  <c:v>613.54770508453498</c:v>
                </c:pt>
                <c:pt idx="19">
                  <c:v>575.9212520491169</c:v>
                </c:pt>
                <c:pt idx="20">
                  <c:v>542.06022891432383</c:v>
                </c:pt>
                <c:pt idx="21">
                  <c:v>539.16462039903797</c:v>
                </c:pt>
                <c:pt idx="22">
                  <c:v>547.74678470018364</c:v>
                </c:pt>
                <c:pt idx="23">
                  <c:v>539.59451753092253</c:v>
                </c:pt>
                <c:pt idx="24">
                  <c:v>527.54638130817455</c:v>
                </c:pt>
                <c:pt idx="25">
                  <c:v>540.71775517572598</c:v>
                </c:pt>
                <c:pt idx="26">
                  <c:v>559.67141871546391</c:v>
                </c:pt>
                <c:pt idx="27">
                  <c:v>626.2234351476468</c:v>
                </c:pt>
                <c:pt idx="28">
                  <c:v>990.41969026261472</c:v>
                </c:pt>
                <c:pt idx="29">
                  <c:v>818.02415494513571</c:v>
                </c:pt>
                <c:pt idx="30">
                  <c:v>868.90462665371103</c:v>
                </c:pt>
                <c:pt idx="31">
                  <c:v>949.52401359086593</c:v>
                </c:pt>
                <c:pt idx="32">
                  <c:v>1184.1683026891644</c:v>
                </c:pt>
                <c:pt idx="33">
                  <c:v>1356.6291088555733</c:v>
                </c:pt>
                <c:pt idx="34">
                  <c:v>1688.5160645418382</c:v>
                </c:pt>
                <c:pt idx="35">
                  <c:v>2629.1292187208655</c:v>
                </c:pt>
                <c:pt idx="36">
                  <c:v>3327.1886362728255</c:v>
                </c:pt>
                <c:pt idx="37">
                  <c:v>3709.4899821856643</c:v>
                </c:pt>
                <c:pt idx="38">
                  <c:v>3787.0390421437205</c:v>
                </c:pt>
                <c:pt idx="39">
                  <c:v>3749.6681004726247</c:v>
                </c:pt>
                <c:pt idx="40">
                  <c:v>4200.2568435282192</c:v>
                </c:pt>
                <c:pt idx="41">
                  <c:v>5715.3998865570047</c:v>
                </c:pt>
                <c:pt idx="42">
                  <c:v>6400.8344791617283</c:v>
                </c:pt>
                <c:pt idx="43">
                  <c:v>6788.369039679892</c:v>
                </c:pt>
                <c:pt idx="44">
                  <c:v>6854.6535093161601</c:v>
                </c:pt>
                <c:pt idx="45">
                  <c:v>7863.2055654848782</c:v>
                </c:pt>
                <c:pt idx="46">
                  <c:v>9021.9151377949674</c:v>
                </c:pt>
                <c:pt idx="47">
                  <c:v>9262.6207200810641</c:v>
                </c:pt>
                <c:pt idx="48">
                  <c:v>8984.6044476040261</c:v>
                </c:pt>
                <c:pt idx="49">
                  <c:v>8603.8683494754405</c:v>
                </c:pt>
                <c:pt idx="50">
                  <c:v>8560.8712000694177</c:v>
                </c:pt>
                <c:pt idx="51">
                  <c:v>7614.8806272918782</c:v>
                </c:pt>
                <c:pt idx="52">
                  <c:v>6593.2694842280998</c:v>
                </c:pt>
                <c:pt idx="53">
                  <c:v>6027.7795936511257</c:v>
                </c:pt>
                <c:pt idx="54">
                  <c:v>6077.9399446297994</c:v>
                </c:pt>
                <c:pt idx="55">
                  <c:v>6023.7877149460382</c:v>
                </c:pt>
                <c:pt idx="56">
                  <c:v>5205.4490682359519</c:v>
                </c:pt>
                <c:pt idx="57">
                  <c:v>4065.7819251836313</c:v>
                </c:pt>
                <c:pt idx="58">
                  <c:v>3356.1134732626933</c:v>
                </c:pt>
                <c:pt idx="59">
                  <c:v>2666.2759678198586</c:v>
                </c:pt>
                <c:pt idx="60">
                  <c:v>2028.6908034118026</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marker val="1"/>
        <c:smooth val="0"/>
        <c:axId val="1127020864"/>
        <c:axId val="1127019224"/>
      </c:lineChart>
      <c:valAx>
        <c:axId val="135296512"/>
        <c:scaling>
          <c:orientation val="minMax"/>
          <c:max val="100000"/>
        </c:scaling>
        <c:delete val="0"/>
        <c:axPos val="l"/>
        <c:majorGridlines/>
        <c:title>
          <c:tx>
            <c:rich>
              <a:bodyPr/>
              <a:lstStyle/>
              <a:p>
                <a:pPr>
                  <a:defRPr sz="1000"/>
                </a:pPr>
                <a:r>
                  <a:rPr lang="en-AU" sz="1000" b="1" i="0" baseline="0">
                    <a:effectLst/>
                  </a:rPr>
                  <a:t>US$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midCat"/>
        <c:majorUnit val="20000"/>
      </c:valAx>
      <c:date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4.6320127274579632E-3"/>
              <c:y val="0.95241456858208118"/>
            </c:manualLayout>
          </c:layout>
          <c:overlay val="0"/>
        </c:title>
        <c:numFmt formatCode="mmm\-yy" sourceLinked="1"/>
        <c:majorTickMark val="out"/>
        <c:minorTickMark val="none"/>
        <c:tickLblPos val="nextTo"/>
        <c:crossAx val="135296512"/>
        <c:crosses val="autoZero"/>
        <c:auto val="0"/>
        <c:lblOffset val="100"/>
        <c:baseTimeUnit val="days"/>
        <c:majorUnit val="3"/>
        <c:majorTimeUnit val="months"/>
        <c:minorUnit val="3"/>
      </c:date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majorUnit val="2000"/>
      </c:valAx>
      <c:catAx>
        <c:axId val="1127020864"/>
        <c:scaling>
          <c:orientation val="minMax"/>
        </c:scaling>
        <c:delete val="1"/>
        <c:axPos val="b"/>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v>Quantity</c:v>
          </c:tx>
          <c:spPr>
            <a:solidFill>
              <a:srgbClr val="F69240"/>
            </a:solidFill>
          </c:spPr>
          <c:invertIfNegative val="0"/>
          <c:cat>
            <c:numRef>
              <c:f>'Iron Ore - Q&amp;V'!$Q$10:$Q$18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'Lithium - Q&amp;V'!$Q$10:$Q$18</c:f>
              <c:numCache>
                <c:formatCode>#,##0.00</c:formatCode>
                <c:ptCount val="9"/>
                <c:pt idx="0">
                  <c:v>508.27242000000007</c:v>
                </c:pt>
                <c:pt idx="1">
                  <c:v>470.80765000000002</c:v>
                </c:pt>
                <c:pt idx="2">
                  <c:v>680.67505000000006</c:v>
                </c:pt>
                <c:pt idx="3">
                  <c:v>737.78048000000001</c:v>
                </c:pt>
                <c:pt idx="4">
                  <c:v>865.46370999999999</c:v>
                </c:pt>
                <c:pt idx="5">
                  <c:v>807.91121399999997</c:v>
                </c:pt>
                <c:pt idx="6">
                  <c:v>874.227037</c:v>
                </c:pt>
                <c:pt idx="7">
                  <c:v>885.07923800000015</c:v>
                </c:pt>
                <c:pt idx="8">
                  <c:v>727.82309599999996</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v>Value</c:v>
          </c:tx>
          <c:spPr>
            <a:ln>
              <a:solidFill>
                <a:srgbClr val="F6BEA2"/>
              </a:solidFill>
            </a:ln>
          </c:spPr>
          <c:marker>
            <c:symbol val="none"/>
          </c:marker>
          <c:cat>
            <c:numRef>
              <c:f>'Lithium - Q&amp;V'!$P$10:$P$18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'Lithium - Q&amp;V'!$R$10:$R$18</c:f>
              <c:numCache>
                <c:formatCode>#,##0.00</c:formatCode>
                <c:ptCount val="9"/>
                <c:pt idx="0">
                  <c:v>1221.948091</c:v>
                </c:pt>
                <c:pt idx="1">
                  <c:v>1859.828818</c:v>
                </c:pt>
                <c:pt idx="2">
                  <c:v>4079.7056659999998</c:v>
                </c:pt>
                <c:pt idx="3">
                  <c:v>4447.4842209999997</c:v>
                </c:pt>
                <c:pt idx="4">
                  <c:v>6644.1630289999994</c:v>
                </c:pt>
                <c:pt idx="5">
                  <c:v>5515.5192539999998</c:v>
                </c:pt>
                <c:pt idx="6">
                  <c:v>4499.6909679999999</c:v>
                </c:pt>
                <c:pt idx="7">
                  <c:v>3756.6079129999998</c:v>
                </c:pt>
                <c:pt idx="8">
                  <c:v>2073.3342375633965</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DEMIRS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max val="10000"/>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majorUnit val="2000"/>
      </c:valAx>
      <c:valAx>
        <c:axId val="135057408"/>
        <c:scaling>
          <c:orientation val="minMax"/>
          <c:max val="1000"/>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majorUnit val="200"/>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v>Quantity</c:v>
          </c:tx>
          <c:spPr>
            <a:solidFill>
              <a:srgbClr val="F69240"/>
            </a:solidFill>
          </c:spPr>
          <c:invertIfNegative val="0"/>
          <c:cat>
            <c:numRef>
              <c:extLst>
                <c:ext xmlns:c15="http://schemas.microsoft.com/office/drawing/2012/chart" uri="{02D57815-91ED-43cb-92C2-25804820EDAC}">
                  <c15:fullRef>
                    <c15:sqref>'Lithium - Q&amp;V'!$P$26:$P$45</c15:sqref>
                  </c15:fullRef>
                </c:ext>
              </c:extLst>
              <c:f>'Lithium - Q&amp;V'!$P$27:$P$45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extLst>
                <c:ext xmlns:c15="http://schemas.microsoft.com/office/drawing/2012/chart" uri="{02D57815-91ED-43cb-92C2-25804820EDAC}">
                  <c15:fullRef>
                    <c15:sqref>'Lithium - Q&amp;V'!$Q$26:$Q$45</c15:sqref>
                  </c15:fullRef>
                </c:ext>
              </c:extLst>
              <c:f>'Lithium - Q&amp;V'!$Q$27:$Q$45</c:f>
              <c:numCache>
                <c:formatCode>#,##0.00</c:formatCode>
                <c:ptCount val="19"/>
                <c:pt idx="0">
                  <c:v>173.63499999999999</c:v>
                </c:pt>
                <c:pt idx="1">
                  <c:v>222.101</c:v>
                </c:pt>
                <c:pt idx="2">
                  <c:v>245.279</c:v>
                </c:pt>
                <c:pt idx="3">
                  <c:v>239.52800000000002</c:v>
                </c:pt>
                <c:pt idx="4">
                  <c:v>197.48214999999999</c:v>
                </c:pt>
                <c:pt idx="5">
                  <c:v>326.86499999999995</c:v>
                </c:pt>
                <c:pt idx="6">
                  <c:v>401.53584999999998</c:v>
                </c:pt>
                <c:pt idx="7">
                  <c:v>500.89855</c:v>
                </c:pt>
                <c:pt idx="8">
                  <c:v>405.11900000000003</c:v>
                </c:pt>
                <c:pt idx="9">
                  <c:v>444.54599999999999</c:v>
                </c:pt>
                <c:pt idx="10">
                  <c:v>439.51400000000001</c:v>
                </c:pt>
                <c:pt idx="11">
                  <c:v>522.18100000000004</c:v>
                </c:pt>
                <c:pt idx="12">
                  <c:v>1706.61861</c:v>
                </c:pt>
                <c:pt idx="13">
                  <c:v>1965.9124324999998</c:v>
                </c:pt>
                <c:pt idx="14">
                  <c:v>1588.263023</c:v>
                </c:pt>
                <c:pt idx="15">
                  <c:v>1477.0900270000002</c:v>
                </c:pt>
                <c:pt idx="16">
                  <c:v>1966.74443</c:v>
                </c:pt>
                <c:pt idx="17">
                  <c:v>2754.7268899999999</c:v>
                </c:pt>
                <c:pt idx="18">
                  <c:v>3295.0405850000002</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v>Value</c:v>
          </c:tx>
          <c:spPr>
            <a:ln>
              <a:solidFill>
                <a:srgbClr val="F6BEA2"/>
              </a:solidFill>
            </a:ln>
          </c:spPr>
          <c:marker>
            <c:symbol val="none"/>
          </c:marker>
          <c:cat>
            <c:numRef>
              <c:extLst>
                <c:ext xmlns:c15="http://schemas.microsoft.com/office/drawing/2012/chart" uri="{02D57815-91ED-43cb-92C2-25804820EDAC}">
                  <c15:fullRef>
                    <c15:sqref>'Lithium - Q&amp;V'!$P$26:$P$45</c15:sqref>
                  </c15:fullRef>
                </c:ext>
              </c:extLst>
              <c:f>'Lithium - Q&amp;V'!$P$27:$P$45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extLst>
                <c:ext xmlns:c15="http://schemas.microsoft.com/office/drawing/2012/chart" uri="{02D57815-91ED-43cb-92C2-25804820EDAC}">
                  <c15:fullRef>
                    <c15:sqref>'Lithium - Q&amp;V'!$R$26:$R$45</c15:sqref>
                  </c15:fullRef>
                </c:ext>
              </c:extLst>
              <c:f>'Lithium - Q&amp;V'!$R$27:$R$45</c:f>
              <c:numCache>
                <c:formatCode>#,##0.00</c:formatCode>
                <c:ptCount val="19"/>
                <c:pt idx="0">
                  <c:v>30.318278999999997</c:v>
                </c:pt>
                <c:pt idx="1">
                  <c:v>51.784586000000004</c:v>
                </c:pt>
                <c:pt idx="2">
                  <c:v>67.904724999999999</c:v>
                </c:pt>
                <c:pt idx="3">
                  <c:v>73.33752733</c:v>
                </c:pt>
                <c:pt idx="4">
                  <c:v>71.703547</c:v>
                </c:pt>
                <c:pt idx="5">
                  <c:v>92.182259810000005</c:v>
                </c:pt>
                <c:pt idx="6">
                  <c:v>117.3272889</c:v>
                </c:pt>
                <c:pt idx="7">
                  <c:v>162.18938188999999</c:v>
                </c:pt>
                <c:pt idx="8">
                  <c:v>169.28654399999999</c:v>
                </c:pt>
                <c:pt idx="9">
                  <c:v>201.517762</c:v>
                </c:pt>
                <c:pt idx="10">
                  <c:v>240.17827200000002</c:v>
                </c:pt>
                <c:pt idx="11">
                  <c:v>293.85964200000001</c:v>
                </c:pt>
                <c:pt idx="12">
                  <c:v>1198.5285669999998</c:v>
                </c:pt>
                <c:pt idx="13">
                  <c:v>1864.9992829999999</c:v>
                </c:pt>
                <c:pt idx="14">
                  <c:v>1317.353541</c:v>
                </c:pt>
                <c:pt idx="15">
                  <c:v>822.77081499999997</c:v>
                </c:pt>
                <c:pt idx="16">
                  <c:v>2687.7823339999995</c:v>
                </c:pt>
                <c:pt idx="17">
                  <c:v>17031.181733999998</c:v>
                </c:pt>
                <c:pt idx="18">
                  <c:v>15845.152372563396</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DEMIRS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Exports'!$W$1</c:f>
          <c:strCache>
            <c:ptCount val="1"/>
            <c:pt idx="0">
              <c:v>Spodumene Concentrate Exports 2023
Total Value: $18,377,033,980</c:v>
            </c:pt>
          </c:strCache>
        </c:strRef>
      </c:tx>
      <c:layout>
        <c:manualLayout>
          <c:xMode val="edge"/>
          <c:yMode val="edge"/>
          <c:x val="0.25312569633088394"/>
          <c:y val="3.77119109132501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9086606167111673"/>
          <c:y val="0.22816633623735874"/>
          <c:w val="0.44497894837867047"/>
          <c:h val="0.66012207200515027"/>
        </c:manualLayout>
      </c:layout>
      <c:pieChart>
        <c:varyColors val="1"/>
        <c:ser>
          <c:idx val="1"/>
          <c:order val="0"/>
          <c:tx>
            <c:v>Exports</c:v>
          </c:tx>
          <c:spPr>
            <a:solidFill>
              <a:srgbClr val="F69240"/>
            </a:solidFill>
          </c:spPr>
          <c:dPt>
            <c:idx val="0"/>
            <c:bubble3D val="0"/>
            <c:spPr>
              <a:solidFill>
                <a:srgbClr val="F69240"/>
              </a:solidFill>
              <a:ln w="19050">
                <a:solidFill>
                  <a:schemeClr val="lt1"/>
                </a:solidFill>
              </a:ln>
              <a:effectLst/>
            </c:spPr>
            <c:extLst>
              <c:ext xmlns:c16="http://schemas.microsoft.com/office/drawing/2014/chart" uri="{C3380CC4-5D6E-409C-BE32-E72D297353CC}">
                <c16:uniqueId val="{0000000E-4A83-4A76-AF01-4C249D7429D0}"/>
              </c:ext>
            </c:extLst>
          </c:dPt>
          <c:dPt>
            <c:idx val="1"/>
            <c:bubble3D val="0"/>
            <c:spPr>
              <a:solidFill>
                <a:srgbClr val="F69240">
                  <a:alpha val="85000"/>
                </a:srgbClr>
              </a:solidFill>
              <a:ln w="19050">
                <a:solidFill>
                  <a:schemeClr val="lt1"/>
                </a:solidFill>
              </a:ln>
              <a:effectLst/>
            </c:spPr>
            <c:extLst>
              <c:ext xmlns:c16="http://schemas.microsoft.com/office/drawing/2014/chart" uri="{C3380CC4-5D6E-409C-BE32-E72D297353CC}">
                <c16:uniqueId val="{0000000F-4A83-4A76-AF01-4C249D7429D0}"/>
              </c:ext>
            </c:extLst>
          </c:dPt>
          <c:dPt>
            <c:idx val="2"/>
            <c:bubble3D val="0"/>
            <c:spPr>
              <a:solidFill>
                <a:srgbClr val="F69240">
                  <a:alpha val="70000"/>
                </a:srgbClr>
              </a:solidFill>
              <a:ln w="19050">
                <a:solidFill>
                  <a:schemeClr val="lt1"/>
                </a:solidFill>
              </a:ln>
              <a:effectLst/>
            </c:spPr>
            <c:extLst>
              <c:ext xmlns:c16="http://schemas.microsoft.com/office/drawing/2014/chart" uri="{C3380CC4-5D6E-409C-BE32-E72D297353CC}">
                <c16:uniqueId val="{00000010-4A83-4A76-AF01-4C249D7429D0}"/>
              </c:ext>
            </c:extLst>
          </c:dPt>
          <c:dPt>
            <c:idx val="3"/>
            <c:bubble3D val="0"/>
            <c:spPr>
              <a:solidFill>
                <a:srgbClr val="F69240">
                  <a:alpha val="55000"/>
                </a:srgbClr>
              </a:solidFill>
              <a:ln w="19050">
                <a:solidFill>
                  <a:schemeClr val="lt1"/>
                </a:solidFill>
              </a:ln>
              <a:effectLst/>
            </c:spPr>
            <c:extLst>
              <c:ext xmlns:c16="http://schemas.microsoft.com/office/drawing/2014/chart" uri="{C3380CC4-5D6E-409C-BE32-E72D297353CC}">
                <c16:uniqueId val="{00000011-4A83-4A76-AF01-4C249D7429D0}"/>
              </c:ext>
            </c:extLst>
          </c:dPt>
          <c:dPt>
            <c:idx val="4"/>
            <c:bubble3D val="0"/>
            <c:spPr>
              <a:solidFill>
                <a:srgbClr val="F69240">
                  <a:alpha val="45000"/>
                </a:srgbClr>
              </a:solidFill>
              <a:ln w="19050">
                <a:solidFill>
                  <a:schemeClr val="lt1"/>
                </a:solidFill>
              </a:ln>
              <a:effectLst/>
            </c:spPr>
            <c:extLst>
              <c:ext xmlns:c16="http://schemas.microsoft.com/office/drawing/2014/chart" uri="{C3380CC4-5D6E-409C-BE32-E72D297353CC}">
                <c16:uniqueId val="{00000013-4A83-4A76-AF01-4C249D7429D0}"/>
              </c:ext>
            </c:extLst>
          </c:dPt>
          <c:dPt>
            <c:idx val="5"/>
            <c:bubble3D val="0"/>
            <c:spPr>
              <a:solidFill>
                <a:srgbClr val="F69240"/>
              </a:solidFill>
              <a:ln w="19050">
                <a:solidFill>
                  <a:schemeClr val="lt1"/>
                </a:solidFill>
              </a:ln>
              <a:effectLst/>
            </c:spPr>
            <c:extLst>
              <c:ext xmlns:c16="http://schemas.microsoft.com/office/drawing/2014/chart" uri="{C3380CC4-5D6E-409C-BE32-E72D297353CC}">
                <c16:uniqueId val="{00000012-4A83-4A76-AF01-4C249D7429D0}"/>
              </c:ext>
            </c:extLst>
          </c:dPt>
          <c:dLbls>
            <c:dLbl>
              <c:idx val="0"/>
              <c:layout>
                <c:manualLayout>
                  <c:x val="-6.2259111782346208E-2"/>
                  <c:y val="-1.6558744983229546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A83-4A76-AF01-4C249D7429D0}"/>
                </c:ext>
              </c:extLst>
            </c:dLbl>
            <c:dLbl>
              <c:idx val="1"/>
              <c:layout>
                <c:manualLayout>
                  <c:x val="8.2626015097683012E-2"/>
                  <c:y val="-8.75579556074412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A83-4A76-AF01-4C249D7429D0}"/>
                </c:ext>
              </c:extLst>
            </c:dLbl>
            <c:dLbl>
              <c:idx val="2"/>
              <c:layout>
                <c:manualLayout>
                  <c:x val="7.1083647496039182E-2"/>
                  <c:y val="-4.81930049005821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A83-4A76-AF01-4C249D7429D0}"/>
                </c:ext>
              </c:extLst>
            </c:dLbl>
            <c:dLbl>
              <c:idx val="3"/>
              <c:layout>
                <c:manualLayout>
                  <c:x val="7.8782974317597745E-2"/>
                  <c:y val="3.90035315241204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A83-4A76-AF01-4C249D7429D0}"/>
                </c:ext>
              </c:extLst>
            </c:dLbl>
            <c:dLbl>
              <c:idx val="4"/>
              <c:layout>
                <c:manualLayout>
                  <c:x val="-2.1027252356571487E-2"/>
                  <c:y val="0.1248657347745392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83-4A76-AF01-4C249D7429D0}"/>
                </c:ext>
              </c:extLst>
            </c:dLbl>
            <c:dLbl>
              <c:idx val="5"/>
              <c:layout>
                <c:manualLayout>
                  <c:x val="-0.16146263910969802"/>
                  <c:y val="0.1096309633183087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A83-4A76-AF01-4C249D7429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Exports'!$A$10:$A$15</c:f>
              <c:strCache>
                <c:ptCount val="6"/>
                <c:pt idx="0">
                  <c:v>China</c:v>
                </c:pt>
                <c:pt idx="1">
                  <c:v>Belgium</c:v>
                </c:pt>
                <c:pt idx="2">
                  <c:v>Korea, Republic of (South)</c:v>
                </c:pt>
                <c:pt idx="3">
                  <c:v>United States of America</c:v>
                </c:pt>
                <c:pt idx="4">
                  <c:v>Japan</c:v>
                </c:pt>
                <c:pt idx="5">
                  <c:v>Other</c:v>
                </c:pt>
              </c:strCache>
            </c:strRef>
          </c:cat>
          <c:val>
            <c:numRef>
              <c:f>'Lithium - Exports'!$D$10:$D$15</c:f>
              <c:numCache>
                <c:formatCode>0.0%</c:formatCode>
                <c:ptCount val="6"/>
                <c:pt idx="0">
                  <c:v>0.98880799457497659</c:v>
                </c:pt>
                <c:pt idx="1">
                  <c:v>7.0927703644589985E-3</c:v>
                </c:pt>
                <c:pt idx="2">
                  <c:v>2.8058228034032288E-3</c:v>
                </c:pt>
                <c:pt idx="3">
                  <c:v>9.972030861968293E-4</c:v>
                </c:pt>
                <c:pt idx="4" formatCode="0.00%">
                  <c:v>1.4738793011689257E-4</c:v>
                </c:pt>
                <c:pt idx="5" formatCode="0.00%">
                  <c:v>1.4882124084748523E-4</c:v>
                </c:pt>
              </c:numCache>
            </c:numRef>
          </c:val>
          <c:extLst>
            <c:ext xmlns:c16="http://schemas.microsoft.com/office/drawing/2014/chart" uri="{C3380CC4-5D6E-409C-BE32-E72D297353CC}">
              <c16:uniqueId val="{00000019-D186-470C-9A4F-7DC7ECC8F171}"/>
            </c:ext>
          </c:extLst>
        </c:ser>
        <c:ser>
          <c:idx val="0"/>
          <c:order val="1"/>
          <c:tx>
            <c:v>Exports</c:v>
          </c:tx>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D-D186-470C-9A4F-7DC7ECC8F171}"/>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E-D186-470C-9A4F-7DC7ECC8F171}"/>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F-D186-470C-9A4F-7DC7ECC8F171}"/>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10-D186-470C-9A4F-7DC7ECC8F171}"/>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11-D186-470C-9A4F-7DC7ECC8F171}"/>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12-D186-470C-9A4F-7DC7ECC8F171}"/>
              </c:ext>
            </c:extLst>
          </c:dPt>
          <c:dPt>
            <c:idx val="6"/>
            <c:bubble3D val="0"/>
            <c:spPr>
              <a:solidFill>
                <a:schemeClr val="accent6">
                  <a:tint val="30000"/>
                </a:schemeClr>
              </a:solidFill>
              <a:ln w="19050">
                <a:solidFill>
                  <a:schemeClr val="lt1"/>
                </a:solidFill>
              </a:ln>
              <a:effectLst/>
            </c:spPr>
            <c:extLst>
              <c:ext xmlns:c16="http://schemas.microsoft.com/office/drawing/2014/chart" uri="{C3380CC4-5D6E-409C-BE32-E72D297353CC}">
                <c16:uniqueId val="{00000013-D186-470C-9A4F-7DC7ECC8F171}"/>
              </c:ext>
            </c:extLst>
          </c:dPt>
          <c:dPt>
            <c:idx val="7"/>
            <c:bubble3D val="0"/>
            <c:spPr>
              <a:solidFill>
                <a:schemeClr val="accent6">
                  <a:tint val="10000"/>
                </a:schemeClr>
              </a:solidFill>
              <a:ln w="19050">
                <a:solidFill>
                  <a:schemeClr val="lt1"/>
                </a:solidFill>
              </a:ln>
              <a:effectLst/>
            </c:spPr>
            <c:extLst>
              <c:ext xmlns:c16="http://schemas.microsoft.com/office/drawing/2014/chart" uri="{C3380CC4-5D6E-409C-BE32-E72D297353CC}">
                <c16:uniqueId val="{00000014-D186-470C-9A4F-7DC7ECC8F171}"/>
              </c:ext>
            </c:extLst>
          </c:dPt>
          <c:dPt>
            <c:idx val="8"/>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15-D186-470C-9A4F-7DC7ECC8F171}"/>
              </c:ext>
            </c:extLst>
          </c:dPt>
          <c:dPt>
            <c:idx val="9"/>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16-D186-470C-9A4F-7DC7ECC8F171}"/>
              </c:ext>
            </c:extLst>
          </c:dPt>
          <c:dPt>
            <c:idx val="10"/>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17-D186-470C-9A4F-7DC7ECC8F171}"/>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86-470C-9A4F-7DC7ECC8F171}"/>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86-470C-9A4F-7DC7ECC8F171}"/>
                </c:ext>
              </c:extLst>
            </c:dLbl>
            <c:dLbl>
              <c:idx val="2"/>
              <c:layout>
                <c:manualLayout>
                  <c:x val="6.2585197518036789E-2"/>
                  <c:y val="-8.86421036993017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86-470C-9A4F-7DC7ECC8F171}"/>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86-470C-9A4F-7DC7ECC8F171}"/>
                </c:ext>
              </c:extLst>
            </c:dLbl>
            <c:dLbl>
              <c:idx val="4"/>
              <c:layout>
                <c:manualLayout>
                  <c:x val="9.8638425363761162E-2"/>
                  <c:y val="3.552819982009291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86-470C-9A4F-7DC7ECC8F171}"/>
                </c:ext>
              </c:extLst>
            </c:dLbl>
            <c:dLbl>
              <c:idx val="5"/>
              <c:layout>
                <c:manualLayout>
                  <c:x val="3.6244674503126714E-3"/>
                  <c:y val="0.105880743780266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86-470C-9A4F-7DC7ECC8F1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Exports'!$A$10:$A$15</c:f>
              <c:strCache>
                <c:ptCount val="6"/>
                <c:pt idx="0">
                  <c:v>China</c:v>
                </c:pt>
                <c:pt idx="1">
                  <c:v>Belgium</c:v>
                </c:pt>
                <c:pt idx="2">
                  <c:v>Korea, Republic of (South)</c:v>
                </c:pt>
                <c:pt idx="3">
                  <c:v>United States of America</c:v>
                </c:pt>
                <c:pt idx="4">
                  <c:v>Japan</c:v>
                </c:pt>
                <c:pt idx="5">
                  <c:v>Other</c:v>
                </c:pt>
              </c:strCache>
            </c:strRef>
          </c:cat>
          <c:val>
            <c:numRef>
              <c:f>'Iron Ore - Exports'!$D$10:$D$15</c:f>
              <c:numCache>
                <c:formatCode>0.0%</c:formatCode>
                <c:ptCount val="6"/>
                <c:pt idx="0">
                  <c:v>0.84951413979419166</c:v>
                </c:pt>
                <c:pt idx="1">
                  <c:v>5.9118388533045574E-2</c:v>
                </c:pt>
                <c:pt idx="2">
                  <c:v>5.3558714921199096E-2</c:v>
                </c:pt>
                <c:pt idx="3">
                  <c:v>1.575207870572834E-2</c:v>
                </c:pt>
                <c:pt idx="4">
                  <c:v>9.0335656012319535E-3</c:v>
                </c:pt>
                <c:pt idx="5">
                  <c:v>1.3023112444603413E-2</c:v>
                </c:pt>
              </c:numCache>
            </c:numRef>
          </c:val>
          <c:extLst>
            <c:ext xmlns:c16="http://schemas.microsoft.com/office/drawing/2014/chart" uri="{C3380CC4-5D6E-409C-BE32-E72D297353CC}">
              <c16:uniqueId val="{00000018-D186-470C-9A4F-7DC7ECC8F171}"/>
            </c:ext>
          </c:extLst>
        </c:ser>
        <c:dLbls>
          <c:showLegendKey val="0"/>
          <c:showVal val="1"/>
          <c:showCatName val="1"/>
          <c:showSerName val="0"/>
          <c:showPercent val="0"/>
          <c:showBubbleSize val="0"/>
          <c:showLeaderLines val="1"/>
        </c:dLbls>
        <c:firstSliceAng val="135"/>
      </c:pieChart>
      <c:spPr>
        <a:noFill/>
        <a:ln>
          <a:noFill/>
        </a:ln>
        <a:effectLst/>
      </c:spPr>
    </c:plotArea>
    <c:plotVisOnly val="1"/>
    <c:dispBlanksAs val="gap"/>
    <c:showDLblsOverMax val="0"/>
  </c:chart>
  <c:spPr>
    <a:solidFill>
      <a:schemeClr val="bg1"/>
    </a:solid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Last 5 Years</a:t>
            </a:r>
          </a:p>
        </c:rich>
      </c:tx>
      <c:overlay val="0"/>
    </c:title>
    <c:autoTitleDeleted val="0"/>
    <c:plotArea>
      <c:layout/>
      <c:lineChart>
        <c:grouping val="standard"/>
        <c:varyColors val="0"/>
        <c:ser>
          <c:idx val="1"/>
          <c:order val="0"/>
          <c:tx>
            <c:strRef>
              <c:f>'Mineral Sands - Prices'!$B$7</c:f>
              <c:strCache>
                <c:ptCount val="1"/>
                <c:pt idx="0">
                  <c:v>Zircon</c:v>
                </c:pt>
              </c:strCache>
            </c:strRef>
          </c:tx>
          <c:marker>
            <c:symbol val="none"/>
          </c:marker>
          <c:cat>
            <c:numRef>
              <c:f>'Mineral Sands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'Mineral Sands - Prices'!$B$9:$B$69</c:f>
              <c:numCache>
                <c:formatCode>#,##0.00</c:formatCode>
                <c:ptCount val="61"/>
                <c:pt idx="0">
                  <c:v>2122.5936593659367</c:v>
                </c:pt>
                <c:pt idx="1">
                  <c:v>2178.5865060240963</c:v>
                </c:pt>
                <c:pt idx="2">
                  <c:v>2152.1483010479519</c:v>
                </c:pt>
                <c:pt idx="3">
                  <c:v>2208.0118771726534</c:v>
                </c:pt>
                <c:pt idx="4">
                  <c:v>2167.5458242101972</c:v>
                </c:pt>
                <c:pt idx="5">
                  <c:v>2225.5955696202532</c:v>
                </c:pt>
                <c:pt idx="6">
                  <c:v>2225.5955696202532</c:v>
                </c:pt>
                <c:pt idx="7">
                  <c:v>2213.7237550471064</c:v>
                </c:pt>
                <c:pt idx="8">
                  <c:v>2252.8276311502118</c:v>
                </c:pt>
                <c:pt idx="9">
                  <c:v>2222.9214598540148</c:v>
                </c:pt>
                <c:pt idx="10">
                  <c:v>2167.8608354771532</c:v>
                </c:pt>
                <c:pt idx="11">
                  <c:v>1918.4700971204634</c:v>
                </c:pt>
                <c:pt idx="12">
                  <c:v>2125.1036752396894</c:v>
                </c:pt>
                <c:pt idx="13">
                  <c:v>1945.014840423758</c:v>
                </c:pt>
                <c:pt idx="14">
                  <c:v>1748.3205804749341</c:v>
                </c:pt>
                <c:pt idx="15">
                  <c:v>2148.4225361003278</c:v>
                </c:pt>
                <c:pt idx="16">
                  <c:v>2228.6141113760696</c:v>
                </c:pt>
                <c:pt idx="17">
                  <c:v>2127.1004091731393</c:v>
                </c:pt>
                <c:pt idx="18">
                  <c:v>1973.3186947665188</c:v>
                </c:pt>
                <c:pt idx="19">
                  <c:v>1912.6200085873766</c:v>
                </c:pt>
                <c:pt idx="20">
                  <c:v>1843.1546517291767</c:v>
                </c:pt>
                <c:pt idx="21">
                  <c:v>1894.3086685610165</c:v>
                </c:pt>
                <c:pt idx="22">
                  <c:v>1777.2679364751084</c:v>
                </c:pt>
                <c:pt idx="23">
                  <c:v>1775.8293691431502</c:v>
                </c:pt>
                <c:pt idx="24">
                  <c:v>1525.4759061576503</c:v>
                </c:pt>
                <c:pt idx="25">
                  <c:v>1716.0525778458398</c:v>
                </c:pt>
                <c:pt idx="26">
                  <c:v>1704.9851469163707</c:v>
                </c:pt>
                <c:pt idx="27">
                  <c:v>1549.3028445883442</c:v>
                </c:pt>
                <c:pt idx="28">
                  <c:v>1773.6919422620135</c:v>
                </c:pt>
                <c:pt idx="29">
                  <c:v>1782.5444579780756</c:v>
                </c:pt>
                <c:pt idx="30">
                  <c:v>1837.0598842686045</c:v>
                </c:pt>
                <c:pt idx="31">
                  <c:v>1951.5079338100927</c:v>
                </c:pt>
                <c:pt idx="32">
                  <c:v>2081.1388888888887</c:v>
                </c:pt>
                <c:pt idx="33">
                  <c:v>2066.2563540753727</c:v>
                </c:pt>
                <c:pt idx="34">
                  <c:v>1323.1246971410112</c:v>
                </c:pt>
                <c:pt idx="35">
                  <c:v>2303.7133735367152</c:v>
                </c:pt>
                <c:pt idx="36">
                  <c:v>2322.2073547589616</c:v>
                </c:pt>
                <c:pt idx="37">
                  <c:v>2458.6455574745728</c:v>
                </c:pt>
                <c:pt idx="38">
                  <c:v>2592.3271389856754</c:v>
                </c:pt>
                <c:pt idx="39">
                  <c:v>2527.4779101037266</c:v>
                </c:pt>
                <c:pt idx="40">
                  <c:v>2724.5884377150724</c:v>
                </c:pt>
                <c:pt idx="41">
                  <c:v>2816.4895976922307</c:v>
                </c:pt>
                <c:pt idx="42">
                  <c:v>2772.3316742081447</c:v>
                </c:pt>
                <c:pt idx="43">
                  <c:v>3139.1894075403948</c:v>
                </c:pt>
                <c:pt idx="44">
                  <c:v>3091.1023391812864</c:v>
                </c:pt>
                <c:pt idx="45">
                  <c:v>3230.9760376551135</c:v>
                </c:pt>
                <c:pt idx="46">
                  <c:v>3377.6901062959932</c:v>
                </c:pt>
                <c:pt idx="47">
                  <c:v>3071.7862211709048</c:v>
                </c:pt>
                <c:pt idx="48">
                  <c:v>2795.2769733769269</c:v>
                </c:pt>
                <c:pt idx="49">
                  <c:v>3158.7770623742454</c:v>
                </c:pt>
                <c:pt idx="50">
                  <c:v>3156.9546328335255</c:v>
                </c:pt>
                <c:pt idx="51">
                  <c:v>3301.0509282488711</c:v>
                </c:pt>
                <c:pt idx="52">
                  <c:v>3265.0566442131048</c:v>
                </c:pt>
                <c:pt idx="53">
                  <c:v>3447.6052496139991</c:v>
                </c:pt>
                <c:pt idx="54">
                  <c:v>3247.300889877642</c:v>
                </c:pt>
                <c:pt idx="55">
                  <c:v>3230.4037230948225</c:v>
                </c:pt>
                <c:pt idx="56">
                  <c:v>3127.3269230769229</c:v>
                </c:pt>
                <c:pt idx="57">
                  <c:v>3095.211601513241</c:v>
                </c:pt>
                <c:pt idx="58">
                  <c:v>3022.6192486281129</c:v>
                </c:pt>
                <c:pt idx="59">
                  <c:v>2931.0982103884767</c:v>
                </c:pt>
                <c:pt idx="60">
                  <c:v>2858.6983059292475</c:v>
                </c:pt>
              </c:numCache>
            </c:numRef>
          </c:val>
          <c:smooth val="0"/>
          <c:extLst>
            <c:ext xmlns:c16="http://schemas.microsoft.com/office/drawing/2014/chart" uri="{C3380CC4-5D6E-409C-BE32-E72D297353CC}">
              <c16:uniqueId val="{00000001-368C-44FC-9139-77910D5CD6A4}"/>
            </c:ext>
          </c:extLst>
        </c:ser>
        <c:ser>
          <c:idx val="2"/>
          <c:order val="1"/>
          <c:tx>
            <c:strRef>
              <c:f>'Mineral Sands - Prices'!$C$7</c:f>
              <c:strCache>
                <c:ptCount val="1"/>
                <c:pt idx="0">
                  <c:v>Titanium Dioxide Pigment</c:v>
                </c:pt>
              </c:strCache>
            </c:strRef>
          </c:tx>
          <c:marker>
            <c:symbol val="none"/>
          </c:marker>
          <c:cat>
            <c:numRef>
              <c:f>'Mineral Sands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'Mineral Sands - Prices'!$C$9:$C$69</c:f>
              <c:numCache>
                <c:formatCode>#,##0.00</c:formatCode>
                <c:ptCount val="61"/>
                <c:pt idx="0">
                  <c:v>3923.9433019649009</c:v>
                </c:pt>
                <c:pt idx="1">
                  <c:v>3869.1255074483197</c:v>
                </c:pt>
                <c:pt idx="2">
                  <c:v>3797.5507103074233</c:v>
                </c:pt>
                <c:pt idx="3">
                  <c:v>3825.3170842980858</c:v>
                </c:pt>
                <c:pt idx="4">
                  <c:v>3872.2849636724181</c:v>
                </c:pt>
                <c:pt idx="5">
                  <c:v>3980.9162964372517</c:v>
                </c:pt>
                <c:pt idx="6">
                  <c:v>3980.9162964372517</c:v>
                </c:pt>
                <c:pt idx="7">
                  <c:v>3819.6943832462939</c:v>
                </c:pt>
                <c:pt idx="8">
                  <c:v>4013.006570770619</c:v>
                </c:pt>
                <c:pt idx="9">
                  <c:v>4070.9555652028612</c:v>
                </c:pt>
                <c:pt idx="10">
                  <c:v>4132.8768979748247</c:v>
                </c:pt>
                <c:pt idx="11">
                  <c:v>3989.9454691906735</c:v>
                </c:pt>
                <c:pt idx="12">
                  <c:v>4033.0959694185149</c:v>
                </c:pt>
                <c:pt idx="13">
                  <c:v>4034.3765519924154</c:v>
                </c:pt>
                <c:pt idx="14">
                  <c:v>4088.8274903685424</c:v>
                </c:pt>
                <c:pt idx="15">
                  <c:v>4387.2465278882173</c:v>
                </c:pt>
                <c:pt idx="16">
                  <c:v>4116.1303151232005</c:v>
                </c:pt>
                <c:pt idx="17">
                  <c:v>4011.0660041173319</c:v>
                </c:pt>
                <c:pt idx="18">
                  <c:v>3912.5679253847507</c:v>
                </c:pt>
                <c:pt idx="19">
                  <c:v>3813.7157712151452</c:v>
                </c:pt>
                <c:pt idx="20">
                  <c:v>3733.8944454336456</c:v>
                </c:pt>
                <c:pt idx="21">
                  <c:v>3710.2323186017834</c:v>
                </c:pt>
                <c:pt idx="22">
                  <c:v>3825.0629505735674</c:v>
                </c:pt>
                <c:pt idx="23">
                  <c:v>3684.7108626942809</c:v>
                </c:pt>
                <c:pt idx="24">
                  <c:v>3614.7844236787751</c:v>
                </c:pt>
                <c:pt idx="25">
                  <c:v>3614.7844236787751</c:v>
                </c:pt>
                <c:pt idx="26">
                  <c:v>3555.2726009570724</c:v>
                </c:pt>
                <c:pt idx="27">
                  <c:v>3566.9015170882326</c:v>
                </c:pt>
                <c:pt idx="28">
                  <c:v>3684.4856798233413</c:v>
                </c:pt>
                <c:pt idx="29">
                  <c:v>3621.6441047254616</c:v>
                </c:pt>
                <c:pt idx="30">
                  <c:v>3828.0472520462649</c:v>
                </c:pt>
                <c:pt idx="31">
                  <c:v>3918.7916710748777</c:v>
                </c:pt>
                <c:pt idx="32">
                  <c:v>4032.5339931623266</c:v>
                </c:pt>
                <c:pt idx="33">
                  <c:v>4089.7249899767207</c:v>
                </c:pt>
                <c:pt idx="34">
                  <c:v>4220.7497161790034</c:v>
                </c:pt>
                <c:pt idx="35">
                  <c:v>4384.9141947546368</c:v>
                </c:pt>
                <c:pt idx="36">
                  <c:v>4337.9320653058994</c:v>
                </c:pt>
                <c:pt idx="37">
                  <c:v>4490.7294667642955</c:v>
                </c:pt>
                <c:pt idx="38">
                  <c:v>4524.4786224718264</c:v>
                </c:pt>
                <c:pt idx="39">
                  <c:v>4596.6436279229101</c:v>
                </c:pt>
                <c:pt idx="40">
                  <c:v>4431.7794229417223</c:v>
                </c:pt>
                <c:pt idx="41">
                  <c:v>4640.4635299876027</c:v>
                </c:pt>
                <c:pt idx="42">
                  <c:v>4818.8661513261868</c:v>
                </c:pt>
                <c:pt idx="43">
                  <c:v>4794.00510305223</c:v>
                </c:pt>
                <c:pt idx="44">
                  <c:v>4713.261584702961</c:v>
                </c:pt>
                <c:pt idx="45">
                  <c:v>4945.2473457284632</c:v>
                </c:pt>
                <c:pt idx="46">
                  <c:v>4863.6497592917385</c:v>
                </c:pt>
                <c:pt idx="47">
                  <c:v>5065.079379866419</c:v>
                </c:pt>
                <c:pt idx="48">
                  <c:v>5130.2471326516461</c:v>
                </c:pt>
                <c:pt idx="49">
                  <c:v>4813.8742189365803</c:v>
                </c:pt>
                <c:pt idx="50">
                  <c:v>4739.822816925308</c:v>
                </c:pt>
                <c:pt idx="51">
                  <c:v>5053.0786525678868</c:v>
                </c:pt>
                <c:pt idx="52">
                  <c:v>4980.8634161280343</c:v>
                </c:pt>
                <c:pt idx="53">
                  <c:v>5133.2814223581518</c:v>
                </c:pt>
                <c:pt idx="54">
                  <c:v>5245.2293534986629</c:v>
                </c:pt>
                <c:pt idx="55">
                  <c:v>4921.7403277325138</c:v>
                </c:pt>
                <c:pt idx="56">
                  <c:v>5052.5761495869829</c:v>
                </c:pt>
                <c:pt idx="57">
                  <c:v>4959.602393190251</c:v>
                </c:pt>
                <c:pt idx="58">
                  <c:v>4876.2046283817936</c:v>
                </c:pt>
                <c:pt idx="59">
                  <c:v>4946.5843723098005</c:v>
                </c:pt>
                <c:pt idx="60">
                  <c:v>4725.3119767910921</c:v>
                </c:pt>
              </c:numCache>
            </c:numRef>
          </c:val>
          <c:smooth val="0"/>
          <c:extLst>
            <c:ext xmlns:c16="http://schemas.microsoft.com/office/drawing/2014/chart" uri="{C3380CC4-5D6E-409C-BE32-E72D297353CC}">
              <c16:uniqueId val="{00000000-42B3-40CF-8E8E-884630539E9F}"/>
            </c:ext>
          </c:extLst>
        </c:ser>
        <c:dLbls>
          <c:showLegendKey val="0"/>
          <c:showVal val="0"/>
          <c:showCatName val="0"/>
          <c:showSerName val="0"/>
          <c:showPercent val="0"/>
          <c:showBubbleSize val="0"/>
        </c:dLbls>
        <c:smooth val="0"/>
        <c:axId val="133158400"/>
        <c:axId val="133156864"/>
      </c:lineChart>
      <c:valAx>
        <c:axId val="133156864"/>
        <c:scaling>
          <c:orientation val="minMax"/>
          <c:max val="6000"/>
        </c:scaling>
        <c:delete val="0"/>
        <c:axPos val="l"/>
        <c:majorGridlines/>
        <c:title>
          <c:tx>
            <c:rich>
              <a:bodyPr/>
              <a:lstStyle/>
              <a:p>
                <a:pPr>
                  <a:defRPr/>
                </a:pPr>
                <a:r>
                  <a:rPr lang="en-AU"/>
                  <a:t>A$ per tonne</a:t>
                </a:r>
              </a:p>
            </c:rich>
          </c:tx>
          <c:layout>
            <c:manualLayout>
              <c:xMode val="edge"/>
              <c:yMode val="edge"/>
              <c:x val="1.4013394929744065E-2"/>
              <c:y val="0.4378168833050981"/>
            </c:manualLayout>
          </c:layout>
          <c:overlay val="0"/>
        </c:title>
        <c:numFmt formatCode="#,##0" sourceLinked="0"/>
        <c:majorTickMark val="out"/>
        <c:minorTickMark val="none"/>
        <c:tickLblPos val="nextTo"/>
        <c:crossAx val="133158400"/>
        <c:crosses val="autoZero"/>
        <c:crossBetween val="midCat"/>
        <c:majorUnit val="1000"/>
      </c:valAx>
      <c:date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331568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Mineral Sands</a:t>
            </a:r>
          </a:p>
          <a:p>
            <a:pPr>
              <a:defRPr/>
            </a:pPr>
            <a:r>
              <a:rPr lang="en-US" sz="1100"/>
              <a:t>Annual Prices, Historic</a:t>
            </a:r>
            <a:endParaRPr lang="en-AU" sz="11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1"/>
          <c:order val="0"/>
          <c:tx>
            <c:strRef>
              <c:f>'Mineral Sands - Prices'!$H$7</c:f>
              <c:strCache>
                <c:ptCount val="1"/>
                <c:pt idx="0">
                  <c:v>Zircon</c:v>
                </c:pt>
              </c:strCache>
            </c:strRef>
          </c:tx>
          <c:spPr>
            <a:ln w="28575" cap="rnd" cmpd="sng" algn="ctr">
              <a:solidFill>
                <a:schemeClr val="accent4">
                  <a:shade val="95000"/>
                  <a:satMod val="105000"/>
                </a:schemeClr>
              </a:solidFill>
              <a:prstDash val="solid"/>
              <a:round/>
            </a:ln>
            <a:effectLst/>
          </c:spPr>
          <c:marker>
            <c:symbol val="none"/>
          </c:marker>
          <c:cat>
            <c:numRef>
              <c:f>'Mineral Sands - Prices'!$G$9:$G$46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'Mineral Sands - Prices'!$H$9:$H$46</c:f>
              <c:numCache>
                <c:formatCode>#,##0.00</c:formatCode>
                <c:ptCount val="38"/>
                <c:pt idx="0">
                  <c:v>178.33333333333334</c:v>
                </c:pt>
                <c:pt idx="1">
                  <c:v>270</c:v>
                </c:pt>
                <c:pt idx="2">
                  <c:v>310</c:v>
                </c:pt>
                <c:pt idx="3">
                  <c:v>515</c:v>
                </c:pt>
                <c:pt idx="4">
                  <c:v>574.33333333333337</c:v>
                </c:pt>
                <c:pt idx="5">
                  <c:v>400.75</c:v>
                </c:pt>
                <c:pt idx="6">
                  <c:v>216.75</c:v>
                </c:pt>
                <c:pt idx="7">
                  <c:v>169.25</c:v>
                </c:pt>
                <c:pt idx="8">
                  <c:v>234.5</c:v>
                </c:pt>
                <c:pt idx="9">
                  <c:v>352.25</c:v>
                </c:pt>
                <c:pt idx="10">
                  <c:v>564.5</c:v>
                </c:pt>
                <c:pt idx="11">
                  <c:v>574</c:v>
                </c:pt>
                <c:pt idx="12">
                  <c:v>555.69899169483199</c:v>
                </c:pt>
                <c:pt idx="13">
                  <c:v>511.31013276908487</c:v>
                </c:pt>
                <c:pt idx="14">
                  <c:v>629.84250000000009</c:v>
                </c:pt>
                <c:pt idx="15">
                  <c:v>802.76833333333332</c:v>
                </c:pt>
                <c:pt idx="16">
                  <c:v>826.95999999999992</c:v>
                </c:pt>
                <c:pt idx="17">
                  <c:v>700.96083333333343</c:v>
                </c:pt>
                <c:pt idx="18">
                  <c:v>785.35716104012909</c:v>
                </c:pt>
                <c:pt idx="19">
                  <c:v>1011.4432617873277</c:v>
                </c:pt>
                <c:pt idx="20">
                  <c:v>1116.5649410552307</c:v>
                </c:pt>
                <c:pt idx="21">
                  <c:v>1059.5140299785669</c:v>
                </c:pt>
                <c:pt idx="22">
                  <c:v>1013.6758316055339</c:v>
                </c:pt>
                <c:pt idx="23">
                  <c:v>1196.6070783346072</c:v>
                </c:pt>
                <c:pt idx="24">
                  <c:v>1042.916702201426</c:v>
                </c:pt>
                <c:pt idx="25">
                  <c:v>1905.2323059264663</c:v>
                </c:pt>
                <c:pt idx="26">
                  <c:v>2188.2575402213502</c:v>
                </c:pt>
                <c:pt idx="27">
                  <c:v>1238.6040401044102</c:v>
                </c:pt>
                <c:pt idx="28">
                  <c:v>1203.8395062815061</c:v>
                </c:pt>
                <c:pt idx="29">
                  <c:v>1360.0217875636138</c:v>
                </c:pt>
                <c:pt idx="30">
                  <c:v>1201.5145088253028</c:v>
                </c:pt>
                <c:pt idx="31">
                  <c:v>1347.8244285427531</c:v>
                </c:pt>
                <c:pt idx="32">
                  <c:v>1985.0599543806563</c:v>
                </c:pt>
                <c:pt idx="33">
                  <c:v>2172.7337378270604</c:v>
                </c:pt>
                <c:pt idx="34">
                  <c:v>1908.2873094140189</c:v>
                </c:pt>
                <c:pt idx="35">
                  <c:v>1867.6321213391905</c:v>
                </c:pt>
                <c:pt idx="36">
                  <c:v>2883.1567834500033</c:v>
                </c:pt>
                <c:pt idx="37">
                  <c:v>3153.5086183160179</c:v>
                </c:pt>
              </c:numCache>
            </c:numRef>
          </c:val>
          <c:smooth val="0"/>
          <c:extLst>
            <c:ext xmlns:c16="http://schemas.microsoft.com/office/drawing/2014/chart" uri="{C3380CC4-5D6E-409C-BE32-E72D297353CC}">
              <c16:uniqueId val="{00000001-435B-4A6E-8B70-41A67C10F69F}"/>
            </c:ext>
          </c:extLst>
        </c:ser>
        <c:ser>
          <c:idx val="2"/>
          <c:order val="1"/>
          <c:tx>
            <c:strRef>
              <c:f>'Mineral Sands - Prices'!$I$7</c:f>
              <c:strCache>
                <c:ptCount val="1"/>
                <c:pt idx="0">
                  <c:v>Titanium Dioxide Pigment</c:v>
                </c:pt>
              </c:strCache>
            </c:strRef>
          </c:tx>
          <c:spPr>
            <a:ln w="28575" cap="rnd" cmpd="sng" algn="ctr">
              <a:solidFill>
                <a:schemeClr val="accent4">
                  <a:tint val="65000"/>
                  <a:shade val="95000"/>
                  <a:satMod val="105000"/>
                </a:schemeClr>
              </a:solidFill>
              <a:prstDash val="solid"/>
              <a:round/>
            </a:ln>
            <a:effectLst/>
          </c:spPr>
          <c:marker>
            <c:symbol val="none"/>
          </c:marker>
          <c:cat>
            <c:numRef>
              <c:f>'Mineral Sands - Prices'!$G$9:$G$46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'Mineral Sands - Prices'!$I$9:$I$46</c:f>
              <c:numCache>
                <c:formatCode>#,##0.00</c:formatCode>
                <c:ptCount val="38"/>
                <c:pt idx="2">
                  <c:v>2492.4925642170329</c:v>
                </c:pt>
                <c:pt idx="3">
                  <c:v>2850.6078738058472</c:v>
                </c:pt>
                <c:pt idx="4">
                  <c:v>2738.6097485615096</c:v>
                </c:pt>
                <c:pt idx="5">
                  <c:v>2150.6365933211728</c:v>
                </c:pt>
                <c:pt idx="6">
                  <c:v>2206.6992972721691</c:v>
                </c:pt>
                <c:pt idx="7">
                  <c:v>2259.4688852220715</c:v>
                </c:pt>
                <c:pt idx="8">
                  <c:v>2615</c:v>
                </c:pt>
                <c:pt idx="9">
                  <c:v>2659.25</c:v>
                </c:pt>
                <c:pt idx="10">
                  <c:v>2227.25</c:v>
                </c:pt>
                <c:pt idx="11">
                  <c:v>2128</c:v>
                </c:pt>
                <c:pt idx="12">
                  <c:v>2885.0833676110919</c:v>
                </c:pt>
                <c:pt idx="13">
                  <c:v>2842.4191787405894</c:v>
                </c:pt>
                <c:pt idx="14">
                  <c:v>3290.6874999999995</c:v>
                </c:pt>
                <c:pt idx="15">
                  <c:v>3513.52025</c:v>
                </c:pt>
                <c:pt idx="16">
                  <c:v>2994.624166666667</c:v>
                </c:pt>
                <c:pt idx="17">
                  <c:v>2682.6608333333334</c:v>
                </c:pt>
                <c:pt idx="18">
                  <c:v>2384.0651770664231</c:v>
                </c:pt>
                <c:pt idx="19">
                  <c:v>2429.1093867109557</c:v>
                </c:pt>
                <c:pt idx="20">
                  <c:v>2480.2024129449342</c:v>
                </c:pt>
                <c:pt idx="21">
                  <c:v>2255.544174711607</c:v>
                </c:pt>
                <c:pt idx="22">
                  <c:v>2440.6540457222404</c:v>
                </c:pt>
                <c:pt idx="23">
                  <c:v>2678.5380291116358</c:v>
                </c:pt>
                <c:pt idx="24">
                  <c:v>2585.3501143227295</c:v>
                </c:pt>
                <c:pt idx="25">
                  <c:v>2980.5604204028118</c:v>
                </c:pt>
                <c:pt idx="26">
                  <c:v>3069.6162170961056</c:v>
                </c:pt>
                <c:pt idx="27">
                  <c:v>2679.9377199623591</c:v>
                </c:pt>
                <c:pt idx="28">
                  <c:v>2884.5892029194256</c:v>
                </c:pt>
                <c:pt idx="29">
                  <c:v>3011.9026469160121</c:v>
                </c:pt>
                <c:pt idx="30">
                  <c:v>2878.063025644989</c:v>
                </c:pt>
                <c:pt idx="31">
                  <c:v>3304.7281056086772</c:v>
                </c:pt>
                <c:pt idx="32">
                  <c:v>3827.2717032225696</c:v>
                </c:pt>
                <c:pt idx="33">
                  <c:v>3947.7303055069774</c:v>
                </c:pt>
                <c:pt idx="34">
                  <c:v>3911.0512989226386</c:v>
                </c:pt>
                <c:pt idx="35">
                  <c:v>3904.6485173977176</c:v>
                </c:pt>
                <c:pt idx="36">
                  <c:v>4751.2042605590004</c:v>
                </c:pt>
                <c:pt idx="37">
                  <c:v>4954.0141440339212</c:v>
                </c:pt>
              </c:numCache>
            </c:numRef>
          </c:val>
          <c:smooth val="0"/>
          <c:extLst>
            <c:ext xmlns:c16="http://schemas.microsoft.com/office/drawing/2014/chart" uri="{C3380CC4-5D6E-409C-BE32-E72D297353CC}">
              <c16:uniqueId val="{00000002-34EA-41D1-BA00-4750EDDC0FD0}"/>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3447040"/>
        <c:crosses val="autoZero"/>
        <c:auto val="0"/>
        <c:lblAlgn val="ctr"/>
        <c:lblOffset val="100"/>
        <c:tickLblSkip val="1"/>
        <c:noMultiLvlLbl val="1"/>
      </c:catAx>
      <c:valAx>
        <c:axId val="133447040"/>
        <c:scaling>
          <c:orientation val="minMax"/>
          <c:max val="6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a:t>
                </a:r>
                <a:r>
                  <a:rPr lang="en-AU" baseline="0"/>
                  <a:t> per </a:t>
                </a:r>
                <a:r>
                  <a:rPr lang="en-AU"/>
                  <a:t>tonne</a:t>
                </a:r>
              </a:p>
            </c:rich>
          </c:tx>
          <c:layout>
            <c:manualLayout>
              <c:xMode val="edge"/>
              <c:yMode val="edge"/>
              <c:x val="2.24982855356449E-2"/>
              <c:y val="0.43169037426186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445504"/>
        <c:crosses val="autoZero"/>
        <c:crossBetween val="midCat"/>
        <c:majorUnit val="1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'Mineral Sands - Q&amp;V'!$Q$10:$Q$18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'Mineral Sands - Q&amp;V'!$R$10:$R$18</c:f>
              <c:numCache>
                <c:formatCode>#,##0.00</c:formatCode>
                <c:ptCount val="9"/>
                <c:pt idx="0">
                  <c:v>393.06655451515155</c:v>
                </c:pt>
                <c:pt idx="1">
                  <c:v>258.4733768181818</c:v>
                </c:pt>
                <c:pt idx="2">
                  <c:v>316.73389263636363</c:v>
                </c:pt>
                <c:pt idx="3">
                  <c:v>271.93652921212123</c:v>
                </c:pt>
                <c:pt idx="4">
                  <c:v>306.83099057575754</c:v>
                </c:pt>
                <c:pt idx="5">
                  <c:v>283.87144587878782</c:v>
                </c:pt>
                <c:pt idx="6">
                  <c:v>319.21825263636362</c:v>
                </c:pt>
                <c:pt idx="7">
                  <c:v>279.5391076068276</c:v>
                </c:pt>
                <c:pt idx="8">
                  <c:v>229.13012575757577</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v>Value</c:v>
          </c:tx>
          <c:marker>
            <c:symbol val="none"/>
          </c:marker>
          <c:cat>
            <c:numRef>
              <c:f>'Nickel - Q&amp;V'!$R$10:$R$18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'Mineral Sands - Q&amp;V'!$S$10:$S$18</c:f>
              <c:numCache>
                <c:formatCode>#,##0.00</c:formatCode>
                <c:ptCount val="9"/>
                <c:pt idx="0">
                  <c:v>382.2088730369374</c:v>
                </c:pt>
                <c:pt idx="1">
                  <c:v>308.77832917942902</c:v>
                </c:pt>
                <c:pt idx="2">
                  <c:v>354.99344974878761</c:v>
                </c:pt>
                <c:pt idx="3">
                  <c:v>323.59798780545378</c:v>
                </c:pt>
                <c:pt idx="4">
                  <c:v>356.33866866374206</c:v>
                </c:pt>
                <c:pt idx="5">
                  <c:v>357.26412176788347</c:v>
                </c:pt>
                <c:pt idx="6">
                  <c:v>397.28142104125925</c:v>
                </c:pt>
                <c:pt idx="7">
                  <c:v>295.54502010998175</c:v>
                </c:pt>
                <c:pt idx="8">
                  <c:v>231.49136384222987</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DEMIRS</a:t>
                </a:r>
              </a:p>
            </c:rich>
          </c:tx>
          <c:layout>
            <c:manualLayout>
              <c:xMode val="edge"/>
              <c:yMode val="edge"/>
              <c:x val="4.8885135708118636E-3"/>
              <c:y val="0.94752515670405135"/>
            </c:manualLayout>
          </c:layout>
          <c:overlay val="0"/>
        </c:title>
        <c:numFmt formatCode="mmm\-yy" sourceLinked="1"/>
        <c:majorTickMark val="out"/>
        <c:minorTickMark val="none"/>
        <c:tickLblPos val="nextTo"/>
        <c:txPr>
          <a:bodyPr rot="-2700000"/>
          <a:lstStyle/>
          <a:p>
            <a:pPr>
              <a:defRPr/>
            </a:pPr>
            <a:endParaRPr lang="en-US"/>
          </a:p>
        </c:txPr>
        <c:crossAx val="131830528"/>
        <c:crosses val="autoZero"/>
        <c:auto val="0"/>
        <c:lblAlgn val="ctr"/>
        <c:lblOffset val="100"/>
        <c:noMultiLvlLbl val="0"/>
      </c:catAx>
      <c:valAx>
        <c:axId val="131830528"/>
        <c:scaling>
          <c:orientation val="minMax"/>
          <c:max val="5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majorUnit val="100"/>
      </c:valAx>
      <c:valAx>
        <c:axId val="131832448"/>
        <c:scaling>
          <c:orientation val="minMax"/>
          <c:max val="500"/>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majorUnit val="100"/>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Q&amp;V'!$R$34</c:f>
              <c:strCache>
                <c:ptCount val="1"/>
                <c:pt idx="0">
                  <c:v>Quantity (Kt)</c:v>
                </c:pt>
              </c:strCache>
            </c:strRef>
          </c:tx>
          <c:invertIfNegative val="0"/>
          <c:cat>
            <c:numRef>
              <c:f>'Mineral Sands - Q&amp;V'!$Q$35:$Q$54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'Mineral Sands - Q&amp;V'!$R$35:$R$54</c:f>
              <c:numCache>
                <c:formatCode>#,##0.00</c:formatCode>
                <c:ptCount val="20"/>
                <c:pt idx="0">
                  <c:v>2555.2416699999999</c:v>
                </c:pt>
                <c:pt idx="1">
                  <c:v>2635.0707200000002</c:v>
                </c:pt>
                <c:pt idx="2">
                  <c:v>2629.9670580000002</c:v>
                </c:pt>
                <c:pt idx="3">
                  <c:v>2489.7558399999998</c:v>
                </c:pt>
                <c:pt idx="4">
                  <c:v>2348.3883889999997</c:v>
                </c:pt>
                <c:pt idx="5">
                  <c:v>1881.4500789999997</c:v>
                </c:pt>
                <c:pt idx="6">
                  <c:v>1599.250035</c:v>
                </c:pt>
                <c:pt idx="7">
                  <c:v>1455.1578890000001</c:v>
                </c:pt>
                <c:pt idx="8">
                  <c:v>1334.321578</c:v>
                </c:pt>
                <c:pt idx="9">
                  <c:v>1162.7821235757576</c:v>
                </c:pt>
                <c:pt idx="10">
                  <c:v>754.38299203030306</c:v>
                </c:pt>
                <c:pt idx="11">
                  <c:v>1013.2926921212122</c:v>
                </c:pt>
                <c:pt idx="12">
                  <c:v>1274.8886436363637</c:v>
                </c:pt>
                <c:pt idx="13">
                  <c:v>878.65964369696974</c:v>
                </c:pt>
                <c:pt idx="14">
                  <c:v>939.53333575757574</c:v>
                </c:pt>
                <c:pt idx="15">
                  <c:v>1063.0407810303032</c:v>
                </c:pt>
                <c:pt idx="16">
                  <c:v>1237.0700446060605</c:v>
                </c:pt>
                <c:pt idx="17">
                  <c:v>1278.3006460787878</c:v>
                </c:pt>
                <c:pt idx="18">
                  <c:v>1153.9747892424243</c:v>
                </c:pt>
                <c:pt idx="19">
                  <c:v>1111.7589318795549</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Q&amp;V'!$S$34</c:f>
              <c:strCache>
                <c:ptCount val="1"/>
                <c:pt idx="0">
                  <c:v>Value ($ Million)</c:v>
                </c:pt>
              </c:strCache>
            </c:strRef>
          </c:tx>
          <c:marker>
            <c:symbol val="none"/>
          </c:marker>
          <c:cat>
            <c:numRef>
              <c:f>'Mineral Sands - Q&amp;V'!$Q$35:$Q$54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'Mineral Sands - Q&amp;V'!$S$35:$S$54</c:f>
              <c:numCache>
                <c:formatCode>#,##0.00</c:formatCode>
                <c:ptCount val="20"/>
                <c:pt idx="0">
                  <c:v>764.91077921212127</c:v>
                </c:pt>
                <c:pt idx="1">
                  <c:v>846.79359163939398</c:v>
                </c:pt>
                <c:pt idx="2">
                  <c:v>886.26281036130922</c:v>
                </c:pt>
                <c:pt idx="3">
                  <c:v>691.05571360429815</c:v>
                </c:pt>
                <c:pt idx="4">
                  <c:v>777.13671799124882</c:v>
                </c:pt>
                <c:pt idx="5">
                  <c:v>641.83094086659389</c:v>
                </c:pt>
                <c:pt idx="6">
                  <c:v>526.47051544375756</c:v>
                </c:pt>
                <c:pt idx="7">
                  <c:v>591.6221046056703</c:v>
                </c:pt>
                <c:pt idx="8">
                  <c:v>970.8070320666061</c:v>
                </c:pt>
                <c:pt idx="9">
                  <c:v>380.58465899999999</c:v>
                </c:pt>
                <c:pt idx="10">
                  <c:v>406.75867286666664</c:v>
                </c:pt>
                <c:pt idx="11">
                  <c:v>586.39609236441697</c:v>
                </c:pt>
                <c:pt idx="12">
                  <c:v>612.46402801084821</c:v>
                </c:pt>
                <c:pt idx="13">
                  <c:v>515.14173981765259</c:v>
                </c:pt>
                <c:pt idx="14">
                  <c:v>628.84552939685091</c:v>
                </c:pt>
                <c:pt idx="15">
                  <c:v>761.70542010130384</c:v>
                </c:pt>
                <c:pt idx="16">
                  <c:v>886.20492566042287</c:v>
                </c:pt>
                <c:pt idx="17">
                  <c:v>1173.5866093361899</c:v>
                </c:pt>
                <c:pt idx="18">
                  <c:v>1343.7084353974126</c:v>
                </c:pt>
                <c:pt idx="19">
                  <c:v>1281.5819267613545</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DEMIRS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max val="1500"/>
          <c:min val="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majorUnit val="250"/>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Mineral Sands Exports 2023
Total Value: $1,749,940,790</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1.3481241315423807E-2"/>
                  <c:y val="1.249758044280883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0.10524182370462121"/>
                  <c:y val="-1.187696850393712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4"/>
              <c:layout>
                <c:manualLayout>
                  <c:x val="-0.10334100091421158"/>
                  <c:y val="-6.993602362204724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0-444A-A470-06D4C6DAE5AE}"/>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0-444A-A470-06D4C6DAE5AE}"/>
                </c:ext>
              </c:extLst>
            </c:dLbl>
            <c:dLbl>
              <c:idx val="6"/>
              <c:layout>
                <c:manualLayout>
                  <c:x val="-9.5515939721018017E-2"/>
                  <c:y val="-3.13735236220472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0-444A-A470-06D4C6DAE5AE}"/>
                </c:ext>
              </c:extLst>
            </c:dLbl>
            <c:dLbl>
              <c:idx val="7"/>
              <c:layout>
                <c:manualLayout>
                  <c:x val="-0.13894614998967825"/>
                  <c:y val="-4.26070374015748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0-444A-A470-06D4C6DAE5AE}"/>
                </c:ext>
              </c:extLst>
            </c:dLbl>
            <c:dLbl>
              <c:idx val="8"/>
              <c:layout>
                <c:manualLayout>
                  <c:x val="-0.10015718540800378"/>
                  <c:y val="-5.17054625984251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0-444A-A470-06D4C6DAE5AE}"/>
                </c:ext>
              </c:extLst>
            </c:dLbl>
            <c:dLbl>
              <c:idx val="9"/>
              <c:layout>
                <c:manualLayout>
                  <c:x val="-0.11851588073962668"/>
                  <c:y val="-7.610408464566932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0-444A-A470-06D4C6DAE5AE}"/>
                </c:ext>
              </c:extLst>
            </c:dLbl>
            <c:dLbl>
              <c:idx val="10"/>
              <c:layout>
                <c:manualLayout>
                  <c:x val="-2.4052316494146096E-2"/>
                  <c:y val="-1.486220472440944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Malaysia</c:v>
                </c:pt>
                <c:pt idx="2">
                  <c:v>United States</c:v>
                </c:pt>
                <c:pt idx="3">
                  <c:v>Mexico</c:v>
                </c:pt>
                <c:pt idx="4">
                  <c:v>Spain</c:v>
                </c:pt>
                <c:pt idx="5">
                  <c:v>United Kingdom</c:v>
                </c:pt>
                <c:pt idx="6">
                  <c:v>Belgium</c:v>
                </c:pt>
                <c:pt idx="7">
                  <c:v>Taiwan, Province Of China</c:v>
                </c:pt>
                <c:pt idx="8">
                  <c:v>Netherlands</c:v>
                </c:pt>
                <c:pt idx="9">
                  <c:v>Saudi Arabia</c:v>
                </c:pt>
                <c:pt idx="10">
                  <c:v>Other</c:v>
                </c:pt>
              </c:strCache>
            </c:strRef>
          </c:cat>
          <c:val>
            <c:numRef>
              <c:f>'Mineral Sands - Exports'!$D$10:$D$20</c:f>
              <c:numCache>
                <c:formatCode>0.0%</c:formatCode>
                <c:ptCount val="11"/>
                <c:pt idx="0">
                  <c:v>0.39732111297062289</c:v>
                </c:pt>
                <c:pt idx="1">
                  <c:v>8.5866053517339017E-2</c:v>
                </c:pt>
                <c:pt idx="2">
                  <c:v>7.0145354262716272E-2</c:v>
                </c:pt>
                <c:pt idx="3">
                  <c:v>6.4674015063268545E-2</c:v>
                </c:pt>
                <c:pt idx="4">
                  <c:v>5.6257434733371123E-2</c:v>
                </c:pt>
                <c:pt idx="5">
                  <c:v>5.4597602671101544E-2</c:v>
                </c:pt>
                <c:pt idx="6">
                  <c:v>5.2358047319959911E-2</c:v>
                </c:pt>
                <c:pt idx="7">
                  <c:v>4.8079712290799922E-2</c:v>
                </c:pt>
                <c:pt idx="8">
                  <c:v>4.2293899039884571E-2</c:v>
                </c:pt>
                <c:pt idx="9">
                  <c:v>4.2031578815867249E-2</c:v>
                </c:pt>
                <c:pt idx="10">
                  <c:v>8.637518931506892E-2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394525091913588E-2"/>
          <c:y val="0.23730955637290702"/>
          <c:w val="0.84104870823455324"/>
          <c:h val="0.57406220055515744"/>
        </c:manualLayout>
      </c:layout>
      <c:lineChart>
        <c:grouping val="standard"/>
        <c:varyColors val="0"/>
        <c:ser>
          <c:idx val="0"/>
          <c:order val="0"/>
          <c:tx>
            <c:strRef>
              <c:f>'Alumina and Bauxite - Prices'!$H$7</c:f>
              <c:strCache>
                <c:ptCount val="1"/>
                <c:pt idx="0">
                  <c:v>Alumina</c:v>
                </c:pt>
              </c:strCache>
            </c:strRef>
          </c:tx>
          <c:spPr>
            <a:ln w="28575" cap="rnd">
              <a:solidFill>
                <a:schemeClr val="accent3">
                  <a:shade val="76000"/>
                </a:schemeClr>
              </a:solidFill>
              <a:round/>
            </a:ln>
            <a:effectLst/>
          </c:spPr>
          <c:marker>
            <c:symbol val="none"/>
          </c:marker>
          <c:cat>
            <c:numRef>
              <c:f>'Alumina and Bauxite - Prices'!$G$9:$G$46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'Alumina and Bauxite - Prices'!$H$9:$H$46</c:f>
              <c:numCache>
                <c:formatCode>#,##0.00</c:formatCode>
                <c:ptCount val="38"/>
                <c:pt idx="0">
                  <c:v>186.74747201938524</c:v>
                </c:pt>
                <c:pt idx="1">
                  <c:v>186.34339604659078</c:v>
                </c:pt>
                <c:pt idx="2">
                  <c:v>215.69999999999996</c:v>
                </c:pt>
                <c:pt idx="3">
                  <c:v>316.38083333333333</c:v>
                </c:pt>
                <c:pt idx="4">
                  <c:v>337.86416666666668</c:v>
                </c:pt>
                <c:pt idx="5">
                  <c:v>268.65083333333337</c:v>
                </c:pt>
                <c:pt idx="6">
                  <c:v>234.71833333333336</c:v>
                </c:pt>
                <c:pt idx="7">
                  <c:v>244.78333333333327</c:v>
                </c:pt>
                <c:pt idx="8">
                  <c:v>207.5008333333333</c:v>
                </c:pt>
                <c:pt idx="9">
                  <c:v>232.52083333333334</c:v>
                </c:pt>
                <c:pt idx="10">
                  <c:v>243.20750000000001</c:v>
                </c:pt>
                <c:pt idx="11">
                  <c:v>251.0058333333333</c:v>
                </c:pt>
                <c:pt idx="12">
                  <c:v>286.06035333522306</c:v>
                </c:pt>
                <c:pt idx="13">
                  <c:v>259.78853448631168</c:v>
                </c:pt>
                <c:pt idx="14">
                  <c:v>342.39166666666665</c:v>
                </c:pt>
                <c:pt idx="15">
                  <c:v>343.46750000000003</c:v>
                </c:pt>
                <c:pt idx="16">
                  <c:v>292.35166666666663</c:v>
                </c:pt>
                <c:pt idx="17">
                  <c:v>271.79333333333335</c:v>
                </c:pt>
                <c:pt idx="18">
                  <c:v>299.24602465354627</c:v>
                </c:pt>
                <c:pt idx="19">
                  <c:v>323.2258039568531</c:v>
                </c:pt>
                <c:pt idx="20">
                  <c:v>401.22070958927651</c:v>
                </c:pt>
                <c:pt idx="21">
                  <c:v>387.61488477893232</c:v>
                </c:pt>
                <c:pt idx="22">
                  <c:v>399.64823109921559</c:v>
                </c:pt>
                <c:pt idx="23">
                  <c:v>287.59035009991879</c:v>
                </c:pt>
                <c:pt idx="24">
                  <c:v>317.5226345655114</c:v>
                </c:pt>
                <c:pt idx="25">
                  <c:v>337.48715453677306</c:v>
                </c:pt>
                <c:pt idx="26">
                  <c:v>285.45540794895652</c:v>
                </c:pt>
                <c:pt idx="27">
                  <c:v>300.93113225204837</c:v>
                </c:pt>
                <c:pt idx="28">
                  <c:v>328.09820567274653</c:v>
                </c:pt>
                <c:pt idx="29">
                  <c:v>382.18209724833213</c:v>
                </c:pt>
                <c:pt idx="30">
                  <c:v>323.18253454181587</c:v>
                </c:pt>
                <c:pt idx="31">
                  <c:v>426.81094261918702</c:v>
                </c:pt>
                <c:pt idx="32">
                  <c:v>591.67384686367222</c:v>
                </c:pt>
                <c:pt idx="33">
                  <c:v>484.89155794037634</c:v>
                </c:pt>
                <c:pt idx="34">
                  <c:v>385.794489805588</c:v>
                </c:pt>
                <c:pt idx="35">
                  <c:v>427.74897718031633</c:v>
                </c:pt>
                <c:pt idx="36">
                  <c:v>522.92946461415875</c:v>
                </c:pt>
                <c:pt idx="37">
                  <c:v>513.63069788225937</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marker val="1"/>
        <c:smooth val="0"/>
        <c:axId val="117368320"/>
        <c:axId val="117369856"/>
      </c:lineChart>
      <c:lineChart>
        <c:grouping val="standard"/>
        <c:varyColors val="0"/>
        <c:ser>
          <c:idx val="1"/>
          <c:order val="1"/>
          <c:tx>
            <c:strRef>
              <c:f>'Alumina and Bauxite - Prices'!$I$7</c:f>
              <c:strCache>
                <c:ptCount val="1"/>
                <c:pt idx="0">
                  <c:v>Bauxite</c:v>
                </c:pt>
              </c:strCache>
            </c:strRef>
          </c:tx>
          <c:spPr>
            <a:ln w="28575" cap="rnd">
              <a:solidFill>
                <a:schemeClr val="accent3">
                  <a:tint val="77000"/>
                </a:schemeClr>
              </a:solidFill>
              <a:round/>
            </a:ln>
            <a:effectLst/>
          </c:spPr>
          <c:marker>
            <c:symbol val="none"/>
          </c:marker>
          <c:cat>
            <c:numRef>
              <c:f>'Alumina and Bauxite - Prices'!$G$9:$G$46</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'Alumina and Bauxite - Prices'!$I$9:$I$46</c:f>
              <c:numCache>
                <c:formatCode>#,##0.00</c:formatCode>
                <c:ptCount val="38"/>
                <c:pt idx="30">
                  <c:v>42.431706387520379</c:v>
                </c:pt>
                <c:pt idx="31">
                  <c:v>40.60045461962897</c:v>
                </c:pt>
                <c:pt idx="32">
                  <c:v>41.439222229148584</c:v>
                </c:pt>
                <c:pt idx="33">
                  <c:v>40.561801674626579</c:v>
                </c:pt>
                <c:pt idx="34">
                  <c:v>39.587143362165939</c:v>
                </c:pt>
                <c:pt idx="35">
                  <c:v>35.806329255898639</c:v>
                </c:pt>
                <c:pt idx="36">
                  <c:v>31.54838861450078</c:v>
                </c:pt>
                <c:pt idx="37">
                  <c:v>44.288726537090326</c:v>
                </c:pt>
              </c:numCache>
            </c:numRef>
          </c:val>
          <c:smooth val="0"/>
          <c:extLst>
            <c:ext xmlns:c16="http://schemas.microsoft.com/office/drawing/2014/chart" uri="{C3380CC4-5D6E-409C-BE32-E72D297353CC}">
              <c16:uniqueId val="{00000003-3E16-431C-8692-DDD14A6EA8EE}"/>
            </c:ext>
          </c:extLst>
        </c:ser>
        <c:dLbls>
          <c:showLegendKey val="0"/>
          <c:showVal val="0"/>
          <c:showCatName val="0"/>
          <c:showSerName val="0"/>
          <c:showPercent val="0"/>
          <c:showBubbleSize val="0"/>
        </c:dLbls>
        <c:marker val="1"/>
        <c:smooth val="0"/>
        <c:axId val="902053696"/>
        <c:axId val="891524472"/>
      </c:lineChart>
      <c:catAx>
        <c:axId val="117368320"/>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1"/>
        <c:lblAlgn val="ctr"/>
        <c:lblOffset val="100"/>
        <c:tickLblSkip val="1"/>
        <c:tickMarkSkip val="1"/>
        <c:noMultiLvlLbl val="0"/>
      </c:catAx>
      <c:valAx>
        <c:axId val="117369856"/>
        <c:scaling>
          <c:orientation val="minMax"/>
          <c:max val="1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1.4021385652140688E-2"/>
              <c:y val="0.4021401920038242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midCat"/>
      </c:valAx>
      <c:valAx>
        <c:axId val="891524472"/>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1" baseline="0"/>
                  <a:t>A$ p</a:t>
                </a:r>
                <a:r>
                  <a:rPr lang="en-US" b="1"/>
                  <a:t>er tonne </a:t>
                </a:r>
              </a:p>
            </c:rich>
          </c:tx>
          <c:layout>
            <c:manualLayout>
              <c:xMode val="edge"/>
              <c:yMode val="edge"/>
              <c:x val="0.96151986715902449"/>
              <c:y val="0.408262913365275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2053696"/>
        <c:crosses val="max"/>
        <c:crossBetween val="between"/>
      </c:valAx>
      <c:catAx>
        <c:axId val="902053696"/>
        <c:scaling>
          <c:orientation val="minMax"/>
        </c:scaling>
        <c:delete val="1"/>
        <c:axPos val="b"/>
        <c:numFmt formatCode="General" sourceLinked="1"/>
        <c:majorTickMark val="out"/>
        <c:minorTickMark val="none"/>
        <c:tickLblPos val="nextTo"/>
        <c:crossAx val="891524472"/>
        <c:crosses val="autoZero"/>
        <c:auto val="0"/>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Last 10 Years</a:t>
            </a:r>
          </a:p>
        </c:rich>
      </c:tx>
      <c:overlay val="0"/>
    </c:title>
    <c:autoTitleDeleted val="0"/>
    <c:plotArea>
      <c:layout/>
      <c:lineChart>
        <c:grouping val="standard"/>
        <c:varyColors val="0"/>
        <c:ser>
          <c:idx val="0"/>
          <c:order val="0"/>
          <c:tx>
            <c:v>Western Australia</c:v>
          </c:tx>
          <c:cat>
            <c:numRef>
              <c:f>'Mineral Sands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'Mineral Sands - WA vs Aus'!$Q$8:$Q$17</c:f>
              <c:numCache>
                <c:formatCode>#,##0.00</c:formatCode>
                <c:ptCount val="10"/>
                <c:pt idx="0">
                  <c:v>406758672.86666662</c:v>
                </c:pt>
                <c:pt idx="1">
                  <c:v>586396092.36441696</c:v>
                </c:pt>
                <c:pt idx="2">
                  <c:v>612464028.01084816</c:v>
                </c:pt>
                <c:pt idx="3">
                  <c:v>515141739.81765258</c:v>
                </c:pt>
                <c:pt idx="4">
                  <c:v>628845529.39685094</c:v>
                </c:pt>
                <c:pt idx="5">
                  <c:v>761705420.10130382</c:v>
                </c:pt>
                <c:pt idx="6">
                  <c:v>886204925.66042292</c:v>
                </c:pt>
                <c:pt idx="7">
                  <c:v>1173586609.33619</c:v>
                </c:pt>
                <c:pt idx="8">
                  <c:v>1343708435.3974125</c:v>
                </c:pt>
                <c:pt idx="9">
                  <c:v>1281581926.7613544</c:v>
                </c:pt>
              </c:numCache>
            </c:numRef>
          </c:val>
          <c:smooth val="0"/>
          <c:extLst>
            <c:ext xmlns:c16="http://schemas.microsoft.com/office/drawing/2014/chart" uri="{C3380CC4-5D6E-409C-BE32-E72D297353CC}">
              <c16:uniqueId val="{00000000-0AD1-4947-91EF-262437E67ACB}"/>
            </c:ext>
          </c:extLst>
        </c:ser>
        <c:ser>
          <c:idx val="1"/>
          <c:order val="1"/>
          <c:tx>
            <c:v>Rest of Australia</c:v>
          </c:tx>
          <c:cat>
            <c:numRef>
              <c:f>'Mineral Sands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'Mineral Sands - WA vs Aus'!$R$8:$R$9</c:f>
              <c:numCache>
                <c:formatCode>#,##0.00</c:formatCode>
                <c:ptCount val="2"/>
                <c:pt idx="0">
                  <c:v>1243000000</c:v>
                </c:pt>
                <c:pt idx="1">
                  <c:v>0</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catAx>
        <c:axId val="133027328"/>
        <c:scaling>
          <c:orientation val="minMax"/>
        </c:scaling>
        <c:delete val="0"/>
        <c:axPos val="b"/>
        <c:title>
          <c:tx>
            <c:rich>
              <a:bodyPr/>
              <a:lstStyle/>
              <a:p>
                <a:pPr>
                  <a:defRPr/>
                </a:pPr>
                <a:r>
                  <a:rPr lang="en-AU"/>
                  <a:t>Source:  DEMIRS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Aus'!$A$7:$A$73</c:f>
              <c:numCache>
                <c:formatCode>General</c:formatCode>
                <c:ptCount val="67"/>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numCache>
            </c:numRef>
          </c:cat>
          <c:val>
            <c:numRef>
              <c:f>'Mineral Sands - WA vs Aus'!$B$7:$B$73</c:f>
              <c:numCache>
                <c:formatCode>#,##0.00</c:formatCode>
                <c:ptCount val="67"/>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380584659</c:v>
                </c:pt>
                <c:pt idx="57">
                  <c:v>406758672.86666662</c:v>
                </c:pt>
                <c:pt idx="58">
                  <c:v>586396092.36441696</c:v>
                </c:pt>
                <c:pt idx="59">
                  <c:v>612464028.01084816</c:v>
                </c:pt>
                <c:pt idx="60">
                  <c:v>515141739.81765258</c:v>
                </c:pt>
                <c:pt idx="61">
                  <c:v>628845529.39685094</c:v>
                </c:pt>
                <c:pt idx="62">
                  <c:v>761705420.10130382</c:v>
                </c:pt>
                <c:pt idx="63">
                  <c:v>886204925.66042292</c:v>
                </c:pt>
                <c:pt idx="64">
                  <c:v>1173586609.33619</c:v>
                </c:pt>
                <c:pt idx="65">
                  <c:v>1343708435.3974125</c:v>
                </c:pt>
                <c:pt idx="66">
                  <c:v>1281581926.7613544</c:v>
                </c:pt>
              </c:numCache>
            </c:numRef>
          </c:val>
          <c:extLst>
            <c:ext xmlns:c16="http://schemas.microsoft.com/office/drawing/2014/chart" uri="{C3380CC4-5D6E-409C-BE32-E72D297353CC}">
              <c16:uniqueId val="{00000000-F945-45A9-BCC5-50ABB812F6CE}"/>
            </c:ext>
          </c:extLst>
        </c:ser>
        <c:ser>
          <c:idx val="1"/>
          <c:order val="1"/>
          <c:tx>
            <c:v>Rest of Australia</c:v>
          </c:tx>
          <c:invertIfNegative val="0"/>
          <c:cat>
            <c:numRef>
              <c:f>'Mineral Sands - WA vs Aus'!$A$7:$A$73</c:f>
              <c:numCache>
                <c:formatCode>General</c:formatCode>
                <c:ptCount val="67"/>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numCache>
            </c:numRef>
          </c:cat>
          <c:val>
            <c:numRef>
              <c:f>'Mineral Sands - WA vs Aus'!$C$7:$C$73</c:f>
              <c:numCache>
                <c:formatCode>#,##0.00</c:formatCode>
                <c:ptCount val="67"/>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formatCode="&quot;$&quot;#,##0">
                  <c:v>0</c:v>
                </c:pt>
                <c:pt idx="59" formatCode="&quot;$&quot;#,##0">
                  <c:v>0</c:v>
                </c:pt>
                <c:pt idx="60" formatCode="&quot;$&quot;#,##0">
                  <c:v>0</c:v>
                </c:pt>
                <c:pt idx="61" formatCode="&quot;$&quot;#,##0">
                  <c:v>0</c:v>
                </c:pt>
                <c:pt idx="62" formatCode="&quot;$&quot;#,##0">
                  <c:v>0</c:v>
                </c:pt>
                <c:pt idx="63" formatCode="&quot;$&quot;#,##0">
                  <c:v>0</c:v>
                </c:pt>
                <c:pt idx="64" formatCode="&quot;$&quot;#,##0">
                  <c:v>0</c:v>
                </c:pt>
                <c:pt idx="65" formatCode="&quot;$&quot;#,##0">
                  <c:v>0</c:v>
                </c:pt>
                <c:pt idx="66" formatCode="&quot;$&quot;#,##0">
                  <c:v>0</c:v>
                </c:pt>
              </c:numCache>
            </c:numRef>
          </c:val>
          <c:extLst>
            <c:ext xmlns:c16="http://schemas.microsoft.com/office/drawing/2014/chart" uri="{C3380CC4-5D6E-409C-BE32-E72D297353CC}">
              <c16:uniqueId val="{00000001-F945-45A9-BCC5-50ABB812F6CE}"/>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dateAx>
        <c:axId val="133027328"/>
        <c:scaling>
          <c:orientation val="minMax"/>
        </c:scaling>
        <c:delete val="0"/>
        <c:axPos val="b"/>
        <c:title>
          <c:tx>
            <c:rich>
              <a:bodyPr/>
              <a:lstStyle/>
              <a:p>
                <a:pPr>
                  <a:defRPr/>
                </a:pPr>
                <a:r>
                  <a:rPr lang="en-AU"/>
                  <a:t>Source:  DEMIRS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3"/>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Annual Prices, Historic</a:t>
            </a:r>
            <a:endParaRPr lang="en-AU" sz="1100"/>
          </a:p>
        </c:rich>
      </c:tx>
      <c:overlay val="0"/>
    </c:title>
    <c:autoTitleDeleted val="0"/>
    <c:plotArea>
      <c:layout>
        <c:manualLayout>
          <c:layoutTarget val="inner"/>
          <c:xMode val="edge"/>
          <c:yMode val="edge"/>
          <c:x val="0.13813637980910537"/>
          <c:y val="0.27492304153857433"/>
          <c:w val="0.82737311077765574"/>
          <c:h val="0.51732703792618817"/>
        </c:manualLayout>
      </c:layout>
      <c:lineChart>
        <c:grouping val="standard"/>
        <c:varyColors val="0"/>
        <c:ser>
          <c:idx val="1"/>
          <c:order val="0"/>
          <c:tx>
            <c:v>US$</c:v>
          </c:tx>
          <c:marker>
            <c:symbol val="none"/>
          </c:marker>
          <c:cat>
            <c:numRef>
              <c:f>'Nickel - Prices'!$G$8:$G$45</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'Nickel - Prices'!$H$8:$H$45</c:f>
              <c:numCache>
                <c:formatCode>#,##0.00</c:formatCode>
                <c:ptCount val="38"/>
                <c:pt idx="0">
                  <c:v>3888.8356621152602</c:v>
                </c:pt>
                <c:pt idx="1">
                  <c:v>4859.1571635335049</c:v>
                </c:pt>
                <c:pt idx="2">
                  <c:v>13794.974205344808</c:v>
                </c:pt>
                <c:pt idx="3">
                  <c:v>13236.366666666669</c:v>
                </c:pt>
                <c:pt idx="4">
                  <c:v>8849.7666666666682</c:v>
                </c:pt>
                <c:pt idx="5">
                  <c:v>8148.1041666666679</c:v>
                </c:pt>
                <c:pt idx="6">
                  <c:v>7005.3058333333347</c:v>
                </c:pt>
                <c:pt idx="7">
                  <c:v>5292.8183333333336</c:v>
                </c:pt>
                <c:pt idx="8">
                  <c:v>6340.3230000000003</c:v>
                </c:pt>
                <c:pt idx="9">
                  <c:v>8233.5949999999993</c:v>
                </c:pt>
                <c:pt idx="10">
                  <c:v>7531.4583333333348</c:v>
                </c:pt>
                <c:pt idx="11">
                  <c:v>6924.1499999999987</c:v>
                </c:pt>
                <c:pt idx="12">
                  <c:v>4632.6191666666664</c:v>
                </c:pt>
                <c:pt idx="13">
                  <c:v>6014.5920000000006</c:v>
                </c:pt>
                <c:pt idx="14">
                  <c:v>8641.8808333333345</c:v>
                </c:pt>
                <c:pt idx="15">
                  <c:v>5949.4933333333347</c:v>
                </c:pt>
                <c:pt idx="16">
                  <c:v>6793.0508333333337</c:v>
                </c:pt>
                <c:pt idx="17">
                  <c:v>9633.3608333333341</c:v>
                </c:pt>
                <c:pt idx="18">
                  <c:v>13830.259166666665</c:v>
                </c:pt>
                <c:pt idx="19">
                  <c:v>14743.910000000002</c:v>
                </c:pt>
                <c:pt idx="20">
                  <c:v>24360.182499999999</c:v>
                </c:pt>
                <c:pt idx="21">
                  <c:v>37229.805833333332</c:v>
                </c:pt>
                <c:pt idx="22">
                  <c:v>21113.145833333332</c:v>
                </c:pt>
                <c:pt idx="23">
                  <c:v>14721.555833333334</c:v>
                </c:pt>
                <c:pt idx="24">
                  <c:v>21808.852500000001</c:v>
                </c:pt>
                <c:pt idx="25">
                  <c:v>22894.358333333334</c:v>
                </c:pt>
                <c:pt idx="26">
                  <c:v>17535.575158333333</c:v>
                </c:pt>
                <c:pt idx="27">
                  <c:v>15021.8935</c:v>
                </c:pt>
                <c:pt idx="28">
                  <c:v>16868.555058333335</c:v>
                </c:pt>
                <c:pt idx="29">
                  <c:v>11834.792475000002</c:v>
                </c:pt>
                <c:pt idx="30">
                  <c:v>9597.5587916666682</c:v>
                </c:pt>
                <c:pt idx="31">
                  <c:v>10406.91070378788</c:v>
                </c:pt>
                <c:pt idx="32">
                  <c:v>13117.675179440836</c:v>
                </c:pt>
                <c:pt idx="33">
                  <c:v>13906.955833333333</c:v>
                </c:pt>
                <c:pt idx="34">
                  <c:v>13773.181666666665</c:v>
                </c:pt>
                <c:pt idx="35">
                  <c:v>18488.620000000003</c:v>
                </c:pt>
                <c:pt idx="36">
                  <c:v>25655.938333333335</c:v>
                </c:pt>
                <c:pt idx="37">
                  <c:v>21495.22416666667</c:v>
                </c:pt>
              </c:numCache>
            </c:numRef>
          </c:val>
          <c:smooth val="0"/>
          <c:extLst>
            <c:ext xmlns:c16="http://schemas.microsoft.com/office/drawing/2014/chart" uri="{C3380CC4-5D6E-409C-BE32-E72D297353CC}">
              <c16:uniqueId val="{00000001-A2CF-4ED7-A431-001C6B63379F}"/>
            </c:ext>
          </c:extLst>
        </c:ser>
        <c:ser>
          <c:idx val="0"/>
          <c:order val="1"/>
          <c:tx>
            <c:v>A$</c:v>
          </c:tx>
          <c:marker>
            <c:symbol val="none"/>
          </c:marker>
          <c:cat>
            <c:numRef>
              <c:f>'Nickel - Prices'!$G$8:$G$45</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'Nickel - Prices'!$I$8:$I$45</c:f>
              <c:numCache>
                <c:formatCode>#,##0.00</c:formatCode>
                <c:ptCount val="38"/>
                <c:pt idx="0">
                  <c:v>5807.2150261370289</c:v>
                </c:pt>
                <c:pt idx="1">
                  <c:v>6915.6166865840269</c:v>
                </c:pt>
                <c:pt idx="2">
                  <c:v>17556.426775707569</c:v>
                </c:pt>
                <c:pt idx="3">
                  <c:v>16603.232723155015</c:v>
                </c:pt>
                <c:pt idx="4">
                  <c:v>11308.955244810373</c:v>
                </c:pt>
                <c:pt idx="5">
                  <c:v>10463.634067185552</c:v>
                </c:pt>
                <c:pt idx="6">
                  <c:v>9508.5645001778048</c:v>
                </c:pt>
                <c:pt idx="7">
                  <c:v>7776.8257970252525</c:v>
                </c:pt>
                <c:pt idx="8">
                  <c:v>8643.5326677242356</c:v>
                </c:pt>
                <c:pt idx="9">
                  <c:v>11099.375082539351</c:v>
                </c:pt>
                <c:pt idx="10">
                  <c:v>9631.7317750959719</c:v>
                </c:pt>
                <c:pt idx="11">
                  <c:v>9291.8261160070087</c:v>
                </c:pt>
                <c:pt idx="12">
                  <c:v>7339.2905318583653</c:v>
                </c:pt>
                <c:pt idx="13">
                  <c:v>9318.6959983254765</c:v>
                </c:pt>
                <c:pt idx="14">
                  <c:v>14839.194849024641</c:v>
                </c:pt>
                <c:pt idx="15">
                  <c:v>11480.188599147981</c:v>
                </c:pt>
                <c:pt idx="16">
                  <c:v>12480.84574770486</c:v>
                </c:pt>
                <c:pt idx="17">
                  <c:v>14681.767613151509</c:v>
                </c:pt>
                <c:pt idx="18">
                  <c:v>18776.299374102182</c:v>
                </c:pt>
                <c:pt idx="19">
                  <c:v>19319.30706067169</c:v>
                </c:pt>
                <c:pt idx="20">
                  <c:v>32188.773145870091</c:v>
                </c:pt>
                <c:pt idx="21">
                  <c:v>44744.99982866794</c:v>
                </c:pt>
                <c:pt idx="22">
                  <c:v>24173.233354519092</c:v>
                </c:pt>
                <c:pt idx="23">
                  <c:v>18387.95872138254</c:v>
                </c:pt>
                <c:pt idx="24">
                  <c:v>23691.080165372565</c:v>
                </c:pt>
                <c:pt idx="25">
                  <c:v>22194.801667713149</c:v>
                </c:pt>
                <c:pt idx="26">
                  <c:v>16920.31787505178</c:v>
                </c:pt>
                <c:pt idx="27">
                  <c:v>15485.073351990808</c:v>
                </c:pt>
                <c:pt idx="28">
                  <c:v>18661.064206055453</c:v>
                </c:pt>
                <c:pt idx="29">
                  <c:v>15636.201490325429</c:v>
                </c:pt>
                <c:pt idx="30">
                  <c:v>12891.090930180819</c:v>
                </c:pt>
                <c:pt idx="31">
                  <c:v>13567.229044753867</c:v>
                </c:pt>
                <c:pt idx="32">
                  <c:v>17527.964525245628</c:v>
                </c:pt>
                <c:pt idx="33">
                  <c:v>20050.216098817091</c:v>
                </c:pt>
                <c:pt idx="34">
                  <c:v>19892.361092829509</c:v>
                </c:pt>
                <c:pt idx="35">
                  <c:v>24650.097417871559</c:v>
                </c:pt>
                <c:pt idx="36">
                  <c:v>36828.121415381298</c:v>
                </c:pt>
                <c:pt idx="37">
                  <c:v>32250.206308655805</c:v>
                </c:pt>
              </c:numCache>
            </c:numRef>
          </c:val>
          <c:smooth val="0"/>
          <c:extLst>
            <c:ext xmlns:c16="http://schemas.microsoft.com/office/drawing/2014/chart" uri="{C3380CC4-5D6E-409C-BE32-E72D297353CC}">
              <c16:uniqueId val="{00000000-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tickLblSkip val="1"/>
        <c:noMultiLvlLbl val="0"/>
      </c:catAx>
      <c:valAx>
        <c:axId val="131371776"/>
        <c:scaling>
          <c:orientation val="minMax"/>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midCat"/>
        <c:majorUnit val="10000"/>
      </c:val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Last 5 years</a:t>
            </a:r>
          </a:p>
        </c:rich>
      </c:tx>
      <c:layout>
        <c:manualLayout>
          <c:xMode val="edge"/>
          <c:yMode val="edge"/>
          <c:x val="0.37837661660610228"/>
          <c:y val="1.7621149449315955E-2"/>
        </c:manualLayout>
      </c:layout>
      <c:overlay val="0"/>
    </c:title>
    <c:autoTitleDeleted val="0"/>
    <c:plotArea>
      <c:layout>
        <c:manualLayout>
          <c:layoutTarget val="inner"/>
          <c:xMode val="edge"/>
          <c:yMode val="edge"/>
          <c:x val="0.14434959239707593"/>
          <c:y val="0.24008350496522982"/>
          <c:w val="0.82965449328642649"/>
          <c:h val="0.5886610843519029"/>
        </c:manualLayout>
      </c:layout>
      <c:lineChart>
        <c:grouping val="standard"/>
        <c:varyColors val="0"/>
        <c:ser>
          <c:idx val="1"/>
          <c:order val="0"/>
          <c:tx>
            <c:v>US$</c:v>
          </c:tx>
          <c:marker>
            <c:symbol val="none"/>
          </c:marker>
          <c:cat>
            <c:numRef>
              <c:f>'Nickel - Prices'!$A$8:$A$68</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'Nickel - Prices'!$B$8:$B$68</c:f>
              <c:numCache>
                <c:formatCode>#,##0.00</c:formatCode>
                <c:ptCount val="61"/>
                <c:pt idx="0">
                  <c:v>10836.84211</c:v>
                </c:pt>
                <c:pt idx="1">
                  <c:v>11454.55</c:v>
                </c:pt>
                <c:pt idx="2">
                  <c:v>12649.75</c:v>
                </c:pt>
                <c:pt idx="3">
                  <c:v>13060.71</c:v>
                </c:pt>
                <c:pt idx="4">
                  <c:v>12819</c:v>
                </c:pt>
                <c:pt idx="5">
                  <c:v>11998.33</c:v>
                </c:pt>
                <c:pt idx="6">
                  <c:v>11998.33</c:v>
                </c:pt>
                <c:pt idx="7">
                  <c:v>13462.39</c:v>
                </c:pt>
                <c:pt idx="8">
                  <c:v>15682.14</c:v>
                </c:pt>
                <c:pt idx="9">
                  <c:v>17673.099999999999</c:v>
                </c:pt>
                <c:pt idx="10">
                  <c:v>17113.48</c:v>
                </c:pt>
                <c:pt idx="11">
                  <c:v>15199.52</c:v>
                </c:pt>
                <c:pt idx="12">
                  <c:v>13800.5</c:v>
                </c:pt>
                <c:pt idx="13">
                  <c:v>13552.95</c:v>
                </c:pt>
                <c:pt idx="14">
                  <c:v>12743.5</c:v>
                </c:pt>
                <c:pt idx="15">
                  <c:v>11873</c:v>
                </c:pt>
                <c:pt idx="16">
                  <c:v>11753.2</c:v>
                </c:pt>
                <c:pt idx="17">
                  <c:v>12135.32</c:v>
                </c:pt>
                <c:pt idx="18">
                  <c:v>12703.27</c:v>
                </c:pt>
                <c:pt idx="19">
                  <c:v>13341.35</c:v>
                </c:pt>
                <c:pt idx="20">
                  <c:v>14486.86</c:v>
                </c:pt>
                <c:pt idx="21">
                  <c:v>14866.27</c:v>
                </c:pt>
                <c:pt idx="22">
                  <c:v>15219.36</c:v>
                </c:pt>
                <c:pt idx="23">
                  <c:v>15796.05</c:v>
                </c:pt>
                <c:pt idx="24">
                  <c:v>16807.05</c:v>
                </c:pt>
                <c:pt idx="25">
                  <c:v>17847.599999999999</c:v>
                </c:pt>
                <c:pt idx="26">
                  <c:v>18568.05</c:v>
                </c:pt>
                <c:pt idx="27">
                  <c:v>16460.740000000002</c:v>
                </c:pt>
                <c:pt idx="28">
                  <c:v>16480.7</c:v>
                </c:pt>
                <c:pt idx="29">
                  <c:v>17605.740000000002</c:v>
                </c:pt>
                <c:pt idx="30">
                  <c:v>17943.23</c:v>
                </c:pt>
                <c:pt idx="31">
                  <c:v>18817.05</c:v>
                </c:pt>
                <c:pt idx="32">
                  <c:v>19160.43</c:v>
                </c:pt>
                <c:pt idx="33">
                  <c:v>19541</c:v>
                </c:pt>
                <c:pt idx="34">
                  <c:v>19416.189999999999</c:v>
                </c:pt>
                <c:pt idx="35">
                  <c:v>19957.95</c:v>
                </c:pt>
                <c:pt idx="36">
                  <c:v>20064.759999999998</c:v>
                </c:pt>
                <c:pt idx="37">
                  <c:v>22319.38</c:v>
                </c:pt>
                <c:pt idx="38">
                  <c:v>24172.5</c:v>
                </c:pt>
                <c:pt idx="39">
                  <c:v>34101.18</c:v>
                </c:pt>
                <c:pt idx="40">
                  <c:v>33287.24</c:v>
                </c:pt>
                <c:pt idx="41">
                  <c:v>27938.57</c:v>
                </c:pt>
                <c:pt idx="42">
                  <c:v>25824.880000000001</c:v>
                </c:pt>
                <c:pt idx="43">
                  <c:v>21470.95</c:v>
                </c:pt>
                <c:pt idx="44">
                  <c:v>21987.95</c:v>
                </c:pt>
                <c:pt idx="45">
                  <c:v>22672.84</c:v>
                </c:pt>
                <c:pt idx="46">
                  <c:v>21924.52</c:v>
                </c:pt>
                <c:pt idx="47">
                  <c:v>25246.25</c:v>
                </c:pt>
                <c:pt idx="48">
                  <c:v>26925</c:v>
                </c:pt>
                <c:pt idx="49">
                  <c:v>28226.07</c:v>
                </c:pt>
                <c:pt idx="50">
                  <c:v>26678.880000000001</c:v>
                </c:pt>
                <c:pt idx="51">
                  <c:v>23289.46</c:v>
                </c:pt>
                <c:pt idx="52">
                  <c:v>23749.17</c:v>
                </c:pt>
                <c:pt idx="53">
                  <c:v>22214.880000000001</c:v>
                </c:pt>
                <c:pt idx="54">
                  <c:v>21184.09</c:v>
                </c:pt>
                <c:pt idx="55">
                  <c:v>20889.88</c:v>
                </c:pt>
                <c:pt idx="56">
                  <c:v>20484.43</c:v>
                </c:pt>
                <c:pt idx="57">
                  <c:v>19620.599999999999</c:v>
                </c:pt>
                <c:pt idx="58">
                  <c:v>18249.2</c:v>
                </c:pt>
                <c:pt idx="59">
                  <c:v>16974.32</c:v>
                </c:pt>
                <c:pt idx="60">
                  <c:v>16381.71</c:v>
                </c:pt>
              </c:numCache>
            </c:numRef>
          </c:val>
          <c:smooth val="0"/>
          <c:extLst>
            <c:ext xmlns:c16="http://schemas.microsoft.com/office/drawing/2014/chart" uri="{C3380CC4-5D6E-409C-BE32-E72D297353CC}">
              <c16:uniqueId val="{00000001-281E-4B38-B6AE-849162B0B053}"/>
            </c:ext>
          </c:extLst>
        </c:ser>
        <c:ser>
          <c:idx val="0"/>
          <c:order val="1"/>
          <c:tx>
            <c:v>A$</c:v>
          </c:tx>
          <c:marker>
            <c:symbol val="none"/>
          </c:marker>
          <c:cat>
            <c:numRef>
              <c:f>'Nickel - Prices'!$A$8:$A$68</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'Nickel - Prices'!$C$8:$C$68</c:f>
              <c:numCache>
                <c:formatCode>#,##0.00</c:formatCode>
                <c:ptCount val="61"/>
                <c:pt idx="0">
                  <c:v>15079.940536403517</c:v>
                </c:pt>
                <c:pt idx="1">
                  <c:v>16033.590844253662</c:v>
                </c:pt>
                <c:pt idx="2">
                  <c:v>17706.816909294514</c:v>
                </c:pt>
                <c:pt idx="3">
                  <c:v>18445.221490682397</c:v>
                </c:pt>
                <c:pt idx="4">
                  <c:v>18016.199423034246</c:v>
                </c:pt>
                <c:pt idx="5">
                  <c:v>17266.484592523073</c:v>
                </c:pt>
                <c:pt idx="6">
                  <c:v>17266.484592523073</c:v>
                </c:pt>
                <c:pt idx="7">
                  <c:v>19267.648815820587</c:v>
                </c:pt>
                <c:pt idx="8">
                  <c:v>23158.138488260069</c:v>
                </c:pt>
                <c:pt idx="9">
                  <c:v>25959.131000426663</c:v>
                </c:pt>
                <c:pt idx="10">
                  <c:v>25182.200402651346</c:v>
                </c:pt>
                <c:pt idx="11">
                  <c:v>22256.383223512184</c:v>
                </c:pt>
                <c:pt idx="12">
                  <c:v>20067.908505285814</c:v>
                </c:pt>
                <c:pt idx="13">
                  <c:v>19726.772111979044</c:v>
                </c:pt>
                <c:pt idx="14">
                  <c:v>19095.533861288222</c:v>
                </c:pt>
                <c:pt idx="15">
                  <c:v>19060.149004327108</c:v>
                </c:pt>
                <c:pt idx="16">
                  <c:v>18662.241876195847</c:v>
                </c:pt>
                <c:pt idx="17">
                  <c:v>18642.271819518508</c:v>
                </c:pt>
                <c:pt idx="18">
                  <c:v>18431.779207229865</c:v>
                </c:pt>
                <c:pt idx="19">
                  <c:v>18981.847143608298</c:v>
                </c:pt>
                <c:pt idx="20">
                  <c:v>20122.874763862652</c:v>
                </c:pt>
                <c:pt idx="21">
                  <c:v>20539.582875408996</c:v>
                </c:pt>
                <c:pt idx="22">
                  <c:v>21353.369634207447</c:v>
                </c:pt>
                <c:pt idx="23">
                  <c:v>21743.525455725325</c:v>
                </c:pt>
                <c:pt idx="24">
                  <c:v>22348.385360602799</c:v>
                </c:pt>
                <c:pt idx="25">
                  <c:v>23101.171052721213</c:v>
                </c:pt>
                <c:pt idx="26">
                  <c:v>23944.716327833339</c:v>
                </c:pt>
                <c:pt idx="27">
                  <c:v>21347.5700455035</c:v>
                </c:pt>
                <c:pt idx="28">
                  <c:v>21394.337491724324</c:v>
                </c:pt>
                <c:pt idx="29">
                  <c:v>22689.480079534573</c:v>
                </c:pt>
                <c:pt idx="30">
                  <c:v>23470.104267882503</c:v>
                </c:pt>
                <c:pt idx="31">
                  <c:v>25343.604028283695</c:v>
                </c:pt>
                <c:pt idx="32">
                  <c:v>26243.911713486261</c:v>
                </c:pt>
                <c:pt idx="33">
                  <c:v>26687.897693764164</c:v>
                </c:pt>
                <c:pt idx="34">
                  <c:v>26227.638981757274</c:v>
                </c:pt>
                <c:pt idx="35">
                  <c:v>27290.378519485366</c:v>
                </c:pt>
                <c:pt idx="36">
                  <c:v>28060.358812482518</c:v>
                </c:pt>
                <c:pt idx="37">
                  <c:v>31088.450006231349</c:v>
                </c:pt>
                <c:pt idx="38">
                  <c:v>33771.559101101622</c:v>
                </c:pt>
                <c:pt idx="39">
                  <c:v>46278.721257500925</c:v>
                </c:pt>
                <c:pt idx="40">
                  <c:v>44997.958769854682</c:v>
                </c:pt>
                <c:pt idx="41">
                  <c:v>39617.938173567782</c:v>
                </c:pt>
                <c:pt idx="42">
                  <c:v>36733.507183158697</c:v>
                </c:pt>
                <c:pt idx="43">
                  <c:v>31322.242830943644</c:v>
                </c:pt>
                <c:pt idx="44">
                  <c:v>31591.675864185836</c:v>
                </c:pt>
                <c:pt idx="45">
                  <c:v>33903.432856013722</c:v>
                </c:pt>
                <c:pt idx="46">
                  <c:v>34467.638227294883</c:v>
                </c:pt>
                <c:pt idx="47">
                  <c:v>38286.963954586492</c:v>
                </c:pt>
                <c:pt idx="48">
                  <c:v>39877.368760135963</c:v>
                </c:pt>
                <c:pt idx="49">
                  <c:v>40620.648466619648</c:v>
                </c:pt>
                <c:pt idx="50">
                  <c:v>38583.403233737306</c:v>
                </c:pt>
                <c:pt idx="51">
                  <c:v>34827.285376193075</c:v>
                </c:pt>
                <c:pt idx="52">
                  <c:v>35474.553202706265</c:v>
                </c:pt>
                <c:pt idx="53">
                  <c:v>33401.030253902674</c:v>
                </c:pt>
                <c:pt idx="54">
                  <c:v>31579.888549726693</c:v>
                </c:pt>
                <c:pt idx="55">
                  <c:v>31005.059050526899</c:v>
                </c:pt>
                <c:pt idx="56">
                  <c:v>31571.911167157061</c:v>
                </c:pt>
                <c:pt idx="57">
                  <c:v>30539.709599235081</c:v>
                </c:pt>
                <c:pt idx="58">
                  <c:v>28738.251107961576</c:v>
                </c:pt>
                <c:pt idx="59">
                  <c:v>26147.068008206075</c:v>
                </c:pt>
                <c:pt idx="60">
                  <c:v>24513.667687897232</c:v>
                </c:pt>
              </c:numCache>
            </c:numRef>
          </c:val>
          <c:smooth val="0"/>
          <c:extLst>
            <c:ext xmlns:c16="http://schemas.microsoft.com/office/drawing/2014/chart" uri="{C3380CC4-5D6E-409C-BE32-E72D297353CC}">
              <c16:uniqueId val="{00000000-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a:t>
                </a:r>
                <a:r>
                  <a:rPr lang="en-AU" baseline="0"/>
                  <a:t> per </a:t>
                </a:r>
                <a:r>
                  <a:rPr lang="en-AU"/>
                  <a:t>tonne</a:t>
                </a:r>
              </a:p>
            </c:rich>
          </c:tx>
          <c:layout>
            <c:manualLayout>
              <c:xMode val="edge"/>
              <c:yMode val="edge"/>
              <c:x val="2.6755588852031061E-2"/>
              <c:y val="0.4606896899394568"/>
            </c:manualLayout>
          </c:layout>
          <c:overlay val="0"/>
        </c:title>
        <c:numFmt formatCode="#,##0" sourceLinked="0"/>
        <c:majorTickMark val="out"/>
        <c:minorTickMark val="none"/>
        <c:tickLblPos val="nextTo"/>
        <c:crossAx val="131440000"/>
        <c:crosses val="autoZero"/>
        <c:crossBetween val="midCat"/>
        <c:majorUnit val="10000"/>
      </c:valAx>
      <c:date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mmm\-yy" sourceLinked="1"/>
        <c:majorTickMark val="out"/>
        <c:minorTickMark val="none"/>
        <c:tickLblPos val="nextTo"/>
        <c:txPr>
          <a:bodyPr rot="-2700000"/>
          <a:lstStyle/>
          <a:p>
            <a:pPr>
              <a:defRPr/>
            </a:pPr>
            <a:endParaRPr lang="en-US"/>
          </a:p>
        </c:txPr>
        <c:crossAx val="1314384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'Nickel - Q&amp;V'!$R$10:$R$18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'Nickel - Q&amp;V'!$S$10:$S$18</c:f>
              <c:numCache>
                <c:formatCode>#,##0.00</c:formatCode>
                <c:ptCount val="9"/>
                <c:pt idx="0">
                  <c:v>39.386962000000004</c:v>
                </c:pt>
                <c:pt idx="1">
                  <c:v>36.555967999999993</c:v>
                </c:pt>
                <c:pt idx="2">
                  <c:v>34.867350000000002</c:v>
                </c:pt>
                <c:pt idx="3">
                  <c:v>43.281026000000004</c:v>
                </c:pt>
                <c:pt idx="4">
                  <c:v>40.566062770452831</c:v>
                </c:pt>
                <c:pt idx="5">
                  <c:v>37.112964999999996</c:v>
                </c:pt>
                <c:pt idx="6">
                  <c:v>39.732895000000006</c:v>
                </c:pt>
                <c:pt idx="7">
                  <c:v>35.742027999999998</c:v>
                </c:pt>
                <c:pt idx="8">
                  <c:v>36.832878999999991</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v>Value</c:v>
          </c:tx>
          <c:marker>
            <c:symbol val="none"/>
          </c:marker>
          <c:cat>
            <c:numRef>
              <c:f>'Nickel - Q&amp;V'!$R$10:$R$18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'Nickel - Q&amp;V'!$T$10:$T$18</c:f>
              <c:numCache>
                <c:formatCode>#,##0.00</c:formatCode>
                <c:ptCount val="9"/>
                <c:pt idx="0">
                  <c:v>1167.21880865</c:v>
                </c:pt>
                <c:pt idx="1">
                  <c:v>1506.8419139999999</c:v>
                </c:pt>
                <c:pt idx="2">
                  <c:v>1195.1312249999999</c:v>
                </c:pt>
                <c:pt idx="3">
                  <c:v>1416.298411</c:v>
                </c:pt>
                <c:pt idx="4">
                  <c:v>1648.5446689999999</c:v>
                </c:pt>
                <c:pt idx="5">
                  <c:v>1363.699206</c:v>
                </c:pt>
                <c:pt idx="6">
                  <c:v>1288.1296649999999</c:v>
                </c:pt>
                <c:pt idx="7">
                  <c:v>1082.776807</c:v>
                </c:pt>
                <c:pt idx="8">
                  <c:v>962.80975699999999</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DEMIRS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max val="2000"/>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majorUnit val="400"/>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majorUnit val="10"/>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Q&amp;V'!$S$27</c:f>
              <c:strCache>
                <c:ptCount val="1"/>
                <c:pt idx="0">
                  <c:v>Quantity (Kt)</c:v>
                </c:pt>
              </c:strCache>
            </c:strRef>
          </c:tx>
          <c:invertIfNegative val="0"/>
          <c:cat>
            <c:numRef>
              <c:f>'Nickel - Q&amp;V'!$R$28:$R$47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'Nickel - Q&amp;V'!$S$28:$S$47</c:f>
              <c:numCache>
                <c:formatCode>0.00</c:formatCode>
                <c:ptCount val="20"/>
                <c:pt idx="0">
                  <c:v>174.70099999999999</c:v>
                </c:pt>
                <c:pt idx="1">
                  <c:v>188.36199999999999</c:v>
                </c:pt>
                <c:pt idx="2">
                  <c:v>175.08699999999999</c:v>
                </c:pt>
                <c:pt idx="3">
                  <c:v>162.49200000000002</c:v>
                </c:pt>
                <c:pt idx="4">
                  <c:v>187.791</c:v>
                </c:pt>
                <c:pt idx="5">
                  <c:v>171.178</c:v>
                </c:pt>
                <c:pt idx="6">
                  <c:v>193.25899999999999</c:v>
                </c:pt>
                <c:pt idx="7">
                  <c:v>185.13</c:v>
                </c:pt>
                <c:pt idx="8">
                  <c:v>230.76710035740911</c:v>
                </c:pt>
                <c:pt idx="9">
                  <c:v>270.74436400000002</c:v>
                </c:pt>
                <c:pt idx="10">
                  <c:v>218.56311600000001</c:v>
                </c:pt>
                <c:pt idx="11">
                  <c:v>173.97419100000002</c:v>
                </c:pt>
                <c:pt idx="12">
                  <c:v>171.60430600000001</c:v>
                </c:pt>
                <c:pt idx="13">
                  <c:v>166.42021699999998</c:v>
                </c:pt>
                <c:pt idx="14">
                  <c:v>149.29546400000001</c:v>
                </c:pt>
                <c:pt idx="15">
                  <c:v>153.62417200000002</c:v>
                </c:pt>
                <c:pt idx="16">
                  <c:v>165.123107</c:v>
                </c:pt>
                <c:pt idx="17">
                  <c:v>150.02785600000001</c:v>
                </c:pt>
                <c:pt idx="18">
                  <c:v>155.27040677045284</c:v>
                </c:pt>
                <c:pt idx="19">
                  <c:v>149.42076699999998</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Q&amp;V'!$T$27</c:f>
              <c:strCache>
                <c:ptCount val="1"/>
                <c:pt idx="0">
                  <c:v>Value ($ Million)</c:v>
                </c:pt>
              </c:strCache>
            </c:strRef>
          </c:tx>
          <c:marker>
            <c:symbol val="none"/>
          </c:marker>
          <c:cat>
            <c:numRef>
              <c:f>'Nickel - Q&amp;V'!$R$28:$R$47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'Nickel - Q&amp;V'!$T$28:$T$47</c:f>
              <c:numCache>
                <c:formatCode>#,##0.00</c:formatCode>
                <c:ptCount val="20"/>
                <c:pt idx="0">
                  <c:v>3270.2078219999999</c:v>
                </c:pt>
                <c:pt idx="1">
                  <c:v>3490.7384699999998</c:v>
                </c:pt>
                <c:pt idx="2">
                  <c:v>5844.1734319999996</c:v>
                </c:pt>
                <c:pt idx="3">
                  <c:v>6901.8563919999997</c:v>
                </c:pt>
                <c:pt idx="4">
                  <c:v>4059.1557379999999</c:v>
                </c:pt>
                <c:pt idx="5">
                  <c:v>3352.9418449999998</c:v>
                </c:pt>
                <c:pt idx="6">
                  <c:v>4550.3347899999999</c:v>
                </c:pt>
                <c:pt idx="7">
                  <c:v>3951.580226</c:v>
                </c:pt>
                <c:pt idx="8">
                  <c:v>3801.1945485400001</c:v>
                </c:pt>
                <c:pt idx="9">
                  <c:v>3380.5595159999998</c:v>
                </c:pt>
                <c:pt idx="10">
                  <c:v>3582.4981079999998</c:v>
                </c:pt>
                <c:pt idx="11">
                  <c:v>2557.2144789999998</c:v>
                </c:pt>
                <c:pt idx="12">
                  <c:v>2209.8433130000003</c:v>
                </c:pt>
                <c:pt idx="13">
                  <c:v>2275.8438569999998</c:v>
                </c:pt>
                <c:pt idx="14">
                  <c:v>2609.3282049999998</c:v>
                </c:pt>
                <c:pt idx="15">
                  <c:v>3082.1894289999996</c:v>
                </c:pt>
                <c:pt idx="16">
                  <c:v>3341.235021</c:v>
                </c:pt>
                <c:pt idx="17">
                  <c:v>3807.35922265</c:v>
                </c:pt>
                <c:pt idx="18">
                  <c:v>5766.8162189999994</c:v>
                </c:pt>
                <c:pt idx="19">
                  <c:v>4697.4154349999999</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DEMIRS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2023
Total Value: $</c:v>
            </c:pt>
          </c:strCache>
        </c:strRef>
      </c:tx>
      <c:layout>
        <c:manualLayout>
          <c:xMode val="edge"/>
          <c:yMode val="edge"/>
          <c:x val="0.38150800558670533"/>
          <c:y val="1.8099478117560883E-2"/>
        </c:manualLayout>
      </c:layout>
      <c:overlay val="0"/>
    </c:title>
    <c:autoTitleDeleted val="0"/>
    <c:plotArea>
      <c:layout>
        <c:manualLayout>
          <c:layoutTarget val="inner"/>
          <c:xMode val="edge"/>
          <c:yMode val="edge"/>
          <c:x val="0.34836431369832438"/>
          <c:y val="0.33482993871055716"/>
          <c:w val="0.40707045050453738"/>
          <c:h val="0.61481255697714077"/>
        </c:manualLayout>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0"/>
              <c:layout>
                <c:manualLayout>
                  <c:x val="-0.17598271122391884"/>
                  <c:y val="-0.10509292475624657"/>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B57-893E-A395CA0E7FAC}"/>
                </c:ext>
              </c:extLst>
            </c:dLbl>
            <c:dLbl>
              <c:idx val="1"/>
              <c:layout>
                <c:manualLayout>
                  <c:x val="-4.2064732910956824E-2"/>
                  <c:y val="1.143391778062615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340830196811908"/>
                      <c:h val="9.2479377791603798E-2"/>
                    </c:manualLayout>
                  </c15:layout>
                </c:ext>
                <c:ext xmlns:c16="http://schemas.microsoft.com/office/drawing/2014/chart" uri="{C3380CC4-5D6E-409C-BE32-E72D297353CC}">
                  <c16:uniqueId val="{00000001-4473-4B57-893E-A395CA0E7FAC}"/>
                </c:ext>
              </c:extLst>
            </c:dLbl>
            <c:dLbl>
              <c:idx val="2"/>
              <c:layout>
                <c:manualLayout>
                  <c:x val="-0.11648900513177667"/>
                  <c:y val="0.1095883292152088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3-4B57-893E-A395CA0E7FAC}"/>
                </c:ext>
              </c:extLst>
            </c:dLbl>
            <c:dLbl>
              <c:idx val="3"/>
              <c:layout>
                <c:manualLayout>
                  <c:x val="-0.23527990086283204"/>
                  <c:y val="0.1169335423047350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3-4B57-893E-A395CA0E7FAC}"/>
                </c:ext>
              </c:extLst>
            </c:dLbl>
            <c:dLbl>
              <c:idx val="4"/>
              <c:layout>
                <c:manualLayout>
                  <c:x val="-0.17632792235281441"/>
                  <c:y val="7.646102699632439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23958867311674"/>
                      <c:h val="8.0935033097601125E-2"/>
                    </c:manualLayout>
                  </c15:layout>
                </c:ext>
                <c:ext xmlns:c16="http://schemas.microsoft.com/office/drawing/2014/chart" uri="{C3380CC4-5D6E-409C-BE32-E72D297353CC}">
                  <c16:uniqueId val="{00000004-4473-4B57-893E-A395CA0E7FAC}"/>
                </c:ext>
              </c:extLst>
            </c:dLbl>
            <c:dLbl>
              <c:idx val="5"/>
              <c:layout>
                <c:manualLayout>
                  <c:x val="-0.24565435918750625"/>
                  <c:y val="-1.87283760053028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21146327383563859"/>
                  <c:y val="-8.499960591174236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593352883675465"/>
                      <c:h val="6.5566056050742755E-2"/>
                    </c:manualLayout>
                  </c15:layout>
                </c:ext>
                <c:ext xmlns:c16="http://schemas.microsoft.com/office/drawing/2014/chart" uri="{C3380CC4-5D6E-409C-BE32-E72D297353CC}">
                  <c16:uniqueId val="{00000006-4473-4B57-893E-A395CA0E7FAC}"/>
                </c:ext>
              </c:extLst>
            </c:dLbl>
            <c:dLbl>
              <c:idx val="7"/>
              <c:layout>
                <c:manualLayout>
                  <c:x val="-7.8032804550457663E-2"/>
                  <c:y val="-8.15889406047383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454476181679636"/>
                      <c:h val="5.7958641425488136E-2"/>
                    </c:manualLayout>
                  </c15:layout>
                </c:ext>
                <c:ext xmlns:c16="http://schemas.microsoft.com/office/drawing/2014/chart" uri="{C3380CC4-5D6E-409C-BE32-E72D297353CC}">
                  <c16:uniqueId val="{00000007-4473-4B57-893E-A395CA0E7FAC}"/>
                </c:ext>
              </c:extLst>
            </c:dLbl>
            <c:dLbl>
              <c:idx val="8"/>
              <c:layout>
                <c:manualLayout>
                  <c:x val="4.638144988701734E-2"/>
                  <c:y val="-8.60551606068516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3-4B57-893E-A395CA0E7FAC}"/>
                </c:ext>
              </c:extLst>
            </c:dLbl>
            <c:dLbl>
              <c:idx val="9"/>
              <c:layout>
                <c:manualLayout>
                  <c:x val="0.21993041556937798"/>
                  <c:y val="-8.73218025850084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3-4B57-893E-A395CA0E7FAC}"/>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Korea, Republic Of (South)</c:v>
                </c:pt>
                <c:pt idx="3">
                  <c:v>Norway</c:v>
                </c:pt>
                <c:pt idx="4">
                  <c:v>Netherlands</c:v>
                </c:pt>
                <c:pt idx="5">
                  <c:v>Canada</c:v>
                </c:pt>
                <c:pt idx="6">
                  <c:v>Taiwan</c:v>
                </c:pt>
                <c:pt idx="7">
                  <c:v>Sweden</c:v>
                </c:pt>
                <c:pt idx="8">
                  <c:v>Singapore</c:v>
                </c:pt>
                <c:pt idx="9">
                  <c:v>United States</c:v>
                </c:pt>
                <c:pt idx="10">
                  <c:v>Other</c:v>
                </c:pt>
              </c:strCache>
            </c:strRef>
          </c:cat>
          <c:val>
            <c:numRef>
              <c:f>'Nickel - Exports'!$D$10:$D$20</c:f>
              <c:numCache>
                <c:formatCode>0.0%</c:formatCode>
                <c:ptCount val="11"/>
                <c:pt idx="0">
                  <c:v>0.31812069234463508</c:v>
                </c:pt>
                <c:pt idx="1">
                  <c:v>0.15735807940759852</c:v>
                </c:pt>
                <c:pt idx="2">
                  <c:v>0.12594909200058171</c:v>
                </c:pt>
                <c:pt idx="3">
                  <c:v>0.11539728335016294</c:v>
                </c:pt>
                <c:pt idx="4">
                  <c:v>9.5426933898526481E-2</c:v>
                </c:pt>
                <c:pt idx="5">
                  <c:v>7.0257914107737351E-2</c:v>
                </c:pt>
                <c:pt idx="6">
                  <c:v>3.5076283841182242E-2</c:v>
                </c:pt>
                <c:pt idx="7">
                  <c:v>2.8001534011993973E-2</c:v>
                </c:pt>
                <c:pt idx="8">
                  <c:v>1.3087963497130855E-2</c:v>
                </c:pt>
                <c:pt idx="9">
                  <c:v>1.0015955844046475E-2</c:v>
                </c:pt>
                <c:pt idx="10">
                  <c:v>3.1308267696404372E-2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v>Western Australia</c:v>
          </c:tx>
          <c:invertIfNegative val="0"/>
          <c:cat>
            <c:numRef>
              <c:f>'Nickel - WA vs Aus'!$A$7:$A$63</c:f>
              <c:numCache>
                <c:formatCode>General</c:formatCod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numCache>
            </c:numRef>
          </c:cat>
          <c:val>
            <c:numRef>
              <c:f>'Nickel - WA vs Aus'!$B$7:$B$63</c:f>
              <c:numCache>
                <c:formatCode>#,##0.00</c:formatCode>
                <c:ptCount val="57"/>
                <c:pt idx="0">
                  <c:v>0.29668549999999999</c:v>
                </c:pt>
                <c:pt idx="1">
                  <c:v>0.54866499999999996</c:v>
                </c:pt>
                <c:pt idx="2">
                  <c:v>7.877408</c:v>
                </c:pt>
                <c:pt idx="3">
                  <c:v>31.609000000000002</c:v>
                </c:pt>
                <c:pt idx="4">
                  <c:v>35.768999999999998</c:v>
                </c:pt>
                <c:pt idx="5">
                  <c:v>31.37</c:v>
                </c:pt>
                <c:pt idx="6">
                  <c:v>40.228000000000002</c:v>
                </c:pt>
                <c:pt idx="7">
                  <c:v>45.93</c:v>
                </c:pt>
                <c:pt idx="8">
                  <c:v>53.432000000000002</c:v>
                </c:pt>
                <c:pt idx="9">
                  <c:v>58.000999999999998</c:v>
                </c:pt>
                <c:pt idx="10">
                  <c:v>56.569000000000003</c:v>
                </c:pt>
                <c:pt idx="11">
                  <c:v>50.723999999999997</c:v>
                </c:pt>
                <c:pt idx="12">
                  <c:v>43.688000000000002</c:v>
                </c:pt>
                <c:pt idx="13">
                  <c:v>43.597000000000001</c:v>
                </c:pt>
                <c:pt idx="14">
                  <c:v>47.768999999999998</c:v>
                </c:pt>
                <c:pt idx="15">
                  <c:v>57.545999999999999</c:v>
                </c:pt>
                <c:pt idx="16">
                  <c:v>57.973999999999997</c:v>
                </c:pt>
                <c:pt idx="17">
                  <c:v>58.837000000000003</c:v>
                </c:pt>
                <c:pt idx="18">
                  <c:v>55.936999999999998</c:v>
                </c:pt>
                <c:pt idx="19">
                  <c:v>49.228999999999999</c:v>
                </c:pt>
                <c:pt idx="20">
                  <c:v>47.588999999999999</c:v>
                </c:pt>
                <c:pt idx="21">
                  <c:v>36.302</c:v>
                </c:pt>
                <c:pt idx="22">
                  <c:v>39</c:v>
                </c:pt>
                <c:pt idx="23">
                  <c:v>51</c:v>
                </c:pt>
                <c:pt idx="24">
                  <c:v>56</c:v>
                </c:pt>
                <c:pt idx="25">
                  <c:v>48</c:v>
                </c:pt>
                <c:pt idx="26">
                  <c:v>55.463000000000001</c:v>
                </c:pt>
                <c:pt idx="27">
                  <c:v>77</c:v>
                </c:pt>
                <c:pt idx="28">
                  <c:v>101.358</c:v>
                </c:pt>
                <c:pt idx="29">
                  <c:v>112.108</c:v>
                </c:pt>
                <c:pt idx="30">
                  <c:v>122.991</c:v>
                </c:pt>
                <c:pt idx="31">
                  <c:v>143.08199999999999</c:v>
                </c:pt>
                <c:pt idx="32">
                  <c:v>122.79599999999999</c:v>
                </c:pt>
                <c:pt idx="33">
                  <c:v>154.07399999999998</c:v>
                </c:pt>
                <c:pt idx="34">
                  <c:v>181.16899999999998</c:v>
                </c:pt>
                <c:pt idx="35">
                  <c:v>183.00200000000001</c:v>
                </c:pt>
                <c:pt idx="36">
                  <c:v>190.20999999999998</c:v>
                </c:pt>
                <c:pt idx="37">
                  <c:v>174.70099999999999</c:v>
                </c:pt>
                <c:pt idx="38">
                  <c:v>188.36199999999999</c:v>
                </c:pt>
                <c:pt idx="39">
                  <c:v>175.08699999999999</c:v>
                </c:pt>
                <c:pt idx="40">
                  <c:v>162.49200000000002</c:v>
                </c:pt>
                <c:pt idx="41">
                  <c:v>187.791</c:v>
                </c:pt>
                <c:pt idx="42">
                  <c:v>171.178</c:v>
                </c:pt>
                <c:pt idx="43">
                  <c:v>193.25899999999999</c:v>
                </c:pt>
                <c:pt idx="44">
                  <c:v>185.13</c:v>
                </c:pt>
                <c:pt idx="45">
                  <c:v>230.76710035740911</c:v>
                </c:pt>
                <c:pt idx="46">
                  <c:v>270.74436400000002</c:v>
                </c:pt>
                <c:pt idx="47">
                  <c:v>218.56311600000001</c:v>
                </c:pt>
                <c:pt idx="48">
                  <c:v>173.97419100000002</c:v>
                </c:pt>
                <c:pt idx="49">
                  <c:v>171.60430600000001</c:v>
                </c:pt>
                <c:pt idx="50">
                  <c:v>166.42021699999998</c:v>
                </c:pt>
                <c:pt idx="51">
                  <c:v>149.29546400000001</c:v>
                </c:pt>
                <c:pt idx="52">
                  <c:v>153.62417200000002</c:v>
                </c:pt>
                <c:pt idx="53">
                  <c:v>165.123107</c:v>
                </c:pt>
                <c:pt idx="54">
                  <c:v>150.02785600000001</c:v>
                </c:pt>
                <c:pt idx="55">
                  <c:v>155.27040677045284</c:v>
                </c:pt>
                <c:pt idx="56">
                  <c:v>149.42076699999998</c:v>
                </c:pt>
              </c:numCache>
            </c:numRef>
          </c:val>
          <c:extLst>
            <c:ext xmlns:c16="http://schemas.microsoft.com/office/drawing/2014/chart" uri="{C3380CC4-5D6E-409C-BE32-E72D297353CC}">
              <c16:uniqueId val="{00000000-7D18-4BA6-8670-14DB6B123C3D}"/>
            </c:ext>
          </c:extLst>
        </c:ser>
        <c:ser>
          <c:idx val="1"/>
          <c:order val="1"/>
          <c:tx>
            <c:v>Rest of Australia</c:v>
          </c:tx>
          <c:invertIfNegative val="0"/>
          <c:cat>
            <c:numRef>
              <c:f>'Nickel - WA vs Aus'!$A$7:$A$63</c:f>
              <c:numCache>
                <c:formatCode>General</c:formatCod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numCache>
            </c:numRef>
          </c:cat>
          <c:val>
            <c:numRef>
              <c:f>'Nickel - WA vs Aus'!$C$7:$C$63</c:f>
              <c:numCache>
                <c:formatCode>#,##0.00</c:formatCode>
                <c:ptCount val="57"/>
                <c:pt idx="0">
                  <c:v>0</c:v>
                </c:pt>
                <c:pt idx="1">
                  <c:v>0</c:v>
                </c:pt>
                <c:pt idx="2">
                  <c:v>0</c:v>
                </c:pt>
                <c:pt idx="3">
                  <c:v>0</c:v>
                </c:pt>
                <c:pt idx="4">
                  <c:v>0</c:v>
                </c:pt>
                <c:pt idx="5">
                  <c:v>0</c:v>
                </c:pt>
                <c:pt idx="6">
                  <c:v>0</c:v>
                </c:pt>
                <c:pt idx="7">
                  <c:v>1.897</c:v>
                </c:pt>
                <c:pt idx="8">
                  <c:v>22.393000000000001</c:v>
                </c:pt>
                <c:pt idx="9">
                  <c:v>24.530999999999999</c:v>
                </c:pt>
                <c:pt idx="10">
                  <c:v>29.298999999999999</c:v>
                </c:pt>
                <c:pt idx="11">
                  <c:v>31.635000000000002</c:v>
                </c:pt>
                <c:pt idx="12">
                  <c:v>26.021000000000001</c:v>
                </c:pt>
                <c:pt idx="13">
                  <c:v>30.725999999999999</c:v>
                </c:pt>
                <c:pt idx="14">
                  <c:v>26.585999999999999</c:v>
                </c:pt>
                <c:pt idx="15">
                  <c:v>30.006</c:v>
                </c:pt>
                <c:pt idx="16">
                  <c:v>18.651</c:v>
                </c:pt>
                <c:pt idx="17">
                  <c:v>18.085999999999999</c:v>
                </c:pt>
                <c:pt idx="18">
                  <c:v>29.82</c:v>
                </c:pt>
                <c:pt idx="19">
                  <c:v>27.51</c:v>
                </c:pt>
                <c:pt idx="20">
                  <c:v>26.965</c:v>
                </c:pt>
                <c:pt idx="21">
                  <c:v>26.337</c:v>
                </c:pt>
                <c:pt idx="22">
                  <c:v>26</c:v>
                </c:pt>
                <c:pt idx="23">
                  <c:v>16</c:v>
                </c:pt>
                <c:pt idx="24">
                  <c:v>13</c:v>
                </c:pt>
                <c:pt idx="25">
                  <c:v>10</c:v>
                </c:pt>
                <c:pt idx="26">
                  <c:v>14.537000000000001</c:v>
                </c:pt>
                <c:pt idx="27">
                  <c:v>2</c:v>
                </c:pt>
                <c:pt idx="28">
                  <c:v>0.64200000000000002</c:v>
                </c:pt>
                <c:pt idx="29">
                  <c:v>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1.653</c:v>
                </c:pt>
                <c:pt idx="56">
                  <c:v>3.6059999999999999</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date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Offset val="100"/>
        <c:baseTimeUnit val="days"/>
        <c:majorUnit val="4"/>
        <c:majorTimeUnit val="days"/>
      </c:date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cat>
            <c:numRef>
              <c:f>'Nickel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'Nickel - WA vs Aus'!$Q$8:$Q$17</c:f>
              <c:numCache>
                <c:formatCode>0.00</c:formatCode>
                <c:ptCount val="10"/>
                <c:pt idx="0">
                  <c:v>218.56311600000001</c:v>
                </c:pt>
                <c:pt idx="1">
                  <c:v>173.97419100000002</c:v>
                </c:pt>
                <c:pt idx="2">
                  <c:v>171.60430600000001</c:v>
                </c:pt>
                <c:pt idx="3">
                  <c:v>166.42021699999998</c:v>
                </c:pt>
                <c:pt idx="4">
                  <c:v>149.29546400000001</c:v>
                </c:pt>
                <c:pt idx="5">
                  <c:v>153.62417200000002</c:v>
                </c:pt>
                <c:pt idx="6">
                  <c:v>165.123107</c:v>
                </c:pt>
                <c:pt idx="7">
                  <c:v>150.02785600000001</c:v>
                </c:pt>
                <c:pt idx="8">
                  <c:v>155.27040677045284</c:v>
                </c:pt>
                <c:pt idx="9">
                  <c:v>149.42076699999998</c:v>
                </c:pt>
              </c:numCache>
            </c:numRef>
          </c:val>
          <c:smooth val="0"/>
          <c:extLst>
            <c:ext xmlns:c16="http://schemas.microsoft.com/office/drawing/2014/chart" uri="{C3380CC4-5D6E-409C-BE32-E72D297353CC}">
              <c16:uniqueId val="{00000000-6296-48AA-B69E-121F3714B3F2}"/>
            </c:ext>
          </c:extLst>
        </c:ser>
        <c:ser>
          <c:idx val="1"/>
          <c:order val="1"/>
          <c:tx>
            <c:v>Rest of Australia</c:v>
          </c:tx>
          <c:cat>
            <c:numRef>
              <c:f>'Nickel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'Nickel - WA vs Aus'!$R$8:$R$17</c:f>
              <c:numCache>
                <c:formatCode>0.00</c:formatCode>
                <c:ptCount val="10"/>
                <c:pt idx="0">
                  <c:v>0</c:v>
                </c:pt>
                <c:pt idx="1">
                  <c:v>0</c:v>
                </c:pt>
                <c:pt idx="2">
                  <c:v>0</c:v>
                </c:pt>
                <c:pt idx="3">
                  <c:v>0</c:v>
                </c:pt>
                <c:pt idx="4">
                  <c:v>0</c:v>
                </c:pt>
                <c:pt idx="5">
                  <c:v>0</c:v>
                </c:pt>
                <c:pt idx="6">
                  <c:v>0</c:v>
                </c:pt>
                <c:pt idx="7">
                  <c:v>0</c:v>
                </c:pt>
                <c:pt idx="8">
                  <c:v>1.653</c:v>
                </c:pt>
                <c:pt idx="9">
                  <c:v>3.6059999999999999</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3124417488165292E-2"/>
              <c:y val="0.4553529453194114"/>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DEM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Q&amp;V'!$Q$7:$S$7</c:f>
          <c:strCache>
            <c:ptCount val="3"/>
            <c:pt idx="0">
              <c:v>Silver Quantity And Value By Quarter</c:v>
            </c:pt>
          </c:strCache>
        </c:strRef>
      </c:tx>
      <c:layout>
        <c:manualLayout>
          <c:xMode val="edge"/>
          <c:yMode val="edge"/>
          <c:x val="0.19665031573470065"/>
          <c:y val="2.163815168806791E-2"/>
        </c:manualLayout>
      </c:layout>
      <c:overlay val="0"/>
    </c:title>
    <c:autoTitleDeleted val="0"/>
    <c:plotArea>
      <c:layout/>
      <c:barChart>
        <c:barDir val="col"/>
        <c:grouping val="clustered"/>
        <c:varyColors val="0"/>
        <c:ser>
          <c:idx val="0"/>
          <c:order val="0"/>
          <c:tx>
            <c:v>Quantity</c:v>
          </c:tx>
          <c:invertIfNegative val="0"/>
          <c:cat>
            <c:numRef>
              <c:f>'Other Minerals - Q&amp;V'!$Q$10:$Q$18</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'Other Minerals - Q&amp;V'!$R$10:$R$18</c:f>
              <c:numCache>
                <c:formatCode>0.00</c:formatCode>
                <c:ptCount val="9"/>
                <c:pt idx="0">
                  <c:v>46.315750622626005</c:v>
                </c:pt>
                <c:pt idx="1">
                  <c:v>38.749103270144204</c:v>
                </c:pt>
                <c:pt idx="2">
                  <c:v>32.893021558383367</c:v>
                </c:pt>
                <c:pt idx="3">
                  <c:v>27.698218456580072</c:v>
                </c:pt>
                <c:pt idx="4">
                  <c:v>30.281053938261522</c:v>
                </c:pt>
                <c:pt idx="5">
                  <c:v>24.687312231016456</c:v>
                </c:pt>
                <c:pt idx="6">
                  <c:v>32.832366015102671</c:v>
                </c:pt>
                <c:pt idx="7">
                  <c:v>31.147456276401329</c:v>
                </c:pt>
                <c:pt idx="8">
                  <c:v>20.942340252123518</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v>Value</c:v>
          </c:tx>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'Other Minerals - Q&amp;V'!$S$10:$S$18</c:f>
              <c:numCache>
                <c:formatCode>0.00</c:formatCode>
                <c:ptCount val="9"/>
                <c:pt idx="0">
                  <c:v>46.427197999999997</c:v>
                </c:pt>
                <c:pt idx="1">
                  <c:v>41.464129</c:v>
                </c:pt>
                <c:pt idx="2">
                  <c:v>30.408784999999998</c:v>
                </c:pt>
                <c:pt idx="3">
                  <c:v>25.890908</c:v>
                </c:pt>
                <c:pt idx="4">
                  <c:v>32.214169999999996</c:v>
                </c:pt>
                <c:pt idx="5">
                  <c:v>26.304580999999999</c:v>
                </c:pt>
                <c:pt idx="6">
                  <c:v>36.123833999999995</c:v>
                </c:pt>
                <c:pt idx="7">
                  <c:v>35.056601000000001</c:v>
                </c:pt>
                <c:pt idx="8">
                  <c:v>23.662554999999998</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DEMIRS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'Alumina and Bauxite - Q&amp;V'!$T$11:$T$19</c:f>
              <c:numCache>
                <c:formatCode>#,##0.00</c:formatCode>
                <c:ptCount val="9"/>
                <c:pt idx="0">
                  <c:v>3.7870356300000001</c:v>
                </c:pt>
                <c:pt idx="1">
                  <c:v>3.2177186400000002</c:v>
                </c:pt>
                <c:pt idx="2">
                  <c:v>3.5455891400000001</c:v>
                </c:pt>
                <c:pt idx="3">
                  <c:v>3.3260595339999997</c:v>
                </c:pt>
                <c:pt idx="4">
                  <c:v>3.3728736399999995</c:v>
                </c:pt>
                <c:pt idx="5">
                  <c:v>3.1040739999999998</c:v>
                </c:pt>
                <c:pt idx="6">
                  <c:v>3.23756982</c:v>
                </c:pt>
                <c:pt idx="7">
                  <c:v>3.1425676399999993</c:v>
                </c:pt>
                <c:pt idx="8">
                  <c:v>3.27865027</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v>Value</c:v>
          </c:tx>
          <c:spPr>
            <a:ln w="50800"/>
          </c:spPr>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'Alumina and Bauxite - Q&amp;V'!$U$11:$U$19</c:f>
              <c:numCache>
                <c:formatCode>#,##0.00</c:formatCode>
                <c:ptCount val="9"/>
                <c:pt idx="0">
                  <c:v>1853.0923579999999</c:v>
                </c:pt>
                <c:pt idx="1">
                  <c:v>1563.650234</c:v>
                </c:pt>
                <c:pt idx="2">
                  <c:v>1905.4720169999998</c:v>
                </c:pt>
                <c:pt idx="3">
                  <c:v>1676.1088769999999</c:v>
                </c:pt>
                <c:pt idx="4">
                  <c:v>1715.681079</c:v>
                </c:pt>
                <c:pt idx="5">
                  <c:v>1592.013465</c:v>
                </c:pt>
                <c:pt idx="6">
                  <c:v>1700.0588969999999</c:v>
                </c:pt>
                <c:pt idx="7">
                  <c:v>1605.6851019999999</c:v>
                </c:pt>
                <c:pt idx="8">
                  <c:v>1683.7073909999999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DEMIRS</a:t>
                </a:r>
              </a:p>
            </c:rich>
          </c:tx>
          <c:layout>
            <c:manualLayout>
              <c:xMode val="edge"/>
              <c:yMode val="edge"/>
              <c:x val="1.2497141312288814E-2"/>
              <c:y val="0.94716822365917297"/>
            </c:manualLayout>
          </c:layout>
          <c:overlay val="0"/>
        </c:title>
        <c:numFmt formatCode="mmm\-yy" sourceLinked="1"/>
        <c:majorTickMark val="out"/>
        <c:minorTickMark val="none"/>
        <c:tickLblPos val="nextTo"/>
        <c:txPr>
          <a:bodyPr rot="-2700000"/>
          <a:lstStyle/>
          <a:p>
            <a:pPr>
              <a:defRPr/>
            </a:pPr>
            <a:endParaRPr lang="en-US"/>
          </a:p>
        </c:txPr>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ax val="5"/>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Q&amp;V'!$Q$33:$S$33</c:f>
          <c:strCache>
            <c:ptCount val="3"/>
            <c:pt idx="0">
              <c:v>Silver Quantity and Value by Calendar Year</c:v>
            </c:pt>
          </c:strCache>
        </c:strRef>
      </c:tx>
      <c:overlay val="0"/>
    </c:title>
    <c:autoTitleDeleted val="0"/>
    <c:plotArea>
      <c:layout/>
      <c:barChart>
        <c:barDir val="col"/>
        <c:grouping val="clustered"/>
        <c:varyColors val="0"/>
        <c:ser>
          <c:idx val="0"/>
          <c:order val="0"/>
          <c:tx>
            <c:strRef>
              <c:f>'Other Minerals - Q&amp;V'!$R$34</c:f>
              <c:strCache>
                <c:ptCount val="1"/>
                <c:pt idx="0">
                  <c:v>Quantity (t)</c:v>
                </c:pt>
              </c:strCache>
            </c:strRef>
          </c:tx>
          <c:invertIfNegative val="0"/>
          <c:cat>
            <c:numRef>
              <c:f>'Other Minerals - Q&amp;V'!$Q$35:$Q$54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'Other Minerals - Q&amp;V'!$R$35:$R$54</c:f>
              <c:numCache>
                <c:formatCode>#,##0.00</c:formatCode>
                <c:ptCount val="20"/>
                <c:pt idx="0">
                  <c:v>121.53999999999999</c:v>
                </c:pt>
                <c:pt idx="1">
                  <c:v>127.52000000000001</c:v>
                </c:pt>
                <c:pt idx="2">
                  <c:v>103.02000000000001</c:v>
                </c:pt>
                <c:pt idx="3">
                  <c:v>120.33</c:v>
                </c:pt>
                <c:pt idx="4">
                  <c:v>88.06</c:v>
                </c:pt>
                <c:pt idx="5">
                  <c:v>124.14</c:v>
                </c:pt>
                <c:pt idx="6">
                  <c:v>112.99000000000001</c:v>
                </c:pt>
                <c:pt idx="7">
                  <c:v>91.47</c:v>
                </c:pt>
                <c:pt idx="8">
                  <c:v>134.67000000000002</c:v>
                </c:pt>
                <c:pt idx="9">
                  <c:v>126.34974535751053</c:v>
                </c:pt>
                <c:pt idx="10">
                  <c:v>146.42199262624757</c:v>
                </c:pt>
                <c:pt idx="11">
                  <c:v>149.89510942500203</c:v>
                </c:pt>
                <c:pt idx="12">
                  <c:v>158.3754384095254</c:v>
                </c:pt>
                <c:pt idx="13">
                  <c:v>138.2463860524181</c:v>
                </c:pt>
                <c:pt idx="14">
                  <c:v>143.84184143682091</c:v>
                </c:pt>
                <c:pt idx="15">
                  <c:v>130.58794712707569</c:v>
                </c:pt>
                <c:pt idx="16">
                  <c:v>127.41857493792818</c:v>
                </c:pt>
                <c:pt idx="17">
                  <c:v>155.38480416745773</c:v>
                </c:pt>
                <c:pt idx="18">
                  <c:v>129.62139722336917</c:v>
                </c:pt>
                <c:pt idx="19">
                  <c:v>109.60947477464397</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'Other Minerals - Q&amp;V'!$S$34</c:f>
              <c:strCache>
                <c:ptCount val="1"/>
                <c:pt idx="0">
                  <c:v>Value ($ Million)</c:v>
                </c:pt>
              </c:strCache>
            </c:strRef>
          </c:tx>
          <c:marker>
            <c:symbol val="none"/>
          </c:marker>
          <c:cat>
            <c:numRef>
              <c:f>'Other Minerals - Q&amp;V'!$Q$35:$Q$54</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'Other Minerals - Q&amp;V'!$S$35:$S$54</c:f>
              <c:numCache>
                <c:formatCode>#,##0.00</c:formatCode>
                <c:ptCount val="20"/>
                <c:pt idx="0">
                  <c:v>24.654912799999998</c:v>
                </c:pt>
                <c:pt idx="1">
                  <c:v>39.103266360000006</c:v>
                </c:pt>
                <c:pt idx="2">
                  <c:v>49.870901419999996</c:v>
                </c:pt>
                <c:pt idx="3">
                  <c:v>63.222478219999999</c:v>
                </c:pt>
                <c:pt idx="4">
                  <c:v>51.411615130000001</c:v>
                </c:pt>
                <c:pt idx="5">
                  <c:v>74.044649460000002</c:v>
                </c:pt>
                <c:pt idx="6">
                  <c:v>80.654205189999999</c:v>
                </c:pt>
                <c:pt idx="7">
                  <c:v>96.223977849999997</c:v>
                </c:pt>
                <c:pt idx="8">
                  <c:v>120.73252181000001</c:v>
                </c:pt>
                <c:pt idx="9">
                  <c:v>88.37571299999999</c:v>
                </c:pt>
                <c:pt idx="10">
                  <c:v>94.039155999999991</c:v>
                </c:pt>
                <c:pt idx="11">
                  <c:v>96.075521999999992</c:v>
                </c:pt>
                <c:pt idx="12">
                  <c:v>111.61316399999998</c:v>
                </c:pt>
                <c:pt idx="13">
                  <c:v>92.242777999999987</c:v>
                </c:pt>
                <c:pt idx="14">
                  <c:v>94.14244298108926</c:v>
                </c:pt>
                <c:pt idx="15">
                  <c:v>96.195312999999985</c:v>
                </c:pt>
                <c:pt idx="16">
                  <c:v>123.66181400000001</c:v>
                </c:pt>
                <c:pt idx="17">
                  <c:v>161.068904</c:v>
                </c:pt>
                <c:pt idx="18">
                  <c:v>129.97799199999997</c:v>
                </c:pt>
                <c:pt idx="19">
                  <c:v>121.147571</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DEMIRS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baseline="0"/>
              <a:t>Crude Oil </a:t>
            </a:r>
          </a:p>
          <a:p>
            <a:pPr>
              <a:defRPr/>
            </a:pPr>
            <a:r>
              <a:rPr lang="en-US" sz="1100"/>
              <a:t>Annual Prices, Historic</a:t>
            </a:r>
            <a:endParaRPr lang="en-AU" sz="1100"/>
          </a:p>
        </c:rich>
      </c:tx>
      <c:layout>
        <c:manualLayout>
          <c:xMode val="edge"/>
          <c:yMode val="edge"/>
          <c:x val="0.43511067795065245"/>
          <c:y val="1.8691697313520272E-2"/>
        </c:manualLayout>
      </c:layout>
      <c:overlay val="0"/>
    </c:title>
    <c:autoTitleDeleted val="0"/>
    <c:plotArea>
      <c:layout>
        <c:manualLayout>
          <c:layoutTarget val="inner"/>
          <c:xMode val="edge"/>
          <c:yMode val="edge"/>
          <c:x val="9.040186695482913E-2"/>
          <c:y val="0.2197983918952012"/>
          <c:w val="0.8581355091007008"/>
          <c:h val="0.57086118172118794"/>
        </c:manualLayout>
      </c:layout>
      <c:lineChart>
        <c:grouping val="standard"/>
        <c:varyColors val="0"/>
        <c:ser>
          <c:idx val="0"/>
          <c:order val="0"/>
          <c:tx>
            <c:strRef>
              <c:f>'Petroleum - Oil - Prices'!$H$7</c:f>
              <c:strCache>
                <c:ptCount val="1"/>
                <c:pt idx="0">
                  <c:v>Brent Crude</c:v>
                </c:pt>
              </c:strCache>
            </c:strRef>
          </c:tx>
          <c:marker>
            <c:symbol val="none"/>
          </c:marker>
          <c:cat>
            <c:numRef>
              <c:f>'Petroleum - Oil - Prices'!$G$9:$G$40</c:f>
              <c:numCache>
                <c:formatCode>General</c:formatCode>
                <c:ptCount val="32"/>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numCache>
            </c:numRef>
          </c:cat>
          <c:val>
            <c:numRef>
              <c:f>'Petroleum - Oil - Prices'!$H$9:$H$40</c:f>
              <c:numCache>
                <c:formatCode>#,##0.00</c:formatCode>
                <c:ptCount val="32"/>
                <c:pt idx="0">
                  <c:v>19.414383829249527</c:v>
                </c:pt>
                <c:pt idx="1">
                  <c:v>16.998026110494862</c:v>
                </c:pt>
                <c:pt idx="2">
                  <c:v>15.826028083369067</c:v>
                </c:pt>
                <c:pt idx="3">
                  <c:v>17.05438198947342</c:v>
                </c:pt>
                <c:pt idx="4">
                  <c:v>20.452974563455992</c:v>
                </c:pt>
                <c:pt idx="5">
                  <c:v>19.18839520260504</c:v>
                </c:pt>
                <c:pt idx="6">
                  <c:v>12.71672321013371</c:v>
                </c:pt>
                <c:pt idx="7">
                  <c:v>17.810450577587815</c:v>
                </c:pt>
                <c:pt idx="8">
                  <c:v>28.323333333333334</c:v>
                </c:pt>
                <c:pt idx="9">
                  <c:v>23.98</c:v>
                </c:pt>
                <c:pt idx="10">
                  <c:v>24.974166666666665</c:v>
                </c:pt>
                <c:pt idx="11">
                  <c:v>28.852499999999996</c:v>
                </c:pt>
                <c:pt idx="12">
                  <c:v>39.348333333333336</c:v>
                </c:pt>
                <c:pt idx="13">
                  <c:v>54.434999999999995</c:v>
                </c:pt>
                <c:pt idx="14">
                  <c:v>65.370833333333337</c:v>
                </c:pt>
                <c:pt idx="15">
                  <c:v>72.697500000000005</c:v>
                </c:pt>
                <c:pt idx="16">
                  <c:v>97.639166666666654</c:v>
                </c:pt>
                <c:pt idx="17">
                  <c:v>61.872499999999995</c:v>
                </c:pt>
                <c:pt idx="18">
                  <c:v>79.385833333333323</c:v>
                </c:pt>
                <c:pt idx="19">
                  <c:v>110.57833333333333</c:v>
                </c:pt>
                <c:pt idx="20">
                  <c:v>111.93083333333334</c:v>
                </c:pt>
                <c:pt idx="21">
                  <c:v>108.85083333333334</c:v>
                </c:pt>
                <c:pt idx="22">
                  <c:v>98.958333333333329</c:v>
                </c:pt>
                <c:pt idx="23">
                  <c:v>52.381666666666682</c:v>
                </c:pt>
                <c:pt idx="24">
                  <c:v>44.064166666666665</c:v>
                </c:pt>
                <c:pt idx="25">
                  <c:v>54.392500000000005</c:v>
                </c:pt>
                <c:pt idx="26">
                  <c:v>71.08</c:v>
                </c:pt>
                <c:pt idx="27">
                  <c:v>64.031666666666666</c:v>
                </c:pt>
                <c:pt idx="28">
                  <c:v>42.299166666666672</c:v>
                </c:pt>
                <c:pt idx="29">
                  <c:v>70.443333333333328</c:v>
                </c:pt>
                <c:pt idx="30">
                  <c:v>99.82416666666667</c:v>
                </c:pt>
                <c:pt idx="31">
                  <c:v>82.61666666666666</c:v>
                </c:pt>
              </c:numCache>
            </c:numRef>
          </c:val>
          <c:smooth val="0"/>
          <c:extLst>
            <c:ext xmlns:c16="http://schemas.microsoft.com/office/drawing/2014/chart" uri="{C3380CC4-5D6E-409C-BE32-E72D297353CC}">
              <c16:uniqueId val="{00000000-C8DB-401B-975E-60C6D5C74ECA}"/>
            </c:ext>
          </c:extLst>
        </c:ser>
        <c:ser>
          <c:idx val="1"/>
          <c:order val="1"/>
          <c:tx>
            <c:strRef>
              <c:f>'Petroleum - Oil - Prices'!$I$7</c:f>
              <c:strCache>
                <c:ptCount val="1"/>
                <c:pt idx="0">
                  <c:v>Tapis Crude</c:v>
                </c:pt>
              </c:strCache>
            </c:strRef>
          </c:tx>
          <c:marker>
            <c:symbol val="none"/>
          </c:marker>
          <c:cat>
            <c:numRef>
              <c:f>'Petroleum - Oil - Prices'!$G$9:$G$40</c:f>
              <c:numCache>
                <c:formatCode>General</c:formatCode>
                <c:ptCount val="32"/>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numCache>
            </c:numRef>
          </c:cat>
          <c:val>
            <c:numRef>
              <c:f>'Petroleum - Oil - Prices'!$I$9:$I$40</c:f>
              <c:numCache>
                <c:formatCode>#,##0.00</c:formatCode>
                <c:ptCount val="32"/>
                <c:pt idx="0">
                  <c:v>20.770549220968217</c:v>
                </c:pt>
                <c:pt idx="1">
                  <c:v>18.889847345760234</c:v>
                </c:pt>
                <c:pt idx="2">
                  <c:v>17.168807246061672</c:v>
                </c:pt>
                <c:pt idx="3">
                  <c:v>18.319675263796611</c:v>
                </c:pt>
                <c:pt idx="4">
                  <c:v>21.976414468303531</c:v>
                </c:pt>
                <c:pt idx="5">
                  <c:v>21.110842413998334</c:v>
                </c:pt>
                <c:pt idx="6">
                  <c:v>13.869728142884306</c:v>
                </c:pt>
                <c:pt idx="7">
                  <c:v>18.856916540694453</c:v>
                </c:pt>
                <c:pt idx="8">
                  <c:v>29.802499999999998</c:v>
                </c:pt>
                <c:pt idx="9">
                  <c:v>25.319166666666664</c:v>
                </c:pt>
                <c:pt idx="10">
                  <c:v>25.678333333333331</c:v>
                </c:pt>
                <c:pt idx="11">
                  <c:v>30.077499999999997</c:v>
                </c:pt>
                <c:pt idx="12">
                  <c:v>40.995000000000005</c:v>
                </c:pt>
                <c:pt idx="13">
                  <c:v>57.789166666666667</c:v>
                </c:pt>
                <c:pt idx="14">
                  <c:v>69.603333333333339</c:v>
                </c:pt>
                <c:pt idx="15">
                  <c:v>78.184999999999988</c:v>
                </c:pt>
                <c:pt idx="16">
                  <c:v>103.00583333333334</c:v>
                </c:pt>
                <c:pt idx="17">
                  <c:v>65.173333333333332</c:v>
                </c:pt>
                <c:pt idx="18">
                  <c:v>84.006666666666675</c:v>
                </c:pt>
                <c:pt idx="19">
                  <c:v>117.91666666666667</c:v>
                </c:pt>
                <c:pt idx="20">
                  <c:v>118.13499999999999</c:v>
                </c:pt>
                <c:pt idx="21">
                  <c:v>115.15666666666665</c:v>
                </c:pt>
                <c:pt idx="22">
                  <c:v>103.81749999999998</c:v>
                </c:pt>
                <c:pt idx="23">
                  <c:v>54.357500000000009</c:v>
                </c:pt>
                <c:pt idx="24">
                  <c:v>45.410833333333329</c:v>
                </c:pt>
                <c:pt idx="25">
                  <c:v>55.634166666666665</c:v>
                </c:pt>
                <c:pt idx="26">
                  <c:v>72.339999999999989</c:v>
                </c:pt>
                <c:pt idx="27">
                  <c:v>66.423333333333332</c:v>
                </c:pt>
                <c:pt idx="28">
                  <c:v>44.314166666666665</c:v>
                </c:pt>
                <c:pt idx="29">
                  <c:v>71.752499999999998</c:v>
                </c:pt>
                <c:pt idx="30">
                  <c:v>107.45166666666665</c:v>
                </c:pt>
                <c:pt idx="31">
                  <c:v>86.558333333333337</c:v>
                </c:pt>
              </c:numCache>
            </c:numRef>
          </c:val>
          <c:smooth val="0"/>
          <c:extLst>
            <c:ext xmlns:c16="http://schemas.microsoft.com/office/drawing/2014/chart" uri="{C3380CC4-5D6E-409C-BE32-E72D297353CC}">
              <c16:uniqueId val="{00000000-BC50-4F80-BDEA-FFECACB2B55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LblSkip val="1"/>
        <c:tickMarkSkip val="1"/>
        <c:noMultiLvlLbl val="1"/>
      </c:catAx>
      <c:valAx>
        <c:axId val="130790144"/>
        <c:scaling>
          <c:orientation val="minMax"/>
        </c:scaling>
        <c:delete val="0"/>
        <c:axPos val="l"/>
        <c:majorGridlines/>
        <c:title>
          <c:tx>
            <c:rich>
              <a:bodyPr rot="-5400000" vert="horz"/>
              <a:lstStyle/>
              <a:p>
                <a:pPr>
                  <a:defRPr/>
                </a:pPr>
                <a:r>
                  <a:rPr lang="en-AU"/>
                  <a:t>US$</a:t>
                </a:r>
                <a:r>
                  <a:rPr lang="en-AU" baseline="0"/>
                  <a:t> per barrel</a:t>
                </a:r>
                <a:endParaRPr lang="en-AU"/>
              </a:p>
            </c:rich>
          </c:tx>
          <c:overlay val="0"/>
        </c:title>
        <c:numFmt formatCode="#,##0" sourceLinked="0"/>
        <c:majorTickMark val="out"/>
        <c:minorTickMark val="none"/>
        <c:tickLblPos val="nextTo"/>
        <c:spPr>
          <a:ln/>
        </c:spPr>
        <c:crossAx val="130783872"/>
        <c:crosses val="autoZero"/>
        <c:crossBetween val="midCat"/>
      </c:valAx>
    </c:plotArea>
    <c:legend>
      <c:legendPos val="t"/>
      <c:layout>
        <c:manualLayout>
          <c:xMode val="edge"/>
          <c:yMode val="edge"/>
          <c:x val="0.30542564387766236"/>
          <c:y val="0.14148433901838198"/>
          <c:w val="0.47697640611195402"/>
          <c:h val="5.4548771285084806E-2"/>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Crude</a:t>
            </a:r>
            <a:r>
              <a:rPr lang="en-AU" sz="1800" baseline="0"/>
              <a:t> Oil</a:t>
            </a:r>
          </a:p>
          <a:p>
            <a:pPr>
              <a:defRPr/>
            </a:pPr>
            <a:r>
              <a:rPr lang="en-AU" sz="1100"/>
              <a:t>Monthly Prices, Last 5 Years</a:t>
            </a:r>
          </a:p>
        </c:rich>
      </c:tx>
      <c:overlay val="0"/>
    </c:title>
    <c:autoTitleDeleted val="0"/>
    <c:plotArea>
      <c:layout/>
      <c:lineChart>
        <c:grouping val="standard"/>
        <c:varyColors val="0"/>
        <c:ser>
          <c:idx val="0"/>
          <c:order val="0"/>
          <c:tx>
            <c:strRef>
              <c:f>'Petroleum - Oil - Prices'!$B$7</c:f>
              <c:strCache>
                <c:ptCount val="1"/>
                <c:pt idx="0">
                  <c:v>Brent Crude</c:v>
                </c:pt>
              </c:strCache>
            </c:strRef>
          </c:tx>
          <c:marker>
            <c:symbol val="none"/>
          </c:marker>
          <c:cat>
            <c:numRef>
              <c:f>'Petroleum - Oil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'Petroleum - Oil - Prices'!$B$9:$B$69</c:f>
              <c:numCache>
                <c:formatCode>#,##0.00</c:formatCode>
                <c:ptCount val="61"/>
                <c:pt idx="0">
                  <c:v>56.46</c:v>
                </c:pt>
                <c:pt idx="1">
                  <c:v>59.27</c:v>
                </c:pt>
                <c:pt idx="2">
                  <c:v>64.13</c:v>
                </c:pt>
                <c:pt idx="3">
                  <c:v>66.41</c:v>
                </c:pt>
                <c:pt idx="4">
                  <c:v>71.2</c:v>
                </c:pt>
                <c:pt idx="5">
                  <c:v>70.53</c:v>
                </c:pt>
                <c:pt idx="6">
                  <c:v>70.53</c:v>
                </c:pt>
                <c:pt idx="7">
                  <c:v>64</c:v>
                </c:pt>
                <c:pt idx="8">
                  <c:v>59.25</c:v>
                </c:pt>
                <c:pt idx="9">
                  <c:v>62.33</c:v>
                </c:pt>
                <c:pt idx="10">
                  <c:v>59.37</c:v>
                </c:pt>
                <c:pt idx="11">
                  <c:v>62.74</c:v>
                </c:pt>
                <c:pt idx="12">
                  <c:v>65.849999999999994</c:v>
                </c:pt>
                <c:pt idx="13">
                  <c:v>63.6</c:v>
                </c:pt>
                <c:pt idx="14">
                  <c:v>55</c:v>
                </c:pt>
                <c:pt idx="15">
                  <c:v>32.979999999999997</c:v>
                </c:pt>
                <c:pt idx="16">
                  <c:v>23.34</c:v>
                </c:pt>
                <c:pt idx="17">
                  <c:v>31.02</c:v>
                </c:pt>
                <c:pt idx="18">
                  <c:v>39.93</c:v>
                </c:pt>
                <c:pt idx="19">
                  <c:v>42.81</c:v>
                </c:pt>
                <c:pt idx="20">
                  <c:v>44.26</c:v>
                </c:pt>
                <c:pt idx="21">
                  <c:v>41.09</c:v>
                </c:pt>
                <c:pt idx="22">
                  <c:v>40.47</c:v>
                </c:pt>
                <c:pt idx="23">
                  <c:v>43.22</c:v>
                </c:pt>
                <c:pt idx="24">
                  <c:v>49.87</c:v>
                </c:pt>
                <c:pt idx="25">
                  <c:v>54.55</c:v>
                </c:pt>
                <c:pt idx="26">
                  <c:v>61.96</c:v>
                </c:pt>
                <c:pt idx="27">
                  <c:v>65.19</c:v>
                </c:pt>
                <c:pt idx="28">
                  <c:v>64.77</c:v>
                </c:pt>
                <c:pt idx="29">
                  <c:v>68.040000000000006</c:v>
                </c:pt>
                <c:pt idx="30">
                  <c:v>73.069999999999993</c:v>
                </c:pt>
                <c:pt idx="31">
                  <c:v>74.39</c:v>
                </c:pt>
                <c:pt idx="32">
                  <c:v>70.02</c:v>
                </c:pt>
                <c:pt idx="33">
                  <c:v>74.599999999999994</c:v>
                </c:pt>
                <c:pt idx="34">
                  <c:v>83.65</c:v>
                </c:pt>
                <c:pt idx="35">
                  <c:v>80.77</c:v>
                </c:pt>
                <c:pt idx="36">
                  <c:v>74.31</c:v>
                </c:pt>
                <c:pt idx="37">
                  <c:v>85.53</c:v>
                </c:pt>
                <c:pt idx="38">
                  <c:v>95.76</c:v>
                </c:pt>
                <c:pt idx="39">
                  <c:v>115.59</c:v>
                </c:pt>
                <c:pt idx="40">
                  <c:v>105.78</c:v>
                </c:pt>
                <c:pt idx="41">
                  <c:v>112.37</c:v>
                </c:pt>
                <c:pt idx="42">
                  <c:v>120.08</c:v>
                </c:pt>
                <c:pt idx="43">
                  <c:v>108.92</c:v>
                </c:pt>
                <c:pt idx="44">
                  <c:v>98.6</c:v>
                </c:pt>
                <c:pt idx="45">
                  <c:v>90.16</c:v>
                </c:pt>
                <c:pt idx="46">
                  <c:v>93.13</c:v>
                </c:pt>
                <c:pt idx="47">
                  <c:v>91.07</c:v>
                </c:pt>
                <c:pt idx="48">
                  <c:v>80.900000000000006</c:v>
                </c:pt>
                <c:pt idx="49">
                  <c:v>83.09</c:v>
                </c:pt>
                <c:pt idx="50">
                  <c:v>82.72</c:v>
                </c:pt>
                <c:pt idx="51">
                  <c:v>78.53</c:v>
                </c:pt>
                <c:pt idx="52">
                  <c:v>84.11</c:v>
                </c:pt>
                <c:pt idx="53">
                  <c:v>75.7</c:v>
                </c:pt>
                <c:pt idx="54">
                  <c:v>74.89</c:v>
                </c:pt>
                <c:pt idx="55">
                  <c:v>80.099999999999994</c:v>
                </c:pt>
                <c:pt idx="56">
                  <c:v>86.16</c:v>
                </c:pt>
                <c:pt idx="57">
                  <c:v>94</c:v>
                </c:pt>
                <c:pt idx="58">
                  <c:v>91.06</c:v>
                </c:pt>
                <c:pt idx="59">
                  <c:v>83.18</c:v>
                </c:pt>
                <c:pt idx="60">
                  <c:v>77.86</c:v>
                </c:pt>
              </c:numCache>
            </c:numRef>
          </c:val>
          <c:smooth val="0"/>
          <c:extLst>
            <c:ext xmlns:c16="http://schemas.microsoft.com/office/drawing/2014/chart" uri="{C3380CC4-5D6E-409C-BE32-E72D297353CC}">
              <c16:uniqueId val="{00000000-9512-4A14-9970-BD0E0093FB49}"/>
            </c:ext>
          </c:extLst>
        </c:ser>
        <c:ser>
          <c:idx val="1"/>
          <c:order val="1"/>
          <c:tx>
            <c:strRef>
              <c:f>'Petroleum - Oil - Prices'!$C$7</c:f>
              <c:strCache>
                <c:ptCount val="1"/>
                <c:pt idx="0">
                  <c:v>Tapis Crude</c:v>
                </c:pt>
              </c:strCache>
            </c:strRef>
          </c:tx>
          <c:marker>
            <c:symbol val="none"/>
          </c:marker>
          <c:cat>
            <c:numRef>
              <c:f>'Petroleum - Oil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'Petroleum - Oil - Prices'!$C$9:$C$69</c:f>
              <c:numCache>
                <c:formatCode>#,##0.00</c:formatCode>
                <c:ptCount val="61"/>
                <c:pt idx="0">
                  <c:v>58.9</c:v>
                </c:pt>
                <c:pt idx="1">
                  <c:v>60.95</c:v>
                </c:pt>
                <c:pt idx="2">
                  <c:v>65.84</c:v>
                </c:pt>
                <c:pt idx="3">
                  <c:v>68.11</c:v>
                </c:pt>
                <c:pt idx="4">
                  <c:v>72.77</c:v>
                </c:pt>
                <c:pt idx="5">
                  <c:v>72.239999999999995</c:v>
                </c:pt>
                <c:pt idx="6">
                  <c:v>72.239999999999995</c:v>
                </c:pt>
                <c:pt idx="7">
                  <c:v>66.09</c:v>
                </c:pt>
                <c:pt idx="8">
                  <c:v>61.46</c:v>
                </c:pt>
                <c:pt idx="9">
                  <c:v>64.05</c:v>
                </c:pt>
                <c:pt idx="10">
                  <c:v>60.86</c:v>
                </c:pt>
                <c:pt idx="11">
                  <c:v>64.239999999999995</c:v>
                </c:pt>
                <c:pt idx="12">
                  <c:v>75.52</c:v>
                </c:pt>
                <c:pt idx="13">
                  <c:v>71.59</c:v>
                </c:pt>
                <c:pt idx="14">
                  <c:v>62.95</c:v>
                </c:pt>
                <c:pt idx="15">
                  <c:v>41.32</c:v>
                </c:pt>
                <c:pt idx="16">
                  <c:v>27.08</c:v>
                </c:pt>
                <c:pt idx="17">
                  <c:v>31.49</c:v>
                </c:pt>
                <c:pt idx="18">
                  <c:v>34.57</c:v>
                </c:pt>
                <c:pt idx="19">
                  <c:v>43.8</c:v>
                </c:pt>
                <c:pt idx="20">
                  <c:v>46.35</c:v>
                </c:pt>
                <c:pt idx="21">
                  <c:v>42.38</c:v>
                </c:pt>
                <c:pt idx="22">
                  <c:v>39.450000000000003</c:v>
                </c:pt>
                <c:pt idx="23">
                  <c:v>41.24</c:v>
                </c:pt>
                <c:pt idx="24">
                  <c:v>49.55</c:v>
                </c:pt>
                <c:pt idx="25">
                  <c:v>55.49</c:v>
                </c:pt>
                <c:pt idx="26">
                  <c:v>63.02</c:v>
                </c:pt>
                <c:pt idx="27">
                  <c:v>66.459999999999994</c:v>
                </c:pt>
                <c:pt idx="28">
                  <c:v>64.650000000000006</c:v>
                </c:pt>
                <c:pt idx="29">
                  <c:v>68.94</c:v>
                </c:pt>
                <c:pt idx="30">
                  <c:v>73.760000000000005</c:v>
                </c:pt>
                <c:pt idx="31">
                  <c:v>75.459999999999994</c:v>
                </c:pt>
                <c:pt idx="32">
                  <c:v>70.959999999999994</c:v>
                </c:pt>
                <c:pt idx="33">
                  <c:v>76.290000000000006</c:v>
                </c:pt>
                <c:pt idx="34">
                  <c:v>85.17</c:v>
                </c:pt>
                <c:pt idx="35">
                  <c:v>83.59</c:v>
                </c:pt>
                <c:pt idx="36">
                  <c:v>77.239999999999995</c:v>
                </c:pt>
                <c:pt idx="37">
                  <c:v>89.75</c:v>
                </c:pt>
                <c:pt idx="38">
                  <c:v>99.98</c:v>
                </c:pt>
                <c:pt idx="39">
                  <c:v>121.43</c:v>
                </c:pt>
                <c:pt idx="40">
                  <c:v>111.16</c:v>
                </c:pt>
                <c:pt idx="41">
                  <c:v>118.62</c:v>
                </c:pt>
                <c:pt idx="42">
                  <c:v>126.18</c:v>
                </c:pt>
                <c:pt idx="43">
                  <c:v>114.82</c:v>
                </c:pt>
                <c:pt idx="44">
                  <c:v>112.4</c:v>
                </c:pt>
                <c:pt idx="45">
                  <c:v>103.14</c:v>
                </c:pt>
                <c:pt idx="46">
                  <c:v>105.45</c:v>
                </c:pt>
                <c:pt idx="47">
                  <c:v>98.38</c:v>
                </c:pt>
                <c:pt idx="48">
                  <c:v>88.11</c:v>
                </c:pt>
                <c:pt idx="49">
                  <c:v>88.05</c:v>
                </c:pt>
                <c:pt idx="50">
                  <c:v>86.63</c:v>
                </c:pt>
                <c:pt idx="51">
                  <c:v>82.73</c:v>
                </c:pt>
                <c:pt idx="52">
                  <c:v>86.05</c:v>
                </c:pt>
                <c:pt idx="53">
                  <c:v>79.62</c:v>
                </c:pt>
                <c:pt idx="54">
                  <c:v>77.22</c:v>
                </c:pt>
                <c:pt idx="55">
                  <c:v>83.03</c:v>
                </c:pt>
                <c:pt idx="56">
                  <c:v>89.84</c:v>
                </c:pt>
                <c:pt idx="57">
                  <c:v>98.4</c:v>
                </c:pt>
                <c:pt idx="58">
                  <c:v>95.93</c:v>
                </c:pt>
                <c:pt idx="59">
                  <c:v>87.89</c:v>
                </c:pt>
                <c:pt idx="60">
                  <c:v>83.31</c:v>
                </c:pt>
              </c:numCache>
            </c:numRef>
          </c:val>
          <c:smooth val="0"/>
          <c:extLst>
            <c:ext xmlns:c16="http://schemas.microsoft.com/office/drawing/2014/chart" uri="{C3380CC4-5D6E-409C-BE32-E72D297353CC}">
              <c16:uniqueId val="{00000000-0A82-43FA-A20F-1179A3419C0C}"/>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a:t>
                </a:r>
                <a:r>
                  <a:rPr lang="en-AU" baseline="0"/>
                  <a:t> per barrel</a:t>
                </a:r>
                <a:endParaRPr lang="en-AU"/>
              </a:p>
            </c:rich>
          </c:tx>
          <c:layout>
            <c:manualLayout>
              <c:xMode val="edge"/>
              <c:yMode val="edge"/>
              <c:x val="1.4328358882517753E-2"/>
              <c:y val="0.41856591959752248"/>
            </c:manualLayout>
          </c:layout>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layout>
        <c:manualLayout>
          <c:xMode val="edge"/>
          <c:yMode val="edge"/>
          <c:x val="0.2732339063689696"/>
          <c:y val="0.13363456214556907"/>
          <c:w val="0.44004311368970095"/>
          <c:h val="5.2964350487731529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LNG</a:t>
            </a:r>
          </a:p>
          <a:p>
            <a:pPr>
              <a:defRPr/>
            </a:pPr>
            <a:r>
              <a:rPr lang="en-US" sz="1100"/>
              <a:t>Annual Prices,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0"/>
          <c:order val="0"/>
          <c:tx>
            <c:v>US$</c:v>
          </c:tx>
          <c:marker>
            <c:symbol val="none"/>
          </c:marker>
          <c:cat>
            <c:numRef>
              <c:f>'Petroleum - LNG - Prices'!$G$9:$G$16</c:f>
              <c:numCache>
                <c:formatCode>General</c:formatCode>
                <c:ptCount val="8"/>
                <c:pt idx="0">
                  <c:v>2016</c:v>
                </c:pt>
                <c:pt idx="1">
                  <c:v>2017</c:v>
                </c:pt>
                <c:pt idx="2">
                  <c:v>2018</c:v>
                </c:pt>
                <c:pt idx="3">
                  <c:v>2019</c:v>
                </c:pt>
                <c:pt idx="4">
                  <c:v>2020</c:v>
                </c:pt>
                <c:pt idx="5">
                  <c:v>2021</c:v>
                </c:pt>
                <c:pt idx="6">
                  <c:v>2022</c:v>
                </c:pt>
                <c:pt idx="7">
                  <c:v>2023</c:v>
                </c:pt>
              </c:numCache>
            </c:numRef>
          </c:cat>
          <c:val>
            <c:numRef>
              <c:f>'Petroleum - LNG - Prices'!$H$9:$H$16</c:f>
              <c:numCache>
                <c:formatCode>#,##0.00</c:formatCode>
                <c:ptCount val="8"/>
                <c:pt idx="0">
                  <c:v>3.3611641331246234</c:v>
                </c:pt>
                <c:pt idx="1">
                  <c:v>6.6720324253436099</c:v>
                </c:pt>
                <c:pt idx="2">
                  <c:v>8.9423851091638245</c:v>
                </c:pt>
                <c:pt idx="3">
                  <c:v>8.4728673074040159</c:v>
                </c:pt>
                <c:pt idx="4">
                  <c:v>6.1057907700901959</c:v>
                </c:pt>
                <c:pt idx="5">
                  <c:v>8.7439781104230629</c:v>
                </c:pt>
                <c:pt idx="6">
                  <c:v>14.786892727440922</c:v>
                </c:pt>
                <c:pt idx="7">
                  <c:v>11.832748894402663</c:v>
                </c:pt>
              </c:numCache>
            </c:numRef>
          </c:val>
          <c:smooth val="0"/>
          <c:extLst>
            <c:ext xmlns:c16="http://schemas.microsoft.com/office/drawing/2014/chart" uri="{C3380CC4-5D6E-409C-BE32-E72D297353CC}">
              <c16:uniqueId val="{00000000-99D0-4817-88B6-AD7B56AA41FF}"/>
            </c:ext>
          </c:extLst>
        </c:ser>
        <c:ser>
          <c:idx val="1"/>
          <c:order val="1"/>
          <c:tx>
            <c:v>A$</c:v>
          </c:tx>
          <c:marker>
            <c:symbol val="none"/>
          </c:marker>
          <c:cat>
            <c:numRef>
              <c:f>'Petroleum - LNG - Prices'!$G$9:$G$16</c:f>
              <c:numCache>
                <c:formatCode>General</c:formatCode>
                <c:ptCount val="8"/>
                <c:pt idx="0">
                  <c:v>2016</c:v>
                </c:pt>
                <c:pt idx="1">
                  <c:v>2017</c:v>
                </c:pt>
                <c:pt idx="2">
                  <c:v>2018</c:v>
                </c:pt>
                <c:pt idx="3">
                  <c:v>2019</c:v>
                </c:pt>
                <c:pt idx="4">
                  <c:v>2020</c:v>
                </c:pt>
                <c:pt idx="5">
                  <c:v>2021</c:v>
                </c:pt>
                <c:pt idx="6">
                  <c:v>2022</c:v>
                </c:pt>
                <c:pt idx="7">
                  <c:v>2023</c:v>
                </c:pt>
              </c:numCache>
            </c:numRef>
          </c:cat>
          <c:val>
            <c:numRef>
              <c:f>'Petroleum - LNG - Prices'!$I$9:$I$16</c:f>
              <c:numCache>
                <c:formatCode>#,##0.00</c:formatCode>
                <c:ptCount val="8"/>
                <c:pt idx="0">
                  <c:v>4.4679814932053707</c:v>
                </c:pt>
                <c:pt idx="1">
                  <c:v>8.7051037932943931</c:v>
                </c:pt>
                <c:pt idx="2">
                  <c:v>12.00070072082684</c:v>
                </c:pt>
                <c:pt idx="3">
                  <c:v>12.175813641412661</c:v>
                </c:pt>
                <c:pt idx="4">
                  <c:v>8.9582728666300753</c:v>
                </c:pt>
                <c:pt idx="5">
                  <c:v>11.722067627866762</c:v>
                </c:pt>
                <c:pt idx="6">
                  <c:v>21.416163746219258</c:v>
                </c:pt>
                <c:pt idx="7">
                  <c:v>17.761583230844987</c:v>
                </c:pt>
              </c:numCache>
            </c:numRef>
          </c:val>
          <c:smooth val="0"/>
          <c:extLst>
            <c:ext xmlns:c16="http://schemas.microsoft.com/office/drawing/2014/chart" uri="{C3380CC4-5D6E-409C-BE32-E72D297353CC}">
              <c16:uniqueId val="{00000000-7800-42E7-9BD5-C9DCEA21C4FF}"/>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ABS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tickMarkSkip val="1"/>
        <c:noMultiLvlLbl val="1"/>
      </c:catAx>
      <c:valAx>
        <c:axId val="130790144"/>
        <c:scaling>
          <c:orientation val="minMax"/>
          <c:max val="30"/>
        </c:scaling>
        <c:delete val="0"/>
        <c:axPos val="l"/>
        <c:majorGridlines/>
        <c:title>
          <c:tx>
            <c:rich>
              <a:bodyPr rot="-5400000" vert="horz"/>
              <a:lstStyle/>
              <a:p>
                <a:pPr>
                  <a:defRPr/>
                </a:pPr>
                <a:r>
                  <a:rPr lang="en-AU"/>
                  <a:t>$</a:t>
                </a:r>
                <a:r>
                  <a:rPr lang="en-AU" baseline="0"/>
                  <a:t> per M</a:t>
                </a:r>
                <a:r>
                  <a:rPr lang="en-AU"/>
                  <a:t>mbtu</a:t>
                </a:r>
              </a:p>
            </c:rich>
          </c:tx>
          <c:layout>
            <c:manualLayout>
              <c:xMode val="edge"/>
              <c:yMode val="edge"/>
              <c:x val="2.4186357162735112E-2"/>
              <c:y val="0.42652529602901929"/>
            </c:manualLayout>
          </c:layout>
          <c:overlay val="0"/>
        </c:title>
        <c:numFmt formatCode="#,##0" sourceLinked="0"/>
        <c:majorTickMark val="out"/>
        <c:minorTickMark val="none"/>
        <c:tickLblPos val="nextTo"/>
        <c:spPr>
          <a:ln>
            <a:solidFill>
              <a:srgbClr val="868686"/>
            </a:solidFill>
          </a:ln>
        </c:spPr>
        <c:crossAx val="130783872"/>
        <c:crosses val="autoZero"/>
        <c:crossBetween val="midCat"/>
      </c:valAx>
    </c:plotArea>
    <c:legend>
      <c:legendPos val="t"/>
      <c:layout>
        <c:manualLayout>
          <c:xMode val="edge"/>
          <c:yMode val="edge"/>
          <c:x val="0.34235575816180874"/>
          <c:y val="0.15338484338501976"/>
          <c:w val="0.30174919758234287"/>
          <c:h val="5.2442740195002696E-2"/>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Monthly Prices, Last 5 Years</a:t>
            </a:r>
          </a:p>
        </c:rich>
      </c:tx>
      <c:overlay val="0"/>
    </c:title>
    <c:autoTitleDeleted val="0"/>
    <c:plotArea>
      <c:layout/>
      <c:lineChart>
        <c:grouping val="standard"/>
        <c:varyColors val="0"/>
        <c:ser>
          <c:idx val="0"/>
          <c:order val="0"/>
          <c:tx>
            <c:v>US$</c:v>
          </c:tx>
          <c:marker>
            <c:symbol val="none"/>
          </c:marker>
          <c:cat>
            <c:numRef>
              <c:f>'Petroleum - LNG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'Petroleum - LNG - Prices'!$B$9:$B$69</c:f>
              <c:numCache>
                <c:formatCode>#,##0.00</c:formatCode>
                <c:ptCount val="61"/>
                <c:pt idx="0">
                  <c:v>9.7972417539311145</c:v>
                </c:pt>
                <c:pt idx="1">
                  <c:v>10.116269882054182</c:v>
                </c:pt>
                <c:pt idx="2">
                  <c:v>10.186909482547609</c:v>
                </c:pt>
                <c:pt idx="3">
                  <c:v>9.2861401893699629</c:v>
                </c:pt>
                <c:pt idx="4">
                  <c:v>7.7997008543488171</c:v>
                </c:pt>
                <c:pt idx="5">
                  <c:v>7.9786469943395515</c:v>
                </c:pt>
                <c:pt idx="6">
                  <c:v>7.9786469943395515</c:v>
                </c:pt>
                <c:pt idx="7">
                  <c:v>7.8985617080481791</c:v>
                </c:pt>
                <c:pt idx="8">
                  <c:v>8.5188517682927927</c:v>
                </c:pt>
                <c:pt idx="9">
                  <c:v>8.7177515263380041</c:v>
                </c:pt>
                <c:pt idx="10">
                  <c:v>7.7317693382592205</c:v>
                </c:pt>
                <c:pt idx="11">
                  <c:v>8.1448768656888149</c:v>
                </c:pt>
                <c:pt idx="12">
                  <c:v>7.7808546462508454</c:v>
                </c:pt>
                <c:pt idx="13">
                  <c:v>8.189460592619179</c:v>
                </c:pt>
                <c:pt idx="14">
                  <c:v>8.1649024816039919</c:v>
                </c:pt>
                <c:pt idx="15">
                  <c:v>7.8028112451555369</c:v>
                </c:pt>
                <c:pt idx="16">
                  <c:v>7.3015255510840031</c:v>
                </c:pt>
                <c:pt idx="17">
                  <c:v>6.8272107230842511</c:v>
                </c:pt>
                <c:pt idx="18">
                  <c:v>5.9715105366182248</c:v>
                </c:pt>
                <c:pt idx="19">
                  <c:v>5.4080822107416315</c:v>
                </c:pt>
                <c:pt idx="20">
                  <c:v>4.1211636242199274</c:v>
                </c:pt>
                <c:pt idx="21">
                  <c:v>3.9786467304081907</c:v>
                </c:pt>
                <c:pt idx="22">
                  <c:v>4.5275857658208922</c:v>
                </c:pt>
                <c:pt idx="23">
                  <c:v>5.1965459791884152</c:v>
                </c:pt>
                <c:pt idx="24">
                  <c:v>5.7800438005380972</c:v>
                </c:pt>
                <c:pt idx="25">
                  <c:v>6.3589640738110358</c:v>
                </c:pt>
                <c:pt idx="26">
                  <c:v>6.3349208445330447</c:v>
                </c:pt>
                <c:pt idx="27">
                  <c:v>6.0511350846434482</c:v>
                </c:pt>
                <c:pt idx="28">
                  <c:v>6.4718349055047524</c:v>
                </c:pt>
                <c:pt idx="29">
                  <c:v>6.8173623456454919</c:v>
                </c:pt>
                <c:pt idx="30">
                  <c:v>7.8214781331633798</c:v>
                </c:pt>
                <c:pt idx="31">
                  <c:v>8.8219028970097142</c:v>
                </c:pt>
                <c:pt idx="32">
                  <c:v>9.3371696268255722</c:v>
                </c:pt>
                <c:pt idx="33">
                  <c:v>10.253990117520583</c:v>
                </c:pt>
                <c:pt idx="34">
                  <c:v>11.418899064697863</c:v>
                </c:pt>
                <c:pt idx="35">
                  <c:v>12.818625212223122</c:v>
                </c:pt>
                <c:pt idx="36">
                  <c:v>12.421455019498751</c:v>
                </c:pt>
                <c:pt idx="37">
                  <c:v>12.805328196950629</c:v>
                </c:pt>
                <c:pt idx="38">
                  <c:v>12.337731353979118</c:v>
                </c:pt>
                <c:pt idx="39">
                  <c:v>12.888328608494382</c:v>
                </c:pt>
                <c:pt idx="40">
                  <c:v>13.80613581202075</c:v>
                </c:pt>
                <c:pt idx="41">
                  <c:v>12.854020542703786</c:v>
                </c:pt>
                <c:pt idx="42">
                  <c:v>13.182748873130544</c:v>
                </c:pt>
                <c:pt idx="43">
                  <c:v>15.253926414988785</c:v>
                </c:pt>
                <c:pt idx="44">
                  <c:v>16.719651337147202</c:v>
                </c:pt>
                <c:pt idx="45">
                  <c:v>18.880296803952341</c:v>
                </c:pt>
                <c:pt idx="46">
                  <c:v>17.409252017929251</c:v>
                </c:pt>
                <c:pt idx="47">
                  <c:v>15.39536833135919</c:v>
                </c:pt>
                <c:pt idx="48">
                  <c:v>15.909924436635091</c:v>
                </c:pt>
                <c:pt idx="49">
                  <c:v>16.269229450429968</c:v>
                </c:pt>
                <c:pt idx="50">
                  <c:v>14.293998024101132</c:v>
                </c:pt>
                <c:pt idx="51">
                  <c:v>12.852979986537187</c:v>
                </c:pt>
                <c:pt idx="52">
                  <c:v>11.585918207688394</c:v>
                </c:pt>
                <c:pt idx="53">
                  <c:v>11.16550881990536</c:v>
                </c:pt>
                <c:pt idx="54">
                  <c:v>10.482997896251357</c:v>
                </c:pt>
                <c:pt idx="55">
                  <c:v>10.697541931866301</c:v>
                </c:pt>
                <c:pt idx="56">
                  <c:v>10.794511553812832</c:v>
                </c:pt>
                <c:pt idx="57">
                  <c:v>10.819773989555088</c:v>
                </c:pt>
                <c:pt idx="58">
                  <c:v>10.699036314987945</c:v>
                </c:pt>
                <c:pt idx="59">
                  <c:v>11.151420335970423</c:v>
                </c:pt>
                <c:pt idx="60">
                  <c:v>11.180070221725945</c:v>
                </c:pt>
              </c:numCache>
            </c:numRef>
          </c:val>
          <c:smooth val="0"/>
          <c:extLst>
            <c:ext xmlns:c16="http://schemas.microsoft.com/office/drawing/2014/chart" uri="{C3380CC4-5D6E-409C-BE32-E72D297353CC}">
              <c16:uniqueId val="{00000000-CB76-4700-BB75-6A56293D52A1}"/>
            </c:ext>
          </c:extLst>
        </c:ser>
        <c:ser>
          <c:idx val="1"/>
          <c:order val="1"/>
          <c:tx>
            <c:v>A$</c:v>
          </c:tx>
          <c:marker>
            <c:symbol val="none"/>
          </c:marker>
          <c:cat>
            <c:numRef>
              <c:f>'Petroleum - LNG - Prices'!$A$9:$A$69</c:f>
              <c:numCache>
                <c:formatCode>mmm\-yy</c:formatCode>
                <c:ptCount val="61"/>
                <c:pt idx="0">
                  <c:v>43435</c:v>
                </c:pt>
                <c:pt idx="1">
                  <c:v>43466</c:v>
                </c:pt>
                <c:pt idx="2">
                  <c:v>43497</c:v>
                </c:pt>
                <c:pt idx="3">
                  <c:v>43525</c:v>
                </c:pt>
                <c:pt idx="4">
                  <c:v>43556</c:v>
                </c:pt>
                <c:pt idx="5">
                  <c:v>43586</c:v>
                </c:pt>
                <c:pt idx="6">
                  <c:v>43586</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pt idx="57">
                  <c:v>45170</c:v>
                </c:pt>
                <c:pt idx="58">
                  <c:v>45200</c:v>
                </c:pt>
                <c:pt idx="59">
                  <c:v>45231</c:v>
                </c:pt>
                <c:pt idx="60">
                  <c:v>45261</c:v>
                </c:pt>
              </c:numCache>
            </c:numRef>
          </c:cat>
          <c:val>
            <c:numRef>
              <c:f>'Petroleum - LNG - Prices'!$C$9:$C$69</c:f>
              <c:numCache>
                <c:formatCode>#,##0.00</c:formatCode>
                <c:ptCount val="61"/>
                <c:pt idx="0">
                  <c:v>13.633291098125165</c:v>
                </c:pt>
                <c:pt idx="1">
                  <c:v>14.160323378823525</c:v>
                </c:pt>
                <c:pt idx="2">
                  <c:v>14.25939177288299</c:v>
                </c:pt>
                <c:pt idx="3">
                  <c:v>13.114517708949693</c:v>
                </c:pt>
                <c:pt idx="4">
                  <c:v>10.961928858098048</c:v>
                </c:pt>
                <c:pt idx="5">
                  <c:v>11.481863342393851</c:v>
                </c:pt>
                <c:pt idx="6">
                  <c:v>11.481863342393851</c:v>
                </c:pt>
                <c:pt idx="7">
                  <c:v>11.304583594797085</c:v>
                </c:pt>
                <c:pt idx="8">
                  <c:v>12.579963513339614</c:v>
                </c:pt>
                <c:pt idx="9">
                  <c:v>12.805068375179101</c:v>
                </c:pt>
                <c:pt idx="10">
                  <c:v>11.377169631373553</c:v>
                </c:pt>
                <c:pt idx="11">
                  <c:v>11.926396414563687</c:v>
                </c:pt>
                <c:pt idx="12">
                  <c:v>11.314479847388862</c:v>
                </c:pt>
                <c:pt idx="13">
                  <c:v>11.920033854668644</c:v>
                </c:pt>
                <c:pt idx="14">
                  <c:v>12.234721372588792</c:v>
                </c:pt>
                <c:pt idx="15">
                  <c:v>12.526130294390942</c:v>
                </c:pt>
                <c:pt idx="16">
                  <c:v>11.593679670179512</c:v>
                </c:pt>
                <c:pt idx="17">
                  <c:v>10.487957307171802</c:v>
                </c:pt>
                <c:pt idx="18">
                  <c:v>8.6643489231193112</c:v>
                </c:pt>
                <c:pt idx="19">
                  <c:v>7.6945279049245308</c:v>
                </c:pt>
                <c:pt idx="20">
                  <c:v>5.7244744196854196</c:v>
                </c:pt>
                <c:pt idx="21">
                  <c:v>5.4969904522919375</c:v>
                </c:pt>
                <c:pt idx="22">
                  <c:v>6.3523835698839974</c:v>
                </c:pt>
                <c:pt idx="23">
                  <c:v>7.1361521274216084</c:v>
                </c:pt>
                <c:pt idx="24">
                  <c:v>7.6678745032344082</c:v>
                </c:pt>
                <c:pt idx="25">
                  <c:v>8.2307714643547403</c:v>
                </c:pt>
                <c:pt idx="26">
                  <c:v>8.1692952454146859</c:v>
                </c:pt>
                <c:pt idx="27">
                  <c:v>7.8475834059847713</c:v>
                </c:pt>
                <c:pt idx="28">
                  <c:v>8.4013798054142406</c:v>
                </c:pt>
                <c:pt idx="29">
                  <c:v>8.785907728757353</c:v>
                </c:pt>
                <c:pt idx="30">
                  <c:v>10.230650073275966</c:v>
                </c:pt>
                <c:pt idx="31">
                  <c:v>11.881714391883053</c:v>
                </c:pt>
                <c:pt idx="32">
                  <c:v>12.789058248706098</c:v>
                </c:pt>
                <c:pt idx="33">
                  <c:v>14.004269955952005</c:v>
                </c:pt>
                <c:pt idx="34">
                  <c:v>15.42479560809929</c:v>
                </c:pt>
                <c:pt idx="35">
                  <c:v>17.52810955739379</c:v>
                </c:pt>
                <c:pt idx="36">
                  <c:v>17.371276049165154</c:v>
                </c:pt>
                <c:pt idx="37">
                  <c:v>17.836418639957035</c:v>
                </c:pt>
                <c:pt idx="38">
                  <c:v>17.237125808022352</c:v>
                </c:pt>
                <c:pt idx="39">
                  <c:v>17.490754488483574</c:v>
                </c:pt>
                <c:pt idx="40">
                  <c:v>18.663245437000004</c:v>
                </c:pt>
                <c:pt idx="41">
                  <c:v>18.227482335087615</c:v>
                </c:pt>
                <c:pt idx="42">
                  <c:v>18.751243003836535</c:v>
                </c:pt>
                <c:pt idx="43">
                  <c:v>22.252726930835586</c:v>
                </c:pt>
                <c:pt idx="44">
                  <c:v>24.022330667722805</c:v>
                </c:pt>
                <c:pt idx="45">
                  <c:v>28.232320035531881</c:v>
                </c:pt>
                <c:pt idx="46">
                  <c:v>27.369164769025222</c:v>
                </c:pt>
                <c:pt idx="47">
                  <c:v>23.347701633721115</c:v>
                </c:pt>
                <c:pt idx="48">
                  <c:v>23.563451205407461</c:v>
                </c:pt>
                <c:pt idx="49">
                  <c:v>23.413342712205111</c:v>
                </c:pt>
                <c:pt idx="50">
                  <c:v>20.672197992799482</c:v>
                </c:pt>
                <c:pt idx="51">
                  <c:v>19.220471489061097</c:v>
                </c:pt>
                <c:pt idx="52">
                  <c:v>17.306089933283783</c:v>
                </c:pt>
                <c:pt idx="53">
                  <c:v>16.787824102307827</c:v>
                </c:pt>
                <c:pt idx="54">
                  <c:v>15.62738381637527</c:v>
                </c:pt>
                <c:pt idx="55">
                  <c:v>15.877444929937473</c:v>
                </c:pt>
                <c:pt idx="56">
                  <c:v>16.637190288908663</c:v>
                </c:pt>
                <c:pt idx="57">
                  <c:v>16.841113705512043</c:v>
                </c:pt>
                <c:pt idx="58">
                  <c:v>16.8484970427922</c:v>
                </c:pt>
                <c:pt idx="59">
                  <c:v>17.177533233302476</c:v>
                </c:pt>
                <c:pt idx="60">
                  <c:v>16.729909523654452</c:v>
                </c:pt>
              </c:numCache>
            </c:numRef>
          </c:val>
          <c:smooth val="0"/>
          <c:extLst>
            <c:ext xmlns:c16="http://schemas.microsoft.com/office/drawing/2014/chart" uri="{C3380CC4-5D6E-409C-BE32-E72D297353CC}">
              <c16:uniqueId val="{00000000-F0DA-482F-B037-F2DA7D425B33}"/>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t>
                </a:r>
                <a:r>
                  <a:rPr lang="en-AU" baseline="0"/>
                  <a:t> per M</a:t>
                </a:r>
                <a:r>
                  <a:rPr lang="en-AU"/>
                  <a:t>mbtu</a:t>
                </a:r>
              </a:p>
            </c:rich>
          </c:tx>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ABS</a:t>
                </a:r>
              </a:p>
            </c:rich>
          </c:tx>
          <c:layout>
            <c:manualLayout>
              <c:xMode val="edge"/>
              <c:yMode val="edge"/>
              <c:x val="0"/>
              <c:y val="0.95537367718470079"/>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Domestic Gas</a:t>
            </a:r>
          </a:p>
          <a:p>
            <a:pPr>
              <a:defRPr/>
            </a:pPr>
            <a:r>
              <a:rPr lang="en-US" sz="1100"/>
              <a:t>Annual Price,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1"/>
          <c:order val="0"/>
          <c:marker>
            <c:symbol val="none"/>
          </c:marker>
          <c:cat>
            <c:numRef>
              <c:f>'Petroleum - Dom. Gas - Prices'!$G$9:$G$42</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'Petroleum - Dom. Gas - Prices'!$H$9:$H$42</c:f>
              <c:numCache>
                <c:formatCode>#,##0.00</c:formatCode>
                <c:ptCount val="34"/>
                <c:pt idx="0">
                  <c:v>2.6054035998824498</c:v>
                </c:pt>
                <c:pt idx="1">
                  <c:v>2.6184466159951105</c:v>
                </c:pt>
                <c:pt idx="2">
                  <c:v>2.5697449572942013</c:v>
                </c:pt>
                <c:pt idx="3">
                  <c:v>2.6417071217872983</c:v>
                </c:pt>
                <c:pt idx="4">
                  <c:v>2.364788092795775</c:v>
                </c:pt>
                <c:pt idx="5">
                  <c:v>1.9042007438978499</c:v>
                </c:pt>
                <c:pt idx="6">
                  <c:v>1.9639369401661406</c:v>
                </c:pt>
                <c:pt idx="7">
                  <c:v>2.0500927565258129</c:v>
                </c:pt>
                <c:pt idx="8">
                  <c:v>2.1942259317253829</c:v>
                </c:pt>
                <c:pt idx="9">
                  <c:v>2.2633589129644966</c:v>
                </c:pt>
                <c:pt idx="10">
                  <c:v>2.3069294702897185</c:v>
                </c:pt>
                <c:pt idx="11">
                  <c:v>2.202921023279484</c:v>
                </c:pt>
                <c:pt idx="12">
                  <c:v>2.2066114058189088</c:v>
                </c:pt>
                <c:pt idx="13">
                  <c:v>2.2383607503595937</c:v>
                </c:pt>
                <c:pt idx="14">
                  <c:v>2.234799332978207</c:v>
                </c:pt>
                <c:pt idx="15">
                  <c:v>2.3494160120460439</c:v>
                </c:pt>
                <c:pt idx="16">
                  <c:v>2.5678282663284739</c:v>
                </c:pt>
                <c:pt idx="17">
                  <c:v>2.8738427244008005</c:v>
                </c:pt>
                <c:pt idx="18">
                  <c:v>3.6853500631162328</c:v>
                </c:pt>
                <c:pt idx="19">
                  <c:v>3.2654246502760023</c:v>
                </c:pt>
                <c:pt idx="20">
                  <c:v>3.9656553201993727</c:v>
                </c:pt>
                <c:pt idx="21">
                  <c:v>4.2139898759703716</c:v>
                </c:pt>
                <c:pt idx="22">
                  <c:v>4.2928576627648445</c:v>
                </c:pt>
                <c:pt idx="23">
                  <c:v>4.4111820179191188</c:v>
                </c:pt>
                <c:pt idx="24">
                  <c:v>4.8794980107689527</c:v>
                </c:pt>
                <c:pt idx="25">
                  <c:v>4.8876529546940883</c:v>
                </c:pt>
                <c:pt idx="26">
                  <c:v>4.9791240182979104</c:v>
                </c:pt>
                <c:pt idx="27">
                  <c:v>4.6554259451039872</c:v>
                </c:pt>
                <c:pt idx="28">
                  <c:v>3.969901898372231</c:v>
                </c:pt>
                <c:pt idx="29">
                  <c:v>3.4993429977490873</c:v>
                </c:pt>
                <c:pt idx="30">
                  <c:v>3.5942861050548029</c:v>
                </c:pt>
                <c:pt idx="31">
                  <c:v>5.1291493372916337</c:v>
                </c:pt>
                <c:pt idx="32">
                  <c:v>5.4638857223891613</c:v>
                </c:pt>
                <c:pt idx="33">
                  <c:v>7.0128805159710268</c:v>
                </c:pt>
              </c:numCache>
            </c:numRef>
          </c:val>
          <c:smooth val="0"/>
          <c:extLst>
            <c:ext xmlns:c16="http://schemas.microsoft.com/office/drawing/2014/chart" uri="{C3380CC4-5D6E-409C-BE32-E72D297353CC}">
              <c16:uniqueId val="{00000001-372B-4EE9-A5A6-D81E3370ABAC}"/>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DEMIRS, Woodside, and Santos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tickLblSkip val="1"/>
        <c:noMultiLvlLbl val="1"/>
      </c:catAx>
      <c:valAx>
        <c:axId val="130790144"/>
        <c:scaling>
          <c:orientation val="minMax"/>
        </c:scaling>
        <c:delete val="0"/>
        <c:axPos val="l"/>
        <c:majorGridlines/>
        <c:title>
          <c:tx>
            <c:rich>
              <a:bodyPr rot="-5400000" vert="horz"/>
              <a:lstStyle/>
              <a:p>
                <a:pPr>
                  <a:defRPr/>
                </a:pPr>
                <a:r>
                  <a:rPr lang="en-AU"/>
                  <a:t>A$</a:t>
                </a:r>
                <a:r>
                  <a:rPr lang="en-AU" baseline="0"/>
                  <a:t> per gigajoule</a:t>
                </a:r>
                <a:endParaRPr lang="en-AU"/>
              </a:p>
            </c:rich>
          </c:tx>
          <c:layout>
            <c:manualLayout>
              <c:xMode val="edge"/>
              <c:yMode val="edge"/>
              <c:x val="2.1309092732012529E-2"/>
              <c:y val="0.41130891247289741"/>
            </c:manualLayout>
          </c:layout>
          <c:overlay val="0"/>
        </c:title>
        <c:numFmt formatCode="#,##0.00" sourceLinked="1"/>
        <c:majorTickMark val="out"/>
        <c:minorTickMark val="none"/>
        <c:tickLblPos val="nextTo"/>
        <c:spPr>
          <a:ln>
            <a:solidFill>
              <a:srgbClr val="868686"/>
            </a:solidFill>
          </a:ln>
        </c:spPr>
        <c:crossAx val="13078387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Quarterly Price, Last 10 Years</a:t>
            </a:r>
          </a:p>
        </c:rich>
      </c:tx>
      <c:overlay val="0"/>
    </c:title>
    <c:autoTitleDeleted val="0"/>
    <c:plotArea>
      <c:layout/>
      <c:lineChart>
        <c:grouping val="standard"/>
        <c:varyColors val="0"/>
        <c:ser>
          <c:idx val="1"/>
          <c:order val="0"/>
          <c:marker>
            <c:symbol val="none"/>
          </c:marker>
          <c:cat>
            <c:numRef>
              <c:f>'Petroleum - Dom. Gas - Prices'!$B$9:$B$53</c:f>
              <c:numCache>
                <c:formatCode>yyyy</c:formatCode>
                <c:ptCount val="45"/>
                <c:pt idx="0">
                  <c:v>41244</c:v>
                </c:pt>
                <c:pt idx="1">
                  <c:v>41334</c:v>
                </c:pt>
                <c:pt idx="2">
                  <c:v>41426</c:v>
                </c:pt>
                <c:pt idx="3">
                  <c:v>41518</c:v>
                </c:pt>
                <c:pt idx="4">
                  <c:v>41609</c:v>
                </c:pt>
                <c:pt idx="5">
                  <c:v>41699</c:v>
                </c:pt>
                <c:pt idx="6">
                  <c:v>41791</c:v>
                </c:pt>
                <c:pt idx="7">
                  <c:v>41883</c:v>
                </c:pt>
                <c:pt idx="8">
                  <c:v>41974</c:v>
                </c:pt>
                <c:pt idx="9">
                  <c:v>42064</c:v>
                </c:pt>
                <c:pt idx="10">
                  <c:v>42156</c:v>
                </c:pt>
                <c:pt idx="11">
                  <c:v>42248</c:v>
                </c:pt>
                <c:pt idx="12">
                  <c:v>42339</c:v>
                </c:pt>
                <c:pt idx="13">
                  <c:v>42430</c:v>
                </c:pt>
                <c:pt idx="14">
                  <c:v>42522</c:v>
                </c:pt>
                <c:pt idx="15">
                  <c:v>42614</c:v>
                </c:pt>
                <c:pt idx="16">
                  <c:v>42705</c:v>
                </c:pt>
                <c:pt idx="17">
                  <c:v>42795</c:v>
                </c:pt>
                <c:pt idx="18">
                  <c:v>42887</c:v>
                </c:pt>
                <c:pt idx="19">
                  <c:v>42979</c:v>
                </c:pt>
                <c:pt idx="20">
                  <c:v>43070</c:v>
                </c:pt>
                <c:pt idx="21">
                  <c:v>43160</c:v>
                </c:pt>
                <c:pt idx="22">
                  <c:v>43252</c:v>
                </c:pt>
                <c:pt idx="23">
                  <c:v>43344</c:v>
                </c:pt>
                <c:pt idx="24">
                  <c:v>43435</c:v>
                </c:pt>
                <c:pt idx="25">
                  <c:v>43525</c:v>
                </c:pt>
                <c:pt idx="26">
                  <c:v>43617</c:v>
                </c:pt>
                <c:pt idx="27">
                  <c:v>43709</c:v>
                </c:pt>
                <c:pt idx="28">
                  <c:v>43800</c:v>
                </c:pt>
                <c:pt idx="29">
                  <c:v>43891</c:v>
                </c:pt>
                <c:pt idx="30">
                  <c:v>43983</c:v>
                </c:pt>
                <c:pt idx="31">
                  <c:v>44075</c:v>
                </c:pt>
                <c:pt idx="32">
                  <c:v>44166</c:v>
                </c:pt>
                <c:pt idx="33">
                  <c:v>44256</c:v>
                </c:pt>
                <c:pt idx="34">
                  <c:v>44348</c:v>
                </c:pt>
                <c:pt idx="35">
                  <c:v>44440</c:v>
                </c:pt>
                <c:pt idx="36">
                  <c:v>44531</c:v>
                </c:pt>
                <c:pt idx="37">
                  <c:v>44621</c:v>
                </c:pt>
                <c:pt idx="38">
                  <c:v>44713</c:v>
                </c:pt>
                <c:pt idx="39">
                  <c:v>44805</c:v>
                </c:pt>
                <c:pt idx="40">
                  <c:v>44896</c:v>
                </c:pt>
                <c:pt idx="41">
                  <c:v>44986</c:v>
                </c:pt>
                <c:pt idx="42">
                  <c:v>45078</c:v>
                </c:pt>
                <c:pt idx="43">
                  <c:v>45170</c:v>
                </c:pt>
                <c:pt idx="44">
                  <c:v>45261</c:v>
                </c:pt>
              </c:numCache>
            </c:numRef>
          </c:cat>
          <c:val>
            <c:numRef>
              <c:f>'Petroleum - Dom. Gas - Prices'!$C$9:$C$53</c:f>
              <c:numCache>
                <c:formatCode>#,##0.00</c:formatCode>
                <c:ptCount val="45"/>
                <c:pt idx="0">
                  <c:v>4.3297610724778695</c:v>
                </c:pt>
                <c:pt idx="1">
                  <c:v>4.2212398386308392</c:v>
                </c:pt>
                <c:pt idx="2">
                  <c:v>4.409489820673107</c:v>
                </c:pt>
                <c:pt idx="3">
                  <c:v>4.3123824115462766</c:v>
                </c:pt>
                <c:pt idx="4">
                  <c:v>4.6786472839104709</c:v>
                </c:pt>
                <c:pt idx="5">
                  <c:v>4.7392504448316117</c:v>
                </c:pt>
                <c:pt idx="6">
                  <c:v>5.0433378308814776</c:v>
                </c:pt>
                <c:pt idx="7">
                  <c:v>4.8887781628142477</c:v>
                </c:pt>
                <c:pt idx="8">
                  <c:v>4.8480040103555151</c:v>
                </c:pt>
                <c:pt idx="9">
                  <c:v>4.8461122505566507</c:v>
                </c:pt>
                <c:pt idx="10">
                  <c:v>4.8089078565611905</c:v>
                </c:pt>
                <c:pt idx="11">
                  <c:v>4.9058702326383257</c:v>
                </c:pt>
                <c:pt idx="12">
                  <c:v>4.9922471050309447</c:v>
                </c:pt>
                <c:pt idx="13">
                  <c:v>4.7962849976450572</c:v>
                </c:pt>
                <c:pt idx="14">
                  <c:v>4.9882530946104087</c:v>
                </c:pt>
                <c:pt idx="15">
                  <c:v>5.1201845581818892</c:v>
                </c:pt>
                <c:pt idx="16">
                  <c:v>5.0110003721964036</c:v>
                </c:pt>
                <c:pt idx="17">
                  <c:v>4.881795587208539</c:v>
                </c:pt>
                <c:pt idx="18">
                  <c:v>4.8539386926407211</c:v>
                </c:pt>
                <c:pt idx="19">
                  <c:v>4.7743778602867373</c:v>
                </c:pt>
                <c:pt idx="20">
                  <c:v>4.1318142396629609</c:v>
                </c:pt>
                <c:pt idx="21">
                  <c:v>4.1019880939561659</c:v>
                </c:pt>
                <c:pt idx="22">
                  <c:v>4.1110339992410294</c:v>
                </c:pt>
                <c:pt idx="23">
                  <c:v>4.202881094872188</c:v>
                </c:pt>
                <c:pt idx="24">
                  <c:v>3.484938028399605</c:v>
                </c:pt>
                <c:pt idx="25">
                  <c:v>3.4614741875607757</c:v>
                </c:pt>
                <c:pt idx="26">
                  <c:v>3.3878284935284961</c:v>
                </c:pt>
                <c:pt idx="27">
                  <c:v>3.6244242673681462</c:v>
                </c:pt>
                <c:pt idx="28">
                  <c:v>3.5179169411148616</c:v>
                </c:pt>
                <c:pt idx="29">
                  <c:v>3.6234776881109747</c:v>
                </c:pt>
                <c:pt idx="30">
                  <c:v>3.5588079664023371</c:v>
                </c:pt>
                <c:pt idx="31">
                  <c:v>2.8655108097006736</c:v>
                </c:pt>
                <c:pt idx="32">
                  <c:v>4.3576531747173632</c:v>
                </c:pt>
                <c:pt idx="33">
                  <c:v>4.7188855471186812</c:v>
                </c:pt>
                <c:pt idx="34">
                  <c:v>4.9788487741406451</c:v>
                </c:pt>
                <c:pt idx="35">
                  <c:v>5.4408106794633451</c:v>
                </c:pt>
                <c:pt idx="36">
                  <c:v>5.3548558853034658</c:v>
                </c:pt>
                <c:pt idx="37">
                  <c:v>5.4454401060064015</c:v>
                </c:pt>
                <c:pt idx="38">
                  <c:v>5.2529156182545051</c:v>
                </c:pt>
                <c:pt idx="39">
                  <c:v>5.0816854993569267</c:v>
                </c:pt>
                <c:pt idx="40">
                  <c:v>6.0688107089564918</c:v>
                </c:pt>
                <c:pt idx="41">
                  <c:v>7.3466723482366065</c:v>
                </c:pt>
                <c:pt idx="42">
                  <c:v>6.6462925609521823</c:v>
                </c:pt>
                <c:pt idx="43">
                  <c:v>6.6630125072022075</c:v>
                </c:pt>
                <c:pt idx="44">
                  <c:v>7.4100722568956368</c:v>
                </c:pt>
              </c:numCache>
            </c:numRef>
          </c:val>
          <c:smooth val="0"/>
          <c:extLst>
            <c:ext xmlns:c16="http://schemas.microsoft.com/office/drawing/2014/chart" uri="{C3380CC4-5D6E-409C-BE32-E72D297353CC}">
              <c16:uniqueId val="{00000001-0C32-4F5D-9226-3F11D1C35C1E}"/>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a:t>
                </a:r>
                <a:r>
                  <a:rPr lang="en-AU" baseline="0"/>
                  <a:t> per gigajoule</a:t>
                </a:r>
                <a:endParaRPr lang="en-AU"/>
              </a:p>
            </c:rich>
          </c:tx>
          <c:layout>
            <c:manualLayout>
              <c:xMode val="edge"/>
              <c:yMode val="edge"/>
              <c:x val="1.184279902927877E-2"/>
              <c:y val="0.39369400363416113"/>
            </c:manualLayout>
          </c:layout>
          <c:overlay val="0"/>
        </c:title>
        <c:numFmt formatCode="#,##0.00" sourceLinked="0"/>
        <c:majorTickMark val="out"/>
        <c:minorTickMark val="none"/>
        <c:tickLblPos val="nextTo"/>
        <c:crossAx val="134163072"/>
        <c:crosses val="autoZero"/>
        <c:crossBetween val="between"/>
      </c:valAx>
      <c:dateAx>
        <c:axId val="134163072"/>
        <c:scaling>
          <c:orientation val="minMax"/>
        </c:scaling>
        <c:delete val="0"/>
        <c:axPos val="b"/>
        <c:title>
          <c:tx>
            <c:rich>
              <a:bodyPr/>
              <a:lstStyle/>
              <a:p>
                <a:pPr>
                  <a:defRPr sz="900"/>
                </a:pPr>
                <a:r>
                  <a:rPr lang="en-AU" sz="900"/>
                  <a:t>Source:  DEMIRS, Woodside, and Santos</a:t>
                </a:r>
              </a:p>
            </c:rich>
          </c:tx>
          <c:layout>
            <c:manualLayout>
              <c:xMode val="edge"/>
              <c:yMode val="edge"/>
              <c:x val="0"/>
              <c:y val="0.95537367718470079"/>
            </c:manualLayout>
          </c:layout>
          <c:overlay val="0"/>
        </c:title>
        <c:numFmt formatCode="[$-C09]mmm\-yy;@" sourceLinked="0"/>
        <c:majorTickMark val="out"/>
        <c:minorTickMark val="none"/>
        <c:tickLblPos val="nextTo"/>
        <c:txPr>
          <a:bodyPr rot="-2700000"/>
          <a:lstStyle/>
          <a:p>
            <a:pPr>
              <a:defRPr/>
            </a:pPr>
            <a:endParaRPr lang="en-US"/>
          </a:p>
        </c:txPr>
        <c:crossAx val="134161536"/>
        <c:crosses val="autoZero"/>
        <c:auto val="0"/>
        <c:lblOffset val="100"/>
        <c:baseTimeUnit val="days"/>
        <c:majorUnit val="6"/>
        <c:majorTimeUnit val="months"/>
        <c:minorUnit val="4"/>
      </c:date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2"/>
          <c:order val="1"/>
          <c:tx>
            <c:strRef>
              <c:f>'Petroleum - Q&amp;V 1'!$Z$35</c:f>
              <c:strCache>
                <c:ptCount val="1"/>
                <c:pt idx="0">
                  <c:v>Value ($ Million)</c:v>
                </c:pt>
              </c:strCache>
            </c:strRef>
          </c:tx>
          <c:invertIfNegative val="0"/>
          <c:cat>
            <c:numRef>
              <c:f>'Petroleum - Q&amp;V 1'!$T$36:$T$55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1'!$Z$36:$Z$55</c:f>
              <c:numCache>
                <c:formatCode>#,##0.00</c:formatCode>
                <c:ptCount val="20"/>
                <c:pt idx="0">
                  <c:v>6232.2821860000004</c:v>
                </c:pt>
                <c:pt idx="1">
                  <c:v>8739.1699690000005</c:v>
                </c:pt>
                <c:pt idx="2">
                  <c:v>9542.9867329999997</c:v>
                </c:pt>
                <c:pt idx="3">
                  <c:v>10621.047267999998</c:v>
                </c:pt>
                <c:pt idx="4">
                  <c:v>13250.037224</c:v>
                </c:pt>
                <c:pt idx="5">
                  <c:v>8627.4047559999999</c:v>
                </c:pt>
                <c:pt idx="6">
                  <c:v>11952.743108999999</c:v>
                </c:pt>
                <c:pt idx="7">
                  <c:v>12119.3411</c:v>
                </c:pt>
                <c:pt idx="8">
                  <c:v>10961.89465</c:v>
                </c:pt>
                <c:pt idx="9">
                  <c:v>9228.0147099999995</c:v>
                </c:pt>
                <c:pt idx="10">
                  <c:v>8573.8743172239065</c:v>
                </c:pt>
                <c:pt idx="11">
                  <c:v>6237.2813595666739</c:v>
                </c:pt>
                <c:pt idx="12">
                  <c:v>4297.0676656974283</c:v>
                </c:pt>
                <c:pt idx="13">
                  <c:v>4749.6278853210706</c:v>
                </c:pt>
                <c:pt idx="14">
                  <c:v>6796.6154984380446</c:v>
                </c:pt>
                <c:pt idx="15">
                  <c:v>9380.2882247463185</c:v>
                </c:pt>
                <c:pt idx="16">
                  <c:v>5369.7249020936933</c:v>
                </c:pt>
                <c:pt idx="17">
                  <c:v>9282.4327918222043</c:v>
                </c:pt>
                <c:pt idx="18">
                  <c:v>13083.398325424881</c:v>
                </c:pt>
                <c:pt idx="19">
                  <c:v>10258.412885861742</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40"/>
        <c:overlap val="100"/>
        <c:axId val="135329664"/>
        <c:axId val="135344128"/>
      </c:barChart>
      <c:lineChart>
        <c:grouping val="standard"/>
        <c:varyColors val="0"/>
        <c:ser>
          <c:idx val="1"/>
          <c:order val="0"/>
          <c:tx>
            <c:strRef>
              <c:f>'Petroleum - Q&amp;V 1'!$Y$35</c:f>
              <c:strCache>
                <c:ptCount val="1"/>
                <c:pt idx="0">
                  <c:v>Quantity (GL)</c:v>
                </c:pt>
              </c:strCache>
            </c:strRef>
          </c:tx>
          <c:marker>
            <c:symbol val="none"/>
          </c:marker>
          <c:cat>
            <c:numRef>
              <c:f>'Petroleum - Q&amp;V 1'!$T$36:$T$55</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1'!$Y$36:$Y$55</c:f>
              <c:numCache>
                <c:formatCode>#,##0.00</c:formatCode>
                <c:ptCount val="20"/>
                <c:pt idx="0">
                  <c:v>17.702249000000002</c:v>
                </c:pt>
                <c:pt idx="1">
                  <c:v>19.058396999999999</c:v>
                </c:pt>
                <c:pt idx="2">
                  <c:v>17.562943000000001</c:v>
                </c:pt>
                <c:pt idx="3">
                  <c:v>19.051446000000002</c:v>
                </c:pt>
                <c:pt idx="4">
                  <c:v>19.049435000000003</c:v>
                </c:pt>
                <c:pt idx="5">
                  <c:v>18.739460999999999</c:v>
                </c:pt>
                <c:pt idx="6">
                  <c:v>21.920589</c:v>
                </c:pt>
                <c:pt idx="7">
                  <c:v>18.335720000000002</c:v>
                </c:pt>
                <c:pt idx="8">
                  <c:v>15.991191000000001</c:v>
                </c:pt>
                <c:pt idx="9">
                  <c:v>12.828248</c:v>
                </c:pt>
                <c:pt idx="10">
                  <c:v>12.524324309000001</c:v>
                </c:pt>
                <c:pt idx="11">
                  <c:v>14.973535984</c:v>
                </c:pt>
                <c:pt idx="12">
                  <c:v>12.270888789022798</c:v>
                </c:pt>
                <c:pt idx="13">
                  <c:v>11.54600424643619</c:v>
                </c:pt>
                <c:pt idx="14">
                  <c:v>12.419739846484219</c:v>
                </c:pt>
                <c:pt idx="15">
                  <c:v>17.034276296441195</c:v>
                </c:pt>
                <c:pt idx="16">
                  <c:v>15.947245886093519</c:v>
                </c:pt>
                <c:pt idx="17">
                  <c:v>16.744140372760548</c:v>
                </c:pt>
                <c:pt idx="18">
                  <c:v>15.550406529337572</c:v>
                </c:pt>
                <c:pt idx="19">
                  <c:v>14.415667303148282</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618303920"/>
        <c:axId val="121975664"/>
      </c:lineChart>
      <c:catAx>
        <c:axId val="135329664"/>
        <c:scaling>
          <c:orientation val="minMax"/>
        </c:scaling>
        <c:delete val="0"/>
        <c:axPos val="b"/>
        <c:title>
          <c:tx>
            <c:rich>
              <a:bodyPr/>
              <a:lstStyle/>
              <a:p>
                <a:pPr>
                  <a:defRPr sz="900"/>
                </a:pPr>
                <a:r>
                  <a:rPr lang="en-AU" sz="900" b="1" i="0" u="none" strike="noStrike" baseline="0">
                    <a:effectLst/>
                  </a:rPr>
                  <a:t>Source: DEMIRS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21975664"/>
        <c:scaling>
          <c:orientation val="minMax"/>
        </c:scaling>
        <c:delete val="0"/>
        <c:axPos val="r"/>
        <c:title>
          <c:tx>
            <c:rich>
              <a:bodyPr/>
              <a:lstStyle/>
              <a:p>
                <a:pPr>
                  <a:defRPr/>
                </a:pPr>
                <a:r>
                  <a:rPr lang="en-AU" sz="1000" b="1" i="0" u="none" strike="noStrike" kern="1200" baseline="0">
                    <a:solidFill>
                      <a:sysClr val="windowText" lastClr="000000"/>
                    </a:solidFill>
                  </a:rPr>
                  <a:t>Gigalitres</a:t>
                </a:r>
              </a:p>
            </c:rich>
          </c:tx>
          <c:overlay val="0"/>
        </c:title>
        <c:numFmt formatCode="#,##0" sourceLinked="0"/>
        <c:majorTickMark val="out"/>
        <c:minorTickMark val="none"/>
        <c:tickLblPos val="nextTo"/>
        <c:crossAx val="618303920"/>
        <c:crosses val="max"/>
        <c:crossBetween val="between"/>
      </c:valAx>
      <c:catAx>
        <c:axId val="618303920"/>
        <c:scaling>
          <c:orientation val="minMax"/>
        </c:scaling>
        <c:delete val="1"/>
        <c:axPos val="b"/>
        <c:numFmt formatCode="General" sourceLinked="1"/>
        <c:majorTickMark val="out"/>
        <c:minorTickMark val="none"/>
        <c:tickLblPos val="nextTo"/>
        <c:crossAx val="1219756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1'!$T$11:$T$19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1'!$U$11:$U$19</c:f>
              <c:numCache>
                <c:formatCode>0.00</c:formatCode>
                <c:ptCount val="9"/>
                <c:pt idx="0">
                  <c:v>4.4865944554438428</c:v>
                </c:pt>
                <c:pt idx="1">
                  <c:v>3.5838576354271714</c:v>
                </c:pt>
                <c:pt idx="2">
                  <c:v>4.1837981571468115</c:v>
                </c:pt>
                <c:pt idx="3">
                  <c:v>3.7327536329659532</c:v>
                </c:pt>
                <c:pt idx="4">
                  <c:v>4.0499971037976366</c:v>
                </c:pt>
                <c:pt idx="5">
                  <c:v>3.7763522700048782</c:v>
                </c:pt>
                <c:pt idx="6">
                  <c:v>3.5727639356190291</c:v>
                </c:pt>
                <c:pt idx="7">
                  <c:v>3.6146695062510728</c:v>
                </c:pt>
                <c:pt idx="8">
                  <c:v>3.4518815912733034</c:v>
                </c:pt>
              </c:numCache>
            </c:numRef>
          </c:val>
          <c:extLst>
            <c:ext xmlns:c16="http://schemas.microsoft.com/office/drawing/2014/chart" uri="{C3380CC4-5D6E-409C-BE32-E72D297353CC}">
              <c16:uniqueId val="{00000000-3F92-4AD9-B095-9CD5217E4D25}"/>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1'!$V$11:$V$19</c:f>
              <c:numCache>
                <c:formatCode>#,##0.00</c:formatCode>
                <c:ptCount val="9"/>
                <c:pt idx="0">
                  <c:v>3018.637112227671</c:v>
                </c:pt>
                <c:pt idx="1">
                  <c:v>2488.9210138370249</c:v>
                </c:pt>
                <c:pt idx="2">
                  <c:v>3980.1710086472349</c:v>
                </c:pt>
                <c:pt idx="3">
                  <c:v>3393.7447184650405</c:v>
                </c:pt>
                <c:pt idx="4">
                  <c:v>3220.5615844755812</c:v>
                </c:pt>
                <c:pt idx="5">
                  <c:v>2645.6836179367842</c:v>
                </c:pt>
                <c:pt idx="6">
                  <c:v>2478.0316288848817</c:v>
                </c:pt>
                <c:pt idx="7">
                  <c:v>2625.6988614874617</c:v>
                </c:pt>
                <c:pt idx="8">
                  <c:v>2508.9987775526138</c:v>
                </c:pt>
              </c:numCache>
            </c:numRef>
          </c:val>
          <c:smooth val="0"/>
          <c:extLst>
            <c:ext xmlns:c16="http://schemas.microsoft.com/office/drawing/2014/chart" uri="{C3380CC4-5D6E-409C-BE32-E72D297353CC}">
              <c16:uniqueId val="{00000001-3F92-4AD9-B095-9CD5217E4D25}"/>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DEMIRS and EnergyQuest</a:t>
                </a:r>
                <a:endParaRPr lang="en-AU"/>
              </a:p>
            </c:rich>
          </c:tx>
          <c:layout>
            <c:manualLayout>
              <c:xMode val="edge"/>
              <c:yMode val="edge"/>
              <c:x val="0"/>
              <c:y val="0.94369215923442673"/>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max val="5000"/>
        </c:scaling>
        <c:delete val="0"/>
        <c:axPos val="l"/>
        <c:majorGridlines/>
        <c:title>
          <c:tx>
            <c:rich>
              <a:bodyPr rot="-5400000" vert="horz"/>
              <a:lstStyle/>
              <a:p>
                <a:pPr>
                  <a:defRPr/>
                </a:pPr>
                <a:r>
                  <a:rPr lang="en-AU"/>
                  <a:t>$ Million</a:t>
                </a:r>
              </a:p>
            </c:rich>
          </c:tx>
          <c:layout>
            <c:manualLayout>
              <c:xMode val="edge"/>
              <c:yMode val="edge"/>
              <c:x val="2.0182981773337168E-2"/>
              <c:y val="0.45808755632356551"/>
            </c:manualLayout>
          </c:layout>
          <c:overlay val="0"/>
        </c:title>
        <c:numFmt formatCode="#,##0" sourceLinked="0"/>
        <c:majorTickMark val="out"/>
        <c:minorTickMark val="none"/>
        <c:tickLblPos val="nextTo"/>
        <c:crossAx val="133913600"/>
        <c:crosses val="autoZero"/>
        <c:crossBetween val="between"/>
        <c:majorUnit val="1000"/>
      </c:valAx>
      <c:valAx>
        <c:axId val="133921792"/>
        <c:scaling>
          <c:orientation val="minMax"/>
        </c:scaling>
        <c:delete val="0"/>
        <c:axPos val="r"/>
        <c:title>
          <c:tx>
            <c:rich>
              <a:bodyPr rot="-5400000" vert="horz"/>
              <a:lstStyle/>
              <a:p>
                <a:pPr>
                  <a:defRPr/>
                </a:pPr>
                <a:r>
                  <a:rPr lang="en-AU"/>
                  <a:t>Gigalitres</a:t>
                </a:r>
              </a:p>
            </c:rich>
          </c:tx>
          <c:overlay val="0"/>
        </c:title>
        <c:numFmt formatCode="#,##0.0" sourceLinked="0"/>
        <c:majorTickMark val="out"/>
        <c:minorTickMark val="none"/>
        <c:tickLblPos val="nextTo"/>
        <c:crossAx val="133932544"/>
        <c:crosses val="max"/>
        <c:crossBetween val="between"/>
        <c:majorUnit val="1"/>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2'!$Z$11:$Z$19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2'!$AA$11:$AA$19</c:f>
              <c:numCache>
                <c:formatCode>#,##0.00</c:formatCode>
                <c:ptCount val="9"/>
                <c:pt idx="0">
                  <c:v>11598459.790714249</c:v>
                </c:pt>
                <c:pt idx="1">
                  <c:v>10878213.079375001</c:v>
                </c:pt>
                <c:pt idx="2">
                  <c:v>12119728.164180029</c:v>
                </c:pt>
                <c:pt idx="3">
                  <c:v>12954593.198018212</c:v>
                </c:pt>
                <c:pt idx="4">
                  <c:v>12655932.5730309</c:v>
                </c:pt>
                <c:pt idx="5">
                  <c:v>12646608.24524851</c:v>
                </c:pt>
                <c:pt idx="6">
                  <c:v>12084039.884629671</c:v>
                </c:pt>
                <c:pt idx="7">
                  <c:v>11534540.1622125</c:v>
                </c:pt>
                <c:pt idx="8">
                  <c:v>11763031.099801024</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2'!$AB$11:$AB$19</c:f>
              <c:numCache>
                <c:formatCode>#,##0.00</c:formatCode>
                <c:ptCount val="9"/>
                <c:pt idx="0">
                  <c:v>9704.0743569737333</c:v>
                </c:pt>
                <c:pt idx="1">
                  <c:v>9037.3576033689023</c:v>
                </c:pt>
                <c:pt idx="2">
                  <c:v>11807.630692729128</c:v>
                </c:pt>
                <c:pt idx="3">
                  <c:v>17041.314085829305</c:v>
                </c:pt>
                <c:pt idx="4">
                  <c:v>16625.547943448921</c:v>
                </c:pt>
                <c:pt idx="5">
                  <c:v>13650.253218463109</c:v>
                </c:pt>
                <c:pt idx="6">
                  <c:v>9798.6655385620397</c:v>
                </c:pt>
                <c:pt idx="7">
                  <c:v>9091.4576090437131</c:v>
                </c:pt>
                <c:pt idx="8">
                  <c:v>9759.7429481689906</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DEMIRS,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layout>
            <c:manualLayout>
              <c:xMode val="edge"/>
              <c:yMode val="edge"/>
              <c:x val="2.0182981773337168E-2"/>
              <c:y val="0.45828853848480255"/>
            </c:manualLayout>
          </c:layout>
          <c:overlay val="0"/>
        </c:title>
        <c:numFmt formatCode="#,##0" sourceLinked="0"/>
        <c:majorTickMark val="out"/>
        <c:minorTickMark val="none"/>
        <c:tickLblPos val="nextTo"/>
        <c:crossAx val="133913600"/>
        <c:crosses val="autoZero"/>
        <c:crossBetween val="between"/>
        <c:majorUnit val="4000"/>
      </c:valAx>
      <c:valAx>
        <c:axId val="133921792"/>
        <c:scaling>
          <c:orientation val="minMax"/>
          <c:min val="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majorUnit val="3000000"/>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1"/>
          <c:order val="0"/>
          <c:tx>
            <c:strRef>
              <c:f>'Alumina and Bauxite - Q&amp;V'!$T$34</c:f>
              <c:strCache>
                <c:ptCount val="1"/>
                <c:pt idx="0">
                  <c:v>Quantity (Mt)</c:v>
                </c:pt>
              </c:strCache>
            </c:strRef>
          </c:tx>
          <c:spPr>
            <a:ln w="50800"/>
          </c:spPr>
          <c:invertIfNegative val="0"/>
          <c:cat>
            <c:numRef>
              <c:f>'Alumina and Bauxite - Q&amp;V'!$S$35:$S$54</c:f>
              <c:numCache>
                <c:formatCode>General</c:formatCode>
                <c:ptCount val="20"/>
                <c:pt idx="0">
                  <c:v>2004</c:v>
                </c:pt>
                <c:pt idx="1">
                  <c:v>2005</c:v>
                </c:pt>
                <c:pt idx="2">
                  <c:v>2006</c:v>
                </c:pt>
                <c:pt idx="3">
                  <c:v>2007</c:v>
                </c:pt>
                <c:pt idx="4">
                  <c:v>2008</c:v>
                </c:pt>
                <c:pt idx="5">
                  <c:v>2009</c:v>
                </c:pt>
                <c:pt idx="6" formatCode="0">
                  <c:v>2010</c:v>
                </c:pt>
                <c:pt idx="7" formatCode="0">
                  <c:v>2011</c:v>
                </c:pt>
                <c:pt idx="8" formatCode="0">
                  <c:v>2012</c:v>
                </c:pt>
                <c:pt idx="9" formatCode="0">
                  <c:v>2013</c:v>
                </c:pt>
                <c:pt idx="10" formatCode="0">
                  <c:v>2014</c:v>
                </c:pt>
                <c:pt idx="11" formatCode="0">
                  <c:v>2015</c:v>
                </c:pt>
                <c:pt idx="12" formatCode="0">
                  <c:v>2016</c:v>
                </c:pt>
                <c:pt idx="13" formatCode="0">
                  <c:v>2017</c:v>
                </c:pt>
                <c:pt idx="14" formatCode="0">
                  <c:v>2018</c:v>
                </c:pt>
                <c:pt idx="15" formatCode="0">
                  <c:v>2019</c:v>
                </c:pt>
                <c:pt idx="16" formatCode="0">
                  <c:v>2020</c:v>
                </c:pt>
                <c:pt idx="17" formatCode="0">
                  <c:v>2021</c:v>
                </c:pt>
                <c:pt idx="18" formatCode="0">
                  <c:v>2022</c:v>
                </c:pt>
                <c:pt idx="19" formatCode="0">
                  <c:v>2023</c:v>
                </c:pt>
              </c:numCache>
            </c:numRef>
          </c:cat>
          <c:val>
            <c:numRef>
              <c:f>'Alumina and Bauxite - Q&amp;V'!$T$35:$T$54</c:f>
              <c:numCache>
                <c:formatCode>0.00</c:formatCode>
                <c:ptCount val="20"/>
                <c:pt idx="0">
                  <c:v>10.988386</c:v>
                </c:pt>
                <c:pt idx="1">
                  <c:v>11.352183</c:v>
                </c:pt>
                <c:pt idx="2">
                  <c:v>11.82174775</c:v>
                </c:pt>
                <c:pt idx="3">
                  <c:v>12.193625759000001</c:v>
                </c:pt>
                <c:pt idx="4">
                  <c:v>12.245763095999999</c:v>
                </c:pt>
                <c:pt idx="5">
                  <c:v>12.42197</c:v>
                </c:pt>
                <c:pt idx="6">
                  <c:v>12.563285</c:v>
                </c:pt>
                <c:pt idx="7">
                  <c:v>12.291484000000001</c:v>
                </c:pt>
                <c:pt idx="8">
                  <c:v>12.81154939</c:v>
                </c:pt>
                <c:pt idx="9">
                  <c:v>13.625703529999999</c:v>
                </c:pt>
                <c:pt idx="10">
                  <c:v>13.876846259999999</c:v>
                </c:pt>
                <c:pt idx="11">
                  <c:v>13.778493585999998</c:v>
                </c:pt>
                <c:pt idx="12">
                  <c:v>13.922088889999999</c:v>
                </c:pt>
                <c:pt idx="13">
                  <c:v>14.671006449999998</c:v>
                </c:pt>
                <c:pt idx="14">
                  <c:v>14.979393799999997</c:v>
                </c:pt>
                <c:pt idx="15">
                  <c:v>15.885883452999998</c:v>
                </c:pt>
                <c:pt idx="16">
                  <c:v>16.198470989999997</c:v>
                </c:pt>
                <c:pt idx="17">
                  <c:v>15.2645722</c:v>
                </c:pt>
                <c:pt idx="18">
                  <c:v>13.462240954</c:v>
                </c:pt>
                <c:pt idx="19">
                  <c:v>12.762861729999999</c:v>
                </c:pt>
              </c:numCache>
            </c:numRef>
          </c:val>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gapWidth val="50"/>
        <c:axId val="1426405871"/>
        <c:axId val="1982850256"/>
      </c:barChart>
      <c:lineChart>
        <c:grouping val="standard"/>
        <c:varyColors val="0"/>
        <c:ser>
          <c:idx val="2"/>
          <c:order val="1"/>
          <c:tx>
            <c:strRef>
              <c:f>'Alumina and Bauxite - Q&amp;V'!$U$34</c:f>
              <c:strCache>
                <c:ptCount val="1"/>
                <c:pt idx="0">
                  <c:v>Value ($ Million)</c:v>
                </c:pt>
              </c:strCache>
            </c:strRef>
          </c:tx>
          <c:marker>
            <c:symbol val="none"/>
          </c:marker>
          <c:cat>
            <c:numRef>
              <c:f>'Alumina and Bauxite - Q&amp;V'!$S$35:$S$54</c:f>
              <c:numCache>
                <c:formatCode>General</c:formatCode>
                <c:ptCount val="20"/>
                <c:pt idx="0">
                  <c:v>2004</c:v>
                </c:pt>
                <c:pt idx="1">
                  <c:v>2005</c:v>
                </c:pt>
                <c:pt idx="2">
                  <c:v>2006</c:v>
                </c:pt>
                <c:pt idx="3">
                  <c:v>2007</c:v>
                </c:pt>
                <c:pt idx="4">
                  <c:v>2008</c:v>
                </c:pt>
                <c:pt idx="5">
                  <c:v>2009</c:v>
                </c:pt>
                <c:pt idx="6" formatCode="0">
                  <c:v>2010</c:v>
                </c:pt>
                <c:pt idx="7" formatCode="0">
                  <c:v>2011</c:v>
                </c:pt>
                <c:pt idx="8" formatCode="0">
                  <c:v>2012</c:v>
                </c:pt>
                <c:pt idx="9" formatCode="0">
                  <c:v>2013</c:v>
                </c:pt>
                <c:pt idx="10" formatCode="0">
                  <c:v>2014</c:v>
                </c:pt>
                <c:pt idx="11" formatCode="0">
                  <c:v>2015</c:v>
                </c:pt>
                <c:pt idx="12" formatCode="0">
                  <c:v>2016</c:v>
                </c:pt>
                <c:pt idx="13" formatCode="0">
                  <c:v>2017</c:v>
                </c:pt>
                <c:pt idx="14" formatCode="0">
                  <c:v>2018</c:v>
                </c:pt>
                <c:pt idx="15" formatCode="0">
                  <c:v>2019</c:v>
                </c:pt>
                <c:pt idx="16" formatCode="0">
                  <c:v>2020</c:v>
                </c:pt>
                <c:pt idx="17" formatCode="0">
                  <c:v>2021</c:v>
                </c:pt>
                <c:pt idx="18" formatCode="0">
                  <c:v>2022</c:v>
                </c:pt>
                <c:pt idx="19" formatCode="0">
                  <c:v>2023</c:v>
                </c:pt>
              </c:numCache>
            </c:numRef>
          </c:cat>
          <c:val>
            <c:numRef>
              <c:f>'Alumina and Bauxite - Q&amp;V'!$U$35:$U$54</c:f>
              <c:numCache>
                <c:formatCode>"$"#,##0.00</c:formatCode>
                <c:ptCount val="20"/>
                <c:pt idx="0">
                  <c:v>3178.95243278</c:v>
                </c:pt>
                <c:pt idx="1">
                  <c:v>3594.8574879999996</c:v>
                </c:pt>
                <c:pt idx="2">
                  <c:v>4921.7215114199998</c:v>
                </c:pt>
                <c:pt idx="3">
                  <c:v>5048.3498728499999</c:v>
                </c:pt>
                <c:pt idx="4">
                  <c:v>4759.5109524</c:v>
                </c:pt>
                <c:pt idx="5">
                  <c:v>3800.77350918</c:v>
                </c:pt>
                <c:pt idx="6">
                  <c:v>3959.4147508300002</c:v>
                </c:pt>
                <c:pt idx="7">
                  <c:v>4189.4656789399996</c:v>
                </c:pt>
                <c:pt idx="8">
                  <c:v>3831.1474728899998</c:v>
                </c:pt>
                <c:pt idx="9">
                  <c:v>4147.0508929999996</c:v>
                </c:pt>
                <c:pt idx="10">
                  <c:v>4561.7391589999997</c:v>
                </c:pt>
                <c:pt idx="11">
                  <c:v>5290.3826119999994</c:v>
                </c:pt>
                <c:pt idx="12">
                  <c:v>4584.1956790000004</c:v>
                </c:pt>
                <c:pt idx="13">
                  <c:v>5878.3498520000003</c:v>
                </c:pt>
                <c:pt idx="14">
                  <c:v>7924.8548729999993</c:v>
                </c:pt>
                <c:pt idx="15">
                  <c:v>7361.2106919999997</c:v>
                </c:pt>
                <c:pt idx="16">
                  <c:v>5855.7403219999997</c:v>
                </c:pt>
                <c:pt idx="17">
                  <c:v>5924.6599470000001</c:v>
                </c:pt>
                <c:pt idx="18">
                  <c:v>6860.9122069999994</c:v>
                </c:pt>
                <c:pt idx="19">
                  <c:v>6581.4648550000002</c:v>
                </c:pt>
              </c:numCache>
            </c:numRef>
          </c:val>
          <c:smooth val="0"/>
          <c:extLst>
            <c:ext xmlns:c16="http://schemas.microsoft.com/office/drawing/2014/chart" uri="{C3380CC4-5D6E-409C-BE32-E72D297353CC}">
              <c16:uniqueId val="{00000000-C99B-4A0D-ABFD-E93623D40F44}"/>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DEM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982850256"/>
        <c:scaling>
          <c:orientation val="minMax"/>
        </c:scaling>
        <c:delete val="0"/>
        <c:axPos val="r"/>
        <c:title>
          <c:tx>
            <c:rich>
              <a:bodyPr/>
              <a:lstStyle/>
              <a:p>
                <a:pPr>
                  <a:defRPr/>
                </a:pPr>
                <a:r>
                  <a:rPr lang="en-AU"/>
                  <a:t>Mt</a:t>
                </a:r>
              </a:p>
            </c:rich>
          </c:tx>
          <c:overlay val="0"/>
        </c:title>
        <c:numFmt formatCode="#,##0" sourceLinked="0"/>
        <c:majorTickMark val="out"/>
        <c:minorTickMark val="none"/>
        <c:tickLblPos val="nextTo"/>
        <c:crossAx val="1426405871"/>
        <c:crosses val="max"/>
        <c:crossBetween val="between"/>
      </c:valAx>
      <c:catAx>
        <c:axId val="1426405871"/>
        <c:scaling>
          <c:orientation val="minMax"/>
        </c:scaling>
        <c:delete val="1"/>
        <c:axPos val="b"/>
        <c:numFmt formatCode="General" sourceLinked="1"/>
        <c:majorTickMark val="out"/>
        <c:minorTickMark val="none"/>
        <c:tickLblPos val="nextTo"/>
        <c:crossAx val="198285025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2'!$Z$35:$Z$43</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2'!$AA$35:$AA$43</c:f>
              <c:numCache>
                <c:formatCode>#,##0.00</c:formatCode>
                <c:ptCount val="9"/>
                <c:pt idx="0">
                  <c:v>153458.40963855421</c:v>
                </c:pt>
                <c:pt idx="1">
                  <c:v>98880</c:v>
                </c:pt>
                <c:pt idx="2">
                  <c:v>239649.94492906437</c:v>
                </c:pt>
                <c:pt idx="3">
                  <c:v>189836.80506776812</c:v>
                </c:pt>
                <c:pt idx="4">
                  <c:v>178479.40356300442</c:v>
                </c:pt>
                <c:pt idx="5">
                  <c:v>160653.75075949126</c:v>
                </c:pt>
                <c:pt idx="6">
                  <c:v>227363.78519581803</c:v>
                </c:pt>
                <c:pt idx="7">
                  <c:v>167496.53502270006</c:v>
                </c:pt>
                <c:pt idx="8">
                  <c:v>117268.65834860383</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v>Value</c:v>
          </c:tx>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2'!$AB$35:$AB$43</c:f>
              <c:numCache>
                <c:formatCode>#,##0.00</c:formatCode>
                <c:ptCount val="9"/>
                <c:pt idx="0">
                  <c:v>163.95221711451811</c:v>
                </c:pt>
                <c:pt idx="1">
                  <c:v>113.1349998826515</c:v>
                </c:pt>
                <c:pt idx="2">
                  <c:v>270.13152416446644</c:v>
                </c:pt>
                <c:pt idx="3">
                  <c:v>195.8859334891165</c:v>
                </c:pt>
                <c:pt idx="4">
                  <c:v>160.43874285011321</c:v>
                </c:pt>
                <c:pt idx="5">
                  <c:v>158.25636183111624</c:v>
                </c:pt>
                <c:pt idx="6">
                  <c:v>205.93797500519329</c:v>
                </c:pt>
                <c:pt idx="7">
                  <c:v>131.56748137414556</c:v>
                </c:pt>
                <c:pt idx="8">
                  <c:v>94.878573084950787</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DEMIRS, EnergyQuest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max val="1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majorUnit val="200"/>
      </c:valAx>
      <c:valAx>
        <c:axId val="134238976"/>
        <c:scaling>
          <c:orientation val="minMax"/>
          <c:max val="200000"/>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majorUnit val="40000"/>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Domestic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2'!$Z$35:$Z$43</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2'!$AA$59:$AA$67</c:f>
              <c:numCache>
                <c:formatCode>#,##0.00</c:formatCode>
                <c:ptCount val="9"/>
                <c:pt idx="0">
                  <c:v>2496049.7385200001</c:v>
                </c:pt>
                <c:pt idx="1">
                  <c:v>2417324.6073298426</c:v>
                </c:pt>
                <c:pt idx="2">
                  <c:v>2472004.4371727752</c:v>
                </c:pt>
                <c:pt idx="3">
                  <c:v>2820170.654450262</c:v>
                </c:pt>
                <c:pt idx="4">
                  <c:v>2717655.8507853402</c:v>
                </c:pt>
                <c:pt idx="5">
                  <c:v>2328739.1623036652</c:v>
                </c:pt>
                <c:pt idx="6">
                  <c:v>2609810.2486910997</c:v>
                </c:pt>
                <c:pt idx="7">
                  <c:v>2625079.1492146598</c:v>
                </c:pt>
                <c:pt idx="8">
                  <c:v>2764010.4057591623</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v>Value</c:v>
          </c:tx>
          <c:marker>
            <c:symbol val="none"/>
          </c:marker>
          <c:cat>
            <c:numRef>
              <c:f>'Alumina and Bauxite - Q&amp;V'!$S$11:$S$19</c:f>
              <c:numCache>
                <c:formatCode>mmm\-yy</c:formatCode>
                <c:ptCount val="9"/>
                <c:pt idx="0">
                  <c:v>44531</c:v>
                </c:pt>
                <c:pt idx="1">
                  <c:v>44621</c:v>
                </c:pt>
                <c:pt idx="2">
                  <c:v>44713</c:v>
                </c:pt>
                <c:pt idx="3">
                  <c:v>44805</c:v>
                </c:pt>
                <c:pt idx="4">
                  <c:v>44896</c:v>
                </c:pt>
                <c:pt idx="5">
                  <c:v>44986</c:v>
                </c:pt>
                <c:pt idx="6">
                  <c:v>45078</c:v>
                </c:pt>
                <c:pt idx="7">
                  <c:v>45170</c:v>
                </c:pt>
                <c:pt idx="8">
                  <c:v>45261</c:v>
                </c:pt>
              </c:numCache>
            </c:numRef>
          </c:cat>
          <c:val>
            <c:numRef>
              <c:f>'Petroleum - Q&amp;V 2'!$AB$59:$AB$67</c:f>
              <c:numCache>
                <c:formatCode>#,##0.00</c:formatCode>
                <c:ptCount val="9"/>
                <c:pt idx="0">
                  <c:v>508.21241947999999</c:v>
                </c:pt>
                <c:pt idx="1">
                  <c:v>500.50936752814073</c:v>
                </c:pt>
                <c:pt idx="2">
                  <c:v>493.73500822887098</c:v>
                </c:pt>
                <c:pt idx="3">
                  <c:v>544.91332016851061</c:v>
                </c:pt>
                <c:pt idx="4">
                  <c:v>627.10794412564019</c:v>
                </c:pt>
                <c:pt idx="5">
                  <c:v>650.51268478905001</c:v>
                </c:pt>
                <c:pt idx="6">
                  <c:v>659.52708902556731</c:v>
                </c:pt>
                <c:pt idx="7">
                  <c:v>665.05457047958203</c:v>
                </c:pt>
                <c:pt idx="8">
                  <c:v>778.76489830748358</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DEMIRS, EnergyQuest, Woodside, and Santos</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max val="8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majorUnit val="200"/>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majorUnit val="750000"/>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layout>
        <c:manualLayout>
          <c:xMode val="edge"/>
          <c:yMode val="edge"/>
          <c:x val="0.37125354235273622"/>
          <c:y val="0.15428646185607645"/>
          <c:w val="0.27017208791607411"/>
          <c:h val="5.4925614015618615E-2"/>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2'!$AE$36</c:f>
              <c:strCache>
                <c:ptCount val="1"/>
                <c:pt idx="0">
                  <c:v>Quantity (t)</c:v>
                </c:pt>
              </c:strCache>
            </c:strRef>
          </c:tx>
          <c:invertIfNegative val="0"/>
          <c:cat>
            <c:numRef>
              <c:f>'Petroleum - Q&amp;V 2'!$AD$37:$AD$60</c:f>
              <c:numCache>
                <c:formatCode>General</c:formatCode>
                <c:ptCount val="2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2'!$AE$37:$AE$56</c:f>
              <c:numCache>
                <c:formatCode>#,##0.00</c:formatCode>
                <c:ptCount val="20"/>
                <c:pt idx="0">
                  <c:v>9219308.2852303274</c:v>
                </c:pt>
                <c:pt idx="1">
                  <c:v>11600612</c:v>
                </c:pt>
                <c:pt idx="2">
                  <c:v>11958780</c:v>
                </c:pt>
                <c:pt idx="3">
                  <c:v>12375731</c:v>
                </c:pt>
                <c:pt idx="4">
                  <c:v>12381004</c:v>
                </c:pt>
                <c:pt idx="5">
                  <c:v>15252516</c:v>
                </c:pt>
                <c:pt idx="6">
                  <c:v>16527193</c:v>
                </c:pt>
                <c:pt idx="7">
                  <c:v>16554099.919233976</c:v>
                </c:pt>
                <c:pt idx="8">
                  <c:v>18260551</c:v>
                </c:pt>
                <c:pt idx="9">
                  <c:v>19220443</c:v>
                </c:pt>
                <c:pt idx="10">
                  <c:v>20852601</c:v>
                </c:pt>
                <c:pt idx="11">
                  <c:v>20385653</c:v>
                </c:pt>
                <c:pt idx="12">
                  <c:v>23774656.646750003</c:v>
                </c:pt>
                <c:pt idx="13">
                  <c:v>32729696.569625001</c:v>
                </c:pt>
                <c:pt idx="14">
                  <c:v>44542484.37063162</c:v>
                </c:pt>
                <c:pt idx="15">
                  <c:v>44630925.049404502</c:v>
                </c:pt>
                <c:pt idx="16">
                  <c:v>44063943.755874999</c:v>
                </c:pt>
                <c:pt idx="17">
                  <c:v>45658665.37390922</c:v>
                </c:pt>
                <c:pt idx="18">
                  <c:v>48608467.014604151</c:v>
                </c:pt>
                <c:pt idx="19">
                  <c:v>48028219.391891703</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 2'!$AG$36</c:f>
              <c:strCache>
                <c:ptCount val="1"/>
                <c:pt idx="0">
                  <c:v>Value ($ Million)</c:v>
                </c:pt>
              </c:strCache>
            </c:strRef>
          </c:tx>
          <c:marker>
            <c:symbol val="none"/>
          </c:marker>
          <c:cat>
            <c:numRef>
              <c:f>'Petroleum - Q&amp;V 2'!$AD$37:$AD$60</c:f>
              <c:numCache>
                <c:formatCode>General</c:formatCode>
                <c:ptCount val="2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2'!$AG$37:$AG$56</c:f>
              <c:numCache>
                <c:formatCode>#,##0.00</c:formatCode>
                <c:ptCount val="20"/>
                <c:pt idx="0">
                  <c:v>3150.8096300000002</c:v>
                </c:pt>
                <c:pt idx="1">
                  <c:v>4446.3364862084163</c:v>
                </c:pt>
                <c:pt idx="2">
                  <c:v>4550.7623777269846</c:v>
                </c:pt>
                <c:pt idx="3">
                  <c:v>4448.5751194258501</c:v>
                </c:pt>
                <c:pt idx="4">
                  <c:v>8157.4775156968399</c:v>
                </c:pt>
                <c:pt idx="5">
                  <c:v>6320.7449907749478</c:v>
                </c:pt>
                <c:pt idx="6">
                  <c:v>8754.6824736822309</c:v>
                </c:pt>
                <c:pt idx="7">
                  <c:v>8552.0712839999997</c:v>
                </c:pt>
                <c:pt idx="8">
                  <c:v>11271.620675400678</c:v>
                </c:pt>
                <c:pt idx="9">
                  <c:v>13287.960818379126</c:v>
                </c:pt>
                <c:pt idx="10">
                  <c:v>15487.317250651384</c:v>
                </c:pt>
                <c:pt idx="11">
                  <c:v>11554.349752904898</c:v>
                </c:pt>
                <c:pt idx="12">
                  <c:v>10620.614121943232</c:v>
                </c:pt>
                <c:pt idx="13">
                  <c:v>14989.360185607753</c:v>
                </c:pt>
                <c:pt idx="14">
                  <c:v>27586.900679211456</c:v>
                </c:pt>
                <c:pt idx="15">
                  <c:v>27579.623167230715</c:v>
                </c:pt>
                <c:pt idx="16">
                  <c:v>19242.128119010322</c:v>
                </c:pt>
                <c:pt idx="17">
                  <c:v>27052.422056361509</c:v>
                </c:pt>
                <c:pt idx="18">
                  <c:v>54511.850325376261</c:v>
                </c:pt>
                <c:pt idx="19">
                  <c:v>42300.119314237854</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DEMIRS,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2'!$AH$36</c:f>
              <c:strCache>
                <c:ptCount val="1"/>
                <c:pt idx="0">
                  <c:v>Quantity (t)</c:v>
                </c:pt>
              </c:strCache>
            </c:strRef>
          </c:tx>
          <c:invertIfNegative val="0"/>
          <c:cat>
            <c:numRef>
              <c:f>'Petroleum - Q&amp;V 2'!$AD$37:$AD$60</c:f>
              <c:numCache>
                <c:formatCode>General</c:formatCode>
                <c:ptCount val="2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2'!$AH$37:$AH$56</c:f>
              <c:numCache>
                <c:formatCode>#,##0.00</c:formatCode>
                <c:ptCount val="20"/>
                <c:pt idx="0">
                  <c:v>721688</c:v>
                </c:pt>
                <c:pt idx="1">
                  <c:v>870730</c:v>
                </c:pt>
                <c:pt idx="2">
                  <c:v>862231</c:v>
                </c:pt>
                <c:pt idx="3">
                  <c:v>893914</c:v>
                </c:pt>
                <c:pt idx="4">
                  <c:v>764668</c:v>
                </c:pt>
                <c:pt idx="5">
                  <c:v>950524</c:v>
                </c:pt>
                <c:pt idx="6">
                  <c:v>988724</c:v>
                </c:pt>
                <c:pt idx="7">
                  <c:v>861480</c:v>
                </c:pt>
                <c:pt idx="8">
                  <c:v>809878</c:v>
                </c:pt>
                <c:pt idx="9">
                  <c:v>685934</c:v>
                </c:pt>
                <c:pt idx="10">
                  <c:v>357609</c:v>
                </c:pt>
                <c:pt idx="11">
                  <c:v>501903</c:v>
                </c:pt>
                <c:pt idx="12">
                  <c:v>575755</c:v>
                </c:pt>
                <c:pt idx="13">
                  <c:v>456275</c:v>
                </c:pt>
                <c:pt idx="14">
                  <c:v>463110</c:v>
                </c:pt>
                <c:pt idx="15">
                  <c:v>519453.82000000007</c:v>
                </c:pt>
                <c:pt idx="16">
                  <c:v>453184.41000000003</c:v>
                </c:pt>
                <c:pt idx="17">
                  <c:v>645819.22963855416</c:v>
                </c:pt>
                <c:pt idx="18">
                  <c:v>706846.15355983691</c:v>
                </c:pt>
                <c:pt idx="19">
                  <c:v>672782.72932661325</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 2'!$AJ$36</c:f>
              <c:strCache>
                <c:ptCount val="1"/>
                <c:pt idx="0">
                  <c:v>Value ($ Million)</c:v>
                </c:pt>
              </c:strCache>
            </c:strRef>
          </c:tx>
          <c:marker>
            <c:symbol val="none"/>
          </c:marker>
          <c:cat>
            <c:numRef>
              <c:f>'Petroleum - Q&amp;V 2'!$AD$37:$AD$60</c:f>
              <c:numCache>
                <c:formatCode>General</c:formatCode>
                <c:ptCount val="2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2'!$AJ$37:$AJ$56</c:f>
              <c:numCache>
                <c:formatCode>#,##0.00</c:formatCode>
                <c:ptCount val="20"/>
                <c:pt idx="0">
                  <c:v>340.417957</c:v>
                </c:pt>
                <c:pt idx="1">
                  <c:v>544.2220213563287</c:v>
                </c:pt>
                <c:pt idx="2">
                  <c:v>613.83007330998862</c:v>
                </c:pt>
                <c:pt idx="3">
                  <c:v>686.63688681833992</c:v>
                </c:pt>
                <c:pt idx="4">
                  <c:v>754.34074919629415</c:v>
                </c:pt>
                <c:pt idx="5">
                  <c:v>612.77696613916544</c:v>
                </c:pt>
                <c:pt idx="6">
                  <c:v>763.32843501571767</c:v>
                </c:pt>
                <c:pt idx="7">
                  <c:v>745.87995994549283</c:v>
                </c:pt>
                <c:pt idx="8">
                  <c:v>729.15576319075694</c:v>
                </c:pt>
                <c:pt idx="9">
                  <c:v>600.13530129233538</c:v>
                </c:pt>
                <c:pt idx="10">
                  <c:v>309.00702295666264</c:v>
                </c:pt>
                <c:pt idx="11">
                  <c:v>254.10829640322834</c:v>
                </c:pt>
                <c:pt idx="12">
                  <c:v>288.14071602423235</c:v>
                </c:pt>
                <c:pt idx="13">
                  <c:v>288.49812577110589</c:v>
                </c:pt>
                <c:pt idx="14">
                  <c:v>348.82439421846777</c:v>
                </c:pt>
                <c:pt idx="15">
                  <c:v>337.36048056236109</c:v>
                </c:pt>
                <c:pt idx="16">
                  <c:v>218.93062664962801</c:v>
                </c:pt>
                <c:pt idx="17">
                  <c:v>527.81230746306744</c:v>
                </c:pt>
                <c:pt idx="18">
                  <c:v>739.59120038634774</c:v>
                </c:pt>
                <c:pt idx="19">
                  <c:v>590.64039129540583</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DEMIRS,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2'!$AK$36</c:f>
              <c:strCache>
                <c:ptCount val="1"/>
                <c:pt idx="0">
                  <c:v>Quantity (000 cubic metres)</c:v>
                </c:pt>
              </c:strCache>
            </c:strRef>
          </c:tx>
          <c:invertIfNegative val="0"/>
          <c:cat>
            <c:numRef>
              <c:f>'Petroleum - Q&amp;V 2'!$AD$37:$AD$56</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2'!$AK$37:$AK$56</c:f>
              <c:numCache>
                <c:formatCode>#,##0.00</c:formatCode>
                <c:ptCount val="20"/>
                <c:pt idx="0">
                  <c:v>7713691</c:v>
                </c:pt>
                <c:pt idx="1">
                  <c:v>7406249</c:v>
                </c:pt>
                <c:pt idx="2">
                  <c:v>8364468</c:v>
                </c:pt>
                <c:pt idx="3">
                  <c:v>9174076</c:v>
                </c:pt>
                <c:pt idx="4">
                  <c:v>8502567</c:v>
                </c:pt>
                <c:pt idx="5">
                  <c:v>9312415</c:v>
                </c:pt>
                <c:pt idx="6">
                  <c:v>9226158</c:v>
                </c:pt>
                <c:pt idx="7">
                  <c:v>8869413</c:v>
                </c:pt>
                <c:pt idx="8">
                  <c:v>9009209</c:v>
                </c:pt>
                <c:pt idx="9">
                  <c:v>9297667</c:v>
                </c:pt>
                <c:pt idx="10">
                  <c:v>9590165.3870000001</c:v>
                </c:pt>
                <c:pt idx="11">
                  <c:v>10016682.171999998</c:v>
                </c:pt>
                <c:pt idx="12">
                  <c:v>10044024.695659999</c:v>
                </c:pt>
                <c:pt idx="13">
                  <c:v>10148197.224273</c:v>
                </c:pt>
                <c:pt idx="14">
                  <c:v>10222884.855462998</c:v>
                </c:pt>
                <c:pt idx="15">
                  <c:v>10885167.816430001</c:v>
                </c:pt>
                <c:pt idx="16">
                  <c:v>10773908.378070001</c:v>
                </c:pt>
                <c:pt idx="17">
                  <c:v>9966280.1051700003</c:v>
                </c:pt>
                <c:pt idx="18">
                  <c:v>10427155.549738221</c:v>
                </c:pt>
                <c:pt idx="19">
                  <c:v>10327638.965968587</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 2'!$AM$36</c:f>
              <c:strCache>
                <c:ptCount val="1"/>
                <c:pt idx="0">
                  <c:v>Value ($ Million)</c:v>
                </c:pt>
              </c:strCache>
            </c:strRef>
          </c:tx>
          <c:marker>
            <c:symbol val="none"/>
          </c:marker>
          <c:cat>
            <c:numRef>
              <c:f>'Petroleum - Q&amp;V 2'!$AD$37:$AD$60</c:f>
              <c:numCache>
                <c:formatCode>General</c:formatCode>
                <c:ptCount val="2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'Petroleum - Q&amp;V 2'!$AM$37:$AM$56</c:f>
              <c:numCache>
                <c:formatCode>#,##0.00</c:formatCode>
                <c:ptCount val="20"/>
                <c:pt idx="0">
                  <c:v>655.45823199999995</c:v>
                </c:pt>
                <c:pt idx="1">
                  <c:v>661.61064599999997</c:v>
                </c:pt>
                <c:pt idx="2">
                  <c:v>816.67366399999992</c:v>
                </c:pt>
                <c:pt idx="3">
                  <c:v>1002.465839</c:v>
                </c:pt>
                <c:pt idx="4">
                  <c:v>1191.442427</c:v>
                </c:pt>
                <c:pt idx="5">
                  <c:v>1156.2353419999999</c:v>
                </c:pt>
                <c:pt idx="6">
                  <c:v>1391.1696790000001</c:v>
                </c:pt>
                <c:pt idx="7">
                  <c:v>1421.1261059999999</c:v>
                </c:pt>
                <c:pt idx="8">
                  <c:v>1470.5418970000001</c:v>
                </c:pt>
                <c:pt idx="9">
                  <c:v>1559.45633</c:v>
                </c:pt>
                <c:pt idx="10">
                  <c:v>1779.2849022361886</c:v>
                </c:pt>
                <c:pt idx="11">
                  <c:v>1861.5234301979999</c:v>
                </c:pt>
                <c:pt idx="12">
                  <c:v>1901.5378175870001</c:v>
                </c:pt>
                <c:pt idx="13">
                  <c:v>1796.3566788560001</c:v>
                </c:pt>
                <c:pt idx="14">
                  <c:v>1543.1121670929001</c:v>
                </c:pt>
                <c:pt idx="15">
                  <c:v>1448.324554287</c:v>
                </c:pt>
                <c:pt idx="16">
                  <c:v>1472.4147977350001</c:v>
                </c:pt>
                <c:pt idx="17">
                  <c:v>1943.6706842849999</c:v>
                </c:pt>
                <c:pt idx="18">
                  <c:v>2166.2656400511623</c:v>
                </c:pt>
                <c:pt idx="19">
                  <c:v>2753.859242601683</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DEMIRS,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2023
Total Value: $</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2.9279988650067312E-2"/>
                  <c:y val="-0.195699711516442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0.12464908036394787"/>
                  <c:y val="-7.229344660321862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dLbl>
              <c:idx val="4"/>
              <c:layout>
                <c:manualLayout>
                  <c:x val="6.4674753493650983E-2"/>
                  <c:y val="-2.738315515082343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688915872797299"/>
                      <c:h val="9.7780072276716576E-2"/>
                    </c:manualLayout>
                  </c15:layout>
                </c:ext>
                <c:ext xmlns:c16="http://schemas.microsoft.com/office/drawing/2014/chart" uri="{C3380CC4-5D6E-409C-BE32-E72D297353CC}">
                  <c16:uniqueId val="{00000004-BB5D-46A8-92B9-7E28F0CD0577}"/>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D-46A8-92B9-7E28F0CD0577}"/>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D-46A8-92B9-7E28F0CD0577}"/>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D-46A8-92B9-7E28F0CD0577}"/>
                </c:ext>
              </c:extLst>
            </c:dLbl>
            <c:dLbl>
              <c:idx val="8"/>
              <c:layout>
                <c:manualLayout>
                  <c:x val="0.11271818367696089"/>
                  <c:y val="3.42540687834774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5D-46A8-92B9-7E28F0CD0577}"/>
                </c:ext>
              </c:extLst>
            </c:dLbl>
            <c:dLbl>
              <c:idx val="9"/>
              <c:layout>
                <c:manualLayout>
                  <c:x val="0.12346924043079671"/>
                  <c:y val="0.10440199267495297"/>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190779014308427"/>
                      <c:h val="6.5001461185718062E-2"/>
                    </c:manualLayout>
                  </c15:layout>
                </c:ext>
                <c:ext xmlns:c16="http://schemas.microsoft.com/office/drawing/2014/chart" uri="{C3380CC4-5D6E-409C-BE32-E72D297353CC}">
                  <c16:uniqueId val="{00000009-BB5D-46A8-92B9-7E28F0CD0577}"/>
                </c:ext>
              </c:extLst>
            </c:dLbl>
            <c:dLbl>
              <c:idx val="10"/>
              <c:layout>
                <c:manualLayout>
                  <c:x val="-1.3028387349832464E-2"/>
                  <c:y val="9.821516847334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Taiwan, Province Of China</c:v>
                </c:pt>
                <c:pt idx="5">
                  <c:v>Thailand</c:v>
                </c:pt>
                <c:pt idx="6">
                  <c:v>Malaysia</c:v>
                </c:pt>
                <c:pt idx="7">
                  <c:v>Indonesia</c:v>
                </c:pt>
                <c:pt idx="8">
                  <c:v>Brunei Darussalam</c:v>
                </c:pt>
                <c:pt idx="9">
                  <c:v>India</c:v>
                </c:pt>
                <c:pt idx="10">
                  <c:v>Other</c:v>
                </c:pt>
              </c:strCache>
            </c:strRef>
          </c:cat>
          <c:val>
            <c:numRef>
              <c:f>'Petroleum - Exports'!$D$10:$D$20</c:f>
              <c:numCache>
                <c:formatCode>0.0%</c:formatCode>
                <c:ptCount val="11"/>
                <c:pt idx="0">
                  <c:v>0.38838311710299356</c:v>
                </c:pt>
                <c:pt idx="1">
                  <c:v>0.13646686644164946</c:v>
                </c:pt>
                <c:pt idx="2">
                  <c:v>0.12920414970187566</c:v>
                </c:pt>
                <c:pt idx="3">
                  <c:v>0.11611948976282785</c:v>
                </c:pt>
                <c:pt idx="4">
                  <c:v>9.94513504667002E-2</c:v>
                </c:pt>
                <c:pt idx="5">
                  <c:v>5.9475147885704328E-2</c:v>
                </c:pt>
                <c:pt idx="6">
                  <c:v>2.7288636594375231E-2</c:v>
                </c:pt>
                <c:pt idx="7">
                  <c:v>2.166938502390971E-2</c:v>
                </c:pt>
                <c:pt idx="8">
                  <c:v>1.0560995345139381E-2</c:v>
                </c:pt>
                <c:pt idx="9">
                  <c:v>3.6705741683558707E-3</c:v>
                </c:pt>
                <c:pt idx="10">
                  <c:v>7.710287506468903E-3</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invertIfNegative val="0"/>
          <c:cat>
            <c:numRef>
              <c:f>'Petroleum - WA vs Aus 1'!$A$7:$A$65</c:f>
              <c:numCache>
                <c:formatCode>General</c:formatCode>
                <c:ptCount val="59"/>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numCache>
            </c:numRef>
          </c:cat>
          <c:val>
            <c:numRef>
              <c:f>'Petroleum - WA vs Aus 1'!$B$7:$B$65</c:f>
              <c:numCache>
                <c:formatCode>#,##0.00</c:formatCode>
                <c:ptCount val="59"/>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12.524324309000001</c:v>
                </c:pt>
                <c:pt idx="50">
                  <c:v>14.973535984</c:v>
                </c:pt>
                <c:pt idx="51">
                  <c:v>12.270888789022798</c:v>
                </c:pt>
                <c:pt idx="52">
                  <c:v>11.54600424643619</c:v>
                </c:pt>
                <c:pt idx="53">
                  <c:v>12.419739846484219</c:v>
                </c:pt>
                <c:pt idx="54">
                  <c:v>17.034276296441195</c:v>
                </c:pt>
                <c:pt idx="55">
                  <c:v>15.947245886093519</c:v>
                </c:pt>
                <c:pt idx="56">
                  <c:v>16.744140372760548</c:v>
                </c:pt>
                <c:pt idx="57">
                  <c:v>15.550406529337572</c:v>
                </c:pt>
                <c:pt idx="58">
                  <c:v>14.415667303148282</c:v>
                </c:pt>
              </c:numCache>
            </c:numRef>
          </c:val>
          <c:extLst>
            <c:ext xmlns:c16="http://schemas.microsoft.com/office/drawing/2014/chart" uri="{C3380CC4-5D6E-409C-BE32-E72D297353CC}">
              <c16:uniqueId val="{00000000-3AE8-427B-B41D-3A814E57DB29}"/>
            </c:ext>
          </c:extLst>
        </c:ser>
        <c:ser>
          <c:idx val="1"/>
          <c:order val="1"/>
          <c:invertIfNegative val="0"/>
          <c:cat>
            <c:numRef>
              <c:f>'Petroleum - WA vs Aus 1'!$A$7:$A$65</c:f>
              <c:numCache>
                <c:formatCode>General</c:formatCode>
                <c:ptCount val="59"/>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numCache>
            </c:numRef>
          </c:cat>
          <c:val>
            <c:numRef>
              <c:f>'Petroleum - WA vs Aus 1'!$C$7:$C$65</c:f>
              <c:numCache>
                <c:formatCode>#,##0.00</c:formatCode>
                <c:ptCount val="59"/>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5.9488090000000007</c:v>
                </c:pt>
                <c:pt idx="48">
                  <c:v>6.1817520000000012</c:v>
                </c:pt>
                <c:pt idx="49">
                  <c:v>7.9256756909999986</c:v>
                </c:pt>
                <c:pt idx="50">
                  <c:v>3.6764640159999988</c:v>
                </c:pt>
                <c:pt idx="51">
                  <c:v>4.7191112109772</c:v>
                </c:pt>
                <c:pt idx="52">
                  <c:v>4.941995753563809</c:v>
                </c:pt>
                <c:pt idx="53">
                  <c:v>5.0628409999999997</c:v>
                </c:pt>
                <c:pt idx="54">
                  <c:v>6.0302290000000003</c:v>
                </c:pt>
                <c:pt idx="55">
                  <c:v>5.7037979999999999</c:v>
                </c:pt>
                <c:pt idx="56">
                  <c:v>4.7230239705586303</c:v>
                </c:pt>
                <c:pt idx="57">
                  <c:v>4.3304269493691496</c:v>
                </c:pt>
                <c:pt idx="58">
                  <c:v>4.02621979819489</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a:t>
                </a:r>
              </a:p>
            </c:rich>
          </c:tx>
          <c:layout>
            <c:manualLayout>
              <c:xMode val="edge"/>
              <c:yMode val="edge"/>
              <c:x val="1.4200544030956004E-2"/>
              <c:y val="0.48363461278749553"/>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1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cat>
            <c:numRef>
              <c:f>'Petroleum - WA vs Aus 1'!$P$8:$P$17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1'!$Q$8:$Q$17</c:f>
              <c:numCache>
                <c:formatCode>0.00</c:formatCode>
                <c:ptCount val="10"/>
                <c:pt idx="0">
                  <c:v>12.524324309000001</c:v>
                </c:pt>
                <c:pt idx="1">
                  <c:v>14.973535984</c:v>
                </c:pt>
                <c:pt idx="2">
                  <c:v>12.270888789022798</c:v>
                </c:pt>
                <c:pt idx="3">
                  <c:v>11.54600424643619</c:v>
                </c:pt>
                <c:pt idx="4">
                  <c:v>12.419739846484219</c:v>
                </c:pt>
                <c:pt idx="5">
                  <c:v>17.034276296441195</c:v>
                </c:pt>
                <c:pt idx="6">
                  <c:v>15.947245886093519</c:v>
                </c:pt>
                <c:pt idx="7">
                  <c:v>16.744140372760548</c:v>
                </c:pt>
                <c:pt idx="8">
                  <c:v>15.550406529337572</c:v>
                </c:pt>
                <c:pt idx="9">
                  <c:v>14.415667303148282</c:v>
                </c:pt>
              </c:numCache>
            </c:numRef>
          </c:val>
          <c:smooth val="0"/>
          <c:extLst>
            <c:ext xmlns:c16="http://schemas.microsoft.com/office/drawing/2014/chart" uri="{C3380CC4-5D6E-409C-BE32-E72D297353CC}">
              <c16:uniqueId val="{00000000-A049-4FC3-A6DD-BE9B38C6E224}"/>
            </c:ext>
          </c:extLst>
        </c:ser>
        <c:ser>
          <c:idx val="1"/>
          <c:order val="1"/>
          <c:tx>
            <c:v>Rest of Australia</c:v>
          </c:tx>
          <c:cat>
            <c:numRef>
              <c:f>'Petroleum - WA vs Aus 1'!$P$8:$P$17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1'!$R$8:$R$17</c:f>
              <c:numCache>
                <c:formatCode>0.00</c:formatCode>
                <c:ptCount val="10"/>
                <c:pt idx="0">
                  <c:v>7.9256756909999986</c:v>
                </c:pt>
                <c:pt idx="1">
                  <c:v>3.6764640159999988</c:v>
                </c:pt>
                <c:pt idx="2">
                  <c:v>4.7191112109772</c:v>
                </c:pt>
                <c:pt idx="3">
                  <c:v>4.941995753563809</c:v>
                </c:pt>
                <c:pt idx="4">
                  <c:v>5.0628409999999997</c:v>
                </c:pt>
                <c:pt idx="5">
                  <c:v>6.0302290000000003</c:v>
                </c:pt>
                <c:pt idx="6">
                  <c:v>5.7037979999999999</c:v>
                </c:pt>
                <c:pt idx="7">
                  <c:v>4.7230239705586303</c:v>
                </c:pt>
                <c:pt idx="8">
                  <c:v>4.3304269493691496</c:v>
                </c:pt>
                <c:pt idx="9">
                  <c:v>4.02621979819489</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max val="20"/>
        </c:scaling>
        <c:delete val="0"/>
        <c:axPos val="l"/>
        <c:majorGridlines/>
        <c:title>
          <c:tx>
            <c:rich>
              <a:bodyPr/>
              <a:lstStyle/>
              <a:p>
                <a:pPr>
                  <a:defRPr/>
                </a:pPr>
                <a:r>
                  <a:rPr lang="en-AU"/>
                  <a:t>Gigalitres</a:t>
                </a:r>
              </a:p>
            </c:rich>
          </c:tx>
          <c:layout>
            <c:manualLayout>
              <c:xMode val="edge"/>
              <c:yMode val="edge"/>
              <c:x val="1.1978419980381801E-2"/>
              <c:y val="0.48888456756670601"/>
            </c:manualLayout>
          </c:layout>
          <c:overlay val="0"/>
        </c:title>
        <c:numFmt formatCode="0" sourceLinked="0"/>
        <c:majorTickMark val="out"/>
        <c:minorTickMark val="none"/>
        <c:tickLblPos val="nextTo"/>
        <c:crossAx val="136997888"/>
        <c:crosses val="autoZero"/>
        <c:crossBetween val="between"/>
        <c:majorUnit val="4"/>
      </c:valAx>
      <c:catAx>
        <c:axId val="136997888"/>
        <c:scaling>
          <c:orientation val="minMax"/>
        </c:scaling>
        <c:delete val="0"/>
        <c:axPos val="b"/>
        <c:title>
          <c:tx>
            <c:rich>
              <a:bodyPr/>
              <a:lstStyle/>
              <a:p>
                <a:pPr>
                  <a:defRPr sz="900"/>
                </a:pPr>
                <a:r>
                  <a:rPr lang="en-AU" sz="900" b="1" i="0" baseline="0">
                    <a:effectLst/>
                  </a:rPr>
                  <a:t>Source:  DEMIRS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 </a:t>
            </a:r>
            <a:br>
              <a:rPr lang="en-AU"/>
            </a:br>
            <a:r>
              <a:rPr lang="en-AU" sz="1100"/>
              <a:t>Western Australia vs Rest of Australia</a:t>
            </a:r>
            <a:endParaRPr lang="en-AU"/>
          </a:p>
        </c:rich>
      </c:tx>
      <c:layout>
        <c:manualLayout>
          <c:xMode val="edge"/>
          <c:yMode val="edge"/>
          <c:x val="0.3688238201478522"/>
          <c:y val="3.7220978671236971E-2"/>
        </c:manualLayout>
      </c:layout>
      <c:overlay val="0"/>
    </c:title>
    <c:autoTitleDeleted val="0"/>
    <c:plotArea>
      <c:layout>
        <c:manualLayout>
          <c:layoutTarget val="inner"/>
          <c:xMode val="edge"/>
          <c:yMode val="edge"/>
          <c:x val="8.6161382089374905E-2"/>
          <c:y val="0.24354848062764717"/>
          <c:w val="0.87125098303225634"/>
          <c:h val="0.6079428544485832"/>
        </c:manualLayout>
      </c:layout>
      <c:barChart>
        <c:barDir val="col"/>
        <c:grouping val="stacked"/>
        <c:varyColors val="0"/>
        <c:ser>
          <c:idx val="0"/>
          <c:order val="0"/>
          <c:invertIfNegative val="0"/>
          <c:cat>
            <c:numRef>
              <c:f>'Petroleum - WA vs Aus 2'!$A$7:$A$41</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'Petroleum - WA vs Aus 2'!$B$7:$B$41</c:f>
              <c:numCache>
                <c:formatCode>#,##0</c:formatCode>
                <c:ptCount val="35"/>
                <c:pt idx="0">
                  <c:v>724675</c:v>
                </c:pt>
                <c:pt idx="1">
                  <c:v>2945027.3076923075</c:v>
                </c:pt>
                <c:pt idx="2">
                  <c:v>3938443.6153846155</c:v>
                </c:pt>
                <c:pt idx="3">
                  <c:v>4570048.634615385</c:v>
                </c:pt>
                <c:pt idx="4">
                  <c:v>5091341.923076923</c:v>
                </c:pt>
                <c:pt idx="5">
                  <c:v>6445317.692307692</c:v>
                </c:pt>
                <c:pt idx="6">
                  <c:v>7218118.519230769</c:v>
                </c:pt>
                <c:pt idx="7">
                  <c:v>7265855</c:v>
                </c:pt>
                <c:pt idx="8">
                  <c:v>7252140</c:v>
                </c:pt>
                <c:pt idx="9">
                  <c:v>7460694.230769231</c:v>
                </c:pt>
                <c:pt idx="10">
                  <c:v>7864308.2088672249</c:v>
                </c:pt>
                <c:pt idx="11">
                  <c:v>7808637.1174924597</c:v>
                </c:pt>
                <c:pt idx="12">
                  <c:v>7908707.098006526</c:v>
                </c:pt>
                <c:pt idx="13">
                  <c:v>8000993.128996823</c:v>
                </c:pt>
                <c:pt idx="14">
                  <c:v>8288457.5208532624</c:v>
                </c:pt>
                <c:pt idx="15">
                  <c:v>9219308.2852303274</c:v>
                </c:pt>
                <c:pt idx="16">
                  <c:v>11600612</c:v>
                </c:pt>
                <c:pt idx="17">
                  <c:v>11958780</c:v>
                </c:pt>
                <c:pt idx="18">
                  <c:v>12375731</c:v>
                </c:pt>
                <c:pt idx="19">
                  <c:v>12381004</c:v>
                </c:pt>
                <c:pt idx="20">
                  <c:v>15252516</c:v>
                </c:pt>
                <c:pt idx="21">
                  <c:v>16527193</c:v>
                </c:pt>
                <c:pt idx="22">
                  <c:v>16554099.919233976</c:v>
                </c:pt>
                <c:pt idx="23">
                  <c:v>18260551</c:v>
                </c:pt>
                <c:pt idx="24">
                  <c:v>19220443</c:v>
                </c:pt>
                <c:pt idx="25">
                  <c:v>20852601</c:v>
                </c:pt>
                <c:pt idx="26">
                  <c:v>20385653</c:v>
                </c:pt>
                <c:pt idx="27">
                  <c:v>23774656.646750003</c:v>
                </c:pt>
                <c:pt idx="28">
                  <c:v>32729696.569625001</c:v>
                </c:pt>
                <c:pt idx="29">
                  <c:v>44542484.37063162</c:v>
                </c:pt>
                <c:pt idx="30">
                  <c:v>44630925.049404502</c:v>
                </c:pt>
                <c:pt idx="31">
                  <c:v>44063943.755874999</c:v>
                </c:pt>
                <c:pt idx="32">
                  <c:v>45658665.37390922</c:v>
                </c:pt>
                <c:pt idx="33">
                  <c:v>48608467.014604151</c:v>
                </c:pt>
                <c:pt idx="34">
                  <c:v>48028219.391891703</c:v>
                </c:pt>
              </c:numCache>
            </c:numRef>
          </c:val>
          <c:extLst>
            <c:ext xmlns:c16="http://schemas.microsoft.com/office/drawing/2014/chart" uri="{C3380CC4-5D6E-409C-BE32-E72D297353CC}">
              <c16:uniqueId val="{00000000-4AD2-425E-BF05-B3CA442A2D2A}"/>
            </c:ext>
          </c:extLst>
        </c:ser>
        <c:ser>
          <c:idx val="1"/>
          <c:order val="1"/>
          <c:invertIfNegative val="0"/>
          <c:cat>
            <c:numRef>
              <c:f>'Petroleum - WA vs Aus 2'!$A$7:$A$41</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'Petroleum - WA vs Aus 2'!$C$7:$C$41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2410337.7234242707</c:v>
                </c:pt>
                <c:pt idx="18">
                  <c:v>3007797</c:v>
                </c:pt>
                <c:pt idx="19">
                  <c:v>3433344</c:v>
                </c:pt>
                <c:pt idx="20">
                  <c:v>3404654.9999999995</c:v>
                </c:pt>
                <c:pt idx="21">
                  <c:v>3289517.0000000005</c:v>
                </c:pt>
                <c:pt idx="22">
                  <c:v>3671140</c:v>
                </c:pt>
                <c:pt idx="23">
                  <c:v>3525016</c:v>
                </c:pt>
                <c:pt idx="24">
                  <c:v>4001813.2</c:v>
                </c:pt>
                <c:pt idx="25">
                  <c:v>3589960</c:v>
                </c:pt>
                <c:pt idx="26">
                  <c:v>9810036.7450183667</c:v>
                </c:pt>
                <c:pt idx="27">
                  <c:v>21123834.912853334</c:v>
                </c:pt>
                <c:pt idx="28">
                  <c:v>23720687.584956668</c:v>
                </c:pt>
                <c:pt idx="29">
                  <c:v>24660348.820281334</c:v>
                </c:pt>
                <c:pt idx="30">
                  <c:v>32764694.395784575</c:v>
                </c:pt>
                <c:pt idx="31">
                  <c:v>34173181.687156245</c:v>
                </c:pt>
                <c:pt idx="32">
                  <c:v>34977565.140725397</c:v>
                </c:pt>
                <c:pt idx="33">
                  <c:v>32634067.539353501</c:v>
                </c:pt>
                <c:pt idx="34">
                  <c:v>32690742.471300501</c:v>
                </c:pt>
              </c:numCache>
            </c:numRef>
          </c:val>
          <c:extLst>
            <c:ext xmlns:c16="http://schemas.microsoft.com/office/drawing/2014/chart" uri="{C3380CC4-5D6E-409C-BE32-E72D297353CC}">
              <c16:uniqueId val="{00000001-4AD2-425E-BF05-B3CA442A2D2A}"/>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spPr>
          <a:ln/>
        </c:spPr>
        <c:txPr>
          <a:bodyPr rot="-2700000" vert="horz"/>
          <a:lstStyle/>
          <a:p>
            <a:pPr>
              <a:defRPr/>
            </a:pPr>
            <a:endParaRPr lang="en-US"/>
          </a:p>
        </c:txPr>
        <c:crossAx val="135949312"/>
        <c:crosses val="autoZero"/>
        <c:auto val="0"/>
        <c:lblOffset val="100"/>
        <c:baseTimeUnit val="days"/>
        <c:majorUnit val="1"/>
        <c:majorTimeUnit val="days"/>
      </c:dateAx>
      <c:valAx>
        <c:axId val="135949312"/>
        <c:scaling>
          <c:orientation val="minMax"/>
          <c:max val="100000000"/>
        </c:scaling>
        <c:delete val="0"/>
        <c:axPos val="l"/>
        <c:majorGridlines/>
        <c:title>
          <c:tx>
            <c:rich>
              <a:bodyPr rot="-5400000" vert="horz"/>
              <a:lstStyle/>
              <a:p>
                <a:pPr>
                  <a:defRPr/>
                </a:pPr>
                <a:r>
                  <a:rPr lang="en-AU"/>
                  <a:t>Million tonnes</a:t>
                </a:r>
              </a:p>
            </c:rich>
          </c:tx>
          <c:layout>
            <c:manualLayout>
              <c:xMode val="edge"/>
              <c:yMode val="edge"/>
              <c:x val="1.0022176351219308E-2"/>
              <c:y val="0.47844636672096352"/>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20000000"/>
        <c:dispUnits>
          <c:builtInUnit val="millions"/>
        </c:dispUnits>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Western Australia vs Rest of Australia</a:t>
            </a:r>
          </a:p>
          <a:p>
            <a:pPr>
              <a:defRPr/>
            </a:pPr>
            <a:r>
              <a:rPr lang="en-AU" sz="1100"/>
              <a:t>Last 10 Years</a:t>
            </a:r>
          </a:p>
        </c:rich>
      </c:tx>
      <c:layout>
        <c:manualLayout>
          <c:xMode val="edge"/>
          <c:yMode val="edge"/>
          <c:x val="0.39218072410535215"/>
          <c:y val="1.8737376246023226E-2"/>
        </c:manualLayout>
      </c:layout>
      <c:overlay val="0"/>
    </c:title>
    <c:autoTitleDeleted val="0"/>
    <c:plotArea>
      <c:layout>
        <c:manualLayout>
          <c:layoutTarget val="inner"/>
          <c:xMode val="edge"/>
          <c:yMode val="edge"/>
          <c:x val="8.119890975166566E-2"/>
          <c:y val="0.28220480376266205"/>
          <c:w val="0.90385548152634765"/>
          <c:h val="0.5400152051033017"/>
        </c:manualLayout>
      </c:layout>
      <c:lineChart>
        <c:grouping val="standard"/>
        <c:varyColors val="0"/>
        <c:ser>
          <c:idx val="0"/>
          <c:order val="0"/>
          <c:tx>
            <c:strRef>
              <c:f>'Petroleum - WA vs Aus 2'!$K$10</c:f>
              <c:strCache>
                <c:ptCount val="1"/>
                <c:pt idx="0">
                  <c:v>Western Australia</c:v>
                </c:pt>
              </c:strCache>
            </c:strRef>
          </c:tx>
          <c:cat>
            <c:numRef>
              <c:f>'Petroleum - WA vs Aus 2'!$P$8:$P$17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2'!$Q$8:$Q$17</c:f>
              <c:numCache>
                <c:formatCode>#,##0</c:formatCode>
                <c:ptCount val="10"/>
                <c:pt idx="0">
                  <c:v>20852601</c:v>
                </c:pt>
                <c:pt idx="1">
                  <c:v>20385653</c:v>
                </c:pt>
                <c:pt idx="2">
                  <c:v>23774656.646750003</c:v>
                </c:pt>
                <c:pt idx="3">
                  <c:v>32729696.569625001</c:v>
                </c:pt>
                <c:pt idx="4">
                  <c:v>44542484.37063162</c:v>
                </c:pt>
                <c:pt idx="5">
                  <c:v>44630925.049404502</c:v>
                </c:pt>
                <c:pt idx="6">
                  <c:v>44063943.755874999</c:v>
                </c:pt>
                <c:pt idx="7">
                  <c:v>45658665.37390922</c:v>
                </c:pt>
                <c:pt idx="8">
                  <c:v>48608467.014604151</c:v>
                </c:pt>
                <c:pt idx="9">
                  <c:v>48028219.391891703</c:v>
                </c:pt>
              </c:numCache>
            </c:numRef>
          </c:val>
          <c:smooth val="0"/>
          <c:extLst>
            <c:ext xmlns:c16="http://schemas.microsoft.com/office/drawing/2014/chart" uri="{C3380CC4-5D6E-409C-BE32-E72D297353CC}">
              <c16:uniqueId val="{00000000-1495-441A-A4F7-FD460975FF06}"/>
            </c:ext>
          </c:extLst>
        </c:ser>
        <c:ser>
          <c:idx val="1"/>
          <c:order val="1"/>
          <c:tx>
            <c:v>Rest of Australia</c:v>
          </c:tx>
          <c:cat>
            <c:numRef>
              <c:f>'Petroleum - WA vs Aus 2'!$P$8:$P$17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2'!$R$8:$R$17</c:f>
              <c:numCache>
                <c:formatCode>#,##0</c:formatCode>
                <c:ptCount val="10"/>
                <c:pt idx="0">
                  <c:v>3589960</c:v>
                </c:pt>
                <c:pt idx="1">
                  <c:v>9810036.7450183667</c:v>
                </c:pt>
                <c:pt idx="2">
                  <c:v>21123834.912853334</c:v>
                </c:pt>
                <c:pt idx="3">
                  <c:v>23720687.584956668</c:v>
                </c:pt>
                <c:pt idx="4">
                  <c:v>24660348.820281334</c:v>
                </c:pt>
                <c:pt idx="5">
                  <c:v>32764694.395784575</c:v>
                </c:pt>
                <c:pt idx="6">
                  <c:v>34173181.687156245</c:v>
                </c:pt>
                <c:pt idx="7">
                  <c:v>34977565.140725397</c:v>
                </c:pt>
                <c:pt idx="8">
                  <c:v>32634067.539353501</c:v>
                </c:pt>
                <c:pt idx="9">
                  <c:v>32690742.471300501</c:v>
                </c:pt>
              </c:numCache>
            </c:numRef>
          </c:val>
          <c:smooth val="0"/>
          <c:extLst>
            <c:ext xmlns:c16="http://schemas.microsoft.com/office/drawing/2014/chart" uri="{C3380CC4-5D6E-409C-BE32-E72D297353CC}">
              <c16:uniqueId val="{00000001-1495-441A-A4F7-FD460975FF06}"/>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Million tonnes</a:t>
                </a:r>
              </a:p>
            </c:rich>
          </c:tx>
          <c:layout>
            <c:manualLayout>
              <c:xMode val="edge"/>
              <c:yMode val="edge"/>
              <c:x val="9.1513022410660214E-3"/>
              <c:y val="0.48905240691067464"/>
            </c:manualLayout>
          </c:layout>
          <c:overlay val="0"/>
        </c:title>
        <c:numFmt formatCode="#,##0" sourceLinked="0"/>
        <c:majorTickMark val="out"/>
        <c:minorTickMark val="none"/>
        <c:tickLblPos val="nextTo"/>
        <c:crossAx val="136997888"/>
        <c:crosses val="autoZero"/>
        <c:crossBetween val="between"/>
        <c:majorUnit val="10000000"/>
        <c:dispUnits>
          <c:builtInUnit val="millions"/>
        </c:dispUnits>
      </c:valAx>
      <c:catAx>
        <c:axId val="136997888"/>
        <c:scaling>
          <c:orientation val="minMax"/>
        </c:scaling>
        <c:delete val="0"/>
        <c:axPos val="b"/>
        <c:title>
          <c:tx>
            <c:rich>
              <a:bodyPr/>
              <a:lstStyle/>
              <a:p>
                <a:pPr>
                  <a:defRPr sz="900"/>
                </a:pPr>
                <a:r>
                  <a:rPr lang="en-AU" sz="900" b="1" i="0" baseline="0">
                    <a:effectLst/>
                  </a:rPr>
                  <a:t>Source:  DEMIRS, EnergyQuest and Woodside</a:t>
                </a:r>
                <a:endParaRPr lang="en-AU" sz="900">
                  <a:effectLst/>
                </a:endParaRPr>
              </a:p>
            </c:rich>
          </c:tx>
          <c:layout>
            <c:manualLayout>
              <c:xMode val="edge"/>
              <c:yMode val="edge"/>
              <c:x val="6.9995154451847367E-3"/>
              <c:y val="0.9524363300741252"/>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layout>
        <c:manualLayout>
          <c:xMode val="edge"/>
          <c:yMode val="edge"/>
          <c:x val="0.34430527267392302"/>
          <c:y val="0.18953757399853738"/>
          <c:w val="0.31138945465215395"/>
          <c:h val="5.6339102751711556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and Bauxite - Exports'!$W$1</c:f>
          <c:strCache>
            <c:ptCount val="1"/>
            <c:pt idx="0">
              <c:v>Alumina And Bauxite Exports 2023
Total Value: $7,136,040,673</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dLbl>
              <c:idx val="0"/>
              <c:layout>
                <c:manualLayout>
                  <c:x val="2.2480226101902308E-2"/>
                  <c:y val="9.505825346492321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57-4FBB-B4B2-7EA9506FD372}"/>
                </c:ext>
              </c:extLst>
            </c:dLbl>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FBB-B4B2-7EA9506FD372}"/>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7-4FBB-B4B2-7EA9506FD372}"/>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7-4FBB-B4B2-7EA9506FD372}"/>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7-4FBB-B4B2-7EA9506FD372}"/>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7-4FBB-B4B2-7EA9506FD372}"/>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57-4FBB-B4B2-7EA9506FD372}"/>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57-4FBB-B4B2-7EA9506FD372}"/>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57-4FBB-B4B2-7EA9506FD372}"/>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57-4FBB-B4B2-7EA9506FD372}"/>
                </c:ext>
              </c:extLst>
            </c:dLbl>
            <c:dLbl>
              <c:idx val="10"/>
              <c:layout>
                <c:manualLayout>
                  <c:x val="7.015030001539807E-2"/>
                  <c:y val="9.778005839157745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57-4FBB-B4B2-7EA9506FD372}"/>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and Bauxite - Exports'!$A$10:$A$20</c:f>
              <c:strCache>
                <c:ptCount val="11"/>
                <c:pt idx="0">
                  <c:v>Bahrain</c:v>
                </c:pt>
                <c:pt idx="1">
                  <c:v>United Arab Emirates</c:v>
                </c:pt>
                <c:pt idx="2">
                  <c:v>South Africa</c:v>
                </c:pt>
                <c:pt idx="3">
                  <c:v>Qatar</c:v>
                </c:pt>
                <c:pt idx="4">
                  <c:v>Mozambique</c:v>
                </c:pt>
                <c:pt idx="5">
                  <c:v>Iceland</c:v>
                </c:pt>
                <c:pt idx="6">
                  <c:v>China</c:v>
                </c:pt>
                <c:pt idx="7">
                  <c:v>Argentina</c:v>
                </c:pt>
                <c:pt idx="8">
                  <c:v>Oman</c:v>
                </c:pt>
                <c:pt idx="9">
                  <c:v>India</c:v>
                </c:pt>
                <c:pt idx="10">
                  <c:v>Other</c:v>
                </c:pt>
              </c:strCache>
            </c:strRef>
          </c:cat>
          <c:val>
            <c:numRef>
              <c:f>'Alumina and Bauxite - Exports'!$D$10:$D$20</c:f>
              <c:numCache>
                <c:formatCode>0.0%</c:formatCode>
                <c:ptCount val="11"/>
                <c:pt idx="0">
                  <c:v>0.2107727877403614</c:v>
                </c:pt>
                <c:pt idx="1">
                  <c:v>0.17747604002767681</c:v>
                </c:pt>
                <c:pt idx="2">
                  <c:v>9.6318333920096588E-2</c:v>
                </c:pt>
                <c:pt idx="3">
                  <c:v>9.0424430207007231E-2</c:v>
                </c:pt>
                <c:pt idx="4">
                  <c:v>7.8628485831690936E-2</c:v>
                </c:pt>
                <c:pt idx="5">
                  <c:v>5.6975158070785945E-2</c:v>
                </c:pt>
                <c:pt idx="6">
                  <c:v>5.3854689470612546E-2</c:v>
                </c:pt>
                <c:pt idx="7">
                  <c:v>4.5491601301162587E-2</c:v>
                </c:pt>
                <c:pt idx="8">
                  <c:v>3.5006639351332247E-2</c:v>
                </c:pt>
                <c:pt idx="9">
                  <c:v>3.3235417012644049E-2</c:v>
                </c:pt>
                <c:pt idx="10">
                  <c:v>0.1218164170666296</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f>'Uranium - Prices'!$F$8:$F$41</c:f>
              <c:strCache>
                <c:ptCount val="34"/>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strCache>
            </c:strRef>
          </c:cat>
          <c:val>
            <c:numRef>
              <c:f>'Uranium - Prices'!$G$8:$G$41</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 Consulting</a:t>
                </a:r>
                <a:endParaRPr lang="en-AU"/>
              </a:p>
            </c:rich>
          </c:tx>
          <c:layout>
            <c:manualLayout>
              <c:xMode val="edge"/>
              <c:yMode val="edge"/>
              <c:x val="5.8346385175967446E-3"/>
              <c:y val="0.94687223084269556"/>
            </c:manualLayout>
          </c:layout>
          <c:overlay val="0"/>
        </c:title>
        <c:numFmt formatCode="General" sourceLinked="1"/>
        <c:majorTickMark val="out"/>
        <c:minorTickMark val="none"/>
        <c:tickLblPos val="nextTo"/>
        <c:spPr>
          <a:ln/>
        </c:spPr>
        <c:txPr>
          <a:bodyPr rot="-2700000"/>
          <a:lstStyle/>
          <a:p>
            <a:pPr>
              <a:defRPr/>
            </a:pPr>
            <a:endParaRPr lang="en-US"/>
          </a:p>
        </c:txPr>
        <c:crossAx val="134880256"/>
        <c:crosses val="autoZero"/>
        <c:auto val="1"/>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layout>
            <c:manualLayout>
              <c:xMode val="edge"/>
              <c:yMode val="edge"/>
              <c:x val="1.0899182561307902E-2"/>
              <c:y val="0.4258938534242061"/>
            </c:manualLayout>
          </c:layout>
          <c:overlay val="0"/>
        </c:title>
        <c:numFmt formatCode="#,##0" sourceLinked="0"/>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43525</c:v>
                </c:pt>
                <c:pt idx="1">
                  <c:v>43556</c:v>
                </c:pt>
                <c:pt idx="2">
                  <c:v>43586</c:v>
                </c:pt>
                <c:pt idx="3">
                  <c:v>43617</c:v>
                </c:pt>
                <c:pt idx="4">
                  <c:v>43647</c:v>
                </c:pt>
                <c:pt idx="5">
                  <c:v>43678</c:v>
                </c:pt>
                <c:pt idx="6">
                  <c:v>43709</c:v>
                </c:pt>
                <c:pt idx="7">
                  <c:v>43739</c:v>
                </c:pt>
                <c:pt idx="8">
                  <c:v>43770</c:v>
                </c:pt>
                <c:pt idx="9">
                  <c:v>43800</c:v>
                </c:pt>
                <c:pt idx="10">
                  <c:v>43831</c:v>
                </c:pt>
                <c:pt idx="11">
                  <c:v>43862</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pt idx="25">
                  <c:v>44287</c:v>
                </c:pt>
                <c:pt idx="26">
                  <c:v>44317</c:v>
                </c:pt>
                <c:pt idx="27">
                  <c:v>44348</c:v>
                </c:pt>
                <c:pt idx="28">
                  <c:v>44378</c:v>
                </c:pt>
                <c:pt idx="29">
                  <c:v>44409</c:v>
                </c:pt>
                <c:pt idx="30">
                  <c:v>44440</c:v>
                </c:pt>
                <c:pt idx="31">
                  <c:v>44470</c:v>
                </c:pt>
                <c:pt idx="32">
                  <c:v>44501</c:v>
                </c:pt>
                <c:pt idx="33">
                  <c:v>44531</c:v>
                </c:pt>
                <c:pt idx="34">
                  <c:v>44562</c:v>
                </c:pt>
                <c:pt idx="35">
                  <c:v>44593</c:v>
                </c:pt>
                <c:pt idx="36">
                  <c:v>44621</c:v>
                </c:pt>
                <c:pt idx="37">
                  <c:v>44652</c:v>
                </c:pt>
                <c:pt idx="38">
                  <c:v>44682</c:v>
                </c:pt>
                <c:pt idx="39">
                  <c:v>44713</c:v>
                </c:pt>
                <c:pt idx="40">
                  <c:v>44743</c:v>
                </c:pt>
                <c:pt idx="41">
                  <c:v>44774</c:v>
                </c:pt>
                <c:pt idx="42">
                  <c:v>44805</c:v>
                </c:pt>
                <c:pt idx="43">
                  <c:v>44835</c:v>
                </c:pt>
                <c:pt idx="44">
                  <c:v>44866</c:v>
                </c:pt>
                <c:pt idx="45">
                  <c:v>44896</c:v>
                </c:pt>
                <c:pt idx="46">
                  <c:v>44927</c:v>
                </c:pt>
                <c:pt idx="47">
                  <c:v>44958</c:v>
                </c:pt>
                <c:pt idx="48">
                  <c:v>44986</c:v>
                </c:pt>
                <c:pt idx="49">
                  <c:v>45017</c:v>
                </c:pt>
                <c:pt idx="50">
                  <c:v>45047</c:v>
                </c:pt>
                <c:pt idx="51">
                  <c:v>45078</c:v>
                </c:pt>
                <c:pt idx="52">
                  <c:v>45108</c:v>
                </c:pt>
                <c:pt idx="53">
                  <c:v>45139</c:v>
                </c:pt>
                <c:pt idx="54">
                  <c:v>45170</c:v>
                </c:pt>
                <c:pt idx="55">
                  <c:v>45200</c:v>
                </c:pt>
                <c:pt idx="56">
                  <c:v>45231</c:v>
                </c:pt>
                <c:pt idx="57">
                  <c:v>45261</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title>
          <c:tx>
            <c:rich>
              <a:bodyPr/>
              <a:lstStyle/>
              <a:p>
                <a:pPr>
                  <a:defRPr/>
                </a:pPr>
                <a:r>
                  <a:rPr lang="en-AU"/>
                  <a:t>US$/lb</a:t>
                </a:r>
              </a:p>
            </c:rich>
          </c:tx>
          <c:overlay val="0"/>
        </c:title>
        <c:numFmt formatCode="#,##0" sourceLinked="0"/>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 Consulting</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1"/>
          <c:order val="0"/>
          <c:tx>
            <c:v>Western Australia</c:v>
          </c:tx>
          <c:invertIfNegative val="0"/>
          <c:cat>
            <c:numRef>
              <c:f>'Alumina and Bauxite - WA vs Aus'!$A$7:$A$70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'Alumina and Bauxite - WA vs Aus'!$B$7:$B$70</c:f>
              <c:numCache>
                <c:formatCode>0.00</c:formatCode>
                <c:ptCount val="64"/>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13.876846259999999</c:v>
                </c:pt>
                <c:pt idx="55">
                  <c:v>13.778493585999998</c:v>
                </c:pt>
                <c:pt idx="56">
                  <c:v>13.829773889999998</c:v>
                </c:pt>
                <c:pt idx="57">
                  <c:v>13.84700406</c:v>
                </c:pt>
                <c:pt idx="58">
                  <c:v>13.498431119999999</c:v>
                </c:pt>
                <c:pt idx="59">
                  <c:v>14.019717422999999</c:v>
                </c:pt>
                <c:pt idx="60">
                  <c:v>14.242609689999998</c:v>
                </c:pt>
                <c:pt idx="61">
                  <c:v>14.193521710000001</c:v>
                </c:pt>
                <c:pt idx="62">
                  <c:v>13.462240954</c:v>
                </c:pt>
                <c:pt idx="63">
                  <c:v>12.762861729999999</c:v>
                </c:pt>
              </c:numCache>
            </c:numRef>
          </c:val>
          <c:extLst>
            <c:ext xmlns:c16="http://schemas.microsoft.com/office/drawing/2014/chart" uri="{C3380CC4-5D6E-409C-BE32-E72D297353CC}">
              <c16:uniqueId val="{00000001-FE89-4352-92E3-13AC316F4EC8}"/>
            </c:ext>
          </c:extLst>
        </c:ser>
        <c:ser>
          <c:idx val="2"/>
          <c:order val="1"/>
          <c:tx>
            <c:v>Rest of Australia</c:v>
          </c:tx>
          <c:invertIfNegative val="0"/>
          <c:cat>
            <c:numRef>
              <c:f>'Alumina and Bauxite - WA vs Aus'!$A$7:$A$70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'Alumina and Bauxite - WA vs Aus'!$C$7:$C$70</c:f>
              <c:numCache>
                <c:formatCode>0.00</c:formatCode>
                <c:ptCount val="64"/>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7.5180300000000013</c:v>
                </c:pt>
                <c:pt idx="50">
                  <c:v>7.426714999999998</c:v>
                </c:pt>
                <c:pt idx="51">
                  <c:v>7.1075160000000004</c:v>
                </c:pt>
                <c:pt idx="52">
                  <c:v>8.5454506099999996</c:v>
                </c:pt>
                <c:pt idx="53">
                  <c:v>7.9025564700000004</c:v>
                </c:pt>
                <c:pt idx="54">
                  <c:v>6.5986737400000006</c:v>
                </c:pt>
                <c:pt idx="55">
                  <c:v>6.3186864140000036</c:v>
                </c:pt>
                <c:pt idx="56">
                  <c:v>6.8510561100000018</c:v>
                </c:pt>
                <c:pt idx="57">
                  <c:v>6.638765939999999</c:v>
                </c:pt>
                <c:pt idx="58">
                  <c:v>6.5633688799999987</c:v>
                </c:pt>
                <c:pt idx="59">
                  <c:v>6.2194805770000023</c:v>
                </c:pt>
                <c:pt idx="60">
                  <c:v>6.5945323100000017</c:v>
                </c:pt>
                <c:pt idx="61">
                  <c:v>6.4305662899999998</c:v>
                </c:pt>
                <c:pt idx="62">
                  <c:v>6.1139330459999979</c:v>
                </c:pt>
                <c:pt idx="63">
                  <c:v>6.0402032489999993</c:v>
                </c:pt>
              </c:numCache>
            </c:numRef>
          </c:val>
          <c:extLst>
            <c:ext xmlns:c16="http://schemas.microsoft.com/office/drawing/2014/chart" uri="{C3380CC4-5D6E-409C-BE32-E72D297353CC}">
              <c16:uniqueId val="{00000000-C27C-4A9D-9C7B-FB1DFFC78EB7}"/>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Offset val="100"/>
        <c:baseTimeUnit val="days"/>
        <c:majorUnit val="3"/>
        <c:majorTimeUnit val="days"/>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22.xml"/><Relationship Id="rId7" Type="http://schemas.openxmlformats.org/officeDocument/2006/relationships/hyperlink" Target="#Index!A1"/><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2.png"/></Relationships>
</file>

<file path=xl/drawings/_rels/drawing4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2.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2.png"/></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2.png"/></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image" Target="../media/image2.png"/></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2.png"/></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2.png"/></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2.png"/></Relationships>
</file>

<file path=xl/drawings/_rels/drawing6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71.xml"/><Relationship Id="rId7"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75.xml"/></Relationships>
</file>

<file path=xl/drawings/_rels/drawing6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image" Target="../media/image2.png"/></Relationships>
</file>

<file path=xl/drawings/_rels/drawing6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11</xdr:col>
          <xdr:colOff>409575</xdr:colOff>
          <xdr:row>22</xdr:row>
          <xdr:rowOff>85725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2</xdr:col>
      <xdr:colOff>593297</xdr:colOff>
      <xdr:row>4</xdr:row>
      <xdr:rowOff>7251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xdr:blipFill>
      <xdr:spPr>
        <a:xfrm>
          <a:off x="0" y="0"/>
          <a:ext cx="2622122" cy="7692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175</xdr:row>
      <xdr:rowOff>28575</xdr:rowOff>
    </xdr:from>
    <xdr:to>
      <xdr:col>0</xdr:col>
      <xdr:colOff>2828925</xdr:colOff>
      <xdr:row>178</xdr:row>
      <xdr:rowOff>123825</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66675" y="33394650"/>
          <a:ext cx="27622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38101</xdr:colOff>
      <xdr:row>5</xdr:row>
      <xdr:rowOff>171450</xdr:rowOff>
    </xdr:from>
    <xdr:to>
      <xdr:col>16</xdr:col>
      <xdr:colOff>57151</xdr:colOff>
      <xdr:row>25</xdr:row>
      <xdr:rowOff>123826</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27</xdr:row>
      <xdr:rowOff>133351</xdr:rowOff>
    </xdr:from>
    <xdr:to>
      <xdr:col>6</xdr:col>
      <xdr:colOff>19050</xdr:colOff>
      <xdr:row>34</xdr:row>
      <xdr:rowOff>9525</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600075" y="5543551"/>
          <a:ext cx="5372100" cy="120967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Western Australia does not include ilmenite feedstock used in the production of synthetic rutile. </a:t>
          </a:r>
          <a:r>
            <a:rPr lang="en-AU" sz="1100" baseline="0">
              <a:solidFill>
                <a:schemeClr val="dk1"/>
              </a:solidFill>
              <a:effectLst/>
              <a:latin typeface="+mn-lt"/>
              <a:ea typeface="+mn-ea"/>
              <a:cs typeface="+mn-cs"/>
            </a:rPr>
            <a:t>Synthetic rutile production in Western Australia is also not included in r</a:t>
          </a:r>
          <a:r>
            <a:rPr lang="en-AU" sz="1100" baseline="0"/>
            <a:t>utile figures.</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Figures for all minerals are for 2023. Crude Oil and LNG are for 2022 due to rest of world production for 2023 being unavailable at the time of publication.</a:t>
          </a:r>
          <a:endParaRPr lang="en-AU">
            <a:effectLst/>
          </a:endParaRPr>
        </a:p>
        <a:p>
          <a:endParaRPr lang="en-AU" sz="1100" baseline="0"/>
        </a:p>
      </xdr:txBody>
    </xdr:sp>
    <xdr:clientData/>
  </xdr:twoCellAnchor>
  <xdr:oneCellAnchor>
    <xdr:from>
      <xdr:col>0</xdr:col>
      <xdr:colOff>0</xdr:colOff>
      <xdr:row>0</xdr:row>
      <xdr:rowOff>0</xdr:rowOff>
    </xdr:from>
    <xdr:ext cx="2622122" cy="769251"/>
    <xdr:pic>
      <xdr:nvPicPr>
        <xdr:cNvPr id="5" name="Picture 4">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oneCellAnchor>
</xdr:wsDr>
</file>

<file path=xl/drawings/drawing14.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DEMIRS</a:t>
          </a:r>
          <a:r>
            <a:rPr lang="en-AU" sz="900" b="1" baseline="0"/>
            <a:t>, EnergyQuest, </a:t>
          </a:r>
          <a:r>
            <a:rPr lang="en-AU" sz="900" b="1" baseline="0">
              <a:solidFill>
                <a:schemeClr val="dk1"/>
              </a:solidFill>
              <a:effectLst/>
              <a:latin typeface="+mn-lt"/>
              <a:ea typeface="+mn-ea"/>
              <a:cs typeface="+mn-cs"/>
            </a:rPr>
            <a:t>OoCE, </a:t>
          </a:r>
          <a:r>
            <a:rPr lang="en-AU" sz="900" b="1" baseline="0"/>
            <a:t>USGS, BP</a:t>
          </a:r>
          <a:endParaRPr lang="en-AU" sz="900" b="1"/>
        </a:p>
      </cdr:txBody>
    </cdr:sp>
  </cdr:relSizeAnchor>
</c:userShapes>
</file>

<file path=xl/drawings/drawing15.xml><?xml version="1.0" encoding="utf-8"?>
<xdr:wsDr xmlns:xdr="http://schemas.openxmlformats.org/drawingml/2006/spreadsheetDrawing" xmlns:a="http://schemas.openxmlformats.org/drawingml/2006/main">
  <xdr:twoCellAnchor>
    <xdr:from>
      <xdr:col>11</xdr:col>
      <xdr:colOff>263523</xdr:colOff>
      <xdr:row>27</xdr:row>
      <xdr:rowOff>177800</xdr:rowOff>
    </xdr:from>
    <xdr:to>
      <xdr:col>23</xdr:col>
      <xdr:colOff>465667</xdr:colOff>
      <xdr:row>50</xdr:row>
      <xdr:rowOff>82737</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233995</xdr:colOff>
      <xdr:row>6</xdr:row>
      <xdr:rowOff>3704</xdr:rowOff>
    </xdr:from>
    <xdr:to>
      <xdr:col>23</xdr:col>
      <xdr:colOff>389467</xdr:colOff>
      <xdr:row>26</xdr:row>
      <xdr:rowOff>143933</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6815770" y="1156229"/>
          <a:ext cx="7908822" cy="3950229"/>
          <a:chOff x="5073045" y="641013"/>
          <a:chExt cx="6007410" cy="3943176"/>
        </a:xfrm>
      </xdr:grpSpPr>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5095874" y="641013"/>
          <a:ext cx="5984581" cy="394317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073045" y="4352925"/>
            <a:ext cx="79123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2</xdr:col>
      <xdr:colOff>1002872</xdr:colOff>
      <xdr:row>4</xdr:row>
      <xdr:rowOff>7251</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200025</xdr:colOff>
      <xdr:row>9</xdr:row>
      <xdr:rowOff>5667</xdr:rowOff>
    </xdr:from>
    <xdr:to>
      <xdr:col>17</xdr:col>
      <xdr:colOff>268676</xdr:colOff>
      <xdr:row>30</xdr:row>
      <xdr:rowOff>128931</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179917</xdr:colOff>
      <xdr:row>32</xdr:row>
      <xdr:rowOff>7595</xdr:rowOff>
    </xdr:from>
    <xdr:to>
      <xdr:col>17</xdr:col>
      <xdr:colOff>310761</xdr:colOff>
      <xdr:row>53</xdr:row>
      <xdr:rowOff>119032</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104775</xdr:rowOff>
    </xdr:from>
    <xdr:to>
      <xdr:col>21</xdr:col>
      <xdr:colOff>38100</xdr:colOff>
      <xdr:row>23</xdr:row>
      <xdr:rowOff>152400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3658849" y="4124325"/>
          <a:ext cx="3343276" cy="6191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From</a:t>
          </a:r>
          <a:r>
            <a:rPr lang="en-AU" sz="1100" baseline="0"/>
            <a:t> </a:t>
          </a:r>
          <a:r>
            <a:rPr lang="en-AU" sz="1100"/>
            <a:t>Q2 2016 to Q4 2021, in addition to its alumina exports, Alcoa</a:t>
          </a:r>
          <a:r>
            <a:rPr lang="en-AU" sz="1100" baseline="0"/>
            <a:t> produced and exported unrefined bauxite.</a:t>
          </a:r>
        </a:p>
      </xdr:txBody>
    </xdr:sp>
    <xdr:clientData/>
  </xdr:twoCellAnchor>
  <xdr:twoCellAnchor editAs="oneCell">
    <xdr:from>
      <xdr:col>0</xdr:col>
      <xdr:colOff>0</xdr:colOff>
      <xdr:row>0</xdr:row>
      <xdr:rowOff>0</xdr:rowOff>
    </xdr:from>
    <xdr:to>
      <xdr:col>2</xdr:col>
      <xdr:colOff>774272</xdr:colOff>
      <xdr:row>3</xdr:row>
      <xdr:rowOff>16776</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xdr:colOff>
      <xdr:row>25</xdr:row>
      <xdr:rowOff>28575</xdr:rowOff>
    </xdr:from>
    <xdr:to>
      <xdr:col>8</xdr:col>
      <xdr:colOff>571501</xdr:colOff>
      <xdr:row>30</xdr:row>
      <xdr:rowOff>85725</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4772025" y="492442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From</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Q2 2016 to Q4 2021, in addition to its alumina exports, Alcoa</a:t>
          </a:r>
          <a:r>
            <a:rPr lang="en-AU" sz="1100" baseline="0">
              <a:solidFill>
                <a:schemeClr val="dk1"/>
              </a:solidFill>
              <a:effectLst/>
              <a:latin typeface="+mn-lt"/>
              <a:ea typeface="+mn-ea"/>
              <a:cs typeface="+mn-cs"/>
            </a:rPr>
            <a:t> produced and exported unrefined bauxite.</a:t>
          </a:r>
          <a:endParaRPr lang="en-AU">
            <a:effectLst/>
          </a:endParaRPr>
        </a:p>
        <a:p>
          <a:endParaRPr lang="en-AU" sz="1100" baseline="0"/>
        </a:p>
        <a:p>
          <a:r>
            <a:rPr lang="en-AU" sz="1100" baseline="0"/>
            <a:t>Exports data from 2015-16 to 2021 therefore includes </a:t>
          </a:r>
          <a:r>
            <a:rPr lang="en-AU" sz="1100" baseline="0">
              <a:solidFill>
                <a:schemeClr val="dk1"/>
              </a:solidFill>
              <a:effectLst/>
              <a:latin typeface="+mn-lt"/>
              <a:ea typeface="+mn-ea"/>
              <a:cs typeface="+mn-cs"/>
            </a:rPr>
            <a:t>alumina </a:t>
          </a:r>
          <a:r>
            <a:rPr lang="en-AU" sz="1100" baseline="0"/>
            <a:t> and small amounts of bauxite.</a:t>
          </a:r>
          <a:endParaRPr lang="en-AU" sz="1100"/>
        </a:p>
      </xdr:txBody>
    </xdr:sp>
    <xdr:clientData/>
  </xdr:twoCellAnchor>
  <xdr:twoCellAnchor editAs="oneCell">
    <xdr:from>
      <xdr:col>0</xdr:col>
      <xdr:colOff>0</xdr:colOff>
      <xdr:row>0</xdr:row>
      <xdr:rowOff>0</xdr:rowOff>
    </xdr:from>
    <xdr:to>
      <xdr:col>2</xdr:col>
      <xdr:colOff>640922</xdr:colOff>
      <xdr:row>3</xdr:row>
      <xdr:rowOff>197751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0.00174</cdr:x>
      <cdr:y>0.93891</cdr:y>
    </cdr:from>
    <cdr:to>
      <cdr:x>0.14379</cdr:x>
      <cdr:y>0.99398</cdr:y>
    </cdr:to>
    <cdr:sp macro="" textlink="">
      <cdr:nvSpPr>
        <cdr:cNvPr id="2" name="TextBox 1"/>
        <cdr:cNvSpPr txBox="1"/>
      </cdr:nvSpPr>
      <cdr:spPr>
        <a:xfrm xmlns:a="http://schemas.openxmlformats.org/drawingml/2006/main">
          <a:off x="12679" y="3952876"/>
          <a:ext cx="1035071" cy="23183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DEMIRS</a:t>
          </a:r>
          <a:endParaRPr lang="en-AU" sz="900" b="1">
            <a:effectLst/>
            <a:latin typeface="+mn-lt"/>
          </a:endParaRPr>
        </a:p>
        <a:p xmlns:a="http://schemas.openxmlformats.org/drawingml/2006/main">
          <a:endParaRPr lang="en-AU" sz="900"/>
        </a:p>
      </cdr:txBody>
    </cdr:sp>
  </cdr:relSizeAnchor>
</c:userShapes>
</file>

<file path=xl/drawings/drawing19.xml><?xml version="1.0" encoding="utf-8"?>
<xdr:wsDr xmlns:xdr="http://schemas.openxmlformats.org/drawingml/2006/spreadsheetDrawing" xmlns:a="http://schemas.openxmlformats.org/drawingml/2006/main">
  <xdr:twoCellAnchor>
    <xdr:from>
      <xdr:col>4</xdr:col>
      <xdr:colOff>127188</xdr:colOff>
      <xdr:row>4</xdr:row>
      <xdr:rowOff>182656</xdr:rowOff>
    </xdr:from>
    <xdr:to>
      <xdr:col>16</xdr:col>
      <xdr:colOff>542926</xdr:colOff>
      <xdr:row>26</xdr:row>
      <xdr:rowOff>47626</xdr:rowOff>
    </xdr:to>
    <xdr:graphicFrame macro="">
      <xdr:nvGraphicFramePr>
        <xdr:cNvPr id="3" name="Chart 4">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166967</xdr:rowOff>
    </xdr:from>
    <xdr:to>
      <xdr:col>16</xdr:col>
      <xdr:colOff>552450</xdr:colOff>
      <xdr:row>48</xdr:row>
      <xdr:rowOff>178172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517097</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62</xdr:row>
      <xdr:rowOff>0</xdr:rowOff>
    </xdr:from>
    <xdr:to>
      <xdr:col>2</xdr:col>
      <xdr:colOff>591670</xdr:colOff>
      <xdr:row>84</xdr:row>
      <xdr:rowOff>47625</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8100" y="11811000"/>
          <a:ext cx="5458945" cy="4238625"/>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dk1"/>
              </a:solidFill>
              <a:effectLst/>
              <a:latin typeface="+mn-lt"/>
              <a:ea typeface="+mn-ea"/>
              <a:cs typeface="+mn-cs"/>
            </a:rPr>
            <a:t>Quantities and value figures reported only apply to Minerals and Petroleum covered by the </a:t>
          </a:r>
          <a:r>
            <a:rPr lang="en-AU" sz="1100" i="1">
              <a:solidFill>
                <a:schemeClr val="dk1"/>
              </a:solidFill>
              <a:effectLst/>
              <a:latin typeface="+mn-lt"/>
              <a:ea typeface="+mn-ea"/>
              <a:cs typeface="+mn-cs"/>
            </a:rPr>
            <a:t>Mining Act 1978 </a:t>
          </a:r>
          <a:r>
            <a:rPr lang="en-AU" sz="1100">
              <a:solidFill>
                <a:schemeClr val="dk1"/>
              </a:solidFill>
              <a:effectLst/>
              <a:latin typeface="+mn-lt"/>
              <a:ea typeface="+mn-ea"/>
              <a:cs typeface="+mn-cs"/>
            </a:rPr>
            <a:t>, the </a:t>
          </a:r>
          <a:r>
            <a:rPr lang="en-AU" sz="1100" i="1">
              <a:solidFill>
                <a:schemeClr val="dk1"/>
              </a:solidFill>
              <a:effectLst/>
              <a:latin typeface="+mn-lt"/>
              <a:ea typeface="+mn-ea"/>
              <a:cs typeface="+mn-cs"/>
            </a:rPr>
            <a:t>Petroleum and Geothermal Energy Resources Act 1967</a:t>
          </a:r>
          <a:r>
            <a:rPr lang="en-AU" sz="1100">
              <a:solidFill>
                <a:schemeClr val="dk1"/>
              </a:solidFill>
              <a:effectLst/>
              <a:latin typeface="+mn-lt"/>
              <a:ea typeface="+mn-ea"/>
              <a:cs typeface="+mn-cs"/>
            </a:rPr>
            <a:t>, the </a:t>
          </a:r>
          <a:r>
            <a:rPr lang="en-AU" sz="1100" i="1">
              <a:solidFill>
                <a:schemeClr val="dk1"/>
              </a:solidFill>
              <a:effectLst/>
              <a:latin typeface="+mn-lt"/>
              <a:ea typeface="+mn-ea"/>
              <a:cs typeface="+mn-cs"/>
            </a:rPr>
            <a:t>Petroleum (Submerged Lands) Act 1982</a:t>
          </a:r>
          <a:r>
            <a:rPr lang="en-AU" sz="1100">
              <a:solidFill>
                <a:schemeClr val="dk1"/>
              </a:solidFill>
              <a:effectLst/>
              <a:latin typeface="+mn-lt"/>
              <a:ea typeface="+mn-ea"/>
              <a:cs typeface="+mn-cs"/>
            </a:rPr>
            <a:t>, the </a:t>
          </a:r>
          <a:r>
            <a:rPr lang="en-AU" sz="1100" i="1">
              <a:solidFill>
                <a:schemeClr val="dk1"/>
              </a:solidFill>
              <a:effectLst/>
              <a:latin typeface="+mn-lt"/>
              <a:ea typeface="+mn-ea"/>
              <a:cs typeface="+mn-cs"/>
            </a:rPr>
            <a:t>Offshore Petroleum Act 2006 </a:t>
          </a:r>
          <a:r>
            <a:rPr lang="en-AU" sz="1100">
              <a:solidFill>
                <a:schemeClr val="dk1"/>
              </a:solidFill>
              <a:effectLst/>
              <a:latin typeface="+mn-lt"/>
              <a:ea typeface="+mn-ea"/>
              <a:cs typeface="+mn-cs"/>
            </a:rPr>
            <a:t>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RevenueWA.</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as they are not available or nfp as they are not for publication due to confidentiality.</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0.9533</cdr:y>
    </cdr:from>
    <cdr:to>
      <cdr:x>0.18117</cdr:x>
      <cdr:y>0.99909</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1027" y="3893793"/>
          <a:ext cx="1317798"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385046</xdr:colOff>
      <xdr:row>30</xdr:row>
      <xdr:rowOff>14816</xdr:rowOff>
    </xdr:from>
    <xdr:to>
      <xdr:col>26</xdr:col>
      <xdr:colOff>407458</xdr:colOff>
      <xdr:row>51</xdr:row>
      <xdr:rowOff>171450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812372</xdr:colOff>
      <xdr:row>4</xdr:row>
      <xdr:rowOff>7251</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64</xdr:row>
      <xdr:rowOff>161925</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47625</xdr:colOff>
      <xdr:row>0</xdr:row>
      <xdr:rowOff>115165</xdr:rowOff>
    </xdr:from>
    <xdr:to>
      <xdr:col>31</xdr:col>
      <xdr:colOff>19049</xdr:colOff>
      <xdr:row>22</xdr:row>
      <xdr:rowOff>85724</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57150</xdr:colOff>
      <xdr:row>23</xdr:row>
      <xdr:rowOff>114301</xdr:rowOff>
    </xdr:from>
    <xdr:to>
      <xdr:col>31</xdr:col>
      <xdr:colOff>38099</xdr:colOff>
      <xdr:row>44</xdr:row>
      <xdr:rowOff>85726</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76199</xdr:colOff>
      <xdr:row>45</xdr:row>
      <xdr:rowOff>9524</xdr:rowOff>
    </xdr:from>
    <xdr:to>
      <xdr:col>31</xdr:col>
      <xdr:colOff>19050</xdr:colOff>
      <xdr:row>64</xdr:row>
      <xdr:rowOff>161924</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2</xdr:col>
      <xdr:colOff>555197</xdr:colOff>
      <xdr:row>4</xdr:row>
      <xdr:rowOff>7251</xdr:rowOff>
    </xdr:to>
    <xdr:pic>
      <xdr:nvPicPr>
        <xdr:cNvPr id="3" name="Picture 2">
          <a:hlinkClick xmlns:r="http://schemas.openxmlformats.org/officeDocument/2006/relationships" r:id="rId7"/>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0.00919</cdr:x>
      <cdr:y>0.01279</cdr:y>
    </cdr:from>
    <cdr:to>
      <cdr:x>0.81226</cdr:x>
      <cdr:y>0.20226</cdr:y>
    </cdr:to>
    <cdr:pic>
      <cdr:nvPicPr>
        <cdr:cNvPr id="2" name="Picture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0000000-0008-0000-0100-00000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0800" y="50800"/>
          <a:ext cx="4439270" cy="75258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885825</xdr:colOff>
      <xdr:row>23</xdr:row>
      <xdr:rowOff>123826</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190500</xdr:rowOff>
    </xdr:from>
    <xdr:to>
      <xdr:col>11</xdr:col>
      <xdr:colOff>876300</xdr:colOff>
      <xdr:row>35</xdr:row>
      <xdr:rowOff>137584</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6212417" y="4942417"/>
          <a:ext cx="6009216" cy="232833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Copper, lead and zinc produced in WA is </a:t>
          </a:r>
          <a:r>
            <a:rPr lang="en-AU" sz="1100" baseline="0"/>
            <a:t>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copper-lead-zinc exports prior to 2019-20, subtracting the value of other valuable metals from the total provides the value of exported copper-lead-zinc and copper-lead-zinc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Beginning with 2019-20, only export destinations and the related share of exports are published due to data issues and confidentiality restrictions.</a:t>
          </a:r>
        </a:p>
      </xdr:txBody>
    </xdr:sp>
    <xdr:clientData/>
  </xdr:twoCellAnchor>
  <xdr:twoCellAnchor editAs="oneCell">
    <xdr:from>
      <xdr:col>0</xdr:col>
      <xdr:colOff>0</xdr:colOff>
      <xdr:row>0</xdr:row>
      <xdr:rowOff>0</xdr:rowOff>
    </xdr:from>
    <xdr:to>
      <xdr:col>2</xdr:col>
      <xdr:colOff>659972</xdr:colOff>
      <xdr:row>3</xdr:row>
      <xdr:rowOff>169176</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cdr:x>
      <cdr:y>0.94758</cdr:y>
    </cdr:from>
    <cdr:to>
      <cdr:x>0.20724</cdr:x>
      <cdr:y>0.99422</cdr:y>
    </cdr:to>
    <cdr:sp macro="" textlink="">
      <cdr:nvSpPr>
        <cdr:cNvPr id="2" name="Text Box 1025"/>
        <cdr:cNvSpPr txBox="1">
          <a:spLocks xmlns:a="http://schemas.openxmlformats.org/drawingml/2006/main" noChangeArrowheads="1"/>
        </cdr:cNvSpPr>
      </cdr:nvSpPr>
      <cdr:spPr bwMode="auto">
        <a:xfrm xmlns:a="http://schemas.openxmlformats.org/drawingml/2006/main">
          <a:off x="-28153" y="3799814"/>
          <a:ext cx="124950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 and ABS</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313609</xdr:colOff>
      <xdr:row>4</xdr:row>
      <xdr:rowOff>32975</xdr:rowOff>
    </xdr:from>
    <xdr:to>
      <xdr:col>17</xdr:col>
      <xdr:colOff>40823</xdr:colOff>
      <xdr:row>21</xdr:row>
      <xdr:rowOff>98878</xdr:rowOff>
    </xdr:to>
    <xdr:graphicFrame macro="">
      <xdr:nvGraphicFramePr>
        <xdr:cNvPr id="3" name="Chart 4">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310412</xdr:colOff>
      <xdr:row>22</xdr:row>
      <xdr:rowOff>59319</xdr:rowOff>
    </xdr:from>
    <xdr:to>
      <xdr:col>17</xdr:col>
      <xdr:colOff>51557</xdr:colOff>
      <xdr:row>40</xdr:row>
      <xdr:rowOff>142118</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297111</xdr:colOff>
      <xdr:row>41</xdr:row>
      <xdr:rowOff>99333</xdr:rowOff>
    </xdr:from>
    <xdr:to>
      <xdr:col>17</xdr:col>
      <xdr:colOff>32810</xdr:colOff>
      <xdr:row>59</xdr:row>
      <xdr:rowOff>19958</xdr:rowOff>
    </xdr:to>
    <xdr:graphicFrame macro="">
      <xdr:nvGraphicFramePr>
        <xdr:cNvPr id="8" name="Chart 4">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299962</xdr:colOff>
      <xdr:row>59</xdr:row>
      <xdr:rowOff>188570</xdr:rowOff>
    </xdr:from>
    <xdr:to>
      <xdr:col>17</xdr:col>
      <xdr:colOff>59116</xdr:colOff>
      <xdr:row>79</xdr:row>
      <xdr:rowOff>51254</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279875</xdr:colOff>
      <xdr:row>80</xdr:row>
      <xdr:rowOff>40821</xdr:rowOff>
    </xdr:from>
    <xdr:to>
      <xdr:col>17</xdr:col>
      <xdr:colOff>10131</xdr:colOff>
      <xdr:row>98</xdr:row>
      <xdr:rowOff>167820</xdr:rowOff>
    </xdr:to>
    <xdr:graphicFrame macro="">
      <xdr:nvGraphicFramePr>
        <xdr:cNvPr id="10" name="Chart 4">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304952</xdr:colOff>
      <xdr:row>99</xdr:row>
      <xdr:rowOff>107834</xdr:rowOff>
    </xdr:from>
    <xdr:to>
      <xdr:col>17</xdr:col>
      <xdr:colOff>39613</xdr:colOff>
      <xdr:row>119</xdr:row>
      <xdr:rowOff>145294</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2</xdr:col>
      <xdr:colOff>336122</xdr:colOff>
      <xdr:row>4</xdr:row>
      <xdr:rowOff>7251</xdr:rowOff>
    </xdr:to>
    <xdr:pic>
      <xdr:nvPicPr>
        <xdr:cNvPr id="2" name="Picture 1">
          <a:hlinkClick xmlns:r="http://schemas.openxmlformats.org/officeDocument/2006/relationships" r:id="rId7"/>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0.94432</cdr:y>
    </cdr:from>
    <cdr:to>
      <cdr:x>0.22597</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95" y="3172700"/>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0.9474</cdr:y>
    </cdr:from>
    <cdr:to>
      <cdr:x>0.22618</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027" y="3368956"/>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1</xdr:col>
      <xdr:colOff>1441022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103909</xdr:colOff>
      <xdr:row>7</xdr:row>
      <xdr:rowOff>10390</xdr:rowOff>
    </xdr:from>
    <xdr:to>
      <xdr:col>26</xdr:col>
      <xdr:colOff>495300</xdr:colOff>
      <xdr:row>29</xdr:row>
      <xdr:rowOff>171450</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112568</xdr:colOff>
      <xdr:row>30</xdr:row>
      <xdr:rowOff>187902</xdr:rowOff>
    </xdr:from>
    <xdr:to>
      <xdr:col>22</xdr:col>
      <xdr:colOff>355888</xdr:colOff>
      <xdr:row>50</xdr:row>
      <xdr:rowOff>124587</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869522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333375</xdr:colOff>
      <xdr:row>6</xdr:row>
      <xdr:rowOff>9526</xdr:rowOff>
    </xdr:from>
    <xdr:to>
      <xdr:col>19</xdr:col>
      <xdr:colOff>542925</xdr:colOff>
      <xdr:row>10</xdr:row>
      <xdr:rowOff>38100</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12049125" y="1200151"/>
          <a:ext cx="2038350" cy="8000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Gold sales reported in tonnes can be converted to the industry standard, troy ounces, by multiplying tonnes by 32150.75</a:t>
          </a:r>
        </a:p>
      </xdr:txBody>
    </xdr:sp>
    <xdr:clientData/>
  </xdr:twoCellAnchor>
  <xdr:twoCellAnchor editAs="oneCell">
    <xdr:from>
      <xdr:col>0</xdr:col>
      <xdr:colOff>0</xdr:colOff>
      <xdr:row>0</xdr:row>
      <xdr:rowOff>0</xdr:rowOff>
    </xdr:from>
    <xdr:to>
      <xdr:col>2</xdr:col>
      <xdr:colOff>498047</xdr:colOff>
      <xdr:row>3</xdr:row>
      <xdr:rowOff>197751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431800</xdr:colOff>
      <xdr:row>4</xdr:row>
      <xdr:rowOff>95250</xdr:rowOff>
    </xdr:from>
    <xdr:to>
      <xdr:col>10</xdr:col>
      <xdr:colOff>898525</xdr:colOff>
      <xdr:row>27</xdr:row>
      <xdr:rowOff>57150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5</xdr:row>
      <xdr:rowOff>19051</xdr:rowOff>
    </xdr:from>
    <xdr:to>
      <xdr:col>17</xdr:col>
      <xdr:colOff>333375</xdr:colOff>
      <xdr:row>21</xdr:row>
      <xdr:rowOff>180976</xdr:rowOff>
    </xdr:to>
    <xdr:sp macro="" textlink="">
      <xdr:nvSpPr>
        <xdr:cNvPr id="6" name="Text Box 1">
          <a:extLst>
            <a:ext uri="{FF2B5EF4-FFF2-40B4-BE49-F238E27FC236}">
              <a16:creationId xmlns:a16="http://schemas.microsoft.com/office/drawing/2014/main" id="{00000000-0008-0000-1500-000006000000}"/>
            </a:ext>
          </a:extLst>
        </xdr:cNvPr>
        <xdr:cNvSpPr txBox="1"/>
      </xdr:nvSpPr>
      <xdr:spPr>
        <a:xfrm>
          <a:off x="11334750" y="1066801"/>
          <a:ext cx="5343525" cy="32575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is because Gold Corporation, or as it is more commonly known, The Perth Mint, which</a:t>
          </a:r>
          <a:r>
            <a:rPr lang="en-AU" sz="1100" baseline="0">
              <a:effectLst/>
              <a:latin typeface="+mn-lt"/>
              <a:ea typeface="Times New Roman"/>
            </a:rPr>
            <a:t> is</a:t>
          </a:r>
          <a:r>
            <a:rPr lang="en-AU" sz="1100">
              <a:effectLst/>
              <a:latin typeface="+mn-lt"/>
              <a:ea typeface="Times New Roman"/>
            </a:rPr>
            <a:t> Australia’s only London Bullion Market Association accredited gold refinery,</a:t>
          </a:r>
          <a:r>
            <a:rPr lang="en-AU" sz="1100" baseline="0">
              <a:effectLst/>
              <a:latin typeface="+mn-lt"/>
              <a:ea typeface="Times New Roman"/>
            </a:rPr>
            <a:t> </a:t>
          </a:r>
          <a:r>
            <a:rPr lang="en-AU" sz="1100">
              <a:effectLst/>
              <a:latin typeface="+mn-lt"/>
              <a:ea typeface="Times New Roman"/>
            </a:rPr>
            <a:t>refines gold produced in other States and Territories, gold from surrounding countries and also secondary gold, mainly from Asia.  </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For example, the ABS estimated that gold exports from Western Australia in 2020-21</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$22 billion.  Approximately 75 per cent or $16.6 billion was gold produced in Western Australia.  </a:t>
          </a:r>
        </a:p>
        <a:p>
          <a:pPr>
            <a:spcAft>
              <a:spcPts val="0"/>
            </a:spcAft>
          </a:pPr>
          <a:endParaRPr lang="en-AU" sz="1100">
            <a:solidFill>
              <a:sysClr val="windowText" lastClr="000000"/>
            </a:solidFill>
            <a:effectLst/>
            <a:latin typeface="+mn-lt"/>
            <a:ea typeface="Times New Roman"/>
          </a:endParaRPr>
        </a:p>
        <a:p>
          <a:pPr>
            <a:spcAft>
              <a:spcPts val="0"/>
            </a:spcAft>
          </a:pPr>
          <a:r>
            <a:rPr lang="en-AU" sz="1100">
              <a:solidFill>
                <a:sysClr val="windowText" lastClr="000000"/>
              </a:solidFill>
              <a:effectLst/>
              <a:latin typeface="+mn-lt"/>
              <a:ea typeface="Times New Roman"/>
            </a:rPr>
            <a:t>The remaining 25 per cent (approximately $5.4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2</xdr:col>
      <xdr:colOff>631397</xdr:colOff>
      <xdr:row>3</xdr:row>
      <xdr:rowOff>197751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3363</xdr:colOff>
      <xdr:row>6</xdr:row>
      <xdr:rowOff>36605</xdr:rowOff>
    </xdr:from>
    <xdr:to>
      <xdr:col>14</xdr:col>
      <xdr:colOff>514350</xdr:colOff>
      <xdr:row>27</xdr:row>
      <xdr:rowOff>53974</xdr:rowOff>
    </xdr:to>
    <xdr:graphicFrame macro="">
      <xdr:nvGraphicFramePr>
        <xdr:cNvPr id="3" name="Chart 4">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135031</xdr:colOff>
      <xdr:row>29</xdr:row>
      <xdr:rowOff>44450</xdr:rowOff>
    </xdr:from>
    <xdr:to>
      <xdr:col>14</xdr:col>
      <xdr:colOff>485775</xdr:colOff>
      <xdr:row>49</xdr:row>
      <xdr:rowOff>101600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459947</xdr:colOff>
      <xdr:row>3</xdr:row>
      <xdr:rowOff>197751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cdr:x>
      <cdr:y>0.95926</cdr:y>
    </cdr:from>
    <cdr:to>
      <cdr:x>0.2286</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10" y="3863697"/>
          <a:ext cx="1399294"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DEMIRS and OoCE</a:t>
          </a:r>
        </a:p>
      </cdr:txBody>
    </cdr:sp>
  </cdr:relSizeAnchor>
</c:userShapes>
</file>

<file path=xl/drawings/drawing36.xml><?xml version="1.0" encoding="utf-8"?>
<xdr:wsDr xmlns:xdr="http://schemas.openxmlformats.org/drawingml/2006/spreadsheetDrawing" xmlns:a="http://schemas.openxmlformats.org/drawingml/2006/main">
  <xdr:twoCellAnchor>
    <xdr:from>
      <xdr:col>11</xdr:col>
      <xdr:colOff>501650</xdr:colOff>
      <xdr:row>7</xdr:row>
      <xdr:rowOff>14286</xdr:rowOff>
    </xdr:from>
    <xdr:to>
      <xdr:col>23</xdr:col>
      <xdr:colOff>501650</xdr:colOff>
      <xdr:row>28</xdr:row>
      <xdr:rowOff>171450</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473075</xdr:colOff>
      <xdr:row>30</xdr:row>
      <xdr:rowOff>158750</xdr:rowOff>
    </xdr:from>
    <xdr:to>
      <xdr:col>23</xdr:col>
      <xdr:colOff>531906</xdr:colOff>
      <xdr:row>56</xdr:row>
      <xdr:rowOff>101600</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431372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5</xdr:col>
      <xdr:colOff>320489</xdr:colOff>
      <xdr:row>5</xdr:row>
      <xdr:rowOff>179295</xdr:rowOff>
    </xdr:from>
    <xdr:to>
      <xdr:col>15</xdr:col>
      <xdr:colOff>68651</xdr:colOff>
      <xdr:row>27</xdr:row>
      <xdr:rowOff>89647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361950</xdr:colOff>
      <xdr:row>32</xdr:row>
      <xdr:rowOff>123825</xdr:rowOff>
    </xdr:from>
    <xdr:to>
      <xdr:col>15</xdr:col>
      <xdr:colOff>89782</xdr:colOff>
      <xdr:row>54</xdr:row>
      <xdr:rowOff>47384</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47625</xdr:colOff>
      <xdr:row>21</xdr:row>
      <xdr:rowOff>180975</xdr:rowOff>
    </xdr:from>
    <xdr:to>
      <xdr:col>18</xdr:col>
      <xdr:colOff>906992</xdr:colOff>
      <xdr:row>24</xdr:row>
      <xdr:rowOff>66674</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8924925" y="4419600"/>
          <a:ext cx="2878667" cy="4571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Iron ore quantities reported in dry metric tonnes unless otherwise stated.</a:t>
          </a:r>
        </a:p>
      </xdr:txBody>
    </xdr:sp>
    <xdr:clientData/>
  </xdr:twoCellAnchor>
  <xdr:twoCellAnchor editAs="oneCell">
    <xdr:from>
      <xdr:col>0</xdr:col>
      <xdr:colOff>0</xdr:colOff>
      <xdr:row>0</xdr:row>
      <xdr:rowOff>0</xdr:rowOff>
    </xdr:from>
    <xdr:to>
      <xdr:col>2</xdr:col>
      <xdr:colOff>640922</xdr:colOff>
      <xdr:row>4</xdr:row>
      <xdr:rowOff>7251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5</xdr:col>
      <xdr:colOff>1047750</xdr:colOff>
      <xdr:row>2</xdr:row>
      <xdr:rowOff>127000</xdr:rowOff>
    </xdr:from>
    <xdr:to>
      <xdr:col>11</xdr:col>
      <xdr:colOff>811742</xdr:colOff>
      <xdr:row>22</xdr:row>
      <xdr:rowOff>178858</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164672</xdr:colOff>
      <xdr:row>3</xdr:row>
      <xdr:rowOff>169176</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518583</xdr:colOff>
      <xdr:row>8</xdr:row>
      <xdr:rowOff>142875</xdr:rowOff>
    </xdr:from>
    <xdr:to>
      <xdr:col>16</xdr:col>
      <xdr:colOff>314325</xdr:colOff>
      <xdr:row>36</xdr:row>
      <xdr:rowOff>19051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622122" cy="769251"/>
    <xdr:pic>
      <xdr:nvPicPr>
        <xdr:cNvPr id="4" name="Picture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3</xdr:col>
      <xdr:colOff>260538</xdr:colOff>
      <xdr:row>6</xdr:row>
      <xdr:rowOff>174625</xdr:rowOff>
    </xdr:from>
    <xdr:to>
      <xdr:col>14</xdr:col>
      <xdr:colOff>444500</xdr:colOff>
      <xdr:row>28</xdr:row>
      <xdr:rowOff>25400</xdr:rowOff>
    </xdr:to>
    <xdr:graphicFrame macro="">
      <xdr:nvGraphicFramePr>
        <xdr:cNvPr id="3" name="Chart 4">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287430</xdr:colOff>
      <xdr:row>30</xdr:row>
      <xdr:rowOff>24091</xdr:rowOff>
    </xdr:from>
    <xdr:to>
      <xdr:col>14</xdr:col>
      <xdr:colOff>466725</xdr:colOff>
      <xdr:row>50</xdr:row>
      <xdr:rowOff>9524</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317072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0.00701</cdr:x>
      <cdr:y>0.95504</cdr:y>
    </cdr:from>
    <cdr:to>
      <cdr:x>0.17221</cdr:x>
      <cdr:y>0.99545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9413" y="3878257"/>
          <a:ext cx="1399294"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DEMIRS and OoCE</a:t>
          </a: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765518</xdr:colOff>
      <xdr:row>6</xdr:row>
      <xdr:rowOff>167214</xdr:rowOff>
    </xdr:from>
    <xdr:to>
      <xdr:col>24</xdr:col>
      <xdr:colOff>279401</xdr:colOff>
      <xdr:row>30</xdr:row>
      <xdr:rowOff>25399</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757766</xdr:colOff>
      <xdr:row>31</xdr:row>
      <xdr:rowOff>71965</xdr:rowOff>
    </xdr:from>
    <xdr:to>
      <xdr:col>24</xdr:col>
      <xdr:colOff>304799</xdr:colOff>
      <xdr:row>54</xdr:row>
      <xdr:rowOff>77522</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421847</xdr:colOff>
      <xdr:row>4</xdr:row>
      <xdr:rowOff>7251</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5</xdr:col>
      <xdr:colOff>323850</xdr:colOff>
      <xdr:row>7</xdr:row>
      <xdr:rowOff>38099</xdr:rowOff>
    </xdr:from>
    <xdr:to>
      <xdr:col>12</xdr:col>
      <xdr:colOff>523875</xdr:colOff>
      <xdr:row>28</xdr:row>
      <xdr:rowOff>133349</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327211</xdr:colOff>
      <xdr:row>29</xdr:row>
      <xdr:rowOff>96930</xdr:rowOff>
    </xdr:from>
    <xdr:to>
      <xdr:col>12</xdr:col>
      <xdr:colOff>483668</xdr:colOff>
      <xdr:row>51</xdr:row>
      <xdr:rowOff>39539</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438150</xdr:colOff>
      <xdr:row>53</xdr:row>
      <xdr:rowOff>9526</xdr:rowOff>
    </xdr:from>
    <xdr:to>
      <xdr:col>9</xdr:col>
      <xdr:colOff>466725</xdr:colOff>
      <xdr:row>57</xdr:row>
      <xdr:rowOff>85725</xdr:rowOff>
    </xdr:to>
    <xdr:sp macro="" textlink="">
      <xdr:nvSpPr>
        <xdr:cNvPr id="7" name="Text Box 1">
          <a:extLst>
            <a:ext uri="{FF2B5EF4-FFF2-40B4-BE49-F238E27FC236}">
              <a16:creationId xmlns:a16="http://schemas.microsoft.com/office/drawing/2014/main" id="{00000000-0008-0000-1C00-000007000000}"/>
            </a:ext>
          </a:extLst>
        </xdr:cNvPr>
        <xdr:cNvSpPr txBox="1"/>
      </xdr:nvSpPr>
      <xdr:spPr>
        <a:xfrm>
          <a:off x="4143375" y="10201276"/>
          <a:ext cx="3552825" cy="8381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cs typeface="Arial" panose="020B0604020202020204" pitchFamily="34" charset="0"/>
            </a:rPr>
            <a:t>In order to create a consistent dataset, all direct shipped spodumene ore (commencing in the June quarter of 2017) is expressed as a "concentrate equivalent", assuming </a:t>
          </a:r>
          <a:r>
            <a:rPr lang="en-AU" sz="1100" baseline="0">
              <a:solidFill>
                <a:schemeClr val="dk1"/>
              </a:solidFill>
              <a:effectLst/>
              <a:latin typeface="+mn-lt"/>
              <a:ea typeface="+mn-ea"/>
              <a:cs typeface="Arial" panose="020B0604020202020204" pitchFamily="34" charset="0"/>
            </a:rPr>
            <a:t>six per cent lithium oxide</a:t>
          </a:r>
          <a:r>
            <a:rPr lang="en-AU" sz="1100" baseline="0">
              <a:effectLst/>
              <a:latin typeface="+mn-lt"/>
              <a:ea typeface="Times New Roman"/>
              <a:cs typeface="Arial" panose="020B0604020202020204" pitchFamily="34" charset="0"/>
            </a:rPr>
            <a:t>. </a:t>
          </a:r>
        </a:p>
      </xdr:txBody>
    </xdr:sp>
    <xdr:clientData/>
  </xdr:twoCellAnchor>
  <xdr:twoCellAnchor editAs="oneCell">
    <xdr:from>
      <xdr:col>0</xdr:col>
      <xdr:colOff>0</xdr:colOff>
      <xdr:row>0</xdr:row>
      <xdr:rowOff>0</xdr:rowOff>
    </xdr:from>
    <xdr:to>
      <xdr:col>2</xdr:col>
      <xdr:colOff>821897</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5</xdr:col>
      <xdr:colOff>95250</xdr:colOff>
      <xdr:row>4</xdr:row>
      <xdr:rowOff>25400</xdr:rowOff>
    </xdr:from>
    <xdr:to>
      <xdr:col>10</xdr:col>
      <xdr:colOff>942975</xdr:colOff>
      <xdr:row>25</xdr:row>
      <xdr:rowOff>22225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164672</xdr:colOff>
      <xdr:row>3</xdr:row>
      <xdr:rowOff>188226</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dr:relSizeAnchor xmlns:cdr="http://schemas.openxmlformats.org/drawingml/2006/chartDrawing">
    <cdr:from>
      <cdr:x>0</cdr:x>
      <cdr:y>0.94824</cdr:y>
    </cdr:from>
    <cdr:to>
      <cdr:x>0.1256</cdr:x>
      <cdr:y>0.99521</cdr:y>
    </cdr:to>
    <cdr:sp macro="" textlink="">
      <cdr:nvSpPr>
        <cdr:cNvPr id="3"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12</xdr:col>
      <xdr:colOff>95250</xdr:colOff>
      <xdr:row>30</xdr:row>
      <xdr:rowOff>19050</xdr:rowOff>
    </xdr:from>
    <xdr:to>
      <xdr:col>24</xdr:col>
      <xdr:colOff>30256</xdr:colOff>
      <xdr:row>53</xdr:row>
      <xdr:rowOff>31936</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85724</xdr:colOff>
      <xdr:row>6</xdr:row>
      <xdr:rowOff>85724</xdr:rowOff>
    </xdr:from>
    <xdr:to>
      <xdr:col>24</xdr:col>
      <xdr:colOff>38100</xdr:colOff>
      <xdr:row>28</xdr:row>
      <xdr:rowOff>180975</xdr:rowOff>
    </xdr:to>
    <xdr:grpSp>
      <xdr:nvGrpSpPr>
        <xdr:cNvPr id="4" name="Group 3">
          <a:extLst>
            <a:ext uri="{FF2B5EF4-FFF2-40B4-BE49-F238E27FC236}">
              <a16:creationId xmlns:a16="http://schemas.microsoft.com/office/drawing/2014/main" id="{00000000-0008-0000-1E00-000004000000}"/>
            </a:ext>
          </a:extLst>
        </xdr:cNvPr>
        <xdr:cNvGrpSpPr/>
      </xdr:nvGrpSpPr>
      <xdr:grpSpPr>
        <a:xfrm>
          <a:off x="8286749" y="1304924"/>
          <a:ext cx="7267576" cy="4286251"/>
          <a:chOff x="5095874" y="990599"/>
          <a:chExt cx="5953125" cy="3571875"/>
        </a:xfrm>
      </xdr:grpSpPr>
      <xdr:graphicFrame macro="">
        <xdr:nvGraphicFramePr>
          <xdr:cNvPr id="5" name="Chart 4">
            <a:extLst>
              <a:ext uri="{FF2B5EF4-FFF2-40B4-BE49-F238E27FC236}">
                <a16:creationId xmlns:a16="http://schemas.microsoft.com/office/drawing/2014/main" id="{00000000-0008-0000-1E00-000005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2</xdr:col>
      <xdr:colOff>583772</xdr:colOff>
      <xdr:row>3</xdr:row>
      <xdr:rowOff>197751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5</xdr:col>
      <xdr:colOff>206188</xdr:colOff>
      <xdr:row>7</xdr:row>
      <xdr:rowOff>190500</xdr:rowOff>
    </xdr:from>
    <xdr:to>
      <xdr:col>15</xdr:col>
      <xdr:colOff>19050</xdr:colOff>
      <xdr:row>29</xdr:row>
      <xdr:rowOff>61072</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31</xdr:row>
      <xdr:rowOff>0</xdr:rowOff>
    </xdr:from>
    <xdr:to>
      <xdr:col>13</xdr:col>
      <xdr:colOff>9525</xdr:colOff>
      <xdr:row>49</xdr:row>
      <xdr:rowOff>47625</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581025</xdr:colOff>
      <xdr:row>51</xdr:row>
      <xdr:rowOff>41274</xdr:rowOff>
    </xdr:from>
    <xdr:to>
      <xdr:col>12</xdr:col>
      <xdr:colOff>323850</xdr:colOff>
      <xdr:row>55</xdr:row>
      <xdr:rowOff>117475</xdr:rowOff>
    </xdr:to>
    <xdr:sp macro="" textlink="">
      <xdr:nvSpPr>
        <xdr:cNvPr id="9" name="Text Box 1">
          <a:extLst>
            <a:ext uri="{FF2B5EF4-FFF2-40B4-BE49-F238E27FC236}">
              <a16:creationId xmlns:a16="http://schemas.microsoft.com/office/drawing/2014/main" id="{00000000-0008-0000-1F00-000009000000}"/>
            </a:ext>
          </a:extLst>
        </xdr:cNvPr>
        <xdr:cNvSpPr txBox="1"/>
      </xdr:nvSpPr>
      <xdr:spPr>
        <a:xfrm>
          <a:off x="3514725" y="9756774"/>
          <a:ext cx="4670425" cy="8382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 m</a:t>
          </a:r>
          <a:r>
            <a:rPr lang="en-AU" sz="1100" baseline="0">
              <a:effectLst/>
              <a:latin typeface="+mn-lt"/>
              <a:ea typeface="Times New Roman"/>
            </a:rPr>
            <a:t>ineral sands quantities and values include higher volume, but lower value, ilmenite feedstock . From March 2014, they include lower volume, but higher value, synthetic rutile (i.e. ilmenite converted into synthetic rutile).</a:t>
          </a:r>
          <a:endParaRPr lang="en-AU" sz="1100">
            <a:effectLst/>
            <a:latin typeface="+mn-lt"/>
            <a:ea typeface="Times New Roman"/>
          </a:endParaRPr>
        </a:p>
      </xdr:txBody>
    </xdr:sp>
    <xdr:clientData/>
  </xdr:twoCellAnchor>
  <xdr:twoCellAnchor editAs="oneCell">
    <xdr:from>
      <xdr:col>0</xdr:col>
      <xdr:colOff>0</xdr:colOff>
      <xdr:row>0</xdr:row>
      <xdr:rowOff>0</xdr:rowOff>
    </xdr:from>
    <xdr:to>
      <xdr:col>2</xdr:col>
      <xdr:colOff>859997</xdr:colOff>
      <xdr:row>4</xdr:row>
      <xdr:rowOff>7251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6</xdr:col>
      <xdr:colOff>19050</xdr:colOff>
      <xdr:row>2</xdr:row>
      <xdr:rowOff>126999</xdr:rowOff>
    </xdr:from>
    <xdr:to>
      <xdr:col>12</xdr:col>
      <xdr:colOff>323850</xdr:colOff>
      <xdr:row>23</xdr:row>
      <xdr:rowOff>177799</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63500</xdr:colOff>
      <xdr:row>22</xdr:row>
      <xdr:rowOff>149225</xdr:rowOff>
    </xdr:from>
    <xdr:to>
      <xdr:col>6</xdr:col>
      <xdr:colOff>920750</xdr:colOff>
      <xdr:row>23</xdr:row>
      <xdr:rowOff>145764</xdr:rowOff>
    </xdr:to>
    <xdr:sp macro="" textlink="">
      <xdr:nvSpPr>
        <xdr:cNvPr id="6" name="Text Box 1025">
          <a:extLst>
            <a:ext uri="{FF2B5EF4-FFF2-40B4-BE49-F238E27FC236}">
              <a16:creationId xmlns:a16="http://schemas.microsoft.com/office/drawing/2014/main" id="{00000000-0008-0000-2000-000006000000}"/>
            </a:ext>
          </a:extLst>
        </xdr:cNvPr>
        <xdr:cNvSpPr txBox="1">
          <a:spLocks noChangeArrowheads="1"/>
        </xdr:cNvSpPr>
      </xdr:nvSpPr>
      <xdr:spPr bwMode="auto">
        <a:xfrm>
          <a:off x="7048500" y="4441825"/>
          <a:ext cx="857250"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DEMIRS</a:t>
          </a:r>
        </a:p>
      </xdr:txBody>
    </xdr:sp>
    <xdr:clientData/>
  </xdr:twoCellAnchor>
  <xdr:twoCellAnchor>
    <xdr:from>
      <xdr:col>6</xdr:col>
      <xdr:colOff>57150</xdr:colOff>
      <xdr:row>27</xdr:row>
      <xdr:rowOff>9525</xdr:rowOff>
    </xdr:from>
    <xdr:to>
      <xdr:col>11</xdr:col>
      <xdr:colOff>133350</xdr:colOff>
      <xdr:row>33</xdr:row>
      <xdr:rowOff>180974</xdr:rowOff>
    </xdr:to>
    <xdr:sp macro="" textlink="">
      <xdr:nvSpPr>
        <xdr:cNvPr id="7" name="Text Box 1">
          <a:extLst>
            <a:ext uri="{FF2B5EF4-FFF2-40B4-BE49-F238E27FC236}">
              <a16:creationId xmlns:a16="http://schemas.microsoft.com/office/drawing/2014/main" id="{00000000-0008-0000-2000-000007000000}"/>
            </a:ext>
          </a:extLst>
        </xdr:cNvPr>
        <xdr:cNvSpPr txBox="1"/>
      </xdr:nvSpPr>
      <xdr:spPr>
        <a:xfrm>
          <a:off x="6705600" y="5286375"/>
          <a:ext cx="5219700" cy="131444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are not required to report production and sales to the State Government.</a:t>
          </a:r>
          <a:endParaRPr lang="en-AU" sz="1100">
            <a:effectLst/>
            <a:latin typeface="+mn-lt"/>
            <a:ea typeface="Times New Roman"/>
          </a:endParaRPr>
        </a:p>
      </xdr:txBody>
    </xdr:sp>
    <xdr:clientData/>
  </xdr:twoCellAnchor>
  <xdr:twoCellAnchor editAs="oneCell">
    <xdr:from>
      <xdr:col>0</xdr:col>
      <xdr:colOff>0</xdr:colOff>
      <xdr:row>0</xdr:row>
      <xdr:rowOff>0</xdr:rowOff>
    </xdr:from>
    <xdr:to>
      <xdr:col>2</xdr:col>
      <xdr:colOff>593297</xdr:colOff>
      <xdr:row>3</xdr:row>
      <xdr:rowOff>197751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3</xdr:col>
      <xdr:colOff>287431</xdr:colOff>
      <xdr:row>27</xdr:row>
      <xdr:rowOff>28575</xdr:rowOff>
    </xdr:from>
    <xdr:to>
      <xdr:col>14</xdr:col>
      <xdr:colOff>419100</xdr:colOff>
      <xdr:row>48</xdr:row>
      <xdr:rowOff>6722</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5</xdr:row>
      <xdr:rowOff>19050</xdr:rowOff>
    </xdr:from>
    <xdr:to>
      <xdr:col>14</xdr:col>
      <xdr:colOff>398369</xdr:colOff>
      <xdr:row>25</xdr:row>
      <xdr:rowOff>178172</xdr:rowOff>
    </xdr:to>
    <xdr:graphicFrame macro="">
      <xdr:nvGraphicFramePr>
        <xdr:cNvPr id="8" name="Chart 7">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74</xdr:row>
      <xdr:rowOff>0</xdr:rowOff>
    </xdr:from>
    <xdr:to>
      <xdr:col>2</xdr:col>
      <xdr:colOff>1933576</xdr:colOff>
      <xdr:row>76</xdr:row>
      <xdr:rowOff>66674</xdr:rowOff>
    </xdr:to>
    <xdr:sp macro="" textlink="">
      <xdr:nvSpPr>
        <xdr:cNvPr id="2" name="Text Box 1">
          <a:extLst>
            <a:ext uri="{FF2B5EF4-FFF2-40B4-BE49-F238E27FC236}">
              <a16:creationId xmlns:a16="http://schemas.microsoft.com/office/drawing/2014/main" id="{00000000-0008-0000-2100-000002000000}"/>
            </a:ext>
          </a:extLst>
        </xdr:cNvPr>
        <xdr:cNvSpPr txBox="1"/>
      </xdr:nvSpPr>
      <xdr:spPr>
        <a:xfrm>
          <a:off x="57150" y="14182725"/>
          <a:ext cx="4000501" cy="447674"/>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value of mineral sands production for the Rest of Australia is</a:t>
          </a:r>
          <a:r>
            <a:rPr lang="en-AU" sz="1100" baseline="0">
              <a:effectLst/>
              <a:latin typeface="+mn-lt"/>
              <a:ea typeface="Times New Roman"/>
            </a:rPr>
            <a:t> no longer available.</a:t>
          </a:r>
          <a:endParaRPr lang="en-AU" sz="1100">
            <a:effectLst/>
            <a:latin typeface="+mn-lt"/>
            <a:ea typeface="Times New Roman"/>
          </a:endParaRPr>
        </a:p>
      </xdr:txBody>
    </xdr:sp>
    <xdr:clientData/>
  </xdr:twoCellAnchor>
  <xdr:twoCellAnchor editAs="oneCell">
    <xdr:from>
      <xdr:col>0</xdr:col>
      <xdr:colOff>0</xdr:colOff>
      <xdr:row>0</xdr:row>
      <xdr:rowOff>0</xdr:rowOff>
    </xdr:from>
    <xdr:to>
      <xdr:col>2</xdr:col>
      <xdr:colOff>498047</xdr:colOff>
      <xdr:row>3</xdr:row>
      <xdr:rowOff>197751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50.xml><?xml version="1.0" encoding="utf-8"?>
<xdr:wsDr xmlns:xdr="http://schemas.openxmlformats.org/drawingml/2006/spreadsheetDrawing" xmlns:a="http://schemas.openxmlformats.org/drawingml/2006/main">
  <xdr:twoCellAnchor>
    <xdr:from>
      <xdr:col>13</xdr:col>
      <xdr:colOff>180975</xdr:colOff>
      <xdr:row>6</xdr:row>
      <xdr:rowOff>14286</xdr:rowOff>
    </xdr:from>
    <xdr:to>
      <xdr:col>23</xdr:col>
      <xdr:colOff>549275</xdr:colOff>
      <xdr:row>25</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161924</xdr:colOff>
      <xdr:row>26</xdr:row>
      <xdr:rowOff>57151</xdr:rowOff>
    </xdr:from>
    <xdr:to>
      <xdr:col>23</xdr:col>
      <xdr:colOff>539749</xdr:colOff>
      <xdr:row>49</xdr:row>
      <xdr:rowOff>152400</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955247</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6</xdr:col>
      <xdr:colOff>333375</xdr:colOff>
      <xdr:row>6</xdr:row>
      <xdr:rowOff>17371</xdr:rowOff>
    </xdr:from>
    <xdr:to>
      <xdr:col>14</xdr:col>
      <xdr:colOff>561975</xdr:colOff>
      <xdr:row>25</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783797</xdr:colOff>
      <xdr:row>4</xdr:row>
      <xdr:rowOff>7251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5</xdr:col>
      <xdr:colOff>1073149</xdr:colOff>
      <xdr:row>2</xdr:row>
      <xdr:rowOff>84666</xdr:rowOff>
    </xdr:from>
    <xdr:to>
      <xdr:col>11</xdr:col>
      <xdr:colOff>1066799</xdr:colOff>
      <xdr:row>24</xdr:row>
      <xdr:rowOff>110066</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xdr:colOff>
      <xdr:row>25</xdr:row>
      <xdr:rowOff>114299</xdr:rowOff>
    </xdr:from>
    <xdr:to>
      <xdr:col>11</xdr:col>
      <xdr:colOff>104775</xdr:colOff>
      <xdr:row>33</xdr:row>
      <xdr:rowOff>99219</xdr:rowOff>
    </xdr:to>
    <xdr:sp macro="" textlink="">
      <xdr:nvSpPr>
        <xdr:cNvPr id="5" name="Text Box 1">
          <a:extLst>
            <a:ext uri="{FF2B5EF4-FFF2-40B4-BE49-F238E27FC236}">
              <a16:creationId xmlns:a16="http://schemas.microsoft.com/office/drawing/2014/main" id="{00000000-0008-0000-2400-000005000000}"/>
            </a:ext>
          </a:extLst>
        </xdr:cNvPr>
        <xdr:cNvSpPr txBox="1"/>
      </xdr:nvSpPr>
      <xdr:spPr>
        <a:xfrm>
          <a:off x="7718028" y="5015705"/>
          <a:ext cx="5235575" cy="149304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Exports of nickel are sometimes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cobalt and platinum and palladium by-products.</a:t>
          </a:r>
        </a:p>
        <a:p>
          <a:pPr>
            <a:spcAft>
              <a:spcPts val="0"/>
            </a:spcAft>
          </a:pPr>
          <a:endParaRPr lang="en-AU" sz="1100" baseline="0">
            <a:effectLst/>
            <a:latin typeface="+mn-lt"/>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effectLst/>
              <a:latin typeface="+mn-lt"/>
              <a:ea typeface="Times New Roman"/>
            </a:rPr>
            <a:t>Beginning with 2021, </a:t>
          </a:r>
          <a:r>
            <a:rPr lang="en-AU" sz="1100" baseline="0">
              <a:solidFill>
                <a:schemeClr val="dk1"/>
              </a:solidFill>
              <a:effectLst/>
              <a:latin typeface="+mn-lt"/>
              <a:ea typeface="+mn-ea"/>
              <a:cs typeface="+mn-cs"/>
            </a:rPr>
            <a:t>only export destinations and the related share of exports are published due to data issues and confidentiality restrictions.</a:t>
          </a:r>
          <a:endParaRPr lang="en-AU">
            <a:effectLst/>
          </a:endParaRPr>
        </a:p>
        <a:p>
          <a:pPr>
            <a:spcAft>
              <a:spcPts val="0"/>
            </a:spcAft>
          </a:pPr>
          <a:endParaRPr lang="en-AU" sz="1100">
            <a:effectLst/>
            <a:latin typeface="+mn-lt"/>
            <a:ea typeface="Times New Roman"/>
          </a:endParaRPr>
        </a:p>
      </xdr:txBody>
    </xdr:sp>
    <xdr:clientData/>
  </xdr:twoCellAnchor>
  <xdr:twoCellAnchor editAs="oneCell">
    <xdr:from>
      <xdr:col>0</xdr:col>
      <xdr:colOff>0</xdr:colOff>
      <xdr:row>0</xdr:row>
      <xdr:rowOff>0</xdr:rowOff>
    </xdr:from>
    <xdr:to>
      <xdr:col>2</xdr:col>
      <xdr:colOff>640922</xdr:colOff>
      <xdr:row>3</xdr:row>
      <xdr:rowOff>197751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3.xml><?xml version="1.0" encoding="utf-8"?>
<c:userShapes xmlns:c="http://schemas.openxmlformats.org/drawingml/2006/chart">
  <cdr:relSizeAnchor xmlns:cdr="http://schemas.openxmlformats.org/drawingml/2006/chartDrawing">
    <cdr:from>
      <cdr:x>0.00709</cdr:x>
      <cdr:y>0.95052</cdr:y>
    </cdr:from>
    <cdr:to>
      <cdr:x>0.14104</cdr:x>
      <cdr:y>0.99333</cdr:y>
    </cdr:to>
    <cdr:sp macro="" textlink="">
      <cdr:nvSpPr>
        <cdr:cNvPr id="2" name="Text Box 1025"/>
        <cdr:cNvSpPr txBox="1">
          <a:spLocks xmlns:a="http://schemas.openxmlformats.org/drawingml/2006/main" noChangeArrowheads="1"/>
        </cdr:cNvSpPr>
      </cdr:nvSpPr>
      <cdr:spPr bwMode="auto">
        <a:xfrm xmlns:a="http://schemas.openxmlformats.org/drawingml/2006/main">
          <a:off x="43773" y="4152626"/>
          <a:ext cx="82721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a:t>
          </a:r>
        </a:p>
      </cdr:txBody>
    </cdr:sp>
  </cdr:relSizeAnchor>
</c:userShapes>
</file>

<file path=xl/drawings/drawing54.xml><?xml version="1.0" encoding="utf-8"?>
<xdr:wsDr xmlns:xdr="http://schemas.openxmlformats.org/drawingml/2006/spreadsheetDrawing" xmlns:a="http://schemas.openxmlformats.org/drawingml/2006/main">
  <xdr:twoCellAnchor>
    <xdr:from>
      <xdr:col>4</xdr:col>
      <xdr:colOff>54162</xdr:colOff>
      <xdr:row>5</xdr:row>
      <xdr:rowOff>12699</xdr:rowOff>
    </xdr:from>
    <xdr:to>
      <xdr:col>14</xdr:col>
      <xdr:colOff>371475</xdr:colOff>
      <xdr:row>28</xdr:row>
      <xdr:rowOff>142875</xdr:rowOff>
    </xdr:to>
    <xdr:graphicFrame macro="">
      <xdr:nvGraphicFramePr>
        <xdr:cNvPr id="3" name="Chart 4">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61211</xdr:colOff>
      <xdr:row>29</xdr:row>
      <xdr:rowOff>143670</xdr:rowOff>
    </xdr:from>
    <xdr:to>
      <xdr:col>14</xdr:col>
      <xdr:colOff>381000</xdr:colOff>
      <xdr:row>53</xdr:row>
      <xdr:rowOff>180976</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40847</xdr:colOff>
      <xdr:row>3</xdr:row>
      <xdr:rowOff>197751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0.04227</cdr:x>
      <cdr:y>0.95191</cdr:y>
    </cdr:from>
    <cdr:to>
      <cdr:x>0.22025</cdr:x>
      <cdr:y>0.9932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2939" y="4312861"/>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19</xdr:col>
      <xdr:colOff>571499</xdr:colOff>
      <xdr:row>7</xdr:row>
      <xdr:rowOff>200738</xdr:rowOff>
    </xdr:from>
    <xdr:to>
      <xdr:col>29</xdr:col>
      <xdr:colOff>478225</xdr:colOff>
      <xdr:row>29</xdr:row>
      <xdr:rowOff>70597</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573500</xdr:colOff>
      <xdr:row>30</xdr:row>
      <xdr:rowOff>200024</xdr:rowOff>
    </xdr:from>
    <xdr:to>
      <xdr:col>29</xdr:col>
      <xdr:colOff>455495</xdr:colOff>
      <xdr:row>52</xdr:row>
      <xdr:rowOff>161924</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698072</xdr:colOff>
      <xdr:row>3</xdr:row>
      <xdr:rowOff>121551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527050</xdr:colOff>
      <xdr:row>5</xdr:row>
      <xdr:rowOff>146051</xdr:rowOff>
    </xdr:from>
    <xdr:to>
      <xdr:col>23</xdr:col>
      <xdr:colOff>342900</xdr:colOff>
      <xdr:row>27</xdr:row>
      <xdr:rowOff>165100</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520700</xdr:colOff>
      <xdr:row>30</xdr:row>
      <xdr:rowOff>152400</xdr:rowOff>
    </xdr:from>
    <xdr:to>
      <xdr:col>23</xdr:col>
      <xdr:colOff>296333</xdr:colOff>
      <xdr:row>54</xdr:row>
      <xdr:rowOff>106892</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640922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279400</xdr:colOff>
      <xdr:row>6</xdr:row>
      <xdr:rowOff>25400</xdr:rowOff>
    </xdr:from>
    <xdr:to>
      <xdr:col>23</xdr:col>
      <xdr:colOff>600075</xdr:colOff>
      <xdr:row>29</xdr:row>
      <xdr:rowOff>177800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279400</xdr:colOff>
      <xdr:row>31</xdr:row>
      <xdr:rowOff>38100</xdr:rowOff>
    </xdr:from>
    <xdr:to>
      <xdr:col>24</xdr:col>
      <xdr:colOff>28575</xdr:colOff>
      <xdr:row>58</xdr:row>
      <xdr:rowOff>63500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197645</xdr:colOff>
      <xdr:row>22</xdr:row>
      <xdr:rowOff>73818</xdr:rowOff>
    </xdr:from>
    <xdr:to>
      <xdr:col>8</xdr:col>
      <xdr:colOff>1102520</xdr:colOff>
      <xdr:row>25</xdr:row>
      <xdr:rowOff>145255</xdr:rowOff>
    </xdr:to>
    <xdr:sp macro="" textlink="">
      <xdr:nvSpPr>
        <xdr:cNvPr id="5" name="TextBox 4">
          <a:extLst>
            <a:ext uri="{FF2B5EF4-FFF2-40B4-BE49-F238E27FC236}">
              <a16:creationId xmlns:a16="http://schemas.microsoft.com/office/drawing/2014/main" id="{00000000-0008-0000-2800-000005000000}"/>
            </a:ext>
          </a:extLst>
        </xdr:cNvPr>
        <xdr:cNvSpPr txBox="1"/>
      </xdr:nvSpPr>
      <xdr:spPr>
        <a:xfrm>
          <a:off x="4274345" y="4131468"/>
          <a:ext cx="3105150" cy="64293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LNG prices in million metric british thermal units can be converted to gigajoules by dividing by</a:t>
          </a:r>
          <a:r>
            <a:rPr lang="en-AU" sz="1100" baseline="0"/>
            <a:t> 1.055064</a:t>
          </a:r>
          <a:endParaRPr lang="en-AU" sz="1100"/>
        </a:p>
      </xdr:txBody>
    </xdr:sp>
    <xdr:clientData/>
  </xdr:twoCellAnchor>
  <xdr:twoCellAnchor editAs="oneCell">
    <xdr:from>
      <xdr:col>0</xdr:col>
      <xdr:colOff>0</xdr:colOff>
      <xdr:row>0</xdr:row>
      <xdr:rowOff>0</xdr:rowOff>
    </xdr:from>
    <xdr:to>
      <xdr:col>2</xdr:col>
      <xdr:colOff>612347</xdr:colOff>
      <xdr:row>3</xdr:row>
      <xdr:rowOff>197751</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22</xdr:col>
      <xdr:colOff>321468</xdr:colOff>
      <xdr:row>8</xdr:row>
      <xdr:rowOff>23812</xdr:rowOff>
    </xdr:from>
    <xdr:to>
      <xdr:col>32</xdr:col>
      <xdr:colOff>190499</xdr:colOff>
      <xdr:row>46</xdr:row>
      <xdr:rowOff>38100</xdr:rowOff>
    </xdr:to>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6809243" y="1566862"/>
          <a:ext cx="5488781" cy="727233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a:effectLst/>
            </a:rPr>
            <a:t>Prior to 2016, the average domestic gas price was derived from all domestic gas sales into WA.</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However, beginning with the March quarter 2016, the average domestic gas price was estimated only from domestic gas sales reported to the State Government in relation to the administration of royalties </a:t>
          </a:r>
          <a:r>
            <a:rPr lang="en-AU" sz="1100">
              <a:solidFill>
                <a:schemeClr val="dk1"/>
              </a:solidFill>
              <a:effectLst/>
              <a:latin typeface="+mn-lt"/>
              <a:ea typeface="+mn-ea"/>
              <a:cs typeface="+mn-cs"/>
            </a:rPr>
            <a:t>from projects such as the North West Shelf, Waitsia and Beharra Springs.</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Over time, the share of domestic gas sales captured through</a:t>
          </a:r>
          <a:r>
            <a:rPr lang="en-AU" baseline="0">
              <a:effectLst/>
            </a:rPr>
            <a:t> this methodology had </a:t>
          </a:r>
          <a:r>
            <a:rPr lang="en-AU">
              <a:effectLst/>
            </a:rPr>
            <a:t>diminished</a:t>
          </a:r>
          <a:r>
            <a:rPr lang="en-AU" baseline="0">
              <a:effectLst/>
            </a:rPr>
            <a:t> considerably.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DMIRS, therefore, undertook</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 review of its methodology for deriving a domestic gas price for WA in 2022.</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outcome of review has been the development of a new domestic gas price and</a:t>
          </a:r>
          <a:r>
            <a:rPr lang="en-AU" baseline="0">
              <a:effectLst/>
            </a:rPr>
            <a:t> production value </a:t>
          </a:r>
          <a:r>
            <a:rPr lang="en-AU">
              <a:effectLst/>
            </a:rPr>
            <a:t>series backdated to 2016.</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new data series is reflected in this</a:t>
          </a:r>
          <a:r>
            <a:rPr lang="en-AU" baseline="0">
              <a:effectLst/>
            </a:rPr>
            <a:t> data publication.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It </a:t>
          </a:r>
          <a:r>
            <a:rPr lang="en-AU" baseline="0">
              <a:effectLst/>
            </a:rPr>
            <a:t>is </a:t>
          </a:r>
          <a:r>
            <a:rPr lang="en-AU">
              <a:effectLst/>
            </a:rPr>
            <a:t>based on a broader</a:t>
          </a:r>
          <a:r>
            <a:rPr lang="en-AU" baseline="0">
              <a:effectLst/>
            </a:rPr>
            <a:t> set of available </a:t>
          </a:r>
          <a:r>
            <a:rPr lang="en-AU">
              <a:effectLst/>
            </a:rPr>
            <a:t>pricing data including Woodside and Santos published prices, in combination with prices derivces from </a:t>
          </a:r>
          <a:r>
            <a:rPr lang="en-AU" sz="1100">
              <a:solidFill>
                <a:schemeClr val="dk1"/>
              </a:solidFill>
              <a:effectLst/>
              <a:latin typeface="+mn-lt"/>
              <a:ea typeface="+mn-ea"/>
              <a:cs typeface="+mn-cs"/>
            </a:rPr>
            <a:t>domestic gas sales data reported to the State Government</a:t>
          </a:r>
          <a:r>
            <a:rPr lang="en-AU">
              <a:effectLst/>
            </a:rPr>
            <a:t>.</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Under the new data series, a domestic gas price is applied to a project based on a determination of the best available price,</a:t>
          </a:r>
          <a:r>
            <a:rPr lang="en-AU" baseline="0">
              <a:effectLst/>
            </a:rPr>
            <a:t> </a:t>
          </a:r>
          <a:r>
            <a:rPr lang="en-AU">
              <a:effectLst/>
            </a:rPr>
            <a:t>combination of prices, or average prices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result is a </a:t>
          </a:r>
          <a:r>
            <a:rPr lang="en-AU" sz="1100" baseline="0">
              <a:solidFill>
                <a:schemeClr val="dk1"/>
              </a:solidFill>
              <a:effectLst/>
              <a:latin typeface="+mn-lt"/>
              <a:ea typeface="+mn-ea"/>
              <a:cs typeface="+mn-cs"/>
            </a:rPr>
            <a:t>domestic gas price and production value </a:t>
          </a:r>
          <a:r>
            <a:rPr lang="en-AU">
              <a:effectLst/>
            </a:rPr>
            <a:t>data series</a:t>
          </a:r>
          <a:r>
            <a:rPr lang="en-AU" baseline="0">
              <a:effectLst/>
            </a:rPr>
            <a:t> that captures a larger subset of the value of domestic gas sales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Note that the prices quoted here represent average estimated producer prices, i.e.</a:t>
          </a:r>
          <a:r>
            <a:rPr lang="en-AU" baseline="0">
              <a:effectLst/>
            </a:rPr>
            <a:t> t</a:t>
          </a:r>
          <a:r>
            <a:rPr lang="en-AU"/>
            <a:t>he sales price at the point of entry of domestic gas into the Dampier To Bunbury Natural Gas Pipeline, or where applicable, the Goldfields Gas Transmission Pipeline and the Parmelia pipeline. </a:t>
          </a:r>
        </a:p>
        <a:p>
          <a:pPr marL="0" marR="0" lvl="0" indent="0" defTabSz="914400" eaLnBrk="1" fontAlgn="auto" latinLnBrk="0" hangingPunct="1">
            <a:lnSpc>
              <a:spcPct val="100000"/>
            </a:lnSpc>
            <a:spcBef>
              <a:spcPts val="0"/>
            </a:spcBef>
            <a:spcAft>
              <a:spcPts val="0"/>
            </a:spcAft>
            <a:buClrTx/>
            <a:buSzTx/>
            <a:buFontTx/>
            <a:buNone/>
            <a:tabLst/>
            <a:defRPr/>
          </a:pPr>
          <a:endParaRPr lang="en-AU"/>
        </a:p>
        <a:p>
          <a:pPr marL="0" marR="0" lvl="0" indent="0" defTabSz="914400" eaLnBrk="1" fontAlgn="auto" latinLnBrk="0" hangingPunct="1">
            <a:lnSpc>
              <a:spcPct val="100000"/>
            </a:lnSpc>
            <a:spcBef>
              <a:spcPts val="0"/>
            </a:spcBef>
            <a:spcAft>
              <a:spcPts val="0"/>
            </a:spcAft>
            <a:buClrTx/>
            <a:buSzTx/>
            <a:buFontTx/>
            <a:buNone/>
            <a:tabLst/>
            <a:defRPr/>
          </a:pPr>
          <a:r>
            <a:rPr lang="en-AU"/>
            <a:t>They </a:t>
          </a:r>
          <a:r>
            <a:rPr lang="en-AU">
              <a:effectLst/>
            </a:rPr>
            <a:t>do not include transport costs, other downstream costs, nor any mark-up paid by customers to wholesalers. They are distinct from other published prices achieved on the spot market or that represent the price paid by gas users.</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data for the 2016</a:t>
          </a:r>
          <a:r>
            <a:rPr lang="en-AU" baseline="0">
              <a:effectLst/>
            </a:rPr>
            <a:t> and earlier</a:t>
          </a:r>
          <a:r>
            <a:rPr lang="en-AU">
              <a:effectLst/>
            </a:rPr>
            <a:t> period is not directly not comparable to the data for the post-2016 period. </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series is also not comparable to the previous domestic gas series published by DMIRS. The older series is available from DMIRS upon request.</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xdr:txBody>
    </xdr:sp>
    <xdr:clientData/>
  </xdr:twoCellAnchor>
  <xdr:twoCellAnchor>
    <xdr:from>
      <xdr:col>9</xdr:col>
      <xdr:colOff>0</xdr:colOff>
      <xdr:row>8</xdr:row>
      <xdr:rowOff>23813</xdr:rowOff>
    </xdr:from>
    <xdr:to>
      <xdr:col>21</xdr:col>
      <xdr:colOff>580231</xdr:colOff>
      <xdr:row>31</xdr:row>
      <xdr:rowOff>33338</xdr:rowOff>
    </xdr:to>
    <xdr:graphicFrame macro="">
      <xdr:nvGraphicFramePr>
        <xdr:cNvPr id="11" name="Chart 10">
          <a:extLst>
            <a:ext uri="{FF2B5EF4-FFF2-40B4-BE49-F238E27FC236}">
              <a16:creationId xmlns:a16="http://schemas.microsoft.com/office/drawing/2014/main" id="{00000000-0008-0000-2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702469</xdr:colOff>
      <xdr:row>33</xdr:row>
      <xdr:rowOff>0</xdr:rowOff>
    </xdr:from>
    <xdr:to>
      <xdr:col>21</xdr:col>
      <xdr:colOff>492919</xdr:colOff>
      <xdr:row>59</xdr:row>
      <xdr:rowOff>168275</xdr:rowOff>
    </xdr:to>
    <xdr:graphicFrame macro="">
      <xdr:nvGraphicFramePr>
        <xdr:cNvPr id="12" name="Chart 11">
          <a:extLst>
            <a:ext uri="{FF2B5EF4-FFF2-40B4-BE49-F238E27FC236}">
              <a16:creationId xmlns:a16="http://schemas.microsoft.com/office/drawing/2014/main" id="{00000000-0008-0000-2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1033462</xdr:colOff>
      <xdr:row>46</xdr:row>
      <xdr:rowOff>119063</xdr:rowOff>
    </xdr:from>
    <xdr:to>
      <xdr:col>8</xdr:col>
      <xdr:colOff>247650</xdr:colOff>
      <xdr:row>49</xdr:row>
      <xdr:rowOff>190499</xdr:rowOff>
    </xdr:to>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4319587" y="8920163"/>
          <a:ext cx="3005138" cy="652461"/>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Domestic gas prices in gigajoules can be converted to</a:t>
          </a:r>
          <a:r>
            <a:rPr lang="en-AU" sz="1100" baseline="0"/>
            <a:t> million metric british thermal units by multiplying by 1.055064.</a:t>
          </a:r>
          <a:endParaRPr lang="en-AU" sz="1100"/>
        </a:p>
      </xdr:txBody>
    </xdr:sp>
    <xdr:clientData/>
  </xdr:twoCellAnchor>
  <xdr:twoCellAnchor editAs="oneCell">
    <xdr:from>
      <xdr:col>0</xdr:col>
      <xdr:colOff>0</xdr:colOff>
      <xdr:row>0</xdr:row>
      <xdr:rowOff>0</xdr:rowOff>
    </xdr:from>
    <xdr:to>
      <xdr:col>2</xdr:col>
      <xdr:colOff>1002872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168088</xdr:colOff>
      <xdr:row>100</xdr:row>
      <xdr:rowOff>112058</xdr:rowOff>
    </xdr:from>
    <xdr:to>
      <xdr:col>1</xdr:col>
      <xdr:colOff>782732</xdr:colOff>
      <xdr:row>107</xdr:row>
      <xdr:rowOff>123825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68088" y="17380883"/>
          <a:ext cx="5129494" cy="134526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Quantities used in this table only apply to Minerals and Petroleum covered by the </a:t>
          </a:r>
          <a:r>
            <a:rPr lang="en-AU" sz="1100" i="1"/>
            <a:t>Mining Act 1978 </a:t>
          </a:r>
          <a:r>
            <a:rPr lang="en-AU" sz="1100"/>
            <a:t>, the </a:t>
          </a:r>
          <a:r>
            <a:rPr lang="en-AU" sz="1100" i="1"/>
            <a:t>Petroleum and Geothermal Energy Resources Act 1967</a:t>
          </a:r>
          <a:r>
            <a:rPr lang="en-AU" sz="1100"/>
            <a:t>, the </a:t>
          </a:r>
          <a:r>
            <a:rPr lang="en-AU" sz="1100" i="1"/>
            <a:t>Petroleum (Submerged Lands) Act 1982</a:t>
          </a:r>
          <a:r>
            <a:rPr lang="en-AU" sz="1100"/>
            <a:t>, the </a:t>
          </a:r>
          <a:r>
            <a:rPr lang="en-AU" sz="1100" i="1"/>
            <a:t>Offshore Petroleum Act 2006</a:t>
          </a:r>
          <a:r>
            <a:rPr lang="en-AU" sz="1100"/>
            <a:t> and relevant State Agreement Acts.</a:t>
          </a:r>
        </a:p>
        <a:p>
          <a:endParaRPr lang="en-AU" sz="1100"/>
        </a:p>
        <a:p>
          <a:r>
            <a:rPr lang="en-AU" sz="1100"/>
            <a:t>Some values for garnet, manganese, potash, staurolite, synthetic rutile, talc, vanadium, tantalium,</a:t>
          </a:r>
          <a:r>
            <a:rPr lang="en-AU" sz="1100" baseline="0"/>
            <a:t> tin, </a:t>
          </a:r>
          <a:r>
            <a:rPr lang="en-AU" sz="1100"/>
            <a:t>and rare earths,</a:t>
          </a:r>
          <a:r>
            <a:rPr lang="en-AU" sz="1100" baseline="0"/>
            <a:t> </a:t>
          </a:r>
          <a:r>
            <a:rPr lang="en-AU" sz="1100"/>
            <a:t>not available due to confidentiality.</a:t>
          </a:r>
        </a:p>
      </xdr:txBody>
    </xdr:sp>
    <xdr:clientData/>
  </xdr:twoCellAnchor>
  <xdr:twoCellAnchor>
    <xdr:from>
      <xdr:col>12</xdr:col>
      <xdr:colOff>178594</xdr:colOff>
      <xdr:row>27</xdr:row>
      <xdr:rowOff>178595</xdr:rowOff>
    </xdr:from>
    <xdr:to>
      <xdr:col>21</xdr:col>
      <xdr:colOff>333375</xdr:colOff>
      <xdr:row>47</xdr:row>
      <xdr:rowOff>158116</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2622122</xdr:colOff>
      <xdr:row>3</xdr:row>
      <xdr:rowOff>7251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9</xdr:col>
      <xdr:colOff>374650</xdr:colOff>
      <xdr:row>42</xdr:row>
      <xdr:rowOff>98425</xdr:rowOff>
    </xdr:from>
    <xdr:to>
      <xdr:col>18</xdr:col>
      <xdr:colOff>615152</xdr:colOff>
      <xdr:row>64</xdr:row>
      <xdr:rowOff>34310</xdr:rowOff>
    </xdr:to>
    <xdr:graphicFrame macro="">
      <xdr:nvGraphicFramePr>
        <xdr:cNvPr id="6" name="Chart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361390</xdr:colOff>
      <xdr:row>6</xdr:row>
      <xdr:rowOff>176492</xdr:rowOff>
    </xdr:from>
    <xdr:to>
      <xdr:col>18</xdr:col>
      <xdr:colOff>99172</xdr:colOff>
      <xdr:row>16</xdr:row>
      <xdr:rowOff>104775</xdr:rowOff>
    </xdr:to>
    <xdr:sp macro="" textlink="">
      <xdr:nvSpPr>
        <xdr:cNvPr id="7" name="Text Box 1">
          <a:extLst>
            <a:ext uri="{FF2B5EF4-FFF2-40B4-BE49-F238E27FC236}">
              <a16:creationId xmlns:a16="http://schemas.microsoft.com/office/drawing/2014/main" id="{00000000-0008-0000-2A00-000007000000}"/>
            </a:ext>
          </a:extLst>
        </xdr:cNvPr>
        <xdr:cNvSpPr txBox="1"/>
      </xdr:nvSpPr>
      <xdr:spPr>
        <a:xfrm>
          <a:off x="7009840" y="1329017"/>
          <a:ext cx="5224182" cy="186185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data for the different periods is not directly not comparable.</a:t>
          </a:r>
        </a:p>
      </xdr:txBody>
    </xdr:sp>
    <xdr:clientData/>
  </xdr:twoCellAnchor>
  <xdr:twoCellAnchor>
    <xdr:from>
      <xdr:col>9</xdr:col>
      <xdr:colOff>365125</xdr:colOff>
      <xdr:row>18</xdr:row>
      <xdr:rowOff>146050</xdr:rowOff>
    </xdr:from>
    <xdr:to>
      <xdr:col>18</xdr:col>
      <xdr:colOff>541912</xdr:colOff>
      <xdr:row>40</xdr:row>
      <xdr:rowOff>111872</xdr:rowOff>
    </xdr:to>
    <xdr:graphicFrame macro="">
      <xdr:nvGraphicFramePr>
        <xdr:cNvPr id="12" name="Chart 11">
          <a:extLst>
            <a:ext uri="{FF2B5EF4-FFF2-40B4-BE49-F238E27FC236}">
              <a16:creationId xmlns:a16="http://schemas.microsoft.com/office/drawing/2014/main" i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602822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15</xdr:col>
      <xdr:colOff>86597</xdr:colOff>
      <xdr:row>6</xdr:row>
      <xdr:rowOff>37041</xdr:rowOff>
    </xdr:from>
    <xdr:to>
      <xdr:col>24</xdr:col>
      <xdr:colOff>206234</xdr:colOff>
      <xdr:row>28</xdr:row>
      <xdr:rowOff>3922</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87841</xdr:colOff>
      <xdr:row>31</xdr:row>
      <xdr:rowOff>127000</xdr:rowOff>
    </xdr:from>
    <xdr:to>
      <xdr:col>24</xdr:col>
      <xdr:colOff>207478</xdr:colOff>
      <xdr:row>53</xdr:row>
      <xdr:rowOff>122455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124322</xdr:colOff>
      <xdr:row>56</xdr:row>
      <xdr:rowOff>152400</xdr:rowOff>
    </xdr:from>
    <xdr:to>
      <xdr:col>24</xdr:col>
      <xdr:colOff>253999</xdr:colOff>
      <xdr:row>78</xdr:row>
      <xdr:rowOff>142564</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581025</xdr:colOff>
      <xdr:row>9</xdr:row>
      <xdr:rowOff>47626</xdr:rowOff>
    </xdr:from>
    <xdr:to>
      <xdr:col>34</xdr:col>
      <xdr:colOff>695325</xdr:colOff>
      <xdr:row>19</xdr:row>
      <xdr:rowOff>0</xdr:rowOff>
    </xdr:to>
    <xdr:sp macro="" textlink="">
      <xdr:nvSpPr>
        <xdr:cNvPr id="10" name="Text Box 1">
          <a:extLst>
            <a:ext uri="{FF2B5EF4-FFF2-40B4-BE49-F238E27FC236}">
              <a16:creationId xmlns:a16="http://schemas.microsoft.com/office/drawing/2014/main" id="{00000000-0008-0000-2B00-00000A000000}"/>
            </a:ext>
          </a:extLst>
        </xdr:cNvPr>
        <xdr:cNvSpPr txBox="1"/>
      </xdr:nvSpPr>
      <xdr:spPr>
        <a:xfrm>
          <a:off x="21726525" y="1800226"/>
          <a:ext cx="5381625" cy="18668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a:effectLst/>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a:effectLst/>
          </a:endParaRPr>
        </a:p>
        <a:p>
          <a:r>
            <a:rPr lang="en-AU" sz="1100">
              <a:solidFill>
                <a:schemeClr val="dk1"/>
              </a:solidFill>
              <a:effectLst/>
              <a:latin typeface="+mn-lt"/>
              <a:ea typeface="+mn-ea"/>
              <a:cs typeface="+mn-cs"/>
            </a:rPr>
            <a:t>The data for the different periods is not directly not comparable.</a:t>
          </a:r>
          <a:endParaRPr lang="en-AU">
            <a:effectLst/>
          </a:endParaRPr>
        </a:p>
      </xdr:txBody>
    </xdr:sp>
    <xdr:clientData/>
  </xdr:twoCellAnchor>
  <xdr:twoCellAnchor editAs="oneCell">
    <xdr:from>
      <xdr:col>0</xdr:col>
      <xdr:colOff>0</xdr:colOff>
      <xdr:row>0</xdr:row>
      <xdr:rowOff>0</xdr:rowOff>
    </xdr:from>
    <xdr:to>
      <xdr:col>3</xdr:col>
      <xdr:colOff>802847</xdr:colOff>
      <xdr:row>4</xdr:row>
      <xdr:rowOff>7251</xdr:rowOff>
    </xdr:to>
    <xdr:pic>
      <xdr:nvPicPr>
        <xdr:cNvPr id="3" name="Picture 2">
          <a:hlinkClick xmlns:r="http://schemas.openxmlformats.org/officeDocument/2006/relationships" r:id="rId7"/>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631397</xdr:colOff>
      <xdr:row>3</xdr:row>
      <xdr:rowOff>197751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a:t>
          </a:r>
        </a:p>
      </cdr:txBody>
    </cdr:sp>
  </cdr:relSizeAnchor>
</c:userShapes>
</file>

<file path=xl/drawings/drawing64.xml><?xml version="1.0" encoding="utf-8"?>
<xdr:wsDr xmlns:xdr="http://schemas.openxmlformats.org/drawingml/2006/spreadsheetDrawing" xmlns:a="http://schemas.openxmlformats.org/drawingml/2006/main">
  <xdr:twoCellAnchor>
    <xdr:from>
      <xdr:col>3</xdr:col>
      <xdr:colOff>409763</xdr:colOff>
      <xdr:row>5</xdr:row>
      <xdr:rowOff>187324</xdr:rowOff>
    </xdr:from>
    <xdr:to>
      <xdr:col>14</xdr:col>
      <xdr:colOff>444500</xdr:colOff>
      <xdr:row>28</xdr:row>
      <xdr:rowOff>149225</xdr:rowOff>
    </xdr:to>
    <xdr:graphicFrame macro="">
      <xdr:nvGraphicFramePr>
        <xdr:cNvPr id="3" name="Chart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347755</xdr:colOff>
      <xdr:row>30</xdr:row>
      <xdr:rowOff>171450</xdr:rowOff>
    </xdr:from>
    <xdr:to>
      <xdr:col>14</xdr:col>
      <xdr:colOff>438150</xdr:colOff>
      <xdr:row>55</xdr:row>
      <xdr:rowOff>114300</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1574372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0.0072</cdr:x>
      <cdr:y>0.95318</cdr:y>
    </cdr:from>
    <cdr:to>
      <cdr:x>0.21264</cdr:x>
      <cdr:y>0.99605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0657" y="4158191"/>
          <a:ext cx="1731115"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DEMIRS and EnergyQuest</a:t>
          </a:r>
        </a:p>
      </cdr:txBody>
    </cdr:sp>
  </cdr:relSizeAnchor>
</c:userShapes>
</file>

<file path=xl/drawings/drawing66.xml><?xml version="1.0" encoding="utf-8"?>
<xdr:wsDr xmlns:xdr="http://schemas.openxmlformats.org/drawingml/2006/spreadsheetDrawing" xmlns:a="http://schemas.openxmlformats.org/drawingml/2006/main">
  <xdr:twoCellAnchor>
    <xdr:from>
      <xdr:col>3</xdr:col>
      <xdr:colOff>241300</xdr:colOff>
      <xdr:row>5</xdr:row>
      <xdr:rowOff>187325</xdr:rowOff>
    </xdr:from>
    <xdr:to>
      <xdr:col>14</xdr:col>
      <xdr:colOff>495299</xdr:colOff>
      <xdr:row>28</xdr:row>
      <xdr:rowOff>174625</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193675</xdr:colOff>
      <xdr:row>29</xdr:row>
      <xdr:rowOff>142875</xdr:rowOff>
    </xdr:from>
    <xdr:to>
      <xdr:col>14</xdr:col>
      <xdr:colOff>504825</xdr:colOff>
      <xdr:row>52</xdr:row>
      <xdr:rowOff>85725</xdr:rowOff>
    </xdr:to>
    <xdr:graphicFrame macro="">
      <xdr:nvGraphicFramePr>
        <xdr:cNvPr id="7" name="Chart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488522</xdr:colOff>
      <xdr:row>3</xdr:row>
      <xdr:rowOff>197751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cdr:x>
      <cdr:y>0.95335</cdr:y>
    </cdr:from>
    <cdr:to>
      <cdr:x>0.28139</cdr:x>
      <cdr:y>0.99588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22" y="4192228"/>
          <a:ext cx="2306786"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DEMIRS, EnergyQuest, and Woodside</a:t>
          </a:r>
        </a:p>
      </cdr:txBody>
    </cdr:sp>
  </cdr:relSizeAnchor>
</c:userShapes>
</file>

<file path=xl/drawings/drawing68.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0.94885</cdr:y>
    </cdr:from>
    <cdr:to>
      <cdr:x>0.3194</cdr:x>
      <cdr:y>0.99598</cdr:y>
    </cdr:to>
    <cdr:sp macro="" textlink="">
      <cdr:nvSpPr>
        <cdr:cNvPr id="4097" name="Text Box 1"/>
        <cdr:cNvSpPr txBox="1">
          <a:spLocks xmlns:a="http://schemas.openxmlformats.org/drawingml/2006/main" noChangeArrowheads="1"/>
        </cdr:cNvSpPr>
      </cdr:nvSpPr>
      <cdr:spPr bwMode="auto">
        <a:xfrm xmlns:a="http://schemas.openxmlformats.org/drawingml/2006/main">
          <a:off x="0" y="3595687"/>
          <a:ext cx="2583656" cy="17859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EnergyQuest, Woodside, and Santos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88472</xdr:colOff>
      <xdr:row>2</xdr:row>
      <xdr:rowOff>178701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229</xdr:row>
      <xdr:rowOff>0</xdr:rowOff>
    </xdr:from>
    <xdr:to>
      <xdr:col>0</xdr:col>
      <xdr:colOff>2828925</xdr:colOff>
      <xdr:row>232</xdr:row>
      <xdr:rowOff>95250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66675" y="43710225"/>
          <a:ext cx="27622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industry.gov.au/data-and-publications/resources-and-energy-quarterly-all" TargetMode="External"/><Relationship Id="rId18" Type="http://schemas.openxmlformats.org/officeDocument/2006/relationships/hyperlink" Target="https://www.usgs.gov/centers/nmic/mineral-commodity-summaries" TargetMode="External"/><Relationship Id="rId26" Type="http://schemas.openxmlformats.org/officeDocument/2006/relationships/hyperlink" Target="https://www.usgs.gov/centers/nmic/mineral-commodity-summaries" TargetMode="External"/><Relationship Id="rId3" Type="http://schemas.openxmlformats.org/officeDocument/2006/relationships/hyperlink" Target="https://metals.argusmedia.com/" TargetMode="External"/><Relationship Id="rId21" Type="http://schemas.openxmlformats.org/officeDocument/2006/relationships/hyperlink" Target="https://www.usgs.gov/centers/nmic/mineral-commodity-summaries" TargetMode="External"/><Relationship Id="rId34" Type="http://schemas.openxmlformats.org/officeDocument/2006/relationships/printerSettings" Target="../printerSettings/printerSettings2.bin"/><Relationship Id="rId7" Type="http://schemas.openxmlformats.org/officeDocument/2006/relationships/hyperlink" Target="https://www.abs.gov.au/"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www.bp.com/en/global/corporate/energy-economics/statistical-review-of-world-energy.html" TargetMode="External"/><Relationship Id="rId25" Type="http://schemas.openxmlformats.org/officeDocument/2006/relationships/hyperlink" Target="https://www.usgs.gov/centers/nmic/mineral-commodity-summaries" TargetMode="External"/><Relationship Id="rId33" Type="http://schemas.openxmlformats.org/officeDocument/2006/relationships/hyperlink" Target="http://kitco.com/gold.londonfix.html" TargetMode="External"/><Relationship Id="rId2" Type="http://schemas.openxmlformats.org/officeDocument/2006/relationships/hyperlink" Target="http://kitco.com/gold.londonfix.html" TargetMode="External"/><Relationship Id="rId16" Type="http://schemas.openxmlformats.org/officeDocument/2006/relationships/hyperlink" Target="https://www.industry.gov.au/data-and-publications/resources-and-energy-quarterly-all" TargetMode="External"/><Relationship Id="rId20" Type="http://schemas.openxmlformats.org/officeDocument/2006/relationships/hyperlink" Target="https://www.usgs.gov/centers/nmic/mineral-commodity-summaries" TargetMode="External"/><Relationship Id="rId29" Type="http://schemas.openxmlformats.org/officeDocument/2006/relationships/hyperlink" Target="http://kitco.com/gold.londonfix.html" TargetMode="External"/><Relationship Id="rId1" Type="http://schemas.openxmlformats.org/officeDocument/2006/relationships/hyperlink" Target="http://www.energyquest.com.au/" TargetMode="External"/><Relationship Id="rId6" Type="http://schemas.openxmlformats.org/officeDocument/2006/relationships/hyperlink" Target="http://stat.data.abs.gov.au/" TargetMode="External"/><Relationship Id="rId11" Type="http://schemas.openxmlformats.org/officeDocument/2006/relationships/hyperlink" Target="https://www.industry.gov.au/data-and-publications/resources-and-energy-quarterly-all" TargetMode="External"/><Relationship Id="rId24" Type="http://schemas.openxmlformats.org/officeDocument/2006/relationships/hyperlink" Target="https://www.usgs.gov/centers/nmic/mineral-commodity-summaries" TargetMode="External"/><Relationship Id="rId32" Type="http://schemas.openxmlformats.org/officeDocument/2006/relationships/hyperlink" Target="http://www.asianmetal.com/" TargetMode="External"/><Relationship Id="rId5" Type="http://schemas.openxmlformats.org/officeDocument/2006/relationships/hyperlink" Target="https://www.abs.gov.au/" TargetMode="External"/><Relationship Id="rId15" Type="http://schemas.openxmlformats.org/officeDocument/2006/relationships/hyperlink" Target="http://www.asianmetal.com/" TargetMode="External"/><Relationship Id="rId23" Type="http://schemas.openxmlformats.org/officeDocument/2006/relationships/hyperlink" Target="https://www.usgs.gov/centers/nmic/mineral-commodity-summaries" TargetMode="External"/><Relationship Id="rId28" Type="http://schemas.openxmlformats.org/officeDocument/2006/relationships/hyperlink" Target="http://kitco.com/gold.londonfix.html" TargetMode="External"/><Relationship Id="rId10" Type="http://schemas.openxmlformats.org/officeDocument/2006/relationships/hyperlink" Target="https://www.industry.gov.au/data-and-publications/resources-and-energy-quarterly-all" TargetMode="External"/><Relationship Id="rId19" Type="http://schemas.openxmlformats.org/officeDocument/2006/relationships/hyperlink" Target="https://www.usgs.gov/centers/nmic/mineral-commodity-summaries" TargetMode="External"/><Relationship Id="rId31" Type="http://schemas.openxmlformats.org/officeDocument/2006/relationships/hyperlink" Target="https://www.perthmint.com/" TargetMode="External"/><Relationship Id="rId4" Type="http://schemas.openxmlformats.org/officeDocument/2006/relationships/hyperlink" Target="https://metals.argusmedia.com/" TargetMode="External"/><Relationship Id="rId9" Type="http://schemas.openxmlformats.org/officeDocument/2006/relationships/hyperlink" Target="https://www.industry.gov.au/data-and-publications/resources-and-energy-quarterly-all" TargetMode="External"/><Relationship Id="rId14" Type="http://schemas.openxmlformats.org/officeDocument/2006/relationships/hyperlink" Target="http://stat.data.abs.gov.au/" TargetMode="External"/><Relationship Id="rId22" Type="http://schemas.openxmlformats.org/officeDocument/2006/relationships/hyperlink" Target="https://www.usgs.gov/centers/nmic/mineral-commodity-summaries" TargetMode="External"/><Relationship Id="rId27" Type="http://schemas.openxmlformats.org/officeDocument/2006/relationships/hyperlink" Target="https://www.abs.gov.au/" TargetMode="External"/><Relationship Id="rId30" Type="http://schemas.openxmlformats.org/officeDocument/2006/relationships/hyperlink" Target="http://kitco.com/gold.londonfix.html" TargetMode="External"/><Relationship Id="rId35" Type="http://schemas.openxmlformats.org/officeDocument/2006/relationships/drawing" Target="../drawings/drawing2.xml"/><Relationship Id="rId8" Type="http://schemas.openxmlformats.org/officeDocument/2006/relationships/hyperlink" Target="https://www.industry.gov.au/data-and-publications/resources-and-energy-quarterly-al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64"/>
  <sheetViews>
    <sheetView showGridLines="0" tabSelected="1" workbookViewId="0"/>
  </sheetViews>
  <sheetFormatPr defaultRowHeight="15"/>
  <cols>
    <col min="1" max="1" width="28.85546875" bestFit="1" customWidth="1"/>
    <col min="2" max="2" width="1.5703125" bestFit="1" customWidth="1"/>
    <col min="3" max="3" width="76.7109375" bestFit="1" customWidth="1"/>
    <col min="4" max="4" width="165" customWidth="1"/>
    <col min="5" max="5" width="2.140625" customWidth="1"/>
  </cols>
  <sheetData>
    <row r="1" spans="1:6">
      <c r="A1" s="405"/>
      <c r="D1" s="302"/>
    </row>
    <row r="2" spans="1:6">
      <c r="D2" s="302"/>
    </row>
    <row r="3" spans="1:6">
      <c r="D3" s="302"/>
    </row>
    <row r="4" spans="1:6">
      <c r="D4" s="302"/>
    </row>
    <row r="5" spans="1:6">
      <c r="C5" s="302"/>
      <c r="D5" s="302"/>
    </row>
    <row r="6" spans="1:6" s="381" customFormat="1">
      <c r="A6" s="268" t="s">
        <v>569</v>
      </c>
      <c r="B6" s="268" t="s">
        <v>7</v>
      </c>
      <c r="C6" s="1682" t="s">
        <v>460</v>
      </c>
      <c r="D6" s="356" t="s">
        <v>624</v>
      </c>
    </row>
    <row r="7" spans="1:6">
      <c r="B7" s="70" t="s">
        <v>7</v>
      </c>
      <c r="C7" s="1682" t="s">
        <v>461</v>
      </c>
      <c r="D7" s="268" t="s">
        <v>625</v>
      </c>
      <c r="F7" s="95"/>
    </row>
    <row r="8" spans="1:6">
      <c r="A8" s="70" t="s">
        <v>466</v>
      </c>
      <c r="B8" s="70" t="s">
        <v>7</v>
      </c>
      <c r="C8" s="1682" t="s">
        <v>396</v>
      </c>
      <c r="D8" s="356" t="s">
        <v>560</v>
      </c>
    </row>
    <row r="9" spans="1:6">
      <c r="A9" s="70"/>
      <c r="B9" s="70" t="s">
        <v>7</v>
      </c>
      <c r="C9" s="1682" t="s">
        <v>462</v>
      </c>
      <c r="D9" s="268" t="s">
        <v>532</v>
      </c>
    </row>
    <row r="10" spans="1:6">
      <c r="A10" s="70"/>
      <c r="B10" s="70" t="s">
        <v>7</v>
      </c>
      <c r="C10" s="1682" t="s">
        <v>463</v>
      </c>
      <c r="D10" s="268" t="s">
        <v>533</v>
      </c>
    </row>
    <row r="11" spans="1:6" s="228" customFormat="1">
      <c r="A11" s="70"/>
      <c r="B11" s="70" t="s">
        <v>7</v>
      </c>
      <c r="C11" s="1682" t="s">
        <v>464</v>
      </c>
      <c r="D11" s="268" t="s">
        <v>535</v>
      </c>
      <c r="E11"/>
    </row>
    <row r="12" spans="1:6" s="228" customFormat="1">
      <c r="A12" s="70"/>
      <c r="B12" s="70" t="s">
        <v>7</v>
      </c>
      <c r="C12" s="1682" t="s">
        <v>465</v>
      </c>
      <c r="D12" s="268" t="s">
        <v>534</v>
      </c>
      <c r="E12"/>
    </row>
    <row r="13" spans="1:6" s="381" customFormat="1">
      <c r="A13" s="268"/>
      <c r="B13" s="268" t="s">
        <v>7</v>
      </c>
      <c r="C13" s="1682" t="s">
        <v>486</v>
      </c>
      <c r="D13" s="72" t="s">
        <v>563</v>
      </c>
    </row>
    <row r="14" spans="1:6">
      <c r="A14" s="81" t="s">
        <v>288</v>
      </c>
      <c r="B14" s="81" t="s">
        <v>7</v>
      </c>
      <c r="C14" s="690" t="s">
        <v>350</v>
      </c>
      <c r="D14" s="81" t="s">
        <v>568</v>
      </c>
    </row>
    <row r="15" spans="1:6">
      <c r="A15" s="81"/>
      <c r="B15" s="81" t="s">
        <v>7</v>
      </c>
      <c r="C15" s="690" t="s">
        <v>349</v>
      </c>
      <c r="D15" s="81" t="s">
        <v>542</v>
      </c>
    </row>
    <row r="16" spans="1:6" s="3" customFormat="1">
      <c r="A16" s="81"/>
      <c r="B16" s="81" t="s">
        <v>7</v>
      </c>
      <c r="C16" s="690" t="s">
        <v>351</v>
      </c>
      <c r="D16" s="81" t="s">
        <v>559</v>
      </c>
      <c r="E16"/>
    </row>
    <row r="17" spans="1:5">
      <c r="A17" s="81"/>
      <c r="B17" s="81" t="s">
        <v>7</v>
      </c>
      <c r="C17" s="690" t="s">
        <v>593</v>
      </c>
      <c r="D17" s="81" t="s">
        <v>523</v>
      </c>
    </row>
    <row r="18" spans="1:5" s="55" customFormat="1">
      <c r="A18" s="82" t="s">
        <v>459</v>
      </c>
      <c r="B18" s="82" t="s">
        <v>7</v>
      </c>
      <c r="C18" s="691" t="s">
        <v>487</v>
      </c>
      <c r="D18" s="82" t="s">
        <v>524</v>
      </c>
      <c r="E18"/>
    </row>
    <row r="19" spans="1:5">
      <c r="A19" s="82"/>
      <c r="B19" s="82" t="s">
        <v>7</v>
      </c>
      <c r="C19" s="691" t="s">
        <v>488</v>
      </c>
      <c r="D19" s="82" t="s">
        <v>543</v>
      </c>
    </row>
    <row r="20" spans="1:5" s="55" customFormat="1">
      <c r="A20" s="82"/>
      <c r="B20" s="82" t="s">
        <v>7</v>
      </c>
      <c r="C20" s="691" t="s">
        <v>489</v>
      </c>
      <c r="D20" s="82" t="s">
        <v>558</v>
      </c>
      <c r="E20"/>
    </row>
    <row r="21" spans="1:5" s="55" customFormat="1">
      <c r="A21" s="82"/>
      <c r="B21" s="82" t="s">
        <v>7</v>
      </c>
      <c r="C21" s="691" t="s">
        <v>594</v>
      </c>
      <c r="D21" s="82" t="s">
        <v>567</v>
      </c>
    </row>
    <row r="22" spans="1:5">
      <c r="A22" s="84" t="s">
        <v>1</v>
      </c>
      <c r="B22" s="84" t="s">
        <v>7</v>
      </c>
      <c r="C22" s="693" t="s">
        <v>82</v>
      </c>
      <c r="D22" s="84" t="s">
        <v>525</v>
      </c>
    </row>
    <row r="23" spans="1:5" s="27" customFormat="1">
      <c r="A23" s="84"/>
      <c r="B23" s="84" t="s">
        <v>7</v>
      </c>
      <c r="C23" s="693" t="s">
        <v>81</v>
      </c>
      <c r="D23" s="84" t="s">
        <v>544</v>
      </c>
    </row>
    <row r="24" spans="1:5" s="27" customFormat="1">
      <c r="A24" s="84"/>
      <c r="B24" s="84" t="s">
        <v>7</v>
      </c>
      <c r="C24" s="693" t="s">
        <v>83</v>
      </c>
      <c r="D24" s="84" t="s">
        <v>557</v>
      </c>
    </row>
    <row r="25" spans="1:5" s="27" customFormat="1">
      <c r="A25" s="84"/>
      <c r="B25" s="84" t="s">
        <v>7</v>
      </c>
      <c r="C25" s="693" t="s">
        <v>595</v>
      </c>
      <c r="D25" s="84" t="s">
        <v>536</v>
      </c>
    </row>
    <row r="26" spans="1:5">
      <c r="A26" s="86" t="s">
        <v>2</v>
      </c>
      <c r="B26" s="86" t="s">
        <v>7</v>
      </c>
      <c r="C26" s="694" t="s">
        <v>85</v>
      </c>
      <c r="D26" s="359" t="s">
        <v>527</v>
      </c>
    </row>
    <row r="27" spans="1:5">
      <c r="A27" s="86"/>
      <c r="B27" s="86" t="s">
        <v>7</v>
      </c>
      <c r="C27" s="694" t="s">
        <v>84</v>
      </c>
      <c r="D27" s="359" t="s">
        <v>545</v>
      </c>
    </row>
    <row r="28" spans="1:5" s="27" customFormat="1">
      <c r="A28" s="86"/>
      <c r="B28" s="86" t="s">
        <v>7</v>
      </c>
      <c r="C28" s="694" t="s">
        <v>86</v>
      </c>
      <c r="D28" s="359" t="s">
        <v>556</v>
      </c>
    </row>
    <row r="29" spans="1:5" s="27" customFormat="1">
      <c r="A29" s="86"/>
      <c r="B29" s="86" t="s">
        <v>7</v>
      </c>
      <c r="C29" s="694" t="s">
        <v>596</v>
      </c>
      <c r="D29" s="359" t="s">
        <v>537</v>
      </c>
    </row>
    <row r="30" spans="1:5" s="323" customFormat="1">
      <c r="A30" s="341" t="s">
        <v>360</v>
      </c>
      <c r="B30" s="341" t="s">
        <v>7</v>
      </c>
      <c r="C30" s="1006" t="s">
        <v>389</v>
      </c>
      <c r="D30" s="361" t="s">
        <v>526</v>
      </c>
    </row>
    <row r="31" spans="1:5" s="323" customFormat="1">
      <c r="A31" s="341"/>
      <c r="B31" s="341" t="s">
        <v>7</v>
      </c>
      <c r="C31" s="1006" t="s">
        <v>390</v>
      </c>
      <c r="D31" s="361" t="s">
        <v>546</v>
      </c>
    </row>
    <row r="32" spans="1:5" s="381" customFormat="1">
      <c r="A32" s="341"/>
      <c r="B32" s="341" t="s">
        <v>7</v>
      </c>
      <c r="C32" s="1006" t="s">
        <v>449</v>
      </c>
      <c r="D32" s="361" t="s">
        <v>555</v>
      </c>
    </row>
    <row r="33" spans="1:5" s="27" customFormat="1">
      <c r="A33" s="85" t="s">
        <v>280</v>
      </c>
      <c r="B33" s="85" t="s">
        <v>7</v>
      </c>
      <c r="C33" s="696" t="s">
        <v>387</v>
      </c>
      <c r="D33" s="358" t="s">
        <v>631</v>
      </c>
      <c r="E33" s="349"/>
    </row>
    <row r="34" spans="1:5" s="27" customFormat="1">
      <c r="A34" s="85"/>
      <c r="B34" s="85" t="s">
        <v>7</v>
      </c>
      <c r="C34" s="696" t="s">
        <v>386</v>
      </c>
      <c r="D34" s="358" t="s">
        <v>547</v>
      </c>
    </row>
    <row r="35" spans="1:5" s="27" customFormat="1">
      <c r="A35" s="85"/>
      <c r="B35" s="85" t="s">
        <v>7</v>
      </c>
      <c r="C35" s="696" t="s">
        <v>388</v>
      </c>
      <c r="D35" s="358" t="s">
        <v>554</v>
      </c>
      <c r="E35" s="349"/>
    </row>
    <row r="36" spans="1:5" s="27" customFormat="1">
      <c r="A36" s="85"/>
      <c r="B36" s="85" t="s">
        <v>7</v>
      </c>
      <c r="C36" s="696" t="s">
        <v>630</v>
      </c>
      <c r="D36" s="358" t="s">
        <v>538</v>
      </c>
    </row>
    <row r="37" spans="1:5" s="27" customFormat="1">
      <c r="A37" s="83" t="s">
        <v>3</v>
      </c>
      <c r="B37" s="83" t="s">
        <v>7</v>
      </c>
      <c r="C37" s="1907" t="s">
        <v>79</v>
      </c>
      <c r="D37" s="357" t="s">
        <v>528</v>
      </c>
    </row>
    <row r="38" spans="1:5" s="55" customFormat="1">
      <c r="A38" s="83"/>
      <c r="B38" s="83" t="s">
        <v>7</v>
      </c>
      <c r="C38" s="1907" t="s">
        <v>78</v>
      </c>
      <c r="D38" s="357" t="s">
        <v>548</v>
      </c>
    </row>
    <row r="39" spans="1:5" s="27" customFormat="1">
      <c r="A39" s="83"/>
      <c r="B39" s="83" t="s">
        <v>7</v>
      </c>
      <c r="C39" s="1907" t="s">
        <v>80</v>
      </c>
      <c r="D39" s="357" t="s">
        <v>553</v>
      </c>
    </row>
    <row r="40" spans="1:5" s="27" customFormat="1">
      <c r="A40" s="83"/>
      <c r="B40" s="83" t="s">
        <v>7</v>
      </c>
      <c r="C40" s="1907" t="s">
        <v>597</v>
      </c>
      <c r="D40" s="357" t="s">
        <v>539</v>
      </c>
    </row>
    <row r="41" spans="1:5">
      <c r="A41" s="226" t="s">
        <v>238</v>
      </c>
      <c r="B41" s="226" t="s">
        <v>7</v>
      </c>
      <c r="C41" s="1062" t="s">
        <v>522</v>
      </c>
      <c r="D41" s="360" t="s">
        <v>552</v>
      </c>
    </row>
    <row r="42" spans="1:5" s="27" customFormat="1">
      <c r="A42" s="87" t="s">
        <v>4</v>
      </c>
      <c r="B42" s="87" t="s">
        <v>7</v>
      </c>
      <c r="C42" s="698" t="s">
        <v>570</v>
      </c>
      <c r="D42" s="362" t="s">
        <v>529</v>
      </c>
      <c r="E42" s="95"/>
    </row>
    <row r="43" spans="1:5" s="381" customFormat="1">
      <c r="A43" s="87"/>
      <c r="B43" s="87" t="s">
        <v>7</v>
      </c>
      <c r="C43" s="698" t="s">
        <v>571</v>
      </c>
      <c r="D43" s="362" t="s">
        <v>530</v>
      </c>
      <c r="E43" s="95"/>
    </row>
    <row r="44" spans="1:5">
      <c r="A44" s="87"/>
      <c r="B44" s="87" t="s">
        <v>7</v>
      </c>
      <c r="C44" s="698" t="s">
        <v>572</v>
      </c>
      <c r="D44" s="362" t="s">
        <v>531</v>
      </c>
    </row>
    <row r="45" spans="1:5" s="90" customFormat="1">
      <c r="A45" s="87"/>
      <c r="B45" s="87" t="s">
        <v>7</v>
      </c>
      <c r="C45" s="698" t="s">
        <v>484</v>
      </c>
      <c r="D45" s="362" t="s">
        <v>549</v>
      </c>
    </row>
    <row r="46" spans="1:5">
      <c r="A46" s="87"/>
      <c r="B46" s="87" t="s">
        <v>7</v>
      </c>
      <c r="C46" s="698" t="s">
        <v>579</v>
      </c>
      <c r="D46" s="362" t="s">
        <v>550</v>
      </c>
    </row>
    <row r="47" spans="1:5">
      <c r="A47" s="87"/>
      <c r="B47" s="87" t="s">
        <v>7</v>
      </c>
      <c r="C47" s="698" t="s">
        <v>233</v>
      </c>
      <c r="D47" s="362" t="s">
        <v>551</v>
      </c>
      <c r="E47" s="95"/>
    </row>
    <row r="48" spans="1:5">
      <c r="A48" s="87"/>
      <c r="B48" s="87" t="s">
        <v>7</v>
      </c>
      <c r="C48" s="698" t="s">
        <v>598</v>
      </c>
      <c r="D48" s="362" t="s">
        <v>541</v>
      </c>
      <c r="E48" s="95"/>
    </row>
    <row r="49" spans="1:5" s="381" customFormat="1">
      <c r="A49" s="87"/>
      <c r="B49" s="87" t="s">
        <v>7</v>
      </c>
      <c r="C49" s="698" t="s">
        <v>599</v>
      </c>
      <c r="D49" s="1091" t="s">
        <v>540</v>
      </c>
      <c r="E49" s="95"/>
    </row>
    <row r="50" spans="1:5">
      <c r="A50" s="268" t="s">
        <v>330</v>
      </c>
      <c r="B50" s="268" t="s">
        <v>7</v>
      </c>
      <c r="C50" s="1682" t="s">
        <v>11</v>
      </c>
      <c r="D50" s="356" t="s">
        <v>239</v>
      </c>
    </row>
    <row r="51" spans="1:5">
      <c r="A51" s="268" t="s">
        <v>331</v>
      </c>
      <c r="B51" s="268" t="s">
        <v>7</v>
      </c>
      <c r="C51" s="1682" t="s">
        <v>331</v>
      </c>
      <c r="D51" s="356" t="s">
        <v>329</v>
      </c>
    </row>
    <row r="52" spans="1:5">
      <c r="C52" s="302"/>
    </row>
    <row r="56" spans="1:5">
      <c r="C56" s="302"/>
    </row>
    <row r="57" spans="1:5">
      <c r="C57" s="302"/>
    </row>
    <row r="58" spans="1:5">
      <c r="C58" s="302"/>
    </row>
    <row r="59" spans="1:5">
      <c r="C59" s="302"/>
    </row>
    <row r="60" spans="1:5">
      <c r="C60" s="302"/>
    </row>
    <row r="61" spans="1:5">
      <c r="C61" s="302"/>
    </row>
    <row r="62" spans="1:5">
      <c r="C62" s="302"/>
    </row>
    <row r="63" spans="1:5">
      <c r="C63" s="302"/>
    </row>
    <row r="64" spans="1:5">
      <c r="C64" s="302"/>
    </row>
  </sheetData>
  <hyperlinks>
    <hyperlink ref="C15" location="'Alumina and Bauxite - Q&amp;V'!A1" display="Alumina and Bauxite - Quantity and Value" xr:uid="{00000000-0004-0000-0000-000000000000}"/>
    <hyperlink ref="C14" location="'Alumina and Bauxite - Prices'!A1" display="Alumina and Bauxite - Prices" xr:uid="{00000000-0004-0000-0000-000001000000}"/>
    <hyperlink ref="C16" location="'Alumina and Bauxite - Exports'!A1" display="Alumina and Bauxite - Exports" xr:uid="{00000000-0004-0000-0000-000002000000}"/>
    <hyperlink ref="C17" location="'Alumina and Bauxite - WA vs Aus'!A1" display="Alumina and Bauxite - WA vs Australia" xr:uid="{00000000-0004-0000-0000-000003000000}"/>
    <hyperlink ref="C38" location="'Nickel - Q&amp;V'!A1" display="Nickel - Quantity and Value" xr:uid="{00000000-0004-0000-0000-000004000000}"/>
    <hyperlink ref="C37" location="'Nickel - Prices'!A1" display="Nickel - Prices" xr:uid="{00000000-0004-0000-0000-000005000000}"/>
    <hyperlink ref="C39" location="'Nickel - Exports'!A1" display="Nickel - Exports" xr:uid="{00000000-0004-0000-0000-000006000000}"/>
    <hyperlink ref="C40" location="'Nickel - WA vs Aus'!A1" display="Nickel - WA vs Aus" xr:uid="{00000000-0004-0000-0000-000007000000}"/>
    <hyperlink ref="C23" location="'Gold - Q&amp;V'!A1" display="Gold - Quantity and Value" xr:uid="{00000000-0004-0000-0000-000008000000}"/>
    <hyperlink ref="C22" location="'Gold - Prices'!A1" display="Gold - Prices" xr:uid="{00000000-0004-0000-0000-000009000000}"/>
    <hyperlink ref="C24" location="'Gold - Exports'!A1" display="Gold - Exports" xr:uid="{00000000-0004-0000-0000-00000A000000}"/>
    <hyperlink ref="C25" location="'Gold - WA vs Aus'!A1" display="Gold - WA vs Australia" xr:uid="{00000000-0004-0000-0000-00000B000000}"/>
    <hyperlink ref="C34" location="'Mineral Sands - Q&amp;V'!A1" display="Mineral Sands - Quantity and Value" xr:uid="{00000000-0004-0000-0000-00000C000000}"/>
    <hyperlink ref="C35" location="'Mineral Sands - Exports'!A1" display="Mineral Sands - Exports" xr:uid="{00000000-0004-0000-0000-00000D000000}"/>
    <hyperlink ref="C36" location="'Mineral Sands - WA vs Aus'!A1" display="Mineral Sands - WA vs Australia" xr:uid="{00000000-0004-0000-0000-00000E000000}"/>
    <hyperlink ref="C27" location="'Iron Ore - Q&amp;V'!A1" display="Iron Ore - Quantity and Value" xr:uid="{00000000-0004-0000-0000-00000F000000}"/>
    <hyperlink ref="C26" location="'Iron Ore - Prices'!A1" display="Iron Ore - Prices" xr:uid="{00000000-0004-0000-0000-000010000000}"/>
    <hyperlink ref="C28" location="'Iron Ore - Exports'!A1" display="Iron Ore - Exports" xr:uid="{00000000-0004-0000-0000-000011000000}"/>
    <hyperlink ref="C29" location="'Iron Ore - WA vs Aus'!A1" display="Iron Ore - WA vs Australia" xr:uid="{00000000-0004-0000-0000-000012000000}"/>
    <hyperlink ref="C45" location="'Petroleum - Q&amp;V 1'!A1" display="Petroleum - Crude Oil and Condensate - Quantity and Value" xr:uid="{00000000-0004-0000-0000-000013000000}"/>
    <hyperlink ref="C42" location="'Petroleum - Oil - Prices'!A1" display="Petroleum - Oil - Prices" xr:uid="{00000000-0004-0000-0000-000014000000}"/>
    <hyperlink ref="C47" location="'Petroleum - Exports'!A1" display="Petroleum - Exports" xr:uid="{00000000-0004-0000-0000-000015000000}"/>
    <hyperlink ref="C48" location="'Petroleum - WA vs Aus 1'!A1" display="Petroleum - Crude Oil and Condensate - WA vs Australia" xr:uid="{00000000-0004-0000-0000-000016000000}"/>
    <hyperlink ref="C46" location="'Petroleum - Q&amp;V 2'!A1" display="Petroleum - LNG, LPG - Butane and Propane, and Natural Gas - Quantity and Value" xr:uid="{00000000-0004-0000-0000-000017000000}"/>
    <hyperlink ref="C8" location="'Commodity Prices'!A1" display="Commodity Prices" xr:uid="{00000000-0004-0000-0000-000018000000}"/>
    <hyperlink ref="C7" location="'Q&amp;V 2-years'!A1" display="Q&amp;V 2-years" xr:uid="{00000000-0004-0000-0000-000019000000}"/>
    <hyperlink ref="C9" location="'Q&amp;V CY 1886 to 2003'!A1" display="Q&amp;V Calendar Year 1886 to 2003" xr:uid="{00000000-0004-0000-0000-00001A000000}"/>
    <hyperlink ref="C19" location="'Copper-Lead-Zinc - Q&amp;V'!A1" display="Copper-Lead-Zinc - Quantity and Value" xr:uid="{00000000-0004-0000-0000-00001B000000}"/>
    <hyperlink ref="C18" location="'Copper-Lead-Zinc - Prices'!A1" display="Copper-Lead-Zinc - Prices" xr:uid="{00000000-0004-0000-0000-00001C000000}"/>
    <hyperlink ref="C20" location="'Copper-Lead-Zinc - Exports'!A1" display="Copper-Lead-Zinc - Exports" xr:uid="{00000000-0004-0000-0000-00001D000000}"/>
    <hyperlink ref="C21" location="'Copper-Lead-Zinc - WA vs Aus'!A1" display="Copper-Lead-Zinc - WA vs Australia" xr:uid="{00000000-0004-0000-0000-00001E000000}"/>
    <hyperlink ref="C33" location="'Mineral Sands - Prices'!A1" display="Mineral Sands - Prices" xr:uid="{00000000-0004-0000-0000-00001F000000}"/>
    <hyperlink ref="C41" location="'Other Minerals - Q&amp;V'!A1" display="Other Minerals - Quantity and Value" xr:uid="{00000000-0004-0000-0000-000020000000}"/>
    <hyperlink ref="C11" location="'Q&amp;V FY 1984-85 to 2002-03'!A1" display="Q&amp;V Financial Year 1984-85 to 2002-03" xr:uid="{00000000-0004-0000-0000-000021000000}"/>
    <hyperlink ref="C10" location="'Q&amp;V CY 2004 to Now'!A1" display="Q&amp;V Calendar Year 2004 to Now" xr:uid="{00000000-0004-0000-0000-000022000000}"/>
    <hyperlink ref="C12" location="'Q&amp;V FY 2003-04 to Now'!A1" display="Q&amp;V Financial Year 2003-04 to Now" xr:uid="{00000000-0004-0000-0000-000023000000}"/>
    <hyperlink ref="C50" location="Sources!A1" display="Sources" xr:uid="{00000000-0004-0000-0000-000024000000}"/>
    <hyperlink ref="C51" location="'How To Use'!A1" display="How to Use" xr:uid="{00000000-0004-0000-0000-000025000000}"/>
    <hyperlink ref="C44" location="'Petroleum - Dom. Gas - Prices'!A1" display="Petroleum - Domestic Gas - Prices" xr:uid="{00000000-0004-0000-0000-000026000000}"/>
    <hyperlink ref="C31" location="'Lithium - Q&amp;V'!A1" display="Battery Minerals - Quantity &amp; Value" xr:uid="{00000000-0004-0000-0000-000027000000}"/>
    <hyperlink ref="C30" location="'Lithium - Prices'!A1" display="Battery Minerals - Prices" xr:uid="{00000000-0004-0000-0000-000028000000}"/>
    <hyperlink ref="C32" location="'Lithium - Exports'!A1" display="Lithium - Exports" xr:uid="{00000000-0004-0000-0000-000029000000}"/>
    <hyperlink ref="C49" location="'Petroleum - WA vs Aus 2'!A1" display="Petroleum - LNG - WA vs Australia" xr:uid="{00000000-0004-0000-0000-00002A000000}"/>
    <hyperlink ref="C6" location="'Commodity Prices Comparison'!A1" display="Commodity Price Comparison" xr:uid="{00000000-0004-0000-0000-00002B000000}"/>
    <hyperlink ref="C43" location="'Petroleum - LNG - Prices'!A1" display="Petroleum - LNG - Prices" xr:uid="{00000000-0004-0000-0000-00002C000000}"/>
    <hyperlink ref="C13" location="'WA vs Australia vs the World'!A1" display="WA vs Australia vs the World" xr:uid="{00000000-0004-0000-0000-00002D000000}"/>
  </hyperlinks>
  <pageMargins left="0.25" right="0.25" top="0.75" bottom="0.75" header="0.3" footer="0.3"/>
  <pageSetup paperSize="9" scale="95" fitToWidth="0"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38100</xdr:colOff>
                <xdr:row>5</xdr:row>
                <xdr:rowOff>0</xdr:rowOff>
              </from>
              <to>
                <xdr:col>11</xdr:col>
                <xdr:colOff>409575</xdr:colOff>
                <xdr:row>22</xdr:row>
                <xdr:rowOff>85725</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Z120"/>
  <sheetViews>
    <sheetView showGridLines="0" workbookViewId="0">
      <pane xSplit="2" ySplit="9" topLeftCell="C10" activePane="bottomRight" state="frozen"/>
      <selection pane="topRight" activeCell="C1" sqref="C1"/>
      <selection pane="bottomLeft" activeCell="A10" sqref="A10"/>
      <selection pane="bottomRight"/>
    </sheetView>
  </sheetViews>
  <sheetFormatPr defaultRowHeight="15"/>
  <cols>
    <col min="1" max="1" width="40.7109375" style="154" customWidth="1"/>
    <col min="2" max="2" width="7.140625" style="239" bestFit="1" customWidth="1"/>
    <col min="3" max="3" width="16" customWidth="1"/>
    <col min="4" max="4" width="14.85546875" customWidth="1"/>
    <col min="5" max="5" width="16" customWidth="1"/>
    <col min="6" max="6" width="14.85546875" customWidth="1"/>
    <col min="7" max="7" width="16" customWidth="1"/>
    <col min="8" max="8" width="14.85546875" customWidth="1"/>
    <col min="9" max="9" width="16" customWidth="1"/>
    <col min="10" max="10" width="14.85546875" customWidth="1"/>
    <col min="11" max="11" width="16" customWidth="1"/>
    <col min="12" max="12" width="14.85546875" customWidth="1"/>
    <col min="13" max="13" width="16" customWidth="1"/>
    <col min="14" max="14" width="14.85546875" customWidth="1"/>
    <col min="15" max="15" width="16" customWidth="1"/>
    <col min="16" max="16" width="14.85546875" customWidth="1"/>
    <col min="17" max="17" width="16" customWidth="1"/>
    <col min="18" max="18" width="15.85546875" customWidth="1"/>
    <col min="19" max="19" width="16" customWidth="1"/>
    <col min="20" max="20" width="15.85546875" customWidth="1"/>
    <col min="21" max="21" width="16" customWidth="1"/>
    <col min="22" max="22" width="22" customWidth="1"/>
    <col min="23" max="23" width="19.28515625" bestFit="1" customWidth="1"/>
    <col min="24" max="26" width="19.28515625" customWidth="1"/>
    <col min="27" max="28" width="19.28515625" style="228" customWidth="1"/>
    <col min="29" max="30" width="19.28515625" style="323" customWidth="1"/>
    <col min="31" max="32" width="19.28515625" style="349" customWidth="1"/>
    <col min="33" max="33" width="19.28515625" style="154" customWidth="1"/>
    <col min="34" max="34" width="19.28515625" style="268" customWidth="1"/>
    <col min="35" max="35" width="19.28515625" style="381" customWidth="1"/>
    <col min="36" max="36" width="20.28515625" style="381" bestFit="1" customWidth="1"/>
    <col min="37" max="38" width="19.28515625" style="925" customWidth="1"/>
    <col min="39" max="39" width="19.28515625" style="268" customWidth="1"/>
    <col min="40" max="40" width="20.28515625" style="268" bestFit="1" customWidth="1"/>
    <col min="41" max="41" width="19.28515625" style="268" customWidth="1"/>
    <col min="42" max="42" width="20.28515625" style="268" bestFit="1" customWidth="1"/>
    <col min="43" max="43" width="18.42578125" style="251" bestFit="1" customWidth="1"/>
    <col min="44" max="44" width="23.7109375" style="154" bestFit="1" customWidth="1"/>
    <col min="45" max="45" width="8.7109375" style="405"/>
    <col min="46" max="49" width="18.85546875" customWidth="1"/>
    <col min="50" max="50" width="10.5703125" bestFit="1" customWidth="1"/>
    <col min="51" max="52" width="43.7109375" bestFit="1" customWidth="1"/>
  </cols>
  <sheetData>
    <row r="1" spans="1:49">
      <c r="AR1" s="251"/>
    </row>
    <row r="2" spans="1:49" ht="15" customHeight="1">
      <c r="Z2" s="373"/>
      <c r="AI2" s="317"/>
      <c r="AJ2" s="660"/>
      <c r="AK2" s="661"/>
      <c r="AL2" s="661"/>
      <c r="AM2" s="4"/>
      <c r="AN2" s="4"/>
      <c r="AO2" s="4"/>
      <c r="AP2" s="4"/>
      <c r="AQ2" s="225"/>
      <c r="AR2" s="251"/>
    </row>
    <row r="3" spans="1:49">
      <c r="AK3" s="77"/>
      <c r="AL3" s="154"/>
      <c r="AQ3" s="225"/>
      <c r="AR3" s="251"/>
    </row>
    <row r="4" spans="1:49">
      <c r="X4" s="349"/>
      <c r="AJ4" s="405"/>
      <c r="AK4" s="98"/>
      <c r="AL4" s="98"/>
      <c r="AM4" s="72"/>
      <c r="AN4" s="72"/>
      <c r="AO4" s="72"/>
      <c r="AP4" s="72"/>
      <c r="AQ4" s="225"/>
      <c r="AR4" s="251"/>
    </row>
    <row r="5" spans="1:49">
      <c r="A5" s="114" t="s">
        <v>421</v>
      </c>
      <c r="B5" s="115"/>
      <c r="AE5" s="405"/>
      <c r="AF5" s="405"/>
      <c r="AG5" s="98"/>
      <c r="AH5" s="72"/>
      <c r="AK5" s="154"/>
      <c r="AL5" s="154"/>
      <c r="AQ5" s="225"/>
      <c r="AR5" s="251"/>
    </row>
    <row r="6" spans="1:49">
      <c r="A6" s="98"/>
      <c r="B6" s="115"/>
      <c r="F6" s="228"/>
      <c r="G6" s="228"/>
      <c r="H6" s="228"/>
      <c r="I6" s="228"/>
      <c r="J6" s="228"/>
      <c r="K6" s="228"/>
      <c r="L6" s="228"/>
      <c r="M6" s="228"/>
      <c r="N6" s="228"/>
      <c r="O6" s="228"/>
      <c r="P6" s="228"/>
      <c r="Q6" s="228"/>
      <c r="R6" s="228"/>
      <c r="S6" s="228"/>
      <c r="T6" s="228"/>
      <c r="U6" s="228"/>
      <c r="V6" s="228"/>
      <c r="W6" s="228"/>
      <c r="X6" s="228"/>
      <c r="Y6" s="228"/>
      <c r="Z6" s="228"/>
      <c r="AK6" s="154"/>
      <c r="AL6" s="154"/>
      <c r="AR6" s="251"/>
    </row>
    <row r="7" spans="1:49">
      <c r="A7" s="255"/>
      <c r="B7" s="249"/>
      <c r="C7" s="1945" t="s">
        <v>309</v>
      </c>
      <c r="D7" s="1945"/>
      <c r="E7" s="1945" t="s">
        <v>289</v>
      </c>
      <c r="F7" s="1945"/>
      <c r="G7" s="1945" t="s">
        <v>310</v>
      </c>
      <c r="H7" s="1945"/>
      <c r="I7" s="1945" t="s">
        <v>311</v>
      </c>
      <c r="J7" s="1945"/>
      <c r="K7" s="1945" t="s">
        <v>312</v>
      </c>
      <c r="L7" s="1945"/>
      <c r="M7" s="1945" t="s">
        <v>313</v>
      </c>
      <c r="N7" s="1945"/>
      <c r="O7" s="1945" t="s">
        <v>314</v>
      </c>
      <c r="P7" s="1945"/>
      <c r="Q7" s="1945" t="s">
        <v>315</v>
      </c>
      <c r="R7" s="1945"/>
      <c r="S7" s="1945" t="s">
        <v>316</v>
      </c>
      <c r="T7" s="1945"/>
      <c r="U7" s="1945" t="s">
        <v>317</v>
      </c>
      <c r="V7" s="1945"/>
      <c r="W7" s="1945" t="s">
        <v>318</v>
      </c>
      <c r="X7" s="1945"/>
      <c r="Y7" s="1945" t="s">
        <v>319</v>
      </c>
      <c r="Z7" s="1945"/>
      <c r="AA7" s="1945" t="s">
        <v>320</v>
      </c>
      <c r="AB7" s="1945"/>
      <c r="AC7" s="1945" t="s">
        <v>344</v>
      </c>
      <c r="AD7" s="1945"/>
      <c r="AE7" s="1945" t="s">
        <v>353</v>
      </c>
      <c r="AF7" s="1945"/>
      <c r="AG7" s="1945" t="s">
        <v>359</v>
      </c>
      <c r="AH7" s="1945"/>
      <c r="AI7" s="1946" t="s">
        <v>395</v>
      </c>
      <c r="AJ7" s="1946"/>
      <c r="AK7" s="1945" t="s">
        <v>448</v>
      </c>
      <c r="AL7" s="1945"/>
      <c r="AM7" s="1946" t="s">
        <v>615</v>
      </c>
      <c r="AN7" s="1947"/>
      <c r="AO7" s="1946" t="s">
        <v>632</v>
      </c>
      <c r="AP7" s="1947"/>
      <c r="AQ7" s="1945" t="s">
        <v>69</v>
      </c>
      <c r="AR7" s="1945"/>
    </row>
    <row r="8" spans="1:49">
      <c r="A8" s="255" t="s">
        <v>88</v>
      </c>
      <c r="B8" s="249" t="s">
        <v>89</v>
      </c>
      <c r="C8" s="664" t="str">
        <f>CONCATENATE(C7, " Quantity")</f>
        <v>2003-04 Quantity</v>
      </c>
      <c r="D8" s="664" t="str">
        <f>CONCATENATE(C7, " Value $")</f>
        <v>2003-04 Value $</v>
      </c>
      <c r="E8" s="664" t="str">
        <f t="shared" ref="E8" si="0">CONCATENATE(E7, " Quantity")</f>
        <v>2004-05 Quantity</v>
      </c>
      <c r="F8" s="664" t="str">
        <f t="shared" ref="F8" si="1">CONCATENATE(E7, " Value $")</f>
        <v>2004-05 Value $</v>
      </c>
      <c r="G8" s="664" t="str">
        <f t="shared" ref="G8" si="2">CONCATENATE(G7, " Quantity")</f>
        <v>2005-06 Quantity</v>
      </c>
      <c r="H8" s="664" t="str">
        <f t="shared" ref="H8" si="3">CONCATENATE(G7, " Value $")</f>
        <v>2005-06 Value $</v>
      </c>
      <c r="I8" s="664" t="str">
        <f t="shared" ref="I8" si="4">CONCATENATE(I7, " Quantity")</f>
        <v>2006-07 Quantity</v>
      </c>
      <c r="J8" s="664" t="str">
        <f t="shared" ref="J8" si="5">CONCATENATE(I7, " Value $")</f>
        <v>2006-07 Value $</v>
      </c>
      <c r="K8" s="664" t="str">
        <f t="shared" ref="K8" si="6">CONCATENATE(K7, " Quantity")</f>
        <v>2007-08 Quantity</v>
      </c>
      <c r="L8" s="664" t="str">
        <f t="shared" ref="L8" si="7">CONCATENATE(K7, " Value $")</f>
        <v>2007-08 Value $</v>
      </c>
      <c r="M8" s="664" t="str">
        <f t="shared" ref="M8" si="8">CONCATENATE(M7, " Quantity")</f>
        <v>2008-09 Quantity</v>
      </c>
      <c r="N8" s="664" t="str">
        <f t="shared" ref="N8" si="9">CONCATENATE(M7, " Value $")</f>
        <v>2008-09 Value $</v>
      </c>
      <c r="O8" s="664" t="str">
        <f t="shared" ref="O8" si="10">CONCATENATE(O7, " Quantity")</f>
        <v>2009-10 Quantity</v>
      </c>
      <c r="P8" s="664" t="str">
        <f t="shared" ref="P8" si="11">CONCATENATE(O7, " Value $")</f>
        <v>2009-10 Value $</v>
      </c>
      <c r="Q8" s="664" t="str">
        <f t="shared" ref="Q8" si="12">CONCATENATE(Q7, " Quantity")</f>
        <v>2010-11 Quantity</v>
      </c>
      <c r="R8" s="664" t="str">
        <f t="shared" ref="R8" si="13">CONCATENATE(Q7, " Value $")</f>
        <v>2010-11 Value $</v>
      </c>
      <c r="S8" s="664" t="str">
        <f t="shared" ref="S8" si="14">CONCATENATE(S7, " Quantity")</f>
        <v>2011-12 Quantity</v>
      </c>
      <c r="T8" s="664" t="str">
        <f t="shared" ref="T8" si="15">CONCATENATE(S7, " Value $")</f>
        <v>2011-12 Value $</v>
      </c>
      <c r="U8" s="664" t="str">
        <f t="shared" ref="U8" si="16">CONCATENATE(U7, " Quantity")</f>
        <v>2012-13 Quantity</v>
      </c>
      <c r="V8" s="664" t="str">
        <f t="shared" ref="V8" si="17">CONCATENATE(U7, " Value $")</f>
        <v>2012-13 Value $</v>
      </c>
      <c r="W8" s="664" t="str">
        <f t="shared" ref="W8" si="18">CONCATENATE(W7, " Quantity")</f>
        <v>2013-14 Quantity</v>
      </c>
      <c r="X8" s="664" t="str">
        <f t="shared" ref="X8" si="19">CONCATENATE(W7, " Value $")</f>
        <v>2013-14 Value $</v>
      </c>
      <c r="Y8" s="664" t="str">
        <f t="shared" ref="Y8" si="20">CONCATENATE(Y7, " Quantity")</f>
        <v>2014-15 Quantity</v>
      </c>
      <c r="Z8" s="664" t="str">
        <f t="shared" ref="Z8" si="21">CONCATENATE(Y7, " Value $")</f>
        <v>2014-15 Value $</v>
      </c>
      <c r="AA8" s="664" t="str">
        <f t="shared" ref="AA8" si="22">CONCATENATE(AA7, " Quantity")</f>
        <v>2015-16 Quantity</v>
      </c>
      <c r="AB8" s="664" t="str">
        <f t="shared" ref="AB8" si="23">CONCATENATE(AA7, " Value $")</f>
        <v>2015-16 Value $</v>
      </c>
      <c r="AC8" s="664" t="str">
        <f t="shared" ref="AC8" si="24">CONCATENATE(AC7, " Quantity")</f>
        <v>2016-17 Quantity</v>
      </c>
      <c r="AD8" s="664" t="str">
        <f t="shared" ref="AD8" si="25">CONCATENATE(AC7, " Value $")</f>
        <v>2016-17 Value $</v>
      </c>
      <c r="AE8" s="664" t="str">
        <f t="shared" ref="AE8" si="26">CONCATENATE(AE7, " Quantity")</f>
        <v>2017-18 Quantity</v>
      </c>
      <c r="AF8" s="664" t="str">
        <f t="shared" ref="AF8" si="27">CONCATENATE(AE7, " Value $")</f>
        <v>2017-18 Value $</v>
      </c>
      <c r="AG8" s="924" t="str">
        <f t="shared" ref="AG8" si="28">CONCATENATE(AG7, " Quantity")</f>
        <v>2018-19 Quantity</v>
      </c>
      <c r="AH8" s="1565" t="str">
        <f t="shared" ref="AH8" si="29">CONCATENATE(AG7, " Value $")</f>
        <v>2018-19 Value $</v>
      </c>
      <c r="AI8" s="909" t="str">
        <f t="shared" ref="AI8:AK8" si="30">CONCATENATE(AI7, " Quantity")</f>
        <v>2019-20 Quantity</v>
      </c>
      <c r="AJ8" s="909" t="str">
        <f t="shared" ref="AJ8" si="31">CONCATENATE(AI7, " Value $")</f>
        <v>2019-20 Value $</v>
      </c>
      <c r="AK8" s="940" t="str">
        <f t="shared" si="30"/>
        <v>2020-21 Quantity</v>
      </c>
      <c r="AL8" s="940" t="str">
        <f t="shared" ref="AL8:AN8" si="32">CONCATENATE(AK7, " Value $")</f>
        <v>2020-21 Value $</v>
      </c>
      <c r="AM8" s="1565" t="str">
        <f>CONCATENATE(AM7, " Quantity")</f>
        <v>2021-22 Quantity</v>
      </c>
      <c r="AN8" s="1565" t="str">
        <f t="shared" si="32"/>
        <v>2021-22 Value $</v>
      </c>
      <c r="AO8" s="1690" t="str">
        <f>CONCATENATE(AO7, " Quantity")</f>
        <v>2022-23 Quantity</v>
      </c>
      <c r="AP8" s="1690" t="str">
        <f t="shared" ref="AP8" si="33">CONCATENATE(AO7, " Value $")</f>
        <v>2022-23 Value $</v>
      </c>
      <c r="AQ8" s="935" t="s">
        <v>417</v>
      </c>
      <c r="AR8" s="935" t="s">
        <v>416</v>
      </c>
    </row>
    <row r="9" spans="1:49" hidden="1">
      <c r="A9" s="255"/>
      <c r="B9" s="249"/>
      <c r="C9" s="977">
        <f>IF(RIGHT(C8,8)="Quantity",1,0)</f>
        <v>1</v>
      </c>
      <c r="D9" s="977">
        <f t="shared" ref="D9:AH9" si="34">IF(RIGHT(D8,8)="Quantity",1,0)</f>
        <v>0</v>
      </c>
      <c r="E9" s="977">
        <f t="shared" si="34"/>
        <v>1</v>
      </c>
      <c r="F9" s="977">
        <f t="shared" si="34"/>
        <v>0</v>
      </c>
      <c r="G9" s="977">
        <f t="shared" si="34"/>
        <v>1</v>
      </c>
      <c r="H9" s="977">
        <f t="shared" si="34"/>
        <v>0</v>
      </c>
      <c r="I9" s="977">
        <f t="shared" si="34"/>
        <v>1</v>
      </c>
      <c r="J9" s="977">
        <f t="shared" si="34"/>
        <v>0</v>
      </c>
      <c r="K9" s="977">
        <f t="shared" si="34"/>
        <v>1</v>
      </c>
      <c r="L9" s="977">
        <f t="shared" si="34"/>
        <v>0</v>
      </c>
      <c r="M9" s="977">
        <f t="shared" si="34"/>
        <v>1</v>
      </c>
      <c r="N9" s="977">
        <f t="shared" si="34"/>
        <v>0</v>
      </c>
      <c r="O9" s="977">
        <f t="shared" si="34"/>
        <v>1</v>
      </c>
      <c r="P9" s="977">
        <f t="shared" si="34"/>
        <v>0</v>
      </c>
      <c r="Q9" s="977">
        <f t="shared" si="34"/>
        <v>1</v>
      </c>
      <c r="R9" s="977">
        <f t="shared" si="34"/>
        <v>0</v>
      </c>
      <c r="S9" s="977">
        <f t="shared" si="34"/>
        <v>1</v>
      </c>
      <c r="T9" s="977">
        <f t="shared" si="34"/>
        <v>0</v>
      </c>
      <c r="U9" s="977">
        <f t="shared" si="34"/>
        <v>1</v>
      </c>
      <c r="V9" s="977">
        <f t="shared" si="34"/>
        <v>0</v>
      </c>
      <c r="W9" s="977">
        <f t="shared" si="34"/>
        <v>1</v>
      </c>
      <c r="X9" s="977">
        <f t="shared" si="34"/>
        <v>0</v>
      </c>
      <c r="Y9" s="977">
        <f t="shared" si="34"/>
        <v>1</v>
      </c>
      <c r="Z9" s="977">
        <f t="shared" si="34"/>
        <v>0</v>
      </c>
      <c r="AA9" s="977">
        <f t="shared" si="34"/>
        <v>1</v>
      </c>
      <c r="AB9" s="977">
        <f t="shared" si="34"/>
        <v>0</v>
      </c>
      <c r="AC9" s="977">
        <f t="shared" si="34"/>
        <v>1</v>
      </c>
      <c r="AD9" s="977">
        <f t="shared" si="34"/>
        <v>0</v>
      </c>
      <c r="AE9" s="977">
        <f t="shared" si="34"/>
        <v>1</v>
      </c>
      <c r="AF9" s="977">
        <f t="shared" si="34"/>
        <v>0</v>
      </c>
      <c r="AG9" s="977">
        <f t="shared" si="34"/>
        <v>1</v>
      </c>
      <c r="AH9" s="1565">
        <f t="shared" si="34"/>
        <v>0</v>
      </c>
      <c r="AI9" s="977">
        <f t="shared" ref="AI9:AN9" si="35">IF(RIGHT(AI8,8)="Quantity",1,0)</f>
        <v>1</v>
      </c>
      <c r="AJ9" s="977">
        <f t="shared" si="35"/>
        <v>0</v>
      </c>
      <c r="AK9" s="976">
        <f t="shared" si="35"/>
        <v>1</v>
      </c>
      <c r="AL9" s="976">
        <f t="shared" si="35"/>
        <v>0</v>
      </c>
      <c r="AM9" s="1565">
        <f t="shared" si="35"/>
        <v>1</v>
      </c>
      <c r="AN9" s="1565">
        <f t="shared" si="35"/>
        <v>0</v>
      </c>
      <c r="AO9" s="1690">
        <f t="shared" ref="AO9:AP9" si="36">IF(RIGHT(AO8,8)="Quantity",1,0)</f>
        <v>1</v>
      </c>
      <c r="AP9" s="1690">
        <f t="shared" si="36"/>
        <v>0</v>
      </c>
      <c r="AQ9" s="935"/>
      <c r="AR9" s="935"/>
    </row>
    <row r="10" spans="1:49" s="349" customFormat="1">
      <c r="A10" s="255"/>
      <c r="B10" s="367"/>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s="668"/>
      <c r="AH10" s="910"/>
      <c r="AI10" s="910"/>
      <c r="AJ10" s="910"/>
      <c r="AK10" s="668"/>
      <c r="AL10" s="668"/>
      <c r="AM10" s="910"/>
      <c r="AN10" s="910"/>
      <c r="AO10" s="910"/>
      <c r="AP10" s="910"/>
      <c r="AQ10" s="668"/>
      <c r="AR10" s="668"/>
      <c r="AS10" s="405"/>
    </row>
    <row r="11" spans="1:49">
      <c r="A11" s="260" t="s">
        <v>287</v>
      </c>
      <c r="B11" s="248"/>
      <c r="C11" s="732"/>
      <c r="D11" s="732"/>
      <c r="E11" s="732"/>
      <c r="F11" s="732"/>
      <c r="G11" s="732"/>
      <c r="H11" s="732"/>
      <c r="I11" s="732"/>
      <c r="J11" s="732"/>
      <c r="K11" s="732"/>
      <c r="L11" s="732"/>
      <c r="M11" s="732"/>
      <c r="N11" s="732"/>
      <c r="O11" s="732"/>
      <c r="P11" s="732"/>
      <c r="Q11" s="732"/>
      <c r="R11" s="732"/>
      <c r="S11" s="732"/>
      <c r="T11" s="732"/>
      <c r="U11" s="732"/>
      <c r="V11" s="732"/>
      <c r="W11" s="732"/>
      <c r="X11" s="732"/>
      <c r="Y11" s="732"/>
      <c r="Z11" s="732"/>
      <c r="AA11" s="732"/>
      <c r="AB11" s="732"/>
      <c r="AC11" s="732"/>
      <c r="AD11" s="732"/>
      <c r="AE11" s="733"/>
      <c r="AF11" s="732"/>
      <c r="AG11" s="743"/>
      <c r="AH11" s="742"/>
      <c r="AI11" s="743"/>
      <c r="AJ11" s="743"/>
      <c r="AK11" s="743"/>
      <c r="AL11" s="743"/>
      <c r="AM11" s="742"/>
      <c r="AN11" s="742"/>
      <c r="AO11" s="742"/>
      <c r="AP11" s="742"/>
      <c r="AQ11" s="724"/>
      <c r="AR11" s="743"/>
    </row>
    <row r="12" spans="1:49" s="349" customFormat="1">
      <c r="A12" s="263" t="s">
        <v>0</v>
      </c>
      <c r="B12" s="248" t="s">
        <v>67</v>
      </c>
      <c r="C12" s="723">
        <f>(SUMIFS('Alumina and Bauxite - Q&amp;V'!$B$8:$B$250,'Alumina and Bauxite - Q&amp;V'!$H$8:$H$250,LEFT('Q&amp;V FY 2003-04 to Now'!C$7:D$7,4),'Alumina and Bauxite - Q&amp;V'!$I$8:$I$250,3)+
SUMIFS('Alumina and Bauxite - Q&amp;V'!$B$8:$B$250,'Alumina and Bauxite - Q&amp;V'!$H$8:$H$250,LEFT('Q&amp;V FY 2003-04 to Now'!C$7:D$7,4),'Alumina and Bauxite - Q&amp;V'!$I$8:$I$250,4)+
SUMIFS('Alumina and Bauxite - Q&amp;V'!$B$8:$B$250,'Alumina and Bauxite - Q&amp;V'!$H$8:$H$250,CONCATENATE("20",RIGHT('Q&amp;V FY 2003-04 to Now'!C$7:D$7,2)),'Alumina and Bauxite - Q&amp;V'!$I$8:$I$250,1)+
SUMIFS('Alumina and Bauxite - Q&amp;V'!$B$8:$B$250,'Alumina and Bauxite - Q&amp;V'!$H$8:$H$250,CONCATENATE("20",RIGHT('Q&amp;V FY 2003-04 to Now'!C$7:D$7,2)),'Alumina and Bauxite - Q&amp;V'!$I$8:$I$250,2))*1000000</f>
        <v>11165835</v>
      </c>
      <c r="D12" s="723">
        <f>(SUMIFS('Alumina and Bauxite - Q&amp;V'!$C$8:$C$250,'Alumina and Bauxite - Q&amp;V'!$H$8:$H$250,LEFT('Q&amp;V FY 2003-04 to Now'!C$7,4),'Alumina and Bauxite - Q&amp;V'!$I$8:$I$250,3)+
SUMIFS('Alumina and Bauxite - Q&amp;V'!$C$8:$C$250,'Alumina and Bauxite - Q&amp;V'!$H$8:$H$250,LEFT('Q&amp;V FY 2003-04 to Now'!C$7,4),'Alumina and Bauxite - Q&amp;V'!$I$8:$I$250,4)+
SUMIFS('Alumina and Bauxite - Q&amp;V'!$C$8:$C$250,'Alumina and Bauxite - Q&amp;V'!$H$8:$H$250,CONCATENATE("20",RIGHT('Q&amp;V FY 2003-04 to Now'!C$7,2)),'Alumina and Bauxite - Q&amp;V'!$I$8:$I$250,1)+
SUMIFS('Alumina and Bauxite - Q&amp;V'!$C$8:$C$250,'Alumina and Bauxite - Q&amp;V'!$H$8:$H$250,CONCATENATE("20",RIGHT('Q&amp;V FY 2003-04 to Now'!C$7,2)),'Alumina and Bauxite - Q&amp;V'!$I$8:$I$250,2))*1000000</f>
        <v>3085110024.75</v>
      </c>
      <c r="E12" s="723">
        <f>(SUMIFS('Alumina and Bauxite - Q&amp;V'!$B$8:$B$250,'Alumina and Bauxite - Q&amp;V'!$H$8:$H$250,LEFT('Q&amp;V FY 2003-04 to Now'!E$7:F$7,4),'Alumina and Bauxite - Q&amp;V'!$I$8:$I$250,3)+
SUMIFS('Alumina and Bauxite - Q&amp;V'!$B$8:$B$250,'Alumina and Bauxite - Q&amp;V'!$H$8:$H$250,LEFT('Q&amp;V FY 2003-04 to Now'!E$7:F$7,4),'Alumina and Bauxite - Q&amp;V'!$I$8:$I$250,4)+
SUMIFS('Alumina and Bauxite - Q&amp;V'!$B$8:$B$250,'Alumina and Bauxite - Q&amp;V'!$H$8:$H$250,CONCATENATE("20",RIGHT('Q&amp;V FY 2003-04 to Now'!E$7:F$7,2)),'Alumina and Bauxite - Q&amp;V'!$I$8:$I$250,1)+
SUMIFS('Alumina and Bauxite - Q&amp;V'!$B$8:$B$250,'Alumina and Bauxite - Q&amp;V'!$H$8:$H$250,CONCATENATE("20",RIGHT('Q&amp;V FY 2003-04 to Now'!E$7:F$7,2)),'Alumina and Bauxite - Q&amp;V'!$I$8:$I$250,2))*1000000</f>
        <v>11140179</v>
      </c>
      <c r="F12" s="723">
        <f>(SUMIFS('Alumina and Bauxite - Q&amp;V'!$C$8:$C$250,'Alumina and Bauxite - Q&amp;V'!$H$8:$H$250,LEFT('Q&amp;V FY 2003-04 to Now'!E$7,4),'Alumina and Bauxite - Q&amp;V'!$I$8:$I$250,3)+
SUMIFS('Alumina and Bauxite - Q&amp;V'!$C$8:$C$250,'Alumina and Bauxite - Q&amp;V'!$H$8:$H$250,LEFT('Q&amp;V FY 2003-04 to Now'!E$7,4),'Alumina and Bauxite - Q&amp;V'!$I$8:$I$250,4)+
SUMIFS('Alumina and Bauxite - Q&amp;V'!$C$8:$C$250,'Alumina and Bauxite - Q&amp;V'!$H$8:$H$250,CONCATENATE("20",RIGHT('Q&amp;V FY 2003-04 to Now'!E$7,2)),'Alumina and Bauxite - Q&amp;V'!$I$8:$I$250,1)+
SUMIFS('Alumina and Bauxite - Q&amp;V'!$C$8:$C$250,'Alumina and Bauxite - Q&amp;V'!$H$8:$H$250,CONCATENATE("20",RIGHT('Q&amp;V FY 2003-04 to Now'!E$7,2)),'Alumina and Bauxite - Q&amp;V'!$I$8:$I$250,2))*1000000</f>
        <v>3430690094.5099998</v>
      </c>
      <c r="G12" s="723">
        <f>(SUMIFS('Alumina and Bauxite - Q&amp;V'!$B$8:$B$250,'Alumina and Bauxite - Q&amp;V'!$H$8:$H$250,LEFT('Q&amp;V FY 2003-04 to Now'!G$7:H$7,4),'Alumina and Bauxite - Q&amp;V'!$I$8:$I$250,3)+
SUMIFS('Alumina and Bauxite - Q&amp;V'!$B$8:$B$250,'Alumina and Bauxite - Q&amp;V'!$H$8:$H$250,LEFT('Q&amp;V FY 2003-04 to Now'!G$7:H$7,4),'Alumina and Bauxite - Q&amp;V'!$I$8:$I$250,4)+
SUMIFS('Alumina and Bauxite - Q&amp;V'!$B$8:$B$250,'Alumina and Bauxite - Q&amp;V'!$H$8:$H$250,CONCATENATE("20",RIGHT('Q&amp;V FY 2003-04 to Now'!G$7:H$7,2)),'Alumina and Bauxite - Q&amp;V'!$I$8:$I$250,1)+
SUMIFS('Alumina and Bauxite - Q&amp;V'!$B$8:$B$250,'Alumina and Bauxite - Q&amp;V'!$H$8:$H$250,CONCATENATE("20",RIGHT('Q&amp;V FY 2003-04 to Now'!G$7:H$7,2)),'Alumina and Bauxite - Q&amp;V'!$I$8:$I$250,2))*1000000</f>
        <v>11453193.75</v>
      </c>
      <c r="H12" s="723">
        <f>(SUMIFS('Alumina and Bauxite - Q&amp;V'!$C$8:$C$250,'Alumina and Bauxite - Q&amp;V'!$H$8:$H$250,LEFT('Q&amp;V FY 2003-04 to Now'!G$7,4),'Alumina and Bauxite - Q&amp;V'!$I$8:$I$250,3)+
SUMIFS('Alumina and Bauxite - Q&amp;V'!$C$8:$C$250,'Alumina and Bauxite - Q&amp;V'!$H$8:$H$250,LEFT('Q&amp;V FY 2003-04 to Now'!G$7,4),'Alumina and Bauxite - Q&amp;V'!$I$8:$I$250,4)+
SUMIFS('Alumina and Bauxite - Q&amp;V'!$C$8:$C$250,'Alumina and Bauxite - Q&amp;V'!$H$8:$H$250,CONCATENATE("20",RIGHT('Q&amp;V FY 2003-04 to Now'!G$7,2)),'Alumina and Bauxite - Q&amp;V'!$I$8:$I$250,1)+
SUMIFS('Alumina and Bauxite - Q&amp;V'!$C$8:$C$250,'Alumina and Bauxite - Q&amp;V'!$H$8:$H$250,CONCATENATE("20",RIGHT('Q&amp;V FY 2003-04 to Now'!G$7,2)),'Alumina and Bauxite - Q&amp;V'!$I$8:$I$250,2))*1000000</f>
        <v>4152943630.5500002</v>
      </c>
      <c r="I12" s="723">
        <f>(SUMIFS('Alumina and Bauxite - Q&amp;V'!$B$8:$B$250,'Alumina and Bauxite - Q&amp;V'!$H$8:$H$250,LEFT('Q&amp;V FY 2003-04 to Now'!I$7:J$7,4),'Alumina and Bauxite - Q&amp;V'!$I$8:$I$250,3)+
SUMIFS('Alumina and Bauxite - Q&amp;V'!$B$8:$B$250,'Alumina and Bauxite - Q&amp;V'!$H$8:$H$250,LEFT('Q&amp;V FY 2003-04 to Now'!I$7:J$7,4),'Alumina and Bauxite - Q&amp;V'!$I$8:$I$250,4)+
SUMIFS('Alumina and Bauxite - Q&amp;V'!$B$8:$B$250,'Alumina and Bauxite - Q&amp;V'!$H$8:$H$250,CONCATENATE("20",RIGHT('Q&amp;V FY 2003-04 to Now'!I$7:J$7,2)),'Alumina and Bauxite - Q&amp;V'!$I$8:$I$250,1)+
SUMIFS('Alumina and Bauxite - Q&amp;V'!$B$8:$B$250,'Alumina and Bauxite - Q&amp;V'!$H$8:$H$250,CONCATENATE("20",RIGHT('Q&amp;V FY 2003-04 to Now'!I$7:J$7,2)),'Alumina and Bauxite - Q&amp;V'!$I$8:$I$250,2))*1000000</f>
        <v>11991247.063000001</v>
      </c>
      <c r="J12" s="723">
        <f>(SUMIFS('Alumina and Bauxite - Q&amp;V'!$C$8:$C$250,'Alumina and Bauxite - Q&amp;V'!$H$8:$H$250,LEFT('Q&amp;V FY 2003-04 to Now'!I$7,4),'Alumina and Bauxite - Q&amp;V'!$I$8:$I$250,3)+
SUMIFS('Alumina and Bauxite - Q&amp;V'!$C$8:$C$250,'Alumina and Bauxite - Q&amp;V'!$H$8:$H$250,LEFT('Q&amp;V FY 2003-04 to Now'!I$7,4),'Alumina and Bauxite - Q&amp;V'!$I$8:$I$250,4)+
SUMIFS('Alumina and Bauxite - Q&amp;V'!$C$8:$C$250,'Alumina and Bauxite - Q&amp;V'!$H$8:$H$250,CONCATENATE("20",RIGHT('Q&amp;V FY 2003-04 to Now'!I$7,2)),'Alumina and Bauxite - Q&amp;V'!$I$8:$I$250,1)+
SUMIFS('Alumina and Bauxite - Q&amp;V'!$C$8:$C$250,'Alumina and Bauxite - Q&amp;V'!$H$8:$H$250,CONCATENATE("20",RIGHT('Q&amp;V FY 2003-04 to Now'!I$7,2)),'Alumina and Bauxite - Q&amp;V'!$I$8:$I$250,2))*1000000</f>
        <v>5151288982.46</v>
      </c>
      <c r="K12" s="723">
        <f>(SUMIFS('Alumina and Bauxite - Q&amp;V'!$B$8:$B$250,'Alumina and Bauxite - Q&amp;V'!$H$8:$H$250,LEFT('Q&amp;V FY 2003-04 to Now'!K$7:L$7,4),'Alumina and Bauxite - Q&amp;V'!$I$8:$I$250,3)+
SUMIFS('Alumina and Bauxite - Q&amp;V'!$B$8:$B$250,'Alumina and Bauxite - Q&amp;V'!$H$8:$H$250,LEFT('Q&amp;V FY 2003-04 to Now'!K$7:L$7,4),'Alumina and Bauxite - Q&amp;V'!$I$8:$I$250,4)+
SUMIFS('Alumina and Bauxite - Q&amp;V'!$B$8:$B$250,'Alumina and Bauxite - Q&amp;V'!$H$8:$H$250,CONCATENATE("20",RIGHT('Q&amp;V FY 2003-04 to Now'!K$7:L$7,2)),'Alumina and Bauxite - Q&amp;V'!$I$8:$I$250,1)+
SUMIFS('Alumina and Bauxite - Q&amp;V'!$B$8:$B$250,'Alumina and Bauxite - Q&amp;V'!$H$8:$H$250,CONCATENATE("20",RIGHT('Q&amp;V FY 2003-04 to Now'!K$7:L$7,2)),'Alumina and Bauxite - Q&amp;V'!$I$8:$I$250,2))*1000000</f>
        <v>12321277.791999999</v>
      </c>
      <c r="L12" s="723">
        <f>(SUMIFS('Alumina and Bauxite - Q&amp;V'!$C$8:$C$250,'Alumina and Bauxite - Q&amp;V'!$H$8:$H$250,LEFT('Q&amp;V FY 2003-04 to Now'!K$7,4),'Alumina and Bauxite - Q&amp;V'!$I$8:$I$250,3)+
SUMIFS('Alumina and Bauxite - Q&amp;V'!$C$8:$C$250,'Alumina and Bauxite - Q&amp;V'!$H$8:$H$250,LEFT('Q&amp;V FY 2003-04 to Now'!K$7,4),'Alumina and Bauxite - Q&amp;V'!$I$8:$I$250,4)+
SUMIFS('Alumina and Bauxite - Q&amp;V'!$C$8:$C$250,'Alumina and Bauxite - Q&amp;V'!$H$8:$H$250,CONCATENATE("20",RIGHT('Q&amp;V FY 2003-04 to Now'!K$7,2)),'Alumina and Bauxite - Q&amp;V'!$I$8:$I$250,1)+
SUMIFS('Alumina and Bauxite - Q&amp;V'!$C$8:$C$250,'Alumina and Bauxite - Q&amp;V'!$H$8:$H$250,CONCATENATE("20",RIGHT('Q&amp;V FY 2003-04 to Now'!K$7,2)),'Alumina and Bauxite - Q&amp;V'!$I$8:$I$250,2))*1000000</f>
        <v>4838417453.5100002</v>
      </c>
      <c r="M12" s="723">
        <f>(SUMIFS('Alumina and Bauxite - Q&amp;V'!$B$8:$B$250,'Alumina and Bauxite - Q&amp;V'!$H$8:$H$250,LEFT('Q&amp;V FY 2003-04 to Now'!M$7:N$7,4),'Alumina and Bauxite - Q&amp;V'!$I$8:$I$250,3)+
SUMIFS('Alumina and Bauxite - Q&amp;V'!$B$8:$B$250,'Alumina and Bauxite - Q&amp;V'!$H$8:$H$250,LEFT('Q&amp;V FY 2003-04 to Now'!M$7:N$7,4),'Alumina and Bauxite - Q&amp;V'!$I$8:$I$250,4)+
SUMIFS('Alumina and Bauxite - Q&amp;V'!$B$8:$B$250,'Alumina and Bauxite - Q&amp;V'!$H$8:$H$250,CONCATENATE("20",RIGHT('Q&amp;V FY 2003-04 to Now'!M$7:N$7,2)),'Alumina and Bauxite - Q&amp;V'!$I$8:$I$250,1)+
SUMIFS('Alumina and Bauxite - Q&amp;V'!$B$8:$B$250,'Alumina and Bauxite - Q&amp;V'!$H$8:$H$250,CONCATENATE("20",RIGHT('Q&amp;V FY 2003-04 to Now'!M$7:N$7,2)),'Alumina and Bauxite - Q&amp;V'!$I$8:$I$250,2))*1000000</f>
        <v>12271552.999999998</v>
      </c>
      <c r="N12" s="723">
        <f>(SUMIFS('Alumina and Bauxite - Q&amp;V'!$C$8:$C$250,'Alumina and Bauxite - Q&amp;V'!$H$8:$H$250,LEFT('Q&amp;V FY 2003-04 to Now'!M$7,4),'Alumina and Bauxite - Q&amp;V'!$I$8:$I$250,3)+
SUMIFS('Alumina and Bauxite - Q&amp;V'!$C$8:$C$250,'Alumina and Bauxite - Q&amp;V'!$H$8:$H$250,LEFT('Q&amp;V FY 2003-04 to Now'!M$7,4),'Alumina and Bauxite - Q&amp;V'!$I$8:$I$250,4)+
SUMIFS('Alumina and Bauxite - Q&amp;V'!$C$8:$C$250,'Alumina and Bauxite - Q&amp;V'!$H$8:$H$250,CONCATENATE("20",RIGHT('Q&amp;V FY 2003-04 to Now'!M$7,2)),'Alumina and Bauxite - Q&amp;V'!$I$8:$I$250,1)+
SUMIFS('Alumina and Bauxite - Q&amp;V'!$C$8:$C$250,'Alumina and Bauxite - Q&amp;V'!$H$8:$H$250,CONCATENATE("20",RIGHT('Q&amp;V FY 2003-04 to Now'!M$7,2)),'Alumina and Bauxite - Q&amp;V'!$I$8:$I$250,2))*1000000</f>
        <v>4352643950.3800001</v>
      </c>
      <c r="O12" s="723">
        <f>(SUMIFS('Alumina and Bauxite - Q&amp;V'!$B$8:$B$250,'Alumina and Bauxite - Q&amp;V'!$H$8:$H$250,LEFT('Q&amp;V FY 2003-04 to Now'!O$7:P$7,4),'Alumina and Bauxite - Q&amp;V'!$I$8:$I$250,3)+
SUMIFS('Alumina and Bauxite - Q&amp;V'!$B$8:$B$250,'Alumina and Bauxite - Q&amp;V'!$H$8:$H$250,LEFT('Q&amp;V FY 2003-04 to Now'!O$7:P$7,4),'Alumina and Bauxite - Q&amp;V'!$I$8:$I$250,4)+
SUMIFS('Alumina and Bauxite - Q&amp;V'!$B$8:$B$250,'Alumina and Bauxite - Q&amp;V'!$H$8:$H$250,CONCATENATE("20",RIGHT('Q&amp;V FY 2003-04 to Now'!O$7:P$7,2)),'Alumina and Bauxite - Q&amp;V'!$I$8:$I$250,1)+
SUMIFS('Alumina and Bauxite - Q&amp;V'!$B$8:$B$250,'Alumina and Bauxite - Q&amp;V'!$H$8:$H$250,CONCATENATE("20",RIGHT('Q&amp;V FY 2003-04 to Now'!O$7:P$7,2)),'Alumina and Bauxite - Q&amp;V'!$I$8:$I$250,2))*1000000</f>
        <v>12643178</v>
      </c>
      <c r="P12" s="723">
        <f>(SUMIFS('Alumina and Bauxite - Q&amp;V'!$C$8:$C$250,'Alumina and Bauxite - Q&amp;V'!$H$8:$H$250,LEFT('Q&amp;V FY 2003-04 to Now'!O$7,4),'Alumina and Bauxite - Q&amp;V'!$I$8:$I$250,3)+
SUMIFS('Alumina and Bauxite - Q&amp;V'!$C$8:$C$250,'Alumina and Bauxite - Q&amp;V'!$H$8:$H$250,LEFT('Q&amp;V FY 2003-04 to Now'!O$7,4),'Alumina and Bauxite - Q&amp;V'!$I$8:$I$250,4)+
SUMIFS('Alumina and Bauxite - Q&amp;V'!$C$8:$C$250,'Alumina and Bauxite - Q&amp;V'!$H$8:$H$250,CONCATENATE("20",RIGHT('Q&amp;V FY 2003-04 to Now'!O$7,2)),'Alumina and Bauxite - Q&amp;V'!$I$8:$I$250,1)+
SUMIFS('Alumina and Bauxite - Q&amp;V'!$C$8:$C$250,'Alumina and Bauxite - Q&amp;V'!$H$8:$H$250,CONCATENATE("20",RIGHT('Q&amp;V FY 2003-04 to Now'!O$7,2)),'Alumina and Bauxite - Q&amp;V'!$I$8:$I$250,2))*1000000</f>
        <v>3871191801.6600003</v>
      </c>
      <c r="Q12" s="723">
        <f>(SUMIFS('Alumina and Bauxite - Q&amp;V'!$B$8:$B$250,'Alumina and Bauxite - Q&amp;V'!$H$8:$H$250,LEFT('Q&amp;V FY 2003-04 to Now'!Q$7:R$7,4),'Alumina and Bauxite - Q&amp;V'!$I$8:$I$250,3)+
SUMIFS('Alumina and Bauxite - Q&amp;V'!$B$8:$B$250,'Alumina and Bauxite - Q&amp;V'!$H$8:$H$250,LEFT('Q&amp;V FY 2003-04 to Now'!Q$7:R$7,4),'Alumina and Bauxite - Q&amp;V'!$I$8:$I$250,4)+
SUMIFS('Alumina and Bauxite - Q&amp;V'!$B$8:$B$250,'Alumina and Bauxite - Q&amp;V'!$H$8:$H$250,CONCATENATE("20",RIGHT('Q&amp;V FY 2003-04 to Now'!Q$7:R$7,2)),'Alumina and Bauxite - Q&amp;V'!$I$8:$I$250,1)+
SUMIFS('Alumina and Bauxite - Q&amp;V'!$B$8:$B$250,'Alumina and Bauxite - Q&amp;V'!$H$8:$H$250,CONCATENATE("20",RIGHT('Q&amp;V FY 2003-04 to Now'!Q$7:R$7,2)),'Alumina and Bauxite - Q&amp;V'!$I$8:$I$250,2))*1000000</f>
        <v>12280629.000000002</v>
      </c>
      <c r="R12" s="723">
        <f>(SUMIFS('Alumina and Bauxite - Q&amp;V'!$C$8:$C$250,'Alumina and Bauxite - Q&amp;V'!$H$8:$H$250,LEFT('Q&amp;V FY 2003-04 to Now'!Q$7,4),'Alumina and Bauxite - Q&amp;V'!$I$8:$I$250,3)+
SUMIFS('Alumina and Bauxite - Q&amp;V'!$C$8:$C$250,'Alumina and Bauxite - Q&amp;V'!$H$8:$H$250,LEFT('Q&amp;V FY 2003-04 to Now'!Q$7,4),'Alumina and Bauxite - Q&amp;V'!$I$8:$I$250,4)+
SUMIFS('Alumina and Bauxite - Q&amp;V'!$C$8:$C$250,'Alumina and Bauxite - Q&amp;V'!$H$8:$H$250,CONCATENATE("20",RIGHT('Q&amp;V FY 2003-04 to Now'!Q$7,2)),'Alumina and Bauxite - Q&amp;V'!$I$8:$I$250,1)+
SUMIFS('Alumina and Bauxite - Q&amp;V'!$C$8:$C$250,'Alumina and Bauxite - Q&amp;V'!$H$8:$H$250,CONCATENATE("20",RIGHT('Q&amp;V FY 2003-04 to Now'!Q$7,2)),'Alumina and Bauxite - Q&amp;V'!$I$8:$I$250,2))*1000000</f>
        <v>3990376375.1500001</v>
      </c>
      <c r="S12" s="723">
        <f>(SUMIFS('Alumina and Bauxite - Q&amp;V'!$B$8:$B$250,'Alumina and Bauxite - Q&amp;V'!$H$8:$H$250,LEFT('Q&amp;V FY 2003-04 to Now'!S$7:T$7,4),'Alumina and Bauxite - Q&amp;V'!$I$8:$I$250,3)+
SUMIFS('Alumina and Bauxite - Q&amp;V'!$B$8:$B$250,'Alumina and Bauxite - Q&amp;V'!$H$8:$H$250,LEFT('Q&amp;V FY 2003-04 to Now'!S$7:T$7,4),'Alumina and Bauxite - Q&amp;V'!$I$8:$I$250,4)+
SUMIFS('Alumina and Bauxite - Q&amp;V'!$B$8:$B$250,'Alumina and Bauxite - Q&amp;V'!$H$8:$H$250,CONCATENATE("20",RIGHT('Q&amp;V FY 2003-04 to Now'!S$7:T$7,2)),'Alumina and Bauxite - Q&amp;V'!$I$8:$I$250,1)+
SUMIFS('Alumina and Bauxite - Q&amp;V'!$B$8:$B$250,'Alumina and Bauxite - Q&amp;V'!$H$8:$H$250,CONCATENATE("20",RIGHT('Q&amp;V FY 2003-04 to Now'!S$7:T$7,2)),'Alumina and Bauxite - Q&amp;V'!$I$8:$I$250,2))*1000000</f>
        <v>12424860.330000002</v>
      </c>
      <c r="T12" s="723">
        <f>(SUMIFS('Alumina and Bauxite - Q&amp;V'!$C$8:$C$250,'Alumina and Bauxite - Q&amp;V'!$H$8:$H$250,LEFT('Q&amp;V FY 2003-04 to Now'!S$7,4),'Alumina and Bauxite - Q&amp;V'!$I$8:$I$250,3)+
SUMIFS('Alumina and Bauxite - Q&amp;V'!$C$8:$C$250,'Alumina and Bauxite - Q&amp;V'!$H$8:$H$250,LEFT('Q&amp;V FY 2003-04 to Now'!S$7,4),'Alumina and Bauxite - Q&amp;V'!$I$8:$I$250,4)+
SUMIFS('Alumina and Bauxite - Q&amp;V'!$C$8:$C$250,'Alumina and Bauxite - Q&amp;V'!$H$8:$H$250,CONCATENATE("20",RIGHT('Q&amp;V FY 2003-04 to Now'!S$7,2)),'Alumina and Bauxite - Q&amp;V'!$I$8:$I$250,1)+
SUMIFS('Alumina and Bauxite - Q&amp;V'!$C$8:$C$250,'Alumina and Bauxite - Q&amp;V'!$H$8:$H$250,CONCATENATE("20",RIGHT('Q&amp;V FY 2003-04 to Now'!S$7,2)),'Alumina and Bauxite - Q&amp;V'!$I$8:$I$250,2))*1000000</f>
        <v>4010219381.579999</v>
      </c>
      <c r="U12" s="723">
        <f>(SUMIFS('Alumina and Bauxite - Q&amp;V'!$B$8:$B$250,'Alumina and Bauxite - Q&amp;V'!$H$8:$H$250,LEFT('Q&amp;V FY 2003-04 to Now'!U$7:V$7,4),'Alumina and Bauxite - Q&amp;V'!$I$8:$I$250,3)+
SUMIFS('Alumina and Bauxite - Q&amp;V'!$B$8:$B$250,'Alumina and Bauxite - Q&amp;V'!$H$8:$H$250,LEFT('Q&amp;V FY 2003-04 to Now'!U$7:V$7,4),'Alumina and Bauxite - Q&amp;V'!$I$8:$I$250,4)+
SUMIFS('Alumina and Bauxite - Q&amp;V'!$B$8:$B$250,'Alumina and Bauxite - Q&amp;V'!$H$8:$H$250,CONCATENATE("20",RIGHT('Q&amp;V FY 2003-04 to Now'!U$7:V$7,2)),'Alumina and Bauxite - Q&amp;V'!$I$8:$I$250,1)+
SUMIFS('Alumina and Bauxite - Q&amp;V'!$B$8:$B$250,'Alumina and Bauxite - Q&amp;V'!$H$8:$H$250,CONCATENATE("20",RIGHT('Q&amp;V FY 2003-04 to Now'!U$7:V$7,2)),'Alumina and Bauxite - Q&amp;V'!$I$8:$I$250,2))*1000000</f>
        <v>13530752.17</v>
      </c>
      <c r="V12" s="723">
        <f>(SUMIFS('Alumina and Bauxite - Q&amp;V'!$C$8:$C$250,'Alumina and Bauxite - Q&amp;V'!$H$8:$H$250,LEFT('Q&amp;V FY 2003-04 to Now'!U$7,4),'Alumina and Bauxite - Q&amp;V'!$I$8:$I$250,3)+
SUMIFS('Alumina and Bauxite - Q&amp;V'!$C$8:$C$250,'Alumina and Bauxite - Q&amp;V'!$H$8:$H$250,LEFT('Q&amp;V FY 2003-04 to Now'!U$7,4),'Alumina and Bauxite - Q&amp;V'!$I$8:$I$250,4)+
SUMIFS('Alumina and Bauxite - Q&amp;V'!$C$8:$C$250,'Alumina and Bauxite - Q&amp;V'!$H$8:$H$250,CONCATENATE("20",RIGHT('Q&amp;V FY 2003-04 to Now'!U$7,2)),'Alumina and Bauxite - Q&amp;V'!$I$8:$I$250,1)+
SUMIFS('Alumina and Bauxite - Q&amp;V'!$C$8:$C$250,'Alumina and Bauxite - Q&amp;V'!$H$8:$H$250,CONCATENATE("20",RIGHT('Q&amp;V FY 2003-04 to Now'!U$7,2)),'Alumina and Bauxite - Q&amp;V'!$I$8:$I$250,2))*1000000</f>
        <v>4027810216.7199993</v>
      </c>
      <c r="W12" s="723">
        <f>(SUMIFS('Alumina and Bauxite - Q&amp;V'!$B$8:$B$250,'Alumina and Bauxite - Q&amp;V'!$H$8:$H$250,LEFT('Q&amp;V FY 2003-04 to Now'!W$7:X$7,4),'Alumina and Bauxite - Q&amp;V'!$I$8:$I$250,3)+
SUMIFS('Alumina and Bauxite - Q&amp;V'!$B$8:$B$250,'Alumina and Bauxite - Q&amp;V'!$H$8:$H$250,LEFT('Q&amp;V FY 2003-04 to Now'!W$7:X$7,4),'Alumina and Bauxite - Q&amp;V'!$I$8:$I$250,4)+
SUMIFS('Alumina and Bauxite - Q&amp;V'!$B$8:$B$250,'Alumina and Bauxite - Q&amp;V'!$H$8:$H$250,CONCATENATE("20",RIGHT('Q&amp;V FY 2003-04 to Now'!W$7:X$7,2)),'Alumina and Bauxite - Q&amp;V'!$I$8:$I$250,1)+
SUMIFS('Alumina and Bauxite - Q&amp;V'!$B$8:$B$250,'Alumina and Bauxite - Q&amp;V'!$H$8:$H$250,CONCATENATE("20",RIGHT('Q&amp;V FY 2003-04 to Now'!W$7:X$7,2)),'Alumina and Bauxite - Q&amp;V'!$I$8:$I$250,2))*1000000</f>
        <v>13717951.679999998</v>
      </c>
      <c r="X12" s="723">
        <f>(SUMIFS('Alumina and Bauxite - Q&amp;V'!$C$8:$C$250,'Alumina and Bauxite - Q&amp;V'!$H$8:$H$250,LEFT('Q&amp;V FY 2003-04 to Now'!W$7,4),'Alumina and Bauxite - Q&amp;V'!$I$8:$I$250,3)+
SUMIFS('Alumina and Bauxite - Q&amp;V'!$C$8:$C$250,'Alumina and Bauxite - Q&amp;V'!$H$8:$H$250,LEFT('Q&amp;V FY 2003-04 to Now'!W$7,4),'Alumina and Bauxite - Q&amp;V'!$I$8:$I$250,4)+
SUMIFS('Alumina and Bauxite - Q&amp;V'!$C$8:$C$250,'Alumina and Bauxite - Q&amp;V'!$H$8:$H$250,CONCATENATE("20",RIGHT('Q&amp;V FY 2003-04 to Now'!W$7,2)),'Alumina and Bauxite - Q&amp;V'!$I$8:$I$250,1)+
SUMIFS('Alumina and Bauxite - Q&amp;V'!$C$8:$C$250,'Alumina and Bauxite - Q&amp;V'!$H$8:$H$250,CONCATENATE("20",RIGHT('Q&amp;V FY 2003-04 to Now'!W$7,2)),'Alumina and Bauxite - Q&amp;V'!$I$8:$I$250,2))*1000000</f>
        <v>4295348699</v>
      </c>
      <c r="Y12" s="723">
        <f>(SUMIFS('Alumina and Bauxite - Q&amp;V'!$B$8:$B$250,'Alumina and Bauxite - Q&amp;V'!$H$8:$H$250,LEFT('Q&amp;V FY 2003-04 to Now'!Y$7:Z$7,4),'Alumina and Bauxite - Q&amp;V'!$I$8:$I$250,3)+
SUMIFS('Alumina and Bauxite - Q&amp;V'!$B$8:$B$250,'Alumina and Bauxite - Q&amp;V'!$H$8:$H$250,LEFT('Q&amp;V FY 2003-04 to Now'!Y$7:Z$7,4),'Alumina and Bauxite - Q&amp;V'!$I$8:$I$250,4)+
SUMIFS('Alumina and Bauxite - Q&amp;V'!$B$8:$B$250,'Alumina and Bauxite - Q&amp;V'!$H$8:$H$250,CONCATENATE("20",RIGHT('Q&amp;V FY 2003-04 to Now'!Y$7:Z$7,2)),'Alumina and Bauxite - Q&amp;V'!$I$8:$I$250,1)+
SUMIFS('Alumina and Bauxite - Q&amp;V'!$B$8:$B$250,'Alumina and Bauxite - Q&amp;V'!$H$8:$H$250,CONCATENATE("20",RIGHT('Q&amp;V FY 2003-04 to Now'!Y$7:Z$7,2)),'Alumina and Bauxite - Q&amp;V'!$I$8:$I$250,2))*1000000</f>
        <v>13771412.275999999</v>
      </c>
      <c r="Z12" s="723">
        <f>(SUMIFS('Alumina and Bauxite - Q&amp;V'!$C$8:$C$250,'Alumina and Bauxite - Q&amp;V'!$H$8:$H$250,LEFT('Q&amp;V FY 2003-04 to Now'!Y$7,4),'Alumina and Bauxite - Q&amp;V'!$I$8:$I$250,3)+
SUMIFS('Alumina and Bauxite - Q&amp;V'!$C$8:$C$250,'Alumina and Bauxite - Q&amp;V'!$H$8:$H$250,LEFT('Q&amp;V FY 2003-04 to Now'!Y$7,4),'Alumina and Bauxite - Q&amp;V'!$I$8:$I$250,4)+
SUMIFS('Alumina and Bauxite - Q&amp;V'!$C$8:$C$250,'Alumina and Bauxite - Q&amp;V'!$H$8:$H$250,CONCATENATE("20",RIGHT('Q&amp;V FY 2003-04 to Now'!Y$7,2)),'Alumina and Bauxite - Q&amp;V'!$I$8:$I$250,1)+
SUMIFS('Alumina and Bauxite - Q&amp;V'!$C$8:$C$250,'Alumina and Bauxite - Q&amp;V'!$H$8:$H$250,CONCATENATE("20",RIGHT('Q&amp;V FY 2003-04 to Now'!Y$7,2)),'Alumina and Bauxite - Q&amp;V'!$I$8:$I$250,2))*1000000</f>
        <v>5022721218</v>
      </c>
      <c r="AA12" s="723">
        <f>(SUMIFS('Alumina and Bauxite - Q&amp;V'!$B$8:$B$250,'Alumina and Bauxite - Q&amp;V'!$H$8:$H$250,LEFT('Q&amp;V FY 2003-04 to Now'!AA$7:AB$7,4),'Alumina and Bauxite - Q&amp;V'!$I$8:$I$250,3)+
SUMIFS('Alumina and Bauxite - Q&amp;V'!$B$8:$B$250,'Alumina and Bauxite - Q&amp;V'!$H$8:$H$250,LEFT('Q&amp;V FY 2003-04 to Now'!AA$7:AB$7,4),'Alumina and Bauxite - Q&amp;V'!$I$8:$I$250,4)+
SUMIFS('Alumina and Bauxite - Q&amp;V'!$B$8:$B$250,'Alumina and Bauxite - Q&amp;V'!$H$8:$H$250,CONCATENATE("20",RIGHT('Q&amp;V FY 2003-04 to Now'!AA$7:AB$7,2)),'Alumina and Bauxite - Q&amp;V'!$I$8:$I$250,1)+
SUMIFS('Alumina and Bauxite - Q&amp;V'!$B$8:$B$250,'Alumina and Bauxite - Q&amp;V'!$H$8:$H$250,CONCATENATE("20",RIGHT('Q&amp;V FY 2003-04 to Now'!AA$7:AB$7,2)),'Alumina and Bauxite - Q&amp;V'!$I$8:$I$250,2))*1000000</f>
        <v>13893539.520000001</v>
      </c>
      <c r="AB12" s="723">
        <f>(SUMIFS('Alumina and Bauxite - Q&amp;V'!$C$8:$C$250,'Alumina and Bauxite - Q&amp;V'!$H$8:$H$250,LEFT('Q&amp;V FY 2003-04 to Now'!AA$7,4),'Alumina and Bauxite - Q&amp;V'!$I$8:$I$250,3)+
SUMIFS('Alumina and Bauxite - Q&amp;V'!$C$8:$C$250,'Alumina and Bauxite - Q&amp;V'!$H$8:$H$250,LEFT('Q&amp;V FY 2003-04 to Now'!AA$7,4),'Alumina and Bauxite - Q&amp;V'!$I$8:$I$250,4)+
SUMIFS('Alumina and Bauxite - Q&amp;V'!$C$8:$C$250,'Alumina and Bauxite - Q&amp;V'!$H$8:$H$250,CONCATENATE("20",RIGHT('Q&amp;V FY 2003-04 to Now'!AA$7,2)),'Alumina and Bauxite - Q&amp;V'!$I$8:$I$250,1)+
SUMIFS('Alumina and Bauxite - Q&amp;V'!$C$8:$C$250,'Alumina and Bauxite - Q&amp;V'!$H$8:$H$250,CONCATENATE("20",RIGHT('Q&amp;V FY 2003-04 to Now'!AA$7,2)),'Alumina and Bauxite - Q&amp;V'!$I$8:$I$250,2))*1000000</f>
        <v>4930751163</v>
      </c>
      <c r="AC12" s="723">
        <f>(SUMIFS('Alumina and Bauxite - Q&amp;V'!$B$8:$B$250,'Alumina and Bauxite - Q&amp;V'!$H$8:$H$250,LEFT('Q&amp;V FY 2003-04 to Now'!AC$7:AD$7,4),'Alumina and Bauxite - Q&amp;V'!$I$8:$I$250,3)+
SUMIFS('Alumina and Bauxite - Q&amp;V'!$B$8:$B$250,'Alumina and Bauxite - Q&amp;V'!$H$8:$H$250,LEFT('Q&amp;V FY 2003-04 to Now'!AC$7:AD$7,4),'Alumina and Bauxite - Q&amp;V'!$I$8:$I$250,4)+
SUMIFS('Alumina and Bauxite - Q&amp;V'!$B$8:$B$250,'Alumina and Bauxite - Q&amp;V'!$H$8:$H$250,CONCATENATE("20",RIGHT('Q&amp;V FY 2003-04 to Now'!AC$7:AD$7,2)),'Alumina and Bauxite - Q&amp;V'!$I$8:$I$250,1)+
SUMIFS('Alumina and Bauxite - Q&amp;V'!$B$8:$B$250,'Alumina and Bauxite - Q&amp;V'!$H$8:$H$250,CONCATENATE("20",RIGHT('Q&amp;V FY 2003-04 to Now'!AC$7:AD$7,2)),'Alumina and Bauxite - Q&amp;V'!$I$8:$I$250,2))*1000000</f>
        <v>13855381.769999998</v>
      </c>
      <c r="AD12" s="723">
        <f>(SUMIFS('Alumina and Bauxite - Q&amp;V'!$C$8:$C$250,'Alumina and Bauxite - Q&amp;V'!$H$8:$H$250,LEFT('Q&amp;V FY 2003-04 to Now'!AC$7,4),'Alumina and Bauxite - Q&amp;V'!$I$8:$I$250,3)+
SUMIFS('Alumina and Bauxite - Q&amp;V'!$C$8:$C$250,'Alumina and Bauxite - Q&amp;V'!$H$8:$H$250,LEFT('Q&amp;V FY 2003-04 to Now'!AC$7,4),'Alumina and Bauxite - Q&amp;V'!$I$8:$I$250,4)+
SUMIFS('Alumina and Bauxite - Q&amp;V'!$C$8:$C$250,'Alumina and Bauxite - Q&amp;V'!$H$8:$H$250,CONCATENATE("20",RIGHT('Q&amp;V FY 2003-04 to Now'!AC$7,2)),'Alumina and Bauxite - Q&amp;V'!$I$8:$I$250,1)+
SUMIFS('Alumina and Bauxite - Q&amp;V'!$C$8:$C$250,'Alumina and Bauxite - Q&amp;V'!$H$8:$H$250,CONCATENATE("20",RIGHT('Q&amp;V FY 2003-04 to Now'!AC$7,2)),'Alumina and Bauxite - Q&amp;V'!$I$8:$I$250,2))*1000000</f>
        <v>5073777451</v>
      </c>
      <c r="AE12" s="734">
        <f>(SUMIFS('Alumina and Bauxite - Q&amp;V'!$B$8:$B$250,'Alumina and Bauxite - Q&amp;V'!$H$8:$H$250,LEFT('Q&amp;V FY 2003-04 to Now'!AE$7:AF$7,4),'Alumina and Bauxite - Q&amp;V'!$I$8:$I$250,3)+
SUMIFS('Alumina and Bauxite - Q&amp;V'!$B$8:$B$250,'Alumina and Bauxite - Q&amp;V'!$H$8:$H$250,LEFT('Q&amp;V FY 2003-04 to Now'!AE$7:AF$7,4),'Alumina and Bauxite - Q&amp;V'!$I$8:$I$250,4)+
SUMIFS('Alumina and Bauxite - Q&amp;V'!$B$8:$B$250,'Alumina and Bauxite - Q&amp;V'!$H$8:$H$250,CONCATENATE("20",RIGHT('Q&amp;V FY 2003-04 to Now'!AE$7:AF$7,2)),'Alumina and Bauxite - Q&amp;V'!$I$8:$I$250,1)+
SUMIFS('Alumina and Bauxite - Q&amp;V'!$B$8:$B$250,'Alumina and Bauxite - Q&amp;V'!$H$8:$H$250,CONCATENATE("20",RIGHT('Q&amp;V FY 2003-04 to Now'!AE$7:AF$7,2)),'Alumina and Bauxite - Q&amp;V'!$I$8:$I$250,2))*1000000</f>
        <v>13669466.949999999</v>
      </c>
      <c r="AF12" s="723">
        <f>(SUMIFS('Alumina and Bauxite - Q&amp;V'!$C$8:$C$250,'Alumina and Bauxite - Q&amp;V'!$H$8:$H$250,LEFT('Q&amp;V FY 2003-04 to Now'!AE$7,4),'Alumina and Bauxite - Q&amp;V'!$I$8:$I$250,3)+
SUMIFS('Alumina and Bauxite - Q&amp;V'!$C$8:$C$250,'Alumina and Bauxite - Q&amp;V'!$H$8:$H$250,LEFT('Q&amp;V FY 2003-04 to Now'!AE$7,4),'Alumina and Bauxite - Q&amp;V'!$I$8:$I$250,4)+
SUMIFS('Alumina and Bauxite - Q&amp;V'!$C$8:$C$250,'Alumina and Bauxite - Q&amp;V'!$H$8:$H$250,CONCATENATE("20",RIGHT('Q&amp;V FY 2003-04 to Now'!AE$7,2)),'Alumina and Bauxite - Q&amp;V'!$I$8:$I$250,1)+
SUMIFS('Alumina and Bauxite - Q&amp;V'!$C$8:$C$250,'Alumina and Bauxite - Q&amp;V'!$H$8:$H$250,CONCATENATE("20",RIGHT('Q&amp;V FY 2003-04 to Now'!AE$7,2)),'Alumina and Bauxite - Q&amp;V'!$I$8:$I$250,2))*1000000</f>
        <v>6596775697</v>
      </c>
      <c r="AG12" s="743">
        <f>(SUMIFS('Alumina and Bauxite - Q&amp;V'!$B$8:$B$250,'Alumina and Bauxite - Q&amp;V'!$H$8:$H$250,LEFT('Q&amp;V FY 2003-04 to Now'!AG$7:AH$7,4),'Alumina and Bauxite - Q&amp;V'!$I$8:$I$250,3)+
SUMIFS('Alumina and Bauxite - Q&amp;V'!$B$8:$B$250,'Alumina and Bauxite - Q&amp;V'!$H$8:$H$250,LEFT('Q&amp;V FY 2003-04 to Now'!AG$7:AH$7,4),'Alumina and Bauxite - Q&amp;V'!$I$8:$I$250,4)+
SUMIFS('Alumina and Bauxite - Q&amp;V'!$B$8:$B$250,'Alumina and Bauxite - Q&amp;V'!$H$8:$H$250,CONCATENATE("20",RIGHT('Q&amp;V FY 2003-04 to Now'!AG$7:AH$7,2)),'Alumina and Bauxite - Q&amp;V'!$I$8:$I$250,1)+
SUMIFS('Alumina and Bauxite - Q&amp;V'!$B$8:$B$250,'Alumina and Bauxite - Q&amp;V'!$H$8:$H$250,CONCATENATE("20",RIGHT('Q&amp;V FY 2003-04 to Now'!AG$7:AH$7,2)),'Alumina and Bauxite - Q&amp;V'!$I$8:$I$250,2))*1000000</f>
        <v>13643444.6</v>
      </c>
      <c r="AH12" s="742">
        <f>(SUMIFS('Alumina and Bauxite - Q&amp;V'!$C$8:$C$250,'Alumina and Bauxite - Q&amp;V'!$H$8:$H$250,LEFT('Q&amp;V FY 2003-04 to Now'!AG$7,4),'Alumina and Bauxite - Q&amp;V'!$I$8:$I$250,3)+
SUMIFS('Alumina and Bauxite - Q&amp;V'!$C$8:$C$250,'Alumina and Bauxite - Q&amp;V'!$H$8:$H$250,LEFT('Q&amp;V FY 2003-04 to Now'!AG$7,4),'Alumina and Bauxite - Q&amp;V'!$I$8:$I$250,4)+
SUMIFS('Alumina and Bauxite - Q&amp;V'!$C$8:$C$250,'Alumina and Bauxite - Q&amp;V'!$H$8:$H$250,CONCATENATE("20",RIGHT('Q&amp;V FY 2003-04 to Now'!AG$7,2)),'Alumina and Bauxite - Q&amp;V'!$I$8:$I$250,1)+
SUMIFS('Alumina and Bauxite - Q&amp;V'!$C$8:$C$250,'Alumina and Bauxite - Q&amp;V'!$H$8:$H$250,CONCATENATE("20",RIGHT('Q&amp;V FY 2003-04 to Now'!AG$7,2)),'Alumina and Bauxite - Q&amp;V'!$I$8:$I$250,2))*1000000</f>
        <v>8211863757.999999</v>
      </c>
      <c r="AI12" s="742">
        <f>(SUMIFS('Alumina and Bauxite - Q&amp;V'!$B$8:$B$250,'Alumina and Bauxite - Q&amp;V'!$H$8:$H$250,LEFT('Q&amp;V FY 2003-04 to Now'!AI$7:AJ$7,4),'Alumina and Bauxite - Q&amp;V'!$I$8:$I$250,3)+
SUMIFS('Alumina and Bauxite - Q&amp;V'!$B$8:$B$250,'Alumina and Bauxite - Q&amp;V'!$H$8:$H$250,LEFT('Q&amp;V FY 2003-04 to Now'!AI$7:AJ$7,4),'Alumina and Bauxite - Q&amp;V'!$I$8:$I$250,4)+
SUMIFS('Alumina and Bauxite - Q&amp;V'!$B$8:$B$250,'Alumina and Bauxite - Q&amp;V'!$H$8:$H$250,CONCATENATE("20",RIGHT('Q&amp;V FY 2003-04 to Now'!AI$7:AJ$7,2)),'Alumina and Bauxite - Q&amp;V'!$I$8:$I$250,1)+
SUMIFS('Alumina and Bauxite - Q&amp;V'!$B$8:$B$250,'Alumina and Bauxite - Q&amp;V'!$H$8:$H$250,CONCATENATE("20",RIGHT('Q&amp;V FY 2003-04 to Now'!AI$7:AJ$7,2)),'Alumina and Bauxite - Q&amp;V'!$I$8:$I$250,2))*1000000</f>
        <v>14020412.172999999</v>
      </c>
      <c r="AJ12" s="742">
        <f>(SUMIFS('Alumina and Bauxite - Q&amp;V'!$C$8:$C$250,'Alumina and Bauxite - Q&amp;V'!$H$8:$H$250,LEFT('Q&amp;V FY 2003-04 to Now'!AI$7,4),'Alumina and Bauxite - Q&amp;V'!$I$8:$I$250,3)+
SUMIFS('Alumina and Bauxite - Q&amp;V'!$C$8:$C$250,'Alumina and Bauxite - Q&amp;V'!$H$8:$H$250,LEFT('Q&amp;V FY 2003-04 to Now'!AI$7,4),'Alumina and Bauxite - Q&amp;V'!$I$8:$I$250,4)+
SUMIFS('Alumina and Bauxite - Q&amp;V'!$C$8:$C$250,'Alumina and Bauxite - Q&amp;V'!$H$8:$H$250,CONCATENATE("20",RIGHT('Q&amp;V FY 2003-04 to Now'!AI$7,2)),'Alumina and Bauxite - Q&amp;V'!$I$8:$I$250,1)+
SUMIFS('Alumina and Bauxite - Q&amp;V'!$C$8:$C$250,'Alumina and Bauxite - Q&amp;V'!$H$8:$H$250,CONCATENATE("20",RIGHT('Q&amp;V FY 2003-04 to Now'!AI$7,2)),'Alumina and Bauxite - Q&amp;V'!$I$8:$I$250,2))*1000000</f>
        <v>6351769942.999999</v>
      </c>
      <c r="AK12" s="742">
        <f>(SUMIFS('Alumina and Bauxite - Q&amp;V'!$B$8:$B$250,'Alumina and Bauxite - Q&amp;V'!$H$8:$H$250,LEFT('Q&amp;V FY 2003-04 to Now'!AK$7:AL$7,4),'Alumina and Bauxite - Q&amp;V'!$I$8:$I$250,3)+
SUMIFS('Alumina and Bauxite - Q&amp;V'!$B$8:$B$250,'Alumina and Bauxite - Q&amp;V'!$H$8:$H$250,LEFT('Q&amp;V FY 2003-04 to Now'!AK$7:AL$7,4),'Alumina and Bauxite - Q&amp;V'!$I$8:$I$250,4)+
SUMIFS('Alumina and Bauxite - Q&amp;V'!$B$8:$B$250,'Alumina and Bauxite - Q&amp;V'!$H$8:$H$250,CONCATENATE("20",RIGHT('Q&amp;V FY 2003-04 to Now'!AK$7:AL$7,2)),'Alumina and Bauxite - Q&amp;V'!$I$8:$I$250,1)+
SUMIFS('Alumina and Bauxite - Q&amp;V'!$B$8:$B$250,'Alumina and Bauxite - Q&amp;V'!$H$8:$H$250,CONCATENATE("20",RIGHT('Q&amp;V FY 2003-04 to Now'!AK$7:AL$7,2)),'Alumina and Bauxite - Q&amp;V'!$I$8:$I$250,2))*1000000</f>
        <v>14371922.680000002</v>
      </c>
      <c r="AL12" s="742">
        <f>(SUMIFS('Alumina and Bauxite - Q&amp;V'!$C$8:$C$250,'Alumina and Bauxite - Q&amp;V'!$H$8:$H$250,LEFT('Q&amp;V FY 2003-04 to Now'!AK$7,4),'Alumina and Bauxite - Q&amp;V'!$I$8:$I$250,3)+
SUMIFS('Alumina and Bauxite - Q&amp;V'!$C$8:$C$250,'Alumina and Bauxite - Q&amp;V'!$H$8:$H$250,LEFT('Q&amp;V FY 2003-04 to Now'!AK$7,4),'Alumina and Bauxite - Q&amp;V'!$I$8:$I$250,4)+
SUMIFS('Alumina and Bauxite - Q&amp;V'!$C$8:$C$250,'Alumina and Bauxite - Q&amp;V'!$H$8:$H$250,CONCATENATE("20",RIGHT('Q&amp;V FY 2003-04 to Now'!AK$7,2)),'Alumina and Bauxite - Q&amp;V'!$I$8:$I$250,1)+
SUMIFS('Alumina and Bauxite - Q&amp;V'!$C$8:$C$250,'Alumina and Bauxite - Q&amp;V'!$H$8:$H$250,CONCATENATE("20",RIGHT('Q&amp;V FY 2003-04 to Now'!AK$7,2)),'Alumina and Bauxite - Q&amp;V'!$I$8:$I$250,2))*1000000</f>
        <v>5509914223.999999</v>
      </c>
      <c r="AM12" s="742">
        <f>(SUMIFS('Alumina and Bauxite - Q&amp;V'!$B$8:$B$250,'Alumina and Bauxite - Q&amp;V'!$H$8:$H$250,LEFT('Q&amp;V FY 2003-04 to Now'!AM$7:AN$7,4),'Alumina and Bauxite - Q&amp;V'!$I$8:$I$250,3)+
SUMIFS('Alumina and Bauxite - Q&amp;V'!$B$8:$B$250,'Alumina and Bauxite - Q&amp;V'!$H$8:$H$250,LEFT('Q&amp;V FY 2003-04 to Now'!AM$7:AN$7,4),'Alumina and Bauxite - Q&amp;V'!$I$8:$I$250,4)+
SUMIFS('Alumina and Bauxite - Q&amp;V'!$B$8:$B$250,'Alumina and Bauxite - Q&amp;V'!$H$8:$H$250,CONCATENATE("20",RIGHT('Q&amp;V FY 2003-04 to Now'!AM$7:AN$7,2)),'Alumina and Bauxite - Q&amp;V'!$I$8:$I$250,1)+
SUMIFS('Alumina and Bauxite - Q&amp;V'!$B$8:$B$250,'Alumina and Bauxite - Q&amp;V'!$H$8:$H$250,CONCATENATE("20",RIGHT('Q&amp;V FY 2003-04 to Now'!AM$7:AN$7,2)),'Alumina and Bauxite - Q&amp;V'!$I$8:$I$250,2))*1000000</f>
        <v>13928030.289999999</v>
      </c>
      <c r="AN12" s="742">
        <f>(SUMIFS('Alumina and Bauxite - Q&amp;V'!$C$8:$C$250,'Alumina and Bauxite - Q&amp;V'!$H$8:$H$250,LEFT('Q&amp;V FY 2003-04 to Now'!AM$7,4),'Alumina and Bauxite - Q&amp;V'!$I$8:$I$250,3)+
SUMIFS('Alumina and Bauxite - Q&amp;V'!$C$8:$C$250,'Alumina and Bauxite - Q&amp;V'!$H$8:$H$250,LEFT('Q&amp;V FY 2003-04 to Now'!AM$7,4),'Alumina and Bauxite - Q&amp;V'!$I$8:$I$250,4)+
SUMIFS('Alumina and Bauxite - Q&amp;V'!$C$8:$C$250,'Alumina and Bauxite - Q&amp;V'!$H$8:$H$250,CONCATENATE("20",RIGHT('Q&amp;V FY 2003-04 to Now'!AM$7,2)),'Alumina and Bauxite - Q&amp;V'!$I$8:$I$250,1)+
SUMIFS('Alumina and Bauxite - Q&amp;V'!$C$8:$C$250,'Alumina and Bauxite - Q&amp;V'!$H$8:$H$250,CONCATENATE("20",RIGHT('Q&amp;V FY 2003-04 to Now'!AM$7,2)),'Alumina and Bauxite - Q&amp;V'!$I$8:$I$250,2))*1000000</f>
        <v>6696908793</v>
      </c>
      <c r="AO12" s="742">
        <f>(SUMIFS('Alumina and Bauxite - Q&amp;V'!$B$8:$B$250,'Alumina and Bauxite - Q&amp;V'!$H$8:$H$250,LEFT('Q&amp;V FY 2003-04 to Now'!AO$7:AP$7,4),'Alumina and Bauxite - Q&amp;V'!$I$8:$I$250,3)+
SUMIFS('Alumina and Bauxite - Q&amp;V'!$B$8:$B$250,'Alumina and Bauxite - Q&amp;V'!$H$8:$H$250,LEFT('Q&amp;V FY 2003-04 to Now'!AO$7:AP$7,4),'Alumina and Bauxite - Q&amp;V'!$I$8:$I$250,4)+
SUMIFS('Alumina and Bauxite - Q&amp;V'!$B$8:$B$250,'Alumina and Bauxite - Q&amp;V'!$H$8:$H$250,CONCATENATE("20",RIGHT('Q&amp;V FY 2003-04 to Now'!AO$7:AP$7,2)),'Alumina and Bauxite - Q&amp;V'!$I$8:$I$250,1)+
SUMIFS('Alumina and Bauxite - Q&amp;V'!$B$8:$B$250,'Alumina and Bauxite - Q&amp;V'!$H$8:$H$250,CONCATENATE("20",RIGHT('Q&amp;V FY 2003-04 to Now'!AO$7:AP$7,2)),'Alumina and Bauxite - Q&amp;V'!$I$8:$I$250,2))*1000000</f>
        <v>13040576.993999999</v>
      </c>
      <c r="AP12" s="742">
        <f>(SUMIFS('Alumina and Bauxite - Q&amp;V'!$C$8:$C$250,'Alumina and Bauxite - Q&amp;V'!$H$8:$H$250,LEFT('Q&amp;V FY 2003-04 to Now'!AO$7,4),'Alumina and Bauxite - Q&amp;V'!$I$8:$I$250,3)+
SUMIFS('Alumina and Bauxite - Q&amp;V'!$C$8:$C$250,'Alumina and Bauxite - Q&amp;V'!$H$8:$H$250,LEFT('Q&amp;V FY 2003-04 to Now'!AO$7,4),'Alumina and Bauxite - Q&amp;V'!$I$8:$I$250,4)+
SUMIFS('Alumina and Bauxite - Q&amp;V'!$C$8:$C$250,'Alumina and Bauxite - Q&amp;V'!$H$8:$H$250,CONCATENATE("20",RIGHT('Q&amp;V FY 2003-04 to Now'!AO$7,2)),'Alumina and Bauxite - Q&amp;V'!$I$8:$I$250,1)+
SUMIFS('Alumina and Bauxite - Q&amp;V'!$C$8:$C$250,'Alumina and Bauxite - Q&amp;V'!$H$8:$H$250,CONCATENATE("20",RIGHT('Q&amp;V FY 2003-04 to Now'!AO$7,2)),'Alumina and Bauxite - Q&amp;V'!$I$8:$I$250,2))*1000000</f>
        <v>6683862317.999999</v>
      </c>
      <c r="AQ12" s="734">
        <f>SUMIF($C$9:AP$9,1,$C12:AP12)</f>
        <v>259134844.03799999</v>
      </c>
      <c r="AR12" s="723">
        <f>IF(COUNTIF($C12:AP12, "nfp")=0, SUMIF($C$9:AP$9,0,$C12:AP12), "nfp")</f>
        <v>100284385175.27</v>
      </c>
      <c r="AS12" s="405"/>
      <c r="AT12" s="317"/>
      <c r="AU12" s="317"/>
      <c r="AW12" s="381"/>
    </row>
    <row r="13" spans="1:49" s="349" customFormat="1">
      <c r="A13" s="263" t="s">
        <v>352</v>
      </c>
      <c r="B13" s="248" t="s">
        <v>67</v>
      </c>
      <c r="C13" s="723">
        <f>(SUMIFS('Alumina and Bauxite - Q&amp;V'!$D$8:$D$250,'Alumina and Bauxite - Q&amp;V'!$H$8:$H$250,LEFT('Q&amp;V FY 2003-04 to Now'!C$7:D$7,4),'Alumina and Bauxite - Q&amp;V'!$I$8:$I$250,3)+
SUMIFS('Alumina and Bauxite - Q&amp;V'!$D$8:$D$250,'Alumina and Bauxite - Q&amp;V'!$H$8:$H$250,LEFT('Q&amp;V FY 2003-04 to Now'!C$7:D$7,4),'Alumina and Bauxite - Q&amp;V'!$I$8:$I$250,4)+
SUMIFS('Alumina and Bauxite - Q&amp;V'!$D$8:$D$250,'Alumina and Bauxite - Q&amp;V'!$H$8:$H$250,CONCATENATE("20",RIGHT('Q&amp;V FY 2003-04 to Now'!C$7:D$7,2)),'Alumina and Bauxite - Q&amp;V'!$I$8:$I$250,1)+
SUMIFS('Alumina and Bauxite - Q&amp;V'!$D$8:$D$250,'Alumina and Bauxite - Q&amp;V'!$H$8:$H$250,CONCATENATE("20",RIGHT('Q&amp;V FY 2003-04 to Now'!C$7:D$7,2)),'Alumina and Bauxite - Q&amp;V'!$I$8:$I$250,2))*1000000</f>
        <v>0</v>
      </c>
      <c r="D13" s="723">
        <f>(SUMIFS('Alumina and Bauxite - Q&amp;V'!$E$8:$E$250,'Alumina and Bauxite - Q&amp;V'!$H$8:$H$250,LEFT('Q&amp;V FY 2003-04 to Now'!C$7,4),'Alumina and Bauxite - Q&amp;V'!$I$8:$I$250,3)+
SUMIFS('Alumina and Bauxite - Q&amp;V'!$E$8:$E$250,'Alumina and Bauxite - Q&amp;V'!$H$8:$H$250,LEFT('Q&amp;V FY 2003-04 to Now'!C$7,4),'Alumina and Bauxite - Q&amp;V'!$I$8:$I$250,4)+
SUMIFS('Alumina and Bauxite - Q&amp;V'!$E$8:$E$250,'Alumina and Bauxite - Q&amp;V'!$H$8:$H$250,CONCATENATE("20",RIGHT('Q&amp;V FY 2003-04 to Now'!C$7,2)),'Alumina and Bauxite - Q&amp;V'!$I$8:$I$250,1)+
SUMIFS('Alumina and Bauxite - Q&amp;V'!$E$8:$E$250,'Alumina and Bauxite - Q&amp;V'!$H$8:$H$250,CONCATENATE("20",RIGHT('Q&amp;V FY 2003-04 to Now'!C$7,2)),'Alumina and Bauxite - Q&amp;V'!$I$8:$I$250,2))*1000000</f>
        <v>0</v>
      </c>
      <c r="E13" s="723">
        <f>(SUMIFS('Alumina and Bauxite - Q&amp;V'!$D$8:$D$250,'Alumina and Bauxite - Q&amp;V'!$H$8:$H$250,LEFT('Q&amp;V FY 2003-04 to Now'!E$7:F$7,4),'Alumina and Bauxite - Q&amp;V'!$I$8:$I$250,3)+
SUMIFS('Alumina and Bauxite - Q&amp;V'!$D$8:$D$250,'Alumina and Bauxite - Q&amp;V'!$H$8:$H$250,LEFT('Q&amp;V FY 2003-04 to Now'!E$7:F$7,4),'Alumina and Bauxite - Q&amp;V'!$I$8:$I$250,4)+
SUMIFS('Alumina and Bauxite - Q&amp;V'!$D$8:$D$250,'Alumina and Bauxite - Q&amp;V'!$H$8:$H$250,CONCATENATE("20",RIGHT('Q&amp;V FY 2003-04 to Now'!E$7:F$7,2)),'Alumina and Bauxite - Q&amp;V'!$I$8:$I$250,1)+
SUMIFS('Alumina and Bauxite - Q&amp;V'!$D$8:$D$250,'Alumina and Bauxite - Q&amp;V'!$H$8:$H$250,CONCATENATE("20",RIGHT('Q&amp;V FY 2003-04 to Now'!E$7:F$7,2)),'Alumina and Bauxite - Q&amp;V'!$I$8:$I$250,2))*1000000</f>
        <v>0</v>
      </c>
      <c r="F13" s="723">
        <f>(SUMIFS('Alumina and Bauxite - Q&amp;V'!$E$8:$E$250,'Alumina and Bauxite - Q&amp;V'!$H$8:$H$250,LEFT('Q&amp;V FY 2003-04 to Now'!E$7,4),'Alumina and Bauxite - Q&amp;V'!$I$8:$I$250,3)+
SUMIFS('Alumina and Bauxite - Q&amp;V'!$E$8:$E$250,'Alumina and Bauxite - Q&amp;V'!$H$8:$H$250,LEFT('Q&amp;V FY 2003-04 to Now'!E$7,4),'Alumina and Bauxite - Q&amp;V'!$I$8:$I$250,4)+
SUMIFS('Alumina and Bauxite - Q&amp;V'!$E$8:$E$250,'Alumina and Bauxite - Q&amp;V'!$H$8:$H$250,CONCATENATE("20",RIGHT('Q&amp;V FY 2003-04 to Now'!E$7,2)),'Alumina and Bauxite - Q&amp;V'!$I$8:$I$250,1)+
SUMIFS('Alumina and Bauxite - Q&amp;V'!$E$8:$E$250,'Alumina and Bauxite - Q&amp;V'!$H$8:$H$250,CONCATENATE("20",RIGHT('Q&amp;V FY 2003-04 to Now'!E$7,2)),'Alumina and Bauxite - Q&amp;V'!$I$8:$I$250,2))*1000000</f>
        <v>0</v>
      </c>
      <c r="G13" s="723">
        <f>(SUMIFS('Alumina and Bauxite - Q&amp;V'!$D$8:$D$250,'Alumina and Bauxite - Q&amp;V'!$H$8:$H$250,LEFT('Q&amp;V FY 2003-04 to Now'!G$7:H$7,4),'Alumina and Bauxite - Q&amp;V'!$I$8:$I$250,3)+
SUMIFS('Alumina and Bauxite - Q&amp;V'!$D$8:$D$250,'Alumina and Bauxite - Q&amp;V'!$H$8:$H$250,LEFT('Q&amp;V FY 2003-04 to Now'!G$7:H$7,4),'Alumina and Bauxite - Q&amp;V'!$I$8:$I$250,4)+
SUMIFS('Alumina and Bauxite - Q&amp;V'!$D$8:$D$250,'Alumina and Bauxite - Q&amp;V'!$H$8:$H$250,CONCATENATE("20",RIGHT('Q&amp;V FY 2003-04 to Now'!G$7:H$7,2)),'Alumina and Bauxite - Q&amp;V'!$I$8:$I$250,1)+
SUMIFS('Alumina and Bauxite - Q&amp;V'!$D$8:$D$250,'Alumina and Bauxite - Q&amp;V'!$H$8:$H$250,CONCATENATE("20",RIGHT('Q&amp;V FY 2003-04 to Now'!G$7:H$7,2)),'Alumina and Bauxite - Q&amp;V'!$I$8:$I$250,2))*1000000</f>
        <v>0</v>
      </c>
      <c r="H13" s="723">
        <f>(SUMIFS('Alumina and Bauxite - Q&amp;V'!$E$8:$E$250,'Alumina and Bauxite - Q&amp;V'!$H$8:$H$250,LEFT('Q&amp;V FY 2003-04 to Now'!G$7,4),'Alumina and Bauxite - Q&amp;V'!$I$8:$I$250,3)+
SUMIFS('Alumina and Bauxite - Q&amp;V'!$E$8:$E$250,'Alumina and Bauxite - Q&amp;V'!$H$8:$H$250,LEFT('Q&amp;V FY 2003-04 to Now'!G$7,4),'Alumina and Bauxite - Q&amp;V'!$I$8:$I$250,4)+
SUMIFS('Alumina and Bauxite - Q&amp;V'!$E$8:$E$250,'Alumina and Bauxite - Q&amp;V'!$H$8:$H$250,CONCATENATE("20",RIGHT('Q&amp;V FY 2003-04 to Now'!G$7,2)),'Alumina and Bauxite - Q&amp;V'!$I$8:$I$250,1)+
SUMIFS('Alumina and Bauxite - Q&amp;V'!$E$8:$E$250,'Alumina and Bauxite - Q&amp;V'!$H$8:$H$250,CONCATENATE("20",RIGHT('Q&amp;V FY 2003-04 to Now'!G$7,2)),'Alumina and Bauxite - Q&amp;V'!$I$8:$I$250,2))*1000000</f>
        <v>0</v>
      </c>
      <c r="I13" s="723">
        <f>(SUMIFS('Alumina and Bauxite - Q&amp;V'!$D$8:$D$250,'Alumina and Bauxite - Q&amp;V'!$H$8:$H$250,LEFT('Q&amp;V FY 2003-04 to Now'!I$7:J$7,4),'Alumina and Bauxite - Q&amp;V'!$I$8:$I$250,3)+
SUMIFS('Alumina and Bauxite - Q&amp;V'!$D$8:$D$250,'Alumina and Bauxite - Q&amp;V'!$H$8:$H$250,LEFT('Q&amp;V FY 2003-04 to Now'!I$7:J$7,4),'Alumina and Bauxite - Q&amp;V'!$I$8:$I$250,4)+
SUMIFS('Alumina and Bauxite - Q&amp;V'!$D$8:$D$250,'Alumina and Bauxite - Q&amp;V'!$H$8:$H$250,CONCATENATE("20",RIGHT('Q&amp;V FY 2003-04 to Now'!I$7:J$7,2)),'Alumina and Bauxite - Q&amp;V'!$I$8:$I$250,1)+
SUMIFS('Alumina and Bauxite - Q&amp;V'!$D$8:$D$250,'Alumina and Bauxite - Q&amp;V'!$H$8:$H$250,CONCATENATE("20",RIGHT('Q&amp;V FY 2003-04 to Now'!I$7:J$7,2)),'Alumina and Bauxite - Q&amp;V'!$I$8:$I$250,2))*1000000</f>
        <v>0</v>
      </c>
      <c r="J13" s="723">
        <f>(SUMIFS('Alumina and Bauxite - Q&amp;V'!$E$8:$E$250,'Alumina and Bauxite - Q&amp;V'!$H$8:$H$250,LEFT('Q&amp;V FY 2003-04 to Now'!I$7,4),'Alumina and Bauxite - Q&amp;V'!$I$8:$I$250,3)+
SUMIFS('Alumina and Bauxite - Q&amp;V'!$E$8:$E$250,'Alumina and Bauxite - Q&amp;V'!$H$8:$H$250,LEFT('Q&amp;V FY 2003-04 to Now'!I$7,4),'Alumina and Bauxite - Q&amp;V'!$I$8:$I$250,4)+
SUMIFS('Alumina and Bauxite - Q&amp;V'!$E$8:$E$250,'Alumina and Bauxite - Q&amp;V'!$H$8:$H$250,CONCATENATE("20",RIGHT('Q&amp;V FY 2003-04 to Now'!I$7,2)),'Alumina and Bauxite - Q&amp;V'!$I$8:$I$250,1)+
SUMIFS('Alumina and Bauxite - Q&amp;V'!$E$8:$E$250,'Alumina and Bauxite - Q&amp;V'!$H$8:$H$250,CONCATENATE("20",RIGHT('Q&amp;V FY 2003-04 to Now'!I$7,2)),'Alumina and Bauxite - Q&amp;V'!$I$8:$I$250,2))*1000000</f>
        <v>0</v>
      </c>
      <c r="K13" s="723">
        <f>(SUMIFS('Alumina and Bauxite - Q&amp;V'!$D$8:$D$250,'Alumina and Bauxite - Q&amp;V'!$H$8:$H$250,LEFT('Q&amp;V FY 2003-04 to Now'!K$7:L$7,4),'Alumina and Bauxite - Q&amp;V'!$I$8:$I$250,3)+
SUMIFS('Alumina and Bauxite - Q&amp;V'!$D$8:$D$250,'Alumina and Bauxite - Q&amp;V'!$H$8:$H$250,LEFT('Q&amp;V FY 2003-04 to Now'!K$7:L$7,4),'Alumina and Bauxite - Q&amp;V'!$I$8:$I$250,4)+
SUMIFS('Alumina and Bauxite - Q&amp;V'!$D$8:$D$250,'Alumina and Bauxite - Q&amp;V'!$H$8:$H$250,CONCATENATE("20",RIGHT('Q&amp;V FY 2003-04 to Now'!K$7:L$7,2)),'Alumina and Bauxite - Q&amp;V'!$I$8:$I$250,1)+
SUMIFS('Alumina and Bauxite - Q&amp;V'!$D$8:$D$250,'Alumina and Bauxite - Q&amp;V'!$H$8:$H$250,CONCATENATE("20",RIGHT('Q&amp;V FY 2003-04 to Now'!K$7:L$7,2)),'Alumina and Bauxite - Q&amp;V'!$I$8:$I$250,2))*1000000</f>
        <v>0</v>
      </c>
      <c r="L13" s="723">
        <f>(SUMIFS('Alumina and Bauxite - Q&amp;V'!$E$8:$E$250,'Alumina and Bauxite - Q&amp;V'!$H$8:$H$250,LEFT('Q&amp;V FY 2003-04 to Now'!K$7,4),'Alumina and Bauxite - Q&amp;V'!$I$8:$I$250,3)+
SUMIFS('Alumina and Bauxite - Q&amp;V'!$E$8:$E$250,'Alumina and Bauxite - Q&amp;V'!$H$8:$H$250,LEFT('Q&amp;V FY 2003-04 to Now'!K$7,4),'Alumina and Bauxite - Q&amp;V'!$I$8:$I$250,4)+
SUMIFS('Alumina and Bauxite - Q&amp;V'!$E$8:$E$250,'Alumina and Bauxite - Q&amp;V'!$H$8:$H$250,CONCATENATE("20",RIGHT('Q&amp;V FY 2003-04 to Now'!K$7,2)),'Alumina and Bauxite - Q&amp;V'!$I$8:$I$250,1)+
SUMIFS('Alumina and Bauxite - Q&amp;V'!$E$8:$E$250,'Alumina and Bauxite - Q&amp;V'!$H$8:$H$250,CONCATENATE("20",RIGHT('Q&amp;V FY 2003-04 to Now'!K$7,2)),'Alumina and Bauxite - Q&amp;V'!$I$8:$I$250,2))*1000000</f>
        <v>0</v>
      </c>
      <c r="M13" s="723">
        <f>(SUMIFS('Alumina and Bauxite - Q&amp;V'!$D$8:$D$250,'Alumina and Bauxite - Q&amp;V'!$H$8:$H$250,LEFT('Q&amp;V FY 2003-04 to Now'!M$7:N$7,4),'Alumina and Bauxite - Q&amp;V'!$I$8:$I$250,3)+
SUMIFS('Alumina and Bauxite - Q&amp;V'!$D$8:$D$250,'Alumina and Bauxite - Q&amp;V'!$H$8:$H$250,LEFT('Q&amp;V FY 2003-04 to Now'!M$7:N$7,4),'Alumina and Bauxite - Q&amp;V'!$I$8:$I$250,4)+
SUMIFS('Alumina and Bauxite - Q&amp;V'!$D$8:$D$250,'Alumina and Bauxite - Q&amp;V'!$H$8:$H$250,CONCATENATE("20",RIGHT('Q&amp;V FY 2003-04 to Now'!M$7:N$7,2)),'Alumina and Bauxite - Q&amp;V'!$I$8:$I$250,1)+
SUMIFS('Alumina and Bauxite - Q&amp;V'!$D$8:$D$250,'Alumina and Bauxite - Q&amp;V'!$H$8:$H$250,CONCATENATE("20",RIGHT('Q&amp;V FY 2003-04 to Now'!M$7:N$7,2)),'Alumina and Bauxite - Q&amp;V'!$I$8:$I$250,2))*1000000</f>
        <v>0</v>
      </c>
      <c r="N13" s="723">
        <f>(SUMIFS('Alumina and Bauxite - Q&amp;V'!$E$8:$E$250,'Alumina and Bauxite - Q&amp;V'!$H$8:$H$250,LEFT('Q&amp;V FY 2003-04 to Now'!M$7,4),'Alumina and Bauxite - Q&amp;V'!$I$8:$I$250,3)+
SUMIFS('Alumina and Bauxite - Q&amp;V'!$E$8:$E$250,'Alumina and Bauxite - Q&amp;V'!$H$8:$H$250,LEFT('Q&amp;V FY 2003-04 to Now'!M$7,4),'Alumina and Bauxite - Q&amp;V'!$I$8:$I$250,4)+
SUMIFS('Alumina and Bauxite - Q&amp;V'!$E$8:$E$250,'Alumina and Bauxite - Q&amp;V'!$H$8:$H$250,CONCATENATE("20",RIGHT('Q&amp;V FY 2003-04 to Now'!M$7,2)),'Alumina and Bauxite - Q&amp;V'!$I$8:$I$250,1)+
SUMIFS('Alumina and Bauxite - Q&amp;V'!$E$8:$E$250,'Alumina and Bauxite - Q&amp;V'!$H$8:$H$250,CONCATENATE("20",RIGHT('Q&amp;V FY 2003-04 to Now'!M$7,2)),'Alumina and Bauxite - Q&amp;V'!$I$8:$I$250,2))*1000000</f>
        <v>0</v>
      </c>
      <c r="O13" s="723">
        <f>(SUMIFS('Alumina and Bauxite - Q&amp;V'!$D$8:$D$250,'Alumina and Bauxite - Q&amp;V'!$H$8:$H$250,LEFT('Q&amp;V FY 2003-04 to Now'!O$7:P$7,4),'Alumina and Bauxite - Q&amp;V'!$I$8:$I$250,3)+
SUMIFS('Alumina and Bauxite - Q&amp;V'!$D$8:$D$250,'Alumina and Bauxite - Q&amp;V'!$H$8:$H$250,LEFT('Q&amp;V FY 2003-04 to Now'!O$7:P$7,4),'Alumina and Bauxite - Q&amp;V'!$I$8:$I$250,4)+
SUMIFS('Alumina and Bauxite - Q&amp;V'!$D$8:$D$250,'Alumina and Bauxite - Q&amp;V'!$H$8:$H$250,CONCATENATE("20",RIGHT('Q&amp;V FY 2003-04 to Now'!O$7:P$7,2)),'Alumina and Bauxite - Q&amp;V'!$I$8:$I$250,1)+
SUMIFS('Alumina and Bauxite - Q&amp;V'!$D$8:$D$250,'Alumina and Bauxite - Q&amp;V'!$H$8:$H$250,CONCATENATE("20",RIGHT('Q&amp;V FY 2003-04 to Now'!O$7:P$7,2)),'Alumina and Bauxite - Q&amp;V'!$I$8:$I$250,2))*1000000</f>
        <v>0</v>
      </c>
      <c r="P13" s="723">
        <f>(SUMIFS('Alumina and Bauxite - Q&amp;V'!$E$8:$E$250,'Alumina and Bauxite - Q&amp;V'!$H$8:$H$250,LEFT('Q&amp;V FY 2003-04 to Now'!O$7,4),'Alumina and Bauxite - Q&amp;V'!$I$8:$I$250,3)+
SUMIFS('Alumina and Bauxite - Q&amp;V'!$E$8:$E$250,'Alumina and Bauxite - Q&amp;V'!$H$8:$H$250,LEFT('Q&amp;V FY 2003-04 to Now'!O$7,4),'Alumina and Bauxite - Q&amp;V'!$I$8:$I$250,4)+
SUMIFS('Alumina and Bauxite - Q&amp;V'!$E$8:$E$250,'Alumina and Bauxite - Q&amp;V'!$H$8:$H$250,CONCATENATE("20",RIGHT('Q&amp;V FY 2003-04 to Now'!O$7,2)),'Alumina and Bauxite - Q&amp;V'!$I$8:$I$250,1)+
SUMIFS('Alumina and Bauxite - Q&amp;V'!$E$8:$E$250,'Alumina and Bauxite - Q&amp;V'!$H$8:$H$250,CONCATENATE("20",RIGHT('Q&amp;V FY 2003-04 to Now'!O$7,2)),'Alumina and Bauxite - Q&amp;V'!$I$8:$I$250,2))*1000000</f>
        <v>0</v>
      </c>
      <c r="Q13" s="723">
        <f>(SUMIFS('Alumina and Bauxite - Q&amp;V'!$D$8:$D$250,'Alumina and Bauxite - Q&amp;V'!$H$8:$H$250,LEFT('Q&amp;V FY 2003-04 to Now'!Q$7:R$7,4),'Alumina and Bauxite - Q&amp;V'!$I$8:$I$250,3)+
SUMIFS('Alumina and Bauxite - Q&amp;V'!$D$8:$D$250,'Alumina and Bauxite - Q&amp;V'!$H$8:$H$250,LEFT('Q&amp;V FY 2003-04 to Now'!Q$7:R$7,4),'Alumina and Bauxite - Q&amp;V'!$I$8:$I$250,4)+
SUMIFS('Alumina and Bauxite - Q&amp;V'!$D$8:$D$250,'Alumina and Bauxite - Q&amp;V'!$H$8:$H$250,CONCATENATE("20",RIGHT('Q&amp;V FY 2003-04 to Now'!Q$7:R$7,2)),'Alumina and Bauxite - Q&amp;V'!$I$8:$I$250,1)+
SUMIFS('Alumina and Bauxite - Q&amp;V'!$D$8:$D$250,'Alumina and Bauxite - Q&amp;V'!$H$8:$H$250,CONCATENATE("20",RIGHT('Q&amp;V FY 2003-04 to Now'!Q$7:R$7,2)),'Alumina and Bauxite - Q&amp;V'!$I$8:$I$250,2))*1000000</f>
        <v>0</v>
      </c>
      <c r="R13" s="723">
        <f>(SUMIFS('Alumina and Bauxite - Q&amp;V'!$E$8:$E$250,'Alumina and Bauxite - Q&amp;V'!$H$8:$H$250,LEFT('Q&amp;V FY 2003-04 to Now'!Q$7,4),'Alumina and Bauxite - Q&amp;V'!$I$8:$I$250,3)+
SUMIFS('Alumina and Bauxite - Q&amp;V'!$E$8:$E$250,'Alumina and Bauxite - Q&amp;V'!$H$8:$H$250,LEFT('Q&amp;V FY 2003-04 to Now'!Q$7,4),'Alumina and Bauxite - Q&amp;V'!$I$8:$I$250,4)+
SUMIFS('Alumina and Bauxite - Q&amp;V'!$E$8:$E$250,'Alumina and Bauxite - Q&amp;V'!$H$8:$H$250,CONCATENATE("20",RIGHT('Q&amp;V FY 2003-04 to Now'!Q$7,2)),'Alumina and Bauxite - Q&amp;V'!$I$8:$I$250,1)+
SUMIFS('Alumina and Bauxite - Q&amp;V'!$E$8:$E$250,'Alumina and Bauxite - Q&amp;V'!$H$8:$H$250,CONCATENATE("20",RIGHT('Q&amp;V FY 2003-04 to Now'!Q$7,2)),'Alumina and Bauxite - Q&amp;V'!$I$8:$I$250,2))*1000000</f>
        <v>0</v>
      </c>
      <c r="S13" s="723">
        <f>(SUMIFS('Alumina and Bauxite - Q&amp;V'!$D$8:$D$250,'Alumina and Bauxite - Q&amp;V'!$H$8:$H$250,LEFT('Q&amp;V FY 2003-04 to Now'!S$7:T$7,4),'Alumina and Bauxite - Q&amp;V'!$I$8:$I$250,3)+
SUMIFS('Alumina and Bauxite - Q&amp;V'!$D$8:$D$250,'Alumina and Bauxite - Q&amp;V'!$H$8:$H$250,LEFT('Q&amp;V FY 2003-04 to Now'!S$7:T$7,4),'Alumina and Bauxite - Q&amp;V'!$I$8:$I$250,4)+
SUMIFS('Alumina and Bauxite - Q&amp;V'!$D$8:$D$250,'Alumina and Bauxite - Q&amp;V'!$H$8:$H$250,CONCATENATE("20",RIGHT('Q&amp;V FY 2003-04 to Now'!S$7:T$7,2)),'Alumina and Bauxite - Q&amp;V'!$I$8:$I$250,1)+
SUMIFS('Alumina and Bauxite - Q&amp;V'!$D$8:$D$250,'Alumina and Bauxite - Q&amp;V'!$H$8:$H$250,CONCATENATE("20",RIGHT('Q&amp;V FY 2003-04 to Now'!S$7:T$7,2)),'Alumina and Bauxite - Q&amp;V'!$I$8:$I$250,2))*1000000</f>
        <v>0</v>
      </c>
      <c r="T13" s="723">
        <f>(SUMIFS('Alumina and Bauxite - Q&amp;V'!$E$8:$E$250,'Alumina and Bauxite - Q&amp;V'!$H$8:$H$250,LEFT('Q&amp;V FY 2003-04 to Now'!S$7,4),'Alumina and Bauxite - Q&amp;V'!$I$8:$I$250,3)+
SUMIFS('Alumina and Bauxite - Q&amp;V'!$E$8:$E$250,'Alumina and Bauxite - Q&amp;V'!$H$8:$H$250,LEFT('Q&amp;V FY 2003-04 to Now'!S$7,4),'Alumina and Bauxite - Q&amp;V'!$I$8:$I$250,4)+
SUMIFS('Alumina and Bauxite - Q&amp;V'!$E$8:$E$250,'Alumina and Bauxite - Q&amp;V'!$H$8:$H$250,CONCATENATE("20",RIGHT('Q&amp;V FY 2003-04 to Now'!S$7,2)),'Alumina and Bauxite - Q&amp;V'!$I$8:$I$250,1)+
SUMIFS('Alumina and Bauxite - Q&amp;V'!$E$8:$E$250,'Alumina and Bauxite - Q&amp;V'!$H$8:$H$250,CONCATENATE("20",RIGHT('Q&amp;V FY 2003-04 to Now'!S$7,2)),'Alumina and Bauxite - Q&amp;V'!$I$8:$I$250,2))*1000000</f>
        <v>0</v>
      </c>
      <c r="U13" s="723">
        <f>(SUMIFS('Alumina and Bauxite - Q&amp;V'!$D$8:$D$250,'Alumina and Bauxite - Q&amp;V'!$H$8:$H$250,LEFT('Q&amp;V FY 2003-04 to Now'!U$7:V$7,4),'Alumina and Bauxite - Q&amp;V'!$I$8:$I$250,3)+
SUMIFS('Alumina and Bauxite - Q&amp;V'!$D$8:$D$250,'Alumina and Bauxite - Q&amp;V'!$H$8:$H$250,LEFT('Q&amp;V FY 2003-04 to Now'!U$7:V$7,4),'Alumina and Bauxite - Q&amp;V'!$I$8:$I$250,4)+
SUMIFS('Alumina and Bauxite - Q&amp;V'!$D$8:$D$250,'Alumina and Bauxite - Q&amp;V'!$H$8:$H$250,CONCATENATE("20",RIGHT('Q&amp;V FY 2003-04 to Now'!U$7:V$7,2)),'Alumina and Bauxite - Q&amp;V'!$I$8:$I$250,1)+
SUMIFS('Alumina and Bauxite - Q&amp;V'!$D$8:$D$250,'Alumina and Bauxite - Q&amp;V'!$H$8:$H$250,CONCATENATE("20",RIGHT('Q&amp;V FY 2003-04 to Now'!U$7:V$7,2)),'Alumina and Bauxite - Q&amp;V'!$I$8:$I$250,2))*1000000</f>
        <v>0</v>
      </c>
      <c r="V13" s="723">
        <f>(SUMIFS('Alumina and Bauxite - Q&amp;V'!$E$8:$E$250,'Alumina and Bauxite - Q&amp;V'!$H$8:$H$250,LEFT('Q&amp;V FY 2003-04 to Now'!U$7,4),'Alumina and Bauxite - Q&amp;V'!$I$8:$I$250,3)+
SUMIFS('Alumina and Bauxite - Q&amp;V'!$E$8:$E$250,'Alumina and Bauxite - Q&amp;V'!$H$8:$H$250,LEFT('Q&amp;V FY 2003-04 to Now'!U$7,4),'Alumina and Bauxite - Q&amp;V'!$I$8:$I$250,4)+
SUMIFS('Alumina and Bauxite - Q&amp;V'!$E$8:$E$250,'Alumina and Bauxite - Q&amp;V'!$H$8:$H$250,CONCATENATE("20",RIGHT('Q&amp;V FY 2003-04 to Now'!U$7,2)),'Alumina and Bauxite - Q&amp;V'!$I$8:$I$250,1)+
SUMIFS('Alumina and Bauxite - Q&amp;V'!$E$8:$E$250,'Alumina and Bauxite - Q&amp;V'!$H$8:$H$250,CONCATENATE("20",RIGHT('Q&amp;V FY 2003-04 to Now'!U$7,2)),'Alumina and Bauxite - Q&amp;V'!$I$8:$I$250,2))*1000000</f>
        <v>0</v>
      </c>
      <c r="W13" s="723">
        <f>(SUMIFS('Alumina and Bauxite - Q&amp;V'!$D$8:$D$250,'Alumina and Bauxite - Q&amp;V'!$H$8:$H$250,LEFT('Q&amp;V FY 2003-04 to Now'!W$7:X$7,4),'Alumina and Bauxite - Q&amp;V'!$I$8:$I$250,3)+
SUMIFS('Alumina and Bauxite - Q&amp;V'!$D$8:$D$250,'Alumina and Bauxite - Q&amp;V'!$H$8:$H$250,LEFT('Q&amp;V FY 2003-04 to Now'!W$7:X$7,4),'Alumina and Bauxite - Q&amp;V'!$I$8:$I$250,4)+
SUMIFS('Alumina and Bauxite - Q&amp;V'!$D$8:$D$250,'Alumina and Bauxite - Q&amp;V'!$H$8:$H$250,CONCATENATE("20",RIGHT('Q&amp;V FY 2003-04 to Now'!W$7:X$7,2)),'Alumina and Bauxite - Q&amp;V'!$I$8:$I$250,1)+
SUMIFS('Alumina and Bauxite - Q&amp;V'!$D$8:$D$250,'Alumina and Bauxite - Q&amp;V'!$H$8:$H$250,CONCATENATE("20",RIGHT('Q&amp;V FY 2003-04 to Now'!W$7:X$7,2)),'Alumina and Bauxite - Q&amp;V'!$I$8:$I$250,2))*1000000</f>
        <v>0</v>
      </c>
      <c r="X13" s="723">
        <f>(SUMIFS('Alumina and Bauxite - Q&amp;V'!$E$8:$E$250,'Alumina and Bauxite - Q&amp;V'!$H$8:$H$250,LEFT('Q&amp;V FY 2003-04 to Now'!W$7,4),'Alumina and Bauxite - Q&amp;V'!$I$8:$I$250,3)+
SUMIFS('Alumina and Bauxite - Q&amp;V'!$E$8:$E$250,'Alumina and Bauxite - Q&amp;V'!$H$8:$H$250,LEFT('Q&amp;V FY 2003-04 to Now'!W$7,4),'Alumina and Bauxite - Q&amp;V'!$I$8:$I$250,4)+
SUMIFS('Alumina and Bauxite - Q&amp;V'!$E$8:$E$250,'Alumina and Bauxite - Q&amp;V'!$H$8:$H$250,CONCATENATE("20",RIGHT('Q&amp;V FY 2003-04 to Now'!W$7,2)),'Alumina and Bauxite - Q&amp;V'!$I$8:$I$250,1)+
SUMIFS('Alumina and Bauxite - Q&amp;V'!$E$8:$E$250,'Alumina and Bauxite - Q&amp;V'!$H$8:$H$250,CONCATENATE("20",RIGHT('Q&amp;V FY 2003-04 to Now'!W$7,2)),'Alumina and Bauxite - Q&amp;V'!$I$8:$I$250,2))*1000000</f>
        <v>0</v>
      </c>
      <c r="Y13" s="723">
        <f>(SUMIFS('Alumina and Bauxite - Q&amp;V'!$D$8:$D$250,'Alumina and Bauxite - Q&amp;V'!$H$8:$H$250,LEFT('Q&amp;V FY 2003-04 to Now'!Y$7:Z$7,4),'Alumina and Bauxite - Q&amp;V'!$I$8:$I$250,3)+
SUMIFS('Alumina and Bauxite - Q&amp;V'!$D$8:$D$250,'Alumina and Bauxite - Q&amp;V'!$H$8:$H$250,LEFT('Q&amp;V FY 2003-04 to Now'!Y$7:Z$7,4),'Alumina and Bauxite - Q&amp;V'!$I$8:$I$250,4)+
SUMIFS('Alumina and Bauxite - Q&amp;V'!$D$8:$D$250,'Alumina and Bauxite - Q&amp;V'!$H$8:$H$250,CONCATENATE("20",RIGHT('Q&amp;V FY 2003-04 to Now'!Y$7:Z$7,2)),'Alumina and Bauxite - Q&amp;V'!$I$8:$I$250,1)+
SUMIFS('Alumina and Bauxite - Q&amp;V'!$D$8:$D$250,'Alumina and Bauxite - Q&amp;V'!$H$8:$H$250,CONCATENATE("20",RIGHT('Q&amp;V FY 2003-04 to Now'!Y$7:Z$7,2)),'Alumina and Bauxite - Q&amp;V'!$I$8:$I$250,2))*1000000</f>
        <v>0</v>
      </c>
      <c r="Z13" s="723">
        <f>(SUMIFS('Alumina and Bauxite - Q&amp;V'!$E$8:$E$250,'Alumina and Bauxite - Q&amp;V'!$H$8:$H$250,LEFT('Q&amp;V FY 2003-04 to Now'!Y$7,4),'Alumina and Bauxite - Q&amp;V'!$I$8:$I$250,3)+
SUMIFS('Alumina and Bauxite - Q&amp;V'!$E$8:$E$250,'Alumina and Bauxite - Q&amp;V'!$H$8:$H$250,LEFT('Q&amp;V FY 2003-04 to Now'!Y$7,4),'Alumina and Bauxite - Q&amp;V'!$I$8:$I$250,4)+
SUMIFS('Alumina and Bauxite - Q&amp;V'!$E$8:$E$250,'Alumina and Bauxite - Q&amp;V'!$H$8:$H$250,CONCATENATE("20",RIGHT('Q&amp;V FY 2003-04 to Now'!Y$7,2)),'Alumina and Bauxite - Q&amp;V'!$I$8:$I$250,1)+
SUMIFS('Alumina and Bauxite - Q&amp;V'!$E$8:$E$250,'Alumina and Bauxite - Q&amp;V'!$H$8:$H$250,CONCATENATE("20",RIGHT('Q&amp;V FY 2003-04 to Now'!Y$7,2)),'Alumina and Bauxite - Q&amp;V'!$I$8:$I$250,2))*1000000</f>
        <v>0</v>
      </c>
      <c r="AA13" s="723">
        <f>(SUMIFS('Alumina and Bauxite - Q&amp;V'!$D$8:$D$250,'Alumina and Bauxite - Q&amp;V'!$H$8:$H$250,LEFT('Q&amp;V FY 2003-04 to Now'!AA$7:AB$7,4),'Alumina and Bauxite - Q&amp;V'!$I$8:$I$250,3)+
SUMIFS('Alumina and Bauxite - Q&amp;V'!$D$8:$D$250,'Alumina and Bauxite - Q&amp;V'!$H$8:$H$250,LEFT('Q&amp;V FY 2003-04 to Now'!AA$7:AB$7,4),'Alumina and Bauxite - Q&amp;V'!$I$8:$I$250,4)+
SUMIFS('Alumina and Bauxite - Q&amp;V'!$D$8:$D$250,'Alumina and Bauxite - Q&amp;V'!$H$8:$H$250,CONCATENATE("20",RIGHT('Q&amp;V FY 2003-04 to Now'!AA$7:AB$7,2)),'Alumina and Bauxite - Q&amp;V'!$I$8:$I$250,1)+
SUMIFS('Alumina and Bauxite - Q&amp;V'!$D$8:$D$250,'Alumina and Bauxite - Q&amp;V'!$H$8:$H$250,CONCATENATE("20",RIGHT('Q&amp;V FY 2003-04 to Now'!AA$7:AB$7,2)),'Alumina and Bauxite - Q&amp;V'!$I$8:$I$250,2))*1000000</f>
        <v>47702.999999999993</v>
      </c>
      <c r="AB13" s="723">
        <f>(SUMIFS('Alumina and Bauxite - Q&amp;V'!$E$8:$E$250,'Alumina and Bauxite - Q&amp;V'!$H$8:$H$250,LEFT('Q&amp;V FY 2003-04 to Now'!AA$7,4),'Alumina and Bauxite - Q&amp;V'!$I$8:$I$250,3)+
SUMIFS('Alumina and Bauxite - Q&amp;V'!$E$8:$E$250,'Alumina and Bauxite - Q&amp;V'!$H$8:$H$250,LEFT('Q&amp;V FY 2003-04 to Now'!AA$7,4),'Alumina and Bauxite - Q&amp;V'!$I$8:$I$250,4)+
SUMIFS('Alumina and Bauxite - Q&amp;V'!$E$8:$E$250,'Alumina and Bauxite - Q&amp;V'!$H$8:$H$250,CONCATENATE("20",RIGHT('Q&amp;V FY 2003-04 to Now'!AA$7,2)),'Alumina and Bauxite - Q&amp;V'!$I$8:$I$250,1)+
SUMIFS('Alumina and Bauxite - Q&amp;V'!$E$8:$E$250,'Alumina and Bauxite - Q&amp;V'!$H$8:$H$250,CONCATENATE("20",RIGHT('Q&amp;V FY 2003-04 to Now'!AA$7,2)),'Alumina and Bauxite - Q&amp;V'!$I$8:$I$250,2))*1000000</f>
        <v>1952600</v>
      </c>
      <c r="AC13" s="723">
        <f>(SUMIFS('Alumina and Bauxite - Q&amp;V'!$D$8:$D$250,'Alumina and Bauxite - Q&amp;V'!$H$8:$H$250,LEFT('Q&amp;V FY 2003-04 to Now'!AC$7:AD$7,4),'Alumina and Bauxite - Q&amp;V'!$I$8:$I$250,3)+
SUMIFS('Alumina and Bauxite - Q&amp;V'!$D$8:$D$250,'Alumina and Bauxite - Q&amp;V'!$H$8:$H$250,LEFT('Q&amp;V FY 2003-04 to Now'!AC$7:AD$7,4),'Alumina and Bauxite - Q&amp;V'!$I$8:$I$250,4)+
SUMIFS('Alumina and Bauxite - Q&amp;V'!$D$8:$D$250,'Alumina and Bauxite - Q&amp;V'!$H$8:$H$250,CONCATENATE("20",RIGHT('Q&amp;V FY 2003-04 to Now'!AC$7:AD$7,2)),'Alumina and Bauxite - Q&amp;V'!$I$8:$I$250,1)+
SUMIFS('Alumina and Bauxite - Q&amp;V'!$D$8:$D$250,'Alumina and Bauxite - Q&amp;V'!$H$8:$H$250,CONCATENATE("20",RIGHT('Q&amp;V FY 2003-04 to Now'!AC$7:AD$7,2)),'Alumina and Bauxite - Q&amp;V'!$I$8:$I$250,2))*1000000</f>
        <v>310340.53000000003</v>
      </c>
      <c r="AD13" s="723">
        <f>(SUMIFS('Alumina and Bauxite - Q&amp;V'!$E$8:$E$250,'Alumina and Bauxite - Q&amp;V'!$H$8:$H$250,LEFT('Q&amp;V FY 2003-04 to Now'!AC$7,4),'Alumina and Bauxite - Q&amp;V'!$I$8:$I$250,3)+
SUMIFS('Alumina and Bauxite - Q&amp;V'!$E$8:$E$250,'Alumina and Bauxite - Q&amp;V'!$H$8:$H$250,LEFT('Q&amp;V FY 2003-04 to Now'!AC$7,4),'Alumina and Bauxite - Q&amp;V'!$I$8:$I$250,4)+
SUMIFS('Alumina and Bauxite - Q&amp;V'!$E$8:$E$250,'Alumina and Bauxite - Q&amp;V'!$H$8:$H$250,CONCATENATE("20",RIGHT('Q&amp;V FY 2003-04 to Now'!AC$7,2)),'Alumina and Bauxite - Q&amp;V'!$I$8:$I$250,1)+
SUMIFS('Alumina and Bauxite - Q&amp;V'!$E$8:$E$250,'Alumina and Bauxite - Q&amp;V'!$H$8:$H$250,CONCATENATE("20",RIGHT('Q&amp;V FY 2003-04 to Now'!AC$7,2)),'Alumina and Bauxite - Q&amp;V'!$I$8:$I$250,2))*1000000</f>
        <v>14563469</v>
      </c>
      <c r="AE13" s="734">
        <f>(SUMIFS('Alumina and Bauxite - Q&amp;V'!$D$8:$D$250,'Alumina and Bauxite - Q&amp;V'!$H$8:$H$250,LEFT('Q&amp;V FY 2003-04 to Now'!AE$7:AF$7,4),'Alumina and Bauxite - Q&amp;V'!$I$8:$I$250,3)+
SUMIFS('Alumina and Bauxite - Q&amp;V'!$D$8:$D$250,'Alumina and Bauxite - Q&amp;V'!$H$8:$H$250,LEFT('Q&amp;V FY 2003-04 to Now'!AE$7:AF$7,4),'Alumina and Bauxite - Q&amp;V'!$I$8:$I$250,4)+
SUMIFS('Alumina and Bauxite - Q&amp;V'!$D$8:$D$250,'Alumina and Bauxite - Q&amp;V'!$H$8:$H$250,CONCATENATE("20",RIGHT('Q&amp;V FY 2003-04 to Now'!AE$7:AF$7,2)),'Alumina and Bauxite - Q&amp;V'!$I$8:$I$250,1)+
SUMIFS('Alumina and Bauxite - Q&amp;V'!$D$8:$D$250,'Alumina and Bauxite - Q&amp;V'!$H$8:$H$250,CONCATENATE("20",RIGHT('Q&amp;V FY 2003-04 to Now'!AE$7:AF$7,2)),'Alumina and Bauxite - Q&amp;V'!$I$8:$I$250,2))*1000000</f>
        <v>1117322.69</v>
      </c>
      <c r="AF13" s="723">
        <f>(SUMIFS('Alumina and Bauxite - Q&amp;V'!$E$8:$E$250,'Alumina and Bauxite - Q&amp;V'!$H$8:$H$250,LEFT('Q&amp;V FY 2003-04 to Now'!AE$7,4),'Alumina and Bauxite - Q&amp;V'!$I$8:$I$250,3)+
SUMIFS('Alumina and Bauxite - Q&amp;V'!$E$8:$E$250,'Alumina and Bauxite - Q&amp;V'!$H$8:$H$250,LEFT('Q&amp;V FY 2003-04 to Now'!AE$7,4),'Alumina and Bauxite - Q&amp;V'!$I$8:$I$250,4)+
SUMIFS('Alumina and Bauxite - Q&amp;V'!$E$8:$E$250,'Alumina and Bauxite - Q&amp;V'!$H$8:$H$250,CONCATENATE("20",RIGHT('Q&amp;V FY 2003-04 to Now'!AE$7,2)),'Alumina and Bauxite - Q&amp;V'!$I$8:$I$250,1)+
SUMIFS('Alumina and Bauxite - Q&amp;V'!$E$8:$E$250,'Alumina and Bauxite - Q&amp;V'!$H$8:$H$250,CONCATENATE("20",RIGHT('Q&amp;V FY 2003-04 to Now'!AE$7,2)),'Alumina and Bauxite - Q&amp;V'!$I$8:$I$250,2))*1000000</f>
        <v>46704951</v>
      </c>
      <c r="AG13" s="743">
        <f>(SUMIFS('Alumina and Bauxite - Q&amp;V'!$D$8:$D$250,'Alumina and Bauxite - Q&amp;V'!$H$8:$H$250,LEFT('Q&amp;V FY 2003-04 to Now'!AG$7:AH$7,4),'Alumina and Bauxite - Q&amp;V'!$I$8:$I$250,3)+
SUMIFS('Alumina and Bauxite - Q&amp;V'!$D$8:$D$250,'Alumina and Bauxite - Q&amp;V'!$H$8:$H$250,LEFT('Q&amp;V FY 2003-04 to Now'!AG$7:AH$7,4),'Alumina and Bauxite - Q&amp;V'!$I$8:$I$250,4)+
SUMIFS('Alumina and Bauxite - Q&amp;V'!$D$8:$D$250,'Alumina and Bauxite - Q&amp;V'!$H$8:$H$250,CONCATENATE("20",RIGHT('Q&amp;V FY 2003-04 to Now'!AG$7:AH$7,2)),'Alumina and Bauxite - Q&amp;V'!$I$8:$I$250,1)+
SUMIFS('Alumina and Bauxite - Q&amp;V'!$D$8:$D$250,'Alumina and Bauxite - Q&amp;V'!$H$8:$H$250,CONCATENATE("20",RIGHT('Q&amp;V FY 2003-04 to Now'!AG$7:AH$7,2)),'Alumina and Bauxite - Q&amp;V'!$I$8:$I$250,2))*1000000</f>
        <v>1784088.4499999997</v>
      </c>
      <c r="AH13" s="742">
        <f>(SUMIFS('Alumina and Bauxite - Q&amp;V'!$E$8:$E$250,'Alumina and Bauxite - Q&amp;V'!$H$8:$H$250,LEFT('Q&amp;V FY 2003-04 to Now'!AG$7,4),'Alumina and Bauxite - Q&amp;V'!$I$8:$I$250,3)+
SUMIFS('Alumina and Bauxite - Q&amp;V'!$E$8:$E$250,'Alumina and Bauxite - Q&amp;V'!$H$8:$H$250,LEFT('Q&amp;V FY 2003-04 to Now'!AG$7,4),'Alumina and Bauxite - Q&amp;V'!$I$8:$I$250,4)+
SUMIFS('Alumina and Bauxite - Q&amp;V'!$E$8:$E$250,'Alumina and Bauxite - Q&amp;V'!$H$8:$H$250,CONCATENATE("20",RIGHT('Q&amp;V FY 2003-04 to Now'!AG$7,2)),'Alumina and Bauxite - Q&amp;V'!$I$8:$I$250,1)+
SUMIFS('Alumina and Bauxite - Q&amp;V'!$E$8:$E$250,'Alumina and Bauxite - Q&amp;V'!$H$8:$H$250,CONCATENATE("20",RIGHT('Q&amp;V FY 2003-04 to Now'!AG$7,2)),'Alumina and Bauxite - Q&amp;V'!$I$8:$I$250,2))*1000000</f>
        <v>67576671</v>
      </c>
      <c r="AI13" s="742">
        <f>(SUMIFS('Alumina and Bauxite - Q&amp;V'!$D$8:$D$250,'Alumina and Bauxite - Q&amp;V'!$H$8:$H$250,LEFT('Q&amp;V FY 2003-04 to Now'!AI$7:AJ$7,4),'Alumina and Bauxite - Q&amp;V'!$I$8:$I$250,3)+
SUMIFS('Alumina and Bauxite - Q&amp;V'!$D$8:$D$250,'Alumina and Bauxite - Q&amp;V'!$H$8:$H$250,LEFT('Q&amp;V FY 2003-04 to Now'!AI$7:AJ$7,4),'Alumina and Bauxite - Q&amp;V'!$I$8:$I$250,4)+
SUMIFS('Alumina and Bauxite - Q&amp;V'!$D$8:$D$250,'Alumina and Bauxite - Q&amp;V'!$H$8:$H$250,CONCATENATE("20",RIGHT('Q&amp;V FY 2003-04 to Now'!AI$7:AJ$7,2)),'Alumina and Bauxite - Q&amp;V'!$I$8:$I$250,1)+
SUMIFS('Alumina and Bauxite - Q&amp;V'!$D$8:$D$250,'Alumina and Bauxite - Q&amp;V'!$H$8:$H$250,CONCATENATE("20",RIGHT('Q&amp;V FY 2003-04 to Now'!AI$7:AJ$7,2)),'Alumina and Bauxite - Q&amp;V'!$I$8:$I$250,2))*1000000</f>
        <v>1788843.2100000002</v>
      </c>
      <c r="AJ13" s="742">
        <f>(SUMIFS('Alumina and Bauxite - Q&amp;V'!$E$8:$E$250,'Alumina and Bauxite - Q&amp;V'!$H$8:$H$250,LEFT('Q&amp;V FY 2003-04 to Now'!AI$7,4),'Alumina and Bauxite - Q&amp;V'!$I$8:$I$250,3)+
SUMIFS('Alumina and Bauxite - Q&amp;V'!$E$8:$E$250,'Alumina and Bauxite - Q&amp;V'!$H$8:$H$250,LEFT('Q&amp;V FY 2003-04 to Now'!AI$7,4),'Alumina and Bauxite - Q&amp;V'!$I$8:$I$250,4)+
SUMIFS('Alumina and Bauxite - Q&amp;V'!$E$8:$E$250,'Alumina and Bauxite - Q&amp;V'!$H$8:$H$250,CONCATENATE("20",RIGHT('Q&amp;V FY 2003-04 to Now'!AI$7,2)),'Alumina and Bauxite - Q&amp;V'!$I$8:$I$250,1)+
SUMIFS('Alumina and Bauxite - Q&amp;V'!$E$8:$E$250,'Alumina and Bauxite - Q&amp;V'!$H$8:$H$250,CONCATENATE("20",RIGHT('Q&amp;V FY 2003-04 to Now'!AI$7,2)),'Alumina and Bauxite - Q&amp;V'!$I$8:$I$250,2))*1000000</f>
        <v>66830259.999999993</v>
      </c>
      <c r="AK13" s="742">
        <f>(SUMIFS('Alumina and Bauxite - Q&amp;V'!$D$8:$D$250,'Alumina and Bauxite - Q&amp;V'!$H$8:$H$250,LEFT('Q&amp;V FY 2003-04 to Now'!AK$7:AL$7,4),'Alumina and Bauxite - Q&amp;V'!$I$8:$I$250,3)+
SUMIFS('Alumina and Bauxite - Q&amp;V'!$D$8:$D$250,'Alumina and Bauxite - Q&amp;V'!$H$8:$H$250,LEFT('Q&amp;V FY 2003-04 to Now'!AK$7:AL$7,4),'Alumina and Bauxite - Q&amp;V'!$I$8:$I$250,4)+
SUMIFS('Alumina and Bauxite - Q&amp;V'!$D$8:$D$250,'Alumina and Bauxite - Q&amp;V'!$H$8:$H$250,CONCATENATE("20",RIGHT('Q&amp;V FY 2003-04 to Now'!AK$7:AL$7,2)),'Alumina and Bauxite - Q&amp;V'!$I$8:$I$250,1)+
SUMIFS('Alumina and Bauxite - Q&amp;V'!$D$8:$D$250,'Alumina and Bauxite - Q&amp;V'!$H$8:$H$250,CONCATENATE("20",RIGHT('Q&amp;V FY 2003-04 to Now'!AK$7:AL$7,2)),'Alumina and Bauxite - Q&amp;V'!$I$8:$I$250,2))*1000000</f>
        <v>1844089.79</v>
      </c>
      <c r="AL13" s="742">
        <f>(SUMIFS('Alumina and Bauxite - Q&amp;V'!$E$8:$E$250,'Alumina and Bauxite - Q&amp;V'!$H$8:$H$250,LEFT('Q&amp;V FY 2003-04 to Now'!AK$7,4),'Alumina and Bauxite - Q&amp;V'!$I$8:$I$250,3)+
SUMIFS('Alumina and Bauxite - Q&amp;V'!$E$8:$E$250,'Alumina and Bauxite - Q&amp;V'!$H$8:$H$250,LEFT('Q&amp;V FY 2003-04 to Now'!AK$7,4),'Alumina and Bauxite - Q&amp;V'!$I$8:$I$250,4)+
SUMIFS('Alumina and Bauxite - Q&amp;V'!$E$8:$E$250,'Alumina and Bauxite - Q&amp;V'!$H$8:$H$250,CONCATENATE("20",RIGHT('Q&amp;V FY 2003-04 to Now'!AK$7,2)),'Alumina and Bauxite - Q&amp;V'!$I$8:$I$250,1)+
SUMIFS('Alumina and Bauxite - Q&amp;V'!$E$8:$E$250,'Alumina and Bauxite - Q&amp;V'!$H$8:$H$250,CONCATENATE("20",RIGHT('Q&amp;V FY 2003-04 to Now'!AK$7,2)),'Alumina and Bauxite - Q&amp;V'!$I$8:$I$250,2))*1000000</f>
        <v>58801820.999999993</v>
      </c>
      <c r="AM13" s="742">
        <f>(SUMIFS('Alumina and Bauxite - Q&amp;V'!$D$8:$D$250,'Alumina and Bauxite - Q&amp;V'!$H$8:$H$250,LEFT('Q&amp;V FY 2003-04 to Now'!AM$7:AN$7,4),'Alumina and Bauxite - Q&amp;V'!$I$8:$I$250,3)+
SUMIFS('Alumina and Bauxite - Q&amp;V'!$D$8:$D$250,'Alumina and Bauxite - Q&amp;V'!$H$8:$H$250,LEFT('Q&amp;V FY 2003-04 to Now'!AM$7:AN$7,4),'Alumina and Bauxite - Q&amp;V'!$I$8:$I$250,4)+
SUMIFS('Alumina and Bauxite - Q&amp;V'!$D$8:$D$250,'Alumina and Bauxite - Q&amp;V'!$H$8:$H$250,CONCATENATE("20",RIGHT('Q&amp;V FY 2003-04 to Now'!AM$7:AN$7,2)),'Alumina and Bauxite - Q&amp;V'!$I$8:$I$250,1)+
SUMIFS('Alumina and Bauxite - Q&amp;V'!$D$8:$D$250,'Alumina and Bauxite - Q&amp;V'!$H$8:$H$250,CONCATENATE("20",RIGHT('Q&amp;V FY 2003-04 to Now'!AM$7:AN$7,2)),'Alumina and Bauxite - Q&amp;V'!$I$8:$I$250,2))*1000000</f>
        <v>397970.22</v>
      </c>
      <c r="AN13" s="742">
        <f>(SUMIFS('Alumina and Bauxite - Q&amp;V'!$E$8:$E$250,'Alumina and Bauxite - Q&amp;V'!$H$8:$H$250,LEFT('Q&amp;V FY 2003-04 to Now'!AM$7,4),'Alumina and Bauxite - Q&amp;V'!$I$8:$I$250,3)+
SUMIFS('Alumina and Bauxite - Q&amp;V'!$E$8:$E$250,'Alumina and Bauxite - Q&amp;V'!$H$8:$H$250,LEFT('Q&amp;V FY 2003-04 to Now'!AM$7,4),'Alumina and Bauxite - Q&amp;V'!$I$8:$I$250,4)+
SUMIFS('Alumina and Bauxite - Q&amp;V'!$E$8:$E$250,'Alumina and Bauxite - Q&amp;V'!$H$8:$H$250,CONCATENATE("20",RIGHT('Q&amp;V FY 2003-04 to Now'!AM$7,2)),'Alumina and Bauxite - Q&amp;V'!$I$8:$I$250,1)+
SUMIFS('Alumina and Bauxite - Q&amp;V'!$E$8:$E$250,'Alumina and Bauxite - Q&amp;V'!$H$8:$H$250,CONCATENATE("20",RIGHT('Q&amp;V FY 2003-04 to Now'!AM$7,2)),'Alumina and Bauxite - Q&amp;V'!$I$8:$I$250,2))*1000000</f>
        <v>13530238.999999998</v>
      </c>
      <c r="AO13" s="742">
        <f>(SUMIFS('Alumina and Bauxite - Q&amp;V'!$D$8:$D$250,'Alumina and Bauxite - Q&amp;V'!$H$8:$H$250,LEFT('Q&amp;V FY 2003-04 to Now'!AO$7:AP$7,4),'Alumina and Bauxite - Q&amp;V'!$I$8:$I$250,3)+
SUMIFS('Alumina and Bauxite - Q&amp;V'!$D$8:$D$250,'Alumina and Bauxite - Q&amp;V'!$H$8:$H$250,LEFT('Q&amp;V FY 2003-04 to Now'!AO$7:AP$7,4),'Alumina and Bauxite - Q&amp;V'!$I$8:$I$250,4)+
SUMIFS('Alumina and Bauxite - Q&amp;V'!$D$8:$D$250,'Alumina and Bauxite - Q&amp;V'!$H$8:$H$250,CONCATENATE("20",RIGHT('Q&amp;V FY 2003-04 to Now'!AO$7:AP$7,2)),'Alumina and Bauxite - Q&amp;V'!$I$8:$I$250,1)+
SUMIFS('Alumina and Bauxite - Q&amp;V'!$D$8:$D$250,'Alumina and Bauxite - Q&amp;V'!$H$8:$H$250,CONCATENATE("20",RIGHT('Q&amp;V FY 2003-04 to Now'!AO$7:AP$7,2)),'Alumina and Bauxite - Q&amp;V'!$I$8:$I$250,2))*1000000</f>
        <v>0</v>
      </c>
      <c r="AP13" s="742">
        <f>(SUMIFS('Alumina and Bauxite - Q&amp;V'!$E$8:$E$250,'Alumina and Bauxite - Q&amp;V'!$H$8:$H$250,LEFT('Q&amp;V FY 2003-04 to Now'!AO$7,4),'Alumina and Bauxite - Q&amp;V'!$I$8:$I$250,3)+
SUMIFS('Alumina and Bauxite - Q&amp;V'!$E$8:$E$250,'Alumina and Bauxite - Q&amp;V'!$H$8:$H$250,LEFT('Q&amp;V FY 2003-04 to Now'!AO$7,4),'Alumina and Bauxite - Q&amp;V'!$I$8:$I$250,4)+
SUMIFS('Alumina and Bauxite - Q&amp;V'!$E$8:$E$250,'Alumina and Bauxite - Q&amp;V'!$H$8:$H$250,CONCATENATE("20",RIGHT('Q&amp;V FY 2003-04 to Now'!AO$7,2)),'Alumina and Bauxite - Q&amp;V'!$I$8:$I$250,1)+
SUMIFS('Alumina and Bauxite - Q&amp;V'!$E$8:$E$250,'Alumina and Bauxite - Q&amp;V'!$H$8:$H$250,CONCATENATE("20",RIGHT('Q&amp;V FY 2003-04 to Now'!AO$7,2)),'Alumina and Bauxite - Q&amp;V'!$I$8:$I$250,2))*1000000</f>
        <v>0</v>
      </c>
      <c r="AQ13" s="734">
        <f>SUMIF($C$9:AP$9,1,$C13:AP13)</f>
        <v>7290357.8899999997</v>
      </c>
      <c r="AR13" s="723">
        <f>IF(COUNTIF($C13:AP13, "nfp")=0, SUMIF($C$9:AP$9,0,$C13:AP13), "nfp")</f>
        <v>269960011</v>
      </c>
      <c r="AS13" s="405"/>
      <c r="AT13" s="317"/>
      <c r="AU13" s="317"/>
      <c r="AV13" s="381"/>
      <c r="AW13" s="381"/>
    </row>
    <row r="14" spans="1:49" s="349" customFormat="1">
      <c r="A14" s="264" t="s">
        <v>418</v>
      </c>
      <c r="B14" s="248"/>
      <c r="C14" s="735"/>
      <c r="D14" s="735">
        <f t="shared" ref="D14:AJ14" si="37">SUM(D12:D13)</f>
        <v>3085110024.75</v>
      </c>
      <c r="E14" s="735"/>
      <c r="F14" s="735">
        <f t="shared" si="37"/>
        <v>3430690094.5099998</v>
      </c>
      <c r="G14" s="735"/>
      <c r="H14" s="735">
        <f t="shared" si="37"/>
        <v>4152943630.5500002</v>
      </c>
      <c r="I14" s="735"/>
      <c r="J14" s="735">
        <f t="shared" si="37"/>
        <v>5151288982.46</v>
      </c>
      <c r="K14" s="735"/>
      <c r="L14" s="735">
        <f t="shared" si="37"/>
        <v>4838417453.5100002</v>
      </c>
      <c r="M14" s="735"/>
      <c r="N14" s="735">
        <f t="shared" si="37"/>
        <v>4352643950.3800001</v>
      </c>
      <c r="O14" s="735"/>
      <c r="P14" s="735">
        <f t="shared" si="37"/>
        <v>3871191801.6600003</v>
      </c>
      <c r="Q14" s="735"/>
      <c r="R14" s="735">
        <f t="shared" si="37"/>
        <v>3990376375.1500001</v>
      </c>
      <c r="S14" s="735"/>
      <c r="T14" s="735">
        <f t="shared" si="37"/>
        <v>4010219381.579999</v>
      </c>
      <c r="U14" s="735"/>
      <c r="V14" s="735">
        <f t="shared" si="37"/>
        <v>4027810216.7199993</v>
      </c>
      <c r="W14" s="735"/>
      <c r="X14" s="735">
        <f t="shared" si="37"/>
        <v>4295348699</v>
      </c>
      <c r="Y14" s="735"/>
      <c r="Z14" s="735">
        <f t="shared" si="37"/>
        <v>5022721218</v>
      </c>
      <c r="AA14" s="735"/>
      <c r="AB14" s="735">
        <f t="shared" si="37"/>
        <v>4932703763</v>
      </c>
      <c r="AC14" s="735"/>
      <c r="AD14" s="735">
        <f t="shared" si="37"/>
        <v>5088340920</v>
      </c>
      <c r="AE14" s="735"/>
      <c r="AF14" s="735">
        <f t="shared" si="37"/>
        <v>6643480648</v>
      </c>
      <c r="AG14" s="743"/>
      <c r="AH14" s="742">
        <f t="shared" si="37"/>
        <v>8279440428.999999</v>
      </c>
      <c r="AI14" s="742"/>
      <c r="AJ14" s="742">
        <f t="shared" si="37"/>
        <v>6418600202.999999</v>
      </c>
      <c r="AK14" s="742"/>
      <c r="AL14" s="742">
        <f t="shared" ref="AL14" si="38">SUM(AL12:AL13)</f>
        <v>5568716044.999999</v>
      </c>
      <c r="AM14" s="742"/>
      <c r="AN14" s="742">
        <f t="shared" ref="AN14" si="39">SUM(AN12:AN13)</f>
        <v>6710439032</v>
      </c>
      <c r="AO14" s="742"/>
      <c r="AP14" s="742">
        <f t="shared" ref="AP14" si="40">SUM(AP12:AP13)</f>
        <v>6683862317.999999</v>
      </c>
      <c r="AQ14" s="734"/>
      <c r="AR14" s="723">
        <f>IF(COUNTIF($C14:AP14, "nfp")=0, SUMIF($C$9:AP$9,0,$C14:AP14), "nfp")</f>
        <v>100554345186.27</v>
      </c>
      <c r="AS14" s="405"/>
      <c r="AT14" s="317"/>
      <c r="AU14" s="317"/>
      <c r="AV14" s="381"/>
      <c r="AW14" s="381"/>
    </row>
    <row r="15" spans="1:49">
      <c r="A15" s="249"/>
      <c r="B15" s="249"/>
      <c r="C15" s="668"/>
      <c r="D15" s="668"/>
      <c r="E15" s="668"/>
      <c r="F15" s="668"/>
      <c r="G15" s="668"/>
      <c r="H15" s="668"/>
      <c r="I15" s="668"/>
      <c r="J15" s="668"/>
      <c r="K15" s="668"/>
      <c r="L15" s="668"/>
      <c r="M15" s="668"/>
      <c r="N15" s="668"/>
      <c r="O15" s="668"/>
      <c r="P15" s="668"/>
      <c r="Q15" s="668"/>
      <c r="R15" s="668"/>
      <c r="S15" s="668"/>
      <c r="T15" s="668"/>
      <c r="U15" s="668"/>
      <c r="V15" s="668"/>
      <c r="W15" s="668"/>
      <c r="X15" s="668"/>
      <c r="Y15" s="668"/>
      <c r="Z15" s="668"/>
      <c r="AA15" s="668"/>
      <c r="AB15" s="668"/>
      <c r="AC15" s="668"/>
      <c r="AD15" s="668"/>
      <c r="AE15" s="736"/>
      <c r="AF15" s="668"/>
      <c r="AG15" s="736"/>
      <c r="AH15" s="910"/>
      <c r="AI15" s="1352"/>
      <c r="AJ15" s="910"/>
      <c r="AK15" s="910"/>
      <c r="AL15" s="910"/>
      <c r="AM15" s="910"/>
      <c r="AN15" s="910"/>
      <c r="AO15" s="910"/>
      <c r="AP15" s="910"/>
      <c r="AQ15" s="734"/>
      <c r="AR15" s="723"/>
      <c r="AT15" s="317"/>
      <c r="AU15" s="317"/>
      <c r="AV15" s="381"/>
      <c r="AW15" s="381"/>
    </row>
    <row r="16" spans="1:49">
      <c r="A16" s="261" t="s">
        <v>493</v>
      </c>
      <c r="B16" s="161"/>
      <c r="C16" s="737"/>
      <c r="D16" s="738"/>
      <c r="E16" s="737"/>
      <c r="F16" s="738"/>
      <c r="G16" s="737"/>
      <c r="H16" s="738"/>
      <c r="I16" s="737"/>
      <c r="J16" s="738"/>
      <c r="K16" s="737"/>
      <c r="L16" s="738"/>
      <c r="M16" s="737"/>
      <c r="N16" s="738"/>
      <c r="O16" s="737"/>
      <c r="P16" s="738"/>
      <c r="Q16" s="737"/>
      <c r="R16" s="738"/>
      <c r="S16" s="737"/>
      <c r="T16" s="738"/>
      <c r="U16" s="737"/>
      <c r="V16" s="738"/>
      <c r="W16" s="737"/>
      <c r="X16" s="738"/>
      <c r="Y16" s="737"/>
      <c r="Z16" s="738"/>
      <c r="AA16" s="737"/>
      <c r="AB16" s="738"/>
      <c r="AC16" s="738"/>
      <c r="AD16" s="738"/>
      <c r="AE16" s="739"/>
      <c r="AF16" s="738"/>
      <c r="AG16" s="929"/>
      <c r="AH16" s="737"/>
      <c r="AI16" s="739"/>
      <c r="AJ16" s="737"/>
      <c r="AK16" s="737"/>
      <c r="AL16" s="737"/>
      <c r="AM16" s="737"/>
      <c r="AN16" s="737"/>
      <c r="AO16" s="737"/>
      <c r="AP16" s="737"/>
      <c r="AQ16" s="933"/>
      <c r="AR16" s="214"/>
      <c r="AT16" s="317"/>
      <c r="AU16" s="317"/>
      <c r="AV16" s="381"/>
      <c r="AW16" s="381"/>
    </row>
    <row r="17" spans="1:49">
      <c r="A17" s="262" t="s">
        <v>213</v>
      </c>
      <c r="B17" s="127" t="s">
        <v>67</v>
      </c>
      <c r="C17" s="183">
        <f>(SUMIFS('Copper-Lead-Zinc - Q&amp;V'!$B$8:$B$250,'Copper-Lead-Zinc - Q&amp;V'!$H$8:$H$250,LEFT('Q&amp;V FY 2003-04 to Now'!C$7,4),'Copper-Lead-Zinc - Q&amp;V'!$I$8:$I$250,3)+
SUMIFS('Copper-Lead-Zinc - Q&amp;V'!$B$8:$B$250,'Copper-Lead-Zinc - Q&amp;V'!$H$8:$H$250,LEFT('Q&amp;V FY 2003-04 to Now'!C$7:D$7,4),'Copper-Lead-Zinc - Q&amp;V'!$I$8:$I$250,4)+
SUMIFS('Copper-Lead-Zinc - Q&amp;V'!$B$8:$B$250,'Copper-Lead-Zinc - Q&amp;V'!$H$8:$H$250,CONCATENATE("20",RIGHT('Q&amp;V FY 2003-04 to Now'!C$7,2)),'Copper-Lead-Zinc - Q&amp;V'!$I$8:$I$250,1)+
SUMIFS('Copper-Lead-Zinc - Q&amp;V'!$B$8:$B$250,'Copper-Lead-Zinc - Q&amp;V'!$H$8:$H$250,CONCATENATE("20",RIGHT('Q&amp;V FY 2003-04 to Now'!C$7,2)),'Copper-Lead-Zinc - Q&amp;V'!$I$8:$I$250,2))*1000</f>
        <v>54944.894000000008</v>
      </c>
      <c r="D17" s="183">
        <f>(SUMIFS('Copper-Lead-Zinc - Q&amp;V'!$C$8:$C$250,'Copper-Lead-Zinc - Q&amp;V'!$H$8:$H$250,LEFT('Q&amp;V FY 2003-04 to Now'!C$7,4),'Copper-Lead-Zinc - Q&amp;V'!$I$8:$I$250,3)+
SUMIFS('Copper-Lead-Zinc - Q&amp;V'!$C$8:$C$250,'Copper-Lead-Zinc - Q&amp;V'!$H$8:$H$250,LEFT('Q&amp;V FY 2003-04 to Now'!C$7,4),'Copper-Lead-Zinc - Q&amp;V'!$I$8:$I$250,4)+
SUMIFS('Copper-Lead-Zinc - Q&amp;V'!$C$8:$C$250,'Copper-Lead-Zinc - Q&amp;V'!$H$8:$H$250,CONCATENATE("20",RIGHT('Q&amp;V FY 2003-04 to Now'!C$7,2)),'Copper-Lead-Zinc - Q&amp;V'!$I$8:$I$250,1)+
SUMIFS('Copper-Lead-Zinc - Q&amp;V'!$C$8:$C$250,'Copper-Lead-Zinc - Q&amp;V'!$H$8:$H$250,CONCATENATE("20",RIGHT('Q&amp;V FY 2003-04 to Now'!C$7,2)),'Copper-Lead-Zinc - Q&amp;V'!$I$8:$I$250,2))*1000000</f>
        <v>166922499.05000001</v>
      </c>
      <c r="E17" s="183">
        <f>(SUMIFS('Copper-Lead-Zinc - Q&amp;V'!$B$8:$B$250,'Copper-Lead-Zinc - Q&amp;V'!$H$8:$H$250,LEFT('Q&amp;V FY 2003-04 to Now'!E$7,4),'Copper-Lead-Zinc - Q&amp;V'!$I$8:$I$250,3)+
SUMIFS('Copper-Lead-Zinc - Q&amp;V'!$B$8:$B$250,'Copper-Lead-Zinc - Q&amp;V'!$H$8:$H$250,LEFT('Q&amp;V FY 2003-04 to Now'!E$7:F$7,4),'Copper-Lead-Zinc - Q&amp;V'!$I$8:$I$250,4)+
SUMIFS('Copper-Lead-Zinc - Q&amp;V'!$B$8:$B$250,'Copper-Lead-Zinc - Q&amp;V'!$H$8:$H$250,CONCATENATE("20",RIGHT('Q&amp;V FY 2003-04 to Now'!E$7,2)),'Copper-Lead-Zinc - Q&amp;V'!$I$8:$I$250,1)+
SUMIFS('Copper-Lead-Zinc - Q&amp;V'!$B$8:$B$250,'Copper-Lead-Zinc - Q&amp;V'!$H$8:$H$250,CONCATENATE("20",RIGHT('Q&amp;V FY 2003-04 to Now'!E$7,2)),'Copper-Lead-Zinc - Q&amp;V'!$I$8:$I$250,2))*1000</f>
        <v>60710.827000000005</v>
      </c>
      <c r="F17" s="183">
        <f>(SUMIFS('Copper-Lead-Zinc - Q&amp;V'!$C$8:$C$250,'Copper-Lead-Zinc - Q&amp;V'!$H$8:$H$250,LEFT('Q&amp;V FY 2003-04 to Now'!E$7,4),'Copper-Lead-Zinc - Q&amp;V'!$I$8:$I$250,3)+
SUMIFS('Copper-Lead-Zinc - Q&amp;V'!$C$8:$C$250,'Copper-Lead-Zinc - Q&amp;V'!$H$8:$H$250,LEFT('Q&amp;V FY 2003-04 to Now'!E$7,4),'Copper-Lead-Zinc - Q&amp;V'!$I$8:$I$250,4)+
SUMIFS('Copper-Lead-Zinc - Q&amp;V'!$C$8:$C$250,'Copper-Lead-Zinc - Q&amp;V'!$H$8:$H$250,CONCATENATE("20",RIGHT('Q&amp;V FY 2003-04 to Now'!E$7,2)),'Copper-Lead-Zinc - Q&amp;V'!$I$8:$I$250,1)+
SUMIFS('Copper-Lead-Zinc - Q&amp;V'!$C$8:$C$250,'Copper-Lead-Zinc - Q&amp;V'!$H$8:$H$250,CONCATENATE("20",RIGHT('Q&amp;V FY 2003-04 to Now'!E$7,2)),'Copper-Lead-Zinc - Q&amp;V'!$I$8:$I$250,2))*1000000</f>
        <v>267678966.38999999</v>
      </c>
      <c r="G17" s="183">
        <f>(SUMIFS('Copper-Lead-Zinc - Q&amp;V'!$B$8:$B$250,'Copper-Lead-Zinc - Q&amp;V'!$H$8:$H$250,LEFT('Q&amp;V FY 2003-04 to Now'!G$7,4),'Copper-Lead-Zinc - Q&amp;V'!$I$8:$I$250,3)+
SUMIFS('Copper-Lead-Zinc - Q&amp;V'!$B$8:$B$250,'Copper-Lead-Zinc - Q&amp;V'!$H$8:$H$250,LEFT('Q&amp;V FY 2003-04 to Now'!G$7:H$7,4),'Copper-Lead-Zinc - Q&amp;V'!$I$8:$I$250,4)+
SUMIFS('Copper-Lead-Zinc - Q&amp;V'!$B$8:$B$250,'Copper-Lead-Zinc - Q&amp;V'!$H$8:$H$250,CONCATENATE("20",RIGHT('Q&amp;V FY 2003-04 to Now'!G$7,2)),'Copper-Lead-Zinc - Q&amp;V'!$I$8:$I$250,1)+
SUMIFS('Copper-Lead-Zinc - Q&amp;V'!$B$8:$B$250,'Copper-Lead-Zinc - Q&amp;V'!$H$8:$H$250,CONCATENATE("20",RIGHT('Q&amp;V FY 2003-04 to Now'!G$7,2)),'Copper-Lead-Zinc - Q&amp;V'!$I$8:$I$250,2))*1000</f>
        <v>84673.21699999999</v>
      </c>
      <c r="H17" s="183">
        <f>(SUMIFS('Copper-Lead-Zinc - Q&amp;V'!$C$8:$C$250,'Copper-Lead-Zinc - Q&amp;V'!$H$8:$H$250,LEFT('Q&amp;V FY 2003-04 to Now'!G$7,4),'Copper-Lead-Zinc - Q&amp;V'!$I$8:$I$250,3)+
SUMIFS('Copper-Lead-Zinc - Q&amp;V'!$C$8:$C$250,'Copper-Lead-Zinc - Q&amp;V'!$H$8:$H$250,LEFT('Q&amp;V FY 2003-04 to Now'!G$7,4),'Copper-Lead-Zinc - Q&amp;V'!$I$8:$I$250,4)+
SUMIFS('Copper-Lead-Zinc - Q&amp;V'!$C$8:$C$250,'Copper-Lead-Zinc - Q&amp;V'!$H$8:$H$250,CONCATENATE("20",RIGHT('Q&amp;V FY 2003-04 to Now'!G$7,2)),'Copper-Lead-Zinc - Q&amp;V'!$I$8:$I$250,1)+
SUMIFS('Copper-Lead-Zinc - Q&amp;V'!$C$8:$C$250,'Copper-Lead-Zinc - Q&amp;V'!$H$8:$H$250,CONCATENATE("20",RIGHT('Q&amp;V FY 2003-04 to Now'!G$7,2)),'Copper-Lead-Zinc - Q&amp;V'!$I$8:$I$250,2))*1000000</f>
        <v>611113709.88999999</v>
      </c>
      <c r="I17" s="183">
        <f>(SUMIFS('Copper-Lead-Zinc - Q&amp;V'!$B$8:$B$250,'Copper-Lead-Zinc - Q&amp;V'!$H$8:$H$250,LEFT('Q&amp;V FY 2003-04 to Now'!I$7,4),'Copper-Lead-Zinc - Q&amp;V'!$I$8:$I$250,3)+
SUMIFS('Copper-Lead-Zinc - Q&amp;V'!$B$8:$B$250,'Copper-Lead-Zinc - Q&amp;V'!$H$8:$H$250,LEFT('Q&amp;V FY 2003-04 to Now'!I$7:J$7,4),'Copper-Lead-Zinc - Q&amp;V'!$I$8:$I$250,4)+
SUMIFS('Copper-Lead-Zinc - Q&amp;V'!$B$8:$B$250,'Copper-Lead-Zinc - Q&amp;V'!$H$8:$H$250,CONCATENATE("20",RIGHT('Q&amp;V FY 2003-04 to Now'!I$7,2)),'Copper-Lead-Zinc - Q&amp;V'!$I$8:$I$250,1)+
SUMIFS('Copper-Lead-Zinc - Q&amp;V'!$B$8:$B$250,'Copper-Lead-Zinc - Q&amp;V'!$H$8:$H$250,CONCATENATE("20",RIGHT('Q&amp;V FY 2003-04 to Now'!I$7,2)),'Copper-Lead-Zinc - Q&amp;V'!$I$8:$I$250,2))*1000</f>
        <v>108677.836</v>
      </c>
      <c r="J17" s="183">
        <f>(SUMIFS('Copper-Lead-Zinc - Q&amp;V'!$C$8:$C$250,'Copper-Lead-Zinc - Q&amp;V'!$H$8:$H$250,LEFT('Q&amp;V FY 2003-04 to Now'!I$7,4),'Copper-Lead-Zinc - Q&amp;V'!$I$8:$I$250,3)+
SUMIFS('Copper-Lead-Zinc - Q&amp;V'!$C$8:$C$250,'Copper-Lead-Zinc - Q&amp;V'!$H$8:$H$250,LEFT('Q&amp;V FY 2003-04 to Now'!I$7,4),'Copper-Lead-Zinc - Q&amp;V'!$I$8:$I$250,4)+
SUMIFS('Copper-Lead-Zinc - Q&amp;V'!$C$8:$C$250,'Copper-Lead-Zinc - Q&amp;V'!$H$8:$H$250,CONCATENATE("20",RIGHT('Q&amp;V FY 2003-04 to Now'!I$7,2)),'Copper-Lead-Zinc - Q&amp;V'!$I$8:$I$250,1)+
SUMIFS('Copper-Lead-Zinc - Q&amp;V'!$C$8:$C$250,'Copper-Lead-Zinc - Q&amp;V'!$H$8:$H$250,CONCATENATE("20",RIGHT('Q&amp;V FY 2003-04 to Now'!I$7,2)),'Copper-Lead-Zinc - Q&amp;V'!$I$8:$I$250,2))*1000000</f>
        <v>951656715.81999993</v>
      </c>
      <c r="K17" s="183">
        <f>(SUMIFS('Copper-Lead-Zinc - Q&amp;V'!$B$8:$B$250,'Copper-Lead-Zinc - Q&amp;V'!$H$8:$H$250,LEFT('Q&amp;V FY 2003-04 to Now'!K$7,4),'Copper-Lead-Zinc - Q&amp;V'!$I$8:$I$250,3)+
SUMIFS('Copper-Lead-Zinc - Q&amp;V'!$B$8:$B$250,'Copper-Lead-Zinc - Q&amp;V'!$H$8:$H$250,LEFT('Q&amp;V FY 2003-04 to Now'!K$7:L$7,4),'Copper-Lead-Zinc - Q&amp;V'!$I$8:$I$250,4)+
SUMIFS('Copper-Lead-Zinc - Q&amp;V'!$B$8:$B$250,'Copper-Lead-Zinc - Q&amp;V'!$H$8:$H$250,CONCATENATE("20",RIGHT('Q&amp;V FY 2003-04 to Now'!K$7,2)),'Copper-Lead-Zinc - Q&amp;V'!$I$8:$I$250,1)+
SUMIFS('Copper-Lead-Zinc - Q&amp;V'!$B$8:$B$250,'Copper-Lead-Zinc - Q&amp;V'!$H$8:$H$250,CONCATENATE("20",RIGHT('Q&amp;V FY 2003-04 to Now'!K$7,2)),'Copper-Lead-Zinc - Q&amp;V'!$I$8:$I$250,2))*1000</f>
        <v>123361.59</v>
      </c>
      <c r="L17" s="183">
        <f>(SUMIFS('Copper-Lead-Zinc - Q&amp;V'!$C$8:$C$250,'Copper-Lead-Zinc - Q&amp;V'!$H$8:$H$250,LEFT('Q&amp;V FY 2003-04 to Now'!K$7,4),'Copper-Lead-Zinc - Q&amp;V'!$I$8:$I$250,3)+
SUMIFS('Copper-Lead-Zinc - Q&amp;V'!$C$8:$C$250,'Copper-Lead-Zinc - Q&amp;V'!$H$8:$H$250,LEFT('Q&amp;V FY 2003-04 to Now'!K$7,4),'Copper-Lead-Zinc - Q&amp;V'!$I$8:$I$250,4)+
SUMIFS('Copper-Lead-Zinc - Q&amp;V'!$C$8:$C$250,'Copper-Lead-Zinc - Q&amp;V'!$H$8:$H$250,CONCATENATE("20",RIGHT('Q&amp;V FY 2003-04 to Now'!K$7,2)),'Copper-Lead-Zinc - Q&amp;V'!$I$8:$I$250,1)+
SUMIFS('Copper-Lead-Zinc - Q&amp;V'!$C$8:$C$250,'Copper-Lead-Zinc - Q&amp;V'!$H$8:$H$250,CONCATENATE("20",RIGHT('Q&amp;V FY 2003-04 to Now'!K$7,2)),'Copper-Lead-Zinc - Q&amp;V'!$I$8:$I$250,2))*1000000</f>
        <v>1031135089.14</v>
      </c>
      <c r="M17" s="183">
        <f>(SUMIFS('Copper-Lead-Zinc - Q&amp;V'!$B$8:$B$250,'Copper-Lead-Zinc - Q&amp;V'!$H$8:$H$250,LEFT('Q&amp;V FY 2003-04 to Now'!M$7,4),'Copper-Lead-Zinc - Q&amp;V'!$I$8:$I$250,3)+
SUMIFS('Copper-Lead-Zinc - Q&amp;V'!$B$8:$B$250,'Copper-Lead-Zinc - Q&amp;V'!$H$8:$H$250,LEFT('Q&amp;V FY 2003-04 to Now'!M$7:N$7,4),'Copper-Lead-Zinc - Q&amp;V'!$I$8:$I$250,4)+
SUMIFS('Copper-Lead-Zinc - Q&amp;V'!$B$8:$B$250,'Copper-Lead-Zinc - Q&amp;V'!$H$8:$H$250,CONCATENATE("20",RIGHT('Q&amp;V FY 2003-04 to Now'!M$7,2)),'Copper-Lead-Zinc - Q&amp;V'!$I$8:$I$250,1)+
SUMIFS('Copper-Lead-Zinc - Q&amp;V'!$B$8:$B$250,'Copper-Lead-Zinc - Q&amp;V'!$H$8:$H$250,CONCATENATE("20",RIGHT('Q&amp;V FY 2003-04 to Now'!M$7,2)),'Copper-Lead-Zinc - Q&amp;V'!$I$8:$I$250,2))*1000</f>
        <v>128232.43400000001</v>
      </c>
      <c r="N17" s="183">
        <f>(SUMIFS('Copper-Lead-Zinc - Q&amp;V'!$C$8:$C$250,'Copper-Lead-Zinc - Q&amp;V'!$H$8:$H$250,LEFT('Q&amp;V FY 2003-04 to Now'!M$7,4),'Copper-Lead-Zinc - Q&amp;V'!$I$8:$I$250,3)+
SUMIFS('Copper-Lead-Zinc - Q&amp;V'!$C$8:$C$250,'Copper-Lead-Zinc - Q&amp;V'!$H$8:$H$250,LEFT('Q&amp;V FY 2003-04 to Now'!M$7,4),'Copper-Lead-Zinc - Q&amp;V'!$I$8:$I$250,4)+
SUMIFS('Copper-Lead-Zinc - Q&amp;V'!$C$8:$C$250,'Copper-Lead-Zinc - Q&amp;V'!$H$8:$H$250,CONCATENATE("20",RIGHT('Q&amp;V FY 2003-04 to Now'!M$7,2)),'Copper-Lead-Zinc - Q&amp;V'!$I$8:$I$250,1)+
SUMIFS('Copper-Lead-Zinc - Q&amp;V'!$C$8:$C$250,'Copper-Lead-Zinc - Q&amp;V'!$H$8:$H$250,CONCATENATE("20",RIGHT('Q&amp;V FY 2003-04 to Now'!M$7,2)),'Copper-Lead-Zinc - Q&amp;V'!$I$8:$I$250,2))*1000000</f>
        <v>656718318.56000006</v>
      </c>
      <c r="O17" s="183">
        <f>(SUMIFS('Copper-Lead-Zinc - Q&amp;V'!$B$8:$B$250,'Copper-Lead-Zinc - Q&amp;V'!$H$8:$H$250,LEFT('Q&amp;V FY 2003-04 to Now'!O$7,4),'Copper-Lead-Zinc - Q&amp;V'!$I$8:$I$250,3)+
SUMIFS('Copper-Lead-Zinc - Q&amp;V'!$B$8:$B$250,'Copper-Lead-Zinc - Q&amp;V'!$H$8:$H$250,LEFT('Q&amp;V FY 2003-04 to Now'!O$7:P$7,4),'Copper-Lead-Zinc - Q&amp;V'!$I$8:$I$250,4)+
SUMIFS('Copper-Lead-Zinc - Q&amp;V'!$B$8:$B$250,'Copper-Lead-Zinc - Q&amp;V'!$H$8:$H$250,CONCATENATE("20",RIGHT('Q&amp;V FY 2003-04 to Now'!O$7,2)),'Copper-Lead-Zinc - Q&amp;V'!$I$8:$I$250,1)+
SUMIFS('Copper-Lead-Zinc - Q&amp;V'!$B$8:$B$250,'Copper-Lead-Zinc - Q&amp;V'!$H$8:$H$250,CONCATENATE("20",RIGHT('Q&amp;V FY 2003-04 to Now'!O$7,2)),'Copper-Lead-Zinc - Q&amp;V'!$I$8:$I$250,2))*1000</f>
        <v>151963.34899999999</v>
      </c>
      <c r="P17" s="183">
        <f>(SUMIFS('Copper-Lead-Zinc - Q&amp;V'!$C$8:$C$250,'Copper-Lead-Zinc - Q&amp;V'!$H$8:$H$250,LEFT('Q&amp;V FY 2003-04 to Now'!O$7,4),'Copper-Lead-Zinc - Q&amp;V'!$I$8:$I$250,3)+
SUMIFS('Copper-Lead-Zinc - Q&amp;V'!$C$8:$C$250,'Copper-Lead-Zinc - Q&amp;V'!$H$8:$H$250,LEFT('Q&amp;V FY 2003-04 to Now'!O$7,4),'Copper-Lead-Zinc - Q&amp;V'!$I$8:$I$250,4)+
SUMIFS('Copper-Lead-Zinc - Q&amp;V'!$C$8:$C$250,'Copper-Lead-Zinc - Q&amp;V'!$H$8:$H$250,CONCATENATE("20",RIGHT('Q&amp;V FY 2003-04 to Now'!O$7,2)),'Copper-Lead-Zinc - Q&amp;V'!$I$8:$I$250,1)+
SUMIFS('Copper-Lead-Zinc - Q&amp;V'!$C$8:$C$250,'Copper-Lead-Zinc - Q&amp;V'!$H$8:$H$250,CONCATENATE("20",RIGHT('Q&amp;V FY 2003-04 to Now'!O$7,2)),'Copper-Lead-Zinc - Q&amp;V'!$I$8:$I$250,2))*1000000</f>
        <v>1172476450.76</v>
      </c>
      <c r="Q17" s="183">
        <f>(SUMIFS('Copper-Lead-Zinc - Q&amp;V'!$B$8:$B$250,'Copper-Lead-Zinc - Q&amp;V'!$H$8:$H$250,LEFT('Q&amp;V FY 2003-04 to Now'!Q$7,4),'Copper-Lead-Zinc - Q&amp;V'!$I$8:$I$250,3)+
SUMIFS('Copper-Lead-Zinc - Q&amp;V'!$B$8:$B$250,'Copper-Lead-Zinc - Q&amp;V'!$H$8:$H$250,LEFT('Q&amp;V FY 2003-04 to Now'!Q$7:R$7,4),'Copper-Lead-Zinc - Q&amp;V'!$I$8:$I$250,4)+
SUMIFS('Copper-Lead-Zinc - Q&amp;V'!$B$8:$B$250,'Copper-Lead-Zinc - Q&amp;V'!$H$8:$H$250,CONCATENATE("20",RIGHT('Q&amp;V FY 2003-04 to Now'!Q$7,2)),'Copper-Lead-Zinc - Q&amp;V'!$I$8:$I$250,1)+
SUMIFS('Copper-Lead-Zinc - Q&amp;V'!$B$8:$B$250,'Copper-Lead-Zinc - Q&amp;V'!$H$8:$H$250,CONCATENATE("20",RIGHT('Q&amp;V FY 2003-04 to Now'!Q$7,2)),'Copper-Lead-Zinc - Q&amp;V'!$I$8:$I$250,2))*1000</f>
        <v>150030.321</v>
      </c>
      <c r="R17" s="183">
        <f>(SUMIFS('Copper-Lead-Zinc - Q&amp;V'!$C$8:$C$250,'Copper-Lead-Zinc - Q&amp;V'!$H$8:$H$250,LEFT('Q&amp;V FY 2003-04 to Now'!Q$7,4),'Copper-Lead-Zinc - Q&amp;V'!$I$8:$I$250,3)+
SUMIFS('Copper-Lead-Zinc - Q&amp;V'!$C$8:$C$250,'Copper-Lead-Zinc - Q&amp;V'!$H$8:$H$250,LEFT('Q&amp;V FY 2003-04 to Now'!Q$7,4),'Copper-Lead-Zinc - Q&amp;V'!$I$8:$I$250,4)+
SUMIFS('Copper-Lead-Zinc - Q&amp;V'!$C$8:$C$250,'Copper-Lead-Zinc - Q&amp;V'!$H$8:$H$250,CONCATENATE("20",RIGHT('Q&amp;V FY 2003-04 to Now'!Q$7,2)),'Copper-Lead-Zinc - Q&amp;V'!$I$8:$I$250,1)+
SUMIFS('Copper-Lead-Zinc - Q&amp;V'!$C$8:$C$250,'Copper-Lead-Zinc - Q&amp;V'!$H$8:$H$250,CONCATENATE("20",RIGHT('Q&amp;V FY 2003-04 to Now'!Q$7,2)),'Copper-Lead-Zinc - Q&amp;V'!$I$8:$I$250,2))*1000000</f>
        <v>1332356150.23</v>
      </c>
      <c r="S17" s="183">
        <f>(SUMIFS('Copper-Lead-Zinc - Q&amp;V'!$B$8:$B$250,'Copper-Lead-Zinc - Q&amp;V'!$H$8:$H$250,LEFT('Q&amp;V FY 2003-04 to Now'!S$7,4),'Copper-Lead-Zinc - Q&amp;V'!$I$8:$I$250,3)+
SUMIFS('Copper-Lead-Zinc - Q&amp;V'!$B$8:$B$250,'Copper-Lead-Zinc - Q&amp;V'!$H$8:$H$250,LEFT('Q&amp;V FY 2003-04 to Now'!S$7:T$7,4),'Copper-Lead-Zinc - Q&amp;V'!$I$8:$I$250,4)+
SUMIFS('Copper-Lead-Zinc - Q&amp;V'!$B$8:$B$250,'Copper-Lead-Zinc - Q&amp;V'!$H$8:$H$250,CONCATENATE("20",RIGHT('Q&amp;V FY 2003-04 to Now'!S$7,2)),'Copper-Lead-Zinc - Q&amp;V'!$I$8:$I$250,1)+
SUMIFS('Copper-Lead-Zinc - Q&amp;V'!$B$8:$B$250,'Copper-Lead-Zinc - Q&amp;V'!$H$8:$H$250,CONCATENATE("20",RIGHT('Q&amp;V FY 2003-04 to Now'!S$7,2)),'Copper-Lead-Zinc - Q&amp;V'!$I$8:$I$250,2))*1000</f>
        <v>159171.31195199999</v>
      </c>
      <c r="T17" s="183">
        <f>(SUMIFS('Copper-Lead-Zinc - Q&amp;V'!$C$8:$C$250,'Copper-Lead-Zinc - Q&amp;V'!$H$8:$H$250,LEFT('Q&amp;V FY 2003-04 to Now'!S$7,4),'Copper-Lead-Zinc - Q&amp;V'!$I$8:$I$250,3)+
SUMIFS('Copper-Lead-Zinc - Q&amp;V'!$C$8:$C$250,'Copper-Lead-Zinc - Q&amp;V'!$H$8:$H$250,LEFT('Q&amp;V FY 2003-04 to Now'!S$7,4),'Copper-Lead-Zinc - Q&amp;V'!$I$8:$I$250,4)+
SUMIFS('Copper-Lead-Zinc - Q&amp;V'!$C$8:$C$250,'Copper-Lead-Zinc - Q&amp;V'!$H$8:$H$250,CONCATENATE("20",RIGHT('Q&amp;V FY 2003-04 to Now'!S$7,2)),'Copper-Lead-Zinc - Q&amp;V'!$I$8:$I$250,1)+
SUMIFS('Copper-Lead-Zinc - Q&amp;V'!$C$8:$C$250,'Copper-Lead-Zinc - Q&amp;V'!$H$8:$H$250,CONCATENATE("20",RIGHT('Q&amp;V FY 2003-04 to Now'!S$7,2)),'Copper-Lead-Zinc - Q&amp;V'!$I$8:$I$250,2))*1000000</f>
        <v>1180779699.3599999</v>
      </c>
      <c r="U17" s="183">
        <f>(SUMIFS('Copper-Lead-Zinc - Q&amp;V'!$B$8:$B$250,'Copper-Lead-Zinc - Q&amp;V'!$H$8:$H$250,LEFT('Q&amp;V FY 2003-04 to Now'!U$7,4),'Copper-Lead-Zinc - Q&amp;V'!$I$8:$I$250,3)+
SUMIFS('Copper-Lead-Zinc - Q&amp;V'!$B$8:$B$250,'Copper-Lead-Zinc - Q&amp;V'!$H$8:$H$250,LEFT('Q&amp;V FY 2003-04 to Now'!U$7:V$7,4),'Copper-Lead-Zinc - Q&amp;V'!$I$8:$I$250,4)+
SUMIFS('Copper-Lead-Zinc - Q&amp;V'!$B$8:$B$250,'Copper-Lead-Zinc - Q&amp;V'!$H$8:$H$250,CONCATENATE("20",RIGHT('Q&amp;V FY 2003-04 to Now'!U$7,2)),'Copper-Lead-Zinc - Q&amp;V'!$I$8:$I$250,1)+
SUMIFS('Copper-Lead-Zinc - Q&amp;V'!$B$8:$B$250,'Copper-Lead-Zinc - Q&amp;V'!$H$8:$H$250,CONCATENATE("20",RIGHT('Q&amp;V FY 2003-04 to Now'!U$7,2)),'Copper-Lead-Zinc - Q&amp;V'!$I$8:$I$250,2))*1000</f>
        <v>209266.334817</v>
      </c>
      <c r="V17" s="183">
        <f>(SUMIFS('Copper-Lead-Zinc - Q&amp;V'!$C$8:$C$250,'Copper-Lead-Zinc - Q&amp;V'!$H$8:$H$250,LEFT('Q&amp;V FY 2003-04 to Now'!U$7,4),'Copper-Lead-Zinc - Q&amp;V'!$I$8:$I$250,3)+
SUMIFS('Copper-Lead-Zinc - Q&amp;V'!$C$8:$C$250,'Copper-Lead-Zinc - Q&amp;V'!$H$8:$H$250,LEFT('Q&amp;V FY 2003-04 to Now'!U$7,4),'Copper-Lead-Zinc - Q&amp;V'!$I$8:$I$250,4)+
SUMIFS('Copper-Lead-Zinc - Q&amp;V'!$C$8:$C$250,'Copper-Lead-Zinc - Q&amp;V'!$H$8:$H$250,CONCATENATE("20",RIGHT('Q&amp;V FY 2003-04 to Now'!U$7,2)),'Copper-Lead-Zinc - Q&amp;V'!$I$8:$I$250,1)+
SUMIFS('Copper-Lead-Zinc - Q&amp;V'!$C$8:$C$250,'Copper-Lead-Zinc - Q&amp;V'!$H$8:$H$250,CONCATENATE("20",RIGHT('Q&amp;V FY 2003-04 to Now'!U$7,2)),'Copper-Lead-Zinc - Q&amp;V'!$I$8:$I$250,2))*1000000</f>
        <v>1423043555.02</v>
      </c>
      <c r="W17" s="183">
        <f>(SUMIFS('Copper-Lead-Zinc - Q&amp;V'!$B$8:$B$250,'Copper-Lead-Zinc - Q&amp;V'!$H$8:$H$250,LEFT('Q&amp;V FY 2003-04 to Now'!W$7,4),'Copper-Lead-Zinc - Q&amp;V'!$I$8:$I$250,3)+
SUMIFS('Copper-Lead-Zinc - Q&amp;V'!$B$8:$B$250,'Copper-Lead-Zinc - Q&amp;V'!$H$8:$H$250,LEFT('Q&amp;V FY 2003-04 to Now'!W$7:X$7,4),'Copper-Lead-Zinc - Q&amp;V'!$I$8:$I$250,4)+
SUMIFS('Copper-Lead-Zinc - Q&amp;V'!$B$8:$B$250,'Copper-Lead-Zinc - Q&amp;V'!$H$8:$H$250,CONCATENATE("20",RIGHT('Q&amp;V FY 2003-04 to Now'!W$7,2)),'Copper-Lead-Zinc - Q&amp;V'!$I$8:$I$250,1)+
SUMIFS('Copper-Lead-Zinc - Q&amp;V'!$B$8:$B$250,'Copper-Lead-Zinc - Q&amp;V'!$H$8:$H$250,CONCATENATE("20",RIGHT('Q&amp;V FY 2003-04 to Now'!W$7,2)),'Copper-Lead-Zinc - Q&amp;V'!$I$8:$I$250,2))*1000</f>
        <v>211186.32200000001</v>
      </c>
      <c r="X17" s="183">
        <f>(SUMIFS('Copper-Lead-Zinc - Q&amp;V'!$C$8:$C$250,'Copper-Lead-Zinc - Q&amp;V'!$H$8:$H$250,LEFT('Q&amp;V FY 2003-04 to Now'!W$7,4),'Copper-Lead-Zinc - Q&amp;V'!$I$8:$I$250,3)+
SUMIFS('Copper-Lead-Zinc - Q&amp;V'!$C$8:$C$250,'Copper-Lead-Zinc - Q&amp;V'!$H$8:$H$250,LEFT('Q&amp;V FY 2003-04 to Now'!W$7,4),'Copper-Lead-Zinc - Q&amp;V'!$I$8:$I$250,4)+
SUMIFS('Copper-Lead-Zinc - Q&amp;V'!$C$8:$C$250,'Copper-Lead-Zinc - Q&amp;V'!$H$8:$H$250,CONCATENATE("20",RIGHT('Q&amp;V FY 2003-04 to Now'!W$7,2)),'Copper-Lead-Zinc - Q&amp;V'!$I$8:$I$250,1)+
SUMIFS('Copper-Lead-Zinc - Q&amp;V'!$C$8:$C$250,'Copper-Lead-Zinc - Q&amp;V'!$H$8:$H$250,CONCATENATE("20",RIGHT('Q&amp;V FY 2003-04 to Now'!W$7,2)),'Copper-Lead-Zinc - Q&amp;V'!$I$8:$I$250,2))*1000000</f>
        <v>1559565605.9999998</v>
      </c>
      <c r="Y17" s="183">
        <f>(SUMIFS('Copper-Lead-Zinc - Q&amp;V'!$B$8:$B$250,'Copper-Lead-Zinc - Q&amp;V'!$H$8:$H$250,LEFT('Q&amp;V FY 2003-04 to Now'!Y$7,4),'Copper-Lead-Zinc - Q&amp;V'!$I$8:$I$250,3)+
SUMIFS('Copper-Lead-Zinc - Q&amp;V'!$B$8:$B$250,'Copper-Lead-Zinc - Q&amp;V'!$H$8:$H$250,LEFT('Q&amp;V FY 2003-04 to Now'!Y$7:Z$7,4),'Copper-Lead-Zinc - Q&amp;V'!$I$8:$I$250,4)+
SUMIFS('Copper-Lead-Zinc - Q&amp;V'!$B$8:$B$250,'Copper-Lead-Zinc - Q&amp;V'!$H$8:$H$250,CONCATENATE("20",RIGHT('Q&amp;V FY 2003-04 to Now'!Y$7,2)),'Copper-Lead-Zinc - Q&amp;V'!$I$8:$I$250,1)+
SUMIFS('Copper-Lead-Zinc - Q&amp;V'!$B$8:$B$250,'Copper-Lead-Zinc - Q&amp;V'!$H$8:$H$250,CONCATENATE("20",RIGHT('Q&amp;V FY 2003-04 to Now'!Y$7,2)),'Copper-Lead-Zinc - Q&amp;V'!$I$8:$I$250,2))*1000</f>
        <v>184494.89700000003</v>
      </c>
      <c r="Z17" s="183">
        <f>(SUMIFS('Copper-Lead-Zinc - Q&amp;V'!$C$8:$C$250,'Copper-Lead-Zinc - Q&amp;V'!$H$8:$H$250,LEFT('Q&amp;V FY 2003-04 to Now'!Y$7,4),'Copper-Lead-Zinc - Q&amp;V'!$I$8:$I$250,3)+
SUMIFS('Copper-Lead-Zinc - Q&amp;V'!$C$8:$C$250,'Copper-Lead-Zinc - Q&amp;V'!$H$8:$H$250,LEFT('Q&amp;V FY 2003-04 to Now'!Y$7,4),'Copper-Lead-Zinc - Q&amp;V'!$I$8:$I$250,4)+
SUMIFS('Copper-Lead-Zinc - Q&amp;V'!$C$8:$C$250,'Copper-Lead-Zinc - Q&amp;V'!$H$8:$H$250,CONCATENATE("20",RIGHT('Q&amp;V FY 2003-04 to Now'!Y$7,2)),'Copper-Lead-Zinc - Q&amp;V'!$I$8:$I$250,1)+
SUMIFS('Copper-Lead-Zinc - Q&amp;V'!$C$8:$C$250,'Copper-Lead-Zinc - Q&amp;V'!$H$8:$H$250,CONCATENATE("20",RIGHT('Q&amp;V FY 2003-04 to Now'!Y$7,2)),'Copper-Lead-Zinc - Q&amp;V'!$I$8:$I$250,2))*1000000</f>
        <v>1283046797</v>
      </c>
      <c r="AA17" s="183">
        <f>(SUMIFS('Copper-Lead-Zinc - Q&amp;V'!$B$8:$B$250,'Copper-Lead-Zinc - Q&amp;V'!$H$8:$H$250,LEFT('Q&amp;V FY 2003-04 to Now'!AA$7,4),'Copper-Lead-Zinc - Q&amp;V'!$I$8:$I$250,3)+
SUMIFS('Copper-Lead-Zinc - Q&amp;V'!$B$8:$B$250,'Copper-Lead-Zinc - Q&amp;V'!$H$8:$H$250,LEFT('Q&amp;V FY 2003-04 to Now'!AA$7:AB$7,4),'Copper-Lead-Zinc - Q&amp;V'!$I$8:$I$250,4)+
SUMIFS('Copper-Lead-Zinc - Q&amp;V'!$B$8:$B$250,'Copper-Lead-Zinc - Q&amp;V'!$H$8:$H$250,CONCATENATE("20",RIGHT('Q&amp;V FY 2003-04 to Now'!AA$7,2)),'Copper-Lead-Zinc - Q&amp;V'!$I$8:$I$250,1)+
SUMIFS('Copper-Lead-Zinc - Q&amp;V'!$B$8:$B$250,'Copper-Lead-Zinc - Q&amp;V'!$H$8:$H$250,CONCATENATE("20",RIGHT('Q&amp;V FY 2003-04 to Now'!AA$7,2)),'Copper-Lead-Zinc - Q&amp;V'!$I$8:$I$250,2))*1000</f>
        <v>190483.08600000001</v>
      </c>
      <c r="AB17" s="183">
        <f>(SUMIFS('Copper-Lead-Zinc - Q&amp;V'!$C$8:$C$250,'Copper-Lead-Zinc - Q&amp;V'!$H$8:$H$250,LEFT('Q&amp;V FY 2003-04 to Now'!AA$7,4),'Copper-Lead-Zinc - Q&amp;V'!$I$8:$I$250,3)+
SUMIFS('Copper-Lead-Zinc - Q&amp;V'!$C$8:$C$250,'Copper-Lead-Zinc - Q&amp;V'!$H$8:$H$250,LEFT('Q&amp;V FY 2003-04 to Now'!AA$7,4),'Copper-Lead-Zinc - Q&amp;V'!$I$8:$I$250,4)+
SUMIFS('Copper-Lead-Zinc - Q&amp;V'!$C$8:$C$250,'Copper-Lead-Zinc - Q&amp;V'!$H$8:$H$250,CONCATENATE("20",RIGHT('Q&amp;V FY 2003-04 to Now'!AA$7,2)),'Copper-Lead-Zinc - Q&amp;V'!$I$8:$I$250,1)+
SUMIFS('Copper-Lead-Zinc - Q&amp;V'!$C$8:$C$250,'Copper-Lead-Zinc - Q&amp;V'!$H$8:$H$250,CONCATENATE("20",RIGHT('Q&amp;V FY 2003-04 to Now'!AA$7,2)),'Copper-Lead-Zinc - Q&amp;V'!$I$8:$I$250,2))*1000000</f>
        <v>1181262087</v>
      </c>
      <c r="AC17" s="183">
        <f>(SUMIFS('Copper-Lead-Zinc - Q&amp;V'!$B$8:$B$250,'Copper-Lead-Zinc - Q&amp;V'!$H$8:$H$250,LEFT('Q&amp;V FY 2003-04 to Now'!AC$7,4),'Copper-Lead-Zinc - Q&amp;V'!$I$8:$I$250,3)+
SUMIFS('Copper-Lead-Zinc - Q&amp;V'!$B$8:$B$250,'Copper-Lead-Zinc - Q&amp;V'!$H$8:$H$250,LEFT('Q&amp;V FY 2003-04 to Now'!AC$7:AD$7,4),'Copper-Lead-Zinc - Q&amp;V'!$I$8:$I$250,4)+
SUMIFS('Copper-Lead-Zinc - Q&amp;V'!$B$8:$B$250,'Copper-Lead-Zinc - Q&amp;V'!$H$8:$H$250,CONCATENATE("20",RIGHT('Q&amp;V FY 2003-04 to Now'!AC$7,2)),'Copper-Lead-Zinc - Q&amp;V'!$I$8:$I$250,1)+
SUMIFS('Copper-Lead-Zinc - Q&amp;V'!$B$8:$B$250,'Copper-Lead-Zinc - Q&amp;V'!$H$8:$H$250,CONCATENATE("20",RIGHT('Q&amp;V FY 2003-04 to Now'!AC$7,2)),'Copper-Lead-Zinc - Q&amp;V'!$I$8:$I$250,2))*1000</f>
        <v>170730.21500000005</v>
      </c>
      <c r="AD17" s="183">
        <f>(SUMIFS('Copper-Lead-Zinc - Q&amp;V'!$C$8:$C$250,'Copper-Lead-Zinc - Q&amp;V'!$H$8:$H$250,LEFT('Q&amp;V FY 2003-04 to Now'!AC$7,4),'Copper-Lead-Zinc - Q&amp;V'!$I$8:$I$250,3)+
SUMIFS('Copper-Lead-Zinc - Q&amp;V'!$C$8:$C$250,'Copper-Lead-Zinc - Q&amp;V'!$H$8:$H$250,LEFT('Q&amp;V FY 2003-04 to Now'!AC$7,4),'Copper-Lead-Zinc - Q&amp;V'!$I$8:$I$250,4)+
SUMIFS('Copper-Lead-Zinc - Q&amp;V'!$C$8:$C$250,'Copper-Lead-Zinc - Q&amp;V'!$H$8:$H$250,CONCATENATE("20",RIGHT('Q&amp;V FY 2003-04 to Now'!AC$7,2)),'Copper-Lead-Zinc - Q&amp;V'!$I$8:$I$250,1)+
SUMIFS('Copper-Lead-Zinc - Q&amp;V'!$C$8:$C$250,'Copper-Lead-Zinc - Q&amp;V'!$H$8:$H$250,CONCATENATE("20",RIGHT('Q&amp;V FY 2003-04 to Now'!AC$7,2)),'Copper-Lead-Zinc - Q&amp;V'!$I$8:$I$250,2))*1000000</f>
        <v>1240528049</v>
      </c>
      <c r="AE17" s="715">
        <f>(SUMIFS('Copper-Lead-Zinc - Q&amp;V'!$B$8:$B$250,'Copper-Lead-Zinc - Q&amp;V'!$H$8:$H$250,LEFT('Q&amp;V FY 2003-04 to Now'!AE$7,4),'Copper-Lead-Zinc - Q&amp;V'!$I$8:$I$250,3)+
SUMIFS('Copper-Lead-Zinc - Q&amp;V'!$B$8:$B$250,'Copper-Lead-Zinc - Q&amp;V'!$H$8:$H$250,LEFT('Q&amp;V FY 2003-04 to Now'!AE$7:AF$7,4),'Copper-Lead-Zinc - Q&amp;V'!$I$8:$I$250,4)+
SUMIFS('Copper-Lead-Zinc - Q&amp;V'!$B$8:$B$250,'Copper-Lead-Zinc - Q&amp;V'!$H$8:$H$250,CONCATENATE("20",RIGHT('Q&amp;V FY 2003-04 to Now'!AE$7,2)),'Copper-Lead-Zinc - Q&amp;V'!$I$8:$I$250,1)+
SUMIFS('Copper-Lead-Zinc - Q&amp;V'!$B$8:$B$250,'Copper-Lead-Zinc - Q&amp;V'!$H$8:$H$250,CONCATENATE("20",RIGHT('Q&amp;V FY 2003-04 to Now'!AE$7,2)),'Copper-Lead-Zinc - Q&amp;V'!$I$8:$I$250,2))*1000</f>
        <v>165983.75500000003</v>
      </c>
      <c r="AF17" s="183">
        <f>(SUMIFS('Copper-Lead-Zinc - Q&amp;V'!$C$8:$C$250,'Copper-Lead-Zinc - Q&amp;V'!$H$8:$H$250,LEFT('Q&amp;V FY 2003-04 to Now'!AE$7,4),'Copper-Lead-Zinc - Q&amp;V'!$I$8:$I$250,3)+
SUMIFS('Copper-Lead-Zinc - Q&amp;V'!$C$8:$C$250,'Copper-Lead-Zinc - Q&amp;V'!$H$8:$H$250,LEFT('Q&amp;V FY 2003-04 to Now'!AE$7,4),'Copper-Lead-Zinc - Q&amp;V'!$I$8:$I$250,4)+
SUMIFS('Copper-Lead-Zinc - Q&amp;V'!$C$8:$C$250,'Copper-Lead-Zinc - Q&amp;V'!$H$8:$H$250,CONCATENATE("20",RIGHT('Q&amp;V FY 2003-04 to Now'!AE$7,2)),'Copper-Lead-Zinc - Q&amp;V'!$I$8:$I$250,1)+
SUMIFS('Copper-Lead-Zinc - Q&amp;V'!$C$8:$C$250,'Copper-Lead-Zinc - Q&amp;V'!$H$8:$H$250,CONCATENATE("20",RIGHT('Q&amp;V FY 2003-04 to Now'!AE$7,2)),'Copper-Lead-Zinc - Q&amp;V'!$I$8:$I$250,2))*1000000</f>
        <v>1336587648.9999998</v>
      </c>
      <c r="AG17" s="715">
        <f>(SUMIFS('Copper-Lead-Zinc - Q&amp;V'!$B$8:$B$250,'Copper-Lead-Zinc - Q&amp;V'!$H$8:$H$250,LEFT('Q&amp;V FY 2003-04 to Now'!AG$7,4),'Copper-Lead-Zinc - Q&amp;V'!$I$8:$I$250,3)+
SUMIFS('Copper-Lead-Zinc - Q&amp;V'!$B$8:$B$250,'Copper-Lead-Zinc - Q&amp;V'!$H$8:$H$250,LEFT('Q&amp;V FY 2003-04 to Now'!AG$7:AH$7,4),'Copper-Lead-Zinc - Q&amp;V'!$I$8:$I$250,4)+
SUMIFS('Copper-Lead-Zinc - Q&amp;V'!$B$8:$B$250,'Copper-Lead-Zinc - Q&amp;V'!$H$8:$H$250,CONCATENATE("20",RIGHT('Q&amp;V FY 2003-04 to Now'!AG$7,2)),'Copper-Lead-Zinc - Q&amp;V'!$I$8:$I$250,1)+
SUMIFS('Copper-Lead-Zinc - Q&amp;V'!$B$8:$B$250,'Copper-Lead-Zinc - Q&amp;V'!$H$8:$H$250,CONCATENATE("20",RIGHT('Q&amp;V FY 2003-04 to Now'!AG$7,2)),'Copper-Lead-Zinc - Q&amp;V'!$I$8:$I$250,2))*1000</f>
        <v>162483.29399999999</v>
      </c>
      <c r="AH17" s="1354">
        <f>(SUMIFS('Copper-Lead-Zinc - Q&amp;V'!$C$8:$C$250,'Copper-Lead-Zinc - Q&amp;V'!$H$8:$H$250,LEFT('Q&amp;V FY 2003-04 to Now'!AG$7,4),'Copper-Lead-Zinc - Q&amp;V'!$I$8:$I$250,3)+
SUMIFS('Copper-Lead-Zinc - Q&amp;V'!$C$8:$C$250,'Copper-Lead-Zinc - Q&amp;V'!$H$8:$H$250,LEFT('Q&amp;V FY 2003-04 to Now'!AG$7,4),'Copper-Lead-Zinc - Q&amp;V'!$I$8:$I$250,4)+
SUMIFS('Copper-Lead-Zinc - Q&amp;V'!$C$8:$C$250,'Copper-Lead-Zinc - Q&amp;V'!$H$8:$H$250,CONCATENATE("20",RIGHT('Q&amp;V FY 2003-04 to Now'!AG$7,2)),'Copper-Lead-Zinc - Q&amp;V'!$I$8:$I$250,1)+
SUMIFS('Copper-Lead-Zinc - Q&amp;V'!$C$8:$C$250,'Copper-Lead-Zinc - Q&amp;V'!$H$8:$H$250,CONCATENATE("20",RIGHT('Q&amp;V FY 2003-04 to Now'!AG$7,2)),'Copper-Lead-Zinc - Q&amp;V'!$I$8:$I$250,2))*1000000</f>
        <v>1321682098.9999998</v>
      </c>
      <c r="AI17" s="1353">
        <f>(SUMIFS('Copper-Lead-Zinc - Q&amp;V'!$B$8:$B$250,'Copper-Lead-Zinc - Q&amp;V'!$H$8:$H$250,LEFT('Q&amp;V FY 2003-04 to Now'!AI$7,4),'Copper-Lead-Zinc - Q&amp;V'!$I$8:$I$250,3)+
SUMIFS('Copper-Lead-Zinc - Q&amp;V'!$B$8:$B$250,'Copper-Lead-Zinc - Q&amp;V'!$H$8:$H$250,LEFT('Q&amp;V FY 2003-04 to Now'!AI$7:AJ$7,4),'Copper-Lead-Zinc - Q&amp;V'!$I$8:$I$250,4)+
SUMIFS('Copper-Lead-Zinc - Q&amp;V'!$B$8:$B$250,'Copper-Lead-Zinc - Q&amp;V'!$H$8:$H$250,CONCATENATE("20",RIGHT('Q&amp;V FY 2003-04 to Now'!AI$7,2)),'Copper-Lead-Zinc - Q&amp;V'!$I$8:$I$250,1)+
SUMIFS('Copper-Lead-Zinc - Q&amp;V'!$B$8:$B$250,'Copper-Lead-Zinc - Q&amp;V'!$H$8:$H$250,CONCATENATE("20",RIGHT('Q&amp;V FY 2003-04 to Now'!AI$7,2)),'Copper-Lead-Zinc - Q&amp;V'!$I$8:$I$250,2))*1000</f>
        <v>171386.375</v>
      </c>
      <c r="AJ17" s="1354">
        <f>(SUMIFS('Copper-Lead-Zinc - Q&amp;V'!$C$8:$C$250,'Copper-Lead-Zinc - Q&amp;V'!$H$8:$H$250,LEFT('Q&amp;V FY 2003-04 to Now'!AI$7,4),'Copper-Lead-Zinc - Q&amp;V'!$I$8:$I$250,3)+
SUMIFS('Copper-Lead-Zinc - Q&amp;V'!$C$8:$C$250,'Copper-Lead-Zinc - Q&amp;V'!$H$8:$H$250,LEFT('Q&amp;V FY 2003-04 to Now'!AI$7,4),'Copper-Lead-Zinc - Q&amp;V'!$I$8:$I$250,4)+
SUMIFS('Copper-Lead-Zinc - Q&amp;V'!$C$8:$C$250,'Copper-Lead-Zinc - Q&amp;V'!$H$8:$H$250,CONCATENATE("20",RIGHT('Q&amp;V FY 2003-04 to Now'!AI$7,2)),'Copper-Lead-Zinc - Q&amp;V'!$I$8:$I$250,1)+
SUMIFS('Copper-Lead-Zinc - Q&amp;V'!$C$8:$C$250,'Copper-Lead-Zinc - Q&amp;V'!$H$8:$H$250,CONCATENATE("20",RIGHT('Q&amp;V FY 2003-04 to Now'!AI$7,2)),'Copper-Lead-Zinc - Q&amp;V'!$I$8:$I$250,2))*1000000</f>
        <v>1382994015</v>
      </c>
      <c r="AK17" s="1354">
        <f>(SUMIFS('Copper-Lead-Zinc - Q&amp;V'!$B$8:$B$250,'Copper-Lead-Zinc - Q&amp;V'!$H$8:$H$250,LEFT('Q&amp;V FY 2003-04 to Now'!AK$7,4),'Copper-Lead-Zinc - Q&amp;V'!$I$8:$I$250,3)+
SUMIFS('Copper-Lead-Zinc - Q&amp;V'!$B$8:$B$250,'Copper-Lead-Zinc - Q&amp;V'!$H$8:$H$250,LEFT('Q&amp;V FY 2003-04 to Now'!AK$7:AL$7,4),'Copper-Lead-Zinc - Q&amp;V'!$I$8:$I$250,4)+
SUMIFS('Copper-Lead-Zinc - Q&amp;V'!$B$8:$B$250,'Copper-Lead-Zinc - Q&amp;V'!$H$8:$H$250,CONCATENATE("20",RIGHT('Q&amp;V FY 2003-04 to Now'!AK$7,2)),'Copper-Lead-Zinc - Q&amp;V'!$I$8:$I$250,1)+
SUMIFS('Copper-Lead-Zinc - Q&amp;V'!$B$8:$B$250,'Copper-Lead-Zinc - Q&amp;V'!$H$8:$H$250,CONCATENATE("20",RIGHT('Q&amp;V FY 2003-04 to Now'!AK$7,2)),'Copper-Lead-Zinc - Q&amp;V'!$I$8:$I$250,2))*1000</f>
        <v>136776.117</v>
      </c>
      <c r="AL17" s="1354">
        <f>(SUMIFS('Copper-Lead-Zinc - Q&amp;V'!$C$8:$C$250,'Copper-Lead-Zinc - Q&amp;V'!$H$8:$H$250,LEFT('Q&amp;V FY 2003-04 to Now'!AK$7,4),'Copper-Lead-Zinc - Q&amp;V'!$I$8:$I$250,3)+
SUMIFS('Copper-Lead-Zinc - Q&amp;V'!$C$8:$C$250,'Copper-Lead-Zinc - Q&amp;V'!$H$8:$H$250,LEFT('Q&amp;V FY 2003-04 to Now'!AK$7,4),'Copper-Lead-Zinc - Q&amp;V'!$I$8:$I$250,4)+
SUMIFS('Copper-Lead-Zinc - Q&amp;V'!$C$8:$C$250,'Copper-Lead-Zinc - Q&amp;V'!$H$8:$H$250,CONCATENATE("20",RIGHT('Q&amp;V FY 2003-04 to Now'!AK$7,2)),'Copper-Lead-Zinc - Q&amp;V'!$I$8:$I$250,1)+
SUMIFS('Copper-Lead-Zinc - Q&amp;V'!$C$8:$C$250,'Copper-Lead-Zinc - Q&amp;V'!$H$8:$H$250,CONCATENATE("20",RIGHT('Q&amp;V FY 2003-04 to Now'!AK$7,2)),'Copper-Lead-Zinc - Q&amp;V'!$I$8:$I$250,2))*1000000</f>
        <v>1498763460.0000002</v>
      </c>
      <c r="AM17" s="1354">
        <f>(SUMIFS('Copper-Lead-Zinc - Q&amp;V'!$B$8:$B$250,'Copper-Lead-Zinc - Q&amp;V'!$H$8:$H$250,LEFT('Q&amp;V FY 2003-04 to Now'!AM$7,4),'Copper-Lead-Zinc - Q&amp;V'!$I$8:$I$250,3)+
SUMIFS('Copper-Lead-Zinc - Q&amp;V'!$B$8:$B$250,'Copper-Lead-Zinc - Q&amp;V'!$H$8:$H$250,LEFT('Q&amp;V FY 2003-04 to Now'!AM$7:AN$7,4),'Copper-Lead-Zinc - Q&amp;V'!$I$8:$I$250,4)+
SUMIFS('Copper-Lead-Zinc - Q&amp;V'!$B$8:$B$250,'Copper-Lead-Zinc - Q&amp;V'!$H$8:$H$250,CONCATENATE("20",RIGHT('Q&amp;V FY 2003-04 to Now'!AM$7,2)),'Copper-Lead-Zinc - Q&amp;V'!$I$8:$I$250,1)+
SUMIFS('Copper-Lead-Zinc - Q&amp;V'!$B$8:$B$250,'Copper-Lead-Zinc - Q&amp;V'!$H$8:$H$250,CONCATENATE("20",RIGHT('Q&amp;V FY 2003-04 to Now'!AM$7,2)),'Copper-Lead-Zinc - Q&amp;V'!$I$8:$I$250,2))*1000</f>
        <v>155520.16099999999</v>
      </c>
      <c r="AN17" s="1354">
        <f>(SUMIFS('Copper-Lead-Zinc - Q&amp;V'!$C$8:$C$250,'Copper-Lead-Zinc - Q&amp;V'!$H$8:$H$250,LEFT('Q&amp;V FY 2003-04 to Now'!AM$7,4),'Copper-Lead-Zinc - Q&amp;V'!$I$8:$I$250,3)+
SUMIFS('Copper-Lead-Zinc - Q&amp;V'!$C$8:$C$250,'Copper-Lead-Zinc - Q&amp;V'!$H$8:$H$250,LEFT('Q&amp;V FY 2003-04 to Now'!AM$7,4),'Copper-Lead-Zinc - Q&amp;V'!$I$8:$I$250,4)+
SUMIFS('Copper-Lead-Zinc - Q&amp;V'!$C$8:$C$250,'Copper-Lead-Zinc - Q&amp;V'!$H$8:$H$250,CONCATENATE("20",RIGHT('Q&amp;V FY 2003-04 to Now'!AM$7,2)),'Copper-Lead-Zinc - Q&amp;V'!$I$8:$I$250,1)+
SUMIFS('Copper-Lead-Zinc - Q&amp;V'!$C$8:$C$250,'Copper-Lead-Zinc - Q&amp;V'!$H$8:$H$250,CONCATENATE("20",RIGHT('Q&amp;V FY 2003-04 to Now'!AM$7,2)),'Copper-Lead-Zinc - Q&amp;V'!$I$8:$I$250,2))*1000000</f>
        <v>1899968235.9999998</v>
      </c>
      <c r="AO17" s="1354">
        <f>(SUMIFS('Copper-Lead-Zinc - Q&amp;V'!$B$8:$B$250,'Copper-Lead-Zinc - Q&amp;V'!$H$8:$H$250,LEFT('Q&amp;V FY 2003-04 to Now'!AO$7,4),'Copper-Lead-Zinc - Q&amp;V'!$I$8:$I$250,3)+
SUMIFS('Copper-Lead-Zinc - Q&amp;V'!$B$8:$B$250,'Copper-Lead-Zinc - Q&amp;V'!$H$8:$H$250,LEFT('Q&amp;V FY 2003-04 to Now'!AO$7:AP$7,4),'Copper-Lead-Zinc - Q&amp;V'!$I$8:$I$250,4)+
SUMIFS('Copper-Lead-Zinc - Q&amp;V'!$B$8:$B$250,'Copper-Lead-Zinc - Q&amp;V'!$H$8:$H$250,CONCATENATE("20",RIGHT('Q&amp;V FY 2003-04 to Now'!AO$7,2)),'Copper-Lead-Zinc - Q&amp;V'!$I$8:$I$250,1)+
SUMIFS('Copper-Lead-Zinc - Q&amp;V'!$B$8:$B$250,'Copper-Lead-Zinc - Q&amp;V'!$H$8:$H$250,CONCATENATE("20",RIGHT('Q&amp;V FY 2003-04 to Now'!AO$7,2)),'Copper-Lead-Zinc - Q&amp;V'!$I$8:$I$250,2))*1000</f>
        <v>118726.17400000001</v>
      </c>
      <c r="AP17" s="1354">
        <f>(SUMIFS('Copper-Lead-Zinc - Q&amp;V'!$C$8:$C$250,'Copper-Lead-Zinc - Q&amp;V'!$H$8:$H$250,LEFT('Q&amp;V FY 2003-04 to Now'!AO$7,4),'Copper-Lead-Zinc - Q&amp;V'!$I$8:$I$250,3)+
SUMIFS('Copper-Lead-Zinc - Q&amp;V'!$C$8:$C$250,'Copper-Lead-Zinc - Q&amp;V'!$H$8:$H$250,LEFT('Q&amp;V FY 2003-04 to Now'!AO$7,4),'Copper-Lead-Zinc - Q&amp;V'!$I$8:$I$250,4)+
SUMIFS('Copper-Lead-Zinc - Q&amp;V'!$C$8:$C$250,'Copper-Lead-Zinc - Q&amp;V'!$H$8:$H$250,CONCATENATE("20",RIGHT('Q&amp;V FY 2003-04 to Now'!AO$7,2)),'Copper-Lead-Zinc - Q&amp;V'!$I$8:$I$250,1)+
SUMIFS('Copper-Lead-Zinc - Q&amp;V'!$C$8:$C$250,'Copper-Lead-Zinc - Q&amp;V'!$H$8:$H$250,CONCATENATE("20",RIGHT('Q&amp;V FY 2003-04 to Now'!AO$7,2)),'Copper-Lead-Zinc - Q&amp;V'!$I$8:$I$250,2))*1000000</f>
        <v>1393615344</v>
      </c>
      <c r="AQ17" s="933">
        <f>SUMIF($C$9:AP$9,1,$C17:AP17)</f>
        <v>2898802.5107690007</v>
      </c>
      <c r="AR17" s="214">
        <f>IF(COUNTIF($C17:AP17, "nfp")=0, SUMIF($C$9:AP$9,0,$C17:AP17), "nfp")</f>
        <v>22891894496.220001</v>
      </c>
      <c r="AT17" s="317"/>
      <c r="AU17" s="317"/>
      <c r="AV17" s="381"/>
      <c r="AW17" s="381"/>
    </row>
    <row r="18" spans="1:49">
      <c r="A18" s="262" t="s">
        <v>214</v>
      </c>
      <c r="B18" s="127" t="s">
        <v>67</v>
      </c>
      <c r="C18" s="183">
        <f>(SUMIFS('Copper-Lead-Zinc - Q&amp;V'!$D$8:$D$250,'Copper-Lead-Zinc - Q&amp;V'!$H$8:$H$250,LEFT('Q&amp;V FY 2003-04 to Now'!C$7,4),'Copper-Lead-Zinc - Q&amp;V'!$I$8:$I$250,3)+
SUMIFS('Copper-Lead-Zinc - Q&amp;V'!$D$8:$D$250,'Copper-Lead-Zinc - Q&amp;V'!$H$8:$H$250,LEFT('Q&amp;V FY 2003-04 to Now'!C$7:D$7,4),'Copper-Lead-Zinc - Q&amp;V'!$I$8:$I$250,4)+
SUMIFS('Copper-Lead-Zinc - Q&amp;V'!$D$8:$D$250,'Copper-Lead-Zinc - Q&amp;V'!$H$8:$H$250,CONCATENATE("20",RIGHT('Q&amp;V FY 2003-04 to Now'!C$7,2)),'Copper-Lead-Zinc - Q&amp;V'!$I$8:$I$250,1)+
SUMIFS('Copper-Lead-Zinc - Q&amp;V'!$D$8:$D$250,'Copper-Lead-Zinc - Q&amp;V'!$H$8:$H$250,CONCATENATE("20",RIGHT('Q&amp;V FY 2003-04 to Now'!C$7,2)),'Copper-Lead-Zinc - Q&amp;V'!$I$8:$I$250,2))*1000</f>
        <v>23393</v>
      </c>
      <c r="D18" s="183">
        <f>(SUMIFS('Copper-Lead-Zinc - Q&amp;V'!$E$8:$E$250,'Copper-Lead-Zinc - Q&amp;V'!$H$8:$H$250,LEFT('Q&amp;V FY 2003-04 to Now'!C$7,4),'Copper-Lead-Zinc - Q&amp;V'!$I$8:$I$250,3)+
SUMIFS('Copper-Lead-Zinc - Q&amp;V'!$E$8:$E$250,'Copper-Lead-Zinc - Q&amp;V'!$H$8:$H$250,LEFT('Q&amp;V FY 2003-04 to Now'!C$7,4),'Copper-Lead-Zinc - Q&amp;V'!$I$8:$I$250,4)+
SUMIFS('Copper-Lead-Zinc - Q&amp;V'!$E$8:$E$250,'Copper-Lead-Zinc - Q&amp;V'!$H$8:$H$250,CONCATENATE("20",RIGHT('Q&amp;V FY 2003-04 to Now'!C$7,2)),'Copper-Lead-Zinc - Q&amp;V'!$I$8:$I$250,1)+
SUMIFS('Copper-Lead-Zinc - Q&amp;V'!$E$8:$E$250,'Copper-Lead-Zinc - Q&amp;V'!$H$8:$H$250,CONCATENATE("20",RIGHT('Q&amp;V FY 2003-04 to Now'!C$7,2)),'Copper-Lead-Zinc - Q&amp;V'!$I$8:$I$250,2))*1000000</f>
        <v>11971687.92</v>
      </c>
      <c r="E18" s="183">
        <f>(SUMIFS('Copper-Lead-Zinc - Q&amp;V'!$D$8:$D$250,'Copper-Lead-Zinc - Q&amp;V'!$H$8:$H$250,LEFT('Q&amp;V FY 2003-04 to Now'!E$7,4),'Copper-Lead-Zinc - Q&amp;V'!$I$8:$I$250,3)+
SUMIFS('Copper-Lead-Zinc - Q&amp;V'!$D$8:$D$250,'Copper-Lead-Zinc - Q&amp;V'!$H$8:$H$250,LEFT('Q&amp;V FY 2003-04 to Now'!E$7:F$7,4),'Copper-Lead-Zinc - Q&amp;V'!$I$8:$I$250,4)+
SUMIFS('Copper-Lead-Zinc - Q&amp;V'!$D$8:$D$250,'Copper-Lead-Zinc - Q&amp;V'!$H$8:$H$250,CONCATENATE("20",RIGHT('Q&amp;V FY 2003-04 to Now'!E$7,2)),'Copper-Lead-Zinc - Q&amp;V'!$I$8:$I$250,1)+
SUMIFS('Copper-Lead-Zinc - Q&amp;V'!$D$8:$D$250,'Copper-Lead-Zinc - Q&amp;V'!$H$8:$H$250,CONCATENATE("20",RIGHT('Q&amp;V FY 2003-04 to Now'!E$7,2)),'Copper-Lead-Zinc - Q&amp;V'!$I$8:$I$250,2))*1000</f>
        <v>2324.3399999999997</v>
      </c>
      <c r="F18" s="183">
        <f>(SUMIFS('Copper-Lead-Zinc - Q&amp;V'!$E$8:$E$250,'Copper-Lead-Zinc - Q&amp;V'!$H$8:$H$250,LEFT('Q&amp;V FY 2003-04 to Now'!E$7,4),'Copper-Lead-Zinc - Q&amp;V'!$I$8:$I$250,3)+
SUMIFS('Copper-Lead-Zinc - Q&amp;V'!$E$8:$E$250,'Copper-Lead-Zinc - Q&amp;V'!$H$8:$H$250,LEFT('Q&amp;V FY 2003-04 to Now'!E$7,4),'Copper-Lead-Zinc - Q&amp;V'!$I$8:$I$250,4)+
SUMIFS('Copper-Lead-Zinc - Q&amp;V'!$E$8:$E$250,'Copper-Lead-Zinc - Q&amp;V'!$H$8:$H$250,CONCATENATE("20",RIGHT('Q&amp;V FY 2003-04 to Now'!E$7,2)),'Copper-Lead-Zinc - Q&amp;V'!$I$8:$I$250,1)+
SUMIFS('Copper-Lead-Zinc - Q&amp;V'!$E$8:$E$250,'Copper-Lead-Zinc - Q&amp;V'!$H$8:$H$250,CONCATENATE("20",RIGHT('Q&amp;V FY 2003-04 to Now'!E$7,2)),'Copper-Lead-Zinc - Q&amp;V'!$I$8:$I$250,2))*1000000</f>
        <v>3006367.22</v>
      </c>
      <c r="G18" s="183">
        <f>(SUMIFS('Copper-Lead-Zinc - Q&amp;V'!$D$8:$D$250,'Copper-Lead-Zinc - Q&amp;V'!$H$8:$H$250,LEFT('Q&amp;V FY 2003-04 to Now'!G$7,4),'Copper-Lead-Zinc - Q&amp;V'!$I$8:$I$250,3)+
SUMIFS('Copper-Lead-Zinc - Q&amp;V'!$D$8:$D$250,'Copper-Lead-Zinc - Q&amp;V'!$H$8:$H$250,LEFT('Q&amp;V FY 2003-04 to Now'!G$7:H$7,4),'Copper-Lead-Zinc - Q&amp;V'!$I$8:$I$250,4)+
SUMIFS('Copper-Lead-Zinc - Q&amp;V'!$D$8:$D$250,'Copper-Lead-Zinc - Q&amp;V'!$H$8:$H$250,CONCATENATE("20",RIGHT('Q&amp;V FY 2003-04 to Now'!G$7,2)),'Copper-Lead-Zinc - Q&amp;V'!$I$8:$I$250,1)+
SUMIFS('Copper-Lead-Zinc - Q&amp;V'!$D$8:$D$250,'Copper-Lead-Zinc - Q&amp;V'!$H$8:$H$250,CONCATENATE("20",RIGHT('Q&amp;V FY 2003-04 to Now'!G$7,2)),'Copper-Lead-Zinc - Q&amp;V'!$I$8:$I$250,2))*1000</f>
        <v>57265.385999999999</v>
      </c>
      <c r="H18" s="183">
        <f>(SUMIFS('Copper-Lead-Zinc - Q&amp;V'!$E$8:$E$250,'Copper-Lead-Zinc - Q&amp;V'!$H$8:$H$250,LEFT('Q&amp;V FY 2003-04 to Now'!G$7,4),'Copper-Lead-Zinc - Q&amp;V'!$I$8:$I$250,3)+
SUMIFS('Copper-Lead-Zinc - Q&amp;V'!$E$8:$E$250,'Copper-Lead-Zinc - Q&amp;V'!$H$8:$H$250,LEFT('Q&amp;V FY 2003-04 to Now'!G$7,4),'Copper-Lead-Zinc - Q&amp;V'!$I$8:$I$250,4)+
SUMIFS('Copper-Lead-Zinc - Q&amp;V'!$E$8:$E$250,'Copper-Lead-Zinc - Q&amp;V'!$H$8:$H$250,CONCATENATE("20",RIGHT('Q&amp;V FY 2003-04 to Now'!G$7,2)),'Copper-Lead-Zinc - Q&amp;V'!$I$8:$I$250,1)+
SUMIFS('Copper-Lead-Zinc - Q&amp;V'!$E$8:$E$250,'Copper-Lead-Zinc - Q&amp;V'!$H$8:$H$250,CONCATENATE("20",RIGHT('Q&amp;V FY 2003-04 to Now'!G$7,2)),'Copper-Lead-Zinc - Q&amp;V'!$I$8:$I$250,2))*1000000</f>
        <v>84970520.390000001</v>
      </c>
      <c r="I18" s="183">
        <f>(SUMIFS('Copper-Lead-Zinc - Q&amp;V'!$D$8:$D$250,'Copper-Lead-Zinc - Q&amp;V'!$H$8:$H$250,LEFT('Q&amp;V FY 2003-04 to Now'!I$7,4),'Copper-Lead-Zinc - Q&amp;V'!$I$8:$I$250,3)+
SUMIFS('Copper-Lead-Zinc - Q&amp;V'!$D$8:$D$250,'Copper-Lead-Zinc - Q&amp;V'!$H$8:$H$250,LEFT('Q&amp;V FY 2003-04 to Now'!I$7:J$7,4),'Copper-Lead-Zinc - Q&amp;V'!$I$8:$I$250,4)+
SUMIFS('Copper-Lead-Zinc - Q&amp;V'!$D$8:$D$250,'Copper-Lead-Zinc - Q&amp;V'!$H$8:$H$250,CONCATENATE("20",RIGHT('Q&amp;V FY 2003-04 to Now'!I$7,2)),'Copper-Lead-Zinc - Q&amp;V'!$I$8:$I$250,1)+
SUMIFS('Copper-Lead-Zinc - Q&amp;V'!$D$8:$D$250,'Copper-Lead-Zinc - Q&amp;V'!$H$8:$H$250,CONCATENATE("20",RIGHT('Q&amp;V FY 2003-04 to Now'!I$7,2)),'Copper-Lead-Zinc - Q&amp;V'!$I$8:$I$250,2))*1000</f>
        <v>59563.004000000001</v>
      </c>
      <c r="J18" s="183">
        <f>(SUMIFS('Copper-Lead-Zinc - Q&amp;V'!$E$8:$E$250,'Copper-Lead-Zinc - Q&amp;V'!$H$8:$H$250,LEFT('Q&amp;V FY 2003-04 to Now'!I$7,4),'Copper-Lead-Zinc - Q&amp;V'!$I$8:$I$250,3)+
SUMIFS('Copper-Lead-Zinc - Q&amp;V'!$E$8:$E$250,'Copper-Lead-Zinc - Q&amp;V'!$H$8:$H$250,LEFT('Q&amp;V FY 2003-04 to Now'!I$7,4),'Copper-Lead-Zinc - Q&amp;V'!$I$8:$I$250,4)+
SUMIFS('Copper-Lead-Zinc - Q&amp;V'!$E$8:$E$250,'Copper-Lead-Zinc - Q&amp;V'!$H$8:$H$250,CONCATENATE("20",RIGHT('Q&amp;V FY 2003-04 to Now'!I$7,2)),'Copper-Lead-Zinc - Q&amp;V'!$I$8:$I$250,1)+
SUMIFS('Copper-Lead-Zinc - Q&amp;V'!$E$8:$E$250,'Copper-Lead-Zinc - Q&amp;V'!$H$8:$H$250,CONCATENATE("20",RIGHT('Q&amp;V FY 2003-04 to Now'!I$7,2)),'Copper-Lead-Zinc - Q&amp;V'!$I$8:$I$250,2))*1000000</f>
        <v>127759765.98</v>
      </c>
      <c r="K18" s="183">
        <f>(SUMIFS('Copper-Lead-Zinc - Q&amp;V'!$D$8:$D$250,'Copper-Lead-Zinc - Q&amp;V'!$H$8:$H$250,LEFT('Q&amp;V FY 2003-04 to Now'!K$7,4),'Copper-Lead-Zinc - Q&amp;V'!$I$8:$I$250,3)+
SUMIFS('Copper-Lead-Zinc - Q&amp;V'!$D$8:$D$250,'Copper-Lead-Zinc - Q&amp;V'!$H$8:$H$250,LEFT('Q&amp;V FY 2003-04 to Now'!K$7:L$7,4),'Copper-Lead-Zinc - Q&amp;V'!$I$8:$I$250,4)+
SUMIFS('Copper-Lead-Zinc - Q&amp;V'!$D$8:$D$250,'Copper-Lead-Zinc - Q&amp;V'!$H$8:$H$250,CONCATENATE("20",RIGHT('Q&amp;V FY 2003-04 to Now'!K$7,2)),'Copper-Lead-Zinc - Q&amp;V'!$I$8:$I$250,1)+
SUMIFS('Copper-Lead-Zinc - Q&amp;V'!$D$8:$D$250,'Copper-Lead-Zinc - Q&amp;V'!$H$8:$H$250,CONCATENATE("20",RIGHT('Q&amp;V FY 2003-04 to Now'!K$7,2)),'Copper-Lead-Zinc - Q&amp;V'!$I$8:$I$250,2))*1000</f>
        <v>25851.064999999999</v>
      </c>
      <c r="L18" s="183">
        <f>(SUMIFS('Copper-Lead-Zinc - Q&amp;V'!$E$8:$E$250,'Copper-Lead-Zinc - Q&amp;V'!$H$8:$H$250,LEFT('Q&amp;V FY 2003-04 to Now'!K$7,4),'Copper-Lead-Zinc - Q&amp;V'!$I$8:$I$250,3)+
SUMIFS('Copper-Lead-Zinc - Q&amp;V'!$E$8:$E$250,'Copper-Lead-Zinc - Q&amp;V'!$H$8:$H$250,LEFT('Q&amp;V FY 2003-04 to Now'!K$7,4),'Copper-Lead-Zinc - Q&amp;V'!$I$8:$I$250,4)+
SUMIFS('Copper-Lead-Zinc - Q&amp;V'!$E$8:$E$250,'Copper-Lead-Zinc - Q&amp;V'!$H$8:$H$250,CONCATENATE("20",RIGHT('Q&amp;V FY 2003-04 to Now'!K$7,2)),'Copper-Lead-Zinc - Q&amp;V'!$I$8:$I$250,1)+
SUMIFS('Copper-Lead-Zinc - Q&amp;V'!$E$8:$E$250,'Copper-Lead-Zinc - Q&amp;V'!$H$8:$H$250,CONCATENATE("20",RIGHT('Q&amp;V FY 2003-04 to Now'!K$7,2)),'Copper-Lead-Zinc - Q&amp;V'!$I$8:$I$250,2))*1000000</f>
        <v>63313165.580000006</v>
      </c>
      <c r="M18" s="183">
        <f>(SUMIFS('Copper-Lead-Zinc - Q&amp;V'!$D$8:$D$250,'Copper-Lead-Zinc - Q&amp;V'!$H$8:$H$250,LEFT('Q&amp;V FY 2003-04 to Now'!M$7,4),'Copper-Lead-Zinc - Q&amp;V'!$I$8:$I$250,3)+
SUMIFS('Copper-Lead-Zinc - Q&amp;V'!$D$8:$D$250,'Copper-Lead-Zinc - Q&amp;V'!$H$8:$H$250,LEFT('Q&amp;V FY 2003-04 to Now'!M$7:N$7,4),'Copper-Lead-Zinc - Q&amp;V'!$I$8:$I$250,4)+
SUMIFS('Copper-Lead-Zinc - Q&amp;V'!$D$8:$D$250,'Copper-Lead-Zinc - Q&amp;V'!$H$8:$H$250,CONCATENATE("20",RIGHT('Q&amp;V FY 2003-04 to Now'!M$7,2)),'Copper-Lead-Zinc - Q&amp;V'!$I$8:$I$250,1)+
SUMIFS('Copper-Lead-Zinc - Q&amp;V'!$D$8:$D$250,'Copper-Lead-Zinc - Q&amp;V'!$H$8:$H$250,CONCATENATE("20",RIGHT('Q&amp;V FY 2003-04 to Now'!M$7,2)),'Copper-Lead-Zinc - Q&amp;V'!$I$8:$I$250,2))*1000</f>
        <v>25203.105</v>
      </c>
      <c r="N18" s="183">
        <f>(SUMIFS('Copper-Lead-Zinc - Q&amp;V'!$E$8:$E$250,'Copper-Lead-Zinc - Q&amp;V'!$H$8:$H$250,LEFT('Q&amp;V FY 2003-04 to Now'!M$7,4),'Copper-Lead-Zinc - Q&amp;V'!$I$8:$I$250,3)+
SUMIFS('Copper-Lead-Zinc - Q&amp;V'!$E$8:$E$250,'Copper-Lead-Zinc - Q&amp;V'!$H$8:$H$250,LEFT('Q&amp;V FY 2003-04 to Now'!M$7,4),'Copper-Lead-Zinc - Q&amp;V'!$I$8:$I$250,4)+
SUMIFS('Copper-Lead-Zinc - Q&amp;V'!$E$8:$E$250,'Copper-Lead-Zinc - Q&amp;V'!$H$8:$H$250,CONCATENATE("20",RIGHT('Q&amp;V FY 2003-04 to Now'!M$7,2)),'Copper-Lead-Zinc - Q&amp;V'!$I$8:$I$250,1)+
SUMIFS('Copper-Lead-Zinc - Q&amp;V'!$E$8:$E$250,'Copper-Lead-Zinc - Q&amp;V'!$H$8:$H$250,CONCATENATE("20",RIGHT('Q&amp;V FY 2003-04 to Now'!M$7,2)),'Copper-Lead-Zinc - Q&amp;V'!$I$8:$I$250,2))*1000000</f>
        <v>42115327.649999999</v>
      </c>
      <c r="O18" s="183">
        <f>(SUMIFS('Copper-Lead-Zinc - Q&amp;V'!$D$8:$D$250,'Copper-Lead-Zinc - Q&amp;V'!$H$8:$H$250,LEFT('Q&amp;V FY 2003-04 to Now'!O$7,4),'Copper-Lead-Zinc - Q&amp;V'!$I$8:$I$250,3)+
SUMIFS('Copper-Lead-Zinc - Q&amp;V'!$D$8:$D$250,'Copper-Lead-Zinc - Q&amp;V'!$H$8:$H$250,LEFT('Q&amp;V FY 2003-04 to Now'!O$7:P$7,4),'Copper-Lead-Zinc - Q&amp;V'!$I$8:$I$250,4)+
SUMIFS('Copper-Lead-Zinc - Q&amp;V'!$D$8:$D$250,'Copper-Lead-Zinc - Q&amp;V'!$H$8:$H$250,CONCATENATE("20",RIGHT('Q&amp;V FY 2003-04 to Now'!O$7,2)),'Copper-Lead-Zinc - Q&amp;V'!$I$8:$I$250,1)+
SUMIFS('Copper-Lead-Zinc - Q&amp;V'!$D$8:$D$250,'Copper-Lead-Zinc - Q&amp;V'!$H$8:$H$250,CONCATENATE("20",RIGHT('Q&amp;V FY 2003-04 to Now'!O$7,2)),'Copper-Lead-Zinc - Q&amp;V'!$I$8:$I$250,2))*1000</f>
        <v>26011.457999999999</v>
      </c>
      <c r="P18" s="183">
        <f>(SUMIFS('Copper-Lead-Zinc - Q&amp;V'!$E$8:$E$250,'Copper-Lead-Zinc - Q&amp;V'!$H$8:$H$250,LEFT('Q&amp;V FY 2003-04 to Now'!O$7,4),'Copper-Lead-Zinc - Q&amp;V'!$I$8:$I$250,3)+
SUMIFS('Copper-Lead-Zinc - Q&amp;V'!$E$8:$E$250,'Copper-Lead-Zinc - Q&amp;V'!$H$8:$H$250,LEFT('Q&amp;V FY 2003-04 to Now'!O$7,4),'Copper-Lead-Zinc - Q&amp;V'!$I$8:$I$250,4)+
SUMIFS('Copper-Lead-Zinc - Q&amp;V'!$E$8:$E$250,'Copper-Lead-Zinc - Q&amp;V'!$H$8:$H$250,CONCATENATE("20",RIGHT('Q&amp;V FY 2003-04 to Now'!O$7,2)),'Copper-Lead-Zinc - Q&amp;V'!$I$8:$I$250,1)+
SUMIFS('Copper-Lead-Zinc - Q&amp;V'!$E$8:$E$250,'Copper-Lead-Zinc - Q&amp;V'!$H$8:$H$250,CONCATENATE("20",RIGHT('Q&amp;V FY 2003-04 to Now'!O$7,2)),'Copper-Lead-Zinc - Q&amp;V'!$I$8:$I$250,2))*1000000</f>
        <v>61554965.920000002</v>
      </c>
      <c r="Q18" s="183">
        <f>(SUMIFS('Copper-Lead-Zinc - Q&amp;V'!$D$8:$D$250,'Copper-Lead-Zinc - Q&amp;V'!$H$8:$H$250,LEFT('Q&amp;V FY 2003-04 to Now'!Q$7,4),'Copper-Lead-Zinc - Q&amp;V'!$I$8:$I$250,3)+
SUMIFS('Copper-Lead-Zinc - Q&amp;V'!$D$8:$D$250,'Copper-Lead-Zinc - Q&amp;V'!$H$8:$H$250,LEFT('Q&amp;V FY 2003-04 to Now'!Q$7:R$7,4),'Copper-Lead-Zinc - Q&amp;V'!$I$8:$I$250,4)+
SUMIFS('Copper-Lead-Zinc - Q&amp;V'!$D$8:$D$250,'Copper-Lead-Zinc - Q&amp;V'!$H$8:$H$250,CONCATENATE("20",RIGHT('Q&amp;V FY 2003-04 to Now'!Q$7,2)),'Copper-Lead-Zinc - Q&amp;V'!$I$8:$I$250,1)+
SUMIFS('Copper-Lead-Zinc - Q&amp;V'!$D$8:$D$250,'Copper-Lead-Zinc - Q&amp;V'!$H$8:$H$250,CONCATENATE("20",RIGHT('Q&amp;V FY 2003-04 to Now'!Q$7,2)),'Copper-Lead-Zinc - Q&amp;V'!$I$8:$I$250,2))*1000</f>
        <v>40763.701000000008</v>
      </c>
      <c r="R18" s="183">
        <f>(SUMIFS('Copper-Lead-Zinc - Q&amp;V'!$E$8:$E$250,'Copper-Lead-Zinc - Q&amp;V'!$H$8:$H$250,LEFT('Q&amp;V FY 2003-04 to Now'!Q$7,4),'Copper-Lead-Zinc - Q&amp;V'!$I$8:$I$250,3)+
SUMIFS('Copper-Lead-Zinc - Q&amp;V'!$E$8:$E$250,'Copper-Lead-Zinc - Q&amp;V'!$H$8:$H$250,LEFT('Q&amp;V FY 2003-04 to Now'!Q$7,4),'Copper-Lead-Zinc - Q&amp;V'!$I$8:$I$250,4)+
SUMIFS('Copper-Lead-Zinc - Q&amp;V'!$E$8:$E$250,'Copper-Lead-Zinc - Q&amp;V'!$H$8:$H$250,CONCATENATE("20",RIGHT('Q&amp;V FY 2003-04 to Now'!Q$7,2)),'Copper-Lead-Zinc - Q&amp;V'!$I$8:$I$250,1)+
SUMIFS('Copper-Lead-Zinc - Q&amp;V'!$E$8:$E$250,'Copper-Lead-Zinc - Q&amp;V'!$H$8:$H$250,CONCATENATE("20",RIGHT('Q&amp;V FY 2003-04 to Now'!Q$7,2)),'Copper-Lead-Zinc - Q&amp;V'!$I$8:$I$250,2))*1000000</f>
        <v>100068469.13</v>
      </c>
      <c r="S18" s="183">
        <f>(SUMIFS('Copper-Lead-Zinc - Q&amp;V'!$D$8:$D$250,'Copper-Lead-Zinc - Q&amp;V'!$H$8:$H$250,LEFT('Q&amp;V FY 2003-04 to Now'!S$7,4),'Copper-Lead-Zinc - Q&amp;V'!$I$8:$I$250,3)+
SUMIFS('Copper-Lead-Zinc - Q&amp;V'!$D$8:$D$250,'Copper-Lead-Zinc - Q&amp;V'!$H$8:$H$250,LEFT('Q&amp;V FY 2003-04 to Now'!S$7:T$7,4),'Copper-Lead-Zinc - Q&amp;V'!$I$8:$I$250,4)+
SUMIFS('Copper-Lead-Zinc - Q&amp;V'!$D$8:$D$250,'Copper-Lead-Zinc - Q&amp;V'!$H$8:$H$250,CONCATENATE("20",RIGHT('Q&amp;V FY 2003-04 to Now'!S$7,2)),'Copper-Lead-Zinc - Q&amp;V'!$I$8:$I$250,1)+
SUMIFS('Copper-Lead-Zinc - Q&amp;V'!$D$8:$D$250,'Copper-Lead-Zinc - Q&amp;V'!$H$8:$H$250,CONCATENATE("20",RIGHT('Q&amp;V FY 2003-04 to Now'!S$7,2)),'Copper-Lead-Zinc - Q&amp;V'!$I$8:$I$250,2))*1000</f>
        <v>6921.7059999999992</v>
      </c>
      <c r="T18" s="183">
        <f>(SUMIFS('Copper-Lead-Zinc - Q&amp;V'!$E$8:$E$250,'Copper-Lead-Zinc - Q&amp;V'!$H$8:$H$250,LEFT('Q&amp;V FY 2003-04 to Now'!S$7,4),'Copper-Lead-Zinc - Q&amp;V'!$I$8:$I$250,3)+
SUMIFS('Copper-Lead-Zinc - Q&amp;V'!$E$8:$E$250,'Copper-Lead-Zinc - Q&amp;V'!$H$8:$H$250,LEFT('Q&amp;V FY 2003-04 to Now'!S$7,4),'Copper-Lead-Zinc - Q&amp;V'!$I$8:$I$250,4)+
SUMIFS('Copper-Lead-Zinc - Q&amp;V'!$E$8:$E$250,'Copper-Lead-Zinc - Q&amp;V'!$H$8:$H$250,CONCATENATE("20",RIGHT('Q&amp;V FY 2003-04 to Now'!S$7,2)),'Copper-Lead-Zinc - Q&amp;V'!$I$8:$I$250,1)+
SUMIFS('Copper-Lead-Zinc - Q&amp;V'!$E$8:$E$250,'Copper-Lead-Zinc - Q&amp;V'!$H$8:$H$250,CONCATENATE("20",RIGHT('Q&amp;V FY 2003-04 to Now'!S$7,2)),'Copper-Lead-Zinc - Q&amp;V'!$I$8:$I$250,2))*1000000</f>
        <v>13839830.629999999</v>
      </c>
      <c r="U18" s="183">
        <f>(SUMIFS('Copper-Lead-Zinc - Q&amp;V'!$D$8:$D$250,'Copper-Lead-Zinc - Q&amp;V'!$H$8:$H$250,LEFT('Q&amp;V FY 2003-04 to Now'!U$7,4),'Copper-Lead-Zinc - Q&amp;V'!$I$8:$I$250,3)+
SUMIFS('Copper-Lead-Zinc - Q&amp;V'!$D$8:$D$250,'Copper-Lead-Zinc - Q&amp;V'!$H$8:$H$250,LEFT('Q&amp;V FY 2003-04 to Now'!U$7:V$7,4),'Copper-Lead-Zinc - Q&amp;V'!$I$8:$I$250,4)+
SUMIFS('Copper-Lead-Zinc - Q&amp;V'!$D$8:$D$250,'Copper-Lead-Zinc - Q&amp;V'!$H$8:$H$250,CONCATENATE("20",RIGHT('Q&amp;V FY 2003-04 to Now'!U$7,2)),'Copper-Lead-Zinc - Q&amp;V'!$I$8:$I$250,1)+
SUMIFS('Copper-Lead-Zinc - Q&amp;V'!$D$8:$D$250,'Copper-Lead-Zinc - Q&amp;V'!$H$8:$H$250,CONCATENATE("20",RIGHT('Q&amp;V FY 2003-04 to Now'!U$7,2)),'Copper-Lead-Zinc - Q&amp;V'!$I$8:$I$250,2))*1000</f>
        <v>16640.84</v>
      </c>
      <c r="V18" s="183">
        <f>(SUMIFS('Copper-Lead-Zinc - Q&amp;V'!$E$8:$E$250,'Copper-Lead-Zinc - Q&amp;V'!$H$8:$H$250,LEFT('Q&amp;V FY 2003-04 to Now'!U$7,4),'Copper-Lead-Zinc - Q&amp;V'!$I$8:$I$250,3)+
SUMIFS('Copper-Lead-Zinc - Q&amp;V'!$E$8:$E$250,'Copper-Lead-Zinc - Q&amp;V'!$H$8:$H$250,LEFT('Q&amp;V FY 2003-04 to Now'!U$7,4),'Copper-Lead-Zinc - Q&amp;V'!$I$8:$I$250,4)+
SUMIFS('Copper-Lead-Zinc - Q&amp;V'!$E$8:$E$250,'Copper-Lead-Zinc - Q&amp;V'!$H$8:$H$250,CONCATENATE("20",RIGHT('Q&amp;V FY 2003-04 to Now'!U$7,2)),'Copper-Lead-Zinc - Q&amp;V'!$I$8:$I$250,1)+
SUMIFS('Copper-Lead-Zinc - Q&amp;V'!$E$8:$E$250,'Copper-Lead-Zinc - Q&amp;V'!$H$8:$H$250,CONCATENATE("20",RIGHT('Q&amp;V FY 2003-04 to Now'!U$7,2)),'Copper-Lead-Zinc - Q&amp;V'!$I$8:$I$250,2))*1000000</f>
        <v>35049524.869999997</v>
      </c>
      <c r="W18" s="183">
        <f>(SUMIFS('Copper-Lead-Zinc - Q&amp;V'!$D$8:$D$250,'Copper-Lead-Zinc - Q&amp;V'!$H$8:$H$250,LEFT('Q&amp;V FY 2003-04 to Now'!W$7,4),'Copper-Lead-Zinc - Q&amp;V'!$I$8:$I$250,3)+
SUMIFS('Copper-Lead-Zinc - Q&amp;V'!$D$8:$D$250,'Copper-Lead-Zinc - Q&amp;V'!$H$8:$H$250,LEFT('Q&amp;V FY 2003-04 to Now'!W$7:X$7,4),'Copper-Lead-Zinc - Q&amp;V'!$I$8:$I$250,4)+
SUMIFS('Copper-Lead-Zinc - Q&amp;V'!$D$8:$D$250,'Copper-Lead-Zinc - Q&amp;V'!$H$8:$H$250,CONCATENATE("20",RIGHT('Q&amp;V FY 2003-04 to Now'!W$7,2)),'Copper-Lead-Zinc - Q&amp;V'!$I$8:$I$250,1)+
SUMIFS('Copper-Lead-Zinc - Q&amp;V'!$D$8:$D$250,'Copper-Lead-Zinc - Q&amp;V'!$H$8:$H$250,CONCATENATE("20",RIGHT('Q&amp;V FY 2003-04 to Now'!W$7,2)),'Copper-Lead-Zinc - Q&amp;V'!$I$8:$I$250,2))*1000</f>
        <v>78650.710000000006</v>
      </c>
      <c r="X18" s="183">
        <f>(SUMIFS('Copper-Lead-Zinc - Q&amp;V'!$E$8:$E$250,'Copper-Lead-Zinc - Q&amp;V'!$H$8:$H$250,LEFT('Q&amp;V FY 2003-04 to Now'!W$7,4),'Copper-Lead-Zinc - Q&amp;V'!$I$8:$I$250,3)+
SUMIFS('Copper-Lead-Zinc - Q&amp;V'!$E$8:$E$250,'Copper-Lead-Zinc - Q&amp;V'!$H$8:$H$250,LEFT('Q&amp;V FY 2003-04 to Now'!W$7,4),'Copper-Lead-Zinc - Q&amp;V'!$I$8:$I$250,4)+
SUMIFS('Copper-Lead-Zinc - Q&amp;V'!$E$8:$E$250,'Copper-Lead-Zinc - Q&amp;V'!$H$8:$H$250,CONCATENATE("20",RIGHT('Q&amp;V FY 2003-04 to Now'!W$7,2)),'Copper-Lead-Zinc - Q&amp;V'!$I$8:$I$250,1)+
SUMIFS('Copper-Lead-Zinc - Q&amp;V'!$E$8:$E$250,'Copper-Lead-Zinc - Q&amp;V'!$H$8:$H$250,CONCATENATE("20",RIGHT('Q&amp;V FY 2003-04 to Now'!W$7,2)),'Copper-Lead-Zinc - Q&amp;V'!$I$8:$I$250,2))*1000000</f>
        <v>178764058.99999997</v>
      </c>
      <c r="Y18" s="183">
        <f>(SUMIFS('Copper-Lead-Zinc - Q&amp;V'!$D$8:$D$250,'Copper-Lead-Zinc - Q&amp;V'!$H$8:$H$250,LEFT('Q&amp;V FY 2003-04 to Now'!Y$7,4),'Copper-Lead-Zinc - Q&amp;V'!$I$8:$I$250,3)+
SUMIFS('Copper-Lead-Zinc - Q&amp;V'!$D$8:$D$250,'Copper-Lead-Zinc - Q&amp;V'!$H$8:$H$250,LEFT('Q&amp;V FY 2003-04 to Now'!Y$7:Z$7,4),'Copper-Lead-Zinc - Q&amp;V'!$I$8:$I$250,4)+
SUMIFS('Copper-Lead-Zinc - Q&amp;V'!$D$8:$D$250,'Copper-Lead-Zinc - Q&amp;V'!$H$8:$H$250,CONCATENATE("20",RIGHT('Q&amp;V FY 2003-04 to Now'!Y$7,2)),'Copper-Lead-Zinc - Q&amp;V'!$I$8:$I$250,1)+
SUMIFS('Copper-Lead-Zinc - Q&amp;V'!$D$8:$D$250,'Copper-Lead-Zinc - Q&amp;V'!$H$8:$H$250,CONCATENATE("20",RIGHT('Q&amp;V FY 2003-04 to Now'!Y$7,2)),'Copper-Lead-Zinc - Q&amp;V'!$I$8:$I$250,2))*1000</f>
        <v>59248.420000000006</v>
      </c>
      <c r="Z18" s="183">
        <f>(SUMIFS('Copper-Lead-Zinc - Q&amp;V'!$E$8:$E$250,'Copper-Lead-Zinc - Q&amp;V'!$H$8:$H$250,LEFT('Q&amp;V FY 2003-04 to Now'!Y$7,4),'Copper-Lead-Zinc - Q&amp;V'!$I$8:$I$250,3)+
SUMIFS('Copper-Lead-Zinc - Q&amp;V'!$E$8:$E$250,'Copper-Lead-Zinc - Q&amp;V'!$H$8:$H$250,LEFT('Q&amp;V FY 2003-04 to Now'!Y$7,4),'Copper-Lead-Zinc - Q&amp;V'!$I$8:$I$250,4)+
SUMIFS('Copper-Lead-Zinc - Q&amp;V'!$E$8:$E$250,'Copper-Lead-Zinc - Q&amp;V'!$H$8:$H$250,CONCATENATE("20",RIGHT('Q&amp;V FY 2003-04 to Now'!Y$7,2)),'Copper-Lead-Zinc - Q&amp;V'!$I$8:$I$250,1)+
SUMIFS('Copper-Lead-Zinc - Q&amp;V'!$E$8:$E$250,'Copper-Lead-Zinc - Q&amp;V'!$H$8:$H$250,CONCATENATE("20",RIGHT('Q&amp;V FY 2003-04 to Now'!Y$7,2)),'Copper-Lead-Zinc - Q&amp;V'!$I$8:$I$250,2))*1000000</f>
        <v>137177304</v>
      </c>
      <c r="AA18" s="183">
        <f>(SUMIFS('Copper-Lead-Zinc - Q&amp;V'!$D$8:$D$250,'Copper-Lead-Zinc - Q&amp;V'!$H$8:$H$250,LEFT('Q&amp;V FY 2003-04 to Now'!AA$7,4),'Copper-Lead-Zinc - Q&amp;V'!$I$8:$I$250,3)+
SUMIFS('Copper-Lead-Zinc - Q&amp;V'!$D$8:$D$250,'Copper-Lead-Zinc - Q&amp;V'!$H$8:$H$250,LEFT('Q&amp;V FY 2003-04 to Now'!AA$7:AB$7,4),'Copper-Lead-Zinc - Q&amp;V'!$I$8:$I$250,4)+
SUMIFS('Copper-Lead-Zinc - Q&amp;V'!$D$8:$D$250,'Copper-Lead-Zinc - Q&amp;V'!$H$8:$H$250,CONCATENATE("20",RIGHT('Q&amp;V FY 2003-04 to Now'!AA$7,2)),'Copper-Lead-Zinc - Q&amp;V'!$I$8:$I$250,1)+
SUMIFS('Copper-Lead-Zinc - Q&amp;V'!$D$8:$D$250,'Copper-Lead-Zinc - Q&amp;V'!$H$8:$H$250,CONCATENATE("20",RIGHT('Q&amp;V FY 2003-04 to Now'!AA$7,2)),'Copper-Lead-Zinc - Q&amp;V'!$I$8:$I$250,2))*1000</f>
        <v>5988</v>
      </c>
      <c r="AB18" s="183">
        <f>(SUMIFS('Copper-Lead-Zinc - Q&amp;V'!$E$8:$E$250,'Copper-Lead-Zinc - Q&amp;V'!$H$8:$H$250,LEFT('Q&amp;V FY 2003-04 to Now'!AA$7,4),'Copper-Lead-Zinc - Q&amp;V'!$I$8:$I$250,3)+
SUMIFS('Copper-Lead-Zinc - Q&amp;V'!$E$8:$E$250,'Copper-Lead-Zinc - Q&amp;V'!$H$8:$H$250,LEFT('Q&amp;V FY 2003-04 to Now'!AA$7,4),'Copper-Lead-Zinc - Q&amp;V'!$I$8:$I$250,4)+
SUMIFS('Copper-Lead-Zinc - Q&amp;V'!$E$8:$E$250,'Copper-Lead-Zinc - Q&amp;V'!$H$8:$H$250,CONCATENATE("20",RIGHT('Q&amp;V FY 2003-04 to Now'!AA$7,2)),'Copper-Lead-Zinc - Q&amp;V'!$I$8:$I$250,1)+
SUMIFS('Copper-Lead-Zinc - Q&amp;V'!$E$8:$E$250,'Copper-Lead-Zinc - Q&amp;V'!$H$8:$H$250,CONCATENATE("20",RIGHT('Q&amp;V FY 2003-04 to Now'!AA$7,2)),'Copper-Lead-Zinc - Q&amp;V'!$I$8:$I$250,2))*1000000</f>
        <v>14810595</v>
      </c>
      <c r="AC18" s="183">
        <f>(SUMIFS('Copper-Lead-Zinc - Q&amp;V'!$D$8:$D$250,'Copper-Lead-Zinc - Q&amp;V'!$H$8:$H$250,LEFT('Q&amp;V FY 2003-04 to Now'!AC$7,4),'Copper-Lead-Zinc - Q&amp;V'!$I$8:$I$250,3)+
SUMIFS('Copper-Lead-Zinc - Q&amp;V'!$D$8:$D$250,'Copper-Lead-Zinc - Q&amp;V'!$H$8:$H$250,LEFT('Q&amp;V FY 2003-04 to Now'!AC$7:AD$7,4),'Copper-Lead-Zinc - Q&amp;V'!$I$8:$I$250,4)+
SUMIFS('Copper-Lead-Zinc - Q&amp;V'!$D$8:$D$250,'Copper-Lead-Zinc - Q&amp;V'!$H$8:$H$250,CONCATENATE("20",RIGHT('Q&amp;V FY 2003-04 to Now'!AC$7,2)),'Copper-Lead-Zinc - Q&amp;V'!$I$8:$I$250,1)+
SUMIFS('Copper-Lead-Zinc - Q&amp;V'!$D$8:$D$250,'Copper-Lead-Zinc - Q&amp;V'!$H$8:$H$250,CONCATENATE("20",RIGHT('Q&amp;V FY 2003-04 to Now'!AC$7,2)),'Copper-Lead-Zinc - Q&amp;V'!$I$8:$I$250,2))*1000</f>
        <v>3507.4799999999996</v>
      </c>
      <c r="AD18" s="183">
        <f>(SUMIFS('Copper-Lead-Zinc - Q&amp;V'!$E$8:$E$250,'Copper-Lead-Zinc - Q&amp;V'!$H$8:$H$250,LEFT('Q&amp;V FY 2003-04 to Now'!AC$7,4),'Copper-Lead-Zinc - Q&amp;V'!$I$8:$I$250,3)+
SUMIFS('Copper-Lead-Zinc - Q&amp;V'!$E$8:$E$250,'Copper-Lead-Zinc - Q&amp;V'!$H$8:$H$250,LEFT('Q&amp;V FY 2003-04 to Now'!AC$7,4),'Copper-Lead-Zinc - Q&amp;V'!$I$8:$I$250,4)+
SUMIFS('Copper-Lead-Zinc - Q&amp;V'!$E$8:$E$250,'Copper-Lead-Zinc - Q&amp;V'!$H$8:$H$250,CONCATENATE("20",RIGHT('Q&amp;V FY 2003-04 to Now'!AC$7,2)),'Copper-Lead-Zinc - Q&amp;V'!$I$8:$I$250,1)+
SUMIFS('Copper-Lead-Zinc - Q&amp;V'!$E$8:$E$250,'Copper-Lead-Zinc - Q&amp;V'!$H$8:$H$250,CONCATENATE("20",RIGHT('Q&amp;V FY 2003-04 to Now'!AC$7,2)),'Copper-Lead-Zinc - Q&amp;V'!$I$8:$I$250,2))*1000000</f>
        <v>10146717</v>
      </c>
      <c r="AE18" s="715">
        <f>(SUMIFS('Copper-Lead-Zinc - Q&amp;V'!$D$8:$D$250,'Copper-Lead-Zinc - Q&amp;V'!$H$8:$H$250,LEFT('Q&amp;V FY 2003-04 to Now'!AE$7,4),'Copper-Lead-Zinc - Q&amp;V'!$I$8:$I$250,3)+
SUMIFS('Copper-Lead-Zinc - Q&amp;V'!$D$8:$D$250,'Copper-Lead-Zinc - Q&amp;V'!$H$8:$H$250,LEFT('Q&amp;V FY 2003-04 to Now'!AE$7:AF$7,4),'Copper-Lead-Zinc - Q&amp;V'!$I$8:$I$250,4)+
SUMIFS('Copper-Lead-Zinc - Q&amp;V'!$D$8:$D$250,'Copper-Lead-Zinc - Q&amp;V'!$H$8:$H$250,CONCATENATE("20",RIGHT('Q&amp;V FY 2003-04 to Now'!AE$7,2)),'Copper-Lead-Zinc - Q&amp;V'!$I$8:$I$250,1)+
SUMIFS('Copper-Lead-Zinc - Q&amp;V'!$D$8:$D$250,'Copper-Lead-Zinc - Q&amp;V'!$H$8:$H$250,CONCATENATE("20",RIGHT('Q&amp;V FY 2003-04 to Now'!AE$7,2)),'Copper-Lead-Zinc - Q&amp;V'!$I$8:$I$250,2))*1000</f>
        <v>7397.2800000000007</v>
      </c>
      <c r="AF18" s="183">
        <f>(SUMIFS('Copper-Lead-Zinc - Q&amp;V'!$E$8:$E$250,'Copper-Lead-Zinc - Q&amp;V'!$H$8:$H$250,LEFT('Q&amp;V FY 2003-04 to Now'!AE$7,4),'Copper-Lead-Zinc - Q&amp;V'!$I$8:$I$250,3)+
SUMIFS('Copper-Lead-Zinc - Q&amp;V'!$E$8:$E$250,'Copper-Lead-Zinc - Q&amp;V'!$H$8:$H$250,LEFT('Q&amp;V FY 2003-04 to Now'!AE$7,4),'Copper-Lead-Zinc - Q&amp;V'!$I$8:$I$250,4)+
SUMIFS('Copper-Lead-Zinc - Q&amp;V'!$E$8:$E$250,'Copper-Lead-Zinc - Q&amp;V'!$H$8:$H$250,CONCATENATE("20",RIGHT('Q&amp;V FY 2003-04 to Now'!AE$7,2)),'Copper-Lead-Zinc - Q&amp;V'!$I$8:$I$250,1)+
SUMIFS('Copper-Lead-Zinc - Q&amp;V'!$E$8:$E$250,'Copper-Lead-Zinc - Q&amp;V'!$H$8:$H$250,CONCATENATE("20",RIGHT('Q&amp;V FY 2003-04 to Now'!AE$7,2)),'Copper-Lead-Zinc - Q&amp;V'!$I$8:$I$250,2))*1000000</f>
        <v>22799222.999999996</v>
      </c>
      <c r="AG18" s="715">
        <f>(SUMIFS('Copper-Lead-Zinc - Q&amp;V'!$D$8:$D$250,'Copper-Lead-Zinc - Q&amp;V'!$H$8:$H$250,LEFT('Q&amp;V FY 2003-04 to Now'!AG$7,4),'Copper-Lead-Zinc - Q&amp;V'!$I$8:$I$250,3)+
SUMIFS('Copper-Lead-Zinc - Q&amp;V'!$D$8:$D$250,'Copper-Lead-Zinc - Q&amp;V'!$H$8:$H$250,LEFT('Q&amp;V FY 2003-04 to Now'!AG$7:AH$7,4),'Copper-Lead-Zinc - Q&amp;V'!$I$8:$I$250,4)+
SUMIFS('Copper-Lead-Zinc - Q&amp;V'!$D$8:$D$250,'Copper-Lead-Zinc - Q&amp;V'!$H$8:$H$250,CONCATENATE("20",RIGHT('Q&amp;V FY 2003-04 to Now'!AG$7,2)),'Copper-Lead-Zinc - Q&amp;V'!$I$8:$I$250,1)+
SUMIFS('Copper-Lead-Zinc - Q&amp;V'!$D$8:$D$250,'Copper-Lead-Zinc - Q&amp;V'!$H$8:$H$250,CONCATENATE("20",RIGHT('Q&amp;V FY 2003-04 to Now'!AG$7,2)),'Copper-Lead-Zinc - Q&amp;V'!$I$8:$I$250,2))*1000</f>
        <v>4852.01</v>
      </c>
      <c r="AH18" s="1354">
        <f>(SUMIFS('Copper-Lead-Zinc - Q&amp;V'!$E$8:$E$250,'Copper-Lead-Zinc - Q&amp;V'!$H$8:$H$250,LEFT('Q&amp;V FY 2003-04 to Now'!AG$7,4),'Copper-Lead-Zinc - Q&amp;V'!$I$8:$I$250,3)+
SUMIFS('Copper-Lead-Zinc - Q&amp;V'!$E$8:$E$250,'Copper-Lead-Zinc - Q&amp;V'!$H$8:$H$250,LEFT('Q&amp;V FY 2003-04 to Now'!AG$7,4),'Copper-Lead-Zinc - Q&amp;V'!$I$8:$I$250,4)+
SUMIFS('Copper-Lead-Zinc - Q&amp;V'!$E$8:$E$250,'Copper-Lead-Zinc - Q&amp;V'!$H$8:$H$250,CONCATENATE("20",RIGHT('Q&amp;V FY 2003-04 to Now'!AG$7,2)),'Copper-Lead-Zinc - Q&amp;V'!$I$8:$I$250,1)+
SUMIFS('Copper-Lead-Zinc - Q&amp;V'!$E$8:$E$250,'Copper-Lead-Zinc - Q&amp;V'!$H$8:$H$250,CONCATENATE("20",RIGHT('Q&amp;V FY 2003-04 to Now'!AG$7,2)),'Copper-Lead-Zinc - Q&amp;V'!$I$8:$I$250,2))*1000000</f>
        <v>13344177.000000002</v>
      </c>
      <c r="AI18" s="1353">
        <f>(SUMIFS('Copper-Lead-Zinc - Q&amp;V'!$D$8:$D$250,'Copper-Lead-Zinc - Q&amp;V'!$H$8:$H$250,LEFT('Q&amp;V FY 2003-04 to Now'!AI$7,4),'Copper-Lead-Zinc - Q&amp;V'!$I$8:$I$250,3)+
SUMIFS('Copper-Lead-Zinc - Q&amp;V'!$D$8:$D$250,'Copper-Lead-Zinc - Q&amp;V'!$H$8:$H$250,LEFT('Q&amp;V FY 2003-04 to Now'!AI$7:AJ$7,4),'Copper-Lead-Zinc - Q&amp;V'!$I$8:$I$250,4)+
SUMIFS('Copper-Lead-Zinc - Q&amp;V'!$D$8:$D$250,'Copper-Lead-Zinc - Q&amp;V'!$H$8:$H$250,CONCATENATE("20",RIGHT('Q&amp;V FY 2003-04 to Now'!AI$7,2)),'Copper-Lead-Zinc - Q&amp;V'!$I$8:$I$250,1)+
SUMIFS('Copper-Lead-Zinc - Q&amp;V'!$D$8:$D$250,'Copper-Lead-Zinc - Q&amp;V'!$H$8:$H$250,CONCATENATE("20",RIGHT('Q&amp;V FY 2003-04 to Now'!AI$7,2)),'Copper-Lead-Zinc - Q&amp;V'!$I$8:$I$250,2))*1000</f>
        <v>2775.3150000000001</v>
      </c>
      <c r="AJ18" s="1354">
        <f>(SUMIFS('Copper-Lead-Zinc - Q&amp;V'!$E$8:$E$250,'Copper-Lead-Zinc - Q&amp;V'!$H$8:$H$250,LEFT('Q&amp;V FY 2003-04 to Now'!AI$7,4),'Copper-Lead-Zinc - Q&amp;V'!$I$8:$I$250,3)+
SUMIFS('Copper-Lead-Zinc - Q&amp;V'!$E$8:$E$250,'Copper-Lead-Zinc - Q&amp;V'!$H$8:$H$250,LEFT('Q&amp;V FY 2003-04 to Now'!AI$7,4),'Copper-Lead-Zinc - Q&amp;V'!$I$8:$I$250,4)+
SUMIFS('Copper-Lead-Zinc - Q&amp;V'!$E$8:$E$250,'Copper-Lead-Zinc - Q&amp;V'!$H$8:$H$250,CONCATENATE("20",RIGHT('Q&amp;V FY 2003-04 to Now'!AI$7,2)),'Copper-Lead-Zinc - Q&amp;V'!$I$8:$I$250,1)+
SUMIFS('Copper-Lead-Zinc - Q&amp;V'!$E$8:$E$250,'Copper-Lead-Zinc - Q&amp;V'!$H$8:$H$250,CONCATENATE("20",RIGHT('Q&amp;V FY 2003-04 to Now'!AI$7,2)),'Copper-Lead-Zinc - Q&amp;V'!$I$8:$I$250,2))*1000000</f>
        <v>7470739.9999999991</v>
      </c>
      <c r="AK18" s="1354">
        <f>(SUMIFS('Copper-Lead-Zinc - Q&amp;V'!$D$8:$D$250,'Copper-Lead-Zinc - Q&amp;V'!$H$8:$H$250,LEFT('Q&amp;V FY 2003-04 to Now'!AK$7,4),'Copper-Lead-Zinc - Q&amp;V'!$I$8:$I$250,3)+
SUMIFS('Copper-Lead-Zinc - Q&amp;V'!$D$8:$D$250,'Copper-Lead-Zinc - Q&amp;V'!$H$8:$H$250,LEFT('Q&amp;V FY 2003-04 to Now'!AK$7:AL$7,4),'Copper-Lead-Zinc - Q&amp;V'!$I$8:$I$250,4)+
SUMIFS('Copper-Lead-Zinc - Q&amp;V'!$D$8:$D$250,'Copper-Lead-Zinc - Q&amp;V'!$H$8:$H$250,CONCATENATE("20",RIGHT('Q&amp;V FY 2003-04 to Now'!AK$7,2)),'Copper-Lead-Zinc - Q&amp;V'!$I$8:$I$250,1)+
SUMIFS('Copper-Lead-Zinc - Q&amp;V'!$D$8:$D$250,'Copper-Lead-Zinc - Q&amp;V'!$H$8:$H$250,CONCATENATE("20",RIGHT('Q&amp;V FY 2003-04 to Now'!AK$7,2)),'Copper-Lead-Zinc - Q&amp;V'!$I$8:$I$250,2))*1000</f>
        <v>0</v>
      </c>
      <c r="AL18" s="1354">
        <f>(SUMIFS('Copper-Lead-Zinc - Q&amp;V'!$E$8:$E$250,'Copper-Lead-Zinc - Q&amp;V'!$H$8:$H$250,LEFT('Q&amp;V FY 2003-04 to Now'!AK$7,4),'Copper-Lead-Zinc - Q&amp;V'!$I$8:$I$250,3)+
SUMIFS('Copper-Lead-Zinc - Q&amp;V'!$E$8:$E$250,'Copper-Lead-Zinc - Q&amp;V'!$H$8:$H$250,LEFT('Q&amp;V FY 2003-04 to Now'!AK$7,4),'Copper-Lead-Zinc - Q&amp;V'!$I$8:$I$250,4)+
SUMIFS('Copper-Lead-Zinc - Q&amp;V'!$E$8:$E$250,'Copper-Lead-Zinc - Q&amp;V'!$H$8:$H$250,CONCATENATE("20",RIGHT('Q&amp;V FY 2003-04 to Now'!AK$7,2)),'Copper-Lead-Zinc - Q&amp;V'!$I$8:$I$250,1)+
SUMIFS('Copper-Lead-Zinc - Q&amp;V'!$E$8:$E$250,'Copper-Lead-Zinc - Q&amp;V'!$H$8:$H$250,CONCATENATE("20",RIGHT('Q&amp;V FY 2003-04 to Now'!AK$7,2)),'Copper-Lead-Zinc - Q&amp;V'!$I$8:$I$250,2))*1000000</f>
        <v>0</v>
      </c>
      <c r="AM18" s="1354">
        <f>(SUMIFS('Copper-Lead-Zinc - Q&amp;V'!$D$8:$D$250,'Copper-Lead-Zinc - Q&amp;V'!$H$8:$H$250,LEFT('Q&amp;V FY 2003-04 to Now'!AM$7,4),'Copper-Lead-Zinc - Q&amp;V'!$I$8:$I$250,3)+
SUMIFS('Copper-Lead-Zinc - Q&amp;V'!$D$8:$D$250,'Copper-Lead-Zinc - Q&amp;V'!$H$8:$H$250,LEFT('Q&amp;V FY 2003-04 to Now'!AM$7:AN$7,4),'Copper-Lead-Zinc - Q&amp;V'!$I$8:$I$250,4)+
SUMIFS('Copper-Lead-Zinc - Q&amp;V'!$D$8:$D$250,'Copper-Lead-Zinc - Q&amp;V'!$H$8:$H$250,CONCATENATE("20",RIGHT('Q&amp;V FY 2003-04 to Now'!AM$7,2)),'Copper-Lead-Zinc - Q&amp;V'!$I$8:$I$250,1)+
SUMIFS('Copper-Lead-Zinc - Q&amp;V'!$D$8:$D$250,'Copper-Lead-Zinc - Q&amp;V'!$H$8:$H$250,CONCATENATE("20",RIGHT('Q&amp;V FY 2003-04 to Now'!AM$7,2)),'Copper-Lead-Zinc - Q&amp;V'!$I$8:$I$250,2))*1000</f>
        <v>1265.635</v>
      </c>
      <c r="AN18" s="1354">
        <f>(SUMIFS('Copper-Lead-Zinc - Q&amp;V'!$E$8:$E$250,'Copper-Lead-Zinc - Q&amp;V'!$H$8:$H$250,LEFT('Q&amp;V FY 2003-04 to Now'!AM$7,4),'Copper-Lead-Zinc - Q&amp;V'!$I$8:$I$250,3)+
SUMIFS('Copper-Lead-Zinc - Q&amp;V'!$E$8:$E$250,'Copper-Lead-Zinc - Q&amp;V'!$H$8:$H$250,LEFT('Q&amp;V FY 2003-04 to Now'!AM$7,4),'Copper-Lead-Zinc - Q&amp;V'!$I$8:$I$250,4)+
SUMIFS('Copper-Lead-Zinc - Q&amp;V'!$E$8:$E$250,'Copper-Lead-Zinc - Q&amp;V'!$H$8:$H$250,CONCATENATE("20",RIGHT('Q&amp;V FY 2003-04 to Now'!AM$7,2)),'Copper-Lead-Zinc - Q&amp;V'!$I$8:$I$250,1)+
SUMIFS('Copper-Lead-Zinc - Q&amp;V'!$E$8:$E$250,'Copper-Lead-Zinc - Q&amp;V'!$H$8:$H$250,CONCATENATE("20",RIGHT('Q&amp;V FY 2003-04 to Now'!AM$7,2)),'Copper-Lead-Zinc - Q&amp;V'!$I$8:$I$250,2))*1000000</f>
        <v>3968739</v>
      </c>
      <c r="AO18" s="1354">
        <f>(SUMIFS('Copper-Lead-Zinc - Q&amp;V'!$D$8:$D$250,'Copper-Lead-Zinc - Q&amp;V'!$H$8:$H$250,LEFT('Q&amp;V FY 2003-04 to Now'!AO$7,4),'Copper-Lead-Zinc - Q&amp;V'!$I$8:$I$250,3)+
SUMIFS('Copper-Lead-Zinc - Q&amp;V'!$D$8:$D$250,'Copper-Lead-Zinc - Q&amp;V'!$H$8:$H$250,LEFT('Q&amp;V FY 2003-04 to Now'!AO$7:AP$7,4),'Copper-Lead-Zinc - Q&amp;V'!$I$8:$I$250,4)+
SUMIFS('Copper-Lead-Zinc - Q&amp;V'!$D$8:$D$250,'Copper-Lead-Zinc - Q&amp;V'!$H$8:$H$250,CONCATENATE("20",RIGHT('Q&amp;V FY 2003-04 to Now'!AO$7,2)),'Copper-Lead-Zinc - Q&amp;V'!$I$8:$I$250,1)+
SUMIFS('Copper-Lead-Zinc - Q&amp;V'!$D$8:$D$250,'Copper-Lead-Zinc - Q&amp;V'!$H$8:$H$250,CONCATENATE("20",RIGHT('Q&amp;V FY 2003-04 to Now'!AO$7,2)),'Copper-Lead-Zinc - Q&amp;V'!$I$8:$I$250,2))*1000</f>
        <v>12741.852000000001</v>
      </c>
      <c r="AP18" s="1354">
        <f>(SUMIFS('Copper-Lead-Zinc - Q&amp;V'!$E$8:$E$250,'Copper-Lead-Zinc - Q&amp;V'!$H$8:$H$250,LEFT('Q&amp;V FY 2003-04 to Now'!AO$7,4),'Copper-Lead-Zinc - Q&amp;V'!$I$8:$I$250,3)+
SUMIFS('Copper-Lead-Zinc - Q&amp;V'!$E$8:$E$250,'Copper-Lead-Zinc - Q&amp;V'!$H$8:$H$250,LEFT('Q&amp;V FY 2003-04 to Now'!AO$7,4),'Copper-Lead-Zinc - Q&amp;V'!$I$8:$I$250,4)+
SUMIFS('Copper-Lead-Zinc - Q&amp;V'!$E$8:$E$250,'Copper-Lead-Zinc - Q&amp;V'!$H$8:$H$250,CONCATENATE("20",RIGHT('Q&amp;V FY 2003-04 to Now'!AO$7,2)),'Copper-Lead-Zinc - Q&amp;V'!$I$8:$I$250,1)+
SUMIFS('Copper-Lead-Zinc - Q&amp;V'!$E$8:$E$250,'Copper-Lead-Zinc - Q&amp;V'!$H$8:$H$250,CONCATENATE("20",RIGHT('Q&amp;V FY 2003-04 to Now'!AO$7,2)),'Copper-Lead-Zinc - Q&amp;V'!$I$8:$I$250,2))*1000000</f>
        <v>41052465.999999993</v>
      </c>
      <c r="AQ18" s="933">
        <f>SUMIF($C$9:AP$9,1,$C18:AP18)</f>
        <v>460364.30700000009</v>
      </c>
      <c r="AR18" s="214">
        <f>IF(COUNTIF($C18:AP18, "nfp")=0, SUMIF($C$9:AP$9,0,$C18:AP18), "nfp")</f>
        <v>973183645.28999996</v>
      </c>
      <c r="AT18" s="317"/>
      <c r="AU18" s="317"/>
      <c r="AV18" s="381"/>
      <c r="AW18" s="381"/>
    </row>
    <row r="19" spans="1:49">
      <c r="A19" s="262" t="s">
        <v>215</v>
      </c>
      <c r="B19" s="127" t="s">
        <v>67</v>
      </c>
      <c r="C19" s="183">
        <f>(SUMIFS('Copper-Lead-Zinc - Q&amp;V'!$F$8:$F$250,'Copper-Lead-Zinc - Q&amp;V'!$H$8:$H$250,LEFT('Q&amp;V FY 2003-04 to Now'!C$7,4),'Copper-Lead-Zinc - Q&amp;V'!$I$8:$I$250,3)+
SUMIFS('Copper-Lead-Zinc - Q&amp;V'!$F$8:$F$250,'Copper-Lead-Zinc - Q&amp;V'!$H$8:$H$250,LEFT('Q&amp;V FY 2003-04 to Now'!C$7:D$7,4),'Copper-Lead-Zinc - Q&amp;V'!$I$8:$I$250,4)+
SUMIFS('Copper-Lead-Zinc - Q&amp;V'!$F$8:$F$250,'Copper-Lead-Zinc - Q&amp;V'!$H$8:$H$250,CONCATENATE("20",RIGHT('Q&amp;V FY 2003-04 to Now'!C$7,2)),'Copper-Lead-Zinc - Q&amp;V'!$I$8:$I$250,1)+
SUMIFS('Copper-Lead-Zinc - Q&amp;V'!$F$8:$F$250,'Copper-Lead-Zinc - Q&amp;V'!$H$8:$H$250,CONCATENATE("20",RIGHT('Q&amp;V FY 2003-04 to Now'!C$7,2)),'Copper-Lead-Zinc - Q&amp;V'!$I$8:$I$250,2))*1000</f>
        <v>106476.63</v>
      </c>
      <c r="D19" s="183">
        <f>(SUMIFS('Copper-Lead-Zinc - Q&amp;V'!$G$8:$G$250,'Copper-Lead-Zinc - Q&amp;V'!$H$8:$H$250,LEFT('Q&amp;V FY 2003-04 to Now'!C$7,4),'Copper-Lead-Zinc - Q&amp;V'!$I$8:$I$250,3)+
SUMIFS('Copper-Lead-Zinc - Q&amp;V'!$G$8:$G$250,'Copper-Lead-Zinc - Q&amp;V'!$H$8:$H$250,LEFT('Q&amp;V FY 2003-04 to Now'!C$7,4),'Copper-Lead-Zinc - Q&amp;V'!$I$8:$I$250,4)+
SUMIFS('Copper-Lead-Zinc - Q&amp;V'!$G$8:$G$250,'Copper-Lead-Zinc - Q&amp;V'!$H$8:$H$250,CONCATENATE("20",RIGHT('Q&amp;V FY 2003-04 to Now'!C$7,2)),'Copper-Lead-Zinc - Q&amp;V'!$I$8:$I$250,1)+
SUMIFS('Copper-Lead-Zinc - Q&amp;V'!$G$8:$G$250,'Copper-Lead-Zinc - Q&amp;V'!$H$8:$H$250,CONCATENATE("20",RIGHT('Q&amp;V FY 2003-04 to Now'!C$7,2)),'Copper-Lead-Zinc - Q&amp;V'!$I$8:$I$250,2))*1000000</f>
        <v>102822632.67</v>
      </c>
      <c r="E19" s="183">
        <f>(SUMIFS('Copper-Lead-Zinc - Q&amp;V'!$F$8:$F$250,'Copper-Lead-Zinc - Q&amp;V'!$H$8:$H$250,LEFT('Q&amp;V FY 2003-04 to Now'!E$7,4),'Copper-Lead-Zinc - Q&amp;V'!$I$8:$I$250,3)+
SUMIFS('Copper-Lead-Zinc - Q&amp;V'!$F$8:$F$250,'Copper-Lead-Zinc - Q&amp;V'!$H$8:$H$250,LEFT('Q&amp;V FY 2003-04 to Now'!E$7:F$7,4),'Copper-Lead-Zinc - Q&amp;V'!$I$8:$I$250,4)+
SUMIFS('Copper-Lead-Zinc - Q&amp;V'!$F$8:$F$250,'Copper-Lead-Zinc - Q&amp;V'!$H$8:$H$250,CONCATENATE("20",RIGHT('Q&amp;V FY 2003-04 to Now'!E$7,2)),'Copper-Lead-Zinc - Q&amp;V'!$I$8:$I$250,1)+
SUMIFS('Copper-Lead-Zinc - Q&amp;V'!$F$8:$F$250,'Copper-Lead-Zinc - Q&amp;V'!$H$8:$H$250,CONCATENATE("20",RIGHT('Q&amp;V FY 2003-04 to Now'!E$7,2)),'Copper-Lead-Zinc - Q&amp;V'!$I$8:$I$250,2))*1000</f>
        <v>48400.89</v>
      </c>
      <c r="F19" s="183">
        <f>(SUMIFS('Copper-Lead-Zinc - Q&amp;V'!$G$8:$G$250,'Copper-Lead-Zinc - Q&amp;V'!$H$8:$H$250,LEFT('Q&amp;V FY 2003-04 to Now'!E$7,4),'Copper-Lead-Zinc - Q&amp;V'!$I$8:$I$250,3)+
SUMIFS('Copper-Lead-Zinc - Q&amp;V'!$G$8:$G$250,'Copper-Lead-Zinc - Q&amp;V'!$H$8:$H$250,LEFT('Q&amp;V FY 2003-04 to Now'!E$7,4),'Copper-Lead-Zinc - Q&amp;V'!$I$8:$I$250,4)+
SUMIFS('Copper-Lead-Zinc - Q&amp;V'!$G$8:$G$250,'Copper-Lead-Zinc - Q&amp;V'!$H$8:$H$250,CONCATENATE("20",RIGHT('Q&amp;V FY 2003-04 to Now'!E$7,2)),'Copper-Lead-Zinc - Q&amp;V'!$I$8:$I$250,1)+
SUMIFS('Copper-Lead-Zinc - Q&amp;V'!$G$8:$G$250,'Copper-Lead-Zinc - Q&amp;V'!$H$8:$H$250,CONCATENATE("20",RIGHT('Q&amp;V FY 2003-04 to Now'!E$7,2)),'Copper-Lead-Zinc - Q&amp;V'!$I$8:$I$250,2))*1000000</f>
        <v>72516304.789999992</v>
      </c>
      <c r="G19" s="183">
        <f>(SUMIFS('Copper-Lead-Zinc - Q&amp;V'!$F$8:$F$250,'Copper-Lead-Zinc - Q&amp;V'!$H$8:$H$250,LEFT('Q&amp;V FY 2003-04 to Now'!G$7,4),'Copper-Lead-Zinc - Q&amp;V'!$I$8:$I$250,3)+
SUMIFS('Copper-Lead-Zinc - Q&amp;V'!$F$8:$F$250,'Copper-Lead-Zinc - Q&amp;V'!$H$8:$H$250,LEFT('Q&amp;V FY 2003-04 to Now'!G$7:H$7,4),'Copper-Lead-Zinc - Q&amp;V'!$I$8:$I$250,4)+
SUMIFS('Copper-Lead-Zinc - Q&amp;V'!$F$8:$F$250,'Copper-Lead-Zinc - Q&amp;V'!$H$8:$H$250,CONCATENATE("20",RIGHT('Q&amp;V FY 2003-04 to Now'!G$7,2)),'Copper-Lead-Zinc - Q&amp;V'!$I$8:$I$250,1)+
SUMIFS('Copper-Lead-Zinc - Q&amp;V'!$F$8:$F$250,'Copper-Lead-Zinc - Q&amp;V'!$H$8:$H$250,CONCATENATE("20",RIGHT('Q&amp;V FY 2003-04 to Now'!G$7,2)),'Copper-Lead-Zinc - Q&amp;V'!$I$8:$I$250,2))*1000</f>
        <v>80007.273000000001</v>
      </c>
      <c r="H19" s="183">
        <f>(SUMIFS('Copper-Lead-Zinc - Q&amp;V'!$G$8:$G$250,'Copper-Lead-Zinc - Q&amp;V'!$H$8:$H$250,LEFT('Q&amp;V FY 2003-04 to Now'!G$7,4),'Copper-Lead-Zinc - Q&amp;V'!$I$8:$I$250,3)+
SUMIFS('Copper-Lead-Zinc - Q&amp;V'!$G$8:$G$250,'Copper-Lead-Zinc - Q&amp;V'!$H$8:$H$250,LEFT('Q&amp;V FY 2003-04 to Now'!G$7,4),'Copper-Lead-Zinc - Q&amp;V'!$I$8:$I$250,4)+
SUMIFS('Copper-Lead-Zinc - Q&amp;V'!$G$8:$G$250,'Copper-Lead-Zinc - Q&amp;V'!$H$8:$H$250,CONCATENATE("20",RIGHT('Q&amp;V FY 2003-04 to Now'!G$7,2)),'Copper-Lead-Zinc - Q&amp;V'!$I$8:$I$250,1)+
SUMIFS('Copper-Lead-Zinc - Q&amp;V'!$G$8:$G$250,'Copper-Lead-Zinc - Q&amp;V'!$H$8:$H$250,CONCATENATE("20",RIGHT('Q&amp;V FY 2003-04 to Now'!G$7,2)),'Copper-Lead-Zinc - Q&amp;V'!$I$8:$I$250,2))*1000000</f>
        <v>274244835.53000003</v>
      </c>
      <c r="I19" s="183">
        <f>(SUMIFS('Copper-Lead-Zinc - Q&amp;V'!$F$8:$F$250,'Copper-Lead-Zinc - Q&amp;V'!$H$8:$H$250,LEFT('Q&amp;V FY 2003-04 to Now'!I$7,4),'Copper-Lead-Zinc - Q&amp;V'!$I$8:$I$250,3)+
SUMIFS('Copper-Lead-Zinc - Q&amp;V'!$F$8:$F$250,'Copper-Lead-Zinc - Q&amp;V'!$H$8:$H$250,LEFT('Q&amp;V FY 2003-04 to Now'!I$7:J$7,4),'Copper-Lead-Zinc - Q&amp;V'!$I$8:$I$250,4)+
SUMIFS('Copper-Lead-Zinc - Q&amp;V'!$F$8:$F$250,'Copper-Lead-Zinc - Q&amp;V'!$H$8:$H$250,CONCATENATE("20",RIGHT('Q&amp;V FY 2003-04 to Now'!I$7,2)),'Copper-Lead-Zinc - Q&amp;V'!$I$8:$I$250,1)+
SUMIFS('Copper-Lead-Zinc - Q&amp;V'!$F$8:$F$250,'Copper-Lead-Zinc - Q&amp;V'!$H$8:$H$250,CONCATENATE("20",RIGHT('Q&amp;V FY 2003-04 to Now'!I$7,2)),'Copper-Lead-Zinc - Q&amp;V'!$I$8:$I$250,2))*1000</f>
        <v>122964.92499999999</v>
      </c>
      <c r="J19" s="183">
        <f>(SUMIFS('Copper-Lead-Zinc - Q&amp;V'!$G$8:$G$250,'Copper-Lead-Zinc - Q&amp;V'!$H$8:$H$250,LEFT('Q&amp;V FY 2003-04 to Now'!I$7,4),'Copper-Lead-Zinc - Q&amp;V'!$I$8:$I$250,3)+
SUMIFS('Copper-Lead-Zinc - Q&amp;V'!$G$8:$G$250,'Copper-Lead-Zinc - Q&amp;V'!$H$8:$H$250,LEFT('Q&amp;V FY 2003-04 to Now'!I$7,4),'Copper-Lead-Zinc - Q&amp;V'!$I$8:$I$250,4)+
SUMIFS('Copper-Lead-Zinc - Q&amp;V'!$G$8:$G$250,'Copper-Lead-Zinc - Q&amp;V'!$H$8:$H$250,CONCATENATE("20",RIGHT('Q&amp;V FY 2003-04 to Now'!I$7,2)),'Copper-Lead-Zinc - Q&amp;V'!$I$8:$I$250,1)+
SUMIFS('Copper-Lead-Zinc - Q&amp;V'!$G$8:$G$250,'Copper-Lead-Zinc - Q&amp;V'!$H$8:$H$250,CONCATENATE("20",RIGHT('Q&amp;V FY 2003-04 to Now'!I$7,2)),'Copper-Lead-Zinc - Q&amp;V'!$I$8:$I$250,2))*1000000</f>
        <v>539954783.70000005</v>
      </c>
      <c r="K19" s="183">
        <f>(SUMIFS('Copper-Lead-Zinc - Q&amp;V'!$F$8:$F$250,'Copper-Lead-Zinc - Q&amp;V'!$H$8:$H$250,LEFT('Q&amp;V FY 2003-04 to Now'!K$7,4),'Copper-Lead-Zinc - Q&amp;V'!$I$8:$I$250,3)+
SUMIFS('Copper-Lead-Zinc - Q&amp;V'!$F$8:$F$250,'Copper-Lead-Zinc - Q&amp;V'!$H$8:$H$250,LEFT('Q&amp;V FY 2003-04 to Now'!K$7:L$7,4),'Copper-Lead-Zinc - Q&amp;V'!$I$8:$I$250,4)+
SUMIFS('Copper-Lead-Zinc - Q&amp;V'!$F$8:$F$250,'Copper-Lead-Zinc - Q&amp;V'!$H$8:$H$250,CONCATENATE("20",RIGHT('Q&amp;V FY 2003-04 to Now'!K$7,2)),'Copper-Lead-Zinc - Q&amp;V'!$I$8:$I$250,1)+
SUMIFS('Copper-Lead-Zinc - Q&amp;V'!$F$8:$F$250,'Copper-Lead-Zinc - Q&amp;V'!$H$8:$H$250,CONCATENATE("20",RIGHT('Q&amp;V FY 2003-04 to Now'!K$7,2)),'Copper-Lead-Zinc - Q&amp;V'!$I$8:$I$250,2))*1000</f>
        <v>216018.26</v>
      </c>
      <c r="L19" s="183">
        <f>(SUMIFS('Copper-Lead-Zinc - Q&amp;V'!$G$8:$G$250,'Copper-Lead-Zinc - Q&amp;V'!$H$8:$H$250,LEFT('Q&amp;V FY 2003-04 to Now'!K$7,4),'Copper-Lead-Zinc - Q&amp;V'!$I$8:$I$250,3)+
SUMIFS('Copper-Lead-Zinc - Q&amp;V'!$G$8:$G$250,'Copper-Lead-Zinc - Q&amp;V'!$H$8:$H$250,LEFT('Q&amp;V FY 2003-04 to Now'!K$7,4),'Copper-Lead-Zinc - Q&amp;V'!$I$8:$I$250,4)+
SUMIFS('Copper-Lead-Zinc - Q&amp;V'!$G$8:$G$250,'Copper-Lead-Zinc - Q&amp;V'!$H$8:$H$250,CONCATENATE("20",RIGHT('Q&amp;V FY 2003-04 to Now'!K$7,2)),'Copper-Lead-Zinc - Q&amp;V'!$I$8:$I$250,1)+
SUMIFS('Copper-Lead-Zinc - Q&amp;V'!$G$8:$G$250,'Copper-Lead-Zinc - Q&amp;V'!$H$8:$H$250,CONCATENATE("20",RIGHT('Q&amp;V FY 2003-04 to Now'!K$7,2)),'Copper-Lead-Zinc - Q&amp;V'!$I$8:$I$250,2))*1000000</f>
        <v>415932401.48999995</v>
      </c>
      <c r="M19" s="183">
        <f>(SUMIFS('Copper-Lead-Zinc - Q&amp;V'!$F$8:$F$250,'Copper-Lead-Zinc - Q&amp;V'!$H$8:$H$250,LEFT('Q&amp;V FY 2003-04 to Now'!M$7,4),'Copper-Lead-Zinc - Q&amp;V'!$I$8:$I$250,3)+
SUMIFS('Copper-Lead-Zinc - Q&amp;V'!$F$8:$F$250,'Copper-Lead-Zinc - Q&amp;V'!$H$8:$H$250,LEFT('Q&amp;V FY 2003-04 to Now'!M$7:N$7,4),'Copper-Lead-Zinc - Q&amp;V'!$I$8:$I$250,4)+
SUMIFS('Copper-Lead-Zinc - Q&amp;V'!$F$8:$F$250,'Copper-Lead-Zinc - Q&amp;V'!$H$8:$H$250,CONCATENATE("20",RIGHT('Q&amp;V FY 2003-04 to Now'!M$7,2)),'Copper-Lead-Zinc - Q&amp;V'!$I$8:$I$250,1)+
SUMIFS('Copper-Lead-Zinc - Q&amp;V'!$F$8:$F$250,'Copper-Lead-Zinc - Q&amp;V'!$H$8:$H$250,CONCATENATE("20",RIGHT('Q&amp;V FY 2003-04 to Now'!M$7,2)),'Copper-Lead-Zinc - Q&amp;V'!$I$8:$I$250,2))*1000</f>
        <v>142610.24599999998</v>
      </c>
      <c r="N19" s="183">
        <f>(SUMIFS('Copper-Lead-Zinc - Q&amp;V'!$G$8:$G$250,'Copper-Lead-Zinc - Q&amp;V'!$H$8:$H$250,LEFT('Q&amp;V FY 2003-04 to Now'!M$7,4),'Copper-Lead-Zinc - Q&amp;V'!$I$8:$I$250,3)+
SUMIFS('Copper-Lead-Zinc - Q&amp;V'!$G$8:$G$250,'Copper-Lead-Zinc - Q&amp;V'!$H$8:$H$250,LEFT('Q&amp;V FY 2003-04 to Now'!M$7,4),'Copper-Lead-Zinc - Q&amp;V'!$I$8:$I$250,4)+
SUMIFS('Copper-Lead-Zinc - Q&amp;V'!$G$8:$G$250,'Copper-Lead-Zinc - Q&amp;V'!$H$8:$H$250,CONCATENATE("20",RIGHT('Q&amp;V FY 2003-04 to Now'!M$7,2)),'Copper-Lead-Zinc - Q&amp;V'!$I$8:$I$250,1)+
SUMIFS('Copper-Lead-Zinc - Q&amp;V'!$G$8:$G$250,'Copper-Lead-Zinc - Q&amp;V'!$H$8:$H$250,CONCATENATE("20",RIGHT('Q&amp;V FY 2003-04 to Now'!M$7,2)),'Copper-Lead-Zinc - Q&amp;V'!$I$8:$I$250,2))*1000000</f>
        <v>232603528.29000002</v>
      </c>
      <c r="O19" s="183">
        <f>(SUMIFS('Copper-Lead-Zinc - Q&amp;V'!$F$8:$F$250,'Copper-Lead-Zinc - Q&amp;V'!$H$8:$H$250,LEFT('Q&amp;V FY 2003-04 to Now'!O$7,4),'Copper-Lead-Zinc - Q&amp;V'!$I$8:$I$250,3)+
SUMIFS('Copper-Lead-Zinc - Q&amp;V'!$F$8:$F$250,'Copper-Lead-Zinc - Q&amp;V'!$H$8:$H$250,LEFT('Q&amp;V FY 2003-04 to Now'!O$7:P$7,4),'Copper-Lead-Zinc - Q&amp;V'!$I$8:$I$250,4)+
SUMIFS('Copper-Lead-Zinc - Q&amp;V'!$F$8:$F$250,'Copper-Lead-Zinc - Q&amp;V'!$H$8:$H$250,CONCATENATE("20",RIGHT('Q&amp;V FY 2003-04 to Now'!O$7,2)),'Copper-Lead-Zinc - Q&amp;V'!$I$8:$I$250,1)+
SUMIFS('Copper-Lead-Zinc - Q&amp;V'!$F$8:$F$250,'Copper-Lead-Zinc - Q&amp;V'!$H$8:$H$250,CONCATENATE("20",RIGHT('Q&amp;V FY 2003-04 to Now'!O$7,2)),'Copper-Lead-Zinc - Q&amp;V'!$I$8:$I$250,2))*1000</f>
        <v>87558.923999999999</v>
      </c>
      <c r="P19" s="183">
        <f>(SUMIFS('Copper-Lead-Zinc - Q&amp;V'!$G$8:$G$250,'Copper-Lead-Zinc - Q&amp;V'!$H$8:$H$250,LEFT('Q&amp;V FY 2003-04 to Now'!O$7,4),'Copper-Lead-Zinc - Q&amp;V'!$I$8:$I$250,3)+
SUMIFS('Copper-Lead-Zinc - Q&amp;V'!$G$8:$G$250,'Copper-Lead-Zinc - Q&amp;V'!$H$8:$H$250,LEFT('Q&amp;V FY 2003-04 to Now'!O$7,4),'Copper-Lead-Zinc - Q&amp;V'!$I$8:$I$250,4)+
SUMIFS('Copper-Lead-Zinc - Q&amp;V'!$G$8:$G$250,'Copper-Lead-Zinc - Q&amp;V'!$H$8:$H$250,CONCATENATE("20",RIGHT('Q&amp;V FY 2003-04 to Now'!O$7,2)),'Copper-Lead-Zinc - Q&amp;V'!$I$8:$I$250,1)+
SUMIFS('Copper-Lead-Zinc - Q&amp;V'!$G$8:$G$250,'Copper-Lead-Zinc - Q&amp;V'!$H$8:$H$250,CONCATENATE("20",RIGHT('Q&amp;V FY 2003-04 to Now'!O$7,2)),'Copper-Lead-Zinc - Q&amp;V'!$I$8:$I$250,2))*1000000</f>
        <v>210118736.43000001</v>
      </c>
      <c r="Q19" s="183">
        <f>(SUMIFS('Copper-Lead-Zinc - Q&amp;V'!$F$8:$F$250,'Copper-Lead-Zinc - Q&amp;V'!$H$8:$H$250,LEFT('Q&amp;V FY 2003-04 to Now'!Q$7,4),'Copper-Lead-Zinc - Q&amp;V'!$I$8:$I$250,3)+
SUMIFS('Copper-Lead-Zinc - Q&amp;V'!$F$8:$F$250,'Copper-Lead-Zinc - Q&amp;V'!$H$8:$H$250,LEFT('Q&amp;V FY 2003-04 to Now'!Q$7:R$7,4),'Copper-Lead-Zinc - Q&amp;V'!$I$8:$I$250,4)+
SUMIFS('Copper-Lead-Zinc - Q&amp;V'!$F$8:$F$250,'Copper-Lead-Zinc - Q&amp;V'!$H$8:$H$250,CONCATENATE("20",RIGHT('Q&amp;V FY 2003-04 to Now'!Q$7,2)),'Copper-Lead-Zinc - Q&amp;V'!$I$8:$I$250,1)+
SUMIFS('Copper-Lead-Zinc - Q&amp;V'!$F$8:$F$250,'Copper-Lead-Zinc - Q&amp;V'!$H$8:$H$250,CONCATENATE("20",RIGHT('Q&amp;V FY 2003-04 to Now'!Q$7,2)),'Copper-Lead-Zinc - Q&amp;V'!$I$8:$I$250,2))*1000</f>
        <v>70536.544999999984</v>
      </c>
      <c r="R19" s="183">
        <f>(SUMIFS('Copper-Lead-Zinc - Q&amp;V'!$G$8:$G$250,'Copper-Lead-Zinc - Q&amp;V'!$H$8:$H$250,LEFT('Q&amp;V FY 2003-04 to Now'!Q$7,4),'Copper-Lead-Zinc - Q&amp;V'!$I$8:$I$250,3)+
SUMIFS('Copper-Lead-Zinc - Q&amp;V'!$G$8:$G$250,'Copper-Lead-Zinc - Q&amp;V'!$H$8:$H$250,LEFT('Q&amp;V FY 2003-04 to Now'!Q$7,4),'Copper-Lead-Zinc - Q&amp;V'!$I$8:$I$250,4)+
SUMIFS('Copper-Lead-Zinc - Q&amp;V'!$G$8:$G$250,'Copper-Lead-Zinc - Q&amp;V'!$H$8:$H$250,CONCATENATE("20",RIGHT('Q&amp;V FY 2003-04 to Now'!Q$7,2)),'Copper-Lead-Zinc - Q&amp;V'!$I$8:$I$250,1)+
SUMIFS('Copper-Lead-Zinc - Q&amp;V'!$G$8:$G$250,'Copper-Lead-Zinc - Q&amp;V'!$H$8:$H$250,CONCATENATE("20",RIGHT('Q&amp;V FY 2003-04 to Now'!Q$7,2)),'Copper-Lead-Zinc - Q&amp;V'!$I$8:$I$250,2))*1000000</f>
        <v>162108264.53999999</v>
      </c>
      <c r="S19" s="183">
        <f>(SUMIFS('Copper-Lead-Zinc - Q&amp;V'!$F$8:$F$250,'Copper-Lead-Zinc - Q&amp;V'!$H$8:$H$250,LEFT('Q&amp;V FY 2003-04 to Now'!S$7,4),'Copper-Lead-Zinc - Q&amp;V'!$I$8:$I$250,3)+
SUMIFS('Copper-Lead-Zinc - Q&amp;V'!$F$8:$F$250,'Copper-Lead-Zinc - Q&amp;V'!$H$8:$H$250,LEFT('Q&amp;V FY 2003-04 to Now'!S$7:T$7,4),'Copper-Lead-Zinc - Q&amp;V'!$I$8:$I$250,4)+
SUMIFS('Copper-Lead-Zinc - Q&amp;V'!$F$8:$F$250,'Copper-Lead-Zinc - Q&amp;V'!$H$8:$H$250,CONCATENATE("20",RIGHT('Q&amp;V FY 2003-04 to Now'!S$7,2)),'Copper-Lead-Zinc - Q&amp;V'!$I$8:$I$250,1)+
SUMIFS('Copper-Lead-Zinc - Q&amp;V'!$F$8:$F$250,'Copper-Lead-Zinc - Q&amp;V'!$H$8:$H$250,CONCATENATE("20",RIGHT('Q&amp;V FY 2003-04 to Now'!S$7,2)),'Copper-Lead-Zinc - Q&amp;V'!$I$8:$I$250,2))*1000</f>
        <v>63503.200999999994</v>
      </c>
      <c r="T19" s="183">
        <f>(SUMIFS('Copper-Lead-Zinc - Q&amp;V'!$G$8:$G$250,'Copper-Lead-Zinc - Q&amp;V'!$H$8:$H$250,LEFT('Q&amp;V FY 2003-04 to Now'!S$7,4),'Copper-Lead-Zinc - Q&amp;V'!$I$8:$I$250,3)+
SUMIFS('Copper-Lead-Zinc - Q&amp;V'!$G$8:$G$250,'Copper-Lead-Zinc - Q&amp;V'!$H$8:$H$250,LEFT('Q&amp;V FY 2003-04 to Now'!S$7,4),'Copper-Lead-Zinc - Q&amp;V'!$I$8:$I$250,4)+
SUMIFS('Copper-Lead-Zinc - Q&amp;V'!$G$8:$G$250,'Copper-Lead-Zinc - Q&amp;V'!$H$8:$H$250,CONCATENATE("20",RIGHT('Q&amp;V FY 2003-04 to Now'!S$7,2)),'Copper-Lead-Zinc - Q&amp;V'!$I$8:$I$250,1)+
SUMIFS('Copper-Lead-Zinc - Q&amp;V'!$G$8:$G$250,'Copper-Lead-Zinc - Q&amp;V'!$H$8:$H$250,CONCATENATE("20",RIGHT('Q&amp;V FY 2003-04 to Now'!S$7,2)),'Copper-Lead-Zinc - Q&amp;V'!$I$8:$I$250,2))*1000000</f>
        <v>121984209.99999999</v>
      </c>
      <c r="U19" s="183">
        <f>(SUMIFS('Copper-Lead-Zinc - Q&amp;V'!$F$8:$F$250,'Copper-Lead-Zinc - Q&amp;V'!$H$8:$H$250,LEFT('Q&amp;V FY 2003-04 to Now'!U$7,4),'Copper-Lead-Zinc - Q&amp;V'!$I$8:$I$250,3)+
SUMIFS('Copper-Lead-Zinc - Q&amp;V'!$F$8:$F$250,'Copper-Lead-Zinc - Q&amp;V'!$H$8:$H$250,LEFT('Q&amp;V FY 2003-04 to Now'!U$7:V$7,4),'Copper-Lead-Zinc - Q&amp;V'!$I$8:$I$250,4)+
SUMIFS('Copper-Lead-Zinc - Q&amp;V'!$F$8:$F$250,'Copper-Lead-Zinc - Q&amp;V'!$H$8:$H$250,CONCATENATE("20",RIGHT('Q&amp;V FY 2003-04 to Now'!U$7,2)),'Copper-Lead-Zinc - Q&amp;V'!$I$8:$I$250,1)+
SUMIFS('Copper-Lead-Zinc - Q&amp;V'!$F$8:$F$250,'Copper-Lead-Zinc - Q&amp;V'!$H$8:$H$250,CONCATENATE("20",RIGHT('Q&amp;V FY 2003-04 to Now'!U$7,2)),'Copper-Lead-Zinc - Q&amp;V'!$I$8:$I$250,2))*1000</f>
        <v>55847.680000000008</v>
      </c>
      <c r="V19" s="183">
        <f>(SUMIFS('Copper-Lead-Zinc - Q&amp;V'!$G$8:$G$250,'Copper-Lead-Zinc - Q&amp;V'!$H$8:$H$250,LEFT('Q&amp;V FY 2003-04 to Now'!U$7,4),'Copper-Lead-Zinc - Q&amp;V'!$I$8:$I$250,3)+
SUMIFS('Copper-Lead-Zinc - Q&amp;V'!$G$8:$G$250,'Copper-Lead-Zinc - Q&amp;V'!$H$8:$H$250,LEFT('Q&amp;V FY 2003-04 to Now'!U$7,4),'Copper-Lead-Zinc - Q&amp;V'!$I$8:$I$250,4)+
SUMIFS('Copper-Lead-Zinc - Q&amp;V'!$G$8:$G$250,'Copper-Lead-Zinc - Q&amp;V'!$H$8:$H$250,CONCATENATE("20",RIGHT('Q&amp;V FY 2003-04 to Now'!U$7,2)),'Copper-Lead-Zinc - Q&amp;V'!$I$8:$I$250,1)+
SUMIFS('Copper-Lead-Zinc - Q&amp;V'!$G$8:$G$250,'Copper-Lead-Zinc - Q&amp;V'!$H$8:$H$250,CONCATENATE("20",RIGHT('Q&amp;V FY 2003-04 to Now'!U$7,2)),'Copper-Lead-Zinc - Q&amp;V'!$I$8:$I$250,2))*1000000</f>
        <v>103867912.58999999</v>
      </c>
      <c r="W19" s="183">
        <f>(SUMIFS('Copper-Lead-Zinc - Q&amp;V'!$F$8:$F$250,'Copper-Lead-Zinc - Q&amp;V'!$H$8:$H$250,LEFT('Q&amp;V FY 2003-04 to Now'!W$7,4),'Copper-Lead-Zinc - Q&amp;V'!$I$8:$I$250,3)+
SUMIFS('Copper-Lead-Zinc - Q&amp;V'!$F$8:$F$250,'Copper-Lead-Zinc - Q&amp;V'!$H$8:$H$250,LEFT('Q&amp;V FY 2003-04 to Now'!W$7:X$7,4),'Copper-Lead-Zinc - Q&amp;V'!$I$8:$I$250,4)+
SUMIFS('Copper-Lead-Zinc - Q&amp;V'!$F$8:$F$250,'Copper-Lead-Zinc - Q&amp;V'!$H$8:$H$250,CONCATENATE("20",RIGHT('Q&amp;V FY 2003-04 to Now'!W$7,2)),'Copper-Lead-Zinc - Q&amp;V'!$I$8:$I$250,1)+
SUMIFS('Copper-Lead-Zinc - Q&amp;V'!$F$8:$F$250,'Copper-Lead-Zinc - Q&amp;V'!$H$8:$H$250,CONCATENATE("20",RIGHT('Q&amp;V FY 2003-04 to Now'!W$7,2)),'Copper-Lead-Zinc - Q&amp;V'!$I$8:$I$250,2))*1000</f>
        <v>54060.29</v>
      </c>
      <c r="X19" s="183">
        <f>(SUMIFS('Copper-Lead-Zinc - Q&amp;V'!$G$8:$G$250,'Copper-Lead-Zinc - Q&amp;V'!$H$8:$H$250,LEFT('Q&amp;V FY 2003-04 to Now'!W$7,4),'Copper-Lead-Zinc - Q&amp;V'!$I$8:$I$250,3)+
SUMIFS('Copper-Lead-Zinc - Q&amp;V'!$G$8:$G$250,'Copper-Lead-Zinc - Q&amp;V'!$H$8:$H$250,LEFT('Q&amp;V FY 2003-04 to Now'!W$7,4),'Copper-Lead-Zinc - Q&amp;V'!$I$8:$I$250,4)+
SUMIFS('Copper-Lead-Zinc - Q&amp;V'!$G$8:$G$250,'Copper-Lead-Zinc - Q&amp;V'!$H$8:$H$250,CONCATENATE("20",RIGHT('Q&amp;V FY 2003-04 to Now'!W$7,2)),'Copper-Lead-Zinc - Q&amp;V'!$I$8:$I$250,1)+
SUMIFS('Copper-Lead-Zinc - Q&amp;V'!$G$8:$G$250,'Copper-Lead-Zinc - Q&amp;V'!$H$8:$H$250,CONCATENATE("20",RIGHT('Q&amp;V FY 2003-04 to Now'!W$7,2)),'Copper-Lead-Zinc - Q&amp;V'!$I$8:$I$250,2))*1000000</f>
        <v>118261575.99999999</v>
      </c>
      <c r="Y19" s="183">
        <f>(SUMIFS('Copper-Lead-Zinc - Q&amp;V'!$F$8:$F$250,'Copper-Lead-Zinc - Q&amp;V'!$H$8:$H$250,LEFT('Q&amp;V FY 2003-04 to Now'!Y$7,4),'Copper-Lead-Zinc - Q&amp;V'!$I$8:$I$250,3)+
SUMIFS('Copper-Lead-Zinc - Q&amp;V'!$F$8:$F$250,'Copper-Lead-Zinc - Q&amp;V'!$H$8:$H$250,LEFT('Q&amp;V FY 2003-04 to Now'!Y$7:Z$7,4),'Copper-Lead-Zinc - Q&amp;V'!$I$8:$I$250,4)+
SUMIFS('Copper-Lead-Zinc - Q&amp;V'!$F$8:$F$250,'Copper-Lead-Zinc - Q&amp;V'!$H$8:$H$250,CONCATENATE("20",RIGHT('Q&amp;V FY 2003-04 to Now'!Y$7,2)),'Copper-Lead-Zinc - Q&amp;V'!$I$8:$I$250,1)+
SUMIFS('Copper-Lead-Zinc - Q&amp;V'!$F$8:$F$250,'Copper-Lead-Zinc - Q&amp;V'!$H$8:$H$250,CONCATENATE("20",RIGHT('Q&amp;V FY 2003-04 to Now'!Y$7,2)),'Copper-Lead-Zinc - Q&amp;V'!$I$8:$I$250,2))*1000</f>
        <v>77830.909999999989</v>
      </c>
      <c r="Z19" s="183">
        <f>(SUMIFS('Copper-Lead-Zinc - Q&amp;V'!$G$8:$G$250,'Copper-Lead-Zinc - Q&amp;V'!$H$8:$H$250,LEFT('Q&amp;V FY 2003-04 to Now'!Y$7,4),'Copper-Lead-Zinc - Q&amp;V'!$I$8:$I$250,3)+
SUMIFS('Copper-Lead-Zinc - Q&amp;V'!$G$8:$G$250,'Copper-Lead-Zinc - Q&amp;V'!$H$8:$H$250,LEFT('Q&amp;V FY 2003-04 to Now'!Y$7,4),'Copper-Lead-Zinc - Q&amp;V'!$I$8:$I$250,4)+
SUMIFS('Copper-Lead-Zinc - Q&amp;V'!$G$8:$G$250,'Copper-Lead-Zinc - Q&amp;V'!$H$8:$H$250,CONCATENATE("20",RIGHT('Q&amp;V FY 2003-04 to Now'!Y$7,2)),'Copper-Lead-Zinc - Q&amp;V'!$I$8:$I$250,1)+
SUMIFS('Copper-Lead-Zinc - Q&amp;V'!$G$8:$G$250,'Copper-Lead-Zinc - Q&amp;V'!$H$8:$H$250,CONCATENATE("20",RIGHT('Q&amp;V FY 2003-04 to Now'!Y$7,2)),'Copper-Lead-Zinc - Q&amp;V'!$I$8:$I$250,2))*1000000</f>
        <v>197040406</v>
      </c>
      <c r="AA19" s="183">
        <f>(SUMIFS('Copper-Lead-Zinc - Q&amp;V'!$F$8:$F$250,'Copper-Lead-Zinc - Q&amp;V'!$H$8:$H$250,LEFT('Q&amp;V FY 2003-04 to Now'!AA$7,4),'Copper-Lead-Zinc - Q&amp;V'!$I$8:$I$250,3)+
SUMIFS('Copper-Lead-Zinc - Q&amp;V'!$F$8:$F$250,'Copper-Lead-Zinc - Q&amp;V'!$H$8:$H$250,LEFT('Q&amp;V FY 2003-04 to Now'!AA$7:AB$7,4),'Copper-Lead-Zinc - Q&amp;V'!$I$8:$I$250,4)+
SUMIFS('Copper-Lead-Zinc - Q&amp;V'!$F$8:$F$250,'Copper-Lead-Zinc - Q&amp;V'!$H$8:$H$250,CONCATENATE("20",RIGHT('Q&amp;V FY 2003-04 to Now'!AA$7,2)),'Copper-Lead-Zinc - Q&amp;V'!$I$8:$I$250,1)+
SUMIFS('Copper-Lead-Zinc - Q&amp;V'!$F$8:$F$250,'Copper-Lead-Zinc - Q&amp;V'!$H$8:$H$250,CONCATENATE("20",RIGHT('Q&amp;V FY 2003-04 to Now'!AA$7,2)),'Copper-Lead-Zinc - Q&amp;V'!$I$8:$I$250,2))*1000</f>
        <v>82675.94</v>
      </c>
      <c r="AB19" s="183">
        <f>(SUMIFS('Copper-Lead-Zinc - Q&amp;V'!$G$8:$G$250,'Copper-Lead-Zinc - Q&amp;V'!$H$8:$H$250,LEFT('Q&amp;V FY 2003-04 to Now'!AA$7,4),'Copper-Lead-Zinc - Q&amp;V'!$I$8:$I$250,3)+
SUMIFS('Copper-Lead-Zinc - Q&amp;V'!$G$8:$G$250,'Copper-Lead-Zinc - Q&amp;V'!$H$8:$H$250,LEFT('Q&amp;V FY 2003-04 to Now'!AA$7,4),'Copper-Lead-Zinc - Q&amp;V'!$I$8:$I$250,4)+
SUMIFS('Copper-Lead-Zinc - Q&amp;V'!$G$8:$G$250,'Copper-Lead-Zinc - Q&amp;V'!$H$8:$H$250,CONCATENATE("20",RIGHT('Q&amp;V FY 2003-04 to Now'!AA$7,2)),'Copper-Lead-Zinc - Q&amp;V'!$I$8:$I$250,1)+
SUMIFS('Copper-Lead-Zinc - Q&amp;V'!$G$8:$G$250,'Copper-Lead-Zinc - Q&amp;V'!$H$8:$H$250,CONCATENATE("20",RIGHT('Q&amp;V FY 2003-04 to Now'!AA$7,2)),'Copper-Lead-Zinc - Q&amp;V'!$I$8:$I$250,2))*1000000</f>
        <v>195494453</v>
      </c>
      <c r="AC19" s="183">
        <f>(SUMIFS('Copper-Lead-Zinc - Q&amp;V'!$F$8:$F$250,'Copper-Lead-Zinc - Q&amp;V'!$H$8:$H$250,LEFT('Q&amp;V FY 2003-04 to Now'!AC$7,4),'Copper-Lead-Zinc - Q&amp;V'!$I$8:$I$250,3)+
SUMIFS('Copper-Lead-Zinc - Q&amp;V'!$F$8:$F$250,'Copper-Lead-Zinc - Q&amp;V'!$H$8:$H$250,LEFT('Q&amp;V FY 2003-04 to Now'!AC$7:AD$7,4),'Copper-Lead-Zinc - Q&amp;V'!$I$8:$I$250,4)+
SUMIFS('Copper-Lead-Zinc - Q&amp;V'!$F$8:$F$250,'Copper-Lead-Zinc - Q&amp;V'!$H$8:$H$250,CONCATENATE("20",RIGHT('Q&amp;V FY 2003-04 to Now'!AC$7,2)),'Copper-Lead-Zinc - Q&amp;V'!$I$8:$I$250,1)+
SUMIFS('Copper-Lead-Zinc - Q&amp;V'!$F$8:$F$250,'Copper-Lead-Zinc - Q&amp;V'!$H$8:$H$250,CONCATENATE("20",RIGHT('Q&amp;V FY 2003-04 to Now'!AC$7,2)),'Copper-Lead-Zinc - Q&amp;V'!$I$8:$I$250,2))*1000</f>
        <v>82942.66</v>
      </c>
      <c r="AD19" s="183">
        <f>(SUMIFS('Copper-Lead-Zinc - Q&amp;V'!$G$8:$G$250,'Copper-Lead-Zinc - Q&amp;V'!$H$8:$H$250,LEFT('Q&amp;V FY 2003-04 to Now'!AC$7,4),'Copper-Lead-Zinc - Q&amp;V'!$I$8:$I$250,3)+
SUMIFS('Copper-Lead-Zinc - Q&amp;V'!$G$8:$G$250,'Copper-Lead-Zinc - Q&amp;V'!$H$8:$H$250,LEFT('Q&amp;V FY 2003-04 to Now'!AC$7,4),'Copper-Lead-Zinc - Q&amp;V'!$I$8:$I$250,4)+
SUMIFS('Copper-Lead-Zinc - Q&amp;V'!$G$8:$G$250,'Copper-Lead-Zinc - Q&amp;V'!$H$8:$H$250,CONCATENATE("20",RIGHT('Q&amp;V FY 2003-04 to Now'!AC$7,2)),'Copper-Lead-Zinc - Q&amp;V'!$I$8:$I$250,1)+
SUMIFS('Copper-Lead-Zinc - Q&amp;V'!$G$8:$G$250,'Copper-Lead-Zinc - Q&amp;V'!$H$8:$H$250,CONCATENATE("20",RIGHT('Q&amp;V FY 2003-04 to Now'!AC$7,2)),'Copper-Lead-Zinc - Q&amp;V'!$I$8:$I$250,2))*1000000</f>
        <v>204161259</v>
      </c>
      <c r="AE19" s="715">
        <f>(SUMIFS('Copper-Lead-Zinc - Q&amp;V'!$F$8:$F$250,'Copper-Lead-Zinc - Q&amp;V'!$H$8:$H$250,LEFT('Q&amp;V FY 2003-04 to Now'!AE$7,4),'Copper-Lead-Zinc - Q&amp;V'!$I$8:$I$250,3)+
SUMIFS('Copper-Lead-Zinc - Q&amp;V'!$F$8:$F$250,'Copper-Lead-Zinc - Q&amp;V'!$H$8:$H$250,LEFT('Q&amp;V FY 2003-04 to Now'!AE$7:AF$7,4),'Copper-Lead-Zinc - Q&amp;V'!$I$8:$I$250,4)+
SUMIFS('Copper-Lead-Zinc - Q&amp;V'!$F$8:$F$250,'Copper-Lead-Zinc - Q&amp;V'!$H$8:$H$250,CONCATENATE("20",RIGHT('Q&amp;V FY 2003-04 to Now'!AE$7,2)),'Copper-Lead-Zinc - Q&amp;V'!$I$8:$I$250,1)+
SUMIFS('Copper-Lead-Zinc - Q&amp;V'!$F$8:$F$250,'Copper-Lead-Zinc - Q&amp;V'!$H$8:$H$250,CONCATENATE("20",RIGHT('Q&amp;V FY 2003-04 to Now'!AE$7,2)),'Copper-Lead-Zinc - Q&amp;V'!$I$8:$I$250,2))*1000</f>
        <v>80507.706999999995</v>
      </c>
      <c r="AF19" s="183">
        <f>(SUMIFS('Copper-Lead-Zinc - Q&amp;V'!$G$8:$G$250,'Copper-Lead-Zinc - Q&amp;V'!$H$8:$H$250,LEFT('Q&amp;V FY 2003-04 to Now'!AE$7,4),'Copper-Lead-Zinc - Q&amp;V'!$I$8:$I$250,3)+
SUMIFS('Copper-Lead-Zinc - Q&amp;V'!$G$8:$G$250,'Copper-Lead-Zinc - Q&amp;V'!$H$8:$H$250,LEFT('Q&amp;V FY 2003-04 to Now'!AE$7,4),'Copper-Lead-Zinc - Q&amp;V'!$I$8:$I$250,4)+
SUMIFS('Copper-Lead-Zinc - Q&amp;V'!$G$8:$G$250,'Copper-Lead-Zinc - Q&amp;V'!$H$8:$H$250,CONCATENATE("20",RIGHT('Q&amp;V FY 2003-04 to Now'!AE$7,2)),'Copper-Lead-Zinc - Q&amp;V'!$I$8:$I$250,1)+
SUMIFS('Copper-Lead-Zinc - Q&amp;V'!$G$8:$G$250,'Copper-Lead-Zinc - Q&amp;V'!$H$8:$H$250,CONCATENATE("20",RIGHT('Q&amp;V FY 2003-04 to Now'!AE$7,2)),'Copper-Lead-Zinc - Q&amp;V'!$I$8:$I$250,2))*1000000</f>
        <v>323504398</v>
      </c>
      <c r="AG19" s="715">
        <f>(SUMIFS('Copper-Lead-Zinc - Q&amp;V'!$F$8:$F$250,'Copper-Lead-Zinc - Q&amp;V'!$H$8:$H$250,LEFT('Q&amp;V FY 2003-04 to Now'!AG$7,4),'Copper-Lead-Zinc - Q&amp;V'!$I$8:$I$250,3)+
SUMIFS('Copper-Lead-Zinc - Q&amp;V'!$F$8:$F$250,'Copper-Lead-Zinc - Q&amp;V'!$H$8:$H$250,LEFT('Q&amp;V FY 2003-04 to Now'!AG$7:AH$7,4),'Copper-Lead-Zinc - Q&amp;V'!$I$8:$I$250,4)+
SUMIFS('Copper-Lead-Zinc - Q&amp;V'!$F$8:$F$250,'Copper-Lead-Zinc - Q&amp;V'!$H$8:$H$250,CONCATENATE("20",RIGHT('Q&amp;V FY 2003-04 to Now'!AG$7,2)),'Copper-Lead-Zinc - Q&amp;V'!$I$8:$I$250,1)+
SUMIFS('Copper-Lead-Zinc - Q&amp;V'!$F$8:$F$250,'Copper-Lead-Zinc - Q&amp;V'!$H$8:$H$250,CONCATENATE("20",RIGHT('Q&amp;V FY 2003-04 to Now'!AG$7,2)),'Copper-Lead-Zinc - Q&amp;V'!$I$8:$I$250,2))*1000</f>
        <v>71404.652999999991</v>
      </c>
      <c r="AH19" s="1354">
        <f>(SUMIFS('Copper-Lead-Zinc - Q&amp;V'!$G$8:$G$250,'Copper-Lead-Zinc - Q&amp;V'!$H$8:$H$250,LEFT('Q&amp;V FY 2003-04 to Now'!AG$7,4),'Copper-Lead-Zinc - Q&amp;V'!$I$8:$I$250,3)+
SUMIFS('Copper-Lead-Zinc - Q&amp;V'!$G$8:$G$250,'Copper-Lead-Zinc - Q&amp;V'!$H$8:$H$250,LEFT('Q&amp;V FY 2003-04 to Now'!AG$7,4),'Copper-Lead-Zinc - Q&amp;V'!$I$8:$I$250,4)+
SUMIFS('Copper-Lead-Zinc - Q&amp;V'!$G$8:$G$250,'Copper-Lead-Zinc - Q&amp;V'!$H$8:$H$250,CONCATENATE("20",RIGHT('Q&amp;V FY 2003-04 to Now'!AG$7,2)),'Copper-Lead-Zinc - Q&amp;V'!$I$8:$I$250,1)+
SUMIFS('Copper-Lead-Zinc - Q&amp;V'!$G$8:$G$250,'Copper-Lead-Zinc - Q&amp;V'!$H$8:$H$250,CONCATENATE("20",RIGHT('Q&amp;V FY 2003-04 to Now'!AG$7,2)),'Copper-Lead-Zinc - Q&amp;V'!$I$8:$I$250,2))*1000000</f>
        <v>263162702.99999997</v>
      </c>
      <c r="AI19" s="1353">
        <f>(SUMIFS('Copper-Lead-Zinc - Q&amp;V'!$F$8:$F$250,'Copper-Lead-Zinc - Q&amp;V'!$H$8:$H$250,LEFT('Q&amp;V FY 2003-04 to Now'!AI$7,4),'Copper-Lead-Zinc - Q&amp;V'!$I$8:$I$250,3)+
SUMIFS('Copper-Lead-Zinc - Q&amp;V'!$F$8:$F$250,'Copper-Lead-Zinc - Q&amp;V'!$H$8:$H$250,LEFT('Q&amp;V FY 2003-04 to Now'!AI$7:AJ$7,4),'Copper-Lead-Zinc - Q&amp;V'!$I$8:$I$250,4)+
SUMIFS('Copper-Lead-Zinc - Q&amp;V'!$F$8:$F$250,'Copper-Lead-Zinc - Q&amp;V'!$H$8:$H$250,CONCATENATE("20",RIGHT('Q&amp;V FY 2003-04 to Now'!AI$7,2)),'Copper-Lead-Zinc - Q&amp;V'!$I$8:$I$250,1)+
SUMIFS('Copper-Lead-Zinc - Q&amp;V'!$F$8:$F$250,'Copper-Lead-Zinc - Q&amp;V'!$H$8:$H$250,CONCATENATE("20",RIGHT('Q&amp;V FY 2003-04 to Now'!AI$7,2)),'Copper-Lead-Zinc - Q&amp;V'!$I$8:$I$250,2))*1000</f>
        <v>71770.606</v>
      </c>
      <c r="AJ19" s="1354">
        <f>(SUMIFS('Copper-Lead-Zinc - Q&amp;V'!$G$8:$G$250,'Copper-Lead-Zinc - Q&amp;V'!$H$8:$H$250,LEFT('Q&amp;V FY 2003-04 to Now'!AI$7,4),'Copper-Lead-Zinc - Q&amp;V'!$I$8:$I$250,3)+
SUMIFS('Copper-Lead-Zinc - Q&amp;V'!$G$8:$G$250,'Copper-Lead-Zinc - Q&amp;V'!$H$8:$H$250,LEFT('Q&amp;V FY 2003-04 to Now'!AI$7,4),'Copper-Lead-Zinc - Q&amp;V'!$I$8:$I$250,4)+
SUMIFS('Copper-Lead-Zinc - Q&amp;V'!$G$8:$G$250,'Copper-Lead-Zinc - Q&amp;V'!$H$8:$H$250,CONCATENATE("20",RIGHT('Q&amp;V FY 2003-04 to Now'!AI$7,2)),'Copper-Lead-Zinc - Q&amp;V'!$I$8:$I$250,1)+
SUMIFS('Copper-Lead-Zinc - Q&amp;V'!$G$8:$G$250,'Copper-Lead-Zinc - Q&amp;V'!$H$8:$H$250,CONCATENATE("20",RIGHT('Q&amp;V FY 2003-04 to Now'!AI$7,2)),'Copper-Lead-Zinc - Q&amp;V'!$I$8:$I$250,2))*1000000</f>
        <v>223321577</v>
      </c>
      <c r="AK19" s="1354">
        <f>(SUMIFS('Copper-Lead-Zinc - Q&amp;V'!$F$8:$F$250,'Copper-Lead-Zinc - Q&amp;V'!$H$8:$H$250,LEFT('Q&amp;V FY 2003-04 to Now'!AK$7,4),'Copper-Lead-Zinc - Q&amp;V'!$I$8:$I$250,3)+
SUMIFS('Copper-Lead-Zinc - Q&amp;V'!$F$8:$F$250,'Copper-Lead-Zinc - Q&amp;V'!$H$8:$H$250,LEFT('Q&amp;V FY 2003-04 to Now'!AK$7:AL$7,4),'Copper-Lead-Zinc - Q&amp;V'!$I$8:$I$250,4)+
SUMIFS('Copper-Lead-Zinc - Q&amp;V'!$F$8:$F$250,'Copper-Lead-Zinc - Q&amp;V'!$H$8:$H$250,CONCATENATE("20",RIGHT('Q&amp;V FY 2003-04 to Now'!AK$7,2)),'Copper-Lead-Zinc - Q&amp;V'!$I$8:$I$250,1)+
SUMIFS('Copper-Lead-Zinc - Q&amp;V'!$F$8:$F$250,'Copper-Lead-Zinc - Q&amp;V'!$H$8:$H$250,CONCATENATE("20",RIGHT('Q&amp;V FY 2003-04 to Now'!AK$7,2)),'Copper-Lead-Zinc - Q&amp;V'!$I$8:$I$250,2))*1000</f>
        <v>63746.924999999996</v>
      </c>
      <c r="AL19" s="1354">
        <f>(SUMIFS('Copper-Lead-Zinc - Q&amp;V'!$G$8:$G$250,'Copper-Lead-Zinc - Q&amp;V'!$H$8:$H$250,LEFT('Q&amp;V FY 2003-04 to Now'!AK$7,4),'Copper-Lead-Zinc - Q&amp;V'!$I$8:$I$250,3)+
SUMIFS('Copper-Lead-Zinc - Q&amp;V'!$G$8:$G$250,'Copper-Lead-Zinc - Q&amp;V'!$H$8:$H$250,LEFT('Q&amp;V FY 2003-04 to Now'!AK$7,4),'Copper-Lead-Zinc - Q&amp;V'!$I$8:$I$250,4)+
SUMIFS('Copper-Lead-Zinc - Q&amp;V'!$G$8:$G$250,'Copper-Lead-Zinc - Q&amp;V'!$H$8:$H$250,CONCATENATE("20",RIGHT('Q&amp;V FY 2003-04 to Now'!AK$7,2)),'Copper-Lead-Zinc - Q&amp;V'!$I$8:$I$250,1)+
SUMIFS('Copper-Lead-Zinc - Q&amp;V'!$G$8:$G$250,'Copper-Lead-Zinc - Q&amp;V'!$H$8:$H$250,CONCATENATE("20",RIGHT('Q&amp;V FY 2003-04 to Now'!AK$7,2)),'Copper-Lead-Zinc - Q&amp;V'!$I$8:$I$250,2))*1000000</f>
        <v>231430143.99999997</v>
      </c>
      <c r="AM19" s="1354">
        <f>(SUMIFS('Copper-Lead-Zinc - Q&amp;V'!$F$8:$F$250,'Copper-Lead-Zinc - Q&amp;V'!$H$8:$H$250,LEFT('Q&amp;V FY 2003-04 to Now'!AM$7,4),'Copper-Lead-Zinc - Q&amp;V'!$I$8:$I$250,3)+
SUMIFS('Copper-Lead-Zinc - Q&amp;V'!$F$8:$F$250,'Copper-Lead-Zinc - Q&amp;V'!$H$8:$H$250,LEFT('Q&amp;V FY 2003-04 to Now'!AM$7:AN$7,4),'Copper-Lead-Zinc - Q&amp;V'!$I$8:$I$250,4)+
SUMIFS('Copper-Lead-Zinc - Q&amp;V'!$F$8:$F$250,'Copper-Lead-Zinc - Q&amp;V'!$H$8:$H$250,CONCATENATE("20",RIGHT('Q&amp;V FY 2003-04 to Now'!AM$7,2)),'Copper-Lead-Zinc - Q&amp;V'!$I$8:$I$250,1)+
SUMIFS('Copper-Lead-Zinc - Q&amp;V'!$F$8:$F$250,'Copper-Lead-Zinc - Q&amp;V'!$H$8:$H$250,CONCATENATE("20",RIGHT('Q&amp;V FY 2003-04 to Now'!AM$7,2)),'Copper-Lead-Zinc - Q&amp;V'!$I$8:$I$250,2))*1000</f>
        <v>73970.526000000013</v>
      </c>
      <c r="AN19" s="1354">
        <f>(SUMIFS('Copper-Lead-Zinc - Q&amp;V'!$G$8:$G$250,'Copper-Lead-Zinc - Q&amp;V'!$H$8:$H$250,LEFT('Q&amp;V FY 2003-04 to Now'!AM$7,4),'Copper-Lead-Zinc - Q&amp;V'!$I$8:$I$250,3)+
SUMIFS('Copper-Lead-Zinc - Q&amp;V'!$G$8:$G$250,'Copper-Lead-Zinc - Q&amp;V'!$H$8:$H$250,LEFT('Q&amp;V FY 2003-04 to Now'!AM$7,4),'Copper-Lead-Zinc - Q&amp;V'!$I$8:$I$250,4)+
SUMIFS('Copper-Lead-Zinc - Q&amp;V'!$G$8:$G$250,'Copper-Lead-Zinc - Q&amp;V'!$H$8:$H$250,CONCATENATE("20",RIGHT('Q&amp;V FY 2003-04 to Now'!AM$7,2)),'Copper-Lead-Zinc - Q&amp;V'!$I$8:$I$250,1)+
SUMIFS('Copper-Lead-Zinc - Q&amp;V'!$G$8:$G$250,'Copper-Lead-Zinc - Q&amp;V'!$H$8:$H$250,CONCATENATE("20",RIGHT('Q&amp;V FY 2003-04 to Now'!AM$7,2)),'Copper-Lead-Zinc - Q&amp;V'!$I$8:$I$250,2))*1000000</f>
        <v>349507226</v>
      </c>
      <c r="AO19" s="1354">
        <f>(SUMIFS('Copper-Lead-Zinc - Q&amp;V'!$F$8:$F$250,'Copper-Lead-Zinc - Q&amp;V'!$H$8:$H$250,LEFT('Q&amp;V FY 2003-04 to Now'!AO$7,4),'Copper-Lead-Zinc - Q&amp;V'!$I$8:$I$250,3)+
SUMIFS('Copper-Lead-Zinc - Q&amp;V'!$F$8:$F$250,'Copper-Lead-Zinc - Q&amp;V'!$H$8:$H$250,LEFT('Q&amp;V FY 2003-04 to Now'!AO$7:AP$7,4),'Copper-Lead-Zinc - Q&amp;V'!$I$8:$I$250,4)+
SUMIFS('Copper-Lead-Zinc - Q&amp;V'!$F$8:$F$250,'Copper-Lead-Zinc - Q&amp;V'!$H$8:$H$250,CONCATENATE("20",RIGHT('Q&amp;V FY 2003-04 to Now'!AO$7,2)),'Copper-Lead-Zinc - Q&amp;V'!$I$8:$I$250,1)+
SUMIFS('Copper-Lead-Zinc - Q&amp;V'!$F$8:$F$250,'Copper-Lead-Zinc - Q&amp;V'!$H$8:$H$250,CONCATENATE("20",RIGHT('Q&amp;V FY 2003-04 to Now'!AO$7,2)),'Copper-Lead-Zinc - Q&amp;V'!$I$8:$I$250,2))*1000</f>
        <v>62242.393000000004</v>
      </c>
      <c r="AP19" s="1354">
        <f>(SUMIFS('Copper-Lead-Zinc - Q&amp;V'!$G$8:$G$250,'Copper-Lead-Zinc - Q&amp;V'!$H$8:$H$250,LEFT('Q&amp;V FY 2003-04 to Now'!AO$7,4),'Copper-Lead-Zinc - Q&amp;V'!$I$8:$I$250,3)+
SUMIFS('Copper-Lead-Zinc - Q&amp;V'!$G$8:$G$250,'Copper-Lead-Zinc - Q&amp;V'!$H$8:$H$250,LEFT('Q&amp;V FY 2003-04 to Now'!AO$7,4),'Copper-Lead-Zinc - Q&amp;V'!$I$8:$I$250,4)+
SUMIFS('Copper-Lead-Zinc - Q&amp;V'!$G$8:$G$250,'Copper-Lead-Zinc - Q&amp;V'!$H$8:$H$250,CONCATENATE("20",RIGHT('Q&amp;V FY 2003-04 to Now'!AO$7,2)),'Copper-Lead-Zinc - Q&amp;V'!$I$8:$I$250,1)+
SUMIFS('Copper-Lead-Zinc - Q&amp;V'!$G$8:$G$250,'Copper-Lead-Zinc - Q&amp;V'!$H$8:$H$250,CONCATENATE("20",RIGHT('Q&amp;V FY 2003-04 to Now'!AO$7,2)),'Copper-Lead-Zinc - Q&amp;V'!$I$8:$I$250,2))*1000000</f>
        <v>265341546</v>
      </c>
      <c r="AQ19" s="933">
        <f>SUMIF($C$9:AP$9,1,$C19:AP19)</f>
        <v>1715077.1839999997</v>
      </c>
      <c r="AR19" s="214">
        <f>IF(COUNTIF($C19:AP19, "nfp")=0, SUMIF($C$9:AP$9,0,$C19:AP19), "nfp")</f>
        <v>4607378898.0300007</v>
      </c>
      <c r="AT19" s="317"/>
      <c r="AU19" s="317"/>
      <c r="AV19" s="381"/>
      <c r="AW19" s="381"/>
    </row>
    <row r="20" spans="1:49">
      <c r="A20" s="265" t="s">
        <v>494</v>
      </c>
      <c r="B20" s="161"/>
      <c r="C20" s="737"/>
      <c r="D20" s="738">
        <f>SUM(D17:D19)</f>
        <v>281716819.63999999</v>
      </c>
      <c r="E20" s="737"/>
      <c r="F20" s="738">
        <f>SUM(F17:F19)</f>
        <v>343201638.39999998</v>
      </c>
      <c r="G20" s="737"/>
      <c r="H20" s="738">
        <f>SUM(H17:H19)</f>
        <v>970329065.80999994</v>
      </c>
      <c r="I20" s="737"/>
      <c r="J20" s="738">
        <f>SUM(J17:J19)</f>
        <v>1619371265.5</v>
      </c>
      <c r="K20" s="737"/>
      <c r="L20" s="738">
        <f>SUM(L17:L19)</f>
        <v>1510380656.21</v>
      </c>
      <c r="M20" s="737"/>
      <c r="N20" s="738">
        <f>SUM(N17:N19)</f>
        <v>931437174.5</v>
      </c>
      <c r="O20" s="737"/>
      <c r="P20" s="738">
        <f>SUM(P17:P19)</f>
        <v>1444150153.1100001</v>
      </c>
      <c r="Q20" s="737"/>
      <c r="R20" s="738">
        <f>SUM(R17:R19)</f>
        <v>1594532883.9000001</v>
      </c>
      <c r="S20" s="737"/>
      <c r="T20" s="738">
        <f>SUM(T17:T19)</f>
        <v>1316603739.99</v>
      </c>
      <c r="U20" s="737"/>
      <c r="V20" s="738">
        <f>SUM(V17:V19)</f>
        <v>1561960992.4799998</v>
      </c>
      <c r="W20" s="737"/>
      <c r="X20" s="738">
        <f>SUM(X17:X19)</f>
        <v>1856591240.9999998</v>
      </c>
      <c r="Y20" s="737"/>
      <c r="Z20" s="738">
        <f>SUM(Z17:Z19)</f>
        <v>1617264507</v>
      </c>
      <c r="AA20" s="737"/>
      <c r="AB20" s="738">
        <f>SUM(AB17:AB19)</f>
        <v>1391567135</v>
      </c>
      <c r="AC20" s="737"/>
      <c r="AD20" s="738">
        <f>SUM(AD17:AD19)</f>
        <v>1454836025</v>
      </c>
      <c r="AE20" s="739"/>
      <c r="AF20" s="738">
        <f>SUM(AF17:AF19)</f>
        <v>1682891269.9999998</v>
      </c>
      <c r="AG20" s="930"/>
      <c r="AH20" s="717">
        <f>SUM(AH17:AH19)</f>
        <v>1598188978.9999998</v>
      </c>
      <c r="AI20" s="740"/>
      <c r="AJ20" s="717">
        <f>SUM(AJ17:AJ19)</f>
        <v>1613786332</v>
      </c>
      <c r="AK20" s="717"/>
      <c r="AL20" s="717">
        <f>SUM(AL17:AL19)</f>
        <v>1730193604.0000002</v>
      </c>
      <c r="AM20" s="717"/>
      <c r="AN20" s="717">
        <f>SUM(AN17:AN19)</f>
        <v>2253444201</v>
      </c>
      <c r="AO20" s="717"/>
      <c r="AP20" s="717">
        <f>SUM(AP17:AP19)</f>
        <v>1700009356</v>
      </c>
      <c r="AQ20" s="933"/>
      <c r="AR20" s="214">
        <f>IF(COUNTIF($C20:AP20, "nfp")=0, SUMIF($C$9:AP$9,0,$C20:AP20), "nfp")</f>
        <v>28472457039.540001</v>
      </c>
      <c r="AT20" s="317"/>
      <c r="AU20" s="317"/>
      <c r="AV20" s="381"/>
      <c r="AW20" s="381"/>
    </row>
    <row r="21" spans="1:49">
      <c r="A21" s="124"/>
      <c r="B21" s="161"/>
      <c r="C21" s="737"/>
      <c r="D21" s="738"/>
      <c r="E21" s="737"/>
      <c r="F21" s="738"/>
      <c r="G21" s="737"/>
      <c r="H21" s="738"/>
      <c r="I21" s="737"/>
      <c r="J21" s="738"/>
      <c r="K21" s="737"/>
      <c r="L21" s="738"/>
      <c r="M21" s="737"/>
      <c r="N21" s="738"/>
      <c r="O21" s="737"/>
      <c r="P21" s="738"/>
      <c r="Q21" s="737"/>
      <c r="R21" s="738"/>
      <c r="S21" s="737"/>
      <c r="T21" s="738"/>
      <c r="U21" s="737"/>
      <c r="V21" s="738"/>
      <c r="W21" s="737"/>
      <c r="X21" s="738"/>
      <c r="Y21" s="737"/>
      <c r="Z21" s="738"/>
      <c r="AA21" s="737"/>
      <c r="AB21" s="738"/>
      <c r="AC21" s="738"/>
      <c r="AD21" s="738"/>
      <c r="AE21" s="739"/>
      <c r="AF21" s="738"/>
      <c r="AG21" s="929"/>
      <c r="AH21" s="737"/>
      <c r="AI21" s="739"/>
      <c r="AJ21" s="737"/>
      <c r="AK21" s="737"/>
      <c r="AL21" s="737"/>
      <c r="AM21" s="737"/>
      <c r="AN21" s="737"/>
      <c r="AO21" s="737"/>
      <c r="AP21" s="737"/>
      <c r="AQ21" s="933"/>
      <c r="AR21" s="214"/>
      <c r="AT21" s="317"/>
      <c r="AU21" s="317"/>
      <c r="AV21" s="381"/>
      <c r="AW21" s="381"/>
    </row>
    <row r="22" spans="1:49">
      <c r="A22" s="260" t="s">
        <v>111</v>
      </c>
      <c r="B22" s="248" t="s">
        <v>67</v>
      </c>
      <c r="C22" s="723">
        <v>103207.6</v>
      </c>
      <c r="D22" s="723">
        <v>29334844.600000005</v>
      </c>
      <c r="E22" s="723">
        <v>107085.16999999998</v>
      </c>
      <c r="F22" s="723">
        <v>38249908.710000001</v>
      </c>
      <c r="G22" s="723">
        <v>107869.82999999999</v>
      </c>
      <c r="H22" s="723">
        <v>45532614.649999999</v>
      </c>
      <c r="I22" s="723">
        <v>91284</v>
      </c>
      <c r="J22" s="723" t="s">
        <v>439</v>
      </c>
      <c r="K22" s="723">
        <v>87635.331000000006</v>
      </c>
      <c r="L22" s="723" t="s">
        <v>439</v>
      </c>
      <c r="M22" s="723">
        <v>74898.459000000003</v>
      </c>
      <c r="N22" s="723" t="s">
        <v>439</v>
      </c>
      <c r="O22" s="723">
        <v>59033.538</v>
      </c>
      <c r="P22" s="723" t="s">
        <v>439</v>
      </c>
      <c r="Q22" s="723">
        <v>81925.062000000005</v>
      </c>
      <c r="R22" s="723" t="s">
        <v>439</v>
      </c>
      <c r="S22" s="723">
        <v>164219.49</v>
      </c>
      <c r="T22" s="723" t="s">
        <v>439</v>
      </c>
      <c r="U22" s="723">
        <v>195772.05</v>
      </c>
      <c r="V22" s="723" t="s">
        <v>439</v>
      </c>
      <c r="W22" s="723">
        <v>66540.209999999992</v>
      </c>
      <c r="X22" s="723" t="s">
        <v>439</v>
      </c>
      <c r="Y22" s="723">
        <v>0</v>
      </c>
      <c r="Z22" s="723">
        <v>0</v>
      </c>
      <c r="AA22" s="723">
        <v>0</v>
      </c>
      <c r="AB22" s="723">
        <v>0</v>
      </c>
      <c r="AC22" s="723">
        <v>0</v>
      </c>
      <c r="AD22" s="723">
        <v>0</v>
      </c>
      <c r="AE22" s="734">
        <v>0</v>
      </c>
      <c r="AF22" s="723">
        <v>0</v>
      </c>
      <c r="AG22" s="734">
        <v>0</v>
      </c>
      <c r="AH22" s="1069">
        <v>0</v>
      </c>
      <c r="AI22" s="1355">
        <v>0</v>
      </c>
      <c r="AJ22" s="1069">
        <v>0</v>
      </c>
      <c r="AK22" s="1069">
        <v>0</v>
      </c>
      <c r="AL22" s="1069">
        <v>0</v>
      </c>
      <c r="AM22" s="1069">
        <v>0</v>
      </c>
      <c r="AN22" s="1069">
        <v>0</v>
      </c>
      <c r="AO22" s="1069">
        <v>0</v>
      </c>
      <c r="AP22" s="1069">
        <v>0</v>
      </c>
      <c r="AQ22" s="734">
        <f>SUMIF($C$9:AP$9,1,$C22:AP22)</f>
        <v>1139470.74</v>
      </c>
      <c r="AR22" s="723" t="str">
        <f>IF(COUNTIF($C22:AP22, "nfp")=0, SUMIF($C$9:AP$9,0,$C22:AP22), "nfp")</f>
        <v>nfp</v>
      </c>
      <c r="AT22" s="317"/>
      <c r="AU22" s="317"/>
      <c r="AV22" s="381"/>
      <c r="AW22" s="381"/>
    </row>
    <row r="23" spans="1:49">
      <c r="A23" s="247"/>
      <c r="B23" s="248"/>
      <c r="C23" s="668"/>
      <c r="D23" s="668"/>
      <c r="E23" s="668"/>
      <c r="F23" s="668"/>
      <c r="G23" s="668"/>
      <c r="H23" s="668"/>
      <c r="I23" s="668"/>
      <c r="J23" s="668"/>
      <c r="K23" s="668"/>
      <c r="L23" s="668"/>
      <c r="M23" s="668"/>
      <c r="N23" s="668"/>
      <c r="O23" s="668"/>
      <c r="P23" s="668"/>
      <c r="Q23" s="668"/>
      <c r="R23" s="668"/>
      <c r="S23" s="668"/>
      <c r="T23" s="668"/>
      <c r="U23" s="668"/>
      <c r="V23" s="668"/>
      <c r="W23" s="668"/>
      <c r="X23" s="668"/>
      <c r="Y23" s="668"/>
      <c r="Z23" s="668"/>
      <c r="AA23" s="668"/>
      <c r="AB23" s="668"/>
      <c r="AC23" s="668"/>
      <c r="AD23" s="668"/>
      <c r="AE23" s="736"/>
      <c r="AF23" s="668"/>
      <c r="AG23" s="736"/>
      <c r="AH23" s="910"/>
      <c r="AI23" s="1352"/>
      <c r="AJ23" s="910"/>
      <c r="AK23" s="910"/>
      <c r="AL23" s="910"/>
      <c r="AM23" s="910"/>
      <c r="AN23" s="910"/>
      <c r="AO23" s="910"/>
      <c r="AP23" s="910"/>
      <c r="AQ23" s="734"/>
      <c r="AR23" s="723"/>
      <c r="AT23" s="317"/>
      <c r="AU23" s="317"/>
      <c r="AV23" s="381"/>
      <c r="AW23" s="381"/>
    </row>
    <row r="24" spans="1:49">
      <c r="A24" s="261" t="s">
        <v>112</v>
      </c>
      <c r="B24" s="161" t="s">
        <v>67</v>
      </c>
      <c r="C24" s="738" t="s">
        <v>165</v>
      </c>
      <c r="D24" s="738" t="s">
        <v>165</v>
      </c>
      <c r="E24" s="738" t="s">
        <v>165</v>
      </c>
      <c r="F24" s="738" t="s">
        <v>165</v>
      </c>
      <c r="G24" s="738" t="s">
        <v>165</v>
      </c>
      <c r="H24" s="738" t="s">
        <v>165</v>
      </c>
      <c r="I24" s="738" t="s">
        <v>165</v>
      </c>
      <c r="J24" s="738" t="s">
        <v>165</v>
      </c>
      <c r="K24" s="738" t="s">
        <v>165</v>
      </c>
      <c r="L24" s="738" t="s">
        <v>165</v>
      </c>
      <c r="M24" s="738" t="s">
        <v>165</v>
      </c>
      <c r="N24" s="738" t="s">
        <v>165</v>
      </c>
      <c r="O24" s="738" t="s">
        <v>165</v>
      </c>
      <c r="P24" s="738" t="s">
        <v>165</v>
      </c>
      <c r="Q24" s="738" t="s">
        <v>165</v>
      </c>
      <c r="R24" s="738" t="s">
        <v>165</v>
      </c>
      <c r="S24" s="737">
        <v>75091</v>
      </c>
      <c r="T24" s="737">
        <v>1663209</v>
      </c>
      <c r="U24" s="738" t="s">
        <v>165</v>
      </c>
      <c r="V24" s="738" t="s">
        <v>165</v>
      </c>
      <c r="W24" s="737">
        <v>11595.77</v>
      </c>
      <c r="X24" s="738">
        <v>612884</v>
      </c>
      <c r="Y24" s="737">
        <v>17891.09</v>
      </c>
      <c r="Z24" s="738">
        <v>1045604</v>
      </c>
      <c r="AA24" s="737">
        <v>22170.109999999997</v>
      </c>
      <c r="AB24" s="738">
        <v>1096619</v>
      </c>
      <c r="AC24" s="183">
        <v>20975.040000000001</v>
      </c>
      <c r="AD24" s="738">
        <v>1412197</v>
      </c>
      <c r="AE24" s="739">
        <v>18336.21</v>
      </c>
      <c r="AF24" s="738">
        <v>1291201</v>
      </c>
      <c r="AG24" s="929">
        <v>19259.240000000002</v>
      </c>
      <c r="AH24" s="737">
        <v>1662231</v>
      </c>
      <c r="AI24" s="739">
        <v>18920.017</v>
      </c>
      <c r="AJ24" s="737">
        <v>1985156</v>
      </c>
      <c r="AK24" s="717">
        <v>23772.746000000003</v>
      </c>
      <c r="AL24" s="717">
        <v>2866699</v>
      </c>
      <c r="AM24" s="717">
        <v>29774.47</v>
      </c>
      <c r="AN24" s="717">
        <v>2514551</v>
      </c>
      <c r="AO24" s="717">
        <v>20218.472999999998</v>
      </c>
      <c r="AP24" s="717">
        <v>2675589</v>
      </c>
      <c r="AQ24" s="933">
        <f>SUMIF($C$9:AP$9,1,$C24:AP24)</f>
        <v>278004.16599999997</v>
      </c>
      <c r="AR24" s="214">
        <f>IF(COUNTIF($C24:AP24, "nfp")=0, SUMIF($C$9:AP$9,0,$C24:AP24), "nfp")</f>
        <v>18825940</v>
      </c>
      <c r="AT24" s="317"/>
      <c r="AU24" s="317"/>
      <c r="AV24" s="381"/>
      <c r="AW24" s="381"/>
    </row>
    <row r="25" spans="1:49">
      <c r="A25" s="131"/>
      <c r="B25" s="161"/>
      <c r="C25" s="737"/>
      <c r="D25" s="738"/>
      <c r="E25" s="737"/>
      <c r="F25" s="738"/>
      <c r="G25" s="737"/>
      <c r="H25" s="738"/>
      <c r="I25" s="737"/>
      <c r="J25" s="738"/>
      <c r="K25" s="737"/>
      <c r="L25" s="738"/>
      <c r="M25" s="737"/>
      <c r="N25" s="738"/>
      <c r="O25" s="737"/>
      <c r="P25" s="738"/>
      <c r="Q25" s="737"/>
      <c r="R25" s="738"/>
      <c r="S25" s="737"/>
      <c r="T25" s="738"/>
      <c r="U25" s="737"/>
      <c r="V25" s="738"/>
      <c r="W25" s="737"/>
      <c r="X25" s="738"/>
      <c r="Y25" s="737"/>
      <c r="Z25" s="738"/>
      <c r="AA25" s="737"/>
      <c r="AB25" s="738"/>
      <c r="AC25" s="738"/>
      <c r="AD25" s="738"/>
      <c r="AE25" s="739"/>
      <c r="AF25" s="738"/>
      <c r="AG25" s="929"/>
      <c r="AH25" s="737"/>
      <c r="AI25" s="739"/>
      <c r="AJ25" s="737"/>
      <c r="AK25" s="737"/>
      <c r="AL25" s="737"/>
      <c r="AM25" s="737"/>
      <c r="AN25" s="737"/>
      <c r="AO25" s="737"/>
      <c r="AP25" s="737"/>
      <c r="AQ25" s="933"/>
      <c r="AR25" s="214"/>
      <c r="AT25" s="317"/>
      <c r="AU25" s="317"/>
      <c r="AV25" s="381"/>
      <c r="AW25" s="381"/>
    </row>
    <row r="26" spans="1:49">
      <c r="A26" s="260" t="s">
        <v>124</v>
      </c>
      <c r="B26" s="248" t="s">
        <v>67</v>
      </c>
      <c r="C26" s="723">
        <f>(SUMIFS('Other Minerals - Q&amp;V'!$D$8:$D$250,'Other Minerals - Q&amp;V'!$N$8:$N$250,LEFT('Q&amp;V FY 2003-04 to Now'!C$7,4),'Other Minerals - Q&amp;V'!$O$8:$O$250,3)+
SUMIFS('Other Minerals - Q&amp;V'!$D$8:$D$250,'Other Minerals - Q&amp;V'!$N$8:$N$250,LEFT('Q&amp;V FY 2003-04 to Now'!C$7,4),'Other Minerals - Q&amp;V'!$O$8:$O$250,4)+
SUMIFS('Other Minerals - Q&amp;V'!$D$8:$D$250,'Other Minerals - Q&amp;V'!$N$8:$N$250,CONCATENATE("20",RIGHT('Q&amp;V FY 2003-04 to Now'!C$7,2)),'Other Minerals - Q&amp;V'!$O$8:$O$250,1)+
SUMIFS('Other Minerals - Q&amp;V'!$D$8:$D$250,'Other Minerals - Q&amp;V'!$N$8:$N$250,CONCATENATE("20",RIGHT('Q&amp;V FY 2003-04 to Now'!C$7,2)),'Other Minerals - Q&amp;V'!$O$8:$O$250,2))*1000000</f>
        <v>5973013</v>
      </c>
      <c r="D26" s="723">
        <f>(SUMIFS('Other Minerals - Q&amp;V'!$E$8:$E$250,'Other Minerals - Q&amp;V'!$N$8:$N$250,LEFT('Q&amp;V FY 2003-04 to Now'!C$7,4),'Other Minerals - Q&amp;V'!$O$8:$O$250,3)+
SUMIFS('Other Minerals - Q&amp;V'!$E$8:$E$250,'Other Minerals - Q&amp;V'!$N$8:$N$250,LEFT('Q&amp;V FY 2003-04 to Now'!C$7,4),'Other Minerals - Q&amp;V'!$O$8:$O$250,4)+
SUMIFS('Other Minerals - Q&amp;V'!$E$8:$E$250,'Other Minerals - Q&amp;V'!$N$8:$N$250,CONCATENATE("20",RIGHT('Q&amp;V FY 2003-04 to Now'!C$7,2)),'Other Minerals - Q&amp;V'!$O$8:$O$250,1)+
SUMIFS('Other Minerals - Q&amp;V'!$E$8:$E$250,'Other Minerals - Q&amp;V'!$N$8:$N$250,CONCATENATE("20",RIGHT('Q&amp;V FY 2003-04 to Now'!C$7,2)),'Other Minerals - Q&amp;V'!$O$8:$O$250,2))*1000000</f>
        <v>268842784.5</v>
      </c>
      <c r="E26" s="723">
        <f>(SUMIFS('Other Minerals - Q&amp;V'!$D$8:$D$250,'Other Minerals - Q&amp;V'!$N$8:$N$250,LEFT('Q&amp;V FY 2003-04 to Now'!E$7,4),'Other Minerals - Q&amp;V'!$O$8:$O$250,3)+
SUMIFS('Other Minerals - Q&amp;V'!$D$8:$D$250,'Other Minerals - Q&amp;V'!$N$8:$N$250,LEFT('Q&amp;V FY 2003-04 to Now'!E$7,4),'Other Minerals - Q&amp;V'!$O$8:$O$250,4)+
SUMIFS('Other Minerals - Q&amp;V'!$D$8:$D$250,'Other Minerals - Q&amp;V'!$N$8:$N$250,CONCATENATE("20",RIGHT('Q&amp;V FY 2003-04 to Now'!E$7,2)),'Other Minerals - Q&amp;V'!$O$8:$O$250,1)+
SUMIFS('Other Minerals - Q&amp;V'!$D$8:$D$250,'Other Minerals - Q&amp;V'!$N$8:$N$250,CONCATENATE("20",RIGHT('Q&amp;V FY 2003-04 to Now'!E$7,2)),'Other Minerals - Q&amp;V'!$O$8:$O$250,2))*1000000</f>
        <v>6204065.0000000009</v>
      </c>
      <c r="F26" s="723">
        <f>(SUMIFS('Other Minerals - Q&amp;V'!$E$8:$E$250,'Other Minerals - Q&amp;V'!$N$8:$N$250,LEFT('Q&amp;V FY 2003-04 to Now'!E$7,4),'Other Minerals - Q&amp;V'!$O$8:$O$250,3)+
SUMIFS('Other Minerals - Q&amp;V'!$E$8:$E$250,'Other Minerals - Q&amp;V'!$N$8:$N$250,LEFT('Q&amp;V FY 2003-04 to Now'!E$7,4),'Other Minerals - Q&amp;V'!$O$8:$O$250,4)+
SUMIFS('Other Minerals - Q&amp;V'!$E$8:$E$250,'Other Minerals - Q&amp;V'!$N$8:$N$250,CONCATENATE("20",RIGHT('Q&amp;V FY 2003-04 to Now'!E$7,2)),'Other Minerals - Q&amp;V'!$O$8:$O$250,1)+
SUMIFS('Other Minerals - Q&amp;V'!$E$8:$E$250,'Other Minerals - Q&amp;V'!$N$8:$N$250,CONCATENATE("20",RIGHT('Q&amp;V FY 2003-04 to Now'!E$7,2)),'Other Minerals - Q&amp;V'!$O$8:$O$250,2))*1000000</f>
        <v>268638250.99999994</v>
      </c>
      <c r="G26" s="723">
        <f>(SUMIFS('Other Minerals - Q&amp;V'!$D$8:$D$250,'Other Minerals - Q&amp;V'!$N$8:$N$250,LEFT('Q&amp;V FY 2003-04 to Now'!G$7,4),'Other Minerals - Q&amp;V'!$O$8:$O$250,3)+
SUMIFS('Other Minerals - Q&amp;V'!$D$8:$D$250,'Other Minerals - Q&amp;V'!$N$8:$N$250,LEFT('Q&amp;V FY 2003-04 to Now'!G$7,4),'Other Minerals - Q&amp;V'!$O$8:$O$250,4)+
SUMIFS('Other Minerals - Q&amp;V'!$D$8:$D$250,'Other Minerals - Q&amp;V'!$N$8:$N$250,CONCATENATE("20",RIGHT('Q&amp;V FY 2003-04 to Now'!G$7,2)),'Other Minerals - Q&amp;V'!$O$8:$O$250,1)+
SUMIFS('Other Minerals - Q&amp;V'!$D$8:$D$250,'Other Minerals - Q&amp;V'!$N$8:$N$250,CONCATENATE("20",RIGHT('Q&amp;V FY 2003-04 to Now'!G$7,2)),'Other Minerals - Q&amp;V'!$O$8:$O$250,2))*1000000</f>
        <v>6700698.0000000009</v>
      </c>
      <c r="H26" s="723">
        <f>(SUMIFS('Other Minerals - Q&amp;V'!$E$8:$E$250,'Other Minerals - Q&amp;V'!$N$8:$N$250,LEFT('Q&amp;V FY 2003-04 to Now'!G$7,4),'Other Minerals - Q&amp;V'!$O$8:$O$250,3)+
SUMIFS('Other Minerals - Q&amp;V'!$E$8:$E$250,'Other Minerals - Q&amp;V'!$N$8:$N$250,LEFT('Q&amp;V FY 2003-04 to Now'!G$7,4),'Other Minerals - Q&amp;V'!$O$8:$O$250,4)+
SUMIFS('Other Minerals - Q&amp;V'!$E$8:$E$250,'Other Minerals - Q&amp;V'!$N$8:$N$250,CONCATENATE("20",RIGHT('Q&amp;V FY 2003-04 to Now'!G$7,2)),'Other Minerals - Q&amp;V'!$O$8:$O$250,1)+
SUMIFS('Other Minerals - Q&amp;V'!$E$8:$E$250,'Other Minerals - Q&amp;V'!$N$8:$N$250,CONCATENATE("20",RIGHT('Q&amp;V FY 2003-04 to Now'!G$7,2)),'Other Minerals - Q&amp;V'!$O$8:$O$250,2))*1000000</f>
        <v>296917683</v>
      </c>
      <c r="I26" s="723">
        <f>(SUMIFS('Other Minerals - Q&amp;V'!$D$8:$D$250,'Other Minerals - Q&amp;V'!$N$8:$N$250,LEFT('Q&amp;V FY 2003-04 to Now'!I$7,4),'Other Minerals - Q&amp;V'!$O$8:$O$250,3)+
SUMIFS('Other Minerals - Q&amp;V'!$D$8:$D$250,'Other Minerals - Q&amp;V'!$N$8:$N$250,LEFT('Q&amp;V FY 2003-04 to Now'!I$7,4),'Other Minerals - Q&amp;V'!$O$8:$O$250,4)+
SUMIFS('Other Minerals - Q&amp;V'!$D$8:$D$250,'Other Minerals - Q&amp;V'!$N$8:$N$250,CONCATENATE("20",RIGHT('Q&amp;V FY 2003-04 to Now'!I$7,2)),'Other Minerals - Q&amp;V'!$O$8:$O$250,1)+
SUMIFS('Other Minerals - Q&amp;V'!$D$8:$D$250,'Other Minerals - Q&amp;V'!$N$8:$N$250,CONCATENATE("20",RIGHT('Q&amp;V FY 2003-04 to Now'!I$7,2)),'Other Minerals - Q&amp;V'!$O$8:$O$250,2))*1000000</f>
        <v>6017627</v>
      </c>
      <c r="J26" s="723">
        <f>(SUMIFS('Other Minerals - Q&amp;V'!$E$8:$E$250,'Other Minerals - Q&amp;V'!$N$8:$N$250,LEFT('Q&amp;V FY 2003-04 to Now'!I$7,4),'Other Minerals - Q&amp;V'!$O$8:$O$250,3)+
SUMIFS('Other Minerals - Q&amp;V'!$E$8:$E$250,'Other Minerals - Q&amp;V'!$N$8:$N$250,LEFT('Q&amp;V FY 2003-04 to Now'!I$7,4),'Other Minerals - Q&amp;V'!$O$8:$O$250,4)+
SUMIFS('Other Minerals - Q&amp;V'!$E$8:$E$250,'Other Minerals - Q&amp;V'!$N$8:$N$250,CONCATENATE("20",RIGHT('Q&amp;V FY 2003-04 to Now'!I$7,2)),'Other Minerals - Q&amp;V'!$O$8:$O$250,1)+
SUMIFS('Other Minerals - Q&amp;V'!$E$8:$E$250,'Other Minerals - Q&amp;V'!$N$8:$N$250,CONCATENATE("20",RIGHT('Q&amp;V FY 2003-04 to Now'!I$7,2)),'Other Minerals - Q&amp;V'!$O$8:$O$250,2))*1000000</f>
        <v>271523196</v>
      </c>
      <c r="K26" s="723">
        <f>(SUMIFS('Other Minerals - Q&amp;V'!$D$8:$D$250,'Other Minerals - Q&amp;V'!$N$8:$N$250,LEFT('Q&amp;V FY 2003-04 to Now'!K$7,4),'Other Minerals - Q&amp;V'!$O$8:$O$250,3)+
SUMIFS('Other Minerals - Q&amp;V'!$D$8:$D$250,'Other Minerals - Q&amp;V'!$N$8:$N$250,LEFT('Q&amp;V FY 2003-04 to Now'!K$7,4),'Other Minerals - Q&amp;V'!$O$8:$O$250,4)+
SUMIFS('Other Minerals - Q&amp;V'!$D$8:$D$250,'Other Minerals - Q&amp;V'!$N$8:$N$250,CONCATENATE("20",RIGHT('Q&amp;V FY 2003-04 to Now'!K$7,2)),'Other Minerals - Q&amp;V'!$O$8:$O$250,1)+
SUMIFS('Other Minerals - Q&amp;V'!$D$8:$D$250,'Other Minerals - Q&amp;V'!$N$8:$N$250,CONCATENATE("20",RIGHT('Q&amp;V FY 2003-04 to Now'!K$7,2)),'Other Minerals - Q&amp;V'!$O$8:$O$250,2))*1000000</f>
        <v>6231426</v>
      </c>
      <c r="L26" s="723">
        <f>(SUMIFS('Other Minerals - Q&amp;V'!$E$8:$E$250,'Other Minerals - Q&amp;V'!$N$8:$N$250,LEFT('Q&amp;V FY 2003-04 to Now'!K$7,4),'Other Minerals - Q&amp;V'!$O$8:$O$250,3)+
SUMIFS('Other Minerals - Q&amp;V'!$E$8:$E$250,'Other Minerals - Q&amp;V'!$N$8:$N$250,LEFT('Q&amp;V FY 2003-04 to Now'!K$7,4),'Other Minerals - Q&amp;V'!$O$8:$O$250,4)+
SUMIFS('Other Minerals - Q&amp;V'!$E$8:$E$250,'Other Minerals - Q&amp;V'!$N$8:$N$250,CONCATENATE("20",RIGHT('Q&amp;V FY 2003-04 to Now'!K$7,2)),'Other Minerals - Q&amp;V'!$O$8:$O$250,1)+
SUMIFS('Other Minerals - Q&amp;V'!$E$8:$E$250,'Other Minerals - Q&amp;V'!$N$8:$N$250,CONCATENATE("20",RIGHT('Q&amp;V FY 2003-04 to Now'!K$7,2)),'Other Minerals - Q&amp;V'!$O$8:$O$250,2))*1000000</f>
        <v>270424457.99999994</v>
      </c>
      <c r="M26" s="723">
        <f>(SUMIFS('Other Minerals - Q&amp;V'!$D$8:$D$250,'Other Minerals - Q&amp;V'!$N$8:$N$250,LEFT('Q&amp;V FY 2003-04 to Now'!M$7,4),'Other Minerals - Q&amp;V'!$O$8:$O$250,3)+
SUMIFS('Other Minerals - Q&amp;V'!$D$8:$D$250,'Other Minerals - Q&amp;V'!$N$8:$N$250,LEFT('Q&amp;V FY 2003-04 to Now'!M$7,4),'Other Minerals - Q&amp;V'!$O$8:$O$250,4)+
SUMIFS('Other Minerals - Q&amp;V'!$D$8:$D$250,'Other Minerals - Q&amp;V'!$N$8:$N$250,CONCATENATE("20",RIGHT('Q&amp;V FY 2003-04 to Now'!M$7,2)),'Other Minerals - Q&amp;V'!$O$8:$O$250,1)+
SUMIFS('Other Minerals - Q&amp;V'!$D$8:$D$250,'Other Minerals - Q&amp;V'!$N$8:$N$250,CONCATENATE("20",RIGHT('Q&amp;V FY 2003-04 to Now'!M$7,2)),'Other Minerals - Q&amp;V'!$O$8:$O$250,2))*1000000</f>
        <v>6979209.0000000009</v>
      </c>
      <c r="N26" s="723">
        <f>(SUMIFS('Other Minerals - Q&amp;V'!$E$8:$E$250,'Other Minerals - Q&amp;V'!$N$8:$N$250,LEFT('Q&amp;V FY 2003-04 to Now'!M$7,4),'Other Minerals - Q&amp;V'!$O$8:$O$250,3)+
SUMIFS('Other Minerals - Q&amp;V'!$E$8:$E$250,'Other Minerals - Q&amp;V'!$N$8:$N$250,LEFT('Q&amp;V FY 2003-04 to Now'!M$7,4),'Other Minerals - Q&amp;V'!$O$8:$O$250,4)+
SUMIFS('Other Minerals - Q&amp;V'!$E$8:$E$250,'Other Minerals - Q&amp;V'!$N$8:$N$250,CONCATENATE("20",RIGHT('Q&amp;V FY 2003-04 to Now'!M$7,2)),'Other Minerals - Q&amp;V'!$O$8:$O$250,1)+
SUMIFS('Other Minerals - Q&amp;V'!$E$8:$E$250,'Other Minerals - Q&amp;V'!$N$8:$N$250,CONCATENATE("20",RIGHT('Q&amp;V FY 2003-04 to Now'!M$7,2)),'Other Minerals - Q&amp;V'!$O$8:$O$250,2))*1000000</f>
        <v>332572499</v>
      </c>
      <c r="O26" s="723">
        <f>(SUMIFS('Other Minerals - Q&amp;V'!$D$8:$D$250,'Other Minerals - Q&amp;V'!$N$8:$N$250,LEFT('Q&amp;V FY 2003-04 to Now'!O$7,4),'Other Minerals - Q&amp;V'!$O$8:$O$250,3)+
SUMIFS('Other Minerals - Q&amp;V'!$D$8:$D$250,'Other Minerals - Q&amp;V'!$N$8:$N$250,LEFT('Q&amp;V FY 2003-04 to Now'!O$7,4),'Other Minerals - Q&amp;V'!$O$8:$O$250,4)+
SUMIFS('Other Minerals - Q&amp;V'!$D$8:$D$250,'Other Minerals - Q&amp;V'!$N$8:$N$250,CONCATENATE("20",RIGHT('Q&amp;V FY 2003-04 to Now'!O$7,2)),'Other Minerals - Q&amp;V'!$O$8:$O$250,1)+
SUMIFS('Other Minerals - Q&amp;V'!$D$8:$D$250,'Other Minerals - Q&amp;V'!$N$8:$N$250,CONCATENATE("20",RIGHT('Q&amp;V FY 2003-04 to Now'!O$7,2)),'Other Minerals - Q&amp;V'!$O$8:$O$250,2))*1000000</f>
        <v>6712019</v>
      </c>
      <c r="P26" s="723">
        <f>(SUMIFS('Other Minerals - Q&amp;V'!$E$8:$E$250,'Other Minerals - Q&amp;V'!$N$8:$N$250,LEFT('Q&amp;V FY 2003-04 to Now'!O$7,4),'Other Minerals - Q&amp;V'!$O$8:$O$250,3)+
SUMIFS('Other Minerals - Q&amp;V'!$E$8:$E$250,'Other Minerals - Q&amp;V'!$N$8:$N$250,LEFT('Q&amp;V FY 2003-04 to Now'!O$7,4),'Other Minerals - Q&amp;V'!$O$8:$O$250,4)+
SUMIFS('Other Minerals - Q&amp;V'!$E$8:$E$250,'Other Minerals - Q&amp;V'!$N$8:$N$250,CONCATENATE("20",RIGHT('Q&amp;V FY 2003-04 to Now'!O$7,2)),'Other Minerals - Q&amp;V'!$O$8:$O$250,1)+
SUMIFS('Other Minerals - Q&amp;V'!$E$8:$E$250,'Other Minerals - Q&amp;V'!$N$8:$N$250,CONCATENATE("20",RIGHT('Q&amp;V FY 2003-04 to Now'!O$7,2)),'Other Minerals - Q&amp;V'!$O$8:$O$250,2))*1000000</f>
        <v>325855375</v>
      </c>
      <c r="Q26" s="723">
        <f>(SUMIFS('Other Minerals - Q&amp;V'!$D$8:$D$250,'Other Minerals - Q&amp;V'!$N$8:$N$250,LEFT('Q&amp;V FY 2003-04 to Now'!Q$7,4),'Other Minerals - Q&amp;V'!$O$8:$O$250,3)+
SUMIFS('Other Minerals - Q&amp;V'!$D$8:$D$250,'Other Minerals - Q&amp;V'!$N$8:$N$250,LEFT('Q&amp;V FY 2003-04 to Now'!Q$7,4),'Other Minerals - Q&amp;V'!$O$8:$O$250,4)+
SUMIFS('Other Minerals - Q&amp;V'!$D$8:$D$250,'Other Minerals - Q&amp;V'!$N$8:$N$250,CONCATENATE("20",RIGHT('Q&amp;V FY 2003-04 to Now'!Q$7,2)),'Other Minerals - Q&amp;V'!$O$8:$O$250,1)+
SUMIFS('Other Minerals - Q&amp;V'!$D$8:$D$250,'Other Minerals - Q&amp;V'!$N$8:$N$250,CONCATENATE("20",RIGHT('Q&amp;V FY 2003-04 to Now'!Q$7,2)),'Other Minerals - Q&amp;V'!$O$8:$O$250,2))*1000000</f>
        <v>7234455</v>
      </c>
      <c r="R26" s="723">
        <f>(SUMIFS('Other Minerals - Q&amp;V'!$E$8:$E$250,'Other Minerals - Q&amp;V'!$N$8:$N$250,LEFT('Q&amp;V FY 2003-04 to Now'!Q$7,4),'Other Minerals - Q&amp;V'!$O$8:$O$250,3)+
SUMIFS('Other Minerals - Q&amp;V'!$E$8:$E$250,'Other Minerals - Q&amp;V'!$N$8:$N$250,LEFT('Q&amp;V FY 2003-04 to Now'!Q$7,4),'Other Minerals - Q&amp;V'!$O$8:$O$250,4)+
SUMIFS('Other Minerals - Q&amp;V'!$E$8:$E$250,'Other Minerals - Q&amp;V'!$N$8:$N$250,CONCATENATE("20",RIGHT('Q&amp;V FY 2003-04 to Now'!Q$7,2)),'Other Minerals - Q&amp;V'!$O$8:$O$250,1)+
SUMIFS('Other Minerals - Q&amp;V'!$E$8:$E$250,'Other Minerals - Q&amp;V'!$N$8:$N$250,CONCATENATE("20",RIGHT('Q&amp;V FY 2003-04 to Now'!Q$7,2)),'Other Minerals - Q&amp;V'!$O$8:$O$250,2))*1000000</f>
        <v>296259551.00000006</v>
      </c>
      <c r="S26" s="723">
        <f>(SUMIFS('Other Minerals - Q&amp;V'!$D$8:$D$250,'Other Minerals - Q&amp;V'!$N$8:$N$250,LEFT('Q&amp;V FY 2003-04 to Now'!S$7,4),'Other Minerals - Q&amp;V'!$O$8:$O$250,3)+
SUMIFS('Other Minerals - Q&amp;V'!$D$8:$D$250,'Other Minerals - Q&amp;V'!$N$8:$N$250,LEFT('Q&amp;V FY 2003-04 to Now'!S$7,4),'Other Minerals - Q&amp;V'!$O$8:$O$250,4)+
SUMIFS('Other Minerals - Q&amp;V'!$D$8:$D$250,'Other Minerals - Q&amp;V'!$N$8:$N$250,CONCATENATE("20",RIGHT('Q&amp;V FY 2003-04 to Now'!S$7,2)),'Other Minerals - Q&amp;V'!$O$8:$O$250,1)+
SUMIFS('Other Minerals - Q&amp;V'!$D$8:$D$250,'Other Minerals - Q&amp;V'!$N$8:$N$250,CONCATENATE("20",RIGHT('Q&amp;V FY 2003-04 to Now'!S$7,2)),'Other Minerals - Q&amp;V'!$O$8:$O$250,2))*1000000</f>
        <v>6986433</v>
      </c>
      <c r="T26" s="723">
        <f>(SUMIFS('Other Minerals - Q&amp;V'!$E$8:$E$250,'Other Minerals - Q&amp;V'!$N$8:$N$250,LEFT('Q&amp;V FY 2003-04 to Now'!S$7,4),'Other Minerals - Q&amp;V'!$O$8:$O$250,3)+
SUMIFS('Other Minerals - Q&amp;V'!$E$8:$E$250,'Other Minerals - Q&amp;V'!$N$8:$N$250,LEFT('Q&amp;V FY 2003-04 to Now'!S$7,4),'Other Minerals - Q&amp;V'!$O$8:$O$250,4)+
SUMIFS('Other Minerals - Q&amp;V'!$E$8:$E$250,'Other Minerals - Q&amp;V'!$N$8:$N$250,CONCATENATE("20",RIGHT('Q&amp;V FY 2003-04 to Now'!S$7,2)),'Other Minerals - Q&amp;V'!$O$8:$O$250,1)+
SUMIFS('Other Minerals - Q&amp;V'!$E$8:$E$250,'Other Minerals - Q&amp;V'!$N$8:$N$250,CONCATENATE("20",RIGHT('Q&amp;V FY 2003-04 to Now'!S$7,2)),'Other Minerals - Q&amp;V'!$O$8:$O$250,2))*1000000</f>
        <v>289629252</v>
      </c>
      <c r="U26" s="723">
        <f>(SUMIFS('Other Minerals - Q&amp;V'!$D$8:$D$250,'Other Minerals - Q&amp;V'!$N$8:$N$250,LEFT('Q&amp;V FY 2003-04 to Now'!U$7,4),'Other Minerals - Q&amp;V'!$O$8:$O$250,3)+
SUMIFS('Other Minerals - Q&amp;V'!$D$8:$D$250,'Other Minerals - Q&amp;V'!$N$8:$N$250,LEFT('Q&amp;V FY 2003-04 to Now'!U$7,4),'Other Minerals - Q&amp;V'!$O$8:$O$250,4)+
SUMIFS('Other Minerals - Q&amp;V'!$D$8:$D$250,'Other Minerals - Q&amp;V'!$N$8:$N$250,CONCATENATE("20",RIGHT('Q&amp;V FY 2003-04 to Now'!U$7,2)),'Other Minerals - Q&amp;V'!$O$8:$O$250,1)+
SUMIFS('Other Minerals - Q&amp;V'!$D$8:$D$250,'Other Minerals - Q&amp;V'!$N$8:$N$250,CONCATENATE("20",RIGHT('Q&amp;V FY 2003-04 to Now'!U$7,2)),'Other Minerals - Q&amp;V'!$O$8:$O$250,2))*1000000</f>
        <v>7506250.54</v>
      </c>
      <c r="V26" s="723">
        <f>(SUMIFS('Other Minerals - Q&amp;V'!$E$8:$E$250,'Other Minerals - Q&amp;V'!$N$8:$N$250,LEFT('Q&amp;V FY 2003-04 to Now'!U$7,4),'Other Minerals - Q&amp;V'!$O$8:$O$250,3)+
SUMIFS('Other Minerals - Q&amp;V'!$E$8:$E$250,'Other Minerals - Q&amp;V'!$N$8:$N$250,LEFT('Q&amp;V FY 2003-04 to Now'!U$7,4),'Other Minerals - Q&amp;V'!$O$8:$O$250,4)+
SUMIFS('Other Minerals - Q&amp;V'!$E$8:$E$250,'Other Minerals - Q&amp;V'!$N$8:$N$250,CONCATENATE("20",RIGHT('Q&amp;V FY 2003-04 to Now'!U$7,2)),'Other Minerals - Q&amp;V'!$O$8:$O$250,1)+
SUMIFS('Other Minerals - Q&amp;V'!$E$8:$E$250,'Other Minerals - Q&amp;V'!$N$8:$N$250,CONCATENATE("20",RIGHT('Q&amp;V FY 2003-04 to Now'!U$7,2)),'Other Minerals - Q&amp;V'!$O$8:$O$250,2))*1000000</f>
        <v>311081635</v>
      </c>
      <c r="W26" s="723">
        <f>(SUMIFS('Other Minerals - Q&amp;V'!$D$8:$D$250,'Other Minerals - Q&amp;V'!$N$8:$N$250,LEFT('Q&amp;V FY 2003-04 to Now'!W$7,4),'Other Minerals - Q&amp;V'!$O$8:$O$250,3)+
SUMIFS('Other Minerals - Q&amp;V'!$D$8:$D$250,'Other Minerals - Q&amp;V'!$N$8:$N$250,LEFT('Q&amp;V FY 2003-04 to Now'!W$7,4),'Other Minerals - Q&amp;V'!$O$8:$O$250,4)+
SUMIFS('Other Minerals - Q&amp;V'!$D$8:$D$250,'Other Minerals - Q&amp;V'!$N$8:$N$250,CONCATENATE("20",RIGHT('Q&amp;V FY 2003-04 to Now'!W$7,2)),'Other Minerals - Q&amp;V'!$O$8:$O$250,1)+
SUMIFS('Other Minerals - Q&amp;V'!$D$8:$D$250,'Other Minerals - Q&amp;V'!$N$8:$N$250,CONCATENATE("20",RIGHT('Q&amp;V FY 2003-04 to Now'!W$7,2)),'Other Minerals - Q&amp;V'!$O$8:$O$250,2))*1000000</f>
        <v>6299484.4399999985</v>
      </c>
      <c r="X26" s="723">
        <f>(SUMIFS('Other Minerals - Q&amp;V'!$E$8:$E$250,'Other Minerals - Q&amp;V'!$N$8:$N$250,LEFT('Q&amp;V FY 2003-04 to Now'!W$7,4),'Other Minerals - Q&amp;V'!$O$8:$O$250,3)+
SUMIFS('Other Minerals - Q&amp;V'!$E$8:$E$250,'Other Minerals - Q&amp;V'!$N$8:$N$250,LEFT('Q&amp;V FY 2003-04 to Now'!W$7,4),'Other Minerals - Q&amp;V'!$O$8:$O$250,4)+
SUMIFS('Other Minerals - Q&amp;V'!$E$8:$E$250,'Other Minerals - Q&amp;V'!$N$8:$N$250,CONCATENATE("20",RIGHT('Q&amp;V FY 2003-04 to Now'!W$7,2)),'Other Minerals - Q&amp;V'!$O$8:$O$250,1)+
SUMIFS('Other Minerals - Q&amp;V'!$E$8:$E$250,'Other Minerals - Q&amp;V'!$N$8:$N$250,CONCATENATE("20",RIGHT('Q&amp;V FY 2003-04 to Now'!W$7,2)),'Other Minerals - Q&amp;V'!$O$8:$O$250,2))*1000000</f>
        <v>264259084.00000003</v>
      </c>
      <c r="Y26" s="723">
        <f>(SUMIFS('Other Minerals - Q&amp;V'!$D$8:$D$250,'Other Minerals - Q&amp;V'!$N$8:$N$250,LEFT('Q&amp;V FY 2003-04 to Now'!Y$7,4),'Other Minerals - Q&amp;V'!$O$8:$O$250,3)+
SUMIFS('Other Minerals - Q&amp;V'!$D$8:$D$250,'Other Minerals - Q&amp;V'!$N$8:$N$250,LEFT('Q&amp;V FY 2003-04 to Now'!Y$7,4),'Other Minerals - Q&amp;V'!$O$8:$O$250,4)+
SUMIFS('Other Minerals - Q&amp;V'!$D$8:$D$250,'Other Minerals - Q&amp;V'!$N$8:$N$250,CONCATENATE("20",RIGHT('Q&amp;V FY 2003-04 to Now'!Y$7,2)),'Other Minerals - Q&amp;V'!$O$8:$O$250,1)+
SUMIFS('Other Minerals - Q&amp;V'!$D$8:$D$250,'Other Minerals - Q&amp;V'!$N$8:$N$250,CONCATENATE("20",RIGHT('Q&amp;V FY 2003-04 to Now'!Y$7,2)),'Other Minerals - Q&amp;V'!$O$8:$O$250,2))*1000000</f>
        <v>6567665.4399999995</v>
      </c>
      <c r="Z26" s="723">
        <f>(SUMIFS('Other Minerals - Q&amp;V'!$E$8:$E$250,'Other Minerals - Q&amp;V'!$N$8:$N$250,LEFT('Q&amp;V FY 2003-04 to Now'!Y$7,4),'Other Minerals - Q&amp;V'!$O$8:$O$250,3)+
SUMIFS('Other Minerals - Q&amp;V'!$E$8:$E$250,'Other Minerals - Q&amp;V'!$N$8:$N$250,LEFT('Q&amp;V FY 2003-04 to Now'!Y$7,4),'Other Minerals - Q&amp;V'!$O$8:$O$250,4)+
SUMIFS('Other Minerals - Q&amp;V'!$E$8:$E$250,'Other Minerals - Q&amp;V'!$N$8:$N$250,CONCATENATE("20",RIGHT('Q&amp;V FY 2003-04 to Now'!Y$7,2)),'Other Minerals - Q&amp;V'!$O$8:$O$250,1)+
SUMIFS('Other Minerals - Q&amp;V'!$E$8:$E$250,'Other Minerals - Q&amp;V'!$N$8:$N$250,CONCATENATE("20",RIGHT('Q&amp;V FY 2003-04 to Now'!Y$7,2)),'Other Minerals - Q&amp;V'!$O$8:$O$250,2))*1000000</f>
        <v>307073400</v>
      </c>
      <c r="AA26" s="723">
        <f>(SUMIFS('Other Minerals - Q&amp;V'!$D$8:$D$250,'Other Minerals - Q&amp;V'!$N$8:$N$250,LEFT('Q&amp;V FY 2003-04 to Now'!AA$7,4),'Other Minerals - Q&amp;V'!$O$8:$O$250,3)+
SUMIFS('Other Minerals - Q&amp;V'!$D$8:$D$250,'Other Minerals - Q&amp;V'!$N$8:$N$250,LEFT('Q&amp;V FY 2003-04 to Now'!AA$7,4),'Other Minerals - Q&amp;V'!$O$8:$O$250,4)+
SUMIFS('Other Minerals - Q&amp;V'!$D$8:$D$250,'Other Minerals - Q&amp;V'!$N$8:$N$250,CONCATENATE("20",RIGHT('Q&amp;V FY 2003-04 to Now'!AA$7,2)),'Other Minerals - Q&amp;V'!$O$8:$O$250,1)+
SUMIFS('Other Minerals - Q&amp;V'!$D$8:$D$250,'Other Minerals - Q&amp;V'!$N$8:$N$250,CONCATENATE("20",RIGHT('Q&amp;V FY 2003-04 to Now'!AA$7,2)),'Other Minerals - Q&amp;V'!$O$8:$O$250,2))*1000000</f>
        <v>6890950.7599999998</v>
      </c>
      <c r="AB26" s="723">
        <f>(SUMIFS('Other Minerals - Q&amp;V'!$E$8:$E$250,'Other Minerals - Q&amp;V'!$N$8:$N$250,LEFT('Q&amp;V FY 2003-04 to Now'!AA$7,4),'Other Minerals - Q&amp;V'!$O$8:$O$250,3)+
SUMIFS('Other Minerals - Q&amp;V'!$E$8:$E$250,'Other Minerals - Q&amp;V'!$N$8:$N$250,LEFT('Q&amp;V FY 2003-04 to Now'!AA$7,4),'Other Minerals - Q&amp;V'!$O$8:$O$250,4)+
SUMIFS('Other Minerals - Q&amp;V'!$E$8:$E$250,'Other Minerals - Q&amp;V'!$N$8:$N$250,CONCATENATE("20",RIGHT('Q&amp;V FY 2003-04 to Now'!AA$7,2)),'Other Minerals - Q&amp;V'!$O$8:$O$250,1)+
SUMIFS('Other Minerals - Q&amp;V'!$E$8:$E$250,'Other Minerals - Q&amp;V'!$N$8:$N$250,CONCATENATE("20",RIGHT('Q&amp;V FY 2003-04 to Now'!AA$7,2)),'Other Minerals - Q&amp;V'!$O$8:$O$250,2))*1000000</f>
        <v>336466825</v>
      </c>
      <c r="AC26" s="734">
        <f>(SUMIFS('Other Minerals - Q&amp;V'!$D$8:$D$250,'Other Minerals - Q&amp;V'!$N$8:$N$250,LEFT('Q&amp;V FY 2003-04 to Now'!AC$7,4),'Other Minerals - Q&amp;V'!$O$8:$O$250,3)+
SUMIFS('Other Minerals - Q&amp;V'!$D$8:$D$250,'Other Minerals - Q&amp;V'!$N$8:$N$250,LEFT('Q&amp;V FY 2003-04 to Now'!AC$7,4),'Other Minerals - Q&amp;V'!$O$8:$O$250,4)+
SUMIFS('Other Minerals - Q&amp;V'!$D$8:$D$250,'Other Minerals - Q&amp;V'!$N$8:$N$250,CONCATENATE("20",RIGHT('Q&amp;V FY 2003-04 to Now'!AC$7,2)),'Other Minerals - Q&amp;V'!$O$8:$O$250,1)+
SUMIFS('Other Minerals - Q&amp;V'!$D$8:$D$250,'Other Minerals - Q&amp;V'!$N$8:$N$250,CONCATENATE("20",RIGHT('Q&amp;V FY 2003-04 to Now'!AC$7,2)),'Other Minerals - Q&amp;V'!$O$8:$O$250,2))*1000000</f>
        <v>6806389.2209999999</v>
      </c>
      <c r="AD26" s="723">
        <f>(SUMIFS('Other Minerals - Q&amp;V'!$E$8:$E$250,'Other Minerals - Q&amp;V'!$N$8:$N$250,LEFT('Q&amp;V FY 2003-04 to Now'!AC$7,4),'Other Minerals - Q&amp;V'!$O$8:$O$250,3)+
SUMIFS('Other Minerals - Q&amp;V'!$E$8:$E$250,'Other Minerals - Q&amp;V'!$N$8:$N$250,LEFT('Q&amp;V FY 2003-04 to Now'!AC$7,4),'Other Minerals - Q&amp;V'!$O$8:$O$250,4)+
SUMIFS('Other Minerals - Q&amp;V'!$E$8:$E$250,'Other Minerals - Q&amp;V'!$N$8:$N$250,CONCATENATE("20",RIGHT('Q&amp;V FY 2003-04 to Now'!AC$7,2)),'Other Minerals - Q&amp;V'!$O$8:$O$250,1)+
SUMIFS('Other Minerals - Q&amp;V'!$E$8:$E$250,'Other Minerals - Q&amp;V'!$N$8:$N$250,CONCATENATE("20",RIGHT('Q&amp;V FY 2003-04 to Now'!AC$7,2)),'Other Minerals - Q&amp;V'!$O$8:$O$250,2))*1000000</f>
        <v>338435045</v>
      </c>
      <c r="AE26" s="734">
        <f>(SUMIFS('Other Minerals - Q&amp;V'!$D$8:$D$250,'Other Minerals - Q&amp;V'!$N$8:$N$250,LEFT('Q&amp;V FY 2003-04 to Now'!AE$7,4),'Other Minerals - Q&amp;V'!$O$8:$O$250,3)+
SUMIFS('Other Minerals - Q&amp;V'!$D$8:$D$250,'Other Minerals - Q&amp;V'!$N$8:$N$250,LEFT('Q&amp;V FY 2003-04 to Now'!AE$7,4),'Other Minerals - Q&amp;V'!$O$8:$O$250,4)+
SUMIFS('Other Minerals - Q&amp;V'!$D$8:$D$250,'Other Minerals - Q&amp;V'!$N$8:$N$250,CONCATENATE("20",RIGHT('Q&amp;V FY 2003-04 to Now'!AE$7,2)),'Other Minerals - Q&amp;V'!$O$8:$O$250,1)+
SUMIFS('Other Minerals - Q&amp;V'!$D$8:$D$250,'Other Minerals - Q&amp;V'!$N$8:$N$250,CONCATENATE("20",RIGHT('Q&amp;V FY 2003-04 to Now'!AE$7,2)),'Other Minerals - Q&amp;V'!$O$8:$O$250,2))*1000000</f>
        <v>6679934.8399999999</v>
      </c>
      <c r="AF26" s="723">
        <f>(SUMIFS('Other Minerals - Q&amp;V'!$E$8:$E$250,'Other Minerals - Q&amp;V'!$N$8:$N$250,LEFT('Q&amp;V FY 2003-04 to Now'!AE$7,4),'Other Minerals - Q&amp;V'!$O$8:$O$250,3)+
SUMIFS('Other Minerals - Q&amp;V'!$E$8:$E$250,'Other Minerals - Q&amp;V'!$N$8:$N$250,LEFT('Q&amp;V FY 2003-04 to Now'!AE$7,4),'Other Minerals - Q&amp;V'!$O$8:$O$250,4)+
SUMIFS('Other Minerals - Q&amp;V'!$E$8:$E$250,'Other Minerals - Q&amp;V'!$N$8:$N$250,CONCATENATE("20",RIGHT('Q&amp;V FY 2003-04 to Now'!AE$7,2)),'Other Minerals - Q&amp;V'!$O$8:$O$250,1)+
SUMIFS('Other Minerals - Q&amp;V'!$E$8:$E$250,'Other Minerals - Q&amp;V'!$N$8:$N$250,CONCATENATE("20",RIGHT('Q&amp;V FY 2003-04 to Now'!AE$7,2)),'Other Minerals - Q&amp;V'!$O$8:$O$250,2))*1000000</f>
        <v>331959621.99999994</v>
      </c>
      <c r="AG26" s="734">
        <f>(SUMIFS('Other Minerals - Q&amp;V'!$D$8:$D$250,'Other Minerals - Q&amp;V'!$N$8:$N$250,LEFT('Q&amp;V FY 2003-04 to Now'!AG$7,4),'Other Minerals - Q&amp;V'!$O$8:$O$250,3)+
SUMIFS('Other Minerals - Q&amp;V'!$D$8:$D$250,'Other Minerals - Q&amp;V'!$N$8:$N$250,LEFT('Q&amp;V FY 2003-04 to Now'!AG$7,4),'Other Minerals - Q&amp;V'!$O$8:$O$250,4)+
SUMIFS('Other Minerals - Q&amp;V'!$D$8:$D$250,'Other Minerals - Q&amp;V'!$N$8:$N$250,CONCATENATE("20",RIGHT('Q&amp;V FY 2003-04 to Now'!AG$7,2)),'Other Minerals - Q&amp;V'!$O$8:$O$250,1)+
SUMIFS('Other Minerals - Q&amp;V'!$D$8:$D$250,'Other Minerals - Q&amp;V'!$N$8:$N$250,CONCATENATE("20",RIGHT('Q&amp;V FY 2003-04 to Now'!AG$7,2)),'Other Minerals - Q&amp;V'!$O$8:$O$250,2))*1000000</f>
        <v>6275190.46</v>
      </c>
      <c r="AH26" s="1355">
        <f>(SUMIFS('Other Minerals - Q&amp;V'!$E$8:$E$250,'Other Minerals - Q&amp;V'!$N$8:$N$250,LEFT('Q&amp;V FY 2003-04 to Now'!AG$7,4),'Other Minerals - Q&amp;V'!$O$8:$O$250,3)+
SUMIFS('Other Minerals - Q&amp;V'!$E$8:$E$250,'Other Minerals - Q&amp;V'!$N$8:$N$250,LEFT('Q&amp;V FY 2003-04 to Now'!AG$7,4),'Other Minerals - Q&amp;V'!$O$8:$O$250,4)+
SUMIFS('Other Minerals - Q&amp;V'!$E$8:$E$250,'Other Minerals - Q&amp;V'!$N$8:$N$250,CONCATENATE("20",RIGHT('Q&amp;V FY 2003-04 to Now'!AG$7,2)),'Other Minerals - Q&amp;V'!$O$8:$O$250,1)+
SUMIFS('Other Minerals - Q&amp;V'!$E$8:$E$250,'Other Minerals - Q&amp;V'!$N$8:$N$250,CONCATENATE("20",RIGHT('Q&amp;V FY 2003-04 to Now'!AG$7,2)),'Other Minerals - Q&amp;V'!$O$8:$O$250,2))*1000000</f>
        <v>319370156</v>
      </c>
      <c r="AI26" s="1355">
        <f>(SUMIFS('Other Minerals - Q&amp;V'!$D$8:$D$250,'Other Minerals - Q&amp;V'!$N$8:$N$250,LEFT('Q&amp;V FY 2003-04 to Now'!AI$7,4),'Other Minerals - Q&amp;V'!$O$8:$O$250,3)+
SUMIFS('Other Minerals - Q&amp;V'!$D$8:$D$250,'Other Minerals - Q&amp;V'!$N$8:$N$250,LEFT('Q&amp;V FY 2003-04 to Now'!AI$7,4),'Other Minerals - Q&amp;V'!$O$8:$O$250,4)+
SUMIFS('Other Minerals - Q&amp;V'!$D$8:$D$250,'Other Minerals - Q&amp;V'!$N$8:$N$250,CONCATENATE("20",RIGHT('Q&amp;V FY 2003-04 to Now'!AI$7,2)),'Other Minerals - Q&amp;V'!$O$8:$O$250,1)+
SUMIFS('Other Minerals - Q&amp;V'!$D$8:$D$250,'Other Minerals - Q&amp;V'!$N$8:$N$250,CONCATENATE("20",RIGHT('Q&amp;V FY 2003-04 to Now'!AI$7,2)),'Other Minerals - Q&amp;V'!$O$8:$O$250,2))*1000000</f>
        <v>6195613.7570000002</v>
      </c>
      <c r="AJ26" s="1355">
        <f>(SUMIFS('Other Minerals - Q&amp;V'!$E$8:$E$250,'Other Minerals - Q&amp;V'!$N$8:$N$250,LEFT('Q&amp;V FY 2003-04 to Now'!AI$7,4),'Other Minerals - Q&amp;V'!$O$8:$O$250,3)+
SUMIFS('Other Minerals - Q&amp;V'!$E$8:$E$250,'Other Minerals - Q&amp;V'!$N$8:$N$250,LEFT('Q&amp;V FY 2003-04 to Now'!AI$7,4),'Other Minerals - Q&amp;V'!$O$8:$O$250,4)+
SUMIFS('Other Minerals - Q&amp;V'!$E$8:$E$250,'Other Minerals - Q&amp;V'!$N$8:$N$250,CONCATENATE("20",RIGHT('Q&amp;V FY 2003-04 to Now'!AI$7,2)),'Other Minerals - Q&amp;V'!$O$8:$O$250,1)+
SUMIFS('Other Minerals - Q&amp;V'!$E$8:$E$250,'Other Minerals - Q&amp;V'!$N$8:$N$250,CONCATENATE("20",RIGHT('Q&amp;V FY 2003-04 to Now'!AI$7,2)),'Other Minerals - Q&amp;V'!$O$8:$O$250,2))*1000000</f>
        <v>326981226</v>
      </c>
      <c r="AK26" s="1355">
        <f>(SUMIFS('Other Minerals - Q&amp;V'!$D$8:$D$250,'Other Minerals - Q&amp;V'!$N$8:$N$250,LEFT('Q&amp;V FY 2003-04 to Now'!AK$7,4),'Other Minerals - Q&amp;V'!$O$8:$O$250,3)+
SUMIFS('Other Minerals - Q&amp;V'!$D$8:$D$250,'Other Minerals - Q&amp;V'!$N$8:$N$250,LEFT('Q&amp;V FY 2003-04 to Now'!AK$7,4),'Other Minerals - Q&amp;V'!$O$8:$O$250,4)+
SUMIFS('Other Minerals - Q&amp;V'!$D$8:$D$250,'Other Minerals - Q&amp;V'!$N$8:$N$250,CONCATENATE("20",RIGHT('Q&amp;V FY 2003-04 to Now'!AK$7,2)),'Other Minerals - Q&amp;V'!$O$8:$O$250,1)+
SUMIFS('Other Minerals - Q&amp;V'!$D$8:$D$250,'Other Minerals - Q&amp;V'!$N$8:$N$250,CONCATENATE("20",RIGHT('Q&amp;V FY 2003-04 to Now'!AK$7,2)),'Other Minerals - Q&amp;V'!$O$8:$O$250,2))*1000000</f>
        <v>5272434.04</v>
      </c>
      <c r="AL26" s="1355">
        <f>(SUMIFS('Other Minerals - Q&amp;V'!$E$8:$E$250,'Other Minerals - Q&amp;V'!$N$8:$N$250,LEFT('Q&amp;V FY 2003-04 to Now'!AK$7,4),'Other Minerals - Q&amp;V'!$O$8:$O$250,3)+
SUMIFS('Other Minerals - Q&amp;V'!$E$8:$E$250,'Other Minerals - Q&amp;V'!$N$8:$N$250,LEFT('Q&amp;V FY 2003-04 to Now'!AK$7,4),'Other Minerals - Q&amp;V'!$O$8:$O$250,4)+
SUMIFS('Other Minerals - Q&amp;V'!$E$8:$E$250,'Other Minerals - Q&amp;V'!$N$8:$N$250,CONCATENATE("20",RIGHT('Q&amp;V FY 2003-04 to Now'!AK$7,2)),'Other Minerals - Q&amp;V'!$O$8:$O$250,1)+
SUMIFS('Other Minerals - Q&amp;V'!$E$8:$E$250,'Other Minerals - Q&amp;V'!$N$8:$N$250,CONCATENATE("20",RIGHT('Q&amp;V FY 2003-04 to Now'!AK$7,2)),'Other Minerals - Q&amp;V'!$O$8:$O$250,2))*1000000</f>
        <v>306063405</v>
      </c>
      <c r="AM26" s="1355">
        <f>(SUMIFS('Other Minerals - Q&amp;V'!$D$8:$D$250,'Other Minerals - Q&amp;V'!$N$8:$N$250,LEFT('Q&amp;V FY 2003-04 to Now'!AM$7,4),'Other Minerals - Q&amp;V'!$O$8:$O$250,3)+
SUMIFS('Other Minerals - Q&amp;V'!$D$8:$D$250,'Other Minerals - Q&amp;V'!$N$8:$N$250,LEFT('Q&amp;V FY 2003-04 to Now'!AM$7,4),'Other Minerals - Q&amp;V'!$O$8:$O$250,4)+
SUMIFS('Other Minerals - Q&amp;V'!$D$8:$D$250,'Other Minerals - Q&amp;V'!$N$8:$N$250,CONCATENATE("20",RIGHT('Q&amp;V FY 2003-04 to Now'!AM$7,2)),'Other Minerals - Q&amp;V'!$O$8:$O$250,1)+
SUMIFS('Other Minerals - Q&amp;V'!$D$8:$D$250,'Other Minerals - Q&amp;V'!$N$8:$N$250,CONCATENATE("20",RIGHT('Q&amp;V FY 2003-04 to Now'!AM$7,2)),'Other Minerals - Q&amp;V'!$O$8:$O$250,2))*1000000</f>
        <v>5194392.72</v>
      </c>
      <c r="AN26" s="1355">
        <f>(SUMIFS('Other Minerals - Q&amp;V'!$E$8:$E$250,'Other Minerals - Q&amp;V'!$N$8:$N$250,LEFT('Q&amp;V FY 2003-04 to Now'!AM$7,4),'Other Minerals - Q&amp;V'!$O$8:$O$250,3)+
SUMIFS('Other Minerals - Q&amp;V'!$E$8:$E$250,'Other Minerals - Q&amp;V'!$N$8:$N$250,LEFT('Q&amp;V FY 2003-04 to Now'!AM$7,4),'Other Minerals - Q&amp;V'!$O$8:$O$250,4)+
SUMIFS('Other Minerals - Q&amp;V'!$E$8:$E$250,'Other Minerals - Q&amp;V'!$N$8:$N$250,CONCATENATE("20",RIGHT('Q&amp;V FY 2003-04 to Now'!AM$7,2)),'Other Minerals - Q&amp;V'!$O$8:$O$250,1)+
SUMIFS('Other Minerals - Q&amp;V'!$E$8:$E$250,'Other Minerals - Q&amp;V'!$N$8:$N$250,CONCATENATE("20",RIGHT('Q&amp;V FY 2003-04 to Now'!AM$7,2)),'Other Minerals - Q&amp;V'!$O$8:$O$250,2))*1000000</f>
        <v>324648262</v>
      </c>
      <c r="AO26" s="1355">
        <f>(SUMIFS('Other Minerals - Q&amp;V'!$D$8:$D$250,'Other Minerals - Q&amp;V'!$N$8:$N$250,LEFT('Q&amp;V FY 2003-04 to Now'!AO$7,4),'Other Minerals - Q&amp;V'!$O$8:$O$250,3)+
SUMIFS('Other Minerals - Q&amp;V'!$D$8:$D$250,'Other Minerals - Q&amp;V'!$N$8:$N$250,LEFT('Q&amp;V FY 2003-04 to Now'!AO$7,4),'Other Minerals - Q&amp;V'!$O$8:$O$250,4)+
SUMIFS('Other Minerals - Q&amp;V'!$D$8:$D$250,'Other Minerals - Q&amp;V'!$N$8:$N$250,CONCATENATE("20",RIGHT('Q&amp;V FY 2003-04 to Now'!AO$7,2)),'Other Minerals - Q&amp;V'!$O$8:$O$250,1)+
SUMIFS('Other Minerals - Q&amp;V'!$D$8:$D$250,'Other Minerals - Q&amp;V'!$N$8:$N$250,CONCATENATE("20",RIGHT('Q&amp;V FY 2003-04 to Now'!AO$7,2)),'Other Minerals - Q&amp;V'!$O$8:$O$250,2))*1000000</f>
        <v>4772893.5599999996</v>
      </c>
      <c r="AP26" s="1355">
        <f>(SUMIFS('Other Minerals - Q&amp;V'!$E$8:$E$250,'Other Minerals - Q&amp;V'!$N$8:$N$250,LEFT('Q&amp;V FY 2003-04 to Now'!AO$7,4),'Other Minerals - Q&amp;V'!$O$8:$O$250,3)+
SUMIFS('Other Minerals - Q&amp;V'!$E$8:$E$250,'Other Minerals - Q&amp;V'!$N$8:$N$250,LEFT('Q&amp;V FY 2003-04 to Now'!AO$7,4),'Other Minerals - Q&amp;V'!$O$8:$O$250,4)+
SUMIFS('Other Minerals - Q&amp;V'!$E$8:$E$250,'Other Minerals - Q&amp;V'!$N$8:$N$250,CONCATENATE("20",RIGHT('Q&amp;V FY 2003-04 to Now'!AO$7,2)),'Other Minerals - Q&amp;V'!$O$8:$O$250,1)+
SUMIFS('Other Minerals - Q&amp;V'!$E$8:$E$250,'Other Minerals - Q&amp;V'!$N$8:$N$250,CONCATENATE("20",RIGHT('Q&amp;V FY 2003-04 to Now'!AO$7,2)),'Other Minerals - Q&amp;V'!$O$8:$O$250,2))*1000000</f>
        <v>375827701.00000006</v>
      </c>
      <c r="AQ26" s="734">
        <f>SUMIF($C$9:AP$9,1,$C26:AP26)</f>
        <v>127500144.77800001</v>
      </c>
      <c r="AR26" s="723">
        <f>IF(COUNTIF($C26:AP26, "nfp")=0, SUMIF($C$9:AP$9,0,$C26:AP26), "nfp")</f>
        <v>6162829410.5</v>
      </c>
      <c r="AT26" s="317"/>
      <c r="AU26" s="317"/>
      <c r="AV26" s="381"/>
      <c r="AW26" s="381"/>
    </row>
    <row r="27" spans="1:49">
      <c r="A27" s="247"/>
      <c r="B27" s="248"/>
      <c r="C27" s="668"/>
      <c r="D27" s="668"/>
      <c r="E27" s="668"/>
      <c r="F27" s="668"/>
      <c r="G27" s="668"/>
      <c r="H27" s="668"/>
      <c r="I27" s="668"/>
      <c r="J27" s="668"/>
      <c r="K27" s="668"/>
      <c r="L27" s="668"/>
      <c r="M27" s="668"/>
      <c r="N27" s="668"/>
      <c r="O27" s="668"/>
      <c r="P27" s="668"/>
      <c r="Q27" s="668"/>
      <c r="R27" s="668"/>
      <c r="S27" s="668"/>
      <c r="T27" s="668"/>
      <c r="U27" s="668"/>
      <c r="V27" s="668"/>
      <c r="W27" s="668"/>
      <c r="X27" s="668"/>
      <c r="Y27" s="668"/>
      <c r="Z27" s="668"/>
      <c r="AA27" s="668"/>
      <c r="AB27" s="668"/>
      <c r="AC27" s="668"/>
      <c r="AD27" s="668"/>
      <c r="AE27" s="736"/>
      <c r="AF27" s="668"/>
      <c r="AG27" s="736"/>
      <c r="AH27" s="910"/>
      <c r="AI27" s="1352"/>
      <c r="AJ27" s="910"/>
      <c r="AK27" s="910"/>
      <c r="AL27" s="910"/>
      <c r="AM27" s="910"/>
      <c r="AN27" s="910"/>
      <c r="AO27" s="910"/>
      <c r="AP27" s="910"/>
      <c r="AQ27" s="734"/>
      <c r="AR27" s="723"/>
      <c r="AT27" s="317"/>
      <c r="AU27" s="317"/>
      <c r="AV27" s="381"/>
      <c r="AW27" s="381"/>
    </row>
    <row r="28" spans="1:49">
      <c r="A28" s="261" t="s">
        <v>507</v>
      </c>
      <c r="B28" s="127" t="s">
        <v>67</v>
      </c>
      <c r="C28" s="717">
        <f>(SUMIFS('Other Minerals - Q&amp;V'!$J$8:$J$250,'Other Minerals - Q&amp;V'!$N$8:$N$250,LEFT('Q&amp;V FY 2003-04 to Now'!C$7,4),'Other Minerals - Q&amp;V'!$O$8:$O$250,3)+
SUMIFS('Other Minerals - Q&amp;V'!$J$8:$J$250,'Other Minerals - Q&amp;V'!$N$8:$N$250,LEFT('Q&amp;V FY 2003-04 to Now'!C$7,4),'Other Minerals - Q&amp;V'!$O$8:$O$250,4)+
SUMIFS('Other Minerals - Q&amp;V'!$J$8:$J$250,'Other Minerals - Q&amp;V'!$N$8:$N$250,CONCATENATE("20",RIGHT('Q&amp;V FY 2003-04 to Now'!C$7,2)),'Other Minerals - Q&amp;V'!$O$8:$O$250,1)+
SUMIFS('Other Minerals - Q&amp;V'!$J$8:$J$250,'Other Minerals - Q&amp;V'!$N$8:$N$250,CONCATENATE("20",RIGHT('Q&amp;V FY 2003-04 to Now'!C$7,2)),'Other Minerals - Q&amp;V'!$O$8:$O$250,2))*1000</f>
        <v>4673.7269999999999</v>
      </c>
      <c r="D28" s="741">
        <f>(SUMIFS('Other Minerals - Q&amp;V'!$K$8:$K$250,'Other Minerals - Q&amp;V'!$N$8:$N$250,LEFT('Q&amp;V FY 2003-04 to Now'!C$7,4),'Other Minerals - Q&amp;V'!$O$8:$O$250,3)+
SUMIFS('Other Minerals - Q&amp;V'!$K$8:$K$250,'Other Minerals - Q&amp;V'!$N$8:$N$250,LEFT('Q&amp;V FY 2003-04 to Now'!C$7,4),'Other Minerals - Q&amp;V'!$O$8:$O$250,4)+
SUMIFS('Other Minerals - Q&amp;V'!$K$8:$K$250,'Other Minerals - Q&amp;V'!$N$8:$N$250,CONCATENATE("20",RIGHT('Q&amp;V FY 2003-04 to Now'!C$7,2)),'Other Minerals - Q&amp;V'!$O$8:$O$250,1)+
SUMIFS('Other Minerals - Q&amp;V'!$K$8:$K$250,'Other Minerals - Q&amp;V'!$N$8:$N$250,CONCATENATE("20",RIGHT('Q&amp;V FY 2003-04 to Now'!C$7,2)),'Other Minerals - Q&amp;V'!$O$8:$O$250,2))*1000000</f>
        <v>214514960.00000003</v>
      </c>
      <c r="E28" s="717">
        <f>(SUMIFS('Other Minerals - Q&amp;V'!$J$8:$J$250,'Other Minerals - Q&amp;V'!$N$8:$N$250,LEFT('Q&amp;V FY 2003-04 to Now'!E$7,4),'Other Minerals - Q&amp;V'!$O$8:$O$250,3)+
SUMIFS('Other Minerals - Q&amp;V'!$J$8:$J$250,'Other Minerals - Q&amp;V'!$N$8:$N$250,LEFT('Q&amp;V FY 2003-04 to Now'!E$7,4),'Other Minerals - Q&amp;V'!$O$8:$O$250,4)+
SUMIFS('Other Minerals - Q&amp;V'!$J$8:$J$250,'Other Minerals - Q&amp;V'!$N$8:$N$250,CONCATENATE("20",RIGHT('Q&amp;V FY 2003-04 to Now'!E$7,2)),'Other Minerals - Q&amp;V'!$O$8:$O$250,1)+
SUMIFS('Other Minerals - Q&amp;V'!$J$8:$J$250,'Other Minerals - Q&amp;V'!$N$8:$N$250,CONCATENATE("20",RIGHT('Q&amp;V FY 2003-04 to Now'!E$7,2)),'Other Minerals - Q&amp;V'!$O$8:$O$250,2))*1000</f>
        <v>4338.49</v>
      </c>
      <c r="F28" s="741">
        <f>(SUMIFS('Other Minerals - Q&amp;V'!$K$8:$K$250,'Other Minerals - Q&amp;V'!$N$8:$N$250,LEFT('Q&amp;V FY 2003-04 to Now'!E$7,4),'Other Minerals - Q&amp;V'!$O$8:$O$250,3)+
SUMIFS('Other Minerals - Q&amp;V'!$K$8:$K$250,'Other Minerals - Q&amp;V'!$N$8:$N$250,LEFT('Q&amp;V FY 2003-04 to Now'!E$7,4),'Other Minerals - Q&amp;V'!$O$8:$O$250,4)+
SUMIFS('Other Minerals - Q&amp;V'!$K$8:$K$250,'Other Minerals - Q&amp;V'!$N$8:$N$250,CONCATENATE("20",RIGHT('Q&amp;V FY 2003-04 to Now'!E$7,2)),'Other Minerals - Q&amp;V'!$O$8:$O$250,1)+
SUMIFS('Other Minerals - Q&amp;V'!$K$8:$K$250,'Other Minerals - Q&amp;V'!$N$8:$N$250,CONCATENATE("20",RIGHT('Q&amp;V FY 2003-04 to Now'!E$7,2)),'Other Minerals - Q&amp;V'!$O$8:$O$250,2))*1000000</f>
        <v>203263544.00000003</v>
      </c>
      <c r="G28" s="717">
        <f>(SUMIFS('Other Minerals - Q&amp;V'!$J$8:$J$250,'Other Minerals - Q&amp;V'!$N$8:$N$250,LEFT('Q&amp;V FY 2003-04 to Now'!G$7,4),'Other Minerals - Q&amp;V'!$O$8:$O$250,3)+
SUMIFS('Other Minerals - Q&amp;V'!$J$8:$J$250,'Other Minerals - Q&amp;V'!$N$8:$N$250,LEFT('Q&amp;V FY 2003-04 to Now'!G$7,4),'Other Minerals - Q&amp;V'!$O$8:$O$250,4)+
SUMIFS('Other Minerals - Q&amp;V'!$J$8:$J$250,'Other Minerals - Q&amp;V'!$N$8:$N$250,CONCATENATE("20",RIGHT('Q&amp;V FY 2003-04 to Now'!G$7,2)),'Other Minerals - Q&amp;V'!$O$8:$O$250,1)+
SUMIFS('Other Minerals - Q&amp;V'!$J$8:$J$250,'Other Minerals - Q&amp;V'!$N$8:$N$250,CONCATENATE("20",RIGHT('Q&amp;V FY 2003-04 to Now'!G$7,2)),'Other Minerals - Q&amp;V'!$O$8:$O$250,2))*1000</f>
        <v>5029.3550000000005</v>
      </c>
      <c r="H28" s="741">
        <f>(SUMIFS('Other Minerals - Q&amp;V'!$K$8:$K$250,'Other Minerals - Q&amp;V'!$N$8:$N$250,LEFT('Q&amp;V FY 2003-04 to Now'!G$7,4),'Other Minerals - Q&amp;V'!$O$8:$O$250,3)+
SUMIFS('Other Minerals - Q&amp;V'!$K$8:$K$250,'Other Minerals - Q&amp;V'!$N$8:$N$250,LEFT('Q&amp;V FY 2003-04 to Now'!G$7,4),'Other Minerals - Q&amp;V'!$O$8:$O$250,4)+
SUMIFS('Other Minerals - Q&amp;V'!$K$8:$K$250,'Other Minerals - Q&amp;V'!$N$8:$N$250,CONCATENATE("20",RIGHT('Q&amp;V FY 2003-04 to Now'!G$7,2)),'Other Minerals - Q&amp;V'!$O$8:$O$250,1)+
SUMIFS('Other Minerals - Q&amp;V'!$K$8:$K$250,'Other Minerals - Q&amp;V'!$N$8:$N$250,CONCATENATE("20",RIGHT('Q&amp;V FY 2003-04 to Now'!G$7,2)),'Other Minerals - Q&amp;V'!$O$8:$O$250,2))*1000000</f>
        <v>184907807</v>
      </c>
      <c r="I28" s="717">
        <f>(SUMIFS('Other Minerals - Q&amp;V'!$J$8:$J$250,'Other Minerals - Q&amp;V'!$N$8:$N$250,LEFT('Q&amp;V FY 2003-04 to Now'!I$7,4),'Other Minerals - Q&amp;V'!$O$8:$O$250,3)+
SUMIFS('Other Minerals - Q&amp;V'!$J$8:$J$250,'Other Minerals - Q&amp;V'!$N$8:$N$250,LEFT('Q&amp;V FY 2003-04 to Now'!I$7,4),'Other Minerals - Q&amp;V'!$O$8:$O$250,4)+
SUMIFS('Other Minerals - Q&amp;V'!$J$8:$J$250,'Other Minerals - Q&amp;V'!$N$8:$N$250,CONCATENATE("20",RIGHT('Q&amp;V FY 2003-04 to Now'!I$7,2)),'Other Minerals - Q&amp;V'!$O$8:$O$250,1)+
SUMIFS('Other Minerals - Q&amp;V'!$J$8:$J$250,'Other Minerals - Q&amp;V'!$N$8:$N$250,CONCATENATE("20",RIGHT('Q&amp;V FY 2003-04 to Now'!I$7,2)),'Other Minerals - Q&amp;V'!$O$8:$O$250,2))*1000</f>
        <v>4656.7780000000002</v>
      </c>
      <c r="J28" s="741">
        <f>(SUMIFS('Other Minerals - Q&amp;V'!$K$8:$K$250,'Other Minerals - Q&amp;V'!$N$8:$N$250,LEFT('Q&amp;V FY 2003-04 to Now'!I$7,4),'Other Minerals - Q&amp;V'!$O$8:$O$250,3)+
SUMIFS('Other Minerals - Q&amp;V'!$K$8:$K$250,'Other Minerals - Q&amp;V'!$N$8:$N$250,LEFT('Q&amp;V FY 2003-04 to Now'!I$7,4),'Other Minerals - Q&amp;V'!$O$8:$O$250,4)+
SUMIFS('Other Minerals - Q&amp;V'!$K$8:$K$250,'Other Minerals - Q&amp;V'!$N$8:$N$250,CONCATENATE("20",RIGHT('Q&amp;V FY 2003-04 to Now'!I$7,2)),'Other Minerals - Q&amp;V'!$O$8:$O$250,1)+
SUMIFS('Other Minerals - Q&amp;V'!$K$8:$K$250,'Other Minerals - Q&amp;V'!$N$8:$N$250,CONCATENATE("20",RIGHT('Q&amp;V FY 2003-04 to Now'!I$7,2)),'Other Minerals - Q&amp;V'!$O$8:$O$250,2))*1000000</f>
        <v>277492827.00000006</v>
      </c>
      <c r="K28" s="717">
        <f>(SUMIFS('Other Minerals - Q&amp;V'!$J$8:$J$250,'Other Minerals - Q&amp;V'!$N$8:$N$250,LEFT('Q&amp;V FY 2003-04 to Now'!K$7,4),'Other Minerals - Q&amp;V'!$O$8:$O$250,3)+
SUMIFS('Other Minerals - Q&amp;V'!$J$8:$J$250,'Other Minerals - Q&amp;V'!$N$8:$N$250,LEFT('Q&amp;V FY 2003-04 to Now'!K$7,4),'Other Minerals - Q&amp;V'!$O$8:$O$250,4)+
SUMIFS('Other Minerals - Q&amp;V'!$J$8:$J$250,'Other Minerals - Q&amp;V'!$N$8:$N$250,CONCATENATE("20",RIGHT('Q&amp;V FY 2003-04 to Now'!K$7,2)),'Other Minerals - Q&amp;V'!$O$8:$O$250,1)+
SUMIFS('Other Minerals - Q&amp;V'!$J$8:$J$250,'Other Minerals - Q&amp;V'!$N$8:$N$250,CONCATENATE("20",RIGHT('Q&amp;V FY 2003-04 to Now'!K$7,2)),'Other Minerals - Q&amp;V'!$O$8:$O$250,2))*1000</f>
        <v>5072.831000000001</v>
      </c>
      <c r="L28" s="741">
        <f>(SUMIFS('Other Minerals - Q&amp;V'!$K$8:$K$250,'Other Minerals - Q&amp;V'!$N$8:$N$250,LEFT('Q&amp;V FY 2003-04 to Now'!K$7,4),'Other Minerals - Q&amp;V'!$O$8:$O$250,3)+
SUMIFS('Other Minerals - Q&amp;V'!$K$8:$K$250,'Other Minerals - Q&amp;V'!$N$8:$N$250,LEFT('Q&amp;V FY 2003-04 to Now'!K$7,4),'Other Minerals - Q&amp;V'!$O$8:$O$250,4)+
SUMIFS('Other Minerals - Q&amp;V'!$K$8:$K$250,'Other Minerals - Q&amp;V'!$N$8:$N$250,CONCATENATE("20",RIGHT('Q&amp;V FY 2003-04 to Now'!K$7,2)),'Other Minerals - Q&amp;V'!$O$8:$O$250,1)+
SUMIFS('Other Minerals - Q&amp;V'!$K$8:$K$250,'Other Minerals - Q&amp;V'!$N$8:$N$250,CONCATENATE("20",RIGHT('Q&amp;V FY 2003-04 to Now'!K$7,2)),'Other Minerals - Q&amp;V'!$O$8:$O$250,2))*1000000</f>
        <v>443055397</v>
      </c>
      <c r="M28" s="717">
        <f>(SUMIFS('Other Minerals - Q&amp;V'!$J$8:$J$250,'Other Minerals - Q&amp;V'!$N$8:$N$250,LEFT('Q&amp;V FY 2003-04 to Now'!M$7,4),'Other Minerals - Q&amp;V'!$O$8:$O$250,3)+
SUMIFS('Other Minerals - Q&amp;V'!$J$8:$J$250,'Other Minerals - Q&amp;V'!$N$8:$N$250,LEFT('Q&amp;V FY 2003-04 to Now'!M$7,4),'Other Minerals - Q&amp;V'!$O$8:$O$250,4)+
SUMIFS('Other Minerals - Q&amp;V'!$J$8:$J$250,'Other Minerals - Q&amp;V'!$N$8:$N$250,CONCATENATE("20",RIGHT('Q&amp;V FY 2003-04 to Now'!M$7,2)),'Other Minerals - Q&amp;V'!$O$8:$O$250,1)+
SUMIFS('Other Minerals - Q&amp;V'!$J$8:$J$250,'Other Minerals - Q&amp;V'!$N$8:$N$250,CONCATENATE("20",RIGHT('Q&amp;V FY 2003-04 to Now'!M$7,2)),'Other Minerals - Q&amp;V'!$O$8:$O$250,2))*1000</f>
        <v>4674.9679999999998</v>
      </c>
      <c r="N28" s="741">
        <f>(SUMIFS('Other Minerals - Q&amp;V'!$K$8:$K$250,'Other Minerals - Q&amp;V'!$N$8:$N$250,LEFT('Q&amp;V FY 2003-04 to Now'!M$7,4),'Other Minerals - Q&amp;V'!$O$8:$O$250,3)+
SUMIFS('Other Minerals - Q&amp;V'!$K$8:$K$250,'Other Minerals - Q&amp;V'!$N$8:$N$250,LEFT('Q&amp;V FY 2003-04 to Now'!M$7,4),'Other Minerals - Q&amp;V'!$O$8:$O$250,4)+
SUMIFS('Other Minerals - Q&amp;V'!$K$8:$K$250,'Other Minerals - Q&amp;V'!$N$8:$N$250,CONCATENATE("20",RIGHT('Q&amp;V FY 2003-04 to Now'!M$7,2)),'Other Minerals - Q&amp;V'!$O$8:$O$250,1)+
SUMIFS('Other Minerals - Q&amp;V'!$K$8:$K$250,'Other Minerals - Q&amp;V'!$N$8:$N$250,CONCATENATE("20",RIGHT('Q&amp;V FY 2003-04 to Now'!M$7,2)),'Other Minerals - Q&amp;V'!$O$8:$O$250,2))*1000000</f>
        <v>219071343.99999997</v>
      </c>
      <c r="O28" s="717">
        <f>(SUMIFS('Other Minerals - Q&amp;V'!$J$8:$J$250,'Other Minerals - Q&amp;V'!$N$8:$N$250,LEFT('Q&amp;V FY 2003-04 to Now'!O$7,4),'Other Minerals - Q&amp;V'!$O$8:$O$250,3)+
SUMIFS('Other Minerals - Q&amp;V'!$J$8:$J$250,'Other Minerals - Q&amp;V'!$N$8:$N$250,LEFT('Q&amp;V FY 2003-04 to Now'!O$7,4),'Other Minerals - Q&amp;V'!$O$8:$O$250,4)+
SUMIFS('Other Minerals - Q&amp;V'!$J$8:$J$250,'Other Minerals - Q&amp;V'!$N$8:$N$250,CONCATENATE("20",RIGHT('Q&amp;V FY 2003-04 to Now'!O$7,2)),'Other Minerals - Q&amp;V'!$O$8:$O$250,1)+
SUMIFS('Other Minerals - Q&amp;V'!$J$8:$J$250,'Other Minerals - Q&amp;V'!$N$8:$N$250,CONCATENATE("20",RIGHT('Q&amp;V FY 2003-04 to Now'!O$7,2)),'Other Minerals - Q&amp;V'!$O$8:$O$250,2))*1000</f>
        <v>4398.4319999999998</v>
      </c>
      <c r="P28" s="741">
        <f>(SUMIFS('Other Minerals - Q&amp;V'!$K$8:$K$250,'Other Minerals - Q&amp;V'!$N$8:$N$250,LEFT('Q&amp;V FY 2003-04 to Now'!O$7,4),'Other Minerals - Q&amp;V'!$O$8:$O$250,3)+
SUMIFS('Other Minerals - Q&amp;V'!$K$8:$K$250,'Other Minerals - Q&amp;V'!$N$8:$N$250,LEFT('Q&amp;V FY 2003-04 to Now'!O$7,4),'Other Minerals - Q&amp;V'!$O$8:$O$250,4)+
SUMIFS('Other Minerals - Q&amp;V'!$K$8:$K$250,'Other Minerals - Q&amp;V'!$N$8:$N$250,CONCATENATE("20",RIGHT('Q&amp;V FY 2003-04 to Now'!O$7,2)),'Other Minerals - Q&amp;V'!$O$8:$O$250,1)+
SUMIFS('Other Minerals - Q&amp;V'!$K$8:$K$250,'Other Minerals - Q&amp;V'!$N$8:$N$250,CONCATENATE("20",RIGHT('Q&amp;V FY 2003-04 to Now'!O$7,2)),'Other Minerals - Q&amp;V'!$O$8:$O$250,2))*1000000</f>
        <v>193325946</v>
      </c>
      <c r="Q28" s="717">
        <f>(SUMIFS('Other Minerals - Q&amp;V'!$J$8:$J$250,'Other Minerals - Q&amp;V'!$N$8:$N$250,LEFT('Q&amp;V FY 2003-04 to Now'!Q$7,4),'Other Minerals - Q&amp;V'!$O$8:$O$250,3)+
SUMIFS('Other Minerals - Q&amp;V'!$J$8:$J$250,'Other Minerals - Q&amp;V'!$N$8:$N$250,LEFT('Q&amp;V FY 2003-04 to Now'!Q$7,4),'Other Minerals - Q&amp;V'!$O$8:$O$250,4)+
SUMIFS('Other Minerals - Q&amp;V'!$J$8:$J$250,'Other Minerals - Q&amp;V'!$N$8:$N$250,CONCATENATE("20",RIGHT('Q&amp;V FY 2003-04 to Now'!Q$7,2)),'Other Minerals - Q&amp;V'!$O$8:$O$250,1)+
SUMIFS('Other Minerals - Q&amp;V'!$J$8:$J$250,'Other Minerals - Q&amp;V'!$N$8:$N$250,CONCATENATE("20",RIGHT('Q&amp;V FY 2003-04 to Now'!Q$7,2)),'Other Minerals - Q&amp;V'!$O$8:$O$250,2))*1000</f>
        <v>3767.152</v>
      </c>
      <c r="R28" s="741">
        <f>(SUMIFS('Other Minerals - Q&amp;V'!$K$8:$K$250,'Other Minerals - Q&amp;V'!$N$8:$N$250,LEFT('Q&amp;V FY 2003-04 to Now'!Q$7,4),'Other Minerals - Q&amp;V'!$O$8:$O$250,3)+
SUMIFS('Other Minerals - Q&amp;V'!$K$8:$K$250,'Other Minerals - Q&amp;V'!$N$8:$N$250,LEFT('Q&amp;V FY 2003-04 to Now'!Q$7,4),'Other Minerals - Q&amp;V'!$O$8:$O$250,4)+
SUMIFS('Other Minerals - Q&amp;V'!$K$8:$K$250,'Other Minerals - Q&amp;V'!$N$8:$N$250,CONCATENATE("20",RIGHT('Q&amp;V FY 2003-04 to Now'!Q$7,2)),'Other Minerals - Q&amp;V'!$O$8:$O$250,1)+
SUMIFS('Other Minerals - Q&amp;V'!$K$8:$K$250,'Other Minerals - Q&amp;V'!$N$8:$N$250,CONCATENATE("20",RIGHT('Q&amp;V FY 2003-04 to Now'!Q$7,2)),'Other Minerals - Q&amp;V'!$O$8:$O$250,2))*1000000</f>
        <v>146480315</v>
      </c>
      <c r="S28" s="717">
        <f>(SUMIFS('Other Minerals - Q&amp;V'!$J$8:$J$250,'Other Minerals - Q&amp;V'!$N$8:$N$250,LEFT('Q&amp;V FY 2003-04 to Now'!S$7,4),'Other Minerals - Q&amp;V'!$O$8:$O$250,3)+
SUMIFS('Other Minerals - Q&amp;V'!$J$8:$J$250,'Other Minerals - Q&amp;V'!$N$8:$N$250,LEFT('Q&amp;V FY 2003-04 to Now'!S$7,4),'Other Minerals - Q&amp;V'!$O$8:$O$250,4)+
SUMIFS('Other Minerals - Q&amp;V'!$J$8:$J$250,'Other Minerals - Q&amp;V'!$N$8:$N$250,CONCATENATE("20",RIGHT('Q&amp;V FY 2003-04 to Now'!S$7,2)),'Other Minerals - Q&amp;V'!$O$8:$O$250,1)+
SUMIFS('Other Minerals - Q&amp;V'!$J$8:$J$250,'Other Minerals - Q&amp;V'!$N$8:$N$250,CONCATENATE("20",RIGHT('Q&amp;V FY 2003-04 to Now'!S$7,2)),'Other Minerals - Q&amp;V'!$O$8:$O$250,2))*1000</f>
        <v>4950</v>
      </c>
      <c r="T28" s="741">
        <f>(SUMIFS('Other Minerals - Q&amp;V'!$K$8:$K$250,'Other Minerals - Q&amp;V'!$N$8:$N$250,LEFT('Q&amp;V FY 2003-04 to Now'!S$7,4),'Other Minerals - Q&amp;V'!$O$8:$O$250,3)+
SUMIFS('Other Minerals - Q&amp;V'!$K$8:$K$250,'Other Minerals - Q&amp;V'!$N$8:$N$250,LEFT('Q&amp;V FY 2003-04 to Now'!S$7,4),'Other Minerals - Q&amp;V'!$O$8:$O$250,4)+
SUMIFS('Other Minerals - Q&amp;V'!$K$8:$K$250,'Other Minerals - Q&amp;V'!$N$8:$N$250,CONCATENATE("20",RIGHT('Q&amp;V FY 2003-04 to Now'!S$7,2)),'Other Minerals - Q&amp;V'!$O$8:$O$250,1)+
SUMIFS('Other Minerals - Q&amp;V'!$K$8:$K$250,'Other Minerals - Q&amp;V'!$N$8:$N$250,CONCATENATE("20",RIGHT('Q&amp;V FY 2003-04 to Now'!S$7,2)),'Other Minerals - Q&amp;V'!$O$8:$O$250,2))*1000000</f>
        <v>143627595.99999997</v>
      </c>
      <c r="U28" s="717">
        <f>(SUMIFS('Other Minerals - Q&amp;V'!$J$8:$J$250,'Other Minerals - Q&amp;V'!$N$8:$N$250,LEFT('Q&amp;V FY 2003-04 to Now'!U$7,4),'Other Minerals - Q&amp;V'!$O$8:$O$250,3)+
SUMIFS('Other Minerals - Q&amp;V'!$J$8:$J$250,'Other Minerals - Q&amp;V'!$N$8:$N$250,LEFT('Q&amp;V FY 2003-04 to Now'!U$7,4),'Other Minerals - Q&amp;V'!$O$8:$O$250,4)+
SUMIFS('Other Minerals - Q&amp;V'!$J$8:$J$250,'Other Minerals - Q&amp;V'!$N$8:$N$250,CONCATENATE("20",RIGHT('Q&amp;V FY 2003-04 to Now'!U$7,2)),'Other Minerals - Q&amp;V'!$O$8:$O$250,1)+
SUMIFS('Other Minerals - Q&amp;V'!$J$8:$J$250,'Other Minerals - Q&amp;V'!$N$8:$N$250,CONCATENATE("20",RIGHT('Q&amp;V FY 2003-04 to Now'!U$7,2)),'Other Minerals - Q&amp;V'!$O$8:$O$250,2))*1000</f>
        <v>6203.2290000000003</v>
      </c>
      <c r="V28" s="741">
        <f>(SUMIFS('Other Minerals - Q&amp;V'!$K$8:$K$250,'Other Minerals - Q&amp;V'!$N$8:$N$250,LEFT('Q&amp;V FY 2003-04 to Now'!U$7,4),'Other Minerals - Q&amp;V'!$O$8:$O$250,3)+
SUMIFS('Other Minerals - Q&amp;V'!$K$8:$K$250,'Other Minerals - Q&amp;V'!$N$8:$N$250,LEFT('Q&amp;V FY 2003-04 to Now'!U$7,4),'Other Minerals - Q&amp;V'!$O$8:$O$250,4)+
SUMIFS('Other Minerals - Q&amp;V'!$K$8:$K$250,'Other Minerals - Q&amp;V'!$N$8:$N$250,CONCATENATE("20",RIGHT('Q&amp;V FY 2003-04 to Now'!U$7,2)),'Other Minerals - Q&amp;V'!$O$8:$O$250,1)+
SUMIFS('Other Minerals - Q&amp;V'!$K$8:$K$250,'Other Minerals - Q&amp;V'!$N$8:$N$250,CONCATENATE("20",RIGHT('Q&amp;V FY 2003-04 to Now'!U$7,2)),'Other Minerals - Q&amp;V'!$O$8:$O$250,2))*1000000</f>
        <v>159147804.99999997</v>
      </c>
      <c r="W28" s="717">
        <f>(SUMIFS('Other Minerals - Q&amp;V'!$J$8:$J$250,'Other Minerals - Q&amp;V'!$N$8:$N$250,LEFT('Q&amp;V FY 2003-04 to Now'!W$7,4),'Other Minerals - Q&amp;V'!$O$8:$O$250,3)+
SUMIFS('Other Minerals - Q&amp;V'!$J$8:$J$250,'Other Minerals - Q&amp;V'!$N$8:$N$250,LEFT('Q&amp;V FY 2003-04 to Now'!W$7,4),'Other Minerals - Q&amp;V'!$O$8:$O$250,4)+
SUMIFS('Other Minerals - Q&amp;V'!$J$8:$J$250,'Other Minerals - Q&amp;V'!$N$8:$N$250,CONCATENATE("20",RIGHT('Q&amp;V FY 2003-04 to Now'!W$7,2)),'Other Minerals - Q&amp;V'!$O$8:$O$250,1)+
SUMIFS('Other Minerals - Q&amp;V'!$J$8:$J$250,'Other Minerals - Q&amp;V'!$N$8:$N$250,CONCATENATE("20",RIGHT('Q&amp;V FY 2003-04 to Now'!W$7,2)),'Other Minerals - Q&amp;V'!$O$8:$O$250,2))*1000</f>
        <v>6237.5340000000006</v>
      </c>
      <c r="X28" s="741">
        <f>(SUMIFS('Other Minerals - Q&amp;V'!$K$8:$K$250,'Other Minerals - Q&amp;V'!$N$8:$N$250,LEFT('Q&amp;V FY 2003-04 to Now'!W$7,4),'Other Minerals - Q&amp;V'!$O$8:$O$250,3)+
SUMIFS('Other Minerals - Q&amp;V'!$K$8:$K$250,'Other Minerals - Q&amp;V'!$N$8:$N$250,LEFT('Q&amp;V FY 2003-04 to Now'!W$7,4),'Other Minerals - Q&amp;V'!$O$8:$O$250,4)+
SUMIFS('Other Minerals - Q&amp;V'!$K$8:$K$250,'Other Minerals - Q&amp;V'!$N$8:$N$250,CONCATENATE("20",RIGHT('Q&amp;V FY 2003-04 to Now'!W$7,2)),'Other Minerals - Q&amp;V'!$O$8:$O$250,1)+
SUMIFS('Other Minerals - Q&amp;V'!$K$8:$K$250,'Other Minerals - Q&amp;V'!$N$8:$N$250,CONCATENATE("20",RIGHT('Q&amp;V FY 2003-04 to Now'!W$7,2)),'Other Minerals - Q&amp;V'!$O$8:$O$250,2))*1000000</f>
        <v>175117785.99999997</v>
      </c>
      <c r="Y28" s="717">
        <f>(SUMIFS('Other Minerals - Q&amp;V'!$J$8:$J$250,'Other Minerals - Q&amp;V'!$N$8:$N$250,LEFT('Q&amp;V FY 2003-04 to Now'!Y$7,4),'Other Minerals - Q&amp;V'!$O$8:$O$250,3)+
SUMIFS('Other Minerals - Q&amp;V'!$J$8:$J$250,'Other Minerals - Q&amp;V'!$N$8:$N$250,LEFT('Q&amp;V FY 2003-04 to Now'!Y$7,4),'Other Minerals - Q&amp;V'!$O$8:$O$250,4)+
SUMIFS('Other Minerals - Q&amp;V'!$J$8:$J$250,'Other Minerals - Q&amp;V'!$N$8:$N$250,CONCATENATE("20",RIGHT('Q&amp;V FY 2003-04 to Now'!Y$7,2)),'Other Minerals - Q&amp;V'!$O$8:$O$250,1)+
SUMIFS('Other Minerals - Q&amp;V'!$J$8:$J$250,'Other Minerals - Q&amp;V'!$N$8:$N$250,CONCATENATE("20",RIGHT('Q&amp;V FY 2003-04 to Now'!Y$7,2)),'Other Minerals - Q&amp;V'!$O$8:$O$250,2))*1000</f>
        <v>6036.3409999999994</v>
      </c>
      <c r="Z28" s="741">
        <f>(SUMIFS('Other Minerals - Q&amp;V'!$K$8:$K$250,'Other Minerals - Q&amp;V'!$N$8:$N$250,LEFT('Q&amp;V FY 2003-04 to Now'!Y$7,4),'Other Minerals - Q&amp;V'!$O$8:$O$250,3)+
SUMIFS('Other Minerals - Q&amp;V'!$K$8:$K$250,'Other Minerals - Q&amp;V'!$N$8:$N$250,LEFT('Q&amp;V FY 2003-04 to Now'!Y$7,4),'Other Minerals - Q&amp;V'!$O$8:$O$250,4)+
SUMIFS('Other Minerals - Q&amp;V'!$K$8:$K$250,'Other Minerals - Q&amp;V'!$N$8:$N$250,CONCATENATE("20",RIGHT('Q&amp;V FY 2003-04 to Now'!Y$7,2)),'Other Minerals - Q&amp;V'!$O$8:$O$250,1)+
SUMIFS('Other Minerals - Q&amp;V'!$K$8:$K$250,'Other Minerals - Q&amp;V'!$N$8:$N$250,CONCATENATE("20",RIGHT('Q&amp;V FY 2003-04 to Now'!Y$7,2)),'Other Minerals - Q&amp;V'!$O$8:$O$250,2))*1000000</f>
        <v>210567511.99999997</v>
      </c>
      <c r="AA28" s="717">
        <f>(SUMIFS('Other Minerals - Q&amp;V'!$J$8:$J$250,'Other Minerals - Q&amp;V'!$N$8:$N$250,LEFT('Q&amp;V FY 2003-04 to Now'!AA$7,4),'Other Minerals - Q&amp;V'!$O$8:$O$250,3)+
SUMIFS('Other Minerals - Q&amp;V'!$J$8:$J$250,'Other Minerals - Q&amp;V'!$N$8:$N$250,LEFT('Q&amp;V FY 2003-04 to Now'!AA$7,4),'Other Minerals - Q&amp;V'!$O$8:$O$250,4)+
SUMIFS('Other Minerals - Q&amp;V'!$J$8:$J$250,'Other Minerals - Q&amp;V'!$N$8:$N$250,CONCATENATE("20",RIGHT('Q&amp;V FY 2003-04 to Now'!AA$7,2)),'Other Minerals - Q&amp;V'!$O$8:$O$250,1)+
SUMIFS('Other Minerals - Q&amp;V'!$J$8:$J$250,'Other Minerals - Q&amp;V'!$N$8:$N$250,CONCATENATE("20",RIGHT('Q&amp;V FY 2003-04 to Now'!AA$7,2)),'Other Minerals - Q&amp;V'!$O$8:$O$250,2))*1000</f>
        <v>5478.8660000000009</v>
      </c>
      <c r="AB28" s="741">
        <f>(SUMIFS('Other Minerals - Q&amp;V'!$K$8:$K$250,'Other Minerals - Q&amp;V'!$N$8:$N$250,LEFT('Q&amp;V FY 2003-04 to Now'!AA$7,4),'Other Minerals - Q&amp;V'!$O$8:$O$250,3)+
SUMIFS('Other Minerals - Q&amp;V'!$K$8:$K$250,'Other Minerals - Q&amp;V'!$N$8:$N$250,LEFT('Q&amp;V FY 2003-04 to Now'!AA$7,4),'Other Minerals - Q&amp;V'!$O$8:$O$250,4)+
SUMIFS('Other Minerals - Q&amp;V'!$K$8:$K$250,'Other Minerals - Q&amp;V'!$N$8:$N$250,CONCATENATE("20",RIGHT('Q&amp;V FY 2003-04 to Now'!AA$7,2)),'Other Minerals - Q&amp;V'!$O$8:$O$250,1)+
SUMIFS('Other Minerals - Q&amp;V'!$K$8:$K$250,'Other Minerals - Q&amp;V'!$N$8:$N$250,CONCATENATE("20",RIGHT('Q&amp;V FY 2003-04 to Now'!AA$7,2)),'Other Minerals - Q&amp;V'!$O$8:$O$250,2))*1000000</f>
        <v>174846826</v>
      </c>
      <c r="AC28" s="717">
        <f>(SUMIFS('Other Minerals - Q&amp;V'!$J$8:$J$250,'Other Minerals - Q&amp;V'!$N$8:$N$250,LEFT('Q&amp;V FY 2003-04 to Now'!AC$7,4),'Other Minerals - Q&amp;V'!$O$8:$O$250,3)+
SUMIFS('Other Minerals - Q&amp;V'!$J$8:$J$250,'Other Minerals - Q&amp;V'!$N$8:$N$250,LEFT('Q&amp;V FY 2003-04 to Now'!AC$7,4),'Other Minerals - Q&amp;V'!$O$8:$O$250,4)+
SUMIFS('Other Minerals - Q&amp;V'!$J$8:$J$250,'Other Minerals - Q&amp;V'!$N$8:$N$250,CONCATENATE("20",RIGHT('Q&amp;V FY 2003-04 to Now'!AC$7,2)),'Other Minerals - Q&amp;V'!$O$8:$O$250,1)+
SUMIFS('Other Minerals - Q&amp;V'!$J$8:$J$250,'Other Minerals - Q&amp;V'!$N$8:$N$250,CONCATENATE("20",RIGHT('Q&amp;V FY 2003-04 to Now'!AC$7,2)),'Other Minerals - Q&amp;V'!$O$8:$O$250,2))*1000</f>
        <v>4758.8490000000002</v>
      </c>
      <c r="AD28" s="741">
        <f>(SUMIFS('Other Minerals - Q&amp;V'!$K$8:$K$250,'Other Minerals - Q&amp;V'!$N$8:$N$250,LEFT('Q&amp;V FY 2003-04 to Now'!AC$7,4),'Other Minerals - Q&amp;V'!$O$8:$O$250,3)+
SUMIFS('Other Minerals - Q&amp;V'!$K$8:$K$250,'Other Minerals - Q&amp;V'!$N$8:$N$250,LEFT('Q&amp;V FY 2003-04 to Now'!AC$7,4),'Other Minerals - Q&amp;V'!$O$8:$O$250,4)+
SUMIFS('Other Minerals - Q&amp;V'!$K$8:$K$250,'Other Minerals - Q&amp;V'!$N$8:$N$250,CONCATENATE("20",RIGHT('Q&amp;V FY 2003-04 to Now'!AC$7,2)),'Other Minerals - Q&amp;V'!$O$8:$O$250,1)+
SUMIFS('Other Minerals - Q&amp;V'!$K$8:$K$250,'Other Minerals - Q&amp;V'!$N$8:$N$250,CONCATENATE("20",RIGHT('Q&amp;V FY 2003-04 to Now'!AC$7,2)),'Other Minerals - Q&amp;V'!$O$8:$O$250,2))*1000000</f>
        <v>239639935</v>
      </c>
      <c r="AE28" s="740">
        <f>(SUMIFS('Other Minerals - Q&amp;V'!$J$8:$J$250,'Other Minerals - Q&amp;V'!$N$8:$N$250,LEFT('Q&amp;V FY 2003-04 to Now'!AE$7,4),'Other Minerals - Q&amp;V'!$O$8:$O$250,3)+
SUMIFS('Other Minerals - Q&amp;V'!$J$8:$J$250,'Other Minerals - Q&amp;V'!$N$8:$N$250,LEFT('Q&amp;V FY 2003-04 to Now'!AE$7,4),'Other Minerals - Q&amp;V'!$O$8:$O$250,4)+
SUMIFS('Other Minerals - Q&amp;V'!$J$8:$J$250,'Other Minerals - Q&amp;V'!$N$8:$N$250,CONCATENATE("20",RIGHT('Q&amp;V FY 2003-04 to Now'!AE$7,2)),'Other Minerals - Q&amp;V'!$O$8:$O$250,1)+
SUMIFS('Other Minerals - Q&amp;V'!$J$8:$J$250,'Other Minerals - Q&amp;V'!$N$8:$N$250,CONCATENATE("20",RIGHT('Q&amp;V FY 2003-04 to Now'!AE$7,2)),'Other Minerals - Q&amp;V'!$O$8:$O$250,2))*1000</f>
        <v>5200.4849999999997</v>
      </c>
      <c r="AF28" s="741">
        <f>(SUMIFS('Other Minerals - Q&amp;V'!$K$8:$K$250,'Other Minerals - Q&amp;V'!$N$8:$N$250,LEFT('Q&amp;V FY 2003-04 to Now'!AE$7,4),'Other Minerals - Q&amp;V'!$O$8:$O$250,3)+
SUMIFS('Other Minerals - Q&amp;V'!$K$8:$K$250,'Other Minerals - Q&amp;V'!$N$8:$N$250,LEFT('Q&amp;V FY 2003-04 to Now'!AE$7,4),'Other Minerals - Q&amp;V'!$O$8:$O$250,4)+
SUMIFS('Other Minerals - Q&amp;V'!$K$8:$K$250,'Other Minerals - Q&amp;V'!$N$8:$N$250,CONCATENATE("20",RIGHT('Q&amp;V FY 2003-04 to Now'!AE$7,2)),'Other Minerals - Q&amp;V'!$O$8:$O$250,1)+
SUMIFS('Other Minerals - Q&amp;V'!$K$8:$K$250,'Other Minerals - Q&amp;V'!$N$8:$N$250,CONCATENATE("20",RIGHT('Q&amp;V FY 2003-04 to Now'!AE$7,2)),'Other Minerals - Q&amp;V'!$O$8:$O$250,2))*1000000</f>
        <v>511716505</v>
      </c>
      <c r="AG28" s="159">
        <f>(SUMIFS('Other Minerals - Q&amp;V'!$J$8:$J$250,'Other Minerals - Q&amp;V'!$N$8:$N$250,LEFT('Q&amp;V FY 2003-04 to Now'!AG$7,4),'Other Minerals - Q&amp;V'!$O$8:$O$250,3)+
SUMIFS('Other Minerals - Q&amp;V'!$J$8:$J$250,'Other Minerals - Q&amp;V'!$N$8:$N$250,LEFT('Q&amp;V FY 2003-04 to Now'!AG$7,4),'Other Minerals - Q&amp;V'!$O$8:$O$250,4)+
SUMIFS('Other Minerals - Q&amp;V'!$J$8:$J$250,'Other Minerals - Q&amp;V'!$N$8:$N$250,CONCATENATE("20",RIGHT('Q&amp;V FY 2003-04 to Now'!AG$7,2)),'Other Minerals - Q&amp;V'!$O$8:$O$250,1)+
SUMIFS('Other Minerals - Q&amp;V'!$J$8:$J$250,'Other Minerals - Q&amp;V'!$N$8:$N$250,CONCATENATE("20",RIGHT('Q&amp;V FY 2003-04 to Now'!AG$7,2)),'Other Minerals - Q&amp;V'!$O$8:$O$250,2))*1000</f>
        <v>5226.9079999999994</v>
      </c>
      <c r="AH28" s="717">
        <f>(SUMIFS('Other Minerals - Q&amp;V'!$K$8:$K$250,'Other Minerals - Q&amp;V'!$N$8:$N$250,LEFT('Q&amp;V FY 2003-04 to Now'!AG$7,4),'Other Minerals - Q&amp;V'!$O$8:$O$250,3)+
SUMIFS('Other Minerals - Q&amp;V'!$K$8:$K$250,'Other Minerals - Q&amp;V'!$N$8:$N$250,LEFT('Q&amp;V FY 2003-04 to Now'!AG$7,4),'Other Minerals - Q&amp;V'!$O$8:$O$250,4)+
SUMIFS('Other Minerals - Q&amp;V'!$K$8:$K$250,'Other Minerals - Q&amp;V'!$N$8:$N$250,CONCATENATE("20",RIGHT('Q&amp;V FY 2003-04 to Now'!AG$7,2)),'Other Minerals - Q&amp;V'!$O$8:$O$250,1)+
SUMIFS('Other Minerals - Q&amp;V'!$K$8:$K$250,'Other Minerals - Q&amp;V'!$N$8:$N$250,CONCATENATE("20",RIGHT('Q&amp;V FY 2003-04 to Now'!AG$7,2)),'Other Minerals - Q&amp;V'!$O$8:$O$250,2))*1000000</f>
        <v>332652426</v>
      </c>
      <c r="AI28" s="717">
        <f>(SUMIFS('Other Minerals - Q&amp;V'!$J$8:$J$250,'Other Minerals - Q&amp;V'!$N$8:$N$250,LEFT('Q&amp;V FY 2003-04 to Now'!AI$7,4),'Other Minerals - Q&amp;V'!$O$8:$O$250,3)+
SUMIFS('Other Minerals - Q&amp;V'!$J$8:$J$250,'Other Minerals - Q&amp;V'!$N$8:$N$250,LEFT('Q&amp;V FY 2003-04 to Now'!AI$7,4),'Other Minerals - Q&amp;V'!$O$8:$O$250,4)+
SUMIFS('Other Minerals - Q&amp;V'!$J$8:$J$250,'Other Minerals - Q&amp;V'!$N$8:$N$250,CONCATENATE("20",RIGHT('Q&amp;V FY 2003-04 to Now'!AI$7,2)),'Other Minerals - Q&amp;V'!$O$8:$O$250,1)+
SUMIFS('Other Minerals - Q&amp;V'!$J$8:$J$250,'Other Minerals - Q&amp;V'!$N$8:$N$250,CONCATENATE("20",RIGHT('Q&amp;V FY 2003-04 to Now'!AI$7,2)),'Other Minerals - Q&amp;V'!$O$8:$O$250,2))*1000</f>
        <v>5796.1149999999998</v>
      </c>
      <c r="AJ28" s="717">
        <f>(SUMIFS('Other Minerals - Q&amp;V'!$K$8:$K$250,'Other Minerals - Q&amp;V'!$N$8:$N$250,LEFT('Q&amp;V FY 2003-04 to Now'!AI$7,4),'Other Minerals - Q&amp;V'!$O$8:$O$250,3)+
SUMIFS('Other Minerals - Q&amp;V'!$K$8:$K$250,'Other Minerals - Q&amp;V'!$N$8:$N$250,LEFT('Q&amp;V FY 2003-04 to Now'!AI$7,4),'Other Minerals - Q&amp;V'!$O$8:$O$250,4)+
SUMIFS('Other Minerals - Q&amp;V'!$K$8:$K$250,'Other Minerals - Q&amp;V'!$N$8:$N$250,CONCATENATE("20",RIGHT('Q&amp;V FY 2003-04 to Now'!AI$7,2)),'Other Minerals - Q&amp;V'!$O$8:$O$250,1)+
SUMIFS('Other Minerals - Q&amp;V'!$K$8:$K$250,'Other Minerals - Q&amp;V'!$N$8:$N$250,CONCATENATE("20",RIGHT('Q&amp;V FY 2003-04 to Now'!AI$7,2)),'Other Minerals - Q&amp;V'!$O$8:$O$250,2))*1000000</f>
        <v>295164291.99999994</v>
      </c>
      <c r="AK28" s="717">
        <f>(SUMIFS('Other Minerals - Q&amp;V'!$J$8:$J$250,'Other Minerals - Q&amp;V'!$N$8:$N$250,LEFT('Q&amp;V FY 2003-04 to Now'!AK$7,4),'Other Minerals - Q&amp;V'!$O$8:$O$250,3)+
SUMIFS('Other Minerals - Q&amp;V'!$J$8:$J$250,'Other Minerals - Q&amp;V'!$N$8:$N$250,LEFT('Q&amp;V FY 2003-04 to Now'!AK$7,4),'Other Minerals - Q&amp;V'!$O$8:$O$250,4)+
SUMIFS('Other Minerals - Q&amp;V'!$J$8:$J$250,'Other Minerals - Q&amp;V'!$N$8:$N$250,CONCATENATE("20",RIGHT('Q&amp;V FY 2003-04 to Now'!AK$7,2)),'Other Minerals - Q&amp;V'!$O$8:$O$250,1)+
SUMIFS('Other Minerals - Q&amp;V'!$J$8:$J$250,'Other Minerals - Q&amp;V'!$N$8:$N$250,CONCATENATE("20",RIGHT('Q&amp;V FY 2003-04 to Now'!AK$7,2)),'Other Minerals - Q&amp;V'!$O$8:$O$250,2))*1000</f>
        <v>5372.4489999999996</v>
      </c>
      <c r="AL28" s="717">
        <f>(SUMIFS('Other Minerals - Q&amp;V'!$K$8:$K$250,'Other Minerals - Q&amp;V'!$N$8:$N$250,LEFT('Q&amp;V FY 2003-04 to Now'!AK$7,4),'Other Minerals - Q&amp;V'!$O$8:$O$250,3)+
SUMIFS('Other Minerals - Q&amp;V'!$K$8:$K$250,'Other Minerals - Q&amp;V'!$N$8:$N$250,LEFT('Q&amp;V FY 2003-04 to Now'!AK$7,4),'Other Minerals - Q&amp;V'!$O$8:$O$250,4)+
SUMIFS('Other Minerals - Q&amp;V'!$K$8:$K$250,'Other Minerals - Q&amp;V'!$N$8:$N$250,CONCATENATE("20",RIGHT('Q&amp;V FY 2003-04 to Now'!AK$7,2)),'Other Minerals - Q&amp;V'!$O$8:$O$250,1)+
SUMIFS('Other Minerals - Q&amp;V'!$K$8:$K$250,'Other Minerals - Q&amp;V'!$N$8:$N$250,CONCATENATE("20",RIGHT('Q&amp;V FY 2003-04 to Now'!AK$7,2)),'Other Minerals - Q&amp;V'!$O$8:$O$250,2))*1000000</f>
        <v>299627927</v>
      </c>
      <c r="AM28" s="717">
        <f>(SUMIFS('Other Minerals - Q&amp;V'!$J$8:$J$250,'Other Minerals - Q&amp;V'!$N$8:$N$250,LEFT('Q&amp;V FY 2003-04 to Now'!AM$7,4),'Other Minerals - Q&amp;V'!$O$8:$O$250,3)+
SUMIFS('Other Minerals - Q&amp;V'!$J$8:$J$250,'Other Minerals - Q&amp;V'!$N$8:$N$250,LEFT('Q&amp;V FY 2003-04 to Now'!AM$7,4),'Other Minerals - Q&amp;V'!$O$8:$O$250,4)+
SUMIFS('Other Minerals - Q&amp;V'!$J$8:$J$250,'Other Minerals - Q&amp;V'!$N$8:$N$250,CONCATENATE("20",RIGHT('Q&amp;V FY 2003-04 to Now'!AM$7,2)),'Other Minerals - Q&amp;V'!$O$8:$O$250,1)+
SUMIFS('Other Minerals - Q&amp;V'!$J$8:$J$250,'Other Minerals - Q&amp;V'!$N$8:$N$250,CONCATENATE("20",RIGHT('Q&amp;V FY 2003-04 to Now'!AM$7,2)),'Other Minerals - Q&amp;V'!$O$8:$O$250,2))*1000</f>
        <v>5311.2</v>
      </c>
      <c r="AN28" s="717">
        <f>(SUMIFS('Other Minerals - Q&amp;V'!$K$8:$K$250,'Other Minerals - Q&amp;V'!$N$8:$N$250,LEFT('Q&amp;V FY 2003-04 to Now'!AM$7,4),'Other Minerals - Q&amp;V'!$O$8:$O$250,3)+
SUMIFS('Other Minerals - Q&amp;V'!$K$8:$K$250,'Other Minerals - Q&amp;V'!$N$8:$N$250,LEFT('Q&amp;V FY 2003-04 to Now'!AM$7,4),'Other Minerals - Q&amp;V'!$O$8:$O$250,4)+
SUMIFS('Other Minerals - Q&amp;V'!$K$8:$K$250,'Other Minerals - Q&amp;V'!$N$8:$N$250,CONCATENATE("20",RIGHT('Q&amp;V FY 2003-04 to Now'!AM$7,2)),'Other Minerals - Q&amp;V'!$O$8:$O$250,1)+
SUMIFS('Other Minerals - Q&amp;V'!$K$8:$K$250,'Other Minerals - Q&amp;V'!$N$8:$N$250,CONCATENATE("20",RIGHT('Q&amp;V FY 2003-04 to Now'!AM$7,2)),'Other Minerals - Q&amp;V'!$O$8:$O$250,2))*1000000</f>
        <v>513865812</v>
      </c>
      <c r="AO28" s="717">
        <f>(SUMIFS('Other Minerals - Q&amp;V'!$J$8:$J$250,'Other Minerals - Q&amp;V'!$N$8:$N$250,LEFT('Q&amp;V FY 2003-04 to Now'!AO$7,4),'Other Minerals - Q&amp;V'!$O$8:$O$250,3)+
SUMIFS('Other Minerals - Q&amp;V'!$J$8:$J$250,'Other Minerals - Q&amp;V'!$N$8:$N$250,LEFT('Q&amp;V FY 2003-04 to Now'!AO$7,4),'Other Minerals - Q&amp;V'!$O$8:$O$250,4)+
SUMIFS('Other Minerals - Q&amp;V'!$J$8:$J$250,'Other Minerals - Q&amp;V'!$N$8:$N$250,CONCATENATE("20",RIGHT('Q&amp;V FY 2003-04 to Now'!AO$7,2)),'Other Minerals - Q&amp;V'!$O$8:$O$250,1)+
SUMIFS('Other Minerals - Q&amp;V'!$J$8:$J$250,'Other Minerals - Q&amp;V'!$N$8:$N$250,CONCATENATE("20",RIGHT('Q&amp;V FY 2003-04 to Now'!AO$7,2)),'Other Minerals - Q&amp;V'!$O$8:$O$250,2))*1000</f>
        <v>5862.4930000000004</v>
      </c>
      <c r="AP28" s="717">
        <f>(SUMIFS('Other Minerals - Q&amp;V'!$K$8:$K$250,'Other Minerals - Q&amp;V'!$N$8:$N$250,LEFT('Q&amp;V FY 2003-04 to Now'!AO$7,4),'Other Minerals - Q&amp;V'!$O$8:$O$250,3)+
SUMIFS('Other Minerals - Q&amp;V'!$K$8:$K$250,'Other Minerals - Q&amp;V'!$N$8:$N$250,LEFT('Q&amp;V FY 2003-04 to Now'!AO$7,4),'Other Minerals - Q&amp;V'!$O$8:$O$250,4)+
SUMIFS('Other Minerals - Q&amp;V'!$K$8:$K$250,'Other Minerals - Q&amp;V'!$N$8:$N$250,CONCATENATE("20",RIGHT('Q&amp;V FY 2003-04 to Now'!AO$7,2)),'Other Minerals - Q&amp;V'!$O$8:$O$250,1)+
SUMIFS('Other Minerals - Q&amp;V'!$K$8:$K$250,'Other Minerals - Q&amp;V'!$N$8:$N$250,CONCATENATE("20",RIGHT('Q&amp;V FY 2003-04 to Now'!AO$7,2)),'Other Minerals - Q&amp;V'!$O$8:$O$250,2))*1000000</f>
        <v>368420419</v>
      </c>
      <c r="AQ28" s="159">
        <f>SUMIF($C$9:AP$9,1,$C28:AP28)</f>
        <v>103046.20199999999</v>
      </c>
      <c r="AR28" s="194">
        <f>IF(COUNTIF($C28:AP28, "nfp")=0, SUMIF($C$9:AP$9,0,$C28:AP28), "nfp")</f>
        <v>5306506981</v>
      </c>
      <c r="AT28" s="317"/>
      <c r="AU28" s="317"/>
      <c r="AV28" s="381"/>
      <c r="AW28" s="381"/>
    </row>
    <row r="29" spans="1:49" s="381" customFormat="1">
      <c r="A29" s="262"/>
      <c r="B29" s="127"/>
      <c r="C29" s="717"/>
      <c r="D29" s="741"/>
      <c r="E29" s="717"/>
      <c r="F29" s="741"/>
      <c r="G29" s="717"/>
      <c r="H29" s="741"/>
      <c r="I29" s="717"/>
      <c r="J29" s="741"/>
      <c r="K29" s="717"/>
      <c r="L29" s="741"/>
      <c r="M29" s="717"/>
      <c r="N29" s="741"/>
      <c r="O29" s="717"/>
      <c r="P29" s="741"/>
      <c r="Q29" s="717"/>
      <c r="R29" s="741"/>
      <c r="S29" s="717"/>
      <c r="T29" s="741"/>
      <c r="U29" s="717"/>
      <c r="V29" s="741"/>
      <c r="W29" s="717"/>
      <c r="X29" s="741"/>
      <c r="Y29" s="717"/>
      <c r="Z29" s="741"/>
      <c r="AA29" s="717"/>
      <c r="AB29" s="741"/>
      <c r="AC29" s="717"/>
      <c r="AD29" s="741"/>
      <c r="AE29" s="740"/>
      <c r="AF29" s="741"/>
      <c r="AG29" s="159"/>
      <c r="AH29" s="717"/>
      <c r="AI29" s="717"/>
      <c r="AJ29" s="717"/>
      <c r="AK29" s="717"/>
      <c r="AL29" s="717"/>
      <c r="AM29" s="717"/>
      <c r="AN29" s="717"/>
      <c r="AO29" s="717"/>
      <c r="AP29" s="717"/>
      <c r="AQ29" s="159"/>
      <c r="AR29" s="194"/>
      <c r="AS29" s="405"/>
      <c r="AT29" s="317"/>
      <c r="AU29" s="317"/>
    </row>
    <row r="30" spans="1:49">
      <c r="A30" s="260" t="s">
        <v>125</v>
      </c>
      <c r="B30" s="256"/>
      <c r="C30" s="742"/>
      <c r="D30" s="732"/>
      <c r="E30" s="742"/>
      <c r="F30" s="732"/>
      <c r="G30" s="742"/>
      <c r="H30" s="732"/>
      <c r="I30" s="742"/>
      <c r="J30" s="732"/>
      <c r="K30" s="742"/>
      <c r="L30" s="732"/>
      <c r="M30" s="742"/>
      <c r="N30" s="732"/>
      <c r="O30" s="742"/>
      <c r="P30" s="732"/>
      <c r="Q30" s="742"/>
      <c r="R30" s="732"/>
      <c r="S30" s="742"/>
      <c r="T30" s="732"/>
      <c r="U30" s="742"/>
      <c r="V30" s="732"/>
      <c r="W30" s="742"/>
      <c r="X30" s="732"/>
      <c r="Y30" s="742"/>
      <c r="Z30" s="732"/>
      <c r="AA30" s="742"/>
      <c r="AB30" s="732"/>
      <c r="AC30" s="732"/>
      <c r="AD30" s="732"/>
      <c r="AE30" s="733"/>
      <c r="AF30" s="732"/>
      <c r="AG30" s="744"/>
      <c r="AH30" s="742"/>
      <c r="AI30" s="1356"/>
      <c r="AJ30" s="726"/>
      <c r="AK30" s="726"/>
      <c r="AL30" s="726"/>
      <c r="AM30" s="726"/>
      <c r="AN30" s="726"/>
      <c r="AO30" s="726"/>
      <c r="AP30" s="726"/>
      <c r="AQ30" s="934"/>
      <c r="AR30" s="724"/>
      <c r="AT30" s="317"/>
      <c r="AU30" s="317"/>
      <c r="AV30" s="381"/>
      <c r="AW30" s="381"/>
    </row>
    <row r="31" spans="1:49">
      <c r="A31" s="263" t="s">
        <v>216</v>
      </c>
      <c r="B31" s="248" t="s">
        <v>67</v>
      </c>
      <c r="C31" s="723">
        <v>461384.4</v>
      </c>
      <c r="D31" s="723">
        <v>3576081.85</v>
      </c>
      <c r="E31" s="723">
        <v>430979.08</v>
      </c>
      <c r="F31" s="723">
        <v>4069958.05</v>
      </c>
      <c r="G31" s="723">
        <v>948468</v>
      </c>
      <c r="H31" s="723">
        <v>22553670</v>
      </c>
      <c r="I31" s="723">
        <v>1102664.5</v>
      </c>
      <c r="J31" s="723">
        <v>28307131</v>
      </c>
      <c r="K31" s="723">
        <v>1814234.37</v>
      </c>
      <c r="L31" s="723">
        <v>45320296</v>
      </c>
      <c r="M31" s="723">
        <v>3941262.0600000005</v>
      </c>
      <c r="N31" s="723">
        <v>91104572</v>
      </c>
      <c r="O31" s="723">
        <v>3167933.6899999995</v>
      </c>
      <c r="P31" s="723">
        <v>79231292</v>
      </c>
      <c r="Q31" s="723">
        <v>1934859.53</v>
      </c>
      <c r="R31" s="723">
        <v>43801513.850000001</v>
      </c>
      <c r="S31" s="723">
        <v>3722254.2</v>
      </c>
      <c r="T31" s="723">
        <v>97854120.720189855</v>
      </c>
      <c r="U31" s="723">
        <v>4391375.63</v>
      </c>
      <c r="V31" s="723">
        <v>148775763.64999998</v>
      </c>
      <c r="W31" s="723">
        <v>6097416.1250000009</v>
      </c>
      <c r="X31" s="723">
        <v>211242761.96716475</v>
      </c>
      <c r="Y31" s="723">
        <v>2547087.4799999995</v>
      </c>
      <c r="Z31" s="723">
        <v>93985047.244051784</v>
      </c>
      <c r="AA31" s="723">
        <v>1371278.84</v>
      </c>
      <c r="AB31" s="723">
        <v>46291440.908891879</v>
      </c>
      <c r="AC31" s="723">
        <v>1219743.8990000002</v>
      </c>
      <c r="AD31" s="723">
        <v>39471626.844948187</v>
      </c>
      <c r="AE31" s="734">
        <v>1521032.2610000002</v>
      </c>
      <c r="AF31" s="723">
        <v>47002533.245769881</v>
      </c>
      <c r="AG31" s="734">
        <v>1620980.7939999995</v>
      </c>
      <c r="AH31" s="1069">
        <v>55398327.361397021</v>
      </c>
      <c r="AI31" s="1357">
        <v>3348439.7329999991</v>
      </c>
      <c r="AJ31" s="1357">
        <v>90267596.940508574</v>
      </c>
      <c r="AK31" s="1357">
        <v>2745630.4410000015</v>
      </c>
      <c r="AL31" s="1357">
        <v>72871427.232278347</v>
      </c>
      <c r="AM31" s="1357">
        <v>2556411.7000000002</v>
      </c>
      <c r="AN31" s="1357">
        <v>73896104.267819226</v>
      </c>
      <c r="AO31" s="1357">
        <v>3178301.3900000011</v>
      </c>
      <c r="AP31" s="1357">
        <v>103898633.67200488</v>
      </c>
      <c r="AQ31" s="934">
        <f>SUMIF($C$9:AP$9,1,$C31:AP31)</f>
        <v>48121738.122999996</v>
      </c>
      <c r="AR31" s="723">
        <f>IF(COUNTIF($C31:AP31, "nfp")=0, SUMIF($C$9:AP$9,0,$C31:AP31), "nfp")</f>
        <v>1398919898.8050244</v>
      </c>
      <c r="AT31" s="317"/>
      <c r="AU31" s="317"/>
      <c r="AV31" s="381"/>
      <c r="AW31" s="381"/>
    </row>
    <row r="32" spans="1:49">
      <c r="A32" s="263" t="s">
        <v>217</v>
      </c>
      <c r="B32" s="248" t="s">
        <v>67</v>
      </c>
      <c r="C32" s="723">
        <v>136627.37</v>
      </c>
      <c r="D32" s="723">
        <v>933421</v>
      </c>
      <c r="E32" s="723">
        <v>303085.81</v>
      </c>
      <c r="F32" s="723">
        <v>1044043.2</v>
      </c>
      <c r="G32" s="723">
        <v>131119</v>
      </c>
      <c r="H32" s="723">
        <v>848142</v>
      </c>
      <c r="I32" s="723">
        <v>176724.28</v>
      </c>
      <c r="J32" s="723">
        <v>1303316.05</v>
      </c>
      <c r="K32" s="723">
        <v>160704.35</v>
      </c>
      <c r="L32" s="723">
        <v>1159687.5</v>
      </c>
      <c r="M32" s="723">
        <v>165262.66</v>
      </c>
      <c r="N32" s="723">
        <v>1694272.35</v>
      </c>
      <c r="O32" s="723">
        <v>184992.63000000003</v>
      </c>
      <c r="P32" s="723">
        <v>1521930.25</v>
      </c>
      <c r="Q32" s="723">
        <v>230784.54</v>
      </c>
      <c r="R32" s="723">
        <v>1760531.2</v>
      </c>
      <c r="S32" s="723">
        <v>283898.75</v>
      </c>
      <c r="T32" s="723">
        <v>2454937.8499999996</v>
      </c>
      <c r="U32" s="723">
        <v>561134.68500000006</v>
      </c>
      <c r="V32" s="723">
        <v>3947124.8200000008</v>
      </c>
      <c r="W32" s="723">
        <v>193998.69500000007</v>
      </c>
      <c r="X32" s="723">
        <v>1385018.778065948</v>
      </c>
      <c r="Y32" s="723">
        <v>214980.3899999999</v>
      </c>
      <c r="Z32" s="723">
        <v>1353158.0449346697</v>
      </c>
      <c r="AA32" s="723">
        <v>208741.13999999998</v>
      </c>
      <c r="AB32" s="723">
        <v>1382882.7337093502</v>
      </c>
      <c r="AC32" s="723">
        <v>316993.43999999994</v>
      </c>
      <c r="AD32" s="723">
        <v>2293946.1518742456</v>
      </c>
      <c r="AE32" s="734">
        <v>204077.37999999995</v>
      </c>
      <c r="AF32" s="723">
        <v>1440290.9919675849</v>
      </c>
      <c r="AG32" s="734">
        <v>213970.71</v>
      </c>
      <c r="AH32" s="1069">
        <v>3002459.7385358508</v>
      </c>
      <c r="AI32" s="1357">
        <v>204473.75999999998</v>
      </c>
      <c r="AJ32" s="1357">
        <v>2775659.386591706</v>
      </c>
      <c r="AK32" s="1357">
        <v>288304.01599999995</v>
      </c>
      <c r="AL32" s="1357">
        <v>2659406.1858129897</v>
      </c>
      <c r="AM32" s="1357">
        <v>280614.93800000008</v>
      </c>
      <c r="AN32" s="1357">
        <v>3697120.2468133676</v>
      </c>
      <c r="AO32" s="1357">
        <v>431101.03999999992</v>
      </c>
      <c r="AP32" s="1357">
        <v>4022190.0828867252</v>
      </c>
      <c r="AQ32" s="934">
        <f>SUMIF($C$9:AP$9,1,$C32:AP32)</f>
        <v>4891589.5839999998</v>
      </c>
      <c r="AR32" s="723">
        <f>IF(COUNTIF($C32:AP32, "nfp")=0, SUMIF($C$9:AP$9,0,$C32:AP32), "nfp")</f>
        <v>40679538.561192438</v>
      </c>
      <c r="AT32" s="317"/>
      <c r="AU32" s="317"/>
      <c r="AV32" s="381"/>
      <c r="AW32" s="381"/>
    </row>
    <row r="33" spans="1:50">
      <c r="A33" s="263" t="s">
        <v>218</v>
      </c>
      <c r="B33" s="248" t="s">
        <v>67</v>
      </c>
      <c r="C33" s="723">
        <v>364612.16</v>
      </c>
      <c r="D33" s="723">
        <v>3129657.5</v>
      </c>
      <c r="E33" s="723">
        <v>329688.84000000003</v>
      </c>
      <c r="F33" s="723">
        <v>1917061.3</v>
      </c>
      <c r="G33" s="723">
        <v>531801.06999999995</v>
      </c>
      <c r="H33" s="723">
        <v>6115996</v>
      </c>
      <c r="I33" s="723">
        <v>389747.96</v>
      </c>
      <c r="J33" s="723">
        <v>2084403</v>
      </c>
      <c r="K33" s="723">
        <v>1324957.28</v>
      </c>
      <c r="L33" s="723">
        <v>22108330</v>
      </c>
      <c r="M33" s="723">
        <v>194471.1</v>
      </c>
      <c r="N33" s="723">
        <v>1703510</v>
      </c>
      <c r="O33" s="723">
        <v>531077.84</v>
      </c>
      <c r="P33" s="723">
        <v>9160687</v>
      </c>
      <c r="Q33" s="723">
        <v>298261.63999999996</v>
      </c>
      <c r="R33" s="723">
        <v>3251623.9</v>
      </c>
      <c r="S33" s="723">
        <v>509982.87</v>
      </c>
      <c r="T33" s="723">
        <v>6262935.21</v>
      </c>
      <c r="U33" s="723">
        <v>1109760.8900000001</v>
      </c>
      <c r="V33" s="723">
        <v>27142817.800000001</v>
      </c>
      <c r="W33" s="723">
        <v>1273310.01</v>
      </c>
      <c r="X33" s="723">
        <v>20823551.789169312</v>
      </c>
      <c r="Y33" s="723">
        <v>1748312.0599999998</v>
      </c>
      <c r="Z33" s="723">
        <v>46550731.183014371</v>
      </c>
      <c r="AA33" s="723">
        <v>312324.77999999997</v>
      </c>
      <c r="AB33" s="723">
        <v>3952310.756529138</v>
      </c>
      <c r="AC33" s="723">
        <v>556471.57999999996</v>
      </c>
      <c r="AD33" s="723">
        <v>7356979.9565816978</v>
      </c>
      <c r="AE33" s="734">
        <v>447624.13</v>
      </c>
      <c r="AF33" s="723">
        <v>6633184.5096977185</v>
      </c>
      <c r="AG33" s="734">
        <v>475785.16</v>
      </c>
      <c r="AH33" s="1069">
        <v>6648283.6764627192</v>
      </c>
      <c r="AI33" s="1357">
        <v>384287.67</v>
      </c>
      <c r="AJ33" s="1357">
        <v>7429617.2611957416</v>
      </c>
      <c r="AK33" s="1357">
        <v>732879.36500000011</v>
      </c>
      <c r="AL33" s="1357">
        <v>14401890.23011006</v>
      </c>
      <c r="AM33" s="1357">
        <v>981020.78999999992</v>
      </c>
      <c r="AN33" s="1357">
        <v>18799173.746079266</v>
      </c>
      <c r="AO33" s="1357">
        <v>1308454.1909999999</v>
      </c>
      <c r="AP33" s="1357">
        <v>28450575.43061284</v>
      </c>
      <c r="AQ33" s="934">
        <f>SUMIF($C$9:AP$9,1,$C33:AP33)</f>
        <v>13804831.386</v>
      </c>
      <c r="AR33" s="723">
        <f>IF(COUNTIF($C33:AP33, "nfp")=0, SUMIF($C$9:AP$9,0,$C33:AP33), "nfp")</f>
        <v>243923320.24945286</v>
      </c>
      <c r="AT33" s="317"/>
      <c r="AU33" s="317"/>
      <c r="AV33" s="381"/>
      <c r="AW33" s="381"/>
    </row>
    <row r="34" spans="1:50">
      <c r="A34" s="263" t="s">
        <v>219</v>
      </c>
      <c r="B34" s="248" t="s">
        <v>67</v>
      </c>
      <c r="C34" s="723">
        <v>2239610.81</v>
      </c>
      <c r="D34" s="723">
        <v>11095273.689999999</v>
      </c>
      <c r="E34" s="723">
        <v>2730454.24</v>
      </c>
      <c r="F34" s="723">
        <v>13547686.399999999</v>
      </c>
      <c r="G34" s="723">
        <v>3659544</v>
      </c>
      <c r="H34" s="723">
        <v>22118522</v>
      </c>
      <c r="I34" s="723">
        <v>4220897.3499999996</v>
      </c>
      <c r="J34" s="723">
        <v>22705249.399999999</v>
      </c>
      <c r="K34" s="723">
        <v>3360103</v>
      </c>
      <c r="L34" s="723">
        <v>20772902.75</v>
      </c>
      <c r="M34" s="723">
        <v>3836059.16</v>
      </c>
      <c r="N34" s="723">
        <v>29591018.649999999</v>
      </c>
      <c r="O34" s="723">
        <v>3226617.9000000008</v>
      </c>
      <c r="P34" s="723">
        <v>27573977.661281966</v>
      </c>
      <c r="Q34" s="723">
        <v>4818062.1500000022</v>
      </c>
      <c r="R34" s="723">
        <v>34712548.649999999</v>
      </c>
      <c r="S34" s="723">
        <v>6286702.410000002</v>
      </c>
      <c r="T34" s="723">
        <v>54502064.729999997</v>
      </c>
      <c r="U34" s="723">
        <v>5415504</v>
      </c>
      <c r="V34" s="723">
        <v>62093159.759999998</v>
      </c>
      <c r="W34" s="723">
        <v>7416734.2570000011</v>
      </c>
      <c r="X34" s="723">
        <v>69661155.634127736</v>
      </c>
      <c r="Y34" s="723">
        <v>6151337.8589999983</v>
      </c>
      <c r="Z34" s="723">
        <v>53812397.836161762</v>
      </c>
      <c r="AA34" s="723">
        <v>3522141.3490000004</v>
      </c>
      <c r="AB34" s="723">
        <v>37270075.204668455</v>
      </c>
      <c r="AC34" s="723">
        <v>2623157.3189999987</v>
      </c>
      <c r="AD34" s="723">
        <v>26025379.399035666</v>
      </c>
      <c r="AE34" s="734">
        <v>4151944.9160000002</v>
      </c>
      <c r="AF34" s="723">
        <v>28794790.646192726</v>
      </c>
      <c r="AG34" s="734">
        <v>2076013.4859999993</v>
      </c>
      <c r="AH34" s="1069">
        <v>27668892.346704774</v>
      </c>
      <c r="AI34" s="1357">
        <v>2521195.3720000004</v>
      </c>
      <c r="AJ34" s="1357">
        <v>30681554.859266222</v>
      </c>
      <c r="AK34" s="1357">
        <v>3015296.5179999992</v>
      </c>
      <c r="AL34" s="1357">
        <v>33829285.427114576</v>
      </c>
      <c r="AM34" s="1357">
        <v>4086424.7270000014</v>
      </c>
      <c r="AN34" s="1357">
        <v>41623068.663739309</v>
      </c>
      <c r="AO34" s="1357">
        <v>3691408.2550000008</v>
      </c>
      <c r="AP34" s="1357">
        <v>39500595.252784431</v>
      </c>
      <c r="AQ34" s="934">
        <f>SUMIF($C$9:AP$9,1,$C34:AP34)</f>
        <v>79049209.078000009</v>
      </c>
      <c r="AR34" s="723">
        <f>IF(COUNTIF($C34:AP34, "nfp")=0, SUMIF($C$9:AP$9,0,$C34:AP34), "nfp")</f>
        <v>687579598.96107769</v>
      </c>
      <c r="AT34" s="317"/>
      <c r="AU34" s="317"/>
      <c r="AV34" s="381"/>
      <c r="AW34" s="381"/>
    </row>
    <row r="35" spans="1:50">
      <c r="A35" s="263" t="s">
        <v>32</v>
      </c>
      <c r="B35" s="248" t="s">
        <v>67</v>
      </c>
      <c r="C35" s="1069">
        <v>0</v>
      </c>
      <c r="D35" s="726">
        <v>0</v>
      </c>
      <c r="E35" s="1069">
        <v>0</v>
      </c>
      <c r="F35" s="726">
        <v>0</v>
      </c>
      <c r="G35" s="1069">
        <v>0</v>
      </c>
      <c r="H35" s="726">
        <v>0</v>
      </c>
      <c r="I35" s="1069">
        <v>0</v>
      </c>
      <c r="J35" s="726">
        <v>0</v>
      </c>
      <c r="K35" s="1069">
        <v>0</v>
      </c>
      <c r="L35" s="726">
        <v>0</v>
      </c>
      <c r="M35" s="1069">
        <v>0</v>
      </c>
      <c r="N35" s="726">
        <v>0</v>
      </c>
      <c r="O35" s="1069">
        <v>0</v>
      </c>
      <c r="P35" s="726">
        <v>0</v>
      </c>
      <c r="Q35" s="1069">
        <v>0</v>
      </c>
      <c r="R35" s="726">
        <v>0</v>
      </c>
      <c r="S35" s="1069">
        <v>0</v>
      </c>
      <c r="T35" s="726">
        <v>0</v>
      </c>
      <c r="U35" s="1069">
        <v>0</v>
      </c>
      <c r="V35" s="726">
        <v>0</v>
      </c>
      <c r="W35" s="1069">
        <v>0</v>
      </c>
      <c r="X35" s="726">
        <v>0</v>
      </c>
      <c r="Y35" s="1069">
        <v>0</v>
      </c>
      <c r="Z35" s="726">
        <v>0</v>
      </c>
      <c r="AA35" s="1069">
        <v>0</v>
      </c>
      <c r="AB35" s="726">
        <v>0</v>
      </c>
      <c r="AC35" s="1069">
        <v>0</v>
      </c>
      <c r="AD35" s="726">
        <v>0</v>
      </c>
      <c r="AE35" s="1069">
        <v>0</v>
      </c>
      <c r="AF35" s="726">
        <v>0</v>
      </c>
      <c r="AG35" s="723">
        <v>0</v>
      </c>
      <c r="AH35" s="726">
        <v>0</v>
      </c>
      <c r="AI35" s="1069">
        <v>0</v>
      </c>
      <c r="AJ35" s="726">
        <v>0</v>
      </c>
      <c r="AK35" s="726">
        <v>0</v>
      </c>
      <c r="AL35" s="726">
        <v>0</v>
      </c>
      <c r="AM35" s="726">
        <v>0</v>
      </c>
      <c r="AN35" s="726">
        <v>0</v>
      </c>
      <c r="AO35" s="726">
        <v>0</v>
      </c>
      <c r="AP35" s="726">
        <v>0</v>
      </c>
      <c r="AQ35" s="1088">
        <f>SUMIF($C$9:AP$9,1,$C35:AP35)</f>
        <v>0</v>
      </c>
      <c r="AR35" s="735">
        <f>IF(COUNTIF($C35:AP35, "nfp")=0, SUMIF($C$9:AP$9,0,$C35:AP35), "nfp")</f>
        <v>0</v>
      </c>
      <c r="AS35" s="1569"/>
      <c r="AT35" s="317"/>
      <c r="AU35" s="317"/>
      <c r="AV35" s="381"/>
      <c r="AW35" s="381"/>
    </row>
    <row r="36" spans="1:50">
      <c r="A36" s="264" t="s">
        <v>127</v>
      </c>
      <c r="B36" s="256"/>
      <c r="C36" s="723"/>
      <c r="D36" s="723">
        <f t="shared" ref="D36:AP36" si="41">SUM(D31:D35)</f>
        <v>18734434.039999999</v>
      </c>
      <c r="E36" s="723"/>
      <c r="F36" s="723">
        <f t="shared" si="41"/>
        <v>20578748.949999999</v>
      </c>
      <c r="G36" s="723"/>
      <c r="H36" s="723">
        <f t="shared" si="41"/>
        <v>51636330</v>
      </c>
      <c r="I36" s="723"/>
      <c r="J36" s="723">
        <f t="shared" si="41"/>
        <v>54400099.450000003</v>
      </c>
      <c r="K36" s="723"/>
      <c r="L36" s="723">
        <f t="shared" si="41"/>
        <v>89361216.25</v>
      </c>
      <c r="M36" s="723"/>
      <c r="N36" s="723">
        <f t="shared" si="41"/>
        <v>124093373</v>
      </c>
      <c r="O36" s="723"/>
      <c r="P36" s="723">
        <f t="shared" si="41"/>
        <v>117487886.91128197</v>
      </c>
      <c r="Q36" s="723"/>
      <c r="R36" s="723">
        <f t="shared" si="41"/>
        <v>83526217.599999994</v>
      </c>
      <c r="S36" s="723"/>
      <c r="T36" s="723">
        <f t="shared" si="41"/>
        <v>161074058.51018983</v>
      </c>
      <c r="U36" s="723"/>
      <c r="V36" s="723">
        <f t="shared" si="41"/>
        <v>241958866.02999997</v>
      </c>
      <c r="W36" s="723"/>
      <c r="X36" s="723">
        <f t="shared" si="41"/>
        <v>303112488.16852772</v>
      </c>
      <c r="Y36" s="723"/>
      <c r="Z36" s="723">
        <f t="shared" si="41"/>
        <v>195701334.3081626</v>
      </c>
      <c r="AA36" s="723"/>
      <c r="AB36" s="723">
        <f t="shared" si="41"/>
        <v>88896709.603798822</v>
      </c>
      <c r="AC36" s="723"/>
      <c r="AD36" s="723">
        <f t="shared" si="41"/>
        <v>75147932.352439791</v>
      </c>
      <c r="AE36" s="732"/>
      <c r="AF36" s="723">
        <f t="shared" si="41"/>
        <v>83870799.393627912</v>
      </c>
      <c r="AG36" s="734"/>
      <c r="AH36" s="723">
        <f t="shared" si="41"/>
        <v>92717963.12310037</v>
      </c>
      <c r="AI36" s="1355"/>
      <c r="AJ36" s="723">
        <f t="shared" si="41"/>
        <v>131154428.44756225</v>
      </c>
      <c r="AK36" s="1069"/>
      <c r="AL36" s="723">
        <f t="shared" si="41"/>
        <v>123762009.07531598</v>
      </c>
      <c r="AM36" s="1069"/>
      <c r="AN36" s="723">
        <f t="shared" si="41"/>
        <v>138015466.92445117</v>
      </c>
      <c r="AO36" s="1069"/>
      <c r="AP36" s="723">
        <f t="shared" si="41"/>
        <v>175871994.43828887</v>
      </c>
      <c r="AQ36" s="934"/>
      <c r="AR36" s="723">
        <f>IF(COUNTIF($C36:AP36, "nfp")=0, SUMIF($C$9:AP$9,0,$C36:AP36), "nfp")</f>
        <v>2371102356.5767469</v>
      </c>
      <c r="AT36" s="317"/>
      <c r="AU36" s="317"/>
      <c r="AV36" s="381"/>
      <c r="AW36" s="381"/>
    </row>
    <row r="37" spans="1:50">
      <c r="A37" s="250"/>
      <c r="B37" s="256"/>
      <c r="C37" s="742"/>
      <c r="D37" s="732"/>
      <c r="E37" s="742"/>
      <c r="F37" s="732"/>
      <c r="G37" s="742"/>
      <c r="H37" s="732"/>
      <c r="I37" s="742"/>
      <c r="J37" s="732"/>
      <c r="K37" s="742"/>
      <c r="L37" s="732"/>
      <c r="M37" s="742"/>
      <c r="N37" s="732"/>
      <c r="O37" s="742"/>
      <c r="P37" s="732"/>
      <c r="Q37" s="742"/>
      <c r="R37" s="742"/>
      <c r="S37" s="742"/>
      <c r="T37" s="732"/>
      <c r="U37" s="742"/>
      <c r="V37" s="732"/>
      <c r="W37" s="742"/>
      <c r="X37" s="732"/>
      <c r="Y37" s="742"/>
      <c r="Z37" s="732"/>
      <c r="AA37" s="742"/>
      <c r="AB37" s="732"/>
      <c r="AC37" s="732"/>
      <c r="AD37" s="732"/>
      <c r="AE37" s="733"/>
      <c r="AF37" s="732"/>
      <c r="AG37" s="744"/>
      <c r="AH37" s="742"/>
      <c r="AI37" s="733"/>
      <c r="AJ37" s="742"/>
      <c r="AK37" s="742"/>
      <c r="AL37" s="742"/>
      <c r="AM37" s="742"/>
      <c r="AN37" s="742"/>
      <c r="AO37" s="742"/>
      <c r="AP37" s="742"/>
      <c r="AQ37" s="934"/>
      <c r="AR37" s="724"/>
      <c r="AT37" s="317"/>
      <c r="AU37" s="317"/>
      <c r="AV37" s="381"/>
      <c r="AW37" s="381"/>
      <c r="AX37" s="320"/>
    </row>
    <row r="38" spans="1:50">
      <c r="A38" s="831" t="s">
        <v>128</v>
      </c>
      <c r="B38" s="832" t="s">
        <v>129</v>
      </c>
      <c r="C38" s="845">
        <f>(SUMIFS('Other Minerals - Q&amp;V'!$H$8:$H$250,'Other Minerals - Q&amp;V'!$N$8:$N$250,LEFT('Q&amp;V FY 2003-04 to Now'!C$7,4),'Other Minerals - Q&amp;V'!$O$8:$O$250,3)+
SUMIFS('Other Minerals - Q&amp;V'!$H$8:$H$250,'Other Minerals - Q&amp;V'!$N$8:$N$250,LEFT('Q&amp;V FY 2003-04 to Now'!C$7,4),'Other Minerals - Q&amp;V'!$O$8:$O$250,4)+
SUMIFS('Other Minerals - Q&amp;V'!$H$8:$H$250,'Other Minerals - Q&amp;V'!$N$8:$N$250,CONCATENATE("20",RIGHT('Q&amp;V FY 2003-04 to Now'!C$7,2)),'Other Minerals - Q&amp;V'!$O$8:$O$250,1)+
SUMIFS('Other Minerals - Q&amp;V'!$H$8:$H$250,'Other Minerals - Q&amp;V'!$N$8:$N$250,CONCATENATE("20",RIGHT('Q&amp;V FY 2003-04 to Now'!C$7,2)),'Other Minerals - Q&amp;V'!$O$8:$O$250,2))*1000000</f>
        <v>32499111.999999996</v>
      </c>
      <c r="D38" s="845">
        <f>(SUMIFS('Other Minerals - Q&amp;V'!$I$8:$I$250,'Other Minerals - Q&amp;V'!$N$8:$N$250,LEFT('Q&amp;V FY 2003-04 to Now'!C$7,4),'Other Minerals - Q&amp;V'!$O$8:$O$250,3)+
SUMIFS('Other Minerals - Q&amp;V'!$I$8:$I$250,'Other Minerals - Q&amp;V'!$N$8:$N$250,LEFT('Q&amp;V FY 2003-04 to Now'!C$7,4),'Other Minerals - Q&amp;V'!$O$8:$O$250,4)+
SUMIFS('Other Minerals - Q&amp;V'!$I$8:$I$250,'Other Minerals - Q&amp;V'!$N$8:$N$250,CONCATENATE("20",RIGHT('Q&amp;V FY 2003-04 to Now'!C$7,2)),'Other Minerals - Q&amp;V'!$O$8:$O$250,1)+
SUMIFS('Other Minerals - Q&amp;V'!$I$8:$I$250,'Other Minerals - Q&amp;V'!$N$8:$N$250,CONCATENATE("20",RIGHT('Q&amp;V FY 2003-04 to Now'!C$7,2)),'Other Minerals - Q&amp;V'!$O$8:$O$250,2))*1000000</f>
        <v>519865332.99999994</v>
      </c>
      <c r="E38" s="845">
        <f>(SUMIFS('Other Minerals - Q&amp;V'!$H$8:$H$250,'Other Minerals - Q&amp;V'!$N$8:$N$250,LEFT('Q&amp;V FY 2003-04 to Now'!E$7,4),'Other Minerals - Q&amp;V'!$O$8:$O$250,3)+
SUMIFS('Other Minerals - Q&amp;V'!$H$8:$H$250,'Other Minerals - Q&amp;V'!$N$8:$N$250,LEFT('Q&amp;V FY 2003-04 to Now'!E$7,4),'Other Minerals - Q&amp;V'!$O$8:$O$250,4)+
SUMIFS('Other Minerals - Q&amp;V'!$H$8:$H$250,'Other Minerals - Q&amp;V'!$N$8:$N$250,CONCATENATE("20",RIGHT('Q&amp;V FY 2003-04 to Now'!E$7,2)),'Other Minerals - Q&amp;V'!$O$8:$O$250,1)+
SUMIFS('Other Minerals - Q&amp;V'!$H$8:$H$250,'Other Minerals - Q&amp;V'!$N$8:$N$250,CONCATENATE("20",RIGHT('Q&amp;V FY 2003-04 to Now'!E$7,2)),'Other Minerals - Q&amp;V'!$O$8:$O$250,2))*1000000</f>
        <v>22799773</v>
      </c>
      <c r="F38" s="845">
        <f>(SUMIFS('Other Minerals - Q&amp;V'!$I$8:$I$250,'Other Minerals - Q&amp;V'!$N$8:$N$250,LEFT('Q&amp;V FY 2003-04 to Now'!E$7,4),'Other Minerals - Q&amp;V'!$O$8:$O$250,3)+
SUMIFS('Other Minerals - Q&amp;V'!$I$8:$I$250,'Other Minerals - Q&amp;V'!$N$8:$N$250,LEFT('Q&amp;V FY 2003-04 to Now'!E$7,4),'Other Minerals - Q&amp;V'!$O$8:$O$250,4)+
SUMIFS('Other Minerals - Q&amp;V'!$I$8:$I$250,'Other Minerals - Q&amp;V'!$N$8:$N$250,CONCATENATE("20",RIGHT('Q&amp;V FY 2003-04 to Now'!E$7,2)),'Other Minerals - Q&amp;V'!$O$8:$O$250,1)+
SUMIFS('Other Minerals - Q&amp;V'!$I$8:$I$250,'Other Minerals - Q&amp;V'!$N$8:$N$250,CONCATENATE("20",RIGHT('Q&amp;V FY 2003-04 to Now'!E$7,2)),'Other Minerals - Q&amp;V'!$O$8:$O$250,2))*1000000</f>
        <v>479842597</v>
      </c>
      <c r="G38" s="845">
        <f>(SUMIFS('Other Minerals - Q&amp;V'!$H$8:$H$250,'Other Minerals - Q&amp;V'!$N$8:$N$250,LEFT('Q&amp;V FY 2003-04 to Now'!G$7,4),'Other Minerals - Q&amp;V'!$O$8:$O$250,3)+
SUMIFS('Other Minerals - Q&amp;V'!$H$8:$H$250,'Other Minerals - Q&amp;V'!$N$8:$N$250,LEFT('Q&amp;V FY 2003-04 to Now'!G$7,4),'Other Minerals - Q&amp;V'!$O$8:$O$250,4)+
SUMIFS('Other Minerals - Q&amp;V'!$H$8:$H$250,'Other Minerals - Q&amp;V'!$N$8:$N$250,CONCATENATE("20",RIGHT('Q&amp;V FY 2003-04 to Now'!G$7,2)),'Other Minerals - Q&amp;V'!$O$8:$O$250,1)+
SUMIFS('Other Minerals - Q&amp;V'!$H$8:$H$250,'Other Minerals - Q&amp;V'!$N$8:$N$250,CONCATENATE("20",RIGHT('Q&amp;V FY 2003-04 to Now'!G$7,2)),'Other Minerals - Q&amp;V'!$O$8:$O$250,2))*1000000</f>
        <v>29263869</v>
      </c>
      <c r="H38" s="845">
        <f>(SUMIFS('Other Minerals - Q&amp;V'!$I$8:$I$250,'Other Minerals - Q&amp;V'!$N$8:$N$250,LEFT('Q&amp;V FY 2003-04 to Now'!G$7,4),'Other Minerals - Q&amp;V'!$O$8:$O$250,3)+
SUMIFS('Other Minerals - Q&amp;V'!$I$8:$I$250,'Other Minerals - Q&amp;V'!$N$8:$N$250,LEFT('Q&amp;V FY 2003-04 to Now'!G$7,4),'Other Minerals - Q&amp;V'!$O$8:$O$250,4)+
SUMIFS('Other Minerals - Q&amp;V'!$I$8:$I$250,'Other Minerals - Q&amp;V'!$N$8:$N$250,CONCATENATE("20",RIGHT('Q&amp;V FY 2003-04 to Now'!G$7,2)),'Other Minerals - Q&amp;V'!$O$8:$O$250,1)+
SUMIFS('Other Minerals - Q&amp;V'!$I$8:$I$250,'Other Minerals - Q&amp;V'!$N$8:$N$250,CONCATENATE("20",RIGHT('Q&amp;V FY 2003-04 to Now'!G$7,2)),'Other Minerals - Q&amp;V'!$O$8:$O$250,2))*1000000</f>
        <v>696209547.99999988</v>
      </c>
      <c r="I38" s="845">
        <f>(SUMIFS('Other Minerals - Q&amp;V'!$H$8:$H$250,'Other Minerals - Q&amp;V'!$N$8:$N$250,LEFT('Q&amp;V FY 2003-04 to Now'!I$7,4),'Other Minerals - Q&amp;V'!$O$8:$O$250,3)+
SUMIFS('Other Minerals - Q&amp;V'!$H$8:$H$250,'Other Minerals - Q&amp;V'!$N$8:$N$250,LEFT('Q&amp;V FY 2003-04 to Now'!I$7,4),'Other Minerals - Q&amp;V'!$O$8:$O$250,4)+
SUMIFS('Other Minerals - Q&amp;V'!$H$8:$H$250,'Other Minerals - Q&amp;V'!$N$8:$N$250,CONCATENATE("20",RIGHT('Q&amp;V FY 2003-04 to Now'!I$7,2)),'Other Minerals - Q&amp;V'!$O$8:$O$250,1)+
SUMIFS('Other Minerals - Q&amp;V'!$H$8:$H$250,'Other Minerals - Q&amp;V'!$N$8:$N$250,CONCATENATE("20",RIGHT('Q&amp;V FY 2003-04 to Now'!I$7,2)),'Other Minerals - Q&amp;V'!$O$8:$O$250,2))*1000000</f>
        <v>18223318.999999996</v>
      </c>
      <c r="J38" s="845">
        <f>(SUMIFS('Other Minerals - Q&amp;V'!$I$8:$I$250,'Other Minerals - Q&amp;V'!$N$8:$N$250,LEFT('Q&amp;V FY 2003-04 to Now'!I$7,4),'Other Minerals - Q&amp;V'!$O$8:$O$250,3)+
SUMIFS('Other Minerals - Q&amp;V'!$I$8:$I$250,'Other Minerals - Q&amp;V'!$N$8:$N$250,LEFT('Q&amp;V FY 2003-04 to Now'!I$7,4),'Other Minerals - Q&amp;V'!$O$8:$O$250,4)+
SUMIFS('Other Minerals - Q&amp;V'!$I$8:$I$250,'Other Minerals - Q&amp;V'!$N$8:$N$250,CONCATENATE("20",RIGHT('Q&amp;V FY 2003-04 to Now'!I$7,2)),'Other Minerals - Q&amp;V'!$O$8:$O$250,1)+
SUMIFS('Other Minerals - Q&amp;V'!$I$8:$I$250,'Other Minerals - Q&amp;V'!$N$8:$N$250,CONCATENATE("20",RIGHT('Q&amp;V FY 2003-04 to Now'!I$7,2)),'Other Minerals - Q&amp;V'!$O$8:$O$250,2))*1000000</f>
        <v>461923761</v>
      </c>
      <c r="K38" s="845">
        <f>(SUMIFS('Other Minerals - Q&amp;V'!$H$8:$H$250,'Other Minerals - Q&amp;V'!$N$8:$N$250,LEFT('Q&amp;V FY 2003-04 to Now'!K$7,4),'Other Minerals - Q&amp;V'!$O$8:$O$250,3)+
SUMIFS('Other Minerals - Q&amp;V'!$H$8:$H$250,'Other Minerals - Q&amp;V'!$N$8:$N$250,LEFT('Q&amp;V FY 2003-04 to Now'!K$7,4),'Other Minerals - Q&amp;V'!$O$8:$O$250,4)+
SUMIFS('Other Minerals - Q&amp;V'!$H$8:$H$250,'Other Minerals - Q&amp;V'!$N$8:$N$250,CONCATENATE("20",RIGHT('Q&amp;V FY 2003-04 to Now'!K$7,2)),'Other Minerals - Q&amp;V'!$O$8:$O$250,1)+
SUMIFS('Other Minerals - Q&amp;V'!$H$8:$H$250,'Other Minerals - Q&amp;V'!$N$8:$N$250,CONCATENATE("20",RIGHT('Q&amp;V FY 2003-04 to Now'!K$7,2)),'Other Minerals - Q&amp;V'!$O$8:$O$250,2))*1000000</f>
        <v>27968098</v>
      </c>
      <c r="L38" s="845">
        <f>(SUMIFS('Other Minerals - Q&amp;V'!$I$8:$I$250,'Other Minerals - Q&amp;V'!$N$8:$N$250,LEFT('Q&amp;V FY 2003-04 to Now'!K$7,4),'Other Minerals - Q&amp;V'!$O$8:$O$250,3)+
SUMIFS('Other Minerals - Q&amp;V'!$I$8:$I$250,'Other Minerals - Q&amp;V'!$N$8:$N$250,LEFT('Q&amp;V FY 2003-04 to Now'!K$7,4),'Other Minerals - Q&amp;V'!$O$8:$O$250,4)+
SUMIFS('Other Minerals - Q&amp;V'!$I$8:$I$250,'Other Minerals - Q&amp;V'!$N$8:$N$250,CONCATENATE("20",RIGHT('Q&amp;V FY 2003-04 to Now'!K$7,2)),'Other Minerals - Q&amp;V'!$O$8:$O$250,1)+
SUMIFS('Other Minerals - Q&amp;V'!$I$8:$I$250,'Other Minerals - Q&amp;V'!$N$8:$N$250,CONCATENATE("20",RIGHT('Q&amp;V FY 2003-04 to Now'!K$7,2)),'Other Minerals - Q&amp;V'!$O$8:$O$250,2))*1000000</f>
        <v>612985558</v>
      </c>
      <c r="M38" s="845">
        <f>(SUMIFS('Other Minerals - Q&amp;V'!$H$8:$H$250,'Other Minerals - Q&amp;V'!$N$8:$N$250,LEFT('Q&amp;V FY 2003-04 to Now'!M$7,4),'Other Minerals - Q&amp;V'!$O$8:$O$250,3)+
SUMIFS('Other Minerals - Q&amp;V'!$H$8:$H$250,'Other Minerals - Q&amp;V'!$N$8:$N$250,LEFT('Q&amp;V FY 2003-04 to Now'!M$7,4),'Other Minerals - Q&amp;V'!$O$8:$O$250,4)+
SUMIFS('Other Minerals - Q&amp;V'!$H$8:$H$250,'Other Minerals - Q&amp;V'!$N$8:$N$250,CONCATENATE("20",RIGHT('Q&amp;V FY 2003-04 to Now'!M$7,2)),'Other Minerals - Q&amp;V'!$O$8:$O$250,1)+
SUMIFS('Other Minerals - Q&amp;V'!$H$8:$H$250,'Other Minerals - Q&amp;V'!$N$8:$N$250,CONCATENATE("20",RIGHT('Q&amp;V FY 2003-04 to Now'!M$7,2)),'Other Minerals - Q&amp;V'!$O$8:$O$250,2))*1000000</f>
        <v>23187842</v>
      </c>
      <c r="N38" s="845">
        <f>(SUMIFS('Other Minerals - Q&amp;V'!$I$8:$I$250,'Other Minerals - Q&amp;V'!$N$8:$N$250,LEFT('Q&amp;V FY 2003-04 to Now'!M$7,4),'Other Minerals - Q&amp;V'!$O$8:$O$250,3)+
SUMIFS('Other Minerals - Q&amp;V'!$I$8:$I$250,'Other Minerals - Q&amp;V'!$N$8:$N$250,LEFT('Q&amp;V FY 2003-04 to Now'!M$7,4),'Other Minerals - Q&amp;V'!$O$8:$O$250,4)+
SUMIFS('Other Minerals - Q&amp;V'!$I$8:$I$250,'Other Minerals - Q&amp;V'!$N$8:$N$250,CONCATENATE("20",RIGHT('Q&amp;V FY 2003-04 to Now'!M$7,2)),'Other Minerals - Q&amp;V'!$O$8:$O$250,1)+
SUMIFS('Other Minerals - Q&amp;V'!$I$8:$I$250,'Other Minerals - Q&amp;V'!$N$8:$N$250,CONCATENATE("20",RIGHT('Q&amp;V FY 2003-04 to Now'!M$7,2)),'Other Minerals - Q&amp;V'!$O$8:$O$250,2))*1000000</f>
        <v>272693003</v>
      </c>
      <c r="O38" s="845">
        <f>(SUMIFS('Other Minerals - Q&amp;V'!$H$8:$H$250,'Other Minerals - Q&amp;V'!$N$8:$N$250,LEFT('Q&amp;V FY 2003-04 to Now'!O$7,4),'Other Minerals - Q&amp;V'!$O$8:$O$250,3)+
SUMIFS('Other Minerals - Q&amp;V'!$H$8:$H$250,'Other Minerals - Q&amp;V'!$N$8:$N$250,LEFT('Q&amp;V FY 2003-04 to Now'!O$7,4),'Other Minerals - Q&amp;V'!$O$8:$O$250,4)+
SUMIFS('Other Minerals - Q&amp;V'!$H$8:$H$250,'Other Minerals - Q&amp;V'!$N$8:$N$250,CONCATENATE("20",RIGHT('Q&amp;V FY 2003-04 to Now'!O$7,2)),'Other Minerals - Q&amp;V'!$O$8:$O$250,1)+
SUMIFS('Other Minerals - Q&amp;V'!$H$8:$H$250,'Other Minerals - Q&amp;V'!$N$8:$N$250,CONCATENATE("20",RIGHT('Q&amp;V FY 2003-04 to Now'!O$7,2)),'Other Minerals - Q&amp;V'!$O$8:$O$250,2))*1000000</f>
        <v>16280757.000000002</v>
      </c>
      <c r="P38" s="845">
        <f>(SUMIFS('Other Minerals - Q&amp;V'!$I$8:$I$250,'Other Minerals - Q&amp;V'!$N$8:$N$250,LEFT('Q&amp;V FY 2003-04 to Now'!O$7,4),'Other Minerals - Q&amp;V'!$O$8:$O$250,3)+
SUMIFS('Other Minerals - Q&amp;V'!$I$8:$I$250,'Other Minerals - Q&amp;V'!$N$8:$N$250,LEFT('Q&amp;V FY 2003-04 to Now'!O$7,4),'Other Minerals - Q&amp;V'!$O$8:$O$250,4)+
SUMIFS('Other Minerals - Q&amp;V'!$I$8:$I$250,'Other Minerals - Q&amp;V'!$N$8:$N$250,CONCATENATE("20",RIGHT('Q&amp;V FY 2003-04 to Now'!O$7,2)),'Other Minerals - Q&amp;V'!$O$8:$O$250,1)+
SUMIFS('Other Minerals - Q&amp;V'!$I$8:$I$250,'Other Minerals - Q&amp;V'!$N$8:$N$250,CONCATENATE("20",RIGHT('Q&amp;V FY 2003-04 to Now'!O$7,2)),'Other Minerals - Q&amp;V'!$O$8:$O$250,2))*1000000</f>
        <v>304332534</v>
      </c>
      <c r="Q38" s="845">
        <f>(SUMIFS('Other Minerals - Q&amp;V'!$H$8:$H$250,'Other Minerals - Q&amp;V'!$N$8:$N$250,LEFT('Q&amp;V FY 2003-04 to Now'!Q$7,4),'Other Minerals - Q&amp;V'!$O$8:$O$250,3)+
SUMIFS('Other Minerals - Q&amp;V'!$H$8:$H$250,'Other Minerals - Q&amp;V'!$N$8:$N$250,LEFT('Q&amp;V FY 2003-04 to Now'!Q$7,4),'Other Minerals - Q&amp;V'!$O$8:$O$250,4)+
SUMIFS('Other Minerals - Q&amp;V'!$H$8:$H$250,'Other Minerals - Q&amp;V'!$N$8:$N$250,CONCATENATE("20",RIGHT('Q&amp;V FY 2003-04 to Now'!Q$7,2)),'Other Minerals - Q&amp;V'!$O$8:$O$250,1)+
SUMIFS('Other Minerals - Q&amp;V'!$H$8:$H$250,'Other Minerals - Q&amp;V'!$N$8:$N$250,CONCATENATE("20",RIGHT('Q&amp;V FY 2003-04 to Now'!Q$7,2)),'Other Minerals - Q&amp;V'!$O$8:$O$250,2))*1000000</f>
        <v>10121587</v>
      </c>
      <c r="R38" s="845">
        <f>(SUMIFS('Other Minerals - Q&amp;V'!$I$8:$I$250,'Other Minerals - Q&amp;V'!$N$8:$N$250,LEFT('Q&amp;V FY 2003-04 to Now'!Q$7,4),'Other Minerals - Q&amp;V'!$O$8:$O$250,3)+
SUMIFS('Other Minerals - Q&amp;V'!$I$8:$I$250,'Other Minerals - Q&amp;V'!$N$8:$N$250,LEFT('Q&amp;V FY 2003-04 to Now'!Q$7,4),'Other Minerals - Q&amp;V'!$O$8:$O$250,4)+
SUMIFS('Other Minerals - Q&amp;V'!$I$8:$I$250,'Other Minerals - Q&amp;V'!$N$8:$N$250,CONCATENATE("20",RIGHT('Q&amp;V FY 2003-04 to Now'!Q$7,2)),'Other Minerals - Q&amp;V'!$O$8:$O$250,1)+
SUMIFS('Other Minerals - Q&amp;V'!$I$8:$I$250,'Other Minerals - Q&amp;V'!$N$8:$N$250,CONCATENATE("20",RIGHT('Q&amp;V FY 2003-04 to Now'!Q$7,2)),'Other Minerals - Q&amp;V'!$O$8:$O$250,2))*1000000</f>
        <v>303092471.00000006</v>
      </c>
      <c r="S38" s="845">
        <f>(SUMIFS('Other Minerals - Q&amp;V'!$H$8:$H$250,'Other Minerals - Q&amp;V'!$N$8:$N$250,LEFT('Q&amp;V FY 2003-04 to Now'!S$7,4),'Other Minerals - Q&amp;V'!$O$8:$O$250,3)+
SUMIFS('Other Minerals - Q&amp;V'!$H$8:$H$250,'Other Minerals - Q&amp;V'!$N$8:$N$250,LEFT('Q&amp;V FY 2003-04 to Now'!S$7,4),'Other Minerals - Q&amp;V'!$O$8:$O$250,4)+
SUMIFS('Other Minerals - Q&amp;V'!$H$8:$H$250,'Other Minerals - Q&amp;V'!$N$8:$N$250,CONCATENATE("20",RIGHT('Q&amp;V FY 2003-04 to Now'!S$7,2)),'Other Minerals - Q&amp;V'!$O$8:$O$250,1)+
SUMIFS('Other Minerals - Q&amp;V'!$H$8:$H$250,'Other Minerals - Q&amp;V'!$N$8:$N$250,CONCATENATE("20",RIGHT('Q&amp;V FY 2003-04 to Now'!S$7,2)),'Other Minerals - Q&amp;V'!$O$8:$O$250,2))*1000000</f>
        <v>8689501</v>
      </c>
      <c r="T38" s="845">
        <f>(SUMIFS('Other Minerals - Q&amp;V'!$I$8:$I$250,'Other Minerals - Q&amp;V'!$N$8:$N$250,LEFT('Q&amp;V FY 2003-04 to Now'!S$7,4),'Other Minerals - Q&amp;V'!$O$8:$O$250,3)+
SUMIFS('Other Minerals - Q&amp;V'!$I$8:$I$250,'Other Minerals - Q&amp;V'!$N$8:$N$250,LEFT('Q&amp;V FY 2003-04 to Now'!S$7,4),'Other Minerals - Q&amp;V'!$O$8:$O$250,4)+
SUMIFS('Other Minerals - Q&amp;V'!$I$8:$I$250,'Other Minerals - Q&amp;V'!$N$8:$N$250,CONCATENATE("20",RIGHT('Q&amp;V FY 2003-04 to Now'!S$7,2)),'Other Minerals - Q&amp;V'!$O$8:$O$250,1)+
SUMIFS('Other Minerals - Q&amp;V'!$I$8:$I$250,'Other Minerals - Q&amp;V'!$N$8:$N$250,CONCATENATE("20",RIGHT('Q&amp;V FY 2003-04 to Now'!S$7,2)),'Other Minerals - Q&amp;V'!$O$8:$O$250,2))*1000000</f>
        <v>343293394.00000006</v>
      </c>
      <c r="U38" s="845">
        <f>(SUMIFS('Other Minerals - Q&amp;V'!$H$8:$H$250,'Other Minerals - Q&amp;V'!$N$8:$N$250,LEFT('Q&amp;V FY 2003-04 to Now'!U$7,4),'Other Minerals - Q&amp;V'!$O$8:$O$250,3)+
SUMIFS('Other Minerals - Q&amp;V'!$H$8:$H$250,'Other Minerals - Q&amp;V'!$N$8:$N$250,LEFT('Q&amp;V FY 2003-04 to Now'!U$7,4),'Other Minerals - Q&amp;V'!$O$8:$O$250,4)+
SUMIFS('Other Minerals - Q&amp;V'!$H$8:$H$250,'Other Minerals - Q&amp;V'!$N$8:$N$250,CONCATENATE("20",RIGHT('Q&amp;V FY 2003-04 to Now'!U$7,2)),'Other Minerals - Q&amp;V'!$O$8:$O$250,1)+
SUMIFS('Other Minerals - Q&amp;V'!$H$8:$H$250,'Other Minerals - Q&amp;V'!$N$8:$N$250,CONCATENATE("20",RIGHT('Q&amp;V FY 2003-04 to Now'!U$7,2)),'Other Minerals - Q&amp;V'!$O$8:$O$250,2))*1000000</f>
        <v>9608684.4299999997</v>
      </c>
      <c r="V38" s="845">
        <f>(SUMIFS('Other Minerals - Q&amp;V'!$I$8:$I$250,'Other Minerals - Q&amp;V'!$N$8:$N$250,LEFT('Q&amp;V FY 2003-04 to Now'!U$7,4),'Other Minerals - Q&amp;V'!$O$8:$O$250,3)+
SUMIFS('Other Minerals - Q&amp;V'!$I$8:$I$250,'Other Minerals - Q&amp;V'!$N$8:$N$250,LEFT('Q&amp;V FY 2003-04 to Now'!U$7,4),'Other Minerals - Q&amp;V'!$O$8:$O$250,4)+
SUMIFS('Other Minerals - Q&amp;V'!$I$8:$I$250,'Other Minerals - Q&amp;V'!$N$8:$N$250,CONCATENATE("20",RIGHT('Q&amp;V FY 2003-04 to Now'!U$7,2)),'Other Minerals - Q&amp;V'!$O$8:$O$250,1)+
SUMIFS('Other Minerals - Q&amp;V'!$I$8:$I$250,'Other Minerals - Q&amp;V'!$N$8:$N$250,CONCATENATE("20",RIGHT('Q&amp;V FY 2003-04 to Now'!U$7,2)),'Other Minerals - Q&amp;V'!$O$8:$O$250,2))*1000000</f>
        <v>354474246</v>
      </c>
      <c r="W38" s="845">
        <f>(SUMIFS('Other Minerals - Q&amp;V'!$H$8:$H$250,'Other Minerals - Q&amp;V'!$N$8:$N$250,LEFT('Q&amp;V FY 2003-04 to Now'!W$7,4),'Other Minerals - Q&amp;V'!$O$8:$O$250,3)+
SUMIFS('Other Minerals - Q&amp;V'!$H$8:$H$250,'Other Minerals - Q&amp;V'!$N$8:$N$250,LEFT('Q&amp;V FY 2003-04 to Now'!W$7,4),'Other Minerals - Q&amp;V'!$O$8:$O$250,4)+
SUMIFS('Other Minerals - Q&amp;V'!$H$8:$H$250,'Other Minerals - Q&amp;V'!$N$8:$N$250,CONCATENATE("20",RIGHT('Q&amp;V FY 2003-04 to Now'!W$7,2)),'Other Minerals - Q&amp;V'!$O$8:$O$250,1)+
SUMIFS('Other Minerals - Q&amp;V'!$H$8:$H$250,'Other Minerals - Q&amp;V'!$N$8:$N$250,CONCATENATE("20",RIGHT('Q&amp;V FY 2003-04 to Now'!W$7,2)),'Other Minerals - Q&amp;V'!$O$8:$O$250,2))*1000000</f>
        <v>11610630.830000002</v>
      </c>
      <c r="X38" s="845">
        <f>(SUMIFS('Other Minerals - Q&amp;V'!$I$8:$I$250,'Other Minerals - Q&amp;V'!$N$8:$N$250,LEFT('Q&amp;V FY 2003-04 to Now'!W$7,4),'Other Minerals - Q&amp;V'!$O$8:$O$250,3)+
SUMIFS('Other Minerals - Q&amp;V'!$I$8:$I$250,'Other Minerals - Q&amp;V'!$N$8:$N$250,LEFT('Q&amp;V FY 2003-04 to Now'!W$7,4),'Other Minerals - Q&amp;V'!$O$8:$O$250,4)+
SUMIFS('Other Minerals - Q&amp;V'!$I$8:$I$250,'Other Minerals - Q&amp;V'!$N$8:$N$250,CONCATENATE("20",RIGHT('Q&amp;V FY 2003-04 to Now'!W$7,2)),'Other Minerals - Q&amp;V'!$O$8:$O$250,1)+
SUMIFS('Other Minerals - Q&amp;V'!$I$8:$I$250,'Other Minerals - Q&amp;V'!$N$8:$N$250,CONCATENATE("20",RIGHT('Q&amp;V FY 2003-04 to Now'!W$7,2)),'Other Minerals - Q&amp;V'!$O$8:$O$250,2))*1000000</f>
        <v>400256324.99999994</v>
      </c>
      <c r="Y38" s="845">
        <f>(SUMIFS('Other Minerals - Q&amp;V'!$H$8:$H$250,'Other Minerals - Q&amp;V'!$N$8:$N$250,LEFT('Q&amp;V FY 2003-04 to Now'!Y$7,4),'Other Minerals - Q&amp;V'!$O$8:$O$250,3)+
SUMIFS('Other Minerals - Q&amp;V'!$H$8:$H$250,'Other Minerals - Q&amp;V'!$N$8:$N$250,LEFT('Q&amp;V FY 2003-04 to Now'!Y$7,4),'Other Minerals - Q&amp;V'!$O$8:$O$250,4)+
SUMIFS('Other Minerals - Q&amp;V'!$H$8:$H$250,'Other Minerals - Q&amp;V'!$N$8:$N$250,CONCATENATE("20",RIGHT('Q&amp;V FY 2003-04 to Now'!Y$7,2)),'Other Minerals - Q&amp;V'!$O$8:$O$250,1)+
SUMIFS('Other Minerals - Q&amp;V'!$H$8:$H$250,'Other Minerals - Q&amp;V'!$N$8:$N$250,CONCATENATE("20",RIGHT('Q&amp;V FY 2003-04 to Now'!Y$7,2)),'Other Minerals - Q&amp;V'!$O$8:$O$250,2))*1000000</f>
        <v>10387926.220000001</v>
      </c>
      <c r="Z38" s="845">
        <f>(SUMIFS('Other Minerals - Q&amp;V'!$I$8:$I$250,'Other Minerals - Q&amp;V'!$N$8:$N$250,LEFT('Q&amp;V FY 2003-04 to Now'!Y$7,4),'Other Minerals - Q&amp;V'!$O$8:$O$250,3)+
SUMIFS('Other Minerals - Q&amp;V'!$I$8:$I$250,'Other Minerals - Q&amp;V'!$N$8:$N$250,LEFT('Q&amp;V FY 2003-04 to Now'!Y$7,4),'Other Minerals - Q&amp;V'!$O$8:$O$250,4)+
SUMIFS('Other Minerals - Q&amp;V'!$I$8:$I$250,'Other Minerals - Q&amp;V'!$N$8:$N$250,CONCATENATE("20",RIGHT('Q&amp;V FY 2003-04 to Now'!Y$7,2)),'Other Minerals - Q&amp;V'!$O$8:$O$250,1)+
SUMIFS('Other Minerals - Q&amp;V'!$I$8:$I$250,'Other Minerals - Q&amp;V'!$N$8:$N$250,CONCATENATE("20",RIGHT('Q&amp;V FY 2003-04 to Now'!Y$7,2)),'Other Minerals - Q&amp;V'!$O$8:$O$250,2))*1000000</f>
        <v>342313663.99999994</v>
      </c>
      <c r="AA38" s="845">
        <f>(SUMIFS('Other Minerals - Q&amp;V'!$H$8:$H$250,'Other Minerals - Q&amp;V'!$N$8:$N$250,LEFT('Q&amp;V FY 2003-04 to Now'!AA$7,4),'Other Minerals - Q&amp;V'!$O$8:$O$250,3)+
SUMIFS('Other Minerals - Q&amp;V'!$H$8:$H$250,'Other Minerals - Q&amp;V'!$N$8:$N$250,LEFT('Q&amp;V FY 2003-04 to Now'!AA$7,4),'Other Minerals - Q&amp;V'!$O$8:$O$250,4)+
SUMIFS('Other Minerals - Q&amp;V'!$H$8:$H$250,'Other Minerals - Q&amp;V'!$N$8:$N$250,CONCATENATE("20",RIGHT('Q&amp;V FY 2003-04 to Now'!AA$7,2)),'Other Minerals - Q&amp;V'!$O$8:$O$250,1)+
SUMIFS('Other Minerals - Q&amp;V'!$H$8:$H$250,'Other Minerals - Q&amp;V'!$N$8:$N$250,CONCATENATE("20",RIGHT('Q&amp;V FY 2003-04 to Now'!AA$7,2)),'Other Minerals - Q&amp;V'!$O$8:$O$250,2))*1000000</f>
        <v>13869547.099999998</v>
      </c>
      <c r="AB38" s="845">
        <f>(SUMIFS('Other Minerals - Q&amp;V'!$I$8:$I$250,'Other Minerals - Q&amp;V'!$N$8:$N$250,LEFT('Q&amp;V FY 2003-04 to Now'!AA$7,4),'Other Minerals - Q&amp;V'!$O$8:$O$250,3)+
SUMIFS('Other Minerals - Q&amp;V'!$I$8:$I$250,'Other Minerals - Q&amp;V'!$N$8:$N$250,LEFT('Q&amp;V FY 2003-04 to Now'!AA$7,4),'Other Minerals - Q&amp;V'!$O$8:$O$250,4)+
SUMIFS('Other Minerals - Q&amp;V'!$I$8:$I$250,'Other Minerals - Q&amp;V'!$N$8:$N$250,CONCATENATE("20",RIGHT('Q&amp;V FY 2003-04 to Now'!AA$7,2)),'Other Minerals - Q&amp;V'!$O$8:$O$250,1)+
SUMIFS('Other Minerals - Q&amp;V'!$I$8:$I$250,'Other Minerals - Q&amp;V'!$N$8:$N$250,CONCATENATE("20",RIGHT('Q&amp;V FY 2003-04 to Now'!AA$7,2)),'Other Minerals - Q&amp;V'!$O$8:$O$250,2))*1000000</f>
        <v>354047664</v>
      </c>
      <c r="AC38" s="834">
        <f>(SUMIFS('Other Minerals - Q&amp;V'!$H$8:$H$250,'Other Minerals - Q&amp;V'!$N$8:$N$250,LEFT('Q&amp;V FY 2003-04 to Now'!AC$7,4),'Other Minerals - Q&amp;V'!$O$8:$O$250,3)+
SUMIFS('Other Minerals - Q&amp;V'!$H$8:$H$250,'Other Minerals - Q&amp;V'!$N$8:$N$250,LEFT('Q&amp;V FY 2003-04 to Now'!AC$7,4),'Other Minerals - Q&amp;V'!$O$8:$O$250,4)+
SUMIFS('Other Minerals - Q&amp;V'!$H$8:$H$250,'Other Minerals - Q&amp;V'!$N$8:$N$250,CONCATENATE("20",RIGHT('Q&amp;V FY 2003-04 to Now'!AC$7,2)),'Other Minerals - Q&amp;V'!$O$8:$O$250,1)+
SUMIFS('Other Minerals - Q&amp;V'!$H$8:$H$250,'Other Minerals - Q&amp;V'!$N$8:$N$250,CONCATENATE("20",RIGHT('Q&amp;V FY 2003-04 to Now'!AC$7,2)),'Other Minerals - Q&amp;V'!$O$8:$O$250,2))*1000000</f>
        <v>12607032.439999999</v>
      </c>
      <c r="AD38" s="845">
        <f>(SUMIFS('Other Minerals - Q&amp;V'!$I$8:$I$250,'Other Minerals - Q&amp;V'!$N$8:$N$250,LEFT('Q&amp;V FY 2003-04 to Now'!AC$7,4),'Other Minerals - Q&amp;V'!$O$8:$O$250,3)+
SUMIFS('Other Minerals - Q&amp;V'!$I$8:$I$250,'Other Minerals - Q&amp;V'!$N$8:$N$250,LEFT('Q&amp;V FY 2003-04 to Now'!AC$7,4),'Other Minerals - Q&amp;V'!$O$8:$O$250,4)+
SUMIFS('Other Minerals - Q&amp;V'!$I$8:$I$250,'Other Minerals - Q&amp;V'!$N$8:$N$250,CONCATENATE("20",RIGHT('Q&amp;V FY 2003-04 to Now'!AC$7,2)),'Other Minerals - Q&amp;V'!$O$8:$O$250,1)+
SUMIFS('Other Minerals - Q&amp;V'!$I$8:$I$250,'Other Minerals - Q&amp;V'!$N$8:$N$250,CONCATENATE("20",RIGHT('Q&amp;V FY 2003-04 to Now'!AC$7,2)),'Other Minerals - Q&amp;V'!$O$8:$O$250,2))*1000000</f>
        <v>268383093.99999997</v>
      </c>
      <c r="AE38" s="834">
        <f>(SUMIFS('Other Minerals - Q&amp;V'!$H$8:$H$250,'Other Minerals - Q&amp;V'!$N$8:$N$250,LEFT('Q&amp;V FY 2003-04 to Now'!AE$7,4),'Other Minerals - Q&amp;V'!$O$8:$O$250,3)+
SUMIFS('Other Minerals - Q&amp;V'!$H$8:$H$250,'Other Minerals - Q&amp;V'!$N$8:$N$250,LEFT('Q&amp;V FY 2003-04 to Now'!AE$7,4),'Other Minerals - Q&amp;V'!$O$8:$O$250,4)+
SUMIFS('Other Minerals - Q&amp;V'!$H$8:$H$250,'Other Minerals - Q&amp;V'!$N$8:$N$250,CONCATENATE("20",RIGHT('Q&amp;V FY 2003-04 to Now'!AE$7,2)),'Other Minerals - Q&amp;V'!$O$8:$O$250,1)+
SUMIFS('Other Minerals - Q&amp;V'!$H$8:$H$250,'Other Minerals - Q&amp;V'!$N$8:$N$250,CONCATENATE("20",RIGHT('Q&amp;V FY 2003-04 to Now'!AE$7,2)),'Other Minerals - Q&amp;V'!$O$8:$O$250,2))*1000000</f>
        <v>15281302.73</v>
      </c>
      <c r="AF38" s="845">
        <f>(SUMIFS('Other Minerals - Q&amp;V'!$I$8:$I$250,'Other Minerals - Q&amp;V'!$N$8:$N$250,LEFT('Q&amp;V FY 2003-04 to Now'!AE$7,4),'Other Minerals - Q&amp;V'!$O$8:$O$250,3)+
SUMIFS('Other Minerals - Q&amp;V'!$I$8:$I$250,'Other Minerals - Q&amp;V'!$N$8:$N$250,LEFT('Q&amp;V FY 2003-04 to Now'!AE$7,4),'Other Minerals - Q&amp;V'!$O$8:$O$250,4)+
SUMIFS('Other Minerals - Q&amp;V'!$I$8:$I$250,'Other Minerals - Q&amp;V'!$N$8:$N$250,CONCATENATE("20",RIGHT('Q&amp;V FY 2003-04 to Now'!AE$7,2)),'Other Minerals - Q&amp;V'!$O$8:$O$250,1)+
SUMIFS('Other Minerals - Q&amp;V'!$I$8:$I$250,'Other Minerals - Q&amp;V'!$N$8:$N$250,CONCATENATE("20",RIGHT('Q&amp;V FY 2003-04 to Now'!AE$7,2)),'Other Minerals - Q&amp;V'!$O$8:$O$250,2))*1000000</f>
        <v>249759751</v>
      </c>
      <c r="AG38" s="845">
        <f>(SUMIFS('Other Minerals - Q&amp;V'!$H$8:$H$250,'Other Minerals - Q&amp;V'!$N$8:$N$250,LEFT('Q&amp;V FY 2003-04 to Now'!AG$7,4),'Other Minerals - Q&amp;V'!$O$8:$O$250,3)+
SUMIFS('Other Minerals - Q&amp;V'!$H$8:$H$250,'Other Minerals - Q&amp;V'!$N$8:$N$250,LEFT('Q&amp;V FY 2003-04 to Now'!AG$7,4),'Other Minerals - Q&amp;V'!$O$8:$O$250,4)+
SUMIFS('Other Minerals - Q&amp;V'!$H$8:$H$250,'Other Minerals - Q&amp;V'!$N$8:$N$250,CONCATENATE("20",RIGHT('Q&amp;V FY 2003-04 to Now'!AG$7,2)),'Other Minerals - Q&amp;V'!$O$8:$O$250,1)+
SUMIFS('Other Minerals - Q&amp;V'!$H$8:$H$250,'Other Minerals - Q&amp;V'!$N$8:$N$250,CONCATENATE("20",RIGHT('Q&amp;V FY 2003-04 to Now'!AG$7,2)),'Other Minerals - Q&amp;V'!$O$8:$O$250,2))*1000000</f>
        <v>11149894.85</v>
      </c>
      <c r="AH38" s="1358">
        <f>(SUMIFS('Other Minerals - Q&amp;V'!$I$8:$I$250,'Other Minerals - Q&amp;V'!$N$8:$N$250,LEFT('Q&amp;V FY 2003-04 to Now'!AG$7,4),'Other Minerals - Q&amp;V'!$O$8:$O$250,3)+
SUMIFS('Other Minerals - Q&amp;V'!$I$8:$I$250,'Other Minerals - Q&amp;V'!$N$8:$N$250,LEFT('Q&amp;V FY 2003-04 to Now'!AG$7,4),'Other Minerals - Q&amp;V'!$O$8:$O$250,4)+
SUMIFS('Other Minerals - Q&amp;V'!$I$8:$I$250,'Other Minerals - Q&amp;V'!$N$8:$N$250,CONCATENATE("20",RIGHT('Q&amp;V FY 2003-04 to Now'!AG$7,2)),'Other Minerals - Q&amp;V'!$O$8:$O$250,1)+
SUMIFS('Other Minerals - Q&amp;V'!$I$8:$I$250,'Other Minerals - Q&amp;V'!$N$8:$N$250,CONCATENATE("20",RIGHT('Q&amp;V FY 2003-04 to Now'!AG$7,2)),'Other Minerals - Q&amp;V'!$O$8:$O$250,2))*1000000</f>
        <v>219221184</v>
      </c>
      <c r="AI38" s="1358">
        <f>(SUMIFS('Other Minerals - Q&amp;V'!$H$8:$H$250,'Other Minerals - Q&amp;V'!$N$8:$N$250,LEFT('Q&amp;V FY 2003-04 to Now'!AI$7,4),'Other Minerals - Q&amp;V'!$O$8:$O$250,3)+
SUMIFS('Other Minerals - Q&amp;V'!$H$8:$H$250,'Other Minerals - Q&amp;V'!$N$8:$N$250,LEFT('Q&amp;V FY 2003-04 to Now'!AI$7,4),'Other Minerals - Q&amp;V'!$O$8:$O$250,4)+
SUMIFS('Other Minerals - Q&amp;V'!$H$8:$H$250,'Other Minerals - Q&amp;V'!$N$8:$N$250,CONCATENATE("20",RIGHT('Q&amp;V FY 2003-04 to Now'!AI$7,2)),'Other Minerals - Q&amp;V'!$O$8:$O$250,1)+
SUMIFS('Other Minerals - Q&amp;V'!$H$8:$H$250,'Other Minerals - Q&amp;V'!$N$8:$N$250,CONCATENATE("20",RIGHT('Q&amp;V FY 2003-04 to Now'!AI$7,2)),'Other Minerals - Q&amp;V'!$O$8:$O$250,2))*1000000</f>
        <v>17489919.959999997</v>
      </c>
      <c r="AJ38" s="1358">
        <f>(SUMIFS('Other Minerals - Q&amp;V'!$I$8:$I$250,'Other Minerals - Q&amp;V'!$N$8:$N$250,LEFT('Q&amp;V FY 2003-04 to Now'!AI$7,4),'Other Minerals - Q&amp;V'!$O$8:$O$250,3)+
SUMIFS('Other Minerals - Q&amp;V'!$I$8:$I$250,'Other Minerals - Q&amp;V'!$N$8:$N$250,LEFT('Q&amp;V FY 2003-04 to Now'!AI$7,4),'Other Minerals - Q&amp;V'!$O$8:$O$250,4)+
SUMIFS('Other Minerals - Q&amp;V'!$I$8:$I$250,'Other Minerals - Q&amp;V'!$N$8:$N$250,CONCATENATE("20",RIGHT('Q&amp;V FY 2003-04 to Now'!AI$7,2)),'Other Minerals - Q&amp;V'!$O$8:$O$250,1)+
SUMIFS('Other Minerals - Q&amp;V'!$I$8:$I$250,'Other Minerals - Q&amp;V'!$N$8:$N$250,CONCATENATE("20",RIGHT('Q&amp;V FY 2003-04 to Now'!AI$7,2)),'Other Minerals - Q&amp;V'!$O$8:$O$250,2))*1000000</f>
        <v>281266032.99999994</v>
      </c>
      <c r="AK38" s="1358">
        <f>(SUMIFS('Other Minerals - Q&amp;V'!$H$8:$H$250,'Other Minerals - Q&amp;V'!$N$8:$N$250,LEFT('Q&amp;V FY 2003-04 to Now'!AK$7,4),'Other Minerals - Q&amp;V'!$O$8:$O$250,3)+
SUMIFS('Other Minerals - Q&amp;V'!$H$8:$H$250,'Other Minerals - Q&amp;V'!$N$8:$N$250,LEFT('Q&amp;V FY 2003-04 to Now'!AK$7,4),'Other Minerals - Q&amp;V'!$O$8:$O$250,4)+
SUMIFS('Other Minerals - Q&amp;V'!$H$8:$H$250,'Other Minerals - Q&amp;V'!$N$8:$N$250,CONCATENATE("20",RIGHT('Q&amp;V FY 2003-04 to Now'!AK$7,2)),'Other Minerals - Q&amp;V'!$O$8:$O$250,1)+
SUMIFS('Other Minerals - Q&amp;V'!$H$8:$H$250,'Other Minerals - Q&amp;V'!$N$8:$N$250,CONCATENATE("20",RIGHT('Q&amp;V FY 2003-04 to Now'!AK$7,2)),'Other Minerals - Q&amp;V'!$O$8:$O$250,2))*1000000</f>
        <v>8104960.54</v>
      </c>
      <c r="AL38" s="1358">
        <f>(SUMIFS('Other Minerals - Q&amp;V'!$I$8:$I$250,'Other Minerals - Q&amp;V'!$N$8:$N$250,LEFT('Q&amp;V FY 2003-04 to Now'!AK$7,4),'Other Minerals - Q&amp;V'!$O$8:$O$250,3)+
SUMIFS('Other Minerals - Q&amp;V'!$I$8:$I$250,'Other Minerals - Q&amp;V'!$N$8:$N$250,LEFT('Q&amp;V FY 2003-04 to Now'!AK$7,4),'Other Minerals - Q&amp;V'!$O$8:$O$250,4)+
SUMIFS('Other Minerals - Q&amp;V'!$I$8:$I$250,'Other Minerals - Q&amp;V'!$N$8:$N$250,CONCATENATE("20",RIGHT('Q&amp;V FY 2003-04 to Now'!AK$7,2)),'Other Minerals - Q&amp;V'!$O$8:$O$250,1)+
SUMIFS('Other Minerals - Q&amp;V'!$I$8:$I$250,'Other Minerals - Q&amp;V'!$N$8:$N$250,CONCATENATE("20",RIGHT('Q&amp;V FY 2003-04 to Now'!AK$7,2)),'Other Minerals - Q&amp;V'!$O$8:$O$250,2))*1000000</f>
        <v>112100235</v>
      </c>
      <c r="AM38" s="1358">
        <f>(SUMIFS('Other Minerals - Q&amp;V'!$H$8:$H$250,'Other Minerals - Q&amp;V'!$N$8:$N$250,LEFT('Q&amp;V FY 2003-04 to Now'!AM$7,4),'Other Minerals - Q&amp;V'!$O$8:$O$250,3)+
SUMIFS('Other Minerals - Q&amp;V'!$H$8:$H$250,'Other Minerals - Q&amp;V'!$N$8:$N$250,LEFT('Q&amp;V FY 2003-04 to Now'!AM$7,4),'Other Minerals - Q&amp;V'!$O$8:$O$250,4)+
SUMIFS('Other Minerals - Q&amp;V'!$H$8:$H$250,'Other Minerals - Q&amp;V'!$N$8:$N$250,CONCATENATE("20",RIGHT('Q&amp;V FY 2003-04 to Now'!AM$7,2)),'Other Minerals - Q&amp;V'!$O$8:$O$250,1)+
SUMIFS('Other Minerals - Q&amp;V'!$H$8:$H$250,'Other Minerals - Q&amp;V'!$N$8:$N$250,CONCATENATE("20",RIGHT('Q&amp;V FY 2003-04 to Now'!AM$7,2)),'Other Minerals - Q&amp;V'!$O$8:$O$250,2))*1000000</f>
        <v>43072.92</v>
      </c>
      <c r="AN38" s="1358">
        <f>(SUMIFS('Other Minerals - Q&amp;V'!$I$8:$I$250,'Other Minerals - Q&amp;V'!$N$8:$N$250,LEFT('Q&amp;V FY 2003-04 to Now'!AM$7,4),'Other Minerals - Q&amp;V'!$O$8:$O$250,3)+
SUMIFS('Other Minerals - Q&amp;V'!$I$8:$I$250,'Other Minerals - Q&amp;V'!$N$8:$N$250,LEFT('Q&amp;V FY 2003-04 to Now'!AM$7,4),'Other Minerals - Q&amp;V'!$O$8:$O$250,4)+
SUMIFS('Other Minerals - Q&amp;V'!$I$8:$I$250,'Other Minerals - Q&amp;V'!$N$8:$N$250,CONCATENATE("20",RIGHT('Q&amp;V FY 2003-04 to Now'!AM$7,2)),'Other Minerals - Q&amp;V'!$O$8:$O$250,1)+
SUMIFS('Other Minerals - Q&amp;V'!$I$8:$I$250,'Other Minerals - Q&amp;V'!$N$8:$N$250,CONCATENATE("20",RIGHT('Q&amp;V FY 2003-04 to Now'!AM$7,2)),'Other Minerals - Q&amp;V'!$O$8:$O$250,2))*1000000</f>
        <v>1195627</v>
      </c>
      <c r="AO38" s="1358">
        <f>(SUMIFS('Other Minerals - Q&amp;V'!$H$8:$H$250,'Other Minerals - Q&amp;V'!$N$8:$N$250,LEFT('Q&amp;V FY 2003-04 to Now'!AO$7,4),'Other Minerals - Q&amp;V'!$O$8:$O$250,3)+
SUMIFS('Other Minerals - Q&amp;V'!$H$8:$H$250,'Other Minerals - Q&amp;V'!$N$8:$N$250,LEFT('Q&amp;V FY 2003-04 to Now'!AO$7,4),'Other Minerals - Q&amp;V'!$O$8:$O$250,4)+
SUMIFS('Other Minerals - Q&amp;V'!$H$8:$H$250,'Other Minerals - Q&amp;V'!$N$8:$N$250,CONCATENATE("20",RIGHT('Q&amp;V FY 2003-04 to Now'!AO$7,2)),'Other Minerals - Q&amp;V'!$O$8:$O$250,1)+
SUMIFS('Other Minerals - Q&amp;V'!$H$8:$H$250,'Other Minerals - Q&amp;V'!$N$8:$N$250,CONCATENATE("20",RIGHT('Q&amp;V FY 2003-04 to Now'!AO$7,2)),'Other Minerals - Q&amp;V'!$O$8:$O$250,2))*1000000</f>
        <v>0</v>
      </c>
      <c r="AP38" s="1358">
        <f>(SUMIFS('Other Minerals - Q&amp;V'!$I$8:$I$250,'Other Minerals - Q&amp;V'!$N$8:$N$250,LEFT('Q&amp;V FY 2003-04 to Now'!AO$7,4),'Other Minerals - Q&amp;V'!$O$8:$O$250,3)+
SUMIFS('Other Minerals - Q&amp;V'!$I$8:$I$250,'Other Minerals - Q&amp;V'!$N$8:$N$250,LEFT('Q&amp;V FY 2003-04 to Now'!AO$7,4),'Other Minerals - Q&amp;V'!$O$8:$O$250,4)+
SUMIFS('Other Minerals - Q&amp;V'!$I$8:$I$250,'Other Minerals - Q&amp;V'!$N$8:$N$250,CONCATENATE("20",RIGHT('Q&amp;V FY 2003-04 to Now'!AO$7,2)),'Other Minerals - Q&amp;V'!$O$8:$O$250,1)+
SUMIFS('Other Minerals - Q&amp;V'!$I$8:$I$250,'Other Minerals - Q&amp;V'!$N$8:$N$250,CONCATENATE("20",RIGHT('Q&amp;V FY 2003-04 to Now'!AO$7,2)),'Other Minerals - Q&amp;V'!$O$8:$O$250,2))*1000000</f>
        <v>0</v>
      </c>
      <c r="AQ38" s="834">
        <f>SUMIF($C$9:AP$9,1,$C38:AP38)</f>
        <v>299186830.02000004</v>
      </c>
      <c r="AR38" s="845">
        <f>IF(COUNTIF($C38:AP38, "nfp")=0, SUMIF($C$9:AP$9,0,$C38:AP38), "nfp")</f>
        <v>6577256022</v>
      </c>
      <c r="AT38" s="317"/>
      <c r="AU38" s="317"/>
      <c r="AV38" s="381"/>
      <c r="AW38" s="381"/>
    </row>
    <row r="39" spans="1:50">
      <c r="A39" s="846"/>
      <c r="B39" s="832"/>
      <c r="C39" s="824"/>
      <c r="D39" s="824"/>
      <c r="E39" s="824"/>
      <c r="F39" s="824"/>
      <c r="G39" s="824"/>
      <c r="H39" s="824"/>
      <c r="I39" s="824"/>
      <c r="J39" s="824"/>
      <c r="K39" s="824"/>
      <c r="L39" s="824"/>
      <c r="M39" s="824"/>
      <c r="N39" s="824"/>
      <c r="O39" s="824"/>
      <c r="P39" s="824"/>
      <c r="Q39" s="824"/>
      <c r="R39" s="824"/>
      <c r="S39" s="824"/>
      <c r="T39" s="824"/>
      <c r="U39" s="824"/>
      <c r="V39" s="824"/>
      <c r="W39" s="824"/>
      <c r="X39" s="824"/>
      <c r="Y39" s="824"/>
      <c r="Z39" s="824"/>
      <c r="AA39" s="824"/>
      <c r="AB39" s="824"/>
      <c r="AC39" s="824"/>
      <c r="AD39" s="824"/>
      <c r="AE39" s="833"/>
      <c r="AF39" s="824"/>
      <c r="AG39" s="833"/>
      <c r="AH39" s="1360"/>
      <c r="AI39" s="1359"/>
      <c r="AJ39" s="1360"/>
      <c r="AK39" s="1360"/>
      <c r="AL39" s="1360"/>
      <c r="AM39" s="1360"/>
      <c r="AN39" s="1360"/>
      <c r="AO39" s="1360"/>
      <c r="AP39" s="1360"/>
      <c r="AQ39" s="834"/>
      <c r="AR39" s="845"/>
      <c r="AT39" s="317"/>
      <c r="AU39" s="317"/>
      <c r="AV39" s="381"/>
      <c r="AW39" s="381"/>
    </row>
    <row r="40" spans="1:50">
      <c r="A40" s="260" t="s">
        <v>131</v>
      </c>
      <c r="B40" s="256" t="s">
        <v>67</v>
      </c>
      <c r="C40" s="742">
        <v>3081.04</v>
      </c>
      <c r="D40" s="732">
        <v>987504</v>
      </c>
      <c r="E40" s="742">
        <v>4520.8599999999997</v>
      </c>
      <c r="F40" s="732">
        <v>854816.4</v>
      </c>
      <c r="G40" s="742">
        <v>1951</v>
      </c>
      <c r="H40" s="732">
        <v>770591</v>
      </c>
      <c r="I40" s="742">
        <v>1976.04</v>
      </c>
      <c r="J40" s="732">
        <v>342863</v>
      </c>
      <c r="K40" s="742">
        <v>491.74</v>
      </c>
      <c r="L40" s="732">
        <v>157224</v>
      </c>
      <c r="M40" s="742">
        <v>3142.63</v>
      </c>
      <c r="N40" s="732">
        <v>329863</v>
      </c>
      <c r="O40" s="742">
        <v>5371.19</v>
      </c>
      <c r="P40" s="732">
        <v>339102</v>
      </c>
      <c r="Q40" s="742">
        <v>8669.33</v>
      </c>
      <c r="R40" s="732">
        <v>861017</v>
      </c>
      <c r="S40" s="742">
        <v>7590</v>
      </c>
      <c r="T40" s="732">
        <v>1450510</v>
      </c>
      <c r="U40" s="742">
        <v>4196.3099999999995</v>
      </c>
      <c r="V40" s="732">
        <v>1221243</v>
      </c>
      <c r="W40" s="742">
        <v>5020.9719999999998</v>
      </c>
      <c r="X40" s="732">
        <v>1365020</v>
      </c>
      <c r="Y40" s="742">
        <v>6648.1320000000005</v>
      </c>
      <c r="Z40" s="732">
        <v>2997253.8785662018</v>
      </c>
      <c r="AA40" s="742">
        <v>4112.5</v>
      </c>
      <c r="AB40" s="732">
        <v>2205326</v>
      </c>
      <c r="AC40" s="742">
        <v>4794.83</v>
      </c>
      <c r="AD40" s="732">
        <v>1827463.9661279039</v>
      </c>
      <c r="AE40" s="733">
        <v>6497.7100000000009</v>
      </c>
      <c r="AF40" s="732">
        <v>2562324.1714457981</v>
      </c>
      <c r="AG40" s="744">
        <v>9638.77</v>
      </c>
      <c r="AH40" s="742">
        <v>3041676.3146707914</v>
      </c>
      <c r="AI40" s="733">
        <v>11353.424999999999</v>
      </c>
      <c r="AJ40" s="742">
        <v>2581401.0877106157</v>
      </c>
      <c r="AK40" s="742">
        <v>7850.1759999999995</v>
      </c>
      <c r="AL40" s="742">
        <v>2500609.1073642559</v>
      </c>
      <c r="AM40" s="742">
        <v>6169.1859999999997</v>
      </c>
      <c r="AN40" s="742">
        <v>2256701</v>
      </c>
      <c r="AO40" s="742">
        <v>5612.348</v>
      </c>
      <c r="AP40" s="742">
        <v>2340030.7530931449</v>
      </c>
      <c r="AQ40" s="934">
        <f>SUMIF($C$9:AP$9,1,$C40:AP40)</f>
        <v>108688.189</v>
      </c>
      <c r="AR40" s="724">
        <f>IF(COUNTIF($C40:AP40, "nfp")=0, SUMIF($C$9:AP$9,0,$C40:AP40), "nfp")</f>
        <v>30992539.678978711</v>
      </c>
      <c r="AT40" s="317"/>
      <c r="AU40" s="317"/>
      <c r="AV40" s="381"/>
      <c r="AW40" s="381"/>
    </row>
    <row r="41" spans="1:50">
      <c r="A41" s="250"/>
      <c r="B41" s="256"/>
      <c r="C41" s="742"/>
      <c r="D41" s="732"/>
      <c r="E41" s="742"/>
      <c r="F41" s="732"/>
      <c r="G41" s="742"/>
      <c r="H41" s="732"/>
      <c r="I41" s="742"/>
      <c r="J41" s="732"/>
      <c r="K41" s="742"/>
      <c r="L41" s="732"/>
      <c r="M41" s="742"/>
      <c r="N41" s="732"/>
      <c r="O41" s="742"/>
      <c r="P41" s="732"/>
      <c r="Q41" s="742"/>
      <c r="R41" s="732"/>
      <c r="S41" s="742"/>
      <c r="T41" s="732"/>
      <c r="U41" s="742"/>
      <c r="V41" s="732"/>
      <c r="W41" s="742"/>
      <c r="X41" s="732"/>
      <c r="Y41" s="742"/>
      <c r="Z41" s="732"/>
      <c r="AA41" s="742"/>
      <c r="AB41" s="732"/>
      <c r="AC41" s="732"/>
      <c r="AD41" s="732"/>
      <c r="AE41" s="733"/>
      <c r="AF41" s="732"/>
      <c r="AG41" s="744"/>
      <c r="AH41" s="742"/>
      <c r="AI41" s="733"/>
      <c r="AJ41" s="742"/>
      <c r="AK41" s="742"/>
      <c r="AL41" s="742"/>
      <c r="AM41" s="742"/>
      <c r="AN41" s="742"/>
      <c r="AO41" s="742"/>
      <c r="AP41" s="742"/>
      <c r="AQ41" s="934"/>
      <c r="AR41" s="724"/>
      <c r="AT41" s="317"/>
      <c r="AU41" s="317"/>
      <c r="AV41" s="381"/>
      <c r="AW41" s="381"/>
    </row>
    <row r="42" spans="1:50">
      <c r="A42" s="261" t="s">
        <v>508</v>
      </c>
      <c r="B42" s="127" t="s">
        <v>93</v>
      </c>
      <c r="C42" s="183">
        <v>345617.5</v>
      </c>
      <c r="D42" s="183">
        <v>198691</v>
      </c>
      <c r="E42" s="183">
        <v>310050.76</v>
      </c>
      <c r="F42" s="183">
        <v>243114</v>
      </c>
      <c r="G42" s="183">
        <v>195162.92</v>
      </c>
      <c r="H42" s="183">
        <v>180938</v>
      </c>
      <c r="I42" s="183">
        <v>316716.03000000003</v>
      </c>
      <c r="J42" s="183">
        <v>245279</v>
      </c>
      <c r="K42" s="183">
        <v>2730675.03</v>
      </c>
      <c r="L42" s="183">
        <v>401644</v>
      </c>
      <c r="M42" s="183">
        <v>316420.38</v>
      </c>
      <c r="N42" s="183">
        <v>210961</v>
      </c>
      <c r="O42" s="183">
        <v>300509.38</v>
      </c>
      <c r="P42" s="183">
        <v>308238</v>
      </c>
      <c r="Q42" s="183">
        <v>292458.05</v>
      </c>
      <c r="R42" s="183">
        <v>288460</v>
      </c>
      <c r="S42" s="183">
        <v>227963.18</v>
      </c>
      <c r="T42" s="183">
        <v>280727</v>
      </c>
      <c r="U42" s="183">
        <v>197832.13</v>
      </c>
      <c r="V42" s="183">
        <v>254158</v>
      </c>
      <c r="W42" s="183">
        <v>310676.27400000003</v>
      </c>
      <c r="X42" s="183">
        <v>409321</v>
      </c>
      <c r="Y42" s="183">
        <v>720551.56599999999</v>
      </c>
      <c r="Z42" s="183">
        <v>1402333</v>
      </c>
      <c r="AA42" s="183">
        <v>245128.9564</v>
      </c>
      <c r="AB42" s="183">
        <v>696715</v>
      </c>
      <c r="AC42" s="715">
        <v>295742.37940000003</v>
      </c>
      <c r="AD42" s="183">
        <v>655691</v>
      </c>
      <c r="AE42" s="715">
        <v>276265.723</v>
      </c>
      <c r="AF42" s="183">
        <v>302696</v>
      </c>
      <c r="AG42" s="715">
        <v>127635.90299999999</v>
      </c>
      <c r="AH42" s="1354">
        <v>324203</v>
      </c>
      <c r="AI42" s="1353">
        <v>245535.97</v>
      </c>
      <c r="AJ42" s="1354">
        <v>432061</v>
      </c>
      <c r="AK42" s="1354">
        <v>298946.15999999997</v>
      </c>
      <c r="AL42" s="1354">
        <v>452255</v>
      </c>
      <c r="AM42" s="1354">
        <v>582308.86</v>
      </c>
      <c r="AN42" s="1354">
        <v>796389</v>
      </c>
      <c r="AO42" s="1354">
        <v>432113.99</v>
      </c>
      <c r="AP42" s="1354">
        <v>907946</v>
      </c>
      <c r="AQ42" s="715">
        <f>SUMIF($C$9:AP$9,1,$C42:AP42)</f>
        <v>8768311.1417999994</v>
      </c>
      <c r="AR42" s="183">
        <f>IF(COUNTIF($C42:AP42, "nfp")=0, SUMIF($C$9:AP$9,0,$C42:AP42), "nfp")</f>
        <v>8991820</v>
      </c>
      <c r="AT42" s="317"/>
      <c r="AU42" s="317"/>
      <c r="AV42" s="381"/>
      <c r="AW42" s="381"/>
    </row>
    <row r="43" spans="1:50">
      <c r="A43" s="131"/>
      <c r="B43" s="161"/>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070"/>
      <c r="AF43" s="163"/>
      <c r="AG43" s="1070"/>
      <c r="AH43" s="1362"/>
      <c r="AI43" s="1361"/>
      <c r="AJ43" s="1362"/>
      <c r="AK43" s="1362"/>
      <c r="AL43" s="1362"/>
      <c r="AM43" s="1362"/>
      <c r="AN43" s="1362"/>
      <c r="AO43" s="1362"/>
      <c r="AP43" s="1362"/>
      <c r="AQ43" s="715"/>
      <c r="AR43" s="183"/>
      <c r="AT43" s="317"/>
      <c r="AU43" s="317"/>
      <c r="AV43" s="381"/>
      <c r="AW43" s="381"/>
    </row>
    <row r="44" spans="1:50">
      <c r="A44" s="260" t="s">
        <v>162</v>
      </c>
      <c r="B44" s="248" t="s">
        <v>93</v>
      </c>
      <c r="C44" s="742">
        <f>(SUMIFS('Gold - Q&amp;V'!$B$8:$B$250,'Gold - Q&amp;V'!$D$8:$D$250,LEFT('Q&amp;V FY 2003-04 to Now'!C$7:D$7,4),'Gold - Q&amp;V'!$E$8:$E$250,3)+
SUMIFS('Gold - Q&amp;V'!$B$8:$B$250,'Gold - Q&amp;V'!$D$8:$D$250,LEFT('Q&amp;V FY 2003-04 to Now'!C$7:D$7,4),'Gold - Q&amp;V'!$E$8:$E$250,4)+
SUMIFS('Gold - Q&amp;V'!$B$8:$B$250,'Gold - Q&amp;V'!$D$8:$D$250,CONCATENATE("20",RIGHT('Q&amp;V FY 2003-04 to Now'!C$7,2)),'Gold - Q&amp;V'!$E$8:$E$250,1)+
SUMIFS('Gold - Q&amp;V'!$B$8:$B$250,'Gold - Q&amp;V'!$D$8:$D$250,CONCATENATE("20",RIGHT('Q&amp;V FY 2003-04 to Now'!C$7,2)),'Gold - Q&amp;V'!$E$8:$E$250,2))*1000</f>
        <v>176730</v>
      </c>
      <c r="D44" s="732">
        <f>(SUMIFS('Gold - Q&amp;V'!$C$8:$C$250,'Gold - Q&amp;V'!$D$8:$D$250,LEFT('Q&amp;V FY 2003-04 to Now'!C$7,4),'Gold - Q&amp;V'!$E$8:$E$250,3)+
SUMIFS('Gold - Q&amp;V'!$C$8:$C$250,'Gold - Q&amp;V'!$D$8:$D$250,LEFT('Q&amp;V FY 2003-04 to Now'!C$7,4),'Gold - Q&amp;V'!$E$8:$E$250,4)+
SUMIFS('Gold - Q&amp;V'!$C$8:$C$250,'Gold - Q&amp;V'!$D$8:$D$250,CONCATENATE("20",RIGHT('Q&amp;V FY 2003-04 to Now'!C$7,2)),'Gold - Q&amp;V'!$E$8:$E$250,1)+
SUMIFS('Gold - Q&amp;V'!$C$8:$C$250,'Gold - Q&amp;V'!$D$8:$D$250,CONCATENATE("20",RIGHT('Q&amp;V FY 2003-04 to Now'!C$7,2)),'Gold - Q&amp;V'!$E$8:$E$250,2))*1000000</f>
        <v>3104170000</v>
      </c>
      <c r="E44" s="742">
        <f>(SUMIFS('Gold - Q&amp;V'!$B$8:$B$250,'Gold - Q&amp;V'!$D$8:$D$250,LEFT('Q&amp;V FY 2003-04 to Now'!E$7:F$7,4),'Gold - Q&amp;V'!$E$8:$E$250,3)+
SUMIFS('Gold - Q&amp;V'!$B$8:$B$250,'Gold - Q&amp;V'!$D$8:$D$250,LEFT('Q&amp;V FY 2003-04 to Now'!E$7:F$7,4),'Gold - Q&amp;V'!$E$8:$E$250,4)+
SUMIFS('Gold - Q&amp;V'!$B$8:$B$250,'Gold - Q&amp;V'!$D$8:$D$250,CONCATENATE("20",RIGHT('Q&amp;V FY 2003-04 to Now'!E$7,2)),'Gold - Q&amp;V'!$E$8:$E$250,1)+
SUMIFS('Gold - Q&amp;V'!$B$8:$B$250,'Gold - Q&amp;V'!$D$8:$D$250,CONCATENATE("20",RIGHT('Q&amp;V FY 2003-04 to Now'!E$7,2)),'Gold - Q&amp;V'!$E$8:$E$250,2))*1000</f>
        <v>166587.05940999999</v>
      </c>
      <c r="F44" s="732">
        <f>(SUMIFS('Gold - Q&amp;V'!$C$8:$C$250,'Gold - Q&amp;V'!$D$8:$D$250,LEFT('Q&amp;V FY 2003-04 to Now'!E$7,4),'Gold - Q&amp;V'!$E$8:$E$250,3)+
SUMIFS('Gold - Q&amp;V'!$C$8:$C$250,'Gold - Q&amp;V'!$D$8:$D$250,LEFT('Q&amp;V FY 2003-04 to Now'!E$7,4),'Gold - Q&amp;V'!$E$8:$E$250,4)+
SUMIFS('Gold - Q&amp;V'!$C$8:$C$250,'Gold - Q&amp;V'!$D$8:$D$250,CONCATENATE("20",RIGHT('Q&amp;V FY 2003-04 to Now'!E$7,2)),'Gold - Q&amp;V'!$E$8:$E$250,1)+
SUMIFS('Gold - Q&amp;V'!$C$8:$C$250,'Gold - Q&amp;V'!$D$8:$D$250,CONCATENATE("20",RIGHT('Q&amp;V FY 2003-04 to Now'!E$7,2)),'Gold - Q&amp;V'!$E$8:$E$250,2))*1000000</f>
        <v>3006500215</v>
      </c>
      <c r="G44" s="742">
        <f>(SUMIFS('Gold - Q&amp;V'!$B$8:$B$250,'Gold - Q&amp;V'!$D$8:$D$250,LEFT('Q&amp;V FY 2003-04 to Now'!G$7:H$7,4),'Gold - Q&amp;V'!$E$8:$E$250,3)+
SUMIFS('Gold - Q&amp;V'!$B$8:$B$250,'Gold - Q&amp;V'!$D$8:$D$250,LEFT('Q&amp;V FY 2003-04 to Now'!G$7:H$7,4),'Gold - Q&amp;V'!$E$8:$E$250,4)+
SUMIFS('Gold - Q&amp;V'!$B$8:$B$250,'Gold - Q&amp;V'!$D$8:$D$250,CONCATENATE("20",RIGHT('Q&amp;V FY 2003-04 to Now'!G$7,2)),'Gold - Q&amp;V'!$E$8:$E$250,1)+
SUMIFS('Gold - Q&amp;V'!$B$8:$B$250,'Gold - Q&amp;V'!$D$8:$D$250,CONCATENATE("20",RIGHT('Q&amp;V FY 2003-04 to Now'!G$7,2)),'Gold - Q&amp;V'!$E$8:$E$250,2))*1000</f>
        <v>163340.26466000002</v>
      </c>
      <c r="H44" s="732">
        <f>(SUMIFS('Gold - Q&amp;V'!$C$8:$C$250,'Gold - Q&amp;V'!$D$8:$D$250,LEFT('Q&amp;V FY 2003-04 to Now'!G$7,4),'Gold - Q&amp;V'!$E$8:$E$250,3)+
SUMIFS('Gold - Q&amp;V'!$C$8:$C$250,'Gold - Q&amp;V'!$D$8:$D$250,LEFT('Q&amp;V FY 2003-04 to Now'!G$7,4),'Gold - Q&amp;V'!$E$8:$E$250,4)+
SUMIFS('Gold - Q&amp;V'!$C$8:$C$250,'Gold - Q&amp;V'!$D$8:$D$250,CONCATENATE("20",RIGHT('Q&amp;V FY 2003-04 to Now'!G$7,2)),'Gold - Q&amp;V'!$E$8:$E$250,1)+
SUMIFS('Gold - Q&amp;V'!$C$8:$C$250,'Gold - Q&amp;V'!$D$8:$D$250,CONCATENATE("20",RIGHT('Q&amp;V FY 2003-04 to Now'!G$7,2)),'Gold - Q&amp;V'!$E$8:$E$250,2))*1000000</f>
        <v>3696336325</v>
      </c>
      <c r="I44" s="742">
        <f>(SUMIFS('Gold - Q&amp;V'!$B$8:$B$250,'Gold - Q&amp;V'!$D$8:$D$250,LEFT('Q&amp;V FY 2003-04 to Now'!I$7:J$7,4),'Gold - Q&amp;V'!$E$8:$E$250,3)+
SUMIFS('Gold - Q&amp;V'!$B$8:$B$250,'Gold - Q&amp;V'!$D$8:$D$250,LEFT('Q&amp;V FY 2003-04 to Now'!I$7:J$7,4),'Gold - Q&amp;V'!$E$8:$E$250,4)+
SUMIFS('Gold - Q&amp;V'!$B$8:$B$250,'Gold - Q&amp;V'!$D$8:$D$250,CONCATENATE("20",RIGHT('Q&amp;V FY 2003-04 to Now'!I$7,2)),'Gold - Q&amp;V'!$E$8:$E$250,1)+
SUMIFS('Gold - Q&amp;V'!$B$8:$B$250,'Gold - Q&amp;V'!$D$8:$D$250,CONCATENATE("20",RIGHT('Q&amp;V FY 2003-04 to Now'!I$7,2)),'Gold - Q&amp;V'!$E$8:$E$250,2))*1000</f>
        <v>159574.94859999997</v>
      </c>
      <c r="J44" s="732">
        <f>(SUMIFS('Gold - Q&amp;V'!$C$8:$C$250,'Gold - Q&amp;V'!$D$8:$D$250,LEFT('Q&amp;V FY 2003-04 to Now'!I$7,4),'Gold - Q&amp;V'!$E$8:$E$250,3)+
SUMIFS('Gold - Q&amp;V'!$C$8:$C$250,'Gold - Q&amp;V'!$D$8:$D$250,LEFT('Q&amp;V FY 2003-04 to Now'!I$7,4),'Gold - Q&amp;V'!$E$8:$E$250,4)+
SUMIFS('Gold - Q&amp;V'!$C$8:$C$250,'Gold - Q&amp;V'!$D$8:$D$250,CONCATENATE("20",RIGHT('Q&amp;V FY 2003-04 to Now'!I$7,2)),'Gold - Q&amp;V'!$E$8:$E$250,1)+
SUMIFS('Gold - Q&amp;V'!$C$8:$C$250,'Gold - Q&amp;V'!$D$8:$D$250,CONCATENATE("20",RIGHT('Q&amp;V FY 2003-04 to Now'!I$7,2)),'Gold - Q&amp;V'!$E$8:$E$250,2))*1000000</f>
        <v>4166106485.9999995</v>
      </c>
      <c r="K44" s="742">
        <f>(SUMIFS('Gold - Q&amp;V'!$B$8:$B$250,'Gold - Q&amp;V'!$D$8:$D$250,LEFT('Q&amp;V FY 2003-04 to Now'!K$7:L$7,4),'Gold - Q&amp;V'!$E$8:$E$250,3)+
SUMIFS('Gold - Q&amp;V'!$B$8:$B$250,'Gold - Q&amp;V'!$D$8:$D$250,LEFT('Q&amp;V FY 2003-04 to Now'!K$7:L$7,4),'Gold - Q&amp;V'!$E$8:$E$250,4)+
SUMIFS('Gold - Q&amp;V'!$B$8:$B$250,'Gold - Q&amp;V'!$D$8:$D$250,CONCATENATE("20",RIGHT('Q&amp;V FY 2003-04 to Now'!K$7,2)),'Gold - Q&amp;V'!$E$8:$E$250,1)+
SUMIFS('Gold - Q&amp;V'!$B$8:$B$250,'Gold - Q&amp;V'!$D$8:$D$250,CONCATENATE("20",RIGHT('Q&amp;V FY 2003-04 to Now'!K$7,2)),'Gold - Q&amp;V'!$E$8:$E$250,2))*1000</f>
        <v>141113.80408999999</v>
      </c>
      <c r="L44" s="732">
        <f>(SUMIFS('Gold - Q&amp;V'!$C$8:$C$250,'Gold - Q&amp;V'!$D$8:$D$250,LEFT('Q&amp;V FY 2003-04 to Now'!K$7,4),'Gold - Q&amp;V'!$E$8:$E$250,3)+
SUMIFS('Gold - Q&amp;V'!$C$8:$C$250,'Gold - Q&amp;V'!$D$8:$D$250,LEFT('Q&amp;V FY 2003-04 to Now'!K$7,4),'Gold - Q&amp;V'!$E$8:$E$250,4)+
SUMIFS('Gold - Q&amp;V'!$C$8:$C$250,'Gold - Q&amp;V'!$D$8:$D$250,CONCATENATE("20",RIGHT('Q&amp;V FY 2003-04 to Now'!K$7,2)),'Gold - Q&amp;V'!$E$8:$E$250,1)+
SUMIFS('Gold - Q&amp;V'!$C$8:$C$250,'Gold - Q&amp;V'!$D$8:$D$250,CONCATENATE("20",RIGHT('Q&amp;V FY 2003-04 to Now'!K$7,2)),'Gold - Q&amp;V'!$E$8:$E$250,2))*1000000</f>
        <v>4126598530.9999995</v>
      </c>
      <c r="M44" s="742">
        <f>(SUMIFS('Gold - Q&amp;V'!$B$8:$B$250,'Gold - Q&amp;V'!$D$8:$D$250,LEFT('Q&amp;V FY 2003-04 to Now'!M$7:N$7,4),'Gold - Q&amp;V'!$E$8:$E$250,3)+
SUMIFS('Gold - Q&amp;V'!$B$8:$B$250,'Gold - Q&amp;V'!$D$8:$D$250,LEFT('Q&amp;V FY 2003-04 to Now'!M$7:N$7,4),'Gold - Q&amp;V'!$E$8:$E$250,4)+
SUMIFS('Gold - Q&amp;V'!$B$8:$B$250,'Gold - Q&amp;V'!$D$8:$D$250,CONCATENATE("20",RIGHT('Q&amp;V FY 2003-04 to Now'!M$7,2)),'Gold - Q&amp;V'!$E$8:$E$250,1)+
SUMIFS('Gold - Q&amp;V'!$B$8:$B$250,'Gold - Q&amp;V'!$D$8:$D$250,CONCATENATE("20",RIGHT('Q&amp;V FY 2003-04 to Now'!M$7,2)),'Gold - Q&amp;V'!$E$8:$E$250,2))*1000</f>
        <v>136996.85978999999</v>
      </c>
      <c r="N44" s="732">
        <f>(SUMIFS('Gold - Q&amp;V'!$C$8:$C$250,'Gold - Q&amp;V'!$D$8:$D$250,LEFT('Q&amp;V FY 2003-04 to Now'!M$7,4),'Gold - Q&amp;V'!$E$8:$E$250,3)+
SUMIFS('Gold - Q&amp;V'!$C$8:$C$250,'Gold - Q&amp;V'!$D$8:$D$250,LEFT('Q&amp;V FY 2003-04 to Now'!M$7,4),'Gold - Q&amp;V'!$E$8:$E$250,4)+
SUMIFS('Gold - Q&amp;V'!$C$8:$C$250,'Gold - Q&amp;V'!$D$8:$D$250,CONCATENATE("20",RIGHT('Q&amp;V FY 2003-04 to Now'!M$7,2)),'Gold - Q&amp;V'!$E$8:$E$250,1)+
SUMIFS('Gold - Q&amp;V'!$C$8:$C$250,'Gold - Q&amp;V'!$D$8:$D$250,CONCATENATE("20",RIGHT('Q&amp;V FY 2003-04 to Now'!M$7,2)),'Gold - Q&amp;V'!$E$8:$E$250,2))*1000000</f>
        <v>5248104326.000001</v>
      </c>
      <c r="O44" s="742">
        <f>(SUMIFS('Gold - Q&amp;V'!$B$8:$B$250,'Gold - Q&amp;V'!$D$8:$D$250,LEFT('Q&amp;V FY 2003-04 to Now'!O$7:P$7,4),'Gold - Q&amp;V'!$E$8:$E$250,3)+
SUMIFS('Gold - Q&amp;V'!$B$8:$B$250,'Gold - Q&amp;V'!$D$8:$D$250,LEFT('Q&amp;V FY 2003-04 to Now'!O$7:P$7,4),'Gold - Q&amp;V'!$E$8:$E$250,4)+
SUMIFS('Gold - Q&amp;V'!$B$8:$B$250,'Gold - Q&amp;V'!$D$8:$D$250,CONCATENATE("20",RIGHT('Q&amp;V FY 2003-04 to Now'!O$7,2)),'Gold - Q&amp;V'!$E$8:$E$250,1)+
SUMIFS('Gold - Q&amp;V'!$B$8:$B$250,'Gold - Q&amp;V'!$D$8:$D$250,CONCATENATE("20",RIGHT('Q&amp;V FY 2003-04 to Now'!O$7,2)),'Gold - Q&amp;V'!$E$8:$E$250,2))*1000</f>
        <v>164039.14952000004</v>
      </c>
      <c r="P44" s="732">
        <f>(SUMIFS('Gold - Q&amp;V'!$C$8:$C$250,'Gold - Q&amp;V'!$D$8:$D$250,LEFT('Q&amp;V FY 2003-04 to Now'!O$7,4),'Gold - Q&amp;V'!$E$8:$E$250,3)+
SUMIFS('Gold - Q&amp;V'!$C$8:$C$250,'Gold - Q&amp;V'!$D$8:$D$250,LEFT('Q&amp;V FY 2003-04 to Now'!O$7,4),'Gold - Q&amp;V'!$E$8:$E$250,4)+
SUMIFS('Gold - Q&amp;V'!$C$8:$C$250,'Gold - Q&amp;V'!$D$8:$D$250,CONCATENATE("20",RIGHT('Q&amp;V FY 2003-04 to Now'!O$7,2)),'Gold - Q&amp;V'!$E$8:$E$250,1)+
SUMIFS('Gold - Q&amp;V'!$C$8:$C$250,'Gold - Q&amp;V'!$D$8:$D$250,CONCATENATE("20",RIGHT('Q&amp;V FY 2003-04 to Now'!O$7,2)),'Gold - Q&amp;V'!$E$8:$E$250,2))*1000000</f>
        <v>6558256060</v>
      </c>
      <c r="Q44" s="742">
        <f>(SUMIFS('Gold - Q&amp;V'!$B$8:$B$250,'Gold - Q&amp;V'!$D$8:$D$250,LEFT('Q&amp;V FY 2003-04 to Now'!Q$7:R$7,4),'Gold - Q&amp;V'!$E$8:$E$250,3)+
SUMIFS('Gold - Q&amp;V'!$B$8:$B$250,'Gold - Q&amp;V'!$D$8:$D$250,LEFT('Q&amp;V FY 2003-04 to Now'!Q$7:R$7,4),'Gold - Q&amp;V'!$E$8:$E$250,4)+
SUMIFS('Gold - Q&amp;V'!$B$8:$B$250,'Gold - Q&amp;V'!$D$8:$D$250,CONCATENATE("20",RIGHT('Q&amp;V FY 2003-04 to Now'!Q$7,2)),'Gold - Q&amp;V'!$E$8:$E$250,1)+
SUMIFS('Gold - Q&amp;V'!$B$8:$B$250,'Gold - Q&amp;V'!$D$8:$D$250,CONCATENATE("20",RIGHT('Q&amp;V FY 2003-04 to Now'!Q$7,2)),'Gold - Q&amp;V'!$E$8:$E$250,2))*1000</f>
        <v>183750.74137999999</v>
      </c>
      <c r="R44" s="732">
        <f>(SUMIFS('Gold - Q&amp;V'!$C$8:$C$250,'Gold - Q&amp;V'!$D$8:$D$250,LEFT('Q&amp;V FY 2003-04 to Now'!Q$7,4),'Gold - Q&amp;V'!$E$8:$E$250,3)+
SUMIFS('Gold - Q&amp;V'!$C$8:$C$250,'Gold - Q&amp;V'!$D$8:$D$250,LEFT('Q&amp;V FY 2003-04 to Now'!Q$7,4),'Gold - Q&amp;V'!$E$8:$E$250,4)+
SUMIFS('Gold - Q&amp;V'!$C$8:$C$250,'Gold - Q&amp;V'!$D$8:$D$250,CONCATENATE("20",RIGHT('Q&amp;V FY 2003-04 to Now'!Q$7,2)),'Gold - Q&amp;V'!$E$8:$E$250,1)+
SUMIFS('Gold - Q&amp;V'!$C$8:$C$250,'Gold - Q&amp;V'!$D$8:$D$250,CONCATENATE("20",RIGHT('Q&amp;V FY 2003-04 to Now'!Q$7,2)),'Gold - Q&amp;V'!$E$8:$E$250,2))*1000000</f>
        <v>8184187456</v>
      </c>
      <c r="S44" s="742">
        <f>(SUMIFS('Gold - Q&amp;V'!$B$8:$B$250,'Gold - Q&amp;V'!$D$8:$D$250,LEFT('Q&amp;V FY 2003-04 to Now'!S$7:T$7,4),'Gold - Q&amp;V'!$E$8:$E$250,3)+
SUMIFS('Gold - Q&amp;V'!$B$8:$B$250,'Gold - Q&amp;V'!$D$8:$D$250,LEFT('Q&amp;V FY 2003-04 to Now'!S$7:T$7,4),'Gold - Q&amp;V'!$E$8:$E$250,4)+
SUMIFS('Gold - Q&amp;V'!$B$8:$B$250,'Gold - Q&amp;V'!$D$8:$D$250,CONCATENATE("20",RIGHT('Q&amp;V FY 2003-04 to Now'!S$7,2)),'Gold - Q&amp;V'!$E$8:$E$250,1)+
SUMIFS('Gold - Q&amp;V'!$B$8:$B$250,'Gold - Q&amp;V'!$D$8:$D$250,CONCATENATE("20",RIGHT('Q&amp;V FY 2003-04 to Now'!S$7,2)),'Gold - Q&amp;V'!$E$8:$E$250,2))*1000</f>
        <v>180771.23628000001</v>
      </c>
      <c r="T44" s="732">
        <f>(SUMIFS('Gold - Q&amp;V'!$C$8:$C$250,'Gold - Q&amp;V'!$D$8:$D$250,LEFT('Q&amp;V FY 2003-04 to Now'!S$7,4),'Gold - Q&amp;V'!$E$8:$E$250,3)+
SUMIFS('Gold - Q&amp;V'!$C$8:$C$250,'Gold - Q&amp;V'!$D$8:$D$250,LEFT('Q&amp;V FY 2003-04 to Now'!S$7,4),'Gold - Q&amp;V'!$E$8:$E$250,4)+
SUMIFS('Gold - Q&amp;V'!$C$8:$C$250,'Gold - Q&amp;V'!$D$8:$D$250,CONCATENATE("20",RIGHT('Q&amp;V FY 2003-04 to Now'!S$7,2)),'Gold - Q&amp;V'!$E$8:$E$250,1)+
SUMIFS('Gold - Q&amp;V'!$C$8:$C$250,'Gold - Q&amp;V'!$D$8:$D$250,CONCATENATE("20",RIGHT('Q&amp;V FY 2003-04 to Now'!S$7,2)),'Gold - Q&amp;V'!$E$8:$E$250,2))*1000000</f>
        <v>9421483327.0000019</v>
      </c>
      <c r="U44" s="742">
        <f>(SUMIFS('Gold - Q&amp;V'!$B$8:$B$250,'Gold - Q&amp;V'!$D$8:$D$250,LEFT('Q&amp;V FY 2003-04 to Now'!U$7:V$7,4),'Gold - Q&amp;V'!$E$8:$E$250,3)+
SUMIFS('Gold - Q&amp;V'!$B$8:$B$250,'Gold - Q&amp;V'!$D$8:$D$250,LEFT('Q&amp;V FY 2003-04 to Now'!U$7:V$7,4),'Gold - Q&amp;V'!$E$8:$E$250,4)+
SUMIFS('Gold - Q&amp;V'!$B$8:$B$250,'Gold - Q&amp;V'!$D$8:$D$250,CONCATENATE("20",RIGHT('Q&amp;V FY 2003-04 to Now'!U$7,2)),'Gold - Q&amp;V'!$E$8:$E$250,1)+
SUMIFS('Gold - Q&amp;V'!$B$8:$B$250,'Gold - Q&amp;V'!$D$8:$D$250,CONCATENATE("20",RIGHT('Q&amp;V FY 2003-04 to Now'!U$7,2)),'Gold - Q&amp;V'!$E$8:$E$250,2))*1000</f>
        <v>179851.83921603783</v>
      </c>
      <c r="V44" s="732">
        <f>(SUMIFS('Gold - Q&amp;V'!$C$8:$C$250,'Gold - Q&amp;V'!$D$8:$D$250,LEFT('Q&amp;V FY 2003-04 to Now'!U$7,4),'Gold - Q&amp;V'!$E$8:$E$250,3)+
SUMIFS('Gold - Q&amp;V'!$C$8:$C$250,'Gold - Q&amp;V'!$D$8:$D$250,LEFT('Q&amp;V FY 2003-04 to Now'!U$7,4),'Gold - Q&amp;V'!$E$8:$E$250,4)+
SUMIFS('Gold - Q&amp;V'!$C$8:$C$250,'Gold - Q&amp;V'!$D$8:$D$250,CONCATENATE("20",RIGHT('Q&amp;V FY 2003-04 to Now'!U$7,2)),'Gold - Q&amp;V'!$E$8:$E$250,1)+
SUMIFS('Gold - Q&amp;V'!$C$8:$C$250,'Gold - Q&amp;V'!$D$8:$D$250,CONCATENATE("20",RIGHT('Q&amp;V FY 2003-04 to Now'!U$7,2)),'Gold - Q&amp;V'!$E$8:$E$250,2))*1000000</f>
        <v>9022657793.9999981</v>
      </c>
      <c r="W44" s="742">
        <f>(SUMIFS('Gold - Q&amp;V'!$B$8:$B$250,'Gold - Q&amp;V'!$D$8:$D$250,LEFT('Q&amp;V FY 2003-04 to Now'!W$7:X$7,4),'Gold - Q&amp;V'!$E$8:$E$250,3)+
SUMIFS('Gold - Q&amp;V'!$B$8:$B$250,'Gold - Q&amp;V'!$D$8:$D$250,LEFT('Q&amp;V FY 2003-04 to Now'!W$7:X$7,4),'Gold - Q&amp;V'!$E$8:$E$250,4)+
SUMIFS('Gold - Q&amp;V'!$B$8:$B$250,'Gold - Q&amp;V'!$D$8:$D$250,CONCATENATE("20",RIGHT('Q&amp;V FY 2003-04 to Now'!W$7,2)),'Gold - Q&amp;V'!$E$8:$E$250,1)+
SUMIFS('Gold - Q&amp;V'!$B$8:$B$250,'Gold - Q&amp;V'!$D$8:$D$250,CONCATENATE("20",RIGHT('Q&amp;V FY 2003-04 to Now'!W$7,2)),'Gold - Q&amp;V'!$E$8:$E$250,2))*1000</f>
        <v>196023.16616652516</v>
      </c>
      <c r="X44" s="732">
        <f>(SUMIFS('Gold - Q&amp;V'!$C$8:$C$250,'Gold - Q&amp;V'!$D$8:$D$250,LEFT('Q&amp;V FY 2003-04 to Now'!W$7,4),'Gold - Q&amp;V'!$E$8:$E$250,3)+
SUMIFS('Gold - Q&amp;V'!$C$8:$C$250,'Gold - Q&amp;V'!$D$8:$D$250,LEFT('Q&amp;V FY 2003-04 to Now'!W$7,4),'Gold - Q&amp;V'!$E$8:$E$250,4)+
SUMIFS('Gold - Q&amp;V'!$C$8:$C$250,'Gold - Q&amp;V'!$D$8:$D$250,CONCATENATE("20",RIGHT('Q&amp;V FY 2003-04 to Now'!W$7,2)),'Gold - Q&amp;V'!$E$8:$E$250,1)+
SUMIFS('Gold - Q&amp;V'!$C$8:$C$250,'Gold - Q&amp;V'!$D$8:$D$250,CONCATENATE("20",RIGHT('Q&amp;V FY 2003-04 to Now'!W$7,2)),'Gold - Q&amp;V'!$E$8:$E$250,2))*1000000</f>
        <v>8888740518.9999981</v>
      </c>
      <c r="Y44" s="742">
        <f>(SUMIFS('Gold - Q&amp;V'!$B$8:$B$250,'Gold - Q&amp;V'!$D$8:$D$250,LEFT('Q&amp;V FY 2003-04 to Now'!Y$7:Z$7,4),'Gold - Q&amp;V'!$E$8:$E$250,3)+
SUMIFS('Gold - Q&amp;V'!$B$8:$B$250,'Gold - Q&amp;V'!$D$8:$D$250,LEFT('Q&amp;V FY 2003-04 to Now'!Y$7:Z$7,4),'Gold - Q&amp;V'!$E$8:$E$250,4)+
SUMIFS('Gold - Q&amp;V'!$B$8:$B$250,'Gold - Q&amp;V'!$D$8:$D$250,CONCATENATE("20",RIGHT('Q&amp;V FY 2003-04 to Now'!Y$7,2)),'Gold - Q&amp;V'!$E$8:$E$250,1)+
SUMIFS('Gold - Q&amp;V'!$B$8:$B$250,'Gold - Q&amp;V'!$D$8:$D$250,CONCATENATE("20",RIGHT('Q&amp;V FY 2003-04 to Now'!Y$7,2)),'Gold - Q&amp;V'!$E$8:$E$250,2))*1000</f>
        <v>193095.8871125502</v>
      </c>
      <c r="Z44" s="732">
        <f>(SUMIFS('Gold - Q&amp;V'!$C$8:$C$250,'Gold - Q&amp;V'!$D$8:$D$250,LEFT('Q&amp;V FY 2003-04 to Now'!Y$7,4),'Gold - Q&amp;V'!$E$8:$E$250,3)+
SUMIFS('Gold - Q&amp;V'!$C$8:$C$250,'Gold - Q&amp;V'!$D$8:$D$250,LEFT('Q&amp;V FY 2003-04 to Now'!Y$7,4),'Gold - Q&amp;V'!$E$8:$E$250,4)+
SUMIFS('Gold - Q&amp;V'!$C$8:$C$250,'Gold - Q&amp;V'!$D$8:$D$250,CONCATENATE("20",RIGHT('Q&amp;V FY 2003-04 to Now'!Y$7,2)),'Gold - Q&amp;V'!$E$8:$E$250,1)+
SUMIFS('Gold - Q&amp;V'!$C$8:$C$250,'Gold - Q&amp;V'!$D$8:$D$250,CONCATENATE("20",RIGHT('Q&amp;V FY 2003-04 to Now'!Y$7,2)),'Gold - Q&amp;V'!$E$8:$E$250,2))*1000000</f>
        <v>9104147303.9999981</v>
      </c>
      <c r="AA44" s="742">
        <f>(SUMIFS('Gold - Q&amp;V'!$B$8:$B$250,'Gold - Q&amp;V'!$D$8:$D$250,LEFT('Q&amp;V FY 2003-04 to Now'!AA$7:AB$7,4),'Gold - Q&amp;V'!$E$8:$E$250,3)+
SUMIFS('Gold - Q&amp;V'!$B$8:$B$250,'Gold - Q&amp;V'!$D$8:$D$250,LEFT('Q&amp;V FY 2003-04 to Now'!AA$7:AB$7,4),'Gold - Q&amp;V'!$E$8:$E$250,4)+
SUMIFS('Gold - Q&amp;V'!$B$8:$B$250,'Gold - Q&amp;V'!$D$8:$D$250,CONCATENATE("20",RIGHT('Q&amp;V FY 2003-04 to Now'!AA$7,2)),'Gold - Q&amp;V'!$E$8:$E$250,1)+
SUMIFS('Gold - Q&amp;V'!$B$8:$B$250,'Gold - Q&amp;V'!$D$8:$D$250,CONCATENATE("20",RIGHT('Q&amp;V FY 2003-04 to Now'!AA$7,2)),'Gold - Q&amp;V'!$E$8:$E$250,2))*1000</f>
        <v>195970.45948998234</v>
      </c>
      <c r="AB44" s="732">
        <f>(SUMIFS('Gold - Q&amp;V'!$C$8:$C$250,'Gold - Q&amp;V'!$D$8:$D$250,LEFT('Q&amp;V FY 2003-04 to Now'!AA$7,4),'Gold - Q&amp;V'!$E$8:$E$250,3)+
SUMIFS('Gold - Q&amp;V'!$C$8:$C$250,'Gold - Q&amp;V'!$D$8:$D$250,LEFT('Q&amp;V FY 2003-04 to Now'!AA$7,4),'Gold - Q&amp;V'!$E$8:$E$250,4)+
SUMIFS('Gold - Q&amp;V'!$C$8:$C$250,'Gold - Q&amp;V'!$D$8:$D$250,CONCATENATE("20",RIGHT('Q&amp;V FY 2003-04 to Now'!AA$7,2)),'Gold - Q&amp;V'!$E$8:$E$250,1)+
SUMIFS('Gold - Q&amp;V'!$C$8:$C$250,'Gold - Q&amp;V'!$D$8:$D$250,CONCATENATE("20",RIGHT('Q&amp;V FY 2003-04 to Now'!AA$7,2)),'Gold - Q&amp;V'!$E$8:$E$250,2))*1000000</f>
        <v>10104488151.999998</v>
      </c>
      <c r="AC44" s="742">
        <f>(SUMIFS('Gold - Q&amp;V'!$B$8:$B$250,'Gold - Q&amp;V'!$D$8:$D$250,LEFT('Q&amp;V FY 2003-04 to Now'!AC$7:AD$7,4),'Gold - Q&amp;V'!$E$8:$E$250,3)+
SUMIFS('Gold - Q&amp;V'!$B$8:$B$250,'Gold - Q&amp;V'!$D$8:$D$250,LEFT('Q&amp;V FY 2003-04 to Now'!AC$7:AD$7,4),'Gold - Q&amp;V'!$E$8:$E$250,4)+
SUMIFS('Gold - Q&amp;V'!$B$8:$B$250,'Gold - Q&amp;V'!$D$8:$D$250,CONCATENATE("20",RIGHT('Q&amp;V FY 2003-04 to Now'!AC$7,2)),'Gold - Q&amp;V'!$E$8:$E$250,1)+
SUMIFS('Gold - Q&amp;V'!$B$8:$B$250,'Gold - Q&amp;V'!$D$8:$D$250,CONCATENATE("20",RIGHT('Q&amp;V FY 2003-04 to Now'!AC$7,2)),'Gold - Q&amp;V'!$E$8:$E$250,2))*1000</f>
        <v>203025.98924310313</v>
      </c>
      <c r="AD44" s="732">
        <f>(SUMIFS('Gold - Q&amp;V'!$C$8:$C$250,'Gold - Q&amp;V'!$D$8:$D$250,LEFT('Q&amp;V FY 2003-04 to Now'!AC$7,4),'Gold - Q&amp;V'!$E$8:$E$250,3)+
SUMIFS('Gold - Q&amp;V'!$C$8:$C$250,'Gold - Q&amp;V'!$D$8:$D$250,LEFT('Q&amp;V FY 2003-04 to Now'!AC$7,4),'Gold - Q&amp;V'!$E$8:$E$250,4)+
SUMIFS('Gold - Q&amp;V'!$C$8:$C$250,'Gold - Q&amp;V'!$D$8:$D$250,CONCATENATE("20",RIGHT('Q&amp;V FY 2003-04 to Now'!AC$7,2)),'Gold - Q&amp;V'!$E$8:$E$250,1)+
SUMIFS('Gold - Q&amp;V'!$C$8:$C$250,'Gold - Q&amp;V'!$D$8:$D$250,CONCATENATE("20",RIGHT('Q&amp;V FY 2003-04 to Now'!AC$7,2)),'Gold - Q&amp;V'!$E$8:$E$250,2))*1000000</f>
        <v>10860662037.999998</v>
      </c>
      <c r="AE44" s="733">
        <f>(SUMIFS('Gold - Q&amp;V'!$B$8:$B$250,'Gold - Q&amp;V'!$D$8:$D$250,LEFT('Q&amp;V FY 2003-04 to Now'!AE$7:AF$7,4),'Gold - Q&amp;V'!$E$8:$E$250,3)+
SUMIFS('Gold - Q&amp;V'!$B$8:$B$250,'Gold - Q&amp;V'!$D$8:$D$250,LEFT('Q&amp;V FY 2003-04 to Now'!AE$7:AF$7,4),'Gold - Q&amp;V'!$E$8:$E$250,4)+
SUMIFS('Gold - Q&amp;V'!$B$8:$B$250,'Gold - Q&amp;V'!$D$8:$D$250,CONCATENATE("20",RIGHT('Q&amp;V FY 2003-04 to Now'!AE$7,2)),'Gold - Q&amp;V'!$E$8:$E$250,1)+
SUMIFS('Gold - Q&amp;V'!$B$8:$B$250,'Gold - Q&amp;V'!$D$8:$D$250,CONCATENATE("20",RIGHT('Q&amp;V FY 2003-04 to Now'!AE$7,2)),'Gold - Q&amp;V'!$E$8:$E$250,2))*1000</f>
        <v>212221.21444165186</v>
      </c>
      <c r="AF44" s="732">
        <f>(SUMIFS('Gold - Q&amp;V'!$C$8:$C$250,'Gold - Q&amp;V'!$D$8:$D$250,LEFT('Q&amp;V FY 2003-04 to Now'!AE$7,4),'Gold - Q&amp;V'!$E$8:$E$250,3)+
SUMIFS('Gold - Q&amp;V'!$C$8:$C$250,'Gold - Q&amp;V'!$D$8:$D$250,LEFT('Q&amp;V FY 2003-04 to Now'!AE$7,4),'Gold - Q&amp;V'!$E$8:$E$250,4)+
SUMIFS('Gold - Q&amp;V'!$C$8:$C$250,'Gold - Q&amp;V'!$D$8:$D$250,CONCATENATE("20",RIGHT('Q&amp;V FY 2003-04 to Now'!AE$7,2)),'Gold - Q&amp;V'!$E$8:$E$250,1)+
SUMIFS('Gold - Q&amp;V'!$C$8:$C$250,'Gold - Q&amp;V'!$D$8:$D$250,CONCATENATE("20",RIGHT('Q&amp;V FY 2003-04 to Now'!AE$7,2)),'Gold - Q&amp;V'!$E$8:$E$250,2))*1000000</f>
        <v>11419455090</v>
      </c>
      <c r="AG44" s="744">
        <f>(SUMIFS('Gold - Q&amp;V'!$B$8:$B$250,'Gold - Q&amp;V'!$D$8:$D$250,LEFT('Q&amp;V FY 2003-04 to Now'!AG$7:AH$7,4),'Gold - Q&amp;V'!$E$8:$E$250,3)+
SUMIFS('Gold - Q&amp;V'!$B$8:$B$250,'Gold - Q&amp;V'!$D$8:$D$250,LEFT('Q&amp;V FY 2003-04 to Now'!AG$7:AH$7,4),'Gold - Q&amp;V'!$E$8:$E$250,4)+
SUMIFS('Gold - Q&amp;V'!$B$8:$B$250,'Gold - Q&amp;V'!$D$8:$D$250,CONCATENATE("20",RIGHT('Q&amp;V FY 2003-04 to Now'!AG$7,2)),'Gold - Q&amp;V'!$E$8:$E$250,1)+
SUMIFS('Gold - Q&amp;V'!$B$8:$B$250,'Gold - Q&amp;V'!$D$8:$D$250,CONCATENATE("20",RIGHT('Q&amp;V FY 2003-04 to Now'!AG$7,2)),'Gold - Q&amp;V'!$E$8:$E$250,2))*1000</f>
        <v>210561.15389263557</v>
      </c>
      <c r="AH44" s="742">
        <f>(SUMIFS('Gold - Q&amp;V'!$C$8:$C$250,'Gold - Q&amp;V'!$D$8:$D$250,LEFT('Q&amp;V FY 2003-04 to Now'!AG$7,4),'Gold - Q&amp;V'!$E$8:$E$250,3)+
SUMIFS('Gold - Q&amp;V'!$C$8:$C$250,'Gold - Q&amp;V'!$D$8:$D$250,LEFT('Q&amp;V FY 2003-04 to Now'!AG$7,4),'Gold - Q&amp;V'!$E$8:$E$250,4)+
SUMIFS('Gold - Q&amp;V'!$C$8:$C$250,'Gold - Q&amp;V'!$D$8:$D$250,CONCATENATE("20",RIGHT('Q&amp;V FY 2003-04 to Now'!AG$7,2)),'Gold - Q&amp;V'!$E$8:$E$250,1)+
SUMIFS('Gold - Q&amp;V'!$C$8:$C$250,'Gold - Q&amp;V'!$D$8:$D$250,CONCATENATE("20",RIGHT('Q&amp;V FY 2003-04 to Now'!AG$7,2)),'Gold - Q&amp;V'!$E$8:$E$250,2))*1000000</f>
        <v>11959753892</v>
      </c>
      <c r="AI44" s="733">
        <f>(SUMIFS('Gold - Q&amp;V'!$B$8:$B$250,'Gold - Q&amp;V'!$D$8:$D$250,LEFT('Q&amp;V FY 2003-04 to Now'!AI$7:AJ$7,4),'Gold - Q&amp;V'!$E$8:$E$250,3)+
SUMIFS('Gold - Q&amp;V'!$B$8:$B$250,'Gold - Q&amp;V'!$D$8:$D$250,LEFT('Q&amp;V FY 2003-04 to Now'!AI$7:AJ$7,4),'Gold - Q&amp;V'!$E$8:$E$250,4)+
SUMIFS('Gold - Q&amp;V'!$B$8:$B$250,'Gold - Q&amp;V'!$D$8:$D$250,CONCATENATE("20",RIGHT('Q&amp;V FY 2003-04 to Now'!AI$7,2)),'Gold - Q&amp;V'!$E$8:$E$250,1)+
SUMIFS('Gold - Q&amp;V'!$B$8:$B$250,'Gold - Q&amp;V'!$D$8:$D$250,CONCATENATE("20",RIGHT('Q&amp;V FY 2003-04 to Now'!AI$7,2)),'Gold - Q&amp;V'!$E$8:$E$250,2))*1000</f>
        <v>212253.60939701556</v>
      </c>
      <c r="AJ44" s="742">
        <f>(SUMIFS('Gold - Q&amp;V'!$C$8:$C$250,'Gold - Q&amp;V'!$D$8:$D$250,LEFT('Q&amp;V FY 2003-04 to Now'!AI$7,4),'Gold - Q&amp;V'!$E$8:$E$250,3)+
SUMIFS('Gold - Q&amp;V'!$C$8:$C$250,'Gold - Q&amp;V'!$D$8:$D$250,LEFT('Q&amp;V FY 2003-04 to Now'!AI$7,4),'Gold - Q&amp;V'!$E$8:$E$250,4)+
SUMIFS('Gold - Q&amp;V'!$C$8:$C$250,'Gold - Q&amp;V'!$D$8:$D$250,CONCATENATE("20",RIGHT('Q&amp;V FY 2003-04 to Now'!AI$7,2)),'Gold - Q&amp;V'!$E$8:$E$250,1)+
SUMIFS('Gold - Q&amp;V'!$C$8:$C$250,'Gold - Q&amp;V'!$D$8:$D$250,CONCATENATE("20",RIGHT('Q&amp;V FY 2003-04 to Now'!AI$7,2)),'Gold - Q&amp;V'!$E$8:$E$250,2))*1000000</f>
        <v>15876108169</v>
      </c>
      <c r="AK44" s="742">
        <f>(SUMIFS('Gold - Q&amp;V'!$B$8:$B$250,'Gold - Q&amp;V'!$D$8:$D$250,LEFT('Q&amp;V FY 2003-04 to Now'!AK$7:AL$7,4),'Gold - Q&amp;V'!$E$8:$E$250,3)+
SUMIFS('Gold - Q&amp;V'!$B$8:$B$250,'Gold - Q&amp;V'!$D$8:$D$250,LEFT('Q&amp;V FY 2003-04 to Now'!AK$7:AL$7,4),'Gold - Q&amp;V'!$E$8:$E$250,4)+
SUMIFS('Gold - Q&amp;V'!$B$8:$B$250,'Gold - Q&amp;V'!$D$8:$D$250,CONCATENATE("20",RIGHT('Q&amp;V FY 2003-04 to Now'!AK$7,2)),'Gold - Q&amp;V'!$E$8:$E$250,1)+
SUMIFS('Gold - Q&amp;V'!$B$8:$B$250,'Gold - Q&amp;V'!$D$8:$D$250,CONCATENATE("20",RIGHT('Q&amp;V FY 2003-04 to Now'!AK$7,2)),'Gold - Q&amp;V'!$E$8:$E$250,2))*1000</f>
        <v>207828.88524025789</v>
      </c>
      <c r="AL44" s="742">
        <f>(SUMIFS('Gold - Q&amp;V'!$C$8:$C$250,'Gold - Q&amp;V'!$D$8:$D$250,LEFT('Q&amp;V FY 2003-04 to Now'!AK$7,4),'Gold - Q&amp;V'!$E$8:$E$250,3)+
SUMIFS('Gold - Q&amp;V'!$C$8:$C$250,'Gold - Q&amp;V'!$D$8:$D$250,LEFT('Q&amp;V FY 2003-04 to Now'!AK$7,4),'Gold - Q&amp;V'!$E$8:$E$250,4)+
SUMIFS('Gold - Q&amp;V'!$C$8:$C$250,'Gold - Q&amp;V'!$D$8:$D$250,CONCATENATE("20",RIGHT('Q&amp;V FY 2003-04 to Now'!AK$7,2)),'Gold - Q&amp;V'!$E$8:$E$250,1)+
SUMIFS('Gold - Q&amp;V'!$C$8:$C$250,'Gold - Q&amp;V'!$D$8:$D$250,CONCATENATE("20",RIGHT('Q&amp;V FY 2003-04 to Now'!AK$7,2)),'Gold - Q&amp;V'!$E$8:$E$250,2))*1000000</f>
        <v>16578656742</v>
      </c>
      <c r="AM44" s="742">
        <f>(SUMIFS('Gold - Q&amp;V'!$B$8:$B$250,'Gold - Q&amp;V'!$D$8:$D$250,LEFT('Q&amp;V FY 2003-04 to Now'!AM$7:AN$7,4),'Gold - Q&amp;V'!$E$8:$E$250,3)+
SUMIFS('Gold - Q&amp;V'!$B$8:$B$250,'Gold - Q&amp;V'!$D$8:$D$250,LEFT('Q&amp;V FY 2003-04 to Now'!AM$7:AN$7,4),'Gold - Q&amp;V'!$E$8:$E$250,4)+
SUMIFS('Gold - Q&amp;V'!$B$8:$B$250,'Gold - Q&amp;V'!$D$8:$D$250,CONCATENATE("20",RIGHT('Q&amp;V FY 2003-04 to Now'!AM$7,2)),'Gold - Q&amp;V'!$E$8:$E$250,1)+
SUMIFS('Gold - Q&amp;V'!$B$8:$B$250,'Gold - Q&amp;V'!$D$8:$D$250,CONCATENATE("20",RIGHT('Q&amp;V FY 2003-04 to Now'!AM$7,2)),'Gold - Q&amp;V'!$E$8:$E$250,2))*1000</f>
        <v>214363.02545226124</v>
      </c>
      <c r="AN44" s="742">
        <f>(SUMIFS('Gold - Q&amp;V'!$C$8:$C$250,'Gold - Q&amp;V'!$D$8:$D$250,LEFT('Q&amp;V FY 2003-04 to Now'!AM$7,4),'Gold - Q&amp;V'!$E$8:$E$250,3)+
SUMIFS('Gold - Q&amp;V'!$C$8:$C$250,'Gold - Q&amp;V'!$D$8:$D$250,LEFT('Q&amp;V FY 2003-04 to Now'!AM$7,4),'Gold - Q&amp;V'!$E$8:$E$250,4)+
SUMIFS('Gold - Q&amp;V'!$C$8:$C$250,'Gold - Q&amp;V'!$D$8:$D$250,CONCATENATE("20",RIGHT('Q&amp;V FY 2003-04 to Now'!AM$7,2)),'Gold - Q&amp;V'!$E$8:$E$250,1)+
SUMIFS('Gold - Q&amp;V'!$C$8:$C$250,'Gold - Q&amp;V'!$D$8:$D$250,CONCATENATE("20",RIGHT('Q&amp;V FY 2003-04 to Now'!AM$7,2)),'Gold - Q&amp;V'!$E$8:$E$250,2))*1000000</f>
        <v>17416226274</v>
      </c>
      <c r="AO44" s="742">
        <f>(SUMIFS('Gold - Q&amp;V'!$B$8:$B$250,'Gold - Q&amp;V'!$D$8:$D$250,LEFT('Q&amp;V FY 2003-04 to Now'!AO$7:AP$7,4),'Gold - Q&amp;V'!$E$8:$E$250,3)+
SUMIFS('Gold - Q&amp;V'!$B$8:$B$250,'Gold - Q&amp;V'!$D$8:$D$250,LEFT('Q&amp;V FY 2003-04 to Now'!AO$7:AP$7,4),'Gold - Q&amp;V'!$E$8:$E$250,4)+
SUMIFS('Gold - Q&amp;V'!$B$8:$B$250,'Gold - Q&amp;V'!$D$8:$D$250,CONCATENATE("20",RIGHT('Q&amp;V FY 2003-04 to Now'!AO$7,2)),'Gold - Q&amp;V'!$E$8:$E$250,1)+
SUMIFS('Gold - Q&amp;V'!$B$8:$B$250,'Gold - Q&amp;V'!$D$8:$D$250,CONCATENATE("20",RIGHT('Q&amp;V FY 2003-04 to Now'!AO$7,2)),'Gold - Q&amp;V'!$E$8:$E$250,2))*1000</f>
        <v>212893.36925316986</v>
      </c>
      <c r="AP44" s="742">
        <f>(SUMIFS('Gold - Q&amp;V'!$C$8:$C$250,'Gold - Q&amp;V'!$D$8:$D$250,LEFT('Q&amp;V FY 2003-04 to Now'!AO$7,4),'Gold - Q&amp;V'!$E$8:$E$250,3)+
SUMIFS('Gold - Q&amp;V'!$C$8:$C$250,'Gold - Q&amp;V'!$D$8:$D$250,LEFT('Q&amp;V FY 2003-04 to Now'!AO$7,4),'Gold - Q&amp;V'!$E$8:$E$250,4)+
SUMIFS('Gold - Q&amp;V'!$C$8:$C$250,'Gold - Q&amp;V'!$D$8:$D$250,CONCATENATE("20",RIGHT('Q&amp;V FY 2003-04 to Now'!AO$7,2)),'Gold - Q&amp;V'!$E$8:$E$250,1)+
SUMIFS('Gold - Q&amp;V'!$C$8:$C$250,'Gold - Q&amp;V'!$D$8:$D$250,CONCATENATE("20",RIGHT('Q&amp;V FY 2003-04 to Now'!AO$7,2)),'Gold - Q&amp;V'!$E$8:$E$250,2))*1000000</f>
        <v>18632079187</v>
      </c>
      <c r="AQ44" s="934">
        <f>SUMIF($C$9:AP$9,1,$C44:AP44)</f>
        <v>3710992.6626351904</v>
      </c>
      <c r="AR44" s="724">
        <f>IF(COUNTIF($C44:AP44, "nfp")=0, SUMIF($C$9:AP$9,0,$C44:AP44), "nfp")</f>
        <v>187374717887</v>
      </c>
      <c r="AT44" s="317"/>
      <c r="AU44" s="317"/>
      <c r="AV44" s="381"/>
      <c r="AW44" s="381"/>
    </row>
    <row r="45" spans="1:50">
      <c r="A45" s="257"/>
      <c r="B45" s="248"/>
      <c r="C45" s="742"/>
      <c r="D45" s="732"/>
      <c r="E45" s="742"/>
      <c r="F45" s="732"/>
      <c r="G45" s="742"/>
      <c r="H45" s="732"/>
      <c r="I45" s="742"/>
      <c r="J45" s="732"/>
      <c r="K45" s="742"/>
      <c r="L45" s="732"/>
      <c r="M45" s="742"/>
      <c r="N45" s="732"/>
      <c r="O45" s="742"/>
      <c r="P45" s="732"/>
      <c r="Q45" s="742"/>
      <c r="R45" s="732"/>
      <c r="S45" s="742"/>
      <c r="T45" s="732"/>
      <c r="U45" s="742"/>
      <c r="V45" s="732"/>
      <c r="W45" s="742"/>
      <c r="X45" s="732"/>
      <c r="Y45" s="742"/>
      <c r="Z45" s="732"/>
      <c r="AA45" s="742"/>
      <c r="AB45" s="732"/>
      <c r="AC45" s="732"/>
      <c r="AD45" s="732"/>
      <c r="AE45" s="733"/>
      <c r="AF45" s="732"/>
      <c r="AG45" s="744"/>
      <c r="AH45" s="742"/>
      <c r="AI45" s="733"/>
      <c r="AJ45" s="742"/>
      <c r="AK45" s="742"/>
      <c r="AL45" s="742"/>
      <c r="AM45" s="742"/>
      <c r="AN45" s="742"/>
      <c r="AO45" s="742"/>
      <c r="AP45" s="742"/>
      <c r="AQ45" s="934"/>
      <c r="AR45" s="724"/>
      <c r="AT45" s="317"/>
      <c r="AU45" s="317"/>
      <c r="AV45" s="381"/>
      <c r="AW45" s="381"/>
    </row>
    <row r="46" spans="1:50">
      <c r="A46" s="261" t="s">
        <v>164</v>
      </c>
      <c r="B46" s="127" t="s">
        <v>67</v>
      </c>
      <c r="C46" s="183">
        <v>1546182.4760000003</v>
      </c>
      <c r="D46" s="183">
        <v>24138386.410000004</v>
      </c>
      <c r="E46" s="183">
        <v>1407202.7169999999</v>
      </c>
      <c r="F46" s="183">
        <v>23725373.02</v>
      </c>
      <c r="G46" s="183">
        <v>1598511.3479999998</v>
      </c>
      <c r="H46" s="183">
        <v>27327397.959999997</v>
      </c>
      <c r="I46" s="183">
        <v>1552490.2009999999</v>
      </c>
      <c r="J46" s="183">
        <v>26999655.759999998</v>
      </c>
      <c r="K46" s="183">
        <v>1011975.09</v>
      </c>
      <c r="L46" s="183">
        <v>16043327.220000003</v>
      </c>
      <c r="M46" s="183">
        <v>846712.01899999997</v>
      </c>
      <c r="N46" s="183">
        <v>16915694.149999999</v>
      </c>
      <c r="O46" s="183">
        <v>877669.47</v>
      </c>
      <c r="P46" s="183">
        <v>17980732.5</v>
      </c>
      <c r="Q46" s="183">
        <v>587374.19000000006</v>
      </c>
      <c r="R46" s="183">
        <v>10931443.359999999</v>
      </c>
      <c r="S46" s="183">
        <v>334178.43</v>
      </c>
      <c r="T46" s="183">
        <v>4690979.8900000006</v>
      </c>
      <c r="U46" s="183">
        <v>1575768.9</v>
      </c>
      <c r="V46" s="183">
        <v>7027902.5500000007</v>
      </c>
      <c r="W46" s="183">
        <v>534905.01</v>
      </c>
      <c r="X46" s="183">
        <v>10781308.754652103</v>
      </c>
      <c r="Y46" s="183">
        <v>590576.52000000014</v>
      </c>
      <c r="Z46" s="183">
        <v>12354586.574005609</v>
      </c>
      <c r="AA46" s="183">
        <v>553061.82799999998</v>
      </c>
      <c r="AB46" s="183">
        <v>14303549.407631796</v>
      </c>
      <c r="AC46" s="183">
        <v>538122.10100000002</v>
      </c>
      <c r="AD46" s="183">
        <v>13704293.697478626</v>
      </c>
      <c r="AE46" s="715">
        <v>893293.73900000018</v>
      </c>
      <c r="AF46" s="183">
        <v>22595106.94823055</v>
      </c>
      <c r="AG46" s="715">
        <v>989352.70999999985</v>
      </c>
      <c r="AH46" s="1354">
        <v>25154860.722283065</v>
      </c>
      <c r="AI46" s="1353">
        <v>623255.43000000005</v>
      </c>
      <c r="AJ46" s="1354">
        <v>14729607.865012901</v>
      </c>
      <c r="AK46" s="1354">
        <v>844604.30500000005</v>
      </c>
      <c r="AL46" s="1354">
        <v>18996641.520606697</v>
      </c>
      <c r="AM46" s="1354">
        <v>1307423.71</v>
      </c>
      <c r="AN46" s="1354">
        <v>30469723.210106846</v>
      </c>
      <c r="AO46" s="1354">
        <v>1317298.9599999997</v>
      </c>
      <c r="AP46" s="1354">
        <v>34841955.416929975</v>
      </c>
      <c r="AQ46" s="183">
        <f>SUMIF($C$9:AP$9,1,$C46:AP46)</f>
        <v>19529959.153999999</v>
      </c>
      <c r="AR46" s="183">
        <f>IF(COUNTIF($C46:AP46, "nfp")=0, SUMIF($C$9:AP$9,0,$C46:AP46), "nfp")</f>
        <v>373712526.93693811</v>
      </c>
      <c r="AT46" s="317"/>
      <c r="AU46" s="317"/>
      <c r="AV46" s="381"/>
      <c r="AW46" s="381"/>
    </row>
    <row r="47" spans="1:50">
      <c r="A47" s="124"/>
      <c r="B47" s="127"/>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070"/>
      <c r="AF47" s="163"/>
      <c r="AG47" s="1070"/>
      <c r="AH47" s="1362"/>
      <c r="AI47" s="1361"/>
      <c r="AJ47" s="1362"/>
      <c r="AK47" s="1362"/>
      <c r="AL47" s="1362"/>
      <c r="AM47" s="1362"/>
      <c r="AN47" s="1362"/>
      <c r="AO47" s="1362"/>
      <c r="AP47" s="1362"/>
      <c r="AQ47" s="715"/>
      <c r="AR47" s="183"/>
      <c r="AT47" s="317"/>
      <c r="AU47" s="317"/>
      <c r="AV47" s="381"/>
      <c r="AW47" s="381"/>
    </row>
    <row r="48" spans="1:50">
      <c r="A48" s="260" t="s">
        <v>176</v>
      </c>
      <c r="B48" s="256" t="s">
        <v>67</v>
      </c>
      <c r="C48" s="723">
        <f>(SUMIFS('Iron Ore - Q&amp;V'!$B$8:$B$250,'Iron Ore - Q&amp;V'!$D$8:$D$250,LEFT('Q&amp;V FY 2003-04 to Now'!C$7:D$7,4),'Iron Ore - Q&amp;V'!$E$8:$E$250,3)+
SUMIFS('Iron Ore - Q&amp;V'!$B$8:$B$250,'Iron Ore - Q&amp;V'!$D$8:$D$250,LEFT('Q&amp;V FY 2003-04 to Now'!C$7:D$7,4),'Iron Ore - Q&amp;V'!$E$8:$E$250,4)+
SUMIFS('Iron Ore - Q&amp;V'!$B$8:$B$250,'Iron Ore - Q&amp;V'!$D$8:$D$250,CONCATENATE("20",RIGHT('Q&amp;V FY 2003-04 to Now'!C$7,2)),'Iron Ore - Q&amp;V'!$E$8:$E$250,1)+
SUMIFS('Iron Ore - Q&amp;V'!$B$8:$B$250,'Iron Ore - Q&amp;V'!$D$8:$D$250,CONCATENATE("20",RIGHT('Q&amp;V FY 2003-04 to Now'!C$7,2)),'Iron Ore - Q&amp;V'!$E$8:$E$250,2))*1000000</f>
        <v>200936683.13</v>
      </c>
      <c r="D48" s="723">
        <f>(SUMIFS('Iron Ore - Q&amp;V'!$C$8:$C$250,'Iron Ore - Q&amp;V'!$D$8:$D$250,LEFT('Q&amp;V FY 2003-04 to Now'!C$7,4),'Iron Ore - Q&amp;V'!$E$8:$E$250,3)+
SUMIFS('Iron Ore - Q&amp;V'!$C$8:$C$250,'Iron Ore - Q&amp;V'!$D$8:$D$250,LEFT('Q&amp;V FY 2003-04 to Now'!C$7,4),'Iron Ore - Q&amp;V'!$E$8:$E$250,4)+
SUMIFS('Iron Ore - Q&amp;V'!$C$8:$C$250,'Iron Ore - Q&amp;V'!$D$8:$D$250,CONCATENATE("20",RIGHT('Q&amp;V FY 2003-04 to Now'!C$7,2)),'Iron Ore - Q&amp;V'!$E$8:$E$250,1)+
SUMIFS('Iron Ore - Q&amp;V'!$C$8:$C$250,'Iron Ore - Q&amp;V'!$D$8:$D$250,CONCATENATE("20",RIGHT('Q&amp;V FY 2003-04 to Now'!C$7,2)),'Iron Ore - Q&amp;V'!$E$8:$E$250,2))*1000000</f>
        <v>5360459976.1599998</v>
      </c>
      <c r="E48" s="723">
        <f>(SUMIFS('Iron Ore - Q&amp;V'!$B$8:$B$250,'Iron Ore - Q&amp;V'!$D$8:$D$250,LEFT('Q&amp;V FY 2003-04 to Now'!E$7:F$7,4),'Iron Ore - Q&amp;V'!$E$8:$E$250,3)+
SUMIFS('Iron Ore - Q&amp;V'!$B$8:$B$250,'Iron Ore - Q&amp;V'!$D$8:$D$250,LEFT('Q&amp;V FY 2003-04 to Now'!E$7:F$7,4),'Iron Ore - Q&amp;V'!$E$8:$E$250,4)+
SUMIFS('Iron Ore - Q&amp;V'!$B$8:$B$250,'Iron Ore - Q&amp;V'!$D$8:$D$250,CONCATENATE("20",RIGHT('Q&amp;V FY 2003-04 to Now'!E$7,2)),'Iron Ore - Q&amp;V'!$E$8:$E$250,1)+
SUMIFS('Iron Ore - Q&amp;V'!$B$8:$B$250,'Iron Ore - Q&amp;V'!$D$8:$D$250,CONCATENATE("20",RIGHT('Q&amp;V FY 2003-04 to Now'!E$7,2)),'Iron Ore - Q&amp;V'!$E$8:$E$250,2))*1000000</f>
        <v>230114648.62</v>
      </c>
      <c r="F48" s="723">
        <f>(SUMIFS('Iron Ore - Q&amp;V'!$C$8:$C$250,'Iron Ore - Q&amp;V'!$D$8:$D$250,LEFT('Q&amp;V FY 2003-04 to Now'!E$7,4),'Iron Ore - Q&amp;V'!$E$8:$E$250,3)+
SUMIFS('Iron Ore - Q&amp;V'!$C$8:$C$250,'Iron Ore - Q&amp;V'!$D$8:$D$250,LEFT('Q&amp;V FY 2003-04 to Now'!E$7,4),'Iron Ore - Q&amp;V'!$E$8:$E$250,4)+
SUMIFS('Iron Ore - Q&amp;V'!$C$8:$C$250,'Iron Ore - Q&amp;V'!$D$8:$D$250,CONCATENATE("20",RIGHT('Q&amp;V FY 2003-04 to Now'!E$7,2)),'Iron Ore - Q&amp;V'!$E$8:$E$250,1)+
SUMIFS('Iron Ore - Q&amp;V'!$C$8:$C$250,'Iron Ore - Q&amp;V'!$D$8:$D$250,CONCATENATE("20",RIGHT('Q&amp;V FY 2003-04 to Now'!E$7,2)),'Iron Ore - Q&amp;V'!$E$8:$E$250,2))*1000000</f>
        <v>8287180143.1499987</v>
      </c>
      <c r="G48" s="723">
        <f>(SUMIFS('Iron Ore - Q&amp;V'!$B$8:$B$250,'Iron Ore - Q&amp;V'!$D$8:$D$250,LEFT('Q&amp;V FY 2003-04 to Now'!G$7:H$7,4),'Iron Ore - Q&amp;V'!$E$8:$E$250,3)+
SUMIFS('Iron Ore - Q&amp;V'!$B$8:$B$250,'Iron Ore - Q&amp;V'!$D$8:$D$250,LEFT('Q&amp;V FY 2003-04 to Now'!G$7:H$7,4),'Iron Ore - Q&amp;V'!$E$8:$E$250,4)+
SUMIFS('Iron Ore - Q&amp;V'!$B$8:$B$250,'Iron Ore - Q&amp;V'!$D$8:$D$250,CONCATENATE("20",RIGHT('Q&amp;V FY 2003-04 to Now'!G$7,2)),'Iron Ore - Q&amp;V'!$E$8:$E$250,1)+
SUMIFS('Iron Ore - Q&amp;V'!$B$8:$B$250,'Iron Ore - Q&amp;V'!$D$8:$D$250,CONCATENATE("20",RIGHT('Q&amp;V FY 2003-04 to Now'!G$7,2)),'Iron Ore - Q&amp;V'!$E$8:$E$250,2))*1000000</f>
        <v>240568391.38800001</v>
      </c>
      <c r="H48" s="723">
        <f>(SUMIFS('Iron Ore - Q&amp;V'!$C$8:$C$250,'Iron Ore - Q&amp;V'!$D$8:$D$250,LEFT('Q&amp;V FY 2003-04 to Now'!G$7,4),'Iron Ore - Q&amp;V'!$E$8:$E$250,3)+
SUMIFS('Iron Ore - Q&amp;V'!$C$8:$C$250,'Iron Ore - Q&amp;V'!$D$8:$D$250,LEFT('Q&amp;V FY 2003-04 to Now'!G$7,4),'Iron Ore - Q&amp;V'!$E$8:$E$250,4)+
SUMIFS('Iron Ore - Q&amp;V'!$C$8:$C$250,'Iron Ore - Q&amp;V'!$D$8:$D$250,CONCATENATE("20",RIGHT('Q&amp;V FY 2003-04 to Now'!G$7,2)),'Iron Ore - Q&amp;V'!$E$8:$E$250,1)+
SUMIFS('Iron Ore - Q&amp;V'!$C$8:$C$250,'Iron Ore - Q&amp;V'!$D$8:$D$250,CONCATENATE("20",RIGHT('Q&amp;V FY 2003-04 to Now'!G$7,2)),'Iron Ore - Q&amp;V'!$E$8:$E$250,2))*1000000</f>
        <v>13040826036.820002</v>
      </c>
      <c r="I48" s="723">
        <f>(SUMIFS('Iron Ore - Q&amp;V'!$B$8:$B$250,'Iron Ore - Q&amp;V'!$D$8:$D$250,LEFT('Q&amp;V FY 2003-04 to Now'!I$7:J$7,4),'Iron Ore - Q&amp;V'!$E$8:$E$250,3)+
SUMIFS('Iron Ore - Q&amp;V'!$B$8:$B$250,'Iron Ore - Q&amp;V'!$D$8:$D$250,LEFT('Q&amp;V FY 2003-04 to Now'!I$7:J$7,4),'Iron Ore - Q&amp;V'!$E$8:$E$250,4)+
SUMIFS('Iron Ore - Q&amp;V'!$B$8:$B$250,'Iron Ore - Q&amp;V'!$D$8:$D$250,CONCATENATE("20",RIGHT('Q&amp;V FY 2003-04 to Now'!I$7,2)),'Iron Ore - Q&amp;V'!$E$8:$E$250,1)+
SUMIFS('Iron Ore - Q&amp;V'!$B$8:$B$250,'Iron Ore - Q&amp;V'!$D$8:$D$250,CONCATENATE("20",RIGHT('Q&amp;V FY 2003-04 to Now'!I$7,2)),'Iron Ore - Q&amp;V'!$E$8:$E$250,2))*1000000</f>
        <v>258996921.59300002</v>
      </c>
      <c r="J48" s="723">
        <f>(SUMIFS('Iron Ore - Q&amp;V'!$C$8:$C$250,'Iron Ore - Q&amp;V'!$D$8:$D$250,LEFT('Q&amp;V FY 2003-04 to Now'!I$7,4),'Iron Ore - Q&amp;V'!$E$8:$E$250,3)+
SUMIFS('Iron Ore - Q&amp;V'!$C$8:$C$250,'Iron Ore - Q&amp;V'!$D$8:$D$250,LEFT('Q&amp;V FY 2003-04 to Now'!I$7,4),'Iron Ore - Q&amp;V'!$E$8:$E$250,4)+
SUMIFS('Iron Ore - Q&amp;V'!$C$8:$C$250,'Iron Ore - Q&amp;V'!$D$8:$D$250,CONCATENATE("20",RIGHT('Q&amp;V FY 2003-04 to Now'!I$7,2)),'Iron Ore - Q&amp;V'!$E$8:$E$250,1)+
SUMIFS('Iron Ore - Q&amp;V'!$C$8:$C$250,'Iron Ore - Q&amp;V'!$D$8:$D$250,CONCATENATE("20",RIGHT('Q&amp;V FY 2003-04 to Now'!I$7,2)),'Iron Ore - Q&amp;V'!$E$8:$E$250,2))*1000000</f>
        <v>15779191450.360001</v>
      </c>
      <c r="K48" s="723">
        <f>(SUMIFS('Iron Ore - Q&amp;V'!$B$8:$B$250,'Iron Ore - Q&amp;V'!$D$8:$D$250,LEFT('Q&amp;V FY 2003-04 to Now'!K$7:L$7,4),'Iron Ore - Q&amp;V'!$E$8:$E$250,3)+
SUMIFS('Iron Ore - Q&amp;V'!$B$8:$B$250,'Iron Ore - Q&amp;V'!$D$8:$D$250,LEFT('Q&amp;V FY 2003-04 to Now'!K$7:L$7,4),'Iron Ore - Q&amp;V'!$E$8:$E$250,4)+
SUMIFS('Iron Ore - Q&amp;V'!$B$8:$B$250,'Iron Ore - Q&amp;V'!$D$8:$D$250,CONCATENATE("20",RIGHT('Q&amp;V FY 2003-04 to Now'!K$7,2)),'Iron Ore - Q&amp;V'!$E$8:$E$250,1)+
SUMIFS('Iron Ore - Q&amp;V'!$B$8:$B$250,'Iron Ore - Q&amp;V'!$D$8:$D$250,CONCATENATE("20",RIGHT('Q&amp;V FY 2003-04 to Now'!K$7,2)),'Iron Ore - Q&amp;V'!$E$8:$E$250,2))*1000000</f>
        <v>291166115.31199998</v>
      </c>
      <c r="L48" s="723">
        <f>(SUMIFS('Iron Ore - Q&amp;V'!$C$8:$C$250,'Iron Ore - Q&amp;V'!$D$8:$D$250,LEFT('Q&amp;V FY 2003-04 to Now'!K$7,4),'Iron Ore - Q&amp;V'!$E$8:$E$250,3)+
SUMIFS('Iron Ore - Q&amp;V'!$C$8:$C$250,'Iron Ore - Q&amp;V'!$D$8:$D$250,LEFT('Q&amp;V FY 2003-04 to Now'!K$7,4),'Iron Ore - Q&amp;V'!$E$8:$E$250,4)+
SUMIFS('Iron Ore - Q&amp;V'!$C$8:$C$250,'Iron Ore - Q&amp;V'!$D$8:$D$250,CONCATENATE("20",RIGHT('Q&amp;V FY 2003-04 to Now'!K$7,2)),'Iron Ore - Q&amp;V'!$E$8:$E$250,1)+
SUMIFS('Iron Ore - Q&amp;V'!$C$8:$C$250,'Iron Ore - Q&amp;V'!$D$8:$D$250,CONCATENATE("20",RIGHT('Q&amp;V FY 2003-04 to Now'!K$7,2)),'Iron Ore - Q&amp;V'!$E$8:$E$250,2))*1000000</f>
        <v>21960406709.939999</v>
      </c>
      <c r="M48" s="723">
        <f>(SUMIFS('Iron Ore - Q&amp;V'!$B$8:$B$250,'Iron Ore - Q&amp;V'!$D$8:$D$250,LEFT('Q&amp;V FY 2003-04 to Now'!M$7:N$7,4),'Iron Ore - Q&amp;V'!$E$8:$E$250,3)+
SUMIFS('Iron Ore - Q&amp;V'!$B$8:$B$250,'Iron Ore - Q&amp;V'!$D$8:$D$250,LEFT('Q&amp;V FY 2003-04 to Now'!M$7:N$7,4),'Iron Ore - Q&amp;V'!$E$8:$E$250,4)+
SUMIFS('Iron Ore - Q&amp;V'!$B$8:$B$250,'Iron Ore - Q&amp;V'!$D$8:$D$250,CONCATENATE("20",RIGHT('Q&amp;V FY 2003-04 to Now'!M$7,2)),'Iron Ore - Q&amp;V'!$E$8:$E$250,1)+
SUMIFS('Iron Ore - Q&amp;V'!$B$8:$B$250,'Iron Ore - Q&amp;V'!$D$8:$D$250,CONCATENATE("20",RIGHT('Q&amp;V FY 2003-04 to Now'!M$7,2)),'Iron Ore - Q&amp;V'!$E$8:$E$250,2))*1000000</f>
        <v>316545932.79799998</v>
      </c>
      <c r="N48" s="723">
        <f>(SUMIFS('Iron Ore - Q&amp;V'!$C$8:$C$250,'Iron Ore - Q&amp;V'!$D$8:$D$250,LEFT('Q&amp;V FY 2003-04 to Now'!M$7,4),'Iron Ore - Q&amp;V'!$E$8:$E$250,3)+
SUMIFS('Iron Ore - Q&amp;V'!$C$8:$C$250,'Iron Ore - Q&amp;V'!$D$8:$D$250,LEFT('Q&amp;V FY 2003-04 to Now'!M$7,4),'Iron Ore - Q&amp;V'!$E$8:$E$250,4)+
SUMIFS('Iron Ore - Q&amp;V'!$C$8:$C$250,'Iron Ore - Q&amp;V'!$D$8:$D$250,CONCATENATE("20",RIGHT('Q&amp;V FY 2003-04 to Now'!M$7,2)),'Iron Ore - Q&amp;V'!$E$8:$E$250,1)+
SUMIFS('Iron Ore - Q&amp;V'!$C$8:$C$250,'Iron Ore - Q&amp;V'!$D$8:$D$250,CONCATENATE("20",RIGHT('Q&amp;V FY 2003-04 to Now'!M$7,2)),'Iron Ore - Q&amp;V'!$E$8:$E$250,2))*1000000</f>
        <v>33621877296.689999</v>
      </c>
      <c r="O48" s="723">
        <f>(SUMIFS('Iron Ore - Q&amp;V'!$B$8:$B$250,'Iron Ore - Q&amp;V'!$D$8:$D$250,LEFT('Q&amp;V FY 2003-04 to Now'!O$7:P$7,4),'Iron Ore - Q&amp;V'!$E$8:$E$250,3)+
SUMIFS('Iron Ore - Q&amp;V'!$B$8:$B$250,'Iron Ore - Q&amp;V'!$D$8:$D$250,LEFT('Q&amp;V FY 2003-04 to Now'!O$7:P$7,4),'Iron Ore - Q&amp;V'!$E$8:$E$250,4)+
SUMIFS('Iron Ore - Q&amp;V'!$B$8:$B$250,'Iron Ore - Q&amp;V'!$D$8:$D$250,CONCATENATE("20",RIGHT('Q&amp;V FY 2003-04 to Now'!O$7,2)),'Iron Ore - Q&amp;V'!$E$8:$E$250,1)+
SUMIFS('Iron Ore - Q&amp;V'!$B$8:$B$250,'Iron Ore - Q&amp;V'!$D$8:$D$250,CONCATENATE("20",RIGHT('Q&amp;V FY 2003-04 to Now'!O$7,2)),'Iron Ore - Q&amp;V'!$E$8:$E$250,2))*1000000</f>
        <v>384964867.80599999</v>
      </c>
      <c r="P48" s="723">
        <f>(SUMIFS('Iron Ore - Q&amp;V'!$C$8:$C$250,'Iron Ore - Q&amp;V'!$D$8:$D$250,LEFT('Q&amp;V FY 2003-04 to Now'!O$7,4),'Iron Ore - Q&amp;V'!$E$8:$E$250,3)+
SUMIFS('Iron Ore - Q&amp;V'!$C$8:$C$250,'Iron Ore - Q&amp;V'!$D$8:$D$250,LEFT('Q&amp;V FY 2003-04 to Now'!O$7,4),'Iron Ore - Q&amp;V'!$E$8:$E$250,4)+
SUMIFS('Iron Ore - Q&amp;V'!$C$8:$C$250,'Iron Ore - Q&amp;V'!$D$8:$D$250,CONCATENATE("20",RIGHT('Q&amp;V FY 2003-04 to Now'!O$7,2)),'Iron Ore - Q&amp;V'!$E$8:$E$250,1)+
SUMIFS('Iron Ore - Q&amp;V'!$C$8:$C$250,'Iron Ore - Q&amp;V'!$D$8:$D$250,CONCATENATE("20",RIGHT('Q&amp;V FY 2003-04 to Now'!O$7,2)),'Iron Ore - Q&amp;V'!$E$8:$E$250,2))*1000000</f>
        <v>35214420583.349998</v>
      </c>
      <c r="Q48" s="723">
        <f>(SUMIFS('Iron Ore - Q&amp;V'!$B$8:$B$250,'Iron Ore - Q&amp;V'!$D$8:$D$250,LEFT('Q&amp;V FY 2003-04 to Now'!Q$7:R$7,4),'Iron Ore - Q&amp;V'!$E$8:$E$250,3)+
SUMIFS('Iron Ore - Q&amp;V'!$B$8:$B$250,'Iron Ore - Q&amp;V'!$D$8:$D$250,LEFT('Q&amp;V FY 2003-04 to Now'!Q$7:R$7,4),'Iron Ore - Q&amp;V'!$E$8:$E$250,4)+
SUMIFS('Iron Ore - Q&amp;V'!$B$8:$B$250,'Iron Ore - Q&amp;V'!$D$8:$D$250,CONCATENATE("20",RIGHT('Q&amp;V FY 2003-04 to Now'!Q$7,2)),'Iron Ore - Q&amp;V'!$E$8:$E$250,1)+
SUMIFS('Iron Ore - Q&amp;V'!$B$8:$B$250,'Iron Ore - Q&amp;V'!$D$8:$D$250,CONCATENATE("20",RIGHT('Q&amp;V FY 2003-04 to Now'!Q$7,2)),'Iron Ore - Q&amp;V'!$E$8:$E$250,2))*1000000</f>
        <v>397604213.46799999</v>
      </c>
      <c r="R48" s="723">
        <f>(SUMIFS('Iron Ore - Q&amp;V'!$C$8:$C$250,'Iron Ore - Q&amp;V'!$D$8:$D$250,LEFT('Q&amp;V FY 2003-04 to Now'!Q$7,4),'Iron Ore - Q&amp;V'!$E$8:$E$250,3)+
SUMIFS('Iron Ore - Q&amp;V'!$C$8:$C$250,'Iron Ore - Q&amp;V'!$D$8:$D$250,LEFT('Q&amp;V FY 2003-04 to Now'!Q$7,4),'Iron Ore - Q&amp;V'!$E$8:$E$250,4)+
SUMIFS('Iron Ore - Q&amp;V'!$C$8:$C$250,'Iron Ore - Q&amp;V'!$D$8:$D$250,CONCATENATE("20",RIGHT('Q&amp;V FY 2003-04 to Now'!Q$7,2)),'Iron Ore - Q&amp;V'!$E$8:$E$250,1)+
SUMIFS('Iron Ore - Q&amp;V'!$C$8:$C$250,'Iron Ore - Q&amp;V'!$D$8:$D$250,CONCATENATE("20",RIGHT('Q&amp;V FY 2003-04 to Now'!Q$7,2)),'Iron Ore - Q&amp;V'!$E$8:$E$250,2))*1000000</f>
        <v>57533101328.700005</v>
      </c>
      <c r="S48" s="723">
        <f>(SUMIFS('Iron Ore - Q&amp;V'!$B$8:$B$250,'Iron Ore - Q&amp;V'!$D$8:$D$250,LEFT('Q&amp;V FY 2003-04 to Now'!S$7:T$7,4),'Iron Ore - Q&amp;V'!$E$8:$E$250,3)+
SUMIFS('Iron Ore - Q&amp;V'!$B$8:$B$250,'Iron Ore - Q&amp;V'!$D$8:$D$250,LEFT('Q&amp;V FY 2003-04 to Now'!S$7:T$7,4),'Iron Ore - Q&amp;V'!$E$8:$E$250,4)+
SUMIFS('Iron Ore - Q&amp;V'!$B$8:$B$250,'Iron Ore - Q&amp;V'!$D$8:$D$250,CONCATENATE("20",RIGHT('Q&amp;V FY 2003-04 to Now'!S$7,2)),'Iron Ore - Q&amp;V'!$E$8:$E$250,1)+
SUMIFS('Iron Ore - Q&amp;V'!$B$8:$B$250,'Iron Ore - Q&amp;V'!$D$8:$D$250,CONCATENATE("20",RIGHT('Q&amp;V FY 2003-04 to Now'!S$7,2)),'Iron Ore - Q&amp;V'!$E$8:$E$250,2))*1000000</f>
        <v>454385063.56699997</v>
      </c>
      <c r="T48" s="723">
        <f>(SUMIFS('Iron Ore - Q&amp;V'!$C$8:$C$250,'Iron Ore - Q&amp;V'!$D$8:$D$250,LEFT('Q&amp;V FY 2003-04 to Now'!S$7,4),'Iron Ore - Q&amp;V'!$E$8:$E$250,3)+
SUMIFS('Iron Ore - Q&amp;V'!$C$8:$C$250,'Iron Ore - Q&amp;V'!$D$8:$D$250,LEFT('Q&amp;V FY 2003-04 to Now'!S$7,4),'Iron Ore - Q&amp;V'!$E$8:$E$250,4)+
SUMIFS('Iron Ore - Q&amp;V'!$C$8:$C$250,'Iron Ore - Q&amp;V'!$D$8:$D$250,CONCATENATE("20",RIGHT('Q&amp;V FY 2003-04 to Now'!S$7,2)),'Iron Ore - Q&amp;V'!$E$8:$E$250,1)+
SUMIFS('Iron Ore - Q&amp;V'!$C$8:$C$250,'Iron Ore - Q&amp;V'!$D$8:$D$250,CONCATENATE("20",RIGHT('Q&amp;V FY 2003-04 to Now'!S$7,2)),'Iron Ore - Q&amp;V'!$E$8:$E$250,2))*1000000</f>
        <v>60972726991.370003</v>
      </c>
      <c r="U48" s="723">
        <f>(SUMIFS('Iron Ore - Q&amp;V'!$B$8:$B$250,'Iron Ore - Q&amp;V'!$D$8:$D$250,LEFT('Q&amp;V FY 2003-04 to Now'!U$7:V$7,4),'Iron Ore - Q&amp;V'!$E$8:$E$250,3)+
SUMIFS('Iron Ore - Q&amp;V'!$B$8:$B$250,'Iron Ore - Q&amp;V'!$D$8:$D$250,LEFT('Q&amp;V FY 2003-04 to Now'!U$7:V$7,4),'Iron Ore - Q&amp;V'!$E$8:$E$250,4)+
SUMIFS('Iron Ore - Q&amp;V'!$B$8:$B$250,'Iron Ore - Q&amp;V'!$D$8:$D$250,CONCATENATE("20",RIGHT('Q&amp;V FY 2003-04 to Now'!U$7,2)),'Iron Ore - Q&amp;V'!$E$8:$E$250,1)+
SUMIFS('Iron Ore - Q&amp;V'!$B$8:$B$250,'Iron Ore - Q&amp;V'!$D$8:$D$250,CONCATENATE("20",RIGHT('Q&amp;V FY 2003-04 to Now'!U$7,2)),'Iron Ore - Q&amp;V'!$E$8:$E$250,2))*1000000</f>
        <v>511760416.48500007</v>
      </c>
      <c r="V48" s="723">
        <f>(SUMIFS('Iron Ore - Q&amp;V'!$C$8:$C$250,'Iron Ore - Q&amp;V'!$D$8:$D$250,LEFT('Q&amp;V FY 2003-04 to Now'!U$7,4),'Iron Ore - Q&amp;V'!$E$8:$E$250,3)+
SUMIFS('Iron Ore - Q&amp;V'!$C$8:$C$250,'Iron Ore - Q&amp;V'!$D$8:$D$250,LEFT('Q&amp;V FY 2003-04 to Now'!U$7,4),'Iron Ore - Q&amp;V'!$E$8:$E$250,4)+
SUMIFS('Iron Ore - Q&amp;V'!$C$8:$C$250,'Iron Ore - Q&amp;V'!$D$8:$D$250,CONCATENATE("20",RIGHT('Q&amp;V FY 2003-04 to Now'!U$7,2)),'Iron Ore - Q&amp;V'!$E$8:$E$250,1)+
SUMIFS('Iron Ore - Q&amp;V'!$C$8:$C$250,'Iron Ore - Q&amp;V'!$D$8:$D$250,CONCATENATE("20",RIGHT('Q&amp;V FY 2003-04 to Now'!U$7,2)),'Iron Ore - Q&amp;V'!$E$8:$E$250,2))*1000000</f>
        <v>56204322876.540001</v>
      </c>
      <c r="W48" s="723">
        <f>(SUMIFS('Iron Ore - Q&amp;V'!$B$8:$B$250,'Iron Ore - Q&amp;V'!$D$8:$D$250,LEFT('Q&amp;V FY 2003-04 to Now'!W$7:X$7,4),'Iron Ore - Q&amp;V'!$E$8:$E$250,3)+
SUMIFS('Iron Ore - Q&amp;V'!$B$8:$B$250,'Iron Ore - Q&amp;V'!$D$8:$D$250,LEFT('Q&amp;V FY 2003-04 to Now'!W$7:X$7,4),'Iron Ore - Q&amp;V'!$E$8:$E$250,4)+
SUMIFS('Iron Ore - Q&amp;V'!$B$8:$B$250,'Iron Ore - Q&amp;V'!$D$8:$D$250,CONCATENATE("20",RIGHT('Q&amp;V FY 2003-04 to Now'!W$7,2)),'Iron Ore - Q&amp;V'!$E$8:$E$250,1)+
SUMIFS('Iron Ore - Q&amp;V'!$B$8:$B$250,'Iron Ore - Q&amp;V'!$D$8:$D$250,CONCATENATE("20",RIGHT('Q&amp;V FY 2003-04 to Now'!W$7,2)),'Iron Ore - Q&amp;V'!$E$8:$E$250,2))*1000000</f>
        <v>613507314.76900005</v>
      </c>
      <c r="X48" s="723">
        <f>(SUMIFS('Iron Ore - Q&amp;V'!$C$8:$C$250,'Iron Ore - Q&amp;V'!$D$8:$D$250,LEFT('Q&amp;V FY 2003-04 to Now'!W$7,4),'Iron Ore - Q&amp;V'!$E$8:$E$250,3)+
SUMIFS('Iron Ore - Q&amp;V'!$C$8:$C$250,'Iron Ore - Q&amp;V'!$D$8:$D$250,LEFT('Q&amp;V FY 2003-04 to Now'!W$7,4),'Iron Ore - Q&amp;V'!$E$8:$E$250,4)+
SUMIFS('Iron Ore - Q&amp;V'!$C$8:$C$250,'Iron Ore - Q&amp;V'!$D$8:$D$250,CONCATENATE("20",RIGHT('Q&amp;V FY 2003-04 to Now'!W$7,2)),'Iron Ore - Q&amp;V'!$E$8:$E$250,1)+
SUMIFS('Iron Ore - Q&amp;V'!$C$8:$C$250,'Iron Ore - Q&amp;V'!$D$8:$D$250,CONCATENATE("20",RIGHT('Q&amp;V FY 2003-04 to Now'!W$7,2)),'Iron Ore - Q&amp;V'!$E$8:$E$250,2))*1000000</f>
        <v>75909497762</v>
      </c>
      <c r="Y48" s="723">
        <f>(SUMIFS('Iron Ore - Q&amp;V'!$B$8:$B$250,'Iron Ore - Q&amp;V'!$D$8:$D$250,LEFT('Q&amp;V FY 2003-04 to Now'!Y$7:Z$7,4),'Iron Ore - Q&amp;V'!$E$8:$E$250,3)+
SUMIFS('Iron Ore - Q&amp;V'!$B$8:$B$250,'Iron Ore - Q&amp;V'!$D$8:$D$250,LEFT('Q&amp;V FY 2003-04 to Now'!Y$7:Z$7,4),'Iron Ore - Q&amp;V'!$E$8:$E$250,4)+
SUMIFS('Iron Ore - Q&amp;V'!$B$8:$B$250,'Iron Ore - Q&amp;V'!$D$8:$D$250,CONCATENATE("20",RIGHT('Q&amp;V FY 2003-04 to Now'!Y$7,2)),'Iron Ore - Q&amp;V'!$E$8:$E$250,1)+
SUMIFS('Iron Ore - Q&amp;V'!$B$8:$B$250,'Iron Ore - Q&amp;V'!$D$8:$D$250,CONCATENATE("20",RIGHT('Q&amp;V FY 2003-04 to Now'!Y$7,2)),'Iron Ore - Q&amp;V'!$E$8:$E$250,2))*1000000</f>
        <v>718821036.42799997</v>
      </c>
      <c r="Z48" s="723">
        <f>(SUMIFS('Iron Ore - Q&amp;V'!$C$8:$C$250,'Iron Ore - Q&amp;V'!$D$8:$D$250,LEFT('Q&amp;V FY 2003-04 to Now'!Y$7,4),'Iron Ore - Q&amp;V'!$E$8:$E$250,3)+
SUMIFS('Iron Ore - Q&amp;V'!$C$8:$C$250,'Iron Ore - Q&amp;V'!$D$8:$D$250,LEFT('Q&amp;V FY 2003-04 to Now'!Y$7,4),'Iron Ore - Q&amp;V'!$E$8:$E$250,4)+
SUMIFS('Iron Ore - Q&amp;V'!$C$8:$C$250,'Iron Ore - Q&amp;V'!$D$8:$D$250,CONCATENATE("20",RIGHT('Q&amp;V FY 2003-04 to Now'!Y$7,2)),'Iron Ore - Q&amp;V'!$E$8:$E$250,1)+
SUMIFS('Iron Ore - Q&amp;V'!$C$8:$C$250,'Iron Ore - Q&amp;V'!$D$8:$D$250,CONCATENATE("20",RIGHT('Q&amp;V FY 2003-04 to Now'!Y$7,2)),'Iron Ore - Q&amp;V'!$E$8:$E$250,2))*1000000</f>
        <v>54378482829</v>
      </c>
      <c r="AA48" s="723">
        <f>(SUMIFS('Iron Ore - Q&amp;V'!$B$8:$B$250,'Iron Ore - Q&amp;V'!$D$8:$D$250,LEFT('Q&amp;V FY 2003-04 to Now'!AA$7:AB$7,4),'Iron Ore - Q&amp;V'!$E$8:$E$250,3)+
SUMIFS('Iron Ore - Q&amp;V'!$B$8:$B$250,'Iron Ore - Q&amp;V'!$D$8:$D$250,LEFT('Q&amp;V FY 2003-04 to Now'!AA$7:AB$7,4),'Iron Ore - Q&amp;V'!$E$8:$E$250,4)+
SUMIFS('Iron Ore - Q&amp;V'!$B$8:$B$250,'Iron Ore - Q&amp;V'!$D$8:$D$250,CONCATENATE("20",RIGHT('Q&amp;V FY 2003-04 to Now'!AA$7,2)),'Iron Ore - Q&amp;V'!$E$8:$E$250,1)+
SUMIFS('Iron Ore - Q&amp;V'!$B$8:$B$250,'Iron Ore - Q&amp;V'!$D$8:$D$250,CONCATENATE("20",RIGHT('Q&amp;V FY 2003-04 to Now'!AA$7,2)),'Iron Ore - Q&amp;V'!$E$8:$E$250,2))*1000000</f>
        <v>748100420.7190001</v>
      </c>
      <c r="AB48" s="723">
        <f>(SUMIFS('Iron Ore - Q&amp;V'!$C$8:$C$250,'Iron Ore - Q&amp;V'!$D$8:$D$250,LEFT('Q&amp;V FY 2003-04 to Now'!AA$7,4),'Iron Ore - Q&amp;V'!$E$8:$E$250,3)+
SUMIFS('Iron Ore - Q&amp;V'!$C$8:$C$250,'Iron Ore - Q&amp;V'!$D$8:$D$250,LEFT('Q&amp;V FY 2003-04 to Now'!AA$7,4),'Iron Ore - Q&amp;V'!$E$8:$E$250,4)+
SUMIFS('Iron Ore - Q&amp;V'!$C$8:$C$250,'Iron Ore - Q&amp;V'!$D$8:$D$250,CONCATENATE("20",RIGHT('Q&amp;V FY 2003-04 to Now'!AA$7,2)),'Iron Ore - Q&amp;V'!$E$8:$E$250,1)+
SUMIFS('Iron Ore - Q&amp;V'!$C$8:$C$250,'Iron Ore - Q&amp;V'!$D$8:$D$250,CONCATENATE("20",RIGHT('Q&amp;V FY 2003-04 to Now'!AA$7,2)),'Iron Ore - Q&amp;V'!$E$8:$E$250,2))*1000000</f>
        <v>48767746598</v>
      </c>
      <c r="AC48" s="734">
        <f>(SUMIFS('Iron Ore - Q&amp;V'!$B$8:$B$250,'Iron Ore - Q&amp;V'!$D$8:$D$250,LEFT('Q&amp;V FY 2003-04 to Now'!AC$7:AD$7,4),'Iron Ore - Q&amp;V'!$E$8:$E$250,3)+
SUMIFS('Iron Ore - Q&amp;V'!$B$8:$B$250,'Iron Ore - Q&amp;V'!$D$8:$D$250,LEFT('Q&amp;V FY 2003-04 to Now'!AC$7:AD$7,4),'Iron Ore - Q&amp;V'!$E$8:$E$250,4)+
SUMIFS('Iron Ore - Q&amp;V'!$B$8:$B$250,'Iron Ore - Q&amp;V'!$D$8:$D$250,CONCATENATE("20",RIGHT('Q&amp;V FY 2003-04 to Now'!AC$7,2)),'Iron Ore - Q&amp;V'!$E$8:$E$250,1)+
SUMIFS('Iron Ore - Q&amp;V'!$B$8:$B$250,'Iron Ore - Q&amp;V'!$D$8:$D$250,CONCATENATE("20",RIGHT('Q&amp;V FY 2003-04 to Now'!AC$7,2)),'Iron Ore - Q&amp;V'!$E$8:$E$250,2))*1000000</f>
        <v>792984562.29599988</v>
      </c>
      <c r="AD48" s="723">
        <f>(SUMIFS('Iron Ore - Q&amp;V'!$C$8:$C$250,'Iron Ore - Q&amp;V'!$D$8:$D$250,LEFT('Q&amp;V FY 2003-04 to Now'!AC$7,4),'Iron Ore - Q&amp;V'!$E$8:$E$250,3)+
SUMIFS('Iron Ore - Q&amp;V'!$C$8:$C$250,'Iron Ore - Q&amp;V'!$D$8:$D$250,LEFT('Q&amp;V FY 2003-04 to Now'!AC$7,4),'Iron Ore - Q&amp;V'!$E$8:$E$250,4)+
SUMIFS('Iron Ore - Q&amp;V'!$C$8:$C$250,'Iron Ore - Q&amp;V'!$D$8:$D$250,CONCATENATE("20",RIGHT('Q&amp;V FY 2003-04 to Now'!AC$7,2)),'Iron Ore - Q&amp;V'!$E$8:$E$250,1)+
SUMIFS('Iron Ore - Q&amp;V'!$C$8:$C$250,'Iron Ore - Q&amp;V'!$D$8:$D$250,CONCATENATE("20",RIGHT('Q&amp;V FY 2003-04 to Now'!AC$7,2)),'Iron Ore - Q&amp;V'!$E$8:$E$250,2))*1000000</f>
        <v>64319249451.999992</v>
      </c>
      <c r="AE48" s="734">
        <f>(SUMIFS('Iron Ore - Q&amp;V'!$B$8:$B$250,'Iron Ore - Q&amp;V'!$D$8:$D$250,LEFT('Q&amp;V FY 2003-04 to Now'!AE$7:AF$7,4),'Iron Ore - Q&amp;V'!$E$8:$E$250,3)+
SUMIFS('Iron Ore - Q&amp;V'!$B$8:$B$250,'Iron Ore - Q&amp;V'!$D$8:$D$250,LEFT('Q&amp;V FY 2003-04 to Now'!AE$7:AF$7,4),'Iron Ore - Q&amp;V'!$E$8:$E$250,4)+
SUMIFS('Iron Ore - Q&amp;V'!$B$8:$B$250,'Iron Ore - Q&amp;V'!$D$8:$D$250,CONCATENATE("20",RIGHT('Q&amp;V FY 2003-04 to Now'!AE$7,2)),'Iron Ore - Q&amp;V'!$E$8:$E$250,1)+
SUMIFS('Iron Ore - Q&amp;V'!$B$8:$B$250,'Iron Ore - Q&amp;V'!$D$8:$D$250,CONCATENATE("20",RIGHT('Q&amp;V FY 2003-04 to Now'!AE$7,2)),'Iron Ore - Q&amp;V'!$E$8:$E$250,2))*1000000</f>
        <v>839425599.75699997</v>
      </c>
      <c r="AF48" s="723">
        <f>(SUMIFS('Iron Ore - Q&amp;V'!$C$8:$C$250,'Iron Ore - Q&amp;V'!$D$8:$D$250,LEFT('Q&amp;V FY 2003-04 to Now'!AE$7,4),'Iron Ore - Q&amp;V'!$E$8:$E$250,3)+
SUMIFS('Iron Ore - Q&amp;V'!$C$8:$C$250,'Iron Ore - Q&amp;V'!$D$8:$D$250,LEFT('Q&amp;V FY 2003-04 to Now'!AE$7,4),'Iron Ore - Q&amp;V'!$E$8:$E$250,4)+
SUMIFS('Iron Ore - Q&amp;V'!$C$8:$C$250,'Iron Ore - Q&amp;V'!$D$8:$D$250,CONCATENATE("20",RIGHT('Q&amp;V FY 2003-04 to Now'!AE$7,2)),'Iron Ore - Q&amp;V'!$E$8:$E$250,1)+
SUMIFS('Iron Ore - Q&amp;V'!$C$8:$C$250,'Iron Ore - Q&amp;V'!$D$8:$D$250,CONCATENATE("20",RIGHT('Q&amp;V FY 2003-04 to Now'!AE$7,2)),'Iron Ore - Q&amp;V'!$E$8:$E$250,2))*1000000</f>
        <v>62075605869.999992</v>
      </c>
      <c r="AG48" s="734">
        <f>(SUMIFS('Iron Ore - Q&amp;V'!$B$8:$B$250,'Iron Ore - Q&amp;V'!$D$8:$D$250,LEFT('Q&amp;V FY 2003-04 to Now'!AG$7:AH$7,4),'Iron Ore - Q&amp;V'!$E$8:$E$250,3)+
SUMIFS('Iron Ore - Q&amp;V'!$B$8:$B$250,'Iron Ore - Q&amp;V'!$D$8:$D$250,LEFT('Q&amp;V FY 2003-04 to Now'!AG$7:AH$7,4),'Iron Ore - Q&amp;V'!$E$8:$E$250,4)+
SUMIFS('Iron Ore - Q&amp;V'!$B$8:$B$250,'Iron Ore - Q&amp;V'!$D$8:$D$250,CONCATENATE("20",RIGHT('Q&amp;V FY 2003-04 to Now'!AG$7,2)),'Iron Ore - Q&amp;V'!$E$8:$E$250,1)+
SUMIFS('Iron Ore - Q&amp;V'!$B$8:$B$250,'Iron Ore - Q&amp;V'!$D$8:$D$250,CONCATENATE("20",RIGHT('Q&amp;V FY 2003-04 to Now'!AG$7,2)),'Iron Ore - Q&amp;V'!$E$8:$E$250,2))*1000000</f>
        <v>794649329.91299987</v>
      </c>
      <c r="AH48" s="1069">
        <f>(SUMIFS('Iron Ore - Q&amp;V'!$C$8:$C$250,'Iron Ore - Q&amp;V'!$D$8:$D$250,LEFT('Q&amp;V FY 2003-04 to Now'!AG$7,4),'Iron Ore - Q&amp;V'!$E$8:$E$250,3)+
SUMIFS('Iron Ore - Q&amp;V'!$C$8:$C$250,'Iron Ore - Q&amp;V'!$D$8:$D$250,LEFT('Q&amp;V FY 2003-04 to Now'!AG$7,4),'Iron Ore - Q&amp;V'!$E$8:$E$250,4)+
SUMIFS('Iron Ore - Q&amp;V'!$C$8:$C$250,'Iron Ore - Q&amp;V'!$D$8:$D$250,CONCATENATE("20",RIGHT('Q&amp;V FY 2003-04 to Now'!AG$7,2)),'Iron Ore - Q&amp;V'!$E$8:$E$250,1)+
SUMIFS('Iron Ore - Q&amp;V'!$C$8:$C$250,'Iron Ore - Q&amp;V'!$D$8:$D$250,CONCATENATE("20",RIGHT('Q&amp;V FY 2003-04 to Now'!AG$7,2)),'Iron Ore - Q&amp;V'!$E$8:$E$250,2))*1000000</f>
        <v>81854370013</v>
      </c>
      <c r="AI48" s="1355">
        <f>(SUMIFS('Iron Ore - Q&amp;V'!$B$8:$B$250,'Iron Ore - Q&amp;V'!$D$8:$D$250,LEFT('Q&amp;V FY 2003-04 to Now'!AI$7:AJ$7,4),'Iron Ore - Q&amp;V'!$E$8:$E$250,3)+
SUMIFS('Iron Ore - Q&amp;V'!$B$8:$B$250,'Iron Ore - Q&amp;V'!$D$8:$D$250,LEFT('Q&amp;V FY 2003-04 to Now'!AI$7:AJ$7,4),'Iron Ore - Q&amp;V'!$E$8:$E$250,4)+
SUMIFS('Iron Ore - Q&amp;V'!$B$8:$B$250,'Iron Ore - Q&amp;V'!$D$8:$D$250,CONCATENATE("20",RIGHT('Q&amp;V FY 2003-04 to Now'!AI$7,2)),'Iron Ore - Q&amp;V'!$E$8:$E$250,1)+
SUMIFS('Iron Ore - Q&amp;V'!$B$8:$B$250,'Iron Ore - Q&amp;V'!$D$8:$D$250,CONCATENATE("20",RIGHT('Q&amp;V FY 2003-04 to Now'!AI$7,2)),'Iron Ore - Q&amp;V'!$E$8:$E$250,2))*1000000</f>
        <v>837077674.20899999</v>
      </c>
      <c r="AJ48" s="1355">
        <f>(SUMIFS('Iron Ore - Q&amp;V'!$C$8:$C$250,'Iron Ore - Q&amp;V'!$D$8:$D$250,LEFT('Q&amp;V FY 2003-04 to Now'!AI$7,4),'Iron Ore - Q&amp;V'!$E$8:$E$250,3)+
SUMIFS('Iron Ore - Q&amp;V'!$C$8:$C$250,'Iron Ore - Q&amp;V'!$D$8:$D$250,LEFT('Q&amp;V FY 2003-04 to Now'!AI$7,4),'Iron Ore - Q&amp;V'!$E$8:$E$250,4)+
SUMIFS('Iron Ore - Q&amp;V'!$C$8:$C$250,'Iron Ore - Q&amp;V'!$D$8:$D$250,CONCATENATE("20",RIGHT('Q&amp;V FY 2003-04 to Now'!AI$7,2)),'Iron Ore - Q&amp;V'!$E$8:$E$250,1)+
SUMIFS('Iron Ore - Q&amp;V'!$C$8:$C$250,'Iron Ore - Q&amp;V'!$D$8:$D$250,CONCATENATE("20",RIGHT('Q&amp;V FY 2003-04 to Now'!AI$7,2)),'Iron Ore - Q&amp;V'!$E$8:$E$250,2))*1000000</f>
        <v>104646594646.99998</v>
      </c>
      <c r="AK48" s="1355">
        <f>(SUMIFS('Iron Ore - Q&amp;V'!$B$8:$B$250,'Iron Ore - Q&amp;V'!$D$8:$D$250,LEFT('Q&amp;V FY 2003-04 to Now'!AK$7:AL$7,4),'Iron Ore - Q&amp;V'!$E$8:$E$250,3)+
SUMIFS('Iron Ore - Q&amp;V'!$B$8:$B$250,'Iron Ore - Q&amp;V'!$D$8:$D$250,LEFT('Q&amp;V FY 2003-04 to Now'!AK$7:AL$7,4),'Iron Ore - Q&amp;V'!$E$8:$E$250,4)+
SUMIFS('Iron Ore - Q&amp;V'!$B$8:$B$250,'Iron Ore - Q&amp;V'!$D$8:$D$250,CONCATENATE("20",RIGHT('Q&amp;V FY 2003-04 to Now'!AK$7,2)),'Iron Ore - Q&amp;V'!$E$8:$E$250,1)+
SUMIFS('Iron Ore - Q&amp;V'!$B$8:$B$250,'Iron Ore - Q&amp;V'!$D$8:$D$250,CONCATENATE("20",RIGHT('Q&amp;V FY 2003-04 to Now'!AK$7,2)),'Iron Ore - Q&amp;V'!$E$8:$E$250,2))*1000000</f>
        <v>839087311.58599997</v>
      </c>
      <c r="AL48" s="1355">
        <f>(SUMIFS('Iron Ore - Q&amp;V'!$C$8:$C$250,'Iron Ore - Q&amp;V'!$D$8:$D$250,LEFT('Q&amp;V FY 2003-04 to Now'!AK$7,4),'Iron Ore - Q&amp;V'!$E$8:$E$250,3)+
SUMIFS('Iron Ore - Q&amp;V'!$C$8:$C$250,'Iron Ore - Q&amp;V'!$D$8:$D$250,LEFT('Q&amp;V FY 2003-04 to Now'!AK$7,4),'Iron Ore - Q&amp;V'!$E$8:$E$250,4)+
SUMIFS('Iron Ore - Q&amp;V'!$C$8:$C$250,'Iron Ore - Q&amp;V'!$D$8:$D$250,CONCATENATE("20",RIGHT('Q&amp;V FY 2003-04 to Now'!AK$7,2)),'Iron Ore - Q&amp;V'!$E$8:$E$250,1)+
SUMIFS('Iron Ore - Q&amp;V'!$C$8:$C$250,'Iron Ore - Q&amp;V'!$D$8:$D$250,CONCATENATE("20",RIGHT('Q&amp;V FY 2003-04 to Now'!AK$7,2)),'Iron Ore - Q&amp;V'!$E$8:$E$250,2))*1000000</f>
        <v>155636943087</v>
      </c>
      <c r="AM48" s="1355">
        <f>(SUMIFS('Iron Ore - Q&amp;V'!$B$8:$B$250,'Iron Ore - Q&amp;V'!$D$8:$D$250,LEFT('Q&amp;V FY 2003-04 to Now'!AM$7:AN$7,4),'Iron Ore - Q&amp;V'!$E$8:$E$250,3)+
SUMIFS('Iron Ore - Q&amp;V'!$B$8:$B$250,'Iron Ore - Q&amp;V'!$D$8:$D$250,LEFT('Q&amp;V FY 2003-04 to Now'!AM$7:AN$7,4),'Iron Ore - Q&amp;V'!$E$8:$E$250,4)+
SUMIFS('Iron Ore - Q&amp;V'!$B$8:$B$250,'Iron Ore - Q&amp;V'!$D$8:$D$250,CONCATENATE("20",RIGHT('Q&amp;V FY 2003-04 to Now'!AM$7,2)),'Iron Ore - Q&amp;V'!$E$8:$E$250,1)+
SUMIFS('Iron Ore - Q&amp;V'!$B$8:$B$250,'Iron Ore - Q&amp;V'!$D$8:$D$250,CONCATENATE("20",RIGHT('Q&amp;V FY 2003-04 to Now'!AM$7,2)),'Iron Ore - Q&amp;V'!$E$8:$E$250,2))*1000000</f>
        <v>844820111.46599984</v>
      </c>
      <c r="AN48" s="1355">
        <f>(SUMIFS('Iron Ore - Q&amp;V'!$C$8:$C$250,'Iron Ore - Q&amp;V'!$D$8:$D$250,LEFT('Q&amp;V FY 2003-04 to Now'!AM$7,4),'Iron Ore - Q&amp;V'!$E$8:$E$250,3)+
SUMIFS('Iron Ore - Q&amp;V'!$C$8:$C$250,'Iron Ore - Q&amp;V'!$D$8:$D$250,LEFT('Q&amp;V FY 2003-04 to Now'!AM$7,4),'Iron Ore - Q&amp;V'!$E$8:$E$250,4)+
SUMIFS('Iron Ore - Q&amp;V'!$C$8:$C$250,'Iron Ore - Q&amp;V'!$D$8:$D$250,CONCATENATE("20",RIGHT('Q&amp;V FY 2003-04 to Now'!AM$7,2)),'Iron Ore - Q&amp;V'!$E$8:$E$250,1)+
SUMIFS('Iron Ore - Q&amp;V'!$C$8:$C$250,'Iron Ore - Q&amp;V'!$D$8:$D$250,CONCATENATE("20",RIGHT('Q&amp;V FY 2003-04 to Now'!AM$7,2)),'Iron Ore - Q&amp;V'!$E$8:$E$250,2))*1000000</f>
        <v>137198337168</v>
      </c>
      <c r="AO48" s="1355">
        <f>(SUMIFS('Iron Ore - Q&amp;V'!$B$8:$B$250,'Iron Ore - Q&amp;V'!$D$8:$D$250,LEFT('Q&amp;V FY 2003-04 to Now'!AO$7:AP$7,4),'Iron Ore - Q&amp;V'!$E$8:$E$250,3)+
SUMIFS('Iron Ore - Q&amp;V'!$B$8:$B$250,'Iron Ore - Q&amp;V'!$D$8:$D$250,LEFT('Q&amp;V FY 2003-04 to Now'!AO$7:AP$7,4),'Iron Ore - Q&amp;V'!$E$8:$E$250,4)+
SUMIFS('Iron Ore - Q&amp;V'!$B$8:$B$250,'Iron Ore - Q&amp;V'!$D$8:$D$250,CONCATENATE("20",RIGHT('Q&amp;V FY 2003-04 to Now'!AO$7,2)),'Iron Ore - Q&amp;V'!$E$8:$E$250,1)+
SUMIFS('Iron Ore - Q&amp;V'!$B$8:$B$250,'Iron Ore - Q&amp;V'!$D$8:$D$250,CONCATENATE("20",RIGHT('Q&amp;V FY 2003-04 to Now'!AO$7,2)),'Iron Ore - Q&amp;V'!$E$8:$E$250,2))*1000000</f>
        <v>861836822.95600009</v>
      </c>
      <c r="AP48" s="1355">
        <f>(SUMIFS('Iron Ore - Q&amp;V'!$C$8:$C$250,'Iron Ore - Q&amp;V'!$D$8:$D$250,LEFT('Q&amp;V FY 2003-04 to Now'!AO$7,4),'Iron Ore - Q&amp;V'!$E$8:$E$250,3)+
SUMIFS('Iron Ore - Q&amp;V'!$C$8:$C$250,'Iron Ore - Q&amp;V'!$D$8:$D$250,LEFT('Q&amp;V FY 2003-04 to Now'!AO$7,4),'Iron Ore - Q&amp;V'!$E$8:$E$250,4)+
SUMIFS('Iron Ore - Q&amp;V'!$C$8:$C$250,'Iron Ore - Q&amp;V'!$D$8:$D$250,CONCATENATE("20",RIGHT('Q&amp;V FY 2003-04 to Now'!AO$7,2)),'Iron Ore - Q&amp;V'!$E$8:$E$250,1)+
SUMIFS('Iron Ore - Q&amp;V'!$C$8:$C$250,'Iron Ore - Q&amp;V'!$D$8:$D$250,CONCATENATE("20",RIGHT('Q&amp;V FY 2003-04 to Now'!AO$7,2)),'Iron Ore - Q&amp;V'!$E$8:$E$250,2))*1000000</f>
        <v>125306917007</v>
      </c>
      <c r="AQ48" s="734">
        <f>SUMIF($C$9:AP$9,1,$C48:AP48)</f>
        <v>11177353438.265999</v>
      </c>
      <c r="AR48" s="723">
        <f>IF(COUNTIF($C48:AP48, "nfp")=0, SUMIF($C$9:AP$9,0,$C48:AP48), "nfp")</f>
        <v>1218068257826.0801</v>
      </c>
      <c r="AT48" s="317"/>
      <c r="AU48" s="317"/>
      <c r="AV48" s="381"/>
      <c r="AW48" s="381"/>
    </row>
    <row r="49" spans="1:49">
      <c r="A49" s="250"/>
      <c r="B49" s="256"/>
      <c r="C49" s="668"/>
      <c r="D49" s="668"/>
      <c r="E49" s="668"/>
      <c r="F49" s="668"/>
      <c r="G49" s="668"/>
      <c r="H49" s="668"/>
      <c r="I49" s="668"/>
      <c r="J49" s="668"/>
      <c r="K49" s="668"/>
      <c r="L49" s="668"/>
      <c r="M49" s="668"/>
      <c r="N49" s="668"/>
      <c r="O49" s="668"/>
      <c r="P49" s="668"/>
      <c r="Q49" s="668"/>
      <c r="R49" s="668"/>
      <c r="S49" s="668"/>
      <c r="T49" s="668"/>
      <c r="U49" s="668"/>
      <c r="V49" s="668"/>
      <c r="W49" s="668"/>
      <c r="X49" s="668"/>
      <c r="Y49" s="668"/>
      <c r="Z49" s="668"/>
      <c r="AA49" s="668"/>
      <c r="AB49" s="668"/>
      <c r="AC49" s="668"/>
      <c r="AD49" s="668"/>
      <c r="AE49" s="736"/>
      <c r="AF49" s="668"/>
      <c r="AG49" s="736"/>
      <c r="AH49" s="910"/>
      <c r="AI49" s="1352"/>
      <c r="AJ49" s="1352"/>
      <c r="AK49" s="1352"/>
      <c r="AL49" s="1352"/>
      <c r="AM49" s="1352"/>
      <c r="AN49" s="1352"/>
      <c r="AO49" s="1352"/>
      <c r="AP49" s="1352"/>
      <c r="AQ49" s="734"/>
      <c r="AR49" s="723"/>
      <c r="AT49" s="317"/>
      <c r="AU49" s="317"/>
      <c r="AV49" s="381"/>
      <c r="AW49" s="381"/>
    </row>
    <row r="50" spans="1:49">
      <c r="A50" s="261" t="s">
        <v>182</v>
      </c>
      <c r="B50" s="161" t="s">
        <v>67</v>
      </c>
      <c r="C50" s="717">
        <v>4099466.3669999996</v>
      </c>
      <c r="D50" s="741">
        <v>32885039.690000005</v>
      </c>
      <c r="E50" s="717">
        <v>4079782.1860000002</v>
      </c>
      <c r="F50" s="741">
        <v>39422579.100000009</v>
      </c>
      <c r="G50" s="717">
        <v>4032988.5779999997</v>
      </c>
      <c r="H50" s="741">
        <v>43237134.020000003</v>
      </c>
      <c r="I50" s="717">
        <v>3836357.8820000002</v>
      </c>
      <c r="J50" s="741">
        <v>22397355.969999999</v>
      </c>
      <c r="K50" s="717">
        <v>3885943.8760000002</v>
      </c>
      <c r="L50" s="741">
        <v>19979614.639999997</v>
      </c>
      <c r="M50" s="717">
        <v>3720978.852</v>
      </c>
      <c r="N50" s="741">
        <v>18951732.790000003</v>
      </c>
      <c r="O50" s="717">
        <v>4017735.65</v>
      </c>
      <c r="P50" s="741">
        <v>22695365.710000001</v>
      </c>
      <c r="Q50" s="717">
        <v>3721270.0129999998</v>
      </c>
      <c r="R50" s="741">
        <v>17742837.869999997</v>
      </c>
      <c r="S50" s="717">
        <v>4157629.7340000002</v>
      </c>
      <c r="T50" s="741">
        <v>21403514.879999995</v>
      </c>
      <c r="U50" s="717">
        <v>4091848.8079999997</v>
      </c>
      <c r="V50" s="741">
        <v>24239571.09</v>
      </c>
      <c r="W50" s="717">
        <v>5140757.4649999989</v>
      </c>
      <c r="X50" s="741">
        <v>40953017.02977553</v>
      </c>
      <c r="Y50" s="717">
        <v>5392071.0049999999</v>
      </c>
      <c r="Z50" s="741">
        <v>40918124.389614843</v>
      </c>
      <c r="AA50" s="717">
        <v>4550509.379999999</v>
      </c>
      <c r="AB50" s="741">
        <v>31922253.243429262</v>
      </c>
      <c r="AC50" s="717">
        <v>4183786.1129999994</v>
      </c>
      <c r="AD50" s="741">
        <v>28290387.588590167</v>
      </c>
      <c r="AE50" s="740">
        <v>3945670.6959999995</v>
      </c>
      <c r="AF50" s="741">
        <v>27848879.524784736</v>
      </c>
      <c r="AG50" s="930">
        <v>4315354.2699999986</v>
      </c>
      <c r="AH50" s="717">
        <v>31152137.614452325</v>
      </c>
      <c r="AI50" s="740">
        <v>4112602.0380000002</v>
      </c>
      <c r="AJ50" s="717">
        <v>39390008.100319326</v>
      </c>
      <c r="AK50" s="717">
        <v>5264193.2669999981</v>
      </c>
      <c r="AL50" s="717">
        <v>52753288.173484117</v>
      </c>
      <c r="AM50" s="717">
        <v>5453867.7300000004</v>
      </c>
      <c r="AN50" s="717">
        <v>56107099.914703593</v>
      </c>
      <c r="AO50" s="717">
        <v>5721833.6929999981</v>
      </c>
      <c r="AP50" s="717">
        <v>59304517.234888807</v>
      </c>
      <c r="AQ50" s="712">
        <f>SUMIF($C$9:AP$9,1,$C50:AP50)</f>
        <v>87724647.603</v>
      </c>
      <c r="AR50" s="194">
        <f>IF(COUNTIF($C50:AP50, "nfp")=0, SUMIF($C$9:AP$9,0,$C50:AP50), "nfp")</f>
        <v>671594458.57404268</v>
      </c>
      <c r="AT50" s="317"/>
      <c r="AU50" s="317"/>
      <c r="AV50" s="381"/>
      <c r="AW50" s="381"/>
    </row>
    <row r="51" spans="1:49">
      <c r="A51" s="131"/>
      <c r="B51" s="161"/>
      <c r="C51" s="717"/>
      <c r="D51" s="741"/>
      <c r="E51" s="717"/>
      <c r="F51" s="741"/>
      <c r="G51" s="717"/>
      <c r="H51" s="741"/>
      <c r="I51" s="717"/>
      <c r="J51" s="741"/>
      <c r="K51" s="717"/>
      <c r="L51" s="741"/>
      <c r="M51" s="717"/>
      <c r="N51" s="741"/>
      <c r="O51" s="717"/>
      <c r="P51" s="741"/>
      <c r="Q51" s="717"/>
      <c r="R51" s="741"/>
      <c r="S51" s="717"/>
      <c r="T51" s="741"/>
      <c r="U51" s="717"/>
      <c r="V51" s="741"/>
      <c r="W51" s="717"/>
      <c r="X51" s="741"/>
      <c r="Y51" s="717"/>
      <c r="Z51" s="741"/>
      <c r="AA51" s="717"/>
      <c r="AB51" s="741"/>
      <c r="AC51" s="741"/>
      <c r="AD51" s="741"/>
      <c r="AE51" s="740"/>
      <c r="AF51" s="741"/>
      <c r="AG51" s="930"/>
      <c r="AH51" s="717"/>
      <c r="AI51" s="1363"/>
      <c r="AJ51" s="1364"/>
      <c r="AK51" s="1364"/>
      <c r="AL51" s="1364"/>
      <c r="AM51" s="1364"/>
      <c r="AN51" s="1364"/>
      <c r="AO51" s="1364"/>
      <c r="AP51" s="1364"/>
      <c r="AQ51" s="712"/>
      <c r="AR51" s="194"/>
      <c r="AT51" s="317"/>
      <c r="AU51" s="317"/>
      <c r="AV51" s="381"/>
      <c r="AW51" s="381"/>
    </row>
    <row r="52" spans="1:49">
      <c r="A52" s="260" t="s">
        <v>503</v>
      </c>
      <c r="B52" s="256"/>
      <c r="C52" s="668"/>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668"/>
      <c r="AD52" s="668"/>
      <c r="AE52" s="736"/>
      <c r="AF52" s="668"/>
      <c r="AG52" s="736"/>
      <c r="AH52" s="910"/>
      <c r="AI52" s="1352"/>
      <c r="AJ52" s="910"/>
      <c r="AK52" s="910"/>
      <c r="AL52" s="910"/>
      <c r="AM52" s="910"/>
      <c r="AN52" s="910"/>
      <c r="AO52" s="910"/>
      <c r="AP52" s="910"/>
      <c r="AQ52" s="668"/>
      <c r="AR52" s="723"/>
      <c r="AT52" s="317"/>
      <c r="AU52" s="317"/>
      <c r="AV52" s="381"/>
      <c r="AW52" s="381"/>
    </row>
    <row r="53" spans="1:49">
      <c r="A53" s="263" t="s">
        <v>230</v>
      </c>
      <c r="B53" s="248" t="s">
        <v>67</v>
      </c>
      <c r="C53" s="723">
        <f>(SUMIFS('Lithium - Q&amp;V'!$B$8:$B$252,'Lithium - Q&amp;V'!$D$8:$D$252,LEFT('Q&amp;V FY 2003-04 to Now'!C$7,4),'Lithium - Q&amp;V'!$E$8:$E$252,3)+
SUMIFS('Lithium - Q&amp;V'!$B$8:$B$252,'Lithium - Q&amp;V'!$D$8:$D$252,LEFT('Q&amp;V FY 2003-04 to Now'!C$7,4),'Lithium - Q&amp;V'!$E$8:$E$252,4)+
SUMIFS('Lithium - Q&amp;V'!$B$8:$B$252,'Lithium - Q&amp;V'!$D$8:$D$252,CONCATENATE("20",RIGHT('Q&amp;V FY 2003-04 to Now'!C$7,2)),'Lithium - Q&amp;V'!$E$8:$E$252,1)+
SUMIFS('Lithium - Q&amp;V'!$B$8:$B$252,'Lithium - Q&amp;V'!$D$8:$D$252,CONCATENATE("20",RIGHT('Q&amp;V FY 2003-04 to Now'!C$7,2)),'Lithium - Q&amp;V'!$E$8:$E$252,2))*1000</f>
        <v>106372.99999999999</v>
      </c>
      <c r="D53" s="723">
        <f>(SUMIFS('Lithium - Q&amp;V'!$C$8:$C$252,'Lithium - Q&amp;V'!$D$8:$D$252,LEFT('Q&amp;V FY 2003-04 to Now'!C$7,4),'Lithium - Q&amp;V'!$E$8:$E$252,3)+
SUMIFS('Lithium - Q&amp;V'!$C$8:$C$252,'Lithium - Q&amp;V'!$D$8:$D$252,LEFT('Q&amp;V FY 2003-04 to Now'!C$7,4),'Lithium - Q&amp;V'!$E$8:$E$252,4)+
SUMIFS('Lithium - Q&amp;V'!$C$8:$C$252,'Lithium - Q&amp;V'!$D$8:$D$252,CONCATENATE("20",RIGHT('Q&amp;V FY 2003-04 to Now'!C$7,2)),'Lithium - Q&amp;V'!$E$8:$E$252,1)+
SUMIFS('Lithium - Q&amp;V'!$C$8:$C$252,'Lithium - Q&amp;V'!$D$8:$D$252,CONCATENATE("20",RIGHT('Q&amp;V FY 2003-04 to Now'!C$7,2)),'Lithium - Q&amp;V'!$E$8:$E$252,2))*1000000</f>
        <v>21381603</v>
      </c>
      <c r="E53" s="723">
        <f>(SUMIFS('Lithium - Q&amp;V'!$B$8:$B$252,'Lithium - Q&amp;V'!$D$8:$D$252,LEFT('Q&amp;V FY 2003-04 to Now'!E$7,4),'Lithium - Q&amp;V'!$E$8:$E$252,3)+
SUMIFS('Lithium - Q&amp;V'!$B$8:$B$252,'Lithium - Q&amp;V'!$D$8:$D$252,LEFT('Q&amp;V FY 2003-04 to Now'!E$7,4),'Lithium - Q&amp;V'!$E$8:$E$252,4)+
SUMIFS('Lithium - Q&amp;V'!$B$8:$B$252,'Lithium - Q&amp;V'!$D$8:$D$252,CONCATENATE("20",RIGHT('Q&amp;V FY 2003-04 to Now'!E$7,2)),'Lithium - Q&amp;V'!$E$8:$E$252,1)+
SUMIFS('Lithium - Q&amp;V'!$B$8:$B$252,'Lithium - Q&amp;V'!$D$8:$D$252,CONCATENATE("20",RIGHT('Q&amp;V FY 2003-04 to Now'!E$7,2)),'Lithium - Q&amp;V'!$E$8:$E$252,2))*1000</f>
        <v>108804</v>
      </c>
      <c r="F53" s="723">
        <f>(SUMIFS('Lithium - Q&amp;V'!$C$8:$C$252,'Lithium - Q&amp;V'!$D$8:$D$252,LEFT('Q&amp;V FY 2003-04 to Now'!E$7,4),'Lithium - Q&amp;V'!$E$8:$E$252,3)+
SUMIFS('Lithium - Q&amp;V'!$C$8:$C$252,'Lithium - Q&amp;V'!$D$8:$D$252,LEFT('Q&amp;V FY 2003-04 to Now'!E$7,4),'Lithium - Q&amp;V'!$E$8:$E$252,4)+
SUMIFS('Lithium - Q&amp;V'!$C$8:$C$252,'Lithium - Q&amp;V'!$D$8:$D$252,CONCATENATE("20",RIGHT('Q&amp;V FY 2003-04 to Now'!E$7,2)),'Lithium - Q&amp;V'!$E$8:$E$252,1)+
SUMIFS('Lithium - Q&amp;V'!$C$8:$C$252,'Lithium - Q&amp;V'!$D$8:$D$252,CONCATENATE("20",RIGHT('Q&amp;V FY 2003-04 to Now'!E$7,2)),'Lithium - Q&amp;V'!$E$8:$E$252,2))*1000000</f>
        <v>23466171</v>
      </c>
      <c r="G53" s="723">
        <f>(SUMIFS('Lithium - Q&amp;V'!$B$8:$B$252,'Lithium - Q&amp;V'!$D$8:$D$252,LEFT('Q&amp;V FY 2003-04 to Now'!G$7,4),'Lithium - Q&amp;V'!$E$8:$E$252,3)+
SUMIFS('Lithium - Q&amp;V'!$B$8:$B$252,'Lithium - Q&amp;V'!$D$8:$D$252,LEFT('Q&amp;V FY 2003-04 to Now'!G$7,4),'Lithium - Q&amp;V'!$E$8:$E$252,4)+
SUMIFS('Lithium - Q&amp;V'!$B$8:$B$252,'Lithium - Q&amp;V'!$D$8:$D$252,CONCATENATE("20",RIGHT('Q&amp;V FY 2003-04 to Now'!G$7,2)),'Lithium - Q&amp;V'!$E$8:$E$252,1)+
SUMIFS('Lithium - Q&amp;V'!$B$8:$B$252,'Lithium - Q&amp;V'!$D$8:$D$252,CONCATENATE("20",RIGHT('Q&amp;V FY 2003-04 to Now'!G$7,2)),'Lithium - Q&amp;V'!$E$8:$E$252,2))*1000</f>
        <v>193228.99999999997</v>
      </c>
      <c r="H53" s="723">
        <f>(SUMIFS('Lithium - Q&amp;V'!$C$8:$C$252,'Lithium - Q&amp;V'!$D$8:$D$252,LEFT('Q&amp;V FY 2003-04 to Now'!G$7,4),'Lithium - Q&amp;V'!$E$8:$E$252,3)+
SUMIFS('Lithium - Q&amp;V'!$C$8:$C$252,'Lithium - Q&amp;V'!$D$8:$D$252,LEFT('Q&amp;V FY 2003-04 to Now'!G$7,4),'Lithium - Q&amp;V'!$E$8:$E$252,4)+
SUMIFS('Lithium - Q&amp;V'!$C$8:$C$252,'Lithium - Q&amp;V'!$D$8:$D$252,CONCATENATE("20",RIGHT('Q&amp;V FY 2003-04 to Now'!G$7,2)),'Lithium - Q&amp;V'!$E$8:$E$252,1)+
SUMIFS('Lithium - Q&amp;V'!$C$8:$C$252,'Lithium - Q&amp;V'!$D$8:$D$252,CONCATENATE("20",RIGHT('Q&amp;V FY 2003-04 to Now'!G$7,2)),'Lithium - Q&amp;V'!$E$8:$E$252,2))*1000000</f>
        <v>36636462</v>
      </c>
      <c r="I53" s="723">
        <f>(SUMIFS('Lithium - Q&amp;V'!$B$8:$B$252,'Lithium - Q&amp;V'!$D$8:$D$252,LEFT('Q&amp;V FY 2003-04 to Now'!I$7,4),'Lithium - Q&amp;V'!$E$8:$E$252,3)+
SUMIFS('Lithium - Q&amp;V'!$B$8:$B$252,'Lithium - Q&amp;V'!$D$8:$D$252,LEFT('Q&amp;V FY 2003-04 to Now'!I$7,4),'Lithium - Q&amp;V'!$E$8:$E$252,4)+
SUMIFS('Lithium - Q&amp;V'!$B$8:$B$252,'Lithium - Q&amp;V'!$D$8:$D$252,CONCATENATE("20",RIGHT('Q&amp;V FY 2003-04 to Now'!I$7,2)),'Lithium - Q&amp;V'!$E$8:$E$252,1)+
SUMIFS('Lithium - Q&amp;V'!$B$8:$B$252,'Lithium - Q&amp;V'!$D$8:$D$252,CONCATENATE("20",RIGHT('Q&amp;V FY 2003-04 to Now'!I$7,2)),'Lithium - Q&amp;V'!$E$8:$E$252,2))*1000</f>
        <v>290432</v>
      </c>
      <c r="J53" s="723">
        <f>(SUMIFS('Lithium - Q&amp;V'!$C$8:$C$252,'Lithium - Q&amp;V'!$D$8:$D$252,LEFT('Q&amp;V FY 2003-04 to Now'!I$7,4),'Lithium - Q&amp;V'!$E$8:$E$252,3)+
SUMIFS('Lithium - Q&amp;V'!$C$8:$C$252,'Lithium - Q&amp;V'!$D$8:$D$252,LEFT('Q&amp;V FY 2003-04 to Now'!I$7,4),'Lithium - Q&amp;V'!$E$8:$E$252,4)+
SUMIFS('Lithium - Q&amp;V'!$C$8:$C$252,'Lithium - Q&amp;V'!$D$8:$D$252,CONCATENATE("20",RIGHT('Q&amp;V FY 2003-04 to Now'!I$7,2)),'Lithium - Q&amp;V'!$E$8:$E$252,1)+
SUMIFS('Lithium - Q&amp;V'!$C$8:$C$252,'Lithium - Q&amp;V'!$D$8:$D$252,CONCATENATE("20",RIGHT('Q&amp;V FY 2003-04 to Now'!I$7,2)),'Lithium - Q&amp;V'!$E$8:$E$252,2))*1000000</f>
        <v>72200944</v>
      </c>
      <c r="K53" s="723">
        <f>(SUMIFS('Lithium - Q&amp;V'!$B$8:$B$252,'Lithium - Q&amp;V'!$D$8:$D$252,LEFT('Q&amp;V FY 2003-04 to Now'!K$7,4),'Lithium - Q&amp;V'!$E$8:$E$252,3)+
SUMIFS('Lithium - Q&amp;V'!$B$8:$B$252,'Lithium - Q&amp;V'!$D$8:$D$252,LEFT('Q&amp;V FY 2003-04 to Now'!K$7,4),'Lithium - Q&amp;V'!$E$8:$E$252,4)+
SUMIFS('Lithium - Q&amp;V'!$B$8:$B$252,'Lithium - Q&amp;V'!$D$8:$D$252,CONCATENATE("20",RIGHT('Q&amp;V FY 2003-04 to Now'!K$7,2)),'Lithium - Q&amp;V'!$E$8:$E$252,1)+
SUMIFS('Lithium - Q&amp;V'!$B$8:$B$252,'Lithium - Q&amp;V'!$D$8:$D$252,CONCATENATE("20",RIGHT('Q&amp;V FY 2003-04 to Now'!K$7,2)),'Lithium - Q&amp;V'!$E$8:$E$252,2))*1000</f>
        <v>246015</v>
      </c>
      <c r="L53" s="723">
        <f>(SUMIFS('Lithium - Q&amp;V'!$C$8:$C$252,'Lithium - Q&amp;V'!$D$8:$D$252,LEFT('Q&amp;V FY 2003-04 to Now'!K$7,4),'Lithium - Q&amp;V'!$E$8:$E$252,3)+
SUMIFS('Lithium - Q&amp;V'!$C$8:$C$252,'Lithium - Q&amp;V'!$D$8:$D$252,LEFT('Q&amp;V FY 2003-04 to Now'!K$7,4),'Lithium - Q&amp;V'!$E$8:$E$252,4)+
SUMIFS('Lithium - Q&amp;V'!$C$8:$C$252,'Lithium - Q&amp;V'!$D$8:$D$252,CONCATENATE("20",RIGHT('Q&amp;V FY 2003-04 to Now'!K$7,2)),'Lithium - Q&amp;V'!$E$8:$E$252,1)+
SUMIFS('Lithium - Q&amp;V'!$C$8:$C$252,'Lithium - Q&amp;V'!$D$8:$D$252,CONCATENATE("20",RIGHT('Q&amp;V FY 2003-04 to Now'!K$7,2)),'Lithium - Q&amp;V'!$E$8:$E$252,2))*1000000</f>
        <v>69975835</v>
      </c>
      <c r="M53" s="723">
        <f>(SUMIFS('Lithium - Q&amp;V'!$B$8:$B$252,'Lithium - Q&amp;V'!$D$8:$D$252,LEFT('Q&amp;V FY 2003-04 to Now'!M$7,4),'Lithium - Q&amp;V'!$E$8:$E$252,3)+
SUMIFS('Lithium - Q&amp;V'!$B$8:$B$252,'Lithium - Q&amp;V'!$D$8:$D$252,LEFT('Q&amp;V FY 2003-04 to Now'!M$7,4),'Lithium - Q&amp;V'!$E$8:$E$252,4)+
SUMIFS('Lithium - Q&amp;V'!$B$8:$B$252,'Lithium - Q&amp;V'!$D$8:$D$252,CONCATENATE("20",RIGHT('Q&amp;V FY 2003-04 to Now'!M$7,2)),'Lithium - Q&amp;V'!$E$8:$E$252,1)+
SUMIFS('Lithium - Q&amp;V'!$B$8:$B$252,'Lithium - Q&amp;V'!$D$8:$D$252,CONCATENATE("20",RIGHT('Q&amp;V FY 2003-04 to Now'!M$7,2)),'Lithium - Q&amp;V'!$E$8:$E$252,2))*1000</f>
        <v>223756.15</v>
      </c>
      <c r="N53" s="723">
        <f>(SUMIFS('Lithium - Q&amp;V'!$C$8:$C$252,'Lithium - Q&amp;V'!$D$8:$D$252,LEFT('Q&amp;V FY 2003-04 to Now'!M$7,4),'Lithium - Q&amp;V'!$E$8:$E$252,3)+
SUMIFS('Lithium - Q&amp;V'!$C$8:$C$252,'Lithium - Q&amp;V'!$D$8:$D$252,LEFT('Q&amp;V FY 2003-04 to Now'!M$7,4),'Lithium - Q&amp;V'!$E$8:$E$252,4)+
SUMIFS('Lithium - Q&amp;V'!$C$8:$C$252,'Lithium - Q&amp;V'!$D$8:$D$252,CONCATENATE("20",RIGHT('Q&amp;V FY 2003-04 to Now'!M$7,2)),'Lithium - Q&amp;V'!$E$8:$E$252,1)+
SUMIFS('Lithium - Q&amp;V'!$C$8:$C$252,'Lithium - Q&amp;V'!$D$8:$D$252,CONCATENATE("20",RIGHT('Q&amp;V FY 2003-04 to Now'!M$7,2)),'Lithium - Q&amp;V'!$E$8:$E$252,2))*1000000</f>
        <v>80063204.329999998</v>
      </c>
      <c r="O53" s="723">
        <f>(SUMIFS('Lithium - Q&amp;V'!$B$8:$B$252,'Lithium - Q&amp;V'!$D$8:$D$252,LEFT('Q&amp;V FY 2003-04 to Now'!O$7,4),'Lithium - Q&amp;V'!$E$8:$E$252,3)+
SUMIFS('Lithium - Q&amp;V'!$B$8:$B$252,'Lithium - Q&amp;V'!$D$8:$D$252,LEFT('Q&amp;V FY 2003-04 to Now'!O$7,4),'Lithium - Q&amp;V'!$E$8:$E$252,4)+
SUMIFS('Lithium - Q&amp;V'!$B$8:$B$252,'Lithium - Q&amp;V'!$D$8:$D$252,CONCATENATE("20",RIGHT('Q&amp;V FY 2003-04 to Now'!O$7,2)),'Lithium - Q&amp;V'!$E$8:$E$252,1)+
SUMIFS('Lithium - Q&amp;V'!$B$8:$B$252,'Lithium - Q&amp;V'!$D$8:$D$252,CONCATENATE("20",RIGHT('Q&amp;V FY 2003-04 to Now'!O$7,2)),'Lithium - Q&amp;V'!$E$8:$E$252,2))*1000</f>
        <v>247422.00000000003</v>
      </c>
      <c r="P53" s="723">
        <f>(SUMIFS('Lithium - Q&amp;V'!$C$8:$C$252,'Lithium - Q&amp;V'!$D$8:$D$252,LEFT('Q&amp;V FY 2003-04 to Now'!O$7,4),'Lithium - Q&amp;V'!$E$8:$E$252,3)+
SUMIFS('Lithium - Q&amp;V'!$C$8:$C$252,'Lithium - Q&amp;V'!$D$8:$D$252,LEFT('Q&amp;V FY 2003-04 to Now'!O$7,4),'Lithium - Q&amp;V'!$E$8:$E$252,4)+
SUMIFS('Lithium - Q&amp;V'!$C$8:$C$252,'Lithium - Q&amp;V'!$D$8:$D$252,CONCATENATE("20",RIGHT('Q&amp;V FY 2003-04 to Now'!O$7,2)),'Lithium - Q&amp;V'!$E$8:$E$252,1)+
SUMIFS('Lithium - Q&amp;V'!$C$8:$C$252,'Lithium - Q&amp;V'!$D$8:$D$252,CONCATENATE("20",RIGHT('Q&amp;V FY 2003-04 to Now'!O$7,2)),'Lithium - Q&amp;V'!$E$8:$E$252,2))*1000000</f>
        <v>73436811</v>
      </c>
      <c r="Q53" s="723">
        <f>(SUMIFS('Lithium - Q&amp;V'!$B$8:$B$252,'Lithium - Q&amp;V'!$D$8:$D$252,LEFT('Q&amp;V FY 2003-04 to Now'!Q$7,4),'Lithium - Q&amp;V'!$E$8:$E$252,3)+
SUMIFS('Lithium - Q&amp;V'!$B$8:$B$252,'Lithium - Q&amp;V'!$D$8:$D$252,LEFT('Q&amp;V FY 2003-04 to Now'!Q$7,4),'Lithium - Q&amp;V'!$E$8:$E$252,4)+
SUMIFS('Lithium - Q&amp;V'!$B$8:$B$252,'Lithium - Q&amp;V'!$D$8:$D$252,CONCATENATE("20",RIGHT('Q&amp;V FY 2003-04 to Now'!Q$7,2)),'Lithium - Q&amp;V'!$E$8:$E$252,1)+
SUMIFS('Lithium - Q&amp;V'!$B$8:$B$252,'Lithium - Q&amp;V'!$D$8:$D$252,CONCATENATE("20",RIGHT('Q&amp;V FY 2003-04 to Now'!Q$7,2)),'Lithium - Q&amp;V'!$E$8:$E$252,2))*1000</f>
        <v>352417.69999999995</v>
      </c>
      <c r="R53" s="723">
        <f>(SUMIFS('Lithium - Q&amp;V'!$C$8:$C$252,'Lithium - Q&amp;V'!$D$8:$D$252,LEFT('Q&amp;V FY 2003-04 to Now'!Q$7,4),'Lithium - Q&amp;V'!$E$8:$E$252,3)+
SUMIFS('Lithium - Q&amp;V'!$C$8:$C$252,'Lithium - Q&amp;V'!$D$8:$D$252,LEFT('Q&amp;V FY 2003-04 to Now'!Q$7,4),'Lithium - Q&amp;V'!$E$8:$E$252,4)+
SUMIFS('Lithium - Q&amp;V'!$C$8:$C$252,'Lithium - Q&amp;V'!$D$8:$D$252,CONCATENATE("20",RIGHT('Q&amp;V FY 2003-04 to Now'!Q$7,2)),'Lithium - Q&amp;V'!$E$8:$E$252,1)+
SUMIFS('Lithium - Q&amp;V'!$C$8:$C$252,'Lithium - Q&amp;V'!$D$8:$D$252,CONCATENATE("20",RIGHT('Q&amp;V FY 2003-04 to Now'!Q$7,2)),'Lithium - Q&amp;V'!$E$8:$E$252,2))*1000000</f>
        <v>103317679.97</v>
      </c>
      <c r="S53" s="723">
        <f>(SUMIFS('Lithium - Q&amp;V'!$B$8:$B$252,'Lithium - Q&amp;V'!$D$8:$D$252,LEFT('Q&amp;V FY 2003-04 to Now'!S$7,4),'Lithium - Q&amp;V'!$E$8:$E$252,3)+
SUMIFS('Lithium - Q&amp;V'!$B$8:$B$252,'Lithium - Q&amp;V'!$D$8:$D$252,LEFT('Q&amp;V FY 2003-04 to Now'!S$7,4),'Lithium - Q&amp;V'!$E$8:$E$252,4)+
SUMIFS('Lithium - Q&amp;V'!$B$8:$B$252,'Lithium - Q&amp;V'!$D$8:$D$252,CONCATENATE("20",RIGHT('Q&amp;V FY 2003-04 to Now'!S$7,2)),'Lithium - Q&amp;V'!$E$8:$E$252,1)+
SUMIFS('Lithium - Q&amp;V'!$B$8:$B$252,'Lithium - Q&amp;V'!$D$8:$D$252,CONCATENATE("20",RIGHT('Q&amp;V FY 2003-04 to Now'!S$7,2)),'Lithium - Q&amp;V'!$E$8:$E$252,2))*1000</f>
        <v>461120.81</v>
      </c>
      <c r="T53" s="723">
        <f>(SUMIFS('Lithium - Q&amp;V'!$C$8:$C$252,'Lithium - Q&amp;V'!$D$8:$D$252,LEFT('Q&amp;V FY 2003-04 to Now'!S$7,4),'Lithium - Q&amp;V'!$E$8:$E$252,3)+
SUMIFS('Lithium - Q&amp;V'!$C$8:$C$252,'Lithium - Q&amp;V'!$D$8:$D$252,LEFT('Q&amp;V FY 2003-04 to Now'!S$7,4),'Lithium - Q&amp;V'!$E$8:$E$252,4)+
SUMIFS('Lithium - Q&amp;V'!$C$8:$C$252,'Lithium - Q&amp;V'!$D$8:$D$252,CONCATENATE("20",RIGHT('Q&amp;V FY 2003-04 to Now'!S$7,2)),'Lithium - Q&amp;V'!$E$8:$E$252,1)+
SUMIFS('Lithium - Q&amp;V'!$C$8:$C$252,'Lithium - Q&amp;V'!$D$8:$D$252,CONCATENATE("20",RIGHT('Q&amp;V FY 2003-04 to Now'!S$7,2)),'Lithium - Q&amp;V'!$E$8:$E$252,2))*1000000</f>
        <v>138413821.05999997</v>
      </c>
      <c r="U53" s="723">
        <f>(SUMIFS('Lithium - Q&amp;V'!$B$8:$B$252,'Lithium - Q&amp;V'!$D$8:$D$252,LEFT('Q&amp;V FY 2003-04 to Now'!U$7,4),'Lithium - Q&amp;V'!$E$8:$E$252,3)+
SUMIFS('Lithium - Q&amp;V'!$B$8:$B$252,'Lithium - Q&amp;V'!$D$8:$D$252,LEFT('Q&amp;V FY 2003-04 to Now'!U$7,4),'Lithium - Q&amp;V'!$E$8:$E$252,4)+
SUMIFS('Lithium - Q&amp;V'!$B$8:$B$252,'Lithium - Q&amp;V'!$D$8:$D$252,CONCATENATE("20",RIGHT('Q&amp;V FY 2003-04 to Now'!U$7,2)),'Lithium - Q&amp;V'!$E$8:$E$252,1)+
SUMIFS('Lithium - Q&amp;V'!$B$8:$B$252,'Lithium - Q&amp;V'!$D$8:$D$252,CONCATENATE("20",RIGHT('Q&amp;V FY 2003-04 to Now'!U$7,2)),'Lithium - Q&amp;V'!$E$8:$E$252,2))*1000</f>
        <v>485878.88999999996</v>
      </c>
      <c r="V53" s="723">
        <f>(SUMIFS('Lithium - Q&amp;V'!$C$8:$C$252,'Lithium - Q&amp;V'!$D$8:$D$252,LEFT('Q&amp;V FY 2003-04 to Now'!U$7,4),'Lithium - Q&amp;V'!$E$8:$E$252,3)+
SUMIFS('Lithium - Q&amp;V'!$C$8:$C$252,'Lithium - Q&amp;V'!$D$8:$D$252,LEFT('Q&amp;V FY 2003-04 to Now'!U$7,4),'Lithium - Q&amp;V'!$E$8:$E$252,4)+
SUMIFS('Lithium - Q&amp;V'!$C$8:$C$252,'Lithium - Q&amp;V'!$D$8:$D$252,CONCATENATE("20",RIGHT('Q&amp;V FY 2003-04 to Now'!U$7,2)),'Lithium - Q&amp;V'!$E$8:$E$252,1)+
SUMIFS('Lithium - Q&amp;V'!$C$8:$C$252,'Lithium - Q&amp;V'!$D$8:$D$252,CONCATENATE("20",RIGHT('Q&amp;V FY 2003-04 to Now'!U$7,2)),'Lithium - Q&amp;V'!$E$8:$E$252,2))*1000000</f>
        <v>178786684.56999996</v>
      </c>
      <c r="W53" s="723">
        <f>(SUMIFS('Lithium - Q&amp;V'!$B$8:$B$252,'Lithium - Q&amp;V'!$D$8:$D$252,LEFT('Q&amp;V FY 2003-04 to Now'!W$7,4),'Lithium - Q&amp;V'!$E$8:$E$252,3)+
SUMIFS('Lithium - Q&amp;V'!$B$8:$B$252,'Lithium - Q&amp;V'!$D$8:$D$252,LEFT('Q&amp;V FY 2003-04 to Now'!W$7,4),'Lithium - Q&amp;V'!$E$8:$E$252,4)+
SUMIFS('Lithium - Q&amp;V'!$B$8:$B$252,'Lithium - Q&amp;V'!$D$8:$D$252,CONCATENATE("20",RIGHT('Q&amp;V FY 2003-04 to Now'!W$7,2)),'Lithium - Q&amp;V'!$E$8:$E$252,1)+
SUMIFS('Lithium - Q&amp;V'!$B$8:$B$252,'Lithium - Q&amp;V'!$D$8:$D$252,CONCATENATE("20",RIGHT('Q&amp;V FY 2003-04 to Now'!W$7,2)),'Lithium - Q&amp;V'!$E$8:$E$252,2))*1000</f>
        <v>342065</v>
      </c>
      <c r="X53" s="723">
        <f>(SUMIFS('Lithium - Q&amp;V'!$C$8:$C$252,'Lithium - Q&amp;V'!$D$8:$D$252,LEFT('Q&amp;V FY 2003-04 to Now'!W$7,4),'Lithium - Q&amp;V'!$E$8:$E$252,3)+
SUMIFS('Lithium - Q&amp;V'!$C$8:$C$252,'Lithium - Q&amp;V'!$D$8:$D$252,LEFT('Q&amp;V FY 2003-04 to Now'!W$7,4),'Lithium - Q&amp;V'!$E$8:$E$252,4)+
SUMIFS('Lithium - Q&amp;V'!$C$8:$C$252,'Lithium - Q&amp;V'!$D$8:$D$252,CONCATENATE("20",RIGHT('Q&amp;V FY 2003-04 to Now'!W$7,2)),'Lithium - Q&amp;V'!$E$8:$E$252,1)+
SUMIFS('Lithium - Q&amp;V'!$C$8:$C$252,'Lithium - Q&amp;V'!$D$8:$D$252,CONCATENATE("20",RIGHT('Q&amp;V FY 2003-04 to Now'!W$7,2)),'Lithium - Q&amp;V'!$E$8:$E$252,2))*1000000</f>
        <v>150564376.99999997</v>
      </c>
      <c r="Y53" s="723">
        <f>(SUMIFS('Lithium - Q&amp;V'!$B$8:$B$252,'Lithium - Q&amp;V'!$D$8:$D$252,LEFT('Q&amp;V FY 2003-04 to Now'!Y$7,4),'Lithium - Q&amp;V'!$E$8:$E$252,3)+
SUMIFS('Lithium - Q&amp;V'!$B$8:$B$252,'Lithium - Q&amp;V'!$D$8:$D$252,LEFT('Q&amp;V FY 2003-04 to Now'!Y$7,4),'Lithium - Q&amp;V'!$E$8:$E$252,4)+
SUMIFS('Lithium - Q&amp;V'!$B$8:$B$252,'Lithium - Q&amp;V'!$D$8:$D$252,CONCATENATE("20",RIGHT('Q&amp;V FY 2003-04 to Now'!Y$7,2)),'Lithium - Q&amp;V'!$E$8:$E$252,1)+
SUMIFS('Lithium - Q&amp;V'!$B$8:$B$252,'Lithium - Q&amp;V'!$D$8:$D$252,CONCATENATE("20",RIGHT('Q&amp;V FY 2003-04 to Now'!Y$7,2)),'Lithium - Q&amp;V'!$E$8:$E$252,2))*1000</f>
        <v>489073.99999999994</v>
      </c>
      <c r="Z53" s="723">
        <f>(SUMIFS('Lithium - Q&amp;V'!$C$8:$C$252,'Lithium - Q&amp;V'!$D$8:$D$252,LEFT('Q&amp;V FY 2003-04 to Now'!Y$7,4),'Lithium - Q&amp;V'!$E$8:$E$252,3)+
SUMIFS('Lithium - Q&amp;V'!$C$8:$C$252,'Lithium - Q&amp;V'!$D$8:$D$252,LEFT('Q&amp;V FY 2003-04 to Now'!Y$7,4),'Lithium - Q&amp;V'!$E$8:$E$252,4)+
SUMIFS('Lithium - Q&amp;V'!$C$8:$C$252,'Lithium - Q&amp;V'!$D$8:$D$252,CONCATENATE("20",RIGHT('Q&amp;V FY 2003-04 to Now'!Y$7,2)),'Lithium - Q&amp;V'!$E$8:$E$252,1)+
SUMIFS('Lithium - Q&amp;V'!$C$8:$C$252,'Lithium - Q&amp;V'!$D$8:$D$252,CONCATENATE("20",RIGHT('Q&amp;V FY 2003-04 to Now'!Y$7,2)),'Lithium - Q&amp;V'!$E$8:$E$252,2))*1000000</f>
        <v>245874387</v>
      </c>
      <c r="AA53" s="723">
        <f>(SUMIFS('Lithium - Q&amp;V'!$B$8:$B$252,'Lithium - Q&amp;V'!$D$8:$D$252,LEFT('Q&amp;V FY 2003-04 to Now'!AA$7,4),'Lithium - Q&amp;V'!$E$8:$E$252,3)+
SUMIFS('Lithium - Q&amp;V'!$B$8:$B$252,'Lithium - Q&amp;V'!$D$8:$D$252,LEFT('Q&amp;V FY 2003-04 to Now'!AA$7,4),'Lithium - Q&amp;V'!$E$8:$E$252,4)+
SUMIFS('Lithium - Q&amp;V'!$B$8:$B$252,'Lithium - Q&amp;V'!$D$8:$D$252,CONCATENATE("20",RIGHT('Q&amp;V FY 2003-04 to Now'!AA$7,2)),'Lithium - Q&amp;V'!$E$8:$E$252,1)+
SUMIFS('Lithium - Q&amp;V'!$B$8:$B$252,'Lithium - Q&amp;V'!$D$8:$D$252,CONCATENATE("20",RIGHT('Q&amp;V FY 2003-04 to Now'!AA$7,2)),'Lithium - Q&amp;V'!$E$8:$E$252,2))*1000</f>
        <v>465817</v>
      </c>
      <c r="AB53" s="723">
        <f>(SUMIFS('Lithium - Q&amp;V'!$C$8:$C$252,'Lithium - Q&amp;V'!$D$8:$D$252,LEFT('Q&amp;V FY 2003-04 to Now'!AA$7,4),'Lithium - Q&amp;V'!$E$8:$E$252,3)+
SUMIFS('Lithium - Q&amp;V'!$C$8:$C$252,'Lithium - Q&amp;V'!$D$8:$D$252,LEFT('Q&amp;V FY 2003-04 to Now'!AA$7,4),'Lithium - Q&amp;V'!$E$8:$E$252,4)+
SUMIFS('Lithium - Q&amp;V'!$C$8:$C$252,'Lithium - Q&amp;V'!$D$8:$D$252,CONCATENATE("20",RIGHT('Q&amp;V FY 2003-04 to Now'!AA$7,2)),'Lithium - Q&amp;V'!$E$8:$E$252,1)+
SUMIFS('Lithium - Q&amp;V'!$C$8:$C$252,'Lithium - Q&amp;V'!$D$8:$D$252,CONCATENATE("20",RIGHT('Q&amp;V FY 2003-04 to Now'!AA$7,2)),'Lithium - Q&amp;V'!$E$8:$E$252,2))*1000000</f>
        <v>260721539.99999994</v>
      </c>
      <c r="AC53" s="723">
        <f>(SUMIFS('Lithium - Q&amp;V'!$B$8:$B$252,'Lithium - Q&amp;V'!$D$8:$D$252,LEFT('Q&amp;V FY 2003-04 to Now'!AC$7,4),'Lithium - Q&amp;V'!$E$8:$E$252,3)+
SUMIFS('Lithium - Q&amp;V'!$B$8:$B$252,'Lithium - Q&amp;V'!$D$8:$D$252,LEFT('Q&amp;V FY 2003-04 to Now'!AC$7,4),'Lithium - Q&amp;V'!$E$8:$E$252,4)+
SUMIFS('Lithium - Q&amp;V'!$B$8:$B$252,'Lithium - Q&amp;V'!$D$8:$D$252,CONCATENATE("20",RIGHT('Q&amp;V FY 2003-04 to Now'!AC$7,2)),'Lithium - Q&amp;V'!$E$8:$E$252,1)+
SUMIFS('Lithium - Q&amp;V'!$B$8:$B$252,'Lithium - Q&amp;V'!$D$8:$D$252,CONCATENATE("20",RIGHT('Q&amp;V FY 2003-04 to Now'!AC$7,2)),'Lithium - Q&amp;V'!$E$8:$E$252,2))*1000</f>
        <v>914056.27499999991</v>
      </c>
      <c r="AD53" s="723">
        <f>(SUMIFS('Lithium - Q&amp;V'!$C$8:$C$252,'Lithium - Q&amp;V'!$D$8:$D$252,LEFT('Q&amp;V FY 2003-04 to Now'!AC$7,4),'Lithium - Q&amp;V'!$E$8:$E$252,3)+
SUMIFS('Lithium - Q&amp;V'!$C$8:$C$252,'Lithium - Q&amp;V'!$D$8:$D$252,LEFT('Q&amp;V FY 2003-04 to Now'!AC$7,4),'Lithium - Q&amp;V'!$E$8:$E$252,4)+
SUMIFS('Lithium - Q&amp;V'!$C$8:$C$252,'Lithium - Q&amp;V'!$D$8:$D$252,CONCATENATE("20",RIGHT('Q&amp;V FY 2003-04 to Now'!AC$7,2)),'Lithium - Q&amp;V'!$E$8:$E$252,1)+
SUMIFS('Lithium - Q&amp;V'!$C$8:$C$252,'Lithium - Q&amp;V'!$D$8:$D$252,CONCATENATE("20",RIGHT('Q&amp;V FY 2003-04 to Now'!AC$7,2)),'Lithium - Q&amp;V'!$E$8:$E$252,2))*1000000</f>
        <v>595472095</v>
      </c>
      <c r="AE53" s="734">
        <f>(SUMIFS('Lithium - Q&amp;V'!$B$8:$B$252,'Lithium - Q&amp;V'!$D$8:$D$252,LEFT('Q&amp;V FY 2003-04 to Now'!AE$7,4),'Lithium - Q&amp;V'!$E$8:$E$252,3)+
SUMIFS('Lithium - Q&amp;V'!$B$8:$B$252,'Lithium - Q&amp;V'!$D$8:$D$252,LEFT('Q&amp;V FY 2003-04 to Now'!AE$7,4),'Lithium - Q&amp;V'!$E$8:$E$252,4)+
SUMIFS('Lithium - Q&amp;V'!$B$8:$B$252,'Lithium - Q&amp;V'!$D$8:$D$252,CONCATENATE("20",RIGHT('Q&amp;V FY 2003-04 to Now'!AE$7,2)),'Lithium - Q&amp;V'!$E$8:$E$252,1)+
SUMIFS('Lithium - Q&amp;V'!$B$8:$B$252,'Lithium - Q&amp;V'!$D$8:$D$252,CONCATENATE("20",RIGHT('Q&amp;V FY 2003-04 to Now'!AE$7,2)),'Lithium - Q&amp;V'!$E$8:$E$252,2))*1000</f>
        <v>2138226.0175000001</v>
      </c>
      <c r="AF53" s="723">
        <f>(SUMIFS('Lithium - Q&amp;V'!$C$8:$C$252,'Lithium - Q&amp;V'!$D$8:$D$252,LEFT('Q&amp;V FY 2003-04 to Now'!AE$7,4),'Lithium - Q&amp;V'!$E$8:$E$252,3)+
SUMIFS('Lithium - Q&amp;V'!$C$8:$C$252,'Lithium - Q&amp;V'!$D$8:$D$252,LEFT('Q&amp;V FY 2003-04 to Now'!AE$7,4),'Lithium - Q&amp;V'!$E$8:$E$252,4)+
SUMIFS('Lithium - Q&amp;V'!$C$8:$C$252,'Lithium - Q&amp;V'!$D$8:$D$252,CONCATENATE("20",RIGHT('Q&amp;V FY 2003-04 to Now'!AE$7,2)),'Lithium - Q&amp;V'!$E$8:$E$252,1)+
SUMIFS('Lithium - Q&amp;V'!$C$8:$C$252,'Lithium - Q&amp;V'!$D$8:$D$252,CONCATENATE("20",RIGHT('Q&amp;V FY 2003-04 to Now'!AE$7,2)),'Lithium - Q&amp;V'!$E$8:$E$252,2))*1000000</f>
        <v>1698466966.9999998</v>
      </c>
      <c r="AG53" s="734">
        <f>(SUMIFS('Lithium - Q&amp;V'!$B$8:$B$252,'Lithium - Q&amp;V'!$D$8:$D$252,LEFT('Q&amp;V FY 2003-04 to Now'!AG$7,4),'Lithium - Q&amp;V'!$E$8:$E$252,3)+
SUMIFS('Lithium - Q&amp;V'!$B$8:$B$252,'Lithium - Q&amp;V'!$D$8:$D$252,LEFT('Q&amp;V FY 2003-04 to Now'!AG$7,4),'Lithium - Q&amp;V'!$E$8:$E$252,4)+
SUMIFS('Lithium - Q&amp;V'!$B$8:$B$252,'Lithium - Q&amp;V'!$D$8:$D$252,CONCATENATE("20",RIGHT('Q&amp;V FY 2003-04 to Now'!AG$7,2)),'Lithium - Q&amp;V'!$E$8:$E$252,1)+
SUMIFS('Lithium - Q&amp;V'!$B$8:$B$252,'Lithium - Q&amp;V'!$D$8:$D$252,CONCATENATE("20",RIGHT('Q&amp;V FY 2003-04 to Now'!AG$7,2)),'Lithium - Q&amp;V'!$E$8:$E$252,2))*1000</f>
        <v>1696907.6429999999</v>
      </c>
      <c r="AH53" s="1069">
        <f>(SUMIFS('Lithium - Q&amp;V'!$C$8:$C$252,'Lithium - Q&amp;V'!$D$8:$D$252,LEFT('Q&amp;V FY 2003-04 to Now'!AG$7,4),'Lithium - Q&amp;V'!$E$8:$E$252,3)+
SUMIFS('Lithium - Q&amp;V'!$C$8:$C$252,'Lithium - Q&amp;V'!$D$8:$D$252,LEFT('Q&amp;V FY 2003-04 to Now'!AG$7,4),'Lithium - Q&amp;V'!$E$8:$E$252,4)+
SUMIFS('Lithium - Q&amp;V'!$C$8:$C$252,'Lithium - Q&amp;V'!$D$8:$D$252,CONCATENATE("20",RIGHT('Q&amp;V FY 2003-04 to Now'!AG$7,2)),'Lithium - Q&amp;V'!$E$8:$E$252,1)+
SUMIFS('Lithium - Q&amp;V'!$C$8:$C$252,'Lithium - Q&amp;V'!$D$8:$D$252,CONCATENATE("20",RIGHT('Q&amp;V FY 2003-04 to Now'!AG$7,2)),'Lithium - Q&amp;V'!$E$8:$E$252,2))*1000000</f>
        <v>1663093342.9999998</v>
      </c>
      <c r="AI53" s="1355">
        <f>(SUMIFS('Lithium - Q&amp;V'!$B$8:$B$252,'Lithium - Q&amp;V'!$D$8:$D$252,LEFT('Q&amp;V FY 2003-04 to Now'!AI$7,4),'Lithium - Q&amp;V'!$E$8:$E$252,3)+
SUMIFS('Lithium - Q&amp;V'!$B$8:$B$252,'Lithium - Q&amp;V'!$D$8:$D$252,LEFT('Q&amp;V FY 2003-04 to Now'!AI$7,4),'Lithium - Q&amp;V'!$E$8:$E$252,4)+
SUMIFS('Lithium - Q&amp;V'!$B$8:$B$252,'Lithium - Q&amp;V'!$D$8:$D$252,CONCATENATE("20",RIGHT('Q&amp;V FY 2003-04 to Now'!AI$7,2)),'Lithium - Q&amp;V'!$E$8:$E$252,1)+
SUMIFS('Lithium - Q&amp;V'!$B$8:$B$252,'Lithium - Q&amp;V'!$D$8:$D$252,CONCATENATE("20",RIGHT('Q&amp;V FY 2003-04 to Now'!AI$7,2)),'Lithium - Q&amp;V'!$E$8:$E$252,2))*1000</f>
        <v>1459796.9200000002</v>
      </c>
      <c r="AJ53" s="1355">
        <f>(SUMIFS('Lithium - Q&amp;V'!$C$8:$C$252,'Lithium - Q&amp;V'!$D$8:$D$252,LEFT('Q&amp;V FY 2003-04 to Now'!AI$7,4),'Lithium - Q&amp;V'!$E$8:$E$252,3)+
SUMIFS('Lithium - Q&amp;V'!$C$8:$C$252,'Lithium - Q&amp;V'!$D$8:$D$252,LEFT('Q&amp;V FY 2003-04 to Now'!AI$7,4),'Lithium - Q&amp;V'!$E$8:$E$252,4)+
SUMIFS('Lithium - Q&amp;V'!$C$8:$C$252,'Lithium - Q&amp;V'!$D$8:$D$252,CONCATENATE("20",RIGHT('Q&amp;V FY 2003-04 to Now'!AI$7,2)),'Lithium - Q&amp;V'!$E$8:$E$252,1)+
SUMIFS('Lithium - Q&amp;V'!$C$8:$C$252,'Lithium - Q&amp;V'!$D$8:$D$252,CONCATENATE("20",RIGHT('Q&amp;V FY 2003-04 to Now'!AI$7,2)),'Lithium - Q&amp;V'!$E$8:$E$252,2))*1000000</f>
        <v>998656158</v>
      </c>
      <c r="AK53" s="1355">
        <f>(SUMIFS('Lithium - Q&amp;V'!$B$8:$B$252,'Lithium - Q&amp;V'!$D$8:$D$252,LEFT('Q&amp;V FY 2003-04 to Now'!AK$7,4),'Lithium - Q&amp;V'!$E$8:$E$252,3)+
SUMIFS('Lithium - Q&amp;V'!$B$8:$B$252,'Lithium - Q&amp;V'!$D$8:$D$252,LEFT('Q&amp;V FY 2003-04 to Now'!AK$7,4),'Lithium - Q&amp;V'!$E$8:$E$252,4)+
SUMIFS('Lithium - Q&amp;V'!$B$8:$B$252,'Lithium - Q&amp;V'!$D$8:$D$252,CONCATENATE("20",RIGHT('Q&amp;V FY 2003-04 to Now'!AK$7,2)),'Lithium - Q&amp;V'!$E$8:$E$252,1)+
SUMIFS('Lithium - Q&amp;V'!$B$8:$B$252,'Lithium - Q&amp;V'!$D$8:$D$252,CONCATENATE("20",RIGHT('Q&amp;V FY 2003-04 to Now'!AK$7,2)),'Lithium - Q&amp;V'!$E$8:$E$252,2))*1000</f>
        <v>1709896.5969999998</v>
      </c>
      <c r="AL53" s="1355">
        <f>(SUMIFS('Lithium - Q&amp;V'!$C$8:$C$252,'Lithium - Q&amp;V'!$D$8:$D$252,LEFT('Q&amp;V FY 2003-04 to Now'!AK$7,4),'Lithium - Q&amp;V'!$E$8:$E$252,3)+
SUMIFS('Lithium - Q&amp;V'!$C$8:$C$252,'Lithium - Q&amp;V'!$D$8:$D$252,LEFT('Q&amp;V FY 2003-04 to Now'!AK$7,4),'Lithium - Q&amp;V'!$E$8:$E$252,4)+
SUMIFS('Lithium - Q&amp;V'!$C$8:$C$252,'Lithium - Q&amp;V'!$D$8:$D$252,CONCATENATE("20",RIGHT('Q&amp;V FY 2003-04 to Now'!AK$7,2)),'Lithium - Q&amp;V'!$E$8:$E$252,1)+
SUMIFS('Lithium - Q&amp;V'!$C$8:$C$252,'Lithium - Q&amp;V'!$D$8:$D$252,CONCATENATE("20",RIGHT('Q&amp;V FY 2003-04 to Now'!AK$7,2)),'Lithium - Q&amp;V'!$E$8:$E$252,2))*1000000</f>
        <v>1053892981.9999999</v>
      </c>
      <c r="AM53" s="1355">
        <f>(SUMIFS('Lithium - Q&amp;V'!$B$8:$B$252,'Lithium - Q&amp;V'!$D$8:$D$252,LEFT('Q&amp;V FY 2003-04 to Now'!AM$7,4),'Lithium - Q&amp;V'!$E$8:$E$252,3)+
SUMIFS('Lithium - Q&amp;V'!$B$8:$B$252,'Lithium - Q&amp;V'!$D$8:$D$252,LEFT('Q&amp;V FY 2003-04 to Now'!AM$7,4),'Lithium - Q&amp;V'!$E$8:$E$252,4)+
SUMIFS('Lithium - Q&amp;V'!$B$8:$B$252,'Lithium - Q&amp;V'!$D$8:$D$252,CONCATENATE("20",RIGHT('Q&amp;V FY 2003-04 to Now'!AM$7,2)),'Lithium - Q&amp;V'!$E$8:$E$252,1)+
SUMIFS('Lithium - Q&amp;V'!$B$8:$B$252,'Lithium - Q&amp;V'!$D$8:$D$252,CONCATENATE("20",RIGHT('Q&amp;V FY 2003-04 to Now'!AM$7,2)),'Lithium - Q&amp;V'!$E$8:$E$252,2))*1000</f>
        <v>2209337.77</v>
      </c>
      <c r="AN53" s="1355">
        <f>(SUMIFS('Lithium - Q&amp;V'!$C$8:$C$252,'Lithium - Q&amp;V'!$D$8:$D$252,LEFT('Q&amp;V FY 2003-04 to Now'!AM$7,4),'Lithium - Q&amp;V'!$E$8:$E$252,3)+
SUMIFS('Lithium - Q&amp;V'!$C$8:$C$252,'Lithium - Q&amp;V'!$D$8:$D$252,LEFT('Q&amp;V FY 2003-04 to Now'!AM$7,4),'Lithium - Q&amp;V'!$E$8:$E$252,4)+
SUMIFS('Lithium - Q&amp;V'!$C$8:$C$252,'Lithium - Q&amp;V'!$D$8:$D$252,CONCATENATE("20",RIGHT('Q&amp;V FY 2003-04 to Now'!AM$7,2)),'Lithium - Q&amp;V'!$E$8:$E$252,1)+
SUMIFS('Lithium - Q&amp;V'!$C$8:$C$252,'Lithium - Q&amp;V'!$D$8:$D$252,CONCATENATE("20",RIGHT('Q&amp;V FY 2003-04 to Now'!AM$7,2)),'Lithium - Q&amp;V'!$E$8:$E$252,2))*1000000</f>
        <v>7972455746</v>
      </c>
      <c r="AO53" s="1355">
        <f>(SUMIFS('Lithium - Q&amp;V'!$B$8:$B$252,'Lithium - Q&amp;V'!$D$8:$D$252,LEFT('Q&amp;V FY 2003-04 to Now'!AO$7,4),'Lithium - Q&amp;V'!$E$8:$E$252,3)+
SUMIFS('Lithium - Q&amp;V'!$B$8:$B$252,'Lithium - Q&amp;V'!$D$8:$D$252,LEFT('Q&amp;V FY 2003-04 to Now'!AO$7,4),'Lithium - Q&amp;V'!$E$8:$E$252,4)+
SUMIFS('Lithium - Q&amp;V'!$B$8:$B$252,'Lithium - Q&amp;V'!$D$8:$D$252,CONCATENATE("20",RIGHT('Q&amp;V FY 2003-04 to Now'!AO$7,2)),'Lithium - Q&amp;V'!$E$8:$E$252,1)+
SUMIFS('Lithium - Q&amp;V'!$B$8:$B$252,'Lithium - Q&amp;V'!$D$8:$D$252,CONCATENATE("20",RIGHT('Q&amp;V FY 2003-04 to Now'!AO$7,2)),'Lithium - Q&amp;V'!$E$8:$E$252,2))*1000</f>
        <v>3285382.4410000001</v>
      </c>
      <c r="AP53" s="1355">
        <f>(SUMIFS('Lithium - Q&amp;V'!$C$8:$C$252,'Lithium - Q&amp;V'!$D$8:$D$252,LEFT('Q&amp;V FY 2003-04 to Now'!AO$7,4),'Lithium - Q&amp;V'!$E$8:$E$252,3)+
SUMIFS('Lithium - Q&amp;V'!$C$8:$C$252,'Lithium - Q&amp;V'!$D$8:$D$252,LEFT('Q&amp;V FY 2003-04 to Now'!AO$7,4),'Lithium - Q&amp;V'!$E$8:$E$252,4)+
SUMIFS('Lithium - Q&amp;V'!$C$8:$C$252,'Lithium - Q&amp;V'!$D$8:$D$252,CONCATENATE("20",RIGHT('Q&amp;V FY 2003-04 to Now'!AO$7,2)),'Lithium - Q&amp;V'!$E$8:$E$252,1)+
SUMIFS('Lithium - Q&amp;V'!$C$8:$C$252,'Lithium - Q&amp;V'!$D$8:$D$252,CONCATENATE("20",RIGHT('Q&amp;V FY 2003-04 to Now'!AO$7,2)),'Lithium - Q&amp;V'!$E$8:$E$252,2))*1000000</f>
        <v>21106857471.999996</v>
      </c>
      <c r="AQ53" s="723">
        <f>SUMIF($C$9:AP$9,1,$C53:AP53)</f>
        <v>17426008.213499997</v>
      </c>
      <c r="AR53" s="723">
        <f>IF(COUNTIF($C53:AP53, "nfp")=0, SUMIF($C$9:AP$9,0,$C53:AP53), "nfp")</f>
        <v>36543734282.929993</v>
      </c>
      <c r="AT53" s="317"/>
      <c r="AU53" s="317"/>
      <c r="AV53" s="381"/>
      <c r="AW53" s="381"/>
    </row>
    <row r="54" spans="1:49" s="381" customFormat="1">
      <c r="A54" s="263" t="s">
        <v>361</v>
      </c>
      <c r="B54" s="248" t="s">
        <v>67</v>
      </c>
      <c r="C54" s="734">
        <v>0</v>
      </c>
      <c r="D54" s="734">
        <v>0</v>
      </c>
      <c r="E54" s="734">
        <v>0</v>
      </c>
      <c r="F54" s="734">
        <v>0</v>
      </c>
      <c r="G54" s="734">
        <v>0</v>
      </c>
      <c r="H54" s="734">
        <v>0</v>
      </c>
      <c r="I54" s="734">
        <v>0</v>
      </c>
      <c r="J54" s="734">
        <v>0</v>
      </c>
      <c r="K54" s="734">
        <v>0</v>
      </c>
      <c r="L54" s="734">
        <v>0</v>
      </c>
      <c r="M54" s="734">
        <v>0</v>
      </c>
      <c r="N54" s="734">
        <v>0</v>
      </c>
      <c r="O54" s="734">
        <v>0</v>
      </c>
      <c r="P54" s="734">
        <v>0</v>
      </c>
      <c r="Q54" s="734">
        <v>0</v>
      </c>
      <c r="R54" s="734">
        <v>0</v>
      </c>
      <c r="S54" s="734">
        <v>0</v>
      </c>
      <c r="T54" s="734">
        <v>0</v>
      </c>
      <c r="U54" s="734">
        <v>0</v>
      </c>
      <c r="V54" s="734">
        <v>0</v>
      </c>
      <c r="W54" s="734">
        <v>0</v>
      </c>
      <c r="X54" s="734">
        <v>0</v>
      </c>
      <c r="Y54" s="734">
        <v>0</v>
      </c>
      <c r="Z54" s="734">
        <v>0</v>
      </c>
      <c r="AA54" s="734">
        <v>0</v>
      </c>
      <c r="AB54" s="734">
        <v>0</v>
      </c>
      <c r="AC54" s="734">
        <v>0</v>
      </c>
      <c r="AD54" s="734">
        <v>0</v>
      </c>
      <c r="AE54" s="734">
        <v>0</v>
      </c>
      <c r="AF54" s="734">
        <v>0</v>
      </c>
      <c r="AG54" s="734">
        <v>0</v>
      </c>
      <c r="AH54" s="1355">
        <v>0</v>
      </c>
      <c r="AI54" s="1355">
        <v>0</v>
      </c>
      <c r="AJ54" s="1355">
        <v>0</v>
      </c>
      <c r="AK54" s="1355">
        <v>0</v>
      </c>
      <c r="AL54" s="1355">
        <v>0</v>
      </c>
      <c r="AM54" s="1355">
        <v>0</v>
      </c>
      <c r="AN54" s="1355">
        <v>0</v>
      </c>
      <c r="AO54" s="1355">
        <v>0</v>
      </c>
      <c r="AP54" s="1355">
        <v>0</v>
      </c>
      <c r="AQ54" s="723">
        <f>SUMIF($C$9:AP$9,1,$C54:AP54)</f>
        <v>0</v>
      </c>
      <c r="AR54" s="723">
        <f>IF(COUNTIF($C54:AP54, "nfp")=0, SUMIF($C$9:AP$9,0,$C54:AP54), "nfp")</f>
        <v>0</v>
      </c>
      <c r="AS54" s="405"/>
      <c r="AT54" s="317"/>
      <c r="AU54" s="317"/>
    </row>
    <row r="55" spans="1:49">
      <c r="A55" s="264" t="s">
        <v>505</v>
      </c>
      <c r="B55" s="256"/>
      <c r="C55" s="668"/>
      <c r="D55" s="723">
        <v>21381603</v>
      </c>
      <c r="E55" s="723"/>
      <c r="F55" s="723">
        <v>23466171</v>
      </c>
      <c r="G55" s="723"/>
      <c r="H55" s="723">
        <v>36636462</v>
      </c>
      <c r="I55" s="723"/>
      <c r="J55" s="723">
        <v>72200944</v>
      </c>
      <c r="K55" s="723"/>
      <c r="L55" s="723">
        <v>69975835</v>
      </c>
      <c r="M55" s="723"/>
      <c r="N55" s="723">
        <v>80063204.329999998</v>
      </c>
      <c r="O55" s="723"/>
      <c r="P55" s="723">
        <v>73436811</v>
      </c>
      <c r="Q55" s="723"/>
      <c r="R55" s="723">
        <v>103317679.97</v>
      </c>
      <c r="S55" s="723"/>
      <c r="T55" s="723">
        <v>138413821.05999997</v>
      </c>
      <c r="U55" s="723"/>
      <c r="V55" s="723">
        <v>178786684.34999999</v>
      </c>
      <c r="W55" s="723"/>
      <c r="X55" s="723">
        <v>150564377.63999999</v>
      </c>
      <c r="Y55" s="723"/>
      <c r="Z55" s="723">
        <v>245874387</v>
      </c>
      <c r="AA55" s="723"/>
      <c r="AB55" s="723">
        <v>260721540</v>
      </c>
      <c r="AC55" s="723"/>
      <c r="AD55" s="723">
        <v>595472095</v>
      </c>
      <c r="AE55" s="734"/>
      <c r="AF55" s="734">
        <v>1698466966.9999998</v>
      </c>
      <c r="AG55" s="734"/>
      <c r="AH55" s="1069">
        <f>SUM(AH53+AH54)</f>
        <v>1663093342.9999998</v>
      </c>
      <c r="AI55" s="1355"/>
      <c r="AJ55" s="1069">
        <f>SUM(AJ53+AJ54)</f>
        <v>998656158</v>
      </c>
      <c r="AK55" s="1069"/>
      <c r="AL55" s="1069">
        <f>SUM(AL53+AL54)</f>
        <v>1053892981.9999999</v>
      </c>
      <c r="AM55" s="1069"/>
      <c r="AN55" s="1069">
        <f>SUM(AN53+AN54)</f>
        <v>7972455746</v>
      </c>
      <c r="AO55" s="1069"/>
      <c r="AP55" s="1069">
        <f>SUM(AP53+AP54)</f>
        <v>21106857471.999996</v>
      </c>
      <c r="AQ55" s="723"/>
      <c r="AR55" s="723">
        <f>IF(COUNTIF($C55:AP55, "nfp")=0, SUMIF($C$9:AP$9,0,$C55:AP55), "nfp")</f>
        <v>36543734283.349991</v>
      </c>
      <c r="AT55" s="317"/>
      <c r="AU55" s="317"/>
      <c r="AV55" s="381"/>
      <c r="AW55" s="381"/>
    </row>
    <row r="56" spans="1:49" s="381" customFormat="1">
      <c r="A56" s="264"/>
      <c r="B56" s="256"/>
      <c r="C56" s="723"/>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3"/>
      <c r="AB56" s="723"/>
      <c r="AC56" s="723"/>
      <c r="AD56" s="723"/>
      <c r="AE56" s="723"/>
      <c r="AF56" s="723"/>
      <c r="AG56" s="723"/>
      <c r="AH56" s="1069"/>
      <c r="AI56" s="1069"/>
      <c r="AJ56" s="1069"/>
      <c r="AK56" s="1069"/>
      <c r="AL56" s="1069"/>
      <c r="AM56" s="1069"/>
      <c r="AN56" s="1069"/>
      <c r="AO56" s="1069"/>
      <c r="AP56" s="1069"/>
      <c r="AQ56" s="723"/>
      <c r="AR56" s="723"/>
      <c r="AS56" s="405"/>
      <c r="AT56" s="317"/>
      <c r="AU56" s="317"/>
    </row>
    <row r="57" spans="1:49">
      <c r="A57" s="261" t="s">
        <v>506</v>
      </c>
      <c r="B57" s="127" t="s">
        <v>67</v>
      </c>
      <c r="C57" s="183">
        <v>281241</v>
      </c>
      <c r="D57" s="183" t="s">
        <v>439</v>
      </c>
      <c r="E57" s="183">
        <v>293148.90999999997</v>
      </c>
      <c r="F57" s="183" t="s">
        <v>439</v>
      </c>
      <c r="G57" s="183">
        <v>402542.48</v>
      </c>
      <c r="H57" s="183" t="s">
        <v>439</v>
      </c>
      <c r="I57" s="183">
        <v>426651.75</v>
      </c>
      <c r="J57" s="183" t="s">
        <v>439</v>
      </c>
      <c r="K57" s="183">
        <v>373470.27</v>
      </c>
      <c r="L57" s="183" t="s">
        <v>439</v>
      </c>
      <c r="M57" s="183">
        <v>419269.89</v>
      </c>
      <c r="N57" s="183">
        <v>226007453</v>
      </c>
      <c r="O57" s="183">
        <v>746742.34</v>
      </c>
      <c r="P57" s="183">
        <v>382592192</v>
      </c>
      <c r="Q57" s="183">
        <v>873063.68</v>
      </c>
      <c r="R57" s="183">
        <v>392302135</v>
      </c>
      <c r="S57" s="183">
        <v>846292.54</v>
      </c>
      <c r="T57" s="183">
        <v>331693574</v>
      </c>
      <c r="U57" s="183">
        <v>649695.39</v>
      </c>
      <c r="V57" s="183" t="s">
        <v>439</v>
      </c>
      <c r="W57" s="183">
        <v>711536.3</v>
      </c>
      <c r="X57" s="183" t="s">
        <v>439</v>
      </c>
      <c r="Y57" s="183">
        <v>800984.82000000007</v>
      </c>
      <c r="Z57" s="183">
        <v>345242068</v>
      </c>
      <c r="AA57" s="183">
        <v>425303.35</v>
      </c>
      <c r="AB57" s="183">
        <v>146188090</v>
      </c>
      <c r="AC57" s="715">
        <v>236663.60000000003</v>
      </c>
      <c r="AD57" s="183">
        <v>58520911</v>
      </c>
      <c r="AE57" s="715">
        <v>393691.73</v>
      </c>
      <c r="AF57" s="183">
        <v>287944919</v>
      </c>
      <c r="AG57" s="715">
        <v>558111.74099999992</v>
      </c>
      <c r="AH57" s="1354" t="s">
        <v>439</v>
      </c>
      <c r="AI57" s="1353">
        <v>554483.04</v>
      </c>
      <c r="AJ57" s="1354" t="s">
        <v>439</v>
      </c>
      <c r="AK57" s="1354">
        <v>469119.25</v>
      </c>
      <c r="AL57" s="183">
        <v>258110943</v>
      </c>
      <c r="AM57" s="1354">
        <v>527502.22837000003</v>
      </c>
      <c r="AN57" s="1354">
        <v>322397296</v>
      </c>
      <c r="AO57" s="1354">
        <v>596393.24069999997</v>
      </c>
      <c r="AP57" s="1354">
        <v>299175633</v>
      </c>
      <c r="AQ57" s="715">
        <f>SUMIF($C$9:AP$9,1,$C57:AP57)</f>
        <v>10585907.550069999</v>
      </c>
      <c r="AR57" s="183" t="str">
        <f>IF(COUNTIF($C57:AP57, "nfp")=0, SUMIF($C$9:AP$9,0,$C57:AP57), "nfp")</f>
        <v>nfp</v>
      </c>
      <c r="AT57" s="317"/>
      <c r="AU57" s="317"/>
      <c r="AV57" s="381"/>
      <c r="AW57" s="381"/>
    </row>
    <row r="58" spans="1:49">
      <c r="A58" s="261"/>
      <c r="B58" s="127"/>
      <c r="C58" s="163"/>
      <c r="D58" s="183"/>
      <c r="E58" s="163"/>
      <c r="F58" s="183"/>
      <c r="G58" s="163"/>
      <c r="H58" s="183"/>
      <c r="I58" s="163"/>
      <c r="J58" s="183"/>
      <c r="K58" s="163"/>
      <c r="L58" s="183"/>
      <c r="M58" s="163"/>
      <c r="N58" s="163"/>
      <c r="O58" s="163"/>
      <c r="P58" s="163"/>
      <c r="Q58" s="163"/>
      <c r="R58" s="163"/>
      <c r="S58" s="163"/>
      <c r="T58" s="163"/>
      <c r="U58" s="163"/>
      <c r="V58" s="163"/>
      <c r="W58" s="163"/>
      <c r="X58" s="163"/>
      <c r="Y58" s="163"/>
      <c r="Z58" s="163"/>
      <c r="AA58" s="163"/>
      <c r="AB58" s="163"/>
      <c r="AC58" s="163"/>
      <c r="AD58" s="163"/>
      <c r="AE58" s="1070"/>
      <c r="AF58" s="163"/>
      <c r="AG58" s="1070"/>
      <c r="AH58" s="1362"/>
      <c r="AI58" s="1361"/>
      <c r="AJ58" s="1362"/>
      <c r="AK58" s="1362"/>
      <c r="AL58" s="1362"/>
      <c r="AM58" s="1362"/>
      <c r="AN58" s="1362"/>
      <c r="AO58" s="1362"/>
      <c r="AP58" s="1362"/>
      <c r="AQ58" s="715"/>
      <c r="AR58" s="183"/>
      <c r="AT58" s="317"/>
      <c r="AU58" s="317"/>
      <c r="AV58" s="381"/>
      <c r="AW58" s="381"/>
    </row>
    <row r="59" spans="1:49">
      <c r="A59" s="260" t="s">
        <v>281</v>
      </c>
      <c r="B59" s="256"/>
      <c r="C59" s="742"/>
      <c r="D59" s="732"/>
      <c r="E59" s="742"/>
      <c r="F59" s="732"/>
      <c r="G59" s="742"/>
      <c r="H59" s="732"/>
      <c r="I59" s="742"/>
      <c r="J59" s="732"/>
      <c r="K59" s="742"/>
      <c r="L59" s="732"/>
      <c r="M59" s="742"/>
      <c r="N59" s="732"/>
      <c r="O59" s="742"/>
      <c r="P59" s="732"/>
      <c r="Q59" s="742"/>
      <c r="R59" s="732"/>
      <c r="S59" s="742"/>
      <c r="T59" s="732"/>
      <c r="U59" s="742"/>
      <c r="V59" s="732"/>
      <c r="W59" s="742"/>
      <c r="X59" s="732"/>
      <c r="Y59" s="742"/>
      <c r="Z59" s="732"/>
      <c r="AA59" s="742"/>
      <c r="AB59" s="732"/>
      <c r="AC59" s="742"/>
      <c r="AD59" s="732"/>
      <c r="AE59" s="733"/>
      <c r="AF59" s="732"/>
      <c r="AG59" s="744"/>
      <c r="AH59" s="742"/>
      <c r="AI59" s="733"/>
      <c r="AJ59" s="742"/>
      <c r="AK59" s="742"/>
      <c r="AL59" s="742"/>
      <c r="AM59" s="742"/>
      <c r="AN59" s="742"/>
      <c r="AO59" s="742"/>
      <c r="AP59" s="742"/>
      <c r="AQ59" s="934"/>
      <c r="AR59" s="724"/>
      <c r="AT59" s="317"/>
      <c r="AU59" s="317"/>
      <c r="AV59" s="381"/>
      <c r="AW59" s="381"/>
    </row>
    <row r="60" spans="1:49">
      <c r="A60" s="263" t="s">
        <v>220</v>
      </c>
      <c r="B60" s="248" t="s">
        <v>67</v>
      </c>
      <c r="C60" s="742">
        <v>128379.38</v>
      </c>
      <c r="D60" s="732">
        <v>16306801.329999998</v>
      </c>
      <c r="E60" s="742">
        <v>186667.1</v>
      </c>
      <c r="F60" s="732">
        <v>19446761.800000001</v>
      </c>
      <c r="G60" s="742">
        <v>278576.92000000004</v>
      </c>
      <c r="H60" s="732">
        <v>29805653.34</v>
      </c>
      <c r="I60" s="742">
        <v>265550.41000000003</v>
      </c>
      <c r="J60" s="732">
        <v>31845413.109999999</v>
      </c>
      <c r="K60" s="742">
        <v>327521</v>
      </c>
      <c r="L60" s="732">
        <v>54414406.459999993</v>
      </c>
      <c r="M60" s="742">
        <v>290884.25</v>
      </c>
      <c r="N60" s="732">
        <v>52723152.800000004</v>
      </c>
      <c r="O60" s="742">
        <v>237977.79</v>
      </c>
      <c r="P60" s="732">
        <v>45356185</v>
      </c>
      <c r="Q60" s="742">
        <v>226619.89</v>
      </c>
      <c r="R60" s="732">
        <v>42689083.030000001</v>
      </c>
      <c r="S60" s="742">
        <v>301944.67</v>
      </c>
      <c r="T60" s="732">
        <v>59591878.449999996</v>
      </c>
      <c r="U60" s="742">
        <v>317335.87</v>
      </c>
      <c r="V60" s="732">
        <v>64834324.370000005</v>
      </c>
      <c r="W60" s="742">
        <v>357266.36</v>
      </c>
      <c r="X60" s="732" t="s">
        <v>439</v>
      </c>
      <c r="Y60" s="742">
        <v>299022.19</v>
      </c>
      <c r="Z60" s="732" t="s">
        <v>439</v>
      </c>
      <c r="AA60" s="742">
        <v>251161.69</v>
      </c>
      <c r="AB60" s="732" t="s">
        <v>439</v>
      </c>
      <c r="AC60" s="742">
        <v>565618.23</v>
      </c>
      <c r="AD60" s="732" t="s">
        <v>439</v>
      </c>
      <c r="AE60" s="733">
        <v>379724.45999999996</v>
      </c>
      <c r="AF60" s="732" t="s">
        <v>439</v>
      </c>
      <c r="AG60" s="744">
        <v>388470.11</v>
      </c>
      <c r="AH60" s="742" t="s">
        <v>439</v>
      </c>
      <c r="AI60" s="733">
        <v>323841.57999999996</v>
      </c>
      <c r="AJ60" s="1356" t="s">
        <v>439</v>
      </c>
      <c r="AK60" s="1356">
        <v>277047.27</v>
      </c>
      <c r="AL60" s="1088" t="s">
        <v>439</v>
      </c>
      <c r="AM60" s="1675">
        <v>374475.84</v>
      </c>
      <c r="AN60" s="1088" t="s">
        <v>439</v>
      </c>
      <c r="AO60" s="1675">
        <v>343579.84</v>
      </c>
      <c r="AP60" s="1088" t="s">
        <v>439</v>
      </c>
      <c r="AQ60" s="934">
        <f>SUMIF($C$9:AP$9,1,$C60:AP60)</f>
        <v>6121664.8499999996</v>
      </c>
      <c r="AR60" s="723" t="str">
        <f>IF(COUNTIF($C60:AP60, "nfp")=0, SUMIF($C$9:AP$9,0,$C60:AP60), "nfp")</f>
        <v>nfp</v>
      </c>
      <c r="AT60" s="317"/>
      <c r="AU60" s="317"/>
      <c r="AV60" s="381"/>
      <c r="AW60" s="381"/>
    </row>
    <row r="61" spans="1:49">
      <c r="A61" s="263" t="s">
        <v>221</v>
      </c>
      <c r="B61" s="248" t="s">
        <v>67</v>
      </c>
      <c r="C61" s="742">
        <v>762649.24</v>
      </c>
      <c r="D61" s="732">
        <v>100913869.98</v>
      </c>
      <c r="E61" s="742">
        <v>706243.51</v>
      </c>
      <c r="F61" s="732">
        <v>80513224.680000007</v>
      </c>
      <c r="G61" s="742">
        <v>590243.99699999997</v>
      </c>
      <c r="H61" s="732">
        <v>65897621.859999985</v>
      </c>
      <c r="I61" s="742">
        <v>922296.30999999994</v>
      </c>
      <c r="J61" s="732">
        <v>103354486.05000001</v>
      </c>
      <c r="K61" s="742">
        <v>725120.17299999995</v>
      </c>
      <c r="L61" s="732">
        <v>83744751.210000008</v>
      </c>
      <c r="M61" s="742">
        <v>452043.91500000004</v>
      </c>
      <c r="N61" s="732">
        <v>65165654.31000001</v>
      </c>
      <c r="O61" s="742">
        <v>508584.15</v>
      </c>
      <c r="P61" s="732">
        <v>68516762.780000001</v>
      </c>
      <c r="Q61" s="742">
        <v>394033.44</v>
      </c>
      <c r="R61" s="732">
        <v>52763228.199999996</v>
      </c>
      <c r="S61" s="742">
        <v>332012.35000000003</v>
      </c>
      <c r="T61" s="732">
        <v>58190544.020000003</v>
      </c>
      <c r="U61" s="742">
        <v>270770.13</v>
      </c>
      <c r="V61" s="732">
        <v>72680422.280000001</v>
      </c>
      <c r="W61" s="742">
        <v>78900.36</v>
      </c>
      <c r="X61" s="732">
        <v>19515065</v>
      </c>
      <c r="Y61" s="742">
        <v>104455.74</v>
      </c>
      <c r="Z61" s="732">
        <v>22005519</v>
      </c>
      <c r="AA61" s="742">
        <v>174687.28</v>
      </c>
      <c r="AB61" s="732">
        <v>39692103</v>
      </c>
      <c r="AC61" s="742">
        <v>178527.5</v>
      </c>
      <c r="AD61" s="732">
        <v>42928094</v>
      </c>
      <c r="AE61" s="733">
        <v>120227</v>
      </c>
      <c r="AF61" s="732">
        <v>25279255</v>
      </c>
      <c r="AG61" s="744">
        <v>241155.25999999998</v>
      </c>
      <c r="AH61" s="742">
        <v>50606471</v>
      </c>
      <c r="AI61" s="733">
        <v>270080.92</v>
      </c>
      <c r="AJ61" s="742">
        <v>62372293</v>
      </c>
      <c r="AK61" s="742">
        <v>322478.91000000003</v>
      </c>
      <c r="AL61" s="1675">
        <v>71997886</v>
      </c>
      <c r="AM61" s="1675">
        <v>233084.85</v>
      </c>
      <c r="AN61" s="1675">
        <v>81218391</v>
      </c>
      <c r="AO61" s="1675">
        <v>237924.48000000001</v>
      </c>
      <c r="AP61" s="1675">
        <v>93119565</v>
      </c>
      <c r="AQ61" s="934">
        <f>SUMIF($C$9:AP$9,1,$C61:AP61)</f>
        <v>7625519.5150000006</v>
      </c>
      <c r="AR61" s="723">
        <f>IF(COUNTIF($C61:AP61, "nfp")=0, SUMIF($C$9:AP$9,0,$C61:AP61), "nfp")</f>
        <v>1260475207.3700001</v>
      </c>
      <c r="AT61" s="317"/>
      <c r="AU61" s="317"/>
      <c r="AV61" s="381"/>
      <c r="AW61" s="381"/>
    </row>
    <row r="62" spans="1:49">
      <c r="A62" s="263" t="s">
        <v>222</v>
      </c>
      <c r="B62" s="248" t="s">
        <v>67</v>
      </c>
      <c r="C62" s="742">
        <v>51733.33</v>
      </c>
      <c r="D62" s="732">
        <v>21574054.840000004</v>
      </c>
      <c r="E62" s="742">
        <v>70729.88</v>
      </c>
      <c r="F62" s="732">
        <v>22706700.339999996</v>
      </c>
      <c r="G62" s="742">
        <v>77024.28</v>
      </c>
      <c r="H62" s="732">
        <v>23947658.210000001</v>
      </c>
      <c r="I62" s="742">
        <v>62752</v>
      </c>
      <c r="J62" s="732">
        <v>23455267.079999998</v>
      </c>
      <c r="K62" s="742">
        <v>82456.59</v>
      </c>
      <c r="L62" s="732">
        <v>22072513.259999998</v>
      </c>
      <c r="M62" s="742">
        <v>49608.289999999994</v>
      </c>
      <c r="N62" s="732">
        <v>19224805.540000003</v>
      </c>
      <c r="O62" s="742">
        <v>76590.94</v>
      </c>
      <c r="P62" s="732">
        <v>24831504.810000002</v>
      </c>
      <c r="Q62" s="742">
        <v>26029.95</v>
      </c>
      <c r="R62" s="732">
        <v>12165130.050000003</v>
      </c>
      <c r="S62" s="742">
        <v>22230.65</v>
      </c>
      <c r="T62" s="732">
        <v>16691847.319999997</v>
      </c>
      <c r="U62" s="742">
        <v>29071.34</v>
      </c>
      <c r="V62" s="732">
        <v>31231788.140000004</v>
      </c>
      <c r="W62" s="742">
        <v>29268.089999999997</v>
      </c>
      <c r="X62" s="732">
        <v>26205649</v>
      </c>
      <c r="Y62" s="742">
        <v>16980.32</v>
      </c>
      <c r="Z62" s="732">
        <v>14651506</v>
      </c>
      <c r="AA62" s="742">
        <v>18137.07</v>
      </c>
      <c r="AB62" s="732">
        <v>16452584</v>
      </c>
      <c r="AC62" s="742">
        <v>7144.4400000000005</v>
      </c>
      <c r="AD62" s="732">
        <v>6492778</v>
      </c>
      <c r="AE62" s="733">
        <v>14286.82</v>
      </c>
      <c r="AF62" s="732">
        <v>13031604</v>
      </c>
      <c r="AG62" s="744">
        <v>15175.675999999999</v>
      </c>
      <c r="AH62" s="742">
        <v>18209118</v>
      </c>
      <c r="AI62" s="733">
        <v>27128.928</v>
      </c>
      <c r="AJ62" s="742">
        <v>27918452</v>
      </c>
      <c r="AK62" s="742">
        <v>20133.03</v>
      </c>
      <c r="AL62" s="1675">
        <v>24110554</v>
      </c>
      <c r="AM62" s="1675">
        <v>16844.982</v>
      </c>
      <c r="AN62" s="1675">
        <v>18989519</v>
      </c>
      <c r="AO62" s="1675">
        <v>21625.688000000002</v>
      </c>
      <c r="AP62" s="1675">
        <v>32184400</v>
      </c>
      <c r="AQ62" s="934">
        <f>SUMIF($C$9:AP$9,1,$C62:AP62)</f>
        <v>734952.29399999965</v>
      </c>
      <c r="AR62" s="723">
        <f>IF(COUNTIF($C62:AP62, "nfp")=0, SUMIF($C$9:AP$9,0,$C62:AP62), "nfp")</f>
        <v>416147433.59000003</v>
      </c>
      <c r="AT62" s="317"/>
      <c r="AU62" s="317"/>
      <c r="AV62" s="381"/>
      <c r="AW62" s="381"/>
    </row>
    <row r="63" spans="1:49">
      <c r="A63" s="263" t="s">
        <v>229</v>
      </c>
      <c r="B63" s="248" t="s">
        <v>67</v>
      </c>
      <c r="C63" s="742">
        <v>138790.57</v>
      </c>
      <c r="D63" s="732">
        <v>85623473.780000001</v>
      </c>
      <c r="E63" s="742">
        <v>101708.83</v>
      </c>
      <c r="F63" s="732">
        <v>63725523.490000002</v>
      </c>
      <c r="G63" s="742">
        <v>89954.495999999999</v>
      </c>
      <c r="H63" s="732">
        <v>58673948.350000001</v>
      </c>
      <c r="I63" s="742">
        <v>108973.04999999999</v>
      </c>
      <c r="J63" s="732">
        <v>68497752.609999999</v>
      </c>
      <c r="K63" s="742">
        <v>95486.512000000002</v>
      </c>
      <c r="L63" s="732">
        <v>54967974.07</v>
      </c>
      <c r="M63" s="742">
        <v>74033.680000000008</v>
      </c>
      <c r="N63" s="732">
        <v>53162366.980000004</v>
      </c>
      <c r="O63" s="742">
        <v>118234.23000000001</v>
      </c>
      <c r="P63" s="732">
        <v>77691649.189999998</v>
      </c>
      <c r="Q63" s="742">
        <v>49744.5</v>
      </c>
      <c r="R63" s="732">
        <v>35431242.170000002</v>
      </c>
      <c r="S63" s="732">
        <v>38870.25</v>
      </c>
      <c r="T63" s="732">
        <v>52250226.769999996</v>
      </c>
      <c r="U63" s="742">
        <v>46937.54</v>
      </c>
      <c r="V63" s="732">
        <v>80261378.810000002</v>
      </c>
      <c r="W63" s="742">
        <v>65083.87</v>
      </c>
      <c r="X63" s="732">
        <v>65938306</v>
      </c>
      <c r="Y63" s="742">
        <v>30205.599999999999</v>
      </c>
      <c r="Z63" s="732">
        <v>29582184</v>
      </c>
      <c r="AA63" s="742">
        <v>45887.87</v>
      </c>
      <c r="AB63" s="732">
        <v>44260114</v>
      </c>
      <c r="AC63" s="742">
        <v>21561.97</v>
      </c>
      <c r="AD63" s="732">
        <v>21953547</v>
      </c>
      <c r="AE63" s="733">
        <v>20596.260000000002</v>
      </c>
      <c r="AF63" s="732">
        <v>22170174</v>
      </c>
      <c r="AG63" s="744">
        <v>23906</v>
      </c>
      <c r="AH63" s="742">
        <v>29470430</v>
      </c>
      <c r="AI63" s="733">
        <v>32844.61</v>
      </c>
      <c r="AJ63" s="742">
        <v>36110651</v>
      </c>
      <c r="AK63" s="742">
        <v>54322.26</v>
      </c>
      <c r="AL63" s="1675">
        <v>46056307</v>
      </c>
      <c r="AM63" s="1675">
        <v>67778.179999999993</v>
      </c>
      <c r="AN63" s="1675">
        <v>97076235</v>
      </c>
      <c r="AO63" s="1675">
        <v>97879.75</v>
      </c>
      <c r="AP63" s="1675">
        <v>151452977</v>
      </c>
      <c r="AQ63" s="934">
        <f>SUMIF($C$9:AP$9,1,$C63:AP63)</f>
        <v>1322800.0280000002</v>
      </c>
      <c r="AR63" s="723">
        <f>IF(COUNTIF($C63:AP63, "nfp")=0, SUMIF($C$9:AP$9,0,$C63:AP63), "nfp")</f>
        <v>1174356461.22</v>
      </c>
      <c r="AT63" s="317"/>
      <c r="AU63" s="317"/>
      <c r="AV63" s="381"/>
      <c r="AW63" s="381"/>
    </row>
    <row r="64" spans="1:49">
      <c r="A64" s="263" t="s">
        <v>223</v>
      </c>
      <c r="B64" s="248" t="s">
        <v>67</v>
      </c>
      <c r="C64" s="742">
        <v>443699.14999999997</v>
      </c>
      <c r="D64" s="732">
        <v>260418224.21000001</v>
      </c>
      <c r="E64" s="742">
        <v>451205.51999999996</v>
      </c>
      <c r="F64" s="732">
        <v>304838808.88</v>
      </c>
      <c r="G64" s="742">
        <v>407915.73</v>
      </c>
      <c r="H64" s="732">
        <v>354604945.01999998</v>
      </c>
      <c r="I64" s="742">
        <v>413664.87900000002</v>
      </c>
      <c r="J64" s="732">
        <v>336501960.62</v>
      </c>
      <c r="K64" s="742">
        <v>283042.17300000001</v>
      </c>
      <c r="L64" s="732">
        <v>204335099.34000003</v>
      </c>
      <c r="M64" s="742">
        <v>264546.799</v>
      </c>
      <c r="N64" s="732">
        <v>231446448.66</v>
      </c>
      <c r="O64" s="742">
        <v>351957.11000000004</v>
      </c>
      <c r="P64" s="732">
        <v>270549395.88999999</v>
      </c>
      <c r="Q64" s="742">
        <v>298644.24900000001</v>
      </c>
      <c r="R64" s="732">
        <v>197514000.79000002</v>
      </c>
      <c r="S64" s="742">
        <v>180429.25300000003</v>
      </c>
      <c r="T64" s="732">
        <v>219219648.86999995</v>
      </c>
      <c r="U64" s="742">
        <v>215831.04599999997</v>
      </c>
      <c r="V64" s="732">
        <v>189547781.68999997</v>
      </c>
      <c r="W64" s="742">
        <v>212068.06899999999</v>
      </c>
      <c r="X64" s="732">
        <v>114307406</v>
      </c>
      <c r="Y64" s="742">
        <v>183266.01</v>
      </c>
      <c r="Z64" s="732">
        <v>136822267</v>
      </c>
      <c r="AA64" s="742">
        <v>191507.69</v>
      </c>
      <c r="AB64" s="732">
        <v>151279498</v>
      </c>
      <c r="AC64" s="742">
        <v>184700.02</v>
      </c>
      <c r="AD64" s="732">
        <v>101083491</v>
      </c>
      <c r="AE64" s="1068">
        <v>72567.17</v>
      </c>
      <c r="AF64" s="732">
        <v>102266285</v>
      </c>
      <c r="AG64" s="744">
        <v>140680.508</v>
      </c>
      <c r="AH64" s="742">
        <v>257581580</v>
      </c>
      <c r="AI64" s="733">
        <v>171592.08999999997</v>
      </c>
      <c r="AJ64" s="742">
        <v>268419815</v>
      </c>
      <c r="AK64" s="742">
        <v>233247.63000000003</v>
      </c>
      <c r="AL64" s="1675">
        <v>347933229</v>
      </c>
      <c r="AM64" s="1675">
        <v>285696.83499999996</v>
      </c>
      <c r="AN64" s="1675">
        <v>610080532</v>
      </c>
      <c r="AO64" s="1675">
        <v>196729.63000000003</v>
      </c>
      <c r="AP64" s="1675">
        <v>526406339</v>
      </c>
      <c r="AQ64" s="934">
        <f>SUMIF($C$9:AP$9,1,$C64:AP64)</f>
        <v>5182991.5609999998</v>
      </c>
      <c r="AR64" s="723">
        <f>IF(COUNTIF($C64:AP64, "nfp")=0, SUMIF($C$9:AP$9,0,$C64:AP64), "nfp")</f>
        <v>5185156755.9700003</v>
      </c>
      <c r="AT64" s="317"/>
      <c r="AU64" s="317"/>
      <c r="AV64" s="381"/>
      <c r="AW64" s="381"/>
    </row>
    <row r="65" spans="1:49" s="381" customFormat="1">
      <c r="A65" s="263" t="s">
        <v>392</v>
      </c>
      <c r="B65" s="248" t="s">
        <v>67</v>
      </c>
      <c r="C65" s="742" t="s">
        <v>165</v>
      </c>
      <c r="D65" s="732" t="s">
        <v>165</v>
      </c>
      <c r="E65" s="742" t="s">
        <v>165</v>
      </c>
      <c r="F65" s="732" t="s">
        <v>165</v>
      </c>
      <c r="G65" s="742" t="s">
        <v>165</v>
      </c>
      <c r="H65" s="732" t="s">
        <v>165</v>
      </c>
      <c r="I65" s="742" t="s">
        <v>165</v>
      </c>
      <c r="J65" s="732" t="s">
        <v>165</v>
      </c>
      <c r="K65" s="742" t="s">
        <v>165</v>
      </c>
      <c r="L65" s="732" t="s">
        <v>165</v>
      </c>
      <c r="M65" s="742" t="s">
        <v>165</v>
      </c>
      <c r="N65" s="732" t="s">
        <v>165</v>
      </c>
      <c r="O65" s="742" t="s">
        <v>165</v>
      </c>
      <c r="P65" s="732" t="s">
        <v>165</v>
      </c>
      <c r="Q65" s="742" t="s">
        <v>165</v>
      </c>
      <c r="R65" s="732" t="s">
        <v>165</v>
      </c>
      <c r="S65" s="742" t="s">
        <v>165</v>
      </c>
      <c r="T65" s="732" t="s">
        <v>165</v>
      </c>
      <c r="U65" s="742" t="s">
        <v>165</v>
      </c>
      <c r="V65" s="732" t="s">
        <v>165</v>
      </c>
      <c r="W65" s="742">
        <v>182850.83636363639</v>
      </c>
      <c r="X65" s="732">
        <v>63990253.74545455</v>
      </c>
      <c r="Y65" s="742">
        <v>198231.56363636369</v>
      </c>
      <c r="Z65" s="732">
        <v>215809868.26065212</v>
      </c>
      <c r="AA65" s="742">
        <v>268107.5151515152</v>
      </c>
      <c r="AB65" s="732">
        <v>254260587.13582832</v>
      </c>
      <c r="AC65" s="742">
        <v>274929.9173333334</v>
      </c>
      <c r="AD65" s="732">
        <v>252213036.04640046</v>
      </c>
      <c r="AE65" s="1068">
        <v>282058.3226666667</v>
      </c>
      <c r="AF65" s="732">
        <v>279071092.8773964</v>
      </c>
      <c r="AG65" s="744">
        <v>218274.1815030303</v>
      </c>
      <c r="AH65" s="742">
        <v>245754107.02326143</v>
      </c>
      <c r="AI65" s="733">
        <v>277931.30860606063</v>
      </c>
      <c r="AJ65" s="742">
        <v>314936595.26599419</v>
      </c>
      <c r="AK65" s="742">
        <v>286723.04606060614</v>
      </c>
      <c r="AL65" s="1675">
        <v>336513404.33800465</v>
      </c>
      <c r="AM65" s="1675">
        <v>281991.16210909095</v>
      </c>
      <c r="AN65" s="1675">
        <v>454785752.45177686</v>
      </c>
      <c r="AO65" s="1675">
        <v>282239.83030303032</v>
      </c>
      <c r="AP65" s="1675">
        <v>517025576.27833867</v>
      </c>
      <c r="AQ65" s="934">
        <f>SUMIF($C$9:AP$9,1,$C65:AP65)</f>
        <v>2553337.6837333338</v>
      </c>
      <c r="AR65" s="723">
        <f>IF(COUNTIF($C65:AP65, "nfp")=0, SUMIF($C$9:AP$9,0,$C65:AP65), "nfp")</f>
        <v>2934360273.4231071</v>
      </c>
      <c r="AS65" s="405"/>
      <c r="AT65" s="317"/>
      <c r="AU65" s="317"/>
    </row>
    <row r="66" spans="1:49">
      <c r="A66" s="263" t="s">
        <v>617</v>
      </c>
      <c r="B66" s="248" t="s">
        <v>67</v>
      </c>
      <c r="C66" s="742"/>
      <c r="D66" s="732">
        <v>292701469.47151518</v>
      </c>
      <c r="E66" s="742"/>
      <c r="F66" s="732">
        <v>317215898.49030304</v>
      </c>
      <c r="G66" s="742"/>
      <c r="H66" s="732">
        <v>302701422.50512731</v>
      </c>
      <c r="I66" s="742"/>
      <c r="J66" s="732">
        <v>281872129.454</v>
      </c>
      <c r="K66" s="742"/>
      <c r="L66" s="732">
        <v>257719561.2910291</v>
      </c>
      <c r="M66" s="742"/>
      <c r="N66" s="732">
        <v>282879838.97060996</v>
      </c>
      <c r="O66" s="742"/>
      <c r="P66" s="732">
        <v>177539531.95650181</v>
      </c>
      <c r="Q66" s="742"/>
      <c r="R66" s="732">
        <v>135619862.7269091</v>
      </c>
      <c r="S66" s="742"/>
      <c r="T66" s="732">
        <v>458168417.6431855</v>
      </c>
      <c r="U66" s="742"/>
      <c r="V66" s="732">
        <v>372123979.28436369</v>
      </c>
      <c r="W66" s="742"/>
      <c r="X66" s="732">
        <v>70001371</v>
      </c>
      <c r="Y66" s="742"/>
      <c r="Z66" s="743">
        <f>Z67-SUM(Z60:Z65)</f>
        <v>75356169</v>
      </c>
      <c r="AA66" s="733"/>
      <c r="AB66" s="743">
        <f>AB67-SUM(AB60:AB65)</f>
        <v>65585668.99999994</v>
      </c>
      <c r="AC66" s="742"/>
      <c r="AD66" s="743">
        <f>AD67-SUM(AD60:AD65)</f>
        <v>158791842</v>
      </c>
      <c r="AE66" s="1071"/>
      <c r="AF66" s="743">
        <f>AF67-SUM(AF60:AF65)</f>
        <v>110190572.99999994</v>
      </c>
      <c r="AG66" s="744"/>
      <c r="AH66" s="742">
        <v>116708350</v>
      </c>
      <c r="AI66" s="733"/>
      <c r="AJ66" s="742">
        <v>105973282</v>
      </c>
      <c r="AK66" s="742"/>
      <c r="AL66" s="1675">
        <v>100191134.81999993</v>
      </c>
      <c r="AM66" s="1675"/>
      <c r="AN66" s="1675">
        <f>AN67-SUM(AN60:AN65)</f>
        <v>125658334.99999976</v>
      </c>
      <c r="AO66" s="1675"/>
      <c r="AP66" s="1675">
        <f>AP67-SUM(AP60:AP65)</f>
        <v>114293342</v>
      </c>
      <c r="AQ66" s="934"/>
      <c r="AR66" s="723">
        <f>IF(COUNTIF($C66:AP66, "nfp")=0, SUMIF($C$9:AP$9,0,$C66:AP66), "nfp")</f>
        <v>3921292179.6135445</v>
      </c>
      <c r="AT66" s="317"/>
      <c r="AU66" s="317"/>
      <c r="AV66" s="381"/>
      <c r="AW66" s="381"/>
    </row>
    <row r="67" spans="1:49">
      <c r="A67" s="264" t="s">
        <v>284</v>
      </c>
      <c r="B67" s="256"/>
      <c r="C67" s="742"/>
      <c r="D67" s="732">
        <f>(SUMIFS('Mineral Sands - Q&amp;V'!$C$8:$C$250,'Mineral Sands - Q&amp;V'!$D$8:$D$250,LEFT('Q&amp;V FY 2003-04 to Now'!C$7,4),'Mineral Sands - Q&amp;V'!$E$8:$E$250,3)+
SUMIFS('Mineral Sands - Q&amp;V'!$C$8:$C$250,'Mineral Sands - Q&amp;V'!$D$8:$D$250,LEFT('Q&amp;V FY 2003-04 to Now'!C$7,4),'Mineral Sands - Q&amp;V'!$E$8:$E$250,4)+
SUMIFS('Mineral Sands - Q&amp;V'!$C$8:$C$250,'Mineral Sands - Q&amp;V'!$D$8:$D$250,CONCATENATE("20",RIGHT('Q&amp;V FY 2003-04 to Now'!C$7,2)),'Mineral Sands - Q&amp;V'!$E$8:$E$250,1)+
SUMIFS('Mineral Sands - Q&amp;V'!$C$8:$C$250,'Mineral Sands - Q&amp;V'!$D$8:$D$250,CONCATENATE("20",RIGHT('Q&amp;V FY 2003-04 to Now'!C$7,2)),'Mineral Sands - Q&amp;V'!$E$8:$E$250,2))*1000000</f>
        <v>777537893.61151516</v>
      </c>
      <c r="E67" s="742"/>
      <c r="F67" s="732">
        <f>(SUMIFS('Mineral Sands - Q&amp;V'!$C$8:$C$250,'Mineral Sands - Q&amp;V'!$D$8:$D$250,LEFT('Q&amp;V FY 2003-04 to Now'!E$7,4),'Mineral Sands - Q&amp;V'!$E$8:$E$250,3)+
SUMIFS('Mineral Sands - Q&amp;V'!$C$8:$C$250,'Mineral Sands - Q&amp;V'!$D$8:$D$250,LEFT('Q&amp;V FY 2003-04 to Now'!E$7,4),'Mineral Sands - Q&amp;V'!$E$8:$E$250,4)+
SUMIFS('Mineral Sands - Q&amp;V'!$C$8:$C$250,'Mineral Sands - Q&amp;V'!$D$8:$D$250,CONCATENATE("20",RIGHT('Q&amp;V FY 2003-04 to Now'!E$7,2)),'Mineral Sands - Q&amp;V'!$E$8:$E$250,1)+
SUMIFS('Mineral Sands - Q&amp;V'!$C$8:$C$250,'Mineral Sands - Q&amp;V'!$D$8:$D$250,CONCATENATE("20",RIGHT('Q&amp;V FY 2003-04 to Now'!E$7,2)),'Mineral Sands - Q&amp;V'!$E$8:$E$250,2))*1000000</f>
        <v>808446917.6803031</v>
      </c>
      <c r="G67" s="742"/>
      <c r="H67" s="732">
        <f>(SUMIFS('Mineral Sands - Q&amp;V'!$C$8:$C$250,'Mineral Sands - Q&amp;V'!$D$8:$D$250,LEFT('Q&amp;V FY 2003-04 to Now'!G$7,4),'Mineral Sands - Q&amp;V'!$E$8:$E$250,3)+
SUMIFS('Mineral Sands - Q&amp;V'!$C$8:$C$250,'Mineral Sands - Q&amp;V'!$D$8:$D$250,LEFT('Q&amp;V FY 2003-04 to Now'!G$7,4),'Mineral Sands - Q&amp;V'!$E$8:$E$250,4)+
SUMIFS('Mineral Sands - Q&amp;V'!$C$8:$C$250,'Mineral Sands - Q&amp;V'!$D$8:$D$250,CONCATENATE("20",RIGHT('Q&amp;V FY 2003-04 to Now'!G$7,2)),'Mineral Sands - Q&amp;V'!$E$8:$E$250,1)+
SUMIFS('Mineral Sands - Q&amp;V'!$C$8:$C$250,'Mineral Sands - Q&amp;V'!$D$8:$D$250,CONCATENATE("20",RIGHT('Q&amp;V FY 2003-04 to Now'!G$7,2)),'Mineral Sands - Q&amp;V'!$E$8:$E$250,2))*1000000</f>
        <v>835631249.28512728</v>
      </c>
      <c r="I67" s="742"/>
      <c r="J67" s="732">
        <f>(SUMIFS('Mineral Sands - Q&amp;V'!$C$8:$C$250,'Mineral Sands - Q&amp;V'!$D$8:$D$250,LEFT('Q&amp;V FY 2003-04 to Now'!I$7,4),'Mineral Sands - Q&amp;V'!$E$8:$E$250,3)+
SUMIFS('Mineral Sands - Q&amp;V'!$C$8:$C$250,'Mineral Sands - Q&amp;V'!$D$8:$D$250,LEFT('Q&amp;V FY 2003-04 to Now'!I$7,4),'Mineral Sands - Q&amp;V'!$E$8:$E$250,4)+
SUMIFS('Mineral Sands - Q&amp;V'!$C$8:$C$250,'Mineral Sands - Q&amp;V'!$D$8:$D$250,CONCATENATE("20",RIGHT('Q&amp;V FY 2003-04 to Now'!I$7,2)),'Mineral Sands - Q&amp;V'!$E$8:$E$250,1)+
SUMIFS('Mineral Sands - Q&amp;V'!$C$8:$C$250,'Mineral Sands - Q&amp;V'!$D$8:$D$250,CONCATENATE("20",RIGHT('Q&amp;V FY 2003-04 to Now'!I$7,2)),'Mineral Sands - Q&amp;V'!$E$8:$E$250,2))*1000000</f>
        <v>845527008.92400002</v>
      </c>
      <c r="K67" s="742"/>
      <c r="L67" s="732">
        <f>(SUMIFS('Mineral Sands - Q&amp;V'!$C$8:$C$250,'Mineral Sands - Q&amp;V'!$D$8:$D$250,LEFT('Q&amp;V FY 2003-04 to Now'!K$7,4),'Mineral Sands - Q&amp;V'!$E$8:$E$250,3)+
SUMIFS('Mineral Sands - Q&amp;V'!$C$8:$C$250,'Mineral Sands - Q&amp;V'!$D$8:$D$250,LEFT('Q&amp;V FY 2003-04 to Now'!K$7,4),'Mineral Sands - Q&amp;V'!$E$8:$E$250,4)+
SUMIFS('Mineral Sands - Q&amp;V'!$C$8:$C$250,'Mineral Sands - Q&amp;V'!$D$8:$D$250,CONCATENATE("20",RIGHT('Q&amp;V FY 2003-04 to Now'!K$7,2)),'Mineral Sands - Q&amp;V'!$E$8:$E$250,1)+
SUMIFS('Mineral Sands - Q&amp;V'!$C$8:$C$250,'Mineral Sands - Q&amp;V'!$D$8:$D$250,CONCATENATE("20",RIGHT('Q&amp;V FY 2003-04 to Now'!K$7,2)),'Mineral Sands - Q&amp;V'!$E$8:$E$250,2))*1000000</f>
        <v>677254305.63102913</v>
      </c>
      <c r="M67" s="742"/>
      <c r="N67" s="732">
        <f>(SUMIFS('Mineral Sands - Q&amp;V'!$C$8:$C$250,'Mineral Sands - Q&amp;V'!$D$8:$D$250,LEFT('Q&amp;V FY 2003-04 to Now'!M$7,4),'Mineral Sands - Q&amp;V'!$E$8:$E$250,3)+
SUMIFS('Mineral Sands - Q&amp;V'!$C$8:$C$250,'Mineral Sands - Q&amp;V'!$D$8:$D$250,LEFT('Q&amp;V FY 2003-04 to Now'!M$7,4),'Mineral Sands - Q&amp;V'!$E$8:$E$250,4)+
SUMIFS('Mineral Sands - Q&amp;V'!$C$8:$C$250,'Mineral Sands - Q&amp;V'!$D$8:$D$250,CONCATENATE("20",RIGHT('Q&amp;V FY 2003-04 to Now'!M$7,2)),'Mineral Sands - Q&amp;V'!$E$8:$E$250,1)+
SUMIFS('Mineral Sands - Q&amp;V'!$C$8:$C$250,'Mineral Sands - Q&amp;V'!$D$8:$D$250,CONCATENATE("20",RIGHT('Q&amp;V FY 2003-04 to Now'!M$7,2)),'Mineral Sands - Q&amp;V'!$E$8:$E$250,2))*1000000</f>
        <v>704602267.2606101</v>
      </c>
      <c r="O67" s="742"/>
      <c r="P67" s="732">
        <f>(SUMIFS('Mineral Sands - Q&amp;V'!$C$8:$C$250,'Mineral Sands - Q&amp;V'!$D$8:$D$250,LEFT('Q&amp;V FY 2003-04 to Now'!O$7,4),'Mineral Sands - Q&amp;V'!$E$8:$E$250,3)+
SUMIFS('Mineral Sands - Q&amp;V'!$C$8:$C$250,'Mineral Sands - Q&amp;V'!$D$8:$D$250,LEFT('Q&amp;V FY 2003-04 to Now'!O$7,4),'Mineral Sands - Q&amp;V'!$E$8:$E$250,4)+
SUMIFS('Mineral Sands - Q&amp;V'!$C$8:$C$250,'Mineral Sands - Q&amp;V'!$D$8:$D$250,CONCATENATE("20",RIGHT('Q&amp;V FY 2003-04 to Now'!O$7,2)),'Mineral Sands - Q&amp;V'!$E$8:$E$250,1)+
SUMIFS('Mineral Sands - Q&amp;V'!$C$8:$C$250,'Mineral Sands - Q&amp;V'!$D$8:$D$250,CONCATENATE("20",RIGHT('Q&amp;V FY 2003-04 to Now'!O$7,2)),'Mineral Sands - Q&amp;V'!$E$8:$E$250,2))*1000000</f>
        <v>664485029.62650192</v>
      </c>
      <c r="Q67" s="742"/>
      <c r="R67" s="732">
        <f>(SUMIFS('Mineral Sands - Q&amp;V'!$C$8:$C$250,'Mineral Sands - Q&amp;V'!$D$8:$D$250,LEFT('Q&amp;V FY 2003-04 to Now'!Q$7,4),'Mineral Sands - Q&amp;V'!$E$8:$E$250,3)+
SUMIFS('Mineral Sands - Q&amp;V'!$C$8:$C$250,'Mineral Sands - Q&amp;V'!$D$8:$D$250,LEFT('Q&amp;V FY 2003-04 to Now'!Q$7,4),'Mineral Sands - Q&amp;V'!$E$8:$E$250,4)+
SUMIFS('Mineral Sands - Q&amp;V'!$C$8:$C$250,'Mineral Sands - Q&amp;V'!$D$8:$D$250,CONCATENATE("20",RIGHT('Q&amp;V FY 2003-04 to Now'!Q$7,2)),'Mineral Sands - Q&amp;V'!$E$8:$E$250,1)+
SUMIFS('Mineral Sands - Q&amp;V'!$C$8:$C$250,'Mineral Sands - Q&amp;V'!$D$8:$D$250,CONCATENATE("20",RIGHT('Q&amp;V FY 2003-04 to Now'!Q$7,2)),'Mineral Sands - Q&amp;V'!$E$8:$E$250,2))*1000000</f>
        <v>476182546.96690905</v>
      </c>
      <c r="S67" s="742"/>
      <c r="T67" s="732">
        <f>(SUMIFS('Mineral Sands - Q&amp;V'!$C$8:$C$250,'Mineral Sands - Q&amp;V'!$D$8:$D$250,LEFT('Q&amp;V FY 2003-04 to Now'!S$7,4),'Mineral Sands - Q&amp;V'!$E$8:$E$250,3)+
SUMIFS('Mineral Sands - Q&amp;V'!$C$8:$C$250,'Mineral Sands - Q&amp;V'!$D$8:$D$250,LEFT('Q&amp;V FY 2003-04 to Now'!S$7,4),'Mineral Sands - Q&amp;V'!$E$8:$E$250,4)+
SUMIFS('Mineral Sands - Q&amp;V'!$C$8:$C$250,'Mineral Sands - Q&amp;V'!$D$8:$D$250,CONCATENATE("20",RIGHT('Q&amp;V FY 2003-04 to Now'!S$7,2)),'Mineral Sands - Q&amp;V'!$E$8:$E$250,1)+
SUMIFS('Mineral Sands - Q&amp;V'!$C$8:$C$250,'Mineral Sands - Q&amp;V'!$D$8:$D$250,CONCATENATE("20",RIGHT('Q&amp;V FY 2003-04 to Now'!S$7,2)),'Mineral Sands - Q&amp;V'!$E$8:$E$250,2))*1000000</f>
        <v>864112563.07318532</v>
      </c>
      <c r="U67" s="742"/>
      <c r="V67" s="732">
        <f>(SUMIFS('Mineral Sands - Q&amp;V'!$C$8:$C$250,'Mineral Sands - Q&amp;V'!$D$8:$D$250,LEFT('Q&amp;V FY 2003-04 to Now'!U$7,4),'Mineral Sands - Q&amp;V'!$E$8:$E$250,3)+
SUMIFS('Mineral Sands - Q&amp;V'!$C$8:$C$250,'Mineral Sands - Q&amp;V'!$D$8:$D$250,LEFT('Q&amp;V FY 2003-04 to Now'!U$7,4),'Mineral Sands - Q&amp;V'!$E$8:$E$250,4)+
SUMIFS('Mineral Sands - Q&amp;V'!$C$8:$C$250,'Mineral Sands - Q&amp;V'!$D$8:$D$250,CONCATENATE("20",RIGHT('Q&amp;V FY 2003-04 to Now'!U$7,2)),'Mineral Sands - Q&amp;V'!$E$8:$E$250,1)+
SUMIFS('Mineral Sands - Q&amp;V'!$C$8:$C$250,'Mineral Sands - Q&amp;V'!$D$8:$D$250,CONCATENATE("20",RIGHT('Q&amp;V FY 2003-04 to Now'!U$7,2)),'Mineral Sands - Q&amp;V'!$E$8:$E$250,2))*1000000</f>
        <v>657172351.63484848</v>
      </c>
      <c r="W67" s="742"/>
      <c r="X67" s="732">
        <f>(SUMIFS('Mineral Sands - Q&amp;V'!$C$8:$C$250,'Mineral Sands - Q&amp;V'!$D$8:$D$250,LEFT('Q&amp;V FY 2003-04 to Now'!W$7,4),'Mineral Sands - Q&amp;V'!$E$8:$E$250,3)+
SUMIFS('Mineral Sands - Q&amp;V'!$C$8:$C$250,'Mineral Sands - Q&amp;V'!$D$8:$D$250,LEFT('Q&amp;V FY 2003-04 to Now'!W$7,4),'Mineral Sands - Q&amp;V'!$E$8:$E$250,4)+
SUMIFS('Mineral Sands - Q&amp;V'!$C$8:$C$250,'Mineral Sands - Q&amp;V'!$D$8:$D$250,CONCATENATE("20",RIGHT('Q&amp;V FY 2003-04 to Now'!W$7,2)),'Mineral Sands - Q&amp;V'!$E$8:$E$250,1)+
SUMIFS('Mineral Sands - Q&amp;V'!$C$8:$C$250,'Mineral Sands - Q&amp;V'!$D$8:$D$250,CONCATENATE("20",RIGHT('Q&amp;V FY 2003-04 to Now'!W$7,2)),'Mineral Sands - Q&amp;V'!$E$8:$E$250,2))*1000000</f>
        <v>359958050.74545455</v>
      </c>
      <c r="Y67" s="742"/>
      <c r="Z67" s="732">
        <f>(SUMIFS('Mineral Sands - Q&amp;V'!$C$8:$C$250,'Mineral Sands - Q&amp;V'!$D$8:$D$250,LEFT('Q&amp;V FY 2003-04 to Now'!Y$7,4),'Mineral Sands - Q&amp;V'!$E$8:$E$250,3)+
SUMIFS('Mineral Sands - Q&amp;V'!$C$8:$C$250,'Mineral Sands - Q&amp;V'!$D$8:$D$250,LEFT('Q&amp;V FY 2003-04 to Now'!Y$7,4),'Mineral Sands - Q&amp;V'!$E$8:$E$250,4)+
SUMIFS('Mineral Sands - Q&amp;V'!$C$8:$C$250,'Mineral Sands - Q&amp;V'!$D$8:$D$250,CONCATENATE("20",RIGHT('Q&amp;V FY 2003-04 to Now'!Y$7,2)),'Mineral Sands - Q&amp;V'!$E$8:$E$250,1)+
SUMIFS('Mineral Sands - Q&amp;V'!$C$8:$C$250,'Mineral Sands - Q&amp;V'!$D$8:$D$250,CONCATENATE("20",RIGHT('Q&amp;V FY 2003-04 to Now'!Y$7,2)),'Mineral Sands - Q&amp;V'!$E$8:$E$250,2))*1000000</f>
        <v>494227513.26065212</v>
      </c>
      <c r="AA67" s="742"/>
      <c r="AB67" s="732">
        <f>(SUMIFS('Mineral Sands - Q&amp;V'!$C$8:$C$250,'Mineral Sands - Q&amp;V'!$D$8:$D$250,LEFT('Q&amp;V FY 2003-04 to Now'!AA$7,4),'Mineral Sands - Q&amp;V'!$E$8:$E$250,3)+
SUMIFS('Mineral Sands - Q&amp;V'!$C$8:$C$250,'Mineral Sands - Q&amp;V'!$D$8:$D$250,LEFT('Q&amp;V FY 2003-04 to Now'!AA$7,4),'Mineral Sands - Q&amp;V'!$E$8:$E$250,4)+
SUMIFS('Mineral Sands - Q&amp;V'!$C$8:$C$250,'Mineral Sands - Q&amp;V'!$D$8:$D$250,CONCATENATE("20",RIGHT('Q&amp;V FY 2003-04 to Now'!AA$7,2)),'Mineral Sands - Q&amp;V'!$E$8:$E$250,1)+
SUMIFS('Mineral Sands - Q&amp;V'!$C$8:$C$250,'Mineral Sands - Q&amp;V'!$D$8:$D$250,CONCATENATE("20",RIGHT('Q&amp;V FY 2003-04 to Now'!AA$7,2)),'Mineral Sands - Q&amp;V'!$E$8:$E$250,2))*1000000</f>
        <v>571530555.13582826</v>
      </c>
      <c r="AC67" s="742"/>
      <c r="AD67" s="732">
        <f>(SUMIFS('Mineral Sands - Q&amp;V'!$C$8:$C$250,'Mineral Sands - Q&amp;V'!$D$8:$D$250,LEFT('Q&amp;V FY 2003-04 to Now'!AC$7,4),'Mineral Sands - Q&amp;V'!$E$8:$E$250,3)+
SUMIFS('Mineral Sands - Q&amp;V'!$C$8:$C$250,'Mineral Sands - Q&amp;V'!$D$8:$D$250,LEFT('Q&amp;V FY 2003-04 to Now'!AC$7,4),'Mineral Sands - Q&amp;V'!$E$8:$E$250,4)+
SUMIFS('Mineral Sands - Q&amp;V'!$C$8:$C$250,'Mineral Sands - Q&amp;V'!$D$8:$D$250,CONCATENATE("20",RIGHT('Q&amp;V FY 2003-04 to Now'!AC$7,2)),'Mineral Sands - Q&amp;V'!$E$8:$E$250,1)+
SUMIFS('Mineral Sands - Q&amp;V'!$C$8:$C$250,'Mineral Sands - Q&amp;V'!$D$8:$D$250,CONCATENATE("20",RIGHT('Q&amp;V FY 2003-04 to Now'!AC$7,2)),'Mineral Sands - Q&amp;V'!$E$8:$E$250,2))*1000000</f>
        <v>583462788.04640043</v>
      </c>
      <c r="AE67" s="733"/>
      <c r="AF67" s="732">
        <f>(SUMIFS('Mineral Sands - Q&amp;V'!$C$8:$C$250,'Mineral Sands - Q&amp;V'!$D$8:$D$250,LEFT('Q&amp;V FY 2003-04 to Now'!AE$7,4),'Mineral Sands - Q&amp;V'!$E$8:$E$250,3)+
SUMIFS('Mineral Sands - Q&amp;V'!$C$8:$C$250,'Mineral Sands - Q&amp;V'!$D$8:$D$250,LEFT('Q&amp;V FY 2003-04 to Now'!AE$7,4),'Mineral Sands - Q&amp;V'!$E$8:$E$250,4)+
SUMIFS('Mineral Sands - Q&amp;V'!$C$8:$C$250,'Mineral Sands - Q&amp;V'!$D$8:$D$250,CONCATENATE("20",RIGHT('Q&amp;V FY 2003-04 to Now'!AE$7,2)),'Mineral Sands - Q&amp;V'!$E$8:$E$250,1)+
SUMIFS('Mineral Sands - Q&amp;V'!$C$8:$C$250,'Mineral Sands - Q&amp;V'!$D$8:$D$250,CONCATENATE("20",RIGHT('Q&amp;V FY 2003-04 to Now'!AE$7,2)),'Mineral Sands - Q&amp;V'!$E$8:$E$250,2))*1000000</f>
        <v>552008983.87739635</v>
      </c>
      <c r="AG67" s="744"/>
      <c r="AH67" s="742">
        <f>(SUMIFS('Mineral Sands - Q&amp;V'!$C$8:$C$250,'Mineral Sands - Q&amp;V'!$D$8:$D$250,LEFT('Q&amp;V FY 2003-04 to Now'!AG$7,4),'Mineral Sands - Q&amp;V'!$E$8:$E$250,3)+
SUMIFS('Mineral Sands - Q&amp;V'!$C$8:$C$250,'Mineral Sands - Q&amp;V'!$D$8:$D$250,LEFT('Q&amp;V FY 2003-04 to Now'!AG$7,4),'Mineral Sands - Q&amp;V'!$E$8:$E$250,4)+
SUMIFS('Mineral Sands - Q&amp;V'!$C$8:$C$250,'Mineral Sands - Q&amp;V'!$D$8:$D$250,CONCATENATE("20",RIGHT('Q&amp;V FY 2003-04 to Now'!AG$7,2)),'Mineral Sands - Q&amp;V'!$E$8:$E$250,1)+
SUMIFS('Mineral Sands - Q&amp;V'!$C$8:$C$250,'Mineral Sands - Q&amp;V'!$D$8:$D$250,CONCATENATE("20",RIGHT('Q&amp;V FY 2003-04 to Now'!AG$7,2)),'Mineral Sands - Q&amp;V'!$E$8:$E$250,2))*1000000</f>
        <v>718330056.36106145</v>
      </c>
      <c r="AI67" s="733"/>
      <c r="AJ67" s="742">
        <f>(SUMIFS('Mineral Sands - Q&amp;V'!$C$8:$C$250,'Mineral Sands - Q&amp;V'!$D$8:$D$250,LEFT('Q&amp;V FY 2003-04 to Now'!AI$7,4),'Mineral Sands - Q&amp;V'!$E$8:$E$250,3)+
SUMIFS('Mineral Sands - Q&amp;V'!$C$8:$C$250,'Mineral Sands - Q&amp;V'!$D$8:$D$250,LEFT('Q&amp;V FY 2003-04 to Now'!AI$7,4),'Mineral Sands - Q&amp;V'!$E$8:$E$250,4)+
SUMIFS('Mineral Sands - Q&amp;V'!$C$8:$C$250,'Mineral Sands - Q&amp;V'!$D$8:$D$250,CONCATENATE("20",RIGHT('Q&amp;V FY 2003-04 to Now'!AI$7,2)),'Mineral Sands - Q&amp;V'!$E$8:$E$250,1)+
SUMIFS('Mineral Sands - Q&amp;V'!$C$8:$C$250,'Mineral Sands - Q&amp;V'!$D$8:$D$250,CONCATENATE("20",RIGHT('Q&amp;V FY 2003-04 to Now'!AI$7,2)),'Mineral Sands - Q&amp;V'!$E$8:$E$250,2))*1000000</f>
        <v>815731088.26599419</v>
      </c>
      <c r="AK67" s="742"/>
      <c r="AL67" s="1675">
        <f>(SUMIFS('Mineral Sands - Q&amp;V'!$C$8:$C$250,'Mineral Sands - Q&amp;V'!$D$8:$D$250,LEFT('Q&amp;V FY 2003-04 to Now'!AK$7,4),'Mineral Sands - Q&amp;V'!$E$8:$E$250,3)+
SUMIFS('Mineral Sands - Q&amp;V'!$C$8:$C$250,'Mineral Sands - Q&amp;V'!$D$8:$D$250,LEFT('Q&amp;V FY 2003-04 to Now'!AK$7,4),'Mineral Sands - Q&amp;V'!$E$8:$E$250,4)+
SUMIFS('Mineral Sands - Q&amp;V'!$C$8:$C$250,'Mineral Sands - Q&amp;V'!$D$8:$D$250,CONCATENATE("20",RIGHT('Q&amp;V FY 2003-04 to Now'!AK$7,2)),'Mineral Sands - Q&amp;V'!$E$8:$E$250,1)+
SUMIFS('Mineral Sands - Q&amp;V'!$C$8:$C$250,'Mineral Sands - Q&amp;V'!$D$8:$D$250,CONCATENATE("20",RIGHT('Q&amp;V FY 2003-04 to Now'!AK$7,2)),'Mineral Sands - Q&amp;V'!$E$8:$E$250,2))*1000000</f>
        <v>926802515.33800459</v>
      </c>
      <c r="AM67" s="1088"/>
      <c r="AN67" s="1675">
        <f>(SUMIFS('Mineral Sands - Q&amp;V'!$C$8:$C$250,'Mineral Sands - Q&amp;V'!$D$8:$D$250,LEFT('Q&amp;V FY 2003-04 to Now'!AM$7,4),'Mineral Sands - Q&amp;V'!$E$8:$E$250,3)+
SUMIFS('Mineral Sands - Q&amp;V'!$C$8:$C$250,'Mineral Sands - Q&amp;V'!$D$8:$D$250,LEFT('Q&amp;V FY 2003-04 to Now'!AM$7,4),'Mineral Sands - Q&amp;V'!$E$8:$E$250,4)+
SUMIFS('Mineral Sands - Q&amp;V'!$C$8:$C$250,'Mineral Sands - Q&amp;V'!$D$8:$D$250,CONCATENATE("20",RIGHT('Q&amp;V FY 2003-04 to Now'!AM$7,2)),'Mineral Sands - Q&amp;V'!$E$8:$E$250,1)+
SUMIFS('Mineral Sands - Q&amp;V'!$C$8:$C$250,'Mineral Sands - Q&amp;V'!$D$8:$D$250,CONCATENATE("20",RIGHT('Q&amp;V FY 2003-04 to Now'!AM$7,2)),'Mineral Sands - Q&amp;V'!$E$8:$E$250,2))*1000000</f>
        <v>1387808764.4517767</v>
      </c>
      <c r="AO67" s="1088"/>
      <c r="AP67" s="1675">
        <f>(SUMIFS('Mineral Sands - Q&amp;V'!$C$8:$C$250,'Mineral Sands - Q&amp;V'!$D$8:$D$250,LEFT('Q&amp;V FY 2003-04 to Now'!AO$7,4),'Mineral Sands - Q&amp;V'!$E$8:$E$250,3)+
SUMIFS('Mineral Sands - Q&amp;V'!$C$8:$C$250,'Mineral Sands - Q&amp;V'!$D$8:$D$250,LEFT('Q&amp;V FY 2003-04 to Now'!AO$7,4),'Mineral Sands - Q&amp;V'!$E$8:$E$250,4)+
SUMIFS('Mineral Sands - Q&amp;V'!$C$8:$C$250,'Mineral Sands - Q&amp;V'!$D$8:$D$250,CONCATENATE("20",RIGHT('Q&amp;V FY 2003-04 to Now'!AO$7,2)),'Mineral Sands - Q&amp;V'!$E$8:$E$250,1)+
SUMIFS('Mineral Sands - Q&amp;V'!$C$8:$C$250,'Mineral Sands - Q&amp;V'!$D$8:$D$250,CONCATENATE("20",RIGHT('Q&amp;V FY 2003-04 to Now'!AO$7,2)),'Mineral Sands - Q&amp;V'!$E$8:$E$250,2))*1000000</f>
        <v>1434482199.2783387</v>
      </c>
      <c r="AQ67" s="934"/>
      <c r="AR67" s="723">
        <f>IF(COUNTIF($C67:AP67, "nfp")=0, SUMIF($C$9:AP$9,0,$C67:AP67), "nfp")</f>
        <v>15155294648.454937</v>
      </c>
      <c r="AT67" s="317"/>
      <c r="AU67" s="317"/>
      <c r="AV67" s="381"/>
      <c r="AW67" s="381"/>
    </row>
    <row r="68" spans="1:49">
      <c r="A68" s="250"/>
      <c r="B68" s="256"/>
      <c r="C68" s="742"/>
      <c r="D68" s="732"/>
      <c r="E68" s="742"/>
      <c r="F68" s="732"/>
      <c r="G68" s="742"/>
      <c r="H68" s="732"/>
      <c r="I68" s="742"/>
      <c r="J68" s="732"/>
      <c r="K68" s="742"/>
      <c r="L68" s="732"/>
      <c r="M68" s="742"/>
      <c r="N68" s="732"/>
      <c r="O68" s="742"/>
      <c r="P68" s="732"/>
      <c r="Q68" s="742"/>
      <c r="R68" s="732"/>
      <c r="S68" s="742"/>
      <c r="T68" s="732"/>
      <c r="U68" s="742"/>
      <c r="V68" s="732"/>
      <c r="W68" s="742"/>
      <c r="X68" s="732"/>
      <c r="Y68" s="742"/>
      <c r="Z68" s="732"/>
      <c r="AA68" s="742"/>
      <c r="AB68" s="732"/>
      <c r="AC68" s="732"/>
      <c r="AD68" s="732"/>
      <c r="AE68" s="733"/>
      <c r="AF68" s="732"/>
      <c r="AG68" s="744"/>
      <c r="AH68" s="742"/>
      <c r="AI68" s="733"/>
      <c r="AJ68" s="742"/>
      <c r="AK68" s="742"/>
      <c r="AL68" s="742"/>
      <c r="AM68" s="742"/>
      <c r="AN68" s="742"/>
      <c r="AO68" s="742"/>
      <c r="AP68" s="742"/>
      <c r="AQ68" s="934"/>
      <c r="AR68" s="724"/>
      <c r="AT68" s="317"/>
      <c r="AU68" s="317"/>
      <c r="AV68" s="381"/>
      <c r="AW68" s="381"/>
    </row>
    <row r="69" spans="1:49" s="381" customFormat="1">
      <c r="A69" s="261" t="s">
        <v>504</v>
      </c>
      <c r="B69" s="127" t="s">
        <v>67</v>
      </c>
      <c r="C69" s="717">
        <f>(SUMIFS('Nickel - Q&amp;V'!$B$8:$B$250,'Nickel - Q&amp;V'!$D$8:$D$250,LEFT('Q&amp;V FY 2003-04 to Now'!C$7:D$7,4),'Nickel - Q&amp;V'!$E$8:$E$250,3)+
SUMIFS('Nickel - Q&amp;V'!$B$8:$B$250,'Nickel - Q&amp;V'!$D$8:$D$250,LEFT('Q&amp;V FY 2003-04 to Now'!C$7:D$7,4),'Nickel - Q&amp;V'!$E$8:$E$250,4)+
SUMIFS('Nickel - Q&amp;V'!$B$8:$B$250,'Nickel - Q&amp;V'!$D$8:$D$250,CONCATENATE("20",RIGHT('Q&amp;V FY 2003-04 to Now'!C$7,2)),'Nickel - Q&amp;V'!$E$8:$E$250,1)+
SUMIFS('Nickel - Q&amp;V'!$B$8:$B$250,'Nickel - Q&amp;V'!$D$8:$D$250,CONCATENATE("20",RIGHT('Q&amp;V FY 2003-04 to Now'!C$7,2)),'Nickel - Q&amp;V'!$E$8:$E$250,2))*1000</f>
        <v>182605</v>
      </c>
      <c r="D69" s="741">
        <f>(SUMIFS('Nickel - Q&amp;V'!$C$8:$C$250,'Nickel - Q&amp;V'!$D$8:$D$250,LEFT('Q&amp;V FY 2003-04 to Now'!C$7,4),'Nickel - Q&amp;V'!$E$8:$E$250,3)+
SUMIFS('Nickel - Q&amp;V'!$C$8:$C$250,'Nickel - Q&amp;V'!$D$8:$D$250,LEFT('Q&amp;V FY 2003-04 to Now'!C$7,4),'Nickel - Q&amp;V'!$E$8:$E$250,4)+
SUMIFS('Nickel - Q&amp;V'!$C$8:$C$250,'Nickel - Q&amp;V'!$D$8:$D$250,CONCATENATE("20",RIGHT('Q&amp;V FY 2003-04 to Now'!C$7,2)),'Nickel - Q&amp;V'!$E$8:$E$250,1)+
SUMIFS('Nickel - Q&amp;V'!$C$8:$C$250,'Nickel - Q&amp;V'!$D$8:$D$250,CONCATENATE("20",RIGHT('Q&amp;V FY 2003-04 to Now'!C$7,2)),'Nickel - Q&amp;V'!$E$8:$E$250,2))*1000000</f>
        <v>3035937570</v>
      </c>
      <c r="E69" s="717">
        <f>(SUMIFS('Nickel - Q&amp;V'!$B$8:$B$250,'Nickel - Q&amp;V'!$D$8:$D$250,LEFT('Q&amp;V FY 2003-04 to Now'!E$7:F$7,4),'Nickel - Q&amp;V'!$E$8:$E$250,3)+
SUMIFS('Nickel - Q&amp;V'!$B$8:$B$250,'Nickel - Q&amp;V'!$D$8:$D$250,LEFT('Q&amp;V FY 2003-04 to Now'!E$7:F$7,4),'Nickel - Q&amp;V'!$E$8:$E$250,4)+
SUMIFS('Nickel - Q&amp;V'!$B$8:$B$250,'Nickel - Q&amp;V'!$D$8:$D$250,CONCATENATE("20",RIGHT('Q&amp;V FY 2003-04 to Now'!E$7,2)),'Nickel - Q&amp;V'!$E$8:$E$250,1)+
SUMIFS('Nickel - Q&amp;V'!$B$8:$B$250,'Nickel - Q&amp;V'!$D$8:$D$250,CONCATENATE("20",RIGHT('Q&amp;V FY 2003-04 to Now'!E$7,2)),'Nickel - Q&amp;V'!$E$8:$E$250,2))*1000</f>
        <v>180386</v>
      </c>
      <c r="F69" s="741">
        <f>(SUMIFS('Nickel - Q&amp;V'!$C$8:$C$250,'Nickel - Q&amp;V'!$D$8:$D$250,LEFT('Q&amp;V FY 2003-04 to Now'!E$7,4),'Nickel - Q&amp;V'!$E$8:$E$250,3)+
SUMIFS('Nickel - Q&amp;V'!$C$8:$C$250,'Nickel - Q&amp;V'!$D$8:$D$250,LEFT('Q&amp;V FY 2003-04 to Now'!E$7,4),'Nickel - Q&amp;V'!$E$8:$E$250,4)+
SUMIFS('Nickel - Q&amp;V'!$C$8:$C$250,'Nickel - Q&amp;V'!$D$8:$D$250,CONCATENATE("20",RIGHT('Q&amp;V FY 2003-04 to Now'!E$7,2)),'Nickel - Q&amp;V'!$E$8:$E$250,1)+
SUMIFS('Nickel - Q&amp;V'!$C$8:$C$250,'Nickel - Q&amp;V'!$D$8:$D$250,CONCATENATE("20",RIGHT('Q&amp;V FY 2003-04 to Now'!E$7,2)),'Nickel - Q&amp;V'!$E$8:$E$250,2))*1000000</f>
        <v>3501466609</v>
      </c>
      <c r="G69" s="717">
        <f>(SUMIFS('Nickel - Q&amp;V'!$B$8:$B$250,'Nickel - Q&amp;V'!$D$8:$D$250,LEFT('Q&amp;V FY 2003-04 to Now'!G$7:H$7,4),'Nickel - Q&amp;V'!$E$8:$E$250,3)+
SUMIFS('Nickel - Q&amp;V'!$B$8:$B$250,'Nickel - Q&amp;V'!$D$8:$D$250,LEFT('Q&amp;V FY 2003-04 to Now'!G$7:H$7,4),'Nickel - Q&amp;V'!$E$8:$E$250,4)+
SUMIFS('Nickel - Q&amp;V'!$B$8:$B$250,'Nickel - Q&amp;V'!$D$8:$D$250,CONCATENATE("20",RIGHT('Q&amp;V FY 2003-04 to Now'!G$7,2)),'Nickel - Q&amp;V'!$E$8:$E$250,1)+
SUMIFS('Nickel - Q&amp;V'!$B$8:$B$250,'Nickel - Q&amp;V'!$D$8:$D$250,CONCATENATE("20",RIGHT('Q&amp;V FY 2003-04 to Now'!G$7,2)),'Nickel - Q&amp;V'!$E$8:$E$250,2))*1000</f>
        <v>183572</v>
      </c>
      <c r="H69" s="741">
        <f>(SUMIFS('Nickel - Q&amp;V'!$C$8:$C$250,'Nickel - Q&amp;V'!$D$8:$D$250,LEFT('Q&amp;V FY 2003-04 to Now'!G$7,4),'Nickel - Q&amp;V'!$E$8:$E$250,3)+
SUMIFS('Nickel - Q&amp;V'!$C$8:$C$250,'Nickel - Q&amp;V'!$D$8:$D$250,LEFT('Q&amp;V FY 2003-04 to Now'!G$7,4),'Nickel - Q&amp;V'!$E$8:$E$250,4)+
SUMIFS('Nickel - Q&amp;V'!$C$8:$C$250,'Nickel - Q&amp;V'!$D$8:$D$250,CONCATENATE("20",RIGHT('Q&amp;V FY 2003-04 to Now'!G$7,2)),'Nickel - Q&amp;V'!$E$8:$E$250,1)+
SUMIFS('Nickel - Q&amp;V'!$C$8:$C$250,'Nickel - Q&amp;V'!$D$8:$D$250,CONCATENATE("20",RIGHT('Q&amp;V FY 2003-04 to Now'!G$7,2)),'Nickel - Q&amp;V'!$E$8:$E$250,2))*1000000</f>
        <v>3811452005</v>
      </c>
      <c r="I69" s="717">
        <f>(SUMIFS('Nickel - Q&amp;V'!$B$8:$B$250,'Nickel - Q&amp;V'!$D$8:$D$250,LEFT('Q&amp;V FY 2003-04 to Now'!I$7:J$7,4),'Nickel - Q&amp;V'!$E$8:$E$250,3)+
SUMIFS('Nickel - Q&amp;V'!$B$8:$B$250,'Nickel - Q&amp;V'!$D$8:$D$250,LEFT('Q&amp;V FY 2003-04 to Now'!I$7:J$7,4),'Nickel - Q&amp;V'!$E$8:$E$250,4)+
SUMIFS('Nickel - Q&amp;V'!$B$8:$B$250,'Nickel - Q&amp;V'!$D$8:$D$250,CONCATENATE("20",RIGHT('Q&amp;V FY 2003-04 to Now'!I$7,2)),'Nickel - Q&amp;V'!$E$8:$E$250,1)+
SUMIFS('Nickel - Q&amp;V'!$B$8:$B$250,'Nickel - Q&amp;V'!$D$8:$D$250,CONCATENATE("20",RIGHT('Q&amp;V FY 2003-04 to Now'!I$7,2)),'Nickel - Q&amp;V'!$E$8:$E$250,2))*1000</f>
        <v>173569</v>
      </c>
      <c r="J69" s="741">
        <f>(SUMIFS('Nickel - Q&amp;V'!$C$8:$C$250,'Nickel - Q&amp;V'!$D$8:$D$250,LEFT('Q&amp;V FY 2003-04 to Now'!I$7,4),'Nickel - Q&amp;V'!$E$8:$E$250,3)+
SUMIFS('Nickel - Q&amp;V'!$C$8:$C$250,'Nickel - Q&amp;V'!$D$8:$D$250,LEFT('Q&amp;V FY 2003-04 to Now'!I$7,4),'Nickel - Q&amp;V'!$E$8:$E$250,4)+
SUMIFS('Nickel - Q&amp;V'!$C$8:$C$250,'Nickel - Q&amp;V'!$D$8:$D$250,CONCATENATE("20",RIGHT('Q&amp;V FY 2003-04 to Now'!I$7,2)),'Nickel - Q&amp;V'!$E$8:$E$250,1)+
SUMIFS('Nickel - Q&amp;V'!$C$8:$C$250,'Nickel - Q&amp;V'!$D$8:$D$250,CONCATENATE("20",RIGHT('Q&amp;V FY 2003-04 to Now'!I$7,2)),'Nickel - Q&amp;V'!$E$8:$E$250,2))*1000000</f>
        <v>8059379171.000001</v>
      </c>
      <c r="K69" s="717">
        <f>(SUMIFS('Nickel - Q&amp;V'!$B$8:$B$250,'Nickel - Q&amp;V'!$D$8:$D$250,LEFT('Q&amp;V FY 2003-04 to Now'!K$7:L$7,4),'Nickel - Q&amp;V'!$E$8:$E$250,3)+
SUMIFS('Nickel - Q&amp;V'!$B$8:$B$250,'Nickel - Q&amp;V'!$D$8:$D$250,LEFT('Q&amp;V FY 2003-04 to Now'!K$7:L$7,4),'Nickel - Q&amp;V'!$E$8:$E$250,4)+
SUMIFS('Nickel - Q&amp;V'!$B$8:$B$250,'Nickel - Q&amp;V'!$D$8:$D$250,CONCATENATE("20",RIGHT('Q&amp;V FY 2003-04 to Now'!K$7,2)),'Nickel - Q&amp;V'!$E$8:$E$250,1)+
SUMIFS('Nickel - Q&amp;V'!$B$8:$B$250,'Nickel - Q&amp;V'!$D$8:$D$250,CONCATENATE("20",RIGHT('Q&amp;V FY 2003-04 to Now'!K$7,2)),'Nickel - Q&amp;V'!$E$8:$E$250,2))*1000</f>
        <v>172801</v>
      </c>
      <c r="L69" s="741">
        <f>(SUMIFS('Nickel - Q&amp;V'!$C$8:$C$250,'Nickel - Q&amp;V'!$D$8:$D$250,LEFT('Q&amp;V FY 2003-04 to Now'!K$7,4),'Nickel - Q&amp;V'!$E$8:$E$250,3)+
SUMIFS('Nickel - Q&amp;V'!$C$8:$C$250,'Nickel - Q&amp;V'!$D$8:$D$250,LEFT('Q&amp;V FY 2003-04 to Now'!K$7,4),'Nickel - Q&amp;V'!$E$8:$E$250,4)+
SUMIFS('Nickel - Q&amp;V'!$C$8:$C$250,'Nickel - Q&amp;V'!$D$8:$D$250,CONCATENATE("20",RIGHT('Q&amp;V FY 2003-04 to Now'!K$7,2)),'Nickel - Q&amp;V'!$E$8:$E$250,1)+
SUMIFS('Nickel - Q&amp;V'!$C$8:$C$250,'Nickel - Q&amp;V'!$D$8:$D$250,CONCATENATE("20",RIGHT('Q&amp;V FY 2003-04 to Now'!K$7,2)),'Nickel - Q&amp;V'!$E$8:$E$250,2))*1000000</f>
        <v>5143604739</v>
      </c>
      <c r="M69" s="717">
        <f>(SUMIFS('Nickel - Q&amp;V'!$B$8:$B$250,'Nickel - Q&amp;V'!$D$8:$D$250,LEFT('Q&amp;V FY 2003-04 to Now'!M$7:N$7,4),'Nickel - Q&amp;V'!$E$8:$E$250,3)+
SUMIFS('Nickel - Q&amp;V'!$B$8:$B$250,'Nickel - Q&amp;V'!$D$8:$D$250,LEFT('Q&amp;V FY 2003-04 to Now'!M$7:N$7,4),'Nickel - Q&amp;V'!$E$8:$E$250,4)+
SUMIFS('Nickel - Q&amp;V'!$B$8:$B$250,'Nickel - Q&amp;V'!$D$8:$D$250,CONCATENATE("20",RIGHT('Q&amp;V FY 2003-04 to Now'!M$7,2)),'Nickel - Q&amp;V'!$E$8:$E$250,1)+
SUMIFS('Nickel - Q&amp;V'!$B$8:$B$250,'Nickel - Q&amp;V'!$D$8:$D$250,CONCATENATE("20",RIGHT('Q&amp;V FY 2003-04 to Now'!M$7,2)),'Nickel - Q&amp;V'!$E$8:$E$250,2))*1000</f>
        <v>178365</v>
      </c>
      <c r="N69" s="741">
        <f>(SUMIFS('Nickel - Q&amp;V'!$C$8:$C$250,'Nickel - Q&amp;V'!$D$8:$D$250,LEFT('Q&amp;V FY 2003-04 to Now'!M$7,4),'Nickel - Q&amp;V'!$E$8:$E$250,3)+
SUMIFS('Nickel - Q&amp;V'!$C$8:$C$250,'Nickel - Q&amp;V'!$D$8:$D$250,LEFT('Q&amp;V FY 2003-04 to Now'!M$7,4),'Nickel - Q&amp;V'!$E$8:$E$250,4)+
SUMIFS('Nickel - Q&amp;V'!$C$8:$C$250,'Nickel - Q&amp;V'!$D$8:$D$250,CONCATENATE("20",RIGHT('Q&amp;V FY 2003-04 to Now'!M$7,2)),'Nickel - Q&amp;V'!$E$8:$E$250,1)+
SUMIFS('Nickel - Q&amp;V'!$C$8:$C$250,'Nickel - Q&amp;V'!$D$8:$D$250,CONCATENATE("20",RIGHT('Q&amp;V FY 2003-04 to Now'!M$7,2)),'Nickel - Q&amp;V'!$E$8:$E$250,2))*1000000</f>
        <v>2996908794</v>
      </c>
      <c r="O69" s="717">
        <f>(SUMIFS('Nickel - Q&amp;V'!$B$8:$B$250,'Nickel - Q&amp;V'!$D$8:$D$250,LEFT('Q&amp;V FY 2003-04 to Now'!O$7:P$7,4),'Nickel - Q&amp;V'!$E$8:$E$250,3)+
SUMIFS('Nickel - Q&amp;V'!$B$8:$B$250,'Nickel - Q&amp;V'!$D$8:$D$250,LEFT('Q&amp;V FY 2003-04 to Now'!O$7:P$7,4),'Nickel - Q&amp;V'!$E$8:$E$250,4)+
SUMIFS('Nickel - Q&amp;V'!$B$8:$B$250,'Nickel - Q&amp;V'!$D$8:$D$250,CONCATENATE("20",RIGHT('Q&amp;V FY 2003-04 to Now'!O$7,2)),'Nickel - Q&amp;V'!$E$8:$E$250,1)+
SUMIFS('Nickel - Q&amp;V'!$B$8:$B$250,'Nickel - Q&amp;V'!$D$8:$D$250,CONCATENATE("20",RIGHT('Q&amp;V FY 2003-04 to Now'!O$7,2)),'Nickel - Q&amp;V'!$E$8:$E$250,2))*1000</f>
        <v>180152</v>
      </c>
      <c r="P69" s="741">
        <f>(SUMIFS('Nickel - Q&amp;V'!$C$8:$C$250,'Nickel - Q&amp;V'!$D$8:$D$250,LEFT('Q&amp;V FY 2003-04 to Now'!O$7,4),'Nickel - Q&amp;V'!$E$8:$E$250,3)+
SUMIFS('Nickel - Q&amp;V'!$C$8:$C$250,'Nickel - Q&amp;V'!$D$8:$D$250,LEFT('Q&amp;V FY 2003-04 to Now'!O$7,4),'Nickel - Q&amp;V'!$E$8:$E$250,4)+
SUMIFS('Nickel - Q&amp;V'!$C$8:$C$250,'Nickel - Q&amp;V'!$D$8:$D$250,CONCATENATE("20",RIGHT('Q&amp;V FY 2003-04 to Now'!O$7,2)),'Nickel - Q&amp;V'!$E$8:$E$250,1)+
SUMIFS('Nickel - Q&amp;V'!$C$8:$C$250,'Nickel - Q&amp;V'!$D$8:$D$250,CONCATENATE("20",RIGHT('Q&amp;V FY 2003-04 to Now'!O$7,2)),'Nickel - Q&amp;V'!$E$8:$E$250,2))*1000000</f>
        <v>3976771528.9999995</v>
      </c>
      <c r="Q69" s="717">
        <f>(SUMIFS('Nickel - Q&amp;V'!$B$8:$B$250,'Nickel - Q&amp;V'!$D$8:$D$250,LEFT('Q&amp;V FY 2003-04 to Now'!Q$7:R$7,4),'Nickel - Q&amp;V'!$E$8:$E$250,3)+
SUMIFS('Nickel - Q&amp;V'!$B$8:$B$250,'Nickel - Q&amp;V'!$D$8:$D$250,LEFT('Q&amp;V FY 2003-04 to Now'!Q$7:R$7,4),'Nickel - Q&amp;V'!$E$8:$E$250,4)+
SUMIFS('Nickel - Q&amp;V'!$B$8:$B$250,'Nickel - Q&amp;V'!$D$8:$D$250,CONCATENATE("20",RIGHT('Q&amp;V FY 2003-04 to Now'!Q$7,2)),'Nickel - Q&amp;V'!$E$8:$E$250,1)+
SUMIFS('Nickel - Q&amp;V'!$B$8:$B$250,'Nickel - Q&amp;V'!$D$8:$D$250,CONCATENATE("20",RIGHT('Q&amp;V FY 2003-04 to Now'!Q$7,2)),'Nickel - Q&amp;V'!$E$8:$E$250,2))*1000</f>
        <v>194177.00000000003</v>
      </c>
      <c r="R69" s="741">
        <f>(SUMIFS('Nickel - Q&amp;V'!$C$8:$C$250,'Nickel - Q&amp;V'!$D$8:$D$250,LEFT('Q&amp;V FY 2003-04 to Now'!Q$7,4),'Nickel - Q&amp;V'!$E$8:$E$250,3)+
SUMIFS('Nickel - Q&amp;V'!$C$8:$C$250,'Nickel - Q&amp;V'!$D$8:$D$250,LEFT('Q&amp;V FY 2003-04 to Now'!Q$7,4),'Nickel - Q&amp;V'!$E$8:$E$250,4)+
SUMIFS('Nickel - Q&amp;V'!$C$8:$C$250,'Nickel - Q&amp;V'!$D$8:$D$250,CONCATENATE("20",RIGHT('Q&amp;V FY 2003-04 to Now'!Q$7,2)),'Nickel - Q&amp;V'!$E$8:$E$250,1)+
SUMIFS('Nickel - Q&amp;V'!$C$8:$C$250,'Nickel - Q&amp;V'!$D$8:$D$250,CONCATENATE("20",RIGHT('Q&amp;V FY 2003-04 to Now'!Q$7,2)),'Nickel - Q&amp;V'!$E$8:$E$250,2))*1000000</f>
        <v>4686173467</v>
      </c>
      <c r="S69" s="717">
        <f>(SUMIFS('Nickel - Q&amp;V'!$B$8:$B$250,'Nickel - Q&amp;V'!$D$8:$D$250,LEFT('Q&amp;V FY 2003-04 to Now'!S$7:T$7,4),'Nickel - Q&amp;V'!$E$8:$E$250,3)+
SUMIFS('Nickel - Q&amp;V'!$B$8:$B$250,'Nickel - Q&amp;V'!$D$8:$D$250,LEFT('Q&amp;V FY 2003-04 to Now'!S$7:T$7,4),'Nickel - Q&amp;V'!$E$8:$E$250,4)+
SUMIFS('Nickel - Q&amp;V'!$B$8:$B$250,'Nickel - Q&amp;V'!$D$8:$D$250,CONCATENATE("20",RIGHT('Q&amp;V FY 2003-04 to Now'!S$7,2)),'Nickel - Q&amp;V'!$E$8:$E$250,1)+
SUMIFS('Nickel - Q&amp;V'!$B$8:$B$250,'Nickel - Q&amp;V'!$D$8:$D$250,CONCATENATE("20",RIGHT('Q&amp;V FY 2003-04 to Now'!S$7,2)),'Nickel - Q&amp;V'!$E$8:$E$250,2))*1000</f>
        <v>209369.76440000001</v>
      </c>
      <c r="T69" s="741">
        <f>(SUMIFS('Nickel - Q&amp;V'!$C$8:$C$250,'Nickel - Q&amp;V'!$D$8:$D$250,LEFT('Q&amp;V FY 2003-04 to Now'!S$7,4),'Nickel - Q&amp;V'!$E$8:$E$250,3)+
SUMIFS('Nickel - Q&amp;V'!$C$8:$C$250,'Nickel - Q&amp;V'!$D$8:$D$250,LEFT('Q&amp;V FY 2003-04 to Now'!S$7,4),'Nickel - Q&amp;V'!$E$8:$E$250,4)+
SUMIFS('Nickel - Q&amp;V'!$C$8:$C$250,'Nickel - Q&amp;V'!$D$8:$D$250,CONCATENATE("20",RIGHT('Q&amp;V FY 2003-04 to Now'!S$7,2)),'Nickel - Q&amp;V'!$E$8:$E$250,1)+
SUMIFS('Nickel - Q&amp;V'!$C$8:$C$250,'Nickel - Q&amp;V'!$D$8:$D$250,CONCATENATE("20",RIGHT('Q&amp;V FY 2003-04 to Now'!S$7,2)),'Nickel - Q&amp;V'!$E$8:$E$250,2))*1000000</f>
        <v>3721964396.23</v>
      </c>
      <c r="U69" s="717">
        <f>(SUMIFS('Nickel - Q&amp;V'!$B$8:$B$250,'Nickel - Q&amp;V'!$D$8:$D$250,LEFT('Q&amp;V FY 2003-04 to Now'!U$7:V$7,4),'Nickel - Q&amp;V'!$E$8:$E$250,3)+
SUMIFS('Nickel - Q&amp;V'!$B$8:$B$250,'Nickel - Q&amp;V'!$D$8:$D$250,LEFT('Q&amp;V FY 2003-04 to Now'!U$7:V$7,4),'Nickel - Q&amp;V'!$E$8:$E$250,4)+
SUMIFS('Nickel - Q&amp;V'!$B$8:$B$250,'Nickel - Q&amp;V'!$D$8:$D$250,CONCATENATE("20",RIGHT('Q&amp;V FY 2003-04 to Now'!U$7,2)),'Nickel - Q&amp;V'!$E$8:$E$250,1)+
SUMIFS('Nickel - Q&amp;V'!$B$8:$B$250,'Nickel - Q&amp;V'!$D$8:$D$250,CONCATENATE("20",RIGHT('Q&amp;V FY 2003-04 to Now'!U$7,2)),'Nickel - Q&amp;V'!$E$8:$E$250,2))*1000</f>
        <v>248874.5489574091</v>
      </c>
      <c r="V69" s="741">
        <f>(SUMIFS('Nickel - Q&amp;V'!$C$8:$C$250,'Nickel - Q&amp;V'!$D$8:$D$250,LEFT('Q&amp;V FY 2003-04 to Now'!U$7,4),'Nickel - Q&amp;V'!$E$8:$E$250,3)+
SUMIFS('Nickel - Q&amp;V'!$C$8:$C$250,'Nickel - Q&amp;V'!$D$8:$D$250,LEFT('Q&amp;V FY 2003-04 to Now'!U$7,4),'Nickel - Q&amp;V'!$E$8:$E$250,4)+
SUMIFS('Nickel - Q&amp;V'!$C$8:$C$250,'Nickel - Q&amp;V'!$D$8:$D$250,CONCATENATE("20",RIGHT('Q&amp;V FY 2003-04 to Now'!U$7,2)),'Nickel - Q&amp;V'!$E$8:$E$250,1)+
SUMIFS('Nickel - Q&amp;V'!$C$8:$C$250,'Nickel - Q&amp;V'!$D$8:$D$250,CONCATENATE("20",RIGHT('Q&amp;V FY 2003-04 to Now'!U$7,2)),'Nickel - Q&amp;V'!$E$8:$E$250,2))*1000000</f>
        <v>3511711764.3099995</v>
      </c>
      <c r="W69" s="717">
        <f>(SUMIFS('Nickel - Q&amp;V'!$B$8:$B$250,'Nickel - Q&amp;V'!$D$8:$D$250,LEFT('Q&amp;V FY 2003-04 to Now'!W$7:X$7,4),'Nickel - Q&amp;V'!$E$8:$E$250,3)+
SUMIFS('Nickel - Q&amp;V'!$B$8:$B$250,'Nickel - Q&amp;V'!$D$8:$D$250,LEFT('Q&amp;V FY 2003-04 to Now'!W$7:X$7,4),'Nickel - Q&amp;V'!$E$8:$E$250,4)+
SUMIFS('Nickel - Q&amp;V'!$B$8:$B$250,'Nickel - Q&amp;V'!$D$8:$D$250,CONCATENATE("20",RIGHT('Q&amp;V FY 2003-04 to Now'!W$7,2)),'Nickel - Q&amp;V'!$E$8:$E$250,1)+
SUMIFS('Nickel - Q&amp;V'!$B$8:$B$250,'Nickel - Q&amp;V'!$D$8:$D$250,CONCATENATE("20",RIGHT('Q&amp;V FY 2003-04 to Now'!W$7,2)),'Nickel - Q&amp;V'!$E$8:$E$250,2))*1000</f>
        <v>252275.90900000001</v>
      </c>
      <c r="X69" s="741">
        <f>(SUMIFS('Nickel - Q&amp;V'!$C$8:$C$250,'Nickel - Q&amp;V'!$D$8:$D$250,LEFT('Q&amp;V FY 2003-04 to Now'!W$7,4),'Nickel - Q&amp;V'!$E$8:$E$250,3)+
SUMIFS('Nickel - Q&amp;V'!$C$8:$C$250,'Nickel - Q&amp;V'!$D$8:$D$250,LEFT('Q&amp;V FY 2003-04 to Now'!W$7,4),'Nickel - Q&amp;V'!$E$8:$E$250,4)+
SUMIFS('Nickel - Q&amp;V'!$C$8:$C$250,'Nickel - Q&amp;V'!$D$8:$D$250,CONCATENATE("20",RIGHT('Q&amp;V FY 2003-04 to Now'!W$7,2)),'Nickel - Q&amp;V'!$E$8:$E$250,1)+
SUMIFS('Nickel - Q&amp;V'!$C$8:$C$250,'Nickel - Q&amp;V'!$D$8:$D$250,CONCATENATE("20",RIGHT('Q&amp;V FY 2003-04 to Now'!W$7,2)),'Nickel - Q&amp;V'!$E$8:$E$250,2))*1000000</f>
        <v>3419023119</v>
      </c>
      <c r="Y69" s="717">
        <f>(SUMIFS('Nickel - Q&amp;V'!$B$8:$B$250,'Nickel - Q&amp;V'!$D$8:$D$250,LEFT('Q&amp;V FY 2003-04 to Now'!Y$7:Z$7,4),'Nickel - Q&amp;V'!$E$8:$E$250,3)+
SUMIFS('Nickel - Q&amp;V'!$B$8:$B$250,'Nickel - Q&amp;V'!$D$8:$D$250,LEFT('Q&amp;V FY 2003-04 to Now'!Y$7:Z$7,4),'Nickel - Q&amp;V'!$E$8:$E$250,4)+
SUMIFS('Nickel - Q&amp;V'!$B$8:$B$250,'Nickel - Q&amp;V'!$D$8:$D$250,CONCATENATE("20",RIGHT('Q&amp;V FY 2003-04 to Now'!Y$7,2)),'Nickel - Q&amp;V'!$E$8:$E$250,1)+
SUMIFS('Nickel - Q&amp;V'!$B$8:$B$250,'Nickel - Q&amp;V'!$D$8:$D$250,CONCATENATE("20",RIGHT('Q&amp;V FY 2003-04 to Now'!Y$7,2)),'Nickel - Q&amp;V'!$E$8:$E$250,2))*1000</f>
        <v>183319.95199999999</v>
      </c>
      <c r="Z69" s="741">
        <f>(SUMIFS('Nickel - Q&amp;V'!$C$8:$C$250,'Nickel - Q&amp;V'!$D$8:$D$250,LEFT('Q&amp;V FY 2003-04 to Now'!Y$7,4),'Nickel - Q&amp;V'!$E$8:$E$250,3)+
SUMIFS('Nickel - Q&amp;V'!$C$8:$C$250,'Nickel - Q&amp;V'!$D$8:$D$250,LEFT('Q&amp;V FY 2003-04 to Now'!Y$7,4),'Nickel - Q&amp;V'!$E$8:$E$250,4)+
SUMIFS('Nickel - Q&amp;V'!$C$8:$C$250,'Nickel - Q&amp;V'!$D$8:$D$250,CONCATENATE("20",RIGHT('Q&amp;V FY 2003-04 to Now'!Y$7,2)),'Nickel - Q&amp;V'!$E$8:$E$250,1)+
SUMIFS('Nickel - Q&amp;V'!$C$8:$C$250,'Nickel - Q&amp;V'!$D$8:$D$250,CONCATENATE("20",RIGHT('Q&amp;V FY 2003-04 to Now'!Y$7,2)),'Nickel - Q&amp;V'!$E$8:$E$250,2))*1000000</f>
        <v>3169605001</v>
      </c>
      <c r="AA69" s="717">
        <f>(SUMIFS('Nickel - Q&amp;V'!$B$8:$B$250,'Nickel - Q&amp;V'!$D$8:$D$250,LEFT('Q&amp;V FY 2003-04 to Now'!AA$7:AB$7,4),'Nickel - Q&amp;V'!$E$8:$E$250,3)+
SUMIFS('Nickel - Q&amp;V'!$B$8:$B$250,'Nickel - Q&amp;V'!$D$8:$D$250,LEFT('Q&amp;V FY 2003-04 to Now'!AA$7:AB$7,4),'Nickel - Q&amp;V'!$E$8:$E$250,4)+
SUMIFS('Nickel - Q&amp;V'!$B$8:$B$250,'Nickel - Q&amp;V'!$D$8:$D$250,CONCATENATE("20",RIGHT('Q&amp;V FY 2003-04 to Now'!AA$7,2)),'Nickel - Q&amp;V'!$E$8:$E$250,1)+
SUMIFS('Nickel - Q&amp;V'!$B$8:$B$250,'Nickel - Q&amp;V'!$D$8:$D$250,CONCATENATE("20",RIGHT('Q&amp;V FY 2003-04 to Now'!AA$7,2)),'Nickel - Q&amp;V'!$E$8:$E$250,2))*1000</f>
        <v>175751.53100000002</v>
      </c>
      <c r="AB69" s="741">
        <f>(SUMIFS('Nickel - Q&amp;V'!$C$8:$C$250,'Nickel - Q&amp;V'!$D$8:$D$250,LEFT('Q&amp;V FY 2003-04 to Now'!AA$7,4),'Nickel - Q&amp;V'!$E$8:$E$250,3)+
SUMIFS('Nickel - Q&amp;V'!$C$8:$C$250,'Nickel - Q&amp;V'!$D$8:$D$250,LEFT('Q&amp;V FY 2003-04 to Now'!AA$7,4),'Nickel - Q&amp;V'!$E$8:$E$250,4)+
SUMIFS('Nickel - Q&amp;V'!$C$8:$C$250,'Nickel - Q&amp;V'!$D$8:$D$250,CONCATENATE("20",RIGHT('Q&amp;V FY 2003-04 to Now'!AA$7,2)),'Nickel - Q&amp;V'!$E$8:$E$250,1)+
SUMIFS('Nickel - Q&amp;V'!$C$8:$C$250,'Nickel - Q&amp;V'!$D$8:$D$250,CONCATENATE("20",RIGHT('Q&amp;V FY 2003-04 to Now'!AA$7,2)),'Nickel - Q&amp;V'!$E$8:$E$250,2))*1000000</f>
        <v>2202734451</v>
      </c>
      <c r="AC69" s="741">
        <f>(SUMIFS('Nickel - Q&amp;V'!$B$8:$B$250,'Nickel - Q&amp;V'!$D$8:$D$250,LEFT('Q&amp;V FY 2003-04 to Now'!AC$7:AD$7,4),'Nickel - Q&amp;V'!$E$8:$E$250,3)+
SUMIFS('Nickel - Q&amp;V'!$B$8:$B$250,'Nickel - Q&amp;V'!$D$8:$D$250,LEFT('Q&amp;V FY 2003-04 to Now'!AC$7:AD$7,4),'Nickel - Q&amp;V'!$E$8:$E$250,4)+
SUMIFS('Nickel - Q&amp;V'!$B$8:$B$250,'Nickel - Q&amp;V'!$D$8:$D$250,CONCATENATE("20",RIGHT('Q&amp;V FY 2003-04 to Now'!AC$7,2)),'Nickel - Q&amp;V'!$E$8:$E$250,1)+
SUMIFS('Nickel - Q&amp;V'!$B$8:$B$250,'Nickel - Q&amp;V'!$D$8:$D$250,CONCATENATE("20",RIGHT('Q&amp;V FY 2003-04 to Now'!AC$7,2)),'Nickel - Q&amp;V'!$E$8:$E$250,2))*1000</f>
        <v>163691.94399999999</v>
      </c>
      <c r="AD69" s="741">
        <f>(SUMIFS('Nickel - Q&amp;V'!$C$8:$C$250,'Nickel - Q&amp;V'!$D$8:$D$250,LEFT('Q&amp;V FY 2003-04 to Now'!AC$7,4),'Nickel - Q&amp;V'!$E$8:$E$250,3)+
SUMIFS('Nickel - Q&amp;V'!$C$8:$C$250,'Nickel - Q&amp;V'!$D$8:$D$250,LEFT('Q&amp;V FY 2003-04 to Now'!AC$7,4),'Nickel - Q&amp;V'!$E$8:$E$250,4)+
SUMIFS('Nickel - Q&amp;V'!$C$8:$C$250,'Nickel - Q&amp;V'!$D$8:$D$250,CONCATENATE("20",RIGHT('Q&amp;V FY 2003-04 to Now'!AC$7,2)),'Nickel - Q&amp;V'!$E$8:$E$250,1)+
SUMIFS('Nickel - Q&amp;V'!$C$8:$C$250,'Nickel - Q&amp;V'!$D$8:$D$250,CONCATENATE("20",RIGHT('Q&amp;V FY 2003-04 to Now'!AC$7,2)),'Nickel - Q&amp;V'!$E$8:$E$250,2))*1000000</f>
        <v>2176719132</v>
      </c>
      <c r="AE69" s="740">
        <f>(SUMIFS('Nickel - Q&amp;V'!$B$8:$B$250,'Nickel - Q&amp;V'!$D$8:$D$250,LEFT('Q&amp;V FY 2003-04 to Now'!AE$7:AF$7,4),'Nickel - Q&amp;V'!$E$8:$E$250,3)+
SUMIFS('Nickel - Q&amp;V'!$B$8:$B$250,'Nickel - Q&amp;V'!$D$8:$D$250,LEFT('Q&amp;V FY 2003-04 to Now'!AE$7:AF$7,4),'Nickel - Q&amp;V'!$E$8:$E$250,4)+
SUMIFS('Nickel - Q&amp;V'!$B$8:$B$250,'Nickel - Q&amp;V'!$D$8:$D$250,CONCATENATE("20",RIGHT('Q&amp;V FY 2003-04 to Now'!AE$7,2)),'Nickel - Q&amp;V'!$E$8:$E$250,1)+
SUMIFS('Nickel - Q&amp;V'!$B$8:$B$250,'Nickel - Q&amp;V'!$D$8:$D$250,CONCATENATE("20",RIGHT('Q&amp;V FY 2003-04 to Now'!AE$7,2)),'Nickel - Q&amp;V'!$E$8:$E$250,2))*1000</f>
        <v>164613.89800000002</v>
      </c>
      <c r="AF69" s="741">
        <f>(SUMIFS('Nickel - Q&amp;V'!$C$8:$C$250,'Nickel - Q&amp;V'!$D$8:$D$250,LEFT('Q&amp;V FY 2003-04 to Now'!AE$7,4),'Nickel - Q&amp;V'!$E$8:$E$250,3)+
SUMIFS('Nickel - Q&amp;V'!$C$8:$C$250,'Nickel - Q&amp;V'!$D$8:$D$250,LEFT('Q&amp;V FY 2003-04 to Now'!AE$7,4),'Nickel - Q&amp;V'!$E$8:$E$250,4)+
SUMIFS('Nickel - Q&amp;V'!$C$8:$C$250,'Nickel - Q&amp;V'!$D$8:$D$250,CONCATENATE("20",RIGHT('Q&amp;V FY 2003-04 to Now'!AE$7,2)),'Nickel - Q&amp;V'!$E$8:$E$250,1)+
SUMIFS('Nickel - Q&amp;V'!$C$8:$C$250,'Nickel - Q&amp;V'!$D$8:$D$250,CONCATENATE("20",RIGHT('Q&amp;V FY 2003-04 to Now'!AE$7,2)),'Nickel - Q&amp;V'!$E$8:$E$250,2))*1000000</f>
        <v>2657745514</v>
      </c>
      <c r="AG69" s="930">
        <f>(SUMIFS('Nickel - Q&amp;V'!$B$8:$B$250,'Nickel - Q&amp;V'!$D$8:$D$250,LEFT('Q&amp;V FY 2003-04 to Now'!AG$7:AH$7,4),'Nickel - Q&amp;V'!$E$8:$E$250,3)+
SUMIFS('Nickel - Q&amp;V'!$B$8:$B$250,'Nickel - Q&amp;V'!$D$8:$D$250,LEFT('Q&amp;V FY 2003-04 to Now'!AG$7:AH$7,4),'Nickel - Q&amp;V'!$E$8:$E$250,4)+
SUMIFS('Nickel - Q&amp;V'!$B$8:$B$250,'Nickel - Q&amp;V'!$D$8:$D$250,CONCATENATE("20",RIGHT('Q&amp;V FY 2003-04 to Now'!AG$7,2)),'Nickel - Q&amp;V'!$E$8:$E$250,1)+
SUMIFS('Nickel - Q&amp;V'!$B$8:$B$250,'Nickel - Q&amp;V'!$D$8:$D$250,CONCATENATE("20",RIGHT('Q&amp;V FY 2003-04 to Now'!AG$7,2)),'Nickel - Q&amp;V'!$E$8:$E$250,2))*1000</f>
        <v>153974.20299999998</v>
      </c>
      <c r="AH69" s="717">
        <f>(SUMIFS('Nickel - Q&amp;V'!$C$8:$C$250,'Nickel - Q&amp;V'!$D$8:$D$250,LEFT('Q&amp;V FY 2003-04 to Now'!AG$7,4),'Nickel - Q&amp;V'!$E$8:$E$250,3)+
SUMIFS('Nickel - Q&amp;V'!$C$8:$C$250,'Nickel - Q&amp;V'!$D$8:$D$250,LEFT('Q&amp;V FY 2003-04 to Now'!AG$7,4),'Nickel - Q&amp;V'!$E$8:$E$250,4)+
SUMIFS('Nickel - Q&amp;V'!$C$8:$C$250,'Nickel - Q&amp;V'!$D$8:$D$250,CONCATENATE("20",RIGHT('Q&amp;V FY 2003-04 to Now'!AG$7,2)),'Nickel - Q&amp;V'!$E$8:$E$250,1)+
SUMIFS('Nickel - Q&amp;V'!$C$8:$C$250,'Nickel - Q&amp;V'!$D$8:$D$250,CONCATENATE("20",RIGHT('Q&amp;V FY 2003-04 to Now'!AG$7,2)),'Nickel - Q&amp;V'!$E$8:$E$250,2))*1000000</f>
        <v>2693223126</v>
      </c>
      <c r="AI69" s="740">
        <f>(SUMIFS('Nickel - Q&amp;V'!$B$8:$B$250,'Nickel - Q&amp;V'!$D$8:$D$250,LEFT('Q&amp;V FY 2003-04 to Now'!AI$7:AJ$7,4),'Nickel - Q&amp;V'!$E$8:$E$250,3)+
SUMIFS('Nickel - Q&amp;V'!$B$8:$B$250,'Nickel - Q&amp;V'!$D$8:$D$250,LEFT('Q&amp;V FY 2003-04 to Now'!AI$7:AJ$7,4),'Nickel - Q&amp;V'!$E$8:$E$250,4)+
SUMIFS('Nickel - Q&amp;V'!$B$8:$B$250,'Nickel - Q&amp;V'!$D$8:$D$250,CONCATENATE("20",RIGHT('Q&amp;V FY 2003-04 to Now'!AI$7,2)),'Nickel - Q&amp;V'!$E$8:$E$250,1)+
SUMIFS('Nickel - Q&amp;V'!$B$8:$B$250,'Nickel - Q&amp;V'!$D$8:$D$250,CONCATENATE("20",RIGHT('Q&amp;V FY 2003-04 to Now'!AI$7,2)),'Nickel - Q&amp;V'!$E$8:$E$250,2))*1000</f>
        <v>153564.274</v>
      </c>
      <c r="AJ69" s="717">
        <f>(SUMIFS('Nickel - Q&amp;V'!$C$8:$C$250,'Nickel - Q&amp;V'!$D$8:$D$250,LEFT('Q&amp;V FY 2003-04 to Now'!AI$7,4),'Nickel - Q&amp;V'!$E$8:$E$250,3)+
SUMIFS('Nickel - Q&amp;V'!$C$8:$C$250,'Nickel - Q&amp;V'!$D$8:$D$250,LEFT('Q&amp;V FY 2003-04 to Now'!AI$7,4),'Nickel - Q&amp;V'!$E$8:$E$250,4)+
SUMIFS('Nickel - Q&amp;V'!$C$8:$C$250,'Nickel - Q&amp;V'!$D$8:$D$250,CONCATENATE("20",RIGHT('Q&amp;V FY 2003-04 to Now'!AI$7,2)),'Nickel - Q&amp;V'!$E$8:$E$250,1)+
SUMIFS('Nickel - Q&amp;V'!$C$8:$C$250,'Nickel - Q&amp;V'!$D$8:$D$250,CONCATENATE("20",RIGHT('Q&amp;V FY 2003-04 to Now'!AI$7,2)),'Nickel - Q&amp;V'!$E$8:$E$250,2))*1000000</f>
        <v>3168148650</v>
      </c>
      <c r="AK69" s="717">
        <f>(SUMIFS('Nickel - Q&amp;V'!$B$8:$B$250,'Nickel - Q&amp;V'!$D$8:$D$250,LEFT('Q&amp;V FY 2003-04 to Now'!AK$7:AL$7,4),'Nickel - Q&amp;V'!$E$8:$E$250,3)+
SUMIFS('Nickel - Q&amp;V'!$B$8:$B$250,'Nickel - Q&amp;V'!$D$8:$D$250,LEFT('Q&amp;V FY 2003-04 to Now'!AK$7:AL$7,4),'Nickel - Q&amp;V'!$E$8:$E$250,4)+
SUMIFS('Nickel - Q&amp;V'!$B$8:$B$250,'Nickel - Q&amp;V'!$D$8:$D$250,CONCATENATE("20",RIGHT('Q&amp;V FY 2003-04 to Now'!AK$7,2)),'Nickel - Q&amp;V'!$E$8:$E$250,1)+
SUMIFS('Nickel - Q&amp;V'!$B$8:$B$250,'Nickel - Q&amp;V'!$D$8:$D$250,CONCATENATE("20",RIGHT('Q&amp;V FY 2003-04 to Now'!AK$7,2)),'Nickel - Q&amp;V'!$E$8:$E$250,2))*1000</f>
        <v>157873.03200000004</v>
      </c>
      <c r="AL69" s="717">
        <f>(SUMIFS('Nickel - Q&amp;V'!$C$8:$C$250,'Nickel - Q&amp;V'!$D$8:$D$250,LEFT('Q&amp;V FY 2003-04 to Now'!AK$7,4),'Nickel - Q&amp;V'!$E$8:$E$250,3)+
SUMIFS('Nickel - Q&amp;V'!$C$8:$C$250,'Nickel - Q&amp;V'!$D$8:$D$250,LEFT('Q&amp;V FY 2003-04 to Now'!AK$7,4),'Nickel - Q&amp;V'!$E$8:$E$250,4)+
SUMIFS('Nickel - Q&amp;V'!$C$8:$C$250,'Nickel - Q&amp;V'!$D$8:$D$250,CONCATENATE("20",RIGHT('Q&amp;V FY 2003-04 to Now'!AK$7,2)),'Nickel - Q&amp;V'!$E$8:$E$250,1)+
SUMIFS('Nickel - Q&amp;V'!$C$8:$C$250,'Nickel - Q&amp;V'!$D$8:$D$250,CONCATENATE("20",RIGHT('Q&amp;V FY 2003-04 to Now'!AK$7,2)),'Nickel - Q&amp;V'!$E$8:$E$250,2))*1000000</f>
        <v>3478800182</v>
      </c>
      <c r="AM69" s="717">
        <f>(SUMIFS('Nickel - Q&amp;V'!$B$8:$B$250,'Nickel - Q&amp;V'!$D$8:$D$250,LEFT('Q&amp;V FY 2003-04 to Now'!AM$7:AN$7,4),'Nickel - Q&amp;V'!$E$8:$E$250,3)+
SUMIFS('Nickel - Q&amp;V'!$B$8:$B$250,'Nickel - Q&amp;V'!$D$8:$D$250,LEFT('Q&amp;V FY 2003-04 to Now'!AM$7:AN$7,4),'Nickel - Q&amp;V'!$E$8:$E$250,4)+
SUMIFS('Nickel - Q&amp;V'!$B$8:$B$250,'Nickel - Q&amp;V'!$D$8:$D$250,CONCATENATE("20",RIGHT('Q&amp;V FY 2003-04 to Now'!AM$7,2)),'Nickel - Q&amp;V'!$E$8:$E$250,1)+
SUMIFS('Nickel - Q&amp;V'!$B$8:$B$250,'Nickel - Q&amp;V'!$D$8:$D$250,CONCATENATE("20",RIGHT('Q&amp;V FY 2003-04 to Now'!AM$7,2)),'Nickel - Q&amp;V'!$E$8:$E$250,2))*1000</f>
        <v>147184.15499999997</v>
      </c>
      <c r="AN69" s="717">
        <f>(SUMIFS('Nickel - Q&amp;V'!$C$8:$C$250,'Nickel - Q&amp;V'!$D$8:$D$250,LEFT('Q&amp;V FY 2003-04 to Now'!AM$7,4),'Nickel - Q&amp;V'!$E$8:$E$250,3)+
SUMIFS('Nickel - Q&amp;V'!$C$8:$C$250,'Nickel - Q&amp;V'!$D$8:$D$250,LEFT('Q&amp;V FY 2003-04 to Now'!AM$7,4),'Nickel - Q&amp;V'!$E$8:$E$250,4)+
SUMIFS('Nickel - Q&amp;V'!$C$8:$C$250,'Nickel - Q&amp;V'!$D$8:$D$250,CONCATENATE("20",RIGHT('Q&amp;V FY 2003-04 to Now'!AM$7,2)),'Nickel - Q&amp;V'!$E$8:$E$250,1)+
SUMIFS('Nickel - Q&amp;V'!$C$8:$C$250,'Nickel - Q&amp;V'!$D$8:$D$250,CONCATENATE("20",RIGHT('Q&amp;V FY 2003-04 to Now'!AM$7,2)),'Nickel - Q&amp;V'!$E$8:$E$250,2))*1000000</f>
        <v>4817217346.6499996</v>
      </c>
      <c r="AO69" s="717">
        <f>(SUMIFS('Nickel - Q&amp;V'!$B$8:$B$250,'Nickel - Q&amp;V'!$D$8:$D$250,LEFT('Q&amp;V FY 2003-04 to Now'!AO$7:AP$7,4),'Nickel - Q&amp;V'!$E$8:$E$250,3)+
SUMIFS('Nickel - Q&amp;V'!$B$8:$B$250,'Nickel - Q&amp;V'!$D$8:$D$250,LEFT('Q&amp;V FY 2003-04 to Now'!AO$7:AP$7,4),'Nickel - Q&amp;V'!$E$8:$E$250,4)+
SUMIFS('Nickel - Q&amp;V'!$B$8:$B$250,'Nickel - Q&amp;V'!$D$8:$D$250,CONCATENATE("20",RIGHT('Q&amp;V FY 2003-04 to Now'!AO$7,2)),'Nickel - Q&amp;V'!$E$8:$E$250,1)+
SUMIFS('Nickel - Q&amp;V'!$B$8:$B$250,'Nickel - Q&amp;V'!$D$8:$D$250,CONCATENATE("20",RIGHT('Q&amp;V FY 2003-04 to Now'!AO$7,2)),'Nickel - Q&amp;V'!$E$8:$E$250,2))*1000</f>
        <v>160692.94877045287</v>
      </c>
      <c r="AP69" s="717">
        <f>(SUMIFS('Nickel - Q&amp;V'!$C$8:$C$250,'Nickel - Q&amp;V'!$D$8:$D$250,LEFT('Q&amp;V FY 2003-04 to Now'!AO$7,4),'Nickel - Q&amp;V'!$E$8:$E$250,3)+
SUMIFS('Nickel - Q&amp;V'!$C$8:$C$250,'Nickel - Q&amp;V'!$D$8:$D$250,LEFT('Q&amp;V FY 2003-04 to Now'!AO$7,4),'Nickel - Q&amp;V'!$E$8:$E$250,4)+
SUMIFS('Nickel - Q&amp;V'!$C$8:$C$250,'Nickel - Q&amp;V'!$D$8:$D$250,CONCATENATE("20",RIGHT('Q&amp;V FY 2003-04 to Now'!AO$7,2)),'Nickel - Q&amp;V'!$E$8:$E$250,1)+
SUMIFS('Nickel - Q&amp;V'!$C$8:$C$250,'Nickel - Q&amp;V'!$D$8:$D$250,CONCATENATE("20",RIGHT('Q&amp;V FY 2003-04 to Now'!AO$7,2)),'Nickel - Q&amp;V'!$E$8:$E$250,2))*1000000</f>
        <v>5716671951</v>
      </c>
      <c r="AQ69" s="715">
        <f>SUMIF($C$9:AP$9,1,$C69:AP69)</f>
        <v>3616813.1601278619</v>
      </c>
      <c r="AR69" s="183">
        <f>IF(COUNTIF($C69:AP69, "nfp")=0, SUMIF($C$9:AP$9,0,$C69:AP69), "nfp")</f>
        <v>75945258517.190002</v>
      </c>
      <c r="AS69" s="405"/>
      <c r="AT69" s="317"/>
      <c r="AU69" s="317"/>
    </row>
    <row r="70" spans="1:49">
      <c r="A70" s="131" t="s">
        <v>190</v>
      </c>
      <c r="B70" s="161"/>
      <c r="C70" s="717"/>
      <c r="D70" s="741"/>
      <c r="E70" s="717"/>
      <c r="F70" s="741"/>
      <c r="G70" s="717"/>
      <c r="H70" s="741"/>
      <c r="I70" s="717"/>
      <c r="J70" s="741"/>
      <c r="K70" s="717"/>
      <c r="L70" s="741"/>
      <c r="M70" s="717"/>
      <c r="N70" s="741"/>
      <c r="O70" s="717"/>
      <c r="P70" s="741"/>
      <c r="Q70" s="717"/>
      <c r="R70" s="741"/>
      <c r="S70" s="717"/>
      <c r="T70" s="741"/>
      <c r="U70" s="717"/>
      <c r="V70" s="741"/>
      <c r="W70" s="717"/>
      <c r="X70" s="741"/>
      <c r="Y70" s="717"/>
      <c r="Z70" s="741"/>
      <c r="AA70" s="717"/>
      <c r="AB70" s="741"/>
      <c r="AC70" s="741"/>
      <c r="AD70" s="741"/>
      <c r="AE70" s="740"/>
      <c r="AF70" s="741"/>
      <c r="AG70" s="930"/>
      <c r="AH70" s="717"/>
      <c r="AI70" s="740"/>
      <c r="AJ70" s="717"/>
      <c r="AK70" s="717"/>
      <c r="AL70" s="717"/>
      <c r="AM70" s="717"/>
      <c r="AN70" s="717"/>
      <c r="AO70" s="717"/>
      <c r="AP70" s="717"/>
      <c r="AQ70" s="712"/>
      <c r="AR70" s="194"/>
      <c r="AT70" s="317"/>
      <c r="AU70" s="317"/>
      <c r="AV70" s="381"/>
      <c r="AW70" s="381"/>
    </row>
    <row r="71" spans="1:49">
      <c r="A71" s="260" t="s">
        <v>191</v>
      </c>
      <c r="B71" s="256"/>
      <c r="C71" s="668"/>
      <c r="D71" s="668"/>
      <c r="E71" s="668"/>
      <c r="F71" s="668"/>
      <c r="G71" s="668"/>
      <c r="H71" s="668"/>
      <c r="I71" s="668"/>
      <c r="J71" s="668"/>
      <c r="K71" s="668"/>
      <c r="L71" s="668"/>
      <c r="M71" s="668"/>
      <c r="N71" s="668"/>
      <c r="O71" s="668"/>
      <c r="P71" s="668"/>
      <c r="Q71" s="668"/>
      <c r="R71" s="668"/>
      <c r="S71" s="668"/>
      <c r="T71" s="668"/>
      <c r="U71" s="668"/>
      <c r="V71" s="668"/>
      <c r="W71" s="668"/>
      <c r="X71" s="668"/>
      <c r="Y71" s="668"/>
      <c r="Z71" s="668"/>
      <c r="AA71" s="668"/>
      <c r="AB71" s="668"/>
      <c r="AC71" s="668"/>
      <c r="AD71" s="668"/>
      <c r="AE71" s="736"/>
      <c r="AF71" s="668"/>
      <c r="AG71" s="736"/>
      <c r="AH71" s="910"/>
      <c r="AI71" s="1352"/>
      <c r="AJ71" s="910"/>
      <c r="AK71" s="910"/>
      <c r="AL71" s="910"/>
      <c r="AM71" s="910"/>
      <c r="AN71" s="910"/>
      <c r="AO71" s="910"/>
      <c r="AP71" s="910"/>
      <c r="AQ71" s="734"/>
      <c r="AR71" s="723"/>
      <c r="AT71" s="317"/>
      <c r="AU71" s="317"/>
      <c r="AV71" s="381"/>
      <c r="AW71" s="381"/>
    </row>
    <row r="72" spans="1:49">
      <c r="A72" s="263" t="s">
        <v>62</v>
      </c>
      <c r="B72" s="248" t="s">
        <v>192</v>
      </c>
      <c r="C72" s="723">
        <f>(SUMIFS('Petroleum - Q&amp;V 1'!$D$9:$D$250,'Petroleum - Q&amp;V 1'!$H$9:$H$250,LEFT('Q&amp;V FY 2003-04 to Now'!C$7,4),'Petroleum - Q&amp;V 1'!$I$9:$I$250,3)+
SUMIFS('Petroleum - Q&amp;V 1'!$D$9:$D$250,'Petroleum - Q&amp;V 1'!$H$9:$H$250,LEFT('Q&amp;V FY 2003-04 to Now'!C$7,4),'Petroleum - Q&amp;V 1'!$I$9:$I$250,4)+
SUMIFS('Petroleum - Q&amp;V 1'!$D$9:$D$250,'Petroleum - Q&amp;V 1'!$H$9:$H$250,CONCATENATE("20",RIGHT('Q&amp;V FY 2003-04 to Now'!C$7,2)),'Petroleum - Q&amp;V 1'!$I$9:$I$250,1)+
SUMIFS('Petroleum - Q&amp;V 1'!$D$9:$D$250,'Petroleum - Q&amp;V 1'!$H$9:$H$250,CONCATENATE("20",RIGHT('Q&amp;V FY 2003-04 to Now'!C$7,2)),'Petroleum - Q&amp;V 1'!$I$9:$I$250,2))*1000000</f>
        <v>6181484</v>
      </c>
      <c r="D72" s="723">
        <f>(SUMIFS('Petroleum - Q&amp;V 1'!$E$9:$E$250,'Petroleum - Q&amp;V 1'!$H$9:$H$250,LEFT('Q&amp;V FY 2003-04 to Now'!C$7,4),'Petroleum - Q&amp;V 1'!$I$9:$I$250,3)+
SUMIFS('Petroleum - Q&amp;V 1'!$E$9:$E$250,'Petroleum - Q&amp;V 1'!$H$9:$H$250,LEFT('Q&amp;V FY 2003-04 to Now'!C$7,4),'Petroleum - Q&amp;V 1'!$I$9:$I$250,4)+
SUMIFS('Petroleum - Q&amp;V 1'!$E$9:$E$250,'Petroleum - Q&amp;V 1'!$H$9:$H$250,CONCATENATE("20",RIGHT('Q&amp;V FY 2003-04 to Now'!C$7,2)),'Petroleum - Q&amp;V 1'!$I$9:$I$250,1)+
SUMIFS('Petroleum - Q&amp;V 1'!$E$9:$E$250,'Petroleum - Q&amp;V 1'!$H$9:$H$250,CONCATENATE("20",RIGHT('Q&amp;V FY 2003-04 to Now'!C$7,2)),'Petroleum - Q&amp;V 1'!$I$9:$I$250,2))*1000000</f>
        <v>1747506589</v>
      </c>
      <c r="E72" s="723">
        <f>(SUMIFS('Petroleum - Q&amp;V 1'!$D$9:$D$250,'Petroleum - Q&amp;V 1'!$H$9:$H$250,LEFT('Q&amp;V FY 2003-04 to Now'!E$7,4),'Petroleum - Q&amp;V 1'!$I$9:$I$250,3)+
SUMIFS('Petroleum - Q&amp;V 1'!$D$9:$D$250,'Petroleum - Q&amp;V 1'!$H$9:$H$250,LEFT('Q&amp;V FY 2003-04 to Now'!E$7,4),'Petroleum - Q&amp;V 1'!$I$9:$I$250,4)+
SUMIFS('Petroleum - Q&amp;V 1'!$D$9:$D$250,'Petroleum - Q&amp;V 1'!$H$9:$H$250,CONCATENATE("20",RIGHT('Q&amp;V FY 2003-04 to Now'!E$7,2)),'Petroleum - Q&amp;V 1'!$I$9:$I$250,1)+
SUMIFS('Petroleum - Q&amp;V 1'!$D$9:$D$250,'Petroleum - Q&amp;V 1'!$H$9:$H$250,CONCATENATE("20",RIGHT('Q&amp;V FY 2003-04 to Now'!E$7,2)),'Petroleum - Q&amp;V 1'!$I$9:$I$250,2))*1000000</f>
        <v>5173746</v>
      </c>
      <c r="F72" s="723">
        <f>(SUMIFS('Petroleum - Q&amp;V 1'!$E$9:$E$250,'Petroleum - Q&amp;V 1'!$H$9:$H$250,LEFT('Q&amp;V FY 2003-04 to Now'!E$7,4),'Petroleum - Q&amp;V 1'!$I$9:$I$250,3)+
SUMIFS('Petroleum - Q&amp;V 1'!$E$9:$E$250,'Petroleum - Q&amp;V 1'!$H$9:$H$250,LEFT('Q&amp;V FY 2003-04 to Now'!E$7,4),'Petroleum - Q&amp;V 1'!$I$9:$I$250,4)+
SUMIFS('Petroleum - Q&amp;V 1'!$E$9:$E$250,'Petroleum - Q&amp;V 1'!$H$9:$H$250,CONCATENATE("20",RIGHT('Q&amp;V FY 2003-04 to Now'!E$7,2)),'Petroleum - Q&amp;V 1'!$I$9:$I$250,1)+
SUMIFS('Petroleum - Q&amp;V 1'!$E$9:$E$250,'Petroleum - Q&amp;V 1'!$H$9:$H$250,CONCATENATE("20",RIGHT('Q&amp;V FY 2003-04 to Now'!E$7,2)),'Petroleum - Q&amp;V 1'!$I$9:$I$250,2))*1000000</f>
        <v>2203123267</v>
      </c>
      <c r="G72" s="723">
        <f>(SUMIFS('Petroleum - Q&amp;V 1'!$D$9:$D$250,'Petroleum - Q&amp;V 1'!$H$9:$H$250,LEFT('Q&amp;V FY 2003-04 to Now'!G$7,4),'Petroleum - Q&amp;V 1'!$I$9:$I$250,3)+
SUMIFS('Petroleum - Q&amp;V 1'!$D$9:$D$250,'Petroleum - Q&amp;V 1'!$H$9:$H$250,LEFT('Q&amp;V FY 2003-04 to Now'!G$7,4),'Petroleum - Q&amp;V 1'!$I$9:$I$250,4)+
SUMIFS('Petroleum - Q&amp;V 1'!$D$9:$D$250,'Petroleum - Q&amp;V 1'!$H$9:$H$250,CONCATENATE("20",RIGHT('Q&amp;V FY 2003-04 to Now'!G$7,2)),'Petroleum - Q&amp;V 1'!$I$9:$I$250,1)+
SUMIFS('Petroleum - Q&amp;V 1'!$D$9:$D$250,'Petroleum - Q&amp;V 1'!$H$9:$H$250,CONCATENATE("20",RIGHT('Q&amp;V FY 2003-04 to Now'!G$7,2)),'Petroleum - Q&amp;V 1'!$I$9:$I$250,2))*1000000</f>
        <v>5626187</v>
      </c>
      <c r="H72" s="723">
        <f>(SUMIFS('Petroleum - Q&amp;V 1'!$E$9:$E$250,'Petroleum - Q&amp;V 1'!$H$9:$H$250,LEFT('Q&amp;V FY 2003-04 to Now'!G$7,4),'Petroleum - Q&amp;V 1'!$I$9:$I$250,3)+
SUMIFS('Petroleum - Q&amp;V 1'!$E$9:$E$250,'Petroleum - Q&amp;V 1'!$H$9:$H$250,LEFT('Q&amp;V FY 2003-04 to Now'!G$7,4),'Petroleum - Q&amp;V 1'!$I$9:$I$250,4)+
SUMIFS('Petroleum - Q&amp;V 1'!$E$9:$E$250,'Petroleum - Q&amp;V 1'!$H$9:$H$250,CONCATENATE("20",RIGHT('Q&amp;V FY 2003-04 to Now'!G$7,2)),'Petroleum - Q&amp;V 1'!$I$9:$I$250,1)+
SUMIFS('Petroleum - Q&amp;V 1'!$E$9:$E$250,'Petroleum - Q&amp;V 1'!$H$9:$H$250,CONCATENATE("20",RIGHT('Q&amp;V FY 2003-04 to Now'!G$7,2)),'Petroleum - Q&amp;V 1'!$I$9:$I$250,2))*1000000</f>
        <v>2791626559</v>
      </c>
      <c r="I72" s="723">
        <f>(SUMIFS('Petroleum - Q&amp;V 1'!$D$9:$D$250,'Petroleum - Q&amp;V 1'!$H$9:$H$250,LEFT('Q&amp;V FY 2003-04 to Now'!I$7,4),'Petroleum - Q&amp;V 1'!$I$9:$I$250,3)+
SUMIFS('Petroleum - Q&amp;V 1'!$D$9:$D$250,'Petroleum - Q&amp;V 1'!$H$9:$H$250,LEFT('Q&amp;V FY 2003-04 to Now'!I$7,4),'Petroleum - Q&amp;V 1'!$I$9:$I$250,4)+
SUMIFS('Petroleum - Q&amp;V 1'!$D$9:$D$250,'Petroleum - Q&amp;V 1'!$H$9:$H$250,CONCATENATE("20",RIGHT('Q&amp;V FY 2003-04 to Now'!I$7,2)),'Petroleum - Q&amp;V 1'!$I$9:$I$250,1)+
SUMIFS('Petroleum - Q&amp;V 1'!$D$9:$D$250,'Petroleum - Q&amp;V 1'!$H$9:$H$250,CONCATENATE("20",RIGHT('Q&amp;V FY 2003-04 to Now'!I$7,2)),'Petroleum - Q&amp;V 1'!$I$9:$I$250,2))*1000000</f>
        <v>5860072.0000000009</v>
      </c>
      <c r="J72" s="723">
        <f>(SUMIFS('Petroleum - Q&amp;V 1'!$E$9:$E$250,'Petroleum - Q&amp;V 1'!$H$9:$H$250,LEFT('Q&amp;V FY 2003-04 to Now'!I$7,4),'Petroleum - Q&amp;V 1'!$I$9:$I$250,3)+
SUMIFS('Petroleum - Q&amp;V 1'!$E$9:$E$250,'Petroleum - Q&amp;V 1'!$H$9:$H$250,LEFT('Q&amp;V FY 2003-04 to Now'!I$7,4),'Petroleum - Q&amp;V 1'!$I$9:$I$250,4)+
SUMIFS('Petroleum - Q&amp;V 1'!$E$9:$E$250,'Petroleum - Q&amp;V 1'!$H$9:$H$250,CONCATENATE("20",RIGHT('Q&amp;V FY 2003-04 to Now'!I$7,2)),'Petroleum - Q&amp;V 1'!$I$9:$I$250,1)+
SUMIFS('Petroleum - Q&amp;V 1'!$E$9:$E$250,'Petroleum - Q&amp;V 1'!$H$9:$H$250,CONCATENATE("20",RIGHT('Q&amp;V FY 2003-04 to Now'!I$7,2)),'Petroleum - Q&amp;V 1'!$I$9:$I$250,2))*1000000</f>
        <v>2972408099</v>
      </c>
      <c r="K72" s="723">
        <f>(SUMIFS('Petroleum - Q&amp;V 1'!$D$9:$D$250,'Petroleum - Q&amp;V 1'!$H$9:$H$250,LEFT('Q&amp;V FY 2003-04 to Now'!K$7,4),'Petroleum - Q&amp;V 1'!$I$9:$I$250,3)+
SUMIFS('Petroleum - Q&amp;V 1'!$D$9:$D$250,'Petroleum - Q&amp;V 1'!$H$9:$H$250,LEFT('Q&amp;V FY 2003-04 to Now'!K$7,4),'Petroleum - Q&amp;V 1'!$I$9:$I$250,4)+
SUMIFS('Petroleum - Q&amp;V 1'!$D$9:$D$250,'Petroleum - Q&amp;V 1'!$H$9:$H$250,CONCATENATE("20",RIGHT('Q&amp;V FY 2003-04 to Now'!K$7,2)),'Petroleum - Q&amp;V 1'!$I$9:$I$250,1)+
SUMIFS('Petroleum - Q&amp;V 1'!$D$9:$D$250,'Petroleum - Q&amp;V 1'!$H$9:$H$250,CONCATENATE("20",RIGHT('Q&amp;V FY 2003-04 to Now'!K$7,2)),'Petroleum - Q&amp;V 1'!$I$9:$I$250,2))*1000000</f>
        <v>5763756</v>
      </c>
      <c r="L72" s="723">
        <f>(SUMIFS('Petroleum - Q&amp;V 1'!$E$9:$E$250,'Petroleum - Q&amp;V 1'!$H$9:$H$250,LEFT('Q&amp;V FY 2003-04 to Now'!K$7,4),'Petroleum - Q&amp;V 1'!$I$9:$I$250,3)+
SUMIFS('Petroleum - Q&amp;V 1'!$E$9:$E$250,'Petroleum - Q&amp;V 1'!$H$9:$H$250,LEFT('Q&amp;V FY 2003-04 to Now'!K$7,4),'Petroleum - Q&amp;V 1'!$I$9:$I$250,4)+
SUMIFS('Petroleum - Q&amp;V 1'!$E$9:$E$250,'Petroleum - Q&amp;V 1'!$H$9:$H$250,CONCATENATE("20",RIGHT('Q&amp;V FY 2003-04 to Now'!K$7,2)),'Petroleum - Q&amp;V 1'!$I$9:$I$250,1)+
SUMIFS('Petroleum - Q&amp;V 1'!$E$9:$E$250,'Petroleum - Q&amp;V 1'!$H$9:$H$250,CONCATENATE("20",RIGHT('Q&amp;V FY 2003-04 to Now'!K$7,2)),'Petroleum - Q&amp;V 1'!$I$9:$I$250,2))*1000000</f>
        <v>3694669870</v>
      </c>
      <c r="M72" s="723">
        <f>(SUMIFS('Petroleum - Q&amp;V 1'!$D$9:$D$250,'Petroleum - Q&amp;V 1'!$H$9:$H$250,LEFT('Q&amp;V FY 2003-04 to Now'!M$7,4),'Petroleum - Q&amp;V 1'!$I$9:$I$250,3)+
SUMIFS('Petroleum - Q&amp;V 1'!$D$9:$D$250,'Petroleum - Q&amp;V 1'!$H$9:$H$250,LEFT('Q&amp;V FY 2003-04 to Now'!M$7,4),'Petroleum - Q&amp;V 1'!$I$9:$I$250,4)+
SUMIFS('Petroleum - Q&amp;V 1'!$D$9:$D$250,'Petroleum - Q&amp;V 1'!$H$9:$H$250,CONCATENATE("20",RIGHT('Q&amp;V FY 2003-04 to Now'!M$7,2)),'Petroleum - Q&amp;V 1'!$I$9:$I$250,1)+
SUMIFS('Petroleum - Q&amp;V 1'!$D$9:$D$250,'Petroleum - Q&amp;V 1'!$H$9:$H$250,CONCATENATE("20",RIGHT('Q&amp;V FY 2003-04 to Now'!M$7,2)),'Petroleum - Q&amp;V 1'!$I$9:$I$250,2))*1000000</f>
        <v>6657101.0000000009</v>
      </c>
      <c r="N72" s="723">
        <f>(SUMIFS('Petroleum - Q&amp;V 1'!$E$9:$E$250,'Petroleum - Q&amp;V 1'!$H$9:$H$250,LEFT('Q&amp;V FY 2003-04 to Now'!M$7,4),'Petroleum - Q&amp;V 1'!$I$9:$I$250,3)+
SUMIFS('Petroleum - Q&amp;V 1'!$E$9:$E$250,'Petroleum - Q&amp;V 1'!$H$9:$H$250,LEFT('Q&amp;V FY 2003-04 to Now'!M$7,4),'Petroleum - Q&amp;V 1'!$I$9:$I$250,4)+
SUMIFS('Petroleum - Q&amp;V 1'!$E$9:$E$250,'Petroleum - Q&amp;V 1'!$H$9:$H$250,CONCATENATE("20",RIGHT('Q&amp;V FY 2003-04 to Now'!M$7,2)),'Petroleum - Q&amp;V 1'!$I$9:$I$250,1)+
SUMIFS('Petroleum - Q&amp;V 1'!$E$9:$E$250,'Petroleum - Q&amp;V 1'!$H$9:$H$250,CONCATENATE("20",RIGHT('Q&amp;V FY 2003-04 to Now'!M$7,2)),'Petroleum - Q&amp;V 1'!$I$9:$I$250,2))*1000000</f>
        <v>3108787292</v>
      </c>
      <c r="O72" s="723">
        <f>(SUMIFS('Petroleum - Q&amp;V 1'!$D$9:$D$250,'Petroleum - Q&amp;V 1'!$H$9:$H$250,LEFT('Q&amp;V FY 2003-04 to Now'!O$7,4),'Petroleum - Q&amp;V 1'!$I$9:$I$250,3)+
SUMIFS('Petroleum - Q&amp;V 1'!$D$9:$D$250,'Petroleum - Q&amp;V 1'!$H$9:$H$250,LEFT('Q&amp;V FY 2003-04 to Now'!O$7,4),'Petroleum - Q&amp;V 1'!$I$9:$I$250,4)+
SUMIFS('Petroleum - Q&amp;V 1'!$D$9:$D$250,'Petroleum - Q&amp;V 1'!$H$9:$H$250,CONCATENATE("20",RIGHT('Q&amp;V FY 2003-04 to Now'!O$7,2)),'Petroleum - Q&amp;V 1'!$I$9:$I$250,1)+
SUMIFS('Petroleum - Q&amp;V 1'!$D$9:$D$250,'Petroleum - Q&amp;V 1'!$H$9:$H$250,CONCATENATE("20",RIGHT('Q&amp;V FY 2003-04 to Now'!O$7,2)),'Petroleum - Q&amp;V 1'!$I$9:$I$250,2))*1000000</f>
        <v>7418012</v>
      </c>
      <c r="P72" s="723">
        <f>(SUMIFS('Petroleum - Q&amp;V 1'!$E$9:$E$250,'Petroleum - Q&amp;V 1'!$H$9:$H$250,LEFT('Q&amp;V FY 2003-04 to Now'!O$7,4),'Petroleum - Q&amp;V 1'!$I$9:$I$250,3)+
SUMIFS('Petroleum - Q&amp;V 1'!$E$9:$E$250,'Petroleum - Q&amp;V 1'!$H$9:$H$250,LEFT('Q&amp;V FY 2003-04 to Now'!O$7,4),'Petroleum - Q&amp;V 1'!$I$9:$I$250,4)+
SUMIFS('Petroleum - Q&amp;V 1'!$E$9:$E$250,'Petroleum - Q&amp;V 1'!$H$9:$H$250,CONCATENATE("20",RIGHT('Q&amp;V FY 2003-04 to Now'!O$7,2)),'Petroleum - Q&amp;V 1'!$I$9:$I$250,1)+
SUMIFS('Petroleum - Q&amp;V 1'!$E$9:$E$250,'Petroleum - Q&amp;V 1'!$H$9:$H$250,CONCATENATE("20",RIGHT('Q&amp;V FY 2003-04 to Now'!O$7,2)),'Petroleum - Q&amp;V 1'!$I$9:$I$250,2))*1000000</f>
        <v>3501186255</v>
      </c>
      <c r="Q72" s="723">
        <f>(SUMIFS('Petroleum - Q&amp;V 1'!$D$9:$D$250,'Petroleum - Q&amp;V 1'!$H$9:$H$250,LEFT('Q&amp;V FY 2003-04 to Now'!Q$7,4),'Petroleum - Q&amp;V 1'!$I$9:$I$250,3)+
SUMIFS('Petroleum - Q&amp;V 1'!$D$9:$D$250,'Petroleum - Q&amp;V 1'!$H$9:$H$250,LEFT('Q&amp;V FY 2003-04 to Now'!Q$7,4),'Petroleum - Q&amp;V 1'!$I$9:$I$250,4)+
SUMIFS('Petroleum - Q&amp;V 1'!$D$9:$D$250,'Petroleum - Q&amp;V 1'!$H$9:$H$250,CONCATENATE("20",RIGHT('Q&amp;V FY 2003-04 to Now'!Q$7,2)),'Petroleum - Q&amp;V 1'!$I$9:$I$250,1)+
SUMIFS('Petroleum - Q&amp;V 1'!$D$9:$D$250,'Petroleum - Q&amp;V 1'!$H$9:$H$250,CONCATENATE("20",RIGHT('Q&amp;V FY 2003-04 to Now'!Q$7,2)),'Petroleum - Q&amp;V 1'!$I$9:$I$250,2))*1000000</f>
        <v>6881791</v>
      </c>
      <c r="R72" s="723">
        <f>(SUMIFS('Petroleum - Q&amp;V 1'!$E$9:$E$250,'Petroleum - Q&amp;V 1'!$H$9:$H$250,LEFT('Q&amp;V FY 2003-04 to Now'!Q$7,4),'Petroleum - Q&amp;V 1'!$I$9:$I$250,3)+
SUMIFS('Petroleum - Q&amp;V 1'!$E$9:$E$250,'Petroleum - Q&amp;V 1'!$H$9:$H$250,LEFT('Q&amp;V FY 2003-04 to Now'!Q$7,4),'Petroleum - Q&amp;V 1'!$I$9:$I$250,4)+
SUMIFS('Petroleum - Q&amp;V 1'!$E$9:$E$250,'Petroleum - Q&amp;V 1'!$H$9:$H$250,CONCATENATE("20",RIGHT('Q&amp;V FY 2003-04 to Now'!Q$7,2)),'Petroleum - Q&amp;V 1'!$I$9:$I$250,1)+
SUMIFS('Petroleum - Q&amp;V 1'!$E$9:$E$250,'Petroleum - Q&amp;V 1'!$H$9:$H$250,CONCATENATE("20",RIGHT('Q&amp;V FY 2003-04 to Now'!Q$7,2)),'Petroleum - Q&amp;V 1'!$I$9:$I$250,2))*1000000</f>
        <v>3988524336</v>
      </c>
      <c r="S72" s="723">
        <f>(SUMIFS('Petroleum - Q&amp;V 1'!$D$9:$D$250,'Petroleum - Q&amp;V 1'!$H$9:$H$250,LEFT('Q&amp;V FY 2003-04 to Now'!S$7,4),'Petroleum - Q&amp;V 1'!$I$9:$I$250,3)+
SUMIFS('Petroleum - Q&amp;V 1'!$D$9:$D$250,'Petroleum - Q&amp;V 1'!$H$9:$H$250,LEFT('Q&amp;V FY 2003-04 to Now'!S$7,4),'Petroleum - Q&amp;V 1'!$I$9:$I$250,4)+
SUMIFS('Petroleum - Q&amp;V 1'!$D$9:$D$250,'Petroleum - Q&amp;V 1'!$H$9:$H$250,CONCATENATE("20",RIGHT('Q&amp;V FY 2003-04 to Now'!S$7,2)),'Petroleum - Q&amp;V 1'!$I$9:$I$250,1)+
SUMIFS('Petroleum - Q&amp;V 1'!$D$9:$D$250,'Petroleum - Q&amp;V 1'!$H$9:$H$250,CONCATENATE("20",RIGHT('Q&amp;V FY 2003-04 to Now'!S$7,2)),'Petroleum - Q&amp;V 1'!$I$9:$I$250,2))*1000000</f>
        <v>5888608</v>
      </c>
      <c r="T72" s="723">
        <f>(SUMIFS('Petroleum - Q&amp;V 1'!$E$9:$E$250,'Petroleum - Q&amp;V 1'!$H$9:$H$250,LEFT('Q&amp;V FY 2003-04 to Now'!S$7,4),'Petroleum - Q&amp;V 1'!$I$9:$I$250,3)+
SUMIFS('Petroleum - Q&amp;V 1'!$E$9:$E$250,'Petroleum - Q&amp;V 1'!$H$9:$H$250,LEFT('Q&amp;V FY 2003-04 to Now'!S$7,4),'Petroleum - Q&amp;V 1'!$I$9:$I$250,4)+
SUMIFS('Petroleum - Q&amp;V 1'!$E$9:$E$250,'Petroleum - Q&amp;V 1'!$H$9:$H$250,CONCATENATE("20",RIGHT('Q&amp;V FY 2003-04 to Now'!S$7,2)),'Petroleum - Q&amp;V 1'!$I$9:$I$250,1)+
SUMIFS('Petroleum - Q&amp;V 1'!$E$9:$E$250,'Petroleum - Q&amp;V 1'!$H$9:$H$250,CONCATENATE("20",RIGHT('Q&amp;V FY 2003-04 to Now'!S$7,2)),'Petroleum - Q&amp;V 1'!$I$9:$I$250,2))*1000000</f>
        <v>3842111571.0000005</v>
      </c>
      <c r="U72" s="723">
        <f>(SUMIFS('Petroleum - Q&amp;V 1'!$D$9:$D$250,'Petroleum - Q&amp;V 1'!$H$9:$H$250,LEFT('Q&amp;V FY 2003-04 to Now'!U$7,4),'Petroleum - Q&amp;V 1'!$I$9:$I$250,3)+
SUMIFS('Petroleum - Q&amp;V 1'!$D$9:$D$250,'Petroleum - Q&amp;V 1'!$H$9:$H$250,LEFT('Q&amp;V FY 2003-04 to Now'!U$7,4),'Petroleum - Q&amp;V 1'!$I$9:$I$250,4)+
SUMIFS('Petroleum - Q&amp;V 1'!$D$9:$D$250,'Petroleum - Q&amp;V 1'!$H$9:$H$250,CONCATENATE("20",RIGHT('Q&amp;V FY 2003-04 to Now'!U$7,2)),'Petroleum - Q&amp;V 1'!$I$9:$I$250,1)+
SUMIFS('Petroleum - Q&amp;V 1'!$D$9:$D$250,'Petroleum - Q&amp;V 1'!$H$9:$H$250,CONCATENATE("20",RIGHT('Q&amp;V FY 2003-04 to Now'!U$7,2)),'Petroleum - Q&amp;V 1'!$I$9:$I$250,2))*1000000</f>
        <v>6116968</v>
      </c>
      <c r="V72" s="723">
        <f>(SUMIFS('Petroleum - Q&amp;V 1'!$E$9:$E$250,'Petroleum - Q&amp;V 1'!$H$9:$H$250,LEFT('Q&amp;V FY 2003-04 to Now'!U$7,4),'Petroleum - Q&amp;V 1'!$I$9:$I$250,3)+
SUMIFS('Petroleum - Q&amp;V 1'!$E$9:$E$250,'Petroleum - Q&amp;V 1'!$H$9:$H$250,LEFT('Q&amp;V FY 2003-04 to Now'!U$7,4),'Petroleum - Q&amp;V 1'!$I$9:$I$250,4)+
SUMIFS('Petroleum - Q&amp;V 1'!$E$9:$E$250,'Petroleum - Q&amp;V 1'!$H$9:$H$250,CONCATENATE("20",RIGHT('Q&amp;V FY 2003-04 to Now'!U$7,2)),'Petroleum - Q&amp;V 1'!$I$9:$I$250,1)+
SUMIFS('Petroleum - Q&amp;V 1'!$E$9:$E$250,'Petroleum - Q&amp;V 1'!$H$9:$H$250,CONCATENATE("20",RIGHT('Q&amp;V FY 2003-04 to Now'!U$7,2)),'Petroleum - Q&amp;V 1'!$I$9:$I$250,2))*1000000</f>
        <v>3922032524</v>
      </c>
      <c r="W72" s="723">
        <f>(SUMIFS('Petroleum - Q&amp;V 1'!$D$9:$D$250,'Petroleum - Q&amp;V 1'!$H$9:$H$250,LEFT('Q&amp;V FY 2003-04 to Now'!W$7,4),'Petroleum - Q&amp;V 1'!$I$9:$I$250,3)+
SUMIFS('Petroleum - Q&amp;V 1'!$D$9:$D$250,'Petroleum - Q&amp;V 1'!$H$9:$H$250,LEFT('Q&amp;V FY 2003-04 to Now'!W$7,4),'Petroleum - Q&amp;V 1'!$I$9:$I$250,4)+
SUMIFS('Petroleum - Q&amp;V 1'!$D$9:$D$250,'Petroleum - Q&amp;V 1'!$H$9:$H$250,CONCATENATE("20",RIGHT('Q&amp;V FY 2003-04 to Now'!W$7,2)),'Petroleum - Q&amp;V 1'!$I$9:$I$250,1)+
SUMIFS('Petroleum - Q&amp;V 1'!$D$9:$D$250,'Petroleum - Q&amp;V 1'!$H$9:$H$250,CONCATENATE("20",RIGHT('Q&amp;V FY 2003-04 to Now'!W$7,2)),'Petroleum - Q&amp;V 1'!$I$9:$I$250,2))*1000000</f>
        <v>4399263.2069999995</v>
      </c>
      <c r="X72" s="723">
        <f>(SUMIFS('Petroleum - Q&amp;V 1'!$E$9:$E$250,'Petroleum - Q&amp;V 1'!$H$9:$H$250,LEFT('Q&amp;V FY 2003-04 to Now'!W$7,4),'Petroleum - Q&amp;V 1'!$I$9:$I$250,3)+
SUMIFS('Petroleum - Q&amp;V 1'!$E$9:$E$250,'Petroleum - Q&amp;V 1'!$H$9:$H$250,LEFT('Q&amp;V FY 2003-04 to Now'!W$7,4),'Petroleum - Q&amp;V 1'!$I$9:$I$250,4)+
SUMIFS('Petroleum - Q&amp;V 1'!$E$9:$E$250,'Petroleum - Q&amp;V 1'!$H$9:$H$250,CONCATENATE("20",RIGHT('Q&amp;V FY 2003-04 to Now'!W$7,2)),'Petroleum - Q&amp;V 1'!$I$9:$I$250,1)+
SUMIFS('Petroleum - Q&amp;V 1'!$E$9:$E$250,'Petroleum - Q&amp;V 1'!$H$9:$H$250,CONCATENATE("20",RIGHT('Q&amp;V FY 2003-04 to Now'!W$7,2)),'Petroleum - Q&amp;V 1'!$I$9:$I$250,2))*1000000</f>
        <v>3199879402.0108123</v>
      </c>
      <c r="Y72" s="723">
        <f>(SUMIFS('Petroleum - Q&amp;V 1'!$D$9:$D$250,'Petroleum - Q&amp;V 1'!$H$9:$H$250,LEFT('Q&amp;V FY 2003-04 to Now'!Y$7,4),'Petroleum - Q&amp;V 1'!$I$9:$I$250,3)+
SUMIFS('Petroleum - Q&amp;V 1'!$D$9:$D$250,'Petroleum - Q&amp;V 1'!$H$9:$H$250,LEFT('Q&amp;V FY 2003-04 to Now'!Y$7,4),'Petroleum - Q&amp;V 1'!$I$9:$I$250,4)+
SUMIFS('Petroleum - Q&amp;V 1'!$D$9:$D$250,'Petroleum - Q&amp;V 1'!$H$9:$H$250,CONCATENATE("20",RIGHT('Q&amp;V FY 2003-04 to Now'!Y$7,2)),'Petroleum - Q&amp;V 1'!$I$9:$I$250,1)+
SUMIFS('Petroleum - Q&amp;V 1'!$D$9:$D$250,'Petroleum - Q&amp;V 1'!$H$9:$H$250,CONCATENATE("20",RIGHT('Q&amp;V FY 2003-04 to Now'!Y$7,2)),'Petroleum - Q&amp;V 1'!$I$9:$I$250,2))*1000000</f>
        <v>6753213.4489999991</v>
      </c>
      <c r="Z72" s="723">
        <f>(SUMIFS('Petroleum - Q&amp;V 1'!$E$9:$E$250,'Petroleum - Q&amp;V 1'!$H$9:$H$250,LEFT('Q&amp;V FY 2003-04 to Now'!Y$7,4),'Petroleum - Q&amp;V 1'!$I$9:$I$250,3)+
SUMIFS('Petroleum - Q&amp;V 1'!$E$9:$E$250,'Petroleum - Q&amp;V 1'!$H$9:$H$250,LEFT('Q&amp;V FY 2003-04 to Now'!Y$7,4),'Petroleum - Q&amp;V 1'!$I$9:$I$250,4)+
SUMIFS('Petroleum - Q&amp;V 1'!$E$9:$E$250,'Petroleum - Q&amp;V 1'!$H$9:$H$250,CONCATENATE("20",RIGHT('Q&amp;V FY 2003-04 to Now'!Y$7,2)),'Petroleum - Q&amp;V 1'!$I$9:$I$250,1)+
SUMIFS('Petroleum - Q&amp;V 1'!$E$9:$E$250,'Petroleum - Q&amp;V 1'!$H$9:$H$250,CONCATENATE("20",RIGHT('Q&amp;V FY 2003-04 to Now'!Y$7,2)),'Petroleum - Q&amp;V 1'!$I$9:$I$250,2))*1000000</f>
        <v>3528826230.5219269</v>
      </c>
      <c r="AA72" s="723">
        <f>(SUMIFS('Petroleum - Q&amp;V 1'!$D$9:$D$250,'Petroleum - Q&amp;V 1'!$H$9:$H$250,LEFT('Q&amp;V FY 2003-04 to Now'!AA$7,4),'Petroleum - Q&amp;V 1'!$I$9:$I$250,3)+
SUMIFS('Petroleum - Q&amp;V 1'!$D$9:$D$250,'Petroleum - Q&amp;V 1'!$H$9:$H$250,LEFT('Q&amp;V FY 2003-04 to Now'!AA$7,4),'Petroleum - Q&amp;V 1'!$I$9:$I$250,4)+
SUMIFS('Petroleum - Q&amp;V 1'!$D$9:$D$250,'Petroleum - Q&amp;V 1'!$H$9:$H$250,CONCATENATE("20",RIGHT('Q&amp;V FY 2003-04 to Now'!AA$7,2)),'Petroleum - Q&amp;V 1'!$I$9:$I$250,1)+
SUMIFS('Petroleum - Q&amp;V 1'!$D$9:$D$250,'Petroleum - Q&amp;V 1'!$H$9:$H$250,CONCATENATE("20",RIGHT('Q&amp;V FY 2003-04 to Now'!AA$7,2)),'Petroleum - Q&amp;V 1'!$I$9:$I$250,2))*1000000</f>
        <v>6775141.6115060011</v>
      </c>
      <c r="AB72" s="723">
        <f>(SUMIFS('Petroleum - Q&amp;V 1'!$E$9:$E$250,'Petroleum - Q&amp;V 1'!$H$9:$H$250,LEFT('Q&amp;V FY 2003-04 to Now'!AA$7,4),'Petroleum - Q&amp;V 1'!$I$9:$I$250,3)+
SUMIFS('Petroleum - Q&amp;V 1'!$E$9:$E$250,'Petroleum - Q&amp;V 1'!$H$9:$H$250,LEFT('Q&amp;V FY 2003-04 to Now'!AA$7,4),'Petroleum - Q&amp;V 1'!$I$9:$I$250,4)+
SUMIFS('Petroleum - Q&amp;V 1'!$E$9:$E$250,'Petroleum - Q&amp;V 1'!$H$9:$H$250,CONCATENATE("20",RIGHT('Q&amp;V FY 2003-04 to Now'!AA$7,2)),'Petroleum - Q&amp;V 1'!$I$9:$I$250,1)+
SUMIFS('Petroleum - Q&amp;V 1'!$E$9:$E$250,'Petroleum - Q&amp;V 1'!$H$9:$H$250,CONCATENATE("20",RIGHT('Q&amp;V FY 2003-04 to Now'!AA$7,2)),'Petroleum - Q&amp;V 1'!$I$9:$I$250,2))*1000000</f>
        <v>2214239599.3627396</v>
      </c>
      <c r="AC72" s="723">
        <f>(SUMIFS('Petroleum - Q&amp;V 1'!$D$9:$D$250,'Petroleum - Q&amp;V 1'!$H$9:$H$250,LEFT('Q&amp;V FY 2003-04 to Now'!AC$7,4),'Petroleum - Q&amp;V 1'!$I$9:$I$250,3)+
SUMIFS('Petroleum - Q&amp;V 1'!$D$9:$D$250,'Petroleum - Q&amp;V 1'!$H$9:$H$250,LEFT('Q&amp;V FY 2003-04 to Now'!AC$7,4),'Petroleum - Q&amp;V 1'!$I$9:$I$250,4)+
SUMIFS('Petroleum - Q&amp;V 1'!$D$9:$D$250,'Petroleum - Q&amp;V 1'!$H$9:$H$250,CONCATENATE("20",RIGHT('Q&amp;V FY 2003-04 to Now'!AC$7,2)),'Petroleum - Q&amp;V 1'!$I$9:$I$250,1)+
SUMIFS('Petroleum - Q&amp;V 1'!$D$9:$D$250,'Petroleum - Q&amp;V 1'!$H$9:$H$250,CONCATENATE("20",RIGHT('Q&amp;V FY 2003-04 to Now'!AC$7,2)),'Petroleum - Q&amp;V 1'!$I$9:$I$250,2))*1000000</f>
        <v>6037603.2539301543</v>
      </c>
      <c r="AD72" s="723">
        <f>(SUMIFS('Petroleum - Q&amp;V 1'!$E$9:$E$250,'Petroleum - Q&amp;V 1'!$H$9:$H$250,LEFT('Q&amp;V FY 2003-04 to Now'!AC$7,4),'Petroleum - Q&amp;V 1'!$I$9:$I$250,3)+
SUMIFS('Petroleum - Q&amp;V 1'!$E$9:$E$250,'Petroleum - Q&amp;V 1'!$H$9:$H$250,LEFT('Q&amp;V FY 2003-04 to Now'!AC$7,4),'Petroleum - Q&amp;V 1'!$I$9:$I$250,4)+
SUMIFS('Petroleum - Q&amp;V 1'!$E$9:$E$250,'Petroleum - Q&amp;V 1'!$H$9:$H$250,CONCATENATE("20",RIGHT('Q&amp;V FY 2003-04 to Now'!AC$7,2)),'Petroleum - Q&amp;V 1'!$I$9:$I$250,1)+
SUMIFS('Petroleum - Q&amp;V 1'!$E$9:$E$250,'Petroleum - Q&amp;V 1'!$H$9:$H$250,CONCATENATE("20",RIGHT('Q&amp;V FY 2003-04 to Now'!AC$7,2)),'Petroleum - Q&amp;V 1'!$I$9:$I$250,2))*1000000</f>
        <v>2229580156.2793059</v>
      </c>
      <c r="AE72" s="723">
        <f>(SUMIFS('Petroleum - Q&amp;V 1'!$D$9:$D$250,'Petroleum - Q&amp;V 1'!$H$9:$H$250,LEFT('Q&amp;V FY 2003-04 to Now'!AE$7,4),'Petroleum - Q&amp;V 1'!$I$9:$I$250,3)+
SUMIFS('Petroleum - Q&amp;V 1'!$D$9:$D$250,'Petroleum - Q&amp;V 1'!$H$9:$H$250,LEFT('Q&amp;V FY 2003-04 to Now'!AE$7,4),'Petroleum - Q&amp;V 1'!$I$9:$I$250,4)+
SUMIFS('Petroleum - Q&amp;V 1'!$D$9:$D$250,'Petroleum - Q&amp;V 1'!$H$9:$H$250,CONCATENATE("20",RIGHT('Q&amp;V FY 2003-04 to Now'!AE$7,2)),'Petroleum - Q&amp;V 1'!$I$9:$I$250,1)+
SUMIFS('Petroleum - Q&amp;V 1'!$D$9:$D$250,'Petroleum - Q&amp;V 1'!$H$9:$H$250,CONCATENATE("20",RIGHT('Q&amp;V FY 2003-04 to Now'!AE$7,2)),'Petroleum - Q&amp;V 1'!$I$9:$I$250,2))*1000000</f>
        <v>7112793.482270821</v>
      </c>
      <c r="AF72" s="723">
        <f>(SUMIFS('Petroleum - Q&amp;V 1'!$E$9:$E$250,'Petroleum - Q&amp;V 1'!$H$9:$H$250,LEFT('Q&amp;V FY 2003-04 to Now'!AE$7,4),'Petroleum - Q&amp;V 1'!$I$9:$I$250,3)+
SUMIFS('Petroleum - Q&amp;V 1'!$E$9:$E$250,'Petroleum - Q&amp;V 1'!$H$9:$H$250,LEFT('Q&amp;V FY 2003-04 to Now'!AE$7,4),'Petroleum - Q&amp;V 1'!$I$9:$I$250,4)+
SUMIFS('Petroleum - Q&amp;V 1'!$E$9:$E$250,'Petroleum - Q&amp;V 1'!$H$9:$H$250,CONCATENATE("20",RIGHT('Q&amp;V FY 2003-04 to Now'!AE$7,2)),'Petroleum - Q&amp;V 1'!$I$9:$I$250,1)+
SUMIFS('Petroleum - Q&amp;V 1'!$E$9:$E$250,'Petroleum - Q&amp;V 1'!$H$9:$H$250,CONCATENATE("20",RIGHT('Q&amp;V FY 2003-04 to Now'!AE$7,2)),'Petroleum - Q&amp;V 1'!$I$9:$I$250,2))*1000000</f>
        <v>3300952798.3132472</v>
      </c>
      <c r="AG72" s="723">
        <f>(SUMIFS('Petroleum - Q&amp;V 1'!$D$9:$D$250,'Petroleum - Q&amp;V 1'!$H$9:$H$250,LEFT('Q&amp;V FY 2003-04 to Now'!AG$7,4),'Petroleum - Q&amp;V 1'!$I$9:$I$250,3)+
SUMIFS('Petroleum - Q&amp;V 1'!$D$9:$D$250,'Petroleum - Q&amp;V 1'!$H$9:$H$250,LEFT('Q&amp;V FY 2003-04 to Now'!AG$7,4),'Petroleum - Q&amp;V 1'!$I$9:$I$250,4)+
SUMIFS('Petroleum - Q&amp;V 1'!$D$9:$D$250,'Petroleum - Q&amp;V 1'!$H$9:$H$250,CONCATENATE("20",RIGHT('Q&amp;V FY 2003-04 to Now'!AG$7,2)),'Petroleum - Q&amp;V 1'!$I$9:$I$250,1)+
SUMIFS('Petroleum - Q&amp;V 1'!$D$9:$D$250,'Petroleum - Q&amp;V 1'!$H$9:$H$250,CONCATENATE("20",RIGHT('Q&amp;V FY 2003-04 to Now'!AG$7,2)),'Petroleum - Q&amp;V 1'!$I$9:$I$250,2))*1000000</f>
        <v>11147267.561162524</v>
      </c>
      <c r="AH72" s="1069">
        <f>(SUMIFS('Petroleum - Q&amp;V 1'!$E$9:$E$250,'Petroleum - Q&amp;V 1'!$H$9:$H$250,LEFT('Q&amp;V FY 2003-04 to Now'!AG$7,4),'Petroleum - Q&amp;V 1'!$I$9:$I$250,3)+
SUMIFS('Petroleum - Q&amp;V 1'!$E$9:$E$250,'Petroleum - Q&amp;V 1'!$H$9:$H$250,LEFT('Q&amp;V FY 2003-04 to Now'!AG$7,4),'Petroleum - Q&amp;V 1'!$I$9:$I$250,4)+
SUMIFS('Petroleum - Q&amp;V 1'!$E$9:$E$250,'Petroleum - Q&amp;V 1'!$H$9:$H$250,CONCATENATE("20",RIGHT('Q&amp;V FY 2003-04 to Now'!AG$7,2)),'Petroleum - Q&amp;V 1'!$I$9:$I$250,1)+
SUMIFS('Petroleum - Q&amp;V 1'!$E$9:$E$250,'Petroleum - Q&amp;V 1'!$H$9:$H$250,CONCATENATE("20",RIGHT('Q&amp;V FY 2003-04 to Now'!AG$7,2)),'Petroleum - Q&amp;V 1'!$I$9:$I$250,2))*1000000</f>
        <v>6163266485.8807325</v>
      </c>
      <c r="AI72" s="1069">
        <f>(SUMIFS('Petroleum - Q&amp;V 1'!$D$9:$D$250,'Petroleum - Q&amp;V 1'!$H$9:$H$250,LEFT('Q&amp;V FY 2003-04 to Now'!AI$7,4),'Petroleum - Q&amp;V 1'!$I$9:$I$250,3)+
SUMIFS('Petroleum - Q&amp;V 1'!$D$9:$D$250,'Petroleum - Q&amp;V 1'!$H$9:$H$250,LEFT('Q&amp;V FY 2003-04 to Now'!AI$7,4),'Petroleum - Q&amp;V 1'!$I$9:$I$250,4)+
SUMIFS('Petroleum - Q&amp;V 1'!$D$9:$D$250,'Petroleum - Q&amp;V 1'!$H$9:$H$250,CONCATENATE("20",RIGHT('Q&amp;V FY 2003-04 to Now'!AI$7,2)),'Petroleum - Q&amp;V 1'!$I$9:$I$250,1)+
SUMIFS('Petroleum - Q&amp;V 1'!$D$9:$D$250,'Petroleum - Q&amp;V 1'!$H$9:$H$250,CONCATENATE("20",RIGHT('Q&amp;V FY 2003-04 to Now'!AI$7,2)),'Petroleum - Q&amp;V 1'!$I$9:$I$250,2))*1000000</f>
        <v>12340926.11349741</v>
      </c>
      <c r="AJ72" s="1069">
        <f>(SUMIFS('Petroleum - Q&amp;V 1'!$E$9:$E$250,'Petroleum - Q&amp;V 1'!$H$9:$H$250,LEFT('Q&amp;V FY 2003-04 to Now'!AI$7,4),'Petroleum - Q&amp;V 1'!$I$9:$I$250,3)+
SUMIFS('Petroleum - Q&amp;V 1'!$E$9:$E$250,'Petroleum - Q&amp;V 1'!$H$9:$H$250,LEFT('Q&amp;V FY 2003-04 to Now'!AI$7,4),'Petroleum - Q&amp;V 1'!$I$9:$I$250,4)+
SUMIFS('Petroleum - Q&amp;V 1'!$E$9:$E$250,'Petroleum - Q&amp;V 1'!$H$9:$H$250,CONCATENATE("20",RIGHT('Q&amp;V FY 2003-04 to Now'!AI$7,2)),'Petroleum - Q&amp;V 1'!$I$9:$I$250,1)+
SUMIFS('Petroleum - Q&amp;V 1'!$E$9:$E$250,'Petroleum - Q&amp;V 1'!$H$9:$H$250,CONCATENATE("20",RIGHT('Q&amp;V FY 2003-04 to Now'!AI$7,2)),'Petroleum - Q&amp;V 1'!$I$9:$I$250,2))*1000000</f>
        <v>5401864390.327383</v>
      </c>
      <c r="AK72" s="1069">
        <f>(SUMIFS('Petroleum - Q&amp;V 1'!$D$9:$D$250,'Petroleum - Q&amp;V 1'!$H$9:$H$250,LEFT('Q&amp;V FY 2003-04 to Now'!AK$7,4),'Petroleum - Q&amp;V 1'!$I$9:$I$250,3)+
SUMIFS('Petroleum - Q&amp;V 1'!$D$9:$D$250,'Petroleum - Q&amp;V 1'!$H$9:$H$250,LEFT('Q&amp;V FY 2003-04 to Now'!AK$7,4),'Petroleum - Q&amp;V 1'!$I$9:$I$250,4)+
SUMIFS('Petroleum - Q&amp;V 1'!$D$9:$D$250,'Petroleum - Q&amp;V 1'!$H$9:$H$250,CONCATENATE("20",RIGHT('Q&amp;V FY 2003-04 to Now'!AK$7,2)),'Petroleum - Q&amp;V 1'!$I$9:$I$250,1)+
SUMIFS('Petroleum - Q&amp;V 1'!$D$9:$D$250,'Petroleum - Q&amp;V 1'!$H$9:$H$250,CONCATENATE("20",RIGHT('Q&amp;V FY 2003-04 to Now'!AK$7,2)),'Petroleum - Q&amp;V 1'!$I$9:$I$250,2))*1000000</f>
        <v>11116897.742583131</v>
      </c>
      <c r="AL72" s="1069">
        <f>(SUMIFS('Petroleum - Q&amp;V 1'!$E$9:$E$250,'Petroleum - Q&amp;V 1'!$H$9:$H$250,LEFT('Q&amp;V FY 2003-04 to Now'!AK$7,4),'Petroleum - Q&amp;V 1'!$I$9:$I$250,3)+
SUMIFS('Petroleum - Q&amp;V 1'!$E$9:$E$250,'Petroleum - Q&amp;V 1'!$H$9:$H$250,LEFT('Q&amp;V FY 2003-04 to Now'!AK$7,4),'Petroleum - Q&amp;V 1'!$I$9:$I$250,4)+
SUMIFS('Petroleum - Q&amp;V 1'!$E$9:$E$250,'Petroleum - Q&amp;V 1'!$H$9:$H$250,CONCATENATE("20",RIGHT('Q&amp;V FY 2003-04 to Now'!AK$7,2)),'Petroleum - Q&amp;V 1'!$I$9:$I$250,1)+
SUMIFS('Petroleum - Q&amp;V 1'!$E$9:$E$250,'Petroleum - Q&amp;V 1'!$H$9:$H$250,CONCATENATE("20",RIGHT('Q&amp;V FY 2003-04 to Now'!AK$7,2)),'Petroleum - Q&amp;V 1'!$I$9:$I$250,2))*1000000</f>
        <v>4277981027.1622028</v>
      </c>
      <c r="AM72" s="1069">
        <f>(SUMIFS('Petroleum - Q&amp;V 1'!$D$9:$D$250,'Petroleum - Q&amp;V 1'!$H$9:$H$250,LEFT('Q&amp;V FY 2003-04 to Now'!AM$7,4),'Petroleum - Q&amp;V 1'!$I$9:$I$250,3)+
SUMIFS('Petroleum - Q&amp;V 1'!$D$9:$D$250,'Petroleum - Q&amp;V 1'!$H$9:$H$250,LEFT('Q&amp;V FY 2003-04 to Now'!AM$7,4),'Petroleum - Q&amp;V 1'!$I$9:$I$250,4)+
SUMIFS('Petroleum - Q&amp;V 1'!$D$9:$D$250,'Petroleum - Q&amp;V 1'!$H$9:$H$250,CONCATENATE("20",RIGHT('Q&amp;V FY 2003-04 to Now'!AM$7,2)),'Petroleum - Q&amp;V 1'!$I$9:$I$250,1)+
SUMIFS('Petroleum - Q&amp;V 1'!$D$9:$D$250,'Petroleum - Q&amp;V 1'!$H$9:$H$250,CONCATENATE("20",RIGHT('Q&amp;V FY 2003-04 to Now'!AM$7,2)),'Petroleum - Q&amp;V 1'!$I$9:$I$250,2))*1000000</f>
        <v>12077962.756665539</v>
      </c>
      <c r="AN72" s="1069">
        <f>(SUMIFS('Petroleum - Q&amp;V 1'!$E$9:$E$250,'Petroleum - Q&amp;V 1'!$H$9:$H$250,LEFT('Q&amp;V FY 2003-04 to Now'!AM$7,4),'Petroleum - Q&amp;V 1'!$I$9:$I$250,3)+
SUMIFS('Petroleum - Q&amp;V 1'!$E$9:$E$250,'Petroleum - Q&amp;V 1'!$H$9:$H$250,LEFT('Q&amp;V FY 2003-04 to Now'!AM$7,4),'Petroleum - Q&amp;V 1'!$I$9:$I$250,4)+
SUMIFS('Petroleum - Q&amp;V 1'!$E$9:$E$250,'Petroleum - Q&amp;V 1'!$H$9:$H$250,CONCATENATE("20",RIGHT('Q&amp;V FY 2003-04 to Now'!AM$7,2)),'Petroleum - Q&amp;V 1'!$I$9:$I$250,1)+
SUMIFS('Petroleum - Q&amp;V 1'!$E$9:$E$250,'Petroleum - Q&amp;V 1'!$H$9:$H$250,CONCATENATE("20",RIGHT('Q&amp;V FY 2003-04 to Now'!AM$7,2)),'Petroleum - Q&amp;V 1'!$I$9:$I$250,2))*1000000</f>
        <v>8617402786.6621227</v>
      </c>
      <c r="AO72" s="1069">
        <f>(SUMIFS('Petroleum - Q&amp;V 1'!$D$9:$D$250,'Petroleum - Q&amp;V 1'!$H$9:$H$250,LEFT('Q&amp;V FY 2003-04 to Now'!AO$7,4),'Petroleum - Q&amp;V 1'!$I$9:$I$250,3)+
SUMIFS('Petroleum - Q&amp;V 1'!$D$9:$D$250,'Petroleum - Q&amp;V 1'!$H$9:$H$250,LEFT('Q&amp;V FY 2003-04 to Now'!AO$7,4),'Petroleum - Q&amp;V 1'!$I$9:$I$250,4)+
SUMIFS('Petroleum - Q&amp;V 1'!$D$9:$D$250,'Petroleum - Q&amp;V 1'!$H$9:$H$250,CONCATENATE("20",RIGHT('Q&amp;V FY 2003-04 to Now'!AO$7,2)),'Petroleum - Q&amp;V 1'!$I$9:$I$250,1)+
SUMIFS('Petroleum - Q&amp;V 1'!$D$9:$D$250,'Petroleum - Q&amp;V 1'!$H$9:$H$250,CONCATENATE("20",RIGHT('Q&amp;V FY 2003-04 to Now'!AO$7,2)),'Petroleum - Q&amp;V 1'!$I$9:$I$250,2))*1000000</f>
        <v>11683594.500865571</v>
      </c>
      <c r="AP72" s="1069">
        <f>(SUMIFS('Petroleum - Q&amp;V 1'!$E$9:$E$250,'Petroleum - Q&amp;V 1'!$H$9:$H$250,LEFT('Q&amp;V FY 2003-04 to Now'!AO$7,4),'Petroleum - Q&amp;V 1'!$I$9:$I$250,3)+
SUMIFS('Petroleum - Q&amp;V 1'!$E$9:$E$250,'Petroleum - Q&amp;V 1'!$H$9:$H$250,LEFT('Q&amp;V FY 2003-04 to Now'!AO$7,4),'Petroleum - Q&amp;V 1'!$I$9:$I$250,4)+
SUMIFS('Petroleum - Q&amp;V 1'!$E$9:$E$250,'Petroleum - Q&amp;V 1'!$H$9:$H$250,CONCATENATE("20",RIGHT('Q&amp;V FY 2003-04 to Now'!AO$7,2)),'Petroleum - Q&amp;V 1'!$I$9:$I$250,1)+
SUMIFS('Petroleum - Q&amp;V 1'!$E$9:$E$250,'Petroleum - Q&amp;V 1'!$H$9:$H$250,CONCATENATE("20",RIGHT('Q&amp;V FY 2003-04 to Now'!AO$7,2)),'Petroleum - Q&amp;V 1'!$I$9:$I$250,2))*1000000</f>
        <v>8641078359.850256</v>
      </c>
      <c r="AQ72" s="734">
        <f>SUMIF($C$9:AP$9,1,$C72:AP72)</f>
        <v>151012388.67848113</v>
      </c>
      <c r="AR72" s="723">
        <f>IF(COUNTIF($C72:AP72, "nfp")=0, SUMIF($C$9:AP$9,0,$C72:AP72), "nfp")</f>
        <v>79347047598.370712</v>
      </c>
      <c r="AT72" s="317"/>
      <c r="AU72" s="317"/>
      <c r="AV72" s="381"/>
      <c r="AW72" s="381"/>
    </row>
    <row r="73" spans="1:49">
      <c r="A73" s="263" t="s">
        <v>61</v>
      </c>
      <c r="B73" s="248" t="s">
        <v>192</v>
      </c>
      <c r="C73" s="723">
        <f>(SUMIFS('Petroleum - Q&amp;V 1'!$B$9:$B$250,'Petroleum - Q&amp;V 1'!$H$9:$H$250,LEFT('Q&amp;V FY 2003-04 to Now'!C$7,4),'Petroleum - Q&amp;V 1'!$I$9:$I$250,3)+
SUMIFS('Petroleum - Q&amp;V 1'!$B$9:$B$250,'Petroleum - Q&amp;V 1'!$H$9:$H$250,LEFT('Q&amp;V FY 2003-04 to Now'!C$7,4),'Petroleum - Q&amp;V 1'!$I$9:$I$250,4)+
SUMIFS('Petroleum - Q&amp;V 1'!$B$9:$B$250,'Petroleum - Q&amp;V 1'!$H$9:$H$250,CONCATENATE("20",RIGHT('Q&amp;V FY 2003-04 to Now'!C$7,2)),'Petroleum - Q&amp;V 1'!$I$9:$I$250,1)+
SUMIFS('Petroleum - Q&amp;V 1'!$B$9:$B$250,'Petroleum - Q&amp;V 1'!$H$9:$H$250,CONCATENATE("20",RIGHT('Q&amp;V FY 2003-04 to Now'!C$7,2)),'Petroleum - Q&amp;V 1'!$I$9:$I$250,2))*1000000</f>
        <v>13223116</v>
      </c>
      <c r="D73" s="723">
        <f>(SUMIFS('Petroleum - Q&amp;V 1'!$C$9:$C$250,'Petroleum - Q&amp;V 1'!$H$9:$H$250,LEFT('Q&amp;V FY 2003-04 to Now'!C$7,4),'Petroleum - Q&amp;V 1'!$I$9:$I$250,3)+
SUMIFS('Petroleum - Q&amp;V 1'!$C$9:$C$250,'Petroleum - Q&amp;V 1'!$H$9:$H$250,LEFT('Q&amp;V FY 2003-04 to Now'!C$7,4),'Petroleum - Q&amp;V 1'!$I$9:$I$250,4)+
SUMIFS('Petroleum - Q&amp;V 1'!$C$9:$C$250,'Petroleum - Q&amp;V 1'!$H$9:$H$250,CONCATENATE("20",RIGHT('Q&amp;V FY 2003-04 to Now'!C$7,2)),'Petroleum - Q&amp;V 1'!$I$9:$I$250,1)+
SUMIFS('Petroleum - Q&amp;V 1'!$C$9:$C$250,'Petroleum - Q&amp;V 1'!$H$9:$H$250,CONCATENATE("20",RIGHT('Q&amp;V FY 2003-04 to Now'!C$7,2)),'Petroleum - Q&amp;V 1'!$I$9:$I$250,2))*1000000</f>
        <v>3773641187.9999995</v>
      </c>
      <c r="E73" s="723">
        <f>(SUMIFS('Petroleum - Q&amp;V 1'!$B$9:$B$250,'Petroleum - Q&amp;V 1'!$H$9:$H$250,LEFT('Q&amp;V FY 2003-04 to Now'!E$7,4),'Petroleum - Q&amp;V 1'!$I$9:$I$250,3)+
SUMIFS('Petroleum - Q&amp;V 1'!$B$9:$B$250,'Petroleum - Q&amp;V 1'!$H$9:$H$250,LEFT('Q&amp;V FY 2003-04 to Now'!E$7,4),'Petroleum - Q&amp;V 1'!$I$9:$I$250,4)+
SUMIFS('Petroleum - Q&amp;V 1'!$B$9:$B$250,'Petroleum - Q&amp;V 1'!$H$9:$H$250,CONCATENATE("20",RIGHT('Q&amp;V FY 2003-04 to Now'!E$7,2)),'Petroleum - Q&amp;V 1'!$I$9:$I$250,1)+
SUMIFS('Petroleum - Q&amp;V 1'!$B$9:$B$250,'Petroleum - Q&amp;V 1'!$H$9:$H$250,CONCATENATE("20",RIGHT('Q&amp;V FY 2003-04 to Now'!E$7,2)),'Petroleum - Q&amp;V 1'!$I$9:$I$250,2))*1000000</f>
        <v>12773028</v>
      </c>
      <c r="F73" s="723">
        <f>(SUMIFS('Petroleum - Q&amp;V 1'!$C$9:$C$250,'Petroleum - Q&amp;V 1'!$H$9:$H$250,LEFT('Q&amp;V FY 2003-04 to Now'!E$7,4),'Petroleum - Q&amp;V 1'!$I$9:$I$250,3)+
SUMIFS('Petroleum - Q&amp;V 1'!$C$9:$C$250,'Petroleum - Q&amp;V 1'!$H$9:$H$250,LEFT('Q&amp;V FY 2003-04 to Now'!E$7,4),'Petroleum - Q&amp;V 1'!$I$9:$I$250,4)+
SUMIFS('Petroleum - Q&amp;V 1'!$C$9:$C$250,'Petroleum - Q&amp;V 1'!$H$9:$H$250,CONCATENATE("20",RIGHT('Q&amp;V FY 2003-04 to Now'!E$7,2)),'Petroleum - Q&amp;V 1'!$I$9:$I$250,1)+
SUMIFS('Petroleum - Q&amp;V 1'!$C$9:$C$250,'Petroleum - Q&amp;V 1'!$H$9:$H$250,CONCATENATE("20",RIGHT('Q&amp;V FY 2003-04 to Now'!E$7,2)),'Petroleum - Q&amp;V 1'!$I$9:$I$250,2))*1000000</f>
        <v>5176845195</v>
      </c>
      <c r="G73" s="723">
        <f>(SUMIFS('Petroleum - Q&amp;V 1'!$B$9:$B$250,'Petroleum - Q&amp;V 1'!$H$9:$H$250,LEFT('Q&amp;V FY 2003-04 to Now'!G$7,4),'Petroleum - Q&amp;V 1'!$I$9:$I$250,3)+
SUMIFS('Petroleum - Q&amp;V 1'!$B$9:$B$250,'Petroleum - Q&amp;V 1'!$H$9:$H$250,LEFT('Q&amp;V FY 2003-04 to Now'!G$7,4),'Petroleum - Q&amp;V 1'!$I$9:$I$250,4)+
SUMIFS('Petroleum - Q&amp;V 1'!$B$9:$B$250,'Petroleum - Q&amp;V 1'!$H$9:$H$250,CONCATENATE("20",RIGHT('Q&amp;V FY 2003-04 to Now'!G$7,2)),'Petroleum - Q&amp;V 1'!$I$9:$I$250,1)+
SUMIFS('Petroleum - Q&amp;V 1'!$B$9:$B$250,'Petroleum - Q&amp;V 1'!$H$9:$H$250,CONCATENATE("20",RIGHT('Q&amp;V FY 2003-04 to Now'!G$7,2)),'Petroleum - Q&amp;V 1'!$I$9:$I$250,2))*1000000</f>
        <v>11142978</v>
      </c>
      <c r="H73" s="723">
        <f>(SUMIFS('Petroleum - Q&amp;V 1'!$C$9:$C$250,'Petroleum - Q&amp;V 1'!$H$9:$H$250,LEFT('Q&amp;V FY 2003-04 to Now'!G$7,4),'Petroleum - Q&amp;V 1'!$I$9:$I$250,3)+
SUMIFS('Petroleum - Q&amp;V 1'!$C$9:$C$250,'Petroleum - Q&amp;V 1'!$H$9:$H$250,LEFT('Q&amp;V FY 2003-04 to Now'!G$7,4),'Petroleum - Q&amp;V 1'!$I$9:$I$250,4)+
SUMIFS('Petroleum - Q&amp;V 1'!$C$9:$C$250,'Petroleum - Q&amp;V 1'!$H$9:$H$250,CONCATENATE("20",RIGHT('Q&amp;V FY 2003-04 to Now'!G$7,2)),'Petroleum - Q&amp;V 1'!$I$9:$I$250,1)+
SUMIFS('Petroleum - Q&amp;V 1'!$C$9:$C$250,'Petroleum - Q&amp;V 1'!$H$9:$H$250,CONCATENATE("20",RIGHT('Q&amp;V FY 2003-04 to Now'!G$7,2)),'Petroleum - Q&amp;V 1'!$I$9:$I$250,2))*1000000</f>
        <v>5901291387</v>
      </c>
      <c r="I73" s="723">
        <f>(SUMIFS('Petroleum - Q&amp;V 1'!$B$9:$B$250,'Petroleum - Q&amp;V 1'!$H$9:$H$250,LEFT('Q&amp;V FY 2003-04 to Now'!I$7,4),'Petroleum - Q&amp;V 1'!$I$9:$I$250,3)+
SUMIFS('Petroleum - Q&amp;V 1'!$B$9:$B$250,'Petroleum - Q&amp;V 1'!$H$9:$H$250,LEFT('Q&amp;V FY 2003-04 to Now'!I$7,4),'Petroleum - Q&amp;V 1'!$I$9:$I$250,4)+
SUMIFS('Petroleum - Q&amp;V 1'!$B$9:$B$250,'Petroleum - Q&amp;V 1'!$H$9:$H$250,CONCATENATE("20",RIGHT('Q&amp;V FY 2003-04 to Now'!I$7,2)),'Petroleum - Q&amp;V 1'!$I$9:$I$250,1)+
SUMIFS('Petroleum - Q&amp;V 1'!$B$9:$B$250,'Petroleum - Q&amp;V 1'!$H$9:$H$250,CONCATENATE("20",RIGHT('Q&amp;V FY 2003-04 to Now'!I$7,2)),'Petroleum - Q&amp;V 1'!$I$9:$I$250,2))*1000000</f>
        <v>14255543.999999998</v>
      </c>
      <c r="J73" s="723">
        <f>(SUMIFS('Petroleum - Q&amp;V 1'!$C$9:$C$250,'Petroleum - Q&amp;V 1'!$H$9:$H$250,LEFT('Q&amp;V FY 2003-04 to Now'!I$7,4),'Petroleum - Q&amp;V 1'!$I$9:$I$250,3)+
SUMIFS('Petroleum - Q&amp;V 1'!$C$9:$C$250,'Petroleum - Q&amp;V 1'!$H$9:$H$250,LEFT('Q&amp;V FY 2003-04 to Now'!I$7,4),'Petroleum - Q&amp;V 1'!$I$9:$I$250,4)+
SUMIFS('Petroleum - Q&amp;V 1'!$C$9:$C$250,'Petroleum - Q&amp;V 1'!$H$9:$H$250,CONCATENATE("20",RIGHT('Q&amp;V FY 2003-04 to Now'!I$7,2)),'Petroleum - Q&amp;V 1'!$I$9:$I$250,1)+
SUMIFS('Petroleum - Q&amp;V 1'!$C$9:$C$250,'Petroleum - Q&amp;V 1'!$H$9:$H$250,CONCATENATE("20",RIGHT('Q&amp;V FY 2003-04 to Now'!I$7,2)),'Petroleum - Q&amp;V 1'!$I$9:$I$250,2))*1000000</f>
        <v>7529594341.999999</v>
      </c>
      <c r="K73" s="723">
        <f>(SUMIFS('Petroleum - Q&amp;V 1'!$B$9:$B$250,'Petroleum - Q&amp;V 1'!$H$9:$H$250,LEFT('Q&amp;V FY 2003-04 to Now'!K$7,4),'Petroleum - Q&amp;V 1'!$I$9:$I$250,3)+
SUMIFS('Petroleum - Q&amp;V 1'!$B$9:$B$250,'Petroleum - Q&amp;V 1'!$H$9:$H$250,LEFT('Q&amp;V FY 2003-04 to Now'!K$7,4),'Petroleum - Q&amp;V 1'!$I$9:$I$250,4)+
SUMIFS('Petroleum - Q&amp;V 1'!$B$9:$B$250,'Petroleum - Q&amp;V 1'!$H$9:$H$250,CONCATENATE("20",RIGHT('Q&amp;V FY 2003-04 to Now'!K$7,2)),'Petroleum - Q&amp;V 1'!$I$9:$I$250,1)+
SUMIFS('Petroleum - Q&amp;V 1'!$B$9:$B$250,'Petroleum - Q&amp;V 1'!$H$9:$H$250,CONCATENATE("20",RIGHT('Q&amp;V FY 2003-04 to Now'!K$7,2)),'Petroleum - Q&amp;V 1'!$I$9:$I$250,2))*1000000</f>
        <v>12647526</v>
      </c>
      <c r="L73" s="723">
        <f>(SUMIFS('Petroleum - Q&amp;V 1'!$C$9:$C$250,'Petroleum - Q&amp;V 1'!$H$9:$H$250,LEFT('Q&amp;V FY 2003-04 to Now'!K$7,4),'Petroleum - Q&amp;V 1'!$I$9:$I$250,3)+
SUMIFS('Petroleum - Q&amp;V 1'!$C$9:$C$250,'Petroleum - Q&amp;V 1'!$H$9:$H$250,LEFT('Q&amp;V FY 2003-04 to Now'!K$7,4),'Petroleum - Q&amp;V 1'!$I$9:$I$250,4)+
SUMIFS('Petroleum - Q&amp;V 1'!$C$9:$C$250,'Petroleum - Q&amp;V 1'!$H$9:$H$250,CONCATENATE("20",RIGHT('Q&amp;V FY 2003-04 to Now'!K$7,2)),'Petroleum - Q&amp;V 1'!$I$9:$I$250,1)+
SUMIFS('Petroleum - Q&amp;V 1'!$C$9:$C$250,'Petroleum - Q&amp;V 1'!$H$9:$H$250,CONCATENATE("20",RIGHT('Q&amp;V FY 2003-04 to Now'!K$7,2)),'Petroleum - Q&amp;V 1'!$I$9:$I$250,2))*1000000</f>
        <v>8666217288</v>
      </c>
      <c r="M73" s="723">
        <f>(SUMIFS('Petroleum - Q&amp;V 1'!$B$9:$B$250,'Petroleum - Q&amp;V 1'!$H$9:$H$250,LEFT('Q&amp;V FY 2003-04 to Now'!M$7,4),'Petroleum - Q&amp;V 1'!$I$9:$I$250,3)+
SUMIFS('Petroleum - Q&amp;V 1'!$B$9:$B$250,'Petroleum - Q&amp;V 1'!$H$9:$H$250,LEFT('Q&amp;V FY 2003-04 to Now'!M$7,4),'Petroleum - Q&amp;V 1'!$I$9:$I$250,4)+
SUMIFS('Petroleum - Q&amp;V 1'!$B$9:$B$250,'Petroleum - Q&amp;V 1'!$H$9:$H$250,CONCATENATE("20",RIGHT('Q&amp;V FY 2003-04 to Now'!M$7,2)),'Petroleum - Q&amp;V 1'!$I$9:$I$250,1)+
SUMIFS('Petroleum - Q&amp;V 1'!$B$9:$B$250,'Petroleum - Q&amp;V 1'!$H$9:$H$250,CONCATENATE("20",RIGHT('Q&amp;V FY 2003-04 to Now'!M$7,2)),'Petroleum - Q&amp;V 1'!$I$9:$I$250,2))*1000000</f>
        <v>13036933.000000002</v>
      </c>
      <c r="N73" s="723">
        <f>(SUMIFS('Petroleum - Q&amp;V 1'!$C$9:$C$250,'Petroleum - Q&amp;V 1'!$H$9:$H$250,LEFT('Q&amp;V FY 2003-04 to Now'!M$7,4),'Petroleum - Q&amp;V 1'!$I$9:$I$250,3)+
SUMIFS('Petroleum - Q&amp;V 1'!$C$9:$C$250,'Petroleum - Q&amp;V 1'!$H$9:$H$250,LEFT('Q&amp;V FY 2003-04 to Now'!M$7,4),'Petroleum - Q&amp;V 1'!$I$9:$I$250,4)+
SUMIFS('Petroleum - Q&amp;V 1'!$C$9:$C$250,'Petroleum - Q&amp;V 1'!$H$9:$H$250,CONCATENATE("20",RIGHT('Q&amp;V FY 2003-04 to Now'!M$7,2)),'Petroleum - Q&amp;V 1'!$I$9:$I$250,1)+
SUMIFS('Petroleum - Q&amp;V 1'!$C$9:$C$250,'Petroleum - Q&amp;V 1'!$H$9:$H$250,CONCATENATE("20",RIGHT('Q&amp;V FY 2003-04 to Now'!M$7,2)),'Petroleum - Q&amp;V 1'!$I$9:$I$250,2))*1000000</f>
        <v>7710496697.000001</v>
      </c>
      <c r="O73" s="723">
        <f>(SUMIFS('Petroleum - Q&amp;V 1'!$B$9:$B$250,'Petroleum - Q&amp;V 1'!$H$9:$H$250,LEFT('Q&amp;V FY 2003-04 to Now'!O$7,4),'Petroleum - Q&amp;V 1'!$I$9:$I$250,3)+
SUMIFS('Petroleum - Q&amp;V 1'!$B$9:$B$250,'Petroleum - Q&amp;V 1'!$H$9:$H$250,LEFT('Q&amp;V FY 2003-04 to Now'!O$7,4),'Petroleum - Q&amp;V 1'!$I$9:$I$250,4)+
SUMIFS('Petroleum - Q&amp;V 1'!$B$9:$B$250,'Petroleum - Q&amp;V 1'!$H$9:$H$250,CONCATENATE("20",RIGHT('Q&amp;V FY 2003-04 to Now'!O$7,2)),'Petroleum - Q&amp;V 1'!$I$9:$I$250,1)+
SUMIFS('Petroleum - Q&amp;V 1'!$B$9:$B$250,'Petroleum - Q&amp;V 1'!$H$9:$H$250,CONCATENATE("20",RIGHT('Q&amp;V FY 2003-04 to Now'!O$7,2)),'Petroleum - Q&amp;V 1'!$I$9:$I$250,2))*1000000</f>
        <v>11842075</v>
      </c>
      <c r="P73" s="723">
        <f>(SUMIFS('Petroleum - Q&amp;V 1'!$C$9:$C$250,'Petroleum - Q&amp;V 1'!$H$9:$H$250,LEFT('Q&amp;V FY 2003-04 to Now'!O$7,4),'Petroleum - Q&amp;V 1'!$I$9:$I$250,3)+
SUMIFS('Petroleum - Q&amp;V 1'!$C$9:$C$250,'Petroleum - Q&amp;V 1'!$H$9:$H$250,LEFT('Q&amp;V FY 2003-04 to Now'!O$7,4),'Petroleum - Q&amp;V 1'!$I$9:$I$250,4)+
SUMIFS('Petroleum - Q&amp;V 1'!$C$9:$C$250,'Petroleum - Q&amp;V 1'!$H$9:$H$250,CONCATENATE("20",RIGHT('Q&amp;V FY 2003-04 to Now'!O$7,2)),'Petroleum - Q&amp;V 1'!$I$9:$I$250,1)+
SUMIFS('Petroleum - Q&amp;V 1'!$C$9:$C$250,'Petroleum - Q&amp;V 1'!$H$9:$H$250,CONCATENATE("20",RIGHT('Q&amp;V FY 2003-04 to Now'!O$7,2)),'Petroleum - Q&amp;V 1'!$I$9:$I$250,2))*1000000</f>
        <v>6385071844</v>
      </c>
      <c r="Q73" s="723">
        <f>(SUMIFS('Petroleum - Q&amp;V 1'!$B$9:$B$250,'Petroleum - Q&amp;V 1'!$H$9:$H$250,LEFT('Q&amp;V FY 2003-04 to Now'!Q$7,4),'Petroleum - Q&amp;V 1'!$I$9:$I$250,3)+
SUMIFS('Petroleum - Q&amp;V 1'!$B$9:$B$250,'Petroleum - Q&amp;V 1'!$H$9:$H$250,LEFT('Q&amp;V FY 2003-04 to Now'!Q$7,4),'Petroleum - Q&amp;V 1'!$I$9:$I$250,4)+
SUMIFS('Petroleum - Q&amp;V 1'!$B$9:$B$250,'Petroleum - Q&amp;V 1'!$H$9:$H$250,CONCATENATE("20",RIGHT('Q&amp;V FY 2003-04 to Now'!Q$7,2)),'Petroleum - Q&amp;V 1'!$I$9:$I$250,1)+
SUMIFS('Petroleum - Q&amp;V 1'!$B$9:$B$250,'Petroleum - Q&amp;V 1'!$H$9:$H$250,CONCATENATE("20",RIGHT('Q&amp;V FY 2003-04 to Now'!Q$7,2)),'Petroleum - Q&amp;V 1'!$I$9:$I$250,2))*1000000</f>
        <v>13924847</v>
      </c>
      <c r="R73" s="723">
        <f>(SUMIFS('Petroleum - Q&amp;V 1'!$C$9:$C$250,'Petroleum - Q&amp;V 1'!$H$9:$H$250,LEFT('Q&amp;V FY 2003-04 to Now'!Q$7,4),'Petroleum - Q&amp;V 1'!$I$9:$I$250,3)+
SUMIFS('Petroleum - Q&amp;V 1'!$C$9:$C$250,'Petroleum - Q&amp;V 1'!$H$9:$H$250,LEFT('Q&amp;V FY 2003-04 to Now'!Q$7,4),'Petroleum - Q&amp;V 1'!$I$9:$I$250,4)+
SUMIFS('Petroleum - Q&amp;V 1'!$C$9:$C$250,'Petroleum - Q&amp;V 1'!$H$9:$H$250,CONCATENATE("20",RIGHT('Q&amp;V FY 2003-04 to Now'!Q$7,2)),'Petroleum - Q&amp;V 1'!$I$9:$I$250,1)+
SUMIFS('Petroleum - Q&amp;V 1'!$C$9:$C$250,'Petroleum - Q&amp;V 1'!$H$9:$H$250,CONCATENATE("20",RIGHT('Q&amp;V FY 2003-04 to Now'!Q$7,2)),'Petroleum - Q&amp;V 1'!$I$9:$I$250,2))*1000000</f>
        <v>8528862520.999999</v>
      </c>
      <c r="S73" s="723">
        <f>(SUMIFS('Petroleum - Q&amp;V 1'!$B$9:$B$250,'Petroleum - Q&amp;V 1'!$H$9:$H$250,LEFT('Q&amp;V FY 2003-04 to Now'!S$7,4),'Petroleum - Q&amp;V 1'!$I$9:$I$250,3)+
SUMIFS('Petroleum - Q&amp;V 1'!$B$9:$B$250,'Petroleum - Q&amp;V 1'!$H$9:$H$250,LEFT('Q&amp;V FY 2003-04 to Now'!S$7,4),'Petroleum - Q&amp;V 1'!$I$9:$I$250,4)+
SUMIFS('Petroleum - Q&amp;V 1'!$B$9:$B$250,'Petroleum - Q&amp;V 1'!$H$9:$H$250,CONCATENATE("20",RIGHT('Q&amp;V FY 2003-04 to Now'!S$7,2)),'Petroleum - Q&amp;V 1'!$I$9:$I$250,1)+
SUMIFS('Petroleum - Q&amp;V 1'!$B$9:$B$250,'Petroleum - Q&amp;V 1'!$H$9:$H$250,CONCATENATE("20",RIGHT('Q&amp;V FY 2003-04 to Now'!S$7,2)),'Petroleum - Q&amp;V 1'!$I$9:$I$250,2))*1000000</f>
        <v>11121616</v>
      </c>
      <c r="T73" s="723">
        <f>(SUMIFS('Petroleum - Q&amp;V 1'!$C$9:$C$250,'Petroleum - Q&amp;V 1'!$H$9:$H$250,LEFT('Q&amp;V FY 2003-04 to Now'!S$7,4),'Petroleum - Q&amp;V 1'!$I$9:$I$250,3)+
SUMIFS('Petroleum - Q&amp;V 1'!$C$9:$C$250,'Petroleum - Q&amp;V 1'!$H$9:$H$250,LEFT('Q&amp;V FY 2003-04 to Now'!S$7,4),'Petroleum - Q&amp;V 1'!$I$9:$I$250,4)+
SUMIFS('Petroleum - Q&amp;V 1'!$C$9:$C$250,'Petroleum - Q&amp;V 1'!$H$9:$H$250,CONCATENATE("20",RIGHT('Q&amp;V FY 2003-04 to Now'!S$7,2)),'Petroleum - Q&amp;V 1'!$I$9:$I$250,1)+
SUMIFS('Petroleum - Q&amp;V 1'!$C$9:$C$250,'Petroleum - Q&amp;V 1'!$H$9:$H$250,CONCATENATE("20",RIGHT('Q&amp;V FY 2003-04 to Now'!S$7,2)),'Petroleum - Q&amp;V 1'!$I$9:$I$250,2))*1000000</f>
        <v>7676633458.999999</v>
      </c>
      <c r="U73" s="723">
        <f>(SUMIFS('Petroleum - Q&amp;V 1'!$B$9:$B$250,'Petroleum - Q&amp;V 1'!$H$9:$H$250,LEFT('Q&amp;V FY 2003-04 to Now'!U$7,4),'Petroleum - Q&amp;V 1'!$I$9:$I$250,3)+
SUMIFS('Petroleum - Q&amp;V 1'!$B$9:$B$250,'Petroleum - Q&amp;V 1'!$H$9:$H$250,LEFT('Q&amp;V FY 2003-04 to Now'!U$7,4),'Petroleum - Q&amp;V 1'!$I$9:$I$250,4)+
SUMIFS('Petroleum - Q&amp;V 1'!$B$9:$B$250,'Petroleum - Q&amp;V 1'!$H$9:$H$250,CONCATENATE("20",RIGHT('Q&amp;V FY 2003-04 to Now'!U$7,2)),'Petroleum - Q&amp;V 1'!$I$9:$I$250,1)+
SUMIFS('Petroleum - Q&amp;V 1'!$B$9:$B$250,'Petroleum - Q&amp;V 1'!$H$9:$H$250,CONCATENATE("20",RIGHT('Q&amp;V FY 2003-04 to Now'!U$7,2)),'Petroleum - Q&amp;V 1'!$I$9:$I$250,2))*1000000</f>
        <v>8609425</v>
      </c>
      <c r="V73" s="723">
        <f>(SUMIFS('Petroleum - Q&amp;V 1'!$C$9:$C$250,'Petroleum - Q&amp;V 1'!$H$9:$H$250,LEFT('Q&amp;V FY 2003-04 to Now'!U$7,4),'Petroleum - Q&amp;V 1'!$I$9:$I$250,3)+
SUMIFS('Petroleum - Q&amp;V 1'!$C$9:$C$250,'Petroleum - Q&amp;V 1'!$H$9:$H$250,LEFT('Q&amp;V FY 2003-04 to Now'!U$7,4),'Petroleum - Q&amp;V 1'!$I$9:$I$250,4)+
SUMIFS('Petroleum - Q&amp;V 1'!$C$9:$C$250,'Petroleum - Q&amp;V 1'!$H$9:$H$250,CONCATENATE("20",RIGHT('Q&amp;V FY 2003-04 to Now'!U$7,2)),'Petroleum - Q&amp;V 1'!$I$9:$I$250,1)+
SUMIFS('Petroleum - Q&amp;V 1'!$C$9:$C$250,'Petroleum - Q&amp;V 1'!$H$9:$H$250,CONCATENATE("20",RIGHT('Q&amp;V FY 2003-04 to Now'!U$7,2)),'Petroleum - Q&amp;V 1'!$I$9:$I$250,2))*1000000</f>
        <v>5972058199.999999</v>
      </c>
      <c r="W73" s="723">
        <f>(SUMIFS('Petroleum - Q&amp;V 1'!$B$9:$B$250,'Petroleum - Q&amp;V 1'!$H$9:$H$250,LEFT('Q&amp;V FY 2003-04 to Now'!W$7,4),'Petroleum - Q&amp;V 1'!$I$9:$I$250,3)+
SUMIFS('Petroleum - Q&amp;V 1'!$B$9:$B$250,'Petroleum - Q&amp;V 1'!$H$9:$H$250,LEFT('Q&amp;V FY 2003-04 to Now'!W$7,4),'Petroleum - Q&amp;V 1'!$I$9:$I$250,4)+
SUMIFS('Petroleum - Q&amp;V 1'!$B$9:$B$250,'Petroleum - Q&amp;V 1'!$H$9:$H$250,CONCATENATE("20",RIGHT('Q&amp;V FY 2003-04 to Now'!W$7,2)),'Petroleum - Q&amp;V 1'!$I$9:$I$250,1)+
SUMIFS('Petroleum - Q&amp;V 1'!$B$9:$B$250,'Petroleum - Q&amp;V 1'!$H$9:$H$250,CONCATENATE("20",RIGHT('Q&amp;V FY 2003-04 to Now'!W$7,2)),'Petroleum - Q&amp;V 1'!$I$9:$I$250,2))*1000000</f>
        <v>6867302.1770000011</v>
      </c>
      <c r="X73" s="723">
        <f>(SUMIFS('Petroleum - Q&amp;V 1'!$C$9:$C$250,'Petroleum - Q&amp;V 1'!$H$9:$H$250,LEFT('Q&amp;V FY 2003-04 to Now'!W$7,4),'Petroleum - Q&amp;V 1'!$I$9:$I$250,3)+
SUMIFS('Petroleum - Q&amp;V 1'!$C$9:$C$250,'Petroleum - Q&amp;V 1'!$H$9:$H$250,LEFT('Q&amp;V FY 2003-04 to Now'!W$7,4),'Petroleum - Q&amp;V 1'!$I$9:$I$250,4)+
SUMIFS('Petroleum - Q&amp;V 1'!$C$9:$C$250,'Petroleum - Q&amp;V 1'!$H$9:$H$250,CONCATENATE("20",RIGHT('Q&amp;V FY 2003-04 to Now'!W$7,2)),'Petroleum - Q&amp;V 1'!$I$9:$I$250,1)+
SUMIFS('Petroleum - Q&amp;V 1'!$C$9:$C$250,'Petroleum - Q&amp;V 1'!$H$9:$H$250,CONCATENATE("20",RIGHT('Q&amp;V FY 2003-04 to Now'!W$7,2)),'Petroleum - Q&amp;V 1'!$I$9:$I$250,2))*1000000</f>
        <v>5385519963.8664455</v>
      </c>
      <c r="Y73" s="723">
        <f>(SUMIFS('Petroleum - Q&amp;V 1'!$B$9:$B$250,'Petroleum - Q&amp;V 1'!$H$9:$H$250,LEFT('Q&amp;V FY 2003-04 to Now'!Y$7,4),'Petroleum - Q&amp;V 1'!$I$9:$I$250,3)+
SUMIFS('Petroleum - Q&amp;V 1'!$B$9:$B$250,'Petroleum - Q&amp;V 1'!$H$9:$H$250,LEFT('Q&amp;V FY 2003-04 to Now'!Y$7,4),'Petroleum - Q&amp;V 1'!$I$9:$I$250,4)+
SUMIFS('Petroleum - Q&amp;V 1'!$B$9:$B$250,'Petroleum - Q&amp;V 1'!$H$9:$H$250,CONCATENATE("20",RIGHT('Q&amp;V FY 2003-04 to Now'!Y$7,2)),'Petroleum - Q&amp;V 1'!$I$9:$I$250,1)+
SUMIFS('Petroleum - Q&amp;V 1'!$B$9:$B$250,'Petroleum - Q&amp;V 1'!$H$9:$H$250,CONCATENATE("20",RIGHT('Q&amp;V FY 2003-04 to Now'!Y$7,2)),'Petroleum - Q&amp;V 1'!$I$9:$I$250,2))*1000000</f>
        <v>7952477.9160000002</v>
      </c>
      <c r="Z73" s="723">
        <f>(SUMIFS('Petroleum - Q&amp;V 1'!$C$9:$C$250,'Petroleum - Q&amp;V 1'!$H$9:$H$250,LEFT('Q&amp;V FY 2003-04 to Now'!Y$7,4),'Petroleum - Q&amp;V 1'!$I$9:$I$250,3)+
SUMIFS('Petroleum - Q&amp;V 1'!$C$9:$C$250,'Petroleum - Q&amp;V 1'!$H$9:$H$250,LEFT('Q&amp;V FY 2003-04 to Now'!Y$7,4),'Petroleum - Q&amp;V 1'!$I$9:$I$250,4)+
SUMIFS('Petroleum - Q&amp;V 1'!$C$9:$C$250,'Petroleum - Q&amp;V 1'!$H$9:$H$250,CONCATENATE("20",RIGHT('Q&amp;V FY 2003-04 to Now'!Y$7,2)),'Petroleum - Q&amp;V 1'!$I$9:$I$250,1)+
SUMIFS('Petroleum - Q&amp;V 1'!$C$9:$C$250,'Petroleum - Q&amp;V 1'!$H$9:$H$250,CONCATENATE("20",RIGHT('Q&amp;V FY 2003-04 to Now'!Y$7,2)),'Petroleum - Q&amp;V 1'!$I$9:$I$250,2))*1000000</f>
        <v>4567638160.7099228</v>
      </c>
      <c r="AA73" s="723">
        <f>(SUMIFS('Petroleum - Q&amp;V 1'!$B$9:$B$250,'Petroleum - Q&amp;V 1'!$H$9:$H$250,LEFT('Q&amp;V FY 2003-04 to Now'!AA$7,4),'Petroleum - Q&amp;V 1'!$I$9:$I$250,3)+
SUMIFS('Petroleum - Q&amp;V 1'!$B$9:$B$250,'Petroleum - Q&amp;V 1'!$H$9:$H$250,LEFT('Q&amp;V FY 2003-04 to Now'!AA$7,4),'Petroleum - Q&amp;V 1'!$I$9:$I$250,4)+
SUMIFS('Petroleum - Q&amp;V 1'!$B$9:$B$250,'Petroleum - Q&amp;V 1'!$H$9:$H$250,CONCATENATE("20",RIGHT('Q&amp;V FY 2003-04 to Now'!AA$7,2)),'Petroleum - Q&amp;V 1'!$I$9:$I$250,1)+
SUMIFS('Petroleum - Q&amp;V 1'!$B$9:$B$250,'Petroleum - Q&amp;V 1'!$H$9:$H$250,CONCATENATE("20",RIGHT('Q&amp;V FY 2003-04 to Now'!AA$7,2)),'Petroleum - Q&amp;V 1'!$I$9:$I$250,2))*1000000</f>
        <v>7685921.9885160001</v>
      </c>
      <c r="AB73" s="723">
        <f>(SUMIFS('Petroleum - Q&amp;V 1'!$C$9:$C$250,'Petroleum - Q&amp;V 1'!$H$9:$H$250,LEFT('Q&amp;V FY 2003-04 to Now'!AA$7,4),'Petroleum - Q&amp;V 1'!$I$9:$I$250,3)+
SUMIFS('Petroleum - Q&amp;V 1'!$C$9:$C$250,'Petroleum - Q&amp;V 1'!$H$9:$H$250,LEFT('Q&amp;V FY 2003-04 to Now'!AA$7,4),'Petroleum - Q&amp;V 1'!$I$9:$I$250,4)+
SUMIFS('Petroleum - Q&amp;V 1'!$C$9:$C$250,'Petroleum - Q&amp;V 1'!$H$9:$H$250,CONCATENATE("20",RIGHT('Q&amp;V FY 2003-04 to Now'!AA$7,2)),'Petroleum - Q&amp;V 1'!$I$9:$I$250,1)+
SUMIFS('Petroleum - Q&amp;V 1'!$C$9:$C$250,'Petroleum - Q&amp;V 1'!$H$9:$H$250,CONCATENATE("20",RIGHT('Q&amp;V FY 2003-04 to Now'!AA$7,2)),'Petroleum - Q&amp;V 1'!$I$9:$I$250,2))*1000000</f>
        <v>3044532696.2173352</v>
      </c>
      <c r="AC73" s="723">
        <f>(SUMIFS('Petroleum - Q&amp;V 1'!$B$9:$B$250,'Petroleum - Q&amp;V 1'!$H$9:$H$250,LEFT('Q&amp;V FY 2003-04 to Now'!AC$7,4),'Petroleum - Q&amp;V 1'!$I$9:$I$250,3)+
SUMIFS('Petroleum - Q&amp;V 1'!$B$9:$B$250,'Petroleum - Q&amp;V 1'!$H$9:$H$250,LEFT('Q&amp;V FY 2003-04 to Now'!AC$7,4),'Petroleum - Q&amp;V 1'!$I$9:$I$250,4)+
SUMIFS('Petroleum - Q&amp;V 1'!$B$9:$B$250,'Petroleum - Q&amp;V 1'!$H$9:$H$250,CONCATENATE("20",RIGHT('Q&amp;V FY 2003-04 to Now'!AC$7,2)),'Petroleum - Q&amp;V 1'!$I$9:$I$250,1)+
SUMIFS('Petroleum - Q&amp;V 1'!$B$9:$B$250,'Petroleum - Q&amp;V 1'!$H$9:$H$250,CONCATENATE("20",RIGHT('Q&amp;V FY 2003-04 to Now'!AC$7,2)),'Petroleum - Q&amp;V 1'!$I$9:$I$250,2))*1000000</f>
        <v>5404294.1809121389</v>
      </c>
      <c r="AD73" s="723">
        <f>(SUMIFS('Petroleum - Q&amp;V 1'!$C$9:$C$250,'Petroleum - Q&amp;V 1'!$H$9:$H$250,LEFT('Q&amp;V FY 2003-04 to Now'!AC$7,4),'Petroleum - Q&amp;V 1'!$I$9:$I$250,3)+
SUMIFS('Petroleum - Q&amp;V 1'!$C$9:$C$250,'Petroleum - Q&amp;V 1'!$H$9:$H$250,LEFT('Q&amp;V FY 2003-04 to Now'!AC$7,4),'Petroleum - Q&amp;V 1'!$I$9:$I$250,4)+
SUMIFS('Petroleum - Q&amp;V 1'!$C$9:$C$250,'Petroleum - Q&amp;V 1'!$H$9:$H$250,CONCATENATE("20",RIGHT('Q&amp;V FY 2003-04 to Now'!AC$7,2)),'Petroleum - Q&amp;V 1'!$I$9:$I$250,1)+
SUMIFS('Petroleum - Q&amp;V 1'!$C$9:$C$250,'Petroleum - Q&amp;V 1'!$H$9:$H$250,CONCATENATE("20",RIGHT('Q&amp;V FY 2003-04 to Now'!AC$7,2)),'Petroleum - Q&amp;V 1'!$I$9:$I$250,2))*1000000</f>
        <v>2128234935.4383104</v>
      </c>
      <c r="AE73" s="723">
        <f>(SUMIFS('Petroleum - Q&amp;V 1'!$B$9:$B$250,'Petroleum - Q&amp;V 1'!$H$9:$H$250,LEFT('Q&amp;V FY 2003-04 to Now'!AE$7,4),'Petroleum - Q&amp;V 1'!$I$9:$I$250,3)+
SUMIFS('Petroleum - Q&amp;V 1'!$B$9:$B$250,'Petroleum - Q&amp;V 1'!$H$9:$H$250,LEFT('Q&amp;V FY 2003-04 to Now'!AE$7,4),'Petroleum - Q&amp;V 1'!$I$9:$I$250,4)+
SUMIFS('Petroleum - Q&amp;V 1'!$B$9:$B$250,'Petroleum - Q&amp;V 1'!$H$9:$H$250,CONCATENATE("20",RIGHT('Q&amp;V FY 2003-04 to Now'!AE$7,2)),'Petroleum - Q&amp;V 1'!$I$9:$I$250,1)+
SUMIFS('Petroleum - Q&amp;V 1'!$B$9:$B$250,'Petroleum - Q&amp;V 1'!$H$9:$H$250,CONCATENATE("20",RIGHT('Q&amp;V FY 2003-04 to Now'!AE$7,2)),'Petroleum - Q&amp;V 1'!$I$9:$I$250,2))*1000000</f>
        <v>4877411.1944294954</v>
      </c>
      <c r="AF73" s="723">
        <f>(SUMIFS('Petroleum - Q&amp;V 1'!$C$9:$C$250,'Petroleum - Q&amp;V 1'!$H$9:$H$250,LEFT('Q&amp;V FY 2003-04 to Now'!AE$7,4),'Petroleum - Q&amp;V 1'!$I$9:$I$250,3)+
SUMIFS('Petroleum - Q&amp;V 1'!$C$9:$C$250,'Petroleum - Q&amp;V 1'!$H$9:$H$250,LEFT('Q&amp;V FY 2003-04 to Now'!AE$7,4),'Petroleum - Q&amp;V 1'!$I$9:$I$250,4)+
SUMIFS('Petroleum - Q&amp;V 1'!$C$9:$C$250,'Petroleum - Q&amp;V 1'!$H$9:$H$250,CONCATENATE("20",RIGHT('Q&amp;V FY 2003-04 to Now'!AE$7,2)),'Petroleum - Q&amp;V 1'!$I$9:$I$250,1)+
SUMIFS('Petroleum - Q&amp;V 1'!$C$9:$C$250,'Petroleum - Q&amp;V 1'!$H$9:$H$250,CONCATENATE("20",RIGHT('Q&amp;V FY 2003-04 to Now'!AE$7,2)),'Petroleum - Q&amp;V 1'!$I$9:$I$250,2))*1000000</f>
        <v>2322425588.4325037</v>
      </c>
      <c r="AG73" s="723">
        <f>(SUMIFS('Petroleum - Q&amp;V 1'!$B$9:$B$250,'Petroleum - Q&amp;V 1'!$H$9:$H$250,LEFT('Q&amp;V FY 2003-04 to Now'!AG$7,4),'Petroleum - Q&amp;V 1'!$I$9:$I$250,3)+
SUMIFS('Petroleum - Q&amp;V 1'!$B$9:$B$250,'Petroleum - Q&amp;V 1'!$H$9:$H$250,LEFT('Q&amp;V FY 2003-04 to Now'!AG$7,4),'Petroleum - Q&amp;V 1'!$I$9:$I$250,4)+
SUMIFS('Petroleum - Q&amp;V 1'!$B$9:$B$250,'Petroleum - Q&amp;V 1'!$H$9:$H$250,CONCATENATE("20",RIGHT('Q&amp;V FY 2003-04 to Now'!AG$7,2)),'Petroleum - Q&amp;V 1'!$I$9:$I$250,1)+
SUMIFS('Petroleum - Q&amp;V 1'!$B$9:$B$250,'Petroleum - Q&amp;V 1'!$H$9:$H$250,CONCATENATE("20",RIGHT('Q&amp;V FY 2003-04 to Now'!AG$7,2)),'Petroleum - Q&amp;V 1'!$I$9:$I$250,2))*1000000</f>
        <v>3096521.9101496865</v>
      </c>
      <c r="AH73" s="1069">
        <f>(SUMIFS('Petroleum - Q&amp;V 1'!$C$9:$C$250,'Petroleum - Q&amp;V 1'!$H$9:$H$250,LEFT('Q&amp;V FY 2003-04 to Now'!AG$7,4),'Petroleum - Q&amp;V 1'!$I$9:$I$250,3)+
SUMIFS('Petroleum - Q&amp;V 1'!$C$9:$C$250,'Petroleum - Q&amp;V 1'!$H$9:$H$250,LEFT('Q&amp;V FY 2003-04 to Now'!AG$7,4),'Petroleum - Q&amp;V 1'!$I$9:$I$250,4)+
SUMIFS('Petroleum - Q&amp;V 1'!$C$9:$C$250,'Petroleum - Q&amp;V 1'!$H$9:$H$250,CONCATENATE("20",RIGHT('Q&amp;V FY 2003-04 to Now'!AG$7,2)),'Petroleum - Q&amp;V 1'!$I$9:$I$250,1)+
SUMIFS('Petroleum - Q&amp;V 1'!$C$9:$C$250,'Petroleum - Q&amp;V 1'!$H$9:$H$250,CONCATENATE("20",RIGHT('Q&amp;V FY 2003-04 to Now'!AG$7,2)),'Petroleum - Q&amp;V 1'!$I$9:$I$250,2))*1000000</f>
        <v>1840065477.7232366</v>
      </c>
      <c r="AI73" s="1069">
        <f>(SUMIFS('Petroleum - Q&amp;V 1'!$B$9:$B$250,'Petroleum - Q&amp;V 1'!$H$9:$H$250,LEFT('Q&amp;V FY 2003-04 to Now'!AI$7,4),'Petroleum - Q&amp;V 1'!$I$9:$I$250,3)+
SUMIFS('Petroleum - Q&amp;V 1'!$B$9:$B$250,'Petroleum - Q&amp;V 1'!$H$9:$H$250,LEFT('Q&amp;V FY 2003-04 to Now'!AI$7,4),'Petroleum - Q&amp;V 1'!$I$9:$I$250,4)+
SUMIFS('Petroleum - Q&amp;V 1'!$B$9:$B$250,'Petroleum - Q&amp;V 1'!$H$9:$H$250,CONCATENATE("20",RIGHT('Q&amp;V FY 2003-04 to Now'!AI$7,2)),'Petroleum - Q&amp;V 1'!$I$9:$I$250,1)+
SUMIFS('Petroleum - Q&amp;V 1'!$B$9:$B$250,'Petroleum - Q&amp;V 1'!$H$9:$H$250,CONCATENATE("20",RIGHT('Q&amp;V FY 2003-04 to Now'!AI$7,2)),'Petroleum - Q&amp;V 1'!$I$9:$I$250,2))*1000000</f>
        <v>5006073.8206409039</v>
      </c>
      <c r="AJ73" s="1069">
        <f>(SUMIFS('Petroleum - Q&amp;V 1'!$C$9:$C$250,'Petroleum - Q&amp;V 1'!$H$9:$H$250,LEFT('Q&amp;V FY 2003-04 to Now'!AI$7,4),'Petroleum - Q&amp;V 1'!$I$9:$I$250,3)+
SUMIFS('Petroleum - Q&amp;V 1'!$C$9:$C$250,'Petroleum - Q&amp;V 1'!$H$9:$H$250,LEFT('Q&amp;V FY 2003-04 to Now'!AI$7,4),'Petroleum - Q&amp;V 1'!$I$9:$I$250,4)+
SUMIFS('Petroleum - Q&amp;V 1'!$C$9:$C$250,'Petroleum - Q&amp;V 1'!$H$9:$H$250,CONCATENATE("20",RIGHT('Q&amp;V FY 2003-04 to Now'!AI$7,2)),'Petroleum - Q&amp;V 1'!$I$9:$I$250,1)+
SUMIFS('Petroleum - Q&amp;V 1'!$C$9:$C$250,'Petroleum - Q&amp;V 1'!$H$9:$H$250,CONCATENATE("20",RIGHT('Q&amp;V FY 2003-04 to Now'!AI$7,2)),'Petroleum - Q&amp;V 1'!$I$9:$I$250,2))*1000000</f>
        <v>2680648959.5435796</v>
      </c>
      <c r="AK73" s="1069">
        <f>(SUMIFS('Petroleum - Q&amp;V 1'!$B$9:$B$250,'Petroleum - Q&amp;V 1'!$H$9:$H$250,LEFT('Q&amp;V FY 2003-04 to Now'!AK$7,4),'Petroleum - Q&amp;V 1'!$I$9:$I$250,3)+
SUMIFS('Petroleum - Q&amp;V 1'!$B$9:$B$250,'Petroleum - Q&amp;V 1'!$H$9:$H$250,LEFT('Q&amp;V FY 2003-04 to Now'!AK$7,4),'Petroleum - Q&amp;V 1'!$I$9:$I$250,4)+
SUMIFS('Petroleum - Q&amp;V 1'!$B$9:$B$250,'Petroleum - Q&amp;V 1'!$H$9:$H$250,CONCATENATE("20",RIGHT('Q&amp;V FY 2003-04 to Now'!AK$7,2)),'Petroleum - Q&amp;V 1'!$I$9:$I$250,1)+
SUMIFS('Petroleum - Q&amp;V 1'!$B$9:$B$250,'Petroleum - Q&amp;V 1'!$H$9:$H$250,CONCATENATE("20",RIGHT('Q&amp;V FY 2003-04 to Now'!AK$7,2)),'Petroleum - Q&amp;V 1'!$I$9:$I$250,2))*1000000</f>
        <v>4343809.6439267928</v>
      </c>
      <c r="AL73" s="1069">
        <f>(SUMIFS('Petroleum - Q&amp;V 1'!$C$9:$C$250,'Petroleum - Q&amp;V 1'!$H$9:$H$250,LEFT('Q&amp;V FY 2003-04 to Now'!AK$7,4),'Petroleum - Q&amp;V 1'!$I$9:$I$250,3)+
SUMIFS('Petroleum - Q&amp;V 1'!$C$9:$C$250,'Petroleum - Q&amp;V 1'!$H$9:$H$250,LEFT('Q&amp;V FY 2003-04 to Now'!AK$7,4),'Petroleum - Q&amp;V 1'!$I$9:$I$250,4)+
SUMIFS('Petroleum - Q&amp;V 1'!$C$9:$C$250,'Petroleum - Q&amp;V 1'!$H$9:$H$250,CONCATENATE("20",RIGHT('Q&amp;V FY 2003-04 to Now'!AK$7,2)),'Petroleum - Q&amp;V 1'!$I$9:$I$250,1)+
SUMIFS('Petroleum - Q&amp;V 1'!$C$9:$C$250,'Petroleum - Q&amp;V 1'!$H$9:$H$250,CONCATENATE("20",RIGHT('Q&amp;V FY 2003-04 to Now'!AK$7,2)),'Petroleum - Q&amp;V 1'!$I$9:$I$250,2))*1000000</f>
        <v>1674850863.5890396</v>
      </c>
      <c r="AM73" s="1069">
        <f>(SUMIFS('Petroleum - Q&amp;V 1'!$B$9:$B$250,'Petroleum - Q&amp;V 1'!$H$9:$H$250,LEFT('Q&amp;V FY 2003-04 to Now'!AM$7,4),'Petroleum - Q&amp;V 1'!$I$9:$I$250,3)+
SUMIFS('Petroleum - Q&amp;V 1'!$B$9:$B$250,'Petroleum - Q&amp;V 1'!$H$9:$H$250,LEFT('Q&amp;V FY 2003-04 to Now'!AM$7,4),'Petroleum - Q&amp;V 1'!$I$9:$I$250,4)+
SUMIFS('Petroleum - Q&amp;V 1'!$B$9:$B$250,'Petroleum - Q&amp;V 1'!$H$9:$H$250,CONCATENATE("20",RIGHT('Q&amp;V FY 2003-04 to Now'!AM$7,2)),'Petroleum - Q&amp;V 1'!$I$9:$I$250,1)+
SUMIFS('Petroleum - Q&amp;V 1'!$B$9:$B$250,'Petroleum - Q&amp;V 1'!$H$9:$H$250,CONCATENATE("20",RIGHT('Q&amp;V FY 2003-04 to Now'!AM$7,2)),'Petroleum - Q&amp;V 1'!$I$9:$I$250,2))*1000000</f>
        <v>4838369.5136218593</v>
      </c>
      <c r="AN73" s="1069">
        <f>(SUMIFS('Petroleum - Q&amp;V 1'!$C$9:$C$250,'Petroleum - Q&amp;V 1'!$H$9:$H$250,LEFT('Q&amp;V FY 2003-04 to Now'!AM$7,4),'Petroleum - Q&amp;V 1'!$I$9:$I$250,3)+
SUMIFS('Petroleum - Q&amp;V 1'!$C$9:$C$250,'Petroleum - Q&amp;V 1'!$H$9:$H$250,LEFT('Q&amp;V FY 2003-04 to Now'!AM$7,4),'Petroleum - Q&amp;V 1'!$I$9:$I$250,4)+
SUMIFS('Petroleum - Q&amp;V 1'!$C$9:$C$250,'Petroleum - Q&amp;V 1'!$H$9:$H$250,CONCATENATE("20",RIGHT('Q&amp;V FY 2003-04 to Now'!AM$7,2)),'Petroleum - Q&amp;V 1'!$I$9:$I$250,1)+
SUMIFS('Petroleum - Q&amp;V 1'!$C$9:$C$250,'Petroleum - Q&amp;V 1'!$H$9:$H$250,CONCATENATE("20",RIGHT('Q&amp;V FY 2003-04 to Now'!AM$7,2)),'Petroleum - Q&amp;V 1'!$I$9:$I$250,2))*1000000</f>
        <v>3581099378.3527565</v>
      </c>
      <c r="AO73" s="1069">
        <f>(SUMIFS('Petroleum - Q&amp;V 1'!$B$9:$B$250,'Petroleum - Q&amp;V 1'!$H$9:$H$250,LEFT('Q&amp;V FY 2003-04 to Now'!AO$7,4),'Petroleum - Q&amp;V 1'!$I$9:$I$250,3)+
SUMIFS('Petroleum - Q&amp;V 1'!$B$9:$B$250,'Petroleum - Q&amp;V 1'!$H$9:$H$250,LEFT('Q&amp;V FY 2003-04 to Now'!AO$7,4),'Petroleum - Q&amp;V 1'!$I$9:$I$250,4)+
SUMIFS('Petroleum - Q&amp;V 1'!$B$9:$B$250,'Petroleum - Q&amp;V 1'!$H$9:$H$250,CONCATENATE("20",RIGHT('Q&amp;V FY 2003-04 to Now'!AO$7,2)),'Petroleum - Q&amp;V 1'!$I$9:$I$250,1)+
SUMIFS('Petroleum - Q&amp;V 1'!$B$9:$B$250,'Petroleum - Q&amp;V 1'!$H$9:$H$250,CONCATENATE("20",RIGHT('Q&amp;V FY 2003-04 to Now'!AO$7,2)),'Petroleum - Q&amp;V 1'!$I$9:$I$250,2))*1000000</f>
        <v>3448272.4415219259</v>
      </c>
      <c r="AP73" s="1069">
        <f>(SUMIFS('Petroleum - Q&amp;V 1'!$C$9:$C$250,'Petroleum - Q&amp;V 1'!$H$9:$H$250,LEFT('Q&amp;V FY 2003-04 to Now'!AO$7,4),'Petroleum - Q&amp;V 1'!$I$9:$I$250,3)+
SUMIFS('Petroleum - Q&amp;V 1'!$C$9:$C$250,'Petroleum - Q&amp;V 1'!$H$9:$H$250,LEFT('Q&amp;V FY 2003-04 to Now'!AO$7,4),'Petroleum - Q&amp;V 1'!$I$9:$I$250,4)+
SUMIFS('Petroleum - Q&amp;V 1'!$C$9:$C$250,'Petroleum - Q&amp;V 1'!$H$9:$H$250,CONCATENATE("20",RIGHT('Q&amp;V FY 2003-04 to Now'!AO$7,2)),'Petroleum - Q&amp;V 1'!$I$9:$I$250,1)+
SUMIFS('Petroleum - Q&amp;V 1'!$C$9:$C$250,'Petroleum - Q&amp;V 1'!$H$9:$H$250,CONCATENATE("20",RIGHT('Q&amp;V FY 2003-04 to Now'!AO$7,2)),'Petroleum - Q&amp;V 1'!$I$9:$I$250,2))*1000000</f>
        <v>3096943189.9120312</v>
      </c>
      <c r="AQ73" s="734">
        <f>SUMIF($C$9:AP$9,1,$C73:AP73)</f>
        <v>176097542.78671879</v>
      </c>
      <c r="AR73" s="723">
        <f>IF(COUNTIF($C73:AP73, "nfp")=0, SUMIF($C$9:AP$9,0,$C73:AP73), "nfp")</f>
        <v>97642671334.785141</v>
      </c>
      <c r="AT73" s="317"/>
      <c r="AU73" s="317"/>
      <c r="AV73" s="381"/>
      <c r="AW73" s="381"/>
    </row>
    <row r="74" spans="1:49">
      <c r="A74" s="263" t="s">
        <v>224</v>
      </c>
      <c r="B74" s="248" t="s">
        <v>67</v>
      </c>
      <c r="C74" s="723">
        <f>(SUMIFS('Petroleum - Q&amp;V 2'!$C$9:$C$250,'Petroleum - Q&amp;V 2'!$L$9:$L$250,LEFT('Q&amp;V FY 2003-04 to Now'!C$7,4),'Petroleum - Q&amp;V 2'!$M$9:$M$250,3)+
SUMIFS('Petroleum - Q&amp;V 2'!$C$9:$C$250,'Petroleum - Q&amp;V 2'!$L$9:$L$250,LEFT('Q&amp;V FY 2003-04 to Now'!C$7,4),'Petroleum - Q&amp;V 2'!$M$9:$M$250,4)+
SUMIFS('Petroleum - Q&amp;V 2'!$C$9:$C$250,'Petroleum - Q&amp;V 2'!$L$9:$L$250,CONCATENATE("20",RIGHT('Q&amp;V FY 2003-04 to Now'!C$7,2)),'Petroleum - Q&amp;V 2'!$M$9:$M$250,1)+
SUMIFS('Petroleum - Q&amp;V 2'!$C$9:$C$250,'Petroleum - Q&amp;V 2'!$L$9:$L$250,CONCATENATE("20",RIGHT('Q&amp;V FY 2003-04 to Now'!C$7,2)),'Petroleum - Q&amp;V 2'!$M$9:$M$250,2))</f>
        <v>8220764.5200752914</v>
      </c>
      <c r="D74" s="723">
        <f>(SUMIFS('Petroleum - Q&amp;V 2'!$E$9:$E$250,'Petroleum - Q&amp;V 2'!$L$9:$L$250,LEFT('Q&amp;V FY 2003-04 to Now'!C$7,4),'Petroleum - Q&amp;V 2'!$M$9:$M$250,3)+
SUMIFS('Petroleum - Q&amp;V 2'!$E$9:$E$250,'Petroleum - Q&amp;V 2'!$L$9:$L$250,LEFT('Q&amp;V FY 2003-04 to Now'!C$7,4),'Petroleum - Q&amp;V 2'!$M$9:$M$250,4)+
SUMIFS('Petroleum - Q&amp;V 2'!$E$9:$E$250,'Petroleum - Q&amp;V 2'!$L$9:$L$250,CONCATENATE("20",RIGHT('Q&amp;V FY 2003-04 to Now'!C$7,2)),'Petroleum - Q&amp;V 2'!$M$9:$M$250,1)+
SUMIFS('Petroleum - Q&amp;V 2'!$E$9:$E$250,'Petroleum - Q&amp;V 2'!$L$9:$L$250,CONCATENATE("20",RIGHT('Q&amp;V FY 2003-04 to Now'!C$7,2)),'Petroleum - Q&amp;V 2'!$M$9:$M$250,2))*1000000</f>
        <v>2775881491.9999995</v>
      </c>
      <c r="E74" s="723">
        <f>(SUMIFS('Petroleum - Q&amp;V 2'!$C$9:$C$250,'Petroleum - Q&amp;V 2'!$L$9:$L$250,LEFT('Q&amp;V FY 2003-04 to Now'!E$7,4),'Petroleum - Q&amp;V 2'!$M$9:$M$250,3)+
SUMIFS('Petroleum - Q&amp;V 2'!$C$9:$C$250,'Petroleum - Q&amp;V 2'!$L$9:$L$250,LEFT('Q&amp;V FY 2003-04 to Now'!E$7,4),'Petroleum - Q&amp;V 2'!$M$9:$M$250,4)+
SUMIFS('Petroleum - Q&amp;V 2'!$C$9:$C$250,'Petroleum - Q&amp;V 2'!$L$9:$L$250,CONCATENATE("20",RIGHT('Q&amp;V FY 2003-04 to Now'!E$7,2)),'Petroleum - Q&amp;V 2'!$M$9:$M$250,1)+
SUMIFS('Petroleum - Q&amp;V 2'!$C$9:$C$250,'Petroleum - Q&amp;V 2'!$L$9:$L$250,CONCATENATE("20",RIGHT('Q&amp;V FY 2003-04 to Now'!E$7,2)),'Petroleum - Q&amp;V 2'!$M$9:$M$250,2))</f>
        <v>10929023.235157391</v>
      </c>
      <c r="F74" s="723">
        <f>(SUMIFS('Petroleum - Q&amp;V 2'!$E$9:$E$250,'Petroleum - Q&amp;V 2'!$L$9:$L$250,LEFT('Q&amp;V FY 2003-04 to Now'!E$7,4),'Petroleum - Q&amp;V 2'!$M$9:$M$250,3)+
SUMIFS('Petroleum - Q&amp;V 2'!$E$9:$E$250,'Petroleum - Q&amp;V 2'!$L$9:$L$250,LEFT('Q&amp;V FY 2003-04 to Now'!E$7,4),'Petroleum - Q&amp;V 2'!$M$9:$M$250,4)+
SUMIFS('Petroleum - Q&amp;V 2'!$E$9:$E$250,'Petroleum - Q&amp;V 2'!$L$9:$L$250,CONCATENATE("20",RIGHT('Q&amp;V FY 2003-04 to Now'!E$7,2)),'Petroleum - Q&amp;V 2'!$M$9:$M$250,1)+
SUMIFS('Petroleum - Q&amp;V 2'!$E$9:$E$250,'Petroleum - Q&amp;V 2'!$L$9:$L$250,CONCATENATE("20",RIGHT('Q&amp;V FY 2003-04 to Now'!E$7,2)),'Petroleum - Q&amp;V 2'!$M$9:$M$250,2))*1000000</f>
        <v>3794805393.6174865</v>
      </c>
      <c r="G74" s="723">
        <f>(SUMIFS('Petroleum - Q&amp;V 2'!$C$9:$C$250,'Petroleum - Q&amp;V 2'!$L$9:$L$250,LEFT('Q&amp;V FY 2003-04 to Now'!G$7,4),'Petroleum - Q&amp;V 2'!$M$9:$M$250,3)+
SUMIFS('Petroleum - Q&amp;V 2'!$C$9:$C$250,'Petroleum - Q&amp;V 2'!$L$9:$L$250,LEFT('Q&amp;V FY 2003-04 to Now'!G$7,4),'Petroleum - Q&amp;V 2'!$M$9:$M$250,4)+
SUMIFS('Petroleum - Q&amp;V 2'!$C$9:$C$250,'Petroleum - Q&amp;V 2'!$L$9:$L$250,CONCATENATE("20",RIGHT('Q&amp;V FY 2003-04 to Now'!G$7,2)),'Petroleum - Q&amp;V 2'!$M$9:$M$250,1)+
SUMIFS('Petroleum - Q&amp;V 2'!$C$9:$C$250,'Petroleum - Q&amp;V 2'!$L$9:$L$250,CONCATENATE("20",RIGHT('Q&amp;V FY 2003-04 to Now'!G$7,2)),'Petroleum - Q&amp;V 2'!$M$9:$M$250,2))</f>
        <v>11679836</v>
      </c>
      <c r="H74" s="723">
        <f>(SUMIFS('Petroleum - Q&amp;V 2'!$E$9:$E$250,'Petroleum - Q&amp;V 2'!$L$9:$L$250,LEFT('Q&amp;V FY 2003-04 to Now'!G$7,4),'Petroleum - Q&amp;V 2'!$M$9:$M$250,3)+
SUMIFS('Petroleum - Q&amp;V 2'!$E$9:$E$250,'Petroleum - Q&amp;V 2'!$L$9:$L$250,LEFT('Q&amp;V FY 2003-04 to Now'!G$7,4),'Petroleum - Q&amp;V 2'!$M$9:$M$250,4)+
SUMIFS('Petroleum - Q&amp;V 2'!$E$9:$E$250,'Petroleum - Q&amp;V 2'!$L$9:$L$250,CONCATENATE("20",RIGHT('Q&amp;V FY 2003-04 to Now'!G$7,2)),'Petroleum - Q&amp;V 2'!$M$9:$M$250,1)+
SUMIFS('Petroleum - Q&amp;V 2'!$E$9:$E$250,'Petroleum - Q&amp;V 2'!$L$9:$L$250,CONCATENATE("20",RIGHT('Q&amp;V FY 2003-04 to Now'!G$7,2)),'Petroleum - Q&amp;V 2'!$M$9:$M$250,2))*1000000</f>
        <v>4648959532.6157494</v>
      </c>
      <c r="I74" s="723">
        <f>(SUMIFS('Petroleum - Q&amp;V 2'!$C$9:$C$250,'Petroleum - Q&amp;V 2'!$L$9:$L$250,LEFT('Q&amp;V FY 2003-04 to Now'!I$7,4),'Petroleum - Q&amp;V 2'!$M$9:$M$250,3)+
SUMIFS('Petroleum - Q&amp;V 2'!$C$9:$C$250,'Petroleum - Q&amp;V 2'!$L$9:$L$250,LEFT('Q&amp;V FY 2003-04 to Now'!I$7,4),'Petroleum - Q&amp;V 2'!$M$9:$M$250,4)+
SUMIFS('Petroleum - Q&amp;V 2'!$C$9:$C$250,'Petroleum - Q&amp;V 2'!$L$9:$L$250,CONCATENATE("20",RIGHT('Q&amp;V FY 2003-04 to Now'!I$7,2)),'Petroleum - Q&amp;V 2'!$M$9:$M$250,1)+
SUMIFS('Petroleum - Q&amp;V 2'!$C$9:$C$250,'Petroleum - Q&amp;V 2'!$L$9:$L$250,CONCATENATE("20",RIGHT('Q&amp;V FY 2003-04 to Now'!I$7,2)),'Petroleum - Q&amp;V 2'!$M$9:$M$250,2))</f>
        <v>12211051</v>
      </c>
      <c r="J74" s="723">
        <f>(SUMIFS('Petroleum - Q&amp;V 2'!$E$9:$E$250,'Petroleum - Q&amp;V 2'!$L$9:$L$250,LEFT('Q&amp;V FY 2003-04 to Now'!I$7,4),'Petroleum - Q&amp;V 2'!$M$9:$M$250,3)+
SUMIFS('Petroleum - Q&amp;V 2'!$E$9:$E$250,'Petroleum - Q&amp;V 2'!$L$9:$L$250,LEFT('Q&amp;V FY 2003-04 to Now'!I$7,4),'Petroleum - Q&amp;V 2'!$M$9:$M$250,4)+
SUMIFS('Petroleum - Q&amp;V 2'!$E$9:$E$250,'Petroleum - Q&amp;V 2'!$L$9:$L$250,CONCATENATE("20",RIGHT('Q&amp;V FY 2003-04 to Now'!I$7,2)),'Petroleum - Q&amp;V 2'!$M$9:$M$250,1)+
SUMIFS('Petroleum - Q&amp;V 2'!$E$9:$E$250,'Petroleum - Q&amp;V 2'!$L$9:$L$250,CONCATENATE("20",RIGHT('Q&amp;V FY 2003-04 to Now'!I$7,2)),'Petroleum - Q&amp;V 2'!$M$9:$M$250,2))*1000000</f>
        <v>4434359354.079917</v>
      </c>
      <c r="K74" s="723">
        <f>(SUMIFS('Petroleum - Q&amp;V 2'!$C$9:$C$250,'Petroleum - Q&amp;V 2'!$L$9:$L$250,LEFT('Q&amp;V FY 2003-04 to Now'!K$7,4),'Petroleum - Q&amp;V 2'!$M$9:$M$250,3)+
SUMIFS('Petroleum - Q&amp;V 2'!$C$9:$C$250,'Petroleum - Q&amp;V 2'!$L$9:$L$250,LEFT('Q&amp;V FY 2003-04 to Now'!K$7,4),'Petroleum - Q&amp;V 2'!$M$9:$M$250,4)+
SUMIFS('Petroleum - Q&amp;V 2'!$C$9:$C$250,'Petroleum - Q&amp;V 2'!$L$9:$L$250,CONCATENATE("20",RIGHT('Q&amp;V FY 2003-04 to Now'!K$7,2)),'Petroleum - Q&amp;V 2'!$M$9:$M$250,1)+
SUMIFS('Petroleum - Q&amp;V 2'!$C$9:$C$250,'Petroleum - Q&amp;V 2'!$L$9:$L$250,CONCATENATE("20",RIGHT('Q&amp;V FY 2003-04 to Now'!K$7,2)),'Petroleum - Q&amp;V 2'!$M$9:$M$250,2))</f>
        <v>12148060</v>
      </c>
      <c r="L74" s="723">
        <f>(SUMIFS('Petroleum - Q&amp;V 2'!$E$9:$E$250,'Petroleum - Q&amp;V 2'!$L$9:$L$250,LEFT('Q&amp;V FY 2003-04 to Now'!K$7,4),'Petroleum - Q&amp;V 2'!$M$9:$M$250,3)+
SUMIFS('Petroleum - Q&amp;V 2'!$E$9:$E$250,'Petroleum - Q&amp;V 2'!$L$9:$L$250,LEFT('Q&amp;V FY 2003-04 to Now'!K$7,4),'Petroleum - Q&amp;V 2'!$M$9:$M$250,4)+
SUMIFS('Petroleum - Q&amp;V 2'!$E$9:$E$250,'Petroleum - Q&amp;V 2'!$L$9:$L$250,CONCATENATE("20",RIGHT('Q&amp;V FY 2003-04 to Now'!K$7,2)),'Petroleum - Q&amp;V 2'!$M$9:$M$250,1)+
SUMIFS('Petroleum - Q&amp;V 2'!$E$9:$E$250,'Petroleum - Q&amp;V 2'!$L$9:$L$250,CONCATENATE("20",RIGHT('Q&amp;V FY 2003-04 to Now'!K$7,2)),'Petroleum - Q&amp;V 2'!$M$9:$M$250,2))*1000000</f>
        <v>5219684764.7091255</v>
      </c>
      <c r="M74" s="723">
        <f>(SUMIFS('Petroleum - Q&amp;V 2'!$C$9:$C$250,'Petroleum - Q&amp;V 2'!$L$9:$L$250,LEFT('Q&amp;V FY 2003-04 to Now'!M$7,4),'Petroleum - Q&amp;V 2'!$M$9:$M$250,3)+
SUMIFS('Petroleum - Q&amp;V 2'!$C$9:$C$250,'Petroleum - Q&amp;V 2'!$L$9:$L$250,LEFT('Q&amp;V FY 2003-04 to Now'!M$7,4),'Petroleum - Q&amp;V 2'!$M$9:$M$250,4)+
SUMIFS('Petroleum - Q&amp;V 2'!$C$9:$C$250,'Petroleum - Q&amp;V 2'!$L$9:$L$250,CONCATENATE("20",RIGHT('Q&amp;V FY 2003-04 to Now'!M$7,2)),'Petroleum - Q&amp;V 2'!$M$9:$M$250,1)+
SUMIFS('Petroleum - Q&amp;V 2'!$C$9:$C$250,'Petroleum - Q&amp;V 2'!$L$9:$L$250,CONCATENATE("20",RIGHT('Q&amp;V FY 2003-04 to Now'!M$7,2)),'Petroleum - Q&amp;V 2'!$M$9:$M$250,2))</f>
        <v>13943724</v>
      </c>
      <c r="N74" s="723">
        <f>(SUMIFS('Petroleum - Q&amp;V 2'!$E$9:$E$250,'Petroleum - Q&amp;V 2'!$L$9:$L$250,LEFT('Q&amp;V FY 2003-04 to Now'!M$7,4),'Petroleum - Q&amp;V 2'!$M$9:$M$250,3)+
SUMIFS('Petroleum - Q&amp;V 2'!$E$9:$E$250,'Petroleum - Q&amp;V 2'!$L$9:$L$250,LEFT('Q&amp;V FY 2003-04 to Now'!M$7,4),'Petroleum - Q&amp;V 2'!$M$9:$M$250,4)+
SUMIFS('Petroleum - Q&amp;V 2'!$E$9:$E$250,'Petroleum - Q&amp;V 2'!$L$9:$L$250,CONCATENATE("20",RIGHT('Q&amp;V FY 2003-04 to Now'!M$7,2)),'Petroleum - Q&amp;V 2'!$M$9:$M$250,1)+
SUMIFS('Petroleum - Q&amp;V 2'!$E$9:$E$250,'Petroleum - Q&amp;V 2'!$L$9:$L$250,CONCATENATE("20",RIGHT('Q&amp;V FY 2003-04 to Now'!M$7,2)),'Petroleum - Q&amp;V 2'!$M$9:$M$250,2))*1000000</f>
        <v>8517503874.1467543</v>
      </c>
      <c r="O74" s="723">
        <f>(SUMIFS('Petroleum - Q&amp;V 2'!$C$9:$C$250,'Petroleum - Q&amp;V 2'!$L$9:$L$250,LEFT('Q&amp;V FY 2003-04 to Now'!O$7,4),'Petroleum - Q&amp;V 2'!$M$9:$M$250,3)+
SUMIFS('Petroleum - Q&amp;V 2'!$C$9:$C$250,'Petroleum - Q&amp;V 2'!$L$9:$L$250,LEFT('Q&amp;V FY 2003-04 to Now'!O$7,4),'Petroleum - Q&amp;V 2'!$M$9:$M$250,4)+
SUMIFS('Petroleum - Q&amp;V 2'!$C$9:$C$250,'Petroleum - Q&amp;V 2'!$L$9:$L$250,CONCATENATE("20",RIGHT('Q&amp;V FY 2003-04 to Now'!O$7,2)),'Petroleum - Q&amp;V 2'!$M$9:$M$250,1)+
SUMIFS('Petroleum - Q&amp;V 2'!$C$9:$C$250,'Petroleum - Q&amp;V 2'!$L$9:$L$250,CONCATENATE("20",RIGHT('Q&amp;V FY 2003-04 to Now'!O$7,2)),'Petroleum - Q&amp;V 2'!$M$9:$M$250,2))</f>
        <v>15717041</v>
      </c>
      <c r="P74" s="723">
        <f>(SUMIFS('Petroleum - Q&amp;V 2'!$E$9:$E$250,'Petroleum - Q&amp;V 2'!$L$9:$L$250,LEFT('Q&amp;V FY 2003-04 to Now'!O$7,4),'Petroleum - Q&amp;V 2'!$M$9:$M$250,3)+
SUMIFS('Petroleum - Q&amp;V 2'!$E$9:$E$250,'Petroleum - Q&amp;V 2'!$L$9:$L$250,LEFT('Q&amp;V FY 2003-04 to Now'!O$7,4),'Petroleum - Q&amp;V 2'!$M$9:$M$250,4)+
SUMIFS('Petroleum - Q&amp;V 2'!$E$9:$E$250,'Petroleum - Q&amp;V 2'!$L$9:$L$250,CONCATENATE("20",RIGHT('Q&amp;V FY 2003-04 to Now'!O$7,2)),'Petroleum - Q&amp;V 2'!$M$9:$M$250,1)+
SUMIFS('Petroleum - Q&amp;V 2'!$E$9:$E$250,'Petroleum - Q&amp;V 2'!$L$9:$L$250,CONCATENATE("20",RIGHT('Q&amp;V FY 2003-04 to Now'!O$7,2)),'Petroleum - Q&amp;V 2'!$M$9:$M$250,2))*1000000</f>
        <v>7494248320.3693314</v>
      </c>
      <c r="Q74" s="723">
        <f>(SUMIFS('Petroleum - Q&amp;V 2'!$C$9:$C$250,'Petroleum - Q&amp;V 2'!$L$9:$L$250,LEFT('Q&amp;V FY 2003-04 to Now'!Q$7,4),'Petroleum - Q&amp;V 2'!$M$9:$M$250,3)+
SUMIFS('Petroleum - Q&amp;V 2'!$C$9:$C$250,'Petroleum - Q&amp;V 2'!$L$9:$L$250,LEFT('Q&amp;V FY 2003-04 to Now'!Q$7,4),'Petroleum - Q&amp;V 2'!$M$9:$M$250,4)+
SUMIFS('Petroleum - Q&amp;V 2'!$C$9:$C$250,'Petroleum - Q&amp;V 2'!$L$9:$L$250,CONCATENATE("20",RIGHT('Q&amp;V FY 2003-04 to Now'!Q$7,2)),'Petroleum - Q&amp;V 2'!$M$9:$M$250,1)+
SUMIFS('Petroleum - Q&amp;V 2'!$C$9:$C$250,'Petroleum - Q&amp;V 2'!$L$9:$L$250,CONCATENATE("20",RIGHT('Q&amp;V FY 2003-04 to Now'!Q$7,2)),'Petroleum - Q&amp;V 2'!$M$9:$M$250,2))</f>
        <v>17290205.198225208</v>
      </c>
      <c r="R74" s="723">
        <f>(SUMIFS('Petroleum - Q&amp;V 2'!$E$9:$E$250,'Petroleum - Q&amp;V 2'!$L$9:$L$250,LEFT('Q&amp;V FY 2003-04 to Now'!Q$7,4),'Petroleum - Q&amp;V 2'!$M$9:$M$250,3)+
SUMIFS('Petroleum - Q&amp;V 2'!$E$9:$E$250,'Petroleum - Q&amp;V 2'!$L$9:$L$250,LEFT('Q&amp;V FY 2003-04 to Now'!Q$7,4),'Petroleum - Q&amp;V 2'!$M$9:$M$250,4)+
SUMIFS('Petroleum - Q&amp;V 2'!$E$9:$E$250,'Petroleum - Q&amp;V 2'!$L$9:$L$250,CONCATENATE("20",RIGHT('Q&amp;V FY 2003-04 to Now'!Q$7,2)),'Petroleum - Q&amp;V 2'!$M$9:$M$250,1)+
SUMIFS('Petroleum - Q&amp;V 2'!$E$9:$E$250,'Petroleum - Q&amp;V 2'!$L$9:$L$250,CONCATENATE("20",RIGHT('Q&amp;V FY 2003-04 to Now'!Q$7,2)),'Petroleum - Q&amp;V 2'!$M$9:$M$250,2))*1000000</f>
        <v>8328719117.9769068</v>
      </c>
      <c r="S74" s="723">
        <f>(SUMIFS('Petroleum - Q&amp;V 2'!$C$9:$C$250,'Petroleum - Q&amp;V 2'!$L$9:$L$250,LEFT('Q&amp;V FY 2003-04 to Now'!S$7,4),'Petroleum - Q&amp;V 2'!$M$9:$M$250,3)+
SUMIFS('Petroleum - Q&amp;V 2'!$C$9:$C$250,'Petroleum - Q&amp;V 2'!$L$9:$L$250,LEFT('Q&amp;V FY 2003-04 to Now'!S$7,4),'Petroleum - Q&amp;V 2'!$M$9:$M$250,4)+
SUMIFS('Petroleum - Q&amp;V 2'!$C$9:$C$250,'Petroleum - Q&amp;V 2'!$L$9:$L$250,CONCATENATE("20",RIGHT('Q&amp;V FY 2003-04 to Now'!S$7,2)),'Petroleum - Q&amp;V 2'!$M$9:$M$250,1)+
SUMIFS('Petroleum - Q&amp;V 2'!$C$9:$C$250,'Petroleum - Q&amp;V 2'!$L$9:$L$250,CONCATENATE("20",RIGHT('Q&amp;V FY 2003-04 to Now'!S$7,2)),'Petroleum - Q&amp;V 2'!$M$9:$M$250,2))</f>
        <v>15610569.721008768</v>
      </c>
      <c r="T74" s="723">
        <f>(SUMIFS('Petroleum - Q&amp;V 2'!$E$9:$E$250,'Petroleum - Q&amp;V 2'!$L$9:$L$250,LEFT('Q&amp;V FY 2003-04 to Now'!S$7,4),'Petroleum - Q&amp;V 2'!$M$9:$M$250,3)+
SUMIFS('Petroleum - Q&amp;V 2'!$E$9:$E$250,'Petroleum - Q&amp;V 2'!$L$9:$L$250,LEFT('Q&amp;V FY 2003-04 to Now'!S$7,4),'Petroleum - Q&amp;V 2'!$M$9:$M$250,4)+
SUMIFS('Petroleum - Q&amp;V 2'!$E$9:$E$250,'Petroleum - Q&amp;V 2'!$L$9:$L$250,CONCATENATE("20",RIGHT('Q&amp;V FY 2003-04 to Now'!S$7,2)),'Petroleum - Q&amp;V 2'!$M$9:$M$250,1)+
SUMIFS('Petroleum - Q&amp;V 2'!$E$9:$E$250,'Petroleum - Q&amp;V 2'!$L$9:$L$250,CONCATENATE("20",RIGHT('Q&amp;V FY 2003-04 to Now'!S$7,2)),'Petroleum - Q&amp;V 2'!$M$9:$M$250,2))*1000000</f>
        <v>9495543132.4315643</v>
      </c>
      <c r="U74" s="723">
        <f>(SUMIFS('Petroleum - Q&amp;V 2'!$C$9:$C$250,'Petroleum - Q&amp;V 2'!$L$9:$L$250,LEFT('Q&amp;V FY 2003-04 to Now'!U$7,4),'Petroleum - Q&amp;V 2'!$M$9:$M$250,3)+
SUMIFS('Petroleum - Q&amp;V 2'!$C$9:$C$250,'Petroleum - Q&amp;V 2'!$L$9:$L$250,LEFT('Q&amp;V FY 2003-04 to Now'!U$7,4),'Petroleum - Q&amp;V 2'!$M$9:$M$250,4)+
SUMIFS('Petroleum - Q&amp;V 2'!$C$9:$C$250,'Petroleum - Q&amp;V 2'!$L$9:$L$250,CONCATENATE("20",RIGHT('Q&amp;V FY 2003-04 to Now'!U$7,2)),'Petroleum - Q&amp;V 2'!$M$9:$M$250,1)+
SUMIFS('Petroleum - Q&amp;V 2'!$C$9:$C$250,'Petroleum - Q&amp;V 2'!$L$9:$L$250,CONCATENATE("20",RIGHT('Q&amp;V FY 2003-04 to Now'!U$7,2)),'Petroleum - Q&amp;V 2'!$M$9:$M$250,2))</f>
        <v>19804919</v>
      </c>
      <c r="V74" s="723">
        <f>(SUMIFS('Petroleum - Q&amp;V 2'!$E$9:$E$250,'Petroleum - Q&amp;V 2'!$L$9:$L$250,LEFT('Q&amp;V FY 2003-04 to Now'!U$7,4),'Petroleum - Q&amp;V 2'!$M$9:$M$250,3)+
SUMIFS('Petroleum - Q&amp;V 2'!$E$9:$E$250,'Petroleum - Q&amp;V 2'!$L$9:$L$250,LEFT('Q&amp;V FY 2003-04 to Now'!U$7,4),'Petroleum - Q&amp;V 2'!$M$9:$M$250,4)+
SUMIFS('Petroleum - Q&amp;V 2'!$E$9:$E$250,'Petroleum - Q&amp;V 2'!$L$9:$L$250,CONCATENATE("20",RIGHT('Q&amp;V FY 2003-04 to Now'!U$7,2)),'Petroleum - Q&amp;V 2'!$M$9:$M$250,1)+
SUMIFS('Petroleum - Q&amp;V 2'!$E$9:$E$250,'Petroleum - Q&amp;V 2'!$L$9:$L$250,CONCATENATE("20",RIGHT('Q&amp;V FY 2003-04 to Now'!U$7,2)),'Petroleum - Q&amp;V 2'!$M$9:$M$250,2))*1000000</f>
        <v>12147214397.2318</v>
      </c>
      <c r="W74" s="723">
        <f>(SUMIFS('Petroleum - Q&amp;V 2'!$C$9:$C$250,'Petroleum - Q&amp;V 2'!$L$9:$L$250,LEFT('Q&amp;V FY 2003-04 to Now'!W$7,4),'Petroleum - Q&amp;V 2'!$M$9:$M$250,3)+
SUMIFS('Petroleum - Q&amp;V 2'!$C$9:$C$250,'Petroleum - Q&amp;V 2'!$L$9:$L$250,LEFT('Q&amp;V FY 2003-04 to Now'!W$7,4),'Petroleum - Q&amp;V 2'!$M$9:$M$250,4)+
SUMIFS('Petroleum - Q&amp;V 2'!$C$9:$C$250,'Petroleum - Q&amp;V 2'!$L$9:$L$250,CONCATENATE("20",RIGHT('Q&amp;V FY 2003-04 to Now'!W$7,2)),'Petroleum - Q&amp;V 2'!$M$9:$M$250,1)+
SUMIFS('Petroleum - Q&amp;V 2'!$C$9:$C$250,'Petroleum - Q&amp;V 2'!$L$9:$L$250,CONCATENATE("20",RIGHT('Q&amp;V FY 2003-04 to Now'!W$7,2)),'Petroleum - Q&amp;V 2'!$M$9:$M$250,2))</f>
        <v>19826065</v>
      </c>
      <c r="X74" s="723">
        <f>(SUMIFS('Petroleum - Q&amp;V 2'!$E$9:$E$250,'Petroleum - Q&amp;V 2'!$L$9:$L$250,LEFT('Q&amp;V FY 2003-04 to Now'!W$7,4),'Petroleum - Q&amp;V 2'!$M$9:$M$250,3)+
SUMIFS('Petroleum - Q&amp;V 2'!$E$9:$E$250,'Petroleum - Q&amp;V 2'!$L$9:$L$250,LEFT('Q&amp;V FY 2003-04 to Now'!W$7,4),'Petroleum - Q&amp;V 2'!$M$9:$M$250,4)+
SUMIFS('Petroleum - Q&amp;V 2'!$E$9:$E$250,'Petroleum - Q&amp;V 2'!$L$9:$L$250,CONCATENATE("20",RIGHT('Q&amp;V FY 2003-04 to Now'!W$7,2)),'Petroleum - Q&amp;V 2'!$M$9:$M$250,1)+
SUMIFS('Petroleum - Q&amp;V 2'!$E$9:$E$250,'Petroleum - Q&amp;V 2'!$L$9:$L$250,CONCATENATE("20",RIGHT('Q&amp;V FY 2003-04 to Now'!W$7,2)),'Petroleum - Q&amp;V 2'!$M$9:$M$250,2))*1000000</f>
        <v>14651522773.511284</v>
      </c>
      <c r="Y74" s="723">
        <f>(SUMIFS('Petroleum - Q&amp;V 2'!$C$9:$C$250,'Petroleum - Q&amp;V 2'!$L$9:$L$250,LEFT('Q&amp;V FY 2003-04 to Now'!Y$7,4),'Petroleum - Q&amp;V 2'!$M$9:$M$250,3)+
SUMIFS('Petroleum - Q&amp;V 2'!$C$9:$C$250,'Petroleum - Q&amp;V 2'!$L$9:$L$250,LEFT('Q&amp;V FY 2003-04 to Now'!Y$7,4),'Petroleum - Q&amp;V 2'!$M$9:$M$250,4)+
SUMIFS('Petroleum - Q&amp;V 2'!$C$9:$C$250,'Petroleum - Q&amp;V 2'!$L$9:$L$250,CONCATENATE("20",RIGHT('Q&amp;V FY 2003-04 to Now'!Y$7,2)),'Petroleum - Q&amp;V 2'!$M$9:$M$250,1)+
SUMIFS('Petroleum - Q&amp;V 2'!$C$9:$C$250,'Petroleum - Q&amp;V 2'!$L$9:$L$250,CONCATENATE("20",RIGHT('Q&amp;V FY 2003-04 to Now'!Y$7,2)),'Petroleum - Q&amp;V 2'!$M$9:$M$250,2))</f>
        <v>20447845</v>
      </c>
      <c r="Z74" s="723">
        <f>(SUMIFS('Petroleum - Q&amp;V 2'!$E$9:$E$250,'Petroleum - Q&amp;V 2'!$L$9:$L$250,LEFT('Q&amp;V FY 2003-04 to Now'!Y$7,4),'Petroleum - Q&amp;V 2'!$M$9:$M$250,3)+
SUMIFS('Petroleum - Q&amp;V 2'!$E$9:$E$250,'Petroleum - Q&amp;V 2'!$L$9:$L$250,LEFT('Q&amp;V FY 2003-04 to Now'!Y$7,4),'Petroleum - Q&amp;V 2'!$M$9:$M$250,4)+
SUMIFS('Petroleum - Q&amp;V 2'!$E$9:$E$250,'Petroleum - Q&amp;V 2'!$L$9:$L$250,CONCATENATE("20",RIGHT('Q&amp;V FY 2003-04 to Now'!Y$7,2)),'Petroleum - Q&amp;V 2'!$M$9:$M$250,1)+
SUMIFS('Petroleum - Q&amp;V 2'!$E$9:$E$250,'Petroleum - Q&amp;V 2'!$L$9:$L$250,CONCATENATE("20",RIGHT('Q&amp;V FY 2003-04 to Now'!Y$7,2)),'Petroleum - Q&amp;V 2'!$M$9:$M$250,2))*1000000</f>
        <v>13817042486.841991</v>
      </c>
      <c r="AA74" s="723">
        <f>(SUMIFS('Petroleum - Q&amp;V 2'!$C$9:$C$250,'Petroleum - Q&amp;V 2'!$L$9:$L$250,LEFT('Q&amp;V FY 2003-04 to Now'!AA$7,4),'Petroleum - Q&amp;V 2'!$M$9:$M$250,3)+
SUMIFS('Petroleum - Q&amp;V 2'!$C$9:$C$250,'Petroleum - Q&amp;V 2'!$L$9:$L$250,LEFT('Q&amp;V FY 2003-04 to Now'!AA$7,4),'Petroleum - Q&amp;V 2'!$M$9:$M$250,4)+
SUMIFS('Petroleum - Q&amp;V 2'!$C$9:$C$250,'Petroleum - Q&amp;V 2'!$L$9:$L$250,CONCATENATE("20",RIGHT('Q&amp;V FY 2003-04 to Now'!AA$7,2)),'Petroleum - Q&amp;V 2'!$M$9:$M$250,1)+
SUMIFS('Petroleum - Q&amp;V 2'!$C$9:$C$250,'Petroleum - Q&amp;V 2'!$L$9:$L$250,CONCATENATE("20",RIGHT('Q&amp;V FY 2003-04 to Now'!AA$7,2)),'Petroleum - Q&amp;V 2'!$M$9:$M$250,2))</f>
        <v>20955641</v>
      </c>
      <c r="AB74" s="723">
        <f>(SUMIFS('Petroleum - Q&amp;V 2'!$E$9:$E$250,'Petroleum - Q&amp;V 2'!$L$9:$L$250,LEFT('Q&amp;V FY 2003-04 to Now'!AA$7,4),'Petroleum - Q&amp;V 2'!$M$9:$M$250,3)+
SUMIFS('Petroleum - Q&amp;V 2'!$E$9:$E$250,'Petroleum - Q&amp;V 2'!$L$9:$L$250,LEFT('Q&amp;V FY 2003-04 to Now'!AA$7,4),'Petroleum - Q&amp;V 2'!$M$9:$M$250,4)+
SUMIFS('Petroleum - Q&amp;V 2'!$E$9:$E$250,'Petroleum - Q&amp;V 2'!$L$9:$L$250,CONCATENATE("20",RIGHT('Q&amp;V FY 2003-04 to Now'!AA$7,2)),'Petroleum - Q&amp;V 2'!$M$9:$M$250,1)+
SUMIFS('Petroleum - Q&amp;V 2'!$E$9:$E$250,'Petroleum - Q&amp;V 2'!$L$9:$L$250,CONCATENATE("20",RIGHT('Q&amp;V FY 2003-04 to Now'!AA$7,2)),'Petroleum - Q&amp;V 2'!$M$9:$M$250,2))*1000000</f>
        <v>10764545352.932775</v>
      </c>
      <c r="AC74" s="723">
        <f>(SUMIFS('Petroleum - Q&amp;V 2'!$C$9:$C$250,'Petroleum - Q&amp;V 2'!$L$9:$L$250,LEFT('Q&amp;V FY 2003-04 to Now'!AC$7,4),'Petroleum - Q&amp;V 2'!$M$9:$M$250,3)+
SUMIFS('Petroleum - Q&amp;V 2'!$C$9:$C$250,'Petroleum - Q&amp;V 2'!$L$9:$L$250,LEFT('Q&amp;V FY 2003-04 to Now'!AC$7,4),'Petroleum - Q&amp;V 2'!$M$9:$M$250,4)+
SUMIFS('Petroleum - Q&amp;V 2'!$C$9:$C$250,'Petroleum - Q&amp;V 2'!$L$9:$L$250,CONCATENATE("20",RIGHT('Q&amp;V FY 2003-04 to Now'!AC$7,2)),'Petroleum - Q&amp;V 2'!$M$9:$M$250,1)+
SUMIFS('Petroleum - Q&amp;V 2'!$C$9:$C$250,'Petroleum - Q&amp;V 2'!$L$9:$L$250,CONCATENATE("20",RIGHT('Q&amp;V FY 2003-04 to Now'!AC$7,2)),'Petroleum - Q&amp;V 2'!$M$9:$M$250,2))</f>
        <v>28685476.682250001</v>
      </c>
      <c r="AD74" s="723">
        <f>(SUMIFS('Petroleum - Q&amp;V 2'!$E$9:$E$250,'Petroleum - Q&amp;V 2'!$L$9:$L$250,LEFT('Q&amp;V FY 2003-04 to Now'!AC$7,4),'Petroleum - Q&amp;V 2'!$M$9:$M$250,3)+
SUMIFS('Petroleum - Q&amp;V 2'!$E$9:$E$250,'Petroleum - Q&amp;V 2'!$L$9:$L$250,LEFT('Q&amp;V FY 2003-04 to Now'!AC$7,4),'Petroleum - Q&amp;V 2'!$M$9:$M$250,4)+
SUMIFS('Petroleum - Q&amp;V 2'!$E$9:$E$250,'Petroleum - Q&amp;V 2'!$L$9:$L$250,CONCATENATE("20",RIGHT('Q&amp;V FY 2003-04 to Now'!AC$7,2)),'Petroleum - Q&amp;V 2'!$M$9:$M$250,1)+
SUMIFS('Petroleum - Q&amp;V 2'!$E$9:$E$250,'Petroleum - Q&amp;V 2'!$L$9:$L$250,CONCATENATE("20",RIGHT('Q&amp;V FY 2003-04 to Now'!AC$7,2)),'Petroleum - Q&amp;V 2'!$M$9:$M$250,2))*1000000</f>
        <v>12728310038.06987</v>
      </c>
      <c r="AE74" s="734">
        <f>(SUMIFS('Petroleum - Q&amp;V 2'!$C$9:$C$250,'Petroleum - Q&amp;V 2'!$L$9:$L$250,LEFT('Q&amp;V FY 2003-04 to Now'!AE$7,4),'Petroleum - Q&amp;V 2'!$M$9:$M$250,3)+
SUMIFS('Petroleum - Q&amp;V 2'!$C$9:$C$250,'Petroleum - Q&amp;V 2'!$L$9:$L$250,LEFT('Q&amp;V FY 2003-04 to Now'!AE$7,4),'Petroleum - Q&amp;V 2'!$M$9:$M$250,4)+
SUMIFS('Petroleum - Q&amp;V 2'!$C$9:$C$250,'Petroleum - Q&amp;V 2'!$L$9:$L$250,CONCATENATE("20",RIGHT('Q&amp;V FY 2003-04 to Now'!AE$7,2)),'Petroleum - Q&amp;V 2'!$M$9:$M$250,1)+
SUMIFS('Petroleum - Q&amp;V 2'!$C$9:$C$250,'Petroleum - Q&amp;V 2'!$L$9:$L$250,CONCATENATE("20",RIGHT('Q&amp;V FY 2003-04 to Now'!AE$7,2)),'Petroleum - Q&amp;V 2'!$M$9:$M$250,2))</f>
        <v>37982978.576625004</v>
      </c>
      <c r="AF74" s="723">
        <f>(SUMIFS('Petroleum - Q&amp;V 2'!$E$9:$E$250,'Petroleum - Q&amp;V 2'!$L$9:$L$250,LEFT('Q&amp;V FY 2003-04 to Now'!AE$7,4),'Petroleum - Q&amp;V 2'!$M$9:$M$250,3)+
SUMIFS('Petroleum - Q&amp;V 2'!$E$9:$E$250,'Petroleum - Q&amp;V 2'!$L$9:$L$250,LEFT('Q&amp;V FY 2003-04 to Now'!AE$7,4),'Petroleum - Q&amp;V 2'!$M$9:$M$250,4)+
SUMIFS('Petroleum - Q&amp;V 2'!$E$9:$E$250,'Petroleum - Q&amp;V 2'!$L$9:$L$250,CONCATENATE("20",RIGHT('Q&amp;V FY 2003-04 to Now'!AE$7,2)),'Petroleum - Q&amp;V 2'!$M$9:$M$250,1)+
SUMIFS('Petroleum - Q&amp;V 2'!$E$9:$E$250,'Petroleum - Q&amp;V 2'!$L$9:$L$250,CONCATENATE("20",RIGHT('Q&amp;V FY 2003-04 to Now'!AE$7,2)),'Petroleum - Q&amp;V 2'!$M$9:$M$250,2))*1000000</f>
        <v>18958473226.249874</v>
      </c>
      <c r="AG74" s="734">
        <f>(SUMIFS('Petroleum - Q&amp;V 2'!$C$9:$C$250,'Petroleum - Q&amp;V 2'!$L$9:$L$250,LEFT('Q&amp;V FY 2003-04 to Now'!AG$7,4),'Petroleum - Q&amp;V 2'!$M$9:$M$250,3)+
SUMIFS('Petroleum - Q&amp;V 2'!$C$9:$C$250,'Petroleum - Q&amp;V 2'!$L$9:$L$250,LEFT('Q&amp;V FY 2003-04 to Now'!AG$7,4),'Petroleum - Q&amp;V 2'!$M$9:$M$250,4)+
SUMIFS('Petroleum - Q&amp;V 2'!$C$9:$C$250,'Petroleum - Q&amp;V 2'!$L$9:$L$250,CONCATENATE("20",RIGHT('Q&amp;V FY 2003-04 to Now'!AG$7,2)),'Petroleum - Q&amp;V 2'!$M$9:$M$250,1)+
SUMIFS('Petroleum - Q&amp;V 2'!$C$9:$C$250,'Petroleum - Q&amp;V 2'!$L$9:$L$250,CONCATENATE("20",RIGHT('Q&amp;V FY 2003-04 to Now'!AG$7,2)),'Petroleum - Q&amp;V 2'!$M$9:$M$250,2))</f>
        <v>45929911.290831625</v>
      </c>
      <c r="AH74" s="1069">
        <f>(SUMIFS('Petroleum - Q&amp;V 2'!$E$9:$E$250,'Petroleum - Q&amp;V 2'!$L$9:$L$250,LEFT('Q&amp;V FY 2003-04 to Now'!AG$7,4),'Petroleum - Q&amp;V 2'!$M$9:$M$250,3)+
SUMIFS('Petroleum - Q&amp;V 2'!$E$9:$E$250,'Petroleum - Q&amp;V 2'!$L$9:$L$250,LEFT('Q&amp;V FY 2003-04 to Now'!AG$7,4),'Petroleum - Q&amp;V 2'!$M$9:$M$250,4)+
SUMIFS('Petroleum - Q&amp;V 2'!$E$9:$E$250,'Petroleum - Q&amp;V 2'!$L$9:$L$250,CONCATENATE("20",RIGHT('Q&amp;V FY 2003-04 to Now'!AG$7,2)),'Petroleum - Q&amp;V 2'!$M$9:$M$250,1)+
SUMIFS('Petroleum - Q&amp;V 2'!$E$9:$E$250,'Petroleum - Q&amp;V 2'!$L$9:$L$250,CONCATENATE("20",RIGHT('Q&amp;V FY 2003-04 to Now'!AG$7,2)),'Petroleum - Q&amp;V 2'!$M$9:$M$250,2))*1000000</f>
        <v>30462707927.919392</v>
      </c>
      <c r="AI74" s="1355">
        <f>(SUMIFS('Petroleum - Q&amp;V 2'!$C$9:$C$250,'Petroleum - Q&amp;V 2'!$L$9:$L$250,LEFT('Q&amp;V FY 2003-04 to Now'!AI$7,4),'Petroleum - Q&amp;V 2'!$M$9:$M$250,3)+
SUMIFS('Petroleum - Q&amp;V 2'!$C$9:$C$250,'Petroleum - Q&amp;V 2'!$L$9:$L$250,LEFT('Q&amp;V FY 2003-04 to Now'!AI$7,4),'Petroleum - Q&amp;V 2'!$M$9:$M$250,4)+
SUMIFS('Petroleum - Q&amp;V 2'!$C$9:$C$250,'Petroleum - Q&amp;V 2'!$L$9:$L$250,CONCATENATE("20",RIGHT('Q&amp;V FY 2003-04 to Now'!AI$7,2)),'Petroleum - Q&amp;V 2'!$M$9:$M$250,1)+
SUMIFS('Petroleum - Q&amp;V 2'!$C$9:$C$250,'Petroleum - Q&amp;V 2'!$L$9:$L$250,CONCATENATE("20",RIGHT('Q&amp;V FY 2003-04 to Now'!AI$7,2)),'Petroleum - Q&amp;V 2'!$M$9:$M$250,2))</f>
        <v>45953371.506579496</v>
      </c>
      <c r="AJ74" s="1069">
        <f>(SUMIFS('Petroleum - Q&amp;V 2'!$E$9:$E$250,'Petroleum - Q&amp;V 2'!$L$9:$L$250,LEFT('Q&amp;V FY 2003-04 to Now'!AI$7,4),'Petroleum - Q&amp;V 2'!$M$9:$M$250,3)+
SUMIFS('Petroleum - Q&amp;V 2'!$E$9:$E$250,'Petroleum - Q&amp;V 2'!$L$9:$L$250,LEFT('Q&amp;V FY 2003-04 to Now'!AI$7,4),'Petroleum - Q&amp;V 2'!$M$9:$M$250,4)+
SUMIFS('Petroleum - Q&amp;V 2'!$E$9:$E$250,'Petroleum - Q&amp;V 2'!$L$9:$L$250,CONCATENATE("20",RIGHT('Q&amp;V FY 2003-04 to Now'!AI$7,2)),'Petroleum - Q&amp;V 2'!$M$9:$M$250,1)+
SUMIFS('Petroleum - Q&amp;V 2'!$E$9:$E$250,'Petroleum - Q&amp;V 2'!$L$9:$L$250,CONCATENATE("20",RIGHT('Q&amp;V FY 2003-04 to Now'!AI$7,2)),'Petroleum - Q&amp;V 2'!$M$9:$M$250,2))*1000000</f>
        <v>26324009473.096951</v>
      </c>
      <c r="AK74" s="1069">
        <f>(SUMIFS('Petroleum - Q&amp;V 2'!$C$9:$C$250,'Petroleum - Q&amp;V 2'!$L$9:$L$250,LEFT('Q&amp;V FY 2003-04 to Now'!AK$7,4),'Petroleum - Q&amp;V 2'!$M$9:$M$250,3)+
SUMIFS('Petroleum - Q&amp;V 2'!$C$9:$C$250,'Petroleum - Q&amp;V 2'!$L$9:$L$250,LEFT('Q&amp;V FY 2003-04 to Now'!AK$7,4),'Petroleum - Q&amp;V 2'!$M$9:$M$250,4)+
SUMIFS('Petroleum - Q&amp;V 2'!$C$9:$C$250,'Petroleum - Q&amp;V 2'!$L$9:$L$250,CONCATENATE("20",RIGHT('Q&amp;V FY 2003-04 to Now'!AK$7,2)),'Petroleum - Q&amp;V 2'!$M$9:$M$250,1)+
SUMIFS('Petroleum - Q&amp;V 2'!$C$9:$C$250,'Petroleum - Q&amp;V 2'!$L$9:$L$250,CONCATENATE("20",RIGHT('Q&amp;V FY 2003-04 to Now'!AK$7,2)),'Petroleum - Q&amp;V 2'!$M$9:$M$250,2))</f>
        <v>43269084.509726219</v>
      </c>
      <c r="AL74" s="1069">
        <f>(SUMIFS('Petroleum - Q&amp;V 2'!$E$9:$E$250,'Petroleum - Q&amp;V 2'!$L$9:$L$250,LEFT('Q&amp;V FY 2003-04 to Now'!AK$7,4),'Petroleum - Q&amp;V 2'!$M$9:$M$250,3)+
SUMIFS('Petroleum - Q&amp;V 2'!$E$9:$E$250,'Petroleum - Q&amp;V 2'!$L$9:$L$250,LEFT('Q&amp;V FY 2003-04 to Now'!AK$7,4),'Petroleum - Q&amp;V 2'!$M$9:$M$250,4)+
SUMIFS('Petroleum - Q&amp;V 2'!$E$9:$E$250,'Petroleum - Q&amp;V 2'!$L$9:$L$250,CONCATENATE("20",RIGHT('Q&amp;V FY 2003-04 to Now'!AK$7,2)),'Petroleum - Q&amp;V 2'!$M$9:$M$250,1)+
SUMIFS('Petroleum - Q&amp;V 2'!$E$9:$E$250,'Petroleum - Q&amp;V 2'!$L$9:$L$250,CONCATENATE("20",RIGHT('Q&amp;V FY 2003-04 to Now'!AK$7,2)),'Petroleum - Q&amp;V 2'!$M$9:$M$250,2))*1000000</f>
        <v>16314274252.313404</v>
      </c>
      <c r="AM74" s="1069">
        <f>(SUMIFS('Petroleum - Q&amp;V 2'!$C$9:$C$250,'Petroleum - Q&amp;V 2'!$L$9:$L$250,LEFT('Q&amp;V FY 2003-04 to Now'!AM$7,4),'Petroleum - Q&amp;V 2'!$M$9:$M$250,3)+
SUMIFS('Petroleum - Q&amp;V 2'!$C$9:$C$250,'Petroleum - Q&amp;V 2'!$L$9:$L$250,LEFT('Q&amp;V FY 2003-04 to Now'!AM$7,4),'Petroleum - Q&amp;V 2'!$M$9:$M$250,4)+
SUMIFS('Petroleum - Q&amp;V 2'!$C$9:$C$250,'Petroleum - Q&amp;V 2'!$L$9:$L$250,CONCATENATE("20",RIGHT('Q&amp;V FY 2003-04 to Now'!AM$7,2)),'Petroleum - Q&amp;V 2'!$M$9:$M$250,1)+
SUMIFS('Petroleum - Q&amp;V 2'!$C$9:$C$250,'Petroleum - Q&amp;V 2'!$L$9:$L$250,CONCATENATE("20",RIGHT('Q&amp;V FY 2003-04 to Now'!AM$7,2)),'Petroleum - Q&amp;V 2'!$M$9:$M$250,2))</f>
        <v>46604533.443738028</v>
      </c>
      <c r="AN74" s="1069">
        <f>(SUMIFS('Petroleum - Q&amp;V 2'!$E$9:$E$250,'Petroleum - Q&amp;V 2'!$L$9:$L$250,LEFT('Q&amp;V FY 2003-04 to Now'!AM$7,4),'Petroleum - Q&amp;V 2'!$M$9:$M$250,3)+
SUMIFS('Petroleum - Q&amp;V 2'!$E$9:$E$250,'Petroleum - Q&amp;V 2'!$L$9:$L$250,LEFT('Q&amp;V FY 2003-04 to Now'!AM$7,4),'Petroleum - Q&amp;V 2'!$M$9:$M$250,4)+
SUMIFS('Petroleum - Q&amp;V 2'!$E$9:$E$250,'Petroleum - Q&amp;V 2'!$L$9:$L$250,CONCATENATE("20",RIGHT('Q&amp;V FY 2003-04 to Now'!AM$7,2)),'Petroleum - Q&amp;V 2'!$M$9:$M$250,1)+
SUMIFS('Petroleum - Q&amp;V 2'!$E$9:$E$250,'Petroleum - Q&amp;V 2'!$L$9:$L$250,CONCATENATE("20",RIGHT('Q&amp;V FY 2003-04 to Now'!AM$7,2)),'Petroleum - Q&amp;V 2'!$M$9:$M$250,2))*1000000</f>
        <v>38396791289.200195</v>
      </c>
      <c r="AO74" s="1069">
        <f>(SUMIFS('Petroleum - Q&amp;V 2'!$C$9:$C$250,'Petroleum - Q&amp;V 2'!$L$9:$L$250,LEFT('Q&amp;V FY 2003-04 to Now'!AO$7,4),'Petroleum - Q&amp;V 2'!$M$9:$M$250,3)+
SUMIFS('Petroleum - Q&amp;V 2'!$C$9:$C$250,'Petroleum - Q&amp;V 2'!$L$9:$L$250,LEFT('Q&amp;V FY 2003-04 to Now'!AO$7,4),'Petroleum - Q&amp;V 2'!$M$9:$M$250,4)+
SUMIFS('Petroleum - Q&amp;V 2'!$C$9:$C$250,'Petroleum - Q&amp;V 2'!$L$9:$L$250,CONCATENATE("20",RIGHT('Q&amp;V FY 2003-04 to Now'!AO$7,2)),'Petroleum - Q&amp;V 2'!$M$9:$M$250,1)+
SUMIFS('Petroleum - Q&amp;V 2'!$C$9:$C$250,'Petroleum - Q&amp;V 2'!$L$9:$L$250,CONCATENATE("20",RIGHT('Q&amp;V FY 2003-04 to Now'!AO$7,2)),'Petroleum - Q&amp;V 2'!$M$9:$M$250,2))</f>
        <v>50341173.90092729</v>
      </c>
      <c r="AP74" s="1069">
        <f>(SUMIFS('Petroleum - Q&amp;V 2'!$E$9:$E$250,'Petroleum - Q&amp;V 2'!$L$9:$L$250,LEFT('Q&amp;V FY 2003-04 to Now'!AO$7,4),'Petroleum - Q&amp;V 2'!$M$9:$M$250,3)+
SUMIFS('Petroleum - Q&amp;V 2'!$E$9:$E$250,'Petroleum - Q&amp;V 2'!$L$9:$L$250,LEFT('Q&amp;V FY 2003-04 to Now'!AO$7,4),'Petroleum - Q&amp;V 2'!$M$9:$M$250,4)+
SUMIFS('Petroleum - Q&amp;V 2'!$E$9:$E$250,'Petroleum - Q&amp;V 2'!$L$9:$L$250,CONCATENATE("20",RIGHT('Q&amp;V FY 2003-04 to Now'!AO$7,2)),'Petroleum - Q&amp;V 2'!$M$9:$M$250,1)+
SUMIFS('Petroleum - Q&amp;V 2'!$E$9:$E$250,'Petroleum - Q&amp;V 2'!$L$9:$L$250,CONCATENATE("20",RIGHT('Q&amp;V FY 2003-04 to Now'!AO$7,2)),'Petroleum - Q&amp;V 2'!$M$9:$M$250,2))*1000000</f>
        <v>57115780786.303383</v>
      </c>
      <c r="AQ74" s="734">
        <f>SUMIF($C$9:AP$9,1,$C74:AP74)</f>
        <v>497551274.5851444</v>
      </c>
      <c r="AR74" s="723">
        <f>IF(COUNTIF($C74:AP74, "nfp")=0, SUMIF($C$9:AP$9,0,$C74:AP74), "nfp")</f>
        <v>306390376985.6178</v>
      </c>
      <c r="AT74" s="317"/>
      <c r="AU74" s="317"/>
      <c r="AV74" s="381"/>
      <c r="AW74" s="381"/>
    </row>
    <row r="75" spans="1:49">
      <c r="A75" s="263" t="s">
        <v>225</v>
      </c>
      <c r="B75" s="248" t="s">
        <v>67</v>
      </c>
      <c r="C75" s="723">
        <f>(SUMIFS('Petroleum - Q&amp;V 2'!$F$9:$F$250,'Petroleum - Q&amp;V 2'!$L$9:$L$250,LEFT('Q&amp;V FY 2003-04 to Now'!C$7,4),'Petroleum - Q&amp;V 2'!$M$9:$M$250,3)+
SUMIFS('Petroleum - Q&amp;V 2'!$F$9:$F$250,'Petroleum - Q&amp;V 2'!$L$9:$L$250,LEFT('Q&amp;V FY 2003-04 to Now'!C$7,4),'Petroleum - Q&amp;V 2'!$M$9:$M$250,4)+
SUMIFS('Petroleum - Q&amp;V 2'!$F$9:$F$250,'Petroleum - Q&amp;V 2'!$L$9:$L$250,CONCATENATE("20",RIGHT('Q&amp;V FY 2003-04 to Now'!C$7,2)),'Petroleum - Q&amp;V 2'!$M$9:$M$250,1)+
SUMIFS('Petroleum - Q&amp;V 2'!$F$9:$F$250,'Petroleum - Q&amp;V 2'!$L$9:$L$250,CONCATENATE("20",RIGHT('Q&amp;V FY 2003-04 to Now'!C$7,2)),'Petroleum - Q&amp;V 2'!$M$9:$M$250,2))</f>
        <v>695262</v>
      </c>
      <c r="D75" s="723">
        <f>(SUMIFS('Petroleum - Q&amp;V 2'!$H$9:$H$250,'Petroleum - Q&amp;V 2'!$L$9:$L$250,LEFT('Q&amp;V FY 2003-04 to Now'!C$7,4),'Petroleum - Q&amp;V 2'!$M$9:$M$250,3)+
SUMIFS('Petroleum - Q&amp;V 2'!$H$9:$H$250,'Petroleum - Q&amp;V 2'!$L$9:$L$250,LEFT('Q&amp;V FY 2003-04 to Now'!C$7,4),'Petroleum - Q&amp;V 2'!$M$9:$M$250,4)+
SUMIFS('Petroleum - Q&amp;V 2'!$H$9:$H$250,'Petroleum - Q&amp;V 2'!$L$9:$L$250,CONCATENATE("20",RIGHT('Q&amp;V FY 2003-04 to Now'!C$7,2)),'Petroleum - Q&amp;V 2'!$M$9:$M$250,1)+
SUMIFS('Petroleum - Q&amp;V 2'!$H$9:$H$250,'Petroleum - Q&amp;V 2'!$L$9:$L$250,CONCATENATE("20",RIGHT('Q&amp;V FY 2003-04 to Now'!C$7,2)),'Petroleum - Q&amp;V 2'!$M$9:$M$250,2))*1000000</f>
        <v>282150682</v>
      </c>
      <c r="E75" s="723">
        <f>(SUMIFS('Petroleum - Q&amp;V 2'!$F$9:$F$250,'Petroleum - Q&amp;V 2'!$L$9:$L$250,LEFT('Q&amp;V FY 2003-04 to Now'!E$7,4),'Petroleum - Q&amp;V 2'!$M$9:$M$250,3)+
SUMIFS('Petroleum - Q&amp;V 2'!$F$9:$F$250,'Petroleum - Q&amp;V 2'!$L$9:$L$250,LEFT('Q&amp;V FY 2003-04 to Now'!E$7,4),'Petroleum - Q&amp;V 2'!$M$9:$M$250,4)+
SUMIFS('Petroleum - Q&amp;V 2'!$F$9:$F$250,'Petroleum - Q&amp;V 2'!$L$9:$L$250,CONCATENATE("20",RIGHT('Q&amp;V FY 2003-04 to Now'!E$7,2)),'Petroleum - Q&amp;V 2'!$M$9:$M$250,1)+
SUMIFS('Petroleum - Q&amp;V 2'!$F$9:$F$250,'Petroleum - Q&amp;V 2'!$L$9:$L$250,CONCATENATE("20",RIGHT('Q&amp;V FY 2003-04 to Now'!E$7,2)),'Petroleum - Q&amp;V 2'!$M$9:$M$250,2))</f>
        <v>764186</v>
      </c>
      <c r="F75" s="723">
        <f>(SUMIFS('Petroleum - Q&amp;V 2'!$H$9:$H$250,'Petroleum - Q&amp;V 2'!$L$9:$L$250,LEFT('Q&amp;V FY 2003-04 to Now'!E$7,4),'Petroleum - Q&amp;V 2'!$M$9:$M$250,3)+
SUMIFS('Petroleum - Q&amp;V 2'!$H$9:$H$250,'Petroleum - Q&amp;V 2'!$L$9:$L$250,LEFT('Q&amp;V FY 2003-04 to Now'!E$7,4),'Petroleum - Q&amp;V 2'!$M$9:$M$250,4)+
SUMIFS('Petroleum - Q&amp;V 2'!$H$9:$H$250,'Petroleum - Q&amp;V 2'!$L$9:$L$250,CONCATENATE("20",RIGHT('Q&amp;V FY 2003-04 to Now'!E$7,2)),'Petroleum - Q&amp;V 2'!$M$9:$M$250,1)+
SUMIFS('Petroleum - Q&amp;V 2'!$H$9:$H$250,'Petroleum - Q&amp;V 2'!$L$9:$L$250,CONCATENATE("20",RIGHT('Q&amp;V FY 2003-04 to Now'!E$7,2)),'Petroleum - Q&amp;V 2'!$M$9:$M$250,2))*1000000</f>
        <v>403501753.31283003</v>
      </c>
      <c r="G75" s="723">
        <f>(SUMIFS('Petroleum - Q&amp;V 2'!$F$9:$F$250,'Petroleum - Q&amp;V 2'!$L$9:$L$250,LEFT('Q&amp;V FY 2003-04 to Now'!G$7,4),'Petroleum - Q&amp;V 2'!$M$9:$M$250,3)+
SUMIFS('Petroleum - Q&amp;V 2'!$F$9:$F$250,'Petroleum - Q&amp;V 2'!$L$9:$L$250,LEFT('Q&amp;V FY 2003-04 to Now'!G$7,4),'Petroleum - Q&amp;V 2'!$M$9:$M$250,4)+
SUMIFS('Petroleum - Q&amp;V 2'!$F$9:$F$250,'Petroleum - Q&amp;V 2'!$L$9:$L$250,CONCATENATE("20",RIGHT('Q&amp;V FY 2003-04 to Now'!G$7,2)),'Petroleum - Q&amp;V 2'!$M$9:$M$250,1)+
SUMIFS('Petroleum - Q&amp;V 2'!$F$9:$F$250,'Petroleum - Q&amp;V 2'!$L$9:$L$250,CONCATENATE("20",RIGHT('Q&amp;V FY 2003-04 to Now'!G$7,2)),'Petroleum - Q&amp;V 2'!$M$9:$M$250,2))</f>
        <v>871983</v>
      </c>
      <c r="H75" s="723">
        <f>(SUMIFS('Petroleum - Q&amp;V 2'!$H$9:$H$250,'Petroleum - Q&amp;V 2'!$L$9:$L$250,LEFT('Q&amp;V FY 2003-04 to Now'!G$7,4),'Petroleum - Q&amp;V 2'!$M$9:$M$250,3)+
SUMIFS('Petroleum - Q&amp;V 2'!$H$9:$H$250,'Petroleum - Q&amp;V 2'!$L$9:$L$250,LEFT('Q&amp;V FY 2003-04 to Now'!G$7,4),'Petroleum - Q&amp;V 2'!$M$9:$M$250,4)+
SUMIFS('Petroleum - Q&amp;V 2'!$H$9:$H$250,'Petroleum - Q&amp;V 2'!$L$9:$L$250,CONCATENATE("20",RIGHT('Q&amp;V FY 2003-04 to Now'!G$7,2)),'Petroleum - Q&amp;V 2'!$M$9:$M$250,1)+
SUMIFS('Petroleum - Q&amp;V 2'!$H$9:$H$250,'Petroleum - Q&amp;V 2'!$L$9:$L$250,CONCATENATE("20",RIGHT('Q&amp;V FY 2003-04 to Now'!G$7,2)),'Petroleum - Q&amp;V 2'!$M$9:$M$250,2))*1000000</f>
        <v>654423834.39349914</v>
      </c>
      <c r="I75" s="723">
        <f>(SUMIFS('Petroleum - Q&amp;V 2'!$F$9:$F$250,'Petroleum - Q&amp;V 2'!$L$9:$L$250,LEFT('Q&amp;V FY 2003-04 to Now'!I$7,4),'Petroleum - Q&amp;V 2'!$M$9:$M$250,3)+
SUMIFS('Petroleum - Q&amp;V 2'!$F$9:$F$250,'Petroleum - Q&amp;V 2'!$L$9:$L$250,LEFT('Q&amp;V FY 2003-04 to Now'!I$7,4),'Petroleum - Q&amp;V 2'!$M$9:$M$250,4)+
SUMIFS('Petroleum - Q&amp;V 2'!$F$9:$F$250,'Petroleum - Q&amp;V 2'!$L$9:$L$250,CONCATENATE("20",RIGHT('Q&amp;V FY 2003-04 to Now'!I$7,2)),'Petroleum - Q&amp;V 2'!$M$9:$M$250,1)+
SUMIFS('Petroleum - Q&amp;V 2'!$F$9:$F$250,'Petroleum - Q&amp;V 2'!$L$9:$L$250,CONCATENATE("20",RIGHT('Q&amp;V FY 2003-04 to Now'!I$7,2)),'Petroleum - Q&amp;V 2'!$M$9:$M$250,2))</f>
        <v>898606</v>
      </c>
      <c r="J75" s="723">
        <f>(SUMIFS('Petroleum - Q&amp;V 2'!$H$9:$H$250,'Petroleum - Q&amp;V 2'!$L$9:$L$250,LEFT('Q&amp;V FY 2003-04 to Now'!I$7,4),'Petroleum - Q&amp;V 2'!$M$9:$M$250,3)+
SUMIFS('Petroleum - Q&amp;V 2'!$H$9:$H$250,'Petroleum - Q&amp;V 2'!$L$9:$L$250,LEFT('Q&amp;V FY 2003-04 to Now'!I$7,4),'Petroleum - Q&amp;V 2'!$M$9:$M$250,4)+
SUMIFS('Petroleum - Q&amp;V 2'!$H$9:$H$250,'Petroleum - Q&amp;V 2'!$L$9:$L$250,CONCATENATE("20",RIGHT('Q&amp;V FY 2003-04 to Now'!I$7,2)),'Petroleum - Q&amp;V 2'!$M$9:$M$250,1)+
SUMIFS('Petroleum - Q&amp;V 2'!$H$9:$H$250,'Petroleum - Q&amp;V 2'!$L$9:$L$250,CONCATENATE("20",RIGHT('Q&amp;V FY 2003-04 to Now'!I$7,2)),'Petroleum - Q&amp;V 2'!$M$9:$M$250,2))*1000000</f>
        <v>605084727.42592239</v>
      </c>
      <c r="K75" s="723">
        <f>(SUMIFS('Petroleum - Q&amp;V 2'!$F$9:$F$250,'Petroleum - Q&amp;V 2'!$L$9:$L$250,LEFT('Q&amp;V FY 2003-04 to Now'!K$7,4),'Petroleum - Q&amp;V 2'!$M$9:$M$250,3)+
SUMIFS('Petroleum - Q&amp;V 2'!$F$9:$F$250,'Petroleum - Q&amp;V 2'!$L$9:$L$250,LEFT('Q&amp;V FY 2003-04 to Now'!K$7,4),'Petroleum - Q&amp;V 2'!$M$9:$M$250,4)+
SUMIFS('Petroleum - Q&amp;V 2'!$F$9:$F$250,'Petroleum - Q&amp;V 2'!$L$9:$L$250,CONCATENATE("20",RIGHT('Q&amp;V FY 2003-04 to Now'!K$7,2)),'Petroleum - Q&amp;V 2'!$M$9:$M$250,1)+
SUMIFS('Petroleum - Q&amp;V 2'!$F$9:$F$250,'Petroleum - Q&amp;V 2'!$L$9:$L$250,CONCATENATE("20",RIGHT('Q&amp;V FY 2003-04 to Now'!K$7,2)),'Petroleum - Q&amp;V 2'!$M$9:$M$250,2))</f>
        <v>818390</v>
      </c>
      <c r="L75" s="723">
        <f>(SUMIFS('Petroleum - Q&amp;V 2'!$H$9:$H$250,'Petroleum - Q&amp;V 2'!$L$9:$L$250,LEFT('Q&amp;V FY 2003-04 to Now'!K$7,4),'Petroleum - Q&amp;V 2'!$M$9:$M$250,3)+
SUMIFS('Petroleum - Q&amp;V 2'!$H$9:$H$250,'Petroleum - Q&amp;V 2'!$L$9:$L$250,LEFT('Q&amp;V FY 2003-04 to Now'!K$7,4),'Petroleum - Q&amp;V 2'!$M$9:$M$250,4)+
SUMIFS('Petroleum - Q&amp;V 2'!$H$9:$H$250,'Petroleum - Q&amp;V 2'!$L$9:$L$250,CONCATENATE("20",RIGHT('Q&amp;V FY 2003-04 to Now'!K$7,2)),'Petroleum - Q&amp;V 2'!$M$9:$M$250,1)+
SUMIFS('Petroleum - Q&amp;V 2'!$H$9:$H$250,'Petroleum - Q&amp;V 2'!$L$9:$L$250,CONCATENATE("20",RIGHT('Q&amp;V FY 2003-04 to Now'!K$7,2)),'Petroleum - Q&amp;V 2'!$M$9:$M$250,2))*1000000</f>
        <v>683352216.99510252</v>
      </c>
      <c r="M75" s="723">
        <f>(SUMIFS('Petroleum - Q&amp;V 2'!$F$9:$F$250,'Petroleum - Q&amp;V 2'!$L$9:$L$250,LEFT('Q&amp;V FY 2003-04 to Now'!M$7,4),'Petroleum - Q&amp;V 2'!$M$9:$M$250,3)+
SUMIFS('Petroleum - Q&amp;V 2'!$F$9:$F$250,'Petroleum - Q&amp;V 2'!$L$9:$L$250,LEFT('Q&amp;V FY 2003-04 to Now'!M$7,4),'Petroleum - Q&amp;V 2'!$M$9:$M$250,4)+
SUMIFS('Petroleum - Q&amp;V 2'!$F$9:$F$250,'Petroleum - Q&amp;V 2'!$L$9:$L$250,CONCATENATE("20",RIGHT('Q&amp;V FY 2003-04 to Now'!M$7,2)),'Petroleum - Q&amp;V 2'!$M$9:$M$250,1)+
SUMIFS('Petroleum - Q&amp;V 2'!$F$9:$F$250,'Petroleum - Q&amp;V 2'!$L$9:$L$250,CONCATENATE("20",RIGHT('Q&amp;V FY 2003-04 to Now'!M$7,2)),'Petroleum - Q&amp;V 2'!$M$9:$M$250,2))</f>
        <v>866534</v>
      </c>
      <c r="N75" s="723">
        <f>(SUMIFS('Petroleum - Q&amp;V 2'!$H$9:$H$250,'Petroleum - Q&amp;V 2'!$L$9:$L$250,LEFT('Q&amp;V FY 2003-04 to Now'!M$7,4),'Petroleum - Q&amp;V 2'!$M$9:$M$250,3)+
SUMIFS('Petroleum - Q&amp;V 2'!$H$9:$H$250,'Petroleum - Q&amp;V 2'!$L$9:$L$250,LEFT('Q&amp;V FY 2003-04 to Now'!M$7,4),'Petroleum - Q&amp;V 2'!$M$9:$M$250,4)+
SUMIFS('Petroleum - Q&amp;V 2'!$H$9:$H$250,'Petroleum - Q&amp;V 2'!$L$9:$L$250,CONCATENATE("20",RIGHT('Q&amp;V FY 2003-04 to Now'!M$7,2)),'Petroleum - Q&amp;V 2'!$M$9:$M$250,1)+
SUMIFS('Petroleum - Q&amp;V 2'!$H$9:$H$250,'Petroleum - Q&amp;V 2'!$L$9:$L$250,CONCATENATE("20",RIGHT('Q&amp;V FY 2003-04 to Now'!M$7,2)),'Petroleum - Q&amp;V 2'!$M$9:$M$250,2))*1000000</f>
        <v>750825345.81660795</v>
      </c>
      <c r="O75" s="723">
        <f>(SUMIFS('Petroleum - Q&amp;V 2'!$F$9:$F$250,'Petroleum - Q&amp;V 2'!$L$9:$L$250,LEFT('Q&amp;V FY 2003-04 to Now'!O$7,4),'Petroleum - Q&amp;V 2'!$M$9:$M$250,3)+
SUMIFS('Petroleum - Q&amp;V 2'!$F$9:$F$250,'Petroleum - Q&amp;V 2'!$L$9:$L$250,LEFT('Q&amp;V FY 2003-04 to Now'!O$7,4),'Petroleum - Q&amp;V 2'!$M$9:$M$250,4)+
SUMIFS('Petroleum - Q&amp;V 2'!$F$9:$F$250,'Petroleum - Q&amp;V 2'!$L$9:$L$250,CONCATENATE("20",RIGHT('Q&amp;V FY 2003-04 to Now'!O$7,2)),'Petroleum - Q&amp;V 2'!$M$9:$M$250,1)+
SUMIFS('Petroleum - Q&amp;V 2'!$F$9:$F$250,'Petroleum - Q&amp;V 2'!$L$9:$L$250,CONCATENATE("20",RIGHT('Q&amp;V FY 2003-04 to Now'!O$7,2)),'Petroleum - Q&amp;V 2'!$M$9:$M$250,2))</f>
        <v>987896</v>
      </c>
      <c r="P75" s="723">
        <f>(SUMIFS('Petroleum - Q&amp;V 2'!$H$9:$H$250,'Petroleum - Q&amp;V 2'!$L$9:$L$250,LEFT('Q&amp;V FY 2003-04 to Now'!O$7,4),'Petroleum - Q&amp;V 2'!$M$9:$M$250,3)+
SUMIFS('Petroleum - Q&amp;V 2'!$H$9:$H$250,'Petroleum - Q&amp;V 2'!$L$9:$L$250,LEFT('Q&amp;V FY 2003-04 to Now'!O$7,4),'Petroleum - Q&amp;V 2'!$M$9:$M$250,4)+
SUMIFS('Petroleum - Q&amp;V 2'!$H$9:$H$250,'Petroleum - Q&amp;V 2'!$L$9:$L$250,CONCATENATE("20",RIGHT('Q&amp;V FY 2003-04 to Now'!O$7,2)),'Petroleum - Q&amp;V 2'!$M$9:$M$250,1)+
SUMIFS('Petroleum - Q&amp;V 2'!$H$9:$H$250,'Petroleum - Q&amp;V 2'!$L$9:$L$250,CONCATENATE("20",RIGHT('Q&amp;V FY 2003-04 to Now'!O$7,2)),'Petroleum - Q&amp;V 2'!$M$9:$M$250,2))*1000000</f>
        <v>696901992.19554532</v>
      </c>
      <c r="Q75" s="723">
        <f>(SUMIFS('Petroleum - Q&amp;V 2'!$F$9:$F$250,'Petroleum - Q&amp;V 2'!$L$9:$L$250,LEFT('Q&amp;V FY 2003-04 to Now'!Q$7,4),'Petroleum - Q&amp;V 2'!$M$9:$M$250,3)+
SUMIFS('Petroleum - Q&amp;V 2'!$F$9:$F$250,'Petroleum - Q&amp;V 2'!$L$9:$L$250,LEFT('Q&amp;V FY 2003-04 to Now'!Q$7,4),'Petroleum - Q&amp;V 2'!$M$9:$M$250,4)+
SUMIFS('Petroleum - Q&amp;V 2'!$F$9:$F$250,'Petroleum - Q&amp;V 2'!$L$9:$L$250,CONCATENATE("20",RIGHT('Q&amp;V FY 2003-04 to Now'!Q$7,2)),'Petroleum - Q&amp;V 2'!$M$9:$M$250,1)+
SUMIFS('Petroleum - Q&amp;V 2'!$F$9:$F$250,'Petroleum - Q&amp;V 2'!$L$9:$L$250,CONCATENATE("20",RIGHT('Q&amp;V FY 2003-04 to Now'!Q$7,2)),'Petroleum - Q&amp;V 2'!$M$9:$M$250,2))</f>
        <v>923763</v>
      </c>
      <c r="R75" s="723">
        <f>(SUMIFS('Petroleum - Q&amp;V 2'!$H$9:$H$250,'Petroleum - Q&amp;V 2'!$L$9:$L$250,LEFT('Q&amp;V FY 2003-04 to Now'!Q$7,4),'Petroleum - Q&amp;V 2'!$M$9:$M$250,3)+
SUMIFS('Petroleum - Q&amp;V 2'!$H$9:$H$250,'Petroleum - Q&amp;V 2'!$L$9:$L$250,LEFT('Q&amp;V FY 2003-04 to Now'!Q$7,4),'Petroleum - Q&amp;V 2'!$M$9:$M$250,4)+
SUMIFS('Petroleum - Q&amp;V 2'!$H$9:$H$250,'Petroleum - Q&amp;V 2'!$L$9:$L$250,CONCATENATE("20",RIGHT('Q&amp;V FY 2003-04 to Now'!Q$7,2)),'Petroleum - Q&amp;V 2'!$M$9:$M$250,1)+
SUMIFS('Petroleum - Q&amp;V 2'!$H$9:$H$250,'Petroleum - Q&amp;V 2'!$L$9:$L$250,CONCATENATE("20",RIGHT('Q&amp;V FY 2003-04 to Now'!Q$7,2)),'Petroleum - Q&amp;V 2'!$M$9:$M$250,2))*1000000</f>
        <v>774197459.00998545</v>
      </c>
      <c r="S75" s="723">
        <f>(SUMIFS('Petroleum - Q&amp;V 2'!$F$9:$F$250,'Petroleum - Q&amp;V 2'!$L$9:$L$250,LEFT('Q&amp;V FY 2003-04 to Now'!S$7,4),'Petroleum - Q&amp;V 2'!$M$9:$M$250,3)+
SUMIFS('Petroleum - Q&amp;V 2'!$F$9:$F$250,'Petroleum - Q&amp;V 2'!$L$9:$L$250,LEFT('Q&amp;V FY 2003-04 to Now'!S$7,4),'Petroleum - Q&amp;V 2'!$M$9:$M$250,4)+
SUMIFS('Petroleum - Q&amp;V 2'!$F$9:$F$250,'Petroleum - Q&amp;V 2'!$L$9:$L$250,CONCATENATE("20",RIGHT('Q&amp;V FY 2003-04 to Now'!S$7,2)),'Petroleum - Q&amp;V 2'!$M$9:$M$250,1)+
SUMIFS('Petroleum - Q&amp;V 2'!$F$9:$F$250,'Petroleum - Q&amp;V 2'!$L$9:$L$250,CONCATENATE("20",RIGHT('Q&amp;V FY 2003-04 to Now'!S$7,2)),'Petroleum - Q&amp;V 2'!$M$9:$M$250,2))</f>
        <v>835271</v>
      </c>
      <c r="T75" s="723">
        <f>(SUMIFS('Petroleum - Q&amp;V 2'!$H$9:$H$250,'Petroleum - Q&amp;V 2'!$L$9:$L$250,LEFT('Q&amp;V FY 2003-04 to Now'!S$7,4),'Petroleum - Q&amp;V 2'!$M$9:$M$250,3)+
SUMIFS('Petroleum - Q&amp;V 2'!$H$9:$H$250,'Petroleum - Q&amp;V 2'!$L$9:$L$250,LEFT('Q&amp;V FY 2003-04 to Now'!S$7,4),'Petroleum - Q&amp;V 2'!$M$9:$M$250,4)+
SUMIFS('Petroleum - Q&amp;V 2'!$H$9:$H$250,'Petroleum - Q&amp;V 2'!$L$9:$L$250,CONCATENATE("20",RIGHT('Q&amp;V FY 2003-04 to Now'!S$7,2)),'Petroleum - Q&amp;V 2'!$M$9:$M$250,1)+
SUMIFS('Petroleum - Q&amp;V 2'!$H$9:$H$250,'Petroleum - Q&amp;V 2'!$L$9:$L$250,CONCATENATE("20",RIGHT('Q&amp;V FY 2003-04 to Now'!S$7,2)),'Petroleum - Q&amp;V 2'!$M$9:$M$250,2))*1000000</f>
        <v>734484653.28098297</v>
      </c>
      <c r="U75" s="723">
        <f>(SUMIFS('Petroleum - Q&amp;V 2'!$F$9:$F$250,'Petroleum - Q&amp;V 2'!$L$9:$L$250,LEFT('Q&amp;V FY 2003-04 to Now'!U$7,4),'Petroleum - Q&amp;V 2'!$M$9:$M$250,3)+
SUMIFS('Petroleum - Q&amp;V 2'!$F$9:$F$250,'Petroleum - Q&amp;V 2'!$L$9:$L$250,LEFT('Q&amp;V FY 2003-04 to Now'!U$7,4),'Petroleum - Q&amp;V 2'!$M$9:$M$250,4)+
SUMIFS('Petroleum - Q&amp;V 2'!$F$9:$F$250,'Petroleum - Q&amp;V 2'!$L$9:$L$250,CONCATENATE("20",RIGHT('Q&amp;V FY 2003-04 to Now'!U$7,2)),'Petroleum - Q&amp;V 2'!$M$9:$M$250,1)+
SUMIFS('Petroleum - Q&amp;V 2'!$F$9:$F$250,'Petroleum - Q&amp;V 2'!$L$9:$L$250,CONCATENATE("20",RIGHT('Q&amp;V FY 2003-04 to Now'!U$7,2)),'Petroleum - Q&amp;V 2'!$M$9:$M$250,2))</f>
        <v>752910</v>
      </c>
      <c r="V75" s="723">
        <f>(SUMIFS('Petroleum - Q&amp;V 2'!$H$9:$H$250,'Petroleum - Q&amp;V 2'!$L$9:$L$250,LEFT('Q&amp;V FY 2003-04 to Now'!U$7,4),'Petroleum - Q&amp;V 2'!$M$9:$M$250,3)+
SUMIFS('Petroleum - Q&amp;V 2'!$H$9:$H$250,'Petroleum - Q&amp;V 2'!$L$9:$L$250,LEFT('Q&amp;V FY 2003-04 to Now'!U$7,4),'Petroleum - Q&amp;V 2'!$M$9:$M$250,4)+
SUMIFS('Petroleum - Q&amp;V 2'!$H$9:$H$250,'Petroleum - Q&amp;V 2'!$L$9:$L$250,CONCATENATE("20",RIGHT('Q&amp;V FY 2003-04 to Now'!U$7,2)),'Petroleum - Q&amp;V 2'!$M$9:$M$250,1)+
SUMIFS('Petroleum - Q&amp;V 2'!$H$9:$H$250,'Petroleum - Q&amp;V 2'!$L$9:$L$250,CONCATENATE("20",RIGHT('Q&amp;V FY 2003-04 to Now'!U$7,2)),'Petroleum - Q&amp;V 2'!$M$9:$M$250,2))*1000000</f>
        <v>634052634.91956651</v>
      </c>
      <c r="W75" s="723">
        <f>(SUMIFS('Petroleum - Q&amp;V 2'!$F$9:$F$250,'Petroleum - Q&amp;V 2'!$L$9:$L$250,LEFT('Q&amp;V FY 2003-04 to Now'!W$7,4),'Petroleum - Q&amp;V 2'!$M$9:$M$250,3)+
SUMIFS('Petroleum - Q&amp;V 2'!$F$9:$F$250,'Petroleum - Q&amp;V 2'!$L$9:$L$250,LEFT('Q&amp;V FY 2003-04 to Now'!W$7,4),'Petroleum - Q&amp;V 2'!$M$9:$M$250,4)+
SUMIFS('Petroleum - Q&amp;V 2'!$F$9:$F$250,'Petroleum - Q&amp;V 2'!$L$9:$L$250,CONCATENATE("20",RIGHT('Q&amp;V FY 2003-04 to Now'!W$7,2)),'Petroleum - Q&amp;V 2'!$M$9:$M$250,1)+
SUMIFS('Petroleum - Q&amp;V 2'!$F$9:$F$250,'Petroleum - Q&amp;V 2'!$L$9:$L$250,CONCATENATE("20",RIGHT('Q&amp;V FY 2003-04 to Now'!W$7,2)),'Petroleum - Q&amp;V 2'!$M$9:$M$250,2))</f>
        <v>389533</v>
      </c>
      <c r="X75" s="723">
        <f>(SUMIFS('Petroleum - Q&amp;V 2'!$H$9:$H$250,'Petroleum - Q&amp;V 2'!$L$9:$L$250,LEFT('Q&amp;V FY 2003-04 to Now'!W$7,4),'Petroleum - Q&amp;V 2'!$M$9:$M$250,3)+
SUMIFS('Petroleum - Q&amp;V 2'!$H$9:$H$250,'Petroleum - Q&amp;V 2'!$L$9:$L$250,LEFT('Q&amp;V FY 2003-04 to Now'!W$7,4),'Petroleum - Q&amp;V 2'!$M$9:$M$250,4)+
SUMIFS('Petroleum - Q&amp;V 2'!$H$9:$H$250,'Petroleum - Q&amp;V 2'!$L$9:$L$250,CONCATENATE("20",RIGHT('Q&amp;V FY 2003-04 to Now'!W$7,2)),'Petroleum - Q&amp;V 2'!$M$9:$M$250,1)+
SUMIFS('Petroleum - Q&amp;V 2'!$H$9:$H$250,'Petroleum - Q&amp;V 2'!$L$9:$L$250,CONCATENATE("20",RIGHT('Q&amp;V FY 2003-04 to Now'!W$7,2)),'Petroleum - Q&amp;V 2'!$M$9:$M$250,2))*1000000</f>
        <v>353541333.75915879</v>
      </c>
      <c r="Y75" s="723">
        <f>(SUMIFS('Petroleum - Q&amp;V 2'!$F$9:$F$250,'Petroleum - Q&amp;V 2'!$L$9:$L$250,LEFT('Q&amp;V FY 2003-04 to Now'!Y$7,4),'Petroleum - Q&amp;V 2'!$M$9:$M$250,3)+
SUMIFS('Petroleum - Q&amp;V 2'!$F$9:$F$250,'Petroleum - Q&amp;V 2'!$L$9:$L$250,LEFT('Q&amp;V FY 2003-04 to Now'!Y$7,4),'Petroleum - Q&amp;V 2'!$M$9:$M$250,4)+
SUMIFS('Petroleum - Q&amp;V 2'!$F$9:$F$250,'Petroleum - Q&amp;V 2'!$L$9:$L$250,CONCATENATE("20",RIGHT('Q&amp;V FY 2003-04 to Now'!Y$7,2)),'Petroleum - Q&amp;V 2'!$M$9:$M$250,1)+
SUMIFS('Petroleum - Q&amp;V 2'!$F$9:$F$250,'Petroleum - Q&amp;V 2'!$L$9:$L$250,CONCATENATE("20",RIGHT('Q&amp;V FY 2003-04 to Now'!Y$7,2)),'Petroleum - Q&amp;V 2'!$M$9:$M$250,2))</f>
        <v>553055</v>
      </c>
      <c r="Z75" s="723">
        <f>(SUMIFS('Petroleum - Q&amp;V 2'!$H$9:$H$250,'Petroleum - Q&amp;V 2'!$L$9:$L$250,LEFT('Q&amp;V FY 2003-04 to Now'!Y$7,4),'Petroleum - Q&amp;V 2'!$M$9:$M$250,3)+
SUMIFS('Petroleum - Q&amp;V 2'!$H$9:$H$250,'Petroleum - Q&amp;V 2'!$L$9:$L$250,LEFT('Q&amp;V FY 2003-04 to Now'!Y$7,4),'Petroleum - Q&amp;V 2'!$M$9:$M$250,4)+
SUMIFS('Petroleum - Q&amp;V 2'!$H$9:$H$250,'Petroleum - Q&amp;V 2'!$L$9:$L$250,CONCATENATE("20",RIGHT('Q&amp;V FY 2003-04 to Now'!Y$7,2)),'Petroleum - Q&amp;V 2'!$M$9:$M$250,1)+
SUMIFS('Petroleum - Q&amp;V 2'!$H$9:$H$250,'Petroleum - Q&amp;V 2'!$L$9:$L$250,CONCATENATE("20",RIGHT('Q&amp;V FY 2003-04 to Now'!Y$7,2)),'Petroleum - Q&amp;V 2'!$M$9:$M$250,2))*1000000</f>
        <v>405565515.87200266</v>
      </c>
      <c r="AA75" s="723">
        <f>(SUMIFS('Petroleum - Q&amp;V 2'!$F$9:$F$250,'Petroleum - Q&amp;V 2'!$L$9:$L$250,LEFT('Q&amp;V FY 2003-04 to Now'!AA$7,4),'Petroleum - Q&amp;V 2'!$M$9:$M$250,3)+
SUMIFS('Petroleum - Q&amp;V 2'!$F$9:$F$250,'Petroleum - Q&amp;V 2'!$L$9:$L$250,LEFT('Q&amp;V FY 2003-04 to Now'!AA$7,4),'Petroleum - Q&amp;V 2'!$M$9:$M$250,4)+
SUMIFS('Petroleum - Q&amp;V 2'!$F$9:$F$250,'Petroleum - Q&amp;V 2'!$L$9:$L$250,CONCATENATE("20",RIGHT('Q&amp;V FY 2003-04 to Now'!AA$7,2)),'Petroleum - Q&amp;V 2'!$M$9:$M$250,1)+
SUMIFS('Petroleum - Q&amp;V 2'!$F$9:$F$250,'Petroleum - Q&amp;V 2'!$L$9:$L$250,CONCATENATE("20",RIGHT('Q&amp;V FY 2003-04 to Now'!AA$7,2)),'Petroleum - Q&amp;V 2'!$M$9:$M$250,2))</f>
        <v>531595</v>
      </c>
      <c r="AB75" s="723">
        <f>(SUMIFS('Petroleum - Q&amp;V 2'!$H$9:$H$250,'Petroleum - Q&amp;V 2'!$L$9:$L$250,LEFT('Q&amp;V FY 2003-04 to Now'!AA$7,4),'Petroleum - Q&amp;V 2'!$M$9:$M$250,3)+
SUMIFS('Petroleum - Q&amp;V 2'!$H$9:$H$250,'Petroleum - Q&amp;V 2'!$L$9:$L$250,LEFT('Q&amp;V FY 2003-04 to Now'!AA$7,4),'Petroleum - Q&amp;V 2'!$M$9:$M$250,4)+
SUMIFS('Petroleum - Q&amp;V 2'!$H$9:$H$250,'Petroleum - Q&amp;V 2'!$L$9:$L$250,CONCATENATE("20",RIGHT('Q&amp;V FY 2003-04 to Now'!AA$7,2)),'Petroleum - Q&amp;V 2'!$M$9:$M$250,1)+
SUMIFS('Petroleum - Q&amp;V 2'!$H$9:$H$250,'Petroleum - Q&amp;V 2'!$L$9:$L$250,CONCATENATE("20",RIGHT('Q&amp;V FY 2003-04 to Now'!AA$7,2)),'Petroleum - Q&amp;V 2'!$M$9:$M$250,2))*1000000</f>
        <v>249059072.52354428</v>
      </c>
      <c r="AC75" s="723">
        <f>(SUMIFS('Petroleum - Q&amp;V 2'!$F$9:$F$250,'Petroleum - Q&amp;V 2'!$L$9:$L$250,LEFT('Q&amp;V FY 2003-04 to Now'!AC$7,4),'Petroleum - Q&amp;V 2'!$M$9:$M$250,3)+
SUMIFS('Petroleum - Q&amp;V 2'!$F$9:$F$250,'Petroleum - Q&amp;V 2'!$L$9:$L$250,LEFT('Q&amp;V FY 2003-04 to Now'!AC$7,4),'Petroleum - Q&amp;V 2'!$M$9:$M$250,4)+
SUMIFS('Petroleum - Q&amp;V 2'!$F$9:$F$250,'Petroleum - Q&amp;V 2'!$L$9:$L$250,CONCATENATE("20",RIGHT('Q&amp;V FY 2003-04 to Now'!AC$7,2)),'Petroleum - Q&amp;V 2'!$M$9:$M$250,1)+
SUMIFS('Petroleum - Q&amp;V 2'!$F$9:$F$250,'Petroleum - Q&amp;V 2'!$L$9:$L$250,CONCATENATE("20",RIGHT('Q&amp;V FY 2003-04 to Now'!AC$7,2)),'Petroleum - Q&amp;V 2'!$M$9:$M$250,2))</f>
        <v>527391</v>
      </c>
      <c r="AD75" s="723">
        <f>(SUMIFS('Petroleum - Q&amp;V 2'!$H$9:$H$250,'Petroleum - Q&amp;V 2'!$L$9:$L$250,LEFT('Q&amp;V FY 2003-04 to Now'!AC$7,4),'Petroleum - Q&amp;V 2'!$M$9:$M$250,3)+
SUMIFS('Petroleum - Q&amp;V 2'!$H$9:$H$250,'Petroleum - Q&amp;V 2'!$L$9:$L$250,LEFT('Q&amp;V FY 2003-04 to Now'!AC$7,4),'Petroleum - Q&amp;V 2'!$M$9:$M$250,4)+
SUMIFS('Petroleum - Q&amp;V 2'!$H$9:$H$250,'Petroleum - Q&amp;V 2'!$L$9:$L$250,CONCATENATE("20",RIGHT('Q&amp;V FY 2003-04 to Now'!AC$7,2)),'Petroleum - Q&amp;V 2'!$M$9:$M$250,1)+
SUMIFS('Petroleum - Q&amp;V 2'!$H$9:$H$250,'Petroleum - Q&amp;V 2'!$L$9:$L$250,CONCATENATE("20",RIGHT('Q&amp;V FY 2003-04 to Now'!AC$7,2)),'Petroleum - Q&amp;V 2'!$M$9:$M$250,2))*1000000</f>
        <v>273097308.20693642</v>
      </c>
      <c r="AE75" s="734">
        <f>(SUMIFS('Petroleum - Q&amp;V 2'!$F$9:$F$250,'Petroleum - Q&amp;V 2'!$L$9:$L$250,LEFT('Q&amp;V FY 2003-04 to Now'!AE$7,4),'Petroleum - Q&amp;V 2'!$M$9:$M$250,3)+
SUMIFS('Petroleum - Q&amp;V 2'!$F$9:$F$250,'Petroleum - Q&amp;V 2'!$L$9:$L$250,LEFT('Q&amp;V FY 2003-04 to Now'!AE$7,4),'Petroleum - Q&amp;V 2'!$M$9:$M$250,4)+
SUMIFS('Petroleum - Q&amp;V 2'!$F$9:$F$250,'Petroleum - Q&amp;V 2'!$L$9:$L$250,CONCATENATE("20",RIGHT('Q&amp;V FY 2003-04 to Now'!AE$7,2)),'Petroleum - Q&amp;V 2'!$M$9:$M$250,1)+
SUMIFS('Petroleum - Q&amp;V 2'!$F$9:$F$250,'Petroleum - Q&amp;V 2'!$L$9:$L$250,CONCATENATE("20",RIGHT('Q&amp;V FY 2003-04 to Now'!AE$7,2)),'Petroleum - Q&amp;V 2'!$M$9:$M$250,2))</f>
        <v>451242</v>
      </c>
      <c r="AF75" s="723">
        <f>(SUMIFS('Petroleum - Q&amp;V 2'!$H$9:$H$250,'Petroleum - Q&amp;V 2'!$L$9:$L$250,LEFT('Q&amp;V FY 2003-04 to Now'!AE$7,4),'Petroleum - Q&amp;V 2'!$M$9:$M$250,3)+
SUMIFS('Petroleum - Q&amp;V 2'!$H$9:$H$250,'Petroleum - Q&amp;V 2'!$L$9:$L$250,LEFT('Q&amp;V FY 2003-04 to Now'!AE$7,4),'Petroleum - Q&amp;V 2'!$M$9:$M$250,4)+
SUMIFS('Petroleum - Q&amp;V 2'!$H$9:$H$250,'Petroleum - Q&amp;V 2'!$L$9:$L$250,CONCATENATE("20",RIGHT('Q&amp;V FY 2003-04 to Now'!AE$7,2)),'Petroleum - Q&amp;V 2'!$M$9:$M$250,1)+
SUMIFS('Petroleum - Q&amp;V 2'!$H$9:$H$250,'Petroleum - Q&amp;V 2'!$L$9:$L$250,CONCATENATE("20",RIGHT('Q&amp;V FY 2003-04 to Now'!AE$7,2)),'Petroleum - Q&amp;V 2'!$M$9:$M$250,2))*1000000</f>
        <v>331271410.26354462</v>
      </c>
      <c r="AG75" s="734">
        <f>(SUMIFS('Petroleum - Q&amp;V 2'!$F$9:$F$250,'Petroleum - Q&amp;V 2'!$L$9:$L$250,LEFT('Q&amp;V FY 2003-04 to Now'!AG$7,4),'Petroleum - Q&amp;V 2'!$M$9:$M$250,3)+
SUMIFS('Petroleum - Q&amp;V 2'!$F$9:$F$250,'Petroleum - Q&amp;V 2'!$L$9:$L$250,LEFT('Q&amp;V FY 2003-04 to Now'!AG$7,4),'Petroleum - Q&amp;V 2'!$M$9:$M$250,4)+
SUMIFS('Petroleum - Q&amp;V 2'!$F$9:$F$250,'Petroleum - Q&amp;V 2'!$L$9:$L$250,CONCATENATE("20",RIGHT('Q&amp;V FY 2003-04 to Now'!AG$7,2)),'Petroleum - Q&amp;V 2'!$M$9:$M$250,1)+
SUMIFS('Petroleum - Q&amp;V 2'!$F$9:$F$250,'Petroleum - Q&amp;V 2'!$L$9:$L$250,CONCATENATE("20",RIGHT('Q&amp;V FY 2003-04 to Now'!AG$7,2)),'Petroleum - Q&amp;V 2'!$M$9:$M$250,2))</f>
        <v>447229</v>
      </c>
      <c r="AH75" s="1069">
        <f>(SUMIFS('Petroleum - Q&amp;V 2'!$H$9:$H$250,'Petroleum - Q&amp;V 2'!$L$9:$L$250,LEFT('Q&amp;V FY 2003-04 to Now'!AG$7,4),'Petroleum - Q&amp;V 2'!$M$9:$M$250,3)+
SUMIFS('Petroleum - Q&amp;V 2'!$H$9:$H$250,'Petroleum - Q&amp;V 2'!$L$9:$L$250,LEFT('Q&amp;V FY 2003-04 to Now'!AG$7,4),'Petroleum - Q&amp;V 2'!$M$9:$M$250,4)+
SUMIFS('Petroleum - Q&amp;V 2'!$H$9:$H$250,'Petroleum - Q&amp;V 2'!$L$9:$L$250,CONCATENATE("20",RIGHT('Q&amp;V FY 2003-04 to Now'!AG$7,2)),'Petroleum - Q&amp;V 2'!$M$9:$M$250,1)+
SUMIFS('Petroleum - Q&amp;V 2'!$H$9:$H$250,'Petroleum - Q&amp;V 2'!$L$9:$L$250,CONCATENATE("20",RIGHT('Q&amp;V FY 2003-04 to Now'!AG$7,2)),'Petroleum - Q&amp;V 2'!$M$9:$M$250,2))*1000000</f>
        <v>327635740.29293668</v>
      </c>
      <c r="AI75" s="1355">
        <f>(SUMIFS('Petroleum - Q&amp;V 2'!$F$9:$F$250,'Petroleum - Q&amp;V 2'!$L$9:$L$250,LEFT('Q&amp;V FY 2003-04 to Now'!AI$7,4),'Petroleum - Q&amp;V 2'!$M$9:$M$250,3)+
SUMIFS('Petroleum - Q&amp;V 2'!$F$9:$F$250,'Petroleum - Q&amp;V 2'!$L$9:$L$250,LEFT('Q&amp;V FY 2003-04 to Now'!AI$7,4),'Petroleum - Q&amp;V 2'!$M$9:$M$250,4)+
SUMIFS('Petroleum - Q&amp;V 2'!$F$9:$F$250,'Petroleum - Q&amp;V 2'!$L$9:$L$250,CONCATENATE("20",RIGHT('Q&amp;V FY 2003-04 to Now'!AI$7,2)),'Petroleum - Q&amp;V 2'!$M$9:$M$250,1)+
SUMIFS('Petroleum - Q&amp;V 2'!$F$9:$F$250,'Petroleum - Q&amp;V 2'!$L$9:$L$250,CONCATENATE("20",RIGHT('Q&amp;V FY 2003-04 to Now'!AI$7,2)),'Petroleum - Q&amp;V 2'!$M$9:$M$250,2))</f>
        <v>583369.23</v>
      </c>
      <c r="AJ75" s="1069">
        <f>(SUMIFS('Petroleum - Q&amp;V 2'!$H$9:$H$250,'Petroleum - Q&amp;V 2'!$L$9:$L$250,LEFT('Q&amp;V FY 2003-04 to Now'!AI$7,4),'Petroleum - Q&amp;V 2'!$M$9:$M$250,3)+
SUMIFS('Petroleum - Q&amp;V 2'!$H$9:$H$250,'Petroleum - Q&amp;V 2'!$L$9:$L$250,LEFT('Q&amp;V FY 2003-04 to Now'!AI$7,4),'Petroleum - Q&amp;V 2'!$M$9:$M$250,4)+
SUMIFS('Petroleum - Q&amp;V 2'!$H$9:$H$250,'Petroleum - Q&amp;V 2'!$L$9:$L$250,CONCATENATE("20",RIGHT('Q&amp;V FY 2003-04 to Now'!AI$7,2)),'Petroleum - Q&amp;V 2'!$M$9:$M$250,1)+
SUMIFS('Petroleum - Q&amp;V 2'!$H$9:$H$250,'Petroleum - Q&amp;V 2'!$L$9:$L$250,CONCATENATE("20",RIGHT('Q&amp;V FY 2003-04 to Now'!AI$7,2)),'Petroleum - Q&amp;V 2'!$M$9:$M$250,2))*1000000</f>
        <v>309822108.20194</v>
      </c>
      <c r="AK75" s="1069">
        <f>(SUMIFS('Petroleum - Q&amp;V 2'!$F$9:$F$250,'Petroleum - Q&amp;V 2'!$L$9:$L$250,LEFT('Q&amp;V FY 2003-04 to Now'!AK$7,4),'Petroleum - Q&amp;V 2'!$M$9:$M$250,3)+
SUMIFS('Petroleum - Q&amp;V 2'!$F$9:$F$250,'Petroleum - Q&amp;V 2'!$L$9:$L$250,LEFT('Q&amp;V FY 2003-04 to Now'!AK$7,4),'Petroleum - Q&amp;V 2'!$M$9:$M$250,4)+
SUMIFS('Petroleum - Q&amp;V 2'!$F$9:$F$250,'Petroleum - Q&amp;V 2'!$L$9:$L$250,CONCATENATE("20",RIGHT('Q&amp;V FY 2003-04 to Now'!AK$7,2)),'Petroleum - Q&amp;V 2'!$M$9:$M$250,1)+
SUMIFS('Petroleum - Q&amp;V 2'!$F$9:$F$250,'Petroleum - Q&amp;V 2'!$L$9:$L$250,CONCATENATE("20",RIGHT('Q&amp;V FY 2003-04 to Now'!AK$7,2)),'Petroleum - Q&amp;V 2'!$M$9:$M$250,2))</f>
        <v>480855.82000000007</v>
      </c>
      <c r="AL75" s="1069">
        <f>(SUMIFS('Petroleum - Q&amp;V 2'!$H$9:$H$250,'Petroleum - Q&amp;V 2'!$L$9:$L$250,LEFT('Q&amp;V FY 2003-04 to Now'!AK$7,4),'Petroleum - Q&amp;V 2'!$M$9:$M$250,3)+
SUMIFS('Petroleum - Q&amp;V 2'!$H$9:$H$250,'Petroleum - Q&amp;V 2'!$L$9:$L$250,LEFT('Q&amp;V FY 2003-04 to Now'!AK$7,4),'Petroleum - Q&amp;V 2'!$M$9:$M$250,4)+
SUMIFS('Petroleum - Q&amp;V 2'!$H$9:$H$250,'Petroleum - Q&amp;V 2'!$L$9:$L$250,CONCATENATE("20",RIGHT('Q&amp;V FY 2003-04 to Now'!AK$7,2)),'Petroleum - Q&amp;V 2'!$M$9:$M$250,1)+
SUMIFS('Petroleum - Q&amp;V 2'!$H$9:$H$250,'Petroleum - Q&amp;V 2'!$L$9:$L$250,CONCATENATE("20",RIGHT('Q&amp;V FY 2003-04 to Now'!AK$7,2)),'Petroleum - Q&amp;V 2'!$M$9:$M$250,2))*1000000</f>
        <v>294627473.51252872</v>
      </c>
      <c r="AM75" s="1069">
        <f>(SUMIFS('Petroleum - Q&amp;V 2'!$F$9:$F$250,'Petroleum - Q&amp;V 2'!$L$9:$L$250,LEFT('Q&amp;V FY 2003-04 to Now'!AM$7,4),'Petroleum - Q&amp;V 2'!$M$9:$M$250,3)+
SUMIFS('Petroleum - Q&amp;V 2'!$F$9:$F$250,'Petroleum - Q&amp;V 2'!$L$9:$L$250,LEFT('Q&amp;V FY 2003-04 to Now'!AM$7,4),'Petroleum - Q&amp;V 2'!$M$9:$M$250,4)+
SUMIFS('Petroleum - Q&amp;V 2'!$F$9:$F$250,'Petroleum - Q&amp;V 2'!$L$9:$L$250,CONCATENATE("20",RIGHT('Q&amp;V FY 2003-04 to Now'!AM$7,2)),'Petroleum - Q&amp;V 2'!$M$9:$M$250,1)+
SUMIFS('Petroleum - Q&amp;V 2'!$F$9:$F$250,'Petroleum - Q&amp;V 2'!$L$9:$L$250,CONCATENATE("20",RIGHT('Q&amp;V FY 2003-04 to Now'!AM$7,2)),'Petroleum - Q&amp;V 2'!$M$9:$M$250,2))</f>
        <v>687493.35456761857</v>
      </c>
      <c r="AN75" s="1069">
        <f>(SUMIFS('Petroleum - Q&amp;V 2'!$H$9:$H$250,'Petroleum - Q&amp;V 2'!$L$9:$L$250,LEFT('Q&amp;V FY 2003-04 to Now'!AM$7,4),'Petroleum - Q&amp;V 2'!$M$9:$M$250,3)+
SUMIFS('Petroleum - Q&amp;V 2'!$H$9:$H$250,'Petroleum - Q&amp;V 2'!$L$9:$L$250,LEFT('Q&amp;V FY 2003-04 to Now'!AM$7,4),'Petroleum - Q&amp;V 2'!$M$9:$M$250,4)+
SUMIFS('Petroleum - Q&amp;V 2'!$H$9:$H$250,'Petroleum - Q&amp;V 2'!$L$9:$L$250,CONCATENATE("20",RIGHT('Q&amp;V FY 2003-04 to Now'!AM$7,2)),'Petroleum - Q&amp;V 2'!$M$9:$M$250,1)+
SUMIFS('Petroleum - Q&amp;V 2'!$H$9:$H$250,'Petroleum - Q&amp;V 2'!$L$9:$L$250,CONCATENATE("20",RIGHT('Q&amp;V FY 2003-04 to Now'!AM$7,2)),'Petroleum - Q&amp;V 2'!$M$9:$M$250,2))*1000000</f>
        <v>717264839.3776567</v>
      </c>
      <c r="AO75" s="1069">
        <f>(SUMIFS('Petroleum - Q&amp;V 2'!$F$9:$F$250,'Petroleum - Q&amp;V 2'!$L$9:$L$250,LEFT('Q&amp;V FY 2003-04 to Now'!AO$7,4),'Petroleum - Q&amp;V 2'!$M$9:$M$250,3)+
SUMIFS('Petroleum - Q&amp;V 2'!$F$9:$F$250,'Petroleum - Q&amp;V 2'!$L$9:$L$250,LEFT('Q&amp;V FY 2003-04 to Now'!AO$7,4),'Petroleum - Q&amp;V 2'!$M$9:$M$250,4)+
SUMIFS('Petroleum - Q&amp;V 2'!$F$9:$F$250,'Petroleum - Q&amp;V 2'!$L$9:$L$250,CONCATENATE("20",RIGHT('Q&amp;V FY 2003-04 to Now'!AO$7,2)),'Petroleum - Q&amp;V 2'!$M$9:$M$250,1)+
SUMIFS('Petroleum - Q&amp;V 2'!$F$9:$F$250,'Petroleum - Q&amp;V 2'!$L$9:$L$250,CONCATENATE("20",RIGHT('Q&amp;V FY 2003-04 to Now'!AO$7,2)),'Petroleum - Q&amp;V 2'!$M$9:$M$250,2))</f>
        <v>756333.74458608183</v>
      </c>
      <c r="AP75" s="1069">
        <f>(SUMIFS('Petroleum - Q&amp;V 2'!$H$9:$H$250,'Petroleum - Q&amp;V 2'!$L$9:$L$250,LEFT('Q&amp;V FY 2003-04 to Now'!AO$7,4),'Petroleum - Q&amp;V 2'!$M$9:$M$250,3)+
SUMIFS('Petroleum - Q&amp;V 2'!$H$9:$H$250,'Petroleum - Q&amp;V 2'!$L$9:$L$250,LEFT('Q&amp;V FY 2003-04 to Now'!AO$7,4),'Petroleum - Q&amp;V 2'!$M$9:$M$250,4)+
SUMIFS('Petroleum - Q&amp;V 2'!$H$9:$H$250,'Petroleum - Q&amp;V 2'!$L$9:$L$250,CONCATENATE("20",RIGHT('Q&amp;V FY 2003-04 to Now'!AO$7,2)),'Petroleum - Q&amp;V 2'!$M$9:$M$250,1)+
SUMIFS('Petroleum - Q&amp;V 2'!$H$9:$H$250,'Petroleum - Q&amp;V 2'!$L$9:$L$250,CONCATENATE("20",RIGHT('Q&amp;V FY 2003-04 to Now'!AO$7,2)),'Petroleum - Q&amp;V 2'!$M$9:$M$250,2))*1000000</f>
        <v>720519013.17553914</v>
      </c>
      <c r="AQ75" s="734">
        <f>SUMIF($C$9:AP$9,1,$C75:AP75)</f>
        <v>13822898.149153702</v>
      </c>
      <c r="AR75" s="723">
        <f>IF(COUNTIF($C75:AP75, "nfp")=0, SUMIF($C$9:AP$9,0,$C75:AP75), "nfp")</f>
        <v>10201379114.53583</v>
      </c>
      <c r="AT75" s="317"/>
      <c r="AU75" s="317"/>
      <c r="AV75" s="381"/>
      <c r="AW75" s="381"/>
    </row>
    <row r="76" spans="1:49">
      <c r="A76" s="263" t="s">
        <v>500</v>
      </c>
      <c r="B76" s="258" t="s">
        <v>226</v>
      </c>
      <c r="C76" s="723">
        <f>(SUMIFS('Petroleum - Q&amp;V 2'!$I$9:$I$250,'Petroleum - Q&amp;V 2'!$L$9:$L$250,LEFT('Q&amp;V FY 2003-04 to Now'!C$7,4),'Petroleum - Q&amp;V 2'!$M$9:$M$250,3)+
SUMIFS('Petroleum - Q&amp;V 2'!$I$9:$I$250,'Petroleum - Q&amp;V 2'!$L$9:$L$250,LEFT('Q&amp;V FY 2003-04 to Now'!C$7,4),'Petroleum - Q&amp;V 2'!$M$9:$M$250,4)+
SUMIFS('Petroleum - Q&amp;V 2'!$I$9:$I$250,'Petroleum - Q&amp;V 2'!$L$9:$L$250,CONCATENATE("20",RIGHT('Q&amp;V FY 2003-04 to Now'!C$7,2)),'Petroleum - Q&amp;V 2'!$M$9:$M$250,1)+
SUMIFS('Petroleum - Q&amp;V 2'!$I$9:$I$250,'Petroleum - Q&amp;V 2'!$L$9:$L$250,CONCATENATE("20",RIGHT('Q&amp;V FY 2003-04 to Now'!C$7,2)),'Petroleum - Q&amp;V 2'!$M$9:$M$250,2))</f>
        <v>8060810</v>
      </c>
      <c r="D76" s="723">
        <f>(SUMIFS('Petroleum - Q&amp;V 2'!$K$9:$K$250,'Petroleum - Q&amp;V 2'!$L$9:$L$250,LEFT('Q&amp;V FY 2003-04 to Now'!C$7,4),'Petroleum - Q&amp;V 2'!$M$9:$M$250,3)+
SUMIFS('Petroleum - Q&amp;V 2'!$K$9:$K$250,'Petroleum - Q&amp;V 2'!$L$9:$L$250,LEFT('Q&amp;V FY 2003-04 to Now'!C$7,4),'Petroleum - Q&amp;V 2'!$M$9:$M$250,4)+
SUMIFS('Petroleum - Q&amp;V 2'!$K$9:$K$250,'Petroleum - Q&amp;V 2'!$L$9:$L$250,CONCATENATE("20",RIGHT('Q&amp;V FY 2003-04 to Now'!C$7,2)),'Petroleum - Q&amp;V 2'!$M$9:$M$250,1)+
SUMIFS('Petroleum - Q&amp;V 2'!$K$9:$K$250,'Petroleum - Q&amp;V 2'!$L$9:$L$250,CONCATENATE("20",RIGHT('Q&amp;V FY 2003-04 to Now'!C$7,2)),'Petroleum - Q&amp;V 2'!$M$9:$M$250,2))*1000000</f>
        <v>681043656.99999988</v>
      </c>
      <c r="E76" s="723">
        <f>(SUMIFS('Petroleum - Q&amp;V 2'!$I$9:$I$250,'Petroleum - Q&amp;V 2'!$L$9:$L$250,LEFT('Q&amp;V FY 2003-04 to Now'!E$7,4),'Petroleum - Q&amp;V 2'!$M$9:$M$250,3)+
SUMIFS('Petroleum - Q&amp;V 2'!$I$9:$I$250,'Petroleum - Q&amp;V 2'!$L$9:$L$250,LEFT('Q&amp;V FY 2003-04 to Now'!E$7,4),'Petroleum - Q&amp;V 2'!$M$9:$M$250,4)+
SUMIFS('Petroleum - Q&amp;V 2'!$I$9:$I$250,'Petroleum - Q&amp;V 2'!$L$9:$L$250,CONCATENATE("20",RIGHT('Q&amp;V FY 2003-04 to Now'!E$7,2)),'Petroleum - Q&amp;V 2'!$M$9:$M$250,1)+
SUMIFS('Petroleum - Q&amp;V 2'!$I$9:$I$250,'Petroleum - Q&amp;V 2'!$L$9:$L$250,CONCATENATE("20",RIGHT('Q&amp;V FY 2003-04 to Now'!E$7,2)),'Petroleum - Q&amp;V 2'!$M$9:$M$250,2))</f>
        <v>7642801</v>
      </c>
      <c r="F76" s="723">
        <f>(SUMIFS('Petroleum - Q&amp;V 2'!$K$9:$K$250,'Petroleum - Q&amp;V 2'!$L$9:$L$250,LEFT('Q&amp;V FY 2003-04 to Now'!E$7,4),'Petroleum - Q&amp;V 2'!$M$9:$M$250,3)+
SUMIFS('Petroleum - Q&amp;V 2'!$K$9:$K$250,'Petroleum - Q&amp;V 2'!$L$9:$L$250,LEFT('Q&amp;V FY 2003-04 to Now'!E$7,4),'Petroleum - Q&amp;V 2'!$M$9:$M$250,4)+
SUMIFS('Petroleum - Q&amp;V 2'!$K$9:$K$250,'Petroleum - Q&amp;V 2'!$L$9:$L$250,CONCATENATE("20",RIGHT('Q&amp;V FY 2003-04 to Now'!E$7,2)),'Petroleum - Q&amp;V 2'!$M$9:$M$250,1)+
SUMIFS('Petroleum - Q&amp;V 2'!$K$9:$K$250,'Petroleum - Q&amp;V 2'!$L$9:$L$250,CONCATENATE("20",RIGHT('Q&amp;V FY 2003-04 to Now'!E$7,2)),'Petroleum - Q&amp;V 2'!$M$9:$M$250,2))*1000000</f>
        <v>678722971</v>
      </c>
      <c r="G76" s="723">
        <f>(SUMIFS('Petroleum - Q&amp;V 2'!$I$9:$I$250,'Petroleum - Q&amp;V 2'!$L$9:$L$250,LEFT('Q&amp;V FY 2003-04 to Now'!G$7,4),'Petroleum - Q&amp;V 2'!$M$9:$M$250,3)+
SUMIFS('Petroleum - Q&amp;V 2'!$I$9:$I$250,'Petroleum - Q&amp;V 2'!$L$9:$L$250,LEFT('Q&amp;V FY 2003-04 to Now'!G$7,4),'Petroleum - Q&amp;V 2'!$M$9:$M$250,4)+
SUMIFS('Petroleum - Q&amp;V 2'!$I$9:$I$250,'Petroleum - Q&amp;V 2'!$L$9:$L$250,CONCATENATE("20",RIGHT('Q&amp;V FY 2003-04 to Now'!G$7,2)),'Petroleum - Q&amp;V 2'!$M$9:$M$250,1)+
SUMIFS('Petroleum - Q&amp;V 2'!$I$9:$I$250,'Petroleum - Q&amp;V 2'!$L$9:$L$250,CONCATENATE("20",RIGHT('Q&amp;V FY 2003-04 to Now'!G$7,2)),'Petroleum - Q&amp;V 2'!$M$9:$M$250,2))</f>
        <v>7713414</v>
      </c>
      <c r="H76" s="723">
        <f>(SUMIFS('Petroleum - Q&amp;V 2'!$K$9:$K$250,'Petroleum - Q&amp;V 2'!$L$9:$L$250,LEFT('Q&amp;V FY 2003-04 to Now'!G$7,4),'Petroleum - Q&amp;V 2'!$M$9:$M$250,3)+
SUMIFS('Petroleum - Q&amp;V 2'!$K$9:$K$250,'Petroleum - Q&amp;V 2'!$L$9:$L$250,LEFT('Q&amp;V FY 2003-04 to Now'!G$7,4),'Petroleum - Q&amp;V 2'!$M$9:$M$250,4)+
SUMIFS('Petroleum - Q&amp;V 2'!$K$9:$K$250,'Petroleum - Q&amp;V 2'!$L$9:$L$250,CONCATENATE("20",RIGHT('Q&amp;V FY 2003-04 to Now'!G$7,2)),'Petroleum - Q&amp;V 2'!$M$9:$M$250,1)+
SUMIFS('Petroleum - Q&amp;V 2'!$K$9:$K$250,'Petroleum - Q&amp;V 2'!$L$9:$L$250,CONCATENATE("20",RIGHT('Q&amp;V FY 2003-04 to Now'!G$7,2)),'Petroleum - Q&amp;V 2'!$M$9:$M$250,2))*1000000</f>
        <v>700982811</v>
      </c>
      <c r="I76" s="723">
        <f>(SUMIFS('Petroleum - Q&amp;V 2'!$I$9:$I$250,'Petroleum - Q&amp;V 2'!$L$9:$L$250,LEFT('Q&amp;V FY 2003-04 to Now'!I$7,4),'Petroleum - Q&amp;V 2'!$M$9:$M$250,3)+
SUMIFS('Petroleum - Q&amp;V 2'!$I$9:$I$250,'Petroleum - Q&amp;V 2'!$L$9:$L$250,LEFT('Q&amp;V FY 2003-04 to Now'!I$7,4),'Petroleum - Q&amp;V 2'!$M$9:$M$250,4)+
SUMIFS('Petroleum - Q&amp;V 2'!$I$9:$I$250,'Petroleum - Q&amp;V 2'!$L$9:$L$250,CONCATENATE("20",RIGHT('Q&amp;V FY 2003-04 to Now'!I$7,2)),'Petroleum - Q&amp;V 2'!$M$9:$M$250,1)+
SUMIFS('Petroleum - Q&amp;V 2'!$I$9:$I$250,'Petroleum - Q&amp;V 2'!$L$9:$L$250,CONCATENATE("20",RIGHT('Q&amp;V FY 2003-04 to Now'!I$7,2)),'Petroleum - Q&amp;V 2'!$M$9:$M$250,2))</f>
        <v>8714911</v>
      </c>
      <c r="J76" s="723">
        <f>(SUMIFS('Petroleum - Q&amp;V 2'!$K$9:$K$250,'Petroleum - Q&amp;V 2'!$L$9:$L$250,LEFT('Q&amp;V FY 2003-04 to Now'!I$7,4),'Petroleum - Q&amp;V 2'!$M$9:$M$250,3)+
SUMIFS('Petroleum - Q&amp;V 2'!$K$9:$K$250,'Petroleum - Q&amp;V 2'!$L$9:$L$250,LEFT('Q&amp;V FY 2003-04 to Now'!I$7,4),'Petroleum - Q&amp;V 2'!$M$9:$M$250,4)+
SUMIFS('Petroleum - Q&amp;V 2'!$K$9:$K$250,'Petroleum - Q&amp;V 2'!$L$9:$L$250,CONCATENATE("20",RIGHT('Q&amp;V FY 2003-04 to Now'!I$7,2)),'Petroleum - Q&amp;V 2'!$M$9:$M$250,1)+
SUMIFS('Petroleum - Q&amp;V 2'!$K$9:$K$250,'Petroleum - Q&amp;V 2'!$L$9:$L$250,CONCATENATE("20",RIGHT('Q&amp;V FY 2003-04 to Now'!I$7,2)),'Petroleum - Q&amp;V 2'!$M$9:$M$250,2))*1000000</f>
        <v>918022034</v>
      </c>
      <c r="K76" s="723">
        <f>(SUMIFS('Petroleum - Q&amp;V 2'!$I$9:$I$250,'Petroleum - Q&amp;V 2'!$L$9:$L$250,LEFT('Q&amp;V FY 2003-04 to Now'!K$7,4),'Petroleum - Q&amp;V 2'!$M$9:$M$250,3)+
SUMIFS('Petroleum - Q&amp;V 2'!$I$9:$I$250,'Petroleum - Q&amp;V 2'!$L$9:$L$250,LEFT('Q&amp;V FY 2003-04 to Now'!K$7,4),'Petroleum - Q&amp;V 2'!$M$9:$M$250,4)+
SUMIFS('Petroleum - Q&amp;V 2'!$I$9:$I$250,'Petroleum - Q&amp;V 2'!$L$9:$L$250,CONCATENATE("20",RIGHT('Q&amp;V FY 2003-04 to Now'!K$7,2)),'Petroleum - Q&amp;V 2'!$M$9:$M$250,1)+
SUMIFS('Petroleum - Q&amp;V 2'!$I$9:$I$250,'Petroleum - Q&amp;V 2'!$L$9:$L$250,CONCATENATE("20",RIGHT('Q&amp;V FY 2003-04 to Now'!K$7,2)),'Petroleum - Q&amp;V 2'!$M$9:$M$250,2))</f>
        <v>9159073</v>
      </c>
      <c r="L76" s="723">
        <f>(SUMIFS('Petroleum - Q&amp;V 2'!$K$9:$K$250,'Petroleum - Q&amp;V 2'!$L$9:$L$250,LEFT('Q&amp;V FY 2003-04 to Now'!K$7,4),'Petroleum - Q&amp;V 2'!$M$9:$M$250,3)+
SUMIFS('Petroleum - Q&amp;V 2'!$K$9:$K$250,'Petroleum - Q&amp;V 2'!$L$9:$L$250,LEFT('Q&amp;V FY 2003-04 to Now'!K$7,4),'Petroleum - Q&amp;V 2'!$M$9:$M$250,4)+
SUMIFS('Petroleum - Q&amp;V 2'!$K$9:$K$250,'Petroleum - Q&amp;V 2'!$L$9:$L$250,CONCATENATE("20",RIGHT('Q&amp;V FY 2003-04 to Now'!K$7,2)),'Petroleum - Q&amp;V 2'!$M$9:$M$250,1)+
SUMIFS('Petroleum - Q&amp;V 2'!$K$9:$K$250,'Petroleum - Q&amp;V 2'!$L$9:$L$250,CONCATENATE("20",RIGHT('Q&amp;V FY 2003-04 to Now'!K$7,2)),'Petroleum - Q&amp;V 2'!$M$9:$M$250,2))*1000000</f>
        <v>1054018227.9999999</v>
      </c>
      <c r="M76" s="723">
        <f>(SUMIFS('Petroleum - Q&amp;V 2'!$I$9:$I$250,'Petroleum - Q&amp;V 2'!$L$9:$L$250,LEFT('Q&amp;V FY 2003-04 to Now'!M$7,4),'Petroleum - Q&amp;V 2'!$M$9:$M$250,3)+
SUMIFS('Petroleum - Q&amp;V 2'!$I$9:$I$250,'Petroleum - Q&amp;V 2'!$L$9:$L$250,LEFT('Q&amp;V FY 2003-04 to Now'!M$7,4),'Petroleum - Q&amp;V 2'!$M$9:$M$250,4)+
SUMIFS('Petroleum - Q&amp;V 2'!$I$9:$I$250,'Petroleum - Q&amp;V 2'!$L$9:$L$250,CONCATENATE("20",RIGHT('Q&amp;V FY 2003-04 to Now'!M$7,2)),'Petroleum - Q&amp;V 2'!$M$9:$M$250,1)+
SUMIFS('Petroleum - Q&amp;V 2'!$I$9:$I$250,'Petroleum - Q&amp;V 2'!$L$9:$L$250,CONCATENATE("20",RIGHT('Q&amp;V FY 2003-04 to Now'!M$7,2)),'Petroleum - Q&amp;V 2'!$M$9:$M$250,2))</f>
        <v>8598035</v>
      </c>
      <c r="N76" s="723">
        <f>(SUMIFS('Petroleum - Q&amp;V 2'!$K$9:$K$250,'Petroleum - Q&amp;V 2'!$L$9:$L$250,LEFT('Q&amp;V FY 2003-04 to Now'!M$7,4),'Petroleum - Q&amp;V 2'!$M$9:$M$250,3)+
SUMIFS('Petroleum - Q&amp;V 2'!$K$9:$K$250,'Petroleum - Q&amp;V 2'!$L$9:$L$250,LEFT('Q&amp;V FY 2003-04 to Now'!M$7,4),'Petroleum - Q&amp;V 2'!$M$9:$M$250,4)+
SUMIFS('Petroleum - Q&amp;V 2'!$K$9:$K$250,'Petroleum - Q&amp;V 2'!$L$9:$L$250,CONCATENATE("20",RIGHT('Q&amp;V FY 2003-04 to Now'!M$7,2)),'Petroleum - Q&amp;V 2'!$M$9:$M$250,1)+
SUMIFS('Petroleum - Q&amp;V 2'!$K$9:$K$250,'Petroleum - Q&amp;V 2'!$L$9:$L$250,CONCATENATE("20",RIGHT('Q&amp;V FY 2003-04 to Now'!M$7,2)),'Petroleum - Q&amp;V 2'!$M$9:$M$250,2))*1000000</f>
        <v>1232208987.9999998</v>
      </c>
      <c r="O76" s="723">
        <f>(SUMIFS('Petroleum - Q&amp;V 2'!$I$9:$I$250,'Petroleum - Q&amp;V 2'!$L$9:$L$250,LEFT('Q&amp;V FY 2003-04 to Now'!O$7,4),'Petroleum - Q&amp;V 2'!$M$9:$M$250,3)+
SUMIFS('Petroleum - Q&amp;V 2'!$I$9:$I$250,'Petroleum - Q&amp;V 2'!$L$9:$L$250,LEFT('Q&amp;V FY 2003-04 to Now'!O$7,4),'Petroleum - Q&amp;V 2'!$M$9:$M$250,4)+
SUMIFS('Petroleum - Q&amp;V 2'!$I$9:$I$250,'Petroleum - Q&amp;V 2'!$L$9:$L$250,CONCATENATE("20",RIGHT('Q&amp;V FY 2003-04 to Now'!O$7,2)),'Petroleum - Q&amp;V 2'!$M$9:$M$250,1)+
SUMIFS('Petroleum - Q&amp;V 2'!$I$9:$I$250,'Petroleum - Q&amp;V 2'!$L$9:$L$250,CONCATENATE("20",RIGHT('Q&amp;V FY 2003-04 to Now'!O$7,2)),'Petroleum - Q&amp;V 2'!$M$9:$M$250,2))</f>
        <v>9357026</v>
      </c>
      <c r="P76" s="723">
        <f>(SUMIFS('Petroleum - Q&amp;V 2'!$K$9:$K$250,'Petroleum - Q&amp;V 2'!$L$9:$L$250,LEFT('Q&amp;V FY 2003-04 to Now'!O$7,4),'Petroleum - Q&amp;V 2'!$M$9:$M$250,3)+
SUMIFS('Petroleum - Q&amp;V 2'!$K$9:$K$250,'Petroleum - Q&amp;V 2'!$L$9:$L$250,LEFT('Q&amp;V FY 2003-04 to Now'!O$7,4),'Petroleum - Q&amp;V 2'!$M$9:$M$250,4)+
SUMIFS('Petroleum - Q&amp;V 2'!$K$9:$K$250,'Petroleum - Q&amp;V 2'!$L$9:$L$250,CONCATENATE("20",RIGHT('Q&amp;V FY 2003-04 to Now'!O$7,2)),'Petroleum - Q&amp;V 2'!$M$9:$M$250,1)+
SUMIFS('Petroleum - Q&amp;V 2'!$K$9:$K$250,'Petroleum - Q&amp;V 2'!$L$9:$L$250,CONCATENATE("20",RIGHT('Q&amp;V FY 2003-04 to Now'!O$7,2)),'Petroleum - Q&amp;V 2'!$M$9:$M$250,2))*1000000</f>
        <v>1320801777.0000002</v>
      </c>
      <c r="Q76" s="723">
        <f>(SUMIFS('Petroleum - Q&amp;V 2'!$I$9:$I$250,'Petroleum - Q&amp;V 2'!$L$9:$L$250,LEFT('Q&amp;V FY 2003-04 to Now'!Q$7,4),'Petroleum - Q&amp;V 2'!$M$9:$M$250,3)+
SUMIFS('Petroleum - Q&amp;V 2'!$I$9:$I$250,'Petroleum - Q&amp;V 2'!$L$9:$L$250,LEFT('Q&amp;V FY 2003-04 to Now'!Q$7,4),'Petroleum - Q&amp;V 2'!$M$9:$M$250,4)+
SUMIFS('Petroleum - Q&amp;V 2'!$I$9:$I$250,'Petroleum - Q&amp;V 2'!$L$9:$L$250,CONCATENATE("20",RIGHT('Q&amp;V FY 2003-04 to Now'!Q$7,2)),'Petroleum - Q&amp;V 2'!$M$9:$M$250,1)+
SUMIFS('Petroleum - Q&amp;V 2'!$I$9:$I$250,'Petroleum - Q&amp;V 2'!$L$9:$L$250,CONCATENATE("20",RIGHT('Q&amp;V FY 2003-04 to Now'!Q$7,2)),'Petroleum - Q&amp;V 2'!$M$9:$M$250,2))</f>
        <v>8981495</v>
      </c>
      <c r="R76" s="723">
        <f>(SUMIFS('Petroleum - Q&amp;V 2'!$K$9:$K$250,'Petroleum - Q&amp;V 2'!$L$9:$L$250,LEFT('Q&amp;V FY 2003-04 to Now'!Q$7,4),'Petroleum - Q&amp;V 2'!$M$9:$M$250,3)+
SUMIFS('Petroleum - Q&amp;V 2'!$K$9:$K$250,'Petroleum - Q&amp;V 2'!$L$9:$L$250,LEFT('Q&amp;V FY 2003-04 to Now'!Q$7,4),'Petroleum - Q&amp;V 2'!$M$9:$M$250,4)+
SUMIFS('Petroleum - Q&amp;V 2'!$K$9:$K$250,'Petroleum - Q&amp;V 2'!$L$9:$L$250,CONCATENATE("20",RIGHT('Q&amp;V FY 2003-04 to Now'!Q$7,2)),'Petroleum - Q&amp;V 2'!$M$9:$M$250,1)+
SUMIFS('Petroleum - Q&amp;V 2'!$K$9:$K$250,'Petroleum - Q&amp;V 2'!$L$9:$L$250,CONCATENATE("20",RIGHT('Q&amp;V FY 2003-04 to Now'!Q$7,2)),'Petroleum - Q&amp;V 2'!$M$9:$M$250,2))*1000000</f>
        <v>1364589067</v>
      </c>
      <c r="S76" s="723">
        <f>(SUMIFS('Petroleum - Q&amp;V 2'!$I$9:$I$250,'Petroleum - Q&amp;V 2'!$L$9:$L$250,LEFT('Q&amp;V FY 2003-04 to Now'!S$7,4),'Petroleum - Q&amp;V 2'!$M$9:$M$250,3)+
SUMIFS('Petroleum - Q&amp;V 2'!$I$9:$I$250,'Petroleum - Q&amp;V 2'!$L$9:$L$250,LEFT('Q&amp;V FY 2003-04 to Now'!S$7,4),'Petroleum - Q&amp;V 2'!$M$9:$M$250,4)+
SUMIFS('Petroleum - Q&amp;V 2'!$I$9:$I$250,'Petroleum - Q&amp;V 2'!$L$9:$L$250,CONCATENATE("20",RIGHT('Q&amp;V FY 2003-04 to Now'!S$7,2)),'Petroleum - Q&amp;V 2'!$M$9:$M$250,1)+
SUMIFS('Petroleum - Q&amp;V 2'!$I$9:$I$250,'Petroleum - Q&amp;V 2'!$L$9:$L$250,CONCATENATE("20",RIGHT('Q&amp;V FY 2003-04 to Now'!S$7,2)),'Petroleum - Q&amp;V 2'!$M$9:$M$250,2))</f>
        <v>9080655</v>
      </c>
      <c r="T76" s="723">
        <f>(SUMIFS('Petroleum - Q&amp;V 2'!$K$9:$K$250,'Petroleum - Q&amp;V 2'!$L$9:$L$250,LEFT('Q&amp;V FY 2003-04 to Now'!S$7,4),'Petroleum - Q&amp;V 2'!$M$9:$M$250,3)+
SUMIFS('Petroleum - Q&amp;V 2'!$K$9:$K$250,'Petroleum - Q&amp;V 2'!$L$9:$L$250,LEFT('Q&amp;V FY 2003-04 to Now'!S$7,4),'Petroleum - Q&amp;V 2'!$M$9:$M$250,4)+
SUMIFS('Petroleum - Q&amp;V 2'!$K$9:$K$250,'Petroleum - Q&amp;V 2'!$L$9:$L$250,CONCATENATE("20",RIGHT('Q&amp;V FY 2003-04 to Now'!S$7,2)),'Petroleum - Q&amp;V 2'!$M$9:$M$250,1)+
SUMIFS('Petroleum - Q&amp;V 2'!$K$9:$K$250,'Petroleum - Q&amp;V 2'!$L$9:$L$250,CONCATENATE("20",RIGHT('Q&amp;V FY 2003-04 to Now'!S$7,2)),'Petroleum - Q&amp;V 2'!$M$9:$M$250,2))*1000000</f>
        <v>1449810229</v>
      </c>
      <c r="U76" s="723">
        <f>(SUMIFS('Petroleum - Q&amp;V 2'!$I$9:$I$250,'Petroleum - Q&amp;V 2'!$L$9:$L$250,LEFT('Q&amp;V FY 2003-04 to Now'!U$7,4),'Petroleum - Q&amp;V 2'!$M$9:$M$250,3)+
SUMIFS('Petroleum - Q&amp;V 2'!$I$9:$I$250,'Petroleum - Q&amp;V 2'!$L$9:$L$250,LEFT('Q&amp;V FY 2003-04 to Now'!U$7,4),'Petroleum - Q&amp;V 2'!$M$9:$M$250,4)+
SUMIFS('Petroleum - Q&amp;V 2'!$I$9:$I$250,'Petroleum - Q&amp;V 2'!$L$9:$L$250,CONCATENATE("20",RIGHT('Q&amp;V FY 2003-04 to Now'!U$7,2)),'Petroleum - Q&amp;V 2'!$M$9:$M$250,1)+
SUMIFS('Petroleum - Q&amp;V 2'!$I$9:$I$250,'Petroleum - Q&amp;V 2'!$L$9:$L$250,CONCATENATE("20",RIGHT('Q&amp;V FY 2003-04 to Now'!U$7,2)),'Petroleum - Q&amp;V 2'!$M$9:$M$250,2))</f>
        <v>8713949</v>
      </c>
      <c r="V76" s="723">
        <f>(SUMIFS('Petroleum - Q&amp;V 2'!$K$9:$K$250,'Petroleum - Q&amp;V 2'!$L$9:$L$250,LEFT('Q&amp;V FY 2003-04 to Now'!U$7,4),'Petroleum - Q&amp;V 2'!$M$9:$M$250,3)+
SUMIFS('Petroleum - Q&amp;V 2'!$K$9:$K$250,'Petroleum - Q&amp;V 2'!$L$9:$L$250,LEFT('Q&amp;V FY 2003-04 to Now'!U$7,4),'Petroleum - Q&amp;V 2'!$M$9:$M$250,4)+
SUMIFS('Petroleum - Q&amp;V 2'!$K$9:$K$250,'Petroleum - Q&amp;V 2'!$L$9:$L$250,CONCATENATE("20",RIGHT('Q&amp;V FY 2003-04 to Now'!U$7,2)),'Petroleum - Q&amp;V 2'!$M$9:$M$250,1)+
SUMIFS('Petroleum - Q&amp;V 2'!$K$9:$K$250,'Petroleum - Q&amp;V 2'!$L$9:$L$250,CONCATENATE("20",RIGHT('Q&amp;V FY 2003-04 to Now'!U$7,2)),'Petroleum - Q&amp;V 2'!$M$9:$M$250,2))*1000000</f>
        <v>1434550772</v>
      </c>
      <c r="W76" s="723">
        <f>(SUMIFS('Petroleum - Q&amp;V 2'!$I$9:$I$250,'Petroleum - Q&amp;V 2'!$L$9:$L$250,LEFT('Q&amp;V FY 2003-04 to Now'!W$7,4),'Petroleum - Q&amp;V 2'!$M$9:$M$250,3)+
SUMIFS('Petroleum - Q&amp;V 2'!$I$9:$I$250,'Petroleum - Q&amp;V 2'!$L$9:$L$250,LEFT('Q&amp;V FY 2003-04 to Now'!W$7,4),'Petroleum - Q&amp;V 2'!$M$9:$M$250,4)+
SUMIFS('Petroleum - Q&amp;V 2'!$I$9:$I$250,'Petroleum - Q&amp;V 2'!$L$9:$L$250,CONCATENATE("20",RIGHT('Q&amp;V FY 2003-04 to Now'!W$7,2)),'Petroleum - Q&amp;V 2'!$M$9:$M$250,1)+
SUMIFS('Petroleum - Q&amp;V 2'!$I$9:$I$250,'Petroleum - Q&amp;V 2'!$L$9:$L$250,CONCATENATE("20",RIGHT('Q&amp;V FY 2003-04 to Now'!W$7,2)),'Petroleum - Q&amp;V 2'!$M$9:$M$250,2))</f>
        <v>9736820</v>
      </c>
      <c r="X76" s="723">
        <f>(SUMIFS('Petroleum - Q&amp;V 2'!$K$9:$K$250,'Petroleum - Q&amp;V 2'!$L$9:$L$250,LEFT('Q&amp;V FY 2003-04 to Now'!W$7,4),'Petroleum - Q&amp;V 2'!$M$9:$M$250,3)+
SUMIFS('Petroleum - Q&amp;V 2'!$K$9:$K$250,'Petroleum - Q&amp;V 2'!$L$9:$L$250,LEFT('Q&amp;V FY 2003-04 to Now'!W$7,4),'Petroleum - Q&amp;V 2'!$M$9:$M$250,4)+
SUMIFS('Petroleum - Q&amp;V 2'!$K$9:$K$250,'Petroleum - Q&amp;V 2'!$L$9:$L$250,CONCATENATE("20",RIGHT('Q&amp;V FY 2003-04 to Now'!W$7,2)),'Petroleum - Q&amp;V 2'!$M$9:$M$250,1)+
SUMIFS('Petroleum - Q&amp;V 2'!$K$9:$K$250,'Petroleum - Q&amp;V 2'!$L$9:$L$250,CONCATENATE("20",RIGHT('Q&amp;V FY 2003-04 to Now'!W$7,2)),'Petroleum - Q&amp;V 2'!$M$9:$M$250,2))*1000000</f>
        <v>1734960459.0000002</v>
      </c>
      <c r="Y76" s="723">
        <f>(SUMIFS('Petroleum - Q&amp;V 2'!$I$9:$I$250,'Petroleum - Q&amp;V 2'!$L$9:$L$250,LEFT('Q&amp;V FY 2003-04 to Now'!Y$7,4),'Petroleum - Q&amp;V 2'!$M$9:$M$250,3)+
SUMIFS('Petroleum - Q&amp;V 2'!$I$9:$I$250,'Petroleum - Q&amp;V 2'!$L$9:$L$250,LEFT('Q&amp;V FY 2003-04 to Now'!Y$7,4),'Petroleum - Q&amp;V 2'!$M$9:$M$250,4)+
SUMIFS('Petroleum - Q&amp;V 2'!$I$9:$I$250,'Petroleum - Q&amp;V 2'!$L$9:$L$250,CONCATENATE("20",RIGHT('Q&amp;V FY 2003-04 to Now'!Y$7,2)),'Petroleum - Q&amp;V 2'!$M$9:$M$250,1)+
SUMIFS('Petroleum - Q&amp;V 2'!$I$9:$I$250,'Petroleum - Q&amp;V 2'!$L$9:$L$250,CONCATENATE("20",RIGHT('Q&amp;V FY 2003-04 to Now'!Y$7,2)),'Petroleum - Q&amp;V 2'!$M$9:$M$250,2))</f>
        <v>9875338.7119999994</v>
      </c>
      <c r="Z76" s="723">
        <f>(SUMIFS('Petroleum - Q&amp;V 2'!$K$9:$K$250,'Petroleum - Q&amp;V 2'!$L$9:$L$250,LEFT('Q&amp;V FY 2003-04 to Now'!Y$7,4),'Petroleum - Q&amp;V 2'!$M$9:$M$250,3)+
SUMIFS('Petroleum - Q&amp;V 2'!$K$9:$K$250,'Petroleum - Q&amp;V 2'!$L$9:$L$250,LEFT('Q&amp;V FY 2003-04 to Now'!Y$7,4),'Petroleum - Q&amp;V 2'!$M$9:$M$250,4)+
SUMIFS('Petroleum - Q&amp;V 2'!$K$9:$K$250,'Petroleum - Q&amp;V 2'!$L$9:$L$250,CONCATENATE("20",RIGHT('Q&amp;V FY 2003-04 to Now'!Y$7,2)),'Petroleum - Q&amp;V 2'!$M$9:$M$250,1)+
SUMIFS('Petroleum - Q&amp;V 2'!$K$9:$K$250,'Petroleum - Q&amp;V 2'!$L$9:$L$250,CONCATENATE("20",RIGHT('Q&amp;V FY 2003-04 to Now'!Y$7,2)),'Petroleum - Q&amp;V 2'!$M$9:$M$250,2))*1000000</f>
        <v>1820197055.1041887</v>
      </c>
      <c r="AA76" s="723">
        <f>(SUMIFS('Petroleum - Q&amp;V 2'!$I$9:$I$250,'Petroleum - Q&amp;V 2'!$L$9:$L$250,LEFT('Q&amp;V FY 2003-04 to Now'!AA$7,4),'Petroleum - Q&amp;V 2'!$M$9:$M$250,3)+
SUMIFS('Petroleum - Q&amp;V 2'!$I$9:$I$250,'Petroleum - Q&amp;V 2'!$L$9:$L$250,LEFT('Q&amp;V FY 2003-04 to Now'!AA$7,4),'Petroleum - Q&amp;V 2'!$M$9:$M$250,4)+
SUMIFS('Petroleum - Q&amp;V 2'!$I$9:$I$250,'Petroleum - Q&amp;V 2'!$L$9:$L$250,CONCATENATE("20",RIGHT('Q&amp;V FY 2003-04 to Now'!AA$7,2)),'Petroleum - Q&amp;V 2'!$M$9:$M$250,1)+
SUMIFS('Petroleum - Q&amp;V 2'!$I$9:$I$250,'Petroleum - Q&amp;V 2'!$L$9:$L$250,CONCATENATE("20",RIGHT('Q&amp;V FY 2003-04 to Now'!AA$7,2)),'Petroleum - Q&amp;V 2'!$M$9:$M$250,2))</f>
        <v>10057759.254619999</v>
      </c>
      <c r="AB76" s="723">
        <f>(SUMIFS('Petroleum - Q&amp;V 2'!$K$9:$K$250,'Petroleum - Q&amp;V 2'!$L$9:$L$250,LEFT('Q&amp;V FY 2003-04 to Now'!AA$7,4),'Petroleum - Q&amp;V 2'!$M$9:$M$250,3)+
SUMIFS('Petroleum - Q&amp;V 2'!$K$9:$K$250,'Petroleum - Q&amp;V 2'!$L$9:$L$250,LEFT('Q&amp;V FY 2003-04 to Now'!AA$7,4),'Petroleum - Q&amp;V 2'!$M$9:$M$250,4)+
SUMIFS('Petroleum - Q&amp;V 2'!$K$9:$K$250,'Petroleum - Q&amp;V 2'!$L$9:$L$250,CONCATENATE("20",RIGHT('Q&amp;V FY 2003-04 to Now'!AA$7,2)),'Petroleum - Q&amp;V 2'!$M$9:$M$250,1)+
SUMIFS('Petroleum - Q&amp;V 2'!$K$9:$K$250,'Petroleum - Q&amp;V 2'!$L$9:$L$250,CONCATENATE("20",RIGHT('Q&amp;V FY 2003-04 to Now'!AA$7,2)),'Petroleum - Q&amp;V 2'!$M$9:$M$250,2))*1000000</f>
        <v>1881466327.302</v>
      </c>
      <c r="AC76" s="723">
        <f>(SUMIFS('Petroleum - Q&amp;V 2'!$I$9:$I$250,'Petroleum - Q&amp;V 2'!$L$9:$L$250,LEFT('Q&amp;V FY 2003-04 to Now'!AC$7,4),'Petroleum - Q&amp;V 2'!$M$9:$M$250,3)+
SUMIFS('Petroleum - Q&amp;V 2'!$I$9:$I$250,'Petroleum - Q&amp;V 2'!$L$9:$L$250,LEFT('Q&amp;V FY 2003-04 to Now'!AC$7,4),'Petroleum - Q&amp;V 2'!$M$9:$M$250,4)+
SUMIFS('Petroleum - Q&amp;V 2'!$I$9:$I$250,'Petroleum - Q&amp;V 2'!$L$9:$L$250,CONCATENATE("20",RIGHT('Q&amp;V FY 2003-04 to Now'!AC$7,2)),'Petroleum - Q&amp;V 2'!$M$9:$M$250,1)+
SUMIFS('Petroleum - Q&amp;V 2'!$I$9:$I$250,'Petroleum - Q&amp;V 2'!$L$9:$L$250,CONCATENATE("20",RIGHT('Q&amp;V FY 2003-04 to Now'!AC$7,2)),'Petroleum - Q&amp;V 2'!$M$9:$M$250,2))</f>
        <v>9929854.7080100011</v>
      </c>
      <c r="AD76" s="723">
        <f>(SUMIFS('Petroleum - Q&amp;V 2'!$K$9:$K$250,'Petroleum - Q&amp;V 2'!$L$9:$L$250,LEFT('Q&amp;V FY 2003-04 to Now'!AC$7,4),'Petroleum - Q&amp;V 2'!$M$9:$M$250,3)+
SUMIFS('Petroleum - Q&amp;V 2'!$K$9:$K$250,'Petroleum - Q&amp;V 2'!$L$9:$L$250,LEFT('Q&amp;V FY 2003-04 to Now'!AC$7,4),'Petroleum - Q&amp;V 2'!$M$9:$M$250,4)+
SUMIFS('Petroleum - Q&amp;V 2'!$K$9:$K$250,'Petroleum - Q&amp;V 2'!$L$9:$L$250,CONCATENATE("20",RIGHT('Q&amp;V FY 2003-04 to Now'!AC$7,2)),'Petroleum - Q&amp;V 2'!$M$9:$M$250,1)+
SUMIFS('Petroleum - Q&amp;V 2'!$K$9:$K$250,'Petroleum - Q&amp;V 2'!$L$9:$L$250,CONCATENATE("20",RIGHT('Q&amp;V FY 2003-04 to Now'!AC$7,2)),'Petroleum - Q&amp;V 2'!$M$9:$M$250,2))*1000000</f>
        <v>1875630574.0849998</v>
      </c>
      <c r="AE76" s="734">
        <f>(SUMIFS('Petroleum - Q&amp;V 2'!$I$9:$I$250,'Petroleum - Q&amp;V 2'!$L$9:$L$250,LEFT('Q&amp;V FY 2003-04 to Now'!AE$7,4),'Petroleum - Q&amp;V 2'!$M$9:$M$250,3)+
SUMIFS('Petroleum - Q&amp;V 2'!$I$9:$I$250,'Petroleum - Q&amp;V 2'!$L$9:$L$250,LEFT('Q&amp;V FY 2003-04 to Now'!AE$7,4),'Petroleum - Q&amp;V 2'!$M$9:$M$250,4)+
SUMIFS('Petroleum - Q&amp;V 2'!$I$9:$I$250,'Petroleum - Q&amp;V 2'!$L$9:$L$250,CONCATENATE("20",RIGHT('Q&amp;V FY 2003-04 to Now'!AE$7,2)),'Petroleum - Q&amp;V 2'!$M$9:$M$250,1)+
SUMIFS('Petroleum - Q&amp;V 2'!$I$9:$I$250,'Petroleum - Q&amp;V 2'!$L$9:$L$250,CONCATENATE("20",RIGHT('Q&amp;V FY 2003-04 to Now'!AE$7,2)),'Petroleum - Q&amp;V 2'!$M$9:$M$250,2))</f>
        <v>10280157.705552999</v>
      </c>
      <c r="AF76" s="723">
        <f>(SUMIFS('Petroleum - Q&amp;V 2'!$K$9:$K$250,'Petroleum - Q&amp;V 2'!$L$9:$L$250,LEFT('Q&amp;V FY 2003-04 to Now'!AE$7,4),'Petroleum - Q&amp;V 2'!$M$9:$M$250,3)+
SUMIFS('Petroleum - Q&amp;V 2'!$K$9:$K$250,'Petroleum - Q&amp;V 2'!$L$9:$L$250,LEFT('Q&amp;V FY 2003-04 to Now'!AE$7,4),'Petroleum - Q&amp;V 2'!$M$9:$M$250,4)+
SUMIFS('Petroleum - Q&amp;V 2'!$K$9:$K$250,'Petroleum - Q&amp;V 2'!$L$9:$L$250,CONCATENATE("20",RIGHT('Q&amp;V FY 2003-04 to Now'!AE$7,2)),'Petroleum - Q&amp;V 2'!$M$9:$M$250,1)+
SUMIFS('Petroleum - Q&amp;V 2'!$K$9:$K$250,'Petroleum - Q&amp;V 2'!$L$9:$L$250,CONCATENATE("20",RIGHT('Q&amp;V FY 2003-04 to Now'!AE$7,2)),'Petroleum - Q&amp;V 2'!$M$9:$M$250,2))*1000000</f>
        <v>1675112388.5190001</v>
      </c>
      <c r="AG76" s="734">
        <f>(SUMIFS('Petroleum - Q&amp;V 2'!$I$9:$I$250,'Petroleum - Q&amp;V 2'!$L$9:$L$250,LEFT('Q&amp;V FY 2003-04 to Now'!AG$7,4),'Petroleum - Q&amp;V 2'!$M$9:$M$250,3)+
SUMIFS('Petroleum - Q&amp;V 2'!$I$9:$I$250,'Petroleum - Q&amp;V 2'!$L$9:$L$250,LEFT('Q&amp;V FY 2003-04 to Now'!AG$7,4),'Petroleum - Q&amp;V 2'!$M$9:$M$250,4)+
SUMIFS('Petroleum - Q&amp;V 2'!$I$9:$I$250,'Petroleum - Q&amp;V 2'!$L$9:$L$250,CONCATENATE("20",RIGHT('Q&amp;V FY 2003-04 to Now'!AG$7,2)),'Petroleum - Q&amp;V 2'!$M$9:$M$250,1)+
SUMIFS('Petroleum - Q&amp;V 2'!$I$9:$I$250,'Petroleum - Q&amp;V 2'!$L$9:$L$250,CONCATENATE("20",RIGHT('Q&amp;V FY 2003-04 to Now'!AG$7,2)),'Petroleum - Q&amp;V 2'!$M$9:$M$250,2))</f>
        <v>10505488.843113</v>
      </c>
      <c r="AH76" s="1069">
        <f>(SUMIFS('Petroleum - Q&amp;V 2'!$K$9:$K$250,'Petroleum - Q&amp;V 2'!$L$9:$L$250,LEFT('Q&amp;V FY 2003-04 to Now'!AG$7,4),'Petroleum - Q&amp;V 2'!$M$9:$M$250,3)+
SUMIFS('Petroleum - Q&amp;V 2'!$K$9:$K$250,'Petroleum - Q&amp;V 2'!$L$9:$L$250,LEFT('Q&amp;V FY 2003-04 to Now'!AG$7,4),'Petroleum - Q&amp;V 2'!$M$9:$M$250,4)+
SUMIFS('Petroleum - Q&amp;V 2'!$K$9:$K$250,'Petroleum - Q&amp;V 2'!$L$9:$L$250,CONCATENATE("20",RIGHT('Q&amp;V FY 2003-04 to Now'!AG$7,2)),'Petroleum - Q&amp;V 2'!$M$9:$M$250,1)+
SUMIFS('Petroleum - Q&amp;V 2'!$K$9:$K$250,'Petroleum - Q&amp;V 2'!$L$9:$L$250,CONCATENATE("20",RIGHT('Q&amp;V FY 2003-04 to Now'!AG$7,2)),'Petroleum - Q&amp;V 2'!$M$9:$M$250,2))*1000000</f>
        <v>1449024000.0199001</v>
      </c>
      <c r="AI76" s="1355">
        <f>(SUMIFS('Petroleum - Q&amp;V 2'!$I$9:$I$250,'Petroleum - Q&amp;V 2'!$L$9:$L$250,LEFT('Q&amp;V FY 2003-04 to Now'!AI$7,4),'Petroleum - Q&amp;V 2'!$M$9:$M$250,3)+
SUMIFS('Petroleum - Q&amp;V 2'!$I$9:$I$250,'Petroleum - Q&amp;V 2'!$L$9:$L$250,LEFT('Q&amp;V FY 2003-04 to Now'!AI$7,4),'Petroleum - Q&amp;V 2'!$M$9:$M$250,4)+
SUMIFS('Petroleum - Q&amp;V 2'!$I$9:$I$250,'Petroleum - Q&amp;V 2'!$L$9:$L$250,CONCATENATE("20",RIGHT('Q&amp;V FY 2003-04 to Now'!AI$7,2)),'Petroleum - Q&amp;V 2'!$M$9:$M$250,1)+
SUMIFS('Petroleum - Q&amp;V 2'!$I$9:$I$250,'Petroleum - Q&amp;V 2'!$L$9:$L$250,CONCATENATE("20",RIGHT('Q&amp;V FY 2003-04 to Now'!AI$7,2)),'Petroleum - Q&amp;V 2'!$M$9:$M$250,2))</f>
        <v>11094510.69258</v>
      </c>
      <c r="AJ76" s="1069">
        <f>(SUMIFS('Petroleum - Q&amp;V 2'!$K$9:$K$250,'Petroleum - Q&amp;V 2'!$L$9:$L$250,LEFT('Q&amp;V FY 2003-04 to Now'!AI$7,4),'Petroleum - Q&amp;V 2'!$M$9:$M$250,3)+
SUMIFS('Petroleum - Q&amp;V 2'!$K$9:$K$250,'Petroleum - Q&amp;V 2'!$L$9:$L$250,LEFT('Q&amp;V FY 2003-04 to Now'!AI$7,4),'Petroleum - Q&amp;V 2'!$M$9:$M$250,4)+
SUMIFS('Petroleum - Q&amp;V 2'!$K$9:$K$250,'Petroleum - Q&amp;V 2'!$L$9:$L$250,CONCATENATE("20",RIGHT('Q&amp;V FY 2003-04 to Now'!AI$7,2)),'Petroleum - Q&amp;V 2'!$M$9:$M$250,1)+
SUMIFS('Petroleum - Q&amp;V 2'!$K$9:$K$250,'Petroleum - Q&amp;V 2'!$L$9:$L$250,CONCATENATE("20",RIGHT('Q&amp;V FY 2003-04 to Now'!AI$7,2)),'Petroleum - Q&amp;V 2'!$M$9:$M$250,2))*1000000</f>
        <v>1510572050.799</v>
      </c>
      <c r="AK76" s="1069">
        <f>(SUMIFS('Petroleum - Q&amp;V 2'!$I$9:$I$250,'Petroleum - Q&amp;V 2'!$L$9:$L$250,LEFT('Q&amp;V FY 2003-04 to Now'!AK$7,4),'Petroleum - Q&amp;V 2'!$M$9:$M$250,3)+
SUMIFS('Petroleum - Q&amp;V 2'!$I$9:$I$250,'Petroleum - Q&amp;V 2'!$L$9:$L$250,LEFT('Q&amp;V FY 2003-04 to Now'!AK$7,4),'Petroleum - Q&amp;V 2'!$M$9:$M$250,4)+
SUMIFS('Petroleum - Q&amp;V 2'!$I$9:$I$250,'Petroleum - Q&amp;V 2'!$L$9:$L$250,CONCATENATE("20",RIGHT('Q&amp;V FY 2003-04 to Now'!AK$7,2)),'Petroleum - Q&amp;V 2'!$M$9:$M$250,1)+
SUMIFS('Petroleum - Q&amp;V 2'!$I$9:$I$250,'Petroleum - Q&amp;V 2'!$L$9:$L$250,CONCATENATE("20",RIGHT('Q&amp;V FY 2003-04 to Now'!AK$7,2)),'Petroleum - Q&amp;V 2'!$M$9:$M$250,2))</f>
        <v>10149950.262420001</v>
      </c>
      <c r="AL76" s="1069">
        <f>(SUMIFS('Petroleum - Q&amp;V 2'!$K$9:$K$250,'Petroleum - Q&amp;V 2'!$L$9:$L$250,LEFT('Q&amp;V FY 2003-04 to Now'!AK$7,4),'Petroleum - Q&amp;V 2'!$M$9:$M$250,3)+
SUMIFS('Petroleum - Q&amp;V 2'!$K$9:$K$250,'Petroleum - Q&amp;V 2'!$L$9:$L$250,LEFT('Q&amp;V FY 2003-04 to Now'!AK$7,4),'Petroleum - Q&amp;V 2'!$M$9:$M$250,4)+
SUMIFS('Petroleum - Q&amp;V 2'!$K$9:$K$250,'Petroleum - Q&amp;V 2'!$L$9:$L$250,CONCATENATE("20",RIGHT('Q&amp;V FY 2003-04 to Now'!AK$7,2)),'Petroleum - Q&amp;V 2'!$M$9:$M$250,1)+
SUMIFS('Petroleum - Q&amp;V 2'!$K$9:$K$250,'Petroleum - Q&amp;V 2'!$L$9:$L$250,CONCATENATE("20",RIGHT('Q&amp;V FY 2003-04 to Now'!AK$7,2)),'Petroleum - Q&amp;V 2'!$M$9:$M$250,2))*1000000</f>
        <v>1622435628.418</v>
      </c>
      <c r="AM76" s="1069">
        <f>(SUMIFS('Petroleum - Q&amp;V 2'!$I$9:$I$250,'Petroleum - Q&amp;V 2'!$L$9:$L$250,LEFT('Q&amp;V FY 2003-04 to Now'!AM$7,4),'Petroleum - Q&amp;V 2'!$M$9:$M$250,3)+
SUMIFS('Petroleum - Q&amp;V 2'!$I$9:$I$250,'Petroleum - Q&amp;V 2'!$L$9:$L$250,LEFT('Q&amp;V FY 2003-04 to Now'!AM$7,4),'Petroleum - Q&amp;V 2'!$M$9:$M$250,4)+
SUMIFS('Petroleum - Q&amp;V 2'!$I$9:$I$250,'Petroleum - Q&amp;V 2'!$L$9:$L$250,CONCATENATE("20",RIGHT('Q&amp;V FY 2003-04 to Now'!AM$7,2)),'Petroleum - Q&amp;V 2'!$M$9:$M$250,1)+
SUMIFS('Petroleum - Q&amp;V 2'!$I$9:$I$250,'Petroleum - Q&amp;V 2'!$L$9:$L$250,CONCATENATE("20",RIGHT('Q&amp;V FY 2003-04 to Now'!AM$7,2)),'Petroleum - Q&amp;V 2'!$M$9:$M$250,2))</f>
        <v>9952572.5002726167</v>
      </c>
      <c r="AN76" s="1069">
        <f>(SUMIFS('Petroleum - Q&amp;V 2'!$K$9:$K$250,'Petroleum - Q&amp;V 2'!$L$9:$L$250,LEFT('Q&amp;V FY 2003-04 to Now'!AM$7,4),'Petroleum - Q&amp;V 2'!$M$9:$M$250,3)+
SUMIFS('Petroleum - Q&amp;V 2'!$K$9:$K$250,'Petroleum - Q&amp;V 2'!$L$9:$L$250,LEFT('Q&amp;V FY 2003-04 to Now'!AM$7,4),'Petroleum - Q&amp;V 2'!$M$9:$M$250,4)+
SUMIFS('Petroleum - Q&amp;V 2'!$K$9:$K$250,'Petroleum - Q&amp;V 2'!$L$9:$L$250,CONCATENATE("20",RIGHT('Q&amp;V FY 2003-04 to Now'!AM$7,2)),'Petroleum - Q&amp;V 2'!$M$9:$M$250,1)+
SUMIFS('Petroleum - Q&amp;V 2'!$K$9:$K$250,'Petroleum - Q&amp;V 2'!$L$9:$L$250,CONCATENATE("20",RIGHT('Q&amp;V FY 2003-04 to Now'!AM$7,2)),'Petroleum - Q&amp;V 2'!$M$9:$M$250,2))*1000000</f>
        <v>2033544817.7870116</v>
      </c>
      <c r="AO76" s="1069">
        <f>(SUMIFS('Petroleum - Q&amp;V 2'!$I$9:$I$250,'Petroleum - Q&amp;V 2'!$L$9:$L$250,LEFT('Q&amp;V FY 2003-04 to Now'!AO$7,4),'Petroleum - Q&amp;V 2'!$M$9:$M$250,3)+
SUMIFS('Petroleum - Q&amp;V 2'!$I$9:$I$250,'Petroleum - Q&amp;V 2'!$L$9:$L$250,LEFT('Q&amp;V FY 2003-04 to Now'!AO$7,4),'Petroleum - Q&amp;V 2'!$M$9:$M$250,4)+
SUMIFS('Petroleum - Q&amp;V 2'!$I$9:$I$250,'Petroleum - Q&amp;V 2'!$L$9:$L$250,CONCATENATE("20",RIGHT('Q&amp;V FY 2003-04 to Now'!AO$7,2)),'Petroleum - Q&amp;V 2'!$M$9:$M$250,1)+
SUMIFS('Petroleum - Q&amp;V 2'!$I$9:$I$250,'Petroleum - Q&amp;V 2'!$L$9:$L$250,CONCATENATE("20",RIGHT('Q&amp;V FY 2003-04 to Now'!AO$7,2)),'Petroleum - Q&amp;V 2'!$M$9:$M$250,2))</f>
        <v>10476375.916230366</v>
      </c>
      <c r="AP76" s="1069">
        <f>(SUMIFS('Petroleum - Q&amp;V 2'!$K$9:$K$250,'Petroleum - Q&amp;V 2'!$L$9:$L$250,LEFT('Q&amp;V FY 2003-04 to Now'!AO$7,4),'Petroleum - Q&amp;V 2'!$M$9:$M$250,3)+
SUMIFS('Petroleum - Q&amp;V 2'!$K$9:$K$250,'Petroleum - Q&amp;V 2'!$L$9:$L$250,LEFT('Q&amp;V FY 2003-04 to Now'!AO$7,4),'Petroleum - Q&amp;V 2'!$M$9:$M$250,4)+
SUMIFS('Petroleum - Q&amp;V 2'!$K$9:$K$250,'Petroleum - Q&amp;V 2'!$L$9:$L$250,CONCATENATE("20",RIGHT('Q&amp;V FY 2003-04 to Now'!AO$7,2)),'Petroleum - Q&amp;V 2'!$M$9:$M$250,1)+
SUMIFS('Petroleum - Q&amp;V 2'!$K$9:$K$250,'Petroleum - Q&amp;V 2'!$L$9:$L$250,CONCATENATE("20",RIGHT('Q&amp;V FY 2003-04 to Now'!AO$7,2)),'Petroleum - Q&amp;V 2'!$M$9:$M$250,2))*1000000</f>
        <v>2482061038.108768</v>
      </c>
      <c r="AQ76" s="734">
        <f>SUMIF($C$9:AP$9,1,$C76:AP76)</f>
        <v>188080997.59479904</v>
      </c>
      <c r="AR76" s="723">
        <f>IF(COUNTIF($C76:AP76, "nfp")=0, SUMIF($C$9:AP$9,0,$C76:AP76), "nfp")</f>
        <v>28919754873.142868</v>
      </c>
      <c r="AT76" s="317"/>
      <c r="AU76" s="317"/>
      <c r="AV76" s="381"/>
      <c r="AW76" s="381"/>
    </row>
    <row r="77" spans="1:49">
      <c r="A77" s="264" t="s">
        <v>193</v>
      </c>
      <c r="B77" s="256"/>
      <c r="C77" s="742"/>
      <c r="D77" s="723">
        <f>SUM(D72:D76)</f>
        <v>9260223608</v>
      </c>
      <c r="E77" s="742"/>
      <c r="F77" s="732">
        <f>SUM(F72:F76)</f>
        <v>12256998579.930317</v>
      </c>
      <c r="G77" s="742"/>
      <c r="H77" s="732">
        <f>SUM(H72:H76)</f>
        <v>14697284124.009249</v>
      </c>
      <c r="I77" s="742"/>
      <c r="J77" s="723">
        <f>SUM(J72:J76)</f>
        <v>16459468556.50584</v>
      </c>
      <c r="K77" s="742"/>
      <c r="L77" s="732">
        <f>SUM(L72:L76)</f>
        <v>19317942367.704227</v>
      </c>
      <c r="M77" s="742"/>
      <c r="N77" s="732">
        <f>SUM(N72:N76)</f>
        <v>21319822196.963364</v>
      </c>
      <c r="O77" s="742"/>
      <c r="P77" s="732">
        <f>SUM(P72:P76)</f>
        <v>19398210188.564877</v>
      </c>
      <c r="Q77" s="742"/>
      <c r="R77" s="732">
        <f>SUM(R72:R76)</f>
        <v>22984892500.986893</v>
      </c>
      <c r="S77" s="742"/>
      <c r="T77" s="723">
        <f>SUM(T72:T76)</f>
        <v>23198583044.712547</v>
      </c>
      <c r="U77" s="742"/>
      <c r="V77" s="732">
        <f>SUM(V72:V76)</f>
        <v>24109908528.151367</v>
      </c>
      <c r="W77" s="742"/>
      <c r="X77" s="732">
        <f>SUM(X72:X76)</f>
        <v>25325423932.147701</v>
      </c>
      <c r="Y77" s="742"/>
      <c r="Z77" s="732">
        <f>SUM(Z72:Z76)</f>
        <v>24139269449.05003</v>
      </c>
      <c r="AA77" s="742"/>
      <c r="AB77" s="732">
        <f>SUM(AB72:AB76)</f>
        <v>18153843048.338394</v>
      </c>
      <c r="AC77" s="732"/>
      <c r="AD77" s="732">
        <f>SUM(AD72:AD76)</f>
        <v>19234853012.079422</v>
      </c>
      <c r="AE77" s="733"/>
      <c r="AF77" s="732">
        <f>SUM(AF72:AF76)</f>
        <v>26588235411.778172</v>
      </c>
      <c r="AG77" s="744"/>
      <c r="AH77" s="742">
        <f>SUM(AH72:AH76)</f>
        <v>40242699631.836197</v>
      </c>
      <c r="AI77" s="733"/>
      <c r="AJ77" s="742">
        <f>SUM(AJ72:AJ76)</f>
        <v>36226916981.968857</v>
      </c>
      <c r="AK77" s="742"/>
      <c r="AL77" s="742">
        <f>SUM(AL72:AL76)</f>
        <v>24184169244.995174</v>
      </c>
      <c r="AM77" s="742"/>
      <c r="AN77" s="742">
        <f>SUM(AN72:AN76)</f>
        <v>53346103111.379738</v>
      </c>
      <c r="AO77" s="742"/>
      <c r="AP77" s="742">
        <f>SUM(AP72:AP76)</f>
        <v>72056382387.349976</v>
      </c>
      <c r="AQ77" s="734"/>
      <c r="AR77" s="723">
        <f>IF(COUNTIF($C77:AP77, "nfp")=0, SUMIF($C$9:AP$9,0,$C77:AP77), "nfp")</f>
        <v>522501229906.45239</v>
      </c>
      <c r="AT77" s="317"/>
      <c r="AU77" s="317"/>
      <c r="AV77" s="381"/>
      <c r="AW77" s="381"/>
    </row>
    <row r="78" spans="1:49">
      <c r="A78" s="260"/>
      <c r="B78" s="248"/>
      <c r="C78" s="668"/>
      <c r="D78" s="668"/>
      <c r="E78" s="668"/>
      <c r="F78" s="668"/>
      <c r="G78" s="668"/>
      <c r="H78" s="668"/>
      <c r="I78" s="668"/>
      <c r="J78" s="668"/>
      <c r="K78" s="668"/>
      <c r="L78" s="668"/>
      <c r="M78" s="668"/>
      <c r="N78" s="668"/>
      <c r="O78" s="668"/>
      <c r="P78" s="668"/>
      <c r="Q78" s="668"/>
      <c r="R78" s="668"/>
      <c r="S78" s="668"/>
      <c r="T78" s="668"/>
      <c r="U78" s="668"/>
      <c r="V78" s="668"/>
      <c r="W78" s="668"/>
      <c r="X78" s="668"/>
      <c r="Y78" s="668"/>
      <c r="Z78" s="668"/>
      <c r="AA78" s="668"/>
      <c r="AB78" s="668"/>
      <c r="AC78" s="668"/>
      <c r="AD78" s="668"/>
      <c r="AE78" s="736"/>
      <c r="AF78" s="668"/>
      <c r="AG78" s="736"/>
      <c r="AH78" s="910"/>
      <c r="AI78" s="1352"/>
      <c r="AJ78" s="910"/>
      <c r="AK78" s="910"/>
      <c r="AL78" s="910"/>
      <c r="AM78" s="910"/>
      <c r="AN78" s="910"/>
      <c r="AO78" s="910"/>
      <c r="AP78" s="910"/>
      <c r="AQ78" s="734"/>
      <c r="AR78" s="723"/>
      <c r="AT78" s="317"/>
      <c r="AU78" s="317"/>
      <c r="AV78" s="381"/>
      <c r="AW78" s="381"/>
    </row>
    <row r="79" spans="1:49">
      <c r="A79" s="261" t="s">
        <v>514</v>
      </c>
      <c r="B79" s="127" t="s">
        <v>93</v>
      </c>
      <c r="C79" s="717">
        <f>(SUMIFS('Other Minerals - Q&amp;V'!$L$8:$L$250,'Other Minerals - Q&amp;V'!$N$8:$N$250,LEFT('Q&amp;V FY 2003-04 to Now'!C$7,4),'Other Minerals - Q&amp;V'!$O$8:$O$250,3)+
SUMIFS('Other Minerals - Q&amp;V'!$L$8:$L$250,'Other Minerals - Q&amp;V'!$N$8:$N$250,LEFT('Q&amp;V FY 2003-04 to Now'!C$7,4),'Other Minerals - Q&amp;V'!$O$8:$O$250,4)+
SUMIFS('Other Minerals - Q&amp;V'!$L$8:$L$250,'Other Minerals - Q&amp;V'!$N$8:$N$250,CONCATENATE("20",RIGHT('Q&amp;V FY 2003-04 to Now'!C$7,2)),'Other Minerals - Q&amp;V'!$O$8:$O$250,1)+
SUMIFS('Other Minerals - Q&amp;V'!$L$8:$L$250,'Other Minerals - Q&amp;V'!$N$8:$N$250,CONCATENATE("20",RIGHT('Q&amp;V FY 2003-04 to Now'!C$7,2)),'Other Minerals - Q&amp;V'!$O$8:$O$250,2))</f>
        <v>666.68599999999992</v>
      </c>
      <c r="D79" s="741">
        <f>(SUMIFS('Other Minerals - Q&amp;V'!$M$8:$M$250,'Other Minerals - Q&amp;V'!$N$8:$N$250,LEFT('Q&amp;V FY 2003-04 to Now'!C$7,4),'Other Minerals - Q&amp;V'!$O$8:$O$250,3)+
SUMIFS('Other Minerals - Q&amp;V'!$M$8:$M$250,'Other Minerals - Q&amp;V'!$N$8:$N$250,LEFT('Q&amp;V FY 2003-04 to Now'!C$7,4),'Other Minerals - Q&amp;V'!$O$8:$O$250,4)+
SUMIFS('Other Minerals - Q&amp;V'!$M$8:$M$250,'Other Minerals - Q&amp;V'!$N$8:$N$250,CONCATENATE("20",RIGHT('Q&amp;V FY 2003-04 to Now'!C$7,2)),'Other Minerals - Q&amp;V'!$O$8:$O$250,1)+
SUMIFS('Other Minerals - Q&amp;V'!$M$8:$M$250,'Other Minerals - Q&amp;V'!$N$8:$N$250,CONCATENATE("20",RIGHT('Q&amp;V FY 2003-04 to Now'!C$7,2)),'Other Minerals - Q&amp;V'!$O$8:$O$250,2))*1000000</f>
        <v>8205197</v>
      </c>
      <c r="E79" s="717">
        <f>(SUMIFS('Other Minerals - Q&amp;V'!$L$8:$L$250,'Other Minerals - Q&amp;V'!$N$8:$N$250,LEFT('Q&amp;V FY 2003-04 to Now'!E$7,4),'Other Minerals - Q&amp;V'!$O$8:$O$250,3)+
SUMIFS('Other Minerals - Q&amp;V'!$L$8:$L$250,'Other Minerals - Q&amp;V'!$N$8:$N$250,LEFT('Q&amp;V FY 2003-04 to Now'!E$7,4),'Other Minerals - Q&amp;V'!$O$8:$O$250,4)+
SUMIFS('Other Minerals - Q&amp;V'!$L$8:$L$250,'Other Minerals - Q&amp;V'!$N$8:$N$250,CONCATENATE("20",RIGHT('Q&amp;V FY 2003-04 to Now'!E$7,2)),'Other Minerals - Q&amp;V'!$O$8:$O$250,1)+
SUMIFS('Other Minerals - Q&amp;V'!$L$8:$L$250,'Other Minerals - Q&amp;V'!$N$8:$N$250,CONCATENATE("20",RIGHT('Q&amp;V FY 2003-04 to Now'!E$7,2)),'Other Minerals - Q&amp;V'!$O$8:$O$250,2))</f>
        <v>1051</v>
      </c>
      <c r="F79" s="741">
        <f>(SUMIFS('Other Minerals - Q&amp;V'!$M$8:$M$250,'Other Minerals - Q&amp;V'!$N$8:$N$250,LEFT('Q&amp;V FY 2003-04 to Now'!E$7,4),'Other Minerals - Q&amp;V'!$O$8:$O$250,3)+
SUMIFS('Other Minerals - Q&amp;V'!$M$8:$M$250,'Other Minerals - Q&amp;V'!$N$8:$N$250,LEFT('Q&amp;V FY 2003-04 to Now'!E$7,4),'Other Minerals - Q&amp;V'!$O$8:$O$250,4)+
SUMIFS('Other Minerals - Q&amp;V'!$M$8:$M$250,'Other Minerals - Q&amp;V'!$N$8:$N$250,CONCATENATE("20",RIGHT('Q&amp;V FY 2003-04 to Now'!E$7,2)),'Other Minerals - Q&amp;V'!$O$8:$O$250,1)+
SUMIFS('Other Minerals - Q&amp;V'!$M$8:$M$250,'Other Minerals - Q&amp;V'!$N$8:$N$250,CONCATENATE("20",RIGHT('Q&amp;V FY 2003-04 to Now'!E$7,2)),'Other Minerals - Q&amp;V'!$O$8:$O$250,2))*1000000</f>
        <v>9150844</v>
      </c>
      <c r="G79" s="717">
        <f>(SUMIFS('Other Minerals - Q&amp;V'!$L$8:$L$250,'Other Minerals - Q&amp;V'!$N$8:$N$250,LEFT('Q&amp;V FY 2003-04 to Now'!G$7,4),'Other Minerals - Q&amp;V'!$O$8:$O$250,3)+
SUMIFS('Other Minerals - Q&amp;V'!$L$8:$L$250,'Other Minerals - Q&amp;V'!$N$8:$N$250,LEFT('Q&amp;V FY 2003-04 to Now'!G$7,4),'Other Minerals - Q&amp;V'!$O$8:$O$250,4)+
SUMIFS('Other Minerals - Q&amp;V'!$L$8:$L$250,'Other Minerals - Q&amp;V'!$N$8:$N$250,CONCATENATE("20",RIGHT('Q&amp;V FY 2003-04 to Now'!G$7,2)),'Other Minerals - Q&amp;V'!$O$8:$O$250,1)+
SUMIFS('Other Minerals - Q&amp;V'!$L$8:$L$250,'Other Minerals - Q&amp;V'!$N$8:$N$250,CONCATENATE("20",RIGHT('Q&amp;V FY 2003-04 to Now'!G$7,2)),'Other Minerals - Q&amp;V'!$O$8:$O$250,2))</f>
        <v>859.63</v>
      </c>
      <c r="H79" s="741">
        <f>(SUMIFS('Other Minerals - Q&amp;V'!$M$8:$M$250,'Other Minerals - Q&amp;V'!$N$8:$N$250,LEFT('Q&amp;V FY 2003-04 to Now'!G$7,4),'Other Minerals - Q&amp;V'!$O$8:$O$250,3)+
SUMIFS('Other Minerals - Q&amp;V'!$M$8:$M$250,'Other Minerals - Q&amp;V'!$N$8:$N$250,LEFT('Q&amp;V FY 2003-04 to Now'!G$7,4),'Other Minerals - Q&amp;V'!$O$8:$O$250,4)+
SUMIFS('Other Minerals - Q&amp;V'!$M$8:$M$250,'Other Minerals - Q&amp;V'!$N$8:$N$250,CONCATENATE("20",RIGHT('Q&amp;V FY 2003-04 to Now'!G$7,2)),'Other Minerals - Q&amp;V'!$O$8:$O$250,1)+
SUMIFS('Other Minerals - Q&amp;V'!$M$8:$M$250,'Other Minerals - Q&amp;V'!$N$8:$N$250,CONCATENATE("20",RIGHT('Q&amp;V FY 2003-04 to Now'!G$7,2)),'Other Minerals - Q&amp;V'!$O$8:$O$250,2))*1000000</f>
        <v>9742690</v>
      </c>
      <c r="I79" s="717">
        <f>(SUMIFS('Other Minerals - Q&amp;V'!$L$8:$L$250,'Other Minerals - Q&amp;V'!$N$8:$N$250,LEFT('Q&amp;V FY 2003-04 to Now'!I$7,4),'Other Minerals - Q&amp;V'!$O$8:$O$250,3)+
SUMIFS('Other Minerals - Q&amp;V'!$L$8:$L$250,'Other Minerals - Q&amp;V'!$N$8:$N$250,LEFT('Q&amp;V FY 2003-04 to Now'!I$7,4),'Other Minerals - Q&amp;V'!$O$8:$O$250,4)+
SUMIFS('Other Minerals - Q&amp;V'!$L$8:$L$250,'Other Minerals - Q&amp;V'!$N$8:$N$250,CONCATENATE("20",RIGHT('Q&amp;V FY 2003-04 to Now'!I$7,2)),'Other Minerals - Q&amp;V'!$O$8:$O$250,1)+
SUMIFS('Other Minerals - Q&amp;V'!$L$8:$L$250,'Other Minerals - Q&amp;V'!$N$8:$N$250,CONCATENATE("20",RIGHT('Q&amp;V FY 2003-04 to Now'!I$7,2)),'Other Minerals - Q&amp;V'!$O$8:$O$250,2))</f>
        <v>713.59</v>
      </c>
      <c r="J79" s="741">
        <f>(SUMIFS('Other Minerals - Q&amp;V'!$M$8:$M$250,'Other Minerals - Q&amp;V'!$N$8:$N$250,LEFT('Q&amp;V FY 2003-04 to Now'!I$7,4),'Other Minerals - Q&amp;V'!$O$8:$O$250,3)+
SUMIFS('Other Minerals - Q&amp;V'!$M$8:$M$250,'Other Minerals - Q&amp;V'!$N$8:$N$250,LEFT('Q&amp;V FY 2003-04 to Now'!I$7,4),'Other Minerals - Q&amp;V'!$O$8:$O$250,4)+
SUMIFS('Other Minerals - Q&amp;V'!$M$8:$M$250,'Other Minerals - Q&amp;V'!$N$8:$N$250,CONCATENATE("20",RIGHT('Q&amp;V FY 2003-04 to Now'!I$7,2)),'Other Minerals - Q&amp;V'!$O$8:$O$250,1)+
SUMIFS('Other Minerals - Q&amp;V'!$M$8:$M$250,'Other Minerals - Q&amp;V'!$N$8:$N$250,CONCATENATE("20",RIGHT('Q&amp;V FY 2003-04 to Now'!I$7,2)),'Other Minerals - Q&amp;V'!$O$8:$O$250,2))*1000000</f>
        <v>9693188</v>
      </c>
      <c r="K79" s="717">
        <f>(SUMIFS('Other Minerals - Q&amp;V'!$L$8:$L$250,'Other Minerals - Q&amp;V'!$N$8:$N$250,LEFT('Q&amp;V FY 2003-04 to Now'!K$7,4),'Other Minerals - Q&amp;V'!$O$8:$O$250,3)+
SUMIFS('Other Minerals - Q&amp;V'!$L$8:$L$250,'Other Minerals - Q&amp;V'!$N$8:$N$250,LEFT('Q&amp;V FY 2003-04 to Now'!K$7,4),'Other Minerals - Q&amp;V'!$O$8:$O$250,4)+
SUMIFS('Other Minerals - Q&amp;V'!$L$8:$L$250,'Other Minerals - Q&amp;V'!$N$8:$N$250,CONCATENATE("20",RIGHT('Q&amp;V FY 2003-04 to Now'!K$7,2)),'Other Minerals - Q&amp;V'!$O$8:$O$250,1)+
SUMIFS('Other Minerals - Q&amp;V'!$L$8:$L$250,'Other Minerals - Q&amp;V'!$N$8:$N$250,CONCATENATE("20",RIGHT('Q&amp;V FY 2003-04 to Now'!K$7,2)),'Other Minerals - Q&amp;V'!$O$8:$O$250,2))</f>
        <v>947.76</v>
      </c>
      <c r="L79" s="741">
        <f>(SUMIFS('Other Minerals - Q&amp;V'!$M$8:$M$250,'Other Minerals - Q&amp;V'!$N$8:$N$250,LEFT('Q&amp;V FY 2003-04 to Now'!K$7,4),'Other Minerals - Q&amp;V'!$O$8:$O$250,3)+
SUMIFS('Other Minerals - Q&amp;V'!$M$8:$M$250,'Other Minerals - Q&amp;V'!$N$8:$N$250,LEFT('Q&amp;V FY 2003-04 to Now'!K$7,4),'Other Minerals - Q&amp;V'!$O$8:$O$250,4)+
SUMIFS('Other Minerals - Q&amp;V'!$M$8:$M$250,'Other Minerals - Q&amp;V'!$N$8:$N$250,CONCATENATE("20",RIGHT('Q&amp;V FY 2003-04 to Now'!K$7,2)),'Other Minerals - Q&amp;V'!$O$8:$O$250,1)+
SUMIFS('Other Minerals - Q&amp;V'!$M$8:$M$250,'Other Minerals - Q&amp;V'!$N$8:$N$250,CONCATENATE("20",RIGHT('Q&amp;V FY 2003-04 to Now'!K$7,2)),'Other Minerals - Q&amp;V'!$O$8:$O$250,2))*1000000</f>
        <v>13213845</v>
      </c>
      <c r="M79" s="717">
        <f>(SUMIFS('Other Minerals - Q&amp;V'!$L$8:$L$250,'Other Minerals - Q&amp;V'!$N$8:$N$250,LEFT('Q&amp;V FY 2003-04 to Now'!M$7,4),'Other Minerals - Q&amp;V'!$O$8:$O$250,3)+
SUMIFS('Other Minerals - Q&amp;V'!$L$8:$L$250,'Other Minerals - Q&amp;V'!$N$8:$N$250,LEFT('Q&amp;V FY 2003-04 to Now'!M$7,4),'Other Minerals - Q&amp;V'!$O$8:$O$250,4)+
SUMIFS('Other Minerals - Q&amp;V'!$L$8:$L$250,'Other Minerals - Q&amp;V'!$N$8:$N$250,CONCATENATE("20",RIGHT('Q&amp;V FY 2003-04 to Now'!M$7,2)),'Other Minerals - Q&amp;V'!$O$8:$O$250,1)+
SUMIFS('Other Minerals - Q&amp;V'!$L$8:$L$250,'Other Minerals - Q&amp;V'!$N$8:$N$250,CONCATENATE("20",RIGHT('Q&amp;V FY 2003-04 to Now'!M$7,2)),'Other Minerals - Q&amp;V'!$O$8:$O$250,2))</f>
        <v>642.19000000000005</v>
      </c>
      <c r="N79" s="741">
        <f>(SUMIFS('Other Minerals - Q&amp;V'!$M$8:$M$250,'Other Minerals - Q&amp;V'!$N$8:$N$250,LEFT('Q&amp;V FY 2003-04 to Now'!M$7,4),'Other Minerals - Q&amp;V'!$O$8:$O$250,3)+
SUMIFS('Other Minerals - Q&amp;V'!$M$8:$M$250,'Other Minerals - Q&amp;V'!$N$8:$N$250,LEFT('Q&amp;V FY 2003-04 to Now'!M$7,4),'Other Minerals - Q&amp;V'!$O$8:$O$250,4)+
SUMIFS('Other Minerals - Q&amp;V'!$M$8:$M$250,'Other Minerals - Q&amp;V'!$N$8:$N$250,CONCATENATE("20",RIGHT('Q&amp;V FY 2003-04 to Now'!M$7,2)),'Other Minerals - Q&amp;V'!$O$8:$O$250,1)+
SUMIFS('Other Minerals - Q&amp;V'!$M$8:$M$250,'Other Minerals - Q&amp;V'!$N$8:$N$250,CONCATENATE("20",RIGHT('Q&amp;V FY 2003-04 to Now'!M$7,2)),'Other Minerals - Q&amp;V'!$O$8:$O$250,2))*1000000</f>
        <v>5452602</v>
      </c>
      <c r="O79" s="717">
        <f>(SUMIFS('Other Minerals - Q&amp;V'!$L$8:$L$250,'Other Minerals - Q&amp;V'!$N$8:$N$250,LEFT('Q&amp;V FY 2003-04 to Now'!O$7,4),'Other Minerals - Q&amp;V'!$O$8:$O$250,3)+
SUMIFS('Other Minerals - Q&amp;V'!$L$8:$L$250,'Other Minerals - Q&amp;V'!$N$8:$N$250,LEFT('Q&amp;V FY 2003-04 to Now'!O$7,4),'Other Minerals - Q&amp;V'!$O$8:$O$250,4)+
SUMIFS('Other Minerals - Q&amp;V'!$L$8:$L$250,'Other Minerals - Q&amp;V'!$N$8:$N$250,CONCATENATE("20",RIGHT('Q&amp;V FY 2003-04 to Now'!O$7,2)),'Other Minerals - Q&amp;V'!$O$8:$O$250,1)+
SUMIFS('Other Minerals - Q&amp;V'!$L$8:$L$250,'Other Minerals - Q&amp;V'!$N$8:$N$250,CONCATENATE("20",RIGHT('Q&amp;V FY 2003-04 to Now'!O$7,2)),'Other Minerals - Q&amp;V'!$O$8:$O$250,2))</f>
        <v>1089.3499999999999</v>
      </c>
      <c r="P79" s="741">
        <f>(SUMIFS('Other Minerals - Q&amp;V'!$M$8:$M$250,'Other Minerals - Q&amp;V'!$N$8:$N$250,LEFT('Q&amp;V FY 2003-04 to Now'!O$7,4),'Other Minerals - Q&amp;V'!$O$8:$O$250,3)+
SUMIFS('Other Minerals - Q&amp;V'!$M$8:$M$250,'Other Minerals - Q&amp;V'!$N$8:$N$250,LEFT('Q&amp;V FY 2003-04 to Now'!O$7,4),'Other Minerals - Q&amp;V'!$O$8:$O$250,4)+
SUMIFS('Other Minerals - Q&amp;V'!$M$8:$M$250,'Other Minerals - Q&amp;V'!$N$8:$N$250,CONCATENATE("20",RIGHT('Q&amp;V FY 2003-04 to Now'!O$7,2)),'Other Minerals - Q&amp;V'!$O$8:$O$250,1)+
SUMIFS('Other Minerals - Q&amp;V'!$M$8:$M$250,'Other Minerals - Q&amp;V'!$N$8:$N$250,CONCATENATE("20",RIGHT('Q&amp;V FY 2003-04 to Now'!O$7,2)),'Other Minerals - Q&amp;V'!$O$8:$O$250,2))*1000000</f>
        <v>11101918.999999998</v>
      </c>
      <c r="Q79" s="717">
        <f>(SUMIFS('Other Minerals - Q&amp;V'!$L$8:$L$250,'Other Minerals - Q&amp;V'!$N$8:$N$250,LEFT('Q&amp;V FY 2003-04 to Now'!Q$7,4),'Other Minerals - Q&amp;V'!$O$8:$O$250,3)+
SUMIFS('Other Minerals - Q&amp;V'!$L$8:$L$250,'Other Minerals - Q&amp;V'!$N$8:$N$250,LEFT('Q&amp;V FY 2003-04 to Now'!Q$7,4),'Other Minerals - Q&amp;V'!$O$8:$O$250,4)+
SUMIFS('Other Minerals - Q&amp;V'!$L$8:$L$250,'Other Minerals - Q&amp;V'!$N$8:$N$250,CONCATENATE("20",RIGHT('Q&amp;V FY 2003-04 to Now'!Q$7,2)),'Other Minerals - Q&amp;V'!$O$8:$O$250,1)+
SUMIFS('Other Minerals - Q&amp;V'!$L$8:$L$250,'Other Minerals - Q&amp;V'!$N$8:$N$250,CONCATENATE("20",RIGHT('Q&amp;V FY 2003-04 to Now'!Q$7,2)),'Other Minerals - Q&amp;V'!$O$8:$O$250,2))</f>
        <v>440.23</v>
      </c>
      <c r="R79" s="741">
        <f>(SUMIFS('Other Minerals - Q&amp;V'!$M$8:$M$250,'Other Minerals - Q&amp;V'!$N$8:$N$250,LEFT('Q&amp;V FY 2003-04 to Now'!Q$7,4),'Other Minerals - Q&amp;V'!$O$8:$O$250,3)+
SUMIFS('Other Minerals - Q&amp;V'!$M$8:$M$250,'Other Minerals - Q&amp;V'!$N$8:$N$250,LEFT('Q&amp;V FY 2003-04 to Now'!Q$7,4),'Other Minerals - Q&amp;V'!$O$8:$O$250,4)+
SUMIFS('Other Minerals - Q&amp;V'!$M$8:$M$250,'Other Minerals - Q&amp;V'!$N$8:$N$250,CONCATENATE("20",RIGHT('Q&amp;V FY 2003-04 to Now'!Q$7,2)),'Other Minerals - Q&amp;V'!$O$8:$O$250,1)+
SUMIFS('Other Minerals - Q&amp;V'!$M$8:$M$250,'Other Minerals - Q&amp;V'!$N$8:$N$250,CONCATENATE("20",RIGHT('Q&amp;V FY 2003-04 to Now'!Q$7,2)),'Other Minerals - Q&amp;V'!$O$8:$O$250,2))*1000000</f>
        <v>7036097</v>
      </c>
      <c r="S79" s="717">
        <f>(SUMIFS('Other Minerals - Q&amp;V'!$L$8:$L$250,'Other Minerals - Q&amp;V'!$N$8:$N$250,LEFT('Q&amp;V FY 2003-04 to Now'!S$7,4),'Other Minerals - Q&amp;V'!$O$8:$O$250,3)+
SUMIFS('Other Minerals - Q&amp;V'!$L$8:$L$250,'Other Minerals - Q&amp;V'!$N$8:$N$250,LEFT('Q&amp;V FY 2003-04 to Now'!S$7,4),'Other Minerals - Q&amp;V'!$O$8:$O$250,4)+
SUMIFS('Other Minerals - Q&amp;V'!$L$8:$L$250,'Other Minerals - Q&amp;V'!$N$8:$N$250,CONCATENATE("20",RIGHT('Q&amp;V FY 2003-04 to Now'!S$7,2)),'Other Minerals - Q&amp;V'!$O$8:$O$250,1)+
SUMIFS('Other Minerals - Q&amp;V'!$L$8:$L$250,'Other Minerals - Q&amp;V'!$N$8:$N$250,CONCATENATE("20",RIGHT('Q&amp;V FY 2003-04 to Now'!S$7,2)),'Other Minerals - Q&amp;V'!$O$8:$O$250,2))</f>
        <v>626.08273703999998</v>
      </c>
      <c r="T79" s="741">
        <f>(SUMIFS('Other Minerals - Q&amp;V'!$M$8:$M$250,'Other Minerals - Q&amp;V'!$N$8:$N$250,LEFT('Q&amp;V FY 2003-04 to Now'!S$7,4),'Other Minerals - Q&amp;V'!$O$8:$O$250,3)+
SUMIFS('Other Minerals - Q&amp;V'!$M$8:$M$250,'Other Minerals - Q&amp;V'!$N$8:$N$250,LEFT('Q&amp;V FY 2003-04 to Now'!S$7,4),'Other Minerals - Q&amp;V'!$O$8:$O$250,4)+
SUMIFS('Other Minerals - Q&amp;V'!$M$8:$M$250,'Other Minerals - Q&amp;V'!$N$8:$N$250,CONCATENATE("20",RIGHT('Q&amp;V FY 2003-04 to Now'!S$7,2)),'Other Minerals - Q&amp;V'!$O$8:$O$250,1)+
SUMIFS('Other Minerals - Q&amp;V'!$M$8:$M$250,'Other Minerals - Q&amp;V'!$N$8:$N$250,CONCATENATE("20",RIGHT('Q&amp;V FY 2003-04 to Now'!S$7,2)),'Other Minerals - Q&amp;V'!$O$8:$O$250,2))*1000000</f>
        <v>14909443.16</v>
      </c>
      <c r="U79" s="717">
        <f>(SUMIFS('Other Minerals - Q&amp;V'!$L$8:$L$250,'Other Minerals - Q&amp;V'!$N$8:$N$250,LEFT('Q&amp;V FY 2003-04 to Now'!U$7,4),'Other Minerals - Q&amp;V'!$O$8:$O$250,3)+
SUMIFS('Other Minerals - Q&amp;V'!$L$8:$L$250,'Other Minerals - Q&amp;V'!$N$8:$N$250,LEFT('Q&amp;V FY 2003-04 to Now'!U$7,4),'Other Minerals - Q&amp;V'!$O$8:$O$250,4)+
SUMIFS('Other Minerals - Q&amp;V'!$L$8:$L$250,'Other Minerals - Q&amp;V'!$N$8:$N$250,CONCATENATE("20",RIGHT('Q&amp;V FY 2003-04 to Now'!U$7,2)),'Other Minerals - Q&amp;V'!$O$8:$O$250,1)+
SUMIFS('Other Minerals - Q&amp;V'!$L$8:$L$250,'Other Minerals - Q&amp;V'!$N$8:$N$250,CONCATENATE("20",RIGHT('Q&amp;V FY 2003-04 to Now'!U$7,2)),'Other Minerals - Q&amp;V'!$O$8:$O$250,2))</f>
        <v>657.73057080052808</v>
      </c>
      <c r="V79" s="741">
        <f>(SUMIFS('Other Minerals - Q&amp;V'!$M$8:$M$250,'Other Minerals - Q&amp;V'!$N$8:$N$250,LEFT('Q&amp;V FY 2003-04 to Now'!U$7,4),'Other Minerals - Q&amp;V'!$O$8:$O$250,3)+
SUMIFS('Other Minerals - Q&amp;V'!$M$8:$M$250,'Other Minerals - Q&amp;V'!$N$8:$N$250,LEFT('Q&amp;V FY 2003-04 to Now'!U$7,4),'Other Minerals - Q&amp;V'!$O$8:$O$250,4)+
SUMIFS('Other Minerals - Q&amp;V'!$M$8:$M$250,'Other Minerals - Q&amp;V'!$N$8:$N$250,CONCATENATE("20",RIGHT('Q&amp;V FY 2003-04 to Now'!U$7,2)),'Other Minerals - Q&amp;V'!$O$8:$O$250,1)+
SUMIFS('Other Minerals - Q&amp;V'!$M$8:$M$250,'Other Minerals - Q&amp;V'!$N$8:$N$250,CONCATENATE("20",RIGHT('Q&amp;V FY 2003-04 to Now'!U$7,2)),'Other Minerals - Q&amp;V'!$O$8:$O$250,2))*1000000</f>
        <v>13069162</v>
      </c>
      <c r="W79" s="717">
        <f>(SUMIFS('Other Minerals - Q&amp;V'!$L$8:$L$250,'Other Minerals - Q&amp;V'!$N$8:$N$250,LEFT('Q&amp;V FY 2003-04 to Now'!W$7,4),'Other Minerals - Q&amp;V'!$O$8:$O$250,3)+
SUMIFS('Other Minerals - Q&amp;V'!$L$8:$L$250,'Other Minerals - Q&amp;V'!$N$8:$N$250,LEFT('Q&amp;V FY 2003-04 to Now'!W$7,4),'Other Minerals - Q&amp;V'!$O$8:$O$250,4)+
SUMIFS('Other Minerals - Q&amp;V'!$L$8:$L$250,'Other Minerals - Q&amp;V'!$N$8:$N$250,CONCATENATE("20",RIGHT('Q&amp;V FY 2003-04 to Now'!W$7,2)),'Other Minerals - Q&amp;V'!$O$8:$O$250,1)+
SUMIFS('Other Minerals - Q&amp;V'!$L$8:$L$250,'Other Minerals - Q&amp;V'!$N$8:$N$250,CONCATENATE("20",RIGHT('Q&amp;V FY 2003-04 to Now'!W$7,2)),'Other Minerals - Q&amp;V'!$O$8:$O$250,2))</f>
        <v>1015.0205977438561</v>
      </c>
      <c r="X79" s="741">
        <f>(SUMIFS('Other Minerals - Q&amp;V'!$M$8:$M$250,'Other Minerals - Q&amp;V'!$N$8:$N$250,LEFT('Q&amp;V FY 2003-04 to Now'!W$7,4),'Other Minerals - Q&amp;V'!$O$8:$O$250,3)+
SUMIFS('Other Minerals - Q&amp;V'!$M$8:$M$250,'Other Minerals - Q&amp;V'!$N$8:$N$250,LEFT('Q&amp;V FY 2003-04 to Now'!W$7,4),'Other Minerals - Q&amp;V'!$O$8:$O$250,4)+
SUMIFS('Other Minerals - Q&amp;V'!$M$8:$M$250,'Other Minerals - Q&amp;V'!$N$8:$N$250,CONCATENATE("20",RIGHT('Q&amp;V FY 2003-04 to Now'!W$7,2)),'Other Minerals - Q&amp;V'!$O$8:$O$250,1)+
SUMIFS('Other Minerals - Q&amp;V'!$M$8:$M$250,'Other Minerals - Q&amp;V'!$N$8:$N$250,CONCATENATE("20",RIGHT('Q&amp;V FY 2003-04 to Now'!W$7,2)),'Other Minerals - Q&amp;V'!$O$8:$O$250,2))*1000000</f>
        <v>13051098</v>
      </c>
      <c r="Y79" s="717">
        <f>(SUMIFS('Other Minerals - Q&amp;V'!$L$8:$L$250,'Other Minerals - Q&amp;V'!$N$8:$N$250,LEFT('Q&amp;V FY 2003-04 to Now'!Y$7,4),'Other Minerals - Q&amp;V'!$O$8:$O$250,3)+
SUMIFS('Other Minerals - Q&amp;V'!$L$8:$L$250,'Other Minerals - Q&amp;V'!$N$8:$N$250,LEFT('Q&amp;V FY 2003-04 to Now'!Y$7,4),'Other Minerals - Q&amp;V'!$O$8:$O$250,4)+
SUMIFS('Other Minerals - Q&amp;V'!$L$8:$L$250,'Other Minerals - Q&amp;V'!$N$8:$N$250,CONCATENATE("20",RIGHT('Q&amp;V FY 2003-04 to Now'!Y$7,2)),'Other Minerals - Q&amp;V'!$O$8:$O$250,1)+
SUMIFS('Other Minerals - Q&amp;V'!$L$8:$L$250,'Other Minerals - Q&amp;V'!$N$8:$N$250,CONCATENATE("20",RIGHT('Q&amp;V FY 2003-04 to Now'!Y$7,2)),'Other Minerals - Q&amp;V'!$O$8:$O$250,2))</f>
        <v>463.58674652188802</v>
      </c>
      <c r="Z79" s="741">
        <f>(SUMIFS('Other Minerals - Q&amp;V'!$M$8:$M$250,'Other Minerals - Q&amp;V'!$N$8:$N$250,LEFT('Q&amp;V FY 2003-04 to Now'!Y$7,4),'Other Minerals - Q&amp;V'!$O$8:$O$250,3)+
SUMIFS('Other Minerals - Q&amp;V'!$M$8:$M$250,'Other Minerals - Q&amp;V'!$N$8:$N$250,LEFT('Q&amp;V FY 2003-04 to Now'!Y$7,4),'Other Minerals - Q&amp;V'!$O$8:$O$250,4)+
SUMIFS('Other Minerals - Q&amp;V'!$M$8:$M$250,'Other Minerals - Q&amp;V'!$N$8:$N$250,CONCATENATE("20",RIGHT('Q&amp;V FY 2003-04 to Now'!Y$7,2)),'Other Minerals - Q&amp;V'!$O$8:$O$250,1)+
SUMIFS('Other Minerals - Q&amp;V'!$M$8:$M$250,'Other Minerals - Q&amp;V'!$N$8:$N$250,CONCATENATE("20",RIGHT('Q&amp;V FY 2003-04 to Now'!Y$7,2)),'Other Minerals - Q&amp;V'!$O$8:$O$250,2))*1000000</f>
        <v>13380729.999999998</v>
      </c>
      <c r="AA79" s="717">
        <f>(SUMIFS('Other Minerals - Q&amp;V'!$L$8:$L$250,'Other Minerals - Q&amp;V'!$N$8:$N$250,LEFT('Q&amp;V FY 2003-04 to Now'!AA$7,4),'Other Minerals - Q&amp;V'!$O$8:$O$250,3)+
SUMIFS('Other Minerals - Q&amp;V'!$L$8:$L$250,'Other Minerals - Q&amp;V'!$N$8:$N$250,LEFT('Q&amp;V FY 2003-04 to Now'!AA$7,4),'Other Minerals - Q&amp;V'!$O$8:$O$250,4)+
SUMIFS('Other Minerals - Q&amp;V'!$L$8:$L$250,'Other Minerals - Q&amp;V'!$N$8:$N$250,CONCATENATE("20",RIGHT('Q&amp;V FY 2003-04 to Now'!AA$7,2)),'Other Minerals - Q&amp;V'!$O$8:$O$250,1)+
SUMIFS('Other Minerals - Q&amp;V'!$L$8:$L$250,'Other Minerals - Q&amp;V'!$N$8:$N$250,CONCATENATE("20",RIGHT('Q&amp;V FY 2003-04 to Now'!AA$7,2)),'Other Minerals - Q&amp;V'!$O$8:$O$250,2))</f>
        <v>686.91375339787214</v>
      </c>
      <c r="AB79" s="741">
        <f>(SUMIFS('Other Minerals - Q&amp;V'!$M$8:$M$250,'Other Minerals - Q&amp;V'!$N$8:$N$250,LEFT('Q&amp;V FY 2003-04 to Now'!AA$7,4),'Other Minerals - Q&amp;V'!$O$8:$O$250,3)+
SUMIFS('Other Minerals - Q&amp;V'!$M$8:$M$250,'Other Minerals - Q&amp;V'!$N$8:$N$250,LEFT('Q&amp;V FY 2003-04 to Now'!AA$7,4),'Other Minerals - Q&amp;V'!$O$8:$O$250,4)+
SUMIFS('Other Minerals - Q&amp;V'!$M$8:$M$250,'Other Minerals - Q&amp;V'!$N$8:$N$250,CONCATENATE("20",RIGHT('Q&amp;V FY 2003-04 to Now'!AA$7,2)),'Other Minerals - Q&amp;V'!$O$8:$O$250,1)+
SUMIFS('Other Minerals - Q&amp;V'!$M$8:$M$250,'Other Minerals - Q&amp;V'!$N$8:$N$250,CONCATENATE("20",RIGHT('Q&amp;V FY 2003-04 to Now'!AA$7,2)),'Other Minerals - Q&amp;V'!$O$8:$O$250,2))*1000000</f>
        <v>16656441.000000002</v>
      </c>
      <c r="AC79" s="717">
        <f>(SUMIFS('Other Minerals - Q&amp;V'!$L$8:$L$250,'Other Minerals - Q&amp;V'!$N$8:$N$250,LEFT('Q&amp;V FY 2003-04 to Now'!AC$7,4),'Other Minerals - Q&amp;V'!$O$8:$O$250,3)+
SUMIFS('Other Minerals - Q&amp;V'!$L$8:$L$250,'Other Minerals - Q&amp;V'!$N$8:$N$250,LEFT('Q&amp;V FY 2003-04 to Now'!AC$7,4),'Other Minerals - Q&amp;V'!$O$8:$O$250,4)+
SUMIFS('Other Minerals - Q&amp;V'!$L$8:$L$250,'Other Minerals - Q&amp;V'!$N$8:$N$250,CONCATENATE("20",RIGHT('Q&amp;V FY 2003-04 to Now'!AC$7,2)),'Other Minerals - Q&amp;V'!$O$8:$O$250,1)+
SUMIFS('Other Minerals - Q&amp;V'!$L$8:$L$250,'Other Minerals - Q&amp;V'!$N$8:$N$250,CONCATENATE("20",RIGHT('Q&amp;V FY 2003-04 to Now'!AC$7,2)),'Other Minerals - Q&amp;V'!$O$8:$O$250,2))</f>
        <v>783.08016724460174</v>
      </c>
      <c r="AD79" s="741">
        <f>(SUMIFS('Other Minerals - Q&amp;V'!$M$8:$M$250,'Other Minerals - Q&amp;V'!$N$8:$N$250,LEFT('Q&amp;V FY 2003-04 to Now'!AC$7,4),'Other Minerals - Q&amp;V'!$O$8:$O$250,3)+
SUMIFS('Other Minerals - Q&amp;V'!$M$8:$M$250,'Other Minerals - Q&amp;V'!$N$8:$N$250,LEFT('Q&amp;V FY 2003-04 to Now'!AC$7,4),'Other Minerals - Q&amp;V'!$O$8:$O$250,4)+
SUMIFS('Other Minerals - Q&amp;V'!$M$8:$M$250,'Other Minerals - Q&amp;V'!$N$8:$N$250,CONCATENATE("20",RIGHT('Q&amp;V FY 2003-04 to Now'!AC$7,2)),'Other Minerals - Q&amp;V'!$O$8:$O$250,1)+
SUMIFS('Other Minerals - Q&amp;V'!$M$8:$M$250,'Other Minerals - Q&amp;V'!$N$8:$N$250,CONCATENATE("20",RIGHT('Q&amp;V FY 2003-04 to Now'!AC$7,2)),'Other Minerals - Q&amp;V'!$O$8:$O$250,2))*1000000</f>
        <v>21808380.999999996</v>
      </c>
      <c r="AE79" s="740">
        <f>(SUMIFS('Other Minerals - Q&amp;V'!$L$8:$L$250,'Other Minerals - Q&amp;V'!$N$8:$N$250,LEFT('Q&amp;V FY 2003-04 to Now'!AE$7,4),'Other Minerals - Q&amp;V'!$O$8:$O$250,3)+
SUMIFS('Other Minerals - Q&amp;V'!$L$8:$L$250,'Other Minerals - Q&amp;V'!$N$8:$N$250,LEFT('Q&amp;V FY 2003-04 to Now'!AE$7,4),'Other Minerals - Q&amp;V'!$O$8:$O$250,4)+
SUMIFS('Other Minerals - Q&amp;V'!$L$8:$L$250,'Other Minerals - Q&amp;V'!$N$8:$N$250,CONCATENATE("20",RIGHT('Q&amp;V FY 2003-04 to Now'!AE$7,2)),'Other Minerals - Q&amp;V'!$O$8:$O$250,1)+
SUMIFS('Other Minerals - Q&amp;V'!$L$8:$L$250,'Other Minerals - Q&amp;V'!$N$8:$N$250,CONCATENATE("20",RIGHT('Q&amp;V FY 2003-04 to Now'!AE$7,2)),'Other Minerals - Q&amp;V'!$O$8:$O$250,2))</f>
        <v>645.47319160077598</v>
      </c>
      <c r="AF79" s="741">
        <f>(SUMIFS('Other Minerals - Q&amp;V'!$M$8:$M$250,'Other Minerals - Q&amp;V'!$N$8:$N$250,LEFT('Q&amp;V FY 2003-04 to Now'!AE$7,4),'Other Minerals - Q&amp;V'!$O$8:$O$250,3)+
SUMIFS('Other Minerals - Q&amp;V'!$M$8:$M$250,'Other Minerals - Q&amp;V'!$N$8:$N$250,LEFT('Q&amp;V FY 2003-04 to Now'!AE$7,4),'Other Minerals - Q&amp;V'!$O$8:$O$250,4)+
SUMIFS('Other Minerals - Q&amp;V'!$M$8:$M$250,'Other Minerals - Q&amp;V'!$N$8:$N$250,CONCATENATE("20",RIGHT('Q&amp;V FY 2003-04 to Now'!AE$7,2)),'Other Minerals - Q&amp;V'!$O$8:$O$250,1)+
SUMIFS('Other Minerals - Q&amp;V'!$M$8:$M$250,'Other Minerals - Q&amp;V'!$N$8:$N$250,CONCATENATE("20",RIGHT('Q&amp;V FY 2003-04 to Now'!AE$7,2)),'Other Minerals - Q&amp;V'!$O$8:$O$250,2))*1000000</f>
        <v>26219907.999999996</v>
      </c>
      <c r="AG79" s="159">
        <f>(SUMIFS('Other Minerals - Q&amp;V'!$L$8:$L$250,'Other Minerals - Q&amp;V'!$N$8:$N$250,LEFT('Q&amp;V FY 2003-04 to Now'!AG$7,4),'Other Minerals - Q&amp;V'!$O$8:$O$250,3)+
SUMIFS('Other Minerals - Q&amp;V'!$L$8:$L$250,'Other Minerals - Q&amp;V'!$N$8:$N$250,LEFT('Q&amp;V FY 2003-04 to Now'!AG$7,4),'Other Minerals - Q&amp;V'!$O$8:$O$250,4)+
SUMIFS('Other Minerals - Q&amp;V'!$L$8:$L$250,'Other Minerals - Q&amp;V'!$N$8:$N$250,CONCATENATE("20",RIGHT('Q&amp;V FY 2003-04 to Now'!AG$7,2)),'Other Minerals - Q&amp;V'!$O$8:$O$250,1)+
SUMIFS('Other Minerals - Q&amp;V'!$L$8:$L$250,'Other Minerals - Q&amp;V'!$N$8:$N$250,CONCATENATE("20",RIGHT('Q&amp;V FY 2003-04 to Now'!AG$7,2)),'Other Minerals - Q&amp;V'!$O$8:$O$250,2))</f>
        <v>512.37177229576798</v>
      </c>
      <c r="AH79" s="717">
        <f>(SUMIFS('Other Minerals - Q&amp;V'!$M$8:$M$250,'Other Minerals - Q&amp;V'!$N$8:$N$250,LEFT('Q&amp;V FY 2003-04 to Now'!AG$7,4),'Other Minerals - Q&amp;V'!$O$8:$O$250,3)+
SUMIFS('Other Minerals - Q&amp;V'!$M$8:$M$250,'Other Minerals - Q&amp;V'!$N$8:$N$250,LEFT('Q&amp;V FY 2003-04 to Now'!AG$7,4),'Other Minerals - Q&amp;V'!$O$8:$O$250,4)+
SUMIFS('Other Minerals - Q&amp;V'!$M$8:$M$250,'Other Minerals - Q&amp;V'!$N$8:$N$250,CONCATENATE("20",RIGHT('Q&amp;V FY 2003-04 to Now'!AG$7,2)),'Other Minerals - Q&amp;V'!$O$8:$O$250,1)+
SUMIFS('Other Minerals - Q&amp;V'!$M$8:$M$250,'Other Minerals - Q&amp;V'!$N$8:$N$250,CONCATENATE("20",RIGHT('Q&amp;V FY 2003-04 to Now'!AG$7,2)),'Other Minerals - Q&amp;V'!$O$8:$O$250,2))*1000000</f>
        <v>28075812.999999996</v>
      </c>
      <c r="AI79" s="717">
        <f>(SUMIFS('Other Minerals - Q&amp;V'!$L$8:$L$250,'Other Minerals - Q&amp;V'!$N$8:$N$250,LEFT('Q&amp;V FY 2003-04 to Now'!AI$7,4),'Other Minerals - Q&amp;V'!$O$8:$O$250,3)+
SUMIFS('Other Minerals - Q&amp;V'!$L$8:$L$250,'Other Minerals - Q&amp;V'!$N$8:$N$250,LEFT('Q&amp;V FY 2003-04 to Now'!AI$7,4),'Other Minerals - Q&amp;V'!$O$8:$O$250,4)+
SUMIFS('Other Minerals - Q&amp;V'!$L$8:$L$250,'Other Minerals - Q&amp;V'!$N$8:$N$250,CONCATENATE("20",RIGHT('Q&amp;V FY 2003-04 to Now'!AI$7,2)),'Other Minerals - Q&amp;V'!$O$8:$O$250,1)+
SUMIFS('Other Minerals - Q&amp;V'!$L$8:$L$250,'Other Minerals - Q&amp;V'!$N$8:$N$250,CONCATENATE("20",RIGHT('Q&amp;V FY 2003-04 to Now'!AI$7,2)),'Other Minerals - Q&amp;V'!$O$8:$O$250,2))</f>
        <v>481.90669435708799</v>
      </c>
      <c r="AJ79" s="717">
        <f>(SUMIFS('Other Minerals - Q&amp;V'!$M$8:$M$250,'Other Minerals - Q&amp;V'!$N$8:$N$250,LEFT('Q&amp;V FY 2003-04 to Now'!AI$7,4),'Other Minerals - Q&amp;V'!$O$8:$O$250,3)+
SUMIFS('Other Minerals - Q&amp;V'!$M$8:$M$250,'Other Minerals - Q&amp;V'!$N$8:$N$250,LEFT('Q&amp;V FY 2003-04 to Now'!AI$7,4),'Other Minerals - Q&amp;V'!$O$8:$O$250,4)+
SUMIFS('Other Minerals - Q&amp;V'!$M$8:$M$250,'Other Minerals - Q&amp;V'!$N$8:$N$250,CONCATENATE("20",RIGHT('Q&amp;V FY 2003-04 to Now'!AI$7,2)),'Other Minerals - Q&amp;V'!$O$8:$O$250,1)+
SUMIFS('Other Minerals - Q&amp;V'!$M$8:$M$250,'Other Minerals - Q&amp;V'!$N$8:$N$250,CONCATENATE("20",RIGHT('Q&amp;V FY 2003-04 to Now'!AI$7,2)),'Other Minerals - Q&amp;V'!$O$8:$O$250,2))*1000000</f>
        <v>39618801.999999993</v>
      </c>
      <c r="AK79" s="717">
        <f>(SUMIFS('Other Minerals - Q&amp;V'!$L$8:$L$250,'Other Minerals - Q&amp;V'!$N$8:$N$250,LEFT('Q&amp;V FY 2003-04 to Now'!AK$7,4),'Other Minerals - Q&amp;V'!$O$8:$O$250,3)+
SUMIFS('Other Minerals - Q&amp;V'!$L$8:$L$250,'Other Minerals - Q&amp;V'!$N$8:$N$250,LEFT('Q&amp;V FY 2003-04 to Now'!AK$7,4),'Other Minerals - Q&amp;V'!$O$8:$O$250,4)+
SUMIFS('Other Minerals - Q&amp;V'!$L$8:$L$250,'Other Minerals - Q&amp;V'!$N$8:$N$250,CONCATENATE("20",RIGHT('Q&amp;V FY 2003-04 to Now'!AK$7,2)),'Other Minerals - Q&amp;V'!$O$8:$O$250,1)+
SUMIFS('Other Minerals - Q&amp;V'!$L$8:$L$250,'Other Minerals - Q&amp;V'!$N$8:$N$250,CONCATENATE("20",RIGHT('Q&amp;V FY 2003-04 to Now'!AK$7,2)),'Other Minerals - Q&amp;V'!$O$8:$O$250,2))</f>
        <v>470.33215753550405</v>
      </c>
      <c r="AL79" s="717">
        <f>(SUMIFS('Other Minerals - Q&amp;V'!$M$8:$M$250,'Other Minerals - Q&amp;V'!$N$8:$N$250,LEFT('Q&amp;V FY 2003-04 to Now'!AK$7,4),'Other Minerals - Q&amp;V'!$O$8:$O$250,3)+
SUMIFS('Other Minerals - Q&amp;V'!$M$8:$M$250,'Other Minerals - Q&amp;V'!$N$8:$N$250,LEFT('Q&amp;V FY 2003-04 to Now'!AK$7,4),'Other Minerals - Q&amp;V'!$O$8:$O$250,4)+
SUMIFS('Other Minerals - Q&amp;V'!$M$8:$M$250,'Other Minerals - Q&amp;V'!$N$8:$N$250,CONCATENATE("20",RIGHT('Q&amp;V FY 2003-04 to Now'!AK$7,2)),'Other Minerals - Q&amp;V'!$O$8:$O$250,1)+
SUMIFS('Other Minerals - Q&amp;V'!$M$8:$M$250,'Other Minerals - Q&amp;V'!$N$8:$N$250,CONCATENATE("20",RIGHT('Q&amp;V FY 2003-04 to Now'!AK$7,2)),'Other Minerals - Q&amp;V'!$O$8:$O$250,2))*1000000</f>
        <v>40285878</v>
      </c>
      <c r="AM79" s="717">
        <f>(SUMIFS('Other Minerals - Q&amp;V'!$L$8:$L$250,'Other Minerals - Q&amp;V'!$N$8:$N$250,LEFT('Q&amp;V FY 2003-04 to Now'!AM$7,4),'Other Minerals - Q&amp;V'!$O$8:$O$250,3)+
SUMIFS('Other Minerals - Q&amp;V'!$L$8:$L$250,'Other Minerals - Q&amp;V'!$N$8:$N$250,LEFT('Q&amp;V FY 2003-04 to Now'!AM$7,4),'Other Minerals - Q&amp;V'!$O$8:$O$250,4)+
SUMIFS('Other Minerals - Q&amp;V'!$L$8:$L$250,'Other Minerals - Q&amp;V'!$N$8:$N$250,CONCATENATE("20",RIGHT('Q&amp;V FY 2003-04 to Now'!AM$7,2)),'Other Minerals - Q&amp;V'!$O$8:$O$250,1)+
SUMIFS('Other Minerals - Q&amp;V'!$L$8:$L$250,'Other Minerals - Q&amp;V'!$N$8:$N$250,CONCATENATE("20",RIGHT('Q&amp;V FY 2003-04 to Now'!AM$7,2)),'Other Minerals - Q&amp;V'!$O$8:$O$250,2))</f>
        <v>458.91096085454404</v>
      </c>
      <c r="AN79" s="717">
        <f>(SUMIFS('Other Minerals - Q&amp;V'!$M$8:$M$250,'Other Minerals - Q&amp;V'!$N$8:$N$250,LEFT('Q&amp;V FY 2003-04 to Now'!AM$7,4),'Other Minerals - Q&amp;V'!$O$8:$O$250,3)+
SUMIFS('Other Minerals - Q&amp;V'!$M$8:$M$250,'Other Minerals - Q&amp;V'!$N$8:$N$250,LEFT('Q&amp;V FY 2003-04 to Now'!AM$7,4),'Other Minerals - Q&amp;V'!$O$8:$O$250,4)+
SUMIFS('Other Minerals - Q&amp;V'!$M$8:$M$250,'Other Minerals - Q&amp;V'!$N$8:$N$250,CONCATENATE("20",RIGHT('Q&amp;V FY 2003-04 to Now'!AM$7,2)),'Other Minerals - Q&amp;V'!$O$8:$O$250,1)+
SUMIFS('Other Minerals - Q&amp;V'!$M$8:$M$250,'Other Minerals - Q&amp;V'!$N$8:$N$250,CONCATENATE("20",RIGHT('Q&amp;V FY 2003-04 to Now'!AM$7,2)),'Other Minerals - Q&amp;V'!$O$8:$O$250,2))*1000000</f>
        <v>38985834.999999993</v>
      </c>
      <c r="AO79" s="717">
        <f>(SUMIFS('Other Minerals - Q&amp;V'!$L$8:$L$250,'Other Minerals - Q&amp;V'!$N$8:$N$250,LEFT('Q&amp;V FY 2003-04 to Now'!AO$7,4),'Other Minerals - Q&amp;V'!$O$8:$O$250,3)+
SUMIFS('Other Minerals - Q&amp;V'!$L$8:$L$250,'Other Minerals - Q&amp;V'!$N$8:$N$250,LEFT('Q&amp;V FY 2003-04 to Now'!AO$7,4),'Other Minerals - Q&amp;V'!$O$8:$O$250,4)+
SUMIFS('Other Minerals - Q&amp;V'!$L$8:$L$250,'Other Minerals - Q&amp;V'!$N$8:$N$250,CONCATENATE("20",RIGHT('Q&amp;V FY 2003-04 to Now'!AO$7,2)),'Other Minerals - Q&amp;V'!$O$8:$O$250,1)+
SUMIFS('Other Minerals - Q&amp;V'!$L$8:$L$250,'Other Minerals - Q&amp;V'!$N$8:$N$250,CONCATENATE("20",RIGHT('Q&amp;V FY 2003-04 to Now'!AO$7,2)),'Other Minerals - Q&amp;V'!$O$8:$O$250,2))</f>
        <v>568.3420122452161</v>
      </c>
      <c r="AP79" s="717">
        <f>(SUMIFS('Other Minerals - Q&amp;V'!$M$8:$M$250,'Other Minerals - Q&amp;V'!$N$8:$N$250,LEFT('Q&amp;V FY 2003-04 to Now'!AO$7,4),'Other Minerals - Q&amp;V'!$O$8:$O$250,3)+
SUMIFS('Other Minerals - Q&amp;V'!$M$8:$M$250,'Other Minerals - Q&amp;V'!$N$8:$N$250,LEFT('Q&amp;V FY 2003-04 to Now'!AO$7,4),'Other Minerals - Q&amp;V'!$O$8:$O$250,4)+
SUMIFS('Other Minerals - Q&amp;V'!$M$8:$M$250,'Other Minerals - Q&amp;V'!$N$8:$N$250,CONCATENATE("20",RIGHT('Q&amp;V FY 2003-04 to Now'!AO$7,2)),'Other Minerals - Q&amp;V'!$O$8:$O$250,1)+
SUMIFS('Other Minerals - Q&amp;V'!$M$8:$M$250,'Other Minerals - Q&amp;V'!$N$8:$N$250,CONCATENATE("20",RIGHT('Q&amp;V FY 2003-04 to Now'!AO$7,2)),'Other Minerals - Q&amp;V'!$O$8:$O$250,2))*1000000</f>
        <v>41321184</v>
      </c>
      <c r="AQ79" s="712">
        <f>SUMIF($C$9:AP$9,1,$C79:AP79)</f>
        <v>13780.187361637642</v>
      </c>
      <c r="AR79" s="194">
        <f>IF(COUNTIF($C79:AP79, "nfp")=0, SUMIF($C$9:AP$9,0,$C79:AP79), "nfp")</f>
        <v>380979057.15999997</v>
      </c>
      <c r="AT79" s="317"/>
      <c r="AU79" s="317"/>
      <c r="AV79" s="381"/>
      <c r="AW79" s="381"/>
    </row>
    <row r="80" spans="1:49" s="381" customFormat="1">
      <c r="A80" s="262"/>
      <c r="B80" s="127"/>
      <c r="C80" s="717"/>
      <c r="D80" s="741"/>
      <c r="E80" s="717"/>
      <c r="F80" s="741"/>
      <c r="G80" s="717"/>
      <c r="H80" s="741"/>
      <c r="I80" s="717"/>
      <c r="J80" s="741"/>
      <c r="K80" s="717"/>
      <c r="L80" s="741"/>
      <c r="M80" s="717"/>
      <c r="N80" s="741"/>
      <c r="O80" s="717"/>
      <c r="P80" s="741"/>
      <c r="Q80" s="717"/>
      <c r="R80" s="741"/>
      <c r="S80" s="717"/>
      <c r="T80" s="741"/>
      <c r="U80" s="717"/>
      <c r="V80" s="741"/>
      <c r="W80" s="717"/>
      <c r="X80" s="741"/>
      <c r="Y80" s="717"/>
      <c r="Z80" s="741"/>
      <c r="AA80" s="717"/>
      <c r="AB80" s="741"/>
      <c r="AC80" s="717"/>
      <c r="AD80" s="741"/>
      <c r="AE80" s="740"/>
      <c r="AF80" s="741"/>
      <c r="AG80" s="159"/>
      <c r="AH80" s="717"/>
      <c r="AI80" s="717"/>
      <c r="AJ80" s="717"/>
      <c r="AK80" s="717"/>
      <c r="AL80" s="717"/>
      <c r="AM80" s="717"/>
      <c r="AN80" s="717"/>
      <c r="AO80" s="717"/>
      <c r="AP80" s="717"/>
      <c r="AQ80" s="712"/>
      <c r="AR80" s="194"/>
      <c r="AS80" s="405"/>
      <c r="AT80" s="317"/>
      <c r="AU80" s="317"/>
    </row>
    <row r="81" spans="1:52" s="381" customFormat="1">
      <c r="A81" s="260" t="s">
        <v>511</v>
      </c>
      <c r="B81" s="248" t="s">
        <v>67</v>
      </c>
      <c r="C81" s="723">
        <v>0</v>
      </c>
      <c r="D81" s="723">
        <v>0</v>
      </c>
      <c r="E81" s="723">
        <v>0</v>
      </c>
      <c r="F81" s="723">
        <v>0</v>
      </c>
      <c r="G81" s="723">
        <v>0</v>
      </c>
      <c r="H81" s="723">
        <v>0</v>
      </c>
      <c r="I81" s="723">
        <v>0</v>
      </c>
      <c r="J81" s="723">
        <v>0</v>
      </c>
      <c r="K81" s="723">
        <v>0</v>
      </c>
      <c r="L81" s="723">
        <v>0</v>
      </c>
      <c r="M81" s="723">
        <v>0</v>
      </c>
      <c r="N81" s="723">
        <v>0</v>
      </c>
      <c r="O81" s="723">
        <v>0</v>
      </c>
      <c r="P81" s="723">
        <v>0</v>
      </c>
      <c r="Q81" s="723">
        <v>0</v>
      </c>
      <c r="R81" s="723">
        <v>0</v>
      </c>
      <c r="S81" s="723">
        <v>0</v>
      </c>
      <c r="T81" s="723">
        <v>0</v>
      </c>
      <c r="U81" s="723">
        <v>0</v>
      </c>
      <c r="V81" s="723">
        <v>0</v>
      </c>
      <c r="W81" s="723">
        <v>0</v>
      </c>
      <c r="X81" s="723">
        <v>0</v>
      </c>
      <c r="Y81" s="723">
        <v>0</v>
      </c>
      <c r="Z81" s="723">
        <v>0</v>
      </c>
      <c r="AA81" s="723">
        <v>0</v>
      </c>
      <c r="AB81" s="723">
        <v>0</v>
      </c>
      <c r="AC81" s="723">
        <v>0</v>
      </c>
      <c r="AD81" s="723">
        <v>0</v>
      </c>
      <c r="AE81" s="723">
        <v>0</v>
      </c>
      <c r="AF81" s="723">
        <v>0</v>
      </c>
      <c r="AG81" s="723">
        <v>0</v>
      </c>
      <c r="AH81" s="1069">
        <v>0</v>
      </c>
      <c r="AI81" s="1069">
        <v>0</v>
      </c>
      <c r="AJ81" s="1069">
        <v>0</v>
      </c>
      <c r="AK81" s="1069">
        <v>0</v>
      </c>
      <c r="AL81" s="1069">
        <v>0</v>
      </c>
      <c r="AM81" s="1069">
        <v>0</v>
      </c>
      <c r="AN81" s="1069">
        <v>0</v>
      </c>
      <c r="AO81" s="1069">
        <v>5954</v>
      </c>
      <c r="AP81" s="1069" t="s">
        <v>439</v>
      </c>
      <c r="AQ81" s="734">
        <f>SUMIF($C$9:AP$9,1,$C81:AP81)</f>
        <v>5954</v>
      </c>
      <c r="AR81" s="723" t="str">
        <f>IF(COUNTIF($C81:AP81, "nfp")=0, SUMIF($C$9:AP$9,0,$C81:AP81), "nfp")</f>
        <v>nfp</v>
      </c>
      <c r="AS81" s="405"/>
      <c r="AT81" s="317"/>
      <c r="AU81" s="317"/>
    </row>
    <row r="82" spans="1:52" s="381" customFormat="1">
      <c r="A82" s="259"/>
      <c r="B82" s="248"/>
      <c r="C82" s="668"/>
      <c r="D82" s="668"/>
      <c r="E82" s="668"/>
      <c r="F82" s="668"/>
      <c r="G82" s="668"/>
      <c r="H82" s="668"/>
      <c r="I82" s="668"/>
      <c r="J82" s="668"/>
      <c r="K82" s="668"/>
      <c r="L82" s="668"/>
      <c r="M82" s="668"/>
      <c r="N82" s="668"/>
      <c r="O82" s="668"/>
      <c r="P82" s="668"/>
      <c r="Q82" s="668"/>
      <c r="R82" s="668"/>
      <c r="S82" s="668"/>
      <c r="T82" s="668"/>
      <c r="U82" s="668"/>
      <c r="V82" s="668"/>
      <c r="W82" s="668"/>
      <c r="X82" s="668"/>
      <c r="Y82" s="668"/>
      <c r="Z82" s="668"/>
      <c r="AA82" s="668"/>
      <c r="AB82" s="668"/>
      <c r="AC82" s="668"/>
      <c r="AD82" s="668"/>
      <c r="AE82" s="736"/>
      <c r="AF82" s="668"/>
      <c r="AG82" s="736"/>
      <c r="AH82" s="910"/>
      <c r="AI82" s="1352"/>
      <c r="AJ82" s="910"/>
      <c r="AK82" s="910"/>
      <c r="AL82" s="910"/>
      <c r="AM82" s="910"/>
      <c r="AN82" s="910"/>
      <c r="AO82" s="910"/>
      <c r="AP82" s="910"/>
      <c r="AQ82" s="734"/>
      <c r="AR82" s="723"/>
      <c r="AS82" s="405"/>
      <c r="AT82" s="317"/>
      <c r="AU82" s="317"/>
    </row>
    <row r="83" spans="1:52" s="381" customFormat="1">
      <c r="A83" s="261" t="s">
        <v>394</v>
      </c>
      <c r="B83" s="127" t="s">
        <v>93</v>
      </c>
      <c r="C83" s="183">
        <v>0</v>
      </c>
      <c r="D83" s="183">
        <v>0</v>
      </c>
      <c r="E83" s="183">
        <v>0</v>
      </c>
      <c r="F83" s="183">
        <v>0</v>
      </c>
      <c r="G83" s="183">
        <v>0</v>
      </c>
      <c r="H83" s="183">
        <v>0</v>
      </c>
      <c r="I83" s="183">
        <v>0</v>
      </c>
      <c r="J83" s="183">
        <v>0</v>
      </c>
      <c r="K83" s="183">
        <v>0</v>
      </c>
      <c r="L83" s="183">
        <v>0</v>
      </c>
      <c r="M83" s="183">
        <v>0</v>
      </c>
      <c r="N83" s="183">
        <v>0</v>
      </c>
      <c r="O83" s="183">
        <v>0</v>
      </c>
      <c r="P83" s="183">
        <v>0</v>
      </c>
      <c r="Q83" s="183">
        <v>0</v>
      </c>
      <c r="R83" s="183">
        <v>0</v>
      </c>
      <c r="S83" s="183">
        <v>0</v>
      </c>
      <c r="T83" s="183">
        <v>0</v>
      </c>
      <c r="U83" s="183">
        <v>1403906.4219999998</v>
      </c>
      <c r="V83" s="183" t="s">
        <v>439</v>
      </c>
      <c r="W83" s="183">
        <v>7653061.3399999999</v>
      </c>
      <c r="X83" s="183" t="s">
        <v>439</v>
      </c>
      <c r="Y83" s="183">
        <v>13762327</v>
      </c>
      <c r="Z83" s="183" t="s">
        <v>439</v>
      </c>
      <c r="AA83" s="183">
        <v>18773690</v>
      </c>
      <c r="AB83" s="183" t="s">
        <v>439</v>
      </c>
      <c r="AC83" s="183">
        <v>26829580</v>
      </c>
      <c r="AD83" s="183" t="s">
        <v>439</v>
      </c>
      <c r="AE83" s="715">
        <v>29676877</v>
      </c>
      <c r="AF83" s="183" t="s">
        <v>439</v>
      </c>
      <c r="AG83" s="715">
        <v>29044627</v>
      </c>
      <c r="AH83" s="1598">
        <v>345763141</v>
      </c>
      <c r="AI83" s="1353">
        <v>22149793.859999999</v>
      </c>
      <c r="AJ83" s="1353">
        <v>258964205</v>
      </c>
      <c r="AK83" s="1354">
        <v>27103719</v>
      </c>
      <c r="AL83" s="1354" t="s">
        <v>439</v>
      </c>
      <c r="AM83" s="1354">
        <v>29977164.25</v>
      </c>
      <c r="AN83" s="1354">
        <v>778672985</v>
      </c>
      <c r="AO83" s="1354">
        <v>30591770</v>
      </c>
      <c r="AP83" s="1354" t="s">
        <v>439</v>
      </c>
      <c r="AQ83" s="183">
        <f>SUMIF($C$9:AP$9,1,$C83:AP83)</f>
        <v>236966515.87199998</v>
      </c>
      <c r="AR83" s="183" t="str">
        <f>IF(COUNTIF($C83:AP83, "nfp")=0, SUMIF($C$9:AP$9,0,$C83:AP83), "nfp")</f>
        <v>nfp</v>
      </c>
      <c r="AS83" s="405"/>
      <c r="AT83" s="317"/>
      <c r="AU83" s="317"/>
    </row>
    <row r="84" spans="1:52" s="381" customFormat="1">
      <c r="A84" s="1072"/>
      <c r="B84" s="127"/>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070"/>
      <c r="AF84" s="163"/>
      <c r="AG84" s="1070"/>
      <c r="AH84" s="1362"/>
      <c r="AI84" s="1361"/>
      <c r="AJ84" s="1362"/>
      <c r="AK84" s="1362"/>
      <c r="AL84" s="1362"/>
      <c r="AM84" s="1362"/>
      <c r="AN84" s="1362"/>
      <c r="AO84" s="1362"/>
      <c r="AP84" s="1362"/>
      <c r="AQ84" s="715"/>
      <c r="AR84" s="183"/>
      <c r="AS84" s="405"/>
      <c r="AT84" s="317"/>
      <c r="AU84" s="317"/>
    </row>
    <row r="85" spans="1:52">
      <c r="A85" s="260" t="s">
        <v>199</v>
      </c>
      <c r="B85" s="248" t="s">
        <v>67</v>
      </c>
      <c r="C85" s="742">
        <f>(SUMIFS('Other Minerals - Q&amp;V'!$F$8:$F$250,'Other Minerals - Q&amp;V'!$N$8:$N$250,LEFT('Q&amp;V FY 2003-04 to Now'!C$7,4),'Other Minerals - Q&amp;V'!$O$8:$O$250,3)+
SUMIFS('Other Minerals - Q&amp;V'!$F$8:$F$250,'Other Minerals - Q&amp;V'!$N$8:$N$250,LEFT('Q&amp;V FY 2003-04 to Now'!C$7,4),'Other Minerals - Q&amp;V'!$O$8:$O$250,4)+
SUMIFS('Other Minerals - Q&amp;V'!$F$8:$F$250,'Other Minerals - Q&amp;V'!$N$8:$N$250,CONCATENATE("20",RIGHT('Q&amp;V FY 2003-04 to Now'!C$7,2)),'Other Minerals - Q&amp;V'!$O$8:$O$250,1)+
SUMIFS('Other Minerals - Q&amp;V'!$F$8:$F$250,'Other Minerals - Q&amp;V'!$N$8:$N$250,CONCATENATE("20",RIGHT('Q&amp;V FY 2003-04 to Now'!C$7,2)),'Other Minerals - Q&amp;V'!$O$8:$O$250,2))*1000000</f>
        <v>9956080.9799999986</v>
      </c>
      <c r="D85" s="732">
        <f>(SUMIFS('Other Minerals - Q&amp;V'!$G$8:$G$250,'Other Minerals - Q&amp;V'!$N$8:$N$250,LEFT('Q&amp;V FY 2003-04 to Now'!C$7,4),'Other Minerals - Q&amp;V'!$O$8:$O$250,3)+
SUMIFS('Other Minerals - Q&amp;V'!$G$8:$G$250,'Other Minerals - Q&amp;V'!$N$8:$N$250,LEFT('Q&amp;V FY 2003-04 to Now'!C$7,4),'Other Minerals - Q&amp;V'!$O$8:$O$250,4)+
SUMIFS('Other Minerals - Q&amp;V'!$G$8:$G$250,'Other Minerals - Q&amp;V'!$N$8:$N$250,CONCATENATE("20",RIGHT('Q&amp;V FY 2003-04 to Now'!C$7,2)),'Other Minerals - Q&amp;V'!$O$8:$O$250,1)+
SUMIFS('Other Minerals - Q&amp;V'!$G$8:$G$250,'Other Minerals - Q&amp;V'!$N$8:$N$250,CONCATENATE("20",RIGHT('Q&amp;V FY 2003-04 to Now'!C$7,2)),'Other Minerals - Q&amp;V'!$O$8:$O$250,2))*1000000</f>
        <v>180920778.64000002</v>
      </c>
      <c r="E85" s="742">
        <f>(SUMIFS('Other Minerals - Q&amp;V'!$F$8:$F$250,'Other Minerals - Q&amp;V'!$N$8:$N$250,LEFT('Q&amp;V FY 2003-04 to Now'!E$7,4),'Other Minerals - Q&amp;V'!$O$8:$O$250,3)+
SUMIFS('Other Minerals - Q&amp;V'!$F$8:$F$250,'Other Minerals - Q&amp;V'!$N$8:$N$250,LEFT('Q&amp;V FY 2003-04 to Now'!E$7,4),'Other Minerals - Q&amp;V'!$O$8:$O$250,4)+
SUMIFS('Other Minerals - Q&amp;V'!$F$8:$F$250,'Other Minerals - Q&amp;V'!$N$8:$N$250,CONCATENATE("20",RIGHT('Q&amp;V FY 2003-04 to Now'!E$7,2)),'Other Minerals - Q&amp;V'!$O$8:$O$250,1)+
SUMIFS('Other Minerals - Q&amp;V'!$F$8:$F$250,'Other Minerals - Q&amp;V'!$N$8:$N$250,CONCATENATE("20",RIGHT('Q&amp;V FY 2003-04 to Now'!E$7,2)),'Other Minerals - Q&amp;V'!$O$8:$O$250,2))*1000000</f>
        <v>11506549.146000002</v>
      </c>
      <c r="F85" s="732">
        <f>(SUMIFS('Other Minerals - Q&amp;V'!$G$8:$G$250,'Other Minerals - Q&amp;V'!$N$8:$N$250,LEFT('Q&amp;V FY 2003-04 to Now'!E$7,4),'Other Minerals - Q&amp;V'!$O$8:$O$250,3)+
SUMIFS('Other Minerals - Q&amp;V'!$G$8:$G$250,'Other Minerals - Q&amp;V'!$N$8:$N$250,LEFT('Q&amp;V FY 2003-04 to Now'!E$7,4),'Other Minerals - Q&amp;V'!$O$8:$O$250,4)+
SUMIFS('Other Minerals - Q&amp;V'!$G$8:$G$250,'Other Minerals - Q&amp;V'!$N$8:$N$250,CONCATENATE("20",RIGHT('Q&amp;V FY 2003-04 to Now'!E$7,2)),'Other Minerals - Q&amp;V'!$O$8:$O$250,1)+
SUMIFS('Other Minerals - Q&amp;V'!$G$8:$G$250,'Other Minerals - Q&amp;V'!$N$8:$N$250,CONCATENATE("20",RIGHT('Q&amp;V FY 2003-04 to Now'!E$7,2)),'Other Minerals - Q&amp;V'!$O$8:$O$250,2))*1000000</f>
        <v>203797623.59999999</v>
      </c>
      <c r="G85" s="742">
        <f>(SUMIFS('Other Minerals - Q&amp;V'!$F$8:$F$250,'Other Minerals - Q&amp;V'!$N$8:$N$250,LEFT('Q&amp;V FY 2003-04 to Now'!G$7,4),'Other Minerals - Q&amp;V'!$O$8:$O$250,3)+
SUMIFS('Other Minerals - Q&amp;V'!$F$8:$F$250,'Other Minerals - Q&amp;V'!$N$8:$N$250,LEFT('Q&amp;V FY 2003-04 to Now'!G$7,4),'Other Minerals - Q&amp;V'!$O$8:$O$250,4)+
SUMIFS('Other Minerals - Q&amp;V'!$F$8:$F$250,'Other Minerals - Q&amp;V'!$N$8:$N$250,CONCATENATE("20",RIGHT('Q&amp;V FY 2003-04 to Now'!G$7,2)),'Other Minerals - Q&amp;V'!$O$8:$O$250,1)+
SUMIFS('Other Minerals - Q&amp;V'!$F$8:$F$250,'Other Minerals - Q&amp;V'!$N$8:$N$250,CONCATENATE("20",RIGHT('Q&amp;V FY 2003-04 to Now'!G$7,2)),'Other Minerals - Q&amp;V'!$O$8:$O$250,2))*1000000</f>
        <v>10834196.379999999</v>
      </c>
      <c r="H85" s="732">
        <f>(SUMIFS('Other Minerals - Q&amp;V'!$G$8:$G$250,'Other Minerals - Q&amp;V'!$N$8:$N$250,LEFT('Q&amp;V FY 2003-04 to Now'!G$7,4),'Other Minerals - Q&amp;V'!$O$8:$O$250,3)+
SUMIFS('Other Minerals - Q&amp;V'!$G$8:$G$250,'Other Minerals - Q&amp;V'!$N$8:$N$250,LEFT('Q&amp;V FY 2003-04 to Now'!G$7,4),'Other Minerals - Q&amp;V'!$O$8:$O$250,4)+
SUMIFS('Other Minerals - Q&amp;V'!$G$8:$G$250,'Other Minerals - Q&amp;V'!$N$8:$N$250,CONCATENATE("20",RIGHT('Q&amp;V FY 2003-04 to Now'!G$7,2)),'Other Minerals - Q&amp;V'!$O$8:$O$250,1)+
SUMIFS('Other Minerals - Q&amp;V'!$G$8:$G$250,'Other Minerals - Q&amp;V'!$N$8:$N$250,CONCATENATE("20",RIGHT('Q&amp;V FY 2003-04 to Now'!G$7,2)),'Other Minerals - Q&amp;V'!$O$8:$O$250,2))*1000000</f>
        <v>229850353.84</v>
      </c>
      <c r="I85" s="742">
        <f>(SUMIFS('Other Minerals - Q&amp;V'!$F$8:$F$250,'Other Minerals - Q&amp;V'!$N$8:$N$250,LEFT('Q&amp;V FY 2003-04 to Now'!I$7,4),'Other Minerals - Q&amp;V'!$O$8:$O$250,3)+
SUMIFS('Other Minerals - Q&amp;V'!$F$8:$F$250,'Other Minerals - Q&amp;V'!$N$8:$N$250,LEFT('Q&amp;V FY 2003-04 to Now'!I$7,4),'Other Minerals - Q&amp;V'!$O$8:$O$250,4)+
SUMIFS('Other Minerals - Q&amp;V'!$F$8:$F$250,'Other Minerals - Q&amp;V'!$N$8:$N$250,CONCATENATE("20",RIGHT('Q&amp;V FY 2003-04 to Now'!I$7,2)),'Other Minerals - Q&amp;V'!$O$8:$O$250,1)+
SUMIFS('Other Minerals - Q&amp;V'!$F$8:$F$250,'Other Minerals - Q&amp;V'!$N$8:$N$250,CONCATENATE("20",RIGHT('Q&amp;V FY 2003-04 to Now'!I$7,2)),'Other Minerals - Q&amp;V'!$O$8:$O$250,2))*1000000</f>
        <v>10423588.002999999</v>
      </c>
      <c r="J85" s="732">
        <f>(SUMIFS('Other Minerals - Q&amp;V'!$G$8:$G$250,'Other Minerals - Q&amp;V'!$N$8:$N$250,LEFT('Q&amp;V FY 2003-04 to Now'!I$7,4),'Other Minerals - Q&amp;V'!$O$8:$O$250,3)+
SUMIFS('Other Minerals - Q&amp;V'!$G$8:$G$250,'Other Minerals - Q&amp;V'!$N$8:$N$250,LEFT('Q&amp;V FY 2003-04 to Now'!I$7,4),'Other Minerals - Q&amp;V'!$O$8:$O$250,4)+
SUMIFS('Other Minerals - Q&amp;V'!$G$8:$G$250,'Other Minerals - Q&amp;V'!$N$8:$N$250,CONCATENATE("20",RIGHT('Q&amp;V FY 2003-04 to Now'!I$7,2)),'Other Minerals - Q&amp;V'!$O$8:$O$250,1)+
SUMIFS('Other Minerals - Q&amp;V'!$G$8:$G$250,'Other Minerals - Q&amp;V'!$N$8:$N$250,CONCATENATE("20",RIGHT('Q&amp;V FY 2003-04 to Now'!I$7,2)),'Other Minerals - Q&amp;V'!$O$8:$O$250,2))*1000000</f>
        <v>236151568.72999999</v>
      </c>
      <c r="K85" s="742">
        <f>(SUMIFS('Other Minerals - Q&amp;V'!$F$8:$F$250,'Other Minerals - Q&amp;V'!$N$8:$N$250,LEFT('Q&amp;V FY 2003-04 to Now'!K$7,4),'Other Minerals - Q&amp;V'!$O$8:$O$250,3)+
SUMIFS('Other Minerals - Q&amp;V'!$F$8:$F$250,'Other Minerals - Q&amp;V'!$N$8:$N$250,LEFT('Q&amp;V FY 2003-04 to Now'!K$7,4),'Other Minerals - Q&amp;V'!$O$8:$O$250,4)+
SUMIFS('Other Minerals - Q&amp;V'!$F$8:$F$250,'Other Minerals - Q&amp;V'!$N$8:$N$250,CONCATENATE("20",RIGHT('Q&amp;V FY 2003-04 to Now'!K$7,2)),'Other Minerals - Q&amp;V'!$O$8:$O$250,1)+
SUMIFS('Other Minerals - Q&amp;V'!$F$8:$F$250,'Other Minerals - Q&amp;V'!$N$8:$N$250,CONCATENATE("20",RIGHT('Q&amp;V FY 2003-04 to Now'!K$7,2)),'Other Minerals - Q&amp;V'!$O$8:$O$250,2))*1000000</f>
        <v>10589164.411999999</v>
      </c>
      <c r="L85" s="732">
        <f>(SUMIFS('Other Minerals - Q&amp;V'!$G$8:$G$250,'Other Minerals - Q&amp;V'!$N$8:$N$250,LEFT('Q&amp;V FY 2003-04 to Now'!K$7,4),'Other Minerals - Q&amp;V'!$O$8:$O$250,3)+
SUMIFS('Other Minerals - Q&amp;V'!$G$8:$G$250,'Other Minerals - Q&amp;V'!$N$8:$N$250,LEFT('Q&amp;V FY 2003-04 to Now'!K$7,4),'Other Minerals - Q&amp;V'!$O$8:$O$250,4)+
SUMIFS('Other Minerals - Q&amp;V'!$G$8:$G$250,'Other Minerals - Q&amp;V'!$N$8:$N$250,CONCATENATE("20",RIGHT('Q&amp;V FY 2003-04 to Now'!K$7,2)),'Other Minerals - Q&amp;V'!$O$8:$O$250,1)+
SUMIFS('Other Minerals - Q&amp;V'!$G$8:$G$250,'Other Minerals - Q&amp;V'!$N$8:$N$250,CONCATENATE("20",RIGHT('Q&amp;V FY 2003-04 to Now'!K$7,2)),'Other Minerals - Q&amp;V'!$O$8:$O$250,2))*1000000</f>
        <v>232929068.66000003</v>
      </c>
      <c r="M85" s="742">
        <f>(SUMIFS('Other Minerals - Q&amp;V'!$F$8:$F$250,'Other Minerals - Q&amp;V'!$N$8:$N$250,LEFT('Q&amp;V FY 2003-04 to Now'!M$7,4),'Other Minerals - Q&amp;V'!$O$8:$O$250,3)+
SUMIFS('Other Minerals - Q&amp;V'!$F$8:$F$250,'Other Minerals - Q&amp;V'!$N$8:$N$250,LEFT('Q&amp;V FY 2003-04 to Now'!M$7,4),'Other Minerals - Q&amp;V'!$O$8:$O$250,4)+
SUMIFS('Other Minerals - Q&amp;V'!$F$8:$F$250,'Other Minerals - Q&amp;V'!$N$8:$N$250,CONCATENATE("20",RIGHT('Q&amp;V FY 2003-04 to Now'!M$7,2)),'Other Minerals - Q&amp;V'!$O$8:$O$250,1)+
SUMIFS('Other Minerals - Q&amp;V'!$F$8:$F$250,'Other Minerals - Q&amp;V'!$N$8:$N$250,CONCATENATE("20",RIGHT('Q&amp;V FY 2003-04 to Now'!M$7,2)),'Other Minerals - Q&amp;V'!$O$8:$O$250,2))*1000000</f>
        <v>10519491.383999998</v>
      </c>
      <c r="N85" s="732">
        <f>(SUMIFS('Other Minerals - Q&amp;V'!$G$8:$G$250,'Other Minerals - Q&amp;V'!$N$8:$N$250,LEFT('Q&amp;V FY 2003-04 to Now'!M$7,4),'Other Minerals - Q&amp;V'!$O$8:$O$250,3)+
SUMIFS('Other Minerals - Q&amp;V'!$G$8:$G$250,'Other Minerals - Q&amp;V'!$N$8:$N$250,LEFT('Q&amp;V FY 2003-04 to Now'!M$7,4),'Other Minerals - Q&amp;V'!$O$8:$O$250,4)+
SUMIFS('Other Minerals - Q&amp;V'!$G$8:$G$250,'Other Minerals - Q&amp;V'!$N$8:$N$250,CONCATENATE("20",RIGHT('Q&amp;V FY 2003-04 to Now'!M$7,2)),'Other Minerals - Q&amp;V'!$O$8:$O$250,1)+
SUMIFS('Other Minerals - Q&amp;V'!$G$8:$G$250,'Other Minerals - Q&amp;V'!$N$8:$N$250,CONCATENATE("20",RIGHT('Q&amp;V FY 2003-04 to Now'!M$7,2)),'Other Minerals - Q&amp;V'!$O$8:$O$250,2))*1000000</f>
        <v>386254379.48000002</v>
      </c>
      <c r="O85" s="742">
        <f>(SUMIFS('Other Minerals - Q&amp;V'!$F$8:$F$250,'Other Minerals - Q&amp;V'!$N$8:$N$250,LEFT('Q&amp;V FY 2003-04 to Now'!O$7,4),'Other Minerals - Q&amp;V'!$O$8:$O$250,3)+
SUMIFS('Other Minerals - Q&amp;V'!$F$8:$F$250,'Other Minerals - Q&amp;V'!$N$8:$N$250,LEFT('Q&amp;V FY 2003-04 to Now'!O$7,4),'Other Minerals - Q&amp;V'!$O$8:$O$250,4)+
SUMIFS('Other Minerals - Q&amp;V'!$F$8:$F$250,'Other Minerals - Q&amp;V'!$N$8:$N$250,CONCATENATE("20",RIGHT('Q&amp;V FY 2003-04 to Now'!O$7,2)),'Other Minerals - Q&amp;V'!$O$8:$O$250,1)+
SUMIFS('Other Minerals - Q&amp;V'!$F$8:$F$250,'Other Minerals - Q&amp;V'!$N$8:$N$250,CONCATENATE("20",RIGHT('Q&amp;V FY 2003-04 to Now'!O$7,2)),'Other Minerals - Q&amp;V'!$O$8:$O$250,2))*1000000</f>
        <v>10969478.647</v>
      </c>
      <c r="P85" s="732">
        <f>(SUMIFS('Other Minerals - Q&amp;V'!$G$8:$G$250,'Other Minerals - Q&amp;V'!$N$8:$N$250,LEFT('Q&amp;V FY 2003-04 to Now'!O$7,4),'Other Minerals - Q&amp;V'!$O$8:$O$250,3)+
SUMIFS('Other Minerals - Q&amp;V'!$G$8:$G$250,'Other Minerals - Q&amp;V'!$N$8:$N$250,LEFT('Q&amp;V FY 2003-04 to Now'!O$7,4),'Other Minerals - Q&amp;V'!$O$8:$O$250,4)+
SUMIFS('Other Minerals - Q&amp;V'!$G$8:$G$250,'Other Minerals - Q&amp;V'!$N$8:$N$250,CONCATENATE("20",RIGHT('Q&amp;V FY 2003-04 to Now'!O$7,2)),'Other Minerals - Q&amp;V'!$O$8:$O$250,1)+
SUMIFS('Other Minerals - Q&amp;V'!$G$8:$G$250,'Other Minerals - Q&amp;V'!$N$8:$N$250,CONCATENATE("20",RIGHT('Q&amp;V FY 2003-04 to Now'!O$7,2)),'Other Minerals - Q&amp;V'!$O$8:$O$250,2))*1000000</f>
        <v>417460428.33000004</v>
      </c>
      <c r="Q85" s="742">
        <f>(SUMIFS('Other Minerals - Q&amp;V'!$F$8:$F$250,'Other Minerals - Q&amp;V'!$N$8:$N$250,LEFT('Q&amp;V FY 2003-04 to Now'!Q$7,4),'Other Minerals - Q&amp;V'!$O$8:$O$250,3)+
SUMIFS('Other Minerals - Q&amp;V'!$F$8:$F$250,'Other Minerals - Q&amp;V'!$N$8:$N$250,LEFT('Q&amp;V FY 2003-04 to Now'!Q$7,4),'Other Minerals - Q&amp;V'!$O$8:$O$250,4)+
SUMIFS('Other Minerals - Q&amp;V'!$F$8:$F$250,'Other Minerals - Q&amp;V'!$N$8:$N$250,CONCATENATE("20",RIGHT('Q&amp;V FY 2003-04 to Now'!Q$7,2)),'Other Minerals - Q&amp;V'!$O$8:$O$250,1)+
SUMIFS('Other Minerals - Q&amp;V'!$F$8:$F$250,'Other Minerals - Q&amp;V'!$N$8:$N$250,CONCATENATE("20",RIGHT('Q&amp;V FY 2003-04 to Now'!Q$7,2)),'Other Minerals - Q&amp;V'!$O$8:$O$250,2))*1000000</f>
        <v>12246504.290000001</v>
      </c>
      <c r="R85" s="732">
        <f>(SUMIFS('Other Minerals - Q&amp;V'!$G$8:$G$250,'Other Minerals - Q&amp;V'!$N$8:$N$250,LEFT('Q&amp;V FY 2003-04 to Now'!Q$7,4),'Other Minerals - Q&amp;V'!$O$8:$O$250,3)+
SUMIFS('Other Minerals - Q&amp;V'!$G$8:$G$250,'Other Minerals - Q&amp;V'!$N$8:$N$250,LEFT('Q&amp;V FY 2003-04 to Now'!Q$7,4),'Other Minerals - Q&amp;V'!$O$8:$O$250,4)+
SUMIFS('Other Minerals - Q&amp;V'!$G$8:$G$250,'Other Minerals - Q&amp;V'!$N$8:$N$250,CONCATENATE("20",RIGHT('Q&amp;V FY 2003-04 to Now'!Q$7,2)),'Other Minerals - Q&amp;V'!$O$8:$O$250,1)+
SUMIFS('Other Minerals - Q&amp;V'!$G$8:$G$250,'Other Minerals - Q&amp;V'!$N$8:$N$250,CONCATENATE("20",RIGHT('Q&amp;V FY 2003-04 to Now'!Q$7,2)),'Other Minerals - Q&amp;V'!$O$8:$O$250,2))*1000000</f>
        <v>366935890.44999999</v>
      </c>
      <c r="S85" s="742">
        <f>(SUMIFS('Other Minerals - Q&amp;V'!$F$8:$F$250,'Other Minerals - Q&amp;V'!$N$8:$N$250,LEFT('Q&amp;V FY 2003-04 to Now'!S$7,4),'Other Minerals - Q&amp;V'!$O$8:$O$250,3)+
SUMIFS('Other Minerals - Q&amp;V'!$F$8:$F$250,'Other Minerals - Q&amp;V'!$N$8:$N$250,LEFT('Q&amp;V FY 2003-04 to Now'!S$7,4),'Other Minerals - Q&amp;V'!$O$8:$O$250,4)+
SUMIFS('Other Minerals - Q&amp;V'!$F$8:$F$250,'Other Minerals - Q&amp;V'!$N$8:$N$250,CONCATENATE("20",RIGHT('Q&amp;V FY 2003-04 to Now'!S$7,2)),'Other Minerals - Q&amp;V'!$O$8:$O$250,1)+
SUMIFS('Other Minerals - Q&amp;V'!$F$8:$F$250,'Other Minerals - Q&amp;V'!$N$8:$N$250,CONCATENATE("20",RIGHT('Q&amp;V FY 2003-04 to Now'!S$7,2)),'Other Minerals - Q&amp;V'!$O$8:$O$250,2))*1000000</f>
        <v>12807461.35</v>
      </c>
      <c r="T85" s="732">
        <f>(SUMIFS('Other Minerals - Q&amp;V'!$G$8:$G$250,'Other Minerals - Q&amp;V'!$N$8:$N$250,LEFT('Q&amp;V FY 2003-04 to Now'!S$7,4),'Other Minerals - Q&amp;V'!$O$8:$O$250,3)+
SUMIFS('Other Minerals - Q&amp;V'!$G$8:$G$250,'Other Minerals - Q&amp;V'!$N$8:$N$250,LEFT('Q&amp;V FY 2003-04 to Now'!S$7,4),'Other Minerals - Q&amp;V'!$O$8:$O$250,4)+
SUMIFS('Other Minerals - Q&amp;V'!$G$8:$G$250,'Other Minerals - Q&amp;V'!$N$8:$N$250,CONCATENATE("20",RIGHT('Q&amp;V FY 2003-04 to Now'!S$7,2)),'Other Minerals - Q&amp;V'!$O$8:$O$250,1)+
SUMIFS('Other Minerals - Q&amp;V'!$G$8:$G$250,'Other Minerals - Q&amp;V'!$N$8:$N$250,CONCATENATE("20",RIGHT('Q&amp;V FY 2003-04 to Now'!S$7,2)),'Other Minerals - Q&amp;V'!$O$8:$O$250,2))*1000000</f>
        <v>353776446.97000003</v>
      </c>
      <c r="U85" s="742">
        <f>(SUMIFS('Other Minerals - Q&amp;V'!$F$8:$F$250,'Other Minerals - Q&amp;V'!$N$8:$N$250,LEFT('Q&amp;V FY 2003-04 to Now'!U$7,4),'Other Minerals - Q&amp;V'!$O$8:$O$250,3)+
SUMIFS('Other Minerals - Q&amp;V'!$F$8:$F$250,'Other Minerals - Q&amp;V'!$N$8:$N$250,LEFT('Q&amp;V FY 2003-04 to Now'!U$7,4),'Other Minerals - Q&amp;V'!$O$8:$O$250,4)+
SUMIFS('Other Minerals - Q&amp;V'!$F$8:$F$250,'Other Minerals - Q&amp;V'!$N$8:$N$250,CONCATENATE("20",RIGHT('Q&amp;V FY 2003-04 to Now'!U$7,2)),'Other Minerals - Q&amp;V'!$O$8:$O$250,1)+
SUMIFS('Other Minerals - Q&amp;V'!$F$8:$F$250,'Other Minerals - Q&amp;V'!$N$8:$N$250,CONCATENATE("20",RIGHT('Q&amp;V FY 2003-04 to Now'!U$7,2)),'Other Minerals - Q&amp;V'!$O$8:$O$250,2))*1000000</f>
        <v>12389642.682</v>
      </c>
      <c r="V85" s="732">
        <f>(SUMIFS('Other Minerals - Q&amp;V'!$G$8:$G$250,'Other Minerals - Q&amp;V'!$N$8:$N$250,LEFT('Q&amp;V FY 2003-04 to Now'!U$7,4),'Other Minerals - Q&amp;V'!$O$8:$O$250,3)+
SUMIFS('Other Minerals - Q&amp;V'!$G$8:$G$250,'Other Minerals - Q&amp;V'!$N$8:$N$250,LEFT('Q&amp;V FY 2003-04 to Now'!U$7,4),'Other Minerals - Q&amp;V'!$O$8:$O$250,4)+
SUMIFS('Other Minerals - Q&amp;V'!$G$8:$G$250,'Other Minerals - Q&amp;V'!$N$8:$N$250,CONCATENATE("20",RIGHT('Q&amp;V FY 2003-04 to Now'!U$7,2)),'Other Minerals - Q&amp;V'!$O$8:$O$250,1)+
SUMIFS('Other Minerals - Q&amp;V'!$G$8:$G$250,'Other Minerals - Q&amp;V'!$N$8:$N$250,CONCATENATE("20",RIGHT('Q&amp;V FY 2003-04 to Now'!U$7,2)),'Other Minerals - Q&amp;V'!$O$8:$O$250,2))*1000000</f>
        <v>381652888.95000005</v>
      </c>
      <c r="W85" s="742">
        <f>(SUMIFS('Other Minerals - Q&amp;V'!$F$8:$F$250,'Other Minerals - Q&amp;V'!$N$8:$N$250,LEFT('Q&amp;V FY 2003-04 to Now'!W$7,4),'Other Minerals - Q&amp;V'!$O$8:$O$250,3)+
SUMIFS('Other Minerals - Q&amp;V'!$F$8:$F$250,'Other Minerals - Q&amp;V'!$N$8:$N$250,LEFT('Q&amp;V FY 2003-04 to Now'!W$7,4),'Other Minerals - Q&amp;V'!$O$8:$O$250,4)+
SUMIFS('Other Minerals - Q&amp;V'!$F$8:$F$250,'Other Minerals - Q&amp;V'!$N$8:$N$250,CONCATENATE("20",RIGHT('Q&amp;V FY 2003-04 to Now'!W$7,2)),'Other Minerals - Q&amp;V'!$O$8:$O$250,1)+
SUMIFS('Other Minerals - Q&amp;V'!$F$8:$F$250,'Other Minerals - Q&amp;V'!$N$8:$N$250,CONCATENATE("20",RIGHT('Q&amp;V FY 2003-04 to Now'!W$7,2)),'Other Minerals - Q&amp;V'!$O$8:$O$250,2))*1000000</f>
        <v>12992041.549999999</v>
      </c>
      <c r="X85" s="732">
        <f>(SUMIFS('Other Minerals - Q&amp;V'!$G$8:$G$250,'Other Minerals - Q&amp;V'!$N$8:$N$250,LEFT('Q&amp;V FY 2003-04 to Now'!W$7,4),'Other Minerals - Q&amp;V'!$O$8:$O$250,3)+
SUMIFS('Other Minerals - Q&amp;V'!$G$8:$G$250,'Other Minerals - Q&amp;V'!$N$8:$N$250,LEFT('Q&amp;V FY 2003-04 to Now'!W$7,4),'Other Minerals - Q&amp;V'!$O$8:$O$250,4)+
SUMIFS('Other Minerals - Q&amp;V'!$G$8:$G$250,'Other Minerals - Q&amp;V'!$N$8:$N$250,CONCATENATE("20",RIGHT('Q&amp;V FY 2003-04 to Now'!W$7,2)),'Other Minerals - Q&amp;V'!$O$8:$O$250,1)+
SUMIFS('Other Minerals - Q&amp;V'!$G$8:$G$250,'Other Minerals - Q&amp;V'!$N$8:$N$250,CONCATENATE("20",RIGHT('Q&amp;V FY 2003-04 to Now'!W$7,2)),'Other Minerals - Q&amp;V'!$O$8:$O$250,2))*1000000</f>
        <v>412341655.52396971</v>
      </c>
      <c r="Y85" s="742">
        <f>(SUMIFS('Other Minerals - Q&amp;V'!$F$8:$F$250,'Other Minerals - Q&amp;V'!$N$8:$N$250,LEFT('Q&amp;V FY 2003-04 to Now'!Y$7,4),'Other Minerals - Q&amp;V'!$O$8:$O$250,3)+
SUMIFS('Other Minerals - Q&amp;V'!$F$8:$F$250,'Other Minerals - Q&amp;V'!$N$8:$N$250,LEFT('Q&amp;V FY 2003-04 to Now'!Y$7,4),'Other Minerals - Q&amp;V'!$O$8:$O$250,4)+
SUMIFS('Other Minerals - Q&amp;V'!$F$8:$F$250,'Other Minerals - Q&amp;V'!$N$8:$N$250,CONCATENATE("20",RIGHT('Q&amp;V FY 2003-04 to Now'!Y$7,2)),'Other Minerals - Q&amp;V'!$O$8:$O$250,1)+
SUMIFS('Other Minerals - Q&amp;V'!$F$8:$F$250,'Other Minerals - Q&amp;V'!$N$8:$N$250,CONCATENATE("20",RIGHT('Q&amp;V FY 2003-04 to Now'!Y$7,2)),'Other Minerals - Q&amp;V'!$O$8:$O$250,2))*1000000</f>
        <v>11726606.300000001</v>
      </c>
      <c r="Z85" s="732">
        <f>(SUMIFS('Other Minerals - Q&amp;V'!$G$8:$G$250,'Other Minerals - Q&amp;V'!$N$8:$N$250,LEFT('Q&amp;V FY 2003-04 to Now'!Y$7,4),'Other Minerals - Q&amp;V'!$O$8:$O$250,3)+
SUMIFS('Other Minerals - Q&amp;V'!$G$8:$G$250,'Other Minerals - Q&amp;V'!$N$8:$N$250,LEFT('Q&amp;V FY 2003-04 to Now'!Y$7,4),'Other Minerals - Q&amp;V'!$O$8:$O$250,4)+
SUMIFS('Other Minerals - Q&amp;V'!$G$8:$G$250,'Other Minerals - Q&amp;V'!$N$8:$N$250,CONCATENATE("20",RIGHT('Q&amp;V FY 2003-04 to Now'!Y$7,2)),'Other Minerals - Q&amp;V'!$O$8:$O$250,1)+
SUMIFS('Other Minerals - Q&amp;V'!$G$8:$G$250,'Other Minerals - Q&amp;V'!$N$8:$N$250,CONCATENATE("20",RIGHT('Q&amp;V FY 2003-04 to Now'!Y$7,2)),'Other Minerals - Q&amp;V'!$O$8:$O$250,2))*1000000</f>
        <v>374622314.99999994</v>
      </c>
      <c r="AA85" s="742">
        <f>(SUMIFS('Other Minerals - Q&amp;V'!$F$8:$F$250,'Other Minerals - Q&amp;V'!$N$8:$N$250,LEFT('Q&amp;V FY 2003-04 to Now'!AA$7,4),'Other Minerals - Q&amp;V'!$O$8:$O$250,3)+
SUMIFS('Other Minerals - Q&amp;V'!$F$8:$F$250,'Other Minerals - Q&amp;V'!$N$8:$N$250,LEFT('Q&amp;V FY 2003-04 to Now'!AA$7,4),'Other Minerals - Q&amp;V'!$O$8:$O$250,4)+
SUMIFS('Other Minerals - Q&amp;V'!$F$8:$F$250,'Other Minerals - Q&amp;V'!$N$8:$N$250,CONCATENATE("20",RIGHT('Q&amp;V FY 2003-04 to Now'!AA$7,2)),'Other Minerals - Q&amp;V'!$O$8:$O$250,1)+
SUMIFS('Other Minerals - Q&amp;V'!$F$8:$F$250,'Other Minerals - Q&amp;V'!$N$8:$N$250,CONCATENATE("20",RIGHT('Q&amp;V FY 2003-04 to Now'!AA$7,2)),'Other Minerals - Q&amp;V'!$O$8:$O$250,2))*1000000</f>
        <v>10974721.49</v>
      </c>
      <c r="AB85" s="732">
        <f>(SUMIFS('Other Minerals - Q&amp;V'!$G$8:$G$250,'Other Minerals - Q&amp;V'!$N$8:$N$250,LEFT('Q&amp;V FY 2003-04 to Now'!AA$7,4),'Other Minerals - Q&amp;V'!$O$8:$O$250,3)+
SUMIFS('Other Minerals - Q&amp;V'!$G$8:$G$250,'Other Minerals - Q&amp;V'!$N$8:$N$250,LEFT('Q&amp;V FY 2003-04 to Now'!AA$7,4),'Other Minerals - Q&amp;V'!$O$8:$O$250,4)+
SUMIFS('Other Minerals - Q&amp;V'!$G$8:$G$250,'Other Minerals - Q&amp;V'!$N$8:$N$250,CONCATENATE("20",RIGHT('Q&amp;V FY 2003-04 to Now'!AA$7,2)),'Other Minerals - Q&amp;V'!$O$8:$O$250,1)+
SUMIFS('Other Minerals - Q&amp;V'!$G$8:$G$250,'Other Minerals - Q&amp;V'!$N$8:$N$250,CONCATENATE("20",RIGHT('Q&amp;V FY 2003-04 to Now'!AA$7,2)),'Other Minerals - Q&amp;V'!$O$8:$O$250,2))*1000000</f>
        <v>337271040.1522364</v>
      </c>
      <c r="AC85" s="733">
        <f>(SUMIFS('Other Minerals - Q&amp;V'!$F$8:$F$250,'Other Minerals - Q&amp;V'!$N$8:$N$250,LEFT('Q&amp;V FY 2003-04 to Now'!AC$7,4),'Other Minerals - Q&amp;V'!$O$8:$O$250,3)+
SUMIFS('Other Minerals - Q&amp;V'!$F$8:$F$250,'Other Minerals - Q&amp;V'!$N$8:$N$250,LEFT('Q&amp;V FY 2003-04 to Now'!AC$7,4),'Other Minerals - Q&amp;V'!$O$8:$O$250,4)+
SUMIFS('Other Minerals - Q&amp;V'!$F$8:$F$250,'Other Minerals - Q&amp;V'!$N$8:$N$250,CONCATENATE("20",RIGHT('Q&amp;V FY 2003-04 to Now'!AC$7,2)),'Other Minerals - Q&amp;V'!$O$8:$O$250,1)+
SUMIFS('Other Minerals - Q&amp;V'!$F$8:$F$250,'Other Minerals - Q&amp;V'!$N$8:$N$250,CONCATENATE("20",RIGHT('Q&amp;V FY 2003-04 to Now'!AC$7,2)),'Other Minerals - Q&amp;V'!$O$8:$O$250,2))*1000000</f>
        <v>10874278.82</v>
      </c>
      <c r="AD85" s="732">
        <f>(SUMIFS('Other Minerals - Q&amp;V'!$G$8:$G$250,'Other Minerals - Q&amp;V'!$N$8:$N$250,LEFT('Q&amp;V FY 2003-04 to Now'!AC$7,4),'Other Minerals - Q&amp;V'!$O$8:$O$250,3)+
SUMIFS('Other Minerals - Q&amp;V'!$G$8:$G$250,'Other Minerals - Q&amp;V'!$N$8:$N$250,LEFT('Q&amp;V FY 2003-04 to Now'!AC$7,4),'Other Minerals - Q&amp;V'!$O$8:$O$250,4)+
SUMIFS('Other Minerals - Q&amp;V'!$G$8:$G$250,'Other Minerals - Q&amp;V'!$N$8:$N$250,CONCATENATE("20",RIGHT('Q&amp;V FY 2003-04 to Now'!AC$7,2)),'Other Minerals - Q&amp;V'!$O$8:$O$250,1)+
SUMIFS('Other Minerals - Q&amp;V'!$G$8:$G$250,'Other Minerals - Q&amp;V'!$N$8:$N$250,CONCATENATE("20",RIGHT('Q&amp;V FY 2003-04 to Now'!AC$7,2)),'Other Minerals - Q&amp;V'!$O$8:$O$250,2))*1000000</f>
        <v>293218503.58566737</v>
      </c>
      <c r="AE85" s="733">
        <f>(SUMIFS('Other Minerals - Q&amp;V'!$F$8:$F$250,'Other Minerals - Q&amp;V'!$N$8:$N$250,LEFT('Q&amp;V FY 2003-04 to Now'!AE$7,4),'Other Minerals - Q&amp;V'!$O$8:$O$250,3)+
SUMIFS('Other Minerals - Q&amp;V'!$F$8:$F$250,'Other Minerals - Q&amp;V'!$N$8:$N$250,LEFT('Q&amp;V FY 2003-04 to Now'!AE$7,4),'Other Minerals - Q&amp;V'!$O$8:$O$250,4)+
SUMIFS('Other Minerals - Q&amp;V'!$F$8:$F$250,'Other Minerals - Q&amp;V'!$N$8:$N$250,CONCATENATE("20",RIGHT('Q&amp;V FY 2003-04 to Now'!AE$7,2)),'Other Minerals - Q&amp;V'!$O$8:$O$250,1)+
SUMIFS('Other Minerals - Q&amp;V'!$F$8:$F$250,'Other Minerals - Q&amp;V'!$N$8:$N$250,CONCATENATE("20",RIGHT('Q&amp;V FY 2003-04 to Now'!AE$7,2)),'Other Minerals - Q&amp;V'!$O$8:$O$250,2))*1000000</f>
        <v>12963777.649999999</v>
      </c>
      <c r="AF85" s="732">
        <f>(SUMIFS('Other Minerals - Q&amp;V'!$G$8:$G$250,'Other Minerals - Q&amp;V'!$N$8:$N$250,LEFT('Q&amp;V FY 2003-04 to Now'!AE$7,4),'Other Minerals - Q&amp;V'!$O$8:$O$250,3)+
SUMIFS('Other Minerals - Q&amp;V'!$G$8:$G$250,'Other Minerals - Q&amp;V'!$N$8:$N$250,LEFT('Q&amp;V FY 2003-04 to Now'!AE$7,4),'Other Minerals - Q&amp;V'!$O$8:$O$250,4)+
SUMIFS('Other Minerals - Q&amp;V'!$G$8:$G$250,'Other Minerals - Q&amp;V'!$N$8:$N$250,CONCATENATE("20",RIGHT('Q&amp;V FY 2003-04 to Now'!AE$7,2)),'Other Minerals - Q&amp;V'!$O$8:$O$250,1)+
SUMIFS('Other Minerals - Q&amp;V'!$G$8:$G$250,'Other Minerals - Q&amp;V'!$N$8:$N$250,CONCATENATE("20",RIGHT('Q&amp;V FY 2003-04 to Now'!AE$7,2)),'Other Minerals - Q&amp;V'!$O$8:$O$250,2))*1000000</f>
        <v>302945027.51501292</v>
      </c>
      <c r="AG85" s="744">
        <f>(SUMIFS('Other Minerals - Q&amp;V'!$F$8:$F$250,'Other Minerals - Q&amp;V'!$N$8:$N$250,LEFT('Q&amp;V FY 2003-04 to Now'!AG$7,4),'Other Minerals - Q&amp;V'!$O$8:$O$250,3)+
SUMIFS('Other Minerals - Q&amp;V'!$F$8:$F$250,'Other Minerals - Q&amp;V'!$N$8:$N$250,LEFT('Q&amp;V FY 2003-04 to Now'!AG$7,4),'Other Minerals - Q&amp;V'!$O$8:$O$250,4)+
SUMIFS('Other Minerals - Q&amp;V'!$F$8:$F$250,'Other Minerals - Q&amp;V'!$N$8:$N$250,CONCATENATE("20",RIGHT('Q&amp;V FY 2003-04 to Now'!AG$7,2)),'Other Minerals - Q&amp;V'!$O$8:$O$250,1)+
SUMIFS('Other Minerals - Q&amp;V'!$F$8:$F$250,'Other Minerals - Q&amp;V'!$N$8:$N$250,CONCATENATE("20",RIGHT('Q&amp;V FY 2003-04 to Now'!AG$7,2)),'Other Minerals - Q&amp;V'!$O$8:$O$250,2))*1000000</f>
        <v>11729482.380000001</v>
      </c>
      <c r="AH85" s="742">
        <f>(SUMIFS('Other Minerals - Q&amp;V'!$G$8:$G$250,'Other Minerals - Q&amp;V'!$N$8:$N$250,LEFT('Q&amp;V FY 2003-04 to Now'!AG$7,4),'Other Minerals - Q&amp;V'!$O$8:$O$250,3)+
SUMIFS('Other Minerals - Q&amp;V'!$G$8:$G$250,'Other Minerals - Q&amp;V'!$N$8:$N$250,LEFT('Q&amp;V FY 2003-04 to Now'!AG$7,4),'Other Minerals - Q&amp;V'!$O$8:$O$250,4)+
SUMIFS('Other Minerals - Q&amp;V'!$G$8:$G$250,'Other Minerals - Q&amp;V'!$N$8:$N$250,CONCATENATE("20",RIGHT('Q&amp;V FY 2003-04 to Now'!AG$7,2)),'Other Minerals - Q&amp;V'!$O$8:$O$250,1)+
SUMIFS('Other Minerals - Q&amp;V'!$G$8:$G$250,'Other Minerals - Q&amp;V'!$N$8:$N$250,CONCATENATE("20",RIGHT('Q&amp;V FY 2003-04 to Now'!AG$7,2)),'Other Minerals - Q&amp;V'!$O$8:$O$250,2))*1000000</f>
        <v>303317868.9654907</v>
      </c>
      <c r="AI85" s="733">
        <f>(SUMIFS('Other Minerals - Q&amp;V'!$F$8:$F$250,'Other Minerals - Q&amp;V'!$N$8:$N$250,LEFT('Q&amp;V FY 2003-04 to Now'!AI$7,4),'Other Minerals - Q&amp;V'!$O$8:$O$250,3)+
SUMIFS('Other Minerals - Q&amp;V'!$F$8:$F$250,'Other Minerals - Q&amp;V'!$N$8:$N$250,LEFT('Q&amp;V FY 2003-04 to Now'!AI$7,4),'Other Minerals - Q&amp;V'!$O$8:$O$250,4)+
SUMIFS('Other Minerals - Q&amp;V'!$F$8:$F$250,'Other Minerals - Q&amp;V'!$N$8:$N$250,CONCATENATE("20",RIGHT('Q&amp;V FY 2003-04 to Now'!AI$7,2)),'Other Minerals - Q&amp;V'!$O$8:$O$250,1)+
SUMIFS('Other Minerals - Q&amp;V'!$F$8:$F$250,'Other Minerals - Q&amp;V'!$N$8:$N$250,CONCATENATE("20",RIGHT('Q&amp;V FY 2003-04 to Now'!AI$7,2)),'Other Minerals - Q&amp;V'!$O$8:$O$250,2))*1000000</f>
        <v>11266385.219999999</v>
      </c>
      <c r="AJ85" s="742">
        <f>(SUMIFS('Other Minerals - Q&amp;V'!$G$8:$G$250,'Other Minerals - Q&amp;V'!$N$8:$N$250,LEFT('Q&amp;V FY 2003-04 to Now'!AI$7,4),'Other Minerals - Q&amp;V'!$O$8:$O$250,3)+
SUMIFS('Other Minerals - Q&amp;V'!$G$8:$G$250,'Other Minerals - Q&amp;V'!$N$8:$N$250,LEFT('Q&amp;V FY 2003-04 to Now'!AI$7,4),'Other Minerals - Q&amp;V'!$O$8:$O$250,4)+
SUMIFS('Other Minerals - Q&amp;V'!$G$8:$G$250,'Other Minerals - Q&amp;V'!$N$8:$N$250,CONCATENATE("20",RIGHT('Q&amp;V FY 2003-04 to Now'!AI$7,2)),'Other Minerals - Q&amp;V'!$O$8:$O$250,1)+
SUMIFS('Other Minerals - Q&amp;V'!$G$8:$G$250,'Other Minerals - Q&amp;V'!$N$8:$N$250,CONCATENATE("20",RIGHT('Q&amp;V FY 2003-04 to Now'!AI$7,2)),'Other Minerals - Q&amp;V'!$O$8:$O$250,2))*1000000</f>
        <v>375123938.99999994</v>
      </c>
      <c r="AK85" s="742">
        <f>(SUMIFS('Other Minerals - Q&amp;V'!$F$8:$F$250,'Other Minerals - Q&amp;V'!$N$8:$N$250,LEFT('Q&amp;V FY 2003-04 to Now'!AK$7,4),'Other Minerals - Q&amp;V'!$O$8:$O$250,3)+
SUMIFS('Other Minerals - Q&amp;V'!$F$8:$F$250,'Other Minerals - Q&amp;V'!$N$8:$N$250,LEFT('Q&amp;V FY 2003-04 to Now'!AK$7,4),'Other Minerals - Q&amp;V'!$O$8:$O$250,4)+
SUMIFS('Other Minerals - Q&amp;V'!$F$8:$F$250,'Other Minerals - Q&amp;V'!$N$8:$N$250,CONCATENATE("20",RIGHT('Q&amp;V FY 2003-04 to Now'!AK$7,2)),'Other Minerals - Q&amp;V'!$O$8:$O$250,1)+
SUMIFS('Other Minerals - Q&amp;V'!$F$8:$F$250,'Other Minerals - Q&amp;V'!$N$8:$N$250,CONCATENATE("20",RIGHT('Q&amp;V FY 2003-04 to Now'!AK$7,2)),'Other Minerals - Q&amp;V'!$O$8:$O$250,2))*1000000</f>
        <v>12498613.345000001</v>
      </c>
      <c r="AL85" s="742">
        <f>(SUMIFS('Other Minerals - Q&amp;V'!$G$8:$G$250,'Other Minerals - Q&amp;V'!$N$8:$N$250,LEFT('Q&amp;V FY 2003-04 to Now'!AK$7,4),'Other Minerals - Q&amp;V'!$O$8:$O$250,3)+
SUMIFS('Other Minerals - Q&amp;V'!$G$8:$G$250,'Other Minerals - Q&amp;V'!$N$8:$N$250,LEFT('Q&amp;V FY 2003-04 to Now'!AK$7,4),'Other Minerals - Q&amp;V'!$O$8:$O$250,4)+
SUMIFS('Other Minerals - Q&amp;V'!$G$8:$G$250,'Other Minerals - Q&amp;V'!$N$8:$N$250,CONCATENATE("20",RIGHT('Q&amp;V FY 2003-04 to Now'!AK$7,2)),'Other Minerals - Q&amp;V'!$O$8:$O$250,1)+
SUMIFS('Other Minerals - Q&amp;V'!$G$8:$G$250,'Other Minerals - Q&amp;V'!$N$8:$N$250,CONCATENATE("20",RIGHT('Q&amp;V FY 2003-04 to Now'!AK$7,2)),'Other Minerals - Q&amp;V'!$O$8:$O$250,2))*1000000</f>
        <v>553359887</v>
      </c>
      <c r="AM85" s="742">
        <f>(SUMIFS('Other Minerals - Q&amp;V'!$F$8:$F$250,'Other Minerals - Q&amp;V'!$N$8:$N$250,LEFT('Q&amp;V FY 2003-04 to Now'!AM$7,4),'Other Minerals - Q&amp;V'!$O$8:$O$250,3)+
SUMIFS('Other Minerals - Q&amp;V'!$F$8:$F$250,'Other Minerals - Q&amp;V'!$N$8:$N$250,LEFT('Q&amp;V FY 2003-04 to Now'!AM$7,4),'Other Minerals - Q&amp;V'!$O$8:$O$250,4)+
SUMIFS('Other Minerals - Q&amp;V'!$F$8:$F$250,'Other Minerals - Q&amp;V'!$N$8:$N$250,CONCATENATE("20",RIGHT('Q&amp;V FY 2003-04 to Now'!AM$7,2)),'Other Minerals - Q&amp;V'!$O$8:$O$250,1)+
SUMIFS('Other Minerals - Q&amp;V'!$F$8:$F$250,'Other Minerals - Q&amp;V'!$N$8:$N$250,CONCATENATE("20",RIGHT('Q&amp;V FY 2003-04 to Now'!AM$7,2)),'Other Minerals - Q&amp;V'!$O$8:$O$250,2))*1000000</f>
        <v>11646900.168999998</v>
      </c>
      <c r="AN85" s="742">
        <f>(SUMIFS('Other Minerals - Q&amp;V'!$G$8:$G$250,'Other Minerals - Q&amp;V'!$N$8:$N$250,LEFT('Q&amp;V FY 2003-04 to Now'!AM$7,4),'Other Minerals - Q&amp;V'!$O$8:$O$250,3)+
SUMIFS('Other Minerals - Q&amp;V'!$G$8:$G$250,'Other Minerals - Q&amp;V'!$N$8:$N$250,LEFT('Q&amp;V FY 2003-04 to Now'!AM$7,4),'Other Minerals - Q&amp;V'!$O$8:$O$250,4)+
SUMIFS('Other Minerals - Q&amp;V'!$G$8:$G$250,'Other Minerals - Q&amp;V'!$N$8:$N$250,CONCATENATE("20",RIGHT('Q&amp;V FY 2003-04 to Now'!AM$7,2)),'Other Minerals - Q&amp;V'!$O$8:$O$250,1)+
SUMIFS('Other Minerals - Q&amp;V'!$G$8:$G$250,'Other Minerals - Q&amp;V'!$N$8:$N$250,CONCATENATE("20",RIGHT('Q&amp;V FY 2003-04 to Now'!AM$7,2)),'Other Minerals - Q&amp;V'!$O$8:$O$250,2))*1000000</f>
        <v>557545399</v>
      </c>
      <c r="AO85" s="742">
        <f>(SUMIFS('Other Minerals - Q&amp;V'!$F$8:$F$250,'Other Minerals - Q&amp;V'!$N$8:$N$250,LEFT('Q&amp;V FY 2003-04 to Now'!AO$7,4),'Other Minerals - Q&amp;V'!$O$8:$O$250,3)+
SUMIFS('Other Minerals - Q&amp;V'!$F$8:$F$250,'Other Minerals - Q&amp;V'!$N$8:$N$250,LEFT('Q&amp;V FY 2003-04 to Now'!AO$7,4),'Other Minerals - Q&amp;V'!$O$8:$O$250,4)+
SUMIFS('Other Minerals - Q&amp;V'!$F$8:$F$250,'Other Minerals - Q&amp;V'!$N$8:$N$250,CONCATENATE("20",RIGHT('Q&amp;V FY 2003-04 to Now'!AO$7,2)),'Other Minerals - Q&amp;V'!$O$8:$O$250,1)+
SUMIFS('Other Minerals - Q&amp;V'!$F$8:$F$250,'Other Minerals - Q&amp;V'!$N$8:$N$250,CONCATENATE("20",RIGHT('Q&amp;V FY 2003-04 to Now'!AO$7,2)),'Other Minerals - Q&amp;V'!$O$8:$O$250,2))*1000000</f>
        <v>11592183.639999999</v>
      </c>
      <c r="AP85" s="742">
        <f>(SUMIFS('Other Minerals - Q&amp;V'!$G$8:$G$250,'Other Minerals - Q&amp;V'!$N$8:$N$250,LEFT('Q&amp;V FY 2003-04 to Now'!AO$7,4),'Other Minerals - Q&amp;V'!$O$8:$O$250,3)+
SUMIFS('Other Minerals - Q&amp;V'!$G$8:$G$250,'Other Minerals - Q&amp;V'!$N$8:$N$250,LEFT('Q&amp;V FY 2003-04 to Now'!AO$7,4),'Other Minerals - Q&amp;V'!$O$8:$O$250,4)+
SUMIFS('Other Minerals - Q&amp;V'!$G$8:$G$250,'Other Minerals - Q&amp;V'!$N$8:$N$250,CONCATENATE("20",RIGHT('Q&amp;V FY 2003-04 to Now'!AO$7,2)),'Other Minerals - Q&amp;V'!$O$8:$O$250,1)+
SUMIFS('Other Minerals - Q&amp;V'!$G$8:$G$250,'Other Minerals - Q&amp;V'!$N$8:$N$250,CONCATENATE("20",RIGHT('Q&amp;V FY 2003-04 to Now'!AO$7,2)),'Other Minerals - Q&amp;V'!$O$8:$O$250,2))*1000000</f>
        <v>714153621.99999988</v>
      </c>
      <c r="AQ85" s="934">
        <f>SUMIF($C$9:AP$9,1,$C85:AP85)</f>
        <v>230507147.83799997</v>
      </c>
      <c r="AR85" s="724">
        <f>IF(COUNTIF($C85:AP85, "nfp")=0, SUMIF($C$9:AP$9,0,$C85:AP85), "nfp")</f>
        <v>7213628685.3923759</v>
      </c>
      <c r="AT85" s="317"/>
      <c r="AU85" s="317"/>
      <c r="AV85" s="381"/>
      <c r="AW85" s="381"/>
      <c r="AY85" s="1603"/>
      <c r="AZ85" s="1603"/>
    </row>
    <row r="86" spans="1:52">
      <c r="A86" s="257"/>
      <c r="B86" s="248"/>
      <c r="C86" s="742"/>
      <c r="D86" s="732"/>
      <c r="E86" s="742"/>
      <c r="F86" s="732"/>
      <c r="G86" s="742"/>
      <c r="H86" s="732"/>
      <c r="I86" s="742"/>
      <c r="J86" s="732"/>
      <c r="K86" s="742"/>
      <c r="L86" s="732"/>
      <c r="M86" s="742"/>
      <c r="N86" s="732"/>
      <c r="O86" s="742"/>
      <c r="P86" s="732"/>
      <c r="Q86" s="742"/>
      <c r="R86" s="732"/>
      <c r="S86" s="742"/>
      <c r="T86" s="732"/>
      <c r="U86" s="742"/>
      <c r="V86" s="732"/>
      <c r="W86" s="742"/>
      <c r="X86" s="732"/>
      <c r="Y86" s="742"/>
      <c r="Z86" s="732"/>
      <c r="AA86" s="742"/>
      <c r="AB86" s="732"/>
      <c r="AC86" s="733"/>
      <c r="AD86" s="732"/>
      <c r="AE86" s="733"/>
      <c r="AF86" s="732"/>
      <c r="AG86" s="744"/>
      <c r="AH86" s="742"/>
      <c r="AI86" s="733"/>
      <c r="AJ86" s="742"/>
      <c r="AK86" s="742"/>
      <c r="AL86" s="742"/>
      <c r="AM86" s="742"/>
      <c r="AN86" s="742"/>
      <c r="AO86" s="742"/>
      <c r="AP86" s="742"/>
      <c r="AQ86" s="934"/>
      <c r="AR86" s="724"/>
      <c r="AT86" s="317"/>
      <c r="AU86" s="317"/>
      <c r="AV86" s="381"/>
      <c r="AW86" s="381"/>
      <c r="AY86" s="1603"/>
      <c r="AZ86" s="1603"/>
    </row>
    <row r="87" spans="1:52">
      <c r="A87" s="261" t="s">
        <v>515</v>
      </c>
      <c r="B87" s="161" t="s">
        <v>67</v>
      </c>
      <c r="C87" s="183">
        <v>644205</v>
      </c>
      <c r="D87" s="183">
        <v>6759618</v>
      </c>
      <c r="E87" s="183">
        <v>700239.7</v>
      </c>
      <c r="F87" s="183">
        <v>6155323</v>
      </c>
      <c r="G87" s="183">
        <v>778115</v>
      </c>
      <c r="H87" s="183">
        <v>7779625</v>
      </c>
      <c r="I87" s="183">
        <v>630536.47</v>
      </c>
      <c r="J87" s="183">
        <v>6016582</v>
      </c>
      <c r="K87" s="183">
        <v>675112.38</v>
      </c>
      <c r="L87" s="183">
        <v>11283531</v>
      </c>
      <c r="M87" s="183">
        <v>446024.99</v>
      </c>
      <c r="N87" s="183">
        <v>7615823</v>
      </c>
      <c r="O87" s="183">
        <v>442340.3</v>
      </c>
      <c r="P87" s="183">
        <v>12402030</v>
      </c>
      <c r="Q87" s="183">
        <v>430363.1</v>
      </c>
      <c r="R87" s="183">
        <v>13304556</v>
      </c>
      <c r="S87" s="183">
        <v>452638.3</v>
      </c>
      <c r="T87" s="183">
        <v>14742316</v>
      </c>
      <c r="U87" s="183">
        <v>498232.2</v>
      </c>
      <c r="V87" s="183">
        <v>16886756</v>
      </c>
      <c r="W87" s="183">
        <v>449586.68</v>
      </c>
      <c r="X87" s="183">
        <v>15847051</v>
      </c>
      <c r="Y87" s="183">
        <v>483809.31000000006</v>
      </c>
      <c r="Z87" s="183">
        <v>17927564</v>
      </c>
      <c r="AA87" s="183">
        <v>581965.53299999994</v>
      </c>
      <c r="AB87" s="183">
        <v>18072793</v>
      </c>
      <c r="AC87" s="715">
        <v>728858.92699999991</v>
      </c>
      <c r="AD87" s="183">
        <v>20364867</v>
      </c>
      <c r="AE87" s="715">
        <v>974445.34800000011</v>
      </c>
      <c r="AF87" s="183">
        <v>18775811</v>
      </c>
      <c r="AG87" s="715">
        <v>992208.3559999998</v>
      </c>
      <c r="AH87" s="1354">
        <v>21269502</v>
      </c>
      <c r="AI87" s="1353">
        <v>991234.9809999998</v>
      </c>
      <c r="AJ87" s="1354">
        <v>19657513</v>
      </c>
      <c r="AK87" s="1354">
        <v>849508.21400000004</v>
      </c>
      <c r="AL87" s="1354">
        <v>16833496</v>
      </c>
      <c r="AM87" s="1354">
        <v>952775.95499999984</v>
      </c>
      <c r="AN87" s="1354">
        <v>21703154.30508966</v>
      </c>
      <c r="AO87" s="1354">
        <v>1224712.5959999999</v>
      </c>
      <c r="AP87" s="1354">
        <v>23945891</v>
      </c>
      <c r="AQ87" s="715">
        <f>SUMIF($C$9:AP$9,1,$C87:AP87)</f>
        <v>13926913.34</v>
      </c>
      <c r="AR87" s="183">
        <f>IF(COUNTIF($C87:AP87, "nfp")=0, SUMIF($C$9:AP$9,0,$C87:AP87), "nfp")</f>
        <v>297343802.30508965</v>
      </c>
      <c r="AT87" s="317"/>
      <c r="AU87" s="317"/>
      <c r="AV87" s="381"/>
      <c r="AW87" s="381"/>
      <c r="AY87" s="1602"/>
    </row>
    <row r="88" spans="1:52">
      <c r="A88" s="131"/>
      <c r="B88" s="161"/>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070"/>
      <c r="AD88" s="163"/>
      <c r="AE88" s="1070"/>
      <c r="AF88" s="163"/>
      <c r="AG88" s="1070"/>
      <c r="AH88" s="1362"/>
      <c r="AI88" s="1361"/>
      <c r="AJ88" s="1362"/>
      <c r="AK88" s="1362"/>
      <c r="AL88" s="1362"/>
      <c r="AM88" s="1362"/>
      <c r="AN88" s="1362"/>
      <c r="AO88" s="1362"/>
      <c r="AP88" s="1362"/>
      <c r="AQ88" s="715"/>
      <c r="AR88" s="183"/>
      <c r="AT88" s="317"/>
      <c r="AU88" s="317"/>
      <c r="AV88" s="381"/>
      <c r="AW88" s="381"/>
    </row>
    <row r="89" spans="1:52">
      <c r="A89" s="260" t="s">
        <v>201</v>
      </c>
      <c r="B89" s="248" t="s">
        <v>93</v>
      </c>
      <c r="C89" s="742">
        <f>(SUMIFS('Other Minerals - Q&amp;V'!$B$8:$B$250,'Other Minerals - Q&amp;V'!$N$8:$N$250,LEFT('Q&amp;V FY 2003-04 to Now'!C$7,4),'Other Minerals - Q&amp;V'!$O$8:$O$250,3)+
SUMIFS('Other Minerals - Q&amp;V'!$B$8:$B$250,'Other Minerals - Q&amp;V'!$N$8:$N$250,LEFT('Q&amp;V FY 2003-04 to Now'!C$7,4),'Other Minerals - Q&amp;V'!$O$8:$O$250,4)+
SUMIFS('Other Minerals - Q&amp;V'!$B$8:$B$250,'Other Minerals - Q&amp;V'!$N$8:$N$250,CONCATENATE("20",RIGHT('Q&amp;V FY 2003-04 to Now'!C$7,2)),'Other Minerals - Q&amp;V'!$O$8:$O$250,1)+
SUMIFS('Other Minerals - Q&amp;V'!$B$8:$B$250,'Other Minerals - Q&amp;V'!$N$8:$N$250,CONCATENATE("20",RIGHT('Q&amp;V FY 2003-04 to Now'!C$7,2)),'Other Minerals - Q&amp;V'!$O$8:$O$250,2))*1000</f>
        <v>98060</v>
      </c>
      <c r="D89" s="732">
        <f>(SUMIFS('Other Minerals - Q&amp;V'!$C$8:$C$250,'Other Minerals - Q&amp;V'!$N$8:$N$250,LEFT('Q&amp;V FY 2003-04 to Now'!C$7,4),'Other Minerals - Q&amp;V'!$O$8:$O$250,3)+
SUMIFS('Other Minerals - Q&amp;V'!$C$8:$C$250,'Other Minerals - Q&amp;V'!$N$8:$N$250,LEFT('Q&amp;V FY 2003-04 to Now'!C$7,4),'Other Minerals - Q&amp;V'!$O$8:$O$250,4)+
SUMIFS('Other Minerals - Q&amp;V'!$C$8:$C$250,'Other Minerals - Q&amp;V'!$N$8:$N$250,CONCATENATE("20",RIGHT('Q&amp;V FY 2003-04 to Now'!C$7,2)),'Other Minerals - Q&amp;V'!$O$8:$O$250,1)+
SUMIFS('Other Minerals - Q&amp;V'!$C$8:$C$250,'Other Minerals - Q&amp;V'!$N$8:$N$250,CONCATENATE("20",RIGHT('Q&amp;V FY 2003-04 to Now'!C$7,2)),'Other Minerals - Q&amp;V'!$O$8:$O$250,2))*1000000</f>
        <v>13101927.68</v>
      </c>
      <c r="E89" s="742">
        <f>(SUMIFS('Other Minerals - Q&amp;V'!$B$8:$B$250,'Other Minerals - Q&amp;V'!$N$8:$N$250,LEFT('Q&amp;V FY 2003-04 to Now'!E$7,4),'Other Minerals - Q&amp;V'!$O$8:$O$250,3)+
SUMIFS('Other Minerals - Q&amp;V'!$B$8:$B$250,'Other Minerals - Q&amp;V'!$N$8:$N$250,LEFT('Q&amp;V FY 2003-04 to Now'!E$7,4),'Other Minerals - Q&amp;V'!$O$8:$O$250,4)+
SUMIFS('Other Minerals - Q&amp;V'!$B$8:$B$250,'Other Minerals - Q&amp;V'!$N$8:$N$250,CONCATENATE("20",RIGHT('Q&amp;V FY 2003-04 to Now'!E$7,2)),'Other Minerals - Q&amp;V'!$O$8:$O$250,1)+
SUMIFS('Other Minerals - Q&amp;V'!$B$8:$B$250,'Other Minerals - Q&amp;V'!$N$8:$N$250,CONCATENATE("20",RIGHT('Q&amp;V FY 2003-04 to Now'!E$7,2)),'Other Minerals - Q&amp;V'!$O$8:$O$250,2))*1000</f>
        <v>142400</v>
      </c>
      <c r="F89" s="732">
        <f>(SUMIFS('Other Minerals - Q&amp;V'!$C$8:$C$250,'Other Minerals - Q&amp;V'!$N$8:$N$250,LEFT('Q&amp;V FY 2003-04 to Now'!E$7,4),'Other Minerals - Q&amp;V'!$O$8:$O$250,3)+
SUMIFS('Other Minerals - Q&amp;V'!$C$8:$C$250,'Other Minerals - Q&amp;V'!$N$8:$N$250,LEFT('Q&amp;V FY 2003-04 to Now'!E$7,4),'Other Minerals - Q&amp;V'!$O$8:$O$250,4)+
SUMIFS('Other Minerals - Q&amp;V'!$C$8:$C$250,'Other Minerals - Q&amp;V'!$N$8:$N$250,CONCATENATE("20",RIGHT('Q&amp;V FY 2003-04 to Now'!E$7,2)),'Other Minerals - Q&amp;V'!$O$8:$O$250,1)+
SUMIFS('Other Minerals - Q&amp;V'!$C$8:$C$250,'Other Minerals - Q&amp;V'!$N$8:$N$250,CONCATENATE("20",RIGHT('Q&amp;V FY 2003-04 to Now'!E$7,2)),'Other Minerals - Q&amp;V'!$O$8:$O$250,2))*1000000</f>
        <v>40037387.249999993</v>
      </c>
      <c r="G89" s="742">
        <f>(SUMIFS('Other Minerals - Q&amp;V'!$B$8:$B$250,'Other Minerals - Q&amp;V'!$N$8:$N$250,LEFT('Q&amp;V FY 2003-04 to Now'!G$7,4),'Other Minerals - Q&amp;V'!$O$8:$O$250,3)+
SUMIFS('Other Minerals - Q&amp;V'!$B$8:$B$250,'Other Minerals - Q&amp;V'!$N$8:$N$250,LEFT('Q&amp;V FY 2003-04 to Now'!G$7,4),'Other Minerals - Q&amp;V'!$O$8:$O$250,4)+
SUMIFS('Other Minerals - Q&amp;V'!$B$8:$B$250,'Other Minerals - Q&amp;V'!$N$8:$N$250,CONCATENATE("20",RIGHT('Q&amp;V FY 2003-04 to Now'!G$7,2)),'Other Minerals - Q&amp;V'!$O$8:$O$250,1)+
SUMIFS('Other Minerals - Q&amp;V'!$B$8:$B$250,'Other Minerals - Q&amp;V'!$N$8:$N$250,CONCATENATE("20",RIGHT('Q&amp;V FY 2003-04 to Now'!G$7,2)),'Other Minerals - Q&amp;V'!$O$8:$O$250,2))*1000</f>
        <v>94500</v>
      </c>
      <c r="H89" s="732">
        <f>(SUMIFS('Other Minerals - Q&amp;V'!$C$8:$C$250,'Other Minerals - Q&amp;V'!$N$8:$N$250,LEFT('Q&amp;V FY 2003-04 to Now'!G$7,4),'Other Minerals - Q&amp;V'!$O$8:$O$250,3)+
SUMIFS('Other Minerals - Q&amp;V'!$C$8:$C$250,'Other Minerals - Q&amp;V'!$N$8:$N$250,LEFT('Q&amp;V FY 2003-04 to Now'!G$7,4),'Other Minerals - Q&amp;V'!$O$8:$O$250,4)+
SUMIFS('Other Minerals - Q&amp;V'!$C$8:$C$250,'Other Minerals - Q&amp;V'!$N$8:$N$250,CONCATENATE("20",RIGHT('Q&amp;V FY 2003-04 to Now'!G$7,2)),'Other Minerals - Q&amp;V'!$O$8:$O$250,1)+
SUMIFS('Other Minerals - Q&amp;V'!$C$8:$C$250,'Other Minerals - Q&amp;V'!$N$8:$N$250,CONCATENATE("20",RIGHT('Q&amp;V FY 2003-04 to Now'!G$7,2)),'Other Minerals - Q&amp;V'!$O$8:$O$250,2))*1000000</f>
        <v>39552284.460000001</v>
      </c>
      <c r="I89" s="742">
        <f>(SUMIFS('Other Minerals - Q&amp;V'!$B$8:$B$250,'Other Minerals - Q&amp;V'!$N$8:$N$250,LEFT('Q&amp;V FY 2003-04 to Now'!I$7,4),'Other Minerals - Q&amp;V'!$O$8:$O$250,3)+
SUMIFS('Other Minerals - Q&amp;V'!$B$8:$B$250,'Other Minerals - Q&amp;V'!$N$8:$N$250,LEFT('Q&amp;V FY 2003-04 to Now'!I$7,4),'Other Minerals - Q&amp;V'!$O$8:$O$250,4)+
SUMIFS('Other Minerals - Q&amp;V'!$B$8:$B$250,'Other Minerals - Q&amp;V'!$N$8:$N$250,CONCATENATE("20",RIGHT('Q&amp;V FY 2003-04 to Now'!I$7,2)),'Other Minerals - Q&amp;V'!$O$8:$O$250,1)+
SUMIFS('Other Minerals - Q&amp;V'!$B$8:$B$250,'Other Minerals - Q&amp;V'!$N$8:$N$250,CONCATENATE("20",RIGHT('Q&amp;V FY 2003-04 to Now'!I$7,2)),'Other Minerals - Q&amp;V'!$O$8:$O$250,2))*1000</f>
        <v>120260</v>
      </c>
      <c r="J89" s="732">
        <f>(SUMIFS('Other Minerals - Q&amp;V'!$C$8:$C$250,'Other Minerals - Q&amp;V'!$N$8:$N$250,LEFT('Q&amp;V FY 2003-04 to Now'!I$7,4),'Other Minerals - Q&amp;V'!$O$8:$O$250,3)+
SUMIFS('Other Minerals - Q&amp;V'!$C$8:$C$250,'Other Minerals - Q&amp;V'!$N$8:$N$250,LEFT('Q&amp;V FY 2003-04 to Now'!I$7,4),'Other Minerals - Q&amp;V'!$O$8:$O$250,4)+
SUMIFS('Other Minerals - Q&amp;V'!$C$8:$C$250,'Other Minerals - Q&amp;V'!$N$8:$N$250,CONCATENATE("20",RIGHT('Q&amp;V FY 2003-04 to Now'!I$7,2)),'Other Minerals - Q&amp;V'!$O$8:$O$250,1)+
SUMIFS('Other Minerals - Q&amp;V'!$C$8:$C$250,'Other Minerals - Q&amp;V'!$N$8:$N$250,CONCATENATE("20",RIGHT('Q&amp;V FY 2003-04 to Now'!I$7,2)),'Other Minerals - Q&amp;V'!$O$8:$O$250,2))*1000000</f>
        <v>61768653.099999994</v>
      </c>
      <c r="K89" s="742">
        <f>(SUMIFS('Other Minerals - Q&amp;V'!$B$8:$B$250,'Other Minerals - Q&amp;V'!$N$8:$N$250,LEFT('Q&amp;V FY 2003-04 to Now'!K$7,4),'Other Minerals - Q&amp;V'!$O$8:$O$250,3)+
SUMIFS('Other Minerals - Q&amp;V'!$B$8:$B$250,'Other Minerals - Q&amp;V'!$N$8:$N$250,LEFT('Q&amp;V FY 2003-04 to Now'!K$7,4),'Other Minerals - Q&amp;V'!$O$8:$O$250,4)+
SUMIFS('Other Minerals - Q&amp;V'!$B$8:$B$250,'Other Minerals - Q&amp;V'!$N$8:$N$250,CONCATENATE("20",RIGHT('Q&amp;V FY 2003-04 to Now'!K$7,2)),'Other Minerals - Q&amp;V'!$O$8:$O$250,1)+
SUMIFS('Other Minerals - Q&amp;V'!$B$8:$B$250,'Other Minerals - Q&amp;V'!$N$8:$N$250,CONCATENATE("20",RIGHT('Q&amp;V FY 2003-04 to Now'!K$7,2)),'Other Minerals - Q&amp;V'!$O$8:$O$250,2))*1000</f>
        <v>95370</v>
      </c>
      <c r="L89" s="732">
        <f>(SUMIFS('Other Minerals - Q&amp;V'!$C$8:$C$250,'Other Minerals - Q&amp;V'!$N$8:$N$250,LEFT('Q&amp;V FY 2003-04 to Now'!K$7,4),'Other Minerals - Q&amp;V'!$O$8:$O$250,3)+
SUMIFS('Other Minerals - Q&amp;V'!$C$8:$C$250,'Other Minerals - Q&amp;V'!$N$8:$N$250,LEFT('Q&amp;V FY 2003-04 to Now'!K$7,4),'Other Minerals - Q&amp;V'!$O$8:$O$250,4)+
SUMIFS('Other Minerals - Q&amp;V'!$C$8:$C$250,'Other Minerals - Q&amp;V'!$N$8:$N$250,CONCATENATE("20",RIGHT('Q&amp;V FY 2003-04 to Now'!K$7,2)),'Other Minerals - Q&amp;V'!$O$8:$O$250,1)+
SUMIFS('Other Minerals - Q&amp;V'!$C$8:$C$250,'Other Minerals - Q&amp;V'!$N$8:$N$250,CONCATENATE("20",RIGHT('Q&amp;V FY 2003-04 to Now'!K$7,2)),'Other Minerals - Q&amp;V'!$O$8:$O$250,2))*1000000</f>
        <v>56224613.550000004</v>
      </c>
      <c r="M89" s="742">
        <f>(SUMIFS('Other Minerals - Q&amp;V'!$B$8:$B$250,'Other Minerals - Q&amp;V'!$N$8:$N$250,LEFT('Q&amp;V FY 2003-04 to Now'!M$7,4),'Other Minerals - Q&amp;V'!$O$8:$O$250,3)+
SUMIFS('Other Minerals - Q&amp;V'!$B$8:$B$250,'Other Minerals - Q&amp;V'!$N$8:$N$250,LEFT('Q&amp;V FY 2003-04 to Now'!M$7,4),'Other Minerals - Q&amp;V'!$O$8:$O$250,4)+
SUMIFS('Other Minerals - Q&amp;V'!$B$8:$B$250,'Other Minerals - Q&amp;V'!$N$8:$N$250,CONCATENATE("20",RIGHT('Q&amp;V FY 2003-04 to Now'!M$7,2)),'Other Minerals - Q&amp;V'!$O$8:$O$250,1)+
SUMIFS('Other Minerals - Q&amp;V'!$B$8:$B$250,'Other Minerals - Q&amp;V'!$N$8:$N$250,CONCATENATE("20",RIGHT('Q&amp;V FY 2003-04 to Now'!M$7,2)),'Other Minerals - Q&amp;V'!$O$8:$O$250,2))*1000</f>
        <v>137070</v>
      </c>
      <c r="N89" s="732">
        <f>(SUMIFS('Other Minerals - Q&amp;V'!$C$8:$C$250,'Other Minerals - Q&amp;V'!$N$8:$N$250,LEFT('Q&amp;V FY 2003-04 to Now'!M$7,4),'Other Minerals - Q&amp;V'!$O$8:$O$250,3)+
SUMIFS('Other Minerals - Q&amp;V'!$C$8:$C$250,'Other Minerals - Q&amp;V'!$N$8:$N$250,LEFT('Q&amp;V FY 2003-04 to Now'!M$7,4),'Other Minerals - Q&amp;V'!$O$8:$O$250,4)+
SUMIFS('Other Minerals - Q&amp;V'!$C$8:$C$250,'Other Minerals - Q&amp;V'!$N$8:$N$250,CONCATENATE("20",RIGHT('Q&amp;V FY 2003-04 to Now'!M$7,2)),'Other Minerals - Q&amp;V'!$O$8:$O$250,1)+
SUMIFS('Other Minerals - Q&amp;V'!$C$8:$C$250,'Other Minerals - Q&amp;V'!$N$8:$N$250,CONCATENATE("20",RIGHT('Q&amp;V FY 2003-04 to Now'!M$7,2)),'Other Minerals - Q&amp;V'!$O$8:$O$250,2))*1000000</f>
        <v>77399267.289999992</v>
      </c>
      <c r="O89" s="742">
        <f>(SUMIFS('Other Minerals - Q&amp;V'!$B$8:$B$250,'Other Minerals - Q&amp;V'!$N$8:$N$250,LEFT('Q&amp;V FY 2003-04 to Now'!O$7,4),'Other Minerals - Q&amp;V'!$O$8:$O$250,3)+
SUMIFS('Other Minerals - Q&amp;V'!$B$8:$B$250,'Other Minerals - Q&amp;V'!$N$8:$N$250,LEFT('Q&amp;V FY 2003-04 to Now'!O$7,4),'Other Minerals - Q&amp;V'!$O$8:$O$250,4)+
SUMIFS('Other Minerals - Q&amp;V'!$B$8:$B$250,'Other Minerals - Q&amp;V'!$N$8:$N$250,CONCATENATE("20",RIGHT('Q&amp;V FY 2003-04 to Now'!O$7,2)),'Other Minerals - Q&amp;V'!$O$8:$O$250,1)+
SUMIFS('Other Minerals - Q&amp;V'!$B$8:$B$250,'Other Minerals - Q&amp;V'!$N$8:$N$250,CONCATENATE("20",RIGHT('Q&amp;V FY 2003-04 to Now'!O$7,2)),'Other Minerals - Q&amp;V'!$O$8:$O$250,2))*1000</f>
        <v>100030</v>
      </c>
      <c r="P89" s="732">
        <f>(SUMIFS('Other Minerals - Q&amp;V'!$C$8:$C$250,'Other Minerals - Q&amp;V'!$N$8:$N$250,LEFT('Q&amp;V FY 2003-04 to Now'!O$7,4),'Other Minerals - Q&amp;V'!$O$8:$O$250,3)+
SUMIFS('Other Minerals - Q&amp;V'!$C$8:$C$250,'Other Minerals - Q&amp;V'!$N$8:$N$250,LEFT('Q&amp;V FY 2003-04 to Now'!O$7,4),'Other Minerals - Q&amp;V'!$O$8:$O$250,4)+
SUMIFS('Other Minerals - Q&amp;V'!$C$8:$C$250,'Other Minerals - Q&amp;V'!$N$8:$N$250,CONCATENATE("20",RIGHT('Q&amp;V FY 2003-04 to Now'!O$7,2)),'Other Minerals - Q&amp;V'!$O$8:$O$250,1)+
SUMIFS('Other Minerals - Q&amp;V'!$C$8:$C$250,'Other Minerals - Q&amp;V'!$N$8:$N$250,CONCATENATE("20",RIGHT('Q&amp;V FY 2003-04 to Now'!O$7,2)),'Other Minerals - Q&amp;V'!$O$8:$O$250,2))*1000000</f>
        <v>63845067.659999996</v>
      </c>
      <c r="Q89" s="742">
        <f>(SUMIFS('Other Minerals - Q&amp;V'!$B$8:$B$250,'Other Minerals - Q&amp;V'!$N$8:$N$250,LEFT('Q&amp;V FY 2003-04 to Now'!Q$7,4),'Other Minerals - Q&amp;V'!$O$8:$O$250,3)+
SUMIFS('Other Minerals - Q&amp;V'!$B$8:$B$250,'Other Minerals - Q&amp;V'!$N$8:$N$250,LEFT('Q&amp;V FY 2003-04 to Now'!Q$7,4),'Other Minerals - Q&amp;V'!$O$8:$O$250,4)+
SUMIFS('Other Minerals - Q&amp;V'!$B$8:$B$250,'Other Minerals - Q&amp;V'!$N$8:$N$250,CONCATENATE("20",RIGHT('Q&amp;V FY 2003-04 to Now'!Q$7,2)),'Other Minerals - Q&amp;V'!$O$8:$O$250,1)+
SUMIFS('Other Minerals - Q&amp;V'!$B$8:$B$250,'Other Minerals - Q&amp;V'!$N$8:$N$250,CONCATENATE("20",RIGHT('Q&amp;V FY 2003-04 to Now'!Q$7,2)),'Other Minerals - Q&amp;V'!$O$8:$O$250,2))*1000</f>
        <v>83550</v>
      </c>
      <c r="R89" s="732">
        <f>(SUMIFS('Other Minerals - Q&amp;V'!$C$8:$C$250,'Other Minerals - Q&amp;V'!$N$8:$N$250,LEFT('Q&amp;V FY 2003-04 to Now'!Q$7,4),'Other Minerals - Q&amp;V'!$O$8:$O$250,3)+
SUMIFS('Other Minerals - Q&amp;V'!$C$8:$C$250,'Other Minerals - Q&amp;V'!$N$8:$N$250,LEFT('Q&amp;V FY 2003-04 to Now'!Q$7,4),'Other Minerals - Q&amp;V'!$O$8:$O$250,4)+
SUMIFS('Other Minerals - Q&amp;V'!$C$8:$C$250,'Other Minerals - Q&amp;V'!$N$8:$N$250,CONCATENATE("20",RIGHT('Q&amp;V FY 2003-04 to Now'!Q$7,2)),'Other Minerals - Q&amp;V'!$O$8:$O$250,1)+
SUMIFS('Other Minerals - Q&amp;V'!$C$8:$C$250,'Other Minerals - Q&amp;V'!$N$8:$N$250,CONCATENATE("20",RIGHT('Q&amp;V FY 2003-04 to Now'!Q$7,2)),'Other Minerals - Q&amp;V'!$O$8:$O$250,2))*1000000</f>
        <v>76065087.370000005</v>
      </c>
      <c r="S89" s="742">
        <f>(SUMIFS('Other Minerals - Q&amp;V'!$B$8:$B$250,'Other Minerals - Q&amp;V'!$N$8:$N$250,LEFT('Q&amp;V FY 2003-04 to Now'!S$7,4),'Other Minerals - Q&amp;V'!$O$8:$O$250,3)+
SUMIFS('Other Minerals - Q&amp;V'!$B$8:$B$250,'Other Minerals - Q&amp;V'!$N$8:$N$250,LEFT('Q&amp;V FY 2003-04 to Now'!S$7,4),'Other Minerals - Q&amp;V'!$O$8:$O$250,4)+
SUMIFS('Other Minerals - Q&amp;V'!$B$8:$B$250,'Other Minerals - Q&amp;V'!$N$8:$N$250,CONCATENATE("20",RIGHT('Q&amp;V FY 2003-04 to Now'!S$7,2)),'Other Minerals - Q&amp;V'!$O$8:$O$250,1)+
SUMIFS('Other Minerals - Q&amp;V'!$B$8:$B$250,'Other Minerals - Q&amp;V'!$N$8:$N$250,CONCATENATE("20",RIGHT('Q&amp;V FY 2003-04 to Now'!S$7,2)),'Other Minerals - Q&amp;V'!$O$8:$O$250,2))*1000</f>
        <v>120080</v>
      </c>
      <c r="T89" s="732">
        <f>(SUMIFS('Other Minerals - Q&amp;V'!$C$8:$C$250,'Other Minerals - Q&amp;V'!$N$8:$N$250,LEFT('Q&amp;V FY 2003-04 to Now'!S$7,4),'Other Minerals - Q&amp;V'!$O$8:$O$250,3)+
SUMIFS('Other Minerals - Q&amp;V'!$C$8:$C$250,'Other Minerals - Q&amp;V'!$N$8:$N$250,LEFT('Q&amp;V FY 2003-04 to Now'!S$7,4),'Other Minerals - Q&amp;V'!$O$8:$O$250,4)+
SUMIFS('Other Minerals - Q&amp;V'!$C$8:$C$250,'Other Minerals - Q&amp;V'!$N$8:$N$250,CONCATENATE("20",RIGHT('Q&amp;V FY 2003-04 to Now'!S$7,2)),'Other Minerals - Q&amp;V'!$O$8:$O$250,1)+
SUMIFS('Other Minerals - Q&amp;V'!$C$8:$C$250,'Other Minerals - Q&amp;V'!$N$8:$N$250,CONCATENATE("20",RIGHT('Q&amp;V FY 2003-04 to Now'!S$7,2)),'Other Minerals - Q&amp;V'!$O$8:$O$250,2))*1000000</f>
        <v>115704895.88999999</v>
      </c>
      <c r="U89" s="742">
        <f>(SUMIFS('Other Minerals - Q&amp;V'!$B$8:$B$250,'Other Minerals - Q&amp;V'!$N$8:$N$250,LEFT('Q&amp;V FY 2003-04 to Now'!U$7,4),'Other Minerals - Q&amp;V'!$O$8:$O$250,3)+
SUMIFS('Other Minerals - Q&amp;V'!$B$8:$B$250,'Other Minerals - Q&amp;V'!$N$8:$N$250,LEFT('Q&amp;V FY 2003-04 to Now'!U$7,4),'Other Minerals - Q&amp;V'!$O$8:$O$250,4)+
SUMIFS('Other Minerals - Q&amp;V'!$B$8:$B$250,'Other Minerals - Q&amp;V'!$N$8:$N$250,CONCATENATE("20",RIGHT('Q&amp;V FY 2003-04 to Now'!U$7,2)),'Other Minerals - Q&amp;V'!$O$8:$O$250,1)+
SUMIFS('Other Minerals - Q&amp;V'!$B$8:$B$250,'Other Minerals - Q&amp;V'!$N$8:$N$250,CONCATENATE("20",RIGHT('Q&amp;V FY 2003-04 to Now'!U$7,2)),'Other Minerals - Q&amp;V'!$O$8:$O$250,2))*1000</f>
        <v>123742.45265261723</v>
      </c>
      <c r="V89" s="732">
        <f>(SUMIFS('Other Minerals - Q&amp;V'!$C$8:$C$250,'Other Minerals - Q&amp;V'!$N$8:$N$250,LEFT('Q&amp;V FY 2003-04 to Now'!U$7,4),'Other Minerals - Q&amp;V'!$O$8:$O$250,3)+
SUMIFS('Other Minerals - Q&amp;V'!$C$8:$C$250,'Other Minerals - Q&amp;V'!$N$8:$N$250,LEFT('Q&amp;V FY 2003-04 to Now'!U$7,4),'Other Minerals - Q&amp;V'!$O$8:$O$250,4)+
SUMIFS('Other Minerals - Q&amp;V'!$C$8:$C$250,'Other Minerals - Q&amp;V'!$N$8:$N$250,CONCATENATE("20",RIGHT('Q&amp;V FY 2003-04 to Now'!U$7,2)),'Other Minerals - Q&amp;V'!$O$8:$O$250,1)+
SUMIFS('Other Minerals - Q&amp;V'!$C$8:$C$250,'Other Minerals - Q&amp;V'!$N$8:$N$250,CONCATENATE("20",RIGHT('Q&amp;V FY 2003-04 to Now'!U$7,2)),'Other Minerals - Q&amp;V'!$O$8:$O$250,2))*1000000</f>
        <v>100560679.42</v>
      </c>
      <c r="W89" s="742">
        <f>(SUMIFS('Other Minerals - Q&amp;V'!$B$8:$B$250,'Other Minerals - Q&amp;V'!$N$8:$N$250,LEFT('Q&amp;V FY 2003-04 to Now'!W$7,4),'Other Minerals - Q&amp;V'!$O$8:$O$250,3)+
SUMIFS('Other Minerals - Q&amp;V'!$B$8:$B$250,'Other Minerals - Q&amp;V'!$N$8:$N$250,LEFT('Q&amp;V FY 2003-04 to Now'!W$7,4),'Other Minerals - Q&amp;V'!$O$8:$O$250,4)+
SUMIFS('Other Minerals - Q&amp;V'!$B$8:$B$250,'Other Minerals - Q&amp;V'!$N$8:$N$250,CONCATENATE("20",RIGHT('Q&amp;V FY 2003-04 to Now'!W$7,2)),'Other Minerals - Q&amp;V'!$O$8:$O$250,1)+
SUMIFS('Other Minerals - Q&amp;V'!$B$8:$B$250,'Other Minerals - Q&amp;V'!$N$8:$N$250,CONCATENATE("20",RIGHT('Q&amp;V FY 2003-04 to Now'!W$7,2)),'Other Minerals - Q&amp;V'!$O$8:$O$250,2))*1000</f>
        <v>136804.56015574568</v>
      </c>
      <c r="X89" s="732">
        <f>(SUMIFS('Other Minerals - Q&amp;V'!$C$8:$C$250,'Other Minerals - Q&amp;V'!$N$8:$N$250,LEFT('Q&amp;V FY 2003-04 to Now'!W$7,4),'Other Minerals - Q&amp;V'!$O$8:$O$250,3)+
SUMIFS('Other Minerals - Q&amp;V'!$C$8:$C$250,'Other Minerals - Q&amp;V'!$N$8:$N$250,LEFT('Q&amp;V FY 2003-04 to Now'!W$7,4),'Other Minerals - Q&amp;V'!$O$8:$O$250,4)+
SUMIFS('Other Minerals - Q&amp;V'!$C$8:$C$250,'Other Minerals - Q&amp;V'!$N$8:$N$250,CONCATENATE("20",RIGHT('Q&amp;V FY 2003-04 to Now'!W$7,2)),'Other Minerals - Q&amp;V'!$O$8:$O$250,1)+
SUMIFS('Other Minerals - Q&amp;V'!$C$8:$C$250,'Other Minerals - Q&amp;V'!$N$8:$N$250,CONCATENATE("20",RIGHT('Q&amp;V FY 2003-04 to Now'!W$7,2)),'Other Minerals - Q&amp;V'!$O$8:$O$250,2))*1000000</f>
        <v>93199992.000000015</v>
      </c>
      <c r="Y89" s="742">
        <f>(SUMIFS('Other Minerals - Q&amp;V'!$B$8:$B$250,'Other Minerals - Q&amp;V'!$N$8:$N$250,LEFT('Q&amp;V FY 2003-04 to Now'!Y$7,4),'Other Minerals - Q&amp;V'!$O$8:$O$250,3)+
SUMIFS('Other Minerals - Q&amp;V'!$B$8:$B$250,'Other Minerals - Q&amp;V'!$N$8:$N$250,LEFT('Q&amp;V FY 2003-04 to Now'!Y$7,4),'Other Minerals - Q&amp;V'!$O$8:$O$250,4)+
SUMIFS('Other Minerals - Q&amp;V'!$B$8:$B$250,'Other Minerals - Q&amp;V'!$N$8:$N$250,CONCATENATE("20",RIGHT('Q&amp;V FY 2003-04 to Now'!Y$7,2)),'Other Minerals - Q&amp;V'!$O$8:$O$250,1)+
SUMIFS('Other Minerals - Q&amp;V'!$B$8:$B$250,'Other Minerals - Q&amp;V'!$N$8:$N$250,CONCATENATE("20",RIGHT('Q&amp;V FY 2003-04 to Now'!Y$7,2)),'Other Minerals - Q&amp;V'!$O$8:$O$250,2))*1000</f>
        <v>150039.89996633719</v>
      </c>
      <c r="Z89" s="732">
        <f>(SUMIFS('Other Minerals - Q&amp;V'!$C$8:$C$250,'Other Minerals - Q&amp;V'!$N$8:$N$250,LEFT('Q&amp;V FY 2003-04 to Now'!Y$7,4),'Other Minerals - Q&amp;V'!$O$8:$O$250,3)+
SUMIFS('Other Minerals - Q&amp;V'!$C$8:$C$250,'Other Minerals - Q&amp;V'!$N$8:$N$250,LEFT('Q&amp;V FY 2003-04 to Now'!Y$7,4),'Other Minerals - Q&amp;V'!$O$8:$O$250,4)+
SUMIFS('Other Minerals - Q&amp;V'!$C$8:$C$250,'Other Minerals - Q&amp;V'!$N$8:$N$250,CONCATENATE("20",RIGHT('Q&amp;V FY 2003-04 to Now'!Y$7,2)),'Other Minerals - Q&amp;V'!$O$8:$O$250,1)+
SUMIFS('Other Minerals - Q&amp;V'!$C$8:$C$250,'Other Minerals - Q&amp;V'!$N$8:$N$250,CONCATENATE("20",RIGHT('Q&amp;V FY 2003-04 to Now'!Y$7,2)),'Other Minerals - Q&amp;V'!$O$8:$O$250,2))*1000000</f>
        <v>95616199.999999985</v>
      </c>
      <c r="AA89" s="742">
        <f>(SUMIFS('Other Minerals - Q&amp;V'!$B$8:$B$250,'Other Minerals - Q&amp;V'!$N$8:$N$250,LEFT('Q&amp;V FY 2003-04 to Now'!AA$7,4),'Other Minerals - Q&amp;V'!$O$8:$O$250,3)+
SUMIFS('Other Minerals - Q&amp;V'!$B$8:$B$250,'Other Minerals - Q&amp;V'!$N$8:$N$250,LEFT('Q&amp;V FY 2003-04 to Now'!AA$7,4),'Other Minerals - Q&amp;V'!$O$8:$O$250,4)+
SUMIFS('Other Minerals - Q&amp;V'!$B$8:$B$250,'Other Minerals - Q&amp;V'!$N$8:$N$250,CONCATENATE("20",RIGHT('Q&amp;V FY 2003-04 to Now'!AA$7,2)),'Other Minerals - Q&amp;V'!$O$8:$O$250,1)+
SUMIFS('Other Minerals - Q&amp;V'!$B$8:$B$250,'Other Minerals - Q&amp;V'!$N$8:$N$250,CONCATENATE("20",RIGHT('Q&amp;V FY 2003-04 to Now'!AA$7,2)),'Other Minerals - Q&amp;V'!$O$8:$O$250,2))*1000</f>
        <v>155619.79760936898</v>
      </c>
      <c r="AB89" s="732">
        <f>(SUMIFS('Other Minerals - Q&amp;V'!$C$8:$C$250,'Other Minerals - Q&amp;V'!$N$8:$N$250,LEFT('Q&amp;V FY 2003-04 to Now'!AA$7,4),'Other Minerals - Q&amp;V'!$O$8:$O$250,3)+
SUMIFS('Other Minerals - Q&amp;V'!$C$8:$C$250,'Other Minerals - Q&amp;V'!$N$8:$N$250,LEFT('Q&amp;V FY 2003-04 to Now'!AA$7,4),'Other Minerals - Q&amp;V'!$O$8:$O$250,4)+
SUMIFS('Other Minerals - Q&amp;V'!$C$8:$C$250,'Other Minerals - Q&amp;V'!$N$8:$N$250,CONCATENATE("20",RIGHT('Q&amp;V FY 2003-04 to Now'!AA$7,2)),'Other Minerals - Q&amp;V'!$O$8:$O$250,1)+
SUMIFS('Other Minerals - Q&amp;V'!$C$8:$C$250,'Other Minerals - Q&amp;V'!$N$8:$N$250,CONCATENATE("20",RIGHT('Q&amp;V FY 2003-04 to Now'!AA$7,2)),'Other Minerals - Q&amp;V'!$O$8:$O$250,2))*1000000</f>
        <v>104786545.99999999</v>
      </c>
      <c r="AC89" s="733">
        <f>(SUMIFS('Other Minerals - Q&amp;V'!$B$8:$B$250,'Other Minerals - Q&amp;V'!$N$8:$N$250,LEFT('Q&amp;V FY 2003-04 to Now'!AC$7,4),'Other Minerals - Q&amp;V'!$O$8:$O$250,3)+
SUMIFS('Other Minerals - Q&amp;V'!$B$8:$B$250,'Other Minerals - Q&amp;V'!$N$8:$N$250,LEFT('Q&amp;V FY 2003-04 to Now'!AC$7,4),'Other Minerals - Q&amp;V'!$O$8:$O$250,4)+
SUMIFS('Other Minerals - Q&amp;V'!$B$8:$B$250,'Other Minerals - Q&amp;V'!$N$8:$N$250,CONCATENATE("20",RIGHT('Q&amp;V FY 2003-04 to Now'!AC$7,2)),'Other Minerals - Q&amp;V'!$O$8:$O$250,1)+
SUMIFS('Other Minerals - Q&amp;V'!$B$8:$B$250,'Other Minerals - Q&amp;V'!$N$8:$N$250,CONCATENATE("20",RIGHT('Q&amp;V FY 2003-04 to Now'!AC$7,2)),'Other Minerals - Q&amp;V'!$O$8:$O$250,2))*1000</f>
        <v>141925.37222300417</v>
      </c>
      <c r="AD89" s="732">
        <f>(SUMIFS('Other Minerals - Q&amp;V'!$C$8:$C$250,'Other Minerals - Q&amp;V'!$N$8:$N$250,LEFT('Q&amp;V FY 2003-04 to Now'!AC$7,4),'Other Minerals - Q&amp;V'!$O$8:$O$250,3)+
SUMIFS('Other Minerals - Q&amp;V'!$C$8:$C$250,'Other Minerals - Q&amp;V'!$N$8:$N$250,LEFT('Q&amp;V FY 2003-04 to Now'!AC$7,4),'Other Minerals - Q&amp;V'!$O$8:$O$250,4)+
SUMIFS('Other Minerals - Q&amp;V'!$C$8:$C$250,'Other Minerals - Q&amp;V'!$N$8:$N$250,CONCATENATE("20",RIGHT('Q&amp;V FY 2003-04 to Now'!AC$7,2)),'Other Minerals - Q&amp;V'!$O$8:$O$250,1)+
SUMIFS('Other Minerals - Q&amp;V'!$C$8:$C$250,'Other Minerals - Q&amp;V'!$N$8:$N$250,CONCATENATE("20",RIGHT('Q&amp;V FY 2003-04 to Now'!AC$7,2)),'Other Minerals - Q&amp;V'!$O$8:$O$250,2))*1000000</f>
        <v>98465479.999999985</v>
      </c>
      <c r="AE89" s="733">
        <f>(SUMIFS('Other Minerals - Q&amp;V'!$B$8:$B$250,'Other Minerals - Q&amp;V'!$N$8:$N$250,LEFT('Q&amp;V FY 2003-04 to Now'!AE$7,4),'Other Minerals - Q&amp;V'!$O$8:$O$250,3)+
SUMIFS('Other Minerals - Q&amp;V'!$B$8:$B$250,'Other Minerals - Q&amp;V'!$N$8:$N$250,LEFT('Q&amp;V FY 2003-04 to Now'!AE$7,4),'Other Minerals - Q&amp;V'!$O$8:$O$250,4)+
SUMIFS('Other Minerals - Q&amp;V'!$B$8:$B$250,'Other Minerals - Q&amp;V'!$N$8:$N$250,CONCATENATE("20",RIGHT('Q&amp;V FY 2003-04 to Now'!AE$7,2)),'Other Minerals - Q&amp;V'!$O$8:$O$250,1)+
SUMIFS('Other Minerals - Q&amp;V'!$B$8:$B$250,'Other Minerals - Q&amp;V'!$N$8:$N$250,CONCATENATE("20",RIGHT('Q&amp;V FY 2003-04 to Now'!AE$7,2)),'Other Minerals - Q&amp;V'!$O$8:$O$250,2))*1000</f>
        <v>151550.59415492543</v>
      </c>
      <c r="AF89" s="732">
        <f>(SUMIFS('Other Minerals - Q&amp;V'!$C$8:$C$250,'Other Minerals - Q&amp;V'!$N$8:$N$250,LEFT('Q&amp;V FY 2003-04 to Now'!AE$7,4),'Other Minerals - Q&amp;V'!$O$8:$O$250,3)+
SUMIFS('Other Minerals - Q&amp;V'!$C$8:$C$250,'Other Minerals - Q&amp;V'!$N$8:$N$250,LEFT('Q&amp;V FY 2003-04 to Now'!AE$7,4),'Other Minerals - Q&amp;V'!$O$8:$O$250,4)+
SUMIFS('Other Minerals - Q&amp;V'!$C$8:$C$250,'Other Minerals - Q&amp;V'!$N$8:$N$250,CONCATENATE("20",RIGHT('Q&amp;V FY 2003-04 to Now'!AE$7,2)),'Other Minerals - Q&amp;V'!$O$8:$O$250,1)+
SUMIFS('Other Minerals - Q&amp;V'!$C$8:$C$250,'Other Minerals - Q&amp;V'!$N$8:$N$250,CONCATENATE("20",RIGHT('Q&amp;V FY 2003-04 to Now'!AE$7,2)),'Other Minerals - Q&amp;V'!$O$8:$O$250,2))*1000000</f>
        <v>99094100.981089234</v>
      </c>
      <c r="AG89" s="744">
        <f>(SUMIFS('Other Minerals - Q&amp;V'!$B$8:$B$250,'Other Minerals - Q&amp;V'!$N$8:$N$250,LEFT('Q&amp;V FY 2003-04 to Now'!AG$7,4),'Other Minerals - Q&amp;V'!$O$8:$O$250,3)+
SUMIFS('Other Minerals - Q&amp;V'!$B$8:$B$250,'Other Minerals - Q&amp;V'!$N$8:$N$250,LEFT('Q&amp;V FY 2003-04 to Now'!AG$7,4),'Other Minerals - Q&amp;V'!$O$8:$O$250,4)+
SUMIFS('Other Minerals - Q&amp;V'!$B$8:$B$250,'Other Minerals - Q&amp;V'!$N$8:$N$250,CONCATENATE("20",RIGHT('Q&amp;V FY 2003-04 to Now'!AG$7,2)),'Other Minerals - Q&amp;V'!$O$8:$O$250,1)+
SUMIFS('Other Minerals - Q&amp;V'!$B$8:$B$250,'Other Minerals - Q&amp;V'!$N$8:$N$250,CONCATENATE("20",RIGHT('Q&amp;V FY 2003-04 to Now'!AG$7,2)),'Other Minerals - Q&amp;V'!$O$8:$O$250,2))*1000</f>
        <v>129411.59263965284</v>
      </c>
      <c r="AH89" s="742">
        <f>(SUMIFS('Other Minerals - Q&amp;V'!$C$8:$C$250,'Other Minerals - Q&amp;V'!$N$8:$N$250,LEFT('Q&amp;V FY 2003-04 to Now'!AG$7,4),'Other Minerals - Q&amp;V'!$O$8:$O$250,3)+
SUMIFS('Other Minerals - Q&amp;V'!$C$8:$C$250,'Other Minerals - Q&amp;V'!$N$8:$N$250,LEFT('Q&amp;V FY 2003-04 to Now'!AG$7,4),'Other Minerals - Q&amp;V'!$O$8:$O$250,4)+
SUMIFS('Other Minerals - Q&amp;V'!$C$8:$C$250,'Other Minerals - Q&amp;V'!$N$8:$N$250,CONCATENATE("20",RIGHT('Q&amp;V FY 2003-04 to Now'!AG$7,2)),'Other Minerals - Q&amp;V'!$O$8:$O$250,1)+
SUMIFS('Other Minerals - Q&amp;V'!$C$8:$C$250,'Other Minerals - Q&amp;V'!$N$8:$N$250,CONCATENATE("20",RIGHT('Q&amp;V FY 2003-04 to Now'!AG$7,2)),'Other Minerals - Q&amp;V'!$O$8:$O$250,2))*1000000</f>
        <v>84840722</v>
      </c>
      <c r="AI89" s="733">
        <f>(SUMIFS('Other Minerals - Q&amp;V'!$B$8:$B$250,'Other Minerals - Q&amp;V'!$N$8:$N$250,LEFT('Q&amp;V FY 2003-04 to Now'!AI$7,4),'Other Minerals - Q&amp;V'!$O$8:$O$250,3)+
SUMIFS('Other Minerals - Q&amp;V'!$B$8:$B$250,'Other Minerals - Q&amp;V'!$N$8:$N$250,LEFT('Q&amp;V FY 2003-04 to Now'!AI$7,4),'Other Minerals - Q&amp;V'!$O$8:$O$250,4)+
SUMIFS('Other Minerals - Q&amp;V'!$B$8:$B$250,'Other Minerals - Q&amp;V'!$N$8:$N$250,CONCATENATE("20",RIGHT('Q&amp;V FY 2003-04 to Now'!AI$7,2)),'Other Minerals - Q&amp;V'!$O$8:$O$250,1)+
SUMIFS('Other Minerals - Q&amp;V'!$B$8:$B$250,'Other Minerals - Q&amp;V'!$N$8:$N$250,CONCATENATE("20",RIGHT('Q&amp;V FY 2003-04 to Now'!AI$7,2)),'Other Minerals - Q&amp;V'!$O$8:$O$250,2))*1000</f>
        <v>136801.93156873115</v>
      </c>
      <c r="AJ89" s="742">
        <f>(SUMIFS('Other Minerals - Q&amp;V'!$C$8:$C$250,'Other Minerals - Q&amp;V'!$N$8:$N$250,LEFT('Q&amp;V FY 2003-04 to Now'!AI$7,4),'Other Minerals - Q&amp;V'!$O$8:$O$250,3)+
SUMIFS('Other Minerals - Q&amp;V'!$C$8:$C$250,'Other Minerals - Q&amp;V'!$N$8:$N$250,LEFT('Q&amp;V FY 2003-04 to Now'!AI$7,4),'Other Minerals - Q&amp;V'!$O$8:$O$250,4)+
SUMIFS('Other Minerals - Q&amp;V'!$C$8:$C$250,'Other Minerals - Q&amp;V'!$N$8:$N$250,CONCATENATE("20",RIGHT('Q&amp;V FY 2003-04 to Now'!AI$7,2)),'Other Minerals - Q&amp;V'!$O$8:$O$250,1)+
SUMIFS('Other Minerals - Q&amp;V'!$C$8:$C$250,'Other Minerals - Q&amp;V'!$N$8:$N$250,CONCATENATE("20",RIGHT('Q&amp;V FY 2003-04 to Now'!AI$7,2)),'Other Minerals - Q&amp;V'!$O$8:$O$250,2))*1000000</f>
        <v>109222415</v>
      </c>
      <c r="AK89" s="742">
        <f>(SUMIFS('Other Minerals - Q&amp;V'!$B$8:$B$250,'Other Minerals - Q&amp;V'!$N$8:$N$250,LEFT('Q&amp;V FY 2003-04 to Now'!AK$7,4),'Other Minerals - Q&amp;V'!$O$8:$O$250,3)+
SUMIFS('Other Minerals - Q&amp;V'!$B$8:$B$250,'Other Minerals - Q&amp;V'!$N$8:$N$250,LEFT('Q&amp;V FY 2003-04 to Now'!AK$7,4),'Other Minerals - Q&amp;V'!$O$8:$O$250,4)+
SUMIFS('Other Minerals - Q&amp;V'!$B$8:$B$250,'Other Minerals - Q&amp;V'!$N$8:$N$250,CONCATENATE("20",RIGHT('Q&amp;V FY 2003-04 to Now'!AK$7,2)),'Other Minerals - Q&amp;V'!$O$8:$O$250,1)+
SUMIFS('Other Minerals - Q&amp;V'!$B$8:$B$250,'Other Minerals - Q&amp;V'!$N$8:$N$250,CONCATENATE("20",RIGHT('Q&amp;V FY 2003-04 to Now'!AK$7,2)),'Other Minerals - Q&amp;V'!$O$8:$O$250,2))*1000</f>
        <v>137155.34690889076</v>
      </c>
      <c r="AL89" s="742">
        <f>(SUMIFS('Other Minerals - Q&amp;V'!$C$8:$C$250,'Other Minerals - Q&amp;V'!$N$8:$N$250,LEFT('Q&amp;V FY 2003-04 to Now'!AK$7,4),'Other Minerals - Q&amp;V'!$O$8:$O$250,3)+
SUMIFS('Other Minerals - Q&amp;V'!$C$8:$C$250,'Other Minerals - Q&amp;V'!$N$8:$N$250,LEFT('Q&amp;V FY 2003-04 to Now'!AK$7,4),'Other Minerals - Q&amp;V'!$O$8:$O$250,4)+
SUMIFS('Other Minerals - Q&amp;V'!$C$8:$C$250,'Other Minerals - Q&amp;V'!$N$8:$N$250,CONCATENATE("20",RIGHT('Q&amp;V FY 2003-04 to Now'!AK$7,2)),'Other Minerals - Q&amp;V'!$O$8:$O$250,1)+
SUMIFS('Other Minerals - Q&amp;V'!$C$8:$C$250,'Other Minerals - Q&amp;V'!$N$8:$N$250,CONCATENATE("20",RIGHT('Q&amp;V FY 2003-04 to Now'!AK$7,2)),'Other Minerals - Q&amp;V'!$O$8:$O$250,2))*1000000</f>
        <v>148923052.99999997</v>
      </c>
      <c r="AM89" s="742">
        <f>(SUMIFS('Other Minerals - Q&amp;V'!$B$8:$B$250,'Other Minerals - Q&amp;V'!$N$8:$N$250,LEFT('Q&amp;V FY 2003-04 to Now'!AM$7,4),'Other Minerals - Q&amp;V'!$O$8:$O$250,3)+
SUMIFS('Other Minerals - Q&amp;V'!$B$8:$B$250,'Other Minerals - Q&amp;V'!$N$8:$N$250,LEFT('Q&amp;V FY 2003-04 to Now'!AM$7,4),'Other Minerals - Q&amp;V'!$O$8:$O$250,4)+
SUMIFS('Other Minerals - Q&amp;V'!$B$8:$B$250,'Other Minerals - Q&amp;V'!$N$8:$N$250,CONCATENATE("20",RIGHT('Q&amp;V FY 2003-04 to Now'!AM$7,2)),'Other Minerals - Q&amp;V'!$O$8:$O$250,1)+
SUMIFS('Other Minerals - Q&amp;V'!$B$8:$B$250,'Other Minerals - Q&amp;V'!$N$8:$N$250,CONCATENATE("20",RIGHT('Q&amp;V FY 2003-04 to Now'!AM$7,2)),'Other Minerals - Q&amp;V'!$O$8:$O$250,2))*1000</f>
        <v>156362.41648924034</v>
      </c>
      <c r="AN89" s="742">
        <f>(SUMIFS('Other Minerals - Q&amp;V'!$C$8:$C$250,'Other Minerals - Q&amp;V'!$N$8:$N$250,LEFT('Q&amp;V FY 2003-04 to Now'!AM$7,4),'Other Minerals - Q&amp;V'!$O$8:$O$250,3)+
SUMIFS('Other Minerals - Q&amp;V'!$C$8:$C$250,'Other Minerals - Q&amp;V'!$N$8:$N$250,LEFT('Q&amp;V FY 2003-04 to Now'!AM$7,4),'Other Minerals - Q&amp;V'!$O$8:$O$250,4)+
SUMIFS('Other Minerals - Q&amp;V'!$C$8:$C$250,'Other Minerals - Q&amp;V'!$N$8:$N$250,CONCATENATE("20",RIGHT('Q&amp;V FY 2003-04 to Now'!AM$7,2)),'Other Minerals - Q&amp;V'!$O$8:$O$250,1)+
SUMIFS('Other Minerals - Q&amp;V'!$C$8:$C$250,'Other Minerals - Q&amp;V'!$N$8:$N$250,CONCATENATE("20",RIGHT('Q&amp;V FY 2003-04 to Now'!AM$7,2)),'Other Minerals - Q&amp;V'!$O$8:$O$250,2))*1000000</f>
        <v>157963750</v>
      </c>
      <c r="AO89" s="742">
        <f>(SUMIFS('Other Minerals - Q&amp;V'!$B$8:$B$250,'Other Minerals - Q&amp;V'!$N$8:$N$250,LEFT('Q&amp;V FY 2003-04 to Now'!AO$7,4),'Other Minerals - Q&amp;V'!$O$8:$O$250,3)+
SUMIFS('Other Minerals - Q&amp;V'!$B$8:$B$250,'Other Minerals - Q&amp;V'!$N$8:$N$250,LEFT('Q&amp;V FY 2003-04 to Now'!AO$7,4),'Other Minerals - Q&amp;V'!$O$8:$O$250,4)+
SUMIFS('Other Minerals - Q&amp;V'!$B$8:$B$250,'Other Minerals - Q&amp;V'!$N$8:$N$250,CONCATENATE("20",RIGHT('Q&amp;V FY 2003-04 to Now'!AO$7,2)),'Other Minerals - Q&amp;V'!$O$8:$O$250,1)+
SUMIFS('Other Minerals - Q&amp;V'!$B$8:$B$250,'Other Minerals - Q&amp;V'!$N$8:$N$250,CONCATENATE("20",RIGHT('Q&amp;V FY 2003-04 to Now'!AO$7,2)),'Other Minerals - Q&amp;V'!$O$8:$O$250,2))*1000</f>
        <v>115498.95064096071</v>
      </c>
      <c r="AP89" s="742">
        <f>(SUMIFS('Other Minerals - Q&amp;V'!$C$8:$C$250,'Other Minerals - Q&amp;V'!$N$8:$N$250,LEFT('Q&amp;V FY 2003-04 to Now'!AO$7,4),'Other Minerals - Q&amp;V'!$O$8:$O$250,3)+
SUMIFS('Other Minerals - Q&amp;V'!$C$8:$C$250,'Other Minerals - Q&amp;V'!$N$8:$N$250,LEFT('Q&amp;V FY 2003-04 to Now'!AO$7,4),'Other Minerals - Q&amp;V'!$O$8:$O$250,4)+
SUMIFS('Other Minerals - Q&amp;V'!$C$8:$C$250,'Other Minerals - Q&amp;V'!$N$8:$N$250,CONCATENATE("20",RIGHT('Q&amp;V FY 2003-04 to Now'!AO$7,2)),'Other Minerals - Q&amp;V'!$O$8:$O$250,1)+
SUMIFS('Other Minerals - Q&amp;V'!$C$8:$C$250,'Other Minerals - Q&amp;V'!$N$8:$N$250,CONCATENATE("20",RIGHT('Q&amp;V FY 2003-04 to Now'!AO$7,2)),'Other Minerals - Q&amp;V'!$O$8:$O$250,2))*1000000</f>
        <v>120533493</v>
      </c>
      <c r="AQ89" s="724">
        <f>SUMIF($C$9:AP$9,1,$C89:AP89)</f>
        <v>2526232.9150094744</v>
      </c>
      <c r="AR89" s="724">
        <f>IF(COUNTIF($C89:AP89, "nfp")=0, SUMIF($C$9:AP$9,0,$C89:AP89), "nfp")</f>
        <v>1756905615.6510892</v>
      </c>
      <c r="AT89" s="317"/>
      <c r="AU89" s="317"/>
      <c r="AV89" s="381"/>
      <c r="AW89" s="381"/>
    </row>
    <row r="90" spans="1:52">
      <c r="A90" s="247"/>
      <c r="B90" s="248"/>
      <c r="C90" s="742"/>
      <c r="D90" s="732"/>
      <c r="E90" s="742"/>
      <c r="F90" s="732"/>
      <c r="G90" s="742"/>
      <c r="H90" s="732"/>
      <c r="I90" s="742"/>
      <c r="J90" s="732"/>
      <c r="K90" s="742"/>
      <c r="L90" s="732"/>
      <c r="M90" s="742"/>
      <c r="N90" s="732"/>
      <c r="O90" s="742"/>
      <c r="P90" s="732"/>
      <c r="Q90" s="742"/>
      <c r="R90" s="732"/>
      <c r="S90" s="742"/>
      <c r="T90" s="732"/>
      <c r="U90" s="742"/>
      <c r="V90" s="732"/>
      <c r="W90" s="742"/>
      <c r="X90" s="732"/>
      <c r="Y90" s="742"/>
      <c r="Z90" s="732"/>
      <c r="AA90" s="742"/>
      <c r="AB90" s="732"/>
      <c r="AC90" s="732"/>
      <c r="AD90" s="732"/>
      <c r="AE90" s="733"/>
      <c r="AF90" s="732"/>
      <c r="AG90" s="744"/>
      <c r="AH90" s="742"/>
      <c r="AI90" s="1365"/>
      <c r="AJ90" s="1366"/>
      <c r="AK90" s="1366"/>
      <c r="AL90" s="1366"/>
      <c r="AM90" s="1366"/>
      <c r="AN90" s="1366"/>
      <c r="AO90" s="1366"/>
      <c r="AP90" s="1366"/>
      <c r="AQ90" s="934"/>
      <c r="AR90" s="724"/>
      <c r="AT90" s="317"/>
      <c r="AU90" s="317"/>
      <c r="AV90" s="381"/>
      <c r="AW90" s="381"/>
    </row>
    <row r="91" spans="1:52" s="381" customFormat="1">
      <c r="A91" s="1073" t="s">
        <v>510</v>
      </c>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367"/>
      <c r="AI91" s="1367"/>
      <c r="AJ91" s="1367"/>
      <c r="AK91" s="1367"/>
      <c r="AL91" s="1367"/>
      <c r="AM91" s="1367"/>
      <c r="AN91" s="1367"/>
      <c r="AO91" s="1367"/>
      <c r="AP91" s="1367"/>
      <c r="AQ91" s="127"/>
      <c r="AR91" s="127"/>
      <c r="AS91" s="405"/>
      <c r="AT91" s="317"/>
      <c r="AU91" s="317"/>
    </row>
    <row r="92" spans="1:52">
      <c r="A92" s="262" t="s">
        <v>628</v>
      </c>
      <c r="B92" s="127" t="s">
        <v>67</v>
      </c>
      <c r="C92" s="183">
        <v>4714.8500000000004</v>
      </c>
      <c r="D92" s="183">
        <v>142813138</v>
      </c>
      <c r="E92" s="183">
        <v>1063.78</v>
      </c>
      <c r="F92" s="183">
        <v>162828445</v>
      </c>
      <c r="G92" s="183">
        <v>871.41</v>
      </c>
      <c r="H92" s="183">
        <v>137838966</v>
      </c>
      <c r="I92" s="183">
        <v>551.98</v>
      </c>
      <c r="J92" s="183">
        <v>104477616</v>
      </c>
      <c r="K92" s="183">
        <v>578.25</v>
      </c>
      <c r="L92" s="183" t="s">
        <v>439</v>
      </c>
      <c r="M92" s="183">
        <v>453.25</v>
      </c>
      <c r="N92" s="183" t="s">
        <v>439</v>
      </c>
      <c r="O92" s="183" t="s">
        <v>165</v>
      </c>
      <c r="P92" s="183" t="s">
        <v>439</v>
      </c>
      <c r="Q92" s="183">
        <v>94.98</v>
      </c>
      <c r="R92" s="183" t="s">
        <v>439</v>
      </c>
      <c r="S92" s="183">
        <v>346.55</v>
      </c>
      <c r="T92" s="183">
        <v>49931724</v>
      </c>
      <c r="U92" s="183">
        <v>201.22</v>
      </c>
      <c r="V92" s="183">
        <v>17940739</v>
      </c>
      <c r="W92" s="183">
        <v>58.259</v>
      </c>
      <c r="X92" s="183">
        <v>4074774</v>
      </c>
      <c r="Y92" s="183">
        <v>70.367000000000004</v>
      </c>
      <c r="Z92" s="183" t="s">
        <v>439</v>
      </c>
      <c r="AA92" s="183">
        <v>243.46700000000001</v>
      </c>
      <c r="AB92" s="183" t="s">
        <v>439</v>
      </c>
      <c r="AC92" s="183">
        <v>53.942</v>
      </c>
      <c r="AD92" s="183" t="s">
        <v>439</v>
      </c>
      <c r="AE92" s="715">
        <v>81.406000000000006</v>
      </c>
      <c r="AF92" s="183" t="s">
        <v>439</v>
      </c>
      <c r="AG92" s="715">
        <v>199.60000000000005</v>
      </c>
      <c r="AH92" s="1354" t="s">
        <v>439</v>
      </c>
      <c r="AI92" s="1353">
        <v>201.30600000000001</v>
      </c>
      <c r="AJ92" s="1354" t="s">
        <v>439</v>
      </c>
      <c r="AK92" s="1354">
        <v>180.172</v>
      </c>
      <c r="AL92" s="1354" t="s">
        <v>439</v>
      </c>
      <c r="AM92" s="1354">
        <v>215.80800000000002</v>
      </c>
      <c r="AN92" s="1354" t="s">
        <v>439</v>
      </c>
      <c r="AO92" s="1354">
        <v>170.90199999999999</v>
      </c>
      <c r="AP92" s="1354" t="s">
        <v>439</v>
      </c>
      <c r="AQ92" s="183">
        <f>SUMIF($C$9:AP$9,1,$C92:AP92)</f>
        <v>10351.499000000002</v>
      </c>
      <c r="AR92" s="183" t="str">
        <f>IF(COUNTIF($C92:AP92, "nfp")=0, SUMIF($C$9:AP$9,0,$C92:AP92), "nfp")</f>
        <v>nfp</v>
      </c>
      <c r="AT92" s="317"/>
      <c r="AU92" s="317"/>
      <c r="AV92" s="381"/>
      <c r="AW92" s="381"/>
    </row>
    <row r="93" spans="1:52">
      <c r="A93" s="262" t="s">
        <v>232</v>
      </c>
      <c r="B93" s="127" t="s">
        <v>67</v>
      </c>
      <c r="C93" s="183">
        <v>538.17999999999995</v>
      </c>
      <c r="D93" s="183">
        <v>4551176</v>
      </c>
      <c r="E93" s="183">
        <v>383.79</v>
      </c>
      <c r="F93" s="183">
        <v>4107192</v>
      </c>
      <c r="G93" s="183">
        <v>609.91999999999996</v>
      </c>
      <c r="H93" s="183">
        <v>5919842</v>
      </c>
      <c r="I93" s="183">
        <v>458.83</v>
      </c>
      <c r="J93" s="183">
        <v>6245046</v>
      </c>
      <c r="K93" s="183">
        <v>117.59</v>
      </c>
      <c r="L93" s="183" t="s">
        <v>439</v>
      </c>
      <c r="M93" s="183">
        <v>175.43</v>
      </c>
      <c r="N93" s="183" t="s">
        <v>439</v>
      </c>
      <c r="O93" s="183">
        <v>107.1</v>
      </c>
      <c r="P93" s="183">
        <v>1300631</v>
      </c>
      <c r="Q93" s="183">
        <v>21.53</v>
      </c>
      <c r="R93" s="183">
        <v>281633</v>
      </c>
      <c r="S93" s="183">
        <v>62.19</v>
      </c>
      <c r="T93" s="183">
        <v>1372580</v>
      </c>
      <c r="U93" s="183">
        <v>193.05</v>
      </c>
      <c r="V93" s="183">
        <v>2703339</v>
      </c>
      <c r="W93" s="183">
        <v>0</v>
      </c>
      <c r="X93" s="183">
        <v>0</v>
      </c>
      <c r="Y93" s="183">
        <v>21.766999999999999</v>
      </c>
      <c r="Z93" s="183" t="s">
        <v>439</v>
      </c>
      <c r="AA93" s="183">
        <v>41.28</v>
      </c>
      <c r="AB93" s="183" t="s">
        <v>439</v>
      </c>
      <c r="AC93" s="183">
        <v>61.510000000000005</v>
      </c>
      <c r="AD93" s="183" t="s">
        <v>439</v>
      </c>
      <c r="AE93" s="715">
        <v>82.693999999999988</v>
      </c>
      <c r="AF93" s="183" t="s">
        <v>439</v>
      </c>
      <c r="AG93" s="715">
        <v>150.21</v>
      </c>
      <c r="AH93" s="1354" t="s">
        <v>439</v>
      </c>
      <c r="AI93" s="1353">
        <v>54.863999999999997</v>
      </c>
      <c r="AJ93" s="1354" t="s">
        <v>439</v>
      </c>
      <c r="AK93" s="1354">
        <v>67.66</v>
      </c>
      <c r="AL93" s="1354" t="s">
        <v>439</v>
      </c>
      <c r="AM93" s="1354">
        <v>150.78</v>
      </c>
      <c r="AN93" s="1354" t="s">
        <v>439</v>
      </c>
      <c r="AO93" s="1354">
        <v>67.66</v>
      </c>
      <c r="AP93" s="1354" t="s">
        <v>439</v>
      </c>
      <c r="AQ93" s="183">
        <f>SUMIF($C$9:AP$9,1,$C93:AP93)</f>
        <v>3366.0350000000003</v>
      </c>
      <c r="AR93" s="183" t="str">
        <f>IF(COUNTIF($C93:AP93, "nfp")=0, SUMIF($C$9:AP$9,0,$C93:AP93), "nfp")</f>
        <v>nfp</v>
      </c>
      <c r="AT93" s="317"/>
      <c r="AU93" s="317"/>
      <c r="AV93" s="381"/>
      <c r="AW93" s="381"/>
    </row>
    <row r="94" spans="1:52" s="381" customFormat="1">
      <c r="A94" s="265" t="s">
        <v>509</v>
      </c>
      <c r="B94" s="161"/>
      <c r="C94" s="163"/>
      <c r="D94" s="183">
        <v>147364314</v>
      </c>
      <c r="E94" s="183"/>
      <c r="F94" s="183">
        <v>166935637</v>
      </c>
      <c r="G94" s="183"/>
      <c r="H94" s="183">
        <v>143758808</v>
      </c>
      <c r="I94" s="183"/>
      <c r="J94" s="183">
        <v>110722662</v>
      </c>
      <c r="K94" s="183"/>
      <c r="L94" s="183">
        <v>104654276</v>
      </c>
      <c r="M94" s="183"/>
      <c r="N94" s="183">
        <v>82532800.670000002</v>
      </c>
      <c r="O94" s="183"/>
      <c r="P94" s="183">
        <v>1300631</v>
      </c>
      <c r="Q94" s="183"/>
      <c r="R94" s="183">
        <v>28108054.030000001</v>
      </c>
      <c r="S94" s="183"/>
      <c r="T94" s="183">
        <v>51304303.940000027</v>
      </c>
      <c r="U94" s="183"/>
      <c r="V94" s="183">
        <v>20644077.650000006</v>
      </c>
      <c r="W94" s="183"/>
      <c r="X94" s="183">
        <v>4074774.3600000143</v>
      </c>
      <c r="Y94" s="183"/>
      <c r="Z94" s="183">
        <v>5177361</v>
      </c>
      <c r="AA94" s="183"/>
      <c r="AB94" s="183">
        <v>9049656</v>
      </c>
      <c r="AC94" s="183"/>
      <c r="AD94" s="183">
        <v>10132698</v>
      </c>
      <c r="AE94" s="715"/>
      <c r="AF94" s="715">
        <v>18310098</v>
      </c>
      <c r="AG94" s="715"/>
      <c r="AH94" s="1354">
        <v>40293404</v>
      </c>
      <c r="AI94" s="1353"/>
      <c r="AJ94" s="1354">
        <v>32970383</v>
      </c>
      <c r="AK94" s="1354"/>
      <c r="AL94" s="1354">
        <v>22098804</v>
      </c>
      <c r="AM94" s="1354"/>
      <c r="AN94" s="1354">
        <v>43509048</v>
      </c>
      <c r="AO94" s="1354"/>
      <c r="AP94" s="1354">
        <v>55108924</v>
      </c>
      <c r="AQ94" s="183"/>
      <c r="AR94" s="183">
        <f>IF(COUNTIF($C94:AP94, "nfp")=0, SUMIF($C$9:AP$9,0,$C94:AP94), "nfp")</f>
        <v>1098050714.6500001</v>
      </c>
      <c r="AS94" s="405"/>
      <c r="AT94" s="317"/>
      <c r="AU94" s="317"/>
    </row>
    <row r="95" spans="1:52">
      <c r="A95" s="262"/>
      <c r="B95" s="127"/>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715"/>
      <c r="AF95" s="183"/>
      <c r="AG95" s="715"/>
      <c r="AH95" s="1354"/>
      <c r="AI95" s="1353"/>
      <c r="AJ95" s="1354"/>
      <c r="AK95" s="1354"/>
      <c r="AL95" s="1354"/>
      <c r="AM95" s="1354"/>
      <c r="AN95" s="1354"/>
      <c r="AO95" s="1354"/>
      <c r="AP95" s="1354"/>
      <c r="AQ95" s="183"/>
      <c r="AR95" s="183"/>
      <c r="AT95" s="317"/>
      <c r="AU95" s="317"/>
      <c r="AV95" s="381"/>
      <c r="AW95" s="381"/>
    </row>
    <row r="96" spans="1:52" s="381" customFormat="1">
      <c r="A96" s="260" t="s">
        <v>188</v>
      </c>
      <c r="B96" s="248" t="s">
        <v>67</v>
      </c>
      <c r="C96" s="742"/>
      <c r="D96" s="732">
        <v>94962593.399999991</v>
      </c>
      <c r="E96" s="742"/>
      <c r="F96" s="732">
        <v>148597696.28999999</v>
      </c>
      <c r="G96" s="742"/>
      <c r="H96" s="732">
        <v>138502553.34999999</v>
      </c>
      <c r="I96" s="742"/>
      <c r="J96" s="732">
        <v>201412298</v>
      </c>
      <c r="K96" s="742"/>
      <c r="L96" s="732">
        <v>461693384</v>
      </c>
      <c r="M96" s="742"/>
      <c r="N96" s="732">
        <v>59671943</v>
      </c>
      <c r="O96" s="742"/>
      <c r="P96" s="732">
        <v>44510961</v>
      </c>
      <c r="Q96" s="742"/>
      <c r="R96" s="732">
        <v>64129732</v>
      </c>
      <c r="S96" s="742"/>
      <c r="T96" s="732">
        <v>103198080</v>
      </c>
      <c r="U96" s="742"/>
      <c r="V96" s="732">
        <v>425002389</v>
      </c>
      <c r="W96" s="742"/>
      <c r="X96" s="732">
        <v>605651175</v>
      </c>
      <c r="Y96" s="742"/>
      <c r="Z96" s="732">
        <v>507533600</v>
      </c>
      <c r="AA96" s="742"/>
      <c r="AB96" s="732">
        <v>199236526</v>
      </c>
      <c r="AC96" s="732"/>
      <c r="AD96" s="732">
        <v>242499613</v>
      </c>
      <c r="AE96" s="733"/>
      <c r="AF96" s="743">
        <v>369231777</v>
      </c>
      <c r="AG96" s="744"/>
      <c r="AH96" s="1599">
        <v>524047156</v>
      </c>
      <c r="AI96" s="733"/>
      <c r="AJ96" s="733">
        <v>380415592</v>
      </c>
      <c r="AK96" s="733"/>
      <c r="AL96" s="934">
        <v>660381571</v>
      </c>
      <c r="AM96" s="1356"/>
      <c r="AN96" s="934">
        <v>17359282</v>
      </c>
      <c r="AO96" s="1356"/>
      <c r="AP96" s="934">
        <v>632987200.9308424</v>
      </c>
      <c r="AQ96" s="934"/>
      <c r="AR96" s="724">
        <f>IF(COUNTIF($C96:AP96, "nfp")=0, SUMIF($C$9:AP$9,0,$C96:AP96), "nfp")</f>
        <v>5881025122.9708424</v>
      </c>
      <c r="AS96" s="405"/>
      <c r="AT96" s="317"/>
      <c r="AU96" s="317"/>
    </row>
    <row r="97" spans="1:49" s="381" customFormat="1">
      <c r="A97" s="260" t="s">
        <v>657</v>
      </c>
      <c r="B97" s="256"/>
      <c r="C97" s="742"/>
      <c r="D97" s="732"/>
      <c r="E97" s="742"/>
      <c r="F97" s="732"/>
      <c r="G97" s="742"/>
      <c r="H97" s="732"/>
      <c r="I97" s="742"/>
      <c r="J97" s="732"/>
      <c r="K97" s="742"/>
      <c r="L97" s="732"/>
      <c r="M97" s="742"/>
      <c r="N97" s="732"/>
      <c r="O97" s="742"/>
      <c r="P97" s="732"/>
      <c r="Q97" s="742"/>
      <c r="R97" s="732"/>
      <c r="S97" s="742"/>
      <c r="T97" s="732"/>
      <c r="U97" s="742"/>
      <c r="V97" s="732"/>
      <c r="W97" s="742"/>
      <c r="X97" s="732"/>
      <c r="Y97" s="742"/>
      <c r="Z97" s="732"/>
      <c r="AA97" s="742"/>
      <c r="AB97" s="732"/>
      <c r="AC97" s="732"/>
      <c r="AD97" s="732"/>
      <c r="AE97" s="733"/>
      <c r="AF97" s="732"/>
      <c r="AG97" s="744"/>
      <c r="AH97" s="742"/>
      <c r="AI97" s="744"/>
      <c r="AJ97" s="743"/>
      <c r="AK97" s="743"/>
      <c r="AL97" s="743"/>
      <c r="AM97" s="742"/>
      <c r="AN97" s="742"/>
      <c r="AO97" s="742"/>
      <c r="AP97" s="742"/>
      <c r="AQ97" s="934"/>
      <c r="AR97" s="724"/>
      <c r="AS97" s="405"/>
      <c r="AT97" s="317"/>
      <c r="AU97" s="317"/>
    </row>
    <row r="98" spans="1:49" s="381" customFormat="1">
      <c r="A98" s="260"/>
      <c r="B98" s="256"/>
      <c r="C98" s="742"/>
      <c r="D98" s="732"/>
      <c r="E98" s="742"/>
      <c r="F98" s="732"/>
      <c r="G98" s="742"/>
      <c r="H98" s="732"/>
      <c r="I98" s="742"/>
      <c r="J98" s="732"/>
      <c r="K98" s="742"/>
      <c r="L98" s="732"/>
      <c r="M98" s="742"/>
      <c r="N98" s="732"/>
      <c r="O98" s="742"/>
      <c r="P98" s="732"/>
      <c r="Q98" s="742"/>
      <c r="R98" s="732"/>
      <c r="S98" s="742"/>
      <c r="T98" s="732"/>
      <c r="U98" s="742"/>
      <c r="V98" s="732"/>
      <c r="W98" s="742"/>
      <c r="X98" s="732"/>
      <c r="Y98" s="742"/>
      <c r="Z98" s="732"/>
      <c r="AA98" s="742"/>
      <c r="AB98" s="732"/>
      <c r="AC98" s="732"/>
      <c r="AD98" s="732"/>
      <c r="AE98" s="733"/>
      <c r="AF98" s="732"/>
      <c r="AG98" s="744"/>
      <c r="AH98" s="742"/>
      <c r="AI98" s="744"/>
      <c r="AJ98" s="743"/>
      <c r="AK98" s="941"/>
      <c r="AL98" s="926"/>
      <c r="AM98" s="742"/>
      <c r="AN98" s="742"/>
      <c r="AO98" s="742"/>
      <c r="AP98" s="742"/>
      <c r="AQ98" s="934"/>
      <c r="AR98" s="724"/>
      <c r="AS98" s="405"/>
      <c r="AT98" s="317"/>
      <c r="AU98" s="317"/>
    </row>
    <row r="99" spans="1:49">
      <c r="A99" s="825" t="s">
        <v>436</v>
      </c>
      <c r="B99" s="826"/>
      <c r="C99" s="884"/>
      <c r="D99" s="884">
        <f>D101-D77</f>
        <v>17227130293.121513</v>
      </c>
      <c r="E99" s="884"/>
      <c r="F99" s="884">
        <f>F101-F77</f>
        <v>21050445232.060303</v>
      </c>
      <c r="G99" s="884"/>
      <c r="H99" s="884">
        <f>H101-H77</f>
        <v>28460061132.745132</v>
      </c>
      <c r="I99" s="884"/>
      <c r="J99" s="884">
        <f>J101-J77</f>
        <v>37434155297.253998</v>
      </c>
      <c r="K99" s="884"/>
      <c r="L99" s="884">
        <f>L101-L77</f>
        <v>40659045387.611023</v>
      </c>
      <c r="M99" s="884"/>
      <c r="N99" s="884">
        <f>N101-N77</f>
        <v>49765409751.540619</v>
      </c>
      <c r="O99" s="884"/>
      <c r="P99" s="884">
        <f>P101-P77</f>
        <v>53718250376.857788</v>
      </c>
      <c r="Q99" s="884"/>
      <c r="R99" s="884">
        <f>R101-R77</f>
        <v>78374935602.366898</v>
      </c>
      <c r="S99" s="884"/>
      <c r="T99" s="884">
        <f>T101-T77</f>
        <v>82397966521.543396</v>
      </c>
      <c r="U99" s="884"/>
      <c r="V99" s="884">
        <f>V101-V77</f>
        <v>77221644059.724838</v>
      </c>
      <c r="W99" s="884"/>
      <c r="X99" s="884">
        <f>X101-X77</f>
        <v>97220756748.222382</v>
      </c>
      <c r="Y99" s="884"/>
      <c r="Z99" s="884">
        <f>Z101-Z77</f>
        <v>76160954341.410995</v>
      </c>
      <c r="AA99" s="884"/>
      <c r="AB99" s="884">
        <f>AB101-AB77</f>
        <v>70067235773.542923</v>
      </c>
      <c r="AC99" s="884"/>
      <c r="AD99" s="884">
        <f>AD101-AD77</f>
        <v>86791248943.236679</v>
      </c>
      <c r="AE99" s="886"/>
      <c r="AF99" s="884">
        <f>AF101-AF77</f>
        <v>89084082869.411575</v>
      </c>
      <c r="AG99" s="888"/>
      <c r="AH99" s="1601">
        <f>AH101-AH77</f>
        <v>111139304283.10106</v>
      </c>
      <c r="AI99" s="888"/>
      <c r="AJ99" s="884">
        <f>AJ101-AJ77</f>
        <v>135847282309.76659</v>
      </c>
      <c r="AK99" s="943"/>
      <c r="AL99" s="884">
        <f>AL101-AL77</f>
        <v>187335010915.21478</v>
      </c>
      <c r="AM99" s="1596"/>
      <c r="AN99" s="1601">
        <f>AN101-AN77</f>
        <v>180763934913.45615</v>
      </c>
      <c r="AO99" s="1596"/>
      <c r="AP99" s="1601">
        <f>AP101-AP77</f>
        <v>183488295591.0524</v>
      </c>
      <c r="AQ99" s="888"/>
      <c r="AR99" s="884">
        <f>SUM($C99:AP99)</f>
        <v>1704207150343.2412</v>
      </c>
      <c r="AT99" s="317"/>
      <c r="AU99" s="317"/>
      <c r="AV99" s="381"/>
      <c r="AW99" s="381"/>
    </row>
    <row r="100" spans="1:49">
      <c r="A100" s="830"/>
      <c r="B100" s="826"/>
      <c r="C100" s="884"/>
      <c r="D100" s="884"/>
      <c r="E100" s="884"/>
      <c r="F100" s="884"/>
      <c r="G100" s="884"/>
      <c r="H100" s="884"/>
      <c r="I100" s="884"/>
      <c r="J100" s="884"/>
      <c r="K100" s="884"/>
      <c r="L100" s="884"/>
      <c r="M100" s="884"/>
      <c r="N100" s="884"/>
      <c r="O100" s="884"/>
      <c r="P100" s="884"/>
      <c r="Q100" s="884"/>
      <c r="R100" s="884"/>
      <c r="S100" s="884"/>
      <c r="T100" s="884"/>
      <c r="U100" s="884"/>
      <c r="V100" s="884"/>
      <c r="W100" s="884"/>
      <c r="X100" s="884"/>
      <c r="Y100" s="884"/>
      <c r="Z100" s="884"/>
      <c r="AA100" s="884"/>
      <c r="AB100" s="884"/>
      <c r="AC100" s="884"/>
      <c r="AD100" s="884"/>
      <c r="AE100" s="886"/>
      <c r="AF100" s="884"/>
      <c r="AG100" s="888"/>
      <c r="AH100" s="1596"/>
      <c r="AI100" s="888"/>
      <c r="AJ100" s="888"/>
      <c r="AK100" s="943"/>
      <c r="AL100" s="888"/>
      <c r="AM100" s="1596"/>
      <c r="AN100" s="1596"/>
      <c r="AO100" s="1596"/>
      <c r="AP100" s="1596"/>
      <c r="AQ100" s="888"/>
      <c r="AR100" s="884"/>
      <c r="AT100" s="317"/>
      <c r="AU100" s="317"/>
      <c r="AV100" s="381"/>
      <c r="AW100" s="381"/>
    </row>
    <row r="101" spans="1:49">
      <c r="A101" s="825" t="s">
        <v>437</v>
      </c>
      <c r="B101" s="826"/>
      <c r="C101" s="884"/>
      <c r="D101" s="884">
        <f>D96+D55+D89+D87+D85+D77+D50+D48+D67+D46+D44+D42+D40+D26+D20+D14+D36+D38+D28+D69+D79+D94+D22</f>
        <v>26487353901.121513</v>
      </c>
      <c r="E101" s="884"/>
      <c r="F101" s="884">
        <f>F96+F55+F89+F87+F85+F77+F50+F48+F67+F46+F44+F42+F40+F26+F20+F14+F36+F38+F28+F69+F79+F94+F22</f>
        <v>33307443811.99062</v>
      </c>
      <c r="G101" s="884"/>
      <c r="H101" s="884">
        <f>H96+H55+H89+H87+H85+H77+H50+H48+H67+H46+H44+H42+H40+H26+H20+H14+H36+H38+H28+H69+H79+H94+H22</f>
        <v>43157345256.754379</v>
      </c>
      <c r="I101" s="884"/>
      <c r="J101" s="884">
        <f>J96+J55+J89+J87+J85+J77+J50+J48+J67+J46+J44+J42+J40+J26+J20+J14+J36+J38+J28+J69+J79+J94</f>
        <v>53893623853.759834</v>
      </c>
      <c r="K101" s="884"/>
      <c r="L101" s="884">
        <f>L96+L55+L89+L87+L85+L77+L50+L48+L67+L46+L44+L42+L40+L26+L20+L14+L36+L38+L28+L69+L79+L94</f>
        <v>59976987755.315254</v>
      </c>
      <c r="M101" s="884"/>
      <c r="N101" s="884">
        <f>N96+N55+N89+N87+N85+N77+N50+N48+N67+N46+N44+N42+N40+N26+N20+N14+N36+N38+N28+N69+N79+N94+N57</f>
        <v>71085231948.503983</v>
      </c>
      <c r="O101" s="884"/>
      <c r="P101" s="884">
        <f>P96+P55+P89+P87+P85+P77+P50+P48+P67+P46+P44+P42+P40+P26+P20+P14+P36+P38+P28+P69+P79+P94+P57</f>
        <v>73116460565.422668</v>
      </c>
      <c r="Q101" s="884"/>
      <c r="R101" s="884">
        <f>R96+R55+R89+R87+R85+R77+R50+R48+R67+R46+R44+R42+R40+R26+R20+R14+R36+R38+R28+R69+R79+R94+R57</f>
        <v>101359828103.35379</v>
      </c>
      <c r="S101" s="884"/>
      <c r="T101" s="884">
        <f>T96+T55+T89+T87+T85+T77+T50+T48+T67+T46+T44+T42+T40+T26+T24+T20+T14+T36+T38+T28+T69+T79+T94+T57</f>
        <v>105596549566.25594</v>
      </c>
      <c r="U101" s="884"/>
      <c r="V101" s="884">
        <f>V96+V55+V89+V87+V85+V77+V50+V48+V67+V46+V44+V42+V40+V26+V20+V14+V36+V38+V28+V69+V79+V94</f>
        <v>101331552587.87621</v>
      </c>
      <c r="W101" s="884"/>
      <c r="X101" s="884">
        <f>X96+X55+X89+X87+X85+X77+X50+X48+X67+X46+X44+X42+X40+X26+X24+X20+X14+X36+X38+X28+X69+X79+X94</f>
        <v>122546180680.37009</v>
      </c>
      <c r="Y101" s="884"/>
      <c r="Z101" s="884">
        <f>Z96+Z55+Z89+Z87+Z85+Z77+Z50+Z48+Z67+Z46+Z44+Z42+Z40+Z26+Z24+Z22+Z20+Z14+Z36+Z38+Z28+Z69+Z79+Z94</f>
        <v>100300223790.46103</v>
      </c>
      <c r="AA101" s="884"/>
      <c r="AB101" s="884">
        <f>AB96+AB55+AB89+AB87+AB85+AB77+AB50+AB48+AB67+AB46+AB44+AB42+AB40+AB26+AB24+AB22+AB20+AB14+AB36+AB38+AB28+AB69+AB79+AB94+AB57</f>
        <v>88221078821.881317</v>
      </c>
      <c r="AC101" s="884"/>
      <c r="AD101" s="884">
        <f>AD96+AD55+AD89+AD87+AD85+AD77+AD50+AD48+AD67+AD46+AD44+AD42+AD40+AD26+AD24+AD22+AD20+AD14+AD36+AD38+AD28+AD69+AD79+AD94+AD57</f>
        <v>106026101955.3161</v>
      </c>
      <c r="AE101" s="884"/>
      <c r="AF101" s="884">
        <f>AF96+AF55+AF89+AF87+AF85+AF77+AF50+AF48+AF67+AF46+AF44+AF42+AF40+AF26+AF24+AF22+AF20+AF14+AF36+AF38+AF28+AF69+AF79+AF94+AF57</f>
        <v>115672318281.18974</v>
      </c>
      <c r="AG101" s="888"/>
      <c r="AH101" s="1601">
        <f>AH96+AH55+AH89+AH87+AH85+AH77+AH50+AH48+AH67+AH46+AH44+AH42+AH40+AH26+AH24+AH22+AH20+AH14+AH36+AH38+AH28+AH69+AH79+AH94+AH83</f>
        <v>151382003914.93726</v>
      </c>
      <c r="AI101" s="888"/>
      <c r="AJ101" s="884">
        <f>AJ96+AJ55+AJ89+AJ87+AJ85+AJ77+AJ50+AJ48+AJ67+AJ46+AJ44+AJ42+AJ40+AJ26+AJ24+AJ22+AJ20+AJ14+AJ36+AJ38+AJ28+AJ69+AJ79+AJ94+AJ83</f>
        <v>172074199291.73544</v>
      </c>
      <c r="AK101" s="943"/>
      <c r="AL101" s="884">
        <f>AL96+AL55+AL89+AL87+AL85+AL77+AL50+AL48+AL67+AL46+AL44+AL42+AL40+AL26+AL24+AL22+AL20+AL14+AL36+AL38+AL28+AL69+AL79+AL94</f>
        <v>211519180160.20996</v>
      </c>
      <c r="AM101" s="1596"/>
      <c r="AN101" s="1601">
        <f>AN96+AN55+AN89+AN87+AN85+AN77+AN50+AN48+AN67+AN46+AN44+AN42+AN40+AN26+AN24+AN22+AN20+AN14+AN36+AN38+AN28+AN69+AN79+AN94+AN83+AN57</f>
        <v>234110038024.83588</v>
      </c>
      <c r="AO101" s="1596"/>
      <c r="AP101" s="1601">
        <f>SUM(AP96,AP55,AP89,AP87,AP85,AP77,AP50,AP48,AP67,AP46,AP44,AP42,AP40,AP26,AP24,AP22,AP20,AP14,AP36,AP38,AP28,AP69,AP79,AP94,AP83,AP57)</f>
        <v>255544677978.40237</v>
      </c>
      <c r="AQ101" s="888"/>
      <c r="AR101" s="884">
        <f>SUM($C101:AP101)</f>
        <v>2226708380249.6934</v>
      </c>
      <c r="AT101" s="317"/>
      <c r="AU101" s="317"/>
      <c r="AV101" s="381"/>
      <c r="AW101" s="381"/>
    </row>
    <row r="102" spans="1:49">
      <c r="A102" s="28"/>
      <c r="B102" s="826"/>
      <c r="C102" s="887"/>
      <c r="D102" s="888"/>
      <c r="E102" s="887"/>
      <c r="F102" s="888"/>
      <c r="G102" s="887"/>
      <c r="H102" s="888"/>
      <c r="I102" s="887"/>
      <c r="J102" s="888"/>
      <c r="K102" s="887"/>
      <c r="L102" s="888"/>
      <c r="M102" s="887"/>
      <c r="N102" s="888"/>
      <c r="O102" s="887"/>
      <c r="P102" s="888"/>
      <c r="Q102" s="887"/>
      <c r="R102" s="888"/>
      <c r="S102" s="887"/>
      <c r="T102" s="888"/>
      <c r="U102" s="887"/>
      <c r="V102" s="888"/>
      <c r="W102" s="887"/>
      <c r="X102" s="888"/>
      <c r="Y102" s="887"/>
      <c r="Z102" s="888"/>
      <c r="AA102" s="887"/>
      <c r="AB102" s="888"/>
      <c r="AC102" s="888"/>
      <c r="AD102" s="888"/>
      <c r="AE102" s="889"/>
      <c r="AF102" s="888"/>
      <c r="AG102" s="888"/>
      <c r="AH102" s="1596"/>
      <c r="AI102" s="889"/>
      <c r="AJ102" s="888"/>
      <c r="AK102" s="943"/>
      <c r="AL102" s="927"/>
      <c r="AM102" s="1596"/>
      <c r="AN102" s="1596"/>
      <c r="AO102" s="1596"/>
      <c r="AP102" s="1596"/>
      <c r="AQ102" s="936"/>
      <c r="AR102" s="937"/>
      <c r="AT102" s="317"/>
      <c r="AU102" s="317"/>
      <c r="AV102" s="381"/>
      <c r="AW102" s="381"/>
    </row>
    <row r="103" spans="1:49">
      <c r="A103" s="89"/>
      <c r="B103" s="145"/>
      <c r="C103" s="240"/>
      <c r="E103" s="240"/>
      <c r="G103" s="240"/>
      <c r="I103" s="240"/>
      <c r="K103" s="240"/>
      <c r="M103" s="240"/>
      <c r="O103" s="240"/>
      <c r="Q103" s="240"/>
      <c r="S103" s="240"/>
      <c r="U103" s="240"/>
      <c r="W103" s="240"/>
      <c r="Y103" s="240"/>
      <c r="AA103" s="240"/>
      <c r="AE103" s="368"/>
      <c r="AJ103" s="315"/>
      <c r="AK103" s="928"/>
      <c r="AL103" s="928"/>
      <c r="AM103" s="1597"/>
      <c r="AN103" s="1597"/>
      <c r="AO103" s="1597"/>
      <c r="AP103" s="1597"/>
    </row>
    <row r="104" spans="1:49">
      <c r="A104" s="254" t="s">
        <v>440</v>
      </c>
      <c r="B104" s="254"/>
      <c r="C104" s="240"/>
      <c r="E104" s="240"/>
      <c r="G104" s="240"/>
      <c r="I104" s="240"/>
      <c r="K104" s="240"/>
      <c r="M104" s="240"/>
      <c r="O104" s="240"/>
      <c r="Q104" s="240"/>
      <c r="S104" s="240"/>
      <c r="U104" s="240"/>
      <c r="W104" s="240"/>
      <c r="Y104" s="240"/>
      <c r="AA104" s="240"/>
      <c r="AE104" s="368"/>
      <c r="AF104" s="315"/>
      <c r="AG104" s="931"/>
      <c r="AH104" s="1597"/>
    </row>
    <row r="105" spans="1:49">
      <c r="A105" s="154" t="s">
        <v>441</v>
      </c>
      <c r="C105" s="240"/>
      <c r="E105" s="240"/>
      <c r="G105" s="240"/>
      <c r="I105" s="240"/>
      <c r="K105" s="240"/>
      <c r="M105" s="240"/>
      <c r="O105" s="240"/>
      <c r="Q105" s="240"/>
      <c r="S105" s="240"/>
      <c r="U105" s="240"/>
      <c r="W105" s="240"/>
      <c r="Y105" s="240"/>
      <c r="AA105" s="240"/>
      <c r="AE105" s="368"/>
      <c r="AJ105" s="315"/>
      <c r="AK105" s="928"/>
      <c r="AL105" s="928"/>
      <c r="AM105" s="1597"/>
      <c r="AN105" s="1597"/>
      <c r="AO105" s="1597"/>
      <c r="AP105" s="1597"/>
      <c r="AQ105" s="944"/>
    </row>
    <row r="106" spans="1:49">
      <c r="C106" s="240"/>
      <c r="E106" s="240"/>
      <c r="G106" s="240"/>
      <c r="I106" s="240"/>
      <c r="K106" s="240"/>
      <c r="M106" s="240"/>
      <c r="O106" s="240"/>
      <c r="Q106" s="240"/>
      <c r="S106" s="240"/>
      <c r="U106" s="240"/>
      <c r="W106" s="240"/>
      <c r="Y106" s="240"/>
      <c r="AA106" s="240"/>
      <c r="AE106" s="368"/>
      <c r="AJ106" s="317"/>
    </row>
    <row r="107" spans="1:49">
      <c r="C107" s="240"/>
      <c r="E107" s="240"/>
      <c r="G107" s="240"/>
      <c r="I107" s="240"/>
      <c r="K107" s="240"/>
      <c r="M107" s="240"/>
      <c r="O107" s="240"/>
      <c r="Q107" s="240"/>
      <c r="S107" s="240"/>
      <c r="U107" s="240"/>
      <c r="W107" s="240"/>
      <c r="Y107" s="240"/>
      <c r="Z107" s="68"/>
      <c r="AA107" s="240"/>
      <c r="AD107" s="68"/>
      <c r="AE107" s="368"/>
      <c r="AF107" s="68"/>
      <c r="AG107" s="932"/>
      <c r="AH107" s="232"/>
      <c r="AJ107" s="315"/>
      <c r="AK107" s="928"/>
      <c r="AL107" s="928"/>
      <c r="AM107" s="1597"/>
      <c r="AN107" s="1597"/>
      <c r="AO107" s="1597"/>
      <c r="AP107" s="1597"/>
    </row>
    <row r="108" spans="1:49">
      <c r="C108" s="240"/>
      <c r="E108" s="240"/>
      <c r="G108" s="240"/>
      <c r="I108" s="240"/>
      <c r="K108" s="240"/>
      <c r="M108" s="240"/>
      <c r="O108" s="240"/>
      <c r="Q108" s="240"/>
      <c r="S108" s="240"/>
      <c r="U108" s="240"/>
      <c r="W108" s="240"/>
      <c r="Y108" s="240"/>
      <c r="AA108" s="240"/>
      <c r="AD108" s="317"/>
      <c r="AE108" s="368"/>
      <c r="AF108" s="317"/>
      <c r="AJ108" s="315"/>
      <c r="AK108" s="928"/>
    </row>
    <row r="109" spans="1:49">
      <c r="C109" s="240"/>
      <c r="E109" s="240"/>
      <c r="G109" s="240"/>
      <c r="I109" s="240"/>
      <c r="K109" s="240"/>
      <c r="M109" s="240"/>
      <c r="O109" s="240"/>
      <c r="Q109" s="240"/>
      <c r="S109" s="240"/>
      <c r="U109" s="240"/>
      <c r="W109" s="240"/>
      <c r="Y109" s="240"/>
      <c r="AA109" s="240"/>
      <c r="AB109" s="315"/>
      <c r="AE109" s="368"/>
      <c r="AJ109" s="315"/>
      <c r="AK109" s="928"/>
      <c r="AQ109" s="944"/>
    </row>
    <row r="110" spans="1:49">
      <c r="C110" s="240"/>
      <c r="E110" s="240"/>
      <c r="G110" s="240"/>
      <c r="I110" s="240"/>
      <c r="K110" s="240"/>
      <c r="M110" s="240"/>
      <c r="O110" s="240"/>
      <c r="Q110" s="240"/>
      <c r="S110" s="240"/>
      <c r="U110" s="240"/>
      <c r="W110" s="240"/>
      <c r="Y110" s="240"/>
      <c r="AA110" s="240"/>
      <c r="AE110" s="368"/>
      <c r="AJ110" s="317"/>
    </row>
    <row r="111" spans="1:49">
      <c r="C111" s="240"/>
      <c r="E111" s="240"/>
      <c r="G111" s="240"/>
      <c r="I111" s="240"/>
      <c r="K111" s="240"/>
      <c r="M111" s="240"/>
      <c r="O111" s="240"/>
      <c r="Q111" s="240"/>
      <c r="S111" s="240"/>
      <c r="U111" s="240"/>
      <c r="W111" s="240"/>
      <c r="Y111" s="240"/>
      <c r="AA111" s="240"/>
      <c r="AE111" s="368"/>
      <c r="AH111" s="232"/>
      <c r="AJ111" s="315"/>
      <c r="AK111" s="928"/>
      <c r="AL111" s="928"/>
      <c r="AM111" s="1597"/>
      <c r="AN111" s="1597"/>
      <c r="AO111" s="1597"/>
      <c r="AP111" s="1597"/>
    </row>
    <row r="112" spans="1:49">
      <c r="C112" s="240"/>
      <c r="E112" s="240"/>
      <c r="G112" s="240"/>
      <c r="I112" s="240"/>
      <c r="K112" s="240"/>
      <c r="M112" s="240"/>
      <c r="O112" s="240"/>
      <c r="Q112" s="240"/>
      <c r="S112" s="240"/>
      <c r="U112" s="240"/>
      <c r="W112" s="240"/>
      <c r="Y112" s="240"/>
      <c r="AA112" s="240"/>
      <c r="AD112" s="317"/>
      <c r="AE112" s="368"/>
      <c r="AF112" s="317"/>
    </row>
    <row r="113" spans="3:31">
      <c r="C113" s="240"/>
      <c r="E113" s="240"/>
      <c r="G113" s="240"/>
      <c r="I113" s="240"/>
      <c r="K113" s="240"/>
      <c r="M113" s="240"/>
      <c r="O113" s="240"/>
      <c r="Q113" s="240"/>
      <c r="S113" s="240"/>
      <c r="U113" s="240"/>
      <c r="W113" s="240"/>
      <c r="Y113" s="240"/>
      <c r="AA113" s="240"/>
      <c r="AE113" s="368"/>
    </row>
    <row r="114" spans="3:31">
      <c r="C114" s="240"/>
      <c r="E114" s="240"/>
      <c r="G114" s="240"/>
      <c r="I114" s="240"/>
      <c r="K114" s="240"/>
      <c r="M114" s="240"/>
      <c r="O114" s="240"/>
      <c r="Q114" s="240"/>
      <c r="S114" s="240"/>
      <c r="U114" s="240"/>
      <c r="W114" s="240"/>
      <c r="Y114" s="240"/>
      <c r="AA114" s="240"/>
      <c r="AE114" s="368"/>
    </row>
    <row r="115" spans="3:31">
      <c r="C115" s="240"/>
      <c r="E115" s="240"/>
      <c r="G115" s="240"/>
      <c r="I115" s="240"/>
      <c r="K115" s="240"/>
      <c r="M115" s="240"/>
      <c r="O115" s="240"/>
      <c r="Q115" s="240"/>
      <c r="S115" s="240"/>
      <c r="U115" s="240"/>
      <c r="W115" s="240"/>
      <c r="Y115" s="240"/>
      <c r="AA115" s="240"/>
      <c r="AE115" s="368"/>
    </row>
    <row r="116" spans="3:31">
      <c r="C116" s="240"/>
      <c r="E116" s="240"/>
      <c r="G116" s="240"/>
      <c r="I116" s="240"/>
      <c r="K116" s="240"/>
      <c r="M116" s="240"/>
      <c r="O116" s="240"/>
      <c r="Q116" s="240"/>
      <c r="S116" s="240"/>
      <c r="U116" s="240"/>
      <c r="W116" s="240"/>
      <c r="Y116" s="240"/>
      <c r="AA116" s="240"/>
      <c r="AE116" s="368"/>
    </row>
    <row r="117" spans="3:31">
      <c r="C117" s="240"/>
      <c r="E117" s="240"/>
      <c r="G117" s="240"/>
      <c r="I117" s="240"/>
      <c r="K117" s="240"/>
      <c r="M117" s="240"/>
      <c r="O117" s="240"/>
      <c r="Q117" s="240"/>
      <c r="S117" s="240"/>
      <c r="U117" s="240"/>
      <c r="W117" s="240"/>
      <c r="Y117" s="240"/>
      <c r="AA117" s="240"/>
      <c r="AE117" s="368"/>
    </row>
    <row r="118" spans="3:31">
      <c r="C118" s="240"/>
      <c r="E118" s="240"/>
      <c r="G118" s="240"/>
      <c r="I118" s="240"/>
      <c r="K118" s="240"/>
      <c r="M118" s="240"/>
      <c r="O118" s="240"/>
      <c r="Q118" s="240"/>
      <c r="S118" s="240"/>
      <c r="U118" s="240"/>
      <c r="W118" s="240"/>
      <c r="Y118" s="240"/>
      <c r="AA118" s="240"/>
    </row>
    <row r="119" spans="3:31">
      <c r="C119" s="240"/>
      <c r="E119" s="240"/>
      <c r="G119" s="240"/>
      <c r="I119" s="240"/>
      <c r="K119" s="240"/>
      <c r="M119" s="240"/>
      <c r="O119" s="240"/>
      <c r="Q119" s="240"/>
      <c r="S119" s="240"/>
      <c r="U119" s="240"/>
      <c r="W119" s="240"/>
      <c r="Y119" s="240"/>
      <c r="AA119" s="240"/>
    </row>
    <row r="120" spans="3:31">
      <c r="C120" s="240"/>
      <c r="E120" s="240"/>
      <c r="G120" s="240"/>
      <c r="I120" s="240"/>
      <c r="K120" s="240"/>
      <c r="M120" s="240"/>
      <c r="O120" s="240"/>
      <c r="Q120" s="240"/>
      <c r="S120" s="240"/>
      <c r="U120" s="240"/>
      <c r="W120" s="240"/>
      <c r="Y120" s="240"/>
      <c r="AA120" s="240"/>
    </row>
  </sheetData>
  <mergeCells count="21">
    <mergeCell ref="AQ7:AR7"/>
    <mergeCell ref="AA7:AB7"/>
    <mergeCell ref="O7:P7"/>
    <mergeCell ref="Q7:R7"/>
    <mergeCell ref="S7:T7"/>
    <mergeCell ref="U7:V7"/>
    <mergeCell ref="W7:X7"/>
    <mergeCell ref="Y7:Z7"/>
    <mergeCell ref="AC7:AD7"/>
    <mergeCell ref="AE7:AF7"/>
    <mergeCell ref="AI7:AJ7"/>
    <mergeCell ref="AG7:AH7"/>
    <mergeCell ref="AK7:AL7"/>
    <mergeCell ref="AM7:AN7"/>
    <mergeCell ref="AO7:AP7"/>
    <mergeCell ref="M7:N7"/>
    <mergeCell ref="C7:D7"/>
    <mergeCell ref="E7:F7"/>
    <mergeCell ref="G7:H7"/>
    <mergeCell ref="I7:J7"/>
    <mergeCell ref="K7:L7"/>
  </mergeCells>
  <conditionalFormatting sqref="AV12:AW102">
    <cfRule type="cellIs" dxfId="1" priority="1" operator="equal">
      <formula>TRUE</formula>
    </cfRule>
  </conditionalFormatting>
  <pageMargins left="0.7" right="0.7" top="0.75" bottom="0.75" header="0.3" footer="0.3"/>
  <pageSetup paperSize="9" orientation="portrait" r:id="rId1"/>
  <ignoredErrors>
    <ignoredError sqref="AJ8:AK8 AF8:AH8 AI8 C8:Y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28"/>
  <sheetViews>
    <sheetView showGridLines="0" workbookViewId="0"/>
  </sheetViews>
  <sheetFormatPr defaultColWidth="9.140625" defaultRowHeight="15"/>
  <cols>
    <col min="1" max="1" width="9.140625" style="381"/>
    <col min="2" max="2" width="17.140625" style="381" customWidth="1"/>
    <col min="3" max="3" width="17.28515625" style="381" bestFit="1" customWidth="1"/>
    <col min="4" max="4" width="15.42578125" style="381" bestFit="1" customWidth="1"/>
    <col min="5" max="5" width="14.7109375" style="381" customWidth="1"/>
    <col min="6" max="6" width="15.5703125" style="381" customWidth="1"/>
    <col min="7" max="11" width="9.140625" style="381"/>
    <col min="12" max="12" width="9.140625" style="911"/>
    <col min="13" max="16384" width="9.140625" style="381"/>
  </cols>
  <sheetData>
    <row r="1" spans="1:13">
      <c r="G1" s="911"/>
      <c r="H1" s="911"/>
      <c r="I1" s="911"/>
      <c r="J1" s="911"/>
      <c r="K1" s="911"/>
      <c r="M1" s="911"/>
    </row>
    <row r="2" spans="1:13">
      <c r="G2" s="911"/>
      <c r="H2" s="911"/>
      <c r="I2" s="911"/>
      <c r="J2" s="911"/>
      <c r="K2" s="911"/>
      <c r="M2" s="911"/>
    </row>
    <row r="3" spans="1:13" s="1570" customFormat="1">
      <c r="L3" s="911"/>
    </row>
    <row r="6" spans="1:13" ht="15.75" thickBot="1">
      <c r="A6" s="911">
        <v>2019</v>
      </c>
      <c r="B6" s="1948" t="s">
        <v>658</v>
      </c>
      <c r="C6" s="1948"/>
      <c r="D6" s="1948"/>
      <c r="E6" s="1948"/>
      <c r="F6" s="1948"/>
    </row>
    <row r="7" spans="1:13" ht="16.5" customHeight="1">
      <c r="B7" s="1051" t="s">
        <v>248</v>
      </c>
      <c r="C7" s="1050" t="s">
        <v>258</v>
      </c>
      <c r="D7" s="1049" t="s">
        <v>259</v>
      </c>
      <c r="E7" s="1049" t="s">
        <v>458</v>
      </c>
      <c r="F7" s="1048" t="s">
        <v>457</v>
      </c>
    </row>
    <row r="8" spans="1:13" ht="16.5" customHeight="1">
      <c r="B8" s="1047" t="s">
        <v>0</v>
      </c>
      <c r="C8" s="1046">
        <v>9.2953946308132543E-2</v>
      </c>
      <c r="D8" s="1045">
        <v>4.3991758304330823E-2</v>
      </c>
      <c r="E8" s="1045">
        <v>0.86305429538753664</v>
      </c>
      <c r="F8" s="576">
        <v>2</v>
      </c>
    </row>
    <row r="9" spans="1:13" ht="16.5" customHeight="1">
      <c r="B9" s="1047" t="s">
        <v>277</v>
      </c>
      <c r="C9" s="1043">
        <v>2.2712309455159247E-2</v>
      </c>
      <c r="D9" s="1042">
        <v>0</v>
      </c>
      <c r="E9" s="1042">
        <v>0.97728769054484077</v>
      </c>
      <c r="F9" s="1041">
        <v>4</v>
      </c>
    </row>
    <row r="10" spans="1:13" ht="16.5" customHeight="1">
      <c r="B10" s="1047" t="s">
        <v>243</v>
      </c>
      <c r="C10" s="1046">
        <v>4.8136107855489985E-3</v>
      </c>
      <c r="D10" s="1045">
        <v>3.1914219487084061E-2</v>
      </c>
      <c r="E10" s="1045">
        <v>0.96327216972736696</v>
      </c>
      <c r="F10" s="576" t="s">
        <v>614</v>
      </c>
      <c r="I10" s="309" t="str">
        <f>"Western Australia's Global Production Share 2022 and 2023"</f>
        <v>Western Australia's Global Production Share 2022 and 2023</v>
      </c>
    </row>
    <row r="11" spans="1:13" ht="16.5" customHeight="1">
      <c r="B11" s="1047" t="s">
        <v>61</v>
      </c>
      <c r="C11" s="1043">
        <v>8.9999999999999998E-4</v>
      </c>
      <c r="D11" s="1042">
        <v>4.0000000000000002E-4</v>
      </c>
      <c r="E11" s="1042">
        <v>0.99880000000000002</v>
      </c>
      <c r="F11" s="1041">
        <v>42</v>
      </c>
    </row>
    <row r="12" spans="1:13" ht="16.5" customHeight="1">
      <c r="B12" s="1044" t="s">
        <v>276</v>
      </c>
      <c r="C12" s="1046">
        <v>0</v>
      </c>
      <c r="D12" s="1045">
        <v>0</v>
      </c>
      <c r="E12" s="1045">
        <v>1</v>
      </c>
      <c r="F12" s="576" t="s">
        <v>165</v>
      </c>
    </row>
    <row r="13" spans="1:13" ht="16.5" customHeight="1">
      <c r="B13" s="1047" t="s">
        <v>220</v>
      </c>
      <c r="C13" s="1043">
        <v>0.36078343022674525</v>
      </c>
      <c r="D13" s="1042">
        <v>0</v>
      </c>
      <c r="E13" s="1042">
        <v>0.63921656977325481</v>
      </c>
      <c r="F13" s="1041">
        <v>1</v>
      </c>
    </row>
    <row r="14" spans="1:13" ht="16.5" customHeight="1">
      <c r="B14" s="1044" t="s">
        <v>1</v>
      </c>
      <c r="C14" s="1046">
        <v>6.9894232698523059E-2</v>
      </c>
      <c r="D14" s="1045">
        <v>2.6713604087820104E-2</v>
      </c>
      <c r="E14" s="1045">
        <v>0.90339216321365678</v>
      </c>
      <c r="F14" s="576">
        <v>3</v>
      </c>
    </row>
    <row r="15" spans="1:13" ht="16.5" customHeight="1">
      <c r="B15" s="1047" t="s">
        <v>221</v>
      </c>
      <c r="C15" s="1043">
        <v>2.8977642874662739E-2</v>
      </c>
      <c r="D15" s="1042">
        <v>2.0078035320088301E-2</v>
      </c>
      <c r="E15" s="1042">
        <v>0.9509443218052489</v>
      </c>
      <c r="F15" s="1041">
        <v>8</v>
      </c>
    </row>
    <row r="16" spans="1:13" ht="16.5" customHeight="1">
      <c r="B16" s="1047" t="s">
        <v>236</v>
      </c>
      <c r="C16" s="1046">
        <v>0.35025468799684339</v>
      </c>
      <c r="D16" s="1045">
        <v>4.2667014656756711E-3</v>
      </c>
      <c r="E16" s="1045">
        <v>0.64547861053748101</v>
      </c>
      <c r="F16" s="576">
        <v>1</v>
      </c>
    </row>
    <row r="17" spans="2:7" ht="16.5" customHeight="1">
      <c r="B17" s="1044" t="s">
        <v>242</v>
      </c>
      <c r="C17" s="1043">
        <v>8.3889840580173482E-3</v>
      </c>
      <c r="D17" s="1042">
        <v>9.6477092253681326E-2</v>
      </c>
      <c r="E17" s="1042">
        <v>0.89513392368830136</v>
      </c>
      <c r="F17" s="1041" t="s">
        <v>652</v>
      </c>
    </row>
    <row r="18" spans="2:7" ht="16.5" customHeight="1">
      <c r="B18" s="1047" t="s">
        <v>360</v>
      </c>
      <c r="C18" s="1046">
        <v>0.47495421696724949</v>
      </c>
      <c r="D18" s="1045">
        <v>1.4128152136871184E-2</v>
      </c>
      <c r="E18" s="1045">
        <v>0.51091763089587938</v>
      </c>
      <c r="F18" s="576">
        <v>1</v>
      </c>
    </row>
    <row r="19" spans="2:7" ht="16.5" customHeight="1">
      <c r="B19" s="1044" t="s">
        <v>224</v>
      </c>
      <c r="C19" s="1043">
        <v>0.12521626860619739</v>
      </c>
      <c r="D19" s="1042">
        <v>8.4065933729051023E-2</v>
      </c>
      <c r="E19" s="1042">
        <v>0.79071779766475159</v>
      </c>
      <c r="F19" s="1041">
        <v>3</v>
      </c>
    </row>
    <row r="20" spans="2:7">
      <c r="B20" s="1044" t="s">
        <v>456</v>
      </c>
      <c r="C20" s="1046">
        <v>2.968834964172179E-2</v>
      </c>
      <c r="D20" s="1045">
        <v>0.14621603127289839</v>
      </c>
      <c r="E20" s="1045">
        <v>0.82409561908537987</v>
      </c>
      <c r="F20" s="576">
        <v>8</v>
      </c>
    </row>
    <row r="21" spans="2:7">
      <c r="B21" s="1044" t="s">
        <v>3</v>
      </c>
      <c r="C21" s="1043">
        <v>4.1983603041555892E-2</v>
      </c>
      <c r="D21" s="1042">
        <v>1.0131983365327694E-3</v>
      </c>
      <c r="E21" s="1042">
        <v>0.9570031986219113</v>
      </c>
      <c r="F21" s="1041">
        <v>6</v>
      </c>
    </row>
    <row r="22" spans="2:7">
      <c r="B22" s="1044" t="s">
        <v>634</v>
      </c>
      <c r="C22" s="1046">
        <v>7.8643204465526126E-2</v>
      </c>
      <c r="D22" s="1045">
        <v>0</v>
      </c>
      <c r="E22" s="1045">
        <v>0.92135679553447392</v>
      </c>
      <c r="F22" s="576">
        <v>4</v>
      </c>
    </row>
    <row r="23" spans="2:7">
      <c r="B23" s="1044" t="s">
        <v>229</v>
      </c>
      <c r="C23" s="1043">
        <v>0.19317594982078851</v>
      </c>
      <c r="D23" s="1042">
        <v>0.16524698924731185</v>
      </c>
      <c r="E23" s="1042">
        <v>0.64157706093189959</v>
      </c>
      <c r="F23" s="1041">
        <v>2</v>
      </c>
    </row>
    <row r="24" spans="2:7">
      <c r="B24" s="1044" t="s">
        <v>275</v>
      </c>
      <c r="C24" s="1046">
        <v>4.2434573991964951E-2</v>
      </c>
      <c r="D24" s="1045">
        <v>8.6976393024105082E-3</v>
      </c>
      <c r="E24" s="1045">
        <v>0.94886778670562455</v>
      </c>
      <c r="F24" s="576">
        <v>6</v>
      </c>
      <c r="G24" s="405"/>
    </row>
    <row r="25" spans="2:7">
      <c r="B25" s="1044" t="s">
        <v>244</v>
      </c>
      <c r="C25" s="1043">
        <v>4.148285434585691E-3</v>
      </c>
      <c r="D25" s="1042">
        <v>8.543355793992892E-2</v>
      </c>
      <c r="E25" s="1042">
        <v>0.91041815662548542</v>
      </c>
      <c r="F25" s="1041" t="s">
        <v>613</v>
      </c>
      <c r="G25" s="405"/>
    </row>
    <row r="26" spans="2:7" ht="15.75" thickBot="1">
      <c r="B26" s="1040" t="s">
        <v>223</v>
      </c>
      <c r="C26" s="1039">
        <v>0.10808670624999998</v>
      </c>
      <c r="D26" s="1038">
        <v>0.20441329375</v>
      </c>
      <c r="E26" s="1038">
        <v>0.6875</v>
      </c>
      <c r="F26" s="1037">
        <v>3</v>
      </c>
      <c r="G26" s="405"/>
    </row>
    <row r="27" spans="2:7">
      <c r="B27" s="405"/>
      <c r="C27" s="405"/>
      <c r="D27" s="405"/>
      <c r="E27" s="405"/>
      <c r="F27" s="405"/>
      <c r="G27" s="405"/>
    </row>
    <row r="28" spans="2:7">
      <c r="B28" s="405"/>
      <c r="C28" s="405"/>
      <c r="D28" s="405"/>
      <c r="E28" s="405"/>
      <c r="F28" s="405"/>
      <c r="G28" s="405"/>
    </row>
  </sheetData>
  <mergeCells count="1">
    <mergeCell ref="B6:F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6" tint="0.39997558519241921"/>
  </sheetPr>
  <dimension ref="A1:AC71"/>
  <sheetViews>
    <sheetView showGridLines="0" workbookViewId="0"/>
  </sheetViews>
  <sheetFormatPr defaultRowHeight="15"/>
  <cols>
    <col min="2" max="2" width="15.140625" customWidth="1"/>
    <col min="3" max="3" width="19" style="95" customWidth="1"/>
    <col min="5" max="6" width="5" style="228" hidden="1" customWidth="1"/>
    <col min="7" max="7" width="14.140625" customWidth="1"/>
    <col min="8" max="8" width="16.42578125" customWidth="1"/>
    <col min="9" max="9" width="15.7109375" style="381" customWidth="1"/>
    <col min="10" max="10" width="15.7109375" hidden="1" customWidth="1"/>
    <col min="11" max="11" width="15.7109375" style="381" hidden="1" customWidth="1"/>
    <col min="12" max="12" width="15.7109375" customWidth="1"/>
  </cols>
  <sheetData>
    <row r="1" spans="1:29">
      <c r="AB1" s="237" t="s">
        <v>282</v>
      </c>
      <c r="AC1" s="236"/>
    </row>
    <row r="2" spans="1:29">
      <c r="AB2" s="237" t="s">
        <v>283</v>
      </c>
      <c r="AC2" s="236"/>
    </row>
    <row r="4" spans="1:29">
      <c r="J4" s="308"/>
      <c r="K4" s="405"/>
      <c r="M4" s="238"/>
    </row>
    <row r="5" spans="1:29" s="3" customFormat="1">
      <c r="A5" s="1100"/>
      <c r="B5" s="1100"/>
      <c r="C5" s="1100"/>
      <c r="D5" s="1100"/>
      <c r="E5" s="70"/>
      <c r="F5" s="70"/>
      <c r="G5" s="1948" t="s">
        <v>620</v>
      </c>
      <c r="H5" s="1948"/>
      <c r="I5" s="1947"/>
      <c r="K5" s="381"/>
      <c r="R5" s="308"/>
    </row>
    <row r="6" spans="1:29" ht="15.75" thickBot="1">
      <c r="A6" s="1950" t="s">
        <v>573</v>
      </c>
      <c r="B6" s="1951"/>
      <c r="C6" s="1951"/>
      <c r="D6" s="1097"/>
      <c r="E6" s="70"/>
      <c r="F6" s="70"/>
      <c r="G6" s="1950" t="str">
        <f>G49</f>
        <v>Historic Calendar Year</v>
      </c>
      <c r="H6" s="1950"/>
      <c r="I6" s="1951"/>
      <c r="R6" s="308"/>
    </row>
    <row r="7" spans="1:29" s="381" customFormat="1">
      <c r="A7" s="1110"/>
      <c r="B7" s="1185" t="s">
        <v>0</v>
      </c>
      <c r="C7" s="1113" t="s">
        <v>352</v>
      </c>
      <c r="D7" s="1097"/>
      <c r="E7" s="268"/>
      <c r="F7" s="268"/>
      <c r="G7" s="1112"/>
      <c r="H7" s="1182" t="s">
        <v>0</v>
      </c>
      <c r="I7" s="1113" t="s">
        <v>352</v>
      </c>
    </row>
    <row r="8" spans="1:29">
      <c r="A8" s="1108" t="s">
        <v>401</v>
      </c>
      <c r="B8" s="1183" t="s">
        <v>406</v>
      </c>
      <c r="C8" s="1109" t="s">
        <v>406</v>
      </c>
      <c r="D8" s="242"/>
      <c r="E8" s="70"/>
      <c r="F8" s="70"/>
      <c r="G8" s="1111" t="s">
        <v>34</v>
      </c>
      <c r="H8" s="1183" t="s">
        <v>406</v>
      </c>
      <c r="I8" s="1109" t="s">
        <v>406</v>
      </c>
    </row>
    <row r="9" spans="1:29">
      <c r="A9" s="458">
        <f>LARGE('Commodity Prices'!C$159:C$902,61)</f>
        <v>43435</v>
      </c>
      <c r="B9" s="565">
        <f>SUMIF('Commodity Prices'!C$159:C$902,A9,'Commodity Prices'!F$159:F$902)</f>
        <v>592.35887609284578</v>
      </c>
      <c r="C9" s="489">
        <f>SUMIF('Commodity Prices'!C$159:C$902,A9,'Commodity Prices'!H$159:H$902)</f>
        <v>43.462981021477866</v>
      </c>
      <c r="D9" s="8"/>
      <c r="E9" s="70">
        <v>1986</v>
      </c>
      <c r="F9" s="70">
        <v>1987</v>
      </c>
      <c r="G9" s="478">
        <f>IF($G$6="Historic Calendar Year",1986,CONCATENATE(E9,"-",RIGHT(F9,4)))</f>
        <v>1986</v>
      </c>
      <c r="H9" s="565">
        <f t="array" ref="H9">IF($G$6="Historic Calendar Year",IFERROR(AVERAGE(IF($G9=YEAR('Commodity Prices'!C$100:C$1000),'Commodity Prices'!F$100:F$1000)),"NA"),IFERROR(IF(J9=0,"NA",J9),"NA"))</f>
        <v>186.74747201938524</v>
      </c>
      <c r="I9" s="489"/>
      <c r="J9">
        <f>(SUMIFS('Commodity Prices'!$F$9:$F$2500,'Commodity Prices'!$A$9:$A$2500,'Alumina and Bauxite - Prices'!E9,'Commodity Prices'!$B$9:$B$2500,3)+
SUMIFS('Commodity Prices'!$F$9:$F$2500,'Commodity Prices'!$A$9:$A$2500,'Alumina and Bauxite - Prices'!E9,'Commodity Prices'!$B$9:$B$2500,4)+
SUMIFS('Commodity Prices'!$F$9:$F$2500,'Commodity Prices'!$A$9:$A$2500,'Alumina and Bauxite - Prices'!F9,'Commodity Prices'!$B$9:$B$2500,1)+
SUMIFS('Commodity Prices'!$F$9:$F$2500,'Commodity Prices'!$A$9:$A$2500,'Alumina and Bauxite - Prices'!F9,'Commodity Prices'!$B$9:$B$2500,2))
/(COUNTIFS('Commodity Prices'!$A$9:$A$2500,'Alumina and Bauxite - Prices'!E9,'Commodity Prices'!$B$9:$B$2500,3)+
COUNTIFS('Commodity Prices'!$A$9:$A$2500,'Alumina and Bauxite - Prices'!E9,'Commodity Prices'!$B$9:$B$2500,4)+
COUNTIFS('Commodity Prices'!$A$9:$A$2500,'Alumina and Bauxite - Prices'!F9,'Commodity Prices'!$B$9:$B$2500,1)+
COUNTIFS('Commodity Prices'!$A$9:$A$2500,'Alumina and Bauxite - Prices'!F9,'Commodity Prices'!$B$9:$B$2500,2))</f>
        <v>190.39912028055323</v>
      </c>
      <c r="K9" s="381">
        <f>(SUMIFS('Commodity Prices'!$H$9:$H$2500,'Commodity Prices'!$A$9:$A$2500,'Alumina and Bauxite - Prices'!E9,'Commodity Prices'!$B$9:$B$2500,3)+
SUMIFS('Commodity Prices'!$H$9:$H$2500,'Commodity Prices'!$A$9:$A$2500,'Alumina and Bauxite - Prices'!E9,'Commodity Prices'!$B$9:$B$2500,4)+
SUMIFS('Commodity Prices'!$H$9:$H$2500,'Commodity Prices'!$A$9:$A$2500,'Alumina and Bauxite - Prices'!F9,'Commodity Prices'!$B$9:$B$2500,1)+
SUMIFS('Commodity Prices'!$H$9:$H$2500,'Commodity Prices'!$A$9:$A$2500,'Alumina and Bauxite - Prices'!F9,'Commodity Prices'!$B$9:$B$2500,2))
/(COUNTIFS('Commodity Prices'!$A$9:$A$2500,'Alumina and Bauxite - Prices'!E9,'Commodity Prices'!$B$9:$B$2500,3)+
COUNTIFS('Commodity Prices'!$A$9:$A$2500,'Alumina and Bauxite - Prices'!E9,'Commodity Prices'!$B$9:$B$2500,4)+
COUNTIFS('Commodity Prices'!$A$9:$A$2500,'Alumina and Bauxite - Prices'!F9,'Commodity Prices'!$B$9:$B$2500,1)+
COUNTIFS('Commodity Prices'!$A$9:$A$2500,'Alumina and Bauxite - Prices'!F9,'Commodity Prices'!$B$9:$B$2500,2))</f>
        <v>0</v>
      </c>
    </row>
    <row r="10" spans="1:29">
      <c r="A10" s="458">
        <f>LARGE('Commodity Prices'!C$159:C$902,60)</f>
        <v>43466</v>
      </c>
      <c r="B10" s="1184">
        <f>SUMIF('Commodity Prices'!C$159:C$902,A10,'Commodity Prices'!F$159:F$902)</f>
        <v>563.4450303600637</v>
      </c>
      <c r="C10" s="488">
        <f>SUMIF('Commodity Prices'!C$159:C$902,A10,'Commodity Prices'!H$159:H$902)</f>
        <v>43.449229682758848</v>
      </c>
      <c r="D10" s="8"/>
      <c r="E10" s="70">
        <f>E9+1</f>
        <v>1987</v>
      </c>
      <c r="F10" s="70">
        <f>F9+1</f>
        <v>1988</v>
      </c>
      <c r="G10" s="477">
        <f t="shared" ref="G10:G43" si="0">IF($G$6="Historic Calendar Year",G9+1,CONCATENATE(E10,"-",RIGHT(F10,4)))</f>
        <v>1987</v>
      </c>
      <c r="H10" s="1184">
        <f t="array" ref="H10">IF($G$6="Historic Calendar Year",IFERROR(AVERAGE(IF($G10=YEAR('Commodity Prices'!C$100:C$1000),'Commodity Prices'!F$100:F$1000)),"NA"),IFERROR(IF(J10=0,"NA",J10),"NA"))</f>
        <v>186.34339604659078</v>
      </c>
      <c r="I10" s="488"/>
      <c r="J10">
        <f>(SUMIFS('Commodity Prices'!$F$9:$F$2500,'Commodity Prices'!$A$9:$A$2500,'Alumina and Bauxite - Prices'!E10,'Commodity Prices'!$B$9:$B$2500,3)+
SUMIFS('Commodity Prices'!$F$9:$F$2500,'Commodity Prices'!$A$9:$A$2500,'Alumina and Bauxite - Prices'!E10,'Commodity Prices'!$B$9:$B$2500,4)+
SUMIFS('Commodity Prices'!$F$9:$F$2500,'Commodity Prices'!$A$9:$A$2500,'Alumina and Bauxite - Prices'!F10,'Commodity Prices'!$B$9:$B$2500,1)+
SUMIFS('Commodity Prices'!$F$9:$F$2500,'Commodity Prices'!$A$9:$A$2500,'Alumina and Bauxite - Prices'!F10,'Commodity Prices'!$B$9:$B$2500,2))
/(COUNTIFS('Commodity Prices'!$A$9:$A$2500,'Alumina and Bauxite - Prices'!E10,'Commodity Prices'!$B$9:$B$2500,3)+
COUNTIFS('Commodity Prices'!$A$9:$A$2500,'Alumina and Bauxite - Prices'!E10,'Commodity Prices'!$B$9:$B$2500,4)+
COUNTIFS('Commodity Prices'!$A$9:$A$2500,'Alumina and Bauxite - Prices'!F10,'Commodity Prices'!$B$9:$B$2500,1)+
COUNTIFS('Commodity Prices'!$A$9:$A$2500,'Alumina and Bauxite - Prices'!F10,'Commodity Prices'!$B$9:$B$2500,2))</f>
        <v>199.42451208219322</v>
      </c>
      <c r="K10" s="381">
        <f>(SUMIFS('Commodity Prices'!$H$9:$H$2500,'Commodity Prices'!$A$9:$A$2500,'Alumina and Bauxite - Prices'!E10,'Commodity Prices'!$B$9:$B$2500,3)+
SUMIFS('Commodity Prices'!$H$9:$H$2500,'Commodity Prices'!$A$9:$A$2500,'Alumina and Bauxite - Prices'!E10,'Commodity Prices'!$B$9:$B$2500,4)+
SUMIFS('Commodity Prices'!$H$9:$H$2500,'Commodity Prices'!$A$9:$A$2500,'Alumina and Bauxite - Prices'!F10,'Commodity Prices'!$B$9:$B$2500,1)+
SUMIFS('Commodity Prices'!$H$9:$H$2500,'Commodity Prices'!$A$9:$A$2500,'Alumina and Bauxite - Prices'!F10,'Commodity Prices'!$B$9:$B$2500,2))
/(COUNTIFS('Commodity Prices'!$A$9:$A$2500,'Alumina and Bauxite - Prices'!E10,'Commodity Prices'!$B$9:$B$2500,3)+
COUNTIFS('Commodity Prices'!$A$9:$A$2500,'Alumina and Bauxite - Prices'!E10,'Commodity Prices'!$B$9:$B$2500,4)+
COUNTIFS('Commodity Prices'!$A$9:$A$2500,'Alumina and Bauxite - Prices'!F10,'Commodity Prices'!$B$9:$B$2500,1)+
COUNTIFS('Commodity Prices'!$A$9:$A$2500,'Alumina and Bauxite - Prices'!F10,'Commodity Prices'!$B$9:$B$2500,2))</f>
        <v>0</v>
      </c>
    </row>
    <row r="11" spans="1:29">
      <c r="A11" s="458">
        <f>LARGE('Commodity Prices'!C$159:C$902,59)</f>
        <v>43497</v>
      </c>
      <c r="B11" s="565">
        <f>SUMIF('Commodity Prices'!C$159:C$902,A11,'Commodity Prices'!F$159:F$902)</f>
        <v>538.66072981151183</v>
      </c>
      <c r="C11" s="489">
        <f>SUMIF('Commodity Prices'!C$159:C$902,A11,'Commodity Prices'!H$159:H$902)</f>
        <v>44.449539419582194</v>
      </c>
      <c r="D11" s="8"/>
      <c r="E11" s="70">
        <f t="shared" ref="E11:E46" si="1">E10+1</f>
        <v>1988</v>
      </c>
      <c r="F11" s="70">
        <f t="shared" ref="F11:F46" si="2">F10+1</f>
        <v>1989</v>
      </c>
      <c r="G11" s="478">
        <f t="shared" si="0"/>
        <v>1988</v>
      </c>
      <c r="H11" s="565">
        <f t="array" ref="H11">IF($G$6="Historic Calendar Year",IFERROR(AVERAGE(IF($G11=YEAR('Commodity Prices'!C$100:C$1000),'Commodity Prices'!F$100:F$1000)),"NA"),IFERROR(IF(J11=0,"NA",J11),"NA"))</f>
        <v>215.69999999999996</v>
      </c>
      <c r="I11" s="489"/>
      <c r="J11">
        <f>(SUMIFS('Commodity Prices'!$F$9:$F$2500,'Commodity Prices'!$A$9:$A$2500,'Alumina and Bauxite - Prices'!E11,'Commodity Prices'!$B$9:$B$2500,3)+
SUMIFS('Commodity Prices'!$F$9:$F$2500,'Commodity Prices'!$A$9:$A$2500,'Alumina and Bauxite - Prices'!E11,'Commodity Prices'!$B$9:$B$2500,4)+
SUMIFS('Commodity Prices'!$F$9:$F$2500,'Commodity Prices'!$A$9:$A$2500,'Alumina and Bauxite - Prices'!F11,'Commodity Prices'!$B$9:$B$2500,1)+
SUMIFS('Commodity Prices'!$F$9:$F$2500,'Commodity Prices'!$A$9:$A$2500,'Alumina and Bauxite - Prices'!F11,'Commodity Prices'!$B$9:$B$2500,2))
/(COUNTIFS('Commodity Prices'!$A$9:$A$2500,'Alumina and Bauxite - Prices'!E11,'Commodity Prices'!$B$9:$B$2500,3)+
COUNTIFS('Commodity Prices'!$A$9:$A$2500,'Alumina and Bauxite - Prices'!E11,'Commodity Prices'!$B$9:$B$2500,4)+
COUNTIFS('Commodity Prices'!$A$9:$A$2500,'Alumina and Bauxite - Prices'!F11,'Commodity Prices'!$B$9:$B$2500,1)+
COUNTIFS('Commodity Prices'!$A$9:$A$2500,'Alumina and Bauxite - Prices'!F11,'Commodity Prices'!$B$9:$B$2500,2))</f>
        <v>268.61833333333334</v>
      </c>
      <c r="K11" s="381">
        <f>(SUMIFS('Commodity Prices'!$H$9:$H$2500,'Commodity Prices'!$A$9:$A$2500,'Alumina and Bauxite - Prices'!E11,'Commodity Prices'!$B$9:$B$2500,3)+
SUMIFS('Commodity Prices'!$H$9:$H$2500,'Commodity Prices'!$A$9:$A$2500,'Alumina and Bauxite - Prices'!E11,'Commodity Prices'!$B$9:$B$2500,4)+
SUMIFS('Commodity Prices'!$H$9:$H$2500,'Commodity Prices'!$A$9:$A$2500,'Alumina and Bauxite - Prices'!F11,'Commodity Prices'!$B$9:$B$2500,1)+
SUMIFS('Commodity Prices'!$H$9:$H$2500,'Commodity Prices'!$A$9:$A$2500,'Alumina and Bauxite - Prices'!F11,'Commodity Prices'!$B$9:$B$2500,2))
/(COUNTIFS('Commodity Prices'!$A$9:$A$2500,'Alumina and Bauxite - Prices'!E11,'Commodity Prices'!$B$9:$B$2500,3)+
COUNTIFS('Commodity Prices'!$A$9:$A$2500,'Alumina and Bauxite - Prices'!E11,'Commodity Prices'!$B$9:$B$2500,4)+
COUNTIFS('Commodity Prices'!$A$9:$A$2500,'Alumina and Bauxite - Prices'!F11,'Commodity Prices'!$B$9:$B$2500,1)+
COUNTIFS('Commodity Prices'!$A$9:$A$2500,'Alumina and Bauxite - Prices'!F11,'Commodity Prices'!$B$9:$B$2500,2))</f>
        <v>0</v>
      </c>
    </row>
    <row r="12" spans="1:29">
      <c r="A12" s="458">
        <f>LARGE('Commodity Prices'!C$159:C$902,58)</f>
        <v>43525</v>
      </c>
      <c r="B12" s="1184">
        <f>SUMIF('Commodity Prices'!C$159:C$902,A12,'Commodity Prices'!F$159:F$902)</f>
        <v>534.13870236016885</v>
      </c>
      <c r="C12" s="488">
        <f>SUMIF('Commodity Prices'!C$159:C$902,A12,'Commodity Prices'!H$159:H$902)</f>
        <v>35.813303892079347</v>
      </c>
      <c r="D12" s="8"/>
      <c r="E12" s="70">
        <f t="shared" si="1"/>
        <v>1989</v>
      </c>
      <c r="F12" s="70">
        <f t="shared" si="2"/>
        <v>1990</v>
      </c>
      <c r="G12" s="477">
        <f t="shared" si="0"/>
        <v>1989</v>
      </c>
      <c r="H12" s="1184">
        <f t="array" ref="H12">IF($G$6="Historic Calendar Year",IFERROR(AVERAGE(IF($G12=YEAR('Commodity Prices'!C$100:C$1000),'Commodity Prices'!F$100:F$1000)),"NA"),IFERROR(IF(J12=0,"NA",J12),"NA"))</f>
        <v>316.38083333333333</v>
      </c>
      <c r="I12" s="488"/>
      <c r="J12">
        <f>(SUMIFS('Commodity Prices'!$F$9:$F$2500,'Commodity Prices'!$A$9:$A$2500,'Alumina and Bauxite - Prices'!E12,'Commodity Prices'!$B$9:$B$2500,3)+
SUMIFS('Commodity Prices'!$F$9:$F$2500,'Commodity Prices'!$A$9:$A$2500,'Alumina and Bauxite - Prices'!E12,'Commodity Prices'!$B$9:$B$2500,4)+
SUMIFS('Commodity Prices'!$F$9:$F$2500,'Commodity Prices'!$A$9:$A$2500,'Alumina and Bauxite - Prices'!F12,'Commodity Prices'!$B$9:$B$2500,1)+
SUMIFS('Commodity Prices'!$F$9:$F$2500,'Commodity Prices'!$A$9:$A$2500,'Alumina and Bauxite - Prices'!F12,'Commodity Prices'!$B$9:$B$2500,2))
/(COUNTIFS('Commodity Prices'!$A$9:$A$2500,'Alumina and Bauxite - Prices'!E12,'Commodity Prices'!$B$9:$B$2500,3)+
COUNTIFS('Commodity Prices'!$A$9:$A$2500,'Alumina and Bauxite - Prices'!E12,'Commodity Prices'!$B$9:$B$2500,4)+
COUNTIFS('Commodity Prices'!$A$9:$A$2500,'Alumina and Bauxite - Prices'!F12,'Commodity Prices'!$B$9:$B$2500,1)+
COUNTIFS('Commodity Prices'!$A$9:$A$2500,'Alumina and Bauxite - Prices'!F12,'Commodity Prices'!$B$9:$B$2500,2))</f>
        <v>329.86166666666668</v>
      </c>
      <c r="K12" s="381">
        <f>(SUMIFS('Commodity Prices'!$H$9:$H$2500,'Commodity Prices'!$A$9:$A$2500,'Alumina and Bauxite - Prices'!E12,'Commodity Prices'!$B$9:$B$2500,3)+
SUMIFS('Commodity Prices'!$H$9:$H$2500,'Commodity Prices'!$A$9:$A$2500,'Alumina and Bauxite - Prices'!E12,'Commodity Prices'!$B$9:$B$2500,4)+
SUMIFS('Commodity Prices'!$H$9:$H$2500,'Commodity Prices'!$A$9:$A$2500,'Alumina and Bauxite - Prices'!F12,'Commodity Prices'!$B$9:$B$2500,1)+
SUMIFS('Commodity Prices'!$H$9:$H$2500,'Commodity Prices'!$A$9:$A$2500,'Alumina and Bauxite - Prices'!F12,'Commodity Prices'!$B$9:$B$2500,2))
/(COUNTIFS('Commodity Prices'!$A$9:$A$2500,'Alumina and Bauxite - Prices'!E12,'Commodity Prices'!$B$9:$B$2500,3)+
COUNTIFS('Commodity Prices'!$A$9:$A$2500,'Alumina and Bauxite - Prices'!E12,'Commodity Prices'!$B$9:$B$2500,4)+
COUNTIFS('Commodity Prices'!$A$9:$A$2500,'Alumina and Bauxite - Prices'!F12,'Commodity Prices'!$B$9:$B$2500,1)+
COUNTIFS('Commodity Prices'!$A$9:$A$2500,'Alumina and Bauxite - Prices'!F12,'Commodity Prices'!$B$9:$B$2500,2))</f>
        <v>0</v>
      </c>
    </row>
    <row r="13" spans="1:29">
      <c r="A13" s="458">
        <f>LARGE('Commodity Prices'!C$159:C$902,57)</f>
        <v>43556</v>
      </c>
      <c r="B13" s="565">
        <f>SUMIF('Commodity Prices'!C$159:C$902,A13,'Commodity Prices'!F$159:F$902)</f>
        <v>526.33458904718032</v>
      </c>
      <c r="C13" s="489">
        <f>SUMIF('Commodity Prices'!C$159:C$902,A13,'Commodity Prices'!H$159:H$902)</f>
        <v>41.03546713097748</v>
      </c>
      <c r="D13" s="8"/>
      <c r="E13" s="70">
        <f t="shared" si="1"/>
        <v>1990</v>
      </c>
      <c r="F13" s="70">
        <f t="shared" si="2"/>
        <v>1991</v>
      </c>
      <c r="G13" s="478">
        <f t="shared" si="0"/>
        <v>1990</v>
      </c>
      <c r="H13" s="565">
        <f t="array" ref="H13">IF($G$6="Historic Calendar Year",IFERROR(AVERAGE(IF($G13=YEAR('Commodity Prices'!C$100:C$1000),'Commodity Prices'!F$100:F$1000)),"NA"),IFERROR(IF(J13=0,"NA",J13),"NA"))</f>
        <v>337.86416666666668</v>
      </c>
      <c r="I13" s="489"/>
      <c r="J13">
        <f>(SUMIFS('Commodity Prices'!$F$9:$F$2500,'Commodity Prices'!$A$9:$A$2500,'Alumina and Bauxite - Prices'!E13,'Commodity Prices'!$B$9:$B$2500,3)+
SUMIFS('Commodity Prices'!$F$9:$F$2500,'Commodity Prices'!$A$9:$A$2500,'Alumina and Bauxite - Prices'!E13,'Commodity Prices'!$B$9:$B$2500,4)+
SUMIFS('Commodity Prices'!$F$9:$F$2500,'Commodity Prices'!$A$9:$A$2500,'Alumina and Bauxite - Prices'!F13,'Commodity Prices'!$B$9:$B$2500,1)+
SUMIFS('Commodity Prices'!$F$9:$F$2500,'Commodity Prices'!$A$9:$A$2500,'Alumina and Bauxite - Prices'!F13,'Commodity Prices'!$B$9:$B$2500,2))
/(COUNTIFS('Commodity Prices'!$A$9:$A$2500,'Alumina and Bauxite - Prices'!E13,'Commodity Prices'!$B$9:$B$2500,3)+
COUNTIFS('Commodity Prices'!$A$9:$A$2500,'Alumina and Bauxite - Prices'!E13,'Commodity Prices'!$B$9:$B$2500,4)+
COUNTIFS('Commodity Prices'!$A$9:$A$2500,'Alumina and Bauxite - Prices'!F13,'Commodity Prices'!$B$9:$B$2500,1)+
COUNTIFS('Commodity Prices'!$A$9:$A$2500,'Alumina and Bauxite - Prices'!F13,'Commodity Prices'!$B$9:$B$2500,2))</f>
        <v>307.38749999999999</v>
      </c>
      <c r="K13" s="381">
        <f>(SUMIFS('Commodity Prices'!$H$9:$H$2500,'Commodity Prices'!$A$9:$A$2500,'Alumina and Bauxite - Prices'!E13,'Commodity Prices'!$B$9:$B$2500,3)+
SUMIFS('Commodity Prices'!$H$9:$H$2500,'Commodity Prices'!$A$9:$A$2500,'Alumina and Bauxite - Prices'!E13,'Commodity Prices'!$B$9:$B$2500,4)+
SUMIFS('Commodity Prices'!$H$9:$H$2500,'Commodity Prices'!$A$9:$A$2500,'Alumina and Bauxite - Prices'!F13,'Commodity Prices'!$B$9:$B$2500,1)+
SUMIFS('Commodity Prices'!$H$9:$H$2500,'Commodity Prices'!$A$9:$A$2500,'Alumina and Bauxite - Prices'!F13,'Commodity Prices'!$B$9:$B$2500,2))
/(COUNTIFS('Commodity Prices'!$A$9:$A$2500,'Alumina and Bauxite - Prices'!E13,'Commodity Prices'!$B$9:$B$2500,3)+
COUNTIFS('Commodity Prices'!$A$9:$A$2500,'Alumina and Bauxite - Prices'!E13,'Commodity Prices'!$B$9:$B$2500,4)+
COUNTIFS('Commodity Prices'!$A$9:$A$2500,'Alumina and Bauxite - Prices'!F13,'Commodity Prices'!$B$9:$B$2500,1)+
COUNTIFS('Commodity Prices'!$A$9:$A$2500,'Alumina and Bauxite - Prices'!F13,'Commodity Prices'!$B$9:$B$2500,2))</f>
        <v>0</v>
      </c>
    </row>
    <row r="14" spans="1:29">
      <c r="A14" s="458">
        <f>LARGE('Commodity Prices'!C$159:C$902,56)</f>
        <v>43586</v>
      </c>
      <c r="B14" s="1184">
        <f>SUMIF('Commodity Prices'!C$159:C$902,A14,'Commodity Prices'!F$159:F$902)</f>
        <v>525.09412904318549</v>
      </c>
      <c r="C14" s="488">
        <f>SUMIF('Commodity Prices'!C$159:C$902,A14,'Commodity Prices'!H$159:H$902)</f>
        <v>41.547911917514028</v>
      </c>
      <c r="D14" s="8"/>
      <c r="E14" s="70">
        <f t="shared" si="1"/>
        <v>1991</v>
      </c>
      <c r="F14" s="70">
        <f t="shared" si="2"/>
        <v>1992</v>
      </c>
      <c r="G14" s="477">
        <f t="shared" si="0"/>
        <v>1991</v>
      </c>
      <c r="H14" s="1184">
        <f t="array" ref="H14">IF($G$6="Historic Calendar Year",IFERROR(AVERAGE(IF($G14=YEAR('Commodity Prices'!C$100:C$1000),'Commodity Prices'!F$100:F$1000)),"NA"),IFERROR(IF(J14=0,"NA",J14),"NA"))</f>
        <v>268.65083333333337</v>
      </c>
      <c r="I14" s="488"/>
      <c r="J14">
        <f>(SUMIFS('Commodity Prices'!$F$9:$F$2500,'Commodity Prices'!$A$9:$A$2500,'Alumina and Bauxite - Prices'!E14,'Commodity Prices'!$B$9:$B$2500,3)+
SUMIFS('Commodity Prices'!$F$9:$F$2500,'Commodity Prices'!$A$9:$A$2500,'Alumina and Bauxite - Prices'!E14,'Commodity Prices'!$B$9:$B$2500,4)+
SUMIFS('Commodity Prices'!$F$9:$F$2500,'Commodity Prices'!$A$9:$A$2500,'Alumina and Bauxite - Prices'!F14,'Commodity Prices'!$B$9:$B$2500,1)+
SUMIFS('Commodity Prices'!$F$9:$F$2500,'Commodity Prices'!$A$9:$A$2500,'Alumina and Bauxite - Prices'!F14,'Commodity Prices'!$B$9:$B$2500,2))
/(COUNTIFS('Commodity Prices'!$A$9:$A$2500,'Alumina and Bauxite - Prices'!E14,'Commodity Prices'!$B$9:$B$2500,3)+
COUNTIFS('Commodity Prices'!$A$9:$A$2500,'Alumina and Bauxite - Prices'!E14,'Commodity Prices'!$B$9:$B$2500,4)+
COUNTIFS('Commodity Prices'!$A$9:$A$2500,'Alumina and Bauxite - Prices'!F14,'Commodity Prices'!$B$9:$B$2500,1)+
COUNTIFS('Commodity Prices'!$A$9:$A$2500,'Alumina and Bauxite - Prices'!F14,'Commodity Prices'!$B$9:$B$2500,2))</f>
        <v>242.09</v>
      </c>
      <c r="K14" s="381">
        <f>(SUMIFS('Commodity Prices'!$H$9:$H$2500,'Commodity Prices'!$A$9:$A$2500,'Alumina and Bauxite - Prices'!E14,'Commodity Prices'!$B$9:$B$2500,3)+
SUMIFS('Commodity Prices'!$H$9:$H$2500,'Commodity Prices'!$A$9:$A$2500,'Alumina and Bauxite - Prices'!E14,'Commodity Prices'!$B$9:$B$2500,4)+
SUMIFS('Commodity Prices'!$H$9:$H$2500,'Commodity Prices'!$A$9:$A$2500,'Alumina and Bauxite - Prices'!F14,'Commodity Prices'!$B$9:$B$2500,1)+
SUMIFS('Commodity Prices'!$H$9:$H$2500,'Commodity Prices'!$A$9:$A$2500,'Alumina and Bauxite - Prices'!F14,'Commodity Prices'!$B$9:$B$2500,2))
/(COUNTIFS('Commodity Prices'!$A$9:$A$2500,'Alumina and Bauxite - Prices'!E14,'Commodity Prices'!$B$9:$B$2500,3)+
COUNTIFS('Commodity Prices'!$A$9:$A$2500,'Alumina and Bauxite - Prices'!E14,'Commodity Prices'!$B$9:$B$2500,4)+
COUNTIFS('Commodity Prices'!$A$9:$A$2500,'Alumina and Bauxite - Prices'!F14,'Commodity Prices'!$B$9:$B$2500,1)+
COUNTIFS('Commodity Prices'!$A$9:$A$2500,'Alumina and Bauxite - Prices'!F14,'Commodity Prices'!$B$9:$B$2500,2))</f>
        <v>0</v>
      </c>
    </row>
    <row r="15" spans="1:29">
      <c r="A15" s="458">
        <f>LARGE('Commodity Prices'!C$159:C$902,56)</f>
        <v>43586</v>
      </c>
      <c r="B15" s="565">
        <f>SUMIF('Commodity Prices'!C$159:C$902,A15,'Commodity Prices'!F$159:F$902)</f>
        <v>525.09412904318549</v>
      </c>
      <c r="C15" s="489">
        <f>SUMIF('Commodity Prices'!C$159:C$902,A15,'Commodity Prices'!H$159:H$902)</f>
        <v>41.547911917514028</v>
      </c>
      <c r="D15" s="8"/>
      <c r="E15" s="70">
        <f t="shared" si="1"/>
        <v>1992</v>
      </c>
      <c r="F15" s="70">
        <f t="shared" si="2"/>
        <v>1993</v>
      </c>
      <c r="G15" s="478">
        <f t="shared" si="0"/>
        <v>1992</v>
      </c>
      <c r="H15" s="565">
        <f t="array" ref="H15">IF($G$6="Historic Calendar Year",IFERROR(AVERAGE(IF($G15=YEAR('Commodity Prices'!C$100:C$1000),'Commodity Prices'!F$100:F$1000)),"NA"),IFERROR(IF(J15=0,"NA",J15),"NA"))</f>
        <v>234.71833333333336</v>
      </c>
      <c r="I15" s="489"/>
      <c r="J15">
        <f>(SUMIFS('Commodity Prices'!$F$9:$F$2500,'Commodity Prices'!$A$9:$A$2500,'Alumina and Bauxite - Prices'!E15,'Commodity Prices'!$B$9:$B$2500,3)+
SUMIFS('Commodity Prices'!$F$9:$F$2500,'Commodity Prices'!$A$9:$A$2500,'Alumina and Bauxite - Prices'!E15,'Commodity Prices'!$B$9:$B$2500,4)+
SUMIFS('Commodity Prices'!$F$9:$F$2500,'Commodity Prices'!$A$9:$A$2500,'Alumina and Bauxite - Prices'!F15,'Commodity Prices'!$B$9:$B$2500,1)+
SUMIFS('Commodity Prices'!$F$9:$F$2500,'Commodity Prices'!$A$9:$A$2500,'Alumina and Bauxite - Prices'!F15,'Commodity Prices'!$B$9:$B$2500,2))
/(COUNTIFS('Commodity Prices'!$A$9:$A$2500,'Alumina and Bauxite - Prices'!E15,'Commodity Prices'!$B$9:$B$2500,3)+
COUNTIFS('Commodity Prices'!$A$9:$A$2500,'Alumina and Bauxite - Prices'!E15,'Commodity Prices'!$B$9:$B$2500,4)+
COUNTIFS('Commodity Prices'!$A$9:$A$2500,'Alumina and Bauxite - Prices'!F15,'Commodity Prices'!$B$9:$B$2500,1)+
COUNTIFS('Commodity Prices'!$A$9:$A$2500,'Alumina and Bauxite - Prices'!F15,'Commodity Prices'!$B$9:$B$2500,2))</f>
        <v>242.42166666666665</v>
      </c>
      <c r="K15" s="381">
        <f>(SUMIFS('Commodity Prices'!$H$9:$H$2500,'Commodity Prices'!$A$9:$A$2500,'Alumina and Bauxite - Prices'!E15,'Commodity Prices'!$B$9:$B$2500,3)+
SUMIFS('Commodity Prices'!$H$9:$H$2500,'Commodity Prices'!$A$9:$A$2500,'Alumina and Bauxite - Prices'!E15,'Commodity Prices'!$B$9:$B$2500,4)+
SUMIFS('Commodity Prices'!$H$9:$H$2500,'Commodity Prices'!$A$9:$A$2500,'Alumina and Bauxite - Prices'!F15,'Commodity Prices'!$B$9:$B$2500,1)+
SUMIFS('Commodity Prices'!$H$9:$H$2500,'Commodity Prices'!$A$9:$A$2500,'Alumina and Bauxite - Prices'!F15,'Commodity Prices'!$B$9:$B$2500,2))
/(COUNTIFS('Commodity Prices'!$A$9:$A$2500,'Alumina and Bauxite - Prices'!E15,'Commodity Prices'!$B$9:$B$2500,3)+
COUNTIFS('Commodity Prices'!$A$9:$A$2500,'Alumina and Bauxite - Prices'!E15,'Commodity Prices'!$B$9:$B$2500,4)+
COUNTIFS('Commodity Prices'!$A$9:$A$2500,'Alumina and Bauxite - Prices'!F15,'Commodity Prices'!$B$9:$B$2500,1)+
COUNTIFS('Commodity Prices'!$A$9:$A$2500,'Alumina and Bauxite - Prices'!F15,'Commodity Prices'!$B$9:$B$2500,2))</f>
        <v>0</v>
      </c>
    </row>
    <row r="16" spans="1:29">
      <c r="A16" s="459">
        <f>LARGE('Commodity Prices'!C$159:C$902,54)</f>
        <v>43647</v>
      </c>
      <c r="B16" s="1184">
        <f>SUMIF('Commodity Prices'!C$159:C$902,A16,'Commodity Prices'!F$159:F$902)</f>
        <v>481.14046038368895</v>
      </c>
      <c r="C16" s="488">
        <f>SUMIF('Commodity Prices'!C$159:C$902,A16,'Commodity Prices'!H$159:H$902)</f>
        <v>42.232666852496401</v>
      </c>
      <c r="D16" s="8"/>
      <c r="E16" s="70">
        <f t="shared" si="1"/>
        <v>1993</v>
      </c>
      <c r="F16" s="70">
        <f t="shared" si="2"/>
        <v>1994</v>
      </c>
      <c r="G16" s="477">
        <f t="shared" si="0"/>
        <v>1993</v>
      </c>
      <c r="H16" s="1184">
        <f t="array" ref="H16">IF($G$6="Historic Calendar Year",IFERROR(AVERAGE(IF($G16=YEAR('Commodity Prices'!C$100:C$1000),'Commodity Prices'!F$100:F$1000)),"NA"),IFERROR(IF(J16=0,"NA",J16),"NA"))</f>
        <v>244.78333333333327</v>
      </c>
      <c r="I16" s="488"/>
      <c r="J16">
        <f>(SUMIFS('Commodity Prices'!$F$9:$F$2500,'Commodity Prices'!$A$9:$A$2500,'Alumina and Bauxite - Prices'!E16,'Commodity Prices'!$B$9:$B$2500,3)+
SUMIFS('Commodity Prices'!$F$9:$F$2500,'Commodity Prices'!$A$9:$A$2500,'Alumina and Bauxite - Prices'!E16,'Commodity Prices'!$B$9:$B$2500,4)+
SUMIFS('Commodity Prices'!$F$9:$F$2500,'Commodity Prices'!$A$9:$A$2500,'Alumina and Bauxite - Prices'!F16,'Commodity Prices'!$B$9:$B$2500,1)+
SUMIFS('Commodity Prices'!$F$9:$F$2500,'Commodity Prices'!$A$9:$A$2500,'Alumina and Bauxite - Prices'!F16,'Commodity Prices'!$B$9:$B$2500,2))
/(COUNTIFS('Commodity Prices'!$A$9:$A$2500,'Alumina and Bauxite - Prices'!E16,'Commodity Prices'!$B$9:$B$2500,3)+
COUNTIFS('Commodity Prices'!$A$9:$A$2500,'Alumina and Bauxite - Prices'!E16,'Commodity Prices'!$B$9:$B$2500,4)+
COUNTIFS('Commodity Prices'!$A$9:$A$2500,'Alumina and Bauxite - Prices'!F16,'Commodity Prices'!$B$9:$B$2500,1)+
COUNTIFS('Commodity Prices'!$A$9:$A$2500,'Alumina and Bauxite - Prices'!F16,'Commodity Prices'!$B$9:$B$2500,2))</f>
        <v>225.2558333333333</v>
      </c>
      <c r="K16" s="381">
        <f>(SUMIFS('Commodity Prices'!$H$9:$H$2500,'Commodity Prices'!$A$9:$A$2500,'Alumina and Bauxite - Prices'!E16,'Commodity Prices'!$B$9:$B$2500,3)+
SUMIFS('Commodity Prices'!$H$9:$H$2500,'Commodity Prices'!$A$9:$A$2500,'Alumina and Bauxite - Prices'!E16,'Commodity Prices'!$B$9:$B$2500,4)+
SUMIFS('Commodity Prices'!$H$9:$H$2500,'Commodity Prices'!$A$9:$A$2500,'Alumina and Bauxite - Prices'!F16,'Commodity Prices'!$B$9:$B$2500,1)+
SUMIFS('Commodity Prices'!$H$9:$H$2500,'Commodity Prices'!$A$9:$A$2500,'Alumina and Bauxite - Prices'!F16,'Commodity Prices'!$B$9:$B$2500,2))
/(COUNTIFS('Commodity Prices'!$A$9:$A$2500,'Alumina and Bauxite - Prices'!E16,'Commodity Prices'!$B$9:$B$2500,3)+
COUNTIFS('Commodity Prices'!$A$9:$A$2500,'Alumina and Bauxite - Prices'!E16,'Commodity Prices'!$B$9:$B$2500,4)+
COUNTIFS('Commodity Prices'!$A$9:$A$2500,'Alumina and Bauxite - Prices'!F16,'Commodity Prices'!$B$9:$B$2500,1)+
COUNTIFS('Commodity Prices'!$A$9:$A$2500,'Alumina and Bauxite - Prices'!F16,'Commodity Prices'!$B$9:$B$2500,2))</f>
        <v>0</v>
      </c>
    </row>
    <row r="17" spans="1:23">
      <c r="A17" s="458">
        <f>LARGE('Commodity Prices'!C$159:C$902,53)</f>
        <v>43678</v>
      </c>
      <c r="B17" s="565">
        <f>SUMIF('Commodity Prices'!C$159:C$902,A17,'Commodity Prices'!F$159:F$902)</f>
        <v>451.81703742651098</v>
      </c>
      <c r="C17" s="489">
        <f>SUMIF('Commodity Prices'!C$159:C$902,A17,'Commodity Prices'!H$159:H$902)</f>
        <v>45.782533830470413</v>
      </c>
      <c r="D17" s="8"/>
      <c r="E17" s="70">
        <f t="shared" si="1"/>
        <v>1994</v>
      </c>
      <c r="F17" s="70">
        <f t="shared" si="2"/>
        <v>1995</v>
      </c>
      <c r="G17" s="478">
        <f t="shared" si="0"/>
        <v>1994</v>
      </c>
      <c r="H17" s="565">
        <f t="array" ref="H17">IF($G$6="Historic Calendar Year",IFERROR(AVERAGE(IF($G17=YEAR('Commodity Prices'!C$100:C$1000),'Commodity Prices'!F$100:F$1000)),"NA"),IFERROR(IF(J17=0,"NA",J17),"NA"))</f>
        <v>207.5008333333333</v>
      </c>
      <c r="I17" s="489"/>
      <c r="J17">
        <f>(SUMIFS('Commodity Prices'!$F$9:$F$2500,'Commodity Prices'!$A$9:$A$2500,'Alumina and Bauxite - Prices'!E17,'Commodity Prices'!$B$9:$B$2500,3)+
SUMIFS('Commodity Prices'!$F$9:$F$2500,'Commodity Prices'!$A$9:$A$2500,'Alumina and Bauxite - Prices'!E17,'Commodity Prices'!$B$9:$B$2500,4)+
SUMIFS('Commodity Prices'!$F$9:$F$2500,'Commodity Prices'!$A$9:$A$2500,'Alumina and Bauxite - Prices'!F17,'Commodity Prices'!$B$9:$B$2500,1)+
SUMIFS('Commodity Prices'!$F$9:$F$2500,'Commodity Prices'!$A$9:$A$2500,'Alumina and Bauxite - Prices'!F17,'Commodity Prices'!$B$9:$B$2500,2))
/(COUNTIFS('Commodity Prices'!$A$9:$A$2500,'Alumina and Bauxite - Prices'!E17,'Commodity Prices'!$B$9:$B$2500,3)+
COUNTIFS('Commodity Prices'!$A$9:$A$2500,'Alumina and Bauxite - Prices'!E17,'Commodity Prices'!$B$9:$B$2500,4)+
COUNTIFS('Commodity Prices'!$A$9:$A$2500,'Alumina and Bauxite - Prices'!F17,'Commodity Prices'!$B$9:$B$2500,1)+
COUNTIFS('Commodity Prices'!$A$9:$A$2500,'Alumina and Bauxite - Prices'!F17,'Commodity Prices'!$B$9:$B$2500,2))</f>
        <v>216.24</v>
      </c>
      <c r="K17" s="381">
        <f>(SUMIFS('Commodity Prices'!$H$9:$H$2500,'Commodity Prices'!$A$9:$A$2500,'Alumina and Bauxite - Prices'!E17,'Commodity Prices'!$B$9:$B$2500,3)+
SUMIFS('Commodity Prices'!$H$9:$H$2500,'Commodity Prices'!$A$9:$A$2500,'Alumina and Bauxite - Prices'!E17,'Commodity Prices'!$B$9:$B$2500,4)+
SUMIFS('Commodity Prices'!$H$9:$H$2500,'Commodity Prices'!$A$9:$A$2500,'Alumina and Bauxite - Prices'!F17,'Commodity Prices'!$B$9:$B$2500,1)+
SUMIFS('Commodity Prices'!$H$9:$H$2500,'Commodity Prices'!$A$9:$A$2500,'Alumina and Bauxite - Prices'!F17,'Commodity Prices'!$B$9:$B$2500,2))
/(COUNTIFS('Commodity Prices'!$A$9:$A$2500,'Alumina and Bauxite - Prices'!E17,'Commodity Prices'!$B$9:$B$2500,3)+
COUNTIFS('Commodity Prices'!$A$9:$A$2500,'Alumina and Bauxite - Prices'!E17,'Commodity Prices'!$B$9:$B$2500,4)+
COUNTIFS('Commodity Prices'!$A$9:$A$2500,'Alumina and Bauxite - Prices'!F17,'Commodity Prices'!$B$9:$B$2500,1)+
COUNTIFS('Commodity Prices'!$A$9:$A$2500,'Alumina and Bauxite - Prices'!F17,'Commodity Prices'!$B$9:$B$2500,2))</f>
        <v>0</v>
      </c>
    </row>
    <row r="18" spans="1:23">
      <c r="A18" s="459">
        <f>LARGE('Commodity Prices'!C$159:C$902,52)</f>
        <v>43709</v>
      </c>
      <c r="B18" s="1184">
        <f>SUMIF('Commodity Prices'!C$159:C$902,A18,'Commodity Prices'!F$159:F$902)</f>
        <v>449.51272634315131</v>
      </c>
      <c r="C18" s="488">
        <f>SUMIF('Commodity Prices'!C$159:C$902,A18,'Commodity Prices'!H$159:H$902)</f>
        <v>40.607686587136193</v>
      </c>
      <c r="D18" s="8"/>
      <c r="E18" s="70">
        <f t="shared" si="1"/>
        <v>1995</v>
      </c>
      <c r="F18" s="70">
        <f t="shared" si="2"/>
        <v>1996</v>
      </c>
      <c r="G18" s="477">
        <f t="shared" si="0"/>
        <v>1995</v>
      </c>
      <c r="H18" s="1184">
        <f t="array" ref="H18">IF($G$6="Historic Calendar Year",IFERROR(AVERAGE(IF($G18=YEAR('Commodity Prices'!C$100:C$1000),'Commodity Prices'!F$100:F$1000)),"NA"),IFERROR(IF(J18=0,"NA",J18),"NA"))</f>
        <v>232.52083333333334</v>
      </c>
      <c r="I18" s="488"/>
      <c r="J18">
        <f>(SUMIFS('Commodity Prices'!$F$9:$F$2500,'Commodity Prices'!$A$9:$A$2500,'Alumina and Bauxite - Prices'!E18,'Commodity Prices'!$B$9:$B$2500,3)+
SUMIFS('Commodity Prices'!$F$9:$F$2500,'Commodity Prices'!$A$9:$A$2500,'Alumina and Bauxite - Prices'!E18,'Commodity Prices'!$B$9:$B$2500,4)+
SUMIFS('Commodity Prices'!$F$9:$F$2500,'Commodity Prices'!$A$9:$A$2500,'Alumina and Bauxite - Prices'!F18,'Commodity Prices'!$B$9:$B$2500,1)+
SUMIFS('Commodity Prices'!$F$9:$F$2500,'Commodity Prices'!$A$9:$A$2500,'Alumina and Bauxite - Prices'!F18,'Commodity Prices'!$B$9:$B$2500,2))
/(COUNTIFS('Commodity Prices'!$A$9:$A$2500,'Alumina and Bauxite - Prices'!E18,'Commodity Prices'!$B$9:$B$2500,3)+
COUNTIFS('Commodity Prices'!$A$9:$A$2500,'Alumina and Bauxite - Prices'!E18,'Commodity Prices'!$B$9:$B$2500,4)+
COUNTIFS('Commodity Prices'!$A$9:$A$2500,'Alumina and Bauxite - Prices'!F18,'Commodity Prices'!$B$9:$B$2500,1)+
COUNTIFS('Commodity Prices'!$A$9:$A$2500,'Alumina and Bauxite - Prices'!F18,'Commodity Prices'!$B$9:$B$2500,2))</f>
        <v>247.58833333333334</v>
      </c>
      <c r="K18" s="381">
        <f>(SUMIFS('Commodity Prices'!$H$9:$H$2500,'Commodity Prices'!$A$9:$A$2500,'Alumina and Bauxite - Prices'!E18,'Commodity Prices'!$B$9:$B$2500,3)+
SUMIFS('Commodity Prices'!$H$9:$H$2500,'Commodity Prices'!$A$9:$A$2500,'Alumina and Bauxite - Prices'!E18,'Commodity Prices'!$B$9:$B$2500,4)+
SUMIFS('Commodity Prices'!$H$9:$H$2500,'Commodity Prices'!$A$9:$A$2500,'Alumina and Bauxite - Prices'!F18,'Commodity Prices'!$B$9:$B$2500,1)+
SUMIFS('Commodity Prices'!$H$9:$H$2500,'Commodity Prices'!$A$9:$A$2500,'Alumina and Bauxite - Prices'!F18,'Commodity Prices'!$B$9:$B$2500,2))
/(COUNTIFS('Commodity Prices'!$A$9:$A$2500,'Alumina and Bauxite - Prices'!E18,'Commodity Prices'!$B$9:$B$2500,3)+
COUNTIFS('Commodity Prices'!$A$9:$A$2500,'Alumina and Bauxite - Prices'!E18,'Commodity Prices'!$B$9:$B$2500,4)+
COUNTIFS('Commodity Prices'!$A$9:$A$2500,'Alumina and Bauxite - Prices'!F18,'Commodity Prices'!$B$9:$B$2500,1)+
COUNTIFS('Commodity Prices'!$A$9:$A$2500,'Alumina and Bauxite - Prices'!F18,'Commodity Prices'!$B$9:$B$2500,2))</f>
        <v>0</v>
      </c>
    </row>
    <row r="19" spans="1:23">
      <c r="A19" s="458">
        <f>LARGE('Commodity Prices'!C$159:C$902,51)</f>
        <v>43739</v>
      </c>
      <c r="B19" s="565">
        <f>SUMIF('Commodity Prices'!C$159:C$902,A19,'Commodity Prices'!F$159:F$902)</f>
        <v>430.30145532716136</v>
      </c>
      <c r="C19" s="489">
        <f>SUMIF('Commodity Prices'!C$159:C$902,A19,'Commodity Prices'!H$159:H$902)</f>
        <v>39.544123931544448</v>
      </c>
      <c r="D19" s="8"/>
      <c r="E19" s="70">
        <f t="shared" si="1"/>
        <v>1996</v>
      </c>
      <c r="F19" s="70">
        <f t="shared" si="2"/>
        <v>1997</v>
      </c>
      <c r="G19" s="478">
        <f t="shared" si="0"/>
        <v>1996</v>
      </c>
      <c r="H19" s="565">
        <f t="array" ref="H19">IF($G$6="Historic Calendar Year",IFERROR(AVERAGE(IF($G19=YEAR('Commodity Prices'!C$100:C$1000),'Commodity Prices'!F$100:F$1000)),"NA"),IFERROR(IF(J19=0,"NA",J19),"NA"))</f>
        <v>243.20750000000001</v>
      </c>
      <c r="I19" s="489"/>
      <c r="J19">
        <f>(SUMIFS('Commodity Prices'!$F$9:$F$2500,'Commodity Prices'!$A$9:$A$2500,'Alumina and Bauxite - Prices'!E19,'Commodity Prices'!$B$9:$B$2500,3)+
SUMIFS('Commodity Prices'!$F$9:$F$2500,'Commodity Prices'!$A$9:$A$2500,'Alumina and Bauxite - Prices'!E19,'Commodity Prices'!$B$9:$B$2500,4)+
SUMIFS('Commodity Prices'!$F$9:$F$2500,'Commodity Prices'!$A$9:$A$2500,'Alumina and Bauxite - Prices'!F19,'Commodity Prices'!$B$9:$B$2500,1)+
SUMIFS('Commodity Prices'!$F$9:$F$2500,'Commodity Prices'!$A$9:$A$2500,'Alumina and Bauxite - Prices'!F19,'Commodity Prices'!$B$9:$B$2500,2))
/(COUNTIFS('Commodity Prices'!$A$9:$A$2500,'Alumina and Bauxite - Prices'!E19,'Commodity Prices'!$B$9:$B$2500,3)+
COUNTIFS('Commodity Prices'!$A$9:$A$2500,'Alumina and Bauxite - Prices'!E19,'Commodity Prices'!$B$9:$B$2500,4)+
COUNTIFS('Commodity Prices'!$A$9:$A$2500,'Alumina and Bauxite - Prices'!F19,'Commodity Prices'!$B$9:$B$2500,1)+
COUNTIFS('Commodity Prices'!$A$9:$A$2500,'Alumina and Bauxite - Prices'!F19,'Commodity Prices'!$B$9:$B$2500,2))</f>
        <v>236.29166666666666</v>
      </c>
      <c r="K19" s="381">
        <f>(SUMIFS('Commodity Prices'!$H$9:$H$2500,'Commodity Prices'!$A$9:$A$2500,'Alumina and Bauxite - Prices'!E19,'Commodity Prices'!$B$9:$B$2500,3)+
SUMIFS('Commodity Prices'!$H$9:$H$2500,'Commodity Prices'!$A$9:$A$2500,'Alumina and Bauxite - Prices'!E19,'Commodity Prices'!$B$9:$B$2500,4)+
SUMIFS('Commodity Prices'!$H$9:$H$2500,'Commodity Prices'!$A$9:$A$2500,'Alumina and Bauxite - Prices'!F19,'Commodity Prices'!$B$9:$B$2500,1)+
SUMIFS('Commodity Prices'!$H$9:$H$2500,'Commodity Prices'!$A$9:$A$2500,'Alumina and Bauxite - Prices'!F19,'Commodity Prices'!$B$9:$B$2500,2))
/(COUNTIFS('Commodity Prices'!$A$9:$A$2500,'Alumina and Bauxite - Prices'!E19,'Commodity Prices'!$B$9:$B$2500,3)+
COUNTIFS('Commodity Prices'!$A$9:$A$2500,'Alumina and Bauxite - Prices'!E19,'Commodity Prices'!$B$9:$B$2500,4)+
COUNTIFS('Commodity Prices'!$A$9:$A$2500,'Alumina and Bauxite - Prices'!F19,'Commodity Prices'!$B$9:$B$2500,1)+
COUNTIFS('Commodity Prices'!$A$9:$A$2500,'Alumina and Bauxite - Prices'!F19,'Commodity Prices'!$B$9:$B$2500,2))</f>
        <v>0</v>
      </c>
      <c r="V19" s="92"/>
    </row>
    <row r="20" spans="1:23">
      <c r="A20" s="459">
        <f>LARGE('Commodity Prices'!C$159:C$902,50)</f>
        <v>43770</v>
      </c>
      <c r="B20" s="1184">
        <f>SUMIF('Commodity Prices'!C$159:C$902,A20,'Commodity Prices'!F$159:F$902)</f>
        <v>408.97919778067535</v>
      </c>
      <c r="C20" s="488">
        <f>SUMIF('Commodity Prices'!C$159:C$902,A20,'Commodity Prices'!H$159:H$902)</f>
        <v>36.057185322359011</v>
      </c>
      <c r="D20" s="8"/>
      <c r="E20" s="70">
        <f t="shared" si="1"/>
        <v>1997</v>
      </c>
      <c r="F20" s="70">
        <f t="shared" si="2"/>
        <v>1998</v>
      </c>
      <c r="G20" s="477">
        <f t="shared" si="0"/>
        <v>1997</v>
      </c>
      <c r="H20" s="1184">
        <f t="array" ref="H20">IF($G$6="Historic Calendar Year",IFERROR(AVERAGE(IF($G20=YEAR('Commodity Prices'!C$100:C$1000),'Commodity Prices'!F$100:F$1000)),"NA"),IFERROR(IF(J20=0,"NA",J20),"NA"))</f>
        <v>251.0058333333333</v>
      </c>
      <c r="I20" s="488"/>
      <c r="J20">
        <f>(SUMIFS('Commodity Prices'!$F$9:$F$2500,'Commodity Prices'!$A$9:$A$2500,'Alumina and Bauxite - Prices'!E20,'Commodity Prices'!$B$9:$B$2500,3)+
SUMIFS('Commodity Prices'!$F$9:$F$2500,'Commodity Prices'!$A$9:$A$2500,'Alumina and Bauxite - Prices'!E20,'Commodity Prices'!$B$9:$B$2500,4)+
SUMIFS('Commodity Prices'!$F$9:$F$2500,'Commodity Prices'!$A$9:$A$2500,'Alumina and Bauxite - Prices'!F20,'Commodity Prices'!$B$9:$B$2500,1)+
SUMIFS('Commodity Prices'!$F$9:$F$2500,'Commodity Prices'!$A$9:$A$2500,'Alumina and Bauxite - Prices'!F20,'Commodity Prices'!$B$9:$B$2500,2))
/(COUNTIFS('Commodity Prices'!$A$9:$A$2500,'Alumina and Bauxite - Prices'!E20,'Commodity Prices'!$B$9:$B$2500,3)+
COUNTIFS('Commodity Prices'!$A$9:$A$2500,'Alumina and Bauxite - Prices'!E20,'Commodity Prices'!$B$9:$B$2500,4)+
COUNTIFS('Commodity Prices'!$A$9:$A$2500,'Alumina and Bauxite - Prices'!F20,'Commodity Prices'!$B$9:$B$2500,1)+
COUNTIFS('Commodity Prices'!$A$9:$A$2500,'Alumina and Bauxite - Prices'!F20,'Commodity Prices'!$B$9:$B$2500,2))</f>
        <v>275.25154233905607</v>
      </c>
      <c r="K20" s="381">
        <f>(SUMIFS('Commodity Prices'!$H$9:$H$2500,'Commodity Prices'!$A$9:$A$2500,'Alumina and Bauxite - Prices'!E20,'Commodity Prices'!$B$9:$B$2500,3)+
SUMIFS('Commodity Prices'!$H$9:$H$2500,'Commodity Prices'!$A$9:$A$2500,'Alumina and Bauxite - Prices'!E20,'Commodity Prices'!$B$9:$B$2500,4)+
SUMIFS('Commodity Prices'!$H$9:$H$2500,'Commodity Prices'!$A$9:$A$2500,'Alumina and Bauxite - Prices'!F20,'Commodity Prices'!$B$9:$B$2500,1)+
SUMIFS('Commodity Prices'!$H$9:$H$2500,'Commodity Prices'!$A$9:$A$2500,'Alumina and Bauxite - Prices'!F20,'Commodity Prices'!$B$9:$B$2500,2))
/(COUNTIFS('Commodity Prices'!$A$9:$A$2500,'Alumina and Bauxite - Prices'!E20,'Commodity Prices'!$B$9:$B$2500,3)+
COUNTIFS('Commodity Prices'!$A$9:$A$2500,'Alumina and Bauxite - Prices'!E20,'Commodity Prices'!$B$9:$B$2500,4)+
COUNTIFS('Commodity Prices'!$A$9:$A$2500,'Alumina and Bauxite - Prices'!F20,'Commodity Prices'!$B$9:$B$2500,1)+
COUNTIFS('Commodity Prices'!$A$9:$A$2500,'Alumina and Bauxite - Prices'!F20,'Commodity Prices'!$B$9:$B$2500,2))</f>
        <v>0</v>
      </c>
    </row>
    <row r="21" spans="1:23">
      <c r="A21" s="458">
        <f>LARGE('Commodity Prices'!C$159:C$902,49)</f>
        <v>43800</v>
      </c>
      <c r="B21" s="565">
        <f>SUMIF('Commodity Prices'!C$159:C$902,A21,'Commodity Prices'!F$159:F$902)</f>
        <v>404.42721533325215</v>
      </c>
      <c r="C21" s="489">
        <f>SUMIF('Commodity Prices'!C$159:C$902,A21,'Commodity Prices'!H$159:H$902)</f>
        <v>34.289291911341721</v>
      </c>
      <c r="D21" s="8"/>
      <c r="E21" s="70">
        <f t="shared" si="1"/>
        <v>1998</v>
      </c>
      <c r="F21" s="70">
        <f t="shared" si="2"/>
        <v>1999</v>
      </c>
      <c r="G21" s="478">
        <f t="shared" si="0"/>
        <v>1998</v>
      </c>
      <c r="H21" s="565">
        <f t="array" ref="H21">IF($G$6="Historic Calendar Year",IFERROR(AVERAGE(IF($G21=YEAR('Commodity Prices'!C$100:C$1000),'Commodity Prices'!F$100:F$1000)),"NA"),IFERROR(IF(J21=0,"NA",J21),"NA"))</f>
        <v>286.06035333522306</v>
      </c>
      <c r="I21" s="489"/>
      <c r="J21">
        <f>(SUMIFS('Commodity Prices'!$F$9:$F$2500,'Commodity Prices'!$A$9:$A$2500,'Alumina and Bauxite - Prices'!E21,'Commodity Prices'!$B$9:$B$2500,3)+
SUMIFS('Commodity Prices'!$F$9:$F$2500,'Commodity Prices'!$A$9:$A$2500,'Alumina and Bauxite - Prices'!E21,'Commodity Prices'!$B$9:$B$2500,4)+
SUMIFS('Commodity Prices'!$F$9:$F$2500,'Commodity Prices'!$A$9:$A$2500,'Alumina and Bauxite - Prices'!F21,'Commodity Prices'!$B$9:$B$2500,1)+
SUMIFS('Commodity Prices'!$F$9:$F$2500,'Commodity Prices'!$A$9:$A$2500,'Alumina and Bauxite - Prices'!F21,'Commodity Prices'!$B$9:$B$2500,2))
/(COUNTIFS('Commodity Prices'!$A$9:$A$2500,'Alumina and Bauxite - Prices'!E21,'Commodity Prices'!$B$9:$B$2500,3)+
COUNTIFS('Commodity Prices'!$A$9:$A$2500,'Alumina and Bauxite - Prices'!E21,'Commodity Prices'!$B$9:$B$2500,4)+
COUNTIFS('Commodity Prices'!$A$9:$A$2500,'Alumina and Bauxite - Prices'!F21,'Commodity Prices'!$B$9:$B$2500,1)+
COUNTIFS('Commodity Prices'!$A$9:$A$2500,'Alumina and Bauxite - Prices'!F21,'Commodity Prices'!$B$9:$B$2500,2))</f>
        <v>265.33234548247867</v>
      </c>
      <c r="K21" s="381">
        <f>(SUMIFS('Commodity Prices'!$H$9:$H$2500,'Commodity Prices'!$A$9:$A$2500,'Alumina and Bauxite - Prices'!E21,'Commodity Prices'!$B$9:$B$2500,3)+
SUMIFS('Commodity Prices'!$H$9:$H$2500,'Commodity Prices'!$A$9:$A$2500,'Alumina and Bauxite - Prices'!E21,'Commodity Prices'!$B$9:$B$2500,4)+
SUMIFS('Commodity Prices'!$H$9:$H$2500,'Commodity Prices'!$A$9:$A$2500,'Alumina and Bauxite - Prices'!F21,'Commodity Prices'!$B$9:$B$2500,1)+
SUMIFS('Commodity Prices'!$H$9:$H$2500,'Commodity Prices'!$A$9:$A$2500,'Alumina and Bauxite - Prices'!F21,'Commodity Prices'!$B$9:$B$2500,2))
/(COUNTIFS('Commodity Prices'!$A$9:$A$2500,'Alumina and Bauxite - Prices'!E21,'Commodity Prices'!$B$9:$B$2500,3)+
COUNTIFS('Commodity Prices'!$A$9:$A$2500,'Alumina and Bauxite - Prices'!E21,'Commodity Prices'!$B$9:$B$2500,4)+
COUNTIFS('Commodity Prices'!$A$9:$A$2500,'Alumina and Bauxite - Prices'!F21,'Commodity Prices'!$B$9:$B$2500,1)+
COUNTIFS('Commodity Prices'!$A$9:$A$2500,'Alumina and Bauxite - Prices'!F21,'Commodity Prices'!$B$9:$B$2500,2))</f>
        <v>0</v>
      </c>
    </row>
    <row r="22" spans="1:23">
      <c r="A22" s="459">
        <f>LARGE('Commodity Prices'!C$159:C$902,48)</f>
        <v>43831</v>
      </c>
      <c r="B22" s="1184">
        <f>SUMIF('Commodity Prices'!C$159:C$902,A22,'Commodity Prices'!F$159:F$902)</f>
        <v>396.92532127169625</v>
      </c>
      <c r="C22" s="488">
        <f>SUMIF('Commodity Prices'!C$159:C$902,A22,'Commodity Prices'!H$159:H$902)</f>
        <v>33.984934016289557</v>
      </c>
      <c r="D22" s="8"/>
      <c r="E22" s="70">
        <f t="shared" si="1"/>
        <v>1999</v>
      </c>
      <c r="F22" s="70">
        <f t="shared" si="2"/>
        <v>2000</v>
      </c>
      <c r="G22" s="477">
        <f t="shared" si="0"/>
        <v>1999</v>
      </c>
      <c r="H22" s="1184">
        <f t="array" ref="H22">IF($G$6="Historic Calendar Year",IFERROR(AVERAGE(IF($G22=YEAR('Commodity Prices'!C$100:C$1000),'Commodity Prices'!F$100:F$1000)),"NA"),IFERROR(IF(J22=0,"NA",J22),"NA"))</f>
        <v>259.78853448631168</v>
      </c>
      <c r="I22" s="488"/>
      <c r="J22">
        <f>(SUMIFS('Commodity Prices'!$F$9:$F$2500,'Commodity Prices'!$A$9:$A$2500,'Alumina and Bauxite - Prices'!E22,'Commodity Prices'!$B$9:$B$2500,3)+
SUMIFS('Commodity Prices'!$F$9:$F$2500,'Commodity Prices'!$A$9:$A$2500,'Alumina and Bauxite - Prices'!E22,'Commodity Prices'!$B$9:$B$2500,4)+
SUMIFS('Commodity Prices'!$F$9:$F$2500,'Commodity Prices'!$A$9:$A$2500,'Alumina and Bauxite - Prices'!F22,'Commodity Prices'!$B$9:$B$2500,1)+
SUMIFS('Commodity Prices'!$F$9:$F$2500,'Commodity Prices'!$A$9:$A$2500,'Alumina and Bauxite - Prices'!F22,'Commodity Prices'!$B$9:$B$2500,2))
/(COUNTIFS('Commodity Prices'!$A$9:$A$2500,'Alumina and Bauxite - Prices'!E22,'Commodity Prices'!$B$9:$B$2500,3)+
COUNTIFS('Commodity Prices'!$A$9:$A$2500,'Alumina and Bauxite - Prices'!E22,'Commodity Prices'!$B$9:$B$2500,4)+
COUNTIFS('Commodity Prices'!$A$9:$A$2500,'Alumina and Bauxite - Prices'!F22,'Commodity Prices'!$B$9:$B$2500,1)+
COUNTIFS('Commodity Prices'!$A$9:$A$2500,'Alumina and Bauxite - Prices'!F22,'Commodity Prices'!$B$9:$B$2500,2))</f>
        <v>300.04666666666668</v>
      </c>
      <c r="K22" s="381">
        <f>(SUMIFS('Commodity Prices'!$H$9:$H$2500,'Commodity Prices'!$A$9:$A$2500,'Alumina and Bauxite - Prices'!E22,'Commodity Prices'!$B$9:$B$2500,3)+
SUMIFS('Commodity Prices'!$H$9:$H$2500,'Commodity Prices'!$A$9:$A$2500,'Alumina and Bauxite - Prices'!E22,'Commodity Prices'!$B$9:$B$2500,4)+
SUMIFS('Commodity Prices'!$H$9:$H$2500,'Commodity Prices'!$A$9:$A$2500,'Alumina and Bauxite - Prices'!F22,'Commodity Prices'!$B$9:$B$2500,1)+
SUMIFS('Commodity Prices'!$H$9:$H$2500,'Commodity Prices'!$A$9:$A$2500,'Alumina and Bauxite - Prices'!F22,'Commodity Prices'!$B$9:$B$2500,2))
/(COUNTIFS('Commodity Prices'!$A$9:$A$2500,'Alumina and Bauxite - Prices'!E22,'Commodity Prices'!$B$9:$B$2500,3)+
COUNTIFS('Commodity Prices'!$A$9:$A$2500,'Alumina and Bauxite - Prices'!E22,'Commodity Prices'!$B$9:$B$2500,4)+
COUNTIFS('Commodity Prices'!$A$9:$A$2500,'Alumina and Bauxite - Prices'!F22,'Commodity Prices'!$B$9:$B$2500,1)+
COUNTIFS('Commodity Prices'!$A$9:$A$2500,'Alumina and Bauxite - Prices'!F22,'Commodity Prices'!$B$9:$B$2500,2))</f>
        <v>0</v>
      </c>
    </row>
    <row r="23" spans="1:23">
      <c r="A23" s="458">
        <f>LARGE('Commodity Prices'!C$159:C$902,47)</f>
        <v>43862</v>
      </c>
      <c r="B23" s="565">
        <f>SUMIF('Commodity Prices'!C$159:C$902,A23,'Commodity Prices'!F$159:F$902)</f>
        <v>416.18601938251527</v>
      </c>
      <c r="C23" s="489">
        <f>SUMIF('Commodity Prices'!C$159:C$902,A23,'Commodity Prices'!H$159:H$902)</f>
        <v>35.314612902455785</v>
      </c>
      <c r="D23" s="8"/>
      <c r="E23" s="70">
        <f t="shared" si="1"/>
        <v>2000</v>
      </c>
      <c r="F23" s="70">
        <f t="shared" si="2"/>
        <v>2001</v>
      </c>
      <c r="G23" s="478">
        <f t="shared" si="0"/>
        <v>2000</v>
      </c>
      <c r="H23" s="565">
        <f t="array" ref="H23">IF($G$6="Historic Calendar Year",IFERROR(AVERAGE(IF($G23=YEAR('Commodity Prices'!C$100:C$1000),'Commodity Prices'!F$100:F$1000)),"NA"),IFERROR(IF(J23=0,"NA",J23),"NA"))</f>
        <v>342.39166666666665</v>
      </c>
      <c r="I23" s="489"/>
      <c r="J23">
        <f>(SUMIFS('Commodity Prices'!$F$9:$F$2500,'Commodity Prices'!$A$9:$A$2500,'Alumina and Bauxite - Prices'!E23,'Commodity Prices'!$B$9:$B$2500,3)+
SUMIFS('Commodity Prices'!$F$9:$F$2500,'Commodity Prices'!$A$9:$A$2500,'Alumina and Bauxite - Prices'!E23,'Commodity Prices'!$B$9:$B$2500,4)+
SUMIFS('Commodity Prices'!$F$9:$F$2500,'Commodity Prices'!$A$9:$A$2500,'Alumina and Bauxite - Prices'!F23,'Commodity Prices'!$B$9:$B$2500,1)+
SUMIFS('Commodity Prices'!$F$9:$F$2500,'Commodity Prices'!$A$9:$A$2500,'Alumina and Bauxite - Prices'!F23,'Commodity Prices'!$B$9:$B$2500,2))
/(COUNTIFS('Commodity Prices'!$A$9:$A$2500,'Alumina and Bauxite - Prices'!E23,'Commodity Prices'!$B$9:$B$2500,3)+
COUNTIFS('Commodity Prices'!$A$9:$A$2500,'Alumina and Bauxite - Prices'!E23,'Commodity Prices'!$B$9:$B$2500,4)+
COUNTIFS('Commodity Prices'!$A$9:$A$2500,'Alumina and Bauxite - Prices'!F23,'Commodity Prices'!$B$9:$B$2500,1)+
COUNTIFS('Commodity Prices'!$A$9:$A$2500,'Alumina and Bauxite - Prices'!F23,'Commodity Prices'!$B$9:$B$2500,2))</f>
        <v>357.12916666666661</v>
      </c>
      <c r="K23" s="381">
        <f>(SUMIFS('Commodity Prices'!$H$9:$H$2500,'Commodity Prices'!$A$9:$A$2500,'Alumina and Bauxite - Prices'!E23,'Commodity Prices'!$B$9:$B$2500,3)+
SUMIFS('Commodity Prices'!$H$9:$H$2500,'Commodity Prices'!$A$9:$A$2500,'Alumina and Bauxite - Prices'!E23,'Commodity Prices'!$B$9:$B$2500,4)+
SUMIFS('Commodity Prices'!$H$9:$H$2500,'Commodity Prices'!$A$9:$A$2500,'Alumina and Bauxite - Prices'!F23,'Commodity Prices'!$B$9:$B$2500,1)+
SUMIFS('Commodity Prices'!$H$9:$H$2500,'Commodity Prices'!$A$9:$A$2500,'Alumina and Bauxite - Prices'!F23,'Commodity Prices'!$B$9:$B$2500,2))
/(COUNTIFS('Commodity Prices'!$A$9:$A$2500,'Alumina and Bauxite - Prices'!E23,'Commodity Prices'!$B$9:$B$2500,3)+
COUNTIFS('Commodity Prices'!$A$9:$A$2500,'Alumina and Bauxite - Prices'!E23,'Commodity Prices'!$B$9:$B$2500,4)+
COUNTIFS('Commodity Prices'!$A$9:$A$2500,'Alumina and Bauxite - Prices'!F23,'Commodity Prices'!$B$9:$B$2500,1)+
COUNTIFS('Commodity Prices'!$A$9:$A$2500,'Alumina and Bauxite - Prices'!F23,'Commodity Prices'!$B$9:$B$2500,2))</f>
        <v>0</v>
      </c>
      <c r="W23" s="95"/>
    </row>
    <row r="24" spans="1:23">
      <c r="A24" s="459">
        <f>LARGE('Commodity Prices'!C$159:C$902,46)</f>
        <v>43891</v>
      </c>
      <c r="B24" s="1184">
        <f>SUMIF('Commodity Prices'!C$159:C$902,A24,'Commodity Prices'!F$159:F$902)</f>
        <v>440.0715921396602</v>
      </c>
      <c r="C24" s="488">
        <f>SUMIF('Commodity Prices'!C$159:C$902,A24,'Commodity Prices'!H$159:H$902)</f>
        <v>44.773234950724799</v>
      </c>
      <c r="D24" s="8"/>
      <c r="E24" s="70">
        <f t="shared" si="1"/>
        <v>2001</v>
      </c>
      <c r="F24" s="70">
        <f t="shared" si="2"/>
        <v>2002</v>
      </c>
      <c r="G24" s="477">
        <f t="shared" si="0"/>
        <v>2001</v>
      </c>
      <c r="H24" s="1184">
        <f t="array" ref="H24">IF($G$6="Historic Calendar Year",IFERROR(AVERAGE(IF($G24=YEAR('Commodity Prices'!C$100:C$1000),'Commodity Prices'!F$100:F$1000)),"NA"),IFERROR(IF(J24=0,"NA",J24),"NA"))</f>
        <v>343.46750000000003</v>
      </c>
      <c r="I24" s="488"/>
      <c r="J24">
        <f>(SUMIFS('Commodity Prices'!$F$9:$F$2500,'Commodity Prices'!$A$9:$A$2500,'Alumina and Bauxite - Prices'!E24,'Commodity Prices'!$B$9:$B$2500,3)+
SUMIFS('Commodity Prices'!$F$9:$F$2500,'Commodity Prices'!$A$9:$A$2500,'Alumina and Bauxite - Prices'!E24,'Commodity Prices'!$B$9:$B$2500,4)+
SUMIFS('Commodity Prices'!$F$9:$F$2500,'Commodity Prices'!$A$9:$A$2500,'Alumina and Bauxite - Prices'!F24,'Commodity Prices'!$B$9:$B$2500,1)+
SUMIFS('Commodity Prices'!$F$9:$F$2500,'Commodity Prices'!$A$9:$A$2500,'Alumina and Bauxite - Prices'!F24,'Commodity Prices'!$B$9:$B$2500,2))
/(COUNTIFS('Commodity Prices'!$A$9:$A$2500,'Alumina and Bauxite - Prices'!E24,'Commodity Prices'!$B$9:$B$2500,3)+
COUNTIFS('Commodity Prices'!$A$9:$A$2500,'Alumina and Bauxite - Prices'!E24,'Commodity Prices'!$B$9:$B$2500,4)+
COUNTIFS('Commodity Prices'!$A$9:$A$2500,'Alumina and Bauxite - Prices'!F24,'Commodity Prices'!$B$9:$B$2500,1)+
COUNTIFS('Commodity Prices'!$A$9:$A$2500,'Alumina and Bauxite - Prices'!F24,'Commodity Prices'!$B$9:$B$2500,2))</f>
        <v>314.74083333333334</v>
      </c>
      <c r="K24" s="381">
        <f>(SUMIFS('Commodity Prices'!$H$9:$H$2500,'Commodity Prices'!$A$9:$A$2500,'Alumina and Bauxite - Prices'!E24,'Commodity Prices'!$B$9:$B$2500,3)+
SUMIFS('Commodity Prices'!$H$9:$H$2500,'Commodity Prices'!$A$9:$A$2500,'Alumina and Bauxite - Prices'!E24,'Commodity Prices'!$B$9:$B$2500,4)+
SUMIFS('Commodity Prices'!$H$9:$H$2500,'Commodity Prices'!$A$9:$A$2500,'Alumina and Bauxite - Prices'!F24,'Commodity Prices'!$B$9:$B$2500,1)+
SUMIFS('Commodity Prices'!$H$9:$H$2500,'Commodity Prices'!$A$9:$A$2500,'Alumina and Bauxite - Prices'!F24,'Commodity Prices'!$B$9:$B$2500,2))
/(COUNTIFS('Commodity Prices'!$A$9:$A$2500,'Alumina and Bauxite - Prices'!E24,'Commodity Prices'!$B$9:$B$2500,3)+
COUNTIFS('Commodity Prices'!$A$9:$A$2500,'Alumina and Bauxite - Prices'!E24,'Commodity Prices'!$B$9:$B$2500,4)+
COUNTIFS('Commodity Prices'!$A$9:$A$2500,'Alumina and Bauxite - Prices'!F24,'Commodity Prices'!$B$9:$B$2500,1)+
COUNTIFS('Commodity Prices'!$A$9:$A$2500,'Alumina and Bauxite - Prices'!F24,'Commodity Prices'!$B$9:$B$2500,2))</f>
        <v>0</v>
      </c>
    </row>
    <row r="25" spans="1:23">
      <c r="A25" s="458">
        <f>LARGE('Commodity Prices'!C$159:C$902,45)</f>
        <v>43922</v>
      </c>
      <c r="B25" s="565">
        <f>SUMIF('Commodity Prices'!C$159:C$902,A25,'Commodity Prices'!F$159:F$902)</f>
        <v>448.50304503326066</v>
      </c>
      <c r="C25" s="489">
        <f>SUMIF('Commodity Prices'!C$159:C$902,A25,'Commodity Prices'!H$159:H$902)</f>
        <v>45.118476517951741</v>
      </c>
      <c r="D25" s="8"/>
      <c r="E25" s="70">
        <f t="shared" si="1"/>
        <v>2002</v>
      </c>
      <c r="F25" s="70">
        <f t="shared" si="2"/>
        <v>2003</v>
      </c>
      <c r="G25" s="478">
        <f t="shared" si="0"/>
        <v>2002</v>
      </c>
      <c r="H25" s="565">
        <f t="array" ref="H25">IF($G$6="Historic Calendar Year",IFERROR(AVERAGE(IF($G25=YEAR('Commodity Prices'!C$100:C$1000),'Commodity Prices'!F$100:F$1000)),"NA"),IFERROR(IF(J25=0,"NA",J25),"NA"))</f>
        <v>292.35166666666663</v>
      </c>
      <c r="I25" s="489"/>
      <c r="J25">
        <f>(SUMIFS('Commodity Prices'!$F$9:$F$2500,'Commodity Prices'!$A$9:$A$2500,'Alumina and Bauxite - Prices'!E25,'Commodity Prices'!$B$9:$B$2500,3)+
SUMIFS('Commodity Prices'!$F$9:$F$2500,'Commodity Prices'!$A$9:$A$2500,'Alumina and Bauxite - Prices'!E25,'Commodity Prices'!$B$9:$B$2500,4)+
SUMIFS('Commodity Prices'!$F$9:$F$2500,'Commodity Prices'!$A$9:$A$2500,'Alumina and Bauxite - Prices'!F25,'Commodity Prices'!$B$9:$B$2500,1)+
SUMIFS('Commodity Prices'!$F$9:$F$2500,'Commodity Prices'!$A$9:$A$2500,'Alumina and Bauxite - Prices'!F25,'Commodity Prices'!$B$9:$B$2500,2))
/(COUNTIFS('Commodity Prices'!$A$9:$A$2500,'Alumina and Bauxite - Prices'!E25,'Commodity Prices'!$B$9:$B$2500,3)+
COUNTIFS('Commodity Prices'!$A$9:$A$2500,'Alumina and Bauxite - Prices'!E25,'Commodity Prices'!$B$9:$B$2500,4)+
COUNTIFS('Commodity Prices'!$A$9:$A$2500,'Alumina and Bauxite - Prices'!F25,'Commodity Prices'!$B$9:$B$2500,1)+
COUNTIFS('Commodity Prices'!$A$9:$A$2500,'Alumina and Bauxite - Prices'!F25,'Commodity Prices'!$B$9:$B$2500,2))</f>
        <v>280.05083333333334</v>
      </c>
      <c r="K25" s="381">
        <f>(SUMIFS('Commodity Prices'!$H$9:$H$2500,'Commodity Prices'!$A$9:$A$2500,'Alumina and Bauxite - Prices'!E25,'Commodity Prices'!$B$9:$B$2500,3)+
SUMIFS('Commodity Prices'!$H$9:$H$2500,'Commodity Prices'!$A$9:$A$2500,'Alumina and Bauxite - Prices'!E25,'Commodity Prices'!$B$9:$B$2500,4)+
SUMIFS('Commodity Prices'!$H$9:$H$2500,'Commodity Prices'!$A$9:$A$2500,'Alumina and Bauxite - Prices'!F25,'Commodity Prices'!$B$9:$B$2500,1)+
SUMIFS('Commodity Prices'!$H$9:$H$2500,'Commodity Prices'!$A$9:$A$2500,'Alumina and Bauxite - Prices'!F25,'Commodity Prices'!$B$9:$B$2500,2))
/(COUNTIFS('Commodity Prices'!$A$9:$A$2500,'Alumina and Bauxite - Prices'!E25,'Commodity Prices'!$B$9:$B$2500,3)+
COUNTIFS('Commodity Prices'!$A$9:$A$2500,'Alumina and Bauxite - Prices'!E25,'Commodity Prices'!$B$9:$B$2500,4)+
COUNTIFS('Commodity Prices'!$A$9:$A$2500,'Alumina and Bauxite - Prices'!F25,'Commodity Prices'!$B$9:$B$2500,1)+
COUNTIFS('Commodity Prices'!$A$9:$A$2500,'Alumina and Bauxite - Prices'!F25,'Commodity Prices'!$B$9:$B$2500,2))</f>
        <v>0</v>
      </c>
    </row>
    <row r="26" spans="1:23">
      <c r="A26" s="422">
        <f>LARGE('Commodity Prices'!C$159:C$902,44)</f>
        <v>43952</v>
      </c>
      <c r="B26" s="1184">
        <f>SUMIF('Commodity Prices'!C$159:C$902,A26,'Commodity Prices'!F$159:F$902)</f>
        <v>352.48516437550927</v>
      </c>
      <c r="C26" s="488">
        <f>SUMIF('Commodity Prices'!C$159:C$902,A26,'Commodity Prices'!H$159:H$902)</f>
        <v>44.428343689140611</v>
      </c>
      <c r="D26" s="8"/>
      <c r="E26" s="70">
        <f t="shared" si="1"/>
        <v>2003</v>
      </c>
      <c r="F26" s="70">
        <f t="shared" si="2"/>
        <v>2004</v>
      </c>
      <c r="G26" s="477">
        <f t="shared" si="0"/>
        <v>2003</v>
      </c>
      <c r="H26" s="1184">
        <f t="array" ref="H26">IF($G$6="Historic Calendar Year",IFERROR(AVERAGE(IF($G26=YEAR('Commodity Prices'!C$100:C$1000),'Commodity Prices'!F$100:F$1000)),"NA"),IFERROR(IF(J26=0,"NA",J26),"NA"))</f>
        <v>271.79333333333335</v>
      </c>
      <c r="I26" s="488"/>
      <c r="J26">
        <f>(SUMIFS('Commodity Prices'!$F$9:$F$2500,'Commodity Prices'!$A$9:$A$2500,'Alumina and Bauxite - Prices'!E26,'Commodity Prices'!$B$9:$B$2500,3)+
SUMIFS('Commodity Prices'!$F$9:$F$2500,'Commodity Prices'!$A$9:$A$2500,'Alumina and Bauxite - Prices'!E26,'Commodity Prices'!$B$9:$B$2500,4)+
SUMIFS('Commodity Prices'!$F$9:$F$2500,'Commodity Prices'!$A$9:$A$2500,'Alumina and Bauxite - Prices'!F26,'Commodity Prices'!$B$9:$B$2500,1)+
SUMIFS('Commodity Prices'!$F$9:$F$2500,'Commodity Prices'!$A$9:$A$2500,'Alumina and Bauxite - Prices'!F26,'Commodity Prices'!$B$9:$B$2500,2))
/(COUNTIFS('Commodity Prices'!$A$9:$A$2500,'Alumina and Bauxite - Prices'!E26,'Commodity Prices'!$B$9:$B$2500,3)+
COUNTIFS('Commodity Prices'!$A$9:$A$2500,'Alumina and Bauxite - Prices'!E26,'Commodity Prices'!$B$9:$B$2500,4)+
COUNTIFS('Commodity Prices'!$A$9:$A$2500,'Alumina and Bauxite - Prices'!F26,'Commodity Prices'!$B$9:$B$2500,1)+
COUNTIFS('Commodity Prices'!$A$9:$A$2500,'Alumina and Bauxite - Prices'!F26,'Commodity Prices'!$B$9:$B$2500,2))</f>
        <v>278.39132656708955</v>
      </c>
      <c r="K26" s="381">
        <f>(SUMIFS('Commodity Prices'!$H$9:$H$2500,'Commodity Prices'!$A$9:$A$2500,'Alumina and Bauxite - Prices'!E26,'Commodity Prices'!$B$9:$B$2500,3)+
SUMIFS('Commodity Prices'!$H$9:$H$2500,'Commodity Prices'!$A$9:$A$2500,'Alumina and Bauxite - Prices'!E26,'Commodity Prices'!$B$9:$B$2500,4)+
SUMIFS('Commodity Prices'!$H$9:$H$2500,'Commodity Prices'!$A$9:$A$2500,'Alumina and Bauxite - Prices'!F26,'Commodity Prices'!$B$9:$B$2500,1)+
SUMIFS('Commodity Prices'!$H$9:$H$2500,'Commodity Prices'!$A$9:$A$2500,'Alumina and Bauxite - Prices'!F26,'Commodity Prices'!$B$9:$B$2500,2))
/(COUNTIFS('Commodity Prices'!$A$9:$A$2500,'Alumina and Bauxite - Prices'!E26,'Commodity Prices'!$B$9:$B$2500,3)+
COUNTIFS('Commodity Prices'!$A$9:$A$2500,'Alumina and Bauxite - Prices'!E26,'Commodity Prices'!$B$9:$B$2500,4)+
COUNTIFS('Commodity Prices'!$A$9:$A$2500,'Alumina and Bauxite - Prices'!F26,'Commodity Prices'!$B$9:$B$2500,1)+
COUNTIFS('Commodity Prices'!$A$9:$A$2500,'Alumina and Bauxite - Prices'!F26,'Commodity Prices'!$B$9:$B$2500,2))</f>
        <v>0</v>
      </c>
    </row>
    <row r="27" spans="1:23">
      <c r="A27" s="421">
        <f>LARGE('Commodity Prices'!C$159:C$902,43)</f>
        <v>43983</v>
      </c>
      <c r="B27" s="565">
        <f>SUMIF('Commodity Prices'!C$159:C$902,A27,'Commodity Prices'!F$159:F$902)</f>
        <v>350.1342131681975</v>
      </c>
      <c r="C27" s="489">
        <f>SUMIF('Commodity Prices'!C$159:C$902,A27,'Commodity Prices'!H$159:H$902)</f>
        <v>39.597079090549734</v>
      </c>
      <c r="D27" s="8"/>
      <c r="E27" s="70">
        <f t="shared" si="1"/>
        <v>2004</v>
      </c>
      <c r="F27" s="70">
        <f t="shared" si="2"/>
        <v>2005</v>
      </c>
      <c r="G27" s="478">
        <f t="shared" si="0"/>
        <v>2004</v>
      </c>
      <c r="H27" s="565">
        <f t="array" ref="H27">IF($G$6="Historic Calendar Year",IFERROR(AVERAGE(IF($G27=YEAR('Commodity Prices'!C$100:C$1000),'Commodity Prices'!F$100:F$1000)),"NA"),IFERROR(IF(J27=0,"NA",J27),"NA"))</f>
        <v>299.24602465354627</v>
      </c>
      <c r="I27" s="489"/>
      <c r="J27">
        <f>(SUMIFS('Commodity Prices'!$F$9:$F$2500,'Commodity Prices'!$A$9:$A$2500,'Alumina and Bauxite - Prices'!E27,'Commodity Prices'!$B$9:$B$2500,3)+
SUMIFS('Commodity Prices'!$F$9:$F$2500,'Commodity Prices'!$A$9:$A$2500,'Alumina and Bauxite - Prices'!E27,'Commodity Prices'!$B$9:$B$2500,4)+
SUMIFS('Commodity Prices'!$F$9:$F$2500,'Commodity Prices'!$A$9:$A$2500,'Alumina and Bauxite - Prices'!F27,'Commodity Prices'!$B$9:$B$2500,1)+
SUMIFS('Commodity Prices'!$F$9:$F$2500,'Commodity Prices'!$A$9:$A$2500,'Alumina and Bauxite - Prices'!F27,'Commodity Prices'!$B$9:$B$2500,2))
/(COUNTIFS('Commodity Prices'!$A$9:$A$2500,'Alumina and Bauxite - Prices'!E27,'Commodity Prices'!$B$9:$B$2500,3)+
COUNTIFS('Commodity Prices'!$A$9:$A$2500,'Alumina and Bauxite - Prices'!E27,'Commodity Prices'!$B$9:$B$2500,4)+
COUNTIFS('Commodity Prices'!$A$9:$A$2500,'Alumina and Bauxite - Prices'!F27,'Commodity Prices'!$B$9:$B$2500,1)+
COUNTIFS('Commodity Prices'!$A$9:$A$2500,'Alumina and Bauxite - Prices'!F27,'Commodity Prices'!$B$9:$B$2500,2))</f>
        <v>310.72246656655381</v>
      </c>
      <c r="K27" s="381">
        <f>(SUMIFS('Commodity Prices'!$H$9:$H$2500,'Commodity Prices'!$A$9:$A$2500,'Alumina and Bauxite - Prices'!E27,'Commodity Prices'!$B$9:$B$2500,3)+
SUMIFS('Commodity Prices'!$H$9:$H$2500,'Commodity Prices'!$A$9:$A$2500,'Alumina and Bauxite - Prices'!E27,'Commodity Prices'!$B$9:$B$2500,4)+
SUMIFS('Commodity Prices'!$H$9:$H$2500,'Commodity Prices'!$A$9:$A$2500,'Alumina and Bauxite - Prices'!F27,'Commodity Prices'!$B$9:$B$2500,1)+
SUMIFS('Commodity Prices'!$H$9:$H$2500,'Commodity Prices'!$A$9:$A$2500,'Alumina and Bauxite - Prices'!F27,'Commodity Prices'!$B$9:$B$2500,2))
/(COUNTIFS('Commodity Prices'!$A$9:$A$2500,'Alumina and Bauxite - Prices'!E27,'Commodity Prices'!$B$9:$B$2500,3)+
COUNTIFS('Commodity Prices'!$A$9:$A$2500,'Alumina and Bauxite - Prices'!E27,'Commodity Prices'!$B$9:$B$2500,4)+
COUNTIFS('Commodity Prices'!$A$9:$A$2500,'Alumina and Bauxite - Prices'!F27,'Commodity Prices'!$B$9:$B$2500,1)+
COUNTIFS('Commodity Prices'!$A$9:$A$2500,'Alumina and Bauxite - Prices'!F27,'Commodity Prices'!$B$9:$B$2500,2))</f>
        <v>0</v>
      </c>
    </row>
    <row r="28" spans="1:23">
      <c r="A28" s="422">
        <f>LARGE('Commodity Prices'!C$159:C$902,42)</f>
        <v>44013</v>
      </c>
      <c r="B28" s="1184">
        <f>SUMIF('Commodity Prices'!C$159:C$902,A28,'Commodity Prices'!F$159:F$902)</f>
        <v>356.87814281045519</v>
      </c>
      <c r="C28" s="488">
        <f>SUMIF('Commodity Prices'!C$159:C$902,A28,'Commodity Prices'!H$159:H$902)</f>
        <v>39.167647865288366</v>
      </c>
      <c r="D28" s="8"/>
      <c r="E28" s="70">
        <f t="shared" si="1"/>
        <v>2005</v>
      </c>
      <c r="F28" s="70">
        <f t="shared" si="2"/>
        <v>2006</v>
      </c>
      <c r="G28" s="477">
        <f t="shared" si="0"/>
        <v>2005</v>
      </c>
      <c r="H28" s="1184">
        <f t="array" ref="H28">IF($G$6="Historic Calendar Year",IFERROR(AVERAGE(IF($G28=YEAR('Commodity Prices'!C$100:C$1000),'Commodity Prices'!F$100:F$1000)),"NA"),IFERROR(IF(J28=0,"NA",J28),"NA"))</f>
        <v>323.2258039568531</v>
      </c>
      <c r="I28" s="488"/>
      <c r="J28">
        <f>(SUMIFS('Commodity Prices'!$F$9:$F$2500,'Commodity Prices'!$A$9:$A$2500,'Alumina and Bauxite - Prices'!E28,'Commodity Prices'!$B$9:$B$2500,3)+
SUMIFS('Commodity Prices'!$F$9:$F$2500,'Commodity Prices'!$A$9:$A$2500,'Alumina and Bauxite - Prices'!E28,'Commodity Prices'!$B$9:$B$2500,4)+
SUMIFS('Commodity Prices'!$F$9:$F$2500,'Commodity Prices'!$A$9:$A$2500,'Alumina and Bauxite - Prices'!F28,'Commodity Prices'!$B$9:$B$2500,1)+
SUMIFS('Commodity Prices'!$F$9:$F$2500,'Commodity Prices'!$A$9:$A$2500,'Alumina and Bauxite - Prices'!F28,'Commodity Prices'!$B$9:$B$2500,2))
/(COUNTIFS('Commodity Prices'!$A$9:$A$2500,'Alumina and Bauxite - Prices'!E28,'Commodity Prices'!$B$9:$B$2500,3)+
COUNTIFS('Commodity Prices'!$A$9:$A$2500,'Alumina and Bauxite - Prices'!E28,'Commodity Prices'!$B$9:$B$2500,4)+
COUNTIFS('Commodity Prices'!$A$9:$A$2500,'Alumina and Bauxite - Prices'!F28,'Commodity Prices'!$B$9:$B$2500,1)+
COUNTIFS('Commodity Prices'!$A$9:$A$2500,'Alumina and Bauxite - Prices'!F28,'Commodity Prices'!$B$9:$B$2500,2))</f>
        <v>364.84053547675597</v>
      </c>
      <c r="K28" s="381">
        <f>(SUMIFS('Commodity Prices'!$H$9:$H$2500,'Commodity Prices'!$A$9:$A$2500,'Alumina and Bauxite - Prices'!E28,'Commodity Prices'!$B$9:$B$2500,3)+
SUMIFS('Commodity Prices'!$H$9:$H$2500,'Commodity Prices'!$A$9:$A$2500,'Alumina and Bauxite - Prices'!E28,'Commodity Prices'!$B$9:$B$2500,4)+
SUMIFS('Commodity Prices'!$H$9:$H$2500,'Commodity Prices'!$A$9:$A$2500,'Alumina and Bauxite - Prices'!F28,'Commodity Prices'!$B$9:$B$2500,1)+
SUMIFS('Commodity Prices'!$H$9:$H$2500,'Commodity Prices'!$A$9:$A$2500,'Alumina and Bauxite - Prices'!F28,'Commodity Prices'!$B$9:$B$2500,2))
/(COUNTIFS('Commodity Prices'!$A$9:$A$2500,'Alumina and Bauxite - Prices'!E28,'Commodity Prices'!$B$9:$B$2500,3)+
COUNTIFS('Commodity Prices'!$A$9:$A$2500,'Alumina and Bauxite - Prices'!E28,'Commodity Prices'!$B$9:$B$2500,4)+
COUNTIFS('Commodity Prices'!$A$9:$A$2500,'Alumina and Bauxite - Prices'!F28,'Commodity Prices'!$B$9:$B$2500,1)+
COUNTIFS('Commodity Prices'!$A$9:$A$2500,'Alumina and Bauxite - Prices'!F28,'Commodity Prices'!$B$9:$B$2500,2))</f>
        <v>0</v>
      </c>
    </row>
    <row r="29" spans="1:23">
      <c r="A29" s="421">
        <f>LARGE('Commodity Prices'!C$159:C$902,41)</f>
        <v>44044</v>
      </c>
      <c r="B29" s="565">
        <f>SUMIF('Commodity Prices'!C$159:C$902,A29,'Commodity Prices'!F$159:F$902)</f>
        <v>372.44613450102361</v>
      </c>
      <c r="C29" s="489">
        <f>SUMIF('Commodity Prices'!C$159:C$902,A29,'Commodity Prices'!H$159:H$902)</f>
        <v>38.297941623417472</v>
      </c>
      <c r="D29" s="8"/>
      <c r="E29" s="70">
        <f t="shared" si="1"/>
        <v>2006</v>
      </c>
      <c r="F29" s="70">
        <f t="shared" si="2"/>
        <v>2007</v>
      </c>
      <c r="G29" s="478">
        <f t="shared" si="0"/>
        <v>2006</v>
      </c>
      <c r="H29" s="565">
        <f t="array" ref="H29">IF($G$6="Historic Calendar Year",IFERROR(AVERAGE(IF($G29=YEAR('Commodity Prices'!C$100:C$1000),'Commodity Prices'!F$100:F$1000)),"NA"),IFERROR(IF(J29=0,"NA",J29),"NA"))</f>
        <v>401.22070958927651</v>
      </c>
      <c r="I29" s="489"/>
      <c r="J29">
        <f>(SUMIFS('Commodity Prices'!$F$9:$F$2500,'Commodity Prices'!$A$9:$A$2500,'Alumina and Bauxite - Prices'!E29,'Commodity Prices'!$B$9:$B$2500,3)+
SUMIFS('Commodity Prices'!$F$9:$F$2500,'Commodity Prices'!$A$9:$A$2500,'Alumina and Bauxite - Prices'!E29,'Commodity Prices'!$B$9:$B$2500,4)+
SUMIFS('Commodity Prices'!$F$9:$F$2500,'Commodity Prices'!$A$9:$A$2500,'Alumina and Bauxite - Prices'!F29,'Commodity Prices'!$B$9:$B$2500,1)+
SUMIFS('Commodity Prices'!$F$9:$F$2500,'Commodity Prices'!$A$9:$A$2500,'Alumina and Bauxite - Prices'!F29,'Commodity Prices'!$B$9:$B$2500,2))
/(COUNTIFS('Commodity Prices'!$A$9:$A$2500,'Alumina and Bauxite - Prices'!E29,'Commodity Prices'!$B$9:$B$2500,3)+
COUNTIFS('Commodity Prices'!$A$9:$A$2500,'Alumina and Bauxite - Prices'!E29,'Commodity Prices'!$B$9:$B$2500,4)+
COUNTIFS('Commodity Prices'!$A$9:$A$2500,'Alumina and Bauxite - Prices'!F29,'Commodity Prices'!$B$9:$B$2500,1)+
COUNTIFS('Commodity Prices'!$A$9:$A$2500,'Alumina and Bauxite - Prices'!F29,'Commodity Prices'!$B$9:$B$2500,2))</f>
        <v>404.26768488452268</v>
      </c>
      <c r="K29" s="381">
        <f>(SUMIFS('Commodity Prices'!$H$9:$H$2500,'Commodity Prices'!$A$9:$A$2500,'Alumina and Bauxite - Prices'!E29,'Commodity Prices'!$B$9:$B$2500,3)+
SUMIFS('Commodity Prices'!$H$9:$H$2500,'Commodity Prices'!$A$9:$A$2500,'Alumina and Bauxite - Prices'!E29,'Commodity Prices'!$B$9:$B$2500,4)+
SUMIFS('Commodity Prices'!$H$9:$H$2500,'Commodity Prices'!$A$9:$A$2500,'Alumina and Bauxite - Prices'!F29,'Commodity Prices'!$B$9:$B$2500,1)+
SUMIFS('Commodity Prices'!$H$9:$H$2500,'Commodity Prices'!$A$9:$A$2500,'Alumina and Bauxite - Prices'!F29,'Commodity Prices'!$B$9:$B$2500,2))
/(COUNTIFS('Commodity Prices'!$A$9:$A$2500,'Alumina and Bauxite - Prices'!E29,'Commodity Prices'!$B$9:$B$2500,3)+
COUNTIFS('Commodity Prices'!$A$9:$A$2500,'Alumina and Bauxite - Prices'!E29,'Commodity Prices'!$B$9:$B$2500,4)+
COUNTIFS('Commodity Prices'!$A$9:$A$2500,'Alumina and Bauxite - Prices'!F29,'Commodity Prices'!$B$9:$B$2500,1)+
COUNTIFS('Commodity Prices'!$A$9:$A$2500,'Alumina and Bauxite - Prices'!F29,'Commodity Prices'!$B$9:$B$2500,2))</f>
        <v>0</v>
      </c>
    </row>
    <row r="30" spans="1:23">
      <c r="A30" s="422">
        <f>LARGE('Commodity Prices'!C$159:C$902,40)</f>
        <v>44075</v>
      </c>
      <c r="B30" s="1184">
        <f>SUMIF('Commodity Prices'!C$159:C$902,A30,'Commodity Prices'!F$159:F$902)</f>
        <v>374.6944602262173</v>
      </c>
      <c r="C30" s="488">
        <f>SUMIF('Commodity Prices'!C$159:C$902,A30,'Commodity Prices'!H$159:H$902)</f>
        <v>38.435586857400921</v>
      </c>
      <c r="D30" s="8"/>
      <c r="E30" s="70">
        <f t="shared" si="1"/>
        <v>2007</v>
      </c>
      <c r="F30" s="70">
        <f t="shared" si="2"/>
        <v>2008</v>
      </c>
      <c r="G30" s="477">
        <f t="shared" si="0"/>
        <v>2007</v>
      </c>
      <c r="H30" s="1184">
        <f t="array" ref="H30">IF($G$6="Historic Calendar Year",IFERROR(AVERAGE(IF($G30=YEAR('Commodity Prices'!C$100:C$1000),'Commodity Prices'!F$100:F$1000)),"NA"),IFERROR(IF(J30=0,"NA",J30),"NA"))</f>
        <v>387.61488477893232</v>
      </c>
      <c r="I30" s="488"/>
      <c r="J30">
        <f>(SUMIFS('Commodity Prices'!$F$9:$F$2500,'Commodity Prices'!$A$9:$A$2500,'Alumina and Bauxite - Prices'!E30,'Commodity Prices'!$B$9:$B$2500,3)+
SUMIFS('Commodity Prices'!$F$9:$F$2500,'Commodity Prices'!$A$9:$A$2500,'Alumina and Bauxite - Prices'!E30,'Commodity Prices'!$B$9:$B$2500,4)+
SUMIFS('Commodity Prices'!$F$9:$F$2500,'Commodity Prices'!$A$9:$A$2500,'Alumina and Bauxite - Prices'!F30,'Commodity Prices'!$B$9:$B$2500,1)+
SUMIFS('Commodity Prices'!$F$9:$F$2500,'Commodity Prices'!$A$9:$A$2500,'Alumina and Bauxite - Prices'!F30,'Commodity Prices'!$B$9:$B$2500,2))
/(COUNTIFS('Commodity Prices'!$A$9:$A$2500,'Alumina and Bauxite - Prices'!E30,'Commodity Prices'!$B$9:$B$2500,3)+
COUNTIFS('Commodity Prices'!$A$9:$A$2500,'Alumina and Bauxite - Prices'!E30,'Commodity Prices'!$B$9:$B$2500,4)+
COUNTIFS('Commodity Prices'!$A$9:$A$2500,'Alumina and Bauxite - Prices'!F30,'Commodity Prices'!$B$9:$B$2500,1)+
COUNTIFS('Commodity Prices'!$A$9:$A$2500,'Alumina and Bauxite - Prices'!F30,'Commodity Prices'!$B$9:$B$2500,2))</f>
        <v>367.91132611812577</v>
      </c>
      <c r="K30" s="381">
        <f>(SUMIFS('Commodity Prices'!$H$9:$H$2500,'Commodity Prices'!$A$9:$A$2500,'Alumina and Bauxite - Prices'!E30,'Commodity Prices'!$B$9:$B$2500,3)+
SUMIFS('Commodity Prices'!$H$9:$H$2500,'Commodity Prices'!$A$9:$A$2500,'Alumina and Bauxite - Prices'!E30,'Commodity Prices'!$B$9:$B$2500,4)+
SUMIFS('Commodity Prices'!$H$9:$H$2500,'Commodity Prices'!$A$9:$A$2500,'Alumina and Bauxite - Prices'!F30,'Commodity Prices'!$B$9:$B$2500,1)+
SUMIFS('Commodity Prices'!$H$9:$H$2500,'Commodity Prices'!$A$9:$A$2500,'Alumina and Bauxite - Prices'!F30,'Commodity Prices'!$B$9:$B$2500,2))
/(COUNTIFS('Commodity Prices'!$A$9:$A$2500,'Alumina and Bauxite - Prices'!E30,'Commodity Prices'!$B$9:$B$2500,3)+
COUNTIFS('Commodity Prices'!$A$9:$A$2500,'Alumina and Bauxite - Prices'!E30,'Commodity Prices'!$B$9:$B$2500,4)+
COUNTIFS('Commodity Prices'!$A$9:$A$2500,'Alumina and Bauxite - Prices'!F30,'Commodity Prices'!$B$9:$B$2500,1)+
COUNTIFS('Commodity Prices'!$A$9:$A$2500,'Alumina and Bauxite - Prices'!F30,'Commodity Prices'!$B$9:$B$2500,2))</f>
        <v>0</v>
      </c>
    </row>
    <row r="31" spans="1:23">
      <c r="A31" s="421">
        <f>LARGE('Commodity Prices'!C$159:C$902,39)</f>
        <v>44105</v>
      </c>
      <c r="B31" s="565">
        <f>SUMIF('Commodity Prices'!C$159:C$902,A31,'Commodity Prices'!F$159:F$902)</f>
        <v>378.71733743229407</v>
      </c>
      <c r="C31" s="489">
        <f>SUMIF('Commodity Prices'!C$159:C$902,A31,'Commodity Prices'!H$159:H$902)</f>
        <v>39.533456598634416</v>
      </c>
      <c r="D31" s="8"/>
      <c r="E31" s="70">
        <f t="shared" si="1"/>
        <v>2008</v>
      </c>
      <c r="F31" s="70">
        <f t="shared" si="2"/>
        <v>2009</v>
      </c>
      <c r="G31" s="478">
        <f t="shared" si="0"/>
        <v>2008</v>
      </c>
      <c r="H31" s="565">
        <f t="array" ref="H31">IF($G$6="Historic Calendar Year",IFERROR(AVERAGE(IF($G31=YEAR('Commodity Prices'!C$100:C$1000),'Commodity Prices'!F$100:F$1000)),"NA"),IFERROR(IF(J31=0,"NA",J31),"NA"))</f>
        <v>399.64823109921559</v>
      </c>
      <c r="I31" s="489"/>
      <c r="J31">
        <f>(SUMIFS('Commodity Prices'!$F$9:$F$2500,'Commodity Prices'!$A$9:$A$2500,'Alumina and Bauxite - Prices'!E31,'Commodity Prices'!$B$9:$B$2500,3)+
SUMIFS('Commodity Prices'!$F$9:$F$2500,'Commodity Prices'!$A$9:$A$2500,'Alumina and Bauxite - Prices'!E31,'Commodity Prices'!$B$9:$B$2500,4)+
SUMIFS('Commodity Prices'!$F$9:$F$2500,'Commodity Prices'!$A$9:$A$2500,'Alumina and Bauxite - Prices'!F31,'Commodity Prices'!$B$9:$B$2500,1)+
SUMIFS('Commodity Prices'!$F$9:$F$2500,'Commodity Prices'!$A$9:$A$2500,'Alumina and Bauxite - Prices'!F31,'Commodity Prices'!$B$9:$B$2500,2))
/(COUNTIFS('Commodity Prices'!$A$9:$A$2500,'Alumina and Bauxite - Prices'!E31,'Commodity Prices'!$B$9:$B$2500,3)+
COUNTIFS('Commodity Prices'!$A$9:$A$2500,'Alumina and Bauxite - Prices'!E31,'Commodity Prices'!$B$9:$B$2500,4)+
COUNTIFS('Commodity Prices'!$A$9:$A$2500,'Alumina and Bauxite - Prices'!F31,'Commodity Prices'!$B$9:$B$2500,1)+
COUNTIFS('Commodity Prices'!$A$9:$A$2500,'Alumina and Bauxite - Prices'!F31,'Commodity Prices'!$B$9:$B$2500,2))</f>
        <v>368.6564883912045</v>
      </c>
      <c r="K31" s="381">
        <f>(SUMIFS('Commodity Prices'!$H$9:$H$2500,'Commodity Prices'!$A$9:$A$2500,'Alumina and Bauxite - Prices'!E31,'Commodity Prices'!$B$9:$B$2500,3)+
SUMIFS('Commodity Prices'!$H$9:$H$2500,'Commodity Prices'!$A$9:$A$2500,'Alumina and Bauxite - Prices'!E31,'Commodity Prices'!$B$9:$B$2500,4)+
SUMIFS('Commodity Prices'!$H$9:$H$2500,'Commodity Prices'!$A$9:$A$2500,'Alumina and Bauxite - Prices'!F31,'Commodity Prices'!$B$9:$B$2500,1)+
SUMIFS('Commodity Prices'!$H$9:$H$2500,'Commodity Prices'!$A$9:$A$2500,'Alumina and Bauxite - Prices'!F31,'Commodity Prices'!$B$9:$B$2500,2))
/(COUNTIFS('Commodity Prices'!$A$9:$A$2500,'Alumina and Bauxite - Prices'!E31,'Commodity Prices'!$B$9:$B$2500,3)+
COUNTIFS('Commodity Prices'!$A$9:$A$2500,'Alumina and Bauxite - Prices'!E31,'Commodity Prices'!$B$9:$B$2500,4)+
COUNTIFS('Commodity Prices'!$A$9:$A$2500,'Alumina and Bauxite - Prices'!F31,'Commodity Prices'!$B$9:$B$2500,1)+
COUNTIFS('Commodity Prices'!$A$9:$A$2500,'Alumina and Bauxite - Prices'!F31,'Commodity Prices'!$B$9:$B$2500,2))</f>
        <v>0</v>
      </c>
    </row>
    <row r="32" spans="1:23">
      <c r="A32" s="422">
        <f>LARGE('Commodity Prices'!C$159:C$902,38)</f>
        <v>44136</v>
      </c>
      <c r="B32" s="1184">
        <f>SUMIF('Commodity Prices'!C$159:C$902,A32,'Commodity Prices'!F$159:F$902)</f>
        <v>373.37707268862522</v>
      </c>
      <c r="C32" s="488">
        <f>SUMIF('Commodity Prices'!C$159:C$902,A32,'Commodity Prices'!H$159:H$902)</f>
        <v>38.615834632933122</v>
      </c>
      <c r="D32" s="8"/>
      <c r="E32" s="70">
        <f t="shared" si="1"/>
        <v>2009</v>
      </c>
      <c r="F32" s="70">
        <f t="shared" si="2"/>
        <v>2010</v>
      </c>
      <c r="G32" s="477">
        <f t="shared" si="0"/>
        <v>2009</v>
      </c>
      <c r="H32" s="1184">
        <f t="array" ref="H32">IF($G$6="Historic Calendar Year",IFERROR(AVERAGE(IF($G32=YEAR('Commodity Prices'!C$100:C$1000),'Commodity Prices'!F$100:F$1000)),"NA"),IFERROR(IF(J32=0,"NA",J32),"NA"))</f>
        <v>287.59035009991879</v>
      </c>
      <c r="I32" s="488"/>
      <c r="J32">
        <f>(SUMIFS('Commodity Prices'!$F$9:$F$2500,'Commodity Prices'!$A$9:$A$2500,'Alumina and Bauxite - Prices'!E32,'Commodity Prices'!$B$9:$B$2500,3)+
SUMIFS('Commodity Prices'!$F$9:$F$2500,'Commodity Prices'!$A$9:$A$2500,'Alumina and Bauxite - Prices'!E32,'Commodity Prices'!$B$9:$B$2500,4)+
SUMIFS('Commodity Prices'!$F$9:$F$2500,'Commodity Prices'!$A$9:$A$2500,'Alumina and Bauxite - Prices'!F32,'Commodity Prices'!$B$9:$B$2500,1)+
SUMIFS('Commodity Prices'!$F$9:$F$2500,'Commodity Prices'!$A$9:$A$2500,'Alumina and Bauxite - Prices'!F32,'Commodity Prices'!$B$9:$B$2500,2))
/(COUNTIFS('Commodity Prices'!$A$9:$A$2500,'Alumina and Bauxite - Prices'!E32,'Commodity Prices'!$B$9:$B$2500,3)+
COUNTIFS('Commodity Prices'!$A$9:$A$2500,'Alumina and Bauxite - Prices'!E32,'Commodity Prices'!$B$9:$B$2500,4)+
COUNTIFS('Commodity Prices'!$A$9:$A$2500,'Alumina and Bauxite - Prices'!F32,'Commodity Prices'!$B$9:$B$2500,1)+
COUNTIFS('Commodity Prices'!$A$9:$A$2500,'Alumina and Bauxite - Prices'!F32,'Commodity Prices'!$B$9:$B$2500,2))</f>
        <v>301.05089307625826</v>
      </c>
      <c r="K32" s="381">
        <f>(SUMIFS('Commodity Prices'!$H$9:$H$2500,'Commodity Prices'!$A$9:$A$2500,'Alumina and Bauxite - Prices'!E32,'Commodity Prices'!$B$9:$B$2500,3)+
SUMIFS('Commodity Prices'!$H$9:$H$2500,'Commodity Prices'!$A$9:$A$2500,'Alumina and Bauxite - Prices'!E32,'Commodity Prices'!$B$9:$B$2500,4)+
SUMIFS('Commodity Prices'!$H$9:$H$2500,'Commodity Prices'!$A$9:$A$2500,'Alumina and Bauxite - Prices'!F32,'Commodity Prices'!$B$9:$B$2500,1)+
SUMIFS('Commodity Prices'!$H$9:$H$2500,'Commodity Prices'!$A$9:$A$2500,'Alumina and Bauxite - Prices'!F32,'Commodity Prices'!$B$9:$B$2500,2))
/(COUNTIFS('Commodity Prices'!$A$9:$A$2500,'Alumina and Bauxite - Prices'!E32,'Commodity Prices'!$B$9:$B$2500,3)+
COUNTIFS('Commodity Prices'!$A$9:$A$2500,'Alumina and Bauxite - Prices'!E32,'Commodity Prices'!$B$9:$B$2500,4)+
COUNTIFS('Commodity Prices'!$A$9:$A$2500,'Alumina and Bauxite - Prices'!F32,'Commodity Prices'!$B$9:$B$2500,1)+
COUNTIFS('Commodity Prices'!$A$9:$A$2500,'Alumina and Bauxite - Prices'!F32,'Commodity Prices'!$B$9:$B$2500,2))</f>
        <v>0</v>
      </c>
    </row>
    <row r="33" spans="1:12">
      <c r="A33" s="421">
        <f>LARGE('Commodity Prices'!C$159:C$902,37)</f>
        <v>44166</v>
      </c>
      <c r="B33" s="565">
        <f>SUMIF('Commodity Prices'!C$159:C$902,A33,'Commodity Prices'!F$159:F$902)</f>
        <v>369.11537463760158</v>
      </c>
      <c r="C33" s="489">
        <f>SUMIF('Commodity Prices'!C$159:C$902,A33,'Commodity Prices'!H$159:H$902)</f>
        <v>37.778571601204838</v>
      </c>
      <c r="D33" s="8"/>
      <c r="E33" s="70">
        <f t="shared" si="1"/>
        <v>2010</v>
      </c>
      <c r="F33" s="70">
        <f t="shared" si="2"/>
        <v>2011</v>
      </c>
      <c r="G33" s="478">
        <f t="shared" si="0"/>
        <v>2010</v>
      </c>
      <c r="H33" s="565">
        <f t="array" ref="H33">IF($G$6="Historic Calendar Year",IFERROR(AVERAGE(IF($G33=YEAR('Commodity Prices'!C$100:C$1000),'Commodity Prices'!F$100:F$1000)),"NA"),IFERROR(IF(J33=0,"NA",J33),"NA"))</f>
        <v>317.5226345655114</v>
      </c>
      <c r="I33" s="489"/>
      <c r="J33">
        <f>(SUMIFS('Commodity Prices'!$F$9:$F$2500,'Commodity Prices'!$A$9:$A$2500,'Alumina and Bauxite - Prices'!E33,'Commodity Prices'!$B$9:$B$2500,3)+
SUMIFS('Commodity Prices'!$F$9:$F$2500,'Commodity Prices'!$A$9:$A$2500,'Alumina and Bauxite - Prices'!E33,'Commodity Prices'!$B$9:$B$2500,4)+
SUMIFS('Commodity Prices'!$F$9:$F$2500,'Commodity Prices'!$A$9:$A$2500,'Alumina and Bauxite - Prices'!F33,'Commodity Prices'!$B$9:$B$2500,1)+
SUMIFS('Commodity Prices'!$F$9:$F$2500,'Commodity Prices'!$A$9:$A$2500,'Alumina and Bauxite - Prices'!F33,'Commodity Prices'!$B$9:$B$2500,2))
/(COUNTIFS('Commodity Prices'!$A$9:$A$2500,'Alumina and Bauxite - Prices'!E33,'Commodity Prices'!$B$9:$B$2500,3)+
COUNTIFS('Commodity Prices'!$A$9:$A$2500,'Alumina and Bauxite - Prices'!E33,'Commodity Prices'!$B$9:$B$2500,4)+
COUNTIFS('Commodity Prices'!$A$9:$A$2500,'Alumina and Bauxite - Prices'!F33,'Commodity Prices'!$B$9:$B$2500,1)+
COUNTIFS('Commodity Prices'!$A$9:$A$2500,'Alumina and Bauxite - Prices'!F33,'Commodity Prices'!$B$9:$B$2500,2))</f>
        <v>326.01683719070633</v>
      </c>
      <c r="K33" s="381">
        <f>(SUMIFS('Commodity Prices'!$H$9:$H$2500,'Commodity Prices'!$A$9:$A$2500,'Alumina and Bauxite - Prices'!E33,'Commodity Prices'!$B$9:$B$2500,3)+
SUMIFS('Commodity Prices'!$H$9:$H$2500,'Commodity Prices'!$A$9:$A$2500,'Alumina and Bauxite - Prices'!E33,'Commodity Prices'!$B$9:$B$2500,4)+
SUMIFS('Commodity Prices'!$H$9:$H$2500,'Commodity Prices'!$A$9:$A$2500,'Alumina and Bauxite - Prices'!F33,'Commodity Prices'!$B$9:$B$2500,1)+
SUMIFS('Commodity Prices'!$H$9:$H$2500,'Commodity Prices'!$A$9:$A$2500,'Alumina and Bauxite - Prices'!F33,'Commodity Prices'!$B$9:$B$2500,2))
/(COUNTIFS('Commodity Prices'!$A$9:$A$2500,'Alumina and Bauxite - Prices'!E33,'Commodity Prices'!$B$9:$B$2500,3)+
COUNTIFS('Commodity Prices'!$A$9:$A$2500,'Alumina and Bauxite - Prices'!E33,'Commodity Prices'!$B$9:$B$2500,4)+
COUNTIFS('Commodity Prices'!$A$9:$A$2500,'Alumina and Bauxite - Prices'!F33,'Commodity Prices'!$B$9:$B$2500,1)+
COUNTIFS('Commodity Prices'!$A$9:$A$2500,'Alumina and Bauxite - Prices'!F33,'Commodity Prices'!$B$9:$B$2500,2))</f>
        <v>0</v>
      </c>
    </row>
    <row r="34" spans="1:12">
      <c r="A34" s="422">
        <f>LARGE('Commodity Prices'!C$159:C$902,36)</f>
        <v>44197</v>
      </c>
      <c r="B34" s="1184">
        <f>SUMIF('Commodity Prices'!C$159:C$902,A34,'Commodity Prices'!F$159:F$902)</f>
        <v>376.60660378402264</v>
      </c>
      <c r="C34" s="488">
        <f>SUMIF('Commodity Prices'!C$159:C$902,A34,'Commodity Prices'!H$159:H$902)</f>
        <v>36.915536705220518</v>
      </c>
      <c r="D34" s="8"/>
      <c r="E34" s="70">
        <f t="shared" si="1"/>
        <v>2011</v>
      </c>
      <c r="F34" s="70">
        <f t="shared" si="2"/>
        <v>2012</v>
      </c>
      <c r="G34" s="477">
        <f t="shared" si="0"/>
        <v>2011</v>
      </c>
      <c r="H34" s="1184">
        <f t="array" ref="H34">IF($G$6="Historic Calendar Year",IFERROR(AVERAGE(IF($G34=YEAR('Commodity Prices'!C$100:C$1000),'Commodity Prices'!F$100:F$1000)),"NA"),IFERROR(IF(J34=0,"NA",J34),"NA"))</f>
        <v>337.48715453677306</v>
      </c>
      <c r="I34" s="488"/>
      <c r="J34">
        <f>(SUMIFS('Commodity Prices'!$F$9:$F$2500,'Commodity Prices'!$A$9:$A$2500,'Alumina and Bauxite - Prices'!E34,'Commodity Prices'!$B$9:$B$2500,3)+
SUMIFS('Commodity Prices'!$F$9:$F$2500,'Commodity Prices'!$A$9:$A$2500,'Alumina and Bauxite - Prices'!E34,'Commodity Prices'!$B$9:$B$2500,4)+
SUMIFS('Commodity Prices'!$F$9:$F$2500,'Commodity Prices'!$A$9:$A$2500,'Alumina and Bauxite - Prices'!F34,'Commodity Prices'!$B$9:$B$2500,1)+
SUMIFS('Commodity Prices'!$F$9:$F$2500,'Commodity Prices'!$A$9:$A$2500,'Alumina and Bauxite - Prices'!F34,'Commodity Prices'!$B$9:$B$2500,2))
/(COUNTIFS('Commodity Prices'!$A$9:$A$2500,'Alumina and Bauxite - Prices'!E34,'Commodity Prices'!$B$9:$B$2500,3)+
COUNTIFS('Commodity Prices'!$A$9:$A$2500,'Alumina and Bauxite - Prices'!E34,'Commodity Prices'!$B$9:$B$2500,4)+
COUNTIFS('Commodity Prices'!$A$9:$A$2500,'Alumina and Bauxite - Prices'!F34,'Commodity Prices'!$B$9:$B$2500,1)+
COUNTIFS('Commodity Prices'!$A$9:$A$2500,'Alumina and Bauxite - Prices'!F34,'Commodity Prices'!$B$9:$B$2500,2))</f>
        <v>314.07454261498447</v>
      </c>
      <c r="K34" s="381">
        <f>(SUMIFS('Commodity Prices'!$H$9:$H$2500,'Commodity Prices'!$A$9:$A$2500,'Alumina and Bauxite - Prices'!E34,'Commodity Prices'!$B$9:$B$2500,3)+
SUMIFS('Commodity Prices'!$H$9:$H$2500,'Commodity Prices'!$A$9:$A$2500,'Alumina and Bauxite - Prices'!E34,'Commodity Prices'!$B$9:$B$2500,4)+
SUMIFS('Commodity Prices'!$H$9:$H$2500,'Commodity Prices'!$A$9:$A$2500,'Alumina and Bauxite - Prices'!F34,'Commodity Prices'!$B$9:$B$2500,1)+
SUMIFS('Commodity Prices'!$H$9:$H$2500,'Commodity Prices'!$A$9:$A$2500,'Alumina and Bauxite - Prices'!F34,'Commodity Prices'!$B$9:$B$2500,2))
/(COUNTIFS('Commodity Prices'!$A$9:$A$2500,'Alumina and Bauxite - Prices'!E34,'Commodity Prices'!$B$9:$B$2500,3)+
COUNTIFS('Commodity Prices'!$A$9:$A$2500,'Alumina and Bauxite - Prices'!E34,'Commodity Prices'!$B$9:$B$2500,4)+
COUNTIFS('Commodity Prices'!$A$9:$A$2500,'Alumina and Bauxite - Prices'!F34,'Commodity Prices'!$B$9:$B$2500,1)+
COUNTIFS('Commodity Prices'!$A$9:$A$2500,'Alumina and Bauxite - Prices'!F34,'Commodity Prices'!$B$9:$B$2500,2))</f>
        <v>0</v>
      </c>
    </row>
    <row r="35" spans="1:12">
      <c r="A35" s="421">
        <f>LARGE('Commodity Prices'!C$159:C$902,35)</f>
        <v>44228</v>
      </c>
      <c r="B35" s="565">
        <f>SUMIF('Commodity Prices'!C$159:C$902,A35,'Commodity Prices'!F$159:F$902)</f>
        <v>384.0978329304437</v>
      </c>
      <c r="C35" s="489">
        <f>SUMIF('Commodity Prices'!C$159:C$902,A35,'Commodity Prices'!H$159:H$902)</f>
        <v>36.380467168182442</v>
      </c>
      <c r="D35" s="8"/>
      <c r="E35" s="70">
        <f t="shared" si="1"/>
        <v>2012</v>
      </c>
      <c r="F35" s="70">
        <f t="shared" si="2"/>
        <v>2013</v>
      </c>
      <c r="G35" s="478">
        <f t="shared" si="0"/>
        <v>2012</v>
      </c>
      <c r="H35" s="565">
        <f t="array" ref="H35">IF($G$6="Historic Calendar Year",IFERROR(AVERAGE(IF($G35=YEAR('Commodity Prices'!C$100:C$1000),'Commodity Prices'!F$100:F$1000)),"NA"),IFERROR(IF(J35=0,"NA",J35),"NA"))</f>
        <v>285.45540794895652</v>
      </c>
      <c r="I35" s="489"/>
      <c r="J35">
        <f>(SUMIFS('Commodity Prices'!$F$9:$F$2500,'Commodity Prices'!$A$9:$A$2500,'Alumina and Bauxite - Prices'!E35,'Commodity Prices'!$B$9:$B$2500,3)+
SUMIFS('Commodity Prices'!$F$9:$F$2500,'Commodity Prices'!$A$9:$A$2500,'Alumina and Bauxite - Prices'!E35,'Commodity Prices'!$B$9:$B$2500,4)+
SUMIFS('Commodity Prices'!$F$9:$F$2500,'Commodity Prices'!$A$9:$A$2500,'Alumina and Bauxite - Prices'!F35,'Commodity Prices'!$B$9:$B$2500,1)+
SUMIFS('Commodity Prices'!$F$9:$F$2500,'Commodity Prices'!$A$9:$A$2500,'Alumina and Bauxite - Prices'!F35,'Commodity Prices'!$B$9:$B$2500,2))
/(COUNTIFS('Commodity Prices'!$A$9:$A$2500,'Alumina and Bauxite - Prices'!E35,'Commodity Prices'!$B$9:$B$2500,3)+
COUNTIFS('Commodity Prices'!$A$9:$A$2500,'Alumina and Bauxite - Prices'!E35,'Commodity Prices'!$B$9:$B$2500,4)+
COUNTIFS('Commodity Prices'!$A$9:$A$2500,'Alumina and Bauxite - Prices'!F35,'Commodity Prices'!$B$9:$B$2500,1)+
COUNTIFS('Commodity Prices'!$A$9:$A$2500,'Alumina and Bauxite - Prices'!F35,'Commodity Prices'!$B$9:$B$2500,2))</f>
        <v>284.92941229619743</v>
      </c>
      <c r="K35" s="381">
        <f>(SUMIFS('Commodity Prices'!$H$9:$H$2500,'Commodity Prices'!$A$9:$A$2500,'Alumina and Bauxite - Prices'!E35,'Commodity Prices'!$B$9:$B$2500,3)+
SUMIFS('Commodity Prices'!$H$9:$H$2500,'Commodity Prices'!$A$9:$A$2500,'Alumina and Bauxite - Prices'!E35,'Commodity Prices'!$B$9:$B$2500,4)+
SUMIFS('Commodity Prices'!$H$9:$H$2500,'Commodity Prices'!$A$9:$A$2500,'Alumina and Bauxite - Prices'!F35,'Commodity Prices'!$B$9:$B$2500,1)+
SUMIFS('Commodity Prices'!$H$9:$H$2500,'Commodity Prices'!$A$9:$A$2500,'Alumina and Bauxite - Prices'!F35,'Commodity Prices'!$B$9:$B$2500,2))
/(COUNTIFS('Commodity Prices'!$A$9:$A$2500,'Alumina and Bauxite - Prices'!E35,'Commodity Prices'!$B$9:$B$2500,3)+
COUNTIFS('Commodity Prices'!$A$9:$A$2500,'Alumina and Bauxite - Prices'!E35,'Commodity Prices'!$B$9:$B$2500,4)+
COUNTIFS('Commodity Prices'!$A$9:$A$2500,'Alumina and Bauxite - Prices'!F35,'Commodity Prices'!$B$9:$B$2500,1)+
COUNTIFS('Commodity Prices'!$A$9:$A$2500,'Alumina and Bauxite - Prices'!F35,'Commodity Prices'!$B$9:$B$2500,2))</f>
        <v>0</v>
      </c>
    </row>
    <row r="36" spans="1:12">
      <c r="A36" s="422">
        <f>LARGE('Commodity Prices'!C$159:C$902,34)</f>
        <v>44256</v>
      </c>
      <c r="B36" s="1184">
        <f>SUMIF('Commodity Prices'!C$159:C$902,A36,'Commodity Prices'!F$159:F$902)</f>
        <v>398.32071225827769</v>
      </c>
      <c r="C36" s="488">
        <f>SUMIF('Commodity Prices'!C$159:C$902,A36,'Commodity Prices'!H$159:H$902)</f>
        <v>37.40305636000047</v>
      </c>
      <c r="D36" s="8"/>
      <c r="E36" s="70">
        <f t="shared" si="1"/>
        <v>2013</v>
      </c>
      <c r="F36" s="70">
        <f t="shared" si="2"/>
        <v>2014</v>
      </c>
      <c r="G36" s="477">
        <f t="shared" si="0"/>
        <v>2013</v>
      </c>
      <c r="H36" s="1184">
        <f t="array" ref="H36">IF($G$6="Historic Calendar Year",IFERROR(AVERAGE(IF($G36=YEAR('Commodity Prices'!C$100:C$1000),'Commodity Prices'!F$100:F$1000)),"NA"),IFERROR(IF(J36=0,"NA",J36),"NA"))</f>
        <v>300.93113225204837</v>
      </c>
      <c r="I36" s="488"/>
      <c r="J36">
        <f>(SUMIFS('Commodity Prices'!$F$9:$F$2500,'Commodity Prices'!$A$9:$A$2500,'Alumina and Bauxite - Prices'!E36,'Commodity Prices'!$B$9:$B$2500,3)+
SUMIFS('Commodity Prices'!$F$9:$F$2500,'Commodity Prices'!$A$9:$A$2500,'Alumina and Bauxite - Prices'!E36,'Commodity Prices'!$B$9:$B$2500,4)+
SUMIFS('Commodity Prices'!$F$9:$F$2500,'Commodity Prices'!$A$9:$A$2500,'Alumina and Bauxite - Prices'!F36,'Commodity Prices'!$B$9:$B$2500,1)+
SUMIFS('Commodity Prices'!$F$9:$F$2500,'Commodity Prices'!$A$9:$A$2500,'Alumina and Bauxite - Prices'!F36,'Commodity Prices'!$B$9:$B$2500,2))
/(COUNTIFS('Commodity Prices'!$A$9:$A$2500,'Alumina and Bauxite - Prices'!E36,'Commodity Prices'!$B$9:$B$2500,3)+
COUNTIFS('Commodity Prices'!$A$9:$A$2500,'Alumina and Bauxite - Prices'!E36,'Commodity Prices'!$B$9:$B$2500,4)+
COUNTIFS('Commodity Prices'!$A$9:$A$2500,'Alumina and Bauxite - Prices'!F36,'Commodity Prices'!$B$9:$B$2500,1)+
COUNTIFS('Commodity Prices'!$A$9:$A$2500,'Alumina and Bauxite - Prices'!F36,'Commodity Prices'!$B$9:$B$2500,2))</f>
        <v>310.49898273526401</v>
      </c>
      <c r="K36" s="381">
        <f>(SUMIFS('Commodity Prices'!$H$9:$H$2500,'Commodity Prices'!$A$9:$A$2500,'Alumina and Bauxite - Prices'!E36,'Commodity Prices'!$B$9:$B$2500,3)+
SUMIFS('Commodity Prices'!$H$9:$H$2500,'Commodity Prices'!$A$9:$A$2500,'Alumina and Bauxite - Prices'!E36,'Commodity Prices'!$B$9:$B$2500,4)+
SUMIFS('Commodity Prices'!$H$9:$H$2500,'Commodity Prices'!$A$9:$A$2500,'Alumina and Bauxite - Prices'!F36,'Commodity Prices'!$B$9:$B$2500,1)+
SUMIFS('Commodity Prices'!$H$9:$H$2500,'Commodity Prices'!$A$9:$A$2500,'Alumina and Bauxite - Prices'!F36,'Commodity Prices'!$B$9:$B$2500,2))
/(COUNTIFS('Commodity Prices'!$A$9:$A$2500,'Alumina and Bauxite - Prices'!E36,'Commodity Prices'!$B$9:$B$2500,3)+
COUNTIFS('Commodity Prices'!$A$9:$A$2500,'Alumina and Bauxite - Prices'!E36,'Commodity Prices'!$B$9:$B$2500,4)+
COUNTIFS('Commodity Prices'!$A$9:$A$2500,'Alumina and Bauxite - Prices'!F36,'Commodity Prices'!$B$9:$B$2500,1)+
COUNTIFS('Commodity Prices'!$A$9:$A$2500,'Alumina and Bauxite - Prices'!F36,'Commodity Prices'!$B$9:$B$2500,2))</f>
        <v>0</v>
      </c>
    </row>
    <row r="37" spans="1:12">
      <c r="A37" s="421">
        <f>LARGE('Commodity Prices'!C$159:C$902,33)</f>
        <v>44287</v>
      </c>
      <c r="B37" s="565">
        <f>SUMIF('Commodity Prices'!C$159:C$902,A37,'Commodity Prices'!F$159:F$902)</f>
        <v>383.24303772598245</v>
      </c>
      <c r="C37" s="489">
        <f>SUMIF('Commodity Prices'!C$159:C$902,A37,'Commodity Prices'!H$159:H$902)</f>
        <v>37.284555435068668</v>
      </c>
      <c r="D37" s="8"/>
      <c r="E37" s="70">
        <f t="shared" si="1"/>
        <v>2014</v>
      </c>
      <c r="F37" s="70">
        <f t="shared" si="2"/>
        <v>2015</v>
      </c>
      <c r="G37" s="478">
        <f t="shared" si="0"/>
        <v>2014</v>
      </c>
      <c r="H37" s="565">
        <f t="array" ref="H37">IF($G$6="Historic Calendar Year",IFERROR(AVERAGE(IF($G37=YEAR('Commodity Prices'!C$100:C$1000),'Commodity Prices'!F$100:F$1000)),"NA"),IFERROR(IF(J37=0,"NA",J37),"NA"))</f>
        <v>328.09820567274653</v>
      </c>
      <c r="I37" s="489"/>
      <c r="J37">
        <f>(SUMIFS('Commodity Prices'!$F$9:$F$2500,'Commodity Prices'!$A$9:$A$2500,'Alumina and Bauxite - Prices'!E37,'Commodity Prices'!$B$9:$B$2500,3)+
SUMIFS('Commodity Prices'!$F$9:$F$2500,'Commodity Prices'!$A$9:$A$2500,'Alumina and Bauxite - Prices'!E37,'Commodity Prices'!$B$9:$B$2500,4)+
SUMIFS('Commodity Prices'!$F$9:$F$2500,'Commodity Prices'!$A$9:$A$2500,'Alumina and Bauxite - Prices'!F37,'Commodity Prices'!$B$9:$B$2500,1)+
SUMIFS('Commodity Prices'!$F$9:$F$2500,'Commodity Prices'!$A$9:$A$2500,'Alumina and Bauxite - Prices'!F37,'Commodity Prices'!$B$9:$B$2500,2))
/(COUNTIFS('Commodity Prices'!$A$9:$A$2500,'Alumina and Bauxite - Prices'!E37,'Commodity Prices'!$B$9:$B$2500,3)+
COUNTIFS('Commodity Prices'!$A$9:$A$2500,'Alumina and Bauxite - Prices'!E37,'Commodity Prices'!$B$9:$B$2500,4)+
COUNTIFS('Commodity Prices'!$A$9:$A$2500,'Alumina and Bauxite - Prices'!F37,'Commodity Prices'!$B$9:$B$2500,1)+
COUNTIFS('Commodity Prices'!$A$9:$A$2500,'Alumina and Bauxite - Prices'!F37,'Commodity Prices'!$B$9:$B$2500,2))</f>
        <v>366.15868018102066</v>
      </c>
      <c r="K37" s="381">
        <f>(SUMIFS('Commodity Prices'!$H$9:$H$2500,'Commodity Prices'!$A$9:$A$2500,'Alumina and Bauxite - Prices'!E37,'Commodity Prices'!$B$9:$B$2500,3)+
SUMIFS('Commodity Prices'!$H$9:$H$2500,'Commodity Prices'!$A$9:$A$2500,'Alumina and Bauxite - Prices'!E37,'Commodity Prices'!$B$9:$B$2500,4)+
SUMIFS('Commodity Prices'!$H$9:$H$2500,'Commodity Prices'!$A$9:$A$2500,'Alumina and Bauxite - Prices'!F37,'Commodity Prices'!$B$9:$B$2500,1)+
SUMIFS('Commodity Prices'!$H$9:$H$2500,'Commodity Prices'!$A$9:$A$2500,'Alumina and Bauxite - Prices'!F37,'Commodity Prices'!$B$9:$B$2500,2))
/(COUNTIFS('Commodity Prices'!$A$9:$A$2500,'Alumina and Bauxite - Prices'!E37,'Commodity Prices'!$B$9:$B$2500,3)+
COUNTIFS('Commodity Prices'!$A$9:$A$2500,'Alumina and Bauxite - Prices'!E37,'Commodity Prices'!$B$9:$B$2500,4)+
COUNTIFS('Commodity Prices'!$A$9:$A$2500,'Alumina and Bauxite - Prices'!F37,'Commodity Prices'!$B$9:$B$2500,1)+
COUNTIFS('Commodity Prices'!$A$9:$A$2500,'Alumina and Bauxite - Prices'!F37,'Commodity Prices'!$B$9:$B$2500,2))</f>
        <v>16.526616631741977</v>
      </c>
    </row>
    <row r="38" spans="1:12">
      <c r="A38" s="422">
        <f>LARGE('Commodity Prices'!C$159:C$902,32)</f>
        <v>44317</v>
      </c>
      <c r="B38" s="1184">
        <f>SUMIF('Commodity Prices'!C$159:C$902,A38,'Commodity Prices'!F$159:F$902)</f>
        <v>367.64673884431613</v>
      </c>
      <c r="C38" s="488">
        <f>SUMIF('Commodity Prices'!C$159:C$902,A38,'Commodity Prices'!H$159:H$902)</f>
        <v>35.089373633295544</v>
      </c>
      <c r="D38" s="8"/>
      <c r="E38" s="70">
        <f t="shared" si="1"/>
        <v>2015</v>
      </c>
      <c r="F38" s="70">
        <f t="shared" si="2"/>
        <v>2016</v>
      </c>
      <c r="G38" s="478">
        <f t="shared" si="0"/>
        <v>2015</v>
      </c>
      <c r="H38" s="1184">
        <f t="array" ref="H38">IF($G$6="Historic Calendar Year",IFERROR(AVERAGE(IF($G38=YEAR('Commodity Prices'!C$100:C$1000),'Commodity Prices'!F$100:F$1000)),"NA"),IFERROR(IF(J38=0,"NA",J38),"NA"))</f>
        <v>382.18209724833213</v>
      </c>
      <c r="I38" s="488"/>
      <c r="J38">
        <f>(SUMIFS('Commodity Prices'!$F$9:$F$2500,'Commodity Prices'!$A$9:$A$2500,'Alumina and Bauxite - Prices'!E38,'Commodity Prices'!$B$9:$B$2500,3)+
SUMIFS('Commodity Prices'!$F$9:$F$2500,'Commodity Prices'!$A$9:$A$2500,'Alumina and Bauxite - Prices'!E38,'Commodity Prices'!$B$9:$B$2500,4)+
SUMIFS('Commodity Prices'!$F$9:$F$2500,'Commodity Prices'!$A$9:$A$2500,'Alumina and Bauxite - Prices'!F38,'Commodity Prices'!$B$9:$B$2500,1)+
SUMIFS('Commodity Prices'!$F$9:$F$2500,'Commodity Prices'!$A$9:$A$2500,'Alumina and Bauxite - Prices'!F38,'Commodity Prices'!$B$9:$B$2500,2))
/(COUNTIFS('Commodity Prices'!$A$9:$A$2500,'Alumina and Bauxite - Prices'!E38,'Commodity Prices'!$B$9:$B$2500,3)+
COUNTIFS('Commodity Prices'!$A$9:$A$2500,'Alumina and Bauxite - Prices'!E38,'Commodity Prices'!$B$9:$B$2500,4)+
COUNTIFS('Commodity Prices'!$A$9:$A$2500,'Alumina and Bauxite - Prices'!F38,'Commodity Prices'!$B$9:$B$2500,1)+
COUNTIFS('Commodity Prices'!$A$9:$A$2500,'Alumina and Bauxite - Prices'!F38,'Commodity Prices'!$B$9:$B$2500,2))</f>
        <v>346.11556421464957</v>
      </c>
      <c r="K38" s="381">
        <f>(SUMIFS('Commodity Prices'!$H$9:$H$2500,'Commodity Prices'!$A$9:$A$2500,'Alumina and Bauxite - Prices'!E38,'Commodity Prices'!$B$9:$B$2500,3)+
SUMIFS('Commodity Prices'!$H$9:$H$2500,'Commodity Prices'!$A$9:$A$2500,'Alumina and Bauxite - Prices'!E38,'Commodity Prices'!$B$9:$B$2500,4)+
SUMIFS('Commodity Prices'!$H$9:$H$2500,'Commodity Prices'!$A$9:$A$2500,'Alumina and Bauxite - Prices'!F38,'Commodity Prices'!$B$9:$B$2500,1)+
SUMIFS('Commodity Prices'!$H$9:$H$2500,'Commodity Prices'!$A$9:$A$2500,'Alumina and Bauxite - Prices'!F38,'Commodity Prices'!$B$9:$B$2500,2))
/(COUNTIFS('Commodity Prices'!$A$9:$A$2500,'Alumina and Bauxite - Prices'!E38,'Commodity Prices'!$B$9:$B$2500,3)+
COUNTIFS('Commodity Prices'!$A$9:$A$2500,'Alumina and Bauxite - Prices'!E38,'Commodity Prices'!$B$9:$B$2500,4)+
COUNTIFS('Commodity Prices'!$A$9:$A$2500,'Alumina and Bauxite - Prices'!F38,'Commodity Prices'!$B$9:$B$2500,1)+
COUNTIFS('Commodity Prices'!$A$9:$A$2500,'Alumina and Bauxite - Prices'!F38,'Commodity Prices'!$B$9:$B$2500,2))</f>
        <v>46.426047772018613</v>
      </c>
    </row>
    <row r="39" spans="1:12">
      <c r="A39" s="421">
        <f>LARGE('Commodity Prices'!C$159:C$902,31)</f>
        <v>44348</v>
      </c>
      <c r="B39" s="565">
        <f>SUMIF('Commodity Prices'!C$159:C$902,A39,'Commodity Prices'!F$159:F$902)</f>
        <v>388.47708659188561</v>
      </c>
      <c r="C39" s="489">
        <f>SUMIF('Commodity Prices'!C$159:C$902,A39,'Commodity Prices'!H$159:H$902)</f>
        <v>33.722292972635046</v>
      </c>
      <c r="D39" s="8"/>
      <c r="E39" s="70">
        <f t="shared" si="1"/>
        <v>2016</v>
      </c>
      <c r="F39" s="70">
        <f t="shared" si="2"/>
        <v>2017</v>
      </c>
      <c r="G39" s="478">
        <f t="shared" si="0"/>
        <v>2016</v>
      </c>
      <c r="H39" s="565">
        <f t="array" ref="H39">IF($G$6="Historic Calendar Year",IFERROR(AVERAGE(IF($G39=YEAR('Commodity Prices'!C$100:C$1000),'Commodity Prices'!F$100:F$1000)),"NA"),IFERROR(IF(J39=0,"NA",J39),"NA"))</f>
        <v>323.18253454181587</v>
      </c>
      <c r="I39" s="489">
        <f t="array" ref="I39">IF($G$6="Historic Calendar Year",IFERROR(AVERAGE(IF($G39=YEAR('Commodity Prices'!C$100:C$1000),'Commodity Prices'!H$100:H$1000)),"N/A"),IFERROR(IF(K39=0,"N/A",K39),"N/A"))</f>
        <v>42.431706387520379</v>
      </c>
      <c r="J39">
        <f>(SUMIFS('Commodity Prices'!$F$9:$F$2500,'Commodity Prices'!$A$9:$A$2500,'Alumina and Bauxite - Prices'!E39,'Commodity Prices'!$B$9:$B$2500,3)+
SUMIFS('Commodity Prices'!$F$9:$F$2500,'Commodity Prices'!$A$9:$A$2500,'Alumina and Bauxite - Prices'!E39,'Commodity Prices'!$B$9:$B$2500,4)+
SUMIFS('Commodity Prices'!$F$9:$F$2500,'Commodity Prices'!$A$9:$A$2500,'Alumina and Bauxite - Prices'!F39,'Commodity Prices'!$B$9:$B$2500,1)+
SUMIFS('Commodity Prices'!$F$9:$F$2500,'Commodity Prices'!$A$9:$A$2500,'Alumina and Bauxite - Prices'!F39,'Commodity Prices'!$B$9:$B$2500,2))
/(COUNTIFS('Commodity Prices'!$A$9:$A$2500,'Alumina and Bauxite - Prices'!E39,'Commodity Prices'!$B$9:$B$2500,3)+
COUNTIFS('Commodity Prices'!$A$9:$A$2500,'Alumina and Bauxite - Prices'!E39,'Commodity Prices'!$B$9:$B$2500,4)+
COUNTIFS('Commodity Prices'!$A$9:$A$2500,'Alumina and Bauxite - Prices'!F39,'Commodity Prices'!$B$9:$B$2500,1)+
COUNTIFS('Commodity Prices'!$A$9:$A$2500,'Alumina and Bauxite - Prices'!F39,'Commodity Prices'!$B$9:$B$2500,2))</f>
        <v>367.87354599374476</v>
      </c>
      <c r="K39" s="381">
        <f>(SUMIFS('Commodity Prices'!$H$9:$H$2500,'Commodity Prices'!$A$9:$A$2500,'Alumina and Bauxite - Prices'!E39,'Commodity Prices'!$B$9:$B$2500,3)+
SUMIFS('Commodity Prices'!$H$9:$H$2500,'Commodity Prices'!$A$9:$A$2500,'Alumina and Bauxite - Prices'!E39,'Commodity Prices'!$B$9:$B$2500,4)+
SUMIFS('Commodity Prices'!$H$9:$H$2500,'Commodity Prices'!$A$9:$A$2500,'Alumina and Bauxite - Prices'!F39,'Commodity Prices'!$B$9:$B$2500,1)+
SUMIFS('Commodity Prices'!$H$9:$H$2500,'Commodity Prices'!$A$9:$A$2500,'Alumina and Bauxite - Prices'!F39,'Commodity Prices'!$B$9:$B$2500,2))
/(COUNTIFS('Commodity Prices'!$A$9:$A$2500,'Alumina and Bauxite - Prices'!E39,'Commodity Prices'!$B$9:$B$2500,3)+
COUNTIFS('Commodity Prices'!$A$9:$A$2500,'Alumina and Bauxite - Prices'!E39,'Commodity Prices'!$B$9:$B$2500,4)+
COUNTIFS('Commodity Prices'!$A$9:$A$2500,'Alumina and Bauxite - Prices'!F39,'Commodity Prices'!$B$9:$B$2500,1)+
COUNTIFS('Commodity Prices'!$A$9:$A$2500,'Alumina and Bauxite - Prices'!F39,'Commodity Prices'!$B$9:$B$2500,2))</f>
        <v>42.030817910506663</v>
      </c>
    </row>
    <row r="40" spans="1:12">
      <c r="A40" s="422">
        <f>LARGE('Commodity Prices'!C$159:C$902,30)</f>
        <v>44378</v>
      </c>
      <c r="B40" s="1184">
        <f>SUMIF('Commodity Prices'!C$159:C$902,A40,'Commodity Prices'!F$159:F$902)</f>
        <v>381.52995205898827</v>
      </c>
      <c r="C40" s="488">
        <f>SUMIF('Commodity Prices'!C$159:C$902,A40,'Commodity Prices'!H$159:H$902)</f>
        <v>35.444686509825132</v>
      </c>
      <c r="D40" s="8"/>
      <c r="E40" s="70">
        <f t="shared" si="1"/>
        <v>2017</v>
      </c>
      <c r="F40" s="70">
        <f t="shared" si="2"/>
        <v>2018</v>
      </c>
      <c r="G40" s="478">
        <f t="shared" si="0"/>
        <v>2017</v>
      </c>
      <c r="H40" s="1184">
        <f t="array" ref="H40">IF($G$6="Historic Calendar Year",IFERROR(AVERAGE(IF($G40=YEAR('Commodity Prices'!C$100:C$1000),'Commodity Prices'!F$100:F$1000)),"NA"),IFERROR(IF(J40=0,"NA",J40),"NA"))</f>
        <v>426.81094261918702</v>
      </c>
      <c r="I40" s="488">
        <f t="array" ref="I40">IF($G$6="Historic Calendar Year",IFERROR(AVERAGE(IF($G40=YEAR('Commodity Prices'!C$100:C$1000),'Commodity Prices'!H$100:H$1000)),"N/A"),IFERROR(IF(K40=0,"N/A",K40),"N/A"))</f>
        <v>40.60045461962897</v>
      </c>
      <c r="J40">
        <f>(SUMIFS('Commodity Prices'!$F$9:$F$2500,'Commodity Prices'!$A$9:$A$2500,'Alumina and Bauxite - Prices'!E40,'Commodity Prices'!$B$9:$B$2500,3)+
SUMIFS('Commodity Prices'!$F$9:$F$2500,'Commodity Prices'!$A$9:$A$2500,'Alumina and Bauxite - Prices'!E40,'Commodity Prices'!$B$9:$B$2500,4)+
SUMIFS('Commodity Prices'!$F$9:$F$2500,'Commodity Prices'!$A$9:$A$2500,'Alumina and Bauxite - Prices'!F40,'Commodity Prices'!$B$9:$B$2500,1)+
SUMIFS('Commodity Prices'!$F$9:$F$2500,'Commodity Prices'!$A$9:$A$2500,'Alumina and Bauxite - Prices'!F40,'Commodity Prices'!$B$9:$B$2500,2))
/(COUNTIFS('Commodity Prices'!$A$9:$A$2500,'Alumina and Bauxite - Prices'!E40,'Commodity Prices'!$B$9:$B$2500,3)+
COUNTIFS('Commodity Prices'!$A$9:$A$2500,'Alumina and Bauxite - Prices'!E40,'Commodity Prices'!$B$9:$B$2500,4)+
COUNTIFS('Commodity Prices'!$A$9:$A$2500,'Alumina and Bauxite - Prices'!F40,'Commodity Prices'!$B$9:$B$2500,1)+
COUNTIFS('Commodity Prices'!$A$9:$A$2500,'Alumina and Bauxite - Prices'!F40,'Commodity Prices'!$B$9:$B$2500,2))</f>
        <v>489.1594848707723</v>
      </c>
      <c r="K40" s="381">
        <f>(SUMIFS('Commodity Prices'!$H$9:$H$2500,'Commodity Prices'!$A$9:$A$2500,'Alumina and Bauxite - Prices'!E40,'Commodity Prices'!$B$9:$B$2500,3)+
SUMIFS('Commodity Prices'!$H$9:$H$2500,'Commodity Prices'!$A$9:$A$2500,'Alumina and Bauxite - Prices'!E40,'Commodity Prices'!$B$9:$B$2500,4)+
SUMIFS('Commodity Prices'!$H$9:$H$2500,'Commodity Prices'!$A$9:$A$2500,'Alumina and Bauxite - Prices'!F40,'Commodity Prices'!$B$9:$B$2500,1)+
SUMIFS('Commodity Prices'!$H$9:$H$2500,'Commodity Prices'!$A$9:$A$2500,'Alumina and Bauxite - Prices'!F40,'Commodity Prices'!$B$9:$B$2500,2))
/(COUNTIFS('Commodity Prices'!$A$9:$A$2500,'Alumina and Bauxite - Prices'!E40,'Commodity Prices'!$B$9:$B$2500,3)+
COUNTIFS('Commodity Prices'!$A$9:$A$2500,'Alumina and Bauxite - Prices'!E40,'Commodity Prices'!$B$9:$B$2500,4)+
COUNTIFS('Commodity Prices'!$A$9:$A$2500,'Alumina and Bauxite - Prices'!F40,'Commodity Prices'!$B$9:$B$2500,1)+
COUNTIFS('Commodity Prices'!$A$9:$A$2500,'Alumina and Bauxite - Prices'!F40,'Commodity Prices'!$B$9:$B$2500,2))</f>
        <v>39.750794422065894</v>
      </c>
    </row>
    <row r="41" spans="1:12">
      <c r="A41" s="421">
        <f>LARGE('Commodity Prices'!C$159:C$902,29)</f>
        <v>44409</v>
      </c>
      <c r="B41" s="565">
        <f>SUMIF('Commodity Prices'!C$159:C$902,A41,'Commodity Prices'!F$159:F$902)</f>
        <v>395.0206053683923</v>
      </c>
      <c r="C41" s="489">
        <f>SUMIF('Commodity Prices'!C$159:C$902,A41,'Commodity Prices'!H$159:H$902)</f>
        <v>36.147556429478513</v>
      </c>
      <c r="D41" s="8"/>
      <c r="E41" s="70">
        <f t="shared" si="1"/>
        <v>2018</v>
      </c>
      <c r="F41" s="70">
        <f t="shared" si="2"/>
        <v>2019</v>
      </c>
      <c r="G41" s="478">
        <f t="shared" si="0"/>
        <v>2018</v>
      </c>
      <c r="H41" s="565">
        <f t="array" ref="H41">IF($G$6="Historic Calendar Year",IFERROR(AVERAGE(IF($G41=YEAR('Commodity Prices'!C$100:C$1000),'Commodity Prices'!F$100:F$1000)),"NA"),IFERROR(IF(J41=0,"NA",J41),"NA"))</f>
        <v>591.67384686367222</v>
      </c>
      <c r="I41" s="489">
        <f t="array" ref="I41">IF($G$6="Historic Calendar Year",IFERROR(AVERAGE(IF($G41=YEAR('Commodity Prices'!C$100:C$1000),'Commodity Prices'!H$100:H$1000)),"N/A"),IFERROR(IF(K41=0,"N/A",K41),"N/A"))</f>
        <v>41.439222229148584</v>
      </c>
      <c r="J41">
        <f>(SUMIFS('Commodity Prices'!$F$9:$F$2500,'Commodity Prices'!$A$9:$A$2500,'Alumina and Bauxite - Prices'!E41,'Commodity Prices'!$B$9:$B$2500,3)+
SUMIFS('Commodity Prices'!$F$9:$F$2500,'Commodity Prices'!$A$9:$A$2500,'Alumina and Bauxite - Prices'!E41,'Commodity Prices'!$B$9:$B$2500,4)+
SUMIFS('Commodity Prices'!$F$9:$F$2500,'Commodity Prices'!$A$9:$A$2500,'Alumina and Bauxite - Prices'!F41,'Commodity Prices'!$B$9:$B$2500,1)+
SUMIFS('Commodity Prices'!$F$9:$F$2500,'Commodity Prices'!$A$9:$A$2500,'Alumina and Bauxite - Prices'!F41,'Commodity Prices'!$B$9:$B$2500,2))
/(COUNTIFS('Commodity Prices'!$A$9:$A$2500,'Alumina and Bauxite - Prices'!E41,'Commodity Prices'!$B$9:$B$2500,3)+
COUNTIFS('Commodity Prices'!$A$9:$A$2500,'Alumina and Bauxite - Prices'!E41,'Commodity Prices'!$B$9:$B$2500,4)+
COUNTIFS('Commodity Prices'!$A$9:$A$2500,'Alumina and Bauxite - Prices'!F41,'Commodity Prices'!$B$9:$B$2500,1)+
COUNTIFS('Commodity Prices'!$A$9:$A$2500,'Alumina and Bauxite - Prices'!F41,'Commodity Prices'!$B$9:$B$2500,2))</f>
        <v>591.46557280644151</v>
      </c>
      <c r="K41" s="381">
        <f>(SUMIFS('Commodity Prices'!$H$9:$H$2500,'Commodity Prices'!$A$9:$A$2500,'Alumina and Bauxite - Prices'!E41,'Commodity Prices'!$B$9:$B$2500,3)+
SUMIFS('Commodity Prices'!$H$9:$H$2500,'Commodity Prices'!$A$9:$A$2500,'Alumina and Bauxite - Prices'!E41,'Commodity Prices'!$B$9:$B$2500,4)+
SUMIFS('Commodity Prices'!$H$9:$H$2500,'Commodity Prices'!$A$9:$A$2500,'Alumina and Bauxite - Prices'!F41,'Commodity Prices'!$B$9:$B$2500,1)+
SUMIFS('Commodity Prices'!$H$9:$H$2500,'Commodity Prices'!$A$9:$A$2500,'Alumina and Bauxite - Prices'!F41,'Commodity Prices'!$B$9:$B$2500,2))
/(COUNTIFS('Commodity Prices'!$A$9:$A$2500,'Alumina and Bauxite - Prices'!E41,'Commodity Prices'!$B$9:$B$2500,3)+
COUNTIFS('Commodity Prices'!$A$9:$A$2500,'Alumina and Bauxite - Prices'!E41,'Commodity Prices'!$B$9:$B$2500,4)+
COUNTIFS('Commodity Prices'!$A$9:$A$2500,'Alumina and Bauxite - Prices'!F41,'Commodity Prices'!$B$9:$B$2500,1)+
COUNTIFS('Commodity Prices'!$A$9:$A$2500,'Alumina and Bauxite - Prices'!F41,'Commodity Prices'!$B$9:$B$2500,2))</f>
        <v>41.848458685805291</v>
      </c>
    </row>
    <row r="42" spans="1:12">
      <c r="A42" s="422">
        <f>LARGE('Commodity Prices'!C$159:C$902,28)</f>
        <v>44440</v>
      </c>
      <c r="B42" s="1184">
        <f>SUMIF('Commodity Prices'!C$159:C$902,A42,'Commodity Prices'!F$159:F$902)</f>
        <v>414.38671750278041</v>
      </c>
      <c r="C42" s="488">
        <f>SUMIF('Commodity Prices'!C$159:C$902,A42,'Commodity Prices'!H$159:H$902)</f>
        <v>35.67125159615788</v>
      </c>
      <c r="D42" s="8"/>
      <c r="E42" s="70">
        <f t="shared" si="1"/>
        <v>2019</v>
      </c>
      <c r="F42" s="70">
        <f t="shared" si="2"/>
        <v>2020</v>
      </c>
      <c r="G42" s="478">
        <f t="shared" si="0"/>
        <v>2019</v>
      </c>
      <c r="H42" s="1184">
        <f t="array" ref="H42">IF($G$6="Historic Calendar Year",IFERROR(AVERAGE(IF($G42=YEAR('Commodity Prices'!C$100:C$1000),'Commodity Prices'!F$100:F$1000)),"NA"),IFERROR(IF(J42=0,"NA",J42),"NA"))</f>
        <v>484.89155794037634</v>
      </c>
      <c r="I42" s="488">
        <f t="array" ref="I42">IF($G$6="Historic Calendar Year",IFERROR(AVERAGE(IF($G42=YEAR('Commodity Prices'!C$100:C$1000),'Commodity Prices'!H$100:H$1000)),"N/A"),IFERROR(IF(K42=0,"N/A",K42),"N/A"))</f>
        <v>40.561801674626579</v>
      </c>
      <c r="J42">
        <f>(SUMIFS('Commodity Prices'!$F$9:$F$2500,'Commodity Prices'!$A$9:$A$2500,'Alumina and Bauxite - Prices'!E42,'Commodity Prices'!$B$9:$B$2500,3)+
SUMIFS('Commodity Prices'!$F$9:$F$2500,'Commodity Prices'!$A$9:$A$2500,'Alumina and Bauxite - Prices'!E42,'Commodity Prices'!$B$9:$B$2500,4)+
SUMIFS('Commodity Prices'!$F$9:$F$2500,'Commodity Prices'!$A$9:$A$2500,'Alumina and Bauxite - Prices'!F42,'Commodity Prices'!$B$9:$B$2500,1)+
SUMIFS('Commodity Prices'!$F$9:$F$2500,'Commodity Prices'!$A$9:$A$2500,'Alumina and Bauxite - Prices'!F42,'Commodity Prices'!$B$9:$B$2500,2))
/(COUNTIFS('Commodity Prices'!$A$9:$A$2500,'Alumina and Bauxite - Prices'!E42,'Commodity Prices'!$B$9:$B$2500,3)+
COUNTIFS('Commodity Prices'!$A$9:$A$2500,'Alumina and Bauxite - Prices'!E42,'Commodity Prices'!$B$9:$B$2500,4)+
COUNTIFS('Commodity Prices'!$A$9:$A$2500,'Alumina and Bauxite - Prices'!F42,'Commodity Prices'!$B$9:$B$2500,1)+
COUNTIFS('Commodity Prices'!$A$9:$A$2500,'Alumina and Bauxite - Prices'!F42,'Commodity Prices'!$B$9:$B$2500,2))</f>
        <v>419.20695399710667</v>
      </c>
      <c r="K42" s="381">
        <f>(SUMIFS('Commodity Prices'!$H$9:$H$2500,'Commodity Prices'!$A$9:$A$2500,'Alumina and Bauxite - Prices'!E42,'Commodity Prices'!$B$9:$B$2500,3)+
SUMIFS('Commodity Prices'!$H$9:$H$2500,'Commodity Prices'!$A$9:$A$2500,'Alumina and Bauxite - Prices'!E42,'Commodity Prices'!$B$9:$B$2500,4)+
SUMIFS('Commodity Prices'!$H$9:$H$2500,'Commodity Prices'!$A$9:$A$2500,'Alumina and Bauxite - Prices'!F42,'Commodity Prices'!$B$9:$B$2500,1)+
SUMIFS('Commodity Prices'!$H$9:$H$2500,'Commodity Prices'!$A$9:$A$2500,'Alumina and Bauxite - Prices'!F42,'Commodity Prices'!$B$9:$B$2500,2))
/(COUNTIFS('Commodity Prices'!$A$9:$A$2500,'Alumina and Bauxite - Prices'!E42,'Commodity Prices'!$B$9:$B$2500,3)+
COUNTIFS('Commodity Prices'!$A$9:$A$2500,'Alumina and Bauxite - Prices'!E42,'Commodity Prices'!$B$9:$B$2500,4)+
COUNTIFS('Commodity Prices'!$A$9:$A$2500,'Alumina and Bauxite - Prices'!F42,'Commodity Prices'!$B$9:$B$2500,1)+
COUNTIFS('Commodity Prices'!$A$9:$A$2500,'Alumina and Bauxite - Prices'!F42,'Commodity Prices'!$B$9:$B$2500,2))</f>
        <v>40.144180800205028</v>
      </c>
    </row>
    <row r="43" spans="1:12">
      <c r="A43" s="421">
        <f>LARGE('Commodity Prices'!C$159:C$902,27)</f>
        <v>44470</v>
      </c>
      <c r="B43" s="565">
        <f>SUMIF('Commodity Prices'!C$159:C$902,A43,'Commodity Prices'!F$159:F$902)</f>
        <v>493.21954852684263</v>
      </c>
      <c r="C43" s="489">
        <f>SUMIF('Commodity Prices'!C$159:C$902,A43,'Commodity Prices'!H$159:H$902)</f>
        <v>34.904589211807306</v>
      </c>
      <c r="D43" s="8"/>
      <c r="E43" s="70">
        <f t="shared" si="1"/>
        <v>2020</v>
      </c>
      <c r="F43" s="70">
        <f t="shared" si="2"/>
        <v>2021</v>
      </c>
      <c r="G43" s="478">
        <f t="shared" si="0"/>
        <v>2020</v>
      </c>
      <c r="H43" s="565">
        <f t="array" ref="H43">IF($G$6="Historic Calendar Year",IFERROR(AVERAGE(IF($G43=YEAR('Commodity Prices'!C$100:C$1000),'Commodity Prices'!F$100:F$1000)),"NA"),IFERROR(IF(J43=0,"NA",J43),"NA"))</f>
        <v>385.794489805588</v>
      </c>
      <c r="I43" s="489">
        <f t="array" ref="I43">IF($G$6="Historic Calendar Year",IFERROR(AVERAGE(IF($G43=YEAR('Commodity Prices'!C$100:C$1000),'Commodity Prices'!H$100:H$1000)),"N/A"),IFERROR(IF(K43=0,"N/A",K43),"N/A"))</f>
        <v>39.587143362165939</v>
      </c>
      <c r="J43">
        <f>(SUMIFS('Commodity Prices'!$F$9:$F$2500,'Commodity Prices'!$A$9:$A$2500,'Alumina and Bauxite - Prices'!E43,'Commodity Prices'!$B$9:$B$2500,3)+
SUMIFS('Commodity Prices'!$F$9:$F$2500,'Commodity Prices'!$A$9:$A$2500,'Alumina and Bauxite - Prices'!E43,'Commodity Prices'!$B$9:$B$2500,4)+
SUMIFS('Commodity Prices'!$F$9:$F$2500,'Commodity Prices'!$A$9:$A$2500,'Alumina and Bauxite - Prices'!F43,'Commodity Prices'!$B$9:$B$2500,1)+
SUMIFS('Commodity Prices'!$F$9:$F$2500,'Commodity Prices'!$A$9:$A$2500,'Alumina and Bauxite - Prices'!F43,'Commodity Prices'!$B$9:$B$2500,2))
/(COUNTIFS('Commodity Prices'!$A$9:$A$2500,'Alumina and Bauxite - Prices'!E43,'Commodity Prices'!$B$9:$B$2500,3)+
COUNTIFS('Commodity Prices'!$A$9:$A$2500,'Alumina and Bauxite - Prices'!E43,'Commodity Prices'!$B$9:$B$2500,4)+
COUNTIFS('Commodity Prices'!$A$9:$A$2500,'Alumina and Bauxite - Prices'!F43,'Commodity Prices'!$B$9:$B$2500,1)+
COUNTIFS('Commodity Prices'!$A$9:$A$2500,'Alumina and Bauxite - Prices'!F43,'Commodity Prices'!$B$9:$B$2500,2))</f>
        <v>376.96837786926216</v>
      </c>
      <c r="K43" s="381">
        <f>(SUMIFS('Commodity Prices'!$H$9:$H$2500,'Commodity Prices'!$A$9:$A$2500,'Alumina and Bauxite - Prices'!E43,'Commodity Prices'!$B$9:$B$2500,3)+
SUMIFS('Commodity Prices'!$H$9:$H$2500,'Commodity Prices'!$A$9:$A$2500,'Alumina and Bauxite - Prices'!E43,'Commodity Prices'!$B$9:$B$2500,4)+
SUMIFS('Commodity Prices'!$H$9:$H$2500,'Commodity Prices'!$A$9:$A$2500,'Alumina and Bauxite - Prices'!F43,'Commodity Prices'!$B$9:$B$2500,1)+
SUMIFS('Commodity Prices'!$H$9:$H$2500,'Commodity Prices'!$A$9:$A$2500,'Alumina and Bauxite - Prices'!F43,'Commodity Prices'!$B$9:$B$2500,2))
/(COUNTIFS('Commodity Prices'!$A$9:$A$2500,'Alumina and Bauxite - Prices'!E43,'Commodity Prices'!$B$9:$B$2500,3)+
COUNTIFS('Commodity Prices'!$A$9:$A$2500,'Alumina and Bauxite - Prices'!E43,'Commodity Prices'!$B$9:$B$2500,4)+
COUNTIFS('Commodity Prices'!$A$9:$A$2500,'Alumina and Bauxite - Prices'!F43,'Commodity Prices'!$B$9:$B$2500,1)+
COUNTIFS('Commodity Prices'!$A$9:$A$2500,'Alumina and Bauxite - Prices'!F43,'Commodity Prices'!$B$9:$B$2500,2))</f>
        <v>37.385360121106821</v>
      </c>
    </row>
    <row r="44" spans="1:12">
      <c r="A44" s="422">
        <f>LARGE('Commodity Prices'!C$159:C$902,26)</f>
        <v>44501</v>
      </c>
      <c r="B44" s="1184">
        <f>SUMIF('Commodity Prices'!C$159:C$902,A44,'Commodity Prices'!F$159:F$902)</f>
        <v>611.10860599040382</v>
      </c>
      <c r="C44" s="488">
        <f>SUMIF('Commodity Prices'!C$159:C$902,A44,'Commodity Prices'!H$159:H$902)</f>
        <v>36.892901454769628</v>
      </c>
      <c r="D44" s="268"/>
      <c r="E44" s="268">
        <f t="shared" si="1"/>
        <v>2021</v>
      </c>
      <c r="F44" s="268">
        <f t="shared" si="2"/>
        <v>2022</v>
      </c>
      <c r="G44" s="1612">
        <f>IF($G$6="Historic Calendar Year",G43+1,CONCATENATE(E44,"-",RIGHT(F44,4)))</f>
        <v>2021</v>
      </c>
      <c r="H44" s="1184">
        <f t="array" ref="H44">IF($G$6="Historic Calendar Year",IFERROR(AVERAGE(IF($G44=YEAR('Commodity Prices'!C$100:C$1000),'Commodity Prices'!F$100:F$1000)),"n/a"),IFERROR(IF(J44=0,"n/a",J44),"n/a"))</f>
        <v>427.74897718031633</v>
      </c>
      <c r="I44" s="488">
        <f t="array" ref="I44">IF($G$6="Historic Calendar Year",IFERROR(AVERAGE(IF($G44=YEAR('Commodity Prices'!C$100:C$1000),'Commodity Prices'!H$100:H$1000)),"N/A"),IFERROR(IF(K44=0,"N/A",K44),"N/A"))</f>
        <v>35.806329255898639</v>
      </c>
      <c r="J44" s="381">
        <f>(SUMIFS('Commodity Prices'!$F$9:$F$2500,'Commodity Prices'!$A$9:$A$2500,'Alumina and Bauxite - Prices'!E44,'Commodity Prices'!$B$9:$B$2500,3)+
SUMIFS('Commodity Prices'!$F$9:$F$2500,'Commodity Prices'!$A$9:$A$2500,'Alumina and Bauxite - Prices'!E44,'Commodity Prices'!$B$9:$B$2500,4)+
SUMIFS('Commodity Prices'!$F$9:$F$2500,'Commodity Prices'!$A$9:$A$2500,'Alumina and Bauxite - Prices'!F44,'Commodity Prices'!$B$9:$B$2500,1)+
SUMIFS('Commodity Prices'!$F$9:$F$2500,'Commodity Prices'!$A$9:$A$2500,'Alumina and Bauxite - Prices'!F44,'Commodity Prices'!$B$9:$B$2500,2))
/(COUNTIFS('Commodity Prices'!$A$9:$A$2500,'Alumina and Bauxite - Prices'!E44,'Commodity Prices'!$B$9:$B$2500,3)+
COUNTIFS('Commodity Prices'!$A$9:$A$2500,'Alumina and Bauxite - Prices'!E44,'Commodity Prices'!$B$9:$B$2500,4)+
COUNTIFS('Commodity Prices'!$A$9:$A$2500,'Alumina and Bauxite - Prices'!F44,'Commodity Prices'!$B$9:$B$2500,1)+
COUNTIFS('Commodity Prices'!$A$9:$A$2500,'Alumina and Bauxite - Prices'!F44,'Commodity Prices'!$B$9:$B$2500,2))</f>
        <v>511.67245088758301</v>
      </c>
      <c r="K44" s="381">
        <f>(SUMIFS('Commodity Prices'!$H$9:$H$2500,'Commodity Prices'!$A$9:$A$2500,'Alumina and Bauxite - Prices'!E44,'Commodity Prices'!$B$9:$B$2500,3)+
SUMIFS('Commodity Prices'!$H$9:$H$2500,'Commodity Prices'!$A$9:$A$2500,'Alumina and Bauxite - Prices'!E44,'Commodity Prices'!$B$9:$B$2500,4)+
SUMIFS('Commodity Prices'!$H$9:$H$2500,'Commodity Prices'!$A$9:$A$2500,'Alumina and Bauxite - Prices'!F44,'Commodity Prices'!$B$9:$B$2500,1)+
SUMIFS('Commodity Prices'!$H$9:$H$2500,'Commodity Prices'!$A$9:$A$2500,'Alumina and Bauxite - Prices'!F44,'Commodity Prices'!$B$9:$B$2500,2))
/(COUNTIFS('Commodity Prices'!$A$9:$A$2500,'Alumina and Bauxite - Prices'!E44,'Commodity Prices'!$B$9:$B$2500,3)+
COUNTIFS('Commodity Prices'!$A$9:$A$2500,'Alumina and Bauxite - Prices'!E44,'Commodity Prices'!$B$9:$B$2500,4)+
COUNTIFS('Commodity Prices'!$A$9:$A$2500,'Alumina and Bauxite - Prices'!F44,'Commodity Prices'!$B$9:$B$2500,1)+
COUNTIFS('Commodity Prices'!$A$9:$A$2500,'Alumina and Bauxite - Prices'!F44,'Commodity Prices'!$B$9:$B$2500,2))</f>
        <v>32.683341087097872</v>
      </c>
      <c r="L44" s="381"/>
    </row>
    <row r="45" spans="1:12">
      <c r="A45" s="421">
        <f>LARGE('Commodity Prices'!C$159:C$902,25)</f>
        <v>44531</v>
      </c>
      <c r="B45" s="565">
        <f>SUMIF('Commodity Prices'!C$159:C$902,A45,'Commodity Prices'!F$159:F$902)</f>
        <v>539.33028458145975</v>
      </c>
      <c r="C45" s="489">
        <f>SUMIF('Commodity Prices'!C$159:C$902,A45,'Commodity Prices'!H$159:H$902)</f>
        <v>33.819683594342479</v>
      </c>
      <c r="D45" s="8"/>
      <c r="E45" s="268">
        <f t="shared" si="1"/>
        <v>2022</v>
      </c>
      <c r="F45" s="268">
        <f t="shared" si="2"/>
        <v>2023</v>
      </c>
      <c r="G45" s="1612">
        <f>IF($G$6="Historic Calendar Year",G44+1,CONCATENATE(E45,"-",RIGHT(F45,4)))</f>
        <v>2022</v>
      </c>
      <c r="H45" s="565">
        <f t="array" ref="H45">IF($G$6="Historic Calendar Year",IFERROR(AVERAGE(IF($G45=YEAR('Commodity Prices'!C$100:C$1000),'Commodity Prices'!F$100:F$1000)),"n/a"),IFERROR(IF(J45=0,"n/a",J45),"n/a"))</f>
        <v>522.92946461415875</v>
      </c>
      <c r="I45" s="489">
        <f t="array" ref="I45">IF($G$6="Historic Calendar Year",IFERROR(AVERAGE(IF($G45=YEAR('Commodity Prices'!C$100:C$1000),'Commodity Prices'!H$100:H$1000)),"n/a"),IFERROR(IF(K45=0,"n/a",K45),"n/a"))</f>
        <v>31.54838861450078</v>
      </c>
      <c r="J45" s="381">
        <f>(SUMIFS('Commodity Prices'!$F$9:$F$2500,'Commodity Prices'!$A$9:$A$2500,'Alumina and Bauxite - Prices'!E45,'Commodity Prices'!$B$9:$B$2500,3)+
SUMIFS('Commodity Prices'!$F$9:$F$2500,'Commodity Prices'!$A$9:$A$2500,'Alumina and Bauxite - Prices'!E45,'Commodity Prices'!$B$9:$B$2500,4)+
SUMIFS('Commodity Prices'!$F$9:$F$2500,'Commodity Prices'!$A$9:$A$2500,'Alumina and Bauxite - Prices'!F45,'Commodity Prices'!$B$9:$B$2500,1)+
SUMIFS('Commodity Prices'!$F$9:$F$2500,'Commodity Prices'!$A$9:$A$2500,'Alumina and Bauxite - Prices'!F45,'Commodity Prices'!$B$9:$B$2500,2))
/(COUNTIFS('Commodity Prices'!$A$9:$A$2500,'Alumina and Bauxite - Prices'!E45,'Commodity Prices'!$B$9:$B$2500,3)+
COUNTIFS('Commodity Prices'!$A$9:$A$2500,'Alumina and Bauxite - Prices'!E45,'Commodity Prices'!$B$9:$B$2500,4)+
COUNTIFS('Commodity Prices'!$A$9:$A$2500,'Alumina and Bauxite - Prices'!F45,'Commodity Prices'!$B$9:$B$2500,1)+
COUNTIFS('Commodity Prices'!$A$9:$A$2500,'Alumina and Bauxite - Prices'!F45,'Commodity Prices'!$B$9:$B$2500,2))</f>
        <v>504.95728669264957</v>
      </c>
      <c r="K45" s="381">
        <f>(SUMIFS('Commodity Prices'!$H$9:$H$2500,'Commodity Prices'!$A$9:$A$2500,'Alumina and Bauxite - Prices'!E45,'Commodity Prices'!$B$9:$B$2500,3)+
SUMIFS('Commodity Prices'!$H$9:$H$2500,'Commodity Prices'!$A$9:$A$2500,'Alumina and Bauxite - Prices'!E45,'Commodity Prices'!$B$9:$B$2500,4)+
SUMIFS('Commodity Prices'!$H$9:$H$2500,'Commodity Prices'!$A$9:$A$2500,'Alumina and Bauxite - Prices'!F45,'Commodity Prices'!$B$9:$B$2500,1)+
SUMIFS('Commodity Prices'!$H$9:$H$2500,'Commodity Prices'!$A$9:$A$2500,'Alumina and Bauxite - Prices'!F45,'Commodity Prices'!$B$9:$B$2500,2))
/(COUNTIFS('Commodity Prices'!$A$9:$A$2500,'Alumina and Bauxite - Prices'!E45,'Commodity Prices'!$B$9:$B$2500,3)+
COUNTIFS('Commodity Prices'!$A$9:$A$2500,'Alumina and Bauxite - Prices'!E45,'Commodity Prices'!$B$9:$B$2500,4)+
COUNTIFS('Commodity Prices'!$A$9:$A$2500,'Alumina and Bauxite - Prices'!F45,'Commodity Prices'!$B$9:$B$2500,1)+
COUNTIFS('Commodity Prices'!$A$9:$A$2500,'Alumina and Bauxite - Prices'!F45,'Commodity Prices'!$B$9:$B$2500,2))</f>
        <v>38.240320616650749</v>
      </c>
    </row>
    <row r="46" spans="1:12" ht="15.75" thickBot="1">
      <c r="A46" s="422">
        <f>LARGE('Commodity Prices'!C$159:C$902,24)</f>
        <v>44562</v>
      </c>
      <c r="B46" s="1184">
        <f>SUMIF('Commodity Prices'!C$159:C$902,A46,'Commodity Prices'!F$159:F$902)</f>
        <v>519.4991193682514</v>
      </c>
      <c r="C46" s="488">
        <f>SUMIF('Commodity Prices'!C$159:C$902,A46,'Commodity Prices'!H$159:H$902)</f>
        <v>29.817436391123394</v>
      </c>
      <c r="D46" s="8"/>
      <c r="E46" s="70">
        <f t="shared" si="1"/>
        <v>2023</v>
      </c>
      <c r="F46" s="70">
        <f t="shared" si="2"/>
        <v>2024</v>
      </c>
      <c r="G46" s="1554">
        <f>IF($G$6="Historic Calendar Year",G45+1,CONCATENATE(E46,"-",RIGHT(F46,4)))</f>
        <v>2023</v>
      </c>
      <c r="H46" s="1753">
        <f t="array" ref="H46">IF($G$6="Historic Calendar Year",IFERROR(AVERAGE(IF($G46=YEAR('Commodity Prices'!C$100:C$1000),'Commodity Prices'!F$100:F$1000)),"n/a"),IFERROR(IF(J46=0,"n/a",J46),"n/a"))</f>
        <v>513.63069788225937</v>
      </c>
      <c r="I46" s="1754">
        <f t="array" ref="I46">IF($G$6="Historic Calendar Year",IFERROR(AVERAGE(IF($G46=YEAR('Commodity Prices'!C$100:C$1000),'Commodity Prices'!H$100:H$1000)),"n/a"),IFERROR(IF(K46=0,"n/a",K46),"n/a"))</f>
        <v>44.288726537090326</v>
      </c>
    </row>
    <row r="47" spans="1:12" ht="15.75" thickBot="1">
      <c r="A47" s="421">
        <f>LARGE('Commodity Prices'!C$159:C$902,23)</f>
        <v>44593</v>
      </c>
      <c r="B47" s="565">
        <f>SUMIF('Commodity Prices'!C$159:C$902,A47,'Commodity Prices'!F$159:F$902)</f>
        <v>524.97953421667216</v>
      </c>
      <c r="C47" s="489">
        <f>SUMIF('Commodity Prices'!C$159:C$902,A47,'Commodity Prices'!H$159:H$902)</f>
        <v>31.802668810548269</v>
      </c>
      <c r="D47" s="8"/>
      <c r="E47" s="70"/>
      <c r="F47" s="70"/>
      <c r="G47" s="8"/>
      <c r="H47" s="8"/>
      <c r="I47" s="268"/>
    </row>
    <row r="48" spans="1:12">
      <c r="A48" s="422">
        <f>LARGE('Commodity Prices'!C$159:C$902,22)</f>
        <v>44621</v>
      </c>
      <c r="B48" s="1184">
        <f>SUMIF('Commodity Prices'!C$159:C$902,A48,'Commodity Prices'!F$159:F$902)</f>
        <v>545.48048865632359</v>
      </c>
      <c r="C48" s="488">
        <f>SUMIF('Commodity Prices'!C$159:C$902,A48,'Commodity Prices'!H$159:H$902)</f>
        <v>28.642514660837818</v>
      </c>
      <c r="D48" s="8"/>
      <c r="E48" s="70"/>
      <c r="F48" s="70"/>
      <c r="G48" s="1952" t="s">
        <v>321</v>
      </c>
      <c r="H48" s="1953"/>
      <c r="I48" s="1954"/>
    </row>
    <row r="49" spans="1:9" ht="15.75" thickBot="1">
      <c r="A49" s="421">
        <f>LARGE('Commodity Prices'!C$159:C$902,21)</f>
        <v>44652</v>
      </c>
      <c r="B49" s="565">
        <f>SUMIF('Commodity Prices'!C$159:C$902,A49,'Commodity Prices'!F$159:F$902)</f>
        <v>621.96422706893463</v>
      </c>
      <c r="C49" s="489">
        <f>SUMIF('Commodity Prices'!C$159:C$902,A49,'Commodity Prices'!H$159:H$902)</f>
        <v>30.293445395647741</v>
      </c>
      <c r="D49" s="8"/>
      <c r="E49" s="70"/>
      <c r="F49" s="70"/>
      <c r="G49" s="1955" t="s">
        <v>282</v>
      </c>
      <c r="H49" s="1950"/>
      <c r="I49" s="1956"/>
    </row>
    <row r="50" spans="1:9">
      <c r="A50" s="422">
        <f>LARGE('Commodity Prices'!C$159:C$902,20)</f>
        <v>44682</v>
      </c>
      <c r="B50" s="1184">
        <f>SUMIF('Commodity Prices'!C$159:C$902,A50,'Commodity Prices'!F$159:F$902)</f>
        <v>562.58212053260854</v>
      </c>
      <c r="C50" s="488">
        <f>SUMIF('Commodity Prices'!C$159:C$902,A50,'Commodity Prices'!H$159:H$902)</f>
        <v>29.600651769596155</v>
      </c>
      <c r="D50" s="8"/>
      <c r="E50" s="70"/>
      <c r="F50" s="70"/>
      <c r="G50" s="1949" t="s">
        <v>322</v>
      </c>
      <c r="H50" s="1949"/>
      <c r="I50" s="1949"/>
    </row>
    <row r="51" spans="1:9">
      <c r="A51" s="421">
        <f>LARGE('Commodity Prices'!C$159:C$902,19)</f>
        <v>44713</v>
      </c>
      <c r="B51" s="565">
        <f>SUMIF('Commodity Prices'!C$159:C$902,A51,'Commodity Prices'!F$159:F$902)</f>
        <v>530.9682067793384</v>
      </c>
      <c r="C51" s="489">
        <f>SUMIF('Commodity Prices'!C$159:C$902,A51,'Commodity Prices'!H$159:H$902)</f>
        <v>29.162707221040151</v>
      </c>
      <c r="D51" s="8"/>
      <c r="E51" s="70"/>
      <c r="F51" s="70"/>
      <c r="G51" s="8"/>
      <c r="H51" s="8"/>
      <c r="I51" s="268"/>
    </row>
    <row r="52" spans="1:9" ht="15" customHeight="1">
      <c r="A52" s="422">
        <f>LARGE('Commodity Prices'!C$159:C$902,18)</f>
        <v>44743</v>
      </c>
      <c r="B52" s="1184">
        <f>SUMIF('Commodity Prices'!C$159:C$902,A52,'Commodity Prices'!F$159:F$902)</f>
        <v>505.91217742679078</v>
      </c>
      <c r="C52" s="488">
        <f>SUMIF('Commodity Prices'!C$159:C$902,A52,'Commodity Prices'!H$159:H$902)</f>
        <v>31.895277894987423</v>
      </c>
      <c r="D52" s="8"/>
      <c r="E52" s="70"/>
      <c r="F52" s="70"/>
      <c r="G52" s="8"/>
      <c r="H52" s="8"/>
      <c r="I52" s="268"/>
    </row>
    <row r="53" spans="1:9">
      <c r="A53" s="421">
        <f>LARGE('Commodity Prices'!C$159:C$902,17)</f>
        <v>44774</v>
      </c>
      <c r="B53" s="565">
        <f>SUMIF('Commodity Prices'!C$159:C$902,A53,'Commodity Prices'!F$159:F$902)</f>
        <v>493.47999365372959</v>
      </c>
      <c r="C53" s="489">
        <f>SUMIF('Commodity Prices'!C$159:C$902,A53,'Commodity Prices'!H$159:H$902)</f>
        <v>27.609646264844244</v>
      </c>
      <c r="D53" s="8"/>
      <c r="E53" s="70"/>
      <c r="F53" s="70"/>
      <c r="G53" s="1752"/>
      <c r="H53" s="1752"/>
      <c r="I53" s="1752"/>
    </row>
    <row r="54" spans="1:9">
      <c r="A54" s="422">
        <f>LARGE('Commodity Prices'!C$159:C$902,16)</f>
        <v>44805</v>
      </c>
      <c r="B54" s="1184">
        <f>SUMIF('Commodity Prices'!C$159:C$902,A54,'Commodity Prices'!F$159:F$902)</f>
        <v>489.98473308684032</v>
      </c>
      <c r="C54" s="488">
        <f>SUMIF('Commodity Prices'!C$159:C$902,A54,'Commodity Prices'!H$159:H$902)</f>
        <v>32.584945850989442</v>
      </c>
      <c r="D54" s="8"/>
      <c r="E54" s="70"/>
      <c r="F54" s="70"/>
      <c r="G54" s="1752"/>
      <c r="H54" s="1752"/>
      <c r="I54" s="1752"/>
    </row>
    <row r="55" spans="1:9">
      <c r="A55" s="421">
        <f>LARGE('Commodity Prices'!C$159:C$902,15)</f>
        <v>44835</v>
      </c>
      <c r="B55" s="565">
        <f>SUMIF('Commodity Prices'!C$159:C$902,A55,'Commodity Prices'!F$159:F$902)</f>
        <v>530.72973477210928</v>
      </c>
      <c r="C55" s="489">
        <f>SUMIF('Commodity Prices'!C$159:C$902,A55,'Commodity Prices'!H$159:H$902)</f>
        <v>33.280419444289642</v>
      </c>
      <c r="D55" s="8"/>
      <c r="E55" s="70"/>
      <c r="F55" s="70"/>
      <c r="G55" s="1752"/>
      <c r="H55" s="1752"/>
      <c r="I55" s="1752"/>
    </row>
    <row r="56" spans="1:9">
      <c r="A56" s="422">
        <f>LARGE('Commodity Prices'!C$159:C$902,14)</f>
        <v>44866</v>
      </c>
      <c r="B56" s="1184">
        <f>SUMIF('Commodity Prices'!C$159:C$902,A56,'Commodity Prices'!F$159:F$902)</f>
        <v>480.81888076417579</v>
      </c>
      <c r="C56" s="488">
        <f>SUMIF('Commodity Prices'!C$159:C$902,A56,'Commodity Prices'!H$159:H$902)</f>
        <v>35.40126662780964</v>
      </c>
      <c r="D56" s="8"/>
      <c r="E56" s="70"/>
      <c r="F56" s="70"/>
      <c r="G56" s="8"/>
      <c r="H56" s="8"/>
      <c r="I56" s="268"/>
    </row>
    <row r="57" spans="1:9">
      <c r="A57" s="421">
        <f>LARGE('Commodity Prices'!C$159:C$902,13)</f>
        <v>44896</v>
      </c>
      <c r="B57" s="565">
        <f>SUMIF('Commodity Prices'!C$159:C$902,A57,'Commodity Prices'!F$159:F$902)</f>
        <v>468.754359044132</v>
      </c>
      <c r="C57" s="489">
        <f>SUMIF('Commodity Prices'!C$159:C$902,A57,'Commodity Prices'!H$159:H$902)</f>
        <v>38.489683042295432</v>
      </c>
      <c r="D57" s="8"/>
      <c r="E57" s="70"/>
      <c r="F57" s="70"/>
      <c r="G57" s="8"/>
      <c r="H57" s="8"/>
      <c r="I57" s="268"/>
    </row>
    <row r="58" spans="1:9">
      <c r="A58" s="422">
        <f>LARGE('Commodity Prices'!C$159:C$902,12)</f>
        <v>44927</v>
      </c>
      <c r="B58" s="1184">
        <f>SUMIF('Commodity Prices'!C$159:C$902,A58,'Commodity Prices'!F$159:F$902)</f>
        <v>460.43680769530499</v>
      </c>
      <c r="C58" s="488">
        <f>SUMIF('Commodity Prices'!C$159:C$902,A58,'Commodity Prices'!H$159:H$902)</f>
        <v>34.284848117974832</v>
      </c>
      <c r="D58" s="8"/>
      <c r="E58" s="70"/>
      <c r="F58" s="70"/>
      <c r="G58" s="8"/>
      <c r="H58" s="8"/>
      <c r="I58" s="268"/>
    </row>
    <row r="59" spans="1:9">
      <c r="A59" s="421">
        <f>LARGE('Commodity Prices'!C$159:C$902,11)</f>
        <v>44958</v>
      </c>
      <c r="B59" s="565">
        <f>SUMIF('Commodity Prices'!C$159:C$902,A59,'Commodity Prices'!F$159:F$902)</f>
        <v>497.88721329066323</v>
      </c>
      <c r="C59" s="489">
        <f>SUMIF('Commodity Prices'!C$159:C$902,A59,'Commodity Prices'!H$159:H$902)</f>
        <v>38.618453142026482</v>
      </c>
      <c r="D59" s="8"/>
      <c r="E59" s="70"/>
      <c r="F59" s="70"/>
      <c r="G59" s="8"/>
      <c r="H59" s="8"/>
      <c r="I59" s="268"/>
    </row>
    <row r="60" spans="1:9">
      <c r="A60" s="422">
        <f>LARGE('Commodity Prices'!C$159:C$902,10)</f>
        <v>44986</v>
      </c>
      <c r="B60" s="1184">
        <f>SUMIF('Commodity Prices'!C$159:C$902,A60,'Commodity Prices'!F$159:F$902)</f>
        <v>544.72863941833975</v>
      </c>
      <c r="C60" s="488">
        <f>SUMIF('Commodity Prices'!C$159:C$902,A60,'Commodity Prices'!H$159:H$902)</f>
        <v>47.443001931926936</v>
      </c>
      <c r="D60" s="8"/>
      <c r="E60" s="70"/>
      <c r="F60" s="70"/>
      <c r="G60" s="8"/>
      <c r="H60" s="8"/>
      <c r="I60" s="268"/>
    </row>
    <row r="61" spans="1:9">
      <c r="A61" s="421">
        <f>LARGE('Commodity Prices'!C$159:C$902,9)</f>
        <v>45017</v>
      </c>
      <c r="B61" s="565">
        <f>SUMIF('Commodity Prices'!C$159:C$902,A61,'Commodity Prices'!F$159:F$902)</f>
        <v>535.9416455155291</v>
      </c>
      <c r="C61" s="489">
        <f>SUMIF('Commodity Prices'!C$159:C$902,A61,'Commodity Prices'!H$159:H$902)</f>
        <v>45.117848653757967</v>
      </c>
      <c r="D61" s="8"/>
      <c r="E61" s="70"/>
      <c r="F61" s="70"/>
      <c r="G61" s="8"/>
      <c r="H61" s="8"/>
      <c r="I61" s="268"/>
    </row>
    <row r="62" spans="1:9">
      <c r="A62" s="422">
        <f>LARGE('Commodity Prices'!C$159:C$902,8)</f>
        <v>45047</v>
      </c>
      <c r="B62" s="1184">
        <f>SUMIF('Commodity Prices'!C$159:C$902,A62,'Commodity Prices'!F$159:F$902)</f>
        <v>542.68411938617339</v>
      </c>
      <c r="C62" s="488">
        <f>SUMIF('Commodity Prices'!C$159:C$902,A62,'Commodity Prices'!H$159:H$902)</f>
        <v>45.169004087506686</v>
      </c>
      <c r="D62" s="8"/>
      <c r="E62" s="70"/>
      <c r="F62" s="70"/>
      <c r="G62" s="8"/>
      <c r="H62" s="8"/>
      <c r="I62" s="268"/>
    </row>
    <row r="63" spans="1:9">
      <c r="A63" s="421">
        <f>LARGE('Commodity Prices'!C$159:C$902,7)</f>
        <v>45078</v>
      </c>
      <c r="B63" s="565">
        <f>SUMIF('Commodity Prices'!C$159:C$902,A63,'Commodity Prices'!F$159:F$902)</f>
        <v>509.08402699214878</v>
      </c>
      <c r="C63" s="489">
        <f>SUMIF('Commodity Prices'!C$159:C$902,A63,'Commodity Prices'!H$159:H$902)</f>
        <v>42.644409619736962</v>
      </c>
      <c r="D63" s="8"/>
      <c r="E63" s="70"/>
      <c r="F63" s="70"/>
      <c r="G63" s="8"/>
      <c r="H63" s="8"/>
      <c r="I63" s="268"/>
    </row>
    <row r="64" spans="1:9">
      <c r="A64" s="422">
        <f>LARGE('Commodity Prices'!C$159:C$902,6)</f>
        <v>45108</v>
      </c>
      <c r="B64" s="1184">
        <f>SUMIF('Commodity Prices'!C$159:C$902,A64,'Commodity Prices'!F$159:F$902)</f>
        <v>497.18508594946104</v>
      </c>
      <c r="C64" s="488">
        <f>SUMIF('Commodity Prices'!C$159:C$902,A64,'Commodity Prices'!H$159:H$902)</f>
        <v>43.933713583243488</v>
      </c>
      <c r="D64" s="8"/>
      <c r="E64" s="70"/>
      <c r="F64" s="70"/>
      <c r="G64" s="8"/>
      <c r="H64" s="8"/>
      <c r="I64" s="268"/>
    </row>
    <row r="65" spans="1:9">
      <c r="A65" s="421">
        <f>LARGE('Commodity Prices'!C$159:C$902,5)</f>
        <v>45139</v>
      </c>
      <c r="B65" s="565">
        <f>SUMIF('Commodity Prices'!C$159:C$902,A65,'Commodity Prices'!F$159:F$902)</f>
        <v>508.7246818107468</v>
      </c>
      <c r="C65" s="489">
        <f>SUMIF('Commodity Prices'!C$159:C$902,A65,'Commodity Prices'!H$159:H$902)</f>
        <v>44.652734738028563</v>
      </c>
      <c r="D65" s="8"/>
      <c r="E65" s="70"/>
      <c r="F65" s="70"/>
      <c r="G65" s="8"/>
      <c r="H65" s="8"/>
      <c r="I65" s="268"/>
    </row>
    <row r="66" spans="1:9">
      <c r="A66" s="421">
        <f>LARGE('Commodity Prices'!C$159:C$902,4)</f>
        <v>45170</v>
      </c>
      <c r="B66" s="1184">
        <f>SUMIF('Commodity Prices'!C$159:C$902,A66,'Commodity Prices'!F$159:F$902)</f>
        <v>525.15135304208104</v>
      </c>
      <c r="C66" s="488">
        <f>SUMIF('Commodity Prices'!C$159:C$902,A66,'Commodity Prices'!H$159:H$902)</f>
        <v>46.789081153602211</v>
      </c>
      <c r="D66" s="8"/>
      <c r="E66" s="70"/>
      <c r="F66" s="70"/>
      <c r="G66" s="8"/>
      <c r="H66" s="8"/>
      <c r="I66" s="268"/>
    </row>
    <row r="67" spans="1:9">
      <c r="A67" s="421">
        <f>LARGE('Commodity Prices'!C$159:C$902,3)</f>
        <v>45200</v>
      </c>
      <c r="B67" s="565">
        <f>SUMIF('Commodity Prices'!C$159:C$902,A67,'Commodity Prices'!F$159:F$902)</f>
        <v>533.64034723646898</v>
      </c>
      <c r="C67" s="489">
        <f>SUMIF('Commodity Prices'!C$159:C$902,A67,'Commodity Prices'!H$159:H$902)</f>
        <v>47.011576455634298</v>
      </c>
      <c r="D67" s="8"/>
      <c r="E67" s="70"/>
      <c r="F67" s="70"/>
      <c r="G67" s="8"/>
      <c r="H67" s="8"/>
      <c r="I67" s="268"/>
    </row>
    <row r="68" spans="1:9">
      <c r="A68" s="1620">
        <f>LARGE('Commodity Prices'!C$159:C$902,2)</f>
        <v>45231</v>
      </c>
      <c r="B68" s="1184">
        <f>SUMIF('Commodity Prices'!C$159:C$902,A68,'Commodity Prices'!F$159:F$902)</f>
        <v>515.78536961948828</v>
      </c>
      <c r="C68" s="488">
        <f>SUMIF('Commodity Prices'!C$159:C$902,A68,'Commodity Prices'!H$159:H$902)</f>
        <v>48.213654573085805</v>
      </c>
      <c r="D68" s="8"/>
      <c r="E68" s="70"/>
      <c r="F68" s="70"/>
      <c r="G68" s="8"/>
      <c r="H68" s="8"/>
      <c r="I68" s="268"/>
    </row>
    <row r="69" spans="1:9" ht="15.75" thickBot="1">
      <c r="A69" s="1553">
        <f>LARGE('Commodity Prices'!C$159:C$902,1)</f>
        <v>45261</v>
      </c>
      <c r="B69" s="566">
        <f>SUMIF('Commodity Prices'!C$159:C$902,A69,'Commodity Prices'!F$159:F$902)</f>
        <v>492.31908463070744</v>
      </c>
      <c r="C69" s="490">
        <f>SUMIF('Commodity Prices'!C$159:C$902,A69,'Commodity Prices'!H$159:H$902)</f>
        <v>47.586392388559581</v>
      </c>
      <c r="D69" s="8"/>
      <c r="E69" s="70"/>
      <c r="F69" s="70"/>
      <c r="G69" s="8"/>
      <c r="H69" s="8"/>
      <c r="I69" s="268"/>
    </row>
    <row r="70" spans="1:9">
      <c r="A70" s="914"/>
      <c r="G70" s="8"/>
      <c r="H70" s="8"/>
      <c r="I70" s="268"/>
    </row>
    <row r="71" spans="1:9">
      <c r="A71" s="914"/>
      <c r="G71" s="8"/>
      <c r="H71" s="8"/>
      <c r="I71" s="268"/>
    </row>
  </sheetData>
  <mergeCells count="6">
    <mergeCell ref="G50:I50"/>
    <mergeCell ref="A6:C6"/>
    <mergeCell ref="G6:I6"/>
    <mergeCell ref="G5:I5"/>
    <mergeCell ref="G48:I48"/>
    <mergeCell ref="G49:I49"/>
  </mergeCells>
  <dataValidations count="1">
    <dataValidation type="list" allowBlank="1" showInputMessage="1" showErrorMessage="1" promptTitle="Select a Period:" prompt="Select Financial or Calendar years." sqref="G49" xr:uid="{00000000-0002-0000-0B00-000000000000}">
      <formula1>$AB$1:$AB$2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39997558519241921"/>
  </sheetPr>
  <dimension ref="A1:Y366"/>
  <sheetViews>
    <sheetView showGridLines="0" workbookViewId="0"/>
  </sheetViews>
  <sheetFormatPr defaultRowHeight="15"/>
  <cols>
    <col min="1" max="1" width="11.28515625" customWidth="1"/>
    <col min="2" max="2" width="16.42578125" bestFit="1" customWidth="1"/>
    <col min="3" max="3" width="20.42578125" bestFit="1" customWidth="1"/>
    <col min="4" max="4" width="16.42578125" style="302" bestFit="1" customWidth="1"/>
    <col min="5" max="5" width="20.42578125" style="302" bestFit="1" customWidth="1"/>
    <col min="6" max="6" width="17.42578125" style="302" customWidth="1"/>
    <col min="7" max="7" width="20.42578125" style="302" bestFit="1" customWidth="1"/>
    <col min="8" max="9" width="13.85546875" style="19" hidden="1" customWidth="1"/>
    <col min="18" max="18" width="9.5703125" customWidth="1"/>
    <col min="19" max="19" width="10.5703125" customWidth="1"/>
    <col min="20" max="20" width="17.85546875" customWidth="1"/>
    <col min="21" max="21" width="20.42578125" bestFit="1" customWidth="1"/>
  </cols>
  <sheetData>
    <row r="1" spans="1:21" s="3" customFormat="1">
      <c r="A1" s="66" t="s">
        <v>240</v>
      </c>
      <c r="D1" s="302"/>
      <c r="E1" s="302"/>
      <c r="F1" s="302"/>
      <c r="G1" s="302"/>
      <c r="H1" s="19"/>
      <c r="I1" s="19"/>
    </row>
    <row r="2" spans="1:21" s="3" customFormat="1">
      <c r="A2" s="66" t="s">
        <v>246</v>
      </c>
      <c r="D2" s="302"/>
      <c r="E2" s="302"/>
      <c r="F2" s="302"/>
      <c r="G2" s="302"/>
      <c r="H2" s="19"/>
      <c r="I2" s="19"/>
    </row>
    <row r="3" spans="1:21" s="3" customFormat="1" ht="29.25" customHeight="1">
      <c r="D3" s="302"/>
      <c r="E3" s="302"/>
      <c r="F3" s="302"/>
      <c r="G3" s="302"/>
      <c r="H3" s="19"/>
      <c r="I3" s="19"/>
    </row>
    <row r="4" spans="1:21">
      <c r="A4" s="1957"/>
      <c r="B4" s="1957"/>
      <c r="C4" s="1957"/>
      <c r="D4" s="1957"/>
      <c r="E4" s="1957"/>
      <c r="F4" s="1957"/>
      <c r="G4" s="1957"/>
      <c r="H4" s="363"/>
      <c r="I4" s="363"/>
    </row>
    <row r="5" spans="1:21" ht="15.75" thickBot="1">
      <c r="A5" s="1958" t="s">
        <v>423</v>
      </c>
      <c r="B5" s="1958"/>
      <c r="C5" s="1958"/>
      <c r="D5" s="1958"/>
      <c r="E5" s="1958"/>
      <c r="F5" s="1958"/>
      <c r="G5" s="1958"/>
      <c r="H5" s="366"/>
      <c r="I5" s="366"/>
      <c r="S5" s="278"/>
      <c r="T5" s="278"/>
      <c r="U5" s="278"/>
    </row>
    <row r="6" spans="1:21" s="349" customFormat="1">
      <c r="A6" s="1368" t="s">
        <v>348</v>
      </c>
      <c r="B6" s="1966" t="s">
        <v>0</v>
      </c>
      <c r="C6" s="1966"/>
      <c r="D6" s="1966" t="s">
        <v>352</v>
      </c>
      <c r="E6" s="1966"/>
      <c r="F6" s="1966" t="s">
        <v>70</v>
      </c>
      <c r="G6" s="1967"/>
      <c r="H6" s="364"/>
      <c r="I6" s="364"/>
    </row>
    <row r="7" spans="1:21">
      <c r="A7" s="1616" t="s">
        <v>5</v>
      </c>
      <c r="B7" s="1617" t="s">
        <v>6</v>
      </c>
      <c r="C7" s="1618" t="s">
        <v>382</v>
      </c>
      <c r="D7" s="1617" t="s">
        <v>6</v>
      </c>
      <c r="E7" s="1618" t="s">
        <v>382</v>
      </c>
      <c r="F7" s="1617" t="s">
        <v>6</v>
      </c>
      <c r="G7" s="1619" t="s">
        <v>382</v>
      </c>
      <c r="H7" s="365"/>
      <c r="I7" s="365"/>
    </row>
    <row r="8" spans="1:21">
      <c r="A8" s="745">
        <v>35855</v>
      </c>
      <c r="B8" s="1369">
        <v>2.1120000000000001</v>
      </c>
      <c r="C8" s="1369">
        <v>582.47</v>
      </c>
      <c r="D8" s="1369">
        <v>0</v>
      </c>
      <c r="E8" s="1369">
        <v>0</v>
      </c>
      <c r="F8" s="1369">
        <f>SUM(B8+D8)</f>
        <v>2.1120000000000001</v>
      </c>
      <c r="G8" s="514">
        <f t="shared" ref="G8:G71" si="0">SUM(C8+E8)</f>
        <v>582.47</v>
      </c>
      <c r="H8" s="49">
        <f t="shared" ref="H8:H71" si="1">YEAR(A8)</f>
        <v>1998</v>
      </c>
      <c r="I8" s="49" t="str">
        <f t="shared" ref="I8:I71" si="2">IF(MONTH(A8)=3,"1",IF(MONTH(A8)=6,"2",IF(MONTH(A8)=9,"3","4")))</f>
        <v>1</v>
      </c>
      <c r="S8" s="1959" t="s">
        <v>424</v>
      </c>
      <c r="T8" s="1959"/>
      <c r="U8" s="1959"/>
    </row>
    <row r="9" spans="1:21" ht="15.75" thickBot="1">
      <c r="A9" s="745">
        <v>35947</v>
      </c>
      <c r="B9" s="1370">
        <v>2.1309999999999998</v>
      </c>
      <c r="C9" s="1370">
        <v>588.75</v>
      </c>
      <c r="D9" s="1370">
        <v>0</v>
      </c>
      <c r="E9" s="1370">
        <v>0</v>
      </c>
      <c r="F9" s="1370">
        <f t="shared" ref="F9:F72" si="3">SUM(B9+D9)</f>
        <v>2.1309999999999998</v>
      </c>
      <c r="G9" s="1371">
        <f t="shared" si="0"/>
        <v>588.75</v>
      </c>
      <c r="H9" s="49">
        <f t="shared" si="1"/>
        <v>1998</v>
      </c>
      <c r="I9" s="49" t="str">
        <f t="shared" si="2"/>
        <v>2</v>
      </c>
      <c r="S9" s="1960" t="s">
        <v>580</v>
      </c>
      <c r="T9" s="1960"/>
      <c r="U9" s="1960"/>
    </row>
    <row r="10" spans="1:21">
      <c r="A10" s="745">
        <v>36039</v>
      </c>
      <c r="B10" s="1369">
        <v>2.0110000000000001</v>
      </c>
      <c r="C10" s="1369">
        <v>562.38</v>
      </c>
      <c r="D10" s="1369">
        <v>0</v>
      </c>
      <c r="E10" s="1369">
        <v>0</v>
      </c>
      <c r="F10" s="1369">
        <f t="shared" si="3"/>
        <v>2.0110000000000001</v>
      </c>
      <c r="G10" s="514">
        <f t="shared" si="0"/>
        <v>562.38</v>
      </c>
      <c r="H10" s="49">
        <f t="shared" si="1"/>
        <v>1998</v>
      </c>
      <c r="I10" s="49" t="str">
        <f t="shared" si="2"/>
        <v>3</v>
      </c>
      <c r="S10" s="486" t="s">
        <v>5</v>
      </c>
      <c r="T10" s="487" t="s">
        <v>6</v>
      </c>
      <c r="U10" s="485" t="s">
        <v>382</v>
      </c>
    </row>
    <row r="11" spans="1:21">
      <c r="A11" s="745">
        <v>36130</v>
      </c>
      <c r="B11" s="1370">
        <v>2.4940000000000002</v>
      </c>
      <c r="C11" s="1370">
        <v>696.1</v>
      </c>
      <c r="D11" s="1370">
        <v>0</v>
      </c>
      <c r="E11" s="1370">
        <v>0</v>
      </c>
      <c r="F11" s="1370">
        <f t="shared" si="3"/>
        <v>2.4940000000000002</v>
      </c>
      <c r="G11" s="1371">
        <f t="shared" si="0"/>
        <v>696.1</v>
      </c>
      <c r="H11" s="49">
        <f t="shared" si="1"/>
        <v>1998</v>
      </c>
      <c r="I11" s="49" t="str">
        <f t="shared" si="2"/>
        <v>4</v>
      </c>
      <c r="S11" s="745">
        <f>LARGE(A$8:A$742,9)</f>
        <v>44531</v>
      </c>
      <c r="T11" s="480">
        <f t="shared" ref="T11:T19" si="4">SUMIF($A$8:$A$742,$S11,F$8:F$742)</f>
        <v>3.7870356300000001</v>
      </c>
      <c r="U11" s="479">
        <f t="shared" ref="U11:U19" si="5">SUMIF($A$8:$A$742,$S11,G$8:G$742)</f>
        <v>1853.0923579999999</v>
      </c>
    </row>
    <row r="12" spans="1:21">
      <c r="A12" s="745">
        <v>36220</v>
      </c>
      <c r="B12" s="1369">
        <v>2.0990000000000002</v>
      </c>
      <c r="C12" s="1369">
        <v>544.82000000000005</v>
      </c>
      <c r="D12" s="1369">
        <v>0</v>
      </c>
      <c r="E12" s="1369">
        <v>0</v>
      </c>
      <c r="F12" s="1369">
        <f t="shared" si="3"/>
        <v>2.0990000000000002</v>
      </c>
      <c r="G12" s="514">
        <f t="shared" si="0"/>
        <v>544.82000000000005</v>
      </c>
      <c r="H12" s="49">
        <f t="shared" si="1"/>
        <v>1999</v>
      </c>
      <c r="I12" s="49" t="str">
        <f t="shared" si="2"/>
        <v>1</v>
      </c>
      <c r="S12" s="745">
        <f>LARGE(A$8:A$742,8)</f>
        <v>44621</v>
      </c>
      <c r="T12" s="482">
        <f t="shared" si="4"/>
        <v>3.2177186400000002</v>
      </c>
      <c r="U12" s="481">
        <f t="shared" si="5"/>
        <v>1563.650234</v>
      </c>
    </row>
    <row r="13" spans="1:21">
      <c r="A13" s="745">
        <v>36312</v>
      </c>
      <c r="B13" s="1370">
        <v>2.2599999999999998</v>
      </c>
      <c r="C13" s="1370">
        <v>563.73</v>
      </c>
      <c r="D13" s="1370">
        <v>0</v>
      </c>
      <c r="E13" s="1370">
        <v>0</v>
      </c>
      <c r="F13" s="1370">
        <f t="shared" si="3"/>
        <v>2.2599999999999998</v>
      </c>
      <c r="G13" s="1371">
        <f t="shared" si="0"/>
        <v>563.73</v>
      </c>
      <c r="H13" s="49">
        <f t="shared" si="1"/>
        <v>1999</v>
      </c>
      <c r="I13" s="49" t="str">
        <f t="shared" si="2"/>
        <v>2</v>
      </c>
      <c r="S13" s="745">
        <f>LARGE(A$8:A$742,7)</f>
        <v>44713</v>
      </c>
      <c r="T13" s="480">
        <f t="shared" si="4"/>
        <v>3.5455891400000001</v>
      </c>
      <c r="U13" s="479">
        <f t="shared" si="5"/>
        <v>1905.4720169999998</v>
      </c>
    </row>
    <row r="14" spans="1:21">
      <c r="A14" s="745">
        <v>36404</v>
      </c>
      <c r="B14" s="1369">
        <v>2.2810000000000001</v>
      </c>
      <c r="C14" s="1369">
        <v>585.11</v>
      </c>
      <c r="D14" s="1369">
        <v>0</v>
      </c>
      <c r="E14" s="1369">
        <v>0</v>
      </c>
      <c r="F14" s="1369">
        <f t="shared" si="3"/>
        <v>2.2810000000000001</v>
      </c>
      <c r="G14" s="514">
        <f t="shared" si="0"/>
        <v>585.11</v>
      </c>
      <c r="H14" s="49">
        <f t="shared" si="1"/>
        <v>1999</v>
      </c>
      <c r="I14" s="49" t="str">
        <f t="shared" si="2"/>
        <v>3</v>
      </c>
      <c r="S14" s="745">
        <f>LARGE(A$8:A$742,6)</f>
        <v>44805</v>
      </c>
      <c r="T14" s="482">
        <f t="shared" si="4"/>
        <v>3.3260595339999997</v>
      </c>
      <c r="U14" s="481">
        <f t="shared" si="5"/>
        <v>1676.1088769999999</v>
      </c>
    </row>
    <row r="15" spans="1:21">
      <c r="A15" s="745">
        <v>36495</v>
      </c>
      <c r="B15" s="1370">
        <v>2.2909999999999999</v>
      </c>
      <c r="C15" s="1370">
        <v>617.71</v>
      </c>
      <c r="D15" s="1370">
        <v>0</v>
      </c>
      <c r="E15" s="1370">
        <v>0</v>
      </c>
      <c r="F15" s="1370">
        <f t="shared" si="3"/>
        <v>2.2909999999999999</v>
      </c>
      <c r="G15" s="1371">
        <f t="shared" si="0"/>
        <v>617.71</v>
      </c>
      <c r="H15" s="49">
        <f t="shared" si="1"/>
        <v>1999</v>
      </c>
      <c r="I15" s="49" t="str">
        <f t="shared" si="2"/>
        <v>4</v>
      </c>
      <c r="S15" s="745">
        <f>LARGE(A$8:A$742,5)</f>
        <v>44896</v>
      </c>
      <c r="T15" s="480">
        <f t="shared" si="4"/>
        <v>3.3728736399999995</v>
      </c>
      <c r="U15" s="479">
        <f t="shared" si="5"/>
        <v>1715.681079</v>
      </c>
    </row>
    <row r="16" spans="1:21">
      <c r="A16" s="745">
        <v>36586</v>
      </c>
      <c r="B16" s="1369">
        <v>2.3639999999999999</v>
      </c>
      <c r="C16" s="1369">
        <v>703.47</v>
      </c>
      <c r="D16" s="1369">
        <v>0</v>
      </c>
      <c r="E16" s="1369">
        <v>0</v>
      </c>
      <c r="F16" s="1369">
        <f t="shared" si="3"/>
        <v>2.3639999999999999</v>
      </c>
      <c r="G16" s="514">
        <f t="shared" si="0"/>
        <v>703.47</v>
      </c>
      <c r="H16" s="49">
        <f t="shared" si="1"/>
        <v>2000</v>
      </c>
      <c r="I16" s="49" t="str">
        <f t="shared" si="2"/>
        <v>1</v>
      </c>
      <c r="S16" s="745">
        <f>LARGE(A$8:A$742,4)</f>
        <v>44986</v>
      </c>
      <c r="T16" s="482">
        <f t="shared" si="4"/>
        <v>3.1040739999999998</v>
      </c>
      <c r="U16" s="481">
        <f t="shared" si="5"/>
        <v>1592.013465</v>
      </c>
    </row>
    <row r="17" spans="1:21">
      <c r="A17" s="745">
        <v>36678</v>
      </c>
      <c r="B17" s="1370">
        <v>2.4180000000000001</v>
      </c>
      <c r="C17" s="1370">
        <v>751.6</v>
      </c>
      <c r="D17" s="1370">
        <v>0</v>
      </c>
      <c r="E17" s="1370">
        <v>0</v>
      </c>
      <c r="F17" s="1370">
        <f t="shared" si="3"/>
        <v>2.4180000000000001</v>
      </c>
      <c r="G17" s="1371">
        <f t="shared" si="0"/>
        <v>751.6</v>
      </c>
      <c r="H17" s="49">
        <f t="shared" si="1"/>
        <v>2000</v>
      </c>
      <c r="I17" s="49" t="str">
        <f t="shared" si="2"/>
        <v>2</v>
      </c>
      <c r="S17" s="745">
        <f>LARGE(A$8:A$742,3)</f>
        <v>45078</v>
      </c>
      <c r="T17" s="480">
        <f t="shared" si="4"/>
        <v>3.23756982</v>
      </c>
      <c r="U17" s="479">
        <f t="shared" si="5"/>
        <v>1700.0588969999999</v>
      </c>
    </row>
    <row r="18" spans="1:21">
      <c r="A18" s="745">
        <v>36770</v>
      </c>
      <c r="B18" s="1369">
        <v>2.5499999999999998</v>
      </c>
      <c r="C18" s="1369">
        <v>791.53</v>
      </c>
      <c r="D18" s="1369">
        <v>0</v>
      </c>
      <c r="E18" s="1369">
        <v>0</v>
      </c>
      <c r="F18" s="1369">
        <f t="shared" si="3"/>
        <v>2.5499999999999998</v>
      </c>
      <c r="G18" s="514">
        <f t="shared" si="0"/>
        <v>791.53</v>
      </c>
      <c r="H18" s="49">
        <f t="shared" si="1"/>
        <v>2000</v>
      </c>
      <c r="I18" s="49" t="str">
        <f t="shared" si="2"/>
        <v>3</v>
      </c>
      <c r="S18" s="745">
        <f>LARGE(A$8:A$742,2)</f>
        <v>45170</v>
      </c>
      <c r="T18" s="482">
        <f t="shared" si="4"/>
        <v>3.1425676399999993</v>
      </c>
      <c r="U18" s="481">
        <f t="shared" si="5"/>
        <v>1605.6851019999999</v>
      </c>
    </row>
    <row r="19" spans="1:21" ht="15.75" thickBot="1">
      <c r="A19" s="745">
        <v>36861</v>
      </c>
      <c r="B19" s="1370">
        <v>2.67</v>
      </c>
      <c r="C19" s="1370">
        <v>940.88</v>
      </c>
      <c r="D19" s="1370">
        <v>0</v>
      </c>
      <c r="E19" s="1370">
        <v>0</v>
      </c>
      <c r="F19" s="1370">
        <f t="shared" si="3"/>
        <v>2.67</v>
      </c>
      <c r="G19" s="1371">
        <f t="shared" si="0"/>
        <v>940.88</v>
      </c>
      <c r="H19" s="49">
        <f t="shared" si="1"/>
        <v>2000</v>
      </c>
      <c r="I19" s="49" t="str">
        <f t="shared" si="2"/>
        <v>4</v>
      </c>
      <c r="S19" s="748">
        <f>LARGE(A$8:A$742,1)</f>
        <v>45261</v>
      </c>
      <c r="T19" s="1235">
        <f t="shared" si="4"/>
        <v>3.27865027</v>
      </c>
      <c r="U19" s="1236">
        <f t="shared" si="5"/>
        <v>1683.7073909999999</v>
      </c>
    </row>
    <row r="20" spans="1:21">
      <c r="A20" s="745">
        <v>36951</v>
      </c>
      <c r="B20" s="1369">
        <v>2.5990000000000002</v>
      </c>
      <c r="C20" s="1369">
        <v>880.32</v>
      </c>
      <c r="D20" s="1369">
        <v>0</v>
      </c>
      <c r="E20" s="1369">
        <v>0</v>
      </c>
      <c r="F20" s="1369">
        <f t="shared" si="3"/>
        <v>2.5990000000000002</v>
      </c>
      <c r="G20" s="514">
        <f t="shared" si="0"/>
        <v>880.32</v>
      </c>
      <c r="H20" s="49">
        <f t="shared" si="1"/>
        <v>2001</v>
      </c>
      <c r="I20" s="49" t="str">
        <f t="shared" si="2"/>
        <v>1</v>
      </c>
      <c r="S20" s="1"/>
    </row>
    <row r="21" spans="1:21">
      <c r="A21" s="745">
        <v>37043</v>
      </c>
      <c r="B21" s="1370">
        <v>2.67</v>
      </c>
      <c r="C21" s="1370">
        <v>987.94</v>
      </c>
      <c r="D21" s="1370">
        <v>0</v>
      </c>
      <c r="E21" s="1370">
        <v>0</v>
      </c>
      <c r="F21" s="1370">
        <f t="shared" si="3"/>
        <v>2.67</v>
      </c>
      <c r="G21" s="1371">
        <f t="shared" si="0"/>
        <v>987.94</v>
      </c>
      <c r="H21" s="49">
        <f t="shared" si="1"/>
        <v>2001</v>
      </c>
      <c r="I21" s="49" t="str">
        <f t="shared" si="2"/>
        <v>2</v>
      </c>
      <c r="S21" s="1"/>
    </row>
    <row r="22" spans="1:21">
      <c r="A22" s="745">
        <v>37135</v>
      </c>
      <c r="B22" s="1369">
        <v>2.8039999999999998</v>
      </c>
      <c r="C22" s="1369">
        <v>981.27</v>
      </c>
      <c r="D22" s="1369">
        <v>0</v>
      </c>
      <c r="E22" s="1369">
        <v>0</v>
      </c>
      <c r="F22" s="1369">
        <f t="shared" si="3"/>
        <v>2.8039999999999998</v>
      </c>
      <c r="G22" s="514">
        <f t="shared" si="0"/>
        <v>981.27</v>
      </c>
      <c r="H22" s="49">
        <f t="shared" si="1"/>
        <v>2001</v>
      </c>
      <c r="I22" s="49" t="str">
        <f t="shared" si="2"/>
        <v>3</v>
      </c>
      <c r="S22" s="1"/>
    </row>
    <row r="23" spans="1:21">
      <c r="A23" s="745">
        <v>37226</v>
      </c>
      <c r="B23" s="1370">
        <v>2.6850000000000001</v>
      </c>
      <c r="C23" s="1370">
        <v>917.02</v>
      </c>
      <c r="D23" s="1370">
        <v>0</v>
      </c>
      <c r="E23" s="1370">
        <v>0</v>
      </c>
      <c r="F23" s="1370">
        <f t="shared" si="3"/>
        <v>2.6850000000000001</v>
      </c>
      <c r="G23" s="1371">
        <f t="shared" si="0"/>
        <v>917.02</v>
      </c>
      <c r="H23" s="49">
        <f t="shared" si="1"/>
        <v>2001</v>
      </c>
      <c r="I23" s="49" t="str">
        <f t="shared" si="2"/>
        <v>4</v>
      </c>
      <c r="S23" s="1"/>
    </row>
    <row r="24" spans="1:21">
      <c r="A24" s="745">
        <v>37316</v>
      </c>
      <c r="B24" s="1369">
        <v>2.621</v>
      </c>
      <c r="C24" s="1369">
        <v>837.87</v>
      </c>
      <c r="D24" s="1369">
        <v>0</v>
      </c>
      <c r="E24" s="1369">
        <v>0</v>
      </c>
      <c r="F24" s="1369">
        <f t="shared" si="3"/>
        <v>2.621</v>
      </c>
      <c r="G24" s="514">
        <f t="shared" si="0"/>
        <v>837.87</v>
      </c>
      <c r="H24" s="49">
        <f t="shared" si="1"/>
        <v>2002</v>
      </c>
      <c r="I24" s="49" t="str">
        <f t="shared" si="2"/>
        <v>1</v>
      </c>
      <c r="S24" s="1"/>
    </row>
    <row r="25" spans="1:21">
      <c r="A25" s="745">
        <v>37408</v>
      </c>
      <c r="B25" s="1370">
        <v>2.7469999999999999</v>
      </c>
      <c r="C25" s="1370">
        <v>848.22</v>
      </c>
      <c r="D25" s="1370">
        <v>0</v>
      </c>
      <c r="E25" s="1370">
        <v>0</v>
      </c>
      <c r="F25" s="1370">
        <f t="shared" si="3"/>
        <v>2.7469999999999999</v>
      </c>
      <c r="G25" s="1371">
        <f t="shared" si="0"/>
        <v>848.22</v>
      </c>
      <c r="H25" s="49">
        <f t="shared" si="1"/>
        <v>2002</v>
      </c>
      <c r="I25" s="49" t="str">
        <f t="shared" si="2"/>
        <v>2</v>
      </c>
      <c r="S25" s="1"/>
    </row>
    <row r="26" spans="1:21">
      <c r="A26" s="745">
        <v>37500</v>
      </c>
      <c r="B26" s="1369">
        <v>2.93</v>
      </c>
      <c r="C26" s="1369">
        <v>867.88</v>
      </c>
      <c r="D26" s="1369">
        <v>0</v>
      </c>
      <c r="E26" s="1369">
        <v>0</v>
      </c>
      <c r="F26" s="1369">
        <f t="shared" si="3"/>
        <v>2.93</v>
      </c>
      <c r="G26" s="514">
        <f t="shared" si="0"/>
        <v>867.88</v>
      </c>
      <c r="H26" s="49">
        <f t="shared" si="1"/>
        <v>2002</v>
      </c>
      <c r="I26" s="49" t="str">
        <f t="shared" si="2"/>
        <v>3</v>
      </c>
      <c r="S26" s="1"/>
    </row>
    <row r="27" spans="1:21">
      <c r="A27" s="745">
        <v>37591</v>
      </c>
      <c r="B27" s="1370">
        <v>2.702</v>
      </c>
      <c r="C27" s="1370">
        <v>785.28</v>
      </c>
      <c r="D27" s="1370">
        <v>0</v>
      </c>
      <c r="E27" s="1370">
        <v>0</v>
      </c>
      <c r="F27" s="1370">
        <f t="shared" si="3"/>
        <v>2.702</v>
      </c>
      <c r="G27" s="1371">
        <f t="shared" si="0"/>
        <v>785.28</v>
      </c>
      <c r="H27" s="49">
        <f t="shared" si="1"/>
        <v>2002</v>
      </c>
      <c r="I27" s="49" t="str">
        <f t="shared" si="2"/>
        <v>4</v>
      </c>
    </row>
    <row r="28" spans="1:21">
      <c r="A28" s="745">
        <v>37681</v>
      </c>
      <c r="B28" s="1369">
        <v>2.8679999999999999</v>
      </c>
      <c r="C28" s="1369">
        <v>825.43</v>
      </c>
      <c r="D28" s="1369">
        <v>0</v>
      </c>
      <c r="E28" s="1369">
        <v>0</v>
      </c>
      <c r="F28" s="1369">
        <f t="shared" si="3"/>
        <v>2.8679999999999999</v>
      </c>
      <c r="G28" s="514">
        <f t="shared" si="0"/>
        <v>825.43</v>
      </c>
      <c r="H28" s="49">
        <f t="shared" si="1"/>
        <v>2003</v>
      </c>
      <c r="I28" s="49" t="str">
        <f t="shared" si="2"/>
        <v>1</v>
      </c>
    </row>
    <row r="29" spans="1:21">
      <c r="A29" s="745">
        <v>37773</v>
      </c>
      <c r="B29" s="1370">
        <v>2.6309999999999998</v>
      </c>
      <c r="C29" s="1370">
        <v>726.07</v>
      </c>
      <c r="D29" s="1370">
        <v>0</v>
      </c>
      <c r="E29" s="1370">
        <v>0</v>
      </c>
      <c r="F29" s="1370">
        <f t="shared" si="3"/>
        <v>2.6309999999999998</v>
      </c>
      <c r="G29" s="1371">
        <f t="shared" si="0"/>
        <v>726.07</v>
      </c>
      <c r="H29" s="49">
        <f t="shared" si="1"/>
        <v>2003</v>
      </c>
      <c r="I29" s="49" t="str">
        <f t="shared" si="2"/>
        <v>2</v>
      </c>
    </row>
    <row r="30" spans="1:21">
      <c r="A30" s="745">
        <v>37865</v>
      </c>
      <c r="B30" s="1369">
        <v>2.7226050000000002</v>
      </c>
      <c r="C30" s="1369">
        <v>755.41628309999999</v>
      </c>
      <c r="D30" s="1369">
        <v>0</v>
      </c>
      <c r="E30" s="1369">
        <v>0</v>
      </c>
      <c r="F30" s="1369">
        <f t="shared" si="3"/>
        <v>2.7226050000000002</v>
      </c>
      <c r="G30" s="514">
        <f t="shared" si="0"/>
        <v>755.41628309999999</v>
      </c>
      <c r="H30" s="49">
        <f t="shared" si="1"/>
        <v>2003</v>
      </c>
      <c r="I30" s="49" t="str">
        <f t="shared" si="2"/>
        <v>3</v>
      </c>
      <c r="S30" s="8"/>
      <c r="T30" s="8"/>
      <c r="U30" s="8"/>
    </row>
    <row r="31" spans="1:21" ht="15.75" thickBot="1">
      <c r="A31" s="745">
        <v>37956</v>
      </c>
      <c r="B31" s="1370">
        <v>3.006259</v>
      </c>
      <c r="C31" s="1370">
        <v>833.56663588000004</v>
      </c>
      <c r="D31" s="1370">
        <v>0</v>
      </c>
      <c r="E31" s="1370">
        <v>0</v>
      </c>
      <c r="F31" s="1370">
        <f t="shared" si="3"/>
        <v>3.006259</v>
      </c>
      <c r="G31" s="1371">
        <f t="shared" si="0"/>
        <v>833.56663588000004</v>
      </c>
      <c r="H31" s="49">
        <f t="shared" si="1"/>
        <v>2003</v>
      </c>
      <c r="I31" s="49" t="str">
        <f t="shared" si="2"/>
        <v>4</v>
      </c>
      <c r="S31" s="8"/>
      <c r="T31" s="8"/>
      <c r="U31" s="8"/>
    </row>
    <row r="32" spans="1:21">
      <c r="A32" s="745">
        <v>38047</v>
      </c>
      <c r="B32" s="1369">
        <v>2.6839559999999998</v>
      </c>
      <c r="C32" s="1369">
        <v>717.85749199999998</v>
      </c>
      <c r="D32" s="1369">
        <v>0</v>
      </c>
      <c r="E32" s="1369">
        <v>0</v>
      </c>
      <c r="F32" s="1369">
        <f t="shared" si="3"/>
        <v>2.6839559999999998</v>
      </c>
      <c r="G32" s="514">
        <f t="shared" si="0"/>
        <v>717.85749199999998</v>
      </c>
      <c r="H32" s="49">
        <f t="shared" si="1"/>
        <v>2004</v>
      </c>
      <c r="I32" s="49" t="str">
        <f t="shared" si="2"/>
        <v>1</v>
      </c>
      <c r="S32" s="1448" t="s">
        <v>247</v>
      </c>
      <c r="T32" s="1964" t="s">
        <v>240</v>
      </c>
      <c r="U32" s="1965"/>
    </row>
    <row r="33" spans="1:22">
      <c r="A33" s="745">
        <v>38139</v>
      </c>
      <c r="B33" s="1370">
        <v>2.753015</v>
      </c>
      <c r="C33" s="1370">
        <v>778.26961376999998</v>
      </c>
      <c r="D33" s="1370">
        <v>0</v>
      </c>
      <c r="E33" s="1370">
        <v>0</v>
      </c>
      <c r="F33" s="1370">
        <f t="shared" si="3"/>
        <v>2.753015</v>
      </c>
      <c r="G33" s="1371">
        <f t="shared" si="0"/>
        <v>778.26961376999998</v>
      </c>
      <c r="H33" s="49">
        <f t="shared" si="1"/>
        <v>2004</v>
      </c>
      <c r="I33" s="49" t="str">
        <f t="shared" si="2"/>
        <v>2</v>
      </c>
      <c r="S33" s="1961" t="str">
        <f>CONCATENATE(A4," Quantity and Value by Year")</f>
        <v xml:space="preserve"> Quantity and Value by Year</v>
      </c>
      <c r="T33" s="1962"/>
      <c r="U33" s="1963"/>
    </row>
    <row r="34" spans="1:22">
      <c r="A34" s="745">
        <v>38231</v>
      </c>
      <c r="B34" s="1369">
        <v>2.7297769999999999</v>
      </c>
      <c r="C34" s="1369">
        <v>855.71650026999998</v>
      </c>
      <c r="D34" s="1369">
        <v>0</v>
      </c>
      <c r="E34" s="1369">
        <v>0</v>
      </c>
      <c r="F34" s="1369">
        <f t="shared" si="3"/>
        <v>2.7297769999999999</v>
      </c>
      <c r="G34" s="514">
        <f t="shared" si="0"/>
        <v>855.71650026999998</v>
      </c>
      <c r="H34" s="49">
        <f t="shared" si="1"/>
        <v>2004</v>
      </c>
      <c r="I34" s="49" t="str">
        <f t="shared" si="2"/>
        <v>3</v>
      </c>
      <c r="S34" s="1449" t="s">
        <v>34</v>
      </c>
      <c r="T34" s="1450" t="str">
        <f>B7</f>
        <v>Quantity (Mt)</v>
      </c>
      <c r="U34" s="1451" t="str">
        <f>C7</f>
        <v>Value ($ Million)</v>
      </c>
    </row>
    <row r="35" spans="1:22">
      <c r="A35" s="745">
        <v>38322</v>
      </c>
      <c r="B35" s="1370">
        <v>2.8216380000000001</v>
      </c>
      <c r="C35" s="1370">
        <v>827.10882674000004</v>
      </c>
      <c r="D35" s="1370">
        <v>0</v>
      </c>
      <c r="E35" s="1370">
        <v>0</v>
      </c>
      <c r="F35" s="1370">
        <f t="shared" si="3"/>
        <v>2.8216380000000001</v>
      </c>
      <c r="G35" s="1371">
        <f t="shared" si="0"/>
        <v>827.10882674000004</v>
      </c>
      <c r="H35" s="49">
        <f t="shared" si="1"/>
        <v>2004</v>
      </c>
      <c r="I35" s="49" t="str">
        <f t="shared" si="2"/>
        <v>4</v>
      </c>
      <c r="S35" s="749">
        <f t="shared" ref="S35:S52" si="6">IF($T$32="Calendar Year", S36-1, LEFT(S36,4)-1 &amp; "-" &amp; MID(S36,3,2))</f>
        <v>2004</v>
      </c>
      <c r="T35" s="457">
        <f>IF($T$32="Calendar Year",SUMIF($H$8:$H$200,$S35,$F$8:$F$200),SUMIFS($F$8:$F$200,$H$8:$H$200,LEFT($S35,4),$I$8:$I$200,3)+SUMIFS($F$8:$F$200,$H$8:$H$200,LEFT($S35,4),$I$8:$I$200,4)+SUMIFS($F$9:$F$201,$H$8:$H$200,LEFT($S35,4)+1,$I$8:$I$200,1)+SUMIFS($F$8:$F$200,$H$8:$H$200,LEFT($S35,4)+1,$I$8:$I$200,2))</f>
        <v>10.988386</v>
      </c>
      <c r="U35" s="1288">
        <f t="shared" ref="U35:U54" si="7">IF(S35="","",IF($T$32="Calendar Year",SUMIF($H$8:$H$200,$S35,$G$8:$G$200),SUMIFS($G$8:$G$200,$H$8:$H$200,LEFT($S35,4),$I$8:$I$200,3)+SUMIFS($G$8:$G$200,$H$8:$H$200,LEFT($S35,4),$I$8:$I$200,4)+SUMIFS($G$8:$G$200,$H$8:$H$200,LEFT($S35,4)+1,$I$8:$I$200,1)+SUMIFS($G$8:$G$200,$H$8:$H$200,LEFT($S35,4)+1,$I$8:$I$200,2)))</f>
        <v>3178.95243278</v>
      </c>
      <c r="V35" s="67"/>
    </row>
    <row r="36" spans="1:22">
      <c r="A36" s="745">
        <v>38412</v>
      </c>
      <c r="B36" s="1369">
        <v>2.7125240000000002</v>
      </c>
      <c r="C36" s="1369">
        <v>825.33394757999997</v>
      </c>
      <c r="D36" s="1369">
        <v>0</v>
      </c>
      <c r="E36" s="1369">
        <v>0</v>
      </c>
      <c r="F36" s="1369">
        <f t="shared" si="3"/>
        <v>2.7125240000000002</v>
      </c>
      <c r="G36" s="514">
        <f t="shared" si="0"/>
        <v>825.33394757999997</v>
      </c>
      <c r="H36" s="49">
        <f t="shared" si="1"/>
        <v>2005</v>
      </c>
      <c r="I36" s="49" t="str">
        <f t="shared" si="2"/>
        <v>1</v>
      </c>
      <c r="S36" s="749">
        <f t="shared" si="6"/>
        <v>2005</v>
      </c>
      <c r="T36" s="456">
        <f t="shared" ref="T36:T54" si="8">IF(S36="","",IF($T$32="Calendar Year",SUMIF($H$8:$H$200,$S36,$F$8:$F$200),SUMIFS($F$8:$F$200,$H$8:$H$200,LEFT($S36,4),$I$8:$I$200,3)+SUMIFS($F$8:$F$200,$H$8:$H$200,LEFT($S36,4),$I$8:$I$200,4)+SUMIFS($F$8:$F$200,$H$8:$H$200,LEFT($S36,4)+1,$I$8:$I$200,1)+SUMIFS($F$8:$F$200,$H$8:$H$200,LEFT($S36,4)+1,$I$8:$I$200,2)))</f>
        <v>11.352183</v>
      </c>
      <c r="U36" s="1289">
        <f t="shared" si="7"/>
        <v>3594.8574879999996</v>
      </c>
      <c r="V36" s="67"/>
    </row>
    <row r="37" spans="1:22">
      <c r="A37" s="745">
        <v>38504</v>
      </c>
      <c r="B37" s="1370">
        <v>2.8762400000000001</v>
      </c>
      <c r="C37" s="1370">
        <v>922.53081992</v>
      </c>
      <c r="D37" s="1370">
        <v>0</v>
      </c>
      <c r="E37" s="1370">
        <v>0</v>
      </c>
      <c r="F37" s="1370">
        <f t="shared" si="3"/>
        <v>2.8762400000000001</v>
      </c>
      <c r="G37" s="1371">
        <f t="shared" si="0"/>
        <v>922.53081992</v>
      </c>
      <c r="H37" s="49">
        <f t="shared" si="1"/>
        <v>2005</v>
      </c>
      <c r="I37" s="49" t="str">
        <f t="shared" si="2"/>
        <v>2</v>
      </c>
      <c r="S37" s="749">
        <f t="shared" si="6"/>
        <v>2006</v>
      </c>
      <c r="T37" s="457">
        <f t="shared" si="8"/>
        <v>11.82174775</v>
      </c>
      <c r="U37" s="1288">
        <f t="shared" si="7"/>
        <v>4921.7215114199998</v>
      </c>
      <c r="V37" s="67"/>
    </row>
    <row r="38" spans="1:22">
      <c r="A38" s="745">
        <v>38596</v>
      </c>
      <c r="B38" s="1369">
        <v>2.720275</v>
      </c>
      <c r="C38" s="1369">
        <v>846.1177964200001</v>
      </c>
      <c r="D38" s="1369">
        <v>0</v>
      </c>
      <c r="E38" s="1369">
        <v>0</v>
      </c>
      <c r="F38" s="1369">
        <f t="shared" si="3"/>
        <v>2.720275</v>
      </c>
      <c r="G38" s="514">
        <f t="shared" si="0"/>
        <v>846.1177964200001</v>
      </c>
      <c r="H38" s="49">
        <f t="shared" si="1"/>
        <v>2005</v>
      </c>
      <c r="I38" s="49" t="str">
        <f t="shared" si="2"/>
        <v>3</v>
      </c>
      <c r="S38" s="749">
        <f t="shared" si="6"/>
        <v>2007</v>
      </c>
      <c r="T38" s="456">
        <f t="shared" si="8"/>
        <v>12.193625759000001</v>
      </c>
      <c r="U38" s="1289">
        <f t="shared" si="7"/>
        <v>5048.3498728499999</v>
      </c>
      <c r="V38" s="67"/>
    </row>
    <row r="39" spans="1:22">
      <c r="A39" s="745">
        <v>38687</v>
      </c>
      <c r="B39" s="1370">
        <v>3.0431439999999998</v>
      </c>
      <c r="C39" s="1370">
        <v>1000.87492408</v>
      </c>
      <c r="D39" s="1370">
        <v>0</v>
      </c>
      <c r="E39" s="1370">
        <v>0</v>
      </c>
      <c r="F39" s="1370">
        <f t="shared" si="3"/>
        <v>3.0431439999999998</v>
      </c>
      <c r="G39" s="1371">
        <f t="shared" si="0"/>
        <v>1000.87492408</v>
      </c>
      <c r="H39" s="49">
        <f t="shared" si="1"/>
        <v>2005</v>
      </c>
      <c r="I39" s="49" t="str">
        <f t="shared" si="2"/>
        <v>4</v>
      </c>
      <c r="S39" s="749">
        <f t="shared" si="6"/>
        <v>2008</v>
      </c>
      <c r="T39" s="457">
        <f t="shared" si="8"/>
        <v>12.245763095999999</v>
      </c>
      <c r="U39" s="1288">
        <f t="shared" si="7"/>
        <v>4759.5109524</v>
      </c>
      <c r="V39" s="67"/>
    </row>
    <row r="40" spans="1:22">
      <c r="A40" s="745">
        <v>38777</v>
      </c>
      <c r="B40" s="1369">
        <v>2.8225227500000001</v>
      </c>
      <c r="C40" s="1369">
        <v>1078.1791628400001</v>
      </c>
      <c r="D40" s="1369">
        <v>0</v>
      </c>
      <c r="E40" s="1369">
        <v>0</v>
      </c>
      <c r="F40" s="1369">
        <f t="shared" si="3"/>
        <v>2.8225227500000001</v>
      </c>
      <c r="G40" s="514">
        <f t="shared" si="0"/>
        <v>1078.1791628400001</v>
      </c>
      <c r="H40" s="49">
        <f t="shared" si="1"/>
        <v>2006</v>
      </c>
      <c r="I40" s="49" t="str">
        <f t="shared" si="2"/>
        <v>1</v>
      </c>
      <c r="S40" s="749">
        <f t="shared" si="6"/>
        <v>2009</v>
      </c>
      <c r="T40" s="456">
        <f t="shared" si="8"/>
        <v>12.42197</v>
      </c>
      <c r="U40" s="1289">
        <f t="shared" si="7"/>
        <v>3800.77350918</v>
      </c>
      <c r="V40" s="67"/>
    </row>
    <row r="41" spans="1:22">
      <c r="A41" s="745">
        <v>38869</v>
      </c>
      <c r="B41" s="1370">
        <v>2.8672520000000001</v>
      </c>
      <c r="C41" s="1370">
        <v>1227.7717472100001</v>
      </c>
      <c r="D41" s="1370">
        <v>0</v>
      </c>
      <c r="E41" s="1370">
        <v>0</v>
      </c>
      <c r="F41" s="1370">
        <f t="shared" si="3"/>
        <v>2.8672520000000001</v>
      </c>
      <c r="G41" s="1371">
        <f t="shared" si="0"/>
        <v>1227.7717472100001</v>
      </c>
      <c r="H41" s="49">
        <f t="shared" si="1"/>
        <v>2006</v>
      </c>
      <c r="I41" s="49" t="str">
        <f t="shared" si="2"/>
        <v>2</v>
      </c>
      <c r="S41" s="750">
        <f t="shared" si="6"/>
        <v>2010</v>
      </c>
      <c r="T41" s="457">
        <f t="shared" si="8"/>
        <v>12.563285</v>
      </c>
      <c r="U41" s="1288">
        <f t="shared" si="7"/>
        <v>3959.4147508300002</v>
      </c>
      <c r="V41" s="67"/>
    </row>
    <row r="42" spans="1:22">
      <c r="A42" s="745">
        <v>38961</v>
      </c>
      <c r="B42" s="1369">
        <v>2.9137900000000001</v>
      </c>
      <c r="C42" s="1369">
        <v>1244.1112385399999</v>
      </c>
      <c r="D42" s="1369">
        <v>0</v>
      </c>
      <c r="E42" s="1369">
        <v>0</v>
      </c>
      <c r="F42" s="1369">
        <f t="shared" si="3"/>
        <v>2.9137900000000001</v>
      </c>
      <c r="G42" s="514">
        <f t="shared" si="0"/>
        <v>1244.1112385399999</v>
      </c>
      <c r="H42" s="49">
        <f t="shared" si="1"/>
        <v>2006</v>
      </c>
      <c r="I42" s="49" t="str">
        <f t="shared" si="2"/>
        <v>3</v>
      </c>
      <c r="S42" s="750">
        <f t="shared" si="6"/>
        <v>2011</v>
      </c>
      <c r="T42" s="456">
        <f t="shared" si="8"/>
        <v>12.291484000000001</v>
      </c>
      <c r="U42" s="1289">
        <f t="shared" si="7"/>
        <v>4189.4656789399996</v>
      </c>
      <c r="V42" s="67"/>
    </row>
    <row r="43" spans="1:22">
      <c r="A43" s="745">
        <v>39052</v>
      </c>
      <c r="B43" s="1370">
        <v>3.2181829999999998</v>
      </c>
      <c r="C43" s="1370">
        <v>1371.65936283</v>
      </c>
      <c r="D43" s="1370">
        <v>0</v>
      </c>
      <c r="E43" s="1370">
        <v>0</v>
      </c>
      <c r="F43" s="1370">
        <f t="shared" si="3"/>
        <v>3.2181829999999998</v>
      </c>
      <c r="G43" s="1371">
        <f t="shared" si="0"/>
        <v>1371.65936283</v>
      </c>
      <c r="H43" s="49">
        <f t="shared" si="1"/>
        <v>2006</v>
      </c>
      <c r="I43" s="49" t="str">
        <f t="shared" si="2"/>
        <v>4</v>
      </c>
      <c r="S43" s="750">
        <f t="shared" si="6"/>
        <v>2012</v>
      </c>
      <c r="T43" s="457">
        <f t="shared" si="8"/>
        <v>12.81154939</v>
      </c>
      <c r="U43" s="1288">
        <f t="shared" si="7"/>
        <v>3831.1474728899998</v>
      </c>
      <c r="V43" s="67"/>
    </row>
    <row r="44" spans="1:22">
      <c r="A44" s="745">
        <v>39142</v>
      </c>
      <c r="B44" s="1369">
        <v>2.8526566380000005</v>
      </c>
      <c r="C44" s="1372">
        <v>1260.64760548</v>
      </c>
      <c r="D44" s="1369">
        <v>0</v>
      </c>
      <c r="E44" s="1369">
        <v>0</v>
      </c>
      <c r="F44" s="1369">
        <f t="shared" si="3"/>
        <v>2.8526566380000005</v>
      </c>
      <c r="G44" s="514">
        <f t="shared" si="0"/>
        <v>1260.64760548</v>
      </c>
      <c r="H44" s="49">
        <f t="shared" si="1"/>
        <v>2007</v>
      </c>
      <c r="I44" s="49" t="str">
        <f t="shared" si="2"/>
        <v>1</v>
      </c>
      <c r="S44" s="750">
        <f t="shared" si="6"/>
        <v>2013</v>
      </c>
      <c r="T44" s="456">
        <f t="shared" si="8"/>
        <v>13.625703529999999</v>
      </c>
      <c r="U44" s="1289">
        <f t="shared" si="7"/>
        <v>4147.0508929999996</v>
      </c>
      <c r="V44" s="67"/>
    </row>
    <row r="45" spans="1:22">
      <c r="A45" s="745">
        <v>39234</v>
      </c>
      <c r="B45" s="1370">
        <v>3.006617425</v>
      </c>
      <c r="C45" s="1373">
        <v>1274.8707756099998</v>
      </c>
      <c r="D45" s="1370">
        <v>0</v>
      </c>
      <c r="E45" s="1370">
        <v>0</v>
      </c>
      <c r="F45" s="1370">
        <f t="shared" si="3"/>
        <v>3.006617425</v>
      </c>
      <c r="G45" s="1371">
        <f t="shared" si="0"/>
        <v>1274.8707756099998</v>
      </c>
      <c r="H45" s="49">
        <f t="shared" si="1"/>
        <v>2007</v>
      </c>
      <c r="I45" s="49" t="str">
        <f t="shared" si="2"/>
        <v>2</v>
      </c>
      <c r="S45" s="750">
        <f t="shared" si="6"/>
        <v>2014</v>
      </c>
      <c r="T45" s="457">
        <f t="shared" si="8"/>
        <v>13.876846259999999</v>
      </c>
      <c r="U45" s="1288">
        <f t="shared" si="7"/>
        <v>4561.7391589999997</v>
      </c>
      <c r="V45" s="67"/>
    </row>
    <row r="46" spans="1:22">
      <c r="A46" s="745">
        <v>39326</v>
      </c>
      <c r="B46" s="1369">
        <v>3.137426526</v>
      </c>
      <c r="C46" s="1372">
        <v>1300.1445779999999</v>
      </c>
      <c r="D46" s="1369">
        <v>0</v>
      </c>
      <c r="E46" s="1369">
        <v>0</v>
      </c>
      <c r="F46" s="1369">
        <f t="shared" si="3"/>
        <v>3.137426526</v>
      </c>
      <c r="G46" s="514">
        <f t="shared" si="0"/>
        <v>1300.1445779999999</v>
      </c>
      <c r="H46" s="49">
        <f t="shared" si="1"/>
        <v>2007</v>
      </c>
      <c r="I46" s="49" t="str">
        <f t="shared" si="2"/>
        <v>3</v>
      </c>
      <c r="S46" s="750">
        <f t="shared" si="6"/>
        <v>2015</v>
      </c>
      <c r="T46" s="456">
        <f t="shared" si="8"/>
        <v>13.778493585999998</v>
      </c>
      <c r="U46" s="1289">
        <f t="shared" si="7"/>
        <v>5290.3826119999994</v>
      </c>
      <c r="V46" s="67"/>
    </row>
    <row r="47" spans="1:22">
      <c r="A47" s="745">
        <v>39417</v>
      </c>
      <c r="B47" s="1370">
        <v>3.1969251700000001</v>
      </c>
      <c r="C47" s="1373">
        <v>1212.6869137599999</v>
      </c>
      <c r="D47" s="1370">
        <v>0</v>
      </c>
      <c r="E47" s="1370">
        <v>0</v>
      </c>
      <c r="F47" s="1370">
        <f t="shared" si="3"/>
        <v>3.1969251700000001</v>
      </c>
      <c r="G47" s="1371">
        <f t="shared" si="0"/>
        <v>1212.6869137599999</v>
      </c>
      <c r="H47" s="49">
        <f t="shared" si="1"/>
        <v>2007</v>
      </c>
      <c r="I47" s="49" t="str">
        <f t="shared" si="2"/>
        <v>4</v>
      </c>
      <c r="S47" s="750">
        <f t="shared" si="6"/>
        <v>2016</v>
      </c>
      <c r="T47" s="457">
        <f t="shared" si="8"/>
        <v>13.922088889999999</v>
      </c>
      <c r="U47" s="1288">
        <f t="shared" si="7"/>
        <v>4584.1956790000004</v>
      </c>
      <c r="V47" s="67"/>
    </row>
    <row r="48" spans="1:22">
      <c r="A48" s="745">
        <v>39508</v>
      </c>
      <c r="B48" s="1369">
        <v>3.0313540959999998</v>
      </c>
      <c r="C48" s="1372">
        <v>1133.7727281</v>
      </c>
      <c r="D48" s="1369">
        <v>0</v>
      </c>
      <c r="E48" s="1369">
        <v>0</v>
      </c>
      <c r="F48" s="1369">
        <f t="shared" si="3"/>
        <v>3.0313540959999998</v>
      </c>
      <c r="G48" s="514">
        <f t="shared" si="0"/>
        <v>1133.7727281</v>
      </c>
      <c r="H48" s="49">
        <f t="shared" si="1"/>
        <v>2008</v>
      </c>
      <c r="I48" s="49" t="str">
        <f t="shared" si="2"/>
        <v>1</v>
      </c>
      <c r="S48" s="750">
        <f t="shared" si="6"/>
        <v>2017</v>
      </c>
      <c r="T48" s="456">
        <f t="shared" si="8"/>
        <v>14.671006449999998</v>
      </c>
      <c r="U48" s="1289">
        <f t="shared" si="7"/>
        <v>5878.3498520000003</v>
      </c>
      <c r="V48" s="67"/>
    </row>
    <row r="49" spans="1:25">
      <c r="A49" s="745">
        <v>39600</v>
      </c>
      <c r="B49" s="1370">
        <v>2.9555720000000001</v>
      </c>
      <c r="C49" s="1373">
        <v>1191.81323365</v>
      </c>
      <c r="D49" s="1370">
        <v>0</v>
      </c>
      <c r="E49" s="1370">
        <v>0</v>
      </c>
      <c r="F49" s="1370">
        <f t="shared" si="3"/>
        <v>2.9555720000000001</v>
      </c>
      <c r="G49" s="1371">
        <f t="shared" si="0"/>
        <v>1191.81323365</v>
      </c>
      <c r="H49" s="49">
        <f t="shared" si="1"/>
        <v>2008</v>
      </c>
      <c r="I49" s="49" t="str">
        <f t="shared" si="2"/>
        <v>2</v>
      </c>
      <c r="S49" s="750">
        <f t="shared" si="6"/>
        <v>2018</v>
      </c>
      <c r="T49" s="457">
        <f t="shared" si="8"/>
        <v>14.979393799999997</v>
      </c>
      <c r="U49" s="1288">
        <f t="shared" si="7"/>
        <v>7924.8548729999993</v>
      </c>
      <c r="V49" s="67"/>
    </row>
    <row r="50" spans="1:25">
      <c r="A50" s="745">
        <v>39692</v>
      </c>
      <c r="B50" s="1369">
        <v>3.143386</v>
      </c>
      <c r="C50" s="1372">
        <v>1236.8389339299999</v>
      </c>
      <c r="D50" s="1369">
        <v>0</v>
      </c>
      <c r="E50" s="1369">
        <v>0</v>
      </c>
      <c r="F50" s="1369">
        <f t="shared" si="3"/>
        <v>3.143386</v>
      </c>
      <c r="G50" s="514">
        <f t="shared" si="0"/>
        <v>1236.8389339299999</v>
      </c>
      <c r="H50" s="49">
        <f t="shared" si="1"/>
        <v>2008</v>
      </c>
      <c r="I50" s="49" t="str">
        <f t="shared" si="2"/>
        <v>3</v>
      </c>
      <c r="S50" s="750">
        <f t="shared" si="6"/>
        <v>2019</v>
      </c>
      <c r="T50" s="456">
        <f t="shared" si="8"/>
        <v>15.885883452999998</v>
      </c>
      <c r="U50" s="1289">
        <f t="shared" si="7"/>
        <v>7361.2106919999997</v>
      </c>
      <c r="V50" s="67"/>
    </row>
    <row r="51" spans="1:25">
      <c r="A51" s="745">
        <v>39783</v>
      </c>
      <c r="B51" s="1370">
        <v>3.1154510000000002</v>
      </c>
      <c r="C51" s="1373">
        <v>1197.08605672</v>
      </c>
      <c r="D51" s="1370">
        <v>0</v>
      </c>
      <c r="E51" s="1370">
        <v>0</v>
      </c>
      <c r="F51" s="1370">
        <f t="shared" si="3"/>
        <v>3.1154510000000002</v>
      </c>
      <c r="G51" s="1371">
        <f t="shared" si="0"/>
        <v>1197.08605672</v>
      </c>
      <c r="H51" s="49">
        <f t="shared" si="1"/>
        <v>2008</v>
      </c>
      <c r="I51" s="49" t="str">
        <f t="shared" si="2"/>
        <v>4</v>
      </c>
      <c r="S51" s="750">
        <f t="shared" si="6"/>
        <v>2020</v>
      </c>
      <c r="T51" s="457">
        <f t="shared" si="8"/>
        <v>16.198470989999997</v>
      </c>
      <c r="U51" s="1288">
        <f t="shared" si="7"/>
        <v>5855.7403219999997</v>
      </c>
      <c r="V51" s="67"/>
    </row>
    <row r="52" spans="1:25">
      <c r="A52" s="745">
        <v>39873</v>
      </c>
      <c r="B52" s="1369">
        <v>2.9973230000000002</v>
      </c>
      <c r="C52" s="1372">
        <v>1003.55684931</v>
      </c>
      <c r="D52" s="1369">
        <v>0</v>
      </c>
      <c r="E52" s="1369">
        <v>0</v>
      </c>
      <c r="F52" s="1369">
        <f t="shared" si="3"/>
        <v>2.9973230000000002</v>
      </c>
      <c r="G52" s="514">
        <f t="shared" si="0"/>
        <v>1003.55684931</v>
      </c>
      <c r="H52" s="49">
        <f t="shared" si="1"/>
        <v>2009</v>
      </c>
      <c r="I52" s="49" t="str">
        <f t="shared" si="2"/>
        <v>1</v>
      </c>
      <c r="S52" s="750">
        <f t="shared" si="6"/>
        <v>2021</v>
      </c>
      <c r="T52" s="456">
        <f t="shared" si="8"/>
        <v>15.2645722</v>
      </c>
      <c r="U52" s="1289">
        <f t="shared" si="7"/>
        <v>5924.6599470000001</v>
      </c>
      <c r="V52" s="67"/>
    </row>
    <row r="53" spans="1:25">
      <c r="A53" s="745">
        <v>39965</v>
      </c>
      <c r="B53" s="1370">
        <v>3.015393</v>
      </c>
      <c r="C53" s="1373">
        <v>915.16211041999998</v>
      </c>
      <c r="D53" s="1370">
        <v>0</v>
      </c>
      <c r="E53" s="1370">
        <v>0</v>
      </c>
      <c r="F53" s="1370">
        <f t="shared" si="3"/>
        <v>3.015393</v>
      </c>
      <c r="G53" s="1371">
        <f t="shared" si="0"/>
        <v>915.16211041999998</v>
      </c>
      <c r="H53" s="49">
        <f t="shared" si="1"/>
        <v>2009</v>
      </c>
      <c r="I53" s="49" t="str">
        <f t="shared" si="2"/>
        <v>2</v>
      </c>
      <c r="S53" s="750">
        <f>IF($T$32="Calendar Year", S54-1, LEFT(S54,4)-1 &amp; "-" &amp; MID(S54,3,2))</f>
        <v>2022</v>
      </c>
      <c r="T53" s="457">
        <f t="shared" si="8"/>
        <v>13.462240954</v>
      </c>
      <c r="U53" s="1288">
        <f t="shared" si="7"/>
        <v>6860.9122069999994</v>
      </c>
      <c r="V53" s="67"/>
    </row>
    <row r="54" spans="1:25" ht="15.75" thickBot="1">
      <c r="A54" s="745">
        <v>40057</v>
      </c>
      <c r="B54" s="1369">
        <v>3.1684800000000002</v>
      </c>
      <c r="C54" s="1372">
        <v>930.12488985000005</v>
      </c>
      <c r="D54" s="1369">
        <v>0</v>
      </c>
      <c r="E54" s="1369">
        <v>0</v>
      </c>
      <c r="F54" s="1369">
        <f t="shared" si="3"/>
        <v>3.1684800000000002</v>
      </c>
      <c r="G54" s="514">
        <f t="shared" si="0"/>
        <v>930.12488985000005</v>
      </c>
      <c r="H54" s="49">
        <f t="shared" si="1"/>
        <v>2009</v>
      </c>
      <c r="I54" s="49" t="str">
        <f t="shared" si="2"/>
        <v>3</v>
      </c>
      <c r="N54" s="92"/>
      <c r="S54" s="1180">
        <f>IF($T$32="Calendar Year",
    YEAR(LARGE(A:A, 4)),
    IF(MONTH(LARGE(A:A, 4))&gt;6,
        YEAR(LARGE(A:A, 4)) &amp; "-" &amp; RIGHT(YEAR(LARGE(A:A, 4))+1),
        YEAR(LARGE(A:A, 4))-1 &amp; "-" &amp; RIGHT(YEAR(LARGE(A:A, 4)), 2)
    ))</f>
        <v>2023</v>
      </c>
      <c r="T54" s="1720">
        <f t="shared" si="8"/>
        <v>12.762861729999999</v>
      </c>
      <c r="U54" s="1721">
        <f t="shared" si="7"/>
        <v>6581.4648550000002</v>
      </c>
      <c r="V54" s="67"/>
    </row>
    <row r="55" spans="1:25">
      <c r="A55" s="745">
        <v>40148</v>
      </c>
      <c r="B55" s="1370">
        <v>3.240774</v>
      </c>
      <c r="C55" s="1373">
        <v>951.92965960000004</v>
      </c>
      <c r="D55" s="1370">
        <v>0</v>
      </c>
      <c r="E55" s="1370">
        <v>0</v>
      </c>
      <c r="F55" s="1370">
        <f t="shared" si="3"/>
        <v>3.240774</v>
      </c>
      <c r="G55" s="1371">
        <f t="shared" si="0"/>
        <v>951.92965960000004</v>
      </c>
      <c r="H55" s="49">
        <f t="shared" si="1"/>
        <v>2009</v>
      </c>
      <c r="I55" s="49" t="str">
        <f t="shared" si="2"/>
        <v>4</v>
      </c>
      <c r="S55" s="1722"/>
      <c r="T55" s="823"/>
      <c r="U55" s="1723"/>
      <c r="V55" s="67"/>
    </row>
    <row r="56" spans="1:25">
      <c r="A56" s="745">
        <v>40238</v>
      </c>
      <c r="B56" s="1369">
        <v>3.0067400000000002</v>
      </c>
      <c r="C56" s="1372">
        <v>951.88239245</v>
      </c>
      <c r="D56" s="1369">
        <v>0</v>
      </c>
      <c r="E56" s="1369">
        <v>0</v>
      </c>
      <c r="F56" s="1369">
        <f t="shared" si="3"/>
        <v>3.0067400000000002</v>
      </c>
      <c r="G56" s="514">
        <f t="shared" si="0"/>
        <v>951.88239245</v>
      </c>
      <c r="H56" s="49">
        <f t="shared" si="1"/>
        <v>2010</v>
      </c>
      <c r="I56" s="49" t="str">
        <f t="shared" si="2"/>
        <v>1</v>
      </c>
      <c r="O56" s="95"/>
      <c r="S56" s="1722"/>
      <c r="T56" s="823"/>
      <c r="U56" s="1723"/>
      <c r="V56" s="67"/>
    </row>
    <row r="57" spans="1:25">
      <c r="A57" s="745">
        <v>40330</v>
      </c>
      <c r="B57" s="1370">
        <v>3.2271839999999998</v>
      </c>
      <c r="C57" s="1373">
        <v>1037.25485976</v>
      </c>
      <c r="D57" s="1370">
        <v>0</v>
      </c>
      <c r="E57" s="1370">
        <v>0</v>
      </c>
      <c r="F57" s="1370">
        <f t="shared" si="3"/>
        <v>3.2271839999999998</v>
      </c>
      <c r="G57" s="1371">
        <f t="shared" si="0"/>
        <v>1037.25485976</v>
      </c>
      <c r="H57" s="49">
        <f t="shared" si="1"/>
        <v>2010</v>
      </c>
      <c r="I57" s="49" t="str">
        <f t="shared" si="2"/>
        <v>2</v>
      </c>
      <c r="S57" s="1722"/>
      <c r="T57" s="823"/>
      <c r="U57" s="1723"/>
      <c r="V57" s="67"/>
    </row>
    <row r="58" spans="1:25">
      <c r="A58" s="745">
        <v>40422</v>
      </c>
      <c r="B58" s="1369">
        <v>3.1595629999999999</v>
      </c>
      <c r="C58" s="1372">
        <v>971.95403041000009</v>
      </c>
      <c r="D58" s="1369">
        <v>0</v>
      </c>
      <c r="E58" s="1369">
        <v>0</v>
      </c>
      <c r="F58" s="1369">
        <f t="shared" si="3"/>
        <v>3.1595629999999999</v>
      </c>
      <c r="G58" s="514">
        <f t="shared" si="0"/>
        <v>971.95403041000009</v>
      </c>
      <c r="H58" s="49">
        <f t="shared" si="1"/>
        <v>2010</v>
      </c>
      <c r="I58" s="49" t="str">
        <f t="shared" si="2"/>
        <v>3</v>
      </c>
      <c r="S58" s="1722"/>
      <c r="T58" s="823"/>
      <c r="U58" s="1723"/>
      <c r="V58" s="67"/>
      <c r="Y58" s="60"/>
    </row>
    <row r="59" spans="1:25">
      <c r="A59" s="745">
        <v>40513</v>
      </c>
      <c r="B59" s="1370">
        <v>3.1697980000000001</v>
      </c>
      <c r="C59" s="1373">
        <v>998.32346820999999</v>
      </c>
      <c r="D59" s="1370">
        <v>0</v>
      </c>
      <c r="E59" s="1370">
        <v>0</v>
      </c>
      <c r="F59" s="1370">
        <f t="shared" si="3"/>
        <v>3.1697980000000001</v>
      </c>
      <c r="G59" s="1371">
        <f t="shared" si="0"/>
        <v>998.32346820999999</v>
      </c>
      <c r="H59" s="49">
        <f t="shared" si="1"/>
        <v>2010</v>
      </c>
      <c r="I59" s="49" t="str">
        <f t="shared" si="2"/>
        <v>4</v>
      </c>
      <c r="S59" s="1722"/>
      <c r="T59" s="823"/>
      <c r="U59" s="1723"/>
      <c r="V59" s="67"/>
    </row>
    <row r="60" spans="1:25">
      <c r="A60" s="745">
        <v>40603</v>
      </c>
      <c r="B60" s="1369">
        <v>2.903823</v>
      </c>
      <c r="C60" s="1372">
        <v>984.45788801999993</v>
      </c>
      <c r="D60" s="1369">
        <v>0</v>
      </c>
      <c r="E60" s="1369">
        <v>0</v>
      </c>
      <c r="F60" s="1369">
        <f t="shared" si="3"/>
        <v>2.903823</v>
      </c>
      <c r="G60" s="514">
        <f t="shared" si="0"/>
        <v>984.45788801999993</v>
      </c>
      <c r="H60" s="49">
        <f t="shared" si="1"/>
        <v>2011</v>
      </c>
      <c r="I60" s="49" t="str">
        <f t="shared" si="2"/>
        <v>1</v>
      </c>
      <c r="S60" s="455"/>
      <c r="T60" s="454"/>
      <c r="U60" s="254"/>
    </row>
    <row r="61" spans="1:25">
      <c r="A61" s="745">
        <v>40695</v>
      </c>
      <c r="B61" s="1370">
        <v>3.0474450000000002</v>
      </c>
      <c r="C61" s="1373">
        <v>1035.6409885099999</v>
      </c>
      <c r="D61" s="1370">
        <v>0</v>
      </c>
      <c r="E61" s="1370">
        <v>0</v>
      </c>
      <c r="F61" s="1370">
        <f t="shared" si="3"/>
        <v>3.0474450000000002</v>
      </c>
      <c r="G61" s="1371">
        <f t="shared" si="0"/>
        <v>1035.6409885099999</v>
      </c>
      <c r="H61" s="49">
        <f t="shared" si="1"/>
        <v>2011</v>
      </c>
      <c r="I61" s="49" t="str">
        <f t="shared" si="2"/>
        <v>2</v>
      </c>
    </row>
    <row r="62" spans="1:25">
      <c r="A62" s="745">
        <v>40787</v>
      </c>
      <c r="B62" s="1369">
        <v>3.1583139999999998</v>
      </c>
      <c r="C62" s="1372">
        <v>1077.37941153</v>
      </c>
      <c r="D62" s="1369">
        <v>0</v>
      </c>
      <c r="E62" s="1369">
        <v>0</v>
      </c>
      <c r="F62" s="1369">
        <f t="shared" si="3"/>
        <v>3.1583139999999998</v>
      </c>
      <c r="G62" s="514">
        <f t="shared" si="0"/>
        <v>1077.37941153</v>
      </c>
      <c r="H62" s="49">
        <f t="shared" si="1"/>
        <v>2011</v>
      </c>
      <c r="I62" s="49" t="str">
        <f t="shared" si="2"/>
        <v>3</v>
      </c>
      <c r="N62" s="228"/>
    </row>
    <row r="63" spans="1:25">
      <c r="A63" s="745">
        <v>40878</v>
      </c>
      <c r="B63" s="1370">
        <v>3.181902</v>
      </c>
      <c r="C63" s="1373">
        <v>1091.98739088</v>
      </c>
      <c r="D63" s="1370">
        <v>0</v>
      </c>
      <c r="E63" s="1370">
        <v>0</v>
      </c>
      <c r="F63" s="1370">
        <f t="shared" si="3"/>
        <v>3.181902</v>
      </c>
      <c r="G63" s="1371">
        <f t="shared" si="0"/>
        <v>1091.98739088</v>
      </c>
      <c r="H63" s="49">
        <f t="shared" si="1"/>
        <v>2011</v>
      </c>
      <c r="I63" s="49" t="str">
        <f t="shared" si="2"/>
        <v>4</v>
      </c>
    </row>
    <row r="64" spans="1:25">
      <c r="A64" s="745">
        <v>40969</v>
      </c>
      <c r="B64" s="1369">
        <v>3.13856044</v>
      </c>
      <c r="C64" s="1372">
        <v>954.67792485999985</v>
      </c>
      <c r="D64" s="1369">
        <v>0</v>
      </c>
      <c r="E64" s="1369">
        <v>0</v>
      </c>
      <c r="F64" s="1369">
        <f t="shared" si="3"/>
        <v>3.13856044</v>
      </c>
      <c r="G64" s="514">
        <f t="shared" si="0"/>
        <v>954.67792485999985</v>
      </c>
      <c r="H64" s="49">
        <f t="shared" si="1"/>
        <v>2012</v>
      </c>
      <c r="I64" s="49" t="str">
        <f t="shared" si="2"/>
        <v>1</v>
      </c>
    </row>
    <row r="65" spans="1:12">
      <c r="A65" s="745">
        <v>41061</v>
      </c>
      <c r="B65" s="1370">
        <v>2.9460838900000001</v>
      </c>
      <c r="C65" s="1373">
        <v>886.17465431000005</v>
      </c>
      <c r="D65" s="1370">
        <v>0</v>
      </c>
      <c r="E65" s="1370">
        <v>0</v>
      </c>
      <c r="F65" s="1370">
        <f t="shared" si="3"/>
        <v>2.9460838900000001</v>
      </c>
      <c r="G65" s="1371">
        <f t="shared" si="0"/>
        <v>886.17465431000005</v>
      </c>
      <c r="H65" s="49">
        <f t="shared" si="1"/>
        <v>2012</v>
      </c>
      <c r="I65" s="49" t="str">
        <f t="shared" si="2"/>
        <v>2</v>
      </c>
    </row>
    <row r="66" spans="1:12">
      <c r="A66" s="745">
        <v>41153</v>
      </c>
      <c r="B66" s="1369">
        <v>3.3496731800000004</v>
      </c>
      <c r="C66" s="1372">
        <v>999.30645370000002</v>
      </c>
      <c r="D66" s="1369">
        <v>0</v>
      </c>
      <c r="E66" s="1369">
        <v>0</v>
      </c>
      <c r="F66" s="1369">
        <f t="shared" si="3"/>
        <v>3.3496731800000004</v>
      </c>
      <c r="G66" s="514">
        <f t="shared" si="0"/>
        <v>999.30645370000002</v>
      </c>
      <c r="H66" s="49">
        <f t="shared" si="1"/>
        <v>2012</v>
      </c>
      <c r="I66" s="49" t="str">
        <f t="shared" si="2"/>
        <v>3</v>
      </c>
    </row>
    <row r="67" spans="1:12">
      <c r="A67" s="745">
        <v>41244</v>
      </c>
      <c r="B67" s="1370">
        <v>3.3772318800000001</v>
      </c>
      <c r="C67" s="1373">
        <v>990.98844001999998</v>
      </c>
      <c r="D67" s="1370">
        <v>0</v>
      </c>
      <c r="E67" s="1370">
        <v>0</v>
      </c>
      <c r="F67" s="1370">
        <f t="shared" si="3"/>
        <v>3.3772318800000001</v>
      </c>
      <c r="G67" s="1371">
        <f t="shared" si="0"/>
        <v>990.98844001999998</v>
      </c>
      <c r="H67" s="49">
        <f t="shared" si="1"/>
        <v>2012</v>
      </c>
      <c r="I67" s="49" t="str">
        <f t="shared" si="2"/>
        <v>4</v>
      </c>
    </row>
    <row r="68" spans="1:12">
      <c r="A68" s="745">
        <v>41334</v>
      </c>
      <c r="B68" s="1369">
        <v>3.3653829900000001</v>
      </c>
      <c r="C68" s="1372">
        <v>1004.8829139999999</v>
      </c>
      <c r="D68" s="1369">
        <v>0</v>
      </c>
      <c r="E68" s="1369">
        <v>0</v>
      </c>
      <c r="F68" s="1369">
        <f t="shared" si="3"/>
        <v>3.3653829900000001</v>
      </c>
      <c r="G68" s="514">
        <f t="shared" si="0"/>
        <v>1004.8829139999999</v>
      </c>
      <c r="H68" s="49">
        <f t="shared" si="1"/>
        <v>2013</v>
      </c>
      <c r="I68" s="49" t="str">
        <f t="shared" si="2"/>
        <v>1</v>
      </c>
    </row>
    <row r="69" spans="1:12">
      <c r="A69" s="745">
        <v>41426</v>
      </c>
      <c r="B69" s="1370">
        <v>3.4384641199999999</v>
      </c>
      <c r="C69" s="1373">
        <v>1032.6324090000001</v>
      </c>
      <c r="D69" s="1370">
        <v>0</v>
      </c>
      <c r="E69" s="1370">
        <v>0</v>
      </c>
      <c r="F69" s="1370">
        <f t="shared" si="3"/>
        <v>3.4384641199999999</v>
      </c>
      <c r="G69" s="1371">
        <f t="shared" si="0"/>
        <v>1032.6324090000001</v>
      </c>
      <c r="H69" s="49">
        <f t="shared" si="1"/>
        <v>2013</v>
      </c>
      <c r="I69" s="49" t="str">
        <f t="shared" si="2"/>
        <v>2</v>
      </c>
    </row>
    <row r="70" spans="1:12">
      <c r="A70" s="745">
        <v>41518</v>
      </c>
      <c r="B70" s="1369">
        <v>3.3039522099999998</v>
      </c>
      <c r="C70" s="1372">
        <v>1029.303087</v>
      </c>
      <c r="D70" s="1369">
        <v>0</v>
      </c>
      <c r="E70" s="1369">
        <v>0</v>
      </c>
      <c r="F70" s="1369">
        <f t="shared" si="3"/>
        <v>3.3039522099999998</v>
      </c>
      <c r="G70" s="514">
        <f t="shared" si="0"/>
        <v>1029.303087</v>
      </c>
      <c r="H70" s="49">
        <f t="shared" si="1"/>
        <v>2013</v>
      </c>
      <c r="I70" s="49" t="str">
        <f t="shared" si="2"/>
        <v>3</v>
      </c>
    </row>
    <row r="71" spans="1:12">
      <c r="A71" s="745">
        <v>41609</v>
      </c>
      <c r="B71" s="1370">
        <v>3.5179042099999998</v>
      </c>
      <c r="C71" s="1373">
        <v>1080.232483</v>
      </c>
      <c r="D71" s="1370">
        <v>0</v>
      </c>
      <c r="E71" s="1370">
        <v>0</v>
      </c>
      <c r="F71" s="1370">
        <f t="shared" si="3"/>
        <v>3.5179042099999998</v>
      </c>
      <c r="G71" s="1371">
        <f t="shared" si="0"/>
        <v>1080.232483</v>
      </c>
      <c r="H71" s="49">
        <f t="shared" si="1"/>
        <v>2013</v>
      </c>
      <c r="I71" s="49" t="str">
        <f t="shared" si="2"/>
        <v>4</v>
      </c>
    </row>
    <row r="72" spans="1:12">
      <c r="A72" s="745">
        <v>41699</v>
      </c>
      <c r="B72" s="1369">
        <v>3.4847233900000001</v>
      </c>
      <c r="C72" s="1372">
        <v>1117.855249</v>
      </c>
      <c r="D72" s="1369">
        <v>0</v>
      </c>
      <c r="E72" s="1369">
        <v>0</v>
      </c>
      <c r="F72" s="1369">
        <f t="shared" si="3"/>
        <v>3.4847233900000001</v>
      </c>
      <c r="G72" s="514">
        <f t="shared" ref="G72:G87" si="9">SUM(C72+E72)</f>
        <v>1117.855249</v>
      </c>
      <c r="H72" s="49">
        <f t="shared" ref="H72:H135" si="10">YEAR(A72)</f>
        <v>2014</v>
      </c>
      <c r="I72" s="49" t="str">
        <f t="shared" ref="I72:I135" si="11">IF(MONTH(A72)=3,"1",IF(MONTH(A72)=6,"2",IF(MONTH(A72)=9,"3","4")))</f>
        <v>1</v>
      </c>
    </row>
    <row r="73" spans="1:12">
      <c r="A73" s="745">
        <v>41791</v>
      </c>
      <c r="B73" s="1370">
        <v>3.41137187</v>
      </c>
      <c r="C73" s="1373">
        <v>1067.9578799999999</v>
      </c>
      <c r="D73" s="1370">
        <v>0</v>
      </c>
      <c r="E73" s="1370">
        <v>0</v>
      </c>
      <c r="F73" s="1370">
        <f t="shared" ref="F73:F87" si="12">SUM(B73+D73)</f>
        <v>3.41137187</v>
      </c>
      <c r="G73" s="1371">
        <f t="shared" si="9"/>
        <v>1067.9578799999999</v>
      </c>
      <c r="H73" s="49">
        <f t="shared" si="10"/>
        <v>2014</v>
      </c>
      <c r="I73" s="49" t="str">
        <f t="shared" si="11"/>
        <v>2</v>
      </c>
    </row>
    <row r="74" spans="1:12">
      <c r="A74" s="745">
        <v>41883</v>
      </c>
      <c r="B74" s="1369">
        <v>3.379305</v>
      </c>
      <c r="C74" s="1372">
        <v>1081.011272</v>
      </c>
      <c r="D74" s="1369">
        <v>0</v>
      </c>
      <c r="E74" s="1369">
        <v>0</v>
      </c>
      <c r="F74" s="1369">
        <f t="shared" si="12"/>
        <v>3.379305</v>
      </c>
      <c r="G74" s="514">
        <f t="shared" si="9"/>
        <v>1081.011272</v>
      </c>
      <c r="H74" s="49">
        <f t="shared" si="10"/>
        <v>2014</v>
      </c>
      <c r="I74" s="49" t="str">
        <f t="shared" si="11"/>
        <v>3</v>
      </c>
    </row>
    <row r="75" spans="1:12">
      <c r="A75" s="745">
        <v>41974</v>
      </c>
      <c r="B75" s="1370">
        <v>3.6014459999999997</v>
      </c>
      <c r="C75" s="1373">
        <v>1294.9147579999999</v>
      </c>
      <c r="D75" s="1370">
        <v>0</v>
      </c>
      <c r="E75" s="1370">
        <v>0</v>
      </c>
      <c r="F75" s="1370">
        <f t="shared" si="12"/>
        <v>3.6014459999999997</v>
      </c>
      <c r="G75" s="1371">
        <f t="shared" si="9"/>
        <v>1294.9147579999999</v>
      </c>
      <c r="H75" s="49">
        <f t="shared" si="10"/>
        <v>2014</v>
      </c>
      <c r="I75" s="49" t="str">
        <f t="shared" si="11"/>
        <v>4</v>
      </c>
    </row>
    <row r="76" spans="1:12">
      <c r="A76" s="745">
        <v>42064</v>
      </c>
      <c r="B76" s="1369">
        <v>3.2643786459999999</v>
      </c>
      <c r="C76" s="1372">
        <v>1275.4519759999998</v>
      </c>
      <c r="D76" s="1369">
        <v>0</v>
      </c>
      <c r="E76" s="1369">
        <v>0</v>
      </c>
      <c r="F76" s="1369">
        <f t="shared" si="12"/>
        <v>3.2643786459999999</v>
      </c>
      <c r="G76" s="514">
        <f t="shared" si="9"/>
        <v>1275.4519759999998</v>
      </c>
      <c r="H76" s="49">
        <f t="shared" si="10"/>
        <v>2015</v>
      </c>
      <c r="I76" s="49" t="str">
        <f t="shared" si="11"/>
        <v>1</v>
      </c>
    </row>
    <row r="77" spans="1:12">
      <c r="A77" s="745">
        <v>42156</v>
      </c>
      <c r="B77" s="1370">
        <v>3.5262826299999999</v>
      </c>
      <c r="C77" s="1373">
        <v>1371.343212</v>
      </c>
      <c r="D77" s="1370">
        <v>0</v>
      </c>
      <c r="E77" s="1370">
        <v>0</v>
      </c>
      <c r="F77" s="1370">
        <f t="shared" si="12"/>
        <v>3.5262826299999999</v>
      </c>
      <c r="G77" s="1371">
        <f t="shared" si="9"/>
        <v>1371.343212</v>
      </c>
      <c r="H77" s="49">
        <f t="shared" si="10"/>
        <v>2015</v>
      </c>
      <c r="I77" s="49" t="str">
        <f t="shared" si="11"/>
        <v>2</v>
      </c>
    </row>
    <row r="78" spans="1:12">
      <c r="A78" s="745">
        <v>42248</v>
      </c>
      <c r="B78" s="1369">
        <v>3.4379359999999997</v>
      </c>
      <c r="C78" s="1372">
        <v>1375.346898</v>
      </c>
      <c r="D78" s="1369">
        <v>0</v>
      </c>
      <c r="E78" s="1369">
        <v>0</v>
      </c>
      <c r="F78" s="1369">
        <f t="shared" si="12"/>
        <v>3.4379359999999997</v>
      </c>
      <c r="G78" s="514">
        <f t="shared" si="9"/>
        <v>1375.346898</v>
      </c>
      <c r="H78" s="49">
        <f t="shared" si="10"/>
        <v>2015</v>
      </c>
      <c r="I78" s="49" t="str">
        <f t="shared" si="11"/>
        <v>3</v>
      </c>
    </row>
    <row r="79" spans="1:12">
      <c r="A79" s="746">
        <v>42339</v>
      </c>
      <c r="B79" s="1374">
        <v>3.5498963099999998</v>
      </c>
      <c r="C79" s="1375">
        <v>1268.240526</v>
      </c>
      <c r="D79" s="1374">
        <v>0</v>
      </c>
      <c r="E79" s="1374">
        <v>0</v>
      </c>
      <c r="F79" s="1374">
        <f t="shared" si="12"/>
        <v>3.5498963099999998</v>
      </c>
      <c r="G79" s="1376">
        <f t="shared" si="9"/>
        <v>1268.240526</v>
      </c>
      <c r="H79" s="49">
        <f t="shared" si="10"/>
        <v>2015</v>
      </c>
      <c r="I79" s="49" t="str">
        <f t="shared" si="11"/>
        <v>4</v>
      </c>
      <c r="K79" s="43"/>
      <c r="L79" s="43"/>
    </row>
    <row r="80" spans="1:12">
      <c r="A80" s="746">
        <v>42430</v>
      </c>
      <c r="B80" s="617">
        <v>3.4384387799999998</v>
      </c>
      <c r="C80" s="1377">
        <v>1095.593916</v>
      </c>
      <c r="D80" s="617">
        <v>0</v>
      </c>
      <c r="E80" s="617">
        <v>0</v>
      </c>
      <c r="F80" s="617">
        <f t="shared" si="12"/>
        <v>3.4384387799999998</v>
      </c>
      <c r="G80" s="539">
        <f t="shared" si="9"/>
        <v>1095.593916</v>
      </c>
      <c r="H80" s="49">
        <f t="shared" si="10"/>
        <v>2016</v>
      </c>
      <c r="I80" s="49" t="str">
        <f t="shared" si="11"/>
        <v>1</v>
      </c>
    </row>
    <row r="81" spans="1:9">
      <c r="A81" s="746">
        <v>42522</v>
      </c>
      <c r="B81" s="1374">
        <v>3.4672684299999998</v>
      </c>
      <c r="C81" s="1375">
        <v>1191.569823</v>
      </c>
      <c r="D81" s="1374">
        <v>4.7702999999999995E-2</v>
      </c>
      <c r="E81" s="1374">
        <v>1.9525999999999999</v>
      </c>
      <c r="F81" s="1374">
        <f t="shared" si="12"/>
        <v>3.5149714299999997</v>
      </c>
      <c r="G81" s="1376">
        <f t="shared" si="9"/>
        <v>1193.5224230000001</v>
      </c>
      <c r="H81" s="49">
        <f t="shared" si="10"/>
        <v>2016</v>
      </c>
      <c r="I81" s="49" t="str">
        <f t="shared" si="11"/>
        <v>2</v>
      </c>
    </row>
    <row r="82" spans="1:9">
      <c r="A82" s="746">
        <v>42614</v>
      </c>
      <c r="B82" s="617">
        <v>3.4676228299999998</v>
      </c>
      <c r="C82" s="1377">
        <v>1120.572032</v>
      </c>
      <c r="D82" s="617">
        <v>0</v>
      </c>
      <c r="E82" s="617">
        <v>0</v>
      </c>
      <c r="F82" s="617">
        <f t="shared" si="12"/>
        <v>3.4676228299999998</v>
      </c>
      <c r="G82" s="539">
        <f t="shared" si="9"/>
        <v>1120.572032</v>
      </c>
      <c r="H82" s="49">
        <f t="shared" si="10"/>
        <v>2016</v>
      </c>
      <c r="I82" s="49" t="str">
        <f t="shared" si="11"/>
        <v>3</v>
      </c>
    </row>
    <row r="83" spans="1:9">
      <c r="A83" s="746">
        <v>42705</v>
      </c>
      <c r="B83" s="1374">
        <v>3.4564438499999999</v>
      </c>
      <c r="C83" s="1375">
        <v>1172.5128729999999</v>
      </c>
      <c r="D83" s="1374">
        <v>4.4611999999999999E-2</v>
      </c>
      <c r="E83" s="1374">
        <v>1.994435</v>
      </c>
      <c r="F83" s="1374">
        <f t="shared" si="12"/>
        <v>3.5010558499999997</v>
      </c>
      <c r="G83" s="1376">
        <f t="shared" si="9"/>
        <v>1174.507308</v>
      </c>
      <c r="H83" s="49">
        <f t="shared" si="10"/>
        <v>2016</v>
      </c>
      <c r="I83" s="49" t="str">
        <f t="shared" si="11"/>
        <v>4</v>
      </c>
    </row>
    <row r="84" spans="1:9">
      <c r="A84" s="746">
        <v>42795</v>
      </c>
      <c r="B84" s="617">
        <v>3.4658780600000001</v>
      </c>
      <c r="C84" s="1377">
        <v>1422.759834</v>
      </c>
      <c r="D84" s="617">
        <v>8.9477000000000001E-2</v>
      </c>
      <c r="E84" s="617">
        <v>4.1782180000000002</v>
      </c>
      <c r="F84" s="617">
        <f t="shared" si="12"/>
        <v>3.5553550600000001</v>
      </c>
      <c r="G84" s="539">
        <f t="shared" si="9"/>
        <v>1426.938052</v>
      </c>
      <c r="H84" s="49">
        <f t="shared" si="10"/>
        <v>2017</v>
      </c>
      <c r="I84" s="49" t="str">
        <f t="shared" si="11"/>
        <v>1</v>
      </c>
    </row>
    <row r="85" spans="1:9">
      <c r="A85" s="746">
        <v>42887</v>
      </c>
      <c r="B85" s="1374">
        <v>3.4654370299999995</v>
      </c>
      <c r="C85" s="1375">
        <v>1357.932712</v>
      </c>
      <c r="D85" s="1374">
        <v>0.17625152999999999</v>
      </c>
      <c r="E85" s="1374">
        <v>8.3908159999999992</v>
      </c>
      <c r="F85" s="1374">
        <f t="shared" si="12"/>
        <v>3.6416885599999995</v>
      </c>
      <c r="G85" s="1376">
        <f t="shared" si="9"/>
        <v>1366.3235280000001</v>
      </c>
      <c r="H85" s="49">
        <f t="shared" si="10"/>
        <v>2017</v>
      </c>
      <c r="I85" s="49" t="str">
        <f t="shared" si="11"/>
        <v>2</v>
      </c>
    </row>
    <row r="86" spans="1:9">
      <c r="A86" s="746">
        <v>42979</v>
      </c>
      <c r="B86" s="617">
        <v>3.4844169599999999</v>
      </c>
      <c r="C86" s="1377">
        <v>1342.271626</v>
      </c>
      <c r="D86" s="617">
        <v>0.16675714</v>
      </c>
      <c r="E86" s="617">
        <v>7.6937369999999996</v>
      </c>
      <c r="F86" s="617">
        <f t="shared" si="12"/>
        <v>3.6511741</v>
      </c>
      <c r="G86" s="539">
        <f t="shared" si="9"/>
        <v>1349.965363</v>
      </c>
      <c r="H86" s="49">
        <f t="shared" si="10"/>
        <v>2017</v>
      </c>
      <c r="I86" s="49" t="str">
        <f t="shared" si="11"/>
        <v>3</v>
      </c>
    </row>
    <row r="87" spans="1:9">
      <c r="A87" s="747">
        <v>43070</v>
      </c>
      <c r="B87" s="1378">
        <v>3.4312720099999998</v>
      </c>
      <c r="C87" s="1379">
        <v>1716.5518479999998</v>
      </c>
      <c r="D87" s="1380">
        <v>0.39151671999999993</v>
      </c>
      <c r="E87" s="1380">
        <v>18.571061</v>
      </c>
      <c r="F87" s="1374">
        <f t="shared" si="12"/>
        <v>3.8227887299999996</v>
      </c>
      <c r="G87" s="1376">
        <f t="shared" si="9"/>
        <v>1735.1229089999999</v>
      </c>
      <c r="H87" s="49">
        <f t="shared" si="10"/>
        <v>2017</v>
      </c>
      <c r="I87" s="49" t="str">
        <f t="shared" si="11"/>
        <v>4</v>
      </c>
    </row>
    <row r="88" spans="1:9">
      <c r="A88" s="747">
        <v>43160</v>
      </c>
      <c r="B88" s="1381">
        <v>3.3520076799999998</v>
      </c>
      <c r="C88" s="1382">
        <v>1597.209987</v>
      </c>
      <c r="D88" s="1383">
        <v>0.21968036999999999</v>
      </c>
      <c r="E88" s="1383">
        <v>8.2947639999999989</v>
      </c>
      <c r="F88" s="617">
        <f>SUM(B88+D88)</f>
        <v>3.5716880499999997</v>
      </c>
      <c r="G88" s="539">
        <f t="shared" ref="G88:G89" si="13">SUM(C88+E88)</f>
        <v>1605.5047509999999</v>
      </c>
      <c r="H88" s="49">
        <f t="shared" si="10"/>
        <v>2018</v>
      </c>
      <c r="I88" s="49" t="str">
        <f t="shared" si="11"/>
        <v>1</v>
      </c>
    </row>
    <row r="89" spans="1:9">
      <c r="A89" s="747">
        <v>43252</v>
      </c>
      <c r="B89" s="1378">
        <v>3.4017702999999995</v>
      </c>
      <c r="C89" s="1379">
        <v>1940.7422359999998</v>
      </c>
      <c r="D89" s="1380">
        <v>0.33936845999999998</v>
      </c>
      <c r="E89" s="1380">
        <v>12.145389</v>
      </c>
      <c r="F89" s="1374">
        <f>SUM(B89+D89)</f>
        <v>3.7411387599999992</v>
      </c>
      <c r="G89" s="1376">
        <f t="shared" si="13"/>
        <v>1952.8876249999998</v>
      </c>
      <c r="H89" s="49">
        <f t="shared" si="10"/>
        <v>2018</v>
      </c>
      <c r="I89" s="49" t="str">
        <f t="shared" si="11"/>
        <v>2</v>
      </c>
    </row>
    <row r="90" spans="1:9">
      <c r="A90" s="747">
        <v>43344</v>
      </c>
      <c r="B90" s="1381">
        <v>3.2432132499999997</v>
      </c>
      <c r="C90" s="1382">
        <v>2054.2811349999997</v>
      </c>
      <c r="D90" s="1383">
        <v>0.37020375999999999</v>
      </c>
      <c r="E90" s="1383">
        <v>13.896512</v>
      </c>
      <c r="F90" s="617">
        <f t="shared" ref="F90:F91" si="14">SUM(B90+D90)</f>
        <v>3.6134170099999996</v>
      </c>
      <c r="G90" s="539">
        <f t="shared" ref="G90:G91" si="15">SUM(C90+E90)</f>
        <v>2068.1776469999995</v>
      </c>
      <c r="H90" s="49">
        <f t="shared" si="10"/>
        <v>2018</v>
      </c>
      <c r="I90" s="49" t="str">
        <f t="shared" si="11"/>
        <v>3</v>
      </c>
    </row>
    <row r="91" spans="1:9">
      <c r="A91" s="747">
        <v>43435</v>
      </c>
      <c r="B91" s="1378">
        <v>3.5014398899999999</v>
      </c>
      <c r="C91" s="1379">
        <v>2276.7042529999999</v>
      </c>
      <c r="D91" s="1380">
        <v>0.55171008999999993</v>
      </c>
      <c r="E91" s="1380">
        <v>21.580596999999997</v>
      </c>
      <c r="F91" s="1374">
        <f t="shared" si="14"/>
        <v>4.0531499799999997</v>
      </c>
      <c r="G91" s="1376">
        <f t="shared" si="15"/>
        <v>2298.28485</v>
      </c>
      <c r="H91" s="49">
        <f t="shared" si="10"/>
        <v>2018</v>
      </c>
      <c r="I91" s="49" t="str">
        <f t="shared" si="11"/>
        <v>4</v>
      </c>
    </row>
    <row r="92" spans="1:9">
      <c r="A92" s="747">
        <v>43525</v>
      </c>
      <c r="B92" s="1381">
        <v>3.3998536699999997</v>
      </c>
      <c r="C92" s="1382">
        <v>1910.351537</v>
      </c>
      <c r="D92" s="1383">
        <v>0.34243880999999998</v>
      </c>
      <c r="E92" s="1383">
        <v>12.92347</v>
      </c>
      <c r="F92" s="617">
        <f t="shared" ref="F92:F93" si="16">SUM(B92+D92)</f>
        <v>3.7422924799999997</v>
      </c>
      <c r="G92" s="539">
        <f t="shared" ref="G92" si="17">SUM(C92+E92)</f>
        <v>1923.275007</v>
      </c>
      <c r="H92" s="49">
        <f t="shared" si="10"/>
        <v>2019</v>
      </c>
      <c r="I92" s="49" t="str">
        <f t="shared" si="11"/>
        <v>1</v>
      </c>
    </row>
    <row r="93" spans="1:9">
      <c r="A93" s="746">
        <v>43617</v>
      </c>
      <c r="B93" s="1378">
        <v>3.4989377899999998</v>
      </c>
      <c r="C93" s="1379">
        <v>1970.5268329999999</v>
      </c>
      <c r="D93" s="1380">
        <v>0.51973578999999992</v>
      </c>
      <c r="E93" s="1380">
        <v>19.176092000000001</v>
      </c>
      <c r="F93" s="1374">
        <f t="shared" si="16"/>
        <v>4.0186735799999997</v>
      </c>
      <c r="G93" s="1376">
        <f>SUM(C93+E93)</f>
        <v>1989.7029249999998</v>
      </c>
      <c r="H93" s="49">
        <f t="shared" si="10"/>
        <v>2019</v>
      </c>
      <c r="I93" s="49" t="str">
        <f t="shared" si="11"/>
        <v>2</v>
      </c>
    </row>
    <row r="94" spans="1:9">
      <c r="A94" s="746">
        <v>43709</v>
      </c>
      <c r="B94" s="1381">
        <v>3.4909009989999995</v>
      </c>
      <c r="C94" s="1382">
        <v>1739.5283019999999</v>
      </c>
      <c r="D94" s="1383">
        <v>0.45178889</v>
      </c>
      <c r="E94" s="1383">
        <v>17.493641</v>
      </c>
      <c r="F94" s="617">
        <f t="shared" ref="F94" si="18">SUM(B94+D94)</f>
        <v>3.9426898889999995</v>
      </c>
      <c r="G94" s="539">
        <f t="shared" ref="G94:G97" si="19">SUM(C94+E94)</f>
        <v>1757.021943</v>
      </c>
      <c r="H94" s="49">
        <f t="shared" si="10"/>
        <v>2019</v>
      </c>
      <c r="I94" s="49" t="str">
        <f t="shared" si="11"/>
        <v>3</v>
      </c>
    </row>
    <row r="95" spans="1:9">
      <c r="A95" s="746">
        <v>43800</v>
      </c>
      <c r="B95" s="1378">
        <v>3.630024964</v>
      </c>
      <c r="C95" s="1379">
        <v>1670.898021</v>
      </c>
      <c r="D95" s="1380">
        <v>0.55220254000000002</v>
      </c>
      <c r="E95" s="1380">
        <v>20.312795999999999</v>
      </c>
      <c r="F95" s="1374">
        <f>SUM(B95+D95)</f>
        <v>4.1822275040000001</v>
      </c>
      <c r="G95" s="1376">
        <f t="shared" si="19"/>
        <v>1691.2108169999999</v>
      </c>
      <c r="H95" s="49">
        <f t="shared" si="10"/>
        <v>2019</v>
      </c>
      <c r="I95" s="49" t="str">
        <f t="shared" si="11"/>
        <v>4</v>
      </c>
    </row>
    <row r="96" spans="1:9">
      <c r="A96" s="746">
        <v>43891</v>
      </c>
      <c r="B96" s="1381">
        <v>3.4033569099999998</v>
      </c>
      <c r="C96" s="1382">
        <v>1512.833613</v>
      </c>
      <c r="D96" s="1383">
        <v>0.43855393999999998</v>
      </c>
      <c r="E96" s="1383">
        <v>16.46583</v>
      </c>
      <c r="F96" s="617">
        <f t="shared" ref="F96:F97" si="20">SUM(B96+D96)</f>
        <v>3.8419108499999997</v>
      </c>
      <c r="G96" s="539">
        <f t="shared" si="19"/>
        <v>1529.2994430000001</v>
      </c>
      <c r="H96" s="49">
        <f t="shared" si="10"/>
        <v>2020</v>
      </c>
      <c r="I96" s="49" t="str">
        <f t="shared" si="11"/>
        <v>1</v>
      </c>
    </row>
    <row r="97" spans="1:9">
      <c r="A97" s="746">
        <v>43983</v>
      </c>
      <c r="B97" s="1378">
        <v>3.4961292999999998</v>
      </c>
      <c r="C97" s="1379">
        <v>1428.5100069999999</v>
      </c>
      <c r="D97" s="1380">
        <v>0.34629784000000002</v>
      </c>
      <c r="E97" s="1380">
        <v>12.557993</v>
      </c>
      <c r="F97" s="1374">
        <f t="shared" si="20"/>
        <v>3.8424271399999999</v>
      </c>
      <c r="G97" s="1376">
        <f t="shared" si="19"/>
        <v>1441.0679999999998</v>
      </c>
      <c r="H97" s="49">
        <f t="shared" si="10"/>
        <v>2020</v>
      </c>
      <c r="I97" s="49" t="str">
        <f t="shared" si="11"/>
        <v>2</v>
      </c>
    </row>
    <row r="98" spans="1:9">
      <c r="A98" s="747">
        <v>44075</v>
      </c>
      <c r="B98" s="1381">
        <v>3.6563031800000001</v>
      </c>
      <c r="C98" s="1382">
        <v>1444.9279429999999</v>
      </c>
      <c r="D98" s="1383">
        <v>0.6434603499999999</v>
      </c>
      <c r="E98" s="1383">
        <v>21.343789999999998</v>
      </c>
      <c r="F98" s="617">
        <f t="shared" ref="F98:F101" si="21">SUM(B98+D98)</f>
        <v>4.2997635299999999</v>
      </c>
      <c r="G98" s="539">
        <f t="shared" ref="G98:G101" si="22">SUM(C98+E98)</f>
        <v>1466.2717329999998</v>
      </c>
      <c r="H98" s="49">
        <f t="shared" si="10"/>
        <v>2020</v>
      </c>
      <c r="I98" s="49" t="str">
        <f t="shared" si="11"/>
        <v>3</v>
      </c>
    </row>
    <row r="99" spans="1:9">
      <c r="A99" s="746">
        <v>44166</v>
      </c>
      <c r="B99" s="1378">
        <v>3.6868202999999995</v>
      </c>
      <c r="C99" s="1379">
        <v>1402.0276289999999</v>
      </c>
      <c r="D99" s="1380">
        <v>0.52754917000000001</v>
      </c>
      <c r="E99" s="1380">
        <v>17.073516999999999</v>
      </c>
      <c r="F99" s="1374">
        <f t="shared" si="21"/>
        <v>4.2143694699999994</v>
      </c>
      <c r="G99" s="1376">
        <f t="shared" si="22"/>
        <v>1419.101146</v>
      </c>
      <c r="H99" s="49">
        <f t="shared" si="10"/>
        <v>2020</v>
      </c>
      <c r="I99" s="49" t="str">
        <f t="shared" si="11"/>
        <v>4</v>
      </c>
    </row>
    <row r="100" spans="1:9">
      <c r="A100" s="746">
        <v>44256</v>
      </c>
      <c r="B100" s="1381">
        <v>3.4294637200000002</v>
      </c>
      <c r="C100" s="1382">
        <v>1329.205856</v>
      </c>
      <c r="D100" s="1383">
        <v>0.35992201000000001</v>
      </c>
      <c r="E100" s="1383">
        <v>10.925967999999999</v>
      </c>
      <c r="F100" s="617">
        <f t="shared" si="21"/>
        <v>3.7893857300000002</v>
      </c>
      <c r="G100" s="539">
        <f t="shared" si="22"/>
        <v>1340.1318240000001</v>
      </c>
      <c r="H100" s="49">
        <f t="shared" si="10"/>
        <v>2021</v>
      </c>
      <c r="I100" s="49" t="str">
        <f t="shared" si="11"/>
        <v>1</v>
      </c>
    </row>
    <row r="101" spans="1:9">
      <c r="A101" s="746">
        <v>44348</v>
      </c>
      <c r="B101" s="1378">
        <v>3.5993354799999997</v>
      </c>
      <c r="C101" s="1379">
        <v>1333.752796</v>
      </c>
      <c r="D101" s="1380">
        <v>0.31315826000000002</v>
      </c>
      <c r="E101" s="1380">
        <v>9.4585460000000001</v>
      </c>
      <c r="F101" s="1374">
        <f t="shared" si="21"/>
        <v>3.9124937399999995</v>
      </c>
      <c r="G101" s="1376">
        <f t="shared" si="22"/>
        <v>1343.2113420000001</v>
      </c>
      <c r="H101" s="49">
        <f t="shared" si="10"/>
        <v>2021</v>
      </c>
      <c r="I101" s="49" t="str">
        <f t="shared" si="11"/>
        <v>2</v>
      </c>
    </row>
    <row r="102" spans="1:9">
      <c r="A102" s="746">
        <v>44440</v>
      </c>
      <c r="B102" s="1381">
        <v>3.5555790499999995</v>
      </c>
      <c r="C102" s="1382">
        <v>1381.34276</v>
      </c>
      <c r="D102" s="1383">
        <v>0.22007804999999997</v>
      </c>
      <c r="E102" s="1383">
        <v>6.8816629999999996</v>
      </c>
      <c r="F102" s="617">
        <f t="shared" ref="F102:F107" si="23">SUM(B102+D102)</f>
        <v>3.7756570999999997</v>
      </c>
      <c r="G102" s="539">
        <f t="shared" ref="G102:G107" si="24">SUM(C102+E102)</f>
        <v>1388.2244229999999</v>
      </c>
      <c r="H102" s="49">
        <f t="shared" si="10"/>
        <v>2021</v>
      </c>
      <c r="I102" s="49" t="str">
        <f t="shared" si="11"/>
        <v>3</v>
      </c>
    </row>
    <row r="103" spans="1:9">
      <c r="A103" s="746">
        <v>44531</v>
      </c>
      <c r="B103" s="1378">
        <v>3.6091434599999999</v>
      </c>
      <c r="C103" s="1379">
        <v>1846.4437819999998</v>
      </c>
      <c r="D103" s="1380">
        <v>0.17789217000000002</v>
      </c>
      <c r="E103" s="1380">
        <v>6.6485759999999994</v>
      </c>
      <c r="F103" s="1374">
        <f t="shared" si="23"/>
        <v>3.7870356300000001</v>
      </c>
      <c r="G103" s="1376">
        <f t="shared" si="24"/>
        <v>1853.0923579999999</v>
      </c>
      <c r="H103" s="49">
        <f t="shared" si="10"/>
        <v>2021</v>
      </c>
      <c r="I103" s="49" t="str">
        <f t="shared" si="11"/>
        <v>4</v>
      </c>
    </row>
    <row r="104" spans="1:9">
      <c r="A104" s="747">
        <v>44621</v>
      </c>
      <c r="B104" s="1381">
        <v>3.2177186400000002</v>
      </c>
      <c r="C104" s="1382">
        <v>1563.650234</v>
      </c>
      <c r="D104" s="1383">
        <v>0</v>
      </c>
      <c r="E104" s="1383">
        <v>0</v>
      </c>
      <c r="F104" s="1383">
        <f t="shared" si="23"/>
        <v>3.2177186400000002</v>
      </c>
      <c r="G104" s="539">
        <f t="shared" si="24"/>
        <v>1563.650234</v>
      </c>
      <c r="H104" s="49">
        <f t="shared" si="10"/>
        <v>2022</v>
      </c>
      <c r="I104" s="49" t="str">
        <f t="shared" si="11"/>
        <v>1</v>
      </c>
    </row>
    <row r="105" spans="1:9">
      <c r="A105" s="746">
        <v>44713</v>
      </c>
      <c r="B105" s="1378">
        <v>3.5455891400000001</v>
      </c>
      <c r="C105" s="1379">
        <v>1905.4720169999998</v>
      </c>
      <c r="D105" s="1380">
        <v>0</v>
      </c>
      <c r="E105" s="1380">
        <v>0</v>
      </c>
      <c r="F105" s="1380">
        <f t="shared" si="23"/>
        <v>3.5455891400000001</v>
      </c>
      <c r="G105" s="1676">
        <f t="shared" si="24"/>
        <v>1905.4720169999998</v>
      </c>
      <c r="H105" s="49">
        <f t="shared" si="10"/>
        <v>2022</v>
      </c>
      <c r="I105" s="49" t="str">
        <f t="shared" si="11"/>
        <v>2</v>
      </c>
    </row>
    <row r="106" spans="1:9">
      <c r="A106" s="747">
        <v>44805</v>
      </c>
      <c r="B106" s="1381">
        <v>3.3260595339999997</v>
      </c>
      <c r="C106" s="1382">
        <v>1676.1088769999999</v>
      </c>
      <c r="D106" s="1383">
        <v>0</v>
      </c>
      <c r="E106" s="1383">
        <v>0</v>
      </c>
      <c r="F106" s="1383">
        <f t="shared" si="23"/>
        <v>3.3260595339999997</v>
      </c>
      <c r="G106" s="539">
        <f t="shared" si="24"/>
        <v>1676.1088769999999</v>
      </c>
      <c r="H106" s="49">
        <f t="shared" si="10"/>
        <v>2022</v>
      </c>
      <c r="I106" s="49" t="str">
        <f t="shared" si="11"/>
        <v>3</v>
      </c>
    </row>
    <row r="107" spans="1:9">
      <c r="A107" s="746">
        <v>44896</v>
      </c>
      <c r="B107" s="1378">
        <v>3.3728736399999995</v>
      </c>
      <c r="C107" s="1379">
        <v>1715.681079</v>
      </c>
      <c r="D107" s="1380">
        <v>0</v>
      </c>
      <c r="E107" s="1380">
        <v>0</v>
      </c>
      <c r="F107" s="1380">
        <f t="shared" si="23"/>
        <v>3.3728736399999995</v>
      </c>
      <c r="G107" s="1676">
        <f t="shared" si="24"/>
        <v>1715.681079</v>
      </c>
      <c r="H107" s="49">
        <f t="shared" si="10"/>
        <v>2022</v>
      </c>
      <c r="I107" s="49" t="str">
        <f t="shared" si="11"/>
        <v>4</v>
      </c>
    </row>
    <row r="108" spans="1:9">
      <c r="A108" s="747">
        <v>44986</v>
      </c>
      <c r="B108" s="1381">
        <v>3.1040739999999998</v>
      </c>
      <c r="C108" s="1382">
        <v>1592.013465</v>
      </c>
      <c r="D108" s="1383">
        <v>0</v>
      </c>
      <c r="E108" s="1383">
        <v>0</v>
      </c>
      <c r="F108" s="1383">
        <f t="shared" ref="F108:F109" si="25">SUM(B108+D108)</f>
        <v>3.1040739999999998</v>
      </c>
      <c r="G108" s="539">
        <f t="shared" ref="G108:G109" si="26">SUM(C108+E108)</f>
        <v>1592.013465</v>
      </c>
      <c r="H108" s="49">
        <f t="shared" si="10"/>
        <v>2023</v>
      </c>
      <c r="I108" s="49" t="str">
        <f t="shared" si="11"/>
        <v>1</v>
      </c>
    </row>
    <row r="109" spans="1:9">
      <c r="A109" s="746">
        <v>45078</v>
      </c>
      <c r="B109" s="1378">
        <v>3.23756982</v>
      </c>
      <c r="C109" s="1379">
        <v>1700.0588969999999</v>
      </c>
      <c r="D109" s="1380">
        <v>0</v>
      </c>
      <c r="E109" s="1380">
        <v>0</v>
      </c>
      <c r="F109" s="1380">
        <f t="shared" si="25"/>
        <v>3.23756982</v>
      </c>
      <c r="G109" s="1676">
        <f t="shared" si="26"/>
        <v>1700.0588969999999</v>
      </c>
      <c r="H109" s="49">
        <f t="shared" si="10"/>
        <v>2023</v>
      </c>
      <c r="I109" s="49" t="str">
        <f t="shared" si="11"/>
        <v>2</v>
      </c>
    </row>
    <row r="110" spans="1:9">
      <c r="A110" s="746">
        <v>45170</v>
      </c>
      <c r="B110" s="1381">
        <v>3.1425676399999993</v>
      </c>
      <c r="C110" s="1382">
        <v>1605.6851019999999</v>
      </c>
      <c r="D110" s="1383">
        <v>0</v>
      </c>
      <c r="E110" s="1383">
        <v>0</v>
      </c>
      <c r="F110" s="1383">
        <f t="shared" ref="F110:F111" si="27">SUM(B110+D110)</f>
        <v>3.1425676399999993</v>
      </c>
      <c r="G110" s="1677">
        <f t="shared" ref="G110:G111" si="28">SUM(C110+E110)</f>
        <v>1605.6851019999999</v>
      </c>
      <c r="H110" s="49">
        <f t="shared" si="10"/>
        <v>2023</v>
      </c>
      <c r="I110" s="49" t="str">
        <f t="shared" si="11"/>
        <v>3</v>
      </c>
    </row>
    <row r="111" spans="1:9" ht="15.75" thickBot="1">
      <c r="A111" s="1691">
        <v>45261</v>
      </c>
      <c r="B111" s="1666">
        <v>3.27865027</v>
      </c>
      <c r="C111" s="1667">
        <v>1683.7073909999999</v>
      </c>
      <c r="D111" s="1567">
        <v>0</v>
      </c>
      <c r="E111" s="1567">
        <v>0</v>
      </c>
      <c r="F111" s="1567">
        <f t="shared" si="27"/>
        <v>3.27865027</v>
      </c>
      <c r="G111" s="1678">
        <f t="shared" si="28"/>
        <v>1683.7073909999999</v>
      </c>
      <c r="H111" s="49">
        <f t="shared" si="10"/>
        <v>2023</v>
      </c>
      <c r="I111" s="49" t="str">
        <f t="shared" si="11"/>
        <v>4</v>
      </c>
    </row>
    <row r="112" spans="1:9">
      <c r="C112" s="14"/>
      <c r="D112" s="49"/>
      <c r="E112" s="49"/>
      <c r="F112" s="49"/>
      <c r="G112" s="49"/>
      <c r="H112" s="49">
        <f t="shared" si="10"/>
        <v>1900</v>
      </c>
      <c r="I112" s="49" t="str">
        <f t="shared" si="11"/>
        <v>4</v>
      </c>
    </row>
    <row r="113" spans="3:9">
      <c r="C113" s="14"/>
      <c r="D113" s="49"/>
      <c r="E113" s="49"/>
      <c r="F113" s="49"/>
      <c r="G113" s="49"/>
      <c r="H113" s="49">
        <f t="shared" si="10"/>
        <v>1900</v>
      </c>
      <c r="I113" s="49" t="str">
        <f t="shared" si="11"/>
        <v>4</v>
      </c>
    </row>
    <row r="114" spans="3:9">
      <c r="C114" s="14"/>
      <c r="D114" s="49"/>
      <c r="E114" s="49"/>
      <c r="F114" s="49"/>
      <c r="G114" s="49"/>
      <c r="H114" s="49">
        <f t="shared" si="10"/>
        <v>1900</v>
      </c>
      <c r="I114" s="49" t="str">
        <f t="shared" si="11"/>
        <v>4</v>
      </c>
    </row>
    <row r="115" spans="3:9">
      <c r="C115" s="14"/>
      <c r="D115" s="49"/>
      <c r="E115" s="49"/>
      <c r="F115" s="49"/>
      <c r="G115" s="49"/>
      <c r="H115" s="49">
        <f t="shared" si="10"/>
        <v>1900</v>
      </c>
      <c r="I115" s="49" t="str">
        <f t="shared" si="11"/>
        <v>4</v>
      </c>
    </row>
    <row r="116" spans="3:9">
      <c r="C116" s="14"/>
      <c r="D116" s="49"/>
      <c r="E116" s="49"/>
      <c r="F116" s="49"/>
      <c r="G116" s="49"/>
      <c r="H116" s="49">
        <f t="shared" si="10"/>
        <v>1900</v>
      </c>
      <c r="I116" s="49" t="str">
        <f t="shared" si="11"/>
        <v>4</v>
      </c>
    </row>
    <row r="117" spans="3:9">
      <c r="C117" s="14"/>
      <c r="D117" s="49"/>
      <c r="E117" s="49"/>
      <c r="F117" s="49"/>
      <c r="G117" s="49"/>
      <c r="H117" s="49">
        <f t="shared" si="10"/>
        <v>1900</v>
      </c>
      <c r="I117" s="49" t="str">
        <f t="shared" si="11"/>
        <v>4</v>
      </c>
    </row>
    <row r="118" spans="3:9">
      <c r="C118" s="14"/>
      <c r="D118" s="49"/>
      <c r="E118" s="49"/>
      <c r="F118" s="49"/>
      <c r="G118" s="49"/>
      <c r="H118" s="49">
        <f t="shared" si="10"/>
        <v>1900</v>
      </c>
      <c r="I118" s="49" t="str">
        <f t="shared" si="11"/>
        <v>4</v>
      </c>
    </row>
    <row r="119" spans="3:9">
      <c r="C119" s="14"/>
      <c r="D119" s="49"/>
      <c r="E119" s="49"/>
      <c r="F119" s="49"/>
      <c r="G119" s="49"/>
      <c r="H119" s="49">
        <f t="shared" si="10"/>
        <v>1900</v>
      </c>
      <c r="I119" s="49" t="str">
        <f t="shared" si="11"/>
        <v>4</v>
      </c>
    </row>
    <row r="120" spans="3:9">
      <c r="C120" s="14"/>
      <c r="D120" s="49"/>
      <c r="E120" s="49"/>
      <c r="F120" s="49"/>
      <c r="G120" s="49"/>
      <c r="H120" s="49">
        <f t="shared" si="10"/>
        <v>1900</v>
      </c>
      <c r="I120" s="49" t="str">
        <f t="shared" si="11"/>
        <v>4</v>
      </c>
    </row>
    <row r="121" spans="3:9">
      <c r="C121" s="14"/>
      <c r="D121" s="49"/>
      <c r="E121" s="49"/>
      <c r="F121" s="49"/>
      <c r="G121" s="49"/>
      <c r="H121" s="49">
        <f t="shared" si="10"/>
        <v>1900</v>
      </c>
      <c r="I121" s="49" t="str">
        <f t="shared" si="11"/>
        <v>4</v>
      </c>
    </row>
    <row r="122" spans="3:9">
      <c r="C122" s="14"/>
      <c r="D122" s="49"/>
      <c r="E122" s="49"/>
      <c r="F122" s="49"/>
      <c r="G122" s="49"/>
      <c r="H122" s="49">
        <f t="shared" si="10"/>
        <v>1900</v>
      </c>
      <c r="I122" s="49" t="str">
        <f t="shared" si="11"/>
        <v>4</v>
      </c>
    </row>
    <row r="123" spans="3:9">
      <c r="C123" s="14"/>
      <c r="D123" s="49"/>
      <c r="E123" s="49"/>
      <c r="F123" s="49"/>
      <c r="G123" s="49"/>
      <c r="H123" s="49">
        <f t="shared" si="10"/>
        <v>1900</v>
      </c>
      <c r="I123" s="49" t="str">
        <f t="shared" si="11"/>
        <v>4</v>
      </c>
    </row>
    <row r="124" spans="3:9">
      <c r="C124" s="14"/>
      <c r="D124" s="49"/>
      <c r="E124" s="49"/>
      <c r="F124" s="49"/>
      <c r="G124" s="49"/>
      <c r="H124" s="49">
        <f t="shared" si="10"/>
        <v>1900</v>
      </c>
      <c r="I124" s="49" t="str">
        <f t="shared" si="11"/>
        <v>4</v>
      </c>
    </row>
    <row r="125" spans="3:9">
      <c r="C125" s="14"/>
      <c r="D125" s="49"/>
      <c r="E125" s="49"/>
      <c r="F125" s="49"/>
      <c r="G125" s="49"/>
      <c r="H125" s="49">
        <f t="shared" si="10"/>
        <v>1900</v>
      </c>
      <c r="I125" s="49" t="str">
        <f t="shared" si="11"/>
        <v>4</v>
      </c>
    </row>
    <row r="126" spans="3:9">
      <c r="C126" s="14"/>
      <c r="D126" s="49"/>
      <c r="E126" s="49"/>
      <c r="F126" s="49"/>
      <c r="G126" s="49"/>
      <c r="H126" s="49">
        <f t="shared" si="10"/>
        <v>1900</v>
      </c>
      <c r="I126" s="49" t="str">
        <f t="shared" si="11"/>
        <v>4</v>
      </c>
    </row>
    <row r="127" spans="3:9">
      <c r="C127" s="14"/>
      <c r="D127" s="49"/>
      <c r="E127" s="49"/>
      <c r="F127" s="49"/>
      <c r="G127" s="49"/>
      <c r="H127" s="49">
        <f t="shared" si="10"/>
        <v>1900</v>
      </c>
      <c r="I127" s="49" t="str">
        <f t="shared" si="11"/>
        <v>4</v>
      </c>
    </row>
    <row r="128" spans="3:9">
      <c r="C128" s="14"/>
      <c r="D128" s="49"/>
      <c r="E128" s="49"/>
      <c r="F128" s="49"/>
      <c r="G128" s="49"/>
      <c r="H128" s="49">
        <f t="shared" si="10"/>
        <v>1900</v>
      </c>
      <c r="I128" s="49" t="str">
        <f t="shared" si="11"/>
        <v>4</v>
      </c>
    </row>
    <row r="129" spans="3:9">
      <c r="C129" s="14"/>
      <c r="D129" s="49"/>
      <c r="E129" s="49"/>
      <c r="F129" s="49"/>
      <c r="G129" s="49"/>
      <c r="H129" s="49">
        <f t="shared" si="10"/>
        <v>1900</v>
      </c>
      <c r="I129" s="49" t="str">
        <f t="shared" si="11"/>
        <v>4</v>
      </c>
    </row>
    <row r="130" spans="3:9">
      <c r="C130" s="14"/>
      <c r="D130" s="49"/>
      <c r="E130" s="49"/>
      <c r="F130" s="49"/>
      <c r="G130" s="49"/>
      <c r="H130" s="49">
        <f t="shared" si="10"/>
        <v>1900</v>
      </c>
      <c r="I130" s="49" t="str">
        <f t="shared" si="11"/>
        <v>4</v>
      </c>
    </row>
    <row r="131" spans="3:9">
      <c r="C131" s="14"/>
      <c r="D131" s="49"/>
      <c r="E131" s="49"/>
      <c r="F131" s="49"/>
      <c r="G131" s="49"/>
      <c r="H131" s="49">
        <f t="shared" si="10"/>
        <v>1900</v>
      </c>
      <c r="I131" s="49" t="str">
        <f t="shared" si="11"/>
        <v>4</v>
      </c>
    </row>
    <row r="132" spans="3:9">
      <c r="C132" s="14"/>
      <c r="D132" s="49"/>
      <c r="E132" s="49"/>
      <c r="F132" s="49"/>
      <c r="G132" s="49"/>
      <c r="H132" s="49">
        <f t="shared" si="10"/>
        <v>1900</v>
      </c>
      <c r="I132" s="49" t="str">
        <f t="shared" si="11"/>
        <v>4</v>
      </c>
    </row>
    <row r="133" spans="3:9">
      <c r="C133" s="14"/>
      <c r="D133" s="49"/>
      <c r="E133" s="49"/>
      <c r="F133" s="49"/>
      <c r="G133" s="49"/>
      <c r="H133" s="49">
        <f t="shared" si="10"/>
        <v>1900</v>
      </c>
      <c r="I133" s="49" t="str">
        <f t="shared" si="11"/>
        <v>4</v>
      </c>
    </row>
    <row r="134" spans="3:9">
      <c r="C134" s="14"/>
      <c r="D134" s="49"/>
      <c r="E134" s="49"/>
      <c r="F134" s="49"/>
      <c r="G134" s="49"/>
      <c r="H134" s="49">
        <f t="shared" si="10"/>
        <v>1900</v>
      </c>
      <c r="I134" s="49" t="str">
        <f t="shared" si="11"/>
        <v>4</v>
      </c>
    </row>
    <row r="135" spans="3:9">
      <c r="C135" s="14"/>
      <c r="D135" s="49"/>
      <c r="E135" s="49"/>
      <c r="F135" s="49"/>
      <c r="G135" s="49"/>
      <c r="H135" s="49">
        <f t="shared" si="10"/>
        <v>1900</v>
      </c>
      <c r="I135" s="49" t="str">
        <f t="shared" si="11"/>
        <v>4</v>
      </c>
    </row>
    <row r="136" spans="3:9">
      <c r="C136" s="14"/>
      <c r="D136" s="49"/>
      <c r="E136" s="49"/>
      <c r="F136" s="49"/>
      <c r="G136" s="49"/>
      <c r="H136" s="49">
        <f t="shared" ref="H136:H199" si="29">YEAR(A136)</f>
        <v>1900</v>
      </c>
      <c r="I136" s="49" t="str">
        <f t="shared" ref="I136:I199" si="30">IF(MONTH(A136)=3,"1",IF(MONTH(A136)=6,"2",IF(MONTH(A136)=9,"3","4")))</f>
        <v>4</v>
      </c>
    </row>
    <row r="137" spans="3:9">
      <c r="C137" s="14"/>
      <c r="D137" s="49"/>
      <c r="E137" s="49"/>
      <c r="F137" s="49"/>
      <c r="G137" s="49"/>
      <c r="H137" s="49">
        <f t="shared" si="29"/>
        <v>1900</v>
      </c>
      <c r="I137" s="49" t="str">
        <f t="shared" si="30"/>
        <v>4</v>
      </c>
    </row>
    <row r="138" spans="3:9">
      <c r="C138" s="14"/>
      <c r="D138" s="49"/>
      <c r="E138" s="49"/>
      <c r="F138" s="49"/>
      <c r="G138" s="49"/>
      <c r="H138" s="49">
        <f t="shared" si="29"/>
        <v>1900</v>
      </c>
      <c r="I138" s="49" t="str">
        <f t="shared" si="30"/>
        <v>4</v>
      </c>
    </row>
    <row r="139" spans="3:9">
      <c r="C139" s="14"/>
      <c r="D139" s="49"/>
      <c r="E139" s="49"/>
      <c r="F139" s="49"/>
      <c r="G139" s="49"/>
      <c r="H139" s="49">
        <f t="shared" si="29"/>
        <v>1900</v>
      </c>
      <c r="I139" s="49" t="str">
        <f t="shared" si="30"/>
        <v>4</v>
      </c>
    </row>
    <row r="140" spans="3:9">
      <c r="C140" s="14"/>
      <c r="D140" s="49"/>
      <c r="E140" s="49"/>
      <c r="F140" s="49"/>
      <c r="G140" s="49"/>
      <c r="H140" s="49">
        <f t="shared" si="29"/>
        <v>1900</v>
      </c>
      <c r="I140" s="49" t="str">
        <f t="shared" si="30"/>
        <v>4</v>
      </c>
    </row>
    <row r="141" spans="3:9">
      <c r="C141" s="14"/>
      <c r="D141" s="49"/>
      <c r="E141" s="49"/>
      <c r="F141" s="49"/>
      <c r="G141" s="49"/>
      <c r="H141" s="49">
        <f t="shared" si="29"/>
        <v>1900</v>
      </c>
      <c r="I141" s="49" t="str">
        <f t="shared" si="30"/>
        <v>4</v>
      </c>
    </row>
    <row r="142" spans="3:9">
      <c r="C142" s="14"/>
      <c r="D142" s="49"/>
      <c r="E142" s="49"/>
      <c r="F142" s="49"/>
      <c r="G142" s="49"/>
      <c r="H142" s="49">
        <f t="shared" si="29"/>
        <v>1900</v>
      </c>
      <c r="I142" s="49" t="str">
        <f t="shared" si="30"/>
        <v>4</v>
      </c>
    </row>
    <row r="143" spans="3:9">
      <c r="C143" s="14"/>
      <c r="D143" s="49"/>
      <c r="E143" s="49"/>
      <c r="F143" s="49"/>
      <c r="G143" s="49"/>
      <c r="H143" s="49">
        <f t="shared" si="29"/>
        <v>1900</v>
      </c>
      <c r="I143" s="49" t="str">
        <f t="shared" si="30"/>
        <v>4</v>
      </c>
    </row>
    <row r="144" spans="3:9">
      <c r="C144" s="14"/>
      <c r="D144" s="49"/>
      <c r="E144" s="49"/>
      <c r="F144" s="49"/>
      <c r="G144" s="49"/>
      <c r="H144" s="49">
        <f t="shared" si="29"/>
        <v>1900</v>
      </c>
      <c r="I144" s="49" t="str">
        <f t="shared" si="30"/>
        <v>4</v>
      </c>
    </row>
    <row r="145" spans="3:9">
      <c r="C145" s="14"/>
      <c r="D145" s="49"/>
      <c r="E145" s="49"/>
      <c r="F145" s="49"/>
      <c r="G145" s="49"/>
      <c r="H145" s="49">
        <f t="shared" si="29"/>
        <v>1900</v>
      </c>
      <c r="I145" s="49" t="str">
        <f t="shared" si="30"/>
        <v>4</v>
      </c>
    </row>
    <row r="146" spans="3:9">
      <c r="C146" s="14"/>
      <c r="D146" s="49"/>
      <c r="E146" s="49"/>
      <c r="F146" s="49"/>
      <c r="G146" s="49"/>
      <c r="H146" s="49">
        <f t="shared" si="29"/>
        <v>1900</v>
      </c>
      <c r="I146" s="49" t="str">
        <f t="shared" si="30"/>
        <v>4</v>
      </c>
    </row>
    <row r="147" spans="3:9">
      <c r="C147" s="14"/>
      <c r="D147" s="49"/>
      <c r="E147" s="49"/>
      <c r="F147" s="49"/>
      <c r="G147" s="49"/>
      <c r="H147" s="49">
        <f t="shared" si="29"/>
        <v>1900</v>
      </c>
      <c r="I147" s="49" t="str">
        <f t="shared" si="30"/>
        <v>4</v>
      </c>
    </row>
    <row r="148" spans="3:9">
      <c r="C148" s="14"/>
      <c r="D148" s="49"/>
      <c r="E148" s="49"/>
      <c r="F148" s="49"/>
      <c r="G148" s="49"/>
      <c r="H148" s="49">
        <f t="shared" si="29"/>
        <v>1900</v>
      </c>
      <c r="I148" s="49" t="str">
        <f t="shared" si="30"/>
        <v>4</v>
      </c>
    </row>
    <row r="149" spans="3:9">
      <c r="C149" s="14"/>
      <c r="D149" s="49"/>
      <c r="E149" s="49"/>
      <c r="F149" s="49"/>
      <c r="G149" s="49"/>
      <c r="H149" s="49">
        <f t="shared" si="29"/>
        <v>1900</v>
      </c>
      <c r="I149" s="49" t="str">
        <f t="shared" si="30"/>
        <v>4</v>
      </c>
    </row>
    <row r="150" spans="3:9">
      <c r="C150" s="14"/>
      <c r="D150" s="49"/>
      <c r="E150" s="49"/>
      <c r="F150" s="49"/>
      <c r="G150" s="49"/>
      <c r="H150" s="49">
        <f t="shared" si="29"/>
        <v>1900</v>
      </c>
      <c r="I150" s="49" t="str">
        <f t="shared" si="30"/>
        <v>4</v>
      </c>
    </row>
    <row r="151" spans="3:9">
      <c r="C151" s="14"/>
      <c r="D151" s="49"/>
      <c r="E151" s="49"/>
      <c r="F151" s="49"/>
      <c r="G151" s="49"/>
      <c r="H151" s="49">
        <f t="shared" si="29"/>
        <v>1900</v>
      </c>
      <c r="I151" s="49" t="str">
        <f t="shared" si="30"/>
        <v>4</v>
      </c>
    </row>
    <row r="152" spans="3:9">
      <c r="C152" s="14"/>
      <c r="D152" s="49"/>
      <c r="E152" s="49"/>
      <c r="F152" s="49"/>
      <c r="G152" s="49"/>
      <c r="H152" s="49">
        <f t="shared" si="29"/>
        <v>1900</v>
      </c>
      <c r="I152" s="49" t="str">
        <f t="shared" si="30"/>
        <v>4</v>
      </c>
    </row>
    <row r="153" spans="3:9">
      <c r="C153" s="14"/>
      <c r="D153" s="49"/>
      <c r="E153" s="49"/>
      <c r="F153" s="49"/>
      <c r="G153" s="49"/>
      <c r="H153" s="49">
        <f t="shared" si="29"/>
        <v>1900</v>
      </c>
      <c r="I153" s="49" t="str">
        <f t="shared" si="30"/>
        <v>4</v>
      </c>
    </row>
    <row r="154" spans="3:9">
      <c r="C154" s="14"/>
      <c r="D154" s="49"/>
      <c r="E154" s="49"/>
      <c r="F154" s="49"/>
      <c r="G154" s="49"/>
      <c r="H154" s="49">
        <f t="shared" si="29"/>
        <v>1900</v>
      </c>
      <c r="I154" s="49" t="str">
        <f t="shared" si="30"/>
        <v>4</v>
      </c>
    </row>
    <row r="155" spans="3:9">
      <c r="C155" s="14"/>
      <c r="D155" s="49"/>
      <c r="E155" s="49"/>
      <c r="F155" s="49"/>
      <c r="G155" s="49"/>
      <c r="H155" s="49">
        <f t="shared" si="29"/>
        <v>1900</v>
      </c>
      <c r="I155" s="49" t="str">
        <f t="shared" si="30"/>
        <v>4</v>
      </c>
    </row>
    <row r="156" spans="3:9">
      <c r="C156" s="14"/>
      <c r="D156" s="49"/>
      <c r="E156" s="49"/>
      <c r="F156" s="49"/>
      <c r="G156" s="49"/>
      <c r="H156" s="49">
        <f t="shared" si="29"/>
        <v>1900</v>
      </c>
      <c r="I156" s="49" t="str">
        <f t="shared" si="30"/>
        <v>4</v>
      </c>
    </row>
    <row r="157" spans="3:9">
      <c r="C157" s="14"/>
      <c r="D157" s="49"/>
      <c r="E157" s="49"/>
      <c r="F157" s="49"/>
      <c r="G157" s="49"/>
      <c r="H157" s="49">
        <f t="shared" si="29"/>
        <v>1900</v>
      </c>
      <c r="I157" s="49" t="str">
        <f t="shared" si="30"/>
        <v>4</v>
      </c>
    </row>
    <row r="158" spans="3:9">
      <c r="C158" s="14"/>
      <c r="D158" s="49"/>
      <c r="E158" s="49"/>
      <c r="F158" s="49"/>
      <c r="G158" s="49"/>
      <c r="H158" s="49">
        <f t="shared" si="29"/>
        <v>1900</v>
      </c>
      <c r="I158" s="49" t="str">
        <f t="shared" si="30"/>
        <v>4</v>
      </c>
    </row>
    <row r="159" spans="3:9">
      <c r="C159" s="14"/>
      <c r="D159" s="49"/>
      <c r="E159" s="49"/>
      <c r="F159" s="49"/>
      <c r="G159" s="49"/>
      <c r="H159" s="49">
        <f t="shared" si="29"/>
        <v>1900</v>
      </c>
      <c r="I159" s="49" t="str">
        <f t="shared" si="30"/>
        <v>4</v>
      </c>
    </row>
    <row r="160" spans="3:9">
      <c r="C160" s="14"/>
      <c r="D160" s="49"/>
      <c r="E160" s="49"/>
      <c r="F160" s="49"/>
      <c r="G160" s="49"/>
      <c r="H160" s="49">
        <f t="shared" si="29"/>
        <v>1900</v>
      </c>
      <c r="I160" s="49" t="str">
        <f t="shared" si="30"/>
        <v>4</v>
      </c>
    </row>
    <row r="161" spans="3:9">
      <c r="C161" s="14"/>
      <c r="D161" s="49"/>
      <c r="E161" s="49"/>
      <c r="F161" s="49"/>
      <c r="G161" s="49"/>
      <c r="H161" s="49">
        <f t="shared" si="29"/>
        <v>1900</v>
      </c>
      <c r="I161" s="49" t="str">
        <f t="shared" si="30"/>
        <v>4</v>
      </c>
    </row>
    <row r="162" spans="3:9">
      <c r="C162" s="14"/>
      <c r="D162" s="49"/>
      <c r="E162" s="49"/>
      <c r="F162" s="49"/>
      <c r="G162" s="49"/>
      <c r="H162" s="49">
        <f t="shared" si="29"/>
        <v>1900</v>
      </c>
      <c r="I162" s="49" t="str">
        <f t="shared" si="30"/>
        <v>4</v>
      </c>
    </row>
    <row r="163" spans="3:9">
      <c r="C163" s="14"/>
      <c r="D163" s="49"/>
      <c r="E163" s="49"/>
      <c r="F163" s="49"/>
      <c r="G163" s="49"/>
      <c r="H163" s="49">
        <f t="shared" si="29"/>
        <v>1900</v>
      </c>
      <c r="I163" s="49" t="str">
        <f t="shared" si="30"/>
        <v>4</v>
      </c>
    </row>
    <row r="164" spans="3:9">
      <c r="C164" s="14"/>
      <c r="D164" s="49"/>
      <c r="E164" s="49"/>
      <c r="F164" s="49"/>
      <c r="G164" s="49"/>
      <c r="H164" s="49">
        <f t="shared" si="29"/>
        <v>1900</v>
      </c>
      <c r="I164" s="49" t="str">
        <f t="shared" si="30"/>
        <v>4</v>
      </c>
    </row>
    <row r="165" spans="3:9">
      <c r="C165" s="14"/>
      <c r="D165" s="49"/>
      <c r="E165" s="49"/>
      <c r="F165" s="49"/>
      <c r="G165" s="49"/>
      <c r="H165" s="49">
        <f t="shared" si="29"/>
        <v>1900</v>
      </c>
      <c r="I165" s="49" t="str">
        <f t="shared" si="30"/>
        <v>4</v>
      </c>
    </row>
    <row r="166" spans="3:9">
      <c r="C166" s="14"/>
      <c r="D166" s="49"/>
      <c r="E166" s="49"/>
      <c r="F166" s="49"/>
      <c r="G166" s="49"/>
      <c r="H166" s="49">
        <f t="shared" si="29"/>
        <v>1900</v>
      </c>
      <c r="I166" s="49" t="str">
        <f t="shared" si="30"/>
        <v>4</v>
      </c>
    </row>
    <row r="167" spans="3:9">
      <c r="C167" s="14"/>
      <c r="D167" s="49"/>
      <c r="E167" s="49"/>
      <c r="F167" s="49"/>
      <c r="G167" s="49"/>
      <c r="H167" s="49">
        <f t="shared" si="29"/>
        <v>1900</v>
      </c>
      <c r="I167" s="49" t="str">
        <f t="shared" si="30"/>
        <v>4</v>
      </c>
    </row>
    <row r="168" spans="3:9">
      <c r="C168" s="14"/>
      <c r="D168" s="49"/>
      <c r="E168" s="49"/>
      <c r="F168" s="49"/>
      <c r="G168" s="49"/>
      <c r="H168" s="49">
        <f t="shared" si="29"/>
        <v>1900</v>
      </c>
      <c r="I168" s="49" t="str">
        <f t="shared" si="30"/>
        <v>4</v>
      </c>
    </row>
    <row r="169" spans="3:9">
      <c r="C169" s="14"/>
      <c r="D169" s="49"/>
      <c r="E169" s="49"/>
      <c r="F169" s="49"/>
      <c r="G169" s="49"/>
      <c r="H169" s="49">
        <f t="shared" si="29"/>
        <v>1900</v>
      </c>
      <c r="I169" s="49" t="str">
        <f t="shared" si="30"/>
        <v>4</v>
      </c>
    </row>
    <row r="170" spans="3:9">
      <c r="C170" s="14"/>
      <c r="D170" s="49"/>
      <c r="E170" s="49"/>
      <c r="F170" s="49"/>
      <c r="G170" s="49"/>
      <c r="H170" s="49">
        <f t="shared" si="29"/>
        <v>1900</v>
      </c>
      <c r="I170" s="49" t="str">
        <f t="shared" si="30"/>
        <v>4</v>
      </c>
    </row>
    <row r="171" spans="3:9">
      <c r="C171" s="14"/>
      <c r="D171" s="49"/>
      <c r="E171" s="49"/>
      <c r="F171" s="49"/>
      <c r="G171" s="49"/>
      <c r="H171" s="49">
        <f t="shared" si="29"/>
        <v>1900</v>
      </c>
      <c r="I171" s="49" t="str">
        <f t="shared" si="30"/>
        <v>4</v>
      </c>
    </row>
    <row r="172" spans="3:9">
      <c r="C172" s="14"/>
      <c r="D172" s="49"/>
      <c r="E172" s="49"/>
      <c r="F172" s="49"/>
      <c r="G172" s="49"/>
      <c r="H172" s="49">
        <f t="shared" si="29"/>
        <v>1900</v>
      </c>
      <c r="I172" s="49" t="str">
        <f t="shared" si="30"/>
        <v>4</v>
      </c>
    </row>
    <row r="173" spans="3:9">
      <c r="C173" s="14"/>
      <c r="D173" s="49"/>
      <c r="E173" s="49"/>
      <c r="F173" s="49"/>
      <c r="G173" s="49"/>
      <c r="H173" s="49">
        <f t="shared" si="29"/>
        <v>1900</v>
      </c>
      <c r="I173" s="49" t="str">
        <f t="shared" si="30"/>
        <v>4</v>
      </c>
    </row>
    <row r="174" spans="3:9">
      <c r="C174" s="14"/>
      <c r="D174" s="49"/>
      <c r="E174" s="49"/>
      <c r="F174" s="49"/>
      <c r="G174" s="49"/>
      <c r="H174" s="49">
        <f t="shared" si="29"/>
        <v>1900</v>
      </c>
      <c r="I174" s="49" t="str">
        <f t="shared" si="30"/>
        <v>4</v>
      </c>
    </row>
    <row r="175" spans="3:9">
      <c r="C175" s="14"/>
      <c r="D175" s="49"/>
      <c r="E175" s="49"/>
      <c r="F175" s="49"/>
      <c r="G175" s="49"/>
      <c r="H175" s="49">
        <f t="shared" si="29"/>
        <v>1900</v>
      </c>
      <c r="I175" s="49" t="str">
        <f t="shared" si="30"/>
        <v>4</v>
      </c>
    </row>
    <row r="176" spans="3:9">
      <c r="C176" s="14"/>
      <c r="D176" s="49"/>
      <c r="E176" s="49"/>
      <c r="F176" s="49"/>
      <c r="G176" s="49"/>
      <c r="H176" s="49">
        <f t="shared" si="29"/>
        <v>1900</v>
      </c>
      <c r="I176" s="49" t="str">
        <f t="shared" si="30"/>
        <v>4</v>
      </c>
    </row>
    <row r="177" spans="3:9">
      <c r="C177" s="14"/>
      <c r="D177" s="49"/>
      <c r="E177" s="49"/>
      <c r="F177" s="49"/>
      <c r="G177" s="49"/>
      <c r="H177" s="49">
        <f t="shared" si="29"/>
        <v>1900</v>
      </c>
      <c r="I177" s="49" t="str">
        <f t="shared" si="30"/>
        <v>4</v>
      </c>
    </row>
    <row r="178" spans="3:9">
      <c r="C178" s="14"/>
      <c r="D178" s="49"/>
      <c r="E178" s="49"/>
      <c r="F178" s="49"/>
      <c r="G178" s="49"/>
      <c r="H178" s="49">
        <f t="shared" si="29"/>
        <v>1900</v>
      </c>
      <c r="I178" s="49" t="str">
        <f t="shared" si="30"/>
        <v>4</v>
      </c>
    </row>
    <row r="179" spans="3:9">
      <c r="C179" s="14"/>
      <c r="D179" s="49"/>
      <c r="E179" s="49"/>
      <c r="F179" s="49"/>
      <c r="G179" s="49"/>
      <c r="H179" s="49">
        <f t="shared" si="29"/>
        <v>1900</v>
      </c>
      <c r="I179" s="49" t="str">
        <f t="shared" si="30"/>
        <v>4</v>
      </c>
    </row>
    <row r="180" spans="3:9">
      <c r="C180" s="14"/>
      <c r="D180" s="49"/>
      <c r="E180" s="49"/>
      <c r="F180" s="49"/>
      <c r="G180" s="49"/>
      <c r="H180" s="49">
        <f t="shared" si="29"/>
        <v>1900</v>
      </c>
      <c r="I180" s="49" t="str">
        <f t="shared" si="30"/>
        <v>4</v>
      </c>
    </row>
    <row r="181" spans="3:9">
      <c r="C181" s="14"/>
      <c r="D181" s="49"/>
      <c r="E181" s="49"/>
      <c r="F181" s="49"/>
      <c r="G181" s="49"/>
      <c r="H181" s="49">
        <f t="shared" si="29"/>
        <v>1900</v>
      </c>
      <c r="I181" s="49" t="str">
        <f t="shared" si="30"/>
        <v>4</v>
      </c>
    </row>
    <row r="182" spans="3:9">
      <c r="C182" s="14"/>
      <c r="D182" s="49"/>
      <c r="E182" s="49"/>
      <c r="F182" s="49"/>
      <c r="G182" s="49"/>
      <c r="H182" s="49">
        <f t="shared" si="29"/>
        <v>1900</v>
      </c>
      <c r="I182" s="49" t="str">
        <f t="shared" si="30"/>
        <v>4</v>
      </c>
    </row>
    <row r="183" spans="3:9">
      <c r="C183" s="14"/>
      <c r="D183" s="49"/>
      <c r="E183" s="49"/>
      <c r="F183" s="49"/>
      <c r="G183" s="49"/>
      <c r="H183" s="49">
        <f t="shared" si="29"/>
        <v>1900</v>
      </c>
      <c r="I183" s="49" t="str">
        <f t="shared" si="30"/>
        <v>4</v>
      </c>
    </row>
    <row r="184" spans="3:9">
      <c r="C184" s="14"/>
      <c r="D184" s="49"/>
      <c r="E184" s="49"/>
      <c r="F184" s="49"/>
      <c r="G184" s="49"/>
      <c r="H184" s="49">
        <f t="shared" si="29"/>
        <v>1900</v>
      </c>
      <c r="I184" s="49" t="str">
        <f t="shared" si="30"/>
        <v>4</v>
      </c>
    </row>
    <row r="185" spans="3:9">
      <c r="C185" s="14"/>
      <c r="D185" s="49"/>
      <c r="E185" s="49"/>
      <c r="F185" s="49"/>
      <c r="G185" s="49"/>
      <c r="H185" s="49">
        <f t="shared" si="29"/>
        <v>1900</v>
      </c>
      <c r="I185" s="49" t="str">
        <f t="shared" si="30"/>
        <v>4</v>
      </c>
    </row>
    <row r="186" spans="3:9">
      <c r="C186" s="14"/>
      <c r="D186" s="49"/>
      <c r="E186" s="49"/>
      <c r="F186" s="49"/>
      <c r="G186" s="49"/>
      <c r="H186" s="49">
        <f t="shared" si="29"/>
        <v>1900</v>
      </c>
      <c r="I186" s="49" t="str">
        <f t="shared" si="30"/>
        <v>4</v>
      </c>
    </row>
    <row r="187" spans="3:9">
      <c r="C187" s="14"/>
      <c r="D187" s="49"/>
      <c r="E187" s="49"/>
      <c r="F187" s="49"/>
      <c r="G187" s="49"/>
      <c r="H187" s="49">
        <f t="shared" si="29"/>
        <v>1900</v>
      </c>
      <c r="I187" s="49" t="str">
        <f t="shared" si="30"/>
        <v>4</v>
      </c>
    </row>
    <row r="188" spans="3:9">
      <c r="C188" s="14"/>
      <c r="D188" s="49"/>
      <c r="E188" s="49"/>
      <c r="F188" s="49"/>
      <c r="G188" s="49"/>
      <c r="H188" s="49">
        <f t="shared" si="29"/>
        <v>1900</v>
      </c>
      <c r="I188" s="49" t="str">
        <f t="shared" si="30"/>
        <v>4</v>
      </c>
    </row>
    <row r="189" spans="3:9">
      <c r="C189" s="14"/>
      <c r="D189" s="49"/>
      <c r="E189" s="49"/>
      <c r="F189" s="49"/>
      <c r="G189" s="49"/>
      <c r="H189" s="49">
        <f t="shared" si="29"/>
        <v>1900</v>
      </c>
      <c r="I189" s="49" t="str">
        <f t="shared" si="30"/>
        <v>4</v>
      </c>
    </row>
    <row r="190" spans="3:9">
      <c r="C190" s="14"/>
      <c r="D190" s="49"/>
      <c r="E190" s="49"/>
      <c r="F190" s="49"/>
      <c r="G190" s="49"/>
      <c r="H190" s="49">
        <f t="shared" si="29"/>
        <v>1900</v>
      </c>
      <c r="I190" s="49" t="str">
        <f t="shared" si="30"/>
        <v>4</v>
      </c>
    </row>
    <row r="191" spans="3:9">
      <c r="C191" s="14"/>
      <c r="D191" s="49"/>
      <c r="E191" s="49"/>
      <c r="F191" s="49"/>
      <c r="G191" s="49"/>
      <c r="H191" s="49">
        <f t="shared" si="29"/>
        <v>1900</v>
      </c>
      <c r="I191" s="49" t="str">
        <f t="shared" si="30"/>
        <v>4</v>
      </c>
    </row>
    <row r="192" spans="3:9">
      <c r="C192" s="14"/>
      <c r="D192" s="49"/>
      <c r="E192" s="49"/>
      <c r="F192" s="49"/>
      <c r="G192" s="49"/>
      <c r="H192" s="49">
        <f t="shared" si="29"/>
        <v>1900</v>
      </c>
      <c r="I192" s="49" t="str">
        <f t="shared" si="30"/>
        <v>4</v>
      </c>
    </row>
    <row r="193" spans="3:9">
      <c r="C193" s="14"/>
      <c r="D193" s="49"/>
      <c r="E193" s="49"/>
      <c r="F193" s="49"/>
      <c r="G193" s="49"/>
      <c r="H193" s="49">
        <f t="shared" si="29"/>
        <v>1900</v>
      </c>
      <c r="I193" s="49" t="str">
        <f t="shared" si="30"/>
        <v>4</v>
      </c>
    </row>
    <row r="194" spans="3:9">
      <c r="C194" s="14"/>
      <c r="D194" s="49"/>
      <c r="E194" s="49"/>
      <c r="F194" s="49"/>
      <c r="G194" s="49"/>
      <c r="H194" s="49">
        <f t="shared" si="29"/>
        <v>1900</v>
      </c>
      <c r="I194" s="49" t="str">
        <f t="shared" si="30"/>
        <v>4</v>
      </c>
    </row>
    <row r="195" spans="3:9">
      <c r="C195" s="14"/>
      <c r="D195" s="49"/>
      <c r="E195" s="49"/>
      <c r="F195" s="49"/>
      <c r="G195" s="49"/>
      <c r="H195" s="49">
        <f t="shared" si="29"/>
        <v>1900</v>
      </c>
      <c r="I195" s="49" t="str">
        <f t="shared" si="30"/>
        <v>4</v>
      </c>
    </row>
    <row r="196" spans="3:9">
      <c r="C196" s="14"/>
      <c r="D196" s="49"/>
      <c r="E196" s="49"/>
      <c r="F196" s="49"/>
      <c r="G196" s="49"/>
      <c r="H196" s="49">
        <f t="shared" si="29"/>
        <v>1900</v>
      </c>
      <c r="I196" s="49" t="str">
        <f t="shared" si="30"/>
        <v>4</v>
      </c>
    </row>
    <row r="197" spans="3:9">
      <c r="C197" s="14"/>
      <c r="D197" s="49"/>
      <c r="E197" s="49"/>
      <c r="F197" s="49"/>
      <c r="G197" s="49"/>
      <c r="H197" s="49">
        <f t="shared" si="29"/>
        <v>1900</v>
      </c>
      <c r="I197" s="49" t="str">
        <f t="shared" si="30"/>
        <v>4</v>
      </c>
    </row>
    <row r="198" spans="3:9">
      <c r="C198" s="14"/>
      <c r="D198" s="49"/>
      <c r="E198" s="49"/>
      <c r="F198" s="49"/>
      <c r="G198" s="49"/>
      <c r="H198" s="49">
        <f t="shared" si="29"/>
        <v>1900</v>
      </c>
      <c r="I198" s="49" t="str">
        <f t="shared" si="30"/>
        <v>4</v>
      </c>
    </row>
    <row r="199" spans="3:9">
      <c r="C199" s="14"/>
      <c r="D199" s="49"/>
      <c r="E199" s="49"/>
      <c r="F199" s="49"/>
      <c r="G199" s="49"/>
      <c r="H199" s="49">
        <f t="shared" si="29"/>
        <v>1900</v>
      </c>
      <c r="I199" s="49" t="str">
        <f t="shared" si="30"/>
        <v>4</v>
      </c>
    </row>
    <row r="200" spans="3:9">
      <c r="C200" s="14"/>
      <c r="D200" s="49"/>
      <c r="E200" s="49"/>
      <c r="F200" s="49"/>
      <c r="G200" s="49"/>
      <c r="H200" s="49">
        <f t="shared" ref="H200:H250" si="31">YEAR(A200)</f>
        <v>1900</v>
      </c>
      <c r="I200" s="49" t="str">
        <f t="shared" ref="I200:I250" si="32">IF(MONTH(A200)=3,"1",IF(MONTH(A200)=6,"2",IF(MONTH(A200)=9,"3","4")))</f>
        <v>4</v>
      </c>
    </row>
    <row r="201" spans="3:9">
      <c r="C201" s="14"/>
      <c r="D201" s="49"/>
      <c r="E201" s="49"/>
      <c r="F201" s="49"/>
      <c r="G201" s="49"/>
      <c r="H201" s="49">
        <f t="shared" si="31"/>
        <v>1900</v>
      </c>
      <c r="I201" s="49" t="str">
        <f t="shared" si="32"/>
        <v>4</v>
      </c>
    </row>
    <row r="202" spans="3:9">
      <c r="C202" s="14"/>
      <c r="D202" s="49"/>
      <c r="E202" s="49"/>
      <c r="F202" s="49"/>
      <c r="G202" s="49"/>
      <c r="H202" s="49">
        <f t="shared" si="31"/>
        <v>1900</v>
      </c>
      <c r="I202" s="49" t="str">
        <f t="shared" si="32"/>
        <v>4</v>
      </c>
    </row>
    <row r="203" spans="3:9">
      <c r="C203" s="14"/>
      <c r="D203" s="49"/>
      <c r="E203" s="49"/>
      <c r="F203" s="49"/>
      <c r="G203" s="49"/>
      <c r="H203" s="49">
        <f t="shared" si="31"/>
        <v>1900</v>
      </c>
      <c r="I203" s="49" t="str">
        <f t="shared" si="32"/>
        <v>4</v>
      </c>
    </row>
    <row r="204" spans="3:9">
      <c r="C204" s="14"/>
      <c r="D204" s="49"/>
      <c r="E204" s="49"/>
      <c r="F204" s="49"/>
      <c r="G204" s="49"/>
      <c r="H204" s="49">
        <f t="shared" si="31"/>
        <v>1900</v>
      </c>
      <c r="I204" s="49" t="str">
        <f t="shared" si="32"/>
        <v>4</v>
      </c>
    </row>
    <row r="205" spans="3:9">
      <c r="C205" s="14"/>
      <c r="D205" s="49"/>
      <c r="E205" s="49"/>
      <c r="F205" s="49"/>
      <c r="G205" s="49"/>
      <c r="H205" s="49">
        <f t="shared" si="31"/>
        <v>1900</v>
      </c>
      <c r="I205" s="49" t="str">
        <f t="shared" si="32"/>
        <v>4</v>
      </c>
    </row>
    <row r="206" spans="3:9">
      <c r="C206" s="14"/>
      <c r="D206" s="49"/>
      <c r="E206" s="49"/>
      <c r="F206" s="49"/>
      <c r="G206" s="49"/>
      <c r="H206" s="49">
        <f t="shared" si="31"/>
        <v>1900</v>
      </c>
      <c r="I206" s="49" t="str">
        <f t="shared" si="32"/>
        <v>4</v>
      </c>
    </row>
    <row r="207" spans="3:9">
      <c r="C207" s="14"/>
      <c r="D207" s="49"/>
      <c r="E207" s="49"/>
      <c r="F207" s="49"/>
      <c r="G207" s="49"/>
      <c r="H207" s="49">
        <f t="shared" si="31"/>
        <v>1900</v>
      </c>
      <c r="I207" s="49" t="str">
        <f t="shared" si="32"/>
        <v>4</v>
      </c>
    </row>
    <row r="208" spans="3:9">
      <c r="C208" s="14"/>
      <c r="D208" s="49"/>
      <c r="E208" s="49"/>
      <c r="F208" s="49"/>
      <c r="G208" s="49"/>
      <c r="H208" s="49">
        <f t="shared" si="31"/>
        <v>1900</v>
      </c>
      <c r="I208" s="49" t="str">
        <f t="shared" si="32"/>
        <v>4</v>
      </c>
    </row>
    <row r="209" spans="3:9">
      <c r="C209" s="14"/>
      <c r="D209" s="49"/>
      <c r="E209" s="49"/>
      <c r="F209" s="49"/>
      <c r="G209" s="49"/>
      <c r="H209" s="49">
        <f t="shared" si="31"/>
        <v>1900</v>
      </c>
      <c r="I209" s="49" t="str">
        <f t="shared" si="32"/>
        <v>4</v>
      </c>
    </row>
    <row r="210" spans="3:9">
      <c r="C210" s="14"/>
      <c r="D210" s="49"/>
      <c r="E210" s="49"/>
      <c r="F210" s="49"/>
      <c r="G210" s="49"/>
      <c r="H210" s="49">
        <f t="shared" si="31"/>
        <v>1900</v>
      </c>
      <c r="I210" s="49" t="str">
        <f t="shared" si="32"/>
        <v>4</v>
      </c>
    </row>
    <row r="211" spans="3:9">
      <c r="C211" s="14"/>
      <c r="D211" s="49"/>
      <c r="E211" s="49"/>
      <c r="F211" s="49"/>
      <c r="G211" s="49"/>
      <c r="H211" s="49">
        <f t="shared" si="31"/>
        <v>1900</v>
      </c>
      <c r="I211" s="49" t="str">
        <f t="shared" si="32"/>
        <v>4</v>
      </c>
    </row>
    <row r="212" spans="3:9">
      <c r="C212" s="14"/>
      <c r="D212" s="49"/>
      <c r="E212" s="49"/>
      <c r="F212" s="49"/>
      <c r="G212" s="49"/>
      <c r="H212" s="49">
        <f t="shared" si="31"/>
        <v>1900</v>
      </c>
      <c r="I212" s="49" t="str">
        <f t="shared" si="32"/>
        <v>4</v>
      </c>
    </row>
    <row r="213" spans="3:9">
      <c r="C213" s="14"/>
      <c r="D213" s="49"/>
      <c r="E213" s="49"/>
      <c r="F213" s="49"/>
      <c r="G213" s="49"/>
      <c r="H213" s="49">
        <f t="shared" si="31"/>
        <v>1900</v>
      </c>
      <c r="I213" s="49" t="str">
        <f t="shared" si="32"/>
        <v>4</v>
      </c>
    </row>
    <row r="214" spans="3:9">
      <c r="C214" s="14"/>
      <c r="D214" s="49"/>
      <c r="E214" s="49"/>
      <c r="F214" s="49"/>
      <c r="G214" s="49"/>
      <c r="H214" s="49">
        <f t="shared" si="31"/>
        <v>1900</v>
      </c>
      <c r="I214" s="49" t="str">
        <f t="shared" si="32"/>
        <v>4</v>
      </c>
    </row>
    <row r="215" spans="3:9">
      <c r="C215" s="14"/>
      <c r="D215" s="49"/>
      <c r="E215" s="49"/>
      <c r="F215" s="49"/>
      <c r="G215" s="49"/>
      <c r="H215" s="49">
        <f t="shared" si="31"/>
        <v>1900</v>
      </c>
      <c r="I215" s="49" t="str">
        <f t="shared" si="32"/>
        <v>4</v>
      </c>
    </row>
    <row r="216" spans="3:9">
      <c r="C216" s="14"/>
      <c r="D216" s="49"/>
      <c r="E216" s="49"/>
      <c r="F216" s="49"/>
      <c r="G216" s="49"/>
      <c r="H216" s="49">
        <f t="shared" si="31"/>
        <v>1900</v>
      </c>
      <c r="I216" s="49" t="str">
        <f t="shared" si="32"/>
        <v>4</v>
      </c>
    </row>
    <row r="217" spans="3:9">
      <c r="C217" s="14"/>
      <c r="D217" s="49"/>
      <c r="E217" s="49"/>
      <c r="F217" s="49"/>
      <c r="G217" s="49"/>
      <c r="H217" s="49">
        <f t="shared" si="31"/>
        <v>1900</v>
      </c>
      <c r="I217" s="49" t="str">
        <f t="shared" si="32"/>
        <v>4</v>
      </c>
    </row>
    <row r="218" spans="3:9">
      <c r="C218" s="14"/>
      <c r="D218" s="49"/>
      <c r="E218" s="49"/>
      <c r="F218" s="49"/>
      <c r="G218" s="49"/>
      <c r="H218" s="49">
        <f t="shared" si="31"/>
        <v>1900</v>
      </c>
      <c r="I218" s="49" t="str">
        <f t="shared" si="32"/>
        <v>4</v>
      </c>
    </row>
    <row r="219" spans="3:9">
      <c r="C219" s="14"/>
      <c r="D219" s="49"/>
      <c r="E219" s="49"/>
      <c r="F219" s="49"/>
      <c r="G219" s="49"/>
      <c r="H219" s="49">
        <f t="shared" si="31"/>
        <v>1900</v>
      </c>
      <c r="I219" s="49" t="str">
        <f t="shared" si="32"/>
        <v>4</v>
      </c>
    </row>
    <row r="220" spans="3:9">
      <c r="C220" s="14"/>
      <c r="D220" s="49"/>
      <c r="E220" s="49"/>
      <c r="F220" s="49"/>
      <c r="G220" s="49"/>
      <c r="H220" s="49">
        <f t="shared" si="31"/>
        <v>1900</v>
      </c>
      <c r="I220" s="49" t="str">
        <f t="shared" si="32"/>
        <v>4</v>
      </c>
    </row>
    <row r="221" spans="3:9">
      <c r="C221" s="14"/>
      <c r="D221" s="49"/>
      <c r="E221" s="49"/>
      <c r="F221" s="49"/>
      <c r="G221" s="49"/>
      <c r="H221" s="49">
        <f t="shared" si="31"/>
        <v>1900</v>
      </c>
      <c r="I221" s="49" t="str">
        <f t="shared" si="32"/>
        <v>4</v>
      </c>
    </row>
    <row r="222" spans="3:9">
      <c r="C222" s="14"/>
      <c r="D222" s="49"/>
      <c r="E222" s="49"/>
      <c r="F222" s="49"/>
      <c r="G222" s="49"/>
      <c r="H222" s="49">
        <f t="shared" si="31"/>
        <v>1900</v>
      </c>
      <c r="I222" s="49" t="str">
        <f t="shared" si="32"/>
        <v>4</v>
      </c>
    </row>
    <row r="223" spans="3:9">
      <c r="C223" s="14"/>
      <c r="D223" s="49"/>
      <c r="E223" s="49"/>
      <c r="F223" s="49"/>
      <c r="G223" s="49"/>
      <c r="H223" s="49">
        <f t="shared" si="31"/>
        <v>1900</v>
      </c>
      <c r="I223" s="49" t="str">
        <f t="shared" si="32"/>
        <v>4</v>
      </c>
    </row>
    <row r="224" spans="3:9">
      <c r="C224" s="14"/>
      <c r="D224" s="49"/>
      <c r="E224" s="49"/>
      <c r="F224" s="49"/>
      <c r="G224" s="49"/>
      <c r="H224" s="49">
        <f t="shared" si="31"/>
        <v>1900</v>
      </c>
      <c r="I224" s="49" t="str">
        <f t="shared" si="32"/>
        <v>4</v>
      </c>
    </row>
    <row r="225" spans="3:9">
      <c r="C225" s="14"/>
      <c r="D225" s="49"/>
      <c r="E225" s="49"/>
      <c r="F225" s="49"/>
      <c r="G225" s="49"/>
      <c r="H225" s="49">
        <f t="shared" si="31"/>
        <v>1900</v>
      </c>
      <c r="I225" s="49" t="str">
        <f t="shared" si="32"/>
        <v>4</v>
      </c>
    </row>
    <row r="226" spans="3:9">
      <c r="C226" s="14"/>
      <c r="D226" s="49"/>
      <c r="E226" s="49"/>
      <c r="F226" s="49"/>
      <c r="G226" s="49"/>
      <c r="H226" s="49">
        <f t="shared" si="31"/>
        <v>1900</v>
      </c>
      <c r="I226" s="49" t="str">
        <f t="shared" si="32"/>
        <v>4</v>
      </c>
    </row>
    <row r="227" spans="3:9">
      <c r="C227" s="14"/>
      <c r="D227" s="49"/>
      <c r="E227" s="49"/>
      <c r="F227" s="49"/>
      <c r="G227" s="49"/>
      <c r="H227" s="49">
        <f t="shared" si="31"/>
        <v>1900</v>
      </c>
      <c r="I227" s="49" t="str">
        <f t="shared" si="32"/>
        <v>4</v>
      </c>
    </row>
    <row r="228" spans="3:9">
      <c r="C228" s="14"/>
      <c r="D228" s="49"/>
      <c r="E228" s="49"/>
      <c r="F228" s="49"/>
      <c r="G228" s="49"/>
      <c r="H228" s="49">
        <f t="shared" si="31"/>
        <v>1900</v>
      </c>
      <c r="I228" s="49" t="str">
        <f t="shared" si="32"/>
        <v>4</v>
      </c>
    </row>
    <row r="229" spans="3:9">
      <c r="C229" s="14"/>
      <c r="D229" s="49"/>
      <c r="E229" s="49"/>
      <c r="F229" s="49"/>
      <c r="G229" s="49"/>
      <c r="H229" s="49">
        <f t="shared" si="31"/>
        <v>1900</v>
      </c>
      <c r="I229" s="49" t="str">
        <f t="shared" si="32"/>
        <v>4</v>
      </c>
    </row>
    <row r="230" spans="3:9">
      <c r="C230" s="14"/>
      <c r="D230" s="49"/>
      <c r="E230" s="49"/>
      <c r="F230" s="49"/>
      <c r="G230" s="49"/>
      <c r="H230" s="49">
        <f t="shared" si="31"/>
        <v>1900</v>
      </c>
      <c r="I230" s="49" t="str">
        <f t="shared" si="32"/>
        <v>4</v>
      </c>
    </row>
    <row r="231" spans="3:9">
      <c r="C231" s="14"/>
      <c r="D231" s="49"/>
      <c r="E231" s="49"/>
      <c r="F231" s="49"/>
      <c r="G231" s="49"/>
      <c r="H231" s="49">
        <f t="shared" si="31"/>
        <v>1900</v>
      </c>
      <c r="I231" s="49" t="str">
        <f t="shared" si="32"/>
        <v>4</v>
      </c>
    </row>
    <row r="232" spans="3:9">
      <c r="C232" s="14"/>
      <c r="D232" s="49"/>
      <c r="E232" s="49"/>
      <c r="F232" s="49"/>
      <c r="G232" s="49"/>
      <c r="H232" s="49">
        <f t="shared" si="31"/>
        <v>1900</v>
      </c>
      <c r="I232" s="49" t="str">
        <f t="shared" si="32"/>
        <v>4</v>
      </c>
    </row>
    <row r="233" spans="3:9">
      <c r="C233" s="14"/>
      <c r="D233" s="49"/>
      <c r="E233" s="49"/>
      <c r="F233" s="49"/>
      <c r="G233" s="49"/>
      <c r="H233" s="49">
        <f t="shared" si="31"/>
        <v>1900</v>
      </c>
      <c r="I233" s="49" t="str">
        <f t="shared" si="32"/>
        <v>4</v>
      </c>
    </row>
    <row r="234" spans="3:9">
      <c r="C234" s="14"/>
      <c r="D234" s="49"/>
      <c r="E234" s="49"/>
      <c r="F234" s="49"/>
      <c r="G234" s="49"/>
      <c r="H234" s="49">
        <f t="shared" si="31"/>
        <v>1900</v>
      </c>
      <c r="I234" s="49" t="str">
        <f t="shared" si="32"/>
        <v>4</v>
      </c>
    </row>
    <row r="235" spans="3:9">
      <c r="C235" s="14"/>
      <c r="D235" s="49"/>
      <c r="E235" s="49"/>
      <c r="F235" s="49"/>
      <c r="G235" s="49"/>
      <c r="H235" s="49">
        <f t="shared" si="31"/>
        <v>1900</v>
      </c>
      <c r="I235" s="49" t="str">
        <f t="shared" si="32"/>
        <v>4</v>
      </c>
    </row>
    <row r="236" spans="3:9">
      <c r="C236" s="14"/>
      <c r="D236" s="49"/>
      <c r="E236" s="49"/>
      <c r="F236" s="49"/>
      <c r="G236" s="49"/>
      <c r="H236" s="49">
        <f t="shared" si="31"/>
        <v>1900</v>
      </c>
      <c r="I236" s="49" t="str">
        <f t="shared" si="32"/>
        <v>4</v>
      </c>
    </row>
    <row r="237" spans="3:9">
      <c r="C237" s="14"/>
      <c r="D237" s="49"/>
      <c r="E237" s="49"/>
      <c r="F237" s="49"/>
      <c r="G237" s="49"/>
      <c r="H237" s="49">
        <f t="shared" si="31"/>
        <v>1900</v>
      </c>
      <c r="I237" s="49" t="str">
        <f t="shared" si="32"/>
        <v>4</v>
      </c>
    </row>
    <row r="238" spans="3:9">
      <c r="C238" s="14"/>
      <c r="D238" s="49"/>
      <c r="E238" s="49"/>
      <c r="F238" s="49"/>
      <c r="G238" s="49"/>
      <c r="H238" s="49">
        <f t="shared" si="31"/>
        <v>1900</v>
      </c>
      <c r="I238" s="49" t="str">
        <f t="shared" si="32"/>
        <v>4</v>
      </c>
    </row>
    <row r="239" spans="3:9">
      <c r="C239" s="14"/>
      <c r="D239" s="49"/>
      <c r="E239" s="49"/>
      <c r="F239" s="49"/>
      <c r="G239" s="49"/>
      <c r="H239" s="49">
        <f t="shared" si="31"/>
        <v>1900</v>
      </c>
      <c r="I239" s="49" t="str">
        <f t="shared" si="32"/>
        <v>4</v>
      </c>
    </row>
    <row r="240" spans="3:9">
      <c r="C240" s="14"/>
      <c r="D240" s="49"/>
      <c r="E240" s="49"/>
      <c r="F240" s="49"/>
      <c r="G240" s="49"/>
      <c r="H240" s="49">
        <f t="shared" si="31"/>
        <v>1900</v>
      </c>
      <c r="I240" s="49" t="str">
        <f t="shared" si="32"/>
        <v>4</v>
      </c>
    </row>
    <row r="241" spans="3:9">
      <c r="C241" s="14"/>
      <c r="D241" s="49"/>
      <c r="E241" s="49"/>
      <c r="F241" s="49"/>
      <c r="G241" s="49"/>
      <c r="H241" s="49">
        <f t="shared" si="31"/>
        <v>1900</v>
      </c>
      <c r="I241" s="49" t="str">
        <f t="shared" si="32"/>
        <v>4</v>
      </c>
    </row>
    <row r="242" spans="3:9">
      <c r="C242" s="14"/>
      <c r="D242" s="49"/>
      <c r="E242" s="49"/>
      <c r="F242" s="49"/>
      <c r="G242" s="49"/>
      <c r="H242" s="49">
        <f t="shared" si="31"/>
        <v>1900</v>
      </c>
      <c r="I242" s="49" t="str">
        <f t="shared" si="32"/>
        <v>4</v>
      </c>
    </row>
    <row r="243" spans="3:9">
      <c r="C243" s="14"/>
      <c r="D243" s="49"/>
      <c r="E243" s="49"/>
      <c r="F243" s="49"/>
      <c r="G243" s="49"/>
      <c r="H243" s="49">
        <f t="shared" si="31"/>
        <v>1900</v>
      </c>
      <c r="I243" s="49" t="str">
        <f t="shared" si="32"/>
        <v>4</v>
      </c>
    </row>
    <row r="244" spans="3:9">
      <c r="C244" s="14"/>
      <c r="D244" s="49"/>
      <c r="E244" s="49"/>
      <c r="F244" s="49"/>
      <c r="G244" s="49"/>
      <c r="H244" s="49">
        <f t="shared" si="31"/>
        <v>1900</v>
      </c>
      <c r="I244" s="49" t="str">
        <f t="shared" si="32"/>
        <v>4</v>
      </c>
    </row>
    <row r="245" spans="3:9">
      <c r="C245" s="14"/>
      <c r="D245" s="49"/>
      <c r="E245" s="49"/>
      <c r="F245" s="49"/>
      <c r="G245" s="49"/>
      <c r="H245" s="49">
        <f t="shared" si="31"/>
        <v>1900</v>
      </c>
      <c r="I245" s="49" t="str">
        <f t="shared" si="32"/>
        <v>4</v>
      </c>
    </row>
    <row r="246" spans="3:9">
      <c r="C246" s="14"/>
      <c r="D246" s="49"/>
      <c r="E246" s="49"/>
      <c r="F246" s="49"/>
      <c r="G246" s="49"/>
      <c r="H246" s="49">
        <f t="shared" si="31"/>
        <v>1900</v>
      </c>
      <c r="I246" s="49" t="str">
        <f t="shared" si="32"/>
        <v>4</v>
      </c>
    </row>
    <row r="247" spans="3:9">
      <c r="C247" s="14"/>
      <c r="D247" s="49"/>
      <c r="E247" s="49"/>
      <c r="F247" s="49"/>
      <c r="G247" s="49"/>
      <c r="H247" s="49">
        <f t="shared" si="31"/>
        <v>1900</v>
      </c>
      <c r="I247" s="49" t="str">
        <f t="shared" si="32"/>
        <v>4</v>
      </c>
    </row>
    <row r="248" spans="3:9">
      <c r="C248" s="14"/>
      <c r="D248" s="49"/>
      <c r="E248" s="49"/>
      <c r="F248" s="49"/>
      <c r="G248" s="49"/>
      <c r="H248" s="49">
        <f t="shared" si="31"/>
        <v>1900</v>
      </c>
      <c r="I248" s="49" t="str">
        <f t="shared" si="32"/>
        <v>4</v>
      </c>
    </row>
    <row r="249" spans="3:9">
      <c r="C249" s="14"/>
      <c r="D249" s="49"/>
      <c r="E249" s="49"/>
      <c r="F249" s="49"/>
      <c r="G249" s="49"/>
      <c r="H249" s="49">
        <f t="shared" si="31"/>
        <v>1900</v>
      </c>
      <c r="I249" s="49" t="str">
        <f t="shared" si="32"/>
        <v>4</v>
      </c>
    </row>
    <row r="250" spans="3:9">
      <c r="C250" s="14"/>
      <c r="D250" s="49"/>
      <c r="E250" s="49"/>
      <c r="F250" s="49"/>
      <c r="G250" s="49"/>
      <c r="H250" s="49">
        <f t="shared" si="31"/>
        <v>1900</v>
      </c>
      <c r="I250" s="49" t="str">
        <f t="shared" si="32"/>
        <v>4</v>
      </c>
    </row>
    <row r="251" spans="3:9">
      <c r="C251" s="14"/>
      <c r="D251" s="50"/>
      <c r="E251" s="50"/>
      <c r="F251" s="50"/>
      <c r="G251" s="50"/>
      <c r="H251" s="50"/>
      <c r="I251" s="50"/>
    </row>
    <row r="252" spans="3:9">
      <c r="C252" s="14"/>
      <c r="D252" s="50"/>
      <c r="E252" s="50"/>
      <c r="F252" s="50"/>
      <c r="G252" s="50"/>
      <c r="H252" s="50"/>
      <c r="I252" s="50"/>
    </row>
    <row r="253" spans="3:9">
      <c r="C253" s="14"/>
      <c r="D253" s="50"/>
      <c r="E253" s="50"/>
      <c r="F253" s="50"/>
      <c r="G253" s="50"/>
      <c r="H253" s="50"/>
      <c r="I253" s="50"/>
    </row>
    <row r="254" spans="3:9">
      <c r="C254" s="14"/>
      <c r="D254" s="50"/>
      <c r="E254" s="50"/>
      <c r="F254" s="50"/>
      <c r="G254" s="50"/>
      <c r="H254" s="50"/>
      <c r="I254" s="50"/>
    </row>
    <row r="255" spans="3:9">
      <c r="C255" s="14"/>
      <c r="D255" s="50"/>
      <c r="E255" s="50"/>
      <c r="F255" s="50"/>
      <c r="G255" s="50"/>
      <c r="H255" s="50"/>
      <c r="I255" s="50"/>
    </row>
    <row r="256" spans="3:9">
      <c r="C256" s="14"/>
      <c r="D256" s="50"/>
      <c r="E256" s="50"/>
      <c r="F256" s="50"/>
      <c r="G256" s="50"/>
      <c r="H256" s="50"/>
      <c r="I256" s="50"/>
    </row>
    <row r="257" spans="3:9">
      <c r="C257" s="14"/>
      <c r="D257" s="50"/>
      <c r="E257" s="50"/>
      <c r="F257" s="50"/>
      <c r="G257" s="50"/>
      <c r="H257" s="50"/>
      <c r="I257" s="50"/>
    </row>
    <row r="258" spans="3:9">
      <c r="C258" s="14"/>
      <c r="D258" s="50"/>
      <c r="E258" s="50"/>
      <c r="F258" s="50"/>
      <c r="G258" s="50"/>
      <c r="H258" s="50"/>
      <c r="I258" s="50"/>
    </row>
    <row r="259" spans="3:9">
      <c r="C259" s="14"/>
      <c r="D259" s="50"/>
      <c r="E259" s="50"/>
      <c r="F259" s="50"/>
      <c r="G259" s="50"/>
      <c r="H259" s="50"/>
      <c r="I259" s="50"/>
    </row>
    <row r="260" spans="3:9">
      <c r="C260" s="14"/>
      <c r="D260" s="50"/>
      <c r="E260" s="50"/>
      <c r="F260" s="50"/>
      <c r="G260" s="50"/>
      <c r="H260" s="50"/>
      <c r="I260" s="50"/>
    </row>
    <row r="261" spans="3:9">
      <c r="C261" s="14"/>
      <c r="D261" s="50"/>
      <c r="E261" s="50"/>
      <c r="F261" s="50"/>
      <c r="G261" s="50"/>
      <c r="H261" s="50"/>
      <c r="I261" s="50"/>
    </row>
    <row r="262" spans="3:9">
      <c r="C262" s="14"/>
      <c r="D262" s="50"/>
      <c r="E262" s="50"/>
      <c r="F262" s="50"/>
      <c r="G262" s="50"/>
      <c r="H262" s="50"/>
      <c r="I262" s="50"/>
    </row>
    <row r="263" spans="3:9">
      <c r="C263" s="14"/>
      <c r="D263" s="50"/>
      <c r="E263" s="50"/>
      <c r="F263" s="50"/>
      <c r="G263" s="50"/>
      <c r="H263" s="50"/>
      <c r="I263" s="50"/>
    </row>
    <row r="264" spans="3:9">
      <c r="C264" s="14"/>
      <c r="D264" s="50"/>
      <c r="E264" s="50"/>
      <c r="F264" s="50"/>
      <c r="G264" s="50"/>
      <c r="H264" s="50"/>
      <c r="I264" s="50"/>
    </row>
    <row r="265" spans="3:9">
      <c r="C265" s="14"/>
      <c r="D265" s="50"/>
      <c r="E265" s="50"/>
      <c r="F265" s="50"/>
      <c r="G265" s="50"/>
      <c r="H265" s="50"/>
      <c r="I265" s="50"/>
    </row>
    <row r="266" spans="3:9">
      <c r="C266" s="14"/>
      <c r="D266" s="50"/>
      <c r="E266" s="50"/>
      <c r="F266" s="50"/>
      <c r="G266" s="50"/>
      <c r="H266" s="50"/>
      <c r="I266" s="50"/>
    </row>
    <row r="267" spans="3:9">
      <c r="C267" s="14"/>
      <c r="D267" s="50"/>
      <c r="E267" s="50"/>
      <c r="F267" s="50"/>
      <c r="G267" s="50"/>
      <c r="H267" s="50"/>
      <c r="I267" s="50"/>
    </row>
    <row r="268" spans="3:9">
      <c r="C268" s="14"/>
      <c r="D268" s="50"/>
      <c r="E268" s="50"/>
      <c r="F268" s="50"/>
      <c r="G268" s="50"/>
      <c r="H268" s="50"/>
      <c r="I268" s="50"/>
    </row>
    <row r="269" spans="3:9">
      <c r="C269" s="14"/>
      <c r="D269" s="50"/>
      <c r="E269" s="50"/>
      <c r="F269" s="50"/>
      <c r="G269" s="50"/>
      <c r="H269" s="50"/>
      <c r="I269" s="50"/>
    </row>
    <row r="270" spans="3:9">
      <c r="C270" s="14"/>
      <c r="D270" s="50"/>
      <c r="E270" s="50"/>
      <c r="F270" s="50"/>
      <c r="G270" s="50"/>
      <c r="H270" s="50"/>
      <c r="I270" s="50"/>
    </row>
    <row r="271" spans="3:9">
      <c r="C271" s="14"/>
      <c r="D271" s="50"/>
      <c r="E271" s="50"/>
      <c r="F271" s="50"/>
      <c r="G271" s="50"/>
      <c r="H271" s="50"/>
      <c r="I271" s="50"/>
    </row>
    <row r="272" spans="3:9">
      <c r="C272" s="14"/>
      <c r="D272" s="50"/>
      <c r="E272" s="50"/>
      <c r="F272" s="50"/>
      <c r="G272" s="50"/>
      <c r="H272" s="50"/>
      <c r="I272" s="50"/>
    </row>
    <row r="273" spans="3:9">
      <c r="C273" s="14"/>
      <c r="D273" s="50"/>
      <c r="E273" s="50"/>
      <c r="F273" s="50"/>
      <c r="G273" s="50"/>
      <c r="H273" s="50"/>
      <c r="I273" s="50"/>
    </row>
    <row r="274" spans="3:9">
      <c r="C274" s="14"/>
      <c r="D274" s="50"/>
      <c r="E274" s="50"/>
      <c r="F274" s="50"/>
      <c r="G274" s="50"/>
      <c r="H274" s="50"/>
      <c r="I274" s="50"/>
    </row>
    <row r="275" spans="3:9">
      <c r="C275" s="14"/>
      <c r="D275" s="50"/>
      <c r="E275" s="50"/>
      <c r="F275" s="50"/>
      <c r="G275" s="50"/>
      <c r="H275" s="50"/>
      <c r="I275" s="50"/>
    </row>
    <row r="276" spans="3:9">
      <c r="C276" s="14"/>
      <c r="D276" s="50"/>
      <c r="E276" s="50"/>
      <c r="F276" s="50"/>
      <c r="G276" s="50"/>
      <c r="H276" s="50"/>
      <c r="I276" s="50"/>
    </row>
    <row r="277" spans="3:9">
      <c r="C277" s="14"/>
      <c r="D277" s="50"/>
      <c r="E277" s="50"/>
      <c r="F277" s="50"/>
      <c r="G277" s="50"/>
      <c r="H277" s="50"/>
      <c r="I277" s="50"/>
    </row>
    <row r="278" spans="3:9">
      <c r="C278" s="14"/>
      <c r="D278" s="50"/>
      <c r="E278" s="50"/>
      <c r="F278" s="50"/>
      <c r="G278" s="50"/>
      <c r="H278" s="50"/>
      <c r="I278" s="50"/>
    </row>
    <row r="279" spans="3:9">
      <c r="C279" s="14"/>
      <c r="D279" s="50"/>
      <c r="E279" s="50"/>
      <c r="F279" s="50"/>
      <c r="G279" s="50"/>
      <c r="H279" s="50"/>
      <c r="I279" s="50"/>
    </row>
    <row r="280" spans="3:9">
      <c r="C280" s="14"/>
      <c r="D280" s="50"/>
      <c r="E280" s="50"/>
      <c r="F280" s="50"/>
      <c r="G280" s="50"/>
      <c r="H280" s="50"/>
      <c r="I280" s="50"/>
    </row>
    <row r="281" spans="3:9">
      <c r="C281" s="14"/>
      <c r="D281" s="50"/>
      <c r="E281" s="50"/>
      <c r="F281" s="50"/>
      <c r="G281" s="50"/>
      <c r="H281" s="50"/>
      <c r="I281" s="50"/>
    </row>
    <row r="282" spans="3:9">
      <c r="C282" s="14"/>
      <c r="D282" s="50"/>
      <c r="E282" s="50"/>
      <c r="F282" s="50"/>
      <c r="G282" s="50"/>
      <c r="H282" s="50"/>
      <c r="I282" s="50"/>
    </row>
    <row r="283" spans="3:9">
      <c r="C283" s="14"/>
      <c r="D283" s="50"/>
      <c r="E283" s="50"/>
      <c r="F283" s="50"/>
      <c r="G283" s="50"/>
      <c r="H283" s="50"/>
      <c r="I283" s="50"/>
    </row>
    <row r="284" spans="3:9">
      <c r="C284" s="14"/>
      <c r="D284" s="50"/>
      <c r="E284" s="50"/>
      <c r="F284" s="50"/>
      <c r="G284" s="50"/>
      <c r="H284" s="50"/>
      <c r="I284" s="50"/>
    </row>
    <row r="285" spans="3:9">
      <c r="C285" s="14"/>
      <c r="D285" s="50"/>
      <c r="E285" s="50"/>
      <c r="F285" s="50"/>
      <c r="G285" s="50"/>
      <c r="H285" s="50"/>
      <c r="I285" s="50"/>
    </row>
    <row r="286" spans="3:9">
      <c r="C286" s="14"/>
      <c r="D286" s="50"/>
      <c r="E286" s="50"/>
      <c r="F286" s="50"/>
      <c r="G286" s="50"/>
      <c r="H286" s="50"/>
      <c r="I286" s="50"/>
    </row>
    <row r="287" spans="3:9">
      <c r="C287" s="14"/>
      <c r="D287" s="50"/>
      <c r="E287" s="50"/>
      <c r="F287" s="50"/>
      <c r="G287" s="50"/>
      <c r="H287" s="50"/>
      <c r="I287" s="50"/>
    </row>
    <row r="288" spans="3:9">
      <c r="C288" s="14"/>
      <c r="D288" s="50"/>
      <c r="E288" s="50"/>
      <c r="F288" s="50"/>
      <c r="G288" s="50"/>
      <c r="H288" s="50"/>
      <c r="I288" s="50"/>
    </row>
    <row r="289" spans="3:9">
      <c r="C289" s="14"/>
      <c r="D289" s="50"/>
      <c r="E289" s="50"/>
      <c r="F289" s="50"/>
      <c r="G289" s="50"/>
      <c r="H289" s="50"/>
      <c r="I289" s="50"/>
    </row>
    <row r="290" spans="3:9">
      <c r="C290" s="14"/>
      <c r="D290" s="50"/>
      <c r="E290" s="50"/>
      <c r="F290" s="50"/>
      <c r="G290" s="50"/>
      <c r="H290" s="50"/>
      <c r="I290" s="50"/>
    </row>
    <row r="291" spans="3:9">
      <c r="C291" s="14"/>
      <c r="D291" s="50"/>
      <c r="E291" s="50"/>
      <c r="F291" s="50"/>
      <c r="G291" s="50"/>
      <c r="H291" s="50"/>
      <c r="I291" s="50"/>
    </row>
    <row r="292" spans="3:9">
      <c r="C292" s="14"/>
      <c r="D292" s="50"/>
      <c r="E292" s="50"/>
      <c r="F292" s="50"/>
      <c r="G292" s="50"/>
      <c r="H292" s="50"/>
      <c r="I292" s="50"/>
    </row>
    <row r="293" spans="3:9">
      <c r="C293" s="14"/>
      <c r="D293" s="50"/>
      <c r="E293" s="50"/>
      <c r="F293" s="50"/>
      <c r="G293" s="50"/>
      <c r="H293" s="50"/>
      <c r="I293" s="50"/>
    </row>
    <row r="294" spans="3:9">
      <c r="C294" s="14"/>
      <c r="D294" s="50"/>
      <c r="E294" s="50"/>
      <c r="F294" s="50"/>
      <c r="G294" s="50"/>
      <c r="H294" s="50"/>
      <c r="I294" s="50"/>
    </row>
    <row r="295" spans="3:9">
      <c r="C295" s="14"/>
      <c r="D295" s="50"/>
      <c r="E295" s="50"/>
      <c r="F295" s="50"/>
      <c r="G295" s="50"/>
      <c r="H295" s="50"/>
      <c r="I295" s="50"/>
    </row>
    <row r="296" spans="3:9">
      <c r="C296" s="14"/>
      <c r="D296" s="50"/>
      <c r="E296" s="50"/>
      <c r="F296" s="50"/>
      <c r="G296" s="50"/>
      <c r="H296" s="50"/>
      <c r="I296" s="50"/>
    </row>
    <row r="297" spans="3:9">
      <c r="C297" s="14"/>
      <c r="D297" s="50"/>
      <c r="E297" s="50"/>
      <c r="F297" s="50"/>
      <c r="G297" s="50"/>
      <c r="H297" s="50"/>
      <c r="I297" s="50"/>
    </row>
    <row r="298" spans="3:9">
      <c r="C298" s="14"/>
      <c r="D298" s="50"/>
      <c r="E298" s="50"/>
      <c r="F298" s="50"/>
      <c r="G298" s="50"/>
      <c r="H298" s="50"/>
      <c r="I298" s="50"/>
    </row>
    <row r="299" spans="3:9">
      <c r="C299" s="14"/>
      <c r="D299" s="50"/>
      <c r="E299" s="50"/>
      <c r="F299" s="50"/>
      <c r="G299" s="50"/>
      <c r="H299" s="50"/>
      <c r="I299" s="50"/>
    </row>
    <row r="300" spans="3:9">
      <c r="C300" s="14"/>
      <c r="D300" s="50"/>
      <c r="E300" s="50"/>
      <c r="F300" s="50"/>
      <c r="G300" s="50"/>
      <c r="H300" s="50"/>
      <c r="I300" s="50"/>
    </row>
    <row r="301" spans="3:9">
      <c r="C301" s="14"/>
      <c r="D301" s="50"/>
      <c r="E301" s="50"/>
      <c r="F301" s="50"/>
      <c r="G301" s="50"/>
      <c r="H301" s="50"/>
      <c r="I301" s="50"/>
    </row>
    <row r="302" spans="3:9">
      <c r="C302" s="14"/>
      <c r="D302" s="50"/>
      <c r="E302" s="50"/>
      <c r="F302" s="50"/>
      <c r="G302" s="50"/>
      <c r="H302" s="50"/>
      <c r="I302" s="50"/>
    </row>
    <row r="303" spans="3:9">
      <c r="C303" s="14"/>
      <c r="D303" s="50"/>
      <c r="E303" s="50"/>
      <c r="F303" s="50"/>
      <c r="G303" s="50"/>
      <c r="H303" s="50"/>
      <c r="I303" s="50"/>
    </row>
    <row r="304" spans="3:9">
      <c r="C304" s="14"/>
      <c r="D304" s="50"/>
      <c r="E304" s="50"/>
      <c r="F304" s="50"/>
      <c r="G304" s="50"/>
      <c r="H304" s="50"/>
      <c r="I304" s="50"/>
    </row>
    <row r="305" spans="3:9">
      <c r="C305" s="14"/>
      <c r="D305" s="50"/>
      <c r="E305" s="50"/>
      <c r="F305" s="50"/>
      <c r="G305" s="50"/>
      <c r="H305" s="50"/>
      <c r="I305" s="50"/>
    </row>
    <row r="306" spans="3:9">
      <c r="C306" s="14"/>
      <c r="D306" s="50"/>
      <c r="E306" s="50"/>
      <c r="F306" s="50"/>
      <c r="G306" s="50"/>
      <c r="H306" s="50"/>
      <c r="I306" s="50"/>
    </row>
    <row r="307" spans="3:9">
      <c r="C307" s="14"/>
      <c r="D307" s="50"/>
      <c r="E307" s="50"/>
      <c r="F307" s="50"/>
      <c r="G307" s="50"/>
      <c r="H307" s="50"/>
      <c r="I307" s="50"/>
    </row>
    <row r="308" spans="3:9">
      <c r="C308" s="14"/>
      <c r="D308" s="50"/>
      <c r="E308" s="50"/>
      <c r="F308" s="50"/>
      <c r="G308" s="50"/>
      <c r="H308" s="50"/>
      <c r="I308" s="50"/>
    </row>
    <row r="309" spans="3:9">
      <c r="C309" s="14"/>
      <c r="D309" s="50"/>
      <c r="E309" s="50"/>
      <c r="F309" s="50"/>
      <c r="G309" s="50"/>
      <c r="H309" s="50"/>
      <c r="I309" s="50"/>
    </row>
    <row r="310" spans="3:9">
      <c r="C310" s="14"/>
      <c r="D310" s="50"/>
      <c r="E310" s="50"/>
      <c r="F310" s="50"/>
      <c r="G310" s="50"/>
      <c r="H310" s="50"/>
      <c r="I310" s="50"/>
    </row>
    <row r="311" spans="3:9">
      <c r="C311" s="14"/>
      <c r="D311" s="50"/>
      <c r="E311" s="50"/>
      <c r="F311" s="50"/>
      <c r="G311" s="50"/>
      <c r="H311" s="50"/>
      <c r="I311" s="50"/>
    </row>
    <row r="312" spans="3:9">
      <c r="C312" s="14"/>
      <c r="D312" s="50"/>
      <c r="E312" s="50"/>
      <c r="F312" s="50"/>
      <c r="G312" s="50"/>
      <c r="H312" s="50"/>
      <c r="I312" s="50"/>
    </row>
    <row r="313" spans="3:9">
      <c r="C313" s="14"/>
      <c r="D313" s="50"/>
      <c r="E313" s="50"/>
      <c r="F313" s="50"/>
      <c r="G313" s="50"/>
      <c r="H313" s="50"/>
      <c r="I313" s="50"/>
    </row>
    <row r="314" spans="3:9">
      <c r="C314" s="14"/>
      <c r="D314" s="50"/>
      <c r="E314" s="50"/>
      <c r="F314" s="50"/>
      <c r="G314" s="50"/>
      <c r="H314" s="50"/>
      <c r="I314" s="50"/>
    </row>
    <row r="315" spans="3:9">
      <c r="C315" s="14"/>
      <c r="D315" s="50"/>
      <c r="E315" s="50"/>
      <c r="F315" s="50"/>
      <c r="G315" s="50"/>
      <c r="H315" s="50"/>
      <c r="I315" s="50"/>
    </row>
    <row r="316" spans="3:9">
      <c r="C316" s="14"/>
      <c r="D316" s="50"/>
      <c r="E316" s="50"/>
      <c r="F316" s="50"/>
      <c r="G316" s="50"/>
      <c r="H316" s="50"/>
      <c r="I316" s="50"/>
    </row>
    <row r="317" spans="3:9">
      <c r="C317" s="14"/>
      <c r="D317" s="50"/>
      <c r="E317" s="50"/>
      <c r="F317" s="50"/>
      <c r="G317" s="50"/>
      <c r="H317" s="50"/>
      <c r="I317" s="50"/>
    </row>
    <row r="318" spans="3:9">
      <c r="C318" s="14"/>
      <c r="D318" s="50"/>
      <c r="E318" s="50"/>
      <c r="F318" s="50"/>
      <c r="G318" s="50"/>
      <c r="H318" s="50"/>
      <c r="I318" s="50"/>
    </row>
    <row r="319" spans="3:9">
      <c r="C319" s="14"/>
      <c r="D319" s="50"/>
      <c r="E319" s="50"/>
      <c r="F319" s="50"/>
      <c r="G319" s="50"/>
      <c r="H319" s="50"/>
      <c r="I319" s="50"/>
    </row>
    <row r="320" spans="3:9">
      <c r="C320" s="14"/>
      <c r="D320" s="50"/>
      <c r="E320" s="50"/>
      <c r="F320" s="50"/>
      <c r="G320" s="50"/>
      <c r="H320" s="50"/>
      <c r="I320" s="50"/>
    </row>
    <row r="321" spans="3:9">
      <c r="C321" s="14"/>
      <c r="D321" s="50"/>
      <c r="E321" s="50"/>
      <c r="F321" s="50"/>
      <c r="G321" s="50"/>
      <c r="H321" s="50"/>
      <c r="I321" s="50"/>
    </row>
    <row r="322" spans="3:9">
      <c r="C322" s="14"/>
      <c r="D322" s="50"/>
      <c r="E322" s="50"/>
      <c r="F322" s="50"/>
      <c r="G322" s="50"/>
      <c r="H322" s="50"/>
      <c r="I322" s="50"/>
    </row>
    <row r="323" spans="3:9">
      <c r="C323" s="14"/>
      <c r="D323" s="50"/>
      <c r="E323" s="50"/>
      <c r="F323" s="50"/>
      <c r="G323" s="50"/>
      <c r="H323" s="50"/>
      <c r="I323" s="50"/>
    </row>
    <row r="324" spans="3:9">
      <c r="C324" s="14"/>
      <c r="D324" s="50"/>
      <c r="E324" s="50"/>
      <c r="F324" s="50"/>
      <c r="G324" s="50"/>
      <c r="H324" s="50"/>
      <c r="I324" s="50"/>
    </row>
    <row r="325" spans="3:9">
      <c r="C325" s="14"/>
      <c r="D325" s="50"/>
      <c r="E325" s="50"/>
      <c r="F325" s="50"/>
      <c r="G325" s="50"/>
      <c r="H325" s="50"/>
      <c r="I325" s="50"/>
    </row>
    <row r="326" spans="3:9">
      <c r="C326" s="14"/>
      <c r="D326" s="50"/>
      <c r="E326" s="50"/>
      <c r="F326" s="50"/>
      <c r="G326" s="50"/>
      <c r="H326" s="50"/>
      <c r="I326" s="50"/>
    </row>
    <row r="327" spans="3:9">
      <c r="C327" s="14"/>
      <c r="D327" s="50"/>
      <c r="E327" s="50"/>
      <c r="F327" s="50"/>
      <c r="G327" s="50"/>
      <c r="H327" s="50"/>
      <c r="I327" s="50"/>
    </row>
    <row r="328" spans="3:9">
      <c r="C328" s="14"/>
      <c r="D328" s="50"/>
      <c r="E328" s="50"/>
      <c r="F328" s="50"/>
      <c r="G328" s="50"/>
      <c r="H328" s="50"/>
      <c r="I328" s="50"/>
    </row>
    <row r="329" spans="3:9">
      <c r="C329" s="14"/>
      <c r="D329" s="50"/>
      <c r="E329" s="50"/>
      <c r="F329" s="50"/>
      <c r="G329" s="50"/>
      <c r="H329" s="50"/>
      <c r="I329" s="50"/>
    </row>
    <row r="330" spans="3:9">
      <c r="C330" s="14"/>
      <c r="D330" s="50"/>
      <c r="E330" s="50"/>
      <c r="F330" s="50"/>
      <c r="G330" s="50"/>
      <c r="H330" s="50"/>
      <c r="I330" s="50"/>
    </row>
    <row r="331" spans="3:9">
      <c r="C331" s="14"/>
      <c r="D331" s="50"/>
      <c r="E331" s="50"/>
      <c r="F331" s="50"/>
      <c r="G331" s="50"/>
      <c r="H331" s="50"/>
      <c r="I331" s="50"/>
    </row>
    <row r="332" spans="3:9">
      <c r="C332" s="14"/>
      <c r="D332" s="50"/>
      <c r="E332" s="50"/>
      <c r="F332" s="50"/>
      <c r="G332" s="50"/>
      <c r="H332" s="50"/>
      <c r="I332" s="50"/>
    </row>
    <row r="333" spans="3:9">
      <c r="C333" s="14"/>
      <c r="D333" s="50"/>
      <c r="E333" s="50"/>
      <c r="F333" s="50"/>
      <c r="G333" s="50"/>
      <c r="H333" s="50"/>
      <c r="I333" s="50"/>
    </row>
    <row r="334" spans="3:9">
      <c r="C334" s="14"/>
      <c r="D334" s="50"/>
      <c r="E334" s="50"/>
      <c r="F334" s="50"/>
      <c r="G334" s="50"/>
      <c r="H334" s="50"/>
      <c r="I334" s="50"/>
    </row>
    <row r="335" spans="3:9">
      <c r="C335" s="14"/>
      <c r="D335" s="50"/>
      <c r="E335" s="50"/>
      <c r="F335" s="50"/>
      <c r="G335" s="50"/>
      <c r="H335" s="50"/>
      <c r="I335" s="50"/>
    </row>
    <row r="336" spans="3:9">
      <c r="C336" s="14"/>
      <c r="D336" s="50"/>
      <c r="E336" s="50"/>
      <c r="F336" s="50"/>
      <c r="G336" s="50"/>
      <c r="H336" s="50"/>
      <c r="I336" s="50"/>
    </row>
    <row r="337" spans="3:9">
      <c r="C337" s="14"/>
      <c r="D337" s="50"/>
      <c r="E337" s="50"/>
      <c r="F337" s="50"/>
      <c r="G337" s="50"/>
      <c r="H337" s="50"/>
      <c r="I337" s="50"/>
    </row>
    <row r="338" spans="3:9">
      <c r="C338" s="14"/>
      <c r="D338" s="50"/>
      <c r="E338" s="50"/>
      <c r="F338" s="50"/>
      <c r="G338" s="50"/>
      <c r="H338" s="50"/>
      <c r="I338" s="50"/>
    </row>
    <row r="339" spans="3:9">
      <c r="C339" s="14"/>
      <c r="D339" s="50"/>
      <c r="E339" s="50"/>
      <c r="F339" s="50"/>
      <c r="G339" s="50"/>
      <c r="H339" s="50"/>
      <c r="I339" s="50"/>
    </row>
    <row r="340" spans="3:9">
      <c r="C340" s="14"/>
      <c r="D340" s="50"/>
      <c r="E340" s="50"/>
      <c r="F340" s="50"/>
      <c r="G340" s="50"/>
      <c r="H340" s="50"/>
      <c r="I340" s="50"/>
    </row>
    <row r="341" spans="3:9">
      <c r="C341" s="14"/>
      <c r="D341" s="50"/>
      <c r="E341" s="50"/>
      <c r="F341" s="50"/>
      <c r="G341" s="50"/>
      <c r="H341" s="50"/>
      <c r="I341" s="50"/>
    </row>
    <row r="342" spans="3:9">
      <c r="C342" s="14"/>
      <c r="D342" s="50"/>
      <c r="E342" s="50"/>
      <c r="F342" s="50"/>
      <c r="G342" s="50"/>
      <c r="H342" s="50"/>
      <c r="I342" s="50"/>
    </row>
    <row r="343" spans="3:9">
      <c r="C343" s="14"/>
      <c r="D343" s="50"/>
      <c r="E343" s="50"/>
      <c r="F343" s="50"/>
      <c r="G343" s="50"/>
      <c r="H343" s="50"/>
      <c r="I343" s="50"/>
    </row>
    <row r="344" spans="3:9">
      <c r="C344" s="14"/>
      <c r="D344" s="50"/>
      <c r="E344" s="50"/>
      <c r="F344" s="50"/>
      <c r="G344" s="50"/>
      <c r="H344" s="50"/>
      <c r="I344" s="50"/>
    </row>
    <row r="345" spans="3:9">
      <c r="C345" s="14"/>
      <c r="D345" s="50"/>
      <c r="E345" s="50"/>
      <c r="F345" s="50"/>
      <c r="G345" s="50"/>
      <c r="H345" s="50"/>
      <c r="I345" s="50"/>
    </row>
    <row r="346" spans="3:9">
      <c r="C346" s="14"/>
      <c r="D346" s="50"/>
      <c r="E346" s="50"/>
      <c r="F346" s="50"/>
      <c r="G346" s="50"/>
      <c r="H346" s="50"/>
      <c r="I346" s="50"/>
    </row>
    <row r="347" spans="3:9">
      <c r="C347" s="14"/>
      <c r="D347" s="50"/>
      <c r="E347" s="50"/>
      <c r="F347" s="50"/>
      <c r="G347" s="50"/>
      <c r="H347" s="50"/>
      <c r="I347" s="50"/>
    </row>
    <row r="348" spans="3:9">
      <c r="C348" s="14"/>
      <c r="D348" s="50"/>
      <c r="E348" s="50"/>
      <c r="F348" s="50"/>
      <c r="G348" s="50"/>
      <c r="H348" s="50"/>
      <c r="I348" s="50"/>
    </row>
    <row r="349" spans="3:9">
      <c r="C349" s="14"/>
      <c r="D349" s="50"/>
      <c r="E349" s="50"/>
      <c r="F349" s="50"/>
      <c r="G349" s="50"/>
      <c r="H349" s="50"/>
      <c r="I349" s="50"/>
    </row>
    <row r="350" spans="3:9">
      <c r="C350" s="14"/>
      <c r="D350" s="50"/>
      <c r="E350" s="50"/>
      <c r="F350" s="50"/>
      <c r="G350" s="50"/>
      <c r="H350" s="50"/>
      <c r="I350" s="50"/>
    </row>
    <row r="351" spans="3:9">
      <c r="C351" s="14"/>
      <c r="D351" s="50"/>
      <c r="E351" s="50"/>
      <c r="F351" s="50"/>
      <c r="G351" s="50"/>
      <c r="H351" s="50"/>
      <c r="I351" s="50"/>
    </row>
    <row r="352" spans="3:9">
      <c r="C352" s="14"/>
      <c r="D352" s="50"/>
      <c r="E352" s="50"/>
      <c r="F352" s="50"/>
      <c r="G352" s="50"/>
      <c r="H352" s="50"/>
      <c r="I352" s="50"/>
    </row>
    <row r="353" spans="3:9">
      <c r="C353" s="14"/>
      <c r="D353" s="50"/>
      <c r="E353" s="50"/>
      <c r="F353" s="50"/>
      <c r="G353" s="50"/>
      <c r="H353" s="50"/>
      <c r="I353" s="50"/>
    </row>
    <row r="354" spans="3:9">
      <c r="C354" s="14"/>
      <c r="D354" s="50"/>
      <c r="E354" s="50"/>
      <c r="F354" s="50"/>
      <c r="G354" s="50"/>
      <c r="H354" s="50"/>
      <c r="I354" s="50"/>
    </row>
    <row r="355" spans="3:9">
      <c r="C355" s="14"/>
      <c r="D355" s="50"/>
      <c r="E355" s="50"/>
      <c r="F355" s="50"/>
      <c r="G355" s="50"/>
      <c r="H355" s="50"/>
      <c r="I355" s="50"/>
    </row>
    <row r="356" spans="3:9">
      <c r="C356" s="14"/>
      <c r="D356" s="50"/>
      <c r="E356" s="50"/>
      <c r="F356" s="50"/>
      <c r="G356" s="50"/>
      <c r="H356" s="50"/>
      <c r="I356" s="50"/>
    </row>
    <row r="357" spans="3:9">
      <c r="C357" s="14"/>
      <c r="D357" s="50"/>
      <c r="E357" s="50"/>
      <c r="F357" s="50"/>
      <c r="G357" s="50"/>
      <c r="H357" s="50"/>
      <c r="I357" s="50"/>
    </row>
    <row r="358" spans="3:9">
      <c r="C358" s="14"/>
      <c r="D358" s="50"/>
      <c r="E358" s="50"/>
      <c r="F358" s="50"/>
      <c r="G358" s="50"/>
      <c r="H358" s="50"/>
      <c r="I358" s="50"/>
    </row>
    <row r="359" spans="3:9">
      <c r="C359" s="14"/>
      <c r="D359" s="50"/>
      <c r="E359" s="50"/>
      <c r="F359" s="50"/>
      <c r="G359" s="50"/>
      <c r="H359" s="50"/>
      <c r="I359" s="50"/>
    </row>
    <row r="360" spans="3:9">
      <c r="C360" s="14"/>
      <c r="D360" s="50"/>
      <c r="E360" s="50"/>
      <c r="F360" s="50"/>
      <c r="G360" s="50"/>
      <c r="H360" s="50"/>
      <c r="I360" s="50"/>
    </row>
    <row r="361" spans="3:9">
      <c r="C361" s="14"/>
      <c r="D361" s="50"/>
      <c r="E361" s="50"/>
      <c r="F361" s="50"/>
      <c r="G361" s="50"/>
      <c r="H361" s="50"/>
      <c r="I361" s="50"/>
    </row>
    <row r="362" spans="3:9">
      <c r="C362" s="14"/>
      <c r="D362" s="50"/>
      <c r="E362" s="50"/>
      <c r="F362" s="50"/>
      <c r="G362" s="50"/>
      <c r="H362" s="50"/>
      <c r="I362" s="50"/>
    </row>
    <row r="363" spans="3:9">
      <c r="C363" s="14"/>
      <c r="D363" s="50"/>
      <c r="E363" s="50"/>
      <c r="F363" s="50"/>
      <c r="G363" s="50"/>
      <c r="H363" s="50"/>
      <c r="I363" s="50"/>
    </row>
    <row r="364" spans="3:9">
      <c r="C364" s="14"/>
      <c r="D364" s="50"/>
      <c r="E364" s="50"/>
      <c r="F364" s="50"/>
      <c r="G364" s="50"/>
      <c r="H364" s="50"/>
      <c r="I364" s="50"/>
    </row>
    <row r="365" spans="3:9">
      <c r="C365" s="14"/>
      <c r="D365" s="50"/>
      <c r="E365" s="50"/>
      <c r="F365" s="50"/>
      <c r="G365" s="50"/>
      <c r="H365" s="50"/>
      <c r="I365" s="50"/>
    </row>
    <row r="366" spans="3:9">
      <c r="C366" s="14"/>
      <c r="D366" s="50"/>
      <c r="E366" s="50"/>
      <c r="F366" s="50"/>
      <c r="G366" s="50"/>
      <c r="H366" s="50"/>
      <c r="I366" s="50"/>
    </row>
  </sheetData>
  <mergeCells count="9">
    <mergeCell ref="A4:G4"/>
    <mergeCell ref="A5:G5"/>
    <mergeCell ref="S8:U8"/>
    <mergeCell ref="S9:U9"/>
    <mergeCell ref="S33:U33"/>
    <mergeCell ref="T32:U32"/>
    <mergeCell ref="B6:C6"/>
    <mergeCell ref="D6:E6"/>
    <mergeCell ref="F6:G6"/>
  </mergeCells>
  <dataValidations count="1">
    <dataValidation type="list" allowBlank="1" showInputMessage="1" showErrorMessage="1" promptTitle="Select a Period:" prompt="Select Financial or Calendar years." sqref="T32:U32" xr:uid="{00000000-0002-0000-0C00-000000000000}">
      <formula1>$A$1:$A$2</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6" tint="0.39997558519241921"/>
  </sheetPr>
  <dimension ref="A1:AW81"/>
  <sheetViews>
    <sheetView showGridLines="0" workbookViewId="0"/>
  </sheetViews>
  <sheetFormatPr defaultRowHeight="15"/>
  <cols>
    <col min="1" max="1" width="24.42578125" customWidth="1"/>
    <col min="2" max="2" width="5.28515625" bestFit="1" customWidth="1"/>
    <col min="3" max="3" width="19.7109375" bestFit="1" customWidth="1"/>
    <col min="4"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 min="24" max="24" width="8.7109375" style="911"/>
    <col min="25" max="25" width="9.140625" style="913"/>
    <col min="26" max="26" width="8.7109375" style="911"/>
  </cols>
  <sheetData>
    <row r="1" spans="1:49">
      <c r="V1" s="297" t="s">
        <v>0</v>
      </c>
      <c r="W1" s="297" t="str">
        <f>"Alumina And Bauxite Exports "&amp;B6&amp;CHAR(10)&amp;"Total Value: $"&amp;TEXT(C21,"#,###")</f>
        <v>Alumina And Bauxite Exports 2023
Total Value: $7,136,040,673</v>
      </c>
      <c r="X1" s="912" t="s">
        <v>240</v>
      </c>
      <c r="Y1" s="912">
        <f>IF($B$5="Calendar Year",MAX('Commodity Prices'!$BB$9:$BB$3488),CONCATENATE(MAX('Commodity Prices'!$BN$9:$BN$3487),"-",VALUE(RIGHT(MAX('Commodity Prices'!$BN$9:$BN$3487),2))+1))</f>
        <v>2023</v>
      </c>
      <c r="Z1" s="912">
        <f t="array" ref="Z1">MIN(IF('Commodity Prices'!$BA$9:$BA$3488=V1,'Commodity Prices'!$BB$9:$BB$3488))</f>
        <v>2007</v>
      </c>
      <c r="AP1" s="911"/>
    </row>
    <row r="2" spans="1:49">
      <c r="W2" s="297" t="str">
        <f>IF($B$5=X1,IF(RIGHT(LEFT(B6,5),1)="-","Mismatch Error",""),IF(LEN(B6)=4,"Mismatch Error",""))</f>
        <v/>
      </c>
      <c r="X2" s="912" t="s">
        <v>246</v>
      </c>
      <c r="Y2" s="912">
        <f>IFERROR(IF($B$5=$X$1,IF($Z$1&lt;=(Y1-1),Y1-1,""),IF($Z$1=VALUE(LEFT(Y1,4)),"",CONCATENATE(VALUE(LEFT(Y1,4))-1,"-",RIGHT(LEFT(Y1,4),2)))),"")</f>
        <v>2022</v>
      </c>
      <c r="Z2" s="913"/>
      <c r="AI2" s="80"/>
      <c r="AJ2" s="80"/>
      <c r="AK2" s="80"/>
      <c r="AL2" s="80"/>
      <c r="AM2" s="154"/>
      <c r="AN2" s="154"/>
      <c r="AO2" s="154"/>
      <c r="AP2" s="154"/>
      <c r="AQ2" s="154"/>
      <c r="AR2" s="154"/>
      <c r="AS2" s="154"/>
      <c r="AT2" s="154"/>
      <c r="AU2" s="154"/>
      <c r="AV2" s="154"/>
      <c r="AW2" s="80"/>
    </row>
    <row r="3" spans="1:49">
      <c r="W3" s="297"/>
      <c r="X3" s="912"/>
      <c r="Y3" s="912">
        <f t="shared" ref="Y3:Y25" si="0">IFERROR(IF($B$5=$X$1,IF($Z$1&lt;=(Y2-1),Y2-1,""),IF($Z$1=VALUE(LEFT(Y2,4)),"",CONCATENATE(VALUE(LEFT(Y2,4))-1,"-",RIGHT(LEFT(Y2,4),2)))),"")</f>
        <v>2021</v>
      </c>
      <c r="Z3" s="913"/>
      <c r="AI3" s="80"/>
      <c r="AJ3" s="80"/>
      <c r="AK3" s="80"/>
      <c r="AL3" s="80"/>
      <c r="AM3" s="154"/>
      <c r="AN3" s="154"/>
      <c r="AO3" s="154"/>
      <c r="AP3" s="154"/>
      <c r="AQ3" s="154"/>
      <c r="AR3" s="154"/>
      <c r="AS3" s="154"/>
      <c r="AT3" s="154"/>
      <c r="AU3" s="154"/>
      <c r="AV3" s="154"/>
      <c r="AW3" s="80"/>
    </row>
    <row r="4" spans="1:49" s="3" customFormat="1" ht="22.5" customHeight="1" thickBot="1">
      <c r="W4" s="297"/>
      <c r="X4" s="912"/>
      <c r="Y4" s="912">
        <f t="shared" si="0"/>
        <v>2020</v>
      </c>
      <c r="Z4" s="913"/>
      <c r="AI4" s="80"/>
      <c r="AJ4" s="80"/>
      <c r="AK4" s="80"/>
      <c r="AL4" s="80"/>
      <c r="AM4" s="154"/>
      <c r="AN4" s="154"/>
      <c r="AO4" s="154"/>
      <c r="AP4" s="154"/>
      <c r="AQ4" s="154"/>
      <c r="AR4" s="154"/>
      <c r="AS4" s="154"/>
      <c r="AT4" s="154"/>
      <c r="AU4" s="154"/>
      <c r="AV4" s="154"/>
      <c r="AW4" s="80"/>
    </row>
    <row r="5" spans="1:49" s="278" customFormat="1">
      <c r="A5" s="1051" t="s">
        <v>247</v>
      </c>
      <c r="B5" s="1968" t="s">
        <v>240</v>
      </c>
      <c r="C5" s="1968"/>
      <c r="D5" s="1969"/>
      <c r="E5" s="296"/>
      <c r="W5" s="297"/>
      <c r="X5" s="912"/>
      <c r="Y5" s="912">
        <f t="shared" si="0"/>
        <v>2019</v>
      </c>
      <c r="Z5" s="913"/>
      <c r="AI5" s="80"/>
      <c r="AJ5" s="80"/>
      <c r="AK5" s="80"/>
      <c r="AL5" s="80"/>
      <c r="AM5" s="154"/>
      <c r="AN5" s="154"/>
      <c r="AO5" s="154"/>
      <c r="AP5" s="154"/>
      <c r="AQ5" s="154"/>
      <c r="AR5" s="154"/>
      <c r="AS5" s="154"/>
      <c r="AT5" s="154"/>
      <c r="AU5" s="154"/>
      <c r="AV5" s="154"/>
      <c r="AW5" s="80"/>
    </row>
    <row r="6" spans="1:49" s="278" customFormat="1" ht="15.75" thickBot="1">
      <c r="A6" s="1515" t="s">
        <v>247</v>
      </c>
      <c r="B6" s="1970">
        <v>2023</v>
      </c>
      <c r="C6" s="1970"/>
      <c r="D6" s="1971"/>
      <c r="E6" s="296"/>
      <c r="W6" s="297"/>
      <c r="X6" s="912"/>
      <c r="Y6" s="912">
        <f t="shared" si="0"/>
        <v>2018</v>
      </c>
      <c r="Z6" s="913"/>
      <c r="AI6" s="80"/>
      <c r="AJ6" s="80"/>
      <c r="AK6" s="80"/>
      <c r="AL6" s="80"/>
      <c r="AM6" s="154"/>
      <c r="AN6" s="154"/>
      <c r="AO6" s="154"/>
      <c r="AP6" s="154"/>
      <c r="AQ6" s="154"/>
      <c r="AR6" s="154"/>
      <c r="AS6" s="154"/>
      <c r="AT6" s="154"/>
      <c r="AU6" s="154"/>
      <c r="AV6" s="154"/>
      <c r="AW6" s="80"/>
    </row>
    <row r="7" spans="1:49" s="278" customFormat="1">
      <c r="W7" s="297"/>
      <c r="X7" s="912"/>
      <c r="Y7" s="912">
        <f t="shared" si="0"/>
        <v>2017</v>
      </c>
      <c r="Z7" s="913"/>
      <c r="AI7" s="80"/>
      <c r="AJ7" s="80"/>
      <c r="AK7" s="80"/>
      <c r="AL7" s="80"/>
      <c r="AM7" s="154"/>
      <c r="AN7" s="154"/>
      <c r="AO7" s="154"/>
      <c r="AP7" s="154"/>
      <c r="AQ7" s="154"/>
      <c r="AR7" s="154"/>
      <c r="AS7" s="154"/>
      <c r="AT7" s="154"/>
      <c r="AU7" s="154"/>
      <c r="AV7" s="154"/>
      <c r="AW7" s="80"/>
    </row>
    <row r="8" spans="1:49" ht="15.75" thickBot="1">
      <c r="A8" s="1948" t="str">
        <f>IF($B$6="Click here to select an option","Select a year above for display.",CONCATENATE("Exports ",B6))</f>
        <v>Exports 2023</v>
      </c>
      <c r="B8" s="1948"/>
      <c r="C8" s="1948"/>
      <c r="D8" s="1948"/>
      <c r="W8" s="297"/>
      <c r="X8" s="912"/>
      <c r="Y8" s="912">
        <f t="shared" si="0"/>
        <v>2016</v>
      </c>
      <c r="Z8" s="913"/>
      <c r="AI8" s="80"/>
      <c r="AJ8" s="80"/>
      <c r="AK8" s="80"/>
      <c r="AL8" s="80"/>
      <c r="AM8" s="154"/>
      <c r="AN8" s="154"/>
      <c r="AO8" s="154"/>
      <c r="AP8" s="154"/>
      <c r="AQ8" s="154"/>
      <c r="AR8" s="154"/>
      <c r="AS8" s="154"/>
      <c r="AT8" s="154"/>
      <c r="AU8" s="154"/>
      <c r="AV8" s="154"/>
      <c r="AW8" s="80"/>
    </row>
    <row r="9" spans="1:49">
      <c r="A9" s="1051" t="s">
        <v>591</v>
      </c>
      <c r="B9" s="818" t="s">
        <v>31</v>
      </c>
      <c r="C9" s="818" t="s">
        <v>402</v>
      </c>
      <c r="D9" s="1421" t="s">
        <v>33</v>
      </c>
      <c r="W9" s="297"/>
      <c r="X9" s="912"/>
      <c r="Y9" s="912">
        <f t="shared" si="0"/>
        <v>2015</v>
      </c>
      <c r="Z9" s="913"/>
      <c r="AI9" s="80"/>
      <c r="AJ9" s="80"/>
      <c r="AK9" s="80"/>
      <c r="AL9" s="80"/>
      <c r="AM9" s="154"/>
      <c r="AN9" s="154"/>
      <c r="AO9" s="154"/>
      <c r="AP9" s="154"/>
      <c r="AQ9" s="154"/>
      <c r="AR9" s="154"/>
      <c r="AS9" s="154"/>
      <c r="AT9" s="154"/>
      <c r="AU9" s="154"/>
      <c r="AV9" s="154"/>
      <c r="AW9" s="80"/>
    </row>
    <row r="10" spans="1:49">
      <c r="A10" s="1003" t="str">
        <f t="array" ref="A10">IF($W$2="Mismatch Error","Mismatch Error",IF($B$5=$X$1,INDEX('Commodity Prices'!$BA$9:$BF$3498,MATCH(1,(('Commodity Prices'!$BA$9:$BA$3488)="Alumina")*(('Commodity Prices'!$BB$9:$BB$3488)=$B$6)*(('Commodity Prices'!$BD$9:$BD$3488)=B10),0),3),INDEX('Commodity Prices'!$BH$9:$BM$3487,MATCH(1,(('Commodity Prices'!$BH$9:$BH$3487)="Alumina")*(('Commodity Prices'!$BI$9:$BI$3487)=$B$6)*(('Commodity Prices'!$BK$9:$BK$3487)=B10),0),3)))</f>
        <v>Bahrain</v>
      </c>
      <c r="B10" s="527">
        <v>1</v>
      </c>
      <c r="C10" s="1775">
        <f t="array" ref="C10">IF($W$2="Mismatch Error","",IF($B$5=$X$1,INDEX('Commodity Prices'!$BA$9:$BF$3498,MATCH(1,(('Commodity Prices'!$BA$9:$BA$3488)="Alumina")*(('Commodity Prices'!$BB$9:$BB$3488)=$B$6)*(('Commodity Prices'!$BD$9:$BD$3488)=B10),0),5),INDEX('Commodity Prices'!$BH$9:$BM$3487,MATCH(1,(('Commodity Prices'!$BH$9:$BH$3487)="Alumina")*(('Commodity Prices'!$BI$9:$BI$3487)=$B$6)*(('Commodity Prices'!$BK$9:$BK$3487)=B10),0),5)))</f>
        <v>1504083186.1000001</v>
      </c>
      <c r="D10" s="528">
        <f>IF($W$2="Mismatch Error","",C10/$C$21)</f>
        <v>0.2107727877403614</v>
      </c>
      <c r="W10" s="297"/>
      <c r="X10" s="912"/>
      <c r="Y10" s="912">
        <f t="shared" si="0"/>
        <v>2014</v>
      </c>
      <c r="Z10" s="913"/>
      <c r="AI10" s="80"/>
      <c r="AJ10" s="80"/>
      <c r="AK10" s="80"/>
      <c r="AL10" s="80"/>
      <c r="AM10" s="154"/>
      <c r="AN10" s="154"/>
      <c r="AO10" s="154"/>
      <c r="AP10" s="154"/>
      <c r="AQ10" s="154"/>
      <c r="AR10" s="154"/>
      <c r="AS10" s="154"/>
      <c r="AT10" s="154"/>
      <c r="AU10" s="154"/>
      <c r="AV10" s="154"/>
      <c r="AW10" s="80"/>
    </row>
    <row r="11" spans="1:49">
      <c r="A11" s="408" t="str">
        <f t="array" ref="A11">IF($W$2="Mismatch Error","",IF($B$5=$X$1,INDEX('Commodity Prices'!$BA$9:$BF$3498,MATCH(1,(('Commodity Prices'!$BA$9:$BA$3488)="Alumina")*(('Commodity Prices'!$BB$9:$BB$3488)=$B$6)*(('Commodity Prices'!$BD$9:$BD$3488)=B11),0),3),INDEX('Commodity Prices'!$BH$9:$BM$3487,MATCH(1,(('Commodity Prices'!$BH$9:$BH$3487)="Alumina")*(('Commodity Prices'!$BI$9:$BI$3487)=$B$6)*(('Commodity Prices'!$BK$9:$BK$3487)=B11),0),3)))</f>
        <v>United Arab Emirates</v>
      </c>
      <c r="B11" s="529">
        <v>2</v>
      </c>
      <c r="C11" s="1776">
        <f t="array" ref="C11">IF($W$2="Mismatch Error","",IF($B$5=$X$1,INDEX('Commodity Prices'!$BA$9:$BF$3498,MATCH(1,(('Commodity Prices'!$BA$9:$BA$3488)="Alumina")*(('Commodity Prices'!$BB$9:$BB$3488)=$B$6)*(('Commodity Prices'!$BD$9:$BD$3488)=B11),0),5),INDEX('Commodity Prices'!$BH$9:$BM$3487,MATCH(1,(('Commodity Prices'!$BH$9:$BH$3487)="Alumina")*(('Commodity Prices'!$BI$9:$BI$3487)=$B$6)*(('Commodity Prices'!$BK$9:$BK$3487)=B11),0),5)))</f>
        <v>1266476240.1400003</v>
      </c>
      <c r="D11" s="530">
        <f t="shared" ref="D11:D20" si="1">IF($W$2="Mismatch Error","",C11/$C$21)</f>
        <v>0.17747604002767681</v>
      </c>
      <c r="W11" s="297"/>
      <c r="X11" s="912"/>
      <c r="Y11" s="912">
        <f t="shared" si="0"/>
        <v>2013</v>
      </c>
      <c r="Z11" s="913"/>
      <c r="AI11" s="80"/>
      <c r="AJ11" s="80"/>
      <c r="AK11" s="80"/>
      <c r="AL11" s="80"/>
      <c r="AM11" s="154"/>
      <c r="AN11" s="154"/>
      <c r="AO11" s="154"/>
      <c r="AP11" s="154"/>
      <c r="AQ11" s="154"/>
      <c r="AR11" s="154"/>
      <c r="AS11" s="154"/>
      <c r="AT11" s="154"/>
      <c r="AU11" s="154"/>
      <c r="AV11" s="154"/>
      <c r="AW11" s="80"/>
    </row>
    <row r="12" spans="1:49">
      <c r="A12" s="526" t="str">
        <f t="array" ref="A12">IF($W$2="Mismatch Error","",IF($B$5=$X$1,INDEX('Commodity Prices'!$BA$9:$BF$3498,MATCH(1,(('Commodity Prices'!$BA$9:$BA$3488)="Alumina")*(('Commodity Prices'!$BB$9:$BB$3488)=$B$6)*(('Commodity Prices'!$BD$9:$BD$3488)=B12),0),3),INDEX('Commodity Prices'!$BH$9:$BM$3487,MATCH(1,(('Commodity Prices'!$BH$9:$BH$3487)="Alumina")*(('Commodity Prices'!$BI$9:$BI$3487)=$B$6)*(('Commodity Prices'!$BK$9:$BK$3487)=B12),0),3)))</f>
        <v>South Africa</v>
      </c>
      <c r="B12" s="527">
        <v>3</v>
      </c>
      <c r="C12" s="1775">
        <f t="array" ref="C12">IF($W$2="Mismatch Error","",IF($B$5=$X$1,INDEX('Commodity Prices'!$BA$9:$BF$3498,MATCH(1,(('Commodity Prices'!$BA$9:$BA$3488)="Alumina")*(('Commodity Prices'!$BB$9:$BB$3488)=$B$6)*(('Commodity Prices'!$BD$9:$BD$3488)=B12),0),5),INDEX('Commodity Prices'!$BH$9:$BM$3487,MATCH(1,(('Commodity Prices'!$BH$9:$BH$3487)="Alumina")*(('Commodity Prices'!$BI$9:$BI$3487)=$B$6)*(('Commodity Prices'!$BK$9:$BK$3487)=B12),0),5)))</f>
        <v>687331548.41999996</v>
      </c>
      <c r="D12" s="528">
        <f t="shared" si="1"/>
        <v>9.6318333920096588E-2</v>
      </c>
      <c r="W12" s="297"/>
      <c r="X12" s="912"/>
      <c r="Y12" s="912">
        <f t="shared" si="0"/>
        <v>2012</v>
      </c>
      <c r="Z12" s="913"/>
      <c r="AI12" s="80"/>
      <c r="AJ12" s="80"/>
      <c r="AK12" s="80"/>
      <c r="AL12" s="80"/>
      <c r="AM12" s="154"/>
      <c r="AN12" s="154"/>
      <c r="AO12" s="154"/>
      <c r="AP12" s="154"/>
      <c r="AQ12" s="154"/>
      <c r="AR12" s="154"/>
      <c r="AS12" s="154"/>
      <c r="AT12" s="154"/>
      <c r="AU12" s="154"/>
      <c r="AV12" s="154"/>
      <c r="AW12" s="80"/>
    </row>
    <row r="13" spans="1:49">
      <c r="A13" s="408" t="str">
        <f t="array" ref="A13">IF($W$2="Mismatch Error","",IF($B$5=$X$1,INDEX('Commodity Prices'!$BA$9:$BF$3498,MATCH(1,(('Commodity Prices'!$BA$9:$BA$3488)="Alumina")*(('Commodity Prices'!$BB$9:$BB$3488)=$B$6)*(('Commodity Prices'!$BD$9:$BD$3488)=B13),0),3),INDEX('Commodity Prices'!$BH$9:$BM$3487,MATCH(1,(('Commodity Prices'!$BH$9:$BH$3487)="Alumina")*(('Commodity Prices'!$BI$9:$BI$3487)=$B$6)*(('Commodity Prices'!$BK$9:$BK$3487)=B13),0),3)))</f>
        <v>Qatar</v>
      </c>
      <c r="B13" s="529">
        <v>4</v>
      </c>
      <c r="C13" s="1776">
        <f t="array" ref="C13">IF($W$2="Mismatch Error","",IF($B$5=$X$1,INDEX('Commodity Prices'!$BA$9:$BF$3498,MATCH(1,(('Commodity Prices'!$BA$9:$BA$3488)="Alumina")*(('Commodity Prices'!$BB$9:$BB$3488)=$B$6)*(('Commodity Prices'!$BD$9:$BD$3488)=B13),0),5),INDEX('Commodity Prices'!$BH$9:$BM$3487,MATCH(1,(('Commodity Prices'!$BH$9:$BH$3487)="Alumina")*(('Commodity Prices'!$BI$9:$BI$3487)=$B$6)*(('Commodity Prices'!$BK$9:$BK$3487)=B13),0),5)))</f>
        <v>645272411.80000019</v>
      </c>
      <c r="D13" s="530">
        <f t="shared" si="1"/>
        <v>9.0424430207007231E-2</v>
      </c>
      <c r="X13" s="913"/>
      <c r="Y13" s="912">
        <f t="shared" si="0"/>
        <v>2011</v>
      </c>
      <c r="Z13" s="913"/>
      <c r="AI13" s="80"/>
      <c r="AJ13" s="80"/>
      <c r="AK13" s="80"/>
      <c r="AL13" s="80"/>
      <c r="AM13" s="154"/>
      <c r="AN13" s="154"/>
      <c r="AO13" s="154"/>
      <c r="AP13" s="154"/>
      <c r="AQ13" s="154"/>
      <c r="AR13" s="154"/>
      <c r="AS13" s="154"/>
      <c r="AT13" s="154"/>
      <c r="AU13" s="154"/>
      <c r="AV13" s="154"/>
      <c r="AW13" s="80"/>
    </row>
    <row r="14" spans="1:49">
      <c r="A14" s="526" t="str">
        <f t="array" ref="A14">IF($W$2="Mismatch Error","",IF($B$5=$X$1,INDEX('Commodity Prices'!$BA$9:$BF$3498,MATCH(1,(('Commodity Prices'!$BA$9:$BA$3488)="Alumina")*(('Commodity Prices'!$BB$9:$BB$3488)=$B$6)*(('Commodity Prices'!$BD$9:$BD$3488)=B14),0),3),INDEX('Commodity Prices'!$BH$9:$BM$3487,MATCH(1,(('Commodity Prices'!$BH$9:$BH$3487)="Alumina")*(('Commodity Prices'!$BI$9:$BI$3487)=$B$6)*(('Commodity Prices'!$BK$9:$BK$3487)=B14),0),3)))</f>
        <v>Mozambique</v>
      </c>
      <c r="B14" s="527">
        <v>5</v>
      </c>
      <c r="C14" s="1775">
        <f t="array" ref="C14">IF($W$2="Mismatch Error","",IF($B$5=$X$1,INDEX('Commodity Prices'!$BA$9:$BF$3498,MATCH(1,(('Commodity Prices'!$BA$9:$BA$3488)="Alumina")*(('Commodity Prices'!$BB$9:$BB$3488)=$B$6)*(('Commodity Prices'!$BD$9:$BD$3488)=B14),0),5),INDEX('Commodity Prices'!$BH$9:$BM$3487,MATCH(1,(('Commodity Prices'!$BH$9:$BH$3487)="Alumina")*(('Commodity Prices'!$BI$9:$BI$3487)=$B$6)*(('Commodity Prices'!$BK$9:$BK$3487)=B14),0),5)))</f>
        <v>561096072.96000004</v>
      </c>
      <c r="D14" s="528">
        <f t="shared" si="1"/>
        <v>7.8628485831690936E-2</v>
      </c>
      <c r="X14" s="913"/>
      <c r="Y14" s="912">
        <f t="shared" si="0"/>
        <v>2010</v>
      </c>
      <c r="Z14" s="913"/>
      <c r="AI14" s="80"/>
      <c r="AJ14" s="80"/>
      <c r="AK14" s="80"/>
      <c r="AL14" s="80"/>
      <c r="AM14" s="154"/>
      <c r="AN14" s="154"/>
      <c r="AO14" s="154"/>
      <c r="AP14" s="154"/>
      <c r="AQ14" s="154"/>
      <c r="AR14" s="154"/>
      <c r="AS14" s="154"/>
      <c r="AT14" s="154"/>
      <c r="AU14" s="154"/>
      <c r="AV14" s="154"/>
      <c r="AW14" s="80"/>
    </row>
    <row r="15" spans="1:49">
      <c r="A15" s="408" t="str">
        <f t="array" ref="A15">IF($W$2="Mismatch Error","",IF($B$5=$X$1,INDEX('Commodity Prices'!$BA$9:$BF$3498,MATCH(1,(('Commodity Prices'!$BA$9:$BA$3488)="Alumina")*(('Commodity Prices'!$BB$9:$BB$3488)=$B$6)*(('Commodity Prices'!$BD$9:$BD$3488)=B15),0),3),INDEX('Commodity Prices'!$BH$9:$BM$3487,MATCH(1,(('Commodity Prices'!$BH$9:$BH$3487)="Alumina")*(('Commodity Prices'!$BI$9:$BI$3487)=$B$6)*(('Commodity Prices'!$BK$9:$BK$3487)=B15),0),3)))</f>
        <v>Iceland</v>
      </c>
      <c r="B15" s="529">
        <v>6</v>
      </c>
      <c r="C15" s="1776">
        <f t="array" ref="C15">IF($W$2="Mismatch Error","",IF($B$5=$X$1,INDEX('Commodity Prices'!$BA$9:$BF$3498,MATCH(1,(('Commodity Prices'!$BA$9:$BA$3488)="Alumina")*(('Commodity Prices'!$BB$9:$BB$3488)=$B$6)*(('Commodity Prices'!$BD$9:$BD$3488)=B15),0),5),INDEX('Commodity Prices'!$BH$9:$BM$3487,MATCH(1,(('Commodity Prices'!$BH$9:$BH$3487)="Alumina")*(('Commodity Prices'!$BI$9:$BI$3487)=$B$6)*(('Commodity Prices'!$BK$9:$BK$3487)=B15),0),5)))</f>
        <v>406577045.35000008</v>
      </c>
      <c r="D15" s="530">
        <f t="shared" si="1"/>
        <v>5.6975158070785945E-2</v>
      </c>
      <c r="X15" s="913"/>
      <c r="Y15" s="912">
        <f t="shared" si="0"/>
        <v>2009</v>
      </c>
      <c r="Z15" s="913"/>
      <c r="AI15" s="80"/>
      <c r="AJ15" s="80"/>
      <c r="AK15" s="80"/>
      <c r="AL15" s="80"/>
      <c r="AM15" s="154"/>
      <c r="AN15" s="154"/>
      <c r="AO15" s="154"/>
      <c r="AP15" s="154"/>
      <c r="AQ15" s="154"/>
      <c r="AR15" s="154"/>
      <c r="AS15" s="154"/>
      <c r="AT15" s="154"/>
      <c r="AU15" s="154"/>
      <c r="AV15" s="154"/>
      <c r="AW15" s="80"/>
    </row>
    <row r="16" spans="1:49">
      <c r="A16" s="526" t="str">
        <f t="array" ref="A16">IF($W$2="Mismatch Error","",IF($B$5=$X$1,INDEX('Commodity Prices'!$BA$9:$BF$3498,MATCH(1,(('Commodity Prices'!$BA$9:$BA$3488)="Alumina")*(('Commodity Prices'!$BB$9:$BB$3488)=$B$6)*(('Commodity Prices'!$BD$9:$BD$3488)=B16),0),3),INDEX('Commodity Prices'!$BH$9:$BM$3487,MATCH(1,(('Commodity Prices'!$BH$9:$BH$3487)="Alumina")*(('Commodity Prices'!$BI$9:$BI$3487)=$B$6)*(('Commodity Prices'!$BK$9:$BK$3487)=B16),0),3)))</f>
        <v>China</v>
      </c>
      <c r="B16" s="527">
        <v>7</v>
      </c>
      <c r="C16" s="1775">
        <f t="array" ref="C16">IF($W$2="Mismatch Error","",IF($B$5=$X$1,INDEX('Commodity Prices'!$BA$9:$BF$3498,MATCH(1,(('Commodity Prices'!$BA$9:$BA$3488)="Alumina")*(('Commodity Prices'!$BB$9:$BB$3488)=$B$6)*(('Commodity Prices'!$BD$9:$BD$3488)=B16),0),5),INDEX('Commodity Prices'!$BH$9:$BM$3487,MATCH(1,(('Commodity Prices'!$BH$9:$BH$3487)="Alumina")*(('Commodity Prices'!$BI$9:$BI$3487)=$B$6)*(('Commodity Prices'!$BK$9:$BK$3487)=B16),0),5)))</f>
        <v>384309254.50000006</v>
      </c>
      <c r="D16" s="528">
        <f t="shared" si="1"/>
        <v>5.3854689470612546E-2</v>
      </c>
      <c r="X16" s="913"/>
      <c r="Y16" s="912">
        <f t="shared" si="0"/>
        <v>2008</v>
      </c>
      <c r="Z16" s="913"/>
      <c r="AI16" s="80"/>
      <c r="AJ16" s="80"/>
      <c r="AK16" s="80"/>
      <c r="AL16" s="80"/>
      <c r="AM16" s="154"/>
      <c r="AN16" s="154"/>
      <c r="AO16" s="154"/>
      <c r="AP16" s="154"/>
      <c r="AQ16" s="154"/>
      <c r="AR16" s="154"/>
      <c r="AS16" s="154"/>
      <c r="AT16" s="154"/>
      <c r="AU16" s="154"/>
      <c r="AV16" s="154"/>
      <c r="AW16" s="80"/>
    </row>
    <row r="17" spans="1:49">
      <c r="A17" s="408" t="str">
        <f t="array" ref="A17">IF($W$2="Mismatch Error","",IF($B$5=$X$1,INDEX('Commodity Prices'!$BA$9:$BF$3498,MATCH(1,(('Commodity Prices'!$BA$9:$BA$3488)="Alumina")*(('Commodity Prices'!$BB$9:$BB$3488)=$B$6)*(('Commodity Prices'!$BD$9:$BD$3488)=B17),0),3),INDEX('Commodity Prices'!$BH$9:$BM$3487,MATCH(1,(('Commodity Prices'!$BH$9:$BH$3487)="Alumina")*(('Commodity Prices'!$BI$9:$BI$3487)=$B$6)*(('Commodity Prices'!$BK$9:$BK$3487)=B17),0),3)))</f>
        <v>Argentina</v>
      </c>
      <c r="B17" s="529">
        <v>8</v>
      </c>
      <c r="C17" s="1776">
        <f t="array" ref="C17">IF($W$2="Mismatch Error","",IF($B$5=$X$1,INDEX('Commodity Prices'!$BA$9:$BF$3498,MATCH(1,(('Commodity Prices'!$BA$9:$BA$3488)="Alumina")*(('Commodity Prices'!$BB$9:$BB$3488)=$B$6)*(('Commodity Prices'!$BD$9:$BD$3488)=B17),0),5),INDEX('Commodity Prices'!$BH$9:$BM$3487,MATCH(1,(('Commodity Prices'!$BH$9:$BH$3487)="Alumina")*(('Commodity Prices'!$BI$9:$BI$3487)=$B$6)*(('Commodity Prices'!$BK$9:$BK$3487)=B17),0),5)))</f>
        <v>324629917.17000008</v>
      </c>
      <c r="D17" s="530">
        <f t="shared" si="1"/>
        <v>4.5491601301162587E-2</v>
      </c>
      <c r="X17" s="913"/>
      <c r="Y17" s="912">
        <f t="shared" si="0"/>
        <v>2007</v>
      </c>
      <c r="Z17" s="913"/>
      <c r="AI17" s="80"/>
      <c r="AJ17" s="80"/>
      <c r="AK17" s="80"/>
      <c r="AL17" s="80"/>
      <c r="AM17" s="154"/>
      <c r="AN17" s="154"/>
      <c r="AO17" s="154"/>
      <c r="AP17" s="154"/>
      <c r="AQ17" s="154"/>
      <c r="AR17" s="154"/>
      <c r="AS17" s="154"/>
      <c r="AT17" s="154"/>
      <c r="AU17" s="154"/>
      <c r="AV17" s="154"/>
      <c r="AW17" s="80"/>
    </row>
    <row r="18" spans="1:49">
      <c r="A18" s="526" t="str">
        <f t="array" ref="A18">IF($W$2="Mismatch Error","",IF($B$5=$X$1,INDEX('Commodity Prices'!$BA$9:$BF$3498,MATCH(1,(('Commodity Prices'!$BA$9:$BA$3488)="Alumina")*(('Commodity Prices'!$BB$9:$BB$3488)=$B$6)*(('Commodity Prices'!$BD$9:$BD$3488)=B18),0),3),INDEX('Commodity Prices'!$BH$9:$BM$3487,MATCH(1,(('Commodity Prices'!$BH$9:$BH$3487)="Alumina")*(('Commodity Prices'!$BI$9:$BI$3487)=$B$6)*(('Commodity Prices'!$BK$9:$BK$3487)=B18),0),3)))</f>
        <v>Oman</v>
      </c>
      <c r="B18" s="527">
        <v>9</v>
      </c>
      <c r="C18" s="1775">
        <f t="array" ref="C18">IF($W$2="Mismatch Error","",IF($B$5=$X$1,INDEX('Commodity Prices'!$BA$9:$BF$3498,MATCH(1,(('Commodity Prices'!$BA$9:$BA$3488)="Alumina")*(('Commodity Prices'!$BB$9:$BB$3488)=$B$6)*(('Commodity Prices'!$BD$9:$BD$3488)=B18),0),5),INDEX('Commodity Prices'!$BH$9:$BM$3487,MATCH(1,(('Commodity Prices'!$BH$9:$BH$3487)="Alumina")*(('Commodity Prices'!$BI$9:$BI$3487)=$B$6)*(('Commodity Prices'!$BK$9:$BK$3487)=B18),0),5)))</f>
        <v>249808802.24000004</v>
      </c>
      <c r="D18" s="528">
        <f t="shared" si="1"/>
        <v>3.5006639351332247E-2</v>
      </c>
      <c r="X18" s="913"/>
      <c r="Y18" s="912" t="str">
        <f t="shared" si="0"/>
        <v/>
      </c>
      <c r="Z18" s="913"/>
      <c r="AI18" s="80"/>
      <c r="AJ18" s="80"/>
      <c r="AK18" s="80"/>
      <c r="AL18" s="80"/>
      <c r="AM18" s="154"/>
      <c r="AN18" s="154"/>
      <c r="AO18" s="154"/>
      <c r="AP18" s="154"/>
      <c r="AQ18" s="154"/>
      <c r="AR18" s="154"/>
      <c r="AS18" s="154"/>
      <c r="AT18" s="154"/>
      <c r="AU18" s="154"/>
      <c r="AV18" s="154"/>
      <c r="AW18" s="80"/>
    </row>
    <row r="19" spans="1:49">
      <c r="A19" s="408" t="str">
        <f t="array" ref="A19">IF($W$2="Mismatch Error","",IF($B$5=$X$1,INDEX('Commodity Prices'!$BA$9:$BF$3498,MATCH(1,(('Commodity Prices'!$BA$9:$BA$3488)="Alumina")*(('Commodity Prices'!$BB$9:$BB$3488)=$B$6)*(('Commodity Prices'!$BD$9:$BD$3488)=B19),0),3),INDEX('Commodity Prices'!$BH$9:$BM$3487,MATCH(1,(('Commodity Prices'!$BH$9:$BH$3487)="Alumina")*(('Commodity Prices'!$BI$9:$BI$3487)=$B$6)*(('Commodity Prices'!$BK$9:$BK$3487)=B19),0),3)))</f>
        <v>India</v>
      </c>
      <c r="B19" s="529">
        <v>10</v>
      </c>
      <c r="C19" s="1776">
        <f t="array" ref="C19">IF($W$2="Mismatch Error","",IF($B$5=$X$1,INDEX('Commodity Prices'!$BA$9:$BF$3498,MATCH(1,(('Commodity Prices'!$BA$9:$BA$3488)="Alumina")*(('Commodity Prices'!$BB$9:$BB$3488)=$B$6)*(('Commodity Prices'!$BD$9:$BD$3488)=B19),0),5),INDEX('Commodity Prices'!$BH$9:$BM$3487,MATCH(1,(('Commodity Prices'!$BH$9:$BH$3487)="Alumina")*(('Commodity Prices'!$BI$9:$BI$3487)=$B$6)*(('Commodity Prices'!$BK$9:$BK$3487)=B19),0),5)))</f>
        <v>237169287.59000003</v>
      </c>
      <c r="D19" s="530">
        <f t="shared" si="1"/>
        <v>3.3235417012644049E-2</v>
      </c>
      <c r="X19" s="913"/>
      <c r="Y19" s="912" t="str">
        <f t="shared" si="0"/>
        <v/>
      </c>
      <c r="Z19" s="913"/>
      <c r="AI19" s="80"/>
      <c r="AJ19" s="80"/>
      <c r="AK19" s="80"/>
      <c r="AL19" s="80"/>
      <c r="AM19" s="154"/>
      <c r="AN19" s="154"/>
      <c r="AO19" s="154"/>
      <c r="AP19" s="154"/>
      <c r="AQ19" s="154"/>
      <c r="AR19" s="154"/>
      <c r="AS19" s="154"/>
      <c r="AT19" s="154"/>
      <c r="AU19" s="154"/>
      <c r="AV19" s="154"/>
      <c r="AW19" s="80"/>
    </row>
    <row r="20" spans="1:49">
      <c r="A20" s="526" t="str">
        <f>IF($W$2="Mismatch Error","","Other")</f>
        <v>Other</v>
      </c>
      <c r="B20" s="527"/>
      <c r="C20" s="1775">
        <f>IF($W$2="Mismatch Error","",IF($B$5=$X$1,SUMIFS('Commodity Prices'!$BE$9:$BE$3488,'Commodity Prices'!$BA$9:$BA$3488,"Alumina",'Commodity Prices'!$BB$9:$BB$3488,$B$6,'Commodity Prices'!$BC$9:$BC$3488,"TOTAL")-SUM($C$10:$C$19),SUMIFS('Commodity Prices'!$BL$9:$BL$3487,'Commodity Prices'!$BH$9:$BH$3487,"Alumina",'Commodity Prices'!$BI$9:$BI$3487,$B$6,'Commodity Prices'!$BJ$9:$BJ$3487,"TOTAL")-SUM($C$10:$C$19)))</f>
        <v>869286906.84000015</v>
      </c>
      <c r="D20" s="528">
        <f t="shared" si="1"/>
        <v>0.1218164170666296</v>
      </c>
      <c r="X20" s="913"/>
      <c r="Y20" s="912" t="str">
        <f t="shared" si="0"/>
        <v/>
      </c>
      <c r="Z20" s="913"/>
      <c r="AI20" s="80"/>
      <c r="AJ20" s="80"/>
      <c r="AK20" s="80"/>
      <c r="AL20" s="80"/>
      <c r="AM20" s="154"/>
      <c r="AN20" s="154"/>
      <c r="AO20" s="154"/>
      <c r="AP20" s="154"/>
      <c r="AQ20" s="154"/>
      <c r="AR20" s="154"/>
      <c r="AS20" s="154"/>
      <c r="AT20" s="154"/>
      <c r="AU20" s="154"/>
      <c r="AV20" s="154"/>
      <c r="AW20" s="80"/>
    </row>
    <row r="21" spans="1:49" ht="15.75" thickBot="1">
      <c r="A21" s="1422" t="str">
        <f>IF($W$2="Mismatch Error","","Grand Total")</f>
        <v>Grand Total</v>
      </c>
      <c r="B21" s="1423"/>
      <c r="C21" s="1781">
        <f>IF($W$2="Mismatch Error","",IF($B$5=$X$1,SUMIFS('Commodity Prices'!$BE$9:$BE$3488,'Commodity Prices'!$BA$9:$BA$3488,"Alumina",'Commodity Prices'!$BB$9:$BB$3488,$B$6,'Commodity Prices'!$BC$9:$BC$3488,"TOTAL"),SUMIFS('Commodity Prices'!$BL$9:$BL$3487,'Commodity Prices'!$BH$9:$BH$3487,"Alumina",'Commodity Prices'!$BI$9:$BI$3487,$B$6,'Commodity Prices'!$BJ$9:$BJ$3487,"TOTAL")))</f>
        <v>7136040673.1100016</v>
      </c>
      <c r="D21" s="1424"/>
      <c r="E21" s="95"/>
      <c r="X21" s="913"/>
      <c r="Y21" s="912" t="str">
        <f t="shared" si="0"/>
        <v/>
      </c>
      <c r="Z21" s="913"/>
      <c r="AI21" s="80"/>
      <c r="AJ21" s="80"/>
      <c r="AK21" s="80"/>
      <c r="AL21" s="80"/>
      <c r="AM21" s="154"/>
      <c r="AN21" s="154"/>
      <c r="AO21" s="154"/>
      <c r="AP21" s="154"/>
      <c r="AQ21" s="154"/>
      <c r="AR21" s="154"/>
      <c r="AS21" s="154"/>
      <c r="AT21" s="154"/>
      <c r="AU21" s="154"/>
      <c r="AV21" s="154"/>
      <c r="AW21" s="80"/>
    </row>
    <row r="22" spans="1:49" s="3" customFormat="1">
      <c r="X22" s="913"/>
      <c r="Y22" s="912" t="str">
        <f t="shared" si="0"/>
        <v/>
      </c>
      <c r="Z22" s="913"/>
      <c r="AI22" s="80"/>
      <c r="AJ22" s="80"/>
      <c r="AK22" s="80"/>
      <c r="AL22" s="80"/>
      <c r="AM22" s="154"/>
      <c r="AN22" s="154"/>
      <c r="AO22" s="154"/>
      <c r="AP22" s="154"/>
      <c r="AQ22" s="154"/>
      <c r="AR22" s="154"/>
      <c r="AS22" s="154"/>
      <c r="AT22" s="154"/>
      <c r="AU22" s="154"/>
      <c r="AV22" s="154"/>
      <c r="AW22" s="80"/>
    </row>
    <row r="23" spans="1:49" s="3" customFormat="1">
      <c r="A23" s="1762" t="str">
        <f>IF(A10="Mismatch Error","You have selected an incompatible year or year type. Change one or the other to display data.","")</f>
        <v/>
      </c>
      <c r="B23" s="1762"/>
      <c r="C23" s="1762"/>
      <c r="D23" s="1762"/>
      <c r="X23" s="911"/>
      <c r="Y23" s="912" t="str">
        <f t="shared" si="0"/>
        <v/>
      </c>
      <c r="Z23" s="911"/>
      <c r="AI23" s="80"/>
      <c r="AJ23" s="80"/>
      <c r="AK23" s="80"/>
      <c r="AL23" s="80"/>
      <c r="AM23" s="154"/>
      <c r="AN23" s="154"/>
      <c r="AO23" s="154"/>
      <c r="AP23" s="154"/>
      <c r="AQ23" s="154"/>
      <c r="AR23" s="154"/>
      <c r="AS23" s="154"/>
      <c r="AT23" s="154"/>
      <c r="AU23" s="154"/>
      <c r="AV23" s="154"/>
      <c r="AW23" s="80"/>
    </row>
    <row r="24" spans="1:49" s="3" customFormat="1">
      <c r="A24" s="1762"/>
      <c r="B24" s="1762"/>
      <c r="C24" s="1762"/>
      <c r="D24" s="1762"/>
      <c r="X24" s="911"/>
      <c r="Y24" s="912" t="str">
        <f t="shared" si="0"/>
        <v/>
      </c>
      <c r="Z24" s="911"/>
      <c r="AI24" s="80"/>
      <c r="AJ24" s="80"/>
      <c r="AK24" s="80"/>
      <c r="AL24" s="80"/>
      <c r="AM24" s="154"/>
      <c r="AN24" s="154"/>
      <c r="AO24" s="154"/>
      <c r="AP24" s="154"/>
      <c r="AQ24" s="154"/>
      <c r="AR24" s="154"/>
      <c r="AS24" s="154"/>
      <c r="AT24" s="154"/>
      <c r="AU24" s="154"/>
      <c r="AV24" s="154"/>
      <c r="AW24" s="80"/>
    </row>
    <row r="25" spans="1:49" s="3" customFormat="1" ht="15" customHeight="1">
      <c r="A25" s="1762"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1762"/>
      <c r="C25" s="1762"/>
      <c r="D25" s="1762"/>
      <c r="X25" s="911"/>
      <c r="Y25" s="912" t="str">
        <f t="shared" si="0"/>
        <v/>
      </c>
      <c r="Z25" s="911"/>
      <c r="AI25" s="80"/>
      <c r="AJ25" s="80"/>
      <c r="AK25" s="80"/>
      <c r="AL25" s="80"/>
      <c r="AM25" s="154"/>
      <c r="AN25" s="154"/>
      <c r="AO25" s="154"/>
      <c r="AP25" s="154"/>
      <c r="AQ25" s="154"/>
      <c r="AR25" s="154"/>
      <c r="AS25" s="154"/>
      <c r="AT25" s="154"/>
      <c r="AU25" s="154"/>
      <c r="AV25" s="154"/>
      <c r="AW25" s="80"/>
    </row>
    <row r="26" spans="1:49" s="3" customFormat="1">
      <c r="A26" s="1762"/>
      <c r="B26" s="1762"/>
      <c r="C26" s="1762"/>
      <c r="D26" s="1762"/>
      <c r="K26" s="351"/>
      <c r="X26" s="911"/>
      <c r="Y26" s="912"/>
      <c r="Z26" s="911"/>
      <c r="AI26" s="80"/>
      <c r="AJ26" s="80"/>
      <c r="AK26" s="80"/>
      <c r="AL26" s="80"/>
      <c r="AM26" s="154"/>
      <c r="AN26" s="154"/>
      <c r="AO26" s="154"/>
      <c r="AP26" s="154"/>
      <c r="AQ26" s="154"/>
      <c r="AR26" s="154"/>
      <c r="AS26" s="154"/>
      <c r="AT26" s="154"/>
      <c r="AU26" s="154"/>
      <c r="AV26" s="154"/>
      <c r="AW26" s="80"/>
    </row>
    <row r="27" spans="1:49" s="3" customFormat="1">
      <c r="A27" s="1762"/>
      <c r="B27" s="1762"/>
      <c r="C27" s="1762"/>
      <c r="D27" s="1762"/>
      <c r="K27" s="351"/>
      <c r="X27" s="911"/>
      <c r="Y27" s="912"/>
      <c r="Z27" s="911"/>
      <c r="AI27" s="80"/>
      <c r="AJ27" s="80"/>
      <c r="AK27" s="80"/>
      <c r="AL27" s="80"/>
      <c r="AM27" s="154"/>
      <c r="AN27" s="154"/>
      <c r="AO27" s="154"/>
      <c r="AP27" s="154"/>
      <c r="AQ27" s="154"/>
      <c r="AR27" s="154"/>
      <c r="AS27" s="154"/>
      <c r="AT27" s="154"/>
      <c r="AU27" s="154"/>
      <c r="AV27" s="154"/>
      <c r="AW27" s="80"/>
    </row>
    <row r="28" spans="1:49" s="3" customFormat="1">
      <c r="A28" s="1762"/>
      <c r="B28" s="1762"/>
      <c r="C28" s="1762"/>
      <c r="D28" s="1762"/>
      <c r="I28" s="350"/>
      <c r="J28" s="350"/>
      <c r="K28" s="351"/>
      <c r="X28" s="911"/>
      <c r="Y28" s="912"/>
      <c r="Z28" s="911"/>
      <c r="AI28" s="80"/>
      <c r="AJ28" s="80"/>
      <c r="AK28" s="80"/>
      <c r="AL28" s="80"/>
      <c r="AM28" s="154"/>
      <c r="AN28" s="154"/>
      <c r="AO28" s="154"/>
      <c r="AP28" s="154"/>
      <c r="AQ28" s="154"/>
      <c r="AR28" s="154"/>
      <c r="AS28" s="154"/>
      <c r="AT28" s="154"/>
      <c r="AU28" s="154"/>
      <c r="AV28" s="154"/>
      <c r="AW28" s="80"/>
    </row>
    <row r="29" spans="1:49" s="3" customFormat="1">
      <c r="I29" s="350"/>
      <c r="J29" s="350"/>
      <c r="K29" s="351"/>
      <c r="X29" s="911"/>
      <c r="Y29" s="912"/>
      <c r="Z29" s="911"/>
      <c r="AI29" s="80"/>
      <c r="AJ29" s="80"/>
      <c r="AK29" s="80"/>
      <c r="AL29" s="80"/>
      <c r="AM29" s="154"/>
      <c r="AN29" s="154"/>
      <c r="AO29" s="154"/>
      <c r="AP29" s="154"/>
      <c r="AQ29" s="154"/>
      <c r="AR29" s="154"/>
      <c r="AS29" s="154"/>
      <c r="AT29" s="154"/>
      <c r="AU29" s="154"/>
      <c r="AV29" s="154"/>
      <c r="AW29" s="80"/>
    </row>
    <row r="30" spans="1:49" s="3" customFormat="1">
      <c r="X30" s="911"/>
      <c r="Y30" s="912"/>
      <c r="Z30" s="911"/>
      <c r="AI30" s="80"/>
      <c r="AJ30" s="80"/>
      <c r="AK30" s="80"/>
      <c r="AL30" s="80"/>
      <c r="AM30" s="154"/>
      <c r="AN30" s="154"/>
      <c r="AO30" s="154"/>
      <c r="AP30" s="154"/>
      <c r="AQ30" s="154"/>
      <c r="AR30" s="154"/>
      <c r="AS30" s="154"/>
      <c r="AT30" s="154"/>
      <c r="AU30" s="154"/>
      <c r="AV30" s="154"/>
      <c r="AW30" s="80"/>
    </row>
    <row r="31" spans="1:49" s="3" customFormat="1">
      <c r="A31"/>
      <c r="B31"/>
      <c r="C31"/>
      <c r="D31"/>
      <c r="X31" s="911"/>
      <c r="Y31" s="912"/>
      <c r="Z31" s="911"/>
      <c r="AI31" s="80"/>
      <c r="AJ31" s="80"/>
      <c r="AK31" s="80"/>
      <c r="AL31" s="80"/>
      <c r="AM31" s="154"/>
      <c r="AN31" s="154"/>
      <c r="AO31" s="154"/>
      <c r="AP31" s="154"/>
      <c r="AQ31" s="154"/>
      <c r="AR31" s="154"/>
      <c r="AS31" s="154"/>
      <c r="AT31" s="154"/>
      <c r="AU31" s="154"/>
      <c r="AV31" s="154"/>
      <c r="AW31" s="80"/>
    </row>
    <row r="32" spans="1:49">
      <c r="E32" s="5"/>
      <c r="F32" s="3"/>
      <c r="Y32" s="912"/>
      <c r="AI32" s="80"/>
      <c r="AJ32" s="80"/>
      <c r="AK32" s="80"/>
      <c r="AL32" s="80"/>
      <c r="AM32" s="154"/>
      <c r="AN32" s="154"/>
      <c r="AO32" s="154"/>
      <c r="AP32" s="154"/>
      <c r="AQ32" s="154"/>
      <c r="AR32" s="154"/>
      <c r="AS32" s="154"/>
      <c r="AT32" s="154"/>
      <c r="AU32" s="154"/>
      <c r="AV32" s="154"/>
      <c r="AW32" s="80"/>
    </row>
    <row r="33" spans="5:49">
      <c r="E33" s="5"/>
      <c r="F33" s="3"/>
      <c r="Y33" s="912"/>
      <c r="AI33" s="80"/>
      <c r="AJ33" s="80"/>
      <c r="AK33" s="80"/>
      <c r="AL33" s="80"/>
      <c r="AM33" s="154"/>
      <c r="AN33" s="154"/>
      <c r="AO33" s="154"/>
      <c r="AP33" s="154"/>
      <c r="AQ33" s="154"/>
      <c r="AR33" s="154"/>
      <c r="AS33" s="154"/>
      <c r="AT33" s="154"/>
      <c r="AU33" s="154"/>
      <c r="AV33" s="154"/>
      <c r="AW33" s="80"/>
    </row>
    <row r="34" spans="5:49">
      <c r="E34" s="5"/>
      <c r="F34" s="3"/>
      <c r="I34" s="55"/>
      <c r="J34" s="55"/>
      <c r="Y34" s="912"/>
      <c r="AI34" s="80"/>
      <c r="AJ34" s="80"/>
      <c r="AK34" s="80"/>
      <c r="AL34" s="80"/>
      <c r="AM34" s="154"/>
      <c r="AN34" s="154"/>
      <c r="AO34" s="154"/>
      <c r="AP34" s="154"/>
      <c r="AQ34" s="154"/>
      <c r="AR34" s="154"/>
      <c r="AS34" s="154"/>
      <c r="AT34" s="154"/>
      <c r="AU34" s="154"/>
      <c r="AV34" s="154"/>
      <c r="AW34" s="80"/>
    </row>
    <row r="35" spans="5:49">
      <c r="E35" s="5"/>
      <c r="F35" s="3"/>
      <c r="I35" s="55"/>
      <c r="J35" s="55"/>
      <c r="Y35" s="912"/>
      <c r="AI35" s="80"/>
      <c r="AJ35" s="80"/>
      <c r="AK35" s="80"/>
      <c r="AL35" s="80"/>
      <c r="AM35" s="154"/>
      <c r="AN35" s="154"/>
      <c r="AO35" s="154"/>
      <c r="AP35" s="154"/>
      <c r="AQ35" s="154"/>
      <c r="AR35" s="154"/>
      <c r="AS35" s="154"/>
      <c r="AT35" s="154"/>
      <c r="AU35" s="154"/>
      <c r="AV35" s="154"/>
      <c r="AW35" s="80"/>
    </row>
    <row r="36" spans="5:49">
      <c r="E36" s="5"/>
      <c r="F36" s="3"/>
      <c r="I36" s="55"/>
      <c r="J36" s="55"/>
      <c r="Y36" s="912"/>
      <c r="AM36" s="154"/>
      <c r="AN36" s="154"/>
      <c r="AO36" s="154"/>
      <c r="AP36" s="154"/>
      <c r="AQ36" s="154"/>
      <c r="AR36" s="154"/>
      <c r="AS36" s="154"/>
      <c r="AT36" s="154"/>
      <c r="AU36" s="154"/>
      <c r="AV36" s="154"/>
    </row>
    <row r="37" spans="5:49">
      <c r="E37" s="5"/>
      <c r="F37" s="3"/>
      <c r="I37" s="55"/>
      <c r="J37" s="55"/>
      <c r="Y37" s="912"/>
      <c r="AM37" s="154"/>
      <c r="AN37" s="154"/>
      <c r="AO37" s="154"/>
      <c r="AP37" s="154"/>
      <c r="AQ37" s="154"/>
      <c r="AR37" s="154"/>
      <c r="AS37" s="154"/>
      <c r="AT37" s="154"/>
      <c r="AU37" s="154"/>
      <c r="AV37" s="154"/>
    </row>
    <row r="38" spans="5:49">
      <c r="E38" s="5"/>
      <c r="F38" s="3"/>
      <c r="I38" s="55"/>
      <c r="J38" s="55"/>
      <c r="Y38" s="912"/>
      <c r="AM38" s="154"/>
      <c r="AN38" s="154"/>
      <c r="AO38" s="154"/>
      <c r="AP38" s="154"/>
      <c r="AQ38" s="154"/>
      <c r="AR38" s="154"/>
      <c r="AS38" s="154"/>
      <c r="AT38" s="154"/>
      <c r="AU38" s="154"/>
      <c r="AV38" s="154"/>
    </row>
    <row r="39" spans="5:49">
      <c r="E39" s="5"/>
      <c r="F39" s="3"/>
      <c r="I39" s="55"/>
      <c r="J39" s="55"/>
      <c r="Y39" s="912"/>
      <c r="AM39" s="154"/>
      <c r="AN39" s="154"/>
      <c r="AO39" s="154"/>
      <c r="AP39" s="154"/>
      <c r="AQ39" s="154"/>
      <c r="AR39" s="154"/>
      <c r="AS39" s="154"/>
      <c r="AT39" s="154"/>
      <c r="AU39" s="154"/>
      <c r="AV39" s="154"/>
    </row>
    <row r="40" spans="5:49">
      <c r="E40" s="5"/>
      <c r="F40" s="3"/>
      <c r="I40" s="55"/>
      <c r="J40" s="55"/>
      <c r="Y40" s="912"/>
      <c r="AM40" s="154"/>
      <c r="AN40" s="154"/>
      <c r="AO40" s="154"/>
      <c r="AP40" s="154"/>
      <c r="AQ40" s="154"/>
      <c r="AR40" s="154"/>
      <c r="AS40" s="154"/>
      <c r="AT40" s="154"/>
      <c r="AU40" s="154"/>
      <c r="AV40" s="154"/>
    </row>
    <row r="41" spans="5:49">
      <c r="E41" s="5"/>
      <c r="F41" s="3"/>
      <c r="I41" s="55"/>
      <c r="J41" s="55"/>
      <c r="Y41" s="912"/>
      <c r="AM41" s="154"/>
      <c r="AN41" s="154"/>
      <c r="AO41" s="154"/>
      <c r="AP41" s="154"/>
      <c r="AQ41" s="154"/>
      <c r="AR41" s="154"/>
      <c r="AS41" s="154"/>
      <c r="AT41" s="154"/>
      <c r="AU41" s="154"/>
      <c r="AV41" s="154"/>
    </row>
    <row r="42" spans="5:49">
      <c r="E42" s="5"/>
      <c r="F42" s="3"/>
      <c r="I42" s="55"/>
      <c r="J42" s="55"/>
      <c r="Y42" s="912"/>
      <c r="AM42" s="154"/>
      <c r="AN42" s="154"/>
      <c r="AO42" s="154"/>
      <c r="AP42" s="154"/>
      <c r="AQ42" s="154"/>
      <c r="AR42" s="154"/>
      <c r="AS42" s="154"/>
      <c r="AT42" s="154"/>
      <c r="AU42" s="154"/>
      <c r="AV42" s="154"/>
    </row>
    <row r="43" spans="5:49">
      <c r="E43" s="5"/>
      <c r="F43" s="3"/>
      <c r="I43" s="55"/>
      <c r="J43" s="55"/>
      <c r="Y43" s="912"/>
      <c r="AM43" s="154"/>
      <c r="AN43" s="154"/>
      <c r="AO43" s="154"/>
      <c r="AP43" s="154"/>
      <c r="AQ43" s="154"/>
      <c r="AR43" s="154"/>
      <c r="AS43" s="154"/>
      <c r="AT43" s="154"/>
      <c r="AU43" s="154"/>
      <c r="AV43" s="154"/>
    </row>
    <row r="44" spans="5:49">
      <c r="E44" s="5"/>
      <c r="F44" s="3"/>
      <c r="I44" s="55"/>
      <c r="J44" s="55"/>
      <c r="Y44" s="912"/>
    </row>
    <row r="45" spans="5:49">
      <c r="E45" s="5"/>
      <c r="F45" s="3"/>
      <c r="I45" s="55"/>
      <c r="J45" s="55"/>
      <c r="Y45" s="912"/>
    </row>
    <row r="46" spans="5:49">
      <c r="E46" s="5"/>
      <c r="F46" s="3"/>
      <c r="I46" s="55"/>
      <c r="J46" s="55"/>
      <c r="Y46" s="912"/>
    </row>
    <row r="47" spans="5:49">
      <c r="E47" s="5"/>
      <c r="F47" s="3"/>
      <c r="Y47" s="912"/>
    </row>
    <row r="48" spans="5:49">
      <c r="E48" s="5"/>
      <c r="F48" s="3"/>
      <c r="Y48" s="912"/>
    </row>
    <row r="49" spans="1:26">
      <c r="E49" s="5"/>
      <c r="F49" s="3"/>
      <c r="Y49" s="912"/>
    </row>
    <row r="50" spans="1:26" s="71" customFormat="1">
      <c r="A50"/>
      <c r="B50"/>
      <c r="C50"/>
      <c r="D50"/>
      <c r="E50" s="5"/>
      <c r="X50" s="911"/>
      <c r="Y50" s="912"/>
      <c r="Z50" s="911"/>
    </row>
    <row r="51" spans="1:26" s="71" customFormat="1">
      <c r="A51"/>
      <c r="B51"/>
      <c r="C51"/>
      <c r="D51"/>
      <c r="E51" s="5"/>
      <c r="X51" s="911"/>
      <c r="Y51" s="913"/>
      <c r="Z51" s="911"/>
    </row>
    <row r="52" spans="1:26" s="71" customFormat="1">
      <c r="A52"/>
      <c r="B52"/>
      <c r="C52"/>
      <c r="D52"/>
      <c r="E52" s="5"/>
      <c r="X52" s="911"/>
      <c r="Y52" s="913"/>
      <c r="Z52" s="911"/>
    </row>
    <row r="53" spans="1:26" s="71" customFormat="1">
      <c r="A53"/>
      <c r="B53"/>
      <c r="C53"/>
      <c r="D53"/>
      <c r="E53" s="5"/>
      <c r="X53" s="911"/>
      <c r="Y53" s="913"/>
      <c r="Z53" s="911"/>
    </row>
    <row r="54" spans="1:26" s="71" customFormat="1">
      <c r="A54"/>
      <c r="B54"/>
      <c r="C54"/>
      <c r="D54"/>
      <c r="E54" s="5"/>
      <c r="X54" s="911"/>
      <c r="Y54" s="913"/>
      <c r="Z54" s="911"/>
    </row>
    <row r="55" spans="1:26" s="71" customFormat="1">
      <c r="A55"/>
      <c r="B55"/>
      <c r="C55"/>
      <c r="D55"/>
      <c r="E55" s="5"/>
      <c r="X55" s="911"/>
      <c r="Y55" s="913"/>
      <c r="Z55" s="911"/>
    </row>
    <row r="56" spans="1:26" s="71" customFormat="1">
      <c r="A56"/>
      <c r="B56"/>
      <c r="C56"/>
      <c r="D56"/>
      <c r="E56" s="5"/>
      <c r="X56" s="911"/>
      <c r="Y56" s="913"/>
      <c r="Z56" s="911"/>
    </row>
    <row r="57" spans="1:26" s="71" customFormat="1">
      <c r="A57"/>
      <c r="B57"/>
      <c r="C57"/>
      <c r="D57"/>
      <c r="E57" s="5"/>
      <c r="X57" s="911"/>
      <c r="Y57" s="913"/>
      <c r="Z57" s="911"/>
    </row>
    <row r="58" spans="1:26" s="71" customFormat="1">
      <c r="A58"/>
      <c r="B58"/>
      <c r="C58"/>
      <c r="D58"/>
      <c r="E58" s="5"/>
      <c r="X58" s="911"/>
      <c r="Y58" s="913"/>
      <c r="Z58" s="911"/>
    </row>
    <row r="59" spans="1:26" s="71" customFormat="1">
      <c r="A59"/>
      <c r="B59"/>
      <c r="C59"/>
      <c r="D59"/>
      <c r="E59" s="5"/>
      <c r="X59" s="911"/>
      <c r="Y59" s="913"/>
      <c r="Z59" s="911"/>
    </row>
    <row r="60" spans="1:26" s="71" customFormat="1">
      <c r="A60"/>
      <c r="B60"/>
      <c r="C60"/>
      <c r="D60"/>
      <c r="E60" s="5"/>
      <c r="X60" s="911"/>
      <c r="Y60" s="913"/>
      <c r="Z60" s="911"/>
    </row>
    <row r="61" spans="1:26" s="71" customFormat="1">
      <c r="A61"/>
      <c r="B61"/>
      <c r="C61"/>
      <c r="D61"/>
      <c r="E61" s="5"/>
      <c r="X61" s="911"/>
      <c r="Y61" s="913"/>
      <c r="Z61" s="911"/>
    </row>
    <row r="62" spans="1:26" s="71" customFormat="1">
      <c r="A62"/>
      <c r="B62"/>
      <c r="C62"/>
      <c r="D62"/>
      <c r="E62" s="5"/>
      <c r="X62" s="911"/>
      <c r="Y62" s="913"/>
      <c r="Z62" s="911"/>
    </row>
    <row r="63" spans="1:26" s="71" customFormat="1">
      <c r="A63"/>
      <c r="B63"/>
      <c r="C63"/>
      <c r="D63"/>
      <c r="E63" s="5"/>
      <c r="X63" s="911"/>
      <c r="Y63" s="913"/>
      <c r="Z63" s="911"/>
    </row>
    <row r="64" spans="1:26" s="71" customFormat="1">
      <c r="A64"/>
      <c r="B64"/>
      <c r="C64"/>
      <c r="D64"/>
      <c r="E64" s="5"/>
      <c r="X64" s="911"/>
      <c r="Y64" s="913"/>
      <c r="Z64" s="911"/>
    </row>
    <row r="67" spans="1:26" s="71" customFormat="1">
      <c r="A67"/>
      <c r="B67"/>
      <c r="C67"/>
      <c r="D67"/>
      <c r="E67" s="5"/>
      <c r="X67" s="911"/>
      <c r="Y67" s="913"/>
      <c r="Z67" s="911"/>
    </row>
    <row r="68" spans="1:26" s="71" customFormat="1">
      <c r="A68"/>
      <c r="B68"/>
      <c r="C68"/>
      <c r="D68"/>
      <c r="E68" s="5"/>
      <c r="X68" s="911"/>
      <c r="Y68" s="913"/>
      <c r="Z68" s="911"/>
    </row>
    <row r="69" spans="1:26" s="71" customFormat="1">
      <c r="A69"/>
      <c r="B69"/>
      <c r="C69"/>
      <c r="D69"/>
      <c r="E69" s="5"/>
      <c r="X69" s="911"/>
      <c r="Y69" s="913"/>
      <c r="Z69" s="911"/>
    </row>
    <row r="70" spans="1:26" s="71" customFormat="1">
      <c r="A70"/>
      <c r="B70"/>
      <c r="C70"/>
      <c r="D70"/>
      <c r="E70" s="5"/>
      <c r="X70" s="911"/>
      <c r="Y70" s="913"/>
      <c r="Z70" s="911"/>
    </row>
    <row r="71" spans="1:26" s="71" customFormat="1">
      <c r="A71"/>
      <c r="B71"/>
      <c r="C71"/>
      <c r="D71"/>
      <c r="E71" s="5"/>
      <c r="X71" s="911"/>
      <c r="Y71" s="913"/>
      <c r="Z71" s="911"/>
    </row>
    <row r="72" spans="1:26" s="71" customFormat="1">
      <c r="A72"/>
      <c r="B72"/>
      <c r="C72"/>
      <c r="D72"/>
      <c r="E72" s="5"/>
      <c r="X72" s="911"/>
      <c r="Y72" s="913"/>
      <c r="Z72" s="911"/>
    </row>
    <row r="73" spans="1:26" s="71" customFormat="1">
      <c r="A73"/>
      <c r="B73"/>
      <c r="C73"/>
      <c r="D73"/>
      <c r="E73" s="5"/>
      <c r="X73" s="911"/>
      <c r="Y73" s="913"/>
      <c r="Z73" s="911"/>
    </row>
    <row r="74" spans="1:26" s="71" customFormat="1">
      <c r="A74"/>
      <c r="B74"/>
      <c r="C74"/>
      <c r="D74"/>
      <c r="E74" s="5"/>
      <c r="X74" s="911"/>
      <c r="Y74" s="913"/>
      <c r="Z74" s="911"/>
    </row>
    <row r="75" spans="1:26" s="71" customFormat="1">
      <c r="A75"/>
      <c r="B75"/>
      <c r="C75"/>
      <c r="D75"/>
      <c r="E75" s="5"/>
      <c r="X75" s="911"/>
      <c r="Y75" s="913"/>
      <c r="Z75" s="911"/>
    </row>
    <row r="76" spans="1:26" s="71" customFormat="1">
      <c r="A76"/>
      <c r="B76"/>
      <c r="C76"/>
      <c r="D76"/>
      <c r="E76" s="5"/>
      <c r="X76" s="911"/>
      <c r="Y76" s="913"/>
      <c r="Z76" s="911"/>
    </row>
    <row r="77" spans="1:26" s="71" customFormat="1">
      <c r="A77"/>
      <c r="B77"/>
      <c r="C77"/>
      <c r="D77"/>
      <c r="E77" s="5"/>
      <c r="X77" s="911"/>
      <c r="Y77" s="913"/>
      <c r="Z77" s="911"/>
    </row>
    <row r="78" spans="1:26" s="71" customFormat="1">
      <c r="A78"/>
      <c r="B78"/>
      <c r="C78"/>
      <c r="D78"/>
      <c r="E78" s="5"/>
      <c r="X78" s="911"/>
      <c r="Y78" s="913"/>
      <c r="Z78" s="911"/>
    </row>
    <row r="79" spans="1:26" s="71" customFormat="1">
      <c r="A79"/>
      <c r="B79"/>
      <c r="C79"/>
      <c r="D79"/>
      <c r="E79" s="5"/>
      <c r="X79" s="911"/>
      <c r="Y79" s="913"/>
      <c r="Z79" s="911"/>
    </row>
    <row r="80" spans="1:26" s="71" customFormat="1">
      <c r="A80"/>
      <c r="B80"/>
      <c r="C80"/>
      <c r="D80"/>
      <c r="E80" s="5"/>
      <c r="X80" s="911"/>
      <c r="Y80" s="913"/>
      <c r="Z80" s="911"/>
    </row>
    <row r="81" spans="1:26" s="71" customFormat="1">
      <c r="A81"/>
      <c r="B81"/>
      <c r="C81"/>
      <c r="D81"/>
      <c r="E81" s="5"/>
      <c r="X81" s="911"/>
      <c r="Y81" s="913"/>
      <c r="Z81" s="911"/>
    </row>
  </sheetData>
  <sortState xmlns:xlrd2="http://schemas.microsoft.com/office/spreadsheetml/2017/richdata2" ref="A130:D139">
    <sortCondition descending="1" ref="C130:C139"/>
  </sortState>
  <mergeCells count="3">
    <mergeCell ref="B5:D5"/>
    <mergeCell ref="B6:D6"/>
    <mergeCell ref="A8:D8"/>
  </mergeCells>
  <conditionalFormatting sqref="A12 A14 A16 A18 A20">
    <cfRule type="containsText" dxfId="0" priority="6" operator="containsText" text="Mismatch Error">
      <formula>NOT(ISERROR(SEARCH("Mismatch Error",A12)))</formula>
    </cfRule>
  </conditionalFormatting>
  <dataValidations xWindow="437" yWindow="325" count="3">
    <dataValidation allowBlank="1" promptTitle="Select a Display Factor:" prompt="Clicking here will bring up a message describing the selections you can make." sqref="E5:E6" xr:uid="{00000000-0002-0000-0D00-000000000000}"/>
    <dataValidation type="list" allowBlank="1" showInputMessage="1" showErrorMessage="1" promptTitle="Select a Display Factor:" prompt="Clicking here will bring up a message describing the selections you can make." sqref="B5:D5" xr:uid="{00000000-0002-0000-0D00-000001000000}">
      <formula1>$X$1:$X$2</formula1>
    </dataValidation>
    <dataValidation type="list" allowBlank="1" showInputMessage="1" showErrorMessage="1" promptTitle="Select a Display Factor:" prompt="Clicking here will bring up a message describing the selections you can make." sqref="B6:D6" xr:uid="{00000000-0002-0000-0D00-000002000000}">
      <formula1>$Y$1:$Y$25</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2:U70"/>
  <sheetViews>
    <sheetView showGridLines="0" workbookViewId="0"/>
  </sheetViews>
  <sheetFormatPr defaultRowHeight="15"/>
  <cols>
    <col min="1" max="1" width="9.7109375" customWidth="1"/>
    <col min="2" max="2" width="21.85546875" bestFit="1" customWidth="1"/>
    <col min="3" max="3" width="20.140625" bestFit="1" customWidth="1"/>
    <col min="4" max="4" width="3" customWidth="1"/>
    <col min="5" max="5" width="2.28515625" customWidth="1"/>
    <col min="18" max="18" width="4.5703125" customWidth="1"/>
    <col min="19" max="19" width="9.28515625" customWidth="1"/>
    <col min="20" max="20" width="22.140625" customWidth="1"/>
    <col min="21" max="21" width="19.140625" customWidth="1"/>
  </cols>
  <sheetData>
    <row r="2" spans="1:21">
      <c r="G2" s="407"/>
    </row>
    <row r="5" spans="1:21" ht="15.75" thickBot="1">
      <c r="A5" s="1972" t="s">
        <v>497</v>
      </c>
      <c r="B5" s="1972"/>
      <c r="C5" s="1972"/>
      <c r="S5" s="1948" t="s">
        <v>497</v>
      </c>
      <c r="T5" s="1948"/>
      <c r="U5" s="1948"/>
    </row>
    <row r="6" spans="1:21" ht="15.75" thickBot="1">
      <c r="A6" s="817" t="s">
        <v>34</v>
      </c>
      <c r="B6" s="818" t="s">
        <v>38</v>
      </c>
      <c r="C6" s="819" t="s">
        <v>39</v>
      </c>
      <c r="S6" s="1973" t="s">
        <v>411</v>
      </c>
      <c r="T6" s="1973"/>
      <c r="U6" s="1973"/>
    </row>
    <row r="7" spans="1:21">
      <c r="A7" s="419">
        <v>1960</v>
      </c>
      <c r="B7" s="491">
        <v>0</v>
      </c>
      <c r="C7" s="492">
        <v>2.9801000000000001E-2</v>
      </c>
      <c r="S7" s="1285" t="s">
        <v>34</v>
      </c>
      <c r="T7" s="1286" t="str">
        <f>B6</f>
        <v>Western Australia (Mt)</v>
      </c>
      <c r="U7" s="1287" t="str">
        <f>C6</f>
        <v>Rest of Australia (Mt)</v>
      </c>
    </row>
    <row r="8" spans="1:21">
      <c r="A8" s="419">
        <v>1961</v>
      </c>
      <c r="B8" s="493">
        <v>0</v>
      </c>
      <c r="C8" s="494">
        <v>2.9468000000000001E-2</v>
      </c>
      <c r="S8" s="419">
        <f>LARGE(A$7:A$90,10)</f>
        <v>2014</v>
      </c>
      <c r="T8" s="1237">
        <f t="shared" ref="T8:T17" si="0">SUMIF($A$7:$A$95,$S8,B$7:B$95)</f>
        <v>13.876846259999999</v>
      </c>
      <c r="U8" s="1263">
        <f t="shared" ref="U8:U17" si="1">SUMIF($A$7:$A$95,$S8,C$7:C$95)</f>
        <v>6.5986737400000006</v>
      </c>
    </row>
    <row r="9" spans="1:21">
      <c r="A9" s="419">
        <v>1962</v>
      </c>
      <c r="B9" s="491">
        <v>0</v>
      </c>
      <c r="C9" s="492">
        <v>0.01</v>
      </c>
      <c r="S9" s="419">
        <f>LARGE(A$7:A$90,9)</f>
        <v>2015</v>
      </c>
      <c r="T9" s="500">
        <f t="shared" si="0"/>
        <v>13.778493585999998</v>
      </c>
      <c r="U9" s="501">
        <f t="shared" si="1"/>
        <v>6.3186864140000036</v>
      </c>
    </row>
    <row r="10" spans="1:21">
      <c r="A10" s="419">
        <v>1963</v>
      </c>
      <c r="B10" s="493">
        <v>0</v>
      </c>
      <c r="C10" s="494">
        <v>7.1437E-2</v>
      </c>
      <c r="S10" s="419">
        <f>LARGE(A$7:A$90,8)</f>
        <v>2016</v>
      </c>
      <c r="T10" s="1237">
        <f t="shared" si="0"/>
        <v>13.829773889999998</v>
      </c>
      <c r="U10" s="1263">
        <f t="shared" si="1"/>
        <v>6.8510561100000018</v>
      </c>
    </row>
    <row r="11" spans="1:21">
      <c r="A11" s="419">
        <v>1964</v>
      </c>
      <c r="B11" s="491">
        <v>0.119613</v>
      </c>
      <c r="C11" s="492">
        <v>4.1045230000000002E-2</v>
      </c>
      <c r="S11" s="419">
        <f>LARGE(A$7:A$90,7)</f>
        <v>2017</v>
      </c>
      <c r="T11" s="500">
        <f t="shared" si="0"/>
        <v>13.84700406</v>
      </c>
      <c r="U11" s="501">
        <f t="shared" si="1"/>
        <v>6.638765939999999</v>
      </c>
    </row>
    <row r="12" spans="1:21">
      <c r="A12" s="419">
        <v>1965</v>
      </c>
      <c r="B12" s="493">
        <v>0.1508504</v>
      </c>
      <c r="C12" s="494">
        <v>5.1594839999999996E-2</v>
      </c>
      <c r="S12" s="419">
        <f>LARGE(A$7:A$90,6)</f>
        <v>2018</v>
      </c>
      <c r="T12" s="1237">
        <f t="shared" si="0"/>
        <v>13.498431119999999</v>
      </c>
      <c r="U12" s="1263">
        <f t="shared" si="1"/>
        <v>6.5633688799999987</v>
      </c>
    </row>
    <row r="13" spans="1:21">
      <c r="A13" s="419">
        <v>1966</v>
      </c>
      <c r="B13" s="491">
        <v>0.24705370000000001</v>
      </c>
      <c r="C13" s="492">
        <v>5.9915239999999995E-2</v>
      </c>
      <c r="S13" s="419">
        <f>LARGE(A$7:A$90,5)</f>
        <v>2019</v>
      </c>
      <c r="T13" s="500">
        <f t="shared" si="0"/>
        <v>14.019717422999999</v>
      </c>
      <c r="U13" s="501">
        <f t="shared" si="1"/>
        <v>6.2194805770000023</v>
      </c>
    </row>
    <row r="14" spans="1:21">
      <c r="A14" s="419">
        <v>1967</v>
      </c>
      <c r="B14" s="493">
        <v>0.41172740000000002</v>
      </c>
      <c r="C14" s="494">
        <v>0.44268940000000001</v>
      </c>
      <c r="S14" s="419">
        <f>LARGE(A$7:A$90,4)</f>
        <v>2020</v>
      </c>
      <c r="T14" s="1237">
        <f t="shared" si="0"/>
        <v>14.242609689999998</v>
      </c>
      <c r="U14" s="1263">
        <f t="shared" si="1"/>
        <v>6.5945323100000017</v>
      </c>
    </row>
    <row r="15" spans="1:21">
      <c r="A15" s="419">
        <v>1968</v>
      </c>
      <c r="B15" s="491">
        <v>0.4885832</v>
      </c>
      <c r="C15" s="492">
        <v>0.82087299999999996</v>
      </c>
      <c r="S15" s="419">
        <f>LARGE(A$7:A$90,3)</f>
        <v>2021</v>
      </c>
      <c r="T15" s="500">
        <f t="shared" si="0"/>
        <v>14.193521710000001</v>
      </c>
      <c r="U15" s="501">
        <f t="shared" si="1"/>
        <v>6.4305662899999998</v>
      </c>
    </row>
    <row r="16" spans="1:21">
      <c r="A16" s="419">
        <v>1969</v>
      </c>
      <c r="B16" s="493">
        <v>0.77114260000000001</v>
      </c>
      <c r="C16" s="494">
        <v>1.1598729999999999</v>
      </c>
      <c r="S16" s="419">
        <f>LARGE(A$7:A$90,2)</f>
        <v>2022</v>
      </c>
      <c r="T16" s="1237">
        <f t="shared" si="0"/>
        <v>13.462240954</v>
      </c>
      <c r="U16" s="1263">
        <f t="shared" si="1"/>
        <v>6.1139330459999979</v>
      </c>
    </row>
    <row r="17" spans="1:21" ht="15.75" thickBot="1">
      <c r="A17" s="419">
        <v>1970</v>
      </c>
      <c r="B17" s="491">
        <v>0.9652309</v>
      </c>
      <c r="C17" s="492">
        <v>1.186992</v>
      </c>
      <c r="S17" s="420">
        <f>LARGE(A$7:A$90,1)</f>
        <v>2023</v>
      </c>
      <c r="T17" s="1903">
        <f t="shared" si="0"/>
        <v>12.762861729999999</v>
      </c>
      <c r="U17" s="1904">
        <f t="shared" si="1"/>
        <v>6.0402032489999993</v>
      </c>
    </row>
    <row r="18" spans="1:21">
      <c r="A18" s="419">
        <v>1971</v>
      </c>
      <c r="B18" s="493">
        <v>1.2753509999999999</v>
      </c>
      <c r="C18" s="494">
        <v>1.3944049999999999</v>
      </c>
    </row>
    <row r="19" spans="1:21">
      <c r="A19" s="419">
        <v>1972</v>
      </c>
      <c r="B19" s="491">
        <v>1.435859</v>
      </c>
      <c r="C19" s="492">
        <v>1.6322190000000001</v>
      </c>
    </row>
    <row r="20" spans="1:21">
      <c r="A20" s="419">
        <v>1973</v>
      </c>
      <c r="B20" s="493">
        <v>1.7291289999999999</v>
      </c>
      <c r="C20" s="494">
        <v>2.3597670000000002</v>
      </c>
    </row>
    <row r="21" spans="1:21">
      <c r="A21" s="419">
        <v>1974</v>
      </c>
      <c r="B21" s="491">
        <v>1.9812050000000001</v>
      </c>
      <c r="C21" s="492">
        <v>2.9182839999999999</v>
      </c>
    </row>
    <row r="22" spans="1:21">
      <c r="A22" s="419">
        <v>1975</v>
      </c>
      <c r="B22" s="493">
        <v>2.2302550000000001</v>
      </c>
      <c r="C22" s="494">
        <v>2.2837450000000001</v>
      </c>
    </row>
    <row r="23" spans="1:21">
      <c r="A23" s="419">
        <v>1976</v>
      </c>
      <c r="B23" s="491">
        <v>3.1200570000000001</v>
      </c>
      <c r="C23" s="492">
        <v>2.7349429999999999</v>
      </c>
    </row>
    <row r="24" spans="1:21">
      <c r="A24" s="419">
        <v>1977</v>
      </c>
      <c r="B24" s="493">
        <v>3.4569869999999998</v>
      </c>
      <c r="C24" s="494">
        <v>2.6140129999999999</v>
      </c>
    </row>
    <row r="25" spans="1:21">
      <c r="A25" s="419">
        <v>1978</v>
      </c>
      <c r="B25" s="491">
        <v>3.47038</v>
      </c>
      <c r="C25" s="492">
        <v>2.77962</v>
      </c>
    </row>
    <row r="26" spans="1:21">
      <c r="A26" s="419">
        <v>1979</v>
      </c>
      <c r="B26" s="493">
        <v>3.9454449999999999</v>
      </c>
      <c r="C26" s="494">
        <v>3.4691610000000002</v>
      </c>
    </row>
    <row r="27" spans="1:21">
      <c r="A27" s="419">
        <v>1980</v>
      </c>
      <c r="B27" s="491">
        <v>3.6639889999999999</v>
      </c>
      <c r="C27" s="492">
        <v>3.5825100000000001</v>
      </c>
    </row>
    <row r="28" spans="1:21">
      <c r="A28" s="419">
        <v>1981</v>
      </c>
      <c r="B28" s="493">
        <v>3.67848</v>
      </c>
      <c r="C28" s="494">
        <v>3.4005290000000001</v>
      </c>
    </row>
    <row r="29" spans="1:21">
      <c r="A29" s="419">
        <v>1982</v>
      </c>
      <c r="B29" s="491">
        <v>3.6763849999999998</v>
      </c>
      <c r="C29" s="492">
        <v>2.9541219999999999</v>
      </c>
    </row>
    <row r="30" spans="1:21">
      <c r="A30" s="419">
        <v>1983</v>
      </c>
      <c r="B30" s="493">
        <v>3.983098</v>
      </c>
      <c r="C30" s="494">
        <v>3.2474280000000002</v>
      </c>
    </row>
    <row r="31" spans="1:21">
      <c r="A31" s="419">
        <v>1984</v>
      </c>
      <c r="B31" s="491">
        <v>5.004988</v>
      </c>
      <c r="C31" s="492">
        <v>3.7757139999999998</v>
      </c>
    </row>
    <row r="32" spans="1:21">
      <c r="A32" s="419">
        <v>1985</v>
      </c>
      <c r="B32" s="493">
        <v>5.4196229999999996</v>
      </c>
      <c r="C32" s="494">
        <v>3.3718780000000002</v>
      </c>
    </row>
    <row r="33" spans="1:3">
      <c r="A33" s="419">
        <v>1986</v>
      </c>
      <c r="B33" s="491">
        <v>5.4427899999999996</v>
      </c>
      <c r="C33" s="492">
        <v>3.9804300000000001</v>
      </c>
    </row>
    <row r="34" spans="1:3">
      <c r="A34" s="419">
        <v>1987</v>
      </c>
      <c r="B34" s="493">
        <v>5.928763</v>
      </c>
      <c r="C34" s="494">
        <v>4.1805269999999997</v>
      </c>
    </row>
    <row r="35" spans="1:3">
      <c r="A35" s="419">
        <v>1988</v>
      </c>
      <c r="B35" s="491">
        <v>6.1764140000000003</v>
      </c>
      <c r="C35" s="492">
        <v>4.3341000000000003</v>
      </c>
    </row>
    <row r="36" spans="1:3">
      <c r="A36" s="419">
        <v>1989</v>
      </c>
      <c r="B36" s="493">
        <v>6.3847959999999997</v>
      </c>
      <c r="C36" s="494">
        <v>4.42</v>
      </c>
    </row>
    <row r="37" spans="1:3">
      <c r="A37" s="419">
        <v>1990</v>
      </c>
      <c r="B37" s="491">
        <v>6.7222920000000004</v>
      </c>
      <c r="C37" s="492">
        <v>4.5090000000000003</v>
      </c>
    </row>
    <row r="38" spans="1:3">
      <c r="A38" s="419">
        <v>1991</v>
      </c>
      <c r="B38" s="493">
        <v>7.0091840000000003</v>
      </c>
      <c r="C38" s="494">
        <v>4.7039999999999997</v>
      </c>
    </row>
    <row r="39" spans="1:3">
      <c r="A39" s="419">
        <v>1992</v>
      </c>
      <c r="B39" s="491">
        <v>7.0927569999999998</v>
      </c>
      <c r="C39" s="492">
        <v>4.6892430000000003</v>
      </c>
    </row>
    <row r="40" spans="1:3">
      <c r="A40" s="419">
        <v>1993</v>
      </c>
      <c r="B40" s="493">
        <v>7.8012740000000003</v>
      </c>
      <c r="C40" s="494">
        <v>4.7737259999999999</v>
      </c>
    </row>
    <row r="41" spans="1:3">
      <c r="A41" s="419">
        <v>1994</v>
      </c>
      <c r="B41" s="491">
        <v>7.9333210000000003</v>
      </c>
      <c r="C41" s="492">
        <v>4.9586790000000001</v>
      </c>
    </row>
    <row r="42" spans="1:3">
      <c r="A42" s="419">
        <v>1995</v>
      </c>
      <c r="B42" s="493">
        <v>8.06738</v>
      </c>
      <c r="C42" s="494">
        <v>5.0796200000000002</v>
      </c>
    </row>
    <row r="43" spans="1:3">
      <c r="A43" s="419">
        <v>1996</v>
      </c>
      <c r="B43" s="491">
        <v>8.2496600000000004</v>
      </c>
      <c r="C43" s="492">
        <v>5.0683400000000001</v>
      </c>
    </row>
    <row r="44" spans="1:3">
      <c r="A44" s="419">
        <v>1997</v>
      </c>
      <c r="B44" s="493">
        <v>8.4818949999999997</v>
      </c>
      <c r="C44" s="494">
        <v>4.9050000000000002</v>
      </c>
    </row>
    <row r="45" spans="1:3">
      <c r="A45" s="419">
        <v>1998</v>
      </c>
      <c r="B45" s="491">
        <f>SUMIF('Alumina and Bauxite - Q&amp;V'!$H$8:$H$200,'Alumina and Bauxite - WA vs Aus'!A45,'Alumina and Bauxite - Q&amp;V'!$B$8:$B$200)</f>
        <v>8.7480000000000011</v>
      </c>
      <c r="C45" s="492">
        <v>5.1029999999999998</v>
      </c>
    </row>
    <row r="46" spans="1:3">
      <c r="A46" s="419">
        <v>1999</v>
      </c>
      <c r="B46" s="493">
        <f>SUMIF('Alumina and Bauxite - Q&amp;V'!$H$8:$H$200,'Alumina and Bauxite - WA vs Aus'!A46,'Alumina and Bauxite - Q&amp;V'!$B$8:$B$200)</f>
        <v>8.9310000000000009</v>
      </c>
      <c r="C46" s="494">
        <v>5.6</v>
      </c>
    </row>
    <row r="47" spans="1:3">
      <c r="A47" s="419">
        <v>2000</v>
      </c>
      <c r="B47" s="491">
        <f>SUMIF('Alumina and Bauxite - Q&amp;V'!$H$8:$H$200,'Alumina and Bauxite - WA vs Aus'!A47,'Alumina and Bauxite - Q&amp;V'!$B$8:$B$200)</f>
        <v>10.001999999999999</v>
      </c>
      <c r="C47" s="492">
        <v>5.681</v>
      </c>
    </row>
    <row r="48" spans="1:3">
      <c r="A48" s="419">
        <v>2001</v>
      </c>
      <c r="B48" s="493">
        <f>SUMIF('Alumina and Bauxite - Q&amp;V'!$H$8:$H$200,'Alumina and Bauxite - WA vs Aus'!A48,'Alumina and Bauxite - Q&amp;V'!$B$8:$B$200)</f>
        <v>10.758000000000001</v>
      </c>
      <c r="C48" s="494">
        <v>5.35</v>
      </c>
    </row>
    <row r="49" spans="1:10">
      <c r="A49" s="419">
        <v>2002</v>
      </c>
      <c r="B49" s="491">
        <f>SUMIF('Alumina and Bauxite - Q&amp;V'!$H$8:$H$200,'Alumina and Bauxite - WA vs Aus'!A49,'Alumina and Bauxite - Q&amp;V'!$B$8:$B$200)</f>
        <v>11</v>
      </c>
      <c r="C49" s="492">
        <v>5.3819860000000013</v>
      </c>
    </row>
    <row r="50" spans="1:10">
      <c r="A50" s="419">
        <v>2003</v>
      </c>
      <c r="B50" s="493">
        <f>SUMIF('Alumina and Bauxite - Q&amp;V'!$H$8:$H$200,'Alumina and Bauxite - WA vs Aus'!A50,'Alumina and Bauxite - Q&amp;V'!$B$8:$B$200)</f>
        <v>11.227864</v>
      </c>
      <c r="C50" s="494">
        <v>4.9242849999999994</v>
      </c>
    </row>
    <row r="51" spans="1:10">
      <c r="A51" s="419">
        <v>2004</v>
      </c>
      <c r="B51" s="491">
        <f>SUMIF('Alumina and Bauxite - Q&amp;V'!$H$8:$H$200,'Alumina and Bauxite - WA vs Aus'!A51,'Alumina and Bauxite - Q&amp;V'!$B$8:$B$200)</f>
        <v>10.988386</v>
      </c>
      <c r="C51" s="492">
        <v>5.5366139999999984</v>
      </c>
    </row>
    <row r="52" spans="1:10">
      <c r="A52" s="419">
        <v>2005</v>
      </c>
      <c r="B52" s="493">
        <f>SUMIF('Alumina and Bauxite - Q&amp;V'!$H$8:$H$200,'Alumina and Bauxite - WA vs Aus'!A52,'Alumina and Bauxite - Q&amp;V'!$B$8:$B$200)</f>
        <v>11.352183</v>
      </c>
      <c r="C52" s="494">
        <v>6.3500370000000004</v>
      </c>
    </row>
    <row r="53" spans="1:10">
      <c r="A53" s="419">
        <v>2006</v>
      </c>
      <c r="B53" s="491">
        <f>SUMIF('Alumina and Bauxite - Q&amp;V'!$H$8:$H$200,'Alumina and Bauxite - WA vs Aus'!A53,'Alumina and Bauxite - Q&amp;V'!$B$8:$B$200)</f>
        <v>11.82174775</v>
      </c>
      <c r="C53" s="492">
        <v>6.708000000000002</v>
      </c>
    </row>
    <row r="54" spans="1:10">
      <c r="A54" s="419">
        <v>2007</v>
      </c>
      <c r="B54" s="493">
        <f>SUMIF('Alumina and Bauxite - Q&amp;V'!$H$8:$H$200,'Alumina and Bauxite - WA vs Aus'!A54,'Alumina and Bauxite - Q&amp;V'!$B$8:$B$200)</f>
        <v>12.193625759000001</v>
      </c>
      <c r="C54" s="494">
        <v>6.6770000000000014</v>
      </c>
    </row>
    <row r="55" spans="1:10">
      <c r="A55" s="419">
        <v>2008</v>
      </c>
      <c r="B55" s="491">
        <f>SUMIF('Alumina and Bauxite - Q&amp;V'!$H$8:$H$200,'Alumina and Bauxite - WA vs Aus'!A55,'Alumina and Bauxite - Q&amp;V'!$B$8:$B$200)</f>
        <v>12.245763095999999</v>
      </c>
      <c r="C55" s="492">
        <v>7.200489000000001</v>
      </c>
    </row>
    <row r="56" spans="1:10">
      <c r="A56" s="419">
        <v>2009</v>
      </c>
      <c r="B56" s="493">
        <f>SUMIF('Alumina and Bauxite - Q&amp;V'!$H$8:$H$200,'Alumina and Bauxite - WA vs Aus'!A56,'Alumina and Bauxite - Q&amp;V'!$B$8:$B$200)</f>
        <v>12.42197</v>
      </c>
      <c r="C56" s="494">
        <v>7.5180300000000013</v>
      </c>
      <c r="J56" s="68"/>
    </row>
    <row r="57" spans="1:10">
      <c r="A57" s="419">
        <v>2010</v>
      </c>
      <c r="B57" s="491">
        <f>SUMIF('Alumina and Bauxite - Q&amp;V'!$H$8:$H$200,'Alumina and Bauxite - WA vs Aus'!A57,'Alumina and Bauxite - Q&amp;V'!$B$8:$B$200)</f>
        <v>12.563285</v>
      </c>
      <c r="C57" s="492">
        <v>7.426714999999998</v>
      </c>
      <c r="H57" s="381"/>
      <c r="J57" s="68"/>
    </row>
    <row r="58" spans="1:10">
      <c r="A58" s="419">
        <v>2011</v>
      </c>
      <c r="B58" s="493">
        <f>SUMIF('Alumina and Bauxite - Q&amp;V'!$H$8:$H$200,'Alumina and Bauxite - WA vs Aus'!A58,'Alumina and Bauxite - Q&amp;V'!$B$8:$B$200)</f>
        <v>12.291484000000001</v>
      </c>
      <c r="C58" s="494">
        <v>7.1075160000000004</v>
      </c>
      <c r="F58" s="302"/>
      <c r="G58" s="302"/>
      <c r="H58" s="302"/>
      <c r="I58" s="302"/>
      <c r="J58" s="68"/>
    </row>
    <row r="59" spans="1:10">
      <c r="A59" s="419">
        <v>2012</v>
      </c>
      <c r="B59" s="491">
        <f>SUMIF('Alumina and Bauxite - Q&amp;V'!$H$8:$H$200,'Alumina and Bauxite - WA vs Aus'!A59,'Alumina and Bauxite - Q&amp;V'!$B$8:$B$200)</f>
        <v>12.81154939</v>
      </c>
      <c r="C59" s="492">
        <f>(21357/1000)-B59</f>
        <v>8.5454506099999996</v>
      </c>
      <c r="F59" s="94"/>
      <c r="G59" s="397"/>
      <c r="H59" s="302"/>
      <c r="I59" s="302"/>
      <c r="J59" s="68"/>
    </row>
    <row r="60" spans="1:10">
      <c r="A60" s="419">
        <v>2013</v>
      </c>
      <c r="B60" s="493">
        <f>SUMIF('Alumina and Bauxite - Q&amp;V'!$H$8:$H$200,'Alumina and Bauxite - WA vs Aus'!A60,'Alumina and Bauxite - Q&amp;V'!$B$8:$B$200)</f>
        <v>13.625703529999999</v>
      </c>
      <c r="C60" s="494">
        <f>(21528.26/1000)-B60</f>
        <v>7.9025564700000004</v>
      </c>
      <c r="F60" s="94"/>
      <c r="G60" s="397"/>
      <c r="H60" s="302"/>
      <c r="I60" s="302"/>
      <c r="J60" s="68"/>
    </row>
    <row r="61" spans="1:10">
      <c r="A61" s="419">
        <v>2014</v>
      </c>
      <c r="B61" s="491">
        <f>SUMIF('Alumina and Bauxite - Q&amp;V'!$H$8:$H$200,'Alumina and Bauxite - WA vs Aus'!A61,'Alumina and Bauxite - Q&amp;V'!$B$8:$B$200)</f>
        <v>13.876846259999999</v>
      </c>
      <c r="C61" s="492">
        <f>20475.52/1000-B61</f>
        <v>6.5986737400000006</v>
      </c>
      <c r="F61" s="94"/>
      <c r="G61" s="397"/>
      <c r="H61" s="302"/>
      <c r="I61" s="302"/>
      <c r="J61" s="68"/>
    </row>
    <row r="62" spans="1:10">
      <c r="A62" s="419">
        <v>2015</v>
      </c>
      <c r="B62" s="493">
        <f>SUMIF('Alumina and Bauxite - Q&amp;V'!$H$8:$H$200,'Alumina and Bauxite - WA vs Aus'!A62,'Alumina and Bauxite - Q&amp;V'!$B$8:$B$200)</f>
        <v>13.778493585999998</v>
      </c>
      <c r="C62" s="494">
        <f>(20097.18/1000)-B62</f>
        <v>6.3186864140000036</v>
      </c>
      <c r="F62" s="94"/>
      <c r="G62" s="397"/>
      <c r="H62" s="302"/>
      <c r="I62" s="302"/>
      <c r="J62" s="68"/>
    </row>
    <row r="63" spans="1:10">
      <c r="A63" s="419">
        <v>2016</v>
      </c>
      <c r="B63" s="491">
        <f>SUMIF('Alumina and Bauxite - Q&amp;V'!$H$8:$H$200,'Alumina and Bauxite - WA vs Aus'!A63,'Alumina and Bauxite - Q&amp;V'!$B$8:$B$200)</f>
        <v>13.829773889999998</v>
      </c>
      <c r="C63" s="492">
        <f>(20680.83/1000)-B63</f>
        <v>6.8510561100000018</v>
      </c>
      <c r="F63" s="94"/>
      <c r="G63" s="397"/>
      <c r="H63" s="302"/>
      <c r="I63" s="302"/>
      <c r="J63" s="68"/>
    </row>
    <row r="64" spans="1:10">
      <c r="A64" s="751">
        <v>2017</v>
      </c>
      <c r="B64" s="495">
        <f>SUMIF('Alumina and Bauxite - Q&amp;V'!$H$8:$H$200,'Alumina and Bauxite - WA vs Aus'!A64,'Alumina and Bauxite - Q&amp;V'!$B$8:$B$200)</f>
        <v>13.84700406</v>
      </c>
      <c r="C64" s="496">
        <f>(20485.77/1000)-B64</f>
        <v>6.638765939999999</v>
      </c>
      <c r="D64" s="53"/>
      <c r="F64" s="94"/>
      <c r="G64" s="397"/>
      <c r="H64" s="302"/>
      <c r="I64" s="302"/>
      <c r="J64" s="68"/>
    </row>
    <row r="65" spans="1:10">
      <c r="A65" s="751">
        <v>2018</v>
      </c>
      <c r="B65" s="497">
        <f>SUMIF('Alumina and Bauxite - Q&amp;V'!$H$8:$H$200,'Alumina and Bauxite - WA vs Aus'!A65,'Alumina and Bauxite - Q&amp;V'!$B$8:$B$200)</f>
        <v>13.498431119999999</v>
      </c>
      <c r="C65" s="498">
        <f>(20061.8/1000)-B65</f>
        <v>6.5633688799999987</v>
      </c>
      <c r="F65" s="94"/>
      <c r="G65" s="397"/>
      <c r="H65" s="302"/>
      <c r="I65" s="302"/>
      <c r="J65" s="68"/>
    </row>
    <row r="66" spans="1:10">
      <c r="A66" s="751">
        <v>2019</v>
      </c>
      <c r="B66" s="495">
        <f>SUMIF('Alumina and Bauxite - Q&amp;V'!$H$8:$H$200,'Alumina and Bauxite - WA vs Aus'!A66,'Alumina and Bauxite - Q&amp;V'!$B$8:$B$200)</f>
        <v>14.019717422999999</v>
      </c>
      <c r="C66" s="496">
        <f>(20239.198/1000)-B66</f>
        <v>6.2194805770000023</v>
      </c>
      <c r="F66" s="94"/>
      <c r="G66" s="397"/>
      <c r="H66" s="302"/>
      <c r="I66" s="302"/>
    </row>
    <row r="67" spans="1:10">
      <c r="A67" s="751">
        <v>2020</v>
      </c>
      <c r="B67" s="1304">
        <f>SUMIF('Alumina and Bauxite - Q&amp;V'!$H$8:$H$200,'Alumina and Bauxite - WA vs Aus'!A67,'Alumina and Bauxite - Q&amp;V'!$B$8:$B$200)</f>
        <v>14.242609689999998</v>
      </c>
      <c r="C67" s="1305">
        <f>(20837.142/1000)-B67</f>
        <v>6.5945323100000017</v>
      </c>
    </row>
    <row r="68" spans="1:10">
      <c r="A68" s="751">
        <v>2021</v>
      </c>
      <c r="B68" s="1680">
        <f>SUMIF('Alumina and Bauxite - Q&amp;V'!$H$8:$H$200,'Alumina and Bauxite - WA vs Aus'!A68,'Alumina and Bauxite - Q&amp;V'!$B$8:$B$200)</f>
        <v>14.193521710000001</v>
      </c>
      <c r="C68" s="496">
        <f>(20624.088/1000)-B68</f>
        <v>6.4305662899999998</v>
      </c>
    </row>
    <row r="69" spans="1:10">
      <c r="A69" s="751">
        <v>2022</v>
      </c>
      <c r="B69" s="1304">
        <f>SUMIF('Alumina and Bauxite - Q&amp;V'!$H$8:$H$200,'Alumina and Bauxite - WA vs Aus'!A69,'Alumina and Bauxite - Q&amp;V'!$B$8:$B$200)</f>
        <v>13.462240954</v>
      </c>
      <c r="C69" s="1305">
        <f>(19576.174/1000)-B69</f>
        <v>6.1139330459999979</v>
      </c>
    </row>
    <row r="70" spans="1:10" ht="15.75" thickBot="1">
      <c r="A70" s="897">
        <v>2023</v>
      </c>
      <c r="B70" s="1763">
        <f>SUMIF('Alumina and Bauxite - Q&amp;V'!$H$8:$H$200,'Alumina and Bauxite - WA vs Aus'!A70,'Alumina and Bauxite - Q&amp;V'!$B$8:$B$200)</f>
        <v>12.762861729999999</v>
      </c>
      <c r="C70" s="1764">
        <f>(18803.064979/1000)-B70</f>
        <v>6.0402032489999993</v>
      </c>
    </row>
  </sheetData>
  <mergeCells count="3">
    <mergeCell ref="A5:C5"/>
    <mergeCell ref="S6:U6"/>
    <mergeCell ref="S5:U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6B4E8"/>
  </sheetPr>
  <dimension ref="A1:AA69"/>
  <sheetViews>
    <sheetView showGridLines="0" workbookViewId="0"/>
  </sheetViews>
  <sheetFormatPr defaultColWidth="9.140625" defaultRowHeight="15"/>
  <cols>
    <col min="1" max="1" width="9.5703125" style="55" bestFit="1" customWidth="1"/>
    <col min="2" max="4" width="17.5703125" style="55" bestFit="1" customWidth="1"/>
    <col min="5" max="5" width="7.85546875" style="55" customWidth="1"/>
    <col min="6" max="7" width="5.85546875" style="228" hidden="1" customWidth="1"/>
    <col min="8" max="8" width="12.42578125" style="55" customWidth="1"/>
    <col min="9" max="11" width="19.7109375" style="55" customWidth="1"/>
    <col min="12" max="14" width="13.85546875" style="55" hidden="1" customWidth="1"/>
    <col min="15" max="16384" width="9.140625" style="55"/>
  </cols>
  <sheetData>
    <row r="1" spans="1:27">
      <c r="AA1" s="237" t="s">
        <v>282</v>
      </c>
    </row>
    <row r="2" spans="1:27">
      <c r="AA2" s="237" t="s">
        <v>283</v>
      </c>
    </row>
    <row r="3" spans="1:27">
      <c r="J3" s="238"/>
    </row>
    <row r="5" spans="1:27">
      <c r="A5" s="1948" t="s">
        <v>495</v>
      </c>
      <c r="B5" s="1948"/>
      <c r="C5" s="1948"/>
      <c r="D5" s="1948"/>
      <c r="E5" s="8"/>
      <c r="F5" s="70"/>
      <c r="G5" s="70"/>
      <c r="H5" s="1948" t="s">
        <v>620</v>
      </c>
      <c r="I5" s="1948"/>
      <c r="J5" s="1948"/>
      <c r="K5" s="1948"/>
    </row>
    <row r="6" spans="1:27" ht="15.75" thickBot="1">
      <c r="A6" s="1977" t="s">
        <v>410</v>
      </c>
      <c r="B6" s="1977"/>
      <c r="C6" s="1977"/>
      <c r="D6" s="1977"/>
      <c r="E6" s="8"/>
      <c r="F6" s="70"/>
      <c r="G6" s="70"/>
      <c r="H6" s="1948" t="str">
        <f>H49</f>
        <v>Historic Calendar Year</v>
      </c>
      <c r="I6" s="1948"/>
      <c r="J6" s="1948"/>
      <c r="K6" s="1948"/>
    </row>
    <row r="7" spans="1:27">
      <c r="A7" s="58"/>
      <c r="B7" s="57" t="s">
        <v>243</v>
      </c>
      <c r="C7" s="57" t="s">
        <v>242</v>
      </c>
      <c r="D7" s="59" t="s">
        <v>244</v>
      </c>
      <c r="E7" s="8"/>
      <c r="F7" s="70"/>
      <c r="G7" s="70"/>
      <c r="H7" s="58"/>
      <c r="I7" s="57" t="s">
        <v>243</v>
      </c>
      <c r="J7" s="57" t="s">
        <v>242</v>
      </c>
      <c r="K7" s="1161" t="s">
        <v>244</v>
      </c>
    </row>
    <row r="8" spans="1:27" s="522" customFormat="1">
      <c r="A8" s="814" t="s">
        <v>401</v>
      </c>
      <c r="B8" s="1186" t="s">
        <v>405</v>
      </c>
      <c r="C8" s="1186" t="s">
        <v>405</v>
      </c>
      <c r="D8" s="1187" t="s">
        <v>405</v>
      </c>
      <c r="E8" s="521"/>
      <c r="F8" s="521"/>
      <c r="G8" s="521"/>
      <c r="H8" s="814" t="s">
        <v>34</v>
      </c>
      <c r="I8" s="1186" t="s">
        <v>405</v>
      </c>
      <c r="J8" s="1186" t="s">
        <v>405</v>
      </c>
      <c r="K8" s="1187" t="s">
        <v>405</v>
      </c>
    </row>
    <row r="9" spans="1:27">
      <c r="A9" s="418">
        <f>LARGE('Commodity Prices'!C$159:C$902,61)</f>
        <v>43435</v>
      </c>
      <c r="B9" s="524">
        <f>SUMIF('Commodity Prices'!$C$159:$C$902,$A9,'Commodity Prices'!O$159:O$902)</f>
        <v>6094.2110000000002</v>
      </c>
      <c r="C9" s="524">
        <f>SUMIF('Commodity Prices'!$C$159:$C$902,$A9,'Commodity Prices'!Q$159:Q$902)</f>
        <v>1965.473684</v>
      </c>
      <c r="D9" s="489">
        <f>SUMIF('Commodity Prices'!$C$159:$C$902,$A9,'Commodity Prices'!S$159:S$902)</f>
        <v>2625.605</v>
      </c>
      <c r="E9" s="8"/>
      <c r="F9" s="70">
        <v>1986</v>
      </c>
      <c r="G9" s="70">
        <v>1987</v>
      </c>
      <c r="H9" s="520">
        <f>IF($H$6="Historic Calendar Year",1986,CONCATENATE(F9,"-",RIGHT(G9,4)))</f>
        <v>1986</v>
      </c>
      <c r="I9" s="565">
        <f t="array" ref="I9">IF($H$6="Historic Calendar Year",IFERROR(AVERAGE(IF($H9=YEAR('Commodity Prices'!C$100:C$1000),'Commodity Prices'!O$100:O$1000)),"NA"),IFERROR(IF(L9=0,"N/A",L9),"N/A"))</f>
        <v>1373.5153651336814</v>
      </c>
      <c r="J9" s="565">
        <f t="array" ref="J9">IF($H$6="Historic Calendar Year",IFERROR(AVERAGE(IF($H9=YEAR('Commodity Prices'!C$100:C$1000),'Commodity Prices'!Q$100:Q$1000)),"NA"),IFERROR(IF(M9=0,"N/A",M9),"N/A"))</f>
        <v>405.64174291666671</v>
      </c>
      <c r="K9" s="489">
        <f t="array" ref="K9">IF($H$6="Historic Calendar Year",IFERROR(AVERAGE(IF($H9=YEAR('Commodity Prices'!C$100:C$1000),'Commodity Prices'!S$100:S$1000)),"N/A"),IFERROR(IF(N9=0,"N/A",N9),"N/A"))</f>
        <v>753.58994358333337</v>
      </c>
      <c r="L9" s="55">
        <f>(SUMIFS('Commodity Prices'!$O$9:$O$2500,'Commodity Prices'!$A$9:$A$2500,'Copper-Lead-Zinc - Prices'!F9,'Commodity Prices'!$B$9:$B$2500,3)+
SUMIFS('Commodity Prices'!$O$9:$O$2500,'Commodity Prices'!$A$9:$A$2500,'Copper-Lead-Zinc - Prices'!F9,'Commodity Prices'!$B$9:$B$2500,4)+
SUMIFS('Commodity Prices'!$O$9:$O$2500,'Commodity Prices'!$A$9:$A$2500,'Copper-Lead-Zinc - Prices'!G9,'Commodity Prices'!$B$9:$B$2500,1)+
SUMIFS('Commodity Prices'!$O$9:$O$2500,'Commodity Prices'!$A$9:$A$2500,'Copper-Lead-Zinc - Prices'!G9,'Commodity Prices'!$B$9:$B$2500,2))
/(COUNTIFS('Commodity Prices'!$A$9:$A$2500,'Copper-Lead-Zinc - Prices'!F9,'Commodity Prices'!$B$9:$B$2500,3)+
COUNTIFS('Commodity Prices'!$A$9:$A$2500,'Copper-Lead-Zinc - Prices'!F9,'Commodity Prices'!$B$9:$B$2500,4)+
COUNTIFS('Commodity Prices'!$A$9:$A$2500,'Copper-Lead-Zinc - Prices'!G9,'Commodity Prices'!$B$9:$B$2500,1)+
COUNTIFS('Commodity Prices'!$A$9:$A$2500,'Copper-Lead-Zinc - Prices'!G9,'Commodity Prices'!$B$9:$B$2500,2))</f>
        <v>1392.995337079202</v>
      </c>
      <c r="M9" s="55">
        <f>(SUMIFS('Commodity Prices'!$Q$9:$Q$2500,'Commodity Prices'!$A$9:$A$2500,'Copper-Lead-Zinc - Prices'!F9,'Commodity Prices'!$B$9:$B$2500,3)+
SUMIFS('Commodity Prices'!$Q$9:$Q$2500,'Commodity Prices'!$A$9:$A$2500,'Copper-Lead-Zinc - Prices'!F9,'Commodity Prices'!$B$9:$B$2500,4)+
SUMIFS('Commodity Prices'!$Q$9:$Q$2500,'Commodity Prices'!$A$9:$A$2500,'Copper-Lead-Zinc - Prices'!G9,'Commodity Prices'!$B$9:$B$2500,1)+
SUMIFS('Commodity Prices'!$Q$9:$Q$2500,'Commodity Prices'!$A$9:$A$2500,'Copper-Lead-Zinc - Prices'!G9,'Commodity Prices'!$B$9:$B$2500,2))
/(COUNTIFS('Commodity Prices'!$A$9:$A$2500,'Copper-Lead-Zinc - Prices'!F9,'Commodity Prices'!$B$9:$B$2500,3)+
COUNTIFS('Commodity Prices'!$A$9:$A$2500,'Copper-Lead-Zinc - Prices'!F9,'Commodity Prices'!$B$9:$B$2500,4)+
COUNTIFS('Commodity Prices'!$A$9:$A$2500,'Copper-Lead-Zinc - Prices'!G9,'Commodity Prices'!$B$9:$B$2500,1)+
COUNTIFS('Commodity Prices'!$A$9:$A$2500,'Copper-Lead-Zinc - Prices'!G9,'Commodity Prices'!$B$9:$B$2500,2))</f>
        <v>490.8199505</v>
      </c>
      <c r="N9" s="55">
        <f>(SUMIFS('Commodity Prices'!$S$9:$S$2500,'Commodity Prices'!$A$9:$A$2500,'Copper-Lead-Zinc - Prices'!F9,'Commodity Prices'!$B$9:$B$2500,3)+
SUMIFS('Commodity Prices'!$S$9:$S$2500,'Commodity Prices'!$A$9:$A$2500,'Copper-Lead-Zinc - Prices'!F9,'Commodity Prices'!$B$9:$B$2500,4)+
SUMIFS('Commodity Prices'!$S$9:$S$2500,'Commodity Prices'!$A$9:$A$2500,'Copper-Lead-Zinc - Prices'!G9,'Commodity Prices'!$B$9:$B$2500,1)+
SUMIFS('Commodity Prices'!$S$9:$S$2500,'Commodity Prices'!$A$9:$A$2500,'Copper-Lead-Zinc - Prices'!G9,'Commodity Prices'!$B$9:$B$2500,2))
/(COUNTIFS('Commodity Prices'!$A$9:$A$2500,'Copper-Lead-Zinc - Prices'!F9,'Commodity Prices'!$B$9:$B$2500,3)+
COUNTIFS('Commodity Prices'!$A$9:$A$2500,'Copper-Lead-Zinc - Prices'!F9,'Commodity Prices'!$B$9:$B$2500,4)+
COUNTIFS('Commodity Prices'!$A$9:$A$2500,'Copper-Lead-Zinc - Prices'!G9,'Commodity Prices'!$B$9:$B$2500,1)+
COUNTIFS('Commodity Prices'!$A$9:$A$2500,'Copper-Lead-Zinc - Prices'!G9,'Commodity Prices'!$B$9:$B$2500,2))</f>
        <v>808.72133474999998</v>
      </c>
    </row>
    <row r="10" spans="1:27">
      <c r="A10" s="396">
        <f>LARGE('Commodity Prices'!C$159:C$902,60)</f>
        <v>43466</v>
      </c>
      <c r="B10" s="523">
        <f>SUMIF('Commodity Prices'!$C$159:$C$902,$A10,'Commodity Prices'!O$159:O$902)</f>
        <v>5932.02</v>
      </c>
      <c r="C10" s="523">
        <f>SUMIF('Commodity Prices'!$C$159:$C$902,$A10,'Commodity Prices'!Q$159:Q$902)</f>
        <v>1994.16</v>
      </c>
      <c r="D10" s="525">
        <f>SUMIF('Commodity Prices'!$C$159:$C$902,$A10,'Commodity Prices'!S$159:S$902)</f>
        <v>2559.1799999999998</v>
      </c>
      <c r="E10" s="8"/>
      <c r="F10" s="70">
        <f>F9+1</f>
        <v>1987</v>
      </c>
      <c r="G10" s="70">
        <f>G9+1</f>
        <v>1988</v>
      </c>
      <c r="H10" s="519">
        <f>IF($H$6="Historic Calendar Year",H9+1,CONCATENATE(F10,"-",RIGHT(G10,4)))</f>
        <v>1987</v>
      </c>
      <c r="I10" s="1181">
        <f t="array" ref="I10">IF($H$6="Historic Calendar Year",IFERROR(AVERAGE(IF($H10=YEAR('Commodity Prices'!C$100:C$1000),'Commodity Prices'!O$100:O$1000)),"NA"),IFERROR(IF(L10=0,"N/A",L10),"N/A"))</f>
        <v>1780.7876515504031</v>
      </c>
      <c r="J10" s="1181">
        <f t="array" ref="J10">IF($H$6="Historic Calendar Year",IFERROR(AVERAGE(IF($H10=YEAR('Commodity Prices'!C$100:C$1000),'Commodity Prices'!Q$100:Q$1000)),"NA"),IFERROR(IF(M10=0,"N/A",M10),"N/A"))</f>
        <v>596.01365683333336</v>
      </c>
      <c r="K10" s="525">
        <f t="array" ref="K10">IF($H$6="Historic Calendar Year",IFERROR(AVERAGE(IF($H10=YEAR('Commodity Prices'!C$100:C$1000),'Commodity Prices'!S$100:S$1000)),"N/A"),IFERROR(IF(N10=0,"N/A",N10),"N/A"))</f>
        <v>797.81946716666664</v>
      </c>
      <c r="L10" s="228">
        <f>(SUMIFS('Commodity Prices'!$O$9:$O$2500,'Commodity Prices'!$A$9:$A$2500,'Copper-Lead-Zinc - Prices'!F10,'Commodity Prices'!$B$9:$B$2500,3)+
SUMIFS('Commodity Prices'!$O$9:$O$2500,'Commodity Prices'!$A$9:$A$2500,'Copper-Lead-Zinc - Prices'!F10,'Commodity Prices'!$B$9:$B$2500,4)+
SUMIFS('Commodity Prices'!$O$9:$O$2500,'Commodity Prices'!$A$9:$A$2500,'Copper-Lead-Zinc - Prices'!G10,'Commodity Prices'!$B$9:$B$2500,1)+
SUMIFS('Commodity Prices'!$O$9:$O$2500,'Commodity Prices'!$A$9:$A$2500,'Copper-Lead-Zinc - Prices'!G10,'Commodity Prices'!$B$9:$B$2500,2))
/(COUNTIFS('Commodity Prices'!$A$9:$A$2500,'Copper-Lead-Zinc - Prices'!F10,'Commodity Prices'!$B$9:$B$2500,3)+
COUNTIFS('Commodity Prices'!$A$9:$A$2500,'Copper-Lead-Zinc - Prices'!F10,'Commodity Prices'!$B$9:$B$2500,4)+
COUNTIFS('Commodity Prices'!$A$9:$A$2500,'Copper-Lead-Zinc - Prices'!G10,'Commodity Prices'!$B$9:$B$2500,1)+
COUNTIFS('Commodity Prices'!$A$9:$A$2500,'Copper-Lead-Zinc - Prices'!G10,'Commodity Prices'!$B$9:$B$2500,2))</f>
        <v>2242.8393356649899</v>
      </c>
      <c r="M10" s="228">
        <f>(SUMIFS('Commodity Prices'!$Q$9:$Q$2500,'Commodity Prices'!$A$9:$A$2500,'Copper-Lead-Zinc - Prices'!F10,'Commodity Prices'!$B$9:$B$2500,3)+
SUMIFS('Commodity Prices'!$Q$9:$Q$2500,'Commodity Prices'!$A$9:$A$2500,'Copper-Lead-Zinc - Prices'!F10,'Commodity Prices'!$B$9:$B$2500,4)+
SUMIFS('Commodity Prices'!$Q$9:$Q$2500,'Commodity Prices'!$A$9:$A$2500,'Copper-Lead-Zinc - Prices'!G10,'Commodity Prices'!$B$9:$B$2500,1)+
SUMIFS('Commodity Prices'!$Q$9:$Q$2500,'Commodity Prices'!$A$9:$A$2500,'Copper-Lead-Zinc - Prices'!G10,'Commodity Prices'!$B$9:$B$2500,2))
/(COUNTIFS('Commodity Prices'!$A$9:$A$2500,'Copper-Lead-Zinc - Prices'!F10,'Commodity Prices'!$B$9:$B$2500,3)+
COUNTIFS('Commodity Prices'!$A$9:$A$2500,'Copper-Lead-Zinc - Prices'!F10,'Commodity Prices'!$B$9:$B$2500,4)+
COUNTIFS('Commodity Prices'!$A$9:$A$2500,'Copper-Lead-Zinc - Prices'!G10,'Commodity Prices'!$B$9:$B$2500,1)+
COUNTIFS('Commodity Prices'!$A$9:$A$2500,'Copper-Lead-Zinc - Prices'!G10,'Commodity Prices'!$B$9:$B$2500,2))</f>
        <v>644.92299641666671</v>
      </c>
      <c r="N10" s="228">
        <f>(SUMIFS('Commodity Prices'!$S$9:$S$2500,'Commodity Prices'!$A$9:$A$2500,'Copper-Lead-Zinc - Prices'!F10,'Commodity Prices'!$B$9:$B$2500,3)+
SUMIFS('Commodity Prices'!$S$9:$S$2500,'Commodity Prices'!$A$9:$A$2500,'Copper-Lead-Zinc - Prices'!F10,'Commodity Prices'!$B$9:$B$2500,4)+
SUMIFS('Commodity Prices'!$S$9:$S$2500,'Commodity Prices'!$A$9:$A$2500,'Copper-Lead-Zinc - Prices'!G10,'Commodity Prices'!$B$9:$B$2500,1)+
SUMIFS('Commodity Prices'!$S$9:$S$2500,'Commodity Prices'!$A$9:$A$2500,'Copper-Lead-Zinc - Prices'!G10,'Commodity Prices'!$B$9:$B$2500,2))
/(COUNTIFS('Commodity Prices'!$A$9:$A$2500,'Copper-Lead-Zinc - Prices'!F10,'Commodity Prices'!$B$9:$B$2500,3)+
COUNTIFS('Commodity Prices'!$A$9:$A$2500,'Copper-Lead-Zinc - Prices'!F10,'Commodity Prices'!$B$9:$B$2500,4)+
COUNTIFS('Commodity Prices'!$A$9:$A$2500,'Copper-Lead-Zinc - Prices'!G10,'Commodity Prices'!$B$9:$B$2500,1)+
COUNTIFS('Commodity Prices'!$A$9:$A$2500,'Copper-Lead-Zinc - Prices'!G10,'Commodity Prices'!$B$9:$B$2500,2))</f>
        <v>938.57816575000004</v>
      </c>
    </row>
    <row r="11" spans="1:27">
      <c r="A11" s="418">
        <f>LARGE('Commodity Prices'!C$159:C$902,59)</f>
        <v>43497</v>
      </c>
      <c r="B11" s="524">
        <f>SUMIF('Commodity Prices'!$C$159:$C$902,$A11,'Commodity Prices'!O$159:O$902)</f>
        <v>6278.2</v>
      </c>
      <c r="C11" s="524">
        <f>SUMIF('Commodity Prices'!$C$159:$C$902,$A11,'Commodity Prices'!Q$159:Q$902)</f>
        <v>2062.08</v>
      </c>
      <c r="D11" s="489">
        <f>SUMIF('Commodity Prices'!$C$159:$C$902,$A11,'Commodity Prices'!S$159:S$902)</f>
        <v>2702.85</v>
      </c>
      <c r="E11" s="8"/>
      <c r="F11" s="70">
        <f t="shared" ref="F11:G26" si="0">F10+1</f>
        <v>1988</v>
      </c>
      <c r="G11" s="70">
        <f t="shared" si="0"/>
        <v>1989</v>
      </c>
      <c r="H11" s="520">
        <f t="shared" ref="H11:H44" si="1">IF($H$6="Historic Calendar Year",H10+1,CONCATENATE(F11,"-",RIGHT(G11,4)))</f>
        <v>1988</v>
      </c>
      <c r="I11" s="565">
        <f t="array" ref="I11">IF($H$6="Historic Calendar Year",IFERROR(AVERAGE(IF($H11=YEAR('Commodity Prices'!C$100:C$1000),'Commodity Prices'!O$100:O$1000)),"NA"),IFERROR(IF(L11=0,"N/A",L11),"N/A"))</f>
        <v>2575.9583333333335</v>
      </c>
      <c r="J11" s="565">
        <f t="array" ref="J11">IF($H$6="Historic Calendar Year",IFERROR(AVERAGE(IF($H11=YEAR('Commodity Prices'!C$100:C$1000),'Commodity Prices'!Q$100:Q$1000)),"NA"),IFERROR(IF(M11=0,"N/A",M11),"N/A"))</f>
        <v>648.41666666666663</v>
      </c>
      <c r="K11" s="489">
        <f t="array" ref="K11">IF($H$6="Historic Calendar Year",IFERROR(AVERAGE(IF($H11=YEAR('Commodity Prices'!C$100:C$1000),'Commodity Prices'!S$100:S$1000)),"N/A"),IFERROR(IF(N11=0,"N/A",N11),"N/A"))</f>
        <v>1246.2324999999998</v>
      </c>
      <c r="L11" s="228">
        <f>(SUMIFS('Commodity Prices'!$O$9:$O$2500,'Commodity Prices'!$A$9:$A$2500,'Copper-Lead-Zinc - Prices'!F11,'Commodity Prices'!$B$9:$B$2500,3)+
SUMIFS('Commodity Prices'!$O$9:$O$2500,'Commodity Prices'!$A$9:$A$2500,'Copper-Lead-Zinc - Prices'!F11,'Commodity Prices'!$B$9:$B$2500,4)+
SUMIFS('Commodity Prices'!$O$9:$O$2500,'Commodity Prices'!$A$9:$A$2500,'Copper-Lead-Zinc - Prices'!G11,'Commodity Prices'!$B$9:$B$2500,1)+
SUMIFS('Commodity Prices'!$O$9:$O$2500,'Commodity Prices'!$A$9:$A$2500,'Copper-Lead-Zinc - Prices'!G11,'Commodity Prices'!$B$9:$B$2500,2))
/(COUNTIFS('Commodity Prices'!$A$9:$A$2500,'Copper-Lead-Zinc - Prices'!F11,'Commodity Prices'!$B$9:$B$2500,3)+
COUNTIFS('Commodity Prices'!$A$9:$A$2500,'Copper-Lead-Zinc - Prices'!F11,'Commodity Prices'!$B$9:$B$2500,4)+
COUNTIFS('Commodity Prices'!$A$9:$A$2500,'Copper-Lead-Zinc - Prices'!G11,'Commodity Prices'!$B$9:$B$2500,1)+
COUNTIFS('Commodity Prices'!$A$9:$A$2500,'Copper-Lead-Zinc - Prices'!G11,'Commodity Prices'!$B$9:$B$2500,2))</f>
        <v>2898.9166666666665</v>
      </c>
      <c r="M11" s="228">
        <f>(SUMIFS('Commodity Prices'!$Q$9:$Q$2500,'Commodity Prices'!$A$9:$A$2500,'Copper-Lead-Zinc - Prices'!F11,'Commodity Prices'!$B$9:$B$2500,3)+
SUMIFS('Commodity Prices'!$Q$9:$Q$2500,'Commodity Prices'!$A$9:$A$2500,'Copper-Lead-Zinc - Prices'!F11,'Commodity Prices'!$B$9:$B$2500,4)+
SUMIFS('Commodity Prices'!$Q$9:$Q$2500,'Commodity Prices'!$A$9:$A$2500,'Copper-Lead-Zinc - Prices'!G11,'Commodity Prices'!$B$9:$B$2500,1)+
SUMIFS('Commodity Prices'!$Q$9:$Q$2500,'Commodity Prices'!$A$9:$A$2500,'Copper-Lead-Zinc - Prices'!G11,'Commodity Prices'!$B$9:$B$2500,2))
/(COUNTIFS('Commodity Prices'!$A$9:$A$2500,'Copper-Lead-Zinc - Prices'!F11,'Commodity Prices'!$B$9:$B$2500,3)+
COUNTIFS('Commodity Prices'!$A$9:$A$2500,'Copper-Lead-Zinc - Prices'!F11,'Commodity Prices'!$B$9:$B$2500,4)+
COUNTIFS('Commodity Prices'!$A$9:$A$2500,'Copper-Lead-Zinc - Prices'!G11,'Commodity Prices'!$B$9:$B$2500,1)+
COUNTIFS('Commodity Prices'!$A$9:$A$2500,'Copper-Lead-Zinc - Prices'!G11,'Commodity Prices'!$B$9:$B$2500,2))</f>
        <v>643.12083333333328</v>
      </c>
      <c r="N11" s="228">
        <f>(SUMIFS('Commodity Prices'!$S$9:$S$2500,'Commodity Prices'!$A$9:$A$2500,'Copper-Lead-Zinc - Prices'!F11,'Commodity Prices'!$B$9:$B$2500,3)+
SUMIFS('Commodity Prices'!$S$9:$S$2500,'Commodity Prices'!$A$9:$A$2500,'Copper-Lead-Zinc - Prices'!F11,'Commodity Prices'!$B$9:$B$2500,4)+
SUMIFS('Commodity Prices'!$S$9:$S$2500,'Commodity Prices'!$A$9:$A$2500,'Copper-Lead-Zinc - Prices'!G11,'Commodity Prices'!$B$9:$B$2500,1)+
SUMIFS('Commodity Prices'!$S$9:$S$2500,'Commodity Prices'!$A$9:$A$2500,'Copper-Lead-Zinc - Prices'!G11,'Commodity Prices'!$B$9:$B$2500,2))
/(COUNTIFS('Commodity Prices'!$A$9:$A$2500,'Copper-Lead-Zinc - Prices'!F11,'Commodity Prices'!$B$9:$B$2500,3)+
COUNTIFS('Commodity Prices'!$A$9:$A$2500,'Copper-Lead-Zinc - Prices'!F11,'Commodity Prices'!$B$9:$B$2500,4)+
COUNTIFS('Commodity Prices'!$A$9:$A$2500,'Copper-Lead-Zinc - Prices'!G11,'Commodity Prices'!$B$9:$B$2500,1)+
COUNTIFS('Commodity Prices'!$A$9:$A$2500,'Copper-Lead-Zinc - Prices'!G11,'Commodity Prices'!$B$9:$B$2500,2))</f>
        <v>1614.45</v>
      </c>
    </row>
    <row r="12" spans="1:27">
      <c r="A12" s="396">
        <f>LARGE('Commodity Prices'!C$159:C$902,58)</f>
        <v>43525</v>
      </c>
      <c r="B12" s="523">
        <f>SUMIF('Commodity Prices'!$C$159:$C$902,$A12,'Commodity Prices'!O$159:O$902)</f>
        <v>6451.02</v>
      </c>
      <c r="C12" s="523">
        <f>SUMIF('Commodity Prices'!$C$159:$C$902,$A12,'Commodity Prices'!Q$159:Q$902)</f>
        <v>2054.5700000000002</v>
      </c>
      <c r="D12" s="525">
        <f>SUMIF('Commodity Prices'!$C$159:$C$902,$A12,'Commodity Prices'!S$159:S$902)</f>
        <v>2851.4</v>
      </c>
      <c r="E12" s="8"/>
      <c r="F12" s="70">
        <f t="shared" si="0"/>
        <v>1989</v>
      </c>
      <c r="G12" s="70">
        <f t="shared" si="0"/>
        <v>1990</v>
      </c>
      <c r="H12" s="519">
        <f t="shared" si="1"/>
        <v>1989</v>
      </c>
      <c r="I12" s="1181">
        <f t="array" ref="I12">IF($H$6="Historic Calendar Year",IFERROR(AVERAGE(IF($H12=YEAR('Commodity Prices'!C$100:C$1000),'Commodity Prices'!O$100:O$1000)),"NA"),IFERROR(IF(L12=0,"N/A",L12),"N/A"))</f>
        <v>2831.4749999999999</v>
      </c>
      <c r="J12" s="1181">
        <f t="array" ref="J12">IF($H$6="Historic Calendar Year",IFERROR(AVERAGE(IF($H12=YEAR('Commodity Prices'!C$100:C$1000),'Commodity Prices'!Q$100:Q$1000)),"NA"),IFERROR(IF(M12=0,"N/A",M12),"N/A"))</f>
        <v>673.96333333333337</v>
      </c>
      <c r="K12" s="525">
        <f t="array" ref="K12">IF($H$6="Historic Calendar Year",IFERROR(AVERAGE(IF($H12=YEAR('Commodity Prices'!C$100:C$1000),'Commodity Prices'!S$100:S$1000)),"N/A"),IFERROR(IF(N12=0,"N/A",N12),"N/A"))</f>
        <v>1710.9416666666666</v>
      </c>
      <c r="L12" s="228">
        <f>(SUMIFS('Commodity Prices'!$O$9:$O$2500,'Commodity Prices'!$A$9:$A$2500,'Copper-Lead-Zinc - Prices'!F12,'Commodity Prices'!$B$9:$B$2500,3)+
SUMIFS('Commodity Prices'!$O$9:$O$2500,'Commodity Prices'!$A$9:$A$2500,'Copper-Lead-Zinc - Prices'!F12,'Commodity Prices'!$B$9:$B$2500,4)+
SUMIFS('Commodity Prices'!$O$9:$O$2500,'Commodity Prices'!$A$9:$A$2500,'Copper-Lead-Zinc - Prices'!G12,'Commodity Prices'!$B$9:$B$2500,1)+
SUMIFS('Commodity Prices'!$O$9:$O$2500,'Commodity Prices'!$A$9:$A$2500,'Copper-Lead-Zinc - Prices'!G12,'Commodity Prices'!$B$9:$B$2500,2))
/(COUNTIFS('Commodity Prices'!$A$9:$A$2500,'Copper-Lead-Zinc - Prices'!F12,'Commodity Prices'!$B$9:$B$2500,3)+
COUNTIFS('Commodity Prices'!$A$9:$A$2500,'Copper-Lead-Zinc - Prices'!F12,'Commodity Prices'!$B$9:$B$2500,4)+
COUNTIFS('Commodity Prices'!$A$9:$A$2500,'Copper-Lead-Zinc - Prices'!G12,'Commodity Prices'!$B$9:$B$2500,1)+
COUNTIFS('Commodity Prices'!$A$9:$A$2500,'Copper-Lead-Zinc - Prices'!G12,'Commodity Prices'!$B$9:$B$2500,2))</f>
        <v>2597.6499999999996</v>
      </c>
      <c r="M12" s="228">
        <f>(SUMIFS('Commodity Prices'!$Q$9:$Q$2500,'Commodity Prices'!$A$9:$A$2500,'Copper-Lead-Zinc - Prices'!F12,'Commodity Prices'!$B$9:$B$2500,3)+
SUMIFS('Commodity Prices'!$Q$9:$Q$2500,'Commodity Prices'!$A$9:$A$2500,'Copper-Lead-Zinc - Prices'!F12,'Commodity Prices'!$B$9:$B$2500,4)+
SUMIFS('Commodity Prices'!$Q$9:$Q$2500,'Commodity Prices'!$A$9:$A$2500,'Copper-Lead-Zinc - Prices'!G12,'Commodity Prices'!$B$9:$B$2500,1)+
SUMIFS('Commodity Prices'!$Q$9:$Q$2500,'Commodity Prices'!$A$9:$A$2500,'Copper-Lead-Zinc - Prices'!G12,'Commodity Prices'!$B$9:$B$2500,2))
/(COUNTIFS('Commodity Prices'!$A$9:$A$2500,'Copper-Lead-Zinc - Prices'!F12,'Commodity Prices'!$B$9:$B$2500,3)+
COUNTIFS('Commodity Prices'!$A$9:$A$2500,'Copper-Lead-Zinc - Prices'!F12,'Commodity Prices'!$B$9:$B$2500,4)+
COUNTIFS('Commodity Prices'!$A$9:$A$2500,'Copper-Lead-Zinc - Prices'!G12,'Commodity Prices'!$B$9:$B$2500,1)+
COUNTIFS('Commodity Prices'!$A$9:$A$2500,'Copper-Lead-Zinc - Prices'!G12,'Commodity Prices'!$B$9:$B$2500,2))</f>
        <v>776.90083333333325</v>
      </c>
      <c r="N12" s="228">
        <f>(SUMIFS('Commodity Prices'!$S$9:$S$2500,'Commodity Prices'!$A$9:$A$2500,'Copper-Lead-Zinc - Prices'!F12,'Commodity Prices'!$B$9:$B$2500,3)+
SUMIFS('Commodity Prices'!$S$9:$S$2500,'Commodity Prices'!$A$9:$A$2500,'Copper-Lead-Zinc - Prices'!F12,'Commodity Prices'!$B$9:$B$2500,4)+
SUMIFS('Commodity Prices'!$S$9:$S$2500,'Commodity Prices'!$A$9:$A$2500,'Copper-Lead-Zinc - Prices'!G12,'Commodity Prices'!$B$9:$B$2500,1)+
SUMIFS('Commodity Prices'!$S$9:$S$2500,'Commodity Prices'!$A$9:$A$2500,'Copper-Lead-Zinc - Prices'!G12,'Commodity Prices'!$B$9:$B$2500,2))
/(COUNTIFS('Commodity Prices'!$A$9:$A$2500,'Copper-Lead-Zinc - Prices'!F12,'Commodity Prices'!$B$9:$B$2500,3)+
COUNTIFS('Commodity Prices'!$A$9:$A$2500,'Copper-Lead-Zinc - Prices'!F12,'Commodity Prices'!$B$9:$B$2500,4)+
COUNTIFS('Commodity Prices'!$A$9:$A$2500,'Copper-Lead-Zinc - Prices'!G12,'Commodity Prices'!$B$9:$B$2500,1)+
COUNTIFS('Commodity Prices'!$A$9:$A$2500,'Copper-Lead-Zinc - Prices'!G12,'Commodity Prices'!$B$9:$B$2500,2))</f>
        <v>1603.9083333333335</v>
      </c>
    </row>
    <row r="13" spans="1:27">
      <c r="A13" s="418">
        <f>LARGE('Commodity Prices'!C$159:C$902,57)</f>
        <v>43556</v>
      </c>
      <c r="B13" s="524">
        <f>SUMIF('Commodity Prices'!$C$159:$C$902,$A13,'Commodity Prices'!O$159:O$902)</f>
        <v>6445.1</v>
      </c>
      <c r="C13" s="524">
        <f>SUMIF('Commodity Prices'!$C$159:$C$902,$A13,'Commodity Prices'!Q$159:Q$902)</f>
        <v>1948.85</v>
      </c>
      <c r="D13" s="489">
        <f>SUMIF('Commodity Prices'!$C$159:$C$902,$A13,'Commodity Prices'!S$159:S$902)</f>
        <v>2938.75</v>
      </c>
      <c r="E13" s="8"/>
      <c r="F13" s="70">
        <f t="shared" si="0"/>
        <v>1990</v>
      </c>
      <c r="G13" s="70">
        <f t="shared" si="0"/>
        <v>1991</v>
      </c>
      <c r="H13" s="520">
        <f t="shared" si="1"/>
        <v>1990</v>
      </c>
      <c r="I13" s="565">
        <f t="array" ref="I13">IF($H$6="Historic Calendar Year",IFERROR(AVERAGE(IF($H13=YEAR('Commodity Prices'!C$100:C$1000),'Commodity Prices'!O$100:O$1000)),"NA"),IFERROR(IF(L13=0,"N/A",L13),"N/A"))</f>
        <v>2663.3250000000003</v>
      </c>
      <c r="J13" s="565">
        <f t="array" ref="J13">IF($H$6="Historic Calendar Year",IFERROR(AVERAGE(IF($H13=YEAR('Commodity Prices'!C$100:C$1000),'Commodity Prices'!Q$100:Q$1000)),"NA"),IFERROR(IF(M13=0,"N/A",M13),"N/A"))</f>
        <v>809.77499999999998</v>
      </c>
      <c r="K13" s="489">
        <f t="array" ref="K13">IF($H$6="Historic Calendar Year",IFERROR(AVERAGE(IF($H13=YEAR('Commodity Prices'!C$100:C$1000),'Commodity Prices'!S$100:S$1000)),"N/A"),IFERROR(IF(N13=0,"N/A",N13),"N/A"))</f>
        <v>1518.4666666666669</v>
      </c>
      <c r="L13" s="228">
        <f>(SUMIFS('Commodity Prices'!$O$9:$O$2500,'Commodity Prices'!$A$9:$A$2500,'Copper-Lead-Zinc - Prices'!F13,'Commodity Prices'!$B$9:$B$2500,3)+
SUMIFS('Commodity Prices'!$O$9:$O$2500,'Commodity Prices'!$A$9:$A$2500,'Copper-Lead-Zinc - Prices'!F13,'Commodity Prices'!$B$9:$B$2500,4)+
SUMIFS('Commodity Prices'!$O$9:$O$2500,'Commodity Prices'!$A$9:$A$2500,'Copper-Lead-Zinc - Prices'!G13,'Commodity Prices'!$B$9:$B$2500,1)+
SUMIFS('Commodity Prices'!$O$9:$O$2500,'Commodity Prices'!$A$9:$A$2500,'Copper-Lead-Zinc - Prices'!G13,'Commodity Prices'!$B$9:$B$2500,2))
/(COUNTIFS('Commodity Prices'!$A$9:$A$2500,'Copper-Lead-Zinc - Prices'!F13,'Commodity Prices'!$B$9:$B$2500,3)+
COUNTIFS('Commodity Prices'!$A$9:$A$2500,'Copper-Lead-Zinc - Prices'!F13,'Commodity Prices'!$B$9:$B$2500,4)+
COUNTIFS('Commodity Prices'!$A$9:$A$2500,'Copper-Lead-Zinc - Prices'!G13,'Commodity Prices'!$B$9:$B$2500,1)+
COUNTIFS('Commodity Prices'!$A$9:$A$2500,'Copper-Lead-Zinc - Prices'!G13,'Commodity Prices'!$B$9:$B$2500,2))</f>
        <v>2576.9333333333329</v>
      </c>
      <c r="M13" s="228">
        <f>(SUMIFS('Commodity Prices'!$Q$9:$Q$2500,'Commodity Prices'!$A$9:$A$2500,'Copper-Lead-Zinc - Prices'!F13,'Commodity Prices'!$B$9:$B$2500,3)+
SUMIFS('Commodity Prices'!$Q$9:$Q$2500,'Commodity Prices'!$A$9:$A$2500,'Copper-Lead-Zinc - Prices'!F13,'Commodity Prices'!$B$9:$B$2500,4)+
SUMIFS('Commodity Prices'!$Q$9:$Q$2500,'Commodity Prices'!$A$9:$A$2500,'Copper-Lead-Zinc - Prices'!G13,'Commodity Prices'!$B$9:$B$2500,1)+
SUMIFS('Commodity Prices'!$Q$9:$Q$2500,'Commodity Prices'!$A$9:$A$2500,'Copper-Lead-Zinc - Prices'!G13,'Commodity Prices'!$B$9:$B$2500,2))
/(COUNTIFS('Commodity Prices'!$A$9:$A$2500,'Copper-Lead-Zinc - Prices'!F13,'Commodity Prices'!$B$9:$B$2500,3)+
COUNTIFS('Commodity Prices'!$A$9:$A$2500,'Copper-Lead-Zinc - Prices'!F13,'Commodity Prices'!$B$9:$B$2500,4)+
COUNTIFS('Commodity Prices'!$A$9:$A$2500,'Copper-Lead-Zinc - Prices'!G13,'Commodity Prices'!$B$9:$B$2500,1)+
COUNTIFS('Commodity Prices'!$A$9:$A$2500,'Copper-Lead-Zinc - Prices'!G13,'Commodity Prices'!$B$9:$B$2500,2))</f>
        <v>681.69333333333327</v>
      </c>
      <c r="N13" s="228">
        <f>(SUMIFS('Commodity Prices'!$S$9:$S$2500,'Commodity Prices'!$A$9:$A$2500,'Copper-Lead-Zinc - Prices'!F13,'Commodity Prices'!$B$9:$B$2500,3)+
SUMIFS('Commodity Prices'!$S$9:$S$2500,'Commodity Prices'!$A$9:$A$2500,'Copper-Lead-Zinc - Prices'!F13,'Commodity Prices'!$B$9:$B$2500,4)+
SUMIFS('Commodity Prices'!$S$9:$S$2500,'Commodity Prices'!$A$9:$A$2500,'Copper-Lead-Zinc - Prices'!G13,'Commodity Prices'!$B$9:$B$2500,1)+
SUMIFS('Commodity Prices'!$S$9:$S$2500,'Commodity Prices'!$A$9:$A$2500,'Copper-Lead-Zinc - Prices'!G13,'Commodity Prices'!$B$9:$B$2500,2))
/(COUNTIFS('Commodity Prices'!$A$9:$A$2500,'Copper-Lead-Zinc - Prices'!F13,'Commodity Prices'!$B$9:$B$2500,3)+
COUNTIFS('Commodity Prices'!$A$9:$A$2500,'Copper-Lead-Zinc - Prices'!F13,'Commodity Prices'!$B$9:$B$2500,4)+
COUNTIFS('Commodity Prices'!$A$9:$A$2500,'Copper-Lead-Zinc - Prices'!G13,'Commodity Prices'!$B$9:$B$2500,1)+
COUNTIFS('Commodity Prices'!$A$9:$A$2500,'Copper-Lead-Zinc - Prices'!G13,'Commodity Prices'!$B$9:$B$2500,2))</f>
        <v>1307.8916666666667</v>
      </c>
    </row>
    <row r="14" spans="1:27">
      <c r="A14" s="396">
        <f>LARGE('Commodity Prices'!C$159:C$902,56)</f>
        <v>43586</v>
      </c>
      <c r="B14" s="523">
        <f>SUMIF('Commodity Prices'!$C$159:$C$902,$A14,'Commodity Prices'!O$159:O$902)</f>
        <v>6028.31</v>
      </c>
      <c r="C14" s="523">
        <f>SUMIF('Commodity Prices'!$C$159:$C$902,$A14,'Commodity Prices'!Q$159:Q$902)</f>
        <v>1817.21</v>
      </c>
      <c r="D14" s="525">
        <f>SUMIF('Commodity Prices'!$C$159:$C$902,$A14,'Commodity Prices'!S$159:S$902)</f>
        <v>2747.74</v>
      </c>
      <c r="E14" s="8"/>
      <c r="F14" s="70">
        <f t="shared" si="0"/>
        <v>1991</v>
      </c>
      <c r="G14" s="70">
        <f t="shared" si="0"/>
        <v>1992</v>
      </c>
      <c r="H14" s="519">
        <f t="shared" si="1"/>
        <v>1991</v>
      </c>
      <c r="I14" s="1181">
        <f t="array" ref="I14">IF($H$6="Historic Calendar Year",IFERROR(AVERAGE(IF($H14=YEAR('Commodity Prices'!C$100:C$1000),'Commodity Prices'!O$100:O$1000)),"NA"),IFERROR(IF(L14=0,"N/A",L14),"N/A"))</f>
        <v>2339.7666666666669</v>
      </c>
      <c r="J14" s="1181">
        <f t="array" ref="J14">IF($H$6="Historic Calendar Year",IFERROR(AVERAGE(IF($H14=YEAR('Commodity Prices'!C$100:C$1000),'Commodity Prices'!Q$100:Q$1000)),"NA"),IFERROR(IF(M14=0,"N/A",M14),"N/A"))</f>
        <v>557.82833333333338</v>
      </c>
      <c r="K14" s="525">
        <f t="array" ref="K14">IF($H$6="Historic Calendar Year",IFERROR(AVERAGE(IF($H14=YEAR('Commodity Prices'!C$100:C$1000),'Commodity Prices'!S$100:S$1000)),"N/A"),IFERROR(IF(N14=0,"N/A",N14),"N/A"))</f>
        <v>1117.3741666666667</v>
      </c>
      <c r="L14" s="228">
        <f>(SUMIFS('Commodity Prices'!$O$9:$O$2500,'Commodity Prices'!$A$9:$A$2500,'Copper-Lead-Zinc - Prices'!F14,'Commodity Prices'!$B$9:$B$2500,3)+
SUMIFS('Commodity Prices'!$O$9:$O$2500,'Commodity Prices'!$A$9:$A$2500,'Copper-Lead-Zinc - Prices'!F14,'Commodity Prices'!$B$9:$B$2500,4)+
SUMIFS('Commodity Prices'!$O$9:$O$2500,'Commodity Prices'!$A$9:$A$2500,'Copper-Lead-Zinc - Prices'!G14,'Commodity Prices'!$B$9:$B$2500,1)+
SUMIFS('Commodity Prices'!$O$9:$O$2500,'Commodity Prices'!$A$9:$A$2500,'Copper-Lead-Zinc - Prices'!G14,'Commodity Prices'!$B$9:$B$2500,2))
/(COUNTIFS('Commodity Prices'!$A$9:$A$2500,'Copper-Lead-Zinc - Prices'!F14,'Commodity Prices'!$B$9:$B$2500,3)+
COUNTIFS('Commodity Prices'!$A$9:$A$2500,'Copper-Lead-Zinc - Prices'!F14,'Commodity Prices'!$B$9:$B$2500,4)+
COUNTIFS('Commodity Prices'!$A$9:$A$2500,'Copper-Lead-Zinc - Prices'!G14,'Commodity Prices'!$B$9:$B$2500,1)+
COUNTIFS('Commodity Prices'!$A$9:$A$2500,'Copper-Lead-Zinc - Prices'!G14,'Commodity Prices'!$B$9:$B$2500,2))</f>
        <v>2253.3416666666667</v>
      </c>
      <c r="M14" s="228">
        <f>(SUMIFS('Commodity Prices'!$Q$9:$Q$2500,'Commodity Prices'!$A$9:$A$2500,'Copper-Lead-Zinc - Prices'!F14,'Commodity Prices'!$B$9:$B$2500,3)+
SUMIFS('Commodity Prices'!$Q$9:$Q$2500,'Commodity Prices'!$A$9:$A$2500,'Copper-Lead-Zinc - Prices'!F14,'Commodity Prices'!$B$9:$B$2500,4)+
SUMIFS('Commodity Prices'!$Q$9:$Q$2500,'Commodity Prices'!$A$9:$A$2500,'Copper-Lead-Zinc - Prices'!G14,'Commodity Prices'!$B$9:$B$2500,1)+
SUMIFS('Commodity Prices'!$Q$9:$Q$2500,'Commodity Prices'!$A$9:$A$2500,'Copper-Lead-Zinc - Prices'!G14,'Commodity Prices'!$B$9:$B$2500,2))
/(COUNTIFS('Commodity Prices'!$A$9:$A$2500,'Copper-Lead-Zinc - Prices'!F14,'Commodity Prices'!$B$9:$B$2500,3)+
COUNTIFS('Commodity Prices'!$A$9:$A$2500,'Copper-Lead-Zinc - Prices'!F14,'Commodity Prices'!$B$9:$B$2500,4)+
COUNTIFS('Commodity Prices'!$A$9:$A$2500,'Copper-Lead-Zinc - Prices'!G14,'Commodity Prices'!$B$9:$B$2500,1)+
COUNTIFS('Commodity Prices'!$A$9:$A$2500,'Copper-Lead-Zinc - Prices'!G14,'Commodity Prices'!$B$9:$B$2500,2))</f>
        <v>527.4616666666667</v>
      </c>
      <c r="N14" s="228">
        <f>(SUMIFS('Commodity Prices'!$S$9:$S$2500,'Commodity Prices'!$A$9:$A$2500,'Copper-Lead-Zinc - Prices'!F14,'Commodity Prices'!$B$9:$B$2500,3)+
SUMIFS('Commodity Prices'!$S$9:$S$2500,'Commodity Prices'!$A$9:$A$2500,'Copper-Lead-Zinc - Prices'!F14,'Commodity Prices'!$B$9:$B$2500,4)+
SUMIFS('Commodity Prices'!$S$9:$S$2500,'Commodity Prices'!$A$9:$A$2500,'Copper-Lead-Zinc - Prices'!G14,'Commodity Prices'!$B$9:$B$2500,1)+
SUMIFS('Commodity Prices'!$S$9:$S$2500,'Commodity Prices'!$A$9:$A$2500,'Copper-Lead-Zinc - Prices'!G14,'Commodity Prices'!$B$9:$B$2500,2))
/(COUNTIFS('Commodity Prices'!$A$9:$A$2500,'Copper-Lead-Zinc - Prices'!F14,'Commodity Prices'!$B$9:$B$2500,3)+
COUNTIFS('Commodity Prices'!$A$9:$A$2500,'Copper-Lead-Zinc - Prices'!F14,'Commodity Prices'!$B$9:$B$2500,4)+
COUNTIFS('Commodity Prices'!$A$9:$A$2500,'Copper-Lead-Zinc - Prices'!G14,'Commodity Prices'!$B$9:$B$2500,1)+
COUNTIFS('Commodity Prices'!$A$9:$A$2500,'Copper-Lead-Zinc - Prices'!G14,'Commodity Prices'!$B$9:$B$2500,2))</f>
        <v>1164.2075</v>
      </c>
    </row>
    <row r="15" spans="1:27">
      <c r="A15" s="418">
        <f>LARGE('Commodity Prices'!C$159:C$902,56)</f>
        <v>43586</v>
      </c>
      <c r="B15" s="524">
        <f>SUMIF('Commodity Prices'!$C$159:$C$902,$A15,'Commodity Prices'!O$159:O$902)</f>
        <v>6028.31</v>
      </c>
      <c r="C15" s="524">
        <f>SUMIF('Commodity Prices'!$C$159:$C$902,$A15,'Commodity Prices'!Q$159:Q$902)</f>
        <v>1817.21</v>
      </c>
      <c r="D15" s="489">
        <f>SUMIF('Commodity Prices'!$C$159:$C$902,$A15,'Commodity Prices'!S$159:S$902)</f>
        <v>2747.74</v>
      </c>
      <c r="E15" s="8"/>
      <c r="F15" s="70">
        <f t="shared" si="0"/>
        <v>1992</v>
      </c>
      <c r="G15" s="70">
        <f t="shared" si="0"/>
        <v>1993</v>
      </c>
      <c r="H15" s="520">
        <f t="shared" si="1"/>
        <v>1992</v>
      </c>
      <c r="I15" s="565">
        <f t="array" ref="I15">IF($H$6="Historic Calendar Year",IFERROR(AVERAGE(IF($H15=YEAR('Commodity Prices'!C$100:C$1000),'Commodity Prices'!O$100:O$1000)),"NA"),IFERROR(IF(L15=0,"N/A",L15),"N/A"))</f>
        <v>2301.6916666666666</v>
      </c>
      <c r="J15" s="565">
        <f t="array" ref="J15">IF($H$6="Historic Calendar Year",IFERROR(AVERAGE(IF($H15=YEAR('Commodity Prices'!C$100:C$1000),'Commodity Prices'!Q$100:Q$1000)),"NA"),IFERROR(IF(M15=0,"N/A",M15),"N/A"))</f>
        <v>546.88749999999993</v>
      </c>
      <c r="K15" s="489">
        <f t="array" ref="K15">IF($H$6="Historic Calendar Year",IFERROR(AVERAGE(IF($H15=YEAR('Commodity Prices'!C$100:C$1000),'Commodity Prices'!S$100:S$1000)),"N/A"),IFERROR(IF(N15=0,"N/A",N15),"N/A"))</f>
        <v>1251.3083333333332</v>
      </c>
      <c r="L15" s="228">
        <f>(SUMIFS('Commodity Prices'!$O$9:$O$2500,'Commodity Prices'!$A$9:$A$2500,'Copper-Lead-Zinc - Prices'!F15,'Commodity Prices'!$B$9:$B$2500,3)+
SUMIFS('Commodity Prices'!$O$9:$O$2500,'Commodity Prices'!$A$9:$A$2500,'Copper-Lead-Zinc - Prices'!F15,'Commodity Prices'!$B$9:$B$2500,4)+
SUMIFS('Commodity Prices'!$O$9:$O$2500,'Commodity Prices'!$A$9:$A$2500,'Copper-Lead-Zinc - Prices'!G15,'Commodity Prices'!$B$9:$B$2500,1)+
SUMIFS('Commodity Prices'!$O$9:$O$2500,'Commodity Prices'!$A$9:$A$2500,'Copper-Lead-Zinc - Prices'!G15,'Commodity Prices'!$B$9:$B$2500,2))
/(COUNTIFS('Commodity Prices'!$A$9:$A$2500,'Copper-Lead-Zinc - Prices'!F15,'Commodity Prices'!$B$9:$B$2500,3)+
COUNTIFS('Commodity Prices'!$A$9:$A$2500,'Copper-Lead-Zinc - Prices'!F15,'Commodity Prices'!$B$9:$B$2500,4)+
COUNTIFS('Commodity Prices'!$A$9:$A$2500,'Copper-Lead-Zinc - Prices'!G15,'Commodity Prices'!$B$9:$B$2500,1)+
COUNTIFS('Commodity Prices'!$A$9:$A$2500,'Copper-Lead-Zinc - Prices'!G15,'Commodity Prices'!$B$9:$B$2500,2))</f>
        <v>2212.3916666666664</v>
      </c>
      <c r="M15" s="228">
        <f>(SUMIFS('Commodity Prices'!$Q$9:$Q$2500,'Commodity Prices'!$A$9:$A$2500,'Copper-Lead-Zinc - Prices'!F15,'Commodity Prices'!$B$9:$B$2500,3)+
SUMIFS('Commodity Prices'!$Q$9:$Q$2500,'Commodity Prices'!$A$9:$A$2500,'Copper-Lead-Zinc - Prices'!F15,'Commodity Prices'!$B$9:$B$2500,4)+
SUMIFS('Commodity Prices'!$Q$9:$Q$2500,'Commodity Prices'!$A$9:$A$2500,'Copper-Lead-Zinc - Prices'!G15,'Commodity Prices'!$B$9:$B$2500,1)+
SUMIFS('Commodity Prices'!$Q$9:$Q$2500,'Commodity Prices'!$A$9:$A$2500,'Copper-Lead-Zinc - Prices'!G15,'Commodity Prices'!$B$9:$B$2500,2))
/(COUNTIFS('Commodity Prices'!$A$9:$A$2500,'Copper-Lead-Zinc - Prices'!F15,'Commodity Prices'!$B$9:$B$2500,3)+
COUNTIFS('Commodity Prices'!$A$9:$A$2500,'Copper-Lead-Zinc - Prices'!F15,'Commodity Prices'!$B$9:$B$2500,4)+
COUNTIFS('Commodity Prices'!$A$9:$A$2500,'Copper-Lead-Zinc - Prices'!G15,'Commodity Prices'!$B$9:$B$2500,1)+
COUNTIFS('Commodity Prices'!$A$9:$A$2500,'Copper-Lead-Zinc - Prices'!G15,'Commodity Prices'!$B$9:$B$2500,2))</f>
        <v>491.72166666666664</v>
      </c>
      <c r="N15" s="228">
        <f>(SUMIFS('Commodity Prices'!$S$9:$S$2500,'Commodity Prices'!$A$9:$A$2500,'Copper-Lead-Zinc - Prices'!F15,'Commodity Prices'!$B$9:$B$2500,3)+
SUMIFS('Commodity Prices'!$S$9:$S$2500,'Commodity Prices'!$A$9:$A$2500,'Copper-Lead-Zinc - Prices'!F15,'Commodity Prices'!$B$9:$B$2500,4)+
SUMIFS('Commodity Prices'!$S$9:$S$2500,'Commodity Prices'!$A$9:$A$2500,'Copper-Lead-Zinc - Prices'!G15,'Commodity Prices'!$B$9:$B$2500,1)+
SUMIFS('Commodity Prices'!$S$9:$S$2500,'Commodity Prices'!$A$9:$A$2500,'Copper-Lead-Zinc - Prices'!G15,'Commodity Prices'!$B$9:$B$2500,2))
/(COUNTIFS('Commodity Prices'!$A$9:$A$2500,'Copper-Lead-Zinc - Prices'!F15,'Commodity Prices'!$B$9:$B$2500,3)+
COUNTIFS('Commodity Prices'!$A$9:$A$2500,'Copper-Lead-Zinc - Prices'!F15,'Commodity Prices'!$B$9:$B$2500,4)+
COUNTIFS('Commodity Prices'!$A$9:$A$2500,'Copper-Lead-Zinc - Prices'!G15,'Commodity Prices'!$B$9:$B$2500,1)+
COUNTIFS('Commodity Prices'!$A$9:$A$2500,'Copper-Lead-Zinc - Prices'!G15,'Commodity Prices'!$B$9:$B$2500,2))</f>
        <v>1124.29</v>
      </c>
    </row>
    <row r="16" spans="1:27">
      <c r="A16" s="396">
        <f>LARGE('Commodity Prices'!C$159:C$902,54)</f>
        <v>43647</v>
      </c>
      <c r="B16" s="523">
        <f>SUMIF('Commodity Prices'!$C$159:$C$902,$A16,'Commodity Prices'!O$159:O$902)</f>
        <v>5939.85</v>
      </c>
      <c r="C16" s="523">
        <f>SUMIF('Commodity Prices'!$C$159:$C$902,$A16,'Commodity Prices'!Q$159:Q$902)</f>
        <v>1974.02</v>
      </c>
      <c r="D16" s="525">
        <f>SUMIF('Commodity Prices'!$C$159:$C$902,$A16,'Commodity Prices'!S$159:S$902)</f>
        <v>2441.48</v>
      </c>
      <c r="E16" s="8"/>
      <c r="F16" s="70">
        <f t="shared" si="0"/>
        <v>1993</v>
      </c>
      <c r="G16" s="70">
        <f t="shared" si="0"/>
        <v>1994</v>
      </c>
      <c r="H16" s="519">
        <f t="shared" si="1"/>
        <v>1993</v>
      </c>
      <c r="I16" s="1181">
        <f t="array" ref="I16">IF($H$6="Historic Calendar Year",IFERROR(AVERAGE(IF($H16=YEAR('Commodity Prices'!C$100:C$1000),'Commodity Prices'!O$100:O$1000)),"NA"),IFERROR(IF(L16=0,"N/A",L16),"N/A"))</f>
        <v>1914.6916666666666</v>
      </c>
      <c r="J16" s="1181">
        <f t="array" ref="J16">IF($H$6="Historic Calendar Year",IFERROR(AVERAGE(IF($H16=YEAR('Commodity Prices'!C$100:C$1000),'Commodity Prices'!Q$100:Q$1000)),"NA"),IFERROR(IF(M16=0,"N/A",M16),"N/A"))</f>
        <v>406.6658333333333</v>
      </c>
      <c r="K16" s="525">
        <f t="array" ref="K16">IF($H$6="Historic Calendar Year",IFERROR(AVERAGE(IF($H16=YEAR('Commodity Prices'!C$100:C$1000),'Commodity Prices'!S$100:S$1000)),"N/A"),IFERROR(IF(N16=0,"N/A",N16),"N/A"))</f>
        <v>962.27333333333343</v>
      </c>
      <c r="L16" s="228">
        <f>(SUMIFS('Commodity Prices'!$O$9:$O$2500,'Commodity Prices'!$A$9:$A$2500,'Copper-Lead-Zinc - Prices'!F16,'Commodity Prices'!$B$9:$B$2500,3)+
SUMIFS('Commodity Prices'!$O$9:$O$2500,'Commodity Prices'!$A$9:$A$2500,'Copper-Lead-Zinc - Prices'!F16,'Commodity Prices'!$B$9:$B$2500,4)+
SUMIFS('Commodity Prices'!$O$9:$O$2500,'Commodity Prices'!$A$9:$A$2500,'Copper-Lead-Zinc - Prices'!G16,'Commodity Prices'!$B$9:$B$2500,1)+
SUMIFS('Commodity Prices'!$O$9:$O$2500,'Commodity Prices'!$A$9:$A$2500,'Copper-Lead-Zinc - Prices'!G16,'Commodity Prices'!$B$9:$B$2500,2))
/(COUNTIFS('Commodity Prices'!$A$9:$A$2500,'Copper-Lead-Zinc - Prices'!F16,'Commodity Prices'!$B$9:$B$2500,3)+
COUNTIFS('Commodity Prices'!$A$9:$A$2500,'Copper-Lead-Zinc - Prices'!F16,'Commodity Prices'!$B$9:$B$2500,4)+
COUNTIFS('Commodity Prices'!$A$9:$A$2500,'Copper-Lead-Zinc - Prices'!G16,'Commodity Prices'!$B$9:$B$2500,1)+
COUNTIFS('Commodity Prices'!$A$9:$A$2500,'Copper-Lead-Zinc - Prices'!G16,'Commodity Prices'!$B$9:$B$2500,2))</f>
        <v>1893.5249999999999</v>
      </c>
      <c r="M16" s="228">
        <f>(SUMIFS('Commodity Prices'!$Q$9:$Q$2500,'Commodity Prices'!$A$9:$A$2500,'Copper-Lead-Zinc - Prices'!F16,'Commodity Prices'!$B$9:$B$2500,3)+
SUMIFS('Commodity Prices'!$Q$9:$Q$2500,'Commodity Prices'!$A$9:$A$2500,'Copper-Lead-Zinc - Prices'!F16,'Commodity Prices'!$B$9:$B$2500,4)+
SUMIFS('Commodity Prices'!$Q$9:$Q$2500,'Commodity Prices'!$A$9:$A$2500,'Copper-Lead-Zinc - Prices'!G16,'Commodity Prices'!$B$9:$B$2500,1)+
SUMIFS('Commodity Prices'!$Q$9:$Q$2500,'Commodity Prices'!$A$9:$A$2500,'Copper-Lead-Zinc - Prices'!G16,'Commodity Prices'!$B$9:$B$2500,2))
/(COUNTIFS('Commodity Prices'!$A$9:$A$2500,'Copper-Lead-Zinc - Prices'!F16,'Commodity Prices'!$B$9:$B$2500,3)+
COUNTIFS('Commodity Prices'!$A$9:$A$2500,'Copper-Lead-Zinc - Prices'!F16,'Commodity Prices'!$B$9:$B$2500,4)+
COUNTIFS('Commodity Prices'!$A$9:$A$2500,'Copper-Lead-Zinc - Prices'!G16,'Commodity Prices'!$B$9:$B$2500,1)+
COUNTIFS('Commodity Prices'!$A$9:$A$2500,'Copper-Lead-Zinc - Prices'!G16,'Commodity Prices'!$B$9:$B$2500,2))</f>
        <v>438.71499999999997</v>
      </c>
      <c r="N16" s="228">
        <f>(SUMIFS('Commodity Prices'!$S$9:$S$2500,'Commodity Prices'!$A$9:$A$2500,'Copper-Lead-Zinc - Prices'!F16,'Commodity Prices'!$B$9:$B$2500,3)+
SUMIFS('Commodity Prices'!$S$9:$S$2500,'Commodity Prices'!$A$9:$A$2500,'Copper-Lead-Zinc - Prices'!F16,'Commodity Prices'!$B$9:$B$2500,4)+
SUMIFS('Commodity Prices'!$S$9:$S$2500,'Commodity Prices'!$A$9:$A$2500,'Copper-Lead-Zinc - Prices'!G16,'Commodity Prices'!$B$9:$B$2500,1)+
SUMIFS('Commodity Prices'!$S$9:$S$2500,'Commodity Prices'!$A$9:$A$2500,'Copper-Lead-Zinc - Prices'!G16,'Commodity Prices'!$B$9:$B$2500,2))
/(COUNTIFS('Commodity Prices'!$A$9:$A$2500,'Copper-Lead-Zinc - Prices'!F16,'Commodity Prices'!$B$9:$B$2500,3)+
COUNTIFS('Commodity Prices'!$A$9:$A$2500,'Copper-Lead-Zinc - Prices'!F16,'Commodity Prices'!$B$9:$B$2500,4)+
COUNTIFS('Commodity Prices'!$A$9:$A$2500,'Copper-Lead-Zinc - Prices'!G16,'Commodity Prices'!$B$9:$B$2500,1)+
COUNTIFS('Commodity Prices'!$A$9:$A$2500,'Copper-Lead-Zinc - Prices'!G16,'Commodity Prices'!$B$9:$B$2500,2))</f>
        <v>937.92500000000018</v>
      </c>
    </row>
    <row r="17" spans="1:14">
      <c r="A17" s="418">
        <f>LARGE('Commodity Prices'!C$159:C$902,53)</f>
        <v>43678</v>
      </c>
      <c r="B17" s="524">
        <f>SUMIF('Commodity Prices'!$C$159:$C$902,$A17,'Commodity Prices'!O$159:O$902)</f>
        <v>5707.98</v>
      </c>
      <c r="C17" s="524">
        <f>SUMIF('Commodity Prices'!$C$159:$C$902,$A17,'Commodity Prices'!Q$159:Q$902)</f>
        <v>2043.19</v>
      </c>
      <c r="D17" s="489">
        <f>SUMIF('Commodity Prices'!$C$159:$C$902,$A17,'Commodity Prices'!S$159:S$902)</f>
        <v>2275.14</v>
      </c>
      <c r="E17" s="8"/>
      <c r="F17" s="70">
        <f t="shared" si="0"/>
        <v>1994</v>
      </c>
      <c r="G17" s="70">
        <f t="shared" si="0"/>
        <v>1995</v>
      </c>
      <c r="H17" s="520">
        <f t="shared" si="1"/>
        <v>1994</v>
      </c>
      <c r="I17" s="565">
        <f t="array" ref="I17">IF($H$6="Historic Calendar Year",IFERROR(AVERAGE(IF($H17=YEAR('Commodity Prices'!C$100:C$1000),'Commodity Prices'!O$100:O$1000)),"NA"),IFERROR(IF(L17=0,"N/A",L17),"N/A"))</f>
        <v>2307.1916666666666</v>
      </c>
      <c r="J17" s="565">
        <f t="array" ref="J17">IF($H$6="Historic Calendar Year",IFERROR(AVERAGE(IF($H17=YEAR('Commodity Prices'!C$100:C$1000),'Commodity Prices'!Q$100:Q$1000)),"NA"),IFERROR(IF(M17=0,"N/A",M17),"N/A"))</f>
        <v>547.93333333333328</v>
      </c>
      <c r="K17" s="489">
        <f t="array" ref="K17">IF($H$6="Historic Calendar Year",IFERROR(AVERAGE(IF($H17=YEAR('Commodity Prices'!C$100:C$1000),'Commodity Prices'!S$100:S$1000)),"N/A"),IFERROR(IF(N17=0,"N/A",N17),"N/A"))</f>
        <v>998.13583333333327</v>
      </c>
      <c r="L17" s="228">
        <f>(SUMIFS('Commodity Prices'!$O$9:$O$2500,'Commodity Prices'!$A$9:$A$2500,'Copper-Lead-Zinc - Prices'!F17,'Commodity Prices'!$B$9:$B$2500,3)+
SUMIFS('Commodity Prices'!$O$9:$O$2500,'Commodity Prices'!$A$9:$A$2500,'Copper-Lead-Zinc - Prices'!F17,'Commodity Prices'!$B$9:$B$2500,4)+
SUMIFS('Commodity Prices'!$O$9:$O$2500,'Commodity Prices'!$A$9:$A$2500,'Copper-Lead-Zinc - Prices'!G17,'Commodity Prices'!$B$9:$B$2500,1)+
SUMIFS('Commodity Prices'!$O$9:$O$2500,'Commodity Prices'!$A$9:$A$2500,'Copper-Lead-Zinc - Prices'!G17,'Commodity Prices'!$B$9:$B$2500,2))
/(COUNTIFS('Commodity Prices'!$A$9:$A$2500,'Copper-Lead-Zinc - Prices'!F17,'Commodity Prices'!$B$9:$B$2500,3)+
COUNTIFS('Commodity Prices'!$A$9:$A$2500,'Copper-Lead-Zinc - Prices'!F17,'Commodity Prices'!$B$9:$B$2500,4)+
COUNTIFS('Commodity Prices'!$A$9:$A$2500,'Copper-Lead-Zinc - Prices'!G17,'Commodity Prices'!$B$9:$B$2500,1)+
COUNTIFS('Commodity Prices'!$A$9:$A$2500,'Copper-Lead-Zinc - Prices'!G17,'Commodity Prices'!$B$9:$B$2500,2))</f>
        <v>2766.1416666666664</v>
      </c>
      <c r="M17" s="228">
        <f>(SUMIFS('Commodity Prices'!$Q$9:$Q$2500,'Commodity Prices'!$A$9:$A$2500,'Copper-Lead-Zinc - Prices'!F17,'Commodity Prices'!$B$9:$B$2500,3)+
SUMIFS('Commodity Prices'!$Q$9:$Q$2500,'Commodity Prices'!$A$9:$A$2500,'Copper-Lead-Zinc - Prices'!F17,'Commodity Prices'!$B$9:$B$2500,4)+
SUMIFS('Commodity Prices'!$Q$9:$Q$2500,'Commodity Prices'!$A$9:$A$2500,'Copper-Lead-Zinc - Prices'!G17,'Commodity Prices'!$B$9:$B$2500,1)+
SUMIFS('Commodity Prices'!$Q$9:$Q$2500,'Commodity Prices'!$A$9:$A$2500,'Copper-Lead-Zinc - Prices'!G17,'Commodity Prices'!$B$9:$B$2500,2))
/(COUNTIFS('Commodity Prices'!$A$9:$A$2500,'Copper-Lead-Zinc - Prices'!F17,'Commodity Prices'!$B$9:$B$2500,3)+
COUNTIFS('Commodity Prices'!$A$9:$A$2500,'Copper-Lead-Zinc - Prices'!F17,'Commodity Prices'!$B$9:$B$2500,4)+
COUNTIFS('Commodity Prices'!$A$9:$A$2500,'Copper-Lead-Zinc - Prices'!G17,'Commodity Prices'!$B$9:$B$2500,1)+
COUNTIFS('Commodity Prices'!$A$9:$A$2500,'Copper-Lead-Zinc - Prices'!G17,'Commodity Prices'!$B$9:$B$2500,2))</f>
        <v>613.10833333333335</v>
      </c>
      <c r="N17" s="228">
        <f>(SUMIFS('Commodity Prices'!$S$9:$S$2500,'Commodity Prices'!$A$9:$A$2500,'Copper-Lead-Zinc - Prices'!F17,'Commodity Prices'!$B$9:$B$2500,3)+
SUMIFS('Commodity Prices'!$S$9:$S$2500,'Commodity Prices'!$A$9:$A$2500,'Copper-Lead-Zinc - Prices'!F17,'Commodity Prices'!$B$9:$B$2500,4)+
SUMIFS('Commodity Prices'!$S$9:$S$2500,'Commodity Prices'!$A$9:$A$2500,'Copper-Lead-Zinc - Prices'!G17,'Commodity Prices'!$B$9:$B$2500,1)+
SUMIFS('Commodity Prices'!$S$9:$S$2500,'Commodity Prices'!$A$9:$A$2500,'Copper-Lead-Zinc - Prices'!G17,'Commodity Prices'!$B$9:$B$2500,2))
/(COUNTIFS('Commodity Prices'!$A$9:$A$2500,'Copper-Lead-Zinc - Prices'!F17,'Commodity Prices'!$B$9:$B$2500,3)+
COUNTIFS('Commodity Prices'!$A$9:$A$2500,'Copper-Lead-Zinc - Prices'!F17,'Commodity Prices'!$B$9:$B$2500,4)+
COUNTIFS('Commodity Prices'!$A$9:$A$2500,'Copper-Lead-Zinc - Prices'!G17,'Commodity Prices'!$B$9:$B$2500,1)+
COUNTIFS('Commodity Prices'!$A$9:$A$2500,'Copper-Lead-Zinc - Prices'!G17,'Commodity Prices'!$B$9:$B$2500,2))</f>
        <v>1045.5191666666667</v>
      </c>
    </row>
    <row r="18" spans="1:14">
      <c r="A18" s="396">
        <f>LARGE('Commodity Prices'!C$159:C$902,52)</f>
        <v>43709</v>
      </c>
      <c r="B18" s="523">
        <f>SUMIF('Commodity Prices'!$C$159:$C$902,$A18,'Commodity Prices'!O$159:O$902)</f>
        <v>5745.48</v>
      </c>
      <c r="C18" s="523">
        <f>SUMIF('Commodity Prices'!$C$159:$C$902,$A18,'Commodity Prices'!Q$159:Q$902)</f>
        <v>2070.86</v>
      </c>
      <c r="D18" s="525">
        <f>SUMIF('Commodity Prices'!$C$159:$C$902,$A18,'Commodity Prices'!S$159:S$902)</f>
        <v>2319.64</v>
      </c>
      <c r="E18" s="8"/>
      <c r="F18" s="70">
        <f t="shared" si="0"/>
        <v>1995</v>
      </c>
      <c r="G18" s="70">
        <f t="shared" si="0"/>
        <v>1996</v>
      </c>
      <c r="H18" s="519">
        <f t="shared" si="1"/>
        <v>1995</v>
      </c>
      <c r="I18" s="1181">
        <f t="array" ref="I18">IF($H$6="Historic Calendar Year",IFERROR(AVERAGE(IF($H18=YEAR('Commodity Prices'!C$100:C$1000),'Commodity Prices'!O$100:O$1000)),"NA"),IFERROR(IF(L18=0,"N/A",L18),"N/A"))</f>
        <v>2936.7249999999999</v>
      </c>
      <c r="J18" s="1181">
        <f t="array" ref="J18">IF($H$6="Historic Calendar Year",IFERROR(AVERAGE(IF($H18=YEAR('Commodity Prices'!C$100:C$1000),'Commodity Prices'!Q$100:Q$1000)),"NA"),IFERROR(IF(M18=0,"N/A",M18),"N/A"))</f>
        <v>632.92916666666667</v>
      </c>
      <c r="K18" s="525">
        <f t="array" ref="K18">IF($H$6="Historic Calendar Year",IFERROR(AVERAGE(IF($H18=YEAR('Commodity Prices'!C$100:C$1000),'Commodity Prices'!S$100:S$1000)),"N/A"),IFERROR(IF(N18=0,"N/A",N18),"N/A"))</f>
        <v>1031.5891666666666</v>
      </c>
      <c r="L18" s="228">
        <f>(SUMIFS('Commodity Prices'!$O$9:$O$2500,'Commodity Prices'!$A$9:$A$2500,'Copper-Lead-Zinc - Prices'!F18,'Commodity Prices'!$B$9:$B$2500,3)+
SUMIFS('Commodity Prices'!$O$9:$O$2500,'Commodity Prices'!$A$9:$A$2500,'Copper-Lead-Zinc - Prices'!F18,'Commodity Prices'!$B$9:$B$2500,4)+
SUMIFS('Commodity Prices'!$O$9:$O$2500,'Commodity Prices'!$A$9:$A$2500,'Copper-Lead-Zinc - Prices'!G18,'Commodity Prices'!$B$9:$B$2500,1)+
SUMIFS('Commodity Prices'!$O$9:$O$2500,'Commodity Prices'!$A$9:$A$2500,'Copper-Lead-Zinc - Prices'!G18,'Commodity Prices'!$B$9:$B$2500,2))
/(COUNTIFS('Commodity Prices'!$A$9:$A$2500,'Copper-Lead-Zinc - Prices'!F18,'Commodity Prices'!$B$9:$B$2500,3)+
COUNTIFS('Commodity Prices'!$A$9:$A$2500,'Copper-Lead-Zinc - Prices'!F18,'Commodity Prices'!$B$9:$B$2500,4)+
COUNTIFS('Commodity Prices'!$A$9:$A$2500,'Copper-Lead-Zinc - Prices'!G18,'Commodity Prices'!$B$9:$B$2500,1)+
COUNTIFS('Commodity Prices'!$A$9:$A$2500,'Copper-Lead-Zinc - Prices'!G18,'Commodity Prices'!$B$9:$B$2500,2))</f>
        <v>2741.0500000000006</v>
      </c>
      <c r="M18" s="228">
        <f>(SUMIFS('Commodity Prices'!$Q$9:$Q$2500,'Commodity Prices'!$A$9:$A$2500,'Copper-Lead-Zinc - Prices'!F18,'Commodity Prices'!$B$9:$B$2500,3)+
SUMIFS('Commodity Prices'!$Q$9:$Q$2500,'Commodity Prices'!$A$9:$A$2500,'Copper-Lead-Zinc - Prices'!F18,'Commodity Prices'!$B$9:$B$2500,4)+
SUMIFS('Commodity Prices'!$Q$9:$Q$2500,'Commodity Prices'!$A$9:$A$2500,'Copper-Lead-Zinc - Prices'!G18,'Commodity Prices'!$B$9:$B$2500,1)+
SUMIFS('Commodity Prices'!$Q$9:$Q$2500,'Commodity Prices'!$A$9:$A$2500,'Copper-Lead-Zinc - Prices'!G18,'Commodity Prices'!$B$9:$B$2500,2))
/(COUNTIFS('Commodity Prices'!$A$9:$A$2500,'Copper-Lead-Zinc - Prices'!F18,'Commodity Prices'!$B$9:$B$2500,3)+
COUNTIFS('Commodity Prices'!$A$9:$A$2500,'Copper-Lead-Zinc - Prices'!F18,'Commodity Prices'!$B$9:$B$2500,4)+
COUNTIFS('Commodity Prices'!$A$9:$A$2500,'Copper-Lead-Zinc - Prices'!G18,'Commodity Prices'!$B$9:$B$2500,1)+
COUNTIFS('Commodity Prices'!$A$9:$A$2500,'Copper-Lead-Zinc - Prices'!G18,'Commodity Prices'!$B$9:$B$2500,2))</f>
        <v>724.65166666666664</v>
      </c>
      <c r="N18" s="228">
        <f>(SUMIFS('Commodity Prices'!$S$9:$S$2500,'Commodity Prices'!$A$9:$A$2500,'Copper-Lead-Zinc - Prices'!F18,'Commodity Prices'!$B$9:$B$2500,3)+
SUMIFS('Commodity Prices'!$S$9:$S$2500,'Commodity Prices'!$A$9:$A$2500,'Copper-Lead-Zinc - Prices'!F18,'Commodity Prices'!$B$9:$B$2500,4)+
SUMIFS('Commodity Prices'!$S$9:$S$2500,'Commodity Prices'!$A$9:$A$2500,'Copper-Lead-Zinc - Prices'!G18,'Commodity Prices'!$B$9:$B$2500,1)+
SUMIFS('Commodity Prices'!$S$9:$S$2500,'Commodity Prices'!$A$9:$A$2500,'Copper-Lead-Zinc - Prices'!G18,'Commodity Prices'!$B$9:$B$2500,2))
/(COUNTIFS('Commodity Prices'!$A$9:$A$2500,'Copper-Lead-Zinc - Prices'!F18,'Commodity Prices'!$B$9:$B$2500,3)+
COUNTIFS('Commodity Prices'!$A$9:$A$2500,'Copper-Lead-Zinc - Prices'!F18,'Commodity Prices'!$B$9:$B$2500,4)+
COUNTIFS('Commodity Prices'!$A$9:$A$2500,'Copper-Lead-Zinc - Prices'!G18,'Commodity Prices'!$B$9:$B$2500,1)+
COUNTIFS('Commodity Prices'!$A$9:$A$2500,'Copper-Lead-Zinc - Prices'!G18,'Commodity Prices'!$B$9:$B$2500,2))</f>
        <v>1022.6725</v>
      </c>
    </row>
    <row r="19" spans="1:14">
      <c r="A19" s="418">
        <f>LARGE('Commodity Prices'!C$159:C$902,51)</f>
        <v>43739</v>
      </c>
      <c r="B19" s="524">
        <f>SUMIF('Commodity Prices'!$C$159:$C$902,$A19,'Commodity Prices'!O$159:O$902)</f>
        <v>5742.89</v>
      </c>
      <c r="C19" s="524">
        <f>SUMIF('Commodity Prices'!$C$159:$C$902,$A19,'Commodity Prices'!Q$159:Q$902)</f>
        <v>2184.3000000000002</v>
      </c>
      <c r="D19" s="489">
        <f>SUMIF('Commodity Prices'!$C$159:$C$902,$A19,'Commodity Prices'!S$159:S$902)</f>
        <v>2445.59</v>
      </c>
      <c r="E19" s="8"/>
      <c r="F19" s="70">
        <f t="shared" si="0"/>
        <v>1996</v>
      </c>
      <c r="G19" s="70">
        <f t="shared" si="0"/>
        <v>1997</v>
      </c>
      <c r="H19" s="520">
        <f t="shared" si="1"/>
        <v>1996</v>
      </c>
      <c r="I19" s="565">
        <f t="array" ref="I19">IF($H$6="Historic Calendar Year",IFERROR(AVERAGE(IF($H19=YEAR('Commodity Prices'!C$100:C$1000),'Commodity Prices'!O$100:O$1000)),"NA"),IFERROR(IF(L19=0,"N/A",L19),"N/A"))</f>
        <v>2294.1083333333331</v>
      </c>
      <c r="J19" s="565">
        <f t="array" ref="J19">IF($H$6="Historic Calendar Year",IFERROR(AVERAGE(IF($H19=YEAR('Commodity Prices'!C$100:C$1000),'Commodity Prices'!Q$100:Q$1000)),"NA"),IFERROR(IF(M19=0,"N/A",M19),"N/A"))</f>
        <v>774.58583333333343</v>
      </c>
      <c r="K19" s="489">
        <f t="array" ref="K19">IF($H$6="Historic Calendar Year",IFERROR(AVERAGE(IF($H19=YEAR('Commodity Prices'!C$100:C$1000),'Commodity Prices'!S$100:S$1000)),"N/A"),IFERROR(IF(N19=0,"N/A",N19),"N/A"))</f>
        <v>1025.5249999999999</v>
      </c>
      <c r="L19" s="228">
        <f>(SUMIFS('Commodity Prices'!$O$9:$O$2500,'Commodity Prices'!$A$9:$A$2500,'Copper-Lead-Zinc - Prices'!F19,'Commodity Prices'!$B$9:$B$2500,3)+
SUMIFS('Commodity Prices'!$O$9:$O$2500,'Commodity Prices'!$A$9:$A$2500,'Copper-Lead-Zinc - Prices'!F19,'Commodity Prices'!$B$9:$B$2500,4)+
SUMIFS('Commodity Prices'!$O$9:$O$2500,'Commodity Prices'!$A$9:$A$2500,'Copper-Lead-Zinc - Prices'!G19,'Commodity Prices'!$B$9:$B$2500,1)+
SUMIFS('Commodity Prices'!$O$9:$O$2500,'Commodity Prices'!$A$9:$A$2500,'Copper-Lead-Zinc - Prices'!G19,'Commodity Prices'!$B$9:$B$2500,2))
/(COUNTIFS('Commodity Prices'!$A$9:$A$2500,'Copper-Lead-Zinc - Prices'!F19,'Commodity Prices'!$B$9:$B$2500,3)+
COUNTIFS('Commodity Prices'!$A$9:$A$2500,'Copper-Lead-Zinc - Prices'!F19,'Commodity Prices'!$B$9:$B$2500,4)+
COUNTIFS('Commodity Prices'!$A$9:$A$2500,'Copper-Lead-Zinc - Prices'!G19,'Commodity Prices'!$B$9:$B$2500,1)+
COUNTIFS('Commodity Prices'!$A$9:$A$2500,'Copper-Lead-Zinc - Prices'!G19,'Commodity Prices'!$B$9:$B$2500,2))</f>
        <v>2225.6583333333333</v>
      </c>
      <c r="M19" s="228">
        <f>(SUMIFS('Commodity Prices'!$Q$9:$Q$2500,'Commodity Prices'!$A$9:$A$2500,'Copper-Lead-Zinc - Prices'!F19,'Commodity Prices'!$B$9:$B$2500,3)+
SUMIFS('Commodity Prices'!$Q$9:$Q$2500,'Commodity Prices'!$A$9:$A$2500,'Copper-Lead-Zinc - Prices'!F19,'Commodity Prices'!$B$9:$B$2500,4)+
SUMIFS('Commodity Prices'!$Q$9:$Q$2500,'Commodity Prices'!$A$9:$A$2500,'Copper-Lead-Zinc - Prices'!G19,'Commodity Prices'!$B$9:$B$2500,1)+
SUMIFS('Commodity Prices'!$Q$9:$Q$2500,'Commodity Prices'!$A$9:$A$2500,'Copper-Lead-Zinc - Prices'!G19,'Commodity Prices'!$B$9:$B$2500,2))
/(COUNTIFS('Commodity Prices'!$A$9:$A$2500,'Copper-Lead-Zinc - Prices'!F19,'Commodity Prices'!$B$9:$B$2500,3)+
COUNTIFS('Commodity Prices'!$A$9:$A$2500,'Copper-Lead-Zinc - Prices'!F19,'Commodity Prices'!$B$9:$B$2500,4)+
COUNTIFS('Commodity Prices'!$A$9:$A$2500,'Copper-Lead-Zinc - Prices'!G19,'Commodity Prices'!$B$9:$B$2500,1)+
COUNTIFS('Commodity Prices'!$A$9:$A$2500,'Copper-Lead-Zinc - Prices'!G19,'Commodity Prices'!$B$9:$B$2500,2))</f>
        <v>705.82416666666666</v>
      </c>
      <c r="N19" s="228">
        <f>(SUMIFS('Commodity Prices'!$S$9:$S$2500,'Commodity Prices'!$A$9:$A$2500,'Copper-Lead-Zinc - Prices'!F19,'Commodity Prices'!$B$9:$B$2500,3)+
SUMIFS('Commodity Prices'!$S$9:$S$2500,'Commodity Prices'!$A$9:$A$2500,'Copper-Lead-Zinc - Prices'!F19,'Commodity Prices'!$B$9:$B$2500,4)+
SUMIFS('Commodity Prices'!$S$9:$S$2500,'Commodity Prices'!$A$9:$A$2500,'Copper-Lead-Zinc - Prices'!G19,'Commodity Prices'!$B$9:$B$2500,1)+
SUMIFS('Commodity Prices'!$S$9:$S$2500,'Commodity Prices'!$A$9:$A$2500,'Copper-Lead-Zinc - Prices'!G19,'Commodity Prices'!$B$9:$B$2500,2))
/(COUNTIFS('Commodity Prices'!$A$9:$A$2500,'Copper-Lead-Zinc - Prices'!F19,'Commodity Prices'!$B$9:$B$2500,3)+
COUNTIFS('Commodity Prices'!$A$9:$A$2500,'Copper-Lead-Zinc - Prices'!F19,'Commodity Prices'!$B$9:$B$2500,4)+
COUNTIFS('Commodity Prices'!$A$9:$A$2500,'Copper-Lead-Zinc - Prices'!G19,'Commodity Prices'!$B$9:$B$2500,1)+
COUNTIFS('Commodity Prices'!$A$9:$A$2500,'Copper-Lead-Zinc - Prices'!G19,'Commodity Prices'!$B$9:$B$2500,2))</f>
        <v>1126.7083333333333</v>
      </c>
    </row>
    <row r="20" spans="1:14">
      <c r="A20" s="396">
        <f>LARGE('Commodity Prices'!C$159:C$902,50)</f>
        <v>43770</v>
      </c>
      <c r="B20" s="523">
        <f>SUMIF('Commodity Prices'!$C$159:$C$902,$A20,'Commodity Prices'!O$159:O$902)</f>
        <v>5859.69</v>
      </c>
      <c r="C20" s="523">
        <f>SUMIF('Commodity Prices'!$C$159:$C$902,$A20,'Commodity Prices'!Q$159:Q$902)</f>
        <v>2031.9</v>
      </c>
      <c r="D20" s="525">
        <f>SUMIF('Commodity Prices'!$C$159:$C$902,$A20,'Commodity Prices'!S$159:S$902)</f>
        <v>2432.9499999999998</v>
      </c>
      <c r="E20" s="8"/>
      <c r="F20" s="70">
        <f t="shared" si="0"/>
        <v>1997</v>
      </c>
      <c r="G20" s="70">
        <f t="shared" si="0"/>
        <v>1998</v>
      </c>
      <c r="H20" s="519">
        <f t="shared" si="1"/>
        <v>1997</v>
      </c>
      <c r="I20" s="1181">
        <f t="array" ref="I20">IF($H$6="Historic Calendar Year",IFERROR(AVERAGE(IF($H20=YEAR('Commodity Prices'!C$100:C$1000),'Commodity Prices'!O$100:O$1000)),"NA"),IFERROR(IF(L20=0,"N/A",L20),"N/A"))</f>
        <v>2249.2249999999999</v>
      </c>
      <c r="J20" s="1181">
        <f t="array" ref="J20">IF($H$6="Historic Calendar Year",IFERROR(AVERAGE(IF($H20=YEAR('Commodity Prices'!C$100:C$1000),'Commodity Prices'!Q$100:Q$1000)),"NA"),IFERROR(IF(M20=0,"N/A",M20),"N/A"))</f>
        <v>624.17250000000001</v>
      </c>
      <c r="K20" s="525">
        <f t="array" ref="K20">IF($H$6="Historic Calendar Year",IFERROR(AVERAGE(IF($H20=YEAR('Commodity Prices'!C$100:C$1000),'Commodity Prices'!S$100:S$1000)),"N/A"),IFERROR(IF(N20=0,"N/A",N20),"N/A"))</f>
        <v>1316.3666666666666</v>
      </c>
      <c r="L20" s="228">
        <f>(SUMIFS('Commodity Prices'!$O$9:$O$2500,'Commodity Prices'!$A$9:$A$2500,'Copper-Lead-Zinc - Prices'!F20,'Commodity Prices'!$B$9:$B$2500,3)+
SUMIFS('Commodity Prices'!$O$9:$O$2500,'Commodity Prices'!$A$9:$A$2500,'Copper-Lead-Zinc - Prices'!F20,'Commodity Prices'!$B$9:$B$2500,4)+
SUMIFS('Commodity Prices'!$O$9:$O$2500,'Commodity Prices'!$A$9:$A$2500,'Copper-Lead-Zinc - Prices'!G20,'Commodity Prices'!$B$9:$B$2500,1)+
SUMIFS('Commodity Prices'!$O$9:$O$2500,'Commodity Prices'!$A$9:$A$2500,'Copper-Lead-Zinc - Prices'!G20,'Commodity Prices'!$B$9:$B$2500,2))
/(COUNTIFS('Commodity Prices'!$A$9:$A$2500,'Copper-Lead-Zinc - Prices'!F20,'Commodity Prices'!$B$9:$B$2500,3)+
COUNTIFS('Commodity Prices'!$A$9:$A$2500,'Copper-Lead-Zinc - Prices'!F20,'Commodity Prices'!$B$9:$B$2500,4)+
COUNTIFS('Commodity Prices'!$A$9:$A$2500,'Copper-Lead-Zinc - Prices'!G20,'Commodity Prices'!$B$9:$B$2500,1)+
COUNTIFS('Commodity Prices'!$A$9:$A$2500,'Copper-Lead-Zinc - Prices'!G20,'Commodity Prices'!$B$9:$B$2500,2))</f>
        <v>1914.0150000000001</v>
      </c>
      <c r="M20" s="228">
        <f>(SUMIFS('Commodity Prices'!$Q$9:$Q$2500,'Commodity Prices'!$A$9:$A$2500,'Copper-Lead-Zinc - Prices'!F20,'Commodity Prices'!$B$9:$B$2500,3)+
SUMIFS('Commodity Prices'!$Q$9:$Q$2500,'Commodity Prices'!$A$9:$A$2500,'Copper-Lead-Zinc - Prices'!F20,'Commodity Prices'!$B$9:$B$2500,4)+
SUMIFS('Commodity Prices'!$Q$9:$Q$2500,'Commodity Prices'!$A$9:$A$2500,'Copper-Lead-Zinc - Prices'!G20,'Commodity Prices'!$B$9:$B$2500,1)+
SUMIFS('Commodity Prices'!$Q$9:$Q$2500,'Commodity Prices'!$A$9:$A$2500,'Copper-Lead-Zinc - Prices'!G20,'Commodity Prices'!$B$9:$B$2500,2))
/(COUNTIFS('Commodity Prices'!$A$9:$A$2500,'Copper-Lead-Zinc - Prices'!F20,'Commodity Prices'!$B$9:$B$2500,3)+
COUNTIFS('Commodity Prices'!$A$9:$A$2500,'Copper-Lead-Zinc - Prices'!F20,'Commodity Prices'!$B$9:$B$2500,4)+
COUNTIFS('Commodity Prices'!$A$9:$A$2500,'Copper-Lead-Zinc - Prices'!G20,'Commodity Prices'!$B$9:$B$2500,1)+
COUNTIFS('Commodity Prices'!$A$9:$A$2500,'Copper-Lead-Zinc - Prices'!G20,'Commodity Prices'!$B$9:$B$2500,2))</f>
        <v>568.22166666666669</v>
      </c>
      <c r="N20" s="228">
        <f>(SUMIFS('Commodity Prices'!$S$9:$S$2500,'Commodity Prices'!$A$9:$A$2500,'Copper-Lead-Zinc - Prices'!F20,'Commodity Prices'!$B$9:$B$2500,3)+
SUMIFS('Commodity Prices'!$S$9:$S$2500,'Commodity Prices'!$A$9:$A$2500,'Copper-Lead-Zinc - Prices'!F20,'Commodity Prices'!$B$9:$B$2500,4)+
SUMIFS('Commodity Prices'!$S$9:$S$2500,'Commodity Prices'!$A$9:$A$2500,'Copper-Lead-Zinc - Prices'!G20,'Commodity Prices'!$B$9:$B$2500,1)+
SUMIFS('Commodity Prices'!$S$9:$S$2500,'Commodity Prices'!$A$9:$A$2500,'Copper-Lead-Zinc - Prices'!G20,'Commodity Prices'!$B$9:$B$2500,2))
/(COUNTIFS('Commodity Prices'!$A$9:$A$2500,'Copper-Lead-Zinc - Prices'!F20,'Commodity Prices'!$B$9:$B$2500,3)+
COUNTIFS('Commodity Prices'!$A$9:$A$2500,'Copper-Lead-Zinc - Prices'!F20,'Commodity Prices'!$B$9:$B$2500,4)+
COUNTIFS('Commodity Prices'!$A$9:$A$2500,'Copper-Lead-Zinc - Prices'!G20,'Commodity Prices'!$B$9:$B$2500,1)+
COUNTIFS('Commodity Prices'!$A$9:$A$2500,'Copper-Lead-Zinc - Prices'!G20,'Commodity Prices'!$B$9:$B$2500,2))</f>
        <v>1227.3683333333336</v>
      </c>
    </row>
    <row r="21" spans="1:14">
      <c r="A21" s="418">
        <f>LARGE('Commodity Prices'!C$159:C$902,49)</f>
        <v>43800</v>
      </c>
      <c r="B21" s="524">
        <f>SUMIF('Commodity Prices'!$C$159:$C$902,$A21,'Commodity Prices'!O$159:O$902)</f>
        <v>6062.43</v>
      </c>
      <c r="C21" s="524">
        <f>SUMIF('Commodity Prices'!$C$159:$C$902,$A21,'Commodity Prices'!Q$159:Q$902)</f>
        <v>1899.25</v>
      </c>
      <c r="D21" s="489">
        <f>SUMIF('Commodity Prices'!$C$159:$C$902,$A21,'Commodity Prices'!S$159:S$902)</f>
        <v>2274.0300000000002</v>
      </c>
      <c r="E21" s="8"/>
      <c r="F21" s="70">
        <f t="shared" si="0"/>
        <v>1998</v>
      </c>
      <c r="G21" s="70">
        <f t="shared" si="0"/>
        <v>1999</v>
      </c>
      <c r="H21" s="520">
        <f t="shared" si="1"/>
        <v>1998</v>
      </c>
      <c r="I21" s="565">
        <f t="array" ref="I21">IF($H$6="Historic Calendar Year",IFERROR(AVERAGE(IF($H21=YEAR('Commodity Prices'!C$100:C$1000),'Commodity Prices'!O$100:O$1000)),"NA"),IFERROR(IF(L21=0,"N/A",L21),"N/A"))</f>
        <v>1654.0576666666666</v>
      </c>
      <c r="J21" s="565">
        <f t="array" ref="J21">IF($H$6="Historic Calendar Year",IFERROR(AVERAGE(IF($H21=YEAR('Commodity Prices'!C$100:C$1000),'Commodity Prices'!Q$100:Q$1000)),"NA"),IFERROR(IF(M21=0,"N/A",M21),"N/A"))</f>
        <v>528.65250000000003</v>
      </c>
      <c r="K21" s="489">
        <f t="array" ref="K21">IF($H$6="Historic Calendar Year",IFERROR(AVERAGE(IF($H21=YEAR('Commodity Prices'!C$100:C$1000),'Commodity Prices'!S$100:S$1000)),"N/A"),IFERROR(IF(N21=0,"N/A",N21),"N/A"))</f>
        <v>1024.4920833333333</v>
      </c>
      <c r="L21" s="228">
        <f>(SUMIFS('Commodity Prices'!$O$9:$O$2500,'Commodity Prices'!$A$9:$A$2500,'Copper-Lead-Zinc - Prices'!F21,'Commodity Prices'!$B$9:$B$2500,3)+
SUMIFS('Commodity Prices'!$O$9:$O$2500,'Commodity Prices'!$A$9:$A$2500,'Copper-Lead-Zinc - Prices'!F21,'Commodity Prices'!$B$9:$B$2500,4)+
SUMIFS('Commodity Prices'!$O$9:$O$2500,'Commodity Prices'!$A$9:$A$2500,'Copper-Lead-Zinc - Prices'!G21,'Commodity Prices'!$B$9:$B$2500,1)+
SUMIFS('Commodity Prices'!$O$9:$O$2500,'Commodity Prices'!$A$9:$A$2500,'Copper-Lead-Zinc - Prices'!G21,'Commodity Prices'!$B$9:$B$2500,2))
/(COUNTIFS('Commodity Prices'!$A$9:$A$2500,'Copper-Lead-Zinc - Prices'!F21,'Commodity Prices'!$B$9:$B$2500,3)+
COUNTIFS('Commodity Prices'!$A$9:$A$2500,'Copper-Lead-Zinc - Prices'!F21,'Commodity Prices'!$B$9:$B$2500,4)+
COUNTIFS('Commodity Prices'!$A$9:$A$2500,'Copper-Lead-Zinc - Prices'!G21,'Commodity Prices'!$B$9:$B$2500,1)+
COUNTIFS('Commodity Prices'!$A$9:$A$2500,'Copper-Lead-Zinc - Prices'!G21,'Commodity Prices'!$B$9:$B$2500,2))</f>
        <v>1514.4481666666668</v>
      </c>
      <c r="M21" s="228">
        <f>(SUMIFS('Commodity Prices'!$Q$9:$Q$2500,'Commodity Prices'!$A$9:$A$2500,'Copper-Lead-Zinc - Prices'!F21,'Commodity Prices'!$B$9:$B$2500,3)+
SUMIFS('Commodity Prices'!$Q$9:$Q$2500,'Commodity Prices'!$A$9:$A$2500,'Copper-Lead-Zinc - Prices'!F21,'Commodity Prices'!$B$9:$B$2500,4)+
SUMIFS('Commodity Prices'!$Q$9:$Q$2500,'Commodity Prices'!$A$9:$A$2500,'Copper-Lead-Zinc - Prices'!G21,'Commodity Prices'!$B$9:$B$2500,1)+
SUMIFS('Commodity Prices'!$Q$9:$Q$2500,'Commodity Prices'!$A$9:$A$2500,'Copper-Lead-Zinc - Prices'!G21,'Commodity Prices'!$B$9:$B$2500,2))
/(COUNTIFS('Commodity Prices'!$A$9:$A$2500,'Copper-Lead-Zinc - Prices'!F21,'Commodity Prices'!$B$9:$B$2500,3)+
COUNTIFS('Commodity Prices'!$A$9:$A$2500,'Copper-Lead-Zinc - Prices'!F21,'Commodity Prices'!$B$9:$B$2500,4)+
COUNTIFS('Commodity Prices'!$A$9:$A$2500,'Copper-Lead-Zinc - Prices'!G21,'Commodity Prices'!$B$9:$B$2500,1)+
COUNTIFS('Commodity Prices'!$A$9:$A$2500,'Copper-Lead-Zinc - Prices'!G21,'Commodity Prices'!$B$9:$B$2500,2))</f>
        <v>513.51841666666667</v>
      </c>
      <c r="N21" s="228">
        <f>(SUMIFS('Commodity Prices'!$S$9:$S$2500,'Commodity Prices'!$A$9:$A$2500,'Copper-Lead-Zinc - Prices'!F21,'Commodity Prices'!$B$9:$B$2500,3)+
SUMIFS('Commodity Prices'!$S$9:$S$2500,'Commodity Prices'!$A$9:$A$2500,'Copper-Lead-Zinc - Prices'!F21,'Commodity Prices'!$B$9:$B$2500,4)+
SUMIFS('Commodity Prices'!$S$9:$S$2500,'Commodity Prices'!$A$9:$A$2500,'Copper-Lead-Zinc - Prices'!G21,'Commodity Prices'!$B$9:$B$2500,1)+
SUMIFS('Commodity Prices'!$S$9:$S$2500,'Commodity Prices'!$A$9:$A$2500,'Copper-Lead-Zinc - Prices'!G21,'Commodity Prices'!$B$9:$B$2500,2))
/(COUNTIFS('Commodity Prices'!$A$9:$A$2500,'Copper-Lead-Zinc - Prices'!F21,'Commodity Prices'!$B$9:$B$2500,3)+
COUNTIFS('Commodity Prices'!$A$9:$A$2500,'Copper-Lead-Zinc - Prices'!F21,'Commodity Prices'!$B$9:$B$2500,4)+
COUNTIFS('Commodity Prices'!$A$9:$A$2500,'Copper-Lead-Zinc - Prices'!G21,'Commodity Prices'!$B$9:$B$2500,1)+
COUNTIFS('Commodity Prices'!$A$9:$A$2500,'Copper-Lead-Zinc - Prices'!G21,'Commodity Prices'!$B$9:$B$2500,2))</f>
        <v>998.12333333333333</v>
      </c>
    </row>
    <row r="22" spans="1:14">
      <c r="A22" s="396">
        <f>LARGE('Commodity Prices'!C$159:C$902,48)</f>
        <v>43831</v>
      </c>
      <c r="B22" s="523">
        <f>SUMIF('Commodity Prices'!$C$159:$C$902,$A22,'Commodity Prices'!O$159:O$902)</f>
        <v>6049.2</v>
      </c>
      <c r="C22" s="523">
        <f>SUMIF('Commodity Prices'!$C$159:$C$902,$A22,'Commodity Prices'!Q$159:Q$902)</f>
        <v>1925.16</v>
      </c>
      <c r="D22" s="525">
        <f>SUMIF('Commodity Prices'!$C$159:$C$902,$A22,'Commodity Prices'!S$159:S$902)</f>
        <v>2357.27</v>
      </c>
      <c r="E22" s="8"/>
      <c r="F22" s="70">
        <f t="shared" si="0"/>
        <v>1999</v>
      </c>
      <c r="G22" s="70">
        <f t="shared" si="0"/>
        <v>2000</v>
      </c>
      <c r="H22" s="519">
        <f t="shared" si="1"/>
        <v>1999</v>
      </c>
      <c r="I22" s="1181">
        <f t="array" ref="I22">IF($H$6="Historic Calendar Year",IFERROR(AVERAGE(IF($H22=YEAR('Commodity Prices'!C$100:C$1000),'Commodity Prices'!O$100:O$1000)),"NA"),IFERROR(IF(L22=0,"N/A",L22),"N/A"))</f>
        <v>1572.8538333333333</v>
      </c>
      <c r="J22" s="1181">
        <f t="array" ref="J22">IF($H$6="Historic Calendar Year",IFERROR(AVERAGE(IF($H22=YEAR('Commodity Prices'!C$100:C$1000),'Commodity Prices'!Q$100:Q$1000)),"NA"),IFERROR(IF(M22=0,"N/A",M22),"N/A"))</f>
        <v>502.53925000000004</v>
      </c>
      <c r="K22" s="525">
        <f t="array" ref="K22">IF($H$6="Historic Calendar Year",IFERROR(AVERAGE(IF($H22=YEAR('Commodity Prices'!C$100:C$1000),'Commodity Prices'!S$100:S$1000)),"N/A"),IFERROR(IF(N22=0,"N/A",N22),"N/A"))</f>
        <v>1076.3670833333333</v>
      </c>
      <c r="L22" s="228">
        <f>(SUMIFS('Commodity Prices'!$O$9:$O$2500,'Commodity Prices'!$A$9:$A$2500,'Copper-Lead-Zinc - Prices'!F22,'Commodity Prices'!$B$9:$B$2500,3)+
SUMIFS('Commodity Prices'!$O$9:$O$2500,'Commodity Prices'!$A$9:$A$2500,'Copper-Lead-Zinc - Prices'!F22,'Commodity Prices'!$B$9:$B$2500,4)+
SUMIFS('Commodity Prices'!$O$9:$O$2500,'Commodity Prices'!$A$9:$A$2500,'Copper-Lead-Zinc - Prices'!G22,'Commodity Prices'!$B$9:$B$2500,1)+
SUMIFS('Commodity Prices'!$O$9:$O$2500,'Commodity Prices'!$A$9:$A$2500,'Copper-Lead-Zinc - Prices'!G22,'Commodity Prices'!$B$9:$B$2500,2))
/(COUNTIFS('Commodity Prices'!$A$9:$A$2500,'Copper-Lead-Zinc - Prices'!F22,'Commodity Prices'!$B$9:$B$2500,3)+
COUNTIFS('Commodity Prices'!$A$9:$A$2500,'Copper-Lead-Zinc - Prices'!F22,'Commodity Prices'!$B$9:$B$2500,4)+
COUNTIFS('Commodity Prices'!$A$9:$A$2500,'Copper-Lead-Zinc - Prices'!G22,'Commodity Prices'!$B$9:$B$2500,1)+
COUNTIFS('Commodity Prices'!$A$9:$A$2500,'Copper-Lead-Zinc - Prices'!G22,'Commodity Prices'!$B$9:$B$2500,2))</f>
        <v>1738.0108333333335</v>
      </c>
      <c r="M22" s="228">
        <f>(SUMIFS('Commodity Prices'!$Q$9:$Q$2500,'Commodity Prices'!$A$9:$A$2500,'Copper-Lead-Zinc - Prices'!F22,'Commodity Prices'!$B$9:$B$2500,3)+
SUMIFS('Commodity Prices'!$Q$9:$Q$2500,'Commodity Prices'!$A$9:$A$2500,'Copper-Lead-Zinc - Prices'!F22,'Commodity Prices'!$B$9:$B$2500,4)+
SUMIFS('Commodity Prices'!$Q$9:$Q$2500,'Commodity Prices'!$A$9:$A$2500,'Copper-Lead-Zinc - Prices'!G22,'Commodity Prices'!$B$9:$B$2500,1)+
SUMIFS('Commodity Prices'!$Q$9:$Q$2500,'Commodity Prices'!$A$9:$A$2500,'Copper-Lead-Zinc - Prices'!G22,'Commodity Prices'!$B$9:$B$2500,2))
/(COUNTIFS('Commodity Prices'!$A$9:$A$2500,'Copper-Lead-Zinc - Prices'!F22,'Commodity Prices'!$B$9:$B$2500,3)+
COUNTIFS('Commodity Prices'!$A$9:$A$2500,'Copper-Lead-Zinc - Prices'!F22,'Commodity Prices'!$B$9:$B$2500,4)+
COUNTIFS('Commodity Prices'!$A$9:$A$2500,'Copper-Lead-Zinc - Prices'!G22,'Commodity Prices'!$B$9:$B$2500,1)+
COUNTIFS('Commodity Prices'!$A$9:$A$2500,'Copper-Lead-Zinc - Prices'!G22,'Commodity Prices'!$B$9:$B$2500,2))</f>
        <v>464.87249999999995</v>
      </c>
      <c r="N22" s="228">
        <f>(SUMIFS('Commodity Prices'!$S$9:$S$2500,'Commodity Prices'!$A$9:$A$2500,'Copper-Lead-Zinc - Prices'!F22,'Commodity Prices'!$B$9:$B$2500,3)+
SUMIFS('Commodity Prices'!$S$9:$S$2500,'Commodity Prices'!$A$9:$A$2500,'Copper-Lead-Zinc - Prices'!F22,'Commodity Prices'!$B$9:$B$2500,4)+
SUMIFS('Commodity Prices'!$S$9:$S$2500,'Commodity Prices'!$A$9:$A$2500,'Copper-Lead-Zinc - Prices'!G22,'Commodity Prices'!$B$9:$B$2500,1)+
SUMIFS('Commodity Prices'!$S$9:$S$2500,'Commodity Prices'!$A$9:$A$2500,'Copper-Lead-Zinc - Prices'!G22,'Commodity Prices'!$B$9:$B$2500,2))
/(COUNTIFS('Commodity Prices'!$A$9:$A$2500,'Copper-Lead-Zinc - Prices'!F22,'Commodity Prices'!$B$9:$B$2500,3)+
COUNTIFS('Commodity Prices'!$A$9:$A$2500,'Copper-Lead-Zinc - Prices'!F22,'Commodity Prices'!$B$9:$B$2500,4)+
COUNTIFS('Commodity Prices'!$A$9:$A$2500,'Copper-Lead-Zinc - Prices'!G22,'Commodity Prices'!$B$9:$B$2500,1)+
COUNTIFS('Commodity Prices'!$A$9:$A$2500,'Copper-Lead-Zinc - Prices'!G22,'Commodity Prices'!$B$9:$B$2500,2))</f>
        <v>1139.0508333333335</v>
      </c>
    </row>
    <row r="23" spans="1:14">
      <c r="A23" s="418">
        <f>LARGE('Commodity Prices'!C$159:C$902,47)</f>
        <v>43862</v>
      </c>
      <c r="B23" s="524">
        <f>SUMIF('Commodity Prices'!$C$159:$C$902,$A23,'Commodity Prices'!O$159:O$902)</f>
        <v>5686.45</v>
      </c>
      <c r="C23" s="524">
        <f>SUMIF('Commodity Prices'!$C$159:$C$902,$A23,'Commodity Prices'!Q$159:Q$902)</f>
        <v>1872.3</v>
      </c>
      <c r="D23" s="489">
        <f>SUMIF('Commodity Prices'!$C$159:$C$902,$A23,'Commodity Prices'!S$159:S$902)</f>
        <v>2120.48</v>
      </c>
      <c r="E23" s="8"/>
      <c r="F23" s="70">
        <f t="shared" si="0"/>
        <v>2000</v>
      </c>
      <c r="G23" s="70">
        <f t="shared" si="0"/>
        <v>2001</v>
      </c>
      <c r="H23" s="520">
        <f t="shared" si="1"/>
        <v>2000</v>
      </c>
      <c r="I23" s="565">
        <f t="array" ref="I23">IF($H$6="Historic Calendar Year",IFERROR(AVERAGE(IF($H23=YEAR('Commodity Prices'!C$100:C$1000),'Commodity Prices'!O$100:O$1000)),"NA"),IFERROR(IF(L23=0,"N/A",L23),"N/A"))</f>
        <v>1813.4683333333332</v>
      </c>
      <c r="J23" s="565">
        <f t="array" ref="J23">IF($H$6="Historic Calendar Year",IFERROR(AVERAGE(IF($H23=YEAR('Commodity Prices'!C$100:C$1000),'Commodity Prices'!Q$100:Q$1000)),"NA"),IFERROR(IF(M23=0,"N/A",M23),"N/A"))</f>
        <v>453.94416666666666</v>
      </c>
      <c r="K23" s="489">
        <f t="array" ref="K23">IF($H$6="Historic Calendar Year",IFERROR(AVERAGE(IF($H23=YEAR('Commodity Prices'!C$100:C$1000),'Commodity Prices'!S$100:S$1000)),"N/A"),IFERROR(IF(N23=0,"N/A",N23),"N/A"))</f>
        <v>1128.085</v>
      </c>
      <c r="L23" s="228">
        <f>(SUMIFS('Commodity Prices'!$O$9:$O$2500,'Commodity Prices'!$A$9:$A$2500,'Copper-Lead-Zinc - Prices'!F23,'Commodity Prices'!$B$9:$B$2500,3)+
SUMIFS('Commodity Prices'!$O$9:$O$2500,'Commodity Prices'!$A$9:$A$2500,'Copper-Lead-Zinc - Prices'!F23,'Commodity Prices'!$B$9:$B$2500,4)+
SUMIFS('Commodity Prices'!$O$9:$O$2500,'Commodity Prices'!$A$9:$A$2500,'Copper-Lead-Zinc - Prices'!G23,'Commodity Prices'!$B$9:$B$2500,1)+
SUMIFS('Commodity Prices'!$O$9:$O$2500,'Commodity Prices'!$A$9:$A$2500,'Copper-Lead-Zinc - Prices'!G23,'Commodity Prices'!$B$9:$B$2500,2))
/(COUNTIFS('Commodity Prices'!$A$9:$A$2500,'Copper-Lead-Zinc - Prices'!F23,'Commodity Prices'!$B$9:$B$2500,3)+
COUNTIFS('Commodity Prices'!$A$9:$A$2500,'Copper-Lead-Zinc - Prices'!F23,'Commodity Prices'!$B$9:$B$2500,4)+
COUNTIFS('Commodity Prices'!$A$9:$A$2500,'Copper-Lead-Zinc - Prices'!G23,'Commodity Prices'!$B$9:$B$2500,1)+
COUNTIFS('Commodity Prices'!$A$9:$A$2500,'Copper-Lead-Zinc - Prices'!G23,'Commodity Prices'!$B$9:$B$2500,2))</f>
        <v>1783.8841666666667</v>
      </c>
      <c r="M23" s="228">
        <f>(SUMIFS('Commodity Prices'!$Q$9:$Q$2500,'Commodity Prices'!$A$9:$A$2500,'Copper-Lead-Zinc - Prices'!F23,'Commodity Prices'!$B$9:$B$2500,3)+
SUMIFS('Commodity Prices'!$Q$9:$Q$2500,'Commodity Prices'!$A$9:$A$2500,'Copper-Lead-Zinc - Prices'!F23,'Commodity Prices'!$B$9:$B$2500,4)+
SUMIFS('Commodity Prices'!$Q$9:$Q$2500,'Commodity Prices'!$A$9:$A$2500,'Copper-Lead-Zinc - Prices'!G23,'Commodity Prices'!$B$9:$B$2500,1)+
SUMIFS('Commodity Prices'!$Q$9:$Q$2500,'Commodity Prices'!$A$9:$A$2500,'Copper-Lead-Zinc - Prices'!G23,'Commodity Prices'!$B$9:$B$2500,2))
/(COUNTIFS('Commodity Prices'!$A$9:$A$2500,'Copper-Lead-Zinc - Prices'!F23,'Commodity Prices'!$B$9:$B$2500,3)+
COUNTIFS('Commodity Prices'!$A$9:$A$2500,'Copper-Lead-Zinc - Prices'!F23,'Commodity Prices'!$B$9:$B$2500,4)+
COUNTIFS('Commodity Prices'!$A$9:$A$2500,'Copper-Lead-Zinc - Prices'!G23,'Commodity Prices'!$B$9:$B$2500,1)+
COUNTIFS('Commodity Prices'!$A$9:$A$2500,'Copper-Lead-Zinc - Prices'!G23,'Commodity Prices'!$B$9:$B$2500,2))</f>
        <v>474.60750000000002</v>
      </c>
      <c r="N23" s="228">
        <f>(SUMIFS('Commodity Prices'!$S$9:$S$2500,'Commodity Prices'!$A$9:$A$2500,'Copper-Lead-Zinc - Prices'!F23,'Commodity Prices'!$B$9:$B$2500,3)+
SUMIFS('Commodity Prices'!$S$9:$S$2500,'Commodity Prices'!$A$9:$A$2500,'Copper-Lead-Zinc - Prices'!F23,'Commodity Prices'!$B$9:$B$2500,4)+
SUMIFS('Commodity Prices'!$S$9:$S$2500,'Commodity Prices'!$A$9:$A$2500,'Copper-Lead-Zinc - Prices'!G23,'Commodity Prices'!$B$9:$B$2500,1)+
SUMIFS('Commodity Prices'!$S$9:$S$2500,'Commodity Prices'!$A$9:$A$2500,'Copper-Lead-Zinc - Prices'!G23,'Commodity Prices'!$B$9:$B$2500,2))
/(COUNTIFS('Commodity Prices'!$A$9:$A$2500,'Copper-Lead-Zinc - Prices'!F23,'Commodity Prices'!$B$9:$B$2500,3)+
COUNTIFS('Commodity Prices'!$A$9:$A$2500,'Copper-Lead-Zinc - Prices'!F23,'Commodity Prices'!$B$9:$B$2500,4)+
COUNTIFS('Commodity Prices'!$A$9:$A$2500,'Copper-Lead-Zinc - Prices'!G23,'Commodity Prices'!$B$9:$B$2500,1)+
COUNTIFS('Commodity Prices'!$A$9:$A$2500,'Copper-Lead-Zinc - Prices'!G23,'Commodity Prices'!$B$9:$B$2500,2))</f>
        <v>1051.5250000000001</v>
      </c>
    </row>
    <row r="24" spans="1:14">
      <c r="A24" s="396">
        <f>LARGE('Commodity Prices'!C$159:C$902,46)</f>
        <v>43891</v>
      </c>
      <c r="B24" s="523">
        <f>SUMIF('Commodity Prices'!$C$159:$C$902,$A24,'Commodity Prices'!O$159:O$902)</f>
        <v>5178.68</v>
      </c>
      <c r="C24" s="523">
        <f>SUMIF('Commodity Prices'!$C$159:$C$902,$A24,'Commodity Prices'!Q$159:Q$902)</f>
        <v>1744.64</v>
      </c>
      <c r="D24" s="525">
        <f>SUMIF('Commodity Prices'!$C$159:$C$902,$A24,'Commodity Prices'!S$159:S$902)</f>
        <v>1905.61</v>
      </c>
      <c r="E24" s="8"/>
      <c r="F24" s="70">
        <f t="shared" si="0"/>
        <v>2001</v>
      </c>
      <c r="G24" s="70">
        <f t="shared" si="0"/>
        <v>2002</v>
      </c>
      <c r="H24" s="519">
        <f t="shared" si="1"/>
        <v>2001</v>
      </c>
      <c r="I24" s="1181">
        <f t="array" ref="I24">IF($H$6="Historic Calendar Year",IFERROR(AVERAGE(IF($H24=YEAR('Commodity Prices'!C$100:C$1000),'Commodity Prices'!O$100:O$1000)),"NA"),IFERROR(IF(L24=0,"N/A",L24),"N/A"))</f>
        <v>1578.5108333333337</v>
      </c>
      <c r="J24" s="1181">
        <f t="array" ref="J24">IF($H$6="Historic Calendar Year",IFERROR(AVERAGE(IF($H24=YEAR('Commodity Prices'!C$100:C$1000),'Commodity Prices'!Q$100:Q$1000)),"NA"),IFERROR(IF(M24=0,"N/A",M24),"N/A"))</f>
        <v>476.04416666666657</v>
      </c>
      <c r="K24" s="525">
        <f t="array" ref="K24">IF($H$6="Historic Calendar Year",IFERROR(AVERAGE(IF($H24=YEAR('Commodity Prices'!C$100:C$1000),'Commodity Prices'!S$100:S$1000)),"N/A"),IFERROR(IF(N24=0,"N/A",N24),"N/A"))</f>
        <v>886.88583333333327</v>
      </c>
      <c r="L24" s="228">
        <f>(SUMIFS('Commodity Prices'!$O$9:$O$2500,'Commodity Prices'!$A$9:$A$2500,'Copper-Lead-Zinc - Prices'!F24,'Commodity Prices'!$B$9:$B$2500,3)+
SUMIFS('Commodity Prices'!$O$9:$O$2500,'Commodity Prices'!$A$9:$A$2500,'Copper-Lead-Zinc - Prices'!F24,'Commodity Prices'!$B$9:$B$2500,4)+
SUMIFS('Commodity Prices'!$O$9:$O$2500,'Commodity Prices'!$A$9:$A$2500,'Copper-Lead-Zinc - Prices'!G24,'Commodity Prices'!$B$9:$B$2500,1)+
SUMIFS('Commodity Prices'!$O$9:$O$2500,'Commodity Prices'!$A$9:$A$2500,'Copper-Lead-Zinc - Prices'!G24,'Commodity Prices'!$B$9:$B$2500,2))
/(COUNTIFS('Commodity Prices'!$A$9:$A$2500,'Copper-Lead-Zinc - Prices'!F24,'Commodity Prices'!$B$9:$B$2500,3)+
COUNTIFS('Commodity Prices'!$A$9:$A$2500,'Copper-Lead-Zinc - Prices'!F24,'Commodity Prices'!$B$9:$B$2500,4)+
COUNTIFS('Commodity Prices'!$A$9:$A$2500,'Copper-Lead-Zinc - Prices'!G24,'Commodity Prices'!$B$9:$B$2500,1)+
COUNTIFS('Commodity Prices'!$A$9:$A$2500,'Copper-Lead-Zinc - Prices'!G24,'Commodity Prices'!$B$9:$B$2500,2))</f>
        <v>1516.5683333333334</v>
      </c>
      <c r="M24" s="228">
        <f>(SUMIFS('Commodity Prices'!$Q$9:$Q$2500,'Commodity Prices'!$A$9:$A$2500,'Copper-Lead-Zinc - Prices'!F24,'Commodity Prices'!$B$9:$B$2500,3)+
SUMIFS('Commodity Prices'!$Q$9:$Q$2500,'Commodity Prices'!$A$9:$A$2500,'Copper-Lead-Zinc - Prices'!F24,'Commodity Prices'!$B$9:$B$2500,4)+
SUMIFS('Commodity Prices'!$Q$9:$Q$2500,'Commodity Prices'!$A$9:$A$2500,'Copper-Lead-Zinc - Prices'!G24,'Commodity Prices'!$B$9:$B$2500,1)+
SUMIFS('Commodity Prices'!$Q$9:$Q$2500,'Commodity Prices'!$A$9:$A$2500,'Copper-Lead-Zinc - Prices'!G24,'Commodity Prices'!$B$9:$B$2500,2))
/(COUNTIFS('Commodity Prices'!$A$9:$A$2500,'Copper-Lead-Zinc - Prices'!F24,'Commodity Prices'!$B$9:$B$2500,3)+
COUNTIFS('Commodity Prices'!$A$9:$A$2500,'Copper-Lead-Zinc - Prices'!F24,'Commodity Prices'!$B$9:$B$2500,4)+
COUNTIFS('Commodity Prices'!$A$9:$A$2500,'Copper-Lead-Zinc - Prices'!G24,'Commodity Prices'!$B$9:$B$2500,1)+
COUNTIFS('Commodity Prices'!$A$9:$A$2500,'Copper-Lead-Zinc - Prices'!G24,'Commodity Prices'!$B$9:$B$2500,2))</f>
        <v>473.61916666666667</v>
      </c>
      <c r="N24" s="228">
        <f>(SUMIFS('Commodity Prices'!$S$9:$S$2500,'Commodity Prices'!$A$9:$A$2500,'Copper-Lead-Zinc - Prices'!F24,'Commodity Prices'!$B$9:$B$2500,3)+
SUMIFS('Commodity Prices'!$S$9:$S$2500,'Commodity Prices'!$A$9:$A$2500,'Copper-Lead-Zinc - Prices'!F24,'Commodity Prices'!$B$9:$B$2500,4)+
SUMIFS('Commodity Prices'!$S$9:$S$2500,'Commodity Prices'!$A$9:$A$2500,'Copper-Lead-Zinc - Prices'!G24,'Commodity Prices'!$B$9:$B$2500,1)+
SUMIFS('Commodity Prices'!$S$9:$S$2500,'Commodity Prices'!$A$9:$A$2500,'Copper-Lead-Zinc - Prices'!G24,'Commodity Prices'!$B$9:$B$2500,2))
/(COUNTIFS('Commodity Prices'!$A$9:$A$2500,'Copper-Lead-Zinc - Prices'!F24,'Commodity Prices'!$B$9:$B$2500,3)+
COUNTIFS('Commodity Prices'!$A$9:$A$2500,'Copper-Lead-Zinc - Prices'!F24,'Commodity Prices'!$B$9:$B$2500,4)+
COUNTIFS('Commodity Prices'!$A$9:$A$2500,'Copper-Lead-Zinc - Prices'!G24,'Commodity Prices'!$B$9:$B$2500,1)+
COUNTIFS('Commodity Prices'!$A$9:$A$2500,'Copper-Lead-Zinc - Prices'!G24,'Commodity Prices'!$B$9:$B$2500,2))</f>
        <v>791.30250000000012</v>
      </c>
    </row>
    <row r="25" spans="1:14">
      <c r="A25" s="418">
        <f>LARGE('Commodity Prices'!C$159:C$902,45)</f>
        <v>43922</v>
      </c>
      <c r="B25" s="524">
        <f>SUMIF('Commodity Prices'!$C$159:$C$902,$A25,'Commodity Prices'!O$159:O$902)</f>
        <v>5048.25</v>
      </c>
      <c r="C25" s="524">
        <f>SUMIF('Commodity Prices'!$C$159:$C$902,$A25,'Commodity Prices'!Q$159:Q$902)</f>
        <v>1651.53</v>
      </c>
      <c r="D25" s="489">
        <f>SUMIF('Commodity Prices'!$C$159:$C$902,$A25,'Commodity Prices'!S$159:S$902)</f>
        <v>1894.08</v>
      </c>
      <c r="E25" s="8"/>
      <c r="F25" s="70">
        <f t="shared" si="0"/>
        <v>2002</v>
      </c>
      <c r="G25" s="70">
        <f t="shared" si="0"/>
        <v>2003</v>
      </c>
      <c r="H25" s="520">
        <f t="shared" si="1"/>
        <v>2002</v>
      </c>
      <c r="I25" s="565">
        <f t="array" ref="I25">IF($H$6="Historic Calendar Year",IFERROR(AVERAGE(IF($H25=YEAR('Commodity Prices'!C$100:C$1000),'Commodity Prices'!O$100:O$1000)),"NA"),IFERROR(IF(L25=0,"N/A",L25),"N/A"))</f>
        <v>1559.7058333333332</v>
      </c>
      <c r="J25" s="565">
        <f t="array" ref="J25">IF($H$6="Historic Calendar Year",IFERROR(AVERAGE(IF($H25=YEAR('Commodity Prices'!C$100:C$1000),'Commodity Prices'!Q$100:Q$1000)),"NA"),IFERROR(IF(M25=0,"N/A",M25),"N/A"))</f>
        <v>452.72999999999996</v>
      </c>
      <c r="K25" s="489">
        <f t="array" ref="K25">IF($H$6="Historic Calendar Year",IFERROR(AVERAGE(IF($H25=YEAR('Commodity Prices'!C$100:C$1000),'Commodity Prices'!S$100:S$1000)),"N/A"),IFERROR(IF(N25=0,"N/A",N25),"N/A"))</f>
        <v>778.73833333333323</v>
      </c>
      <c r="L25" s="228">
        <f>(SUMIFS('Commodity Prices'!$O$9:$O$2500,'Commodity Prices'!$A$9:$A$2500,'Copper-Lead-Zinc - Prices'!F25,'Commodity Prices'!$B$9:$B$2500,3)+
SUMIFS('Commodity Prices'!$O$9:$O$2500,'Commodity Prices'!$A$9:$A$2500,'Copper-Lead-Zinc - Prices'!F25,'Commodity Prices'!$B$9:$B$2500,4)+
SUMIFS('Commodity Prices'!$O$9:$O$2500,'Commodity Prices'!$A$9:$A$2500,'Copper-Lead-Zinc - Prices'!G25,'Commodity Prices'!$B$9:$B$2500,1)+
SUMIFS('Commodity Prices'!$O$9:$O$2500,'Commodity Prices'!$A$9:$A$2500,'Copper-Lead-Zinc - Prices'!G25,'Commodity Prices'!$B$9:$B$2500,2))
/(COUNTIFS('Commodity Prices'!$A$9:$A$2500,'Copper-Lead-Zinc - Prices'!F25,'Commodity Prices'!$B$9:$B$2500,3)+
COUNTIFS('Commodity Prices'!$A$9:$A$2500,'Copper-Lead-Zinc - Prices'!F25,'Commodity Prices'!$B$9:$B$2500,4)+
COUNTIFS('Commodity Prices'!$A$9:$A$2500,'Copper-Lead-Zinc - Prices'!G25,'Commodity Prices'!$B$9:$B$2500,1)+
COUNTIFS('Commodity Prices'!$A$9:$A$2500,'Copper-Lead-Zinc - Prices'!G25,'Commodity Prices'!$B$9:$B$2500,2))</f>
        <v>1593.8116666666667</v>
      </c>
      <c r="M25" s="228">
        <f>(SUMIFS('Commodity Prices'!$Q$9:$Q$2500,'Commodity Prices'!$A$9:$A$2500,'Copper-Lead-Zinc - Prices'!F25,'Commodity Prices'!$B$9:$B$2500,3)+
SUMIFS('Commodity Prices'!$Q$9:$Q$2500,'Commodity Prices'!$A$9:$A$2500,'Copper-Lead-Zinc - Prices'!F25,'Commodity Prices'!$B$9:$B$2500,4)+
SUMIFS('Commodity Prices'!$Q$9:$Q$2500,'Commodity Prices'!$A$9:$A$2500,'Copper-Lead-Zinc - Prices'!G25,'Commodity Prices'!$B$9:$B$2500,1)+
SUMIFS('Commodity Prices'!$Q$9:$Q$2500,'Commodity Prices'!$A$9:$A$2500,'Copper-Lead-Zinc - Prices'!G25,'Commodity Prices'!$B$9:$B$2500,2))
/(COUNTIFS('Commodity Prices'!$A$9:$A$2500,'Copper-Lead-Zinc - Prices'!F25,'Commodity Prices'!$B$9:$B$2500,3)+
COUNTIFS('Commodity Prices'!$A$9:$A$2500,'Copper-Lead-Zinc - Prices'!F25,'Commodity Prices'!$B$9:$B$2500,4)+
COUNTIFS('Commodity Prices'!$A$9:$A$2500,'Copper-Lead-Zinc - Prices'!G25,'Commodity Prices'!$B$9:$B$2500,1)+
COUNTIFS('Commodity Prices'!$A$9:$A$2500,'Copper-Lead-Zinc - Prices'!G25,'Commodity Prices'!$B$9:$B$2500,2))</f>
        <v>445.11250000000001</v>
      </c>
      <c r="N25" s="228">
        <f>(SUMIFS('Commodity Prices'!$S$9:$S$2500,'Commodity Prices'!$A$9:$A$2500,'Copper-Lead-Zinc - Prices'!F25,'Commodity Prices'!$B$9:$B$2500,3)+
SUMIFS('Commodity Prices'!$S$9:$S$2500,'Commodity Prices'!$A$9:$A$2500,'Copper-Lead-Zinc - Prices'!F25,'Commodity Prices'!$B$9:$B$2500,4)+
SUMIFS('Commodity Prices'!$S$9:$S$2500,'Commodity Prices'!$A$9:$A$2500,'Copper-Lead-Zinc - Prices'!G25,'Commodity Prices'!$B$9:$B$2500,1)+
SUMIFS('Commodity Prices'!$S$9:$S$2500,'Commodity Prices'!$A$9:$A$2500,'Copper-Lead-Zinc - Prices'!G25,'Commodity Prices'!$B$9:$B$2500,2))
/(COUNTIFS('Commodity Prices'!$A$9:$A$2500,'Copper-Lead-Zinc - Prices'!F25,'Commodity Prices'!$B$9:$B$2500,3)+
COUNTIFS('Commodity Prices'!$A$9:$A$2500,'Copper-Lead-Zinc - Prices'!F25,'Commodity Prices'!$B$9:$B$2500,4)+
COUNTIFS('Commodity Prices'!$A$9:$A$2500,'Copper-Lead-Zinc - Prices'!G25,'Commodity Prices'!$B$9:$B$2500,1)+
COUNTIFS('Commodity Prices'!$A$9:$A$2500,'Copper-Lead-Zinc - Prices'!G25,'Commodity Prices'!$B$9:$B$2500,2))</f>
        <v>774.71500000000003</v>
      </c>
    </row>
    <row r="26" spans="1:14">
      <c r="A26" s="396">
        <f>LARGE('Commodity Prices'!C$159:C$902,44)</f>
        <v>43952</v>
      </c>
      <c r="B26" s="523">
        <f>SUMIF('Commodity Prices'!$C$159:$C$902,$A26,'Commodity Prices'!O$159:O$902)</f>
        <v>5233.82</v>
      </c>
      <c r="C26" s="523">
        <f>SUMIF('Commodity Prices'!$C$159:$C$902,$A26,'Commodity Prices'!Q$159:Q$902)</f>
        <v>1618.16</v>
      </c>
      <c r="D26" s="525">
        <f>SUMIF('Commodity Prices'!$C$159:$C$902,$A26,'Commodity Prices'!S$159:S$902)</f>
        <v>1963.39</v>
      </c>
      <c r="E26" s="8"/>
      <c r="F26" s="70">
        <f t="shared" si="0"/>
        <v>2003</v>
      </c>
      <c r="G26" s="70">
        <f t="shared" si="0"/>
        <v>2004</v>
      </c>
      <c r="H26" s="519">
        <f t="shared" si="1"/>
        <v>2003</v>
      </c>
      <c r="I26" s="1181">
        <f t="array" ref="I26">IF($H$6="Historic Calendar Year",IFERROR(AVERAGE(IF($H26=YEAR('Commodity Prices'!C$100:C$1000),'Commodity Prices'!O$100:O$1000)),"NA"),IFERROR(IF(L26=0,"N/A",L26),"N/A"))</f>
        <v>1779.1466666666668</v>
      </c>
      <c r="J26" s="1181">
        <f t="array" ref="J26">IF($H$6="Historic Calendar Year",IFERROR(AVERAGE(IF($H26=YEAR('Commodity Prices'!C$100:C$1000),'Commodity Prices'!Q$100:Q$1000)),"NA"),IFERROR(IF(M26=0,"N/A",M26),"N/A"))</f>
        <v>515.00833333333333</v>
      </c>
      <c r="K26" s="525">
        <f t="array" ref="K26">IF($H$6="Historic Calendar Year",IFERROR(AVERAGE(IF($H26=YEAR('Commodity Prices'!C$100:C$1000),'Commodity Prices'!S$100:S$1000)),"N/A"),IFERROR(IF(N26=0,"N/A",N26),"N/A"))</f>
        <v>827.69583333333333</v>
      </c>
      <c r="L26" s="228">
        <f>(SUMIFS('Commodity Prices'!$O$9:$O$2500,'Commodity Prices'!$A$9:$A$2500,'Copper-Lead-Zinc - Prices'!F26,'Commodity Prices'!$B$9:$B$2500,3)+
SUMIFS('Commodity Prices'!$O$9:$O$2500,'Commodity Prices'!$A$9:$A$2500,'Copper-Lead-Zinc - Prices'!F26,'Commodity Prices'!$B$9:$B$2500,4)+
SUMIFS('Commodity Prices'!$O$9:$O$2500,'Commodity Prices'!$A$9:$A$2500,'Copper-Lead-Zinc - Prices'!G26,'Commodity Prices'!$B$9:$B$2500,1)+
SUMIFS('Commodity Prices'!$O$9:$O$2500,'Commodity Prices'!$A$9:$A$2500,'Copper-Lead-Zinc - Prices'!G26,'Commodity Prices'!$B$9:$B$2500,2))
/(COUNTIFS('Commodity Prices'!$A$9:$A$2500,'Copper-Lead-Zinc - Prices'!F26,'Commodity Prices'!$B$9:$B$2500,3)+
COUNTIFS('Commodity Prices'!$A$9:$A$2500,'Copper-Lead-Zinc - Prices'!F26,'Commodity Prices'!$B$9:$B$2500,4)+
COUNTIFS('Commodity Prices'!$A$9:$A$2500,'Copper-Lead-Zinc - Prices'!G26,'Commodity Prices'!$B$9:$B$2500,1)+
COUNTIFS('Commodity Prices'!$A$9:$A$2500,'Copper-Lead-Zinc - Prices'!G26,'Commodity Prices'!$B$9:$B$2500,2))</f>
        <v>2333.1508333333331</v>
      </c>
      <c r="M26" s="228">
        <f>(SUMIFS('Commodity Prices'!$Q$9:$Q$2500,'Commodity Prices'!$A$9:$A$2500,'Copper-Lead-Zinc - Prices'!F26,'Commodity Prices'!$B$9:$B$2500,3)+
SUMIFS('Commodity Prices'!$Q$9:$Q$2500,'Commodity Prices'!$A$9:$A$2500,'Copper-Lead-Zinc - Prices'!F26,'Commodity Prices'!$B$9:$B$2500,4)+
SUMIFS('Commodity Prices'!$Q$9:$Q$2500,'Commodity Prices'!$A$9:$A$2500,'Copper-Lead-Zinc - Prices'!G26,'Commodity Prices'!$B$9:$B$2500,1)+
SUMIFS('Commodity Prices'!$Q$9:$Q$2500,'Commodity Prices'!$A$9:$A$2500,'Copper-Lead-Zinc - Prices'!G26,'Commodity Prices'!$B$9:$B$2500,2))
/(COUNTIFS('Commodity Prices'!$A$9:$A$2500,'Copper-Lead-Zinc - Prices'!F26,'Commodity Prices'!$B$9:$B$2500,3)+
COUNTIFS('Commodity Prices'!$A$9:$A$2500,'Copper-Lead-Zinc - Prices'!F26,'Commodity Prices'!$B$9:$B$2500,4)+
COUNTIFS('Commodity Prices'!$A$9:$A$2500,'Copper-Lead-Zinc - Prices'!G26,'Commodity Prices'!$B$9:$B$2500,1)+
COUNTIFS('Commodity Prices'!$A$9:$A$2500,'Copper-Lead-Zinc - Prices'!G26,'Commodity Prices'!$B$9:$B$2500,2))</f>
        <v>700.02250000000004</v>
      </c>
      <c r="N26" s="228">
        <f>(SUMIFS('Commodity Prices'!$S$9:$S$2500,'Commodity Prices'!$A$9:$A$2500,'Copper-Lead-Zinc - Prices'!F26,'Commodity Prices'!$B$9:$B$2500,3)+
SUMIFS('Commodity Prices'!$S$9:$S$2500,'Commodity Prices'!$A$9:$A$2500,'Copper-Lead-Zinc - Prices'!F26,'Commodity Prices'!$B$9:$B$2500,4)+
SUMIFS('Commodity Prices'!$S$9:$S$2500,'Commodity Prices'!$A$9:$A$2500,'Copper-Lead-Zinc - Prices'!G26,'Commodity Prices'!$B$9:$B$2500,1)+
SUMIFS('Commodity Prices'!$S$9:$S$2500,'Commodity Prices'!$A$9:$A$2500,'Copper-Lead-Zinc - Prices'!G26,'Commodity Prices'!$B$9:$B$2500,2))
/(COUNTIFS('Commodity Prices'!$A$9:$A$2500,'Copper-Lead-Zinc - Prices'!F26,'Commodity Prices'!$B$9:$B$2500,3)+
COUNTIFS('Commodity Prices'!$A$9:$A$2500,'Copper-Lead-Zinc - Prices'!F26,'Commodity Prices'!$B$9:$B$2500,4)+
COUNTIFS('Commodity Prices'!$A$9:$A$2500,'Copper-Lead-Zinc - Prices'!G26,'Commodity Prices'!$B$9:$B$2500,1)+
COUNTIFS('Commodity Prices'!$A$9:$A$2500,'Copper-Lead-Zinc - Prices'!G26,'Commodity Prices'!$B$9:$B$2500,2))</f>
        <v>962.23166666666691</v>
      </c>
    </row>
    <row r="27" spans="1:14">
      <c r="A27" s="418">
        <f>LARGE('Commodity Prices'!C$159:C$902,43)</f>
        <v>43983</v>
      </c>
      <c r="B27" s="524">
        <f>SUMIF('Commodity Prices'!$C$159:$C$902,$A27,'Commodity Prices'!O$159:O$902)</f>
        <v>5742.39</v>
      </c>
      <c r="C27" s="524">
        <f>SUMIF('Commodity Prices'!$C$159:$C$902,$A27,'Commodity Prices'!Q$159:Q$902)</f>
        <v>1739.86</v>
      </c>
      <c r="D27" s="489">
        <f>SUMIF('Commodity Prices'!$C$159:$C$902,$A27,'Commodity Prices'!S$159:S$902)</f>
        <v>2020.61</v>
      </c>
      <c r="E27" s="8"/>
      <c r="F27" s="70">
        <f t="shared" ref="F27:G42" si="2">F26+1</f>
        <v>2004</v>
      </c>
      <c r="G27" s="70">
        <f t="shared" si="2"/>
        <v>2005</v>
      </c>
      <c r="H27" s="520">
        <f t="shared" si="1"/>
        <v>2004</v>
      </c>
      <c r="I27" s="565">
        <f t="array" ref="I27">IF($H$6="Historic Calendar Year",IFERROR(AVERAGE(IF($H27=YEAR('Commodity Prices'!C$100:C$1000),'Commodity Prices'!O$100:O$1000)),"NA"),IFERROR(IF(L27=0,"N/A",L27),"N/A"))</f>
        <v>2865.8858333333333</v>
      </c>
      <c r="J27" s="565">
        <f t="array" ref="J27">IF($H$6="Historic Calendar Year",IFERROR(AVERAGE(IF($H27=YEAR('Commodity Prices'!C$100:C$1000),'Commodity Prices'!Q$100:Q$1000)),"NA"),IFERROR(IF(M27=0,"N/A",M27),"N/A"))</f>
        <v>886.54499999999973</v>
      </c>
      <c r="K27" s="489">
        <f t="array" ref="K27">IF($H$6="Historic Calendar Year",IFERROR(AVERAGE(IF($H27=YEAR('Commodity Prices'!C$100:C$1000),'Commodity Prices'!S$100:S$1000)),"N/A"),IFERROR(IF(N27=0,"N/A",N27),"N/A"))</f>
        <v>1047.7533333333333</v>
      </c>
      <c r="L27" s="228">
        <f>(SUMIFS('Commodity Prices'!$O$9:$O$2500,'Commodity Prices'!$A$9:$A$2500,'Copper-Lead-Zinc - Prices'!F27,'Commodity Prices'!$B$9:$B$2500,3)+
SUMIFS('Commodity Prices'!$O$9:$O$2500,'Commodity Prices'!$A$9:$A$2500,'Copper-Lead-Zinc - Prices'!F27,'Commodity Prices'!$B$9:$B$2500,4)+
SUMIFS('Commodity Prices'!$O$9:$O$2500,'Commodity Prices'!$A$9:$A$2500,'Copper-Lead-Zinc - Prices'!G27,'Commodity Prices'!$B$9:$B$2500,1)+
SUMIFS('Commodity Prices'!$O$9:$O$2500,'Commodity Prices'!$A$9:$A$2500,'Copper-Lead-Zinc - Prices'!G27,'Commodity Prices'!$B$9:$B$2500,2))
/(COUNTIFS('Commodity Prices'!$A$9:$A$2500,'Copper-Lead-Zinc - Prices'!F27,'Commodity Prices'!$B$9:$B$2500,3)+
COUNTIFS('Commodity Prices'!$A$9:$A$2500,'Copper-Lead-Zinc - Prices'!F27,'Commodity Prices'!$B$9:$B$2500,4)+
COUNTIFS('Commodity Prices'!$A$9:$A$2500,'Copper-Lead-Zinc - Prices'!G27,'Commodity Prices'!$B$9:$B$2500,1)+
COUNTIFS('Commodity Prices'!$A$9:$A$2500,'Copper-Lead-Zinc - Prices'!G27,'Commodity Prices'!$B$9:$B$2500,2))</f>
        <v>3150.0691666666662</v>
      </c>
      <c r="M27" s="228">
        <f>(SUMIFS('Commodity Prices'!$Q$9:$Q$2500,'Commodity Prices'!$A$9:$A$2500,'Copper-Lead-Zinc - Prices'!F27,'Commodity Prices'!$B$9:$B$2500,3)+
SUMIFS('Commodity Prices'!$Q$9:$Q$2500,'Commodity Prices'!$A$9:$A$2500,'Copper-Lead-Zinc - Prices'!F27,'Commodity Prices'!$B$9:$B$2500,4)+
SUMIFS('Commodity Prices'!$Q$9:$Q$2500,'Commodity Prices'!$A$9:$A$2500,'Copper-Lead-Zinc - Prices'!G27,'Commodity Prices'!$B$9:$B$2500,1)+
SUMIFS('Commodity Prices'!$Q$9:$Q$2500,'Commodity Prices'!$A$9:$A$2500,'Copper-Lead-Zinc - Prices'!G27,'Commodity Prices'!$B$9:$B$2500,2))
/(COUNTIFS('Commodity Prices'!$A$9:$A$2500,'Copper-Lead-Zinc - Prices'!F27,'Commodity Prices'!$B$9:$B$2500,3)+
COUNTIFS('Commodity Prices'!$A$9:$A$2500,'Copper-Lead-Zinc - Prices'!F27,'Commodity Prices'!$B$9:$B$2500,4)+
COUNTIFS('Commodity Prices'!$A$9:$A$2500,'Copper-Lead-Zinc - Prices'!G27,'Commodity Prices'!$B$9:$B$2500,1)+
COUNTIFS('Commodity Prices'!$A$9:$A$2500,'Copper-Lead-Zinc - Prices'!G27,'Commodity Prices'!$B$9:$B$2500,2))</f>
        <v>964.0625</v>
      </c>
      <c r="N27" s="228">
        <f>(SUMIFS('Commodity Prices'!$S$9:$S$2500,'Commodity Prices'!$A$9:$A$2500,'Copper-Lead-Zinc - Prices'!F27,'Commodity Prices'!$B$9:$B$2500,3)+
SUMIFS('Commodity Prices'!$S$9:$S$2500,'Commodity Prices'!$A$9:$A$2500,'Copper-Lead-Zinc - Prices'!F27,'Commodity Prices'!$B$9:$B$2500,4)+
SUMIFS('Commodity Prices'!$S$9:$S$2500,'Commodity Prices'!$A$9:$A$2500,'Copper-Lead-Zinc - Prices'!G27,'Commodity Prices'!$B$9:$B$2500,1)+
SUMIFS('Commodity Prices'!$S$9:$S$2500,'Commodity Prices'!$A$9:$A$2500,'Copper-Lead-Zinc - Prices'!G27,'Commodity Prices'!$B$9:$B$2500,2))
/(COUNTIFS('Commodity Prices'!$A$9:$A$2500,'Copper-Lead-Zinc - Prices'!F27,'Commodity Prices'!$B$9:$B$2500,3)+
COUNTIFS('Commodity Prices'!$A$9:$A$2500,'Copper-Lead-Zinc - Prices'!F27,'Commodity Prices'!$B$9:$B$2500,4)+
COUNTIFS('Commodity Prices'!$A$9:$A$2500,'Copper-Lead-Zinc - Prices'!G27,'Commodity Prices'!$B$9:$B$2500,1)+
COUNTIFS('Commodity Prices'!$A$9:$A$2500,'Copper-Lead-Zinc - Prices'!G27,'Commodity Prices'!$B$9:$B$2500,2))</f>
        <v>1170.8216666666667</v>
      </c>
    </row>
    <row r="28" spans="1:14">
      <c r="A28" s="396">
        <f>LARGE('Commodity Prices'!C$159:C$902,42)</f>
        <v>44013</v>
      </c>
      <c r="B28" s="523">
        <f>SUMIF('Commodity Prices'!$C$159:$C$902,$A28,'Commodity Prices'!O$159:O$902)</f>
        <v>6353.76</v>
      </c>
      <c r="C28" s="523">
        <f>SUMIF('Commodity Prices'!$C$159:$C$902,$A28,'Commodity Prices'!Q$159:Q$902)</f>
        <v>1812.15</v>
      </c>
      <c r="D28" s="525">
        <f>SUMIF('Commodity Prices'!$C$159:$C$902,$A28,'Commodity Prices'!S$159:S$902)</f>
        <v>2162.2399999999998</v>
      </c>
      <c r="E28" s="8"/>
      <c r="F28" s="70">
        <f t="shared" si="2"/>
        <v>2005</v>
      </c>
      <c r="G28" s="70">
        <f t="shared" si="2"/>
        <v>2006</v>
      </c>
      <c r="H28" s="519">
        <f t="shared" si="1"/>
        <v>2005</v>
      </c>
      <c r="I28" s="1181">
        <f t="array" ref="I28">IF($H$6="Historic Calendar Year",IFERROR(AVERAGE(IF($H28=YEAR('Commodity Prices'!C$100:C$1000),'Commodity Prices'!O$100:O$1000)),"NA"),IFERROR(IF(L28=0,"N/A",L28),"N/A"))</f>
        <v>3678.8858333333333</v>
      </c>
      <c r="J28" s="1181">
        <f t="array" ref="J28">IF($H$6="Historic Calendar Year",IFERROR(AVERAGE(IF($H28=YEAR('Commodity Prices'!C$100:C$1000),'Commodity Prices'!Q$100:Q$1000)),"NA"),IFERROR(IF(M28=0,"N/A",M28),"N/A"))</f>
        <v>976.34083333333331</v>
      </c>
      <c r="K28" s="525">
        <f t="array" ref="K28">IF($H$6="Historic Calendar Year",IFERROR(AVERAGE(IF($H28=YEAR('Commodity Prices'!C$100:C$1000),'Commodity Prices'!S$100:S$1000)),"N/A"),IFERROR(IF(N28=0,"N/A",N28),"N/A"))</f>
        <v>1381.7683333333334</v>
      </c>
      <c r="L28" s="228">
        <f>(SUMIFS('Commodity Prices'!$O$9:$O$2500,'Commodity Prices'!$A$9:$A$2500,'Copper-Lead-Zinc - Prices'!F28,'Commodity Prices'!$B$9:$B$2500,3)+
SUMIFS('Commodity Prices'!$O$9:$O$2500,'Commodity Prices'!$A$9:$A$2500,'Copper-Lead-Zinc - Prices'!F28,'Commodity Prices'!$B$9:$B$2500,4)+
SUMIFS('Commodity Prices'!$O$9:$O$2500,'Commodity Prices'!$A$9:$A$2500,'Copper-Lead-Zinc - Prices'!G28,'Commodity Prices'!$B$9:$B$2500,1)+
SUMIFS('Commodity Prices'!$O$9:$O$2500,'Commodity Prices'!$A$9:$A$2500,'Copper-Lead-Zinc - Prices'!G28,'Commodity Prices'!$B$9:$B$2500,2))
/(COUNTIFS('Commodity Prices'!$A$9:$A$2500,'Copper-Lead-Zinc - Prices'!F28,'Commodity Prices'!$B$9:$B$2500,3)+
COUNTIFS('Commodity Prices'!$A$9:$A$2500,'Copper-Lead-Zinc - Prices'!F28,'Commodity Prices'!$B$9:$B$2500,4)+
COUNTIFS('Commodity Prices'!$A$9:$A$2500,'Copper-Lead-Zinc - Prices'!G28,'Commodity Prices'!$B$9:$B$2500,1)+
COUNTIFS('Commodity Prices'!$A$9:$A$2500,'Copper-Lead-Zinc - Prices'!G28,'Commodity Prices'!$B$9:$B$2500,2))</f>
        <v>5052.2091666666665</v>
      </c>
      <c r="M28" s="228">
        <f>(SUMIFS('Commodity Prices'!$Q$9:$Q$2500,'Commodity Prices'!$A$9:$A$2500,'Copper-Lead-Zinc - Prices'!F28,'Commodity Prices'!$B$9:$B$2500,3)+
SUMIFS('Commodity Prices'!$Q$9:$Q$2500,'Commodity Prices'!$A$9:$A$2500,'Copper-Lead-Zinc - Prices'!F28,'Commodity Prices'!$B$9:$B$2500,4)+
SUMIFS('Commodity Prices'!$Q$9:$Q$2500,'Commodity Prices'!$A$9:$A$2500,'Copper-Lead-Zinc - Prices'!G28,'Commodity Prices'!$B$9:$B$2500,1)+
SUMIFS('Commodity Prices'!$Q$9:$Q$2500,'Commodity Prices'!$A$9:$A$2500,'Copper-Lead-Zinc - Prices'!G28,'Commodity Prices'!$B$9:$B$2500,2))
/(COUNTIFS('Commodity Prices'!$A$9:$A$2500,'Copper-Lead-Zinc - Prices'!F28,'Commodity Prices'!$B$9:$B$2500,3)+
COUNTIFS('Commodity Prices'!$A$9:$A$2500,'Copper-Lead-Zinc - Prices'!F28,'Commodity Prices'!$B$9:$B$2500,4)+
COUNTIFS('Commodity Prices'!$A$9:$A$2500,'Copper-Lead-Zinc - Prices'!G28,'Commodity Prices'!$B$9:$B$2500,1)+
COUNTIFS('Commodity Prices'!$A$9:$A$2500,'Copper-Lead-Zinc - Prices'!G28,'Commodity Prices'!$B$9:$B$2500,2))</f>
        <v>1070.5216666666665</v>
      </c>
      <c r="N28" s="228">
        <f>(SUMIFS('Commodity Prices'!$S$9:$S$2500,'Commodity Prices'!$A$9:$A$2500,'Copper-Lead-Zinc - Prices'!F28,'Commodity Prices'!$B$9:$B$2500,3)+
SUMIFS('Commodity Prices'!$S$9:$S$2500,'Commodity Prices'!$A$9:$A$2500,'Copper-Lead-Zinc - Prices'!F28,'Commodity Prices'!$B$9:$B$2500,4)+
SUMIFS('Commodity Prices'!$S$9:$S$2500,'Commodity Prices'!$A$9:$A$2500,'Copper-Lead-Zinc - Prices'!G28,'Commodity Prices'!$B$9:$B$2500,1)+
SUMIFS('Commodity Prices'!$S$9:$S$2500,'Commodity Prices'!$A$9:$A$2500,'Copper-Lead-Zinc - Prices'!G28,'Commodity Prices'!$B$9:$B$2500,2))
/(COUNTIFS('Commodity Prices'!$A$9:$A$2500,'Copper-Lead-Zinc - Prices'!F28,'Commodity Prices'!$B$9:$B$2500,3)+
COUNTIFS('Commodity Prices'!$A$9:$A$2500,'Copper-Lead-Zinc - Prices'!F28,'Commodity Prices'!$B$9:$B$2500,4)+
COUNTIFS('Commodity Prices'!$A$9:$A$2500,'Copper-Lead-Zinc - Prices'!G28,'Commodity Prices'!$B$9:$B$2500,1)+
COUNTIFS('Commodity Prices'!$A$9:$A$2500,'Copper-Lead-Zinc - Prices'!G28,'Commodity Prices'!$B$9:$B$2500,2))</f>
        <v>2117.8516666666669</v>
      </c>
    </row>
    <row r="29" spans="1:14">
      <c r="A29" s="418">
        <f>LARGE('Commodity Prices'!C$159:C$902,41)</f>
        <v>44044</v>
      </c>
      <c r="B29" s="524">
        <f>SUMIF('Commodity Prices'!$C$159:$C$902,$A29,'Commodity Prices'!O$159:O$902)</f>
        <v>6496.7</v>
      </c>
      <c r="C29" s="524">
        <f>SUMIF('Commodity Prices'!$C$159:$C$902,$A29,'Commodity Prices'!Q$159:Q$902)</f>
        <v>1935.2</v>
      </c>
      <c r="D29" s="489">
        <f>SUMIF('Commodity Prices'!$C$159:$C$902,$A29,'Commodity Prices'!S$159:S$902)</f>
        <v>2406.83</v>
      </c>
      <c r="E29" s="8"/>
      <c r="F29" s="70">
        <f t="shared" si="2"/>
        <v>2006</v>
      </c>
      <c r="G29" s="70">
        <f t="shared" si="2"/>
        <v>2007</v>
      </c>
      <c r="H29" s="520">
        <f t="shared" si="1"/>
        <v>2006</v>
      </c>
      <c r="I29" s="565">
        <f t="array" ref="I29">IF($H$6="Historic Calendar Year",IFERROR(AVERAGE(IF($H29=YEAR('Commodity Prices'!C$100:C$1000),'Commodity Prices'!O$100:O$1000)),"NA"),IFERROR(IF(L29=0,"N/A",L29),"N/A"))</f>
        <v>6722.3975</v>
      </c>
      <c r="J29" s="565">
        <f t="array" ref="J29">IF($H$6="Historic Calendar Year",IFERROR(AVERAGE(IF($H29=YEAR('Commodity Prices'!C$100:C$1000),'Commodity Prices'!Q$100:Q$1000)),"NA"),IFERROR(IF(M29=0,"N/A",M29),"N/A"))</f>
        <v>1295.4408333333333</v>
      </c>
      <c r="K29" s="489">
        <f t="array" ref="K29">IF($H$6="Historic Calendar Year",IFERROR(AVERAGE(IF($H29=YEAR('Commodity Prices'!C$100:C$1000),'Commodity Prices'!S$100:S$1000)),"N/A"),IFERROR(IF(N29=0,"N/A",N29),"N/A"))</f>
        <v>3275.123333333333</v>
      </c>
      <c r="L29" s="228">
        <f>(SUMIFS('Commodity Prices'!$O$9:$O$2500,'Commodity Prices'!$A$9:$A$2500,'Copper-Lead-Zinc - Prices'!F29,'Commodity Prices'!$B$9:$B$2500,3)+
SUMIFS('Commodity Prices'!$O$9:$O$2500,'Commodity Prices'!$A$9:$A$2500,'Copper-Lead-Zinc - Prices'!F29,'Commodity Prices'!$B$9:$B$2500,4)+
SUMIFS('Commodity Prices'!$O$9:$O$2500,'Commodity Prices'!$A$9:$A$2500,'Copper-Lead-Zinc - Prices'!G29,'Commodity Prices'!$B$9:$B$2500,1)+
SUMIFS('Commodity Prices'!$O$9:$O$2500,'Commodity Prices'!$A$9:$A$2500,'Copper-Lead-Zinc - Prices'!G29,'Commodity Prices'!$B$9:$B$2500,2))
/(COUNTIFS('Commodity Prices'!$A$9:$A$2500,'Copper-Lead-Zinc - Prices'!F29,'Commodity Prices'!$B$9:$B$2500,3)+
COUNTIFS('Commodity Prices'!$A$9:$A$2500,'Copper-Lead-Zinc - Prices'!F29,'Commodity Prices'!$B$9:$B$2500,4)+
COUNTIFS('Commodity Prices'!$A$9:$A$2500,'Copper-Lead-Zinc - Prices'!G29,'Commodity Prices'!$B$9:$B$2500,1)+
COUNTIFS('Commodity Prices'!$A$9:$A$2500,'Copper-Lead-Zinc - Prices'!G29,'Commodity Prices'!$B$9:$B$2500,2))</f>
        <v>7078.4208333333336</v>
      </c>
      <c r="M29" s="228">
        <f>(SUMIFS('Commodity Prices'!$Q$9:$Q$2500,'Commodity Prices'!$A$9:$A$2500,'Copper-Lead-Zinc - Prices'!F29,'Commodity Prices'!$B$9:$B$2500,3)+
SUMIFS('Commodity Prices'!$Q$9:$Q$2500,'Commodity Prices'!$A$9:$A$2500,'Copper-Lead-Zinc - Prices'!F29,'Commodity Prices'!$B$9:$B$2500,4)+
SUMIFS('Commodity Prices'!$Q$9:$Q$2500,'Commodity Prices'!$A$9:$A$2500,'Copper-Lead-Zinc - Prices'!G29,'Commodity Prices'!$B$9:$B$2500,1)+
SUMIFS('Commodity Prices'!$Q$9:$Q$2500,'Commodity Prices'!$A$9:$A$2500,'Copper-Lead-Zinc - Prices'!G29,'Commodity Prices'!$B$9:$B$2500,2))
/(COUNTIFS('Commodity Prices'!$A$9:$A$2500,'Copper-Lead-Zinc - Prices'!F29,'Commodity Prices'!$B$9:$B$2500,3)+
COUNTIFS('Commodity Prices'!$A$9:$A$2500,'Copper-Lead-Zinc - Prices'!F29,'Commodity Prices'!$B$9:$B$2500,4)+
COUNTIFS('Commodity Prices'!$A$9:$A$2500,'Copper-Lead-Zinc - Prices'!G29,'Commodity Prices'!$B$9:$B$2500,1)+
COUNTIFS('Commodity Prices'!$A$9:$A$2500,'Copper-Lead-Zinc - Prices'!G29,'Commodity Prices'!$B$9:$B$2500,2))</f>
        <v>1700.4991666666665</v>
      </c>
      <c r="N29" s="228">
        <f>(SUMIFS('Commodity Prices'!$S$9:$S$2500,'Commodity Prices'!$A$9:$A$2500,'Copper-Lead-Zinc - Prices'!F29,'Commodity Prices'!$B$9:$B$2500,3)+
SUMIFS('Commodity Prices'!$S$9:$S$2500,'Commodity Prices'!$A$9:$A$2500,'Copper-Lead-Zinc - Prices'!F29,'Commodity Prices'!$B$9:$B$2500,4)+
SUMIFS('Commodity Prices'!$S$9:$S$2500,'Commodity Prices'!$A$9:$A$2500,'Copper-Lead-Zinc - Prices'!G29,'Commodity Prices'!$B$9:$B$2500,1)+
SUMIFS('Commodity Prices'!$S$9:$S$2500,'Commodity Prices'!$A$9:$A$2500,'Copper-Lead-Zinc - Prices'!G29,'Commodity Prices'!$B$9:$B$2500,2))
/(COUNTIFS('Commodity Prices'!$A$9:$A$2500,'Copper-Lead-Zinc - Prices'!F29,'Commodity Prices'!$B$9:$B$2500,3)+
COUNTIFS('Commodity Prices'!$A$9:$A$2500,'Copper-Lead-Zinc - Prices'!F29,'Commodity Prices'!$B$9:$B$2500,4)+
COUNTIFS('Commodity Prices'!$A$9:$A$2500,'Copper-Lead-Zinc - Prices'!G29,'Commodity Prices'!$B$9:$B$2500,1)+
COUNTIFS('Commodity Prices'!$A$9:$A$2500,'Copper-Lead-Zinc - Prices'!G29,'Commodity Prices'!$B$9:$B$2500,2))</f>
        <v>3671.435833333333</v>
      </c>
    </row>
    <row r="30" spans="1:14">
      <c r="A30" s="396">
        <f>LARGE('Commodity Prices'!C$159:C$902,40)</f>
        <v>44075</v>
      </c>
      <c r="B30" s="523">
        <f>SUMIF('Commodity Prices'!$C$159:$C$902,$A30,'Commodity Prices'!O$159:O$902)</f>
        <v>6712.41</v>
      </c>
      <c r="C30" s="523">
        <f>SUMIF('Commodity Prices'!$C$159:$C$902,$A30,'Commodity Prices'!Q$159:Q$902)</f>
        <v>1881.36</v>
      </c>
      <c r="D30" s="525">
        <f>SUMIF('Commodity Prices'!$C$159:$C$902,$A30,'Commodity Prices'!S$159:S$902)</f>
        <v>2450.5</v>
      </c>
      <c r="E30" s="8"/>
      <c r="F30" s="70">
        <f t="shared" si="2"/>
        <v>2007</v>
      </c>
      <c r="G30" s="70">
        <f t="shared" si="2"/>
        <v>2008</v>
      </c>
      <c r="H30" s="519">
        <f t="shared" si="1"/>
        <v>2007</v>
      </c>
      <c r="I30" s="1181">
        <f t="array" ref="I30">IF($H$6="Historic Calendar Year",IFERROR(AVERAGE(IF($H30=YEAR('Commodity Prices'!C$100:C$1000),'Commodity Prices'!O$100:O$1000)),"NA"),IFERROR(IF(L30=0,"N/A",L30),"N/A"))</f>
        <v>7118.5249999999987</v>
      </c>
      <c r="J30" s="1181">
        <f t="array" ref="J30">IF($H$6="Historic Calendar Year",IFERROR(AVERAGE(IF($H30=YEAR('Commodity Prices'!C$100:C$1000),'Commodity Prices'!Q$100:Q$1000)),"NA"),IFERROR(IF(M30=0,"N/A",M30),"N/A"))</f>
        <v>2580.0658333333336</v>
      </c>
      <c r="K30" s="525">
        <f t="array" ref="K30">IF($H$6="Historic Calendar Year",IFERROR(AVERAGE(IF($H30=YEAR('Commodity Prices'!C$100:C$1000),'Commodity Prices'!S$100:S$1000)),"N/A"),IFERROR(IF(N30=0,"N/A",N30),"N/A"))</f>
        <v>3226.4958333333338</v>
      </c>
      <c r="L30" s="228">
        <f>(SUMIFS('Commodity Prices'!$O$9:$O$2500,'Commodity Prices'!$A$9:$A$2500,'Copper-Lead-Zinc - Prices'!F30,'Commodity Prices'!$B$9:$B$2500,3)+
SUMIFS('Commodity Prices'!$O$9:$O$2500,'Commodity Prices'!$A$9:$A$2500,'Copper-Lead-Zinc - Prices'!F30,'Commodity Prices'!$B$9:$B$2500,4)+
SUMIFS('Commodity Prices'!$O$9:$O$2500,'Commodity Prices'!$A$9:$A$2500,'Copper-Lead-Zinc - Prices'!G30,'Commodity Prices'!$B$9:$B$2500,1)+
SUMIFS('Commodity Prices'!$O$9:$O$2500,'Commodity Prices'!$A$9:$A$2500,'Copper-Lead-Zinc - Prices'!G30,'Commodity Prices'!$B$9:$B$2500,2))
/(COUNTIFS('Commodity Prices'!$A$9:$A$2500,'Copper-Lead-Zinc - Prices'!F30,'Commodity Prices'!$B$9:$B$2500,3)+
COUNTIFS('Commodity Prices'!$A$9:$A$2500,'Copper-Lead-Zinc - Prices'!F30,'Commodity Prices'!$B$9:$B$2500,4)+
COUNTIFS('Commodity Prices'!$A$9:$A$2500,'Copper-Lead-Zinc - Prices'!G30,'Commodity Prices'!$B$9:$B$2500,1)+
COUNTIFS('Commodity Prices'!$A$9:$A$2500,'Copper-Lead-Zinc - Prices'!G30,'Commodity Prices'!$B$9:$B$2500,2))</f>
        <v>7784.711666666667</v>
      </c>
      <c r="M30" s="228">
        <f>(SUMIFS('Commodity Prices'!$Q$9:$Q$2500,'Commodity Prices'!$A$9:$A$2500,'Copper-Lead-Zinc - Prices'!F30,'Commodity Prices'!$B$9:$B$2500,3)+
SUMIFS('Commodity Prices'!$Q$9:$Q$2500,'Commodity Prices'!$A$9:$A$2500,'Copper-Lead-Zinc - Prices'!F30,'Commodity Prices'!$B$9:$B$2500,4)+
SUMIFS('Commodity Prices'!$Q$9:$Q$2500,'Commodity Prices'!$A$9:$A$2500,'Copper-Lead-Zinc - Prices'!G30,'Commodity Prices'!$B$9:$B$2500,1)+
SUMIFS('Commodity Prices'!$Q$9:$Q$2500,'Commodity Prices'!$A$9:$A$2500,'Copper-Lead-Zinc - Prices'!G30,'Commodity Prices'!$B$9:$B$2500,2))
/(COUNTIFS('Commodity Prices'!$A$9:$A$2500,'Copper-Lead-Zinc - Prices'!F30,'Commodity Prices'!$B$9:$B$2500,3)+
COUNTIFS('Commodity Prices'!$A$9:$A$2500,'Copper-Lead-Zinc - Prices'!F30,'Commodity Prices'!$B$9:$B$2500,4)+
COUNTIFS('Commodity Prices'!$A$9:$A$2500,'Copper-Lead-Zinc - Prices'!G30,'Commodity Prices'!$B$9:$B$2500,1)+
COUNTIFS('Commodity Prices'!$A$9:$A$2500,'Copper-Lead-Zinc - Prices'!G30,'Commodity Prices'!$B$9:$B$2500,2))</f>
        <v>2890.8758333333335</v>
      </c>
      <c r="N30" s="228">
        <f>(SUMIFS('Commodity Prices'!$S$9:$S$2500,'Commodity Prices'!$A$9:$A$2500,'Copper-Lead-Zinc - Prices'!F30,'Commodity Prices'!$B$9:$B$2500,3)+
SUMIFS('Commodity Prices'!$S$9:$S$2500,'Commodity Prices'!$A$9:$A$2500,'Copper-Lead-Zinc - Prices'!F30,'Commodity Prices'!$B$9:$B$2500,4)+
SUMIFS('Commodity Prices'!$S$9:$S$2500,'Commodity Prices'!$A$9:$A$2500,'Copper-Lead-Zinc - Prices'!G30,'Commodity Prices'!$B$9:$B$2500,1)+
SUMIFS('Commodity Prices'!$S$9:$S$2500,'Commodity Prices'!$A$9:$A$2500,'Copper-Lead-Zinc - Prices'!G30,'Commodity Prices'!$B$9:$B$2500,2))
/(COUNTIFS('Commodity Prices'!$A$9:$A$2500,'Copper-Lead-Zinc - Prices'!F30,'Commodity Prices'!$B$9:$B$2500,3)+
COUNTIFS('Commodity Prices'!$A$9:$A$2500,'Copper-Lead-Zinc - Prices'!F30,'Commodity Prices'!$B$9:$B$2500,4)+
COUNTIFS('Commodity Prices'!$A$9:$A$2500,'Copper-Lead-Zinc - Prices'!G30,'Commodity Prices'!$B$9:$B$2500,1)+
COUNTIFS('Commodity Prices'!$A$9:$A$2500,'Copper-Lead-Zinc - Prices'!G30,'Commodity Prices'!$B$9:$B$2500,2))</f>
        <v>2582.4624999999996</v>
      </c>
    </row>
    <row r="31" spans="1:14">
      <c r="A31" s="418">
        <f>LARGE('Commodity Prices'!C$159:C$902,39)</f>
        <v>44105</v>
      </c>
      <c r="B31" s="524">
        <f>SUMIF('Commodity Prices'!$C$159:$C$902,$A31,'Commodity Prices'!O$159:O$902)</f>
        <v>6702.77</v>
      </c>
      <c r="C31" s="524">
        <f>SUMIF('Commodity Prices'!$C$159:$C$902,$A31,'Commodity Prices'!Q$159:Q$902)</f>
        <v>1777.07</v>
      </c>
      <c r="D31" s="489">
        <f>SUMIF('Commodity Prices'!$C$159:$C$902,$A31,'Commodity Prices'!S$159:S$902)</f>
        <v>2441.5500000000002</v>
      </c>
      <c r="E31" s="8"/>
      <c r="F31" s="70">
        <f t="shared" si="2"/>
        <v>2008</v>
      </c>
      <c r="G31" s="70">
        <f t="shared" si="2"/>
        <v>2009</v>
      </c>
      <c r="H31" s="520">
        <f t="shared" si="1"/>
        <v>2008</v>
      </c>
      <c r="I31" s="565">
        <f t="array" ref="I31">IF($H$6="Historic Calendar Year",IFERROR(AVERAGE(IF($H31=YEAR('Commodity Prices'!C$100:C$1000),'Commodity Prices'!O$100:O$1000)),"NA"),IFERROR(IF(L31=0,"N/A",L31),"N/A"))</f>
        <v>6955.9691666666658</v>
      </c>
      <c r="J31" s="565">
        <f t="array" ref="J31">IF($H$6="Historic Calendar Year",IFERROR(AVERAGE(IF($H31=YEAR('Commodity Prices'!C$100:C$1000),'Commodity Prices'!Q$100:Q$1000)),"NA"),IFERROR(IF(M31=0,"N/A",M31),"N/A"))</f>
        <v>2090.6641666666665</v>
      </c>
      <c r="K31" s="489">
        <f t="array" ref="K31">IF($H$6="Historic Calendar Year",IFERROR(AVERAGE(IF($H31=YEAR('Commodity Prices'!C$100:C$1000),'Commodity Prices'!S$100:S$1000)),"N/A"),IFERROR(IF(N31=0,"N/A",N31),"N/A"))</f>
        <v>1874.6458333333333</v>
      </c>
      <c r="L31" s="228">
        <f>(SUMIFS('Commodity Prices'!$O$9:$O$2500,'Commodity Prices'!$A$9:$A$2500,'Copper-Lead-Zinc - Prices'!F31,'Commodity Prices'!$B$9:$B$2500,3)+
SUMIFS('Commodity Prices'!$O$9:$O$2500,'Commodity Prices'!$A$9:$A$2500,'Copper-Lead-Zinc - Prices'!F31,'Commodity Prices'!$B$9:$B$2500,4)+
SUMIFS('Commodity Prices'!$O$9:$O$2500,'Commodity Prices'!$A$9:$A$2500,'Copper-Lead-Zinc - Prices'!G31,'Commodity Prices'!$B$9:$B$2500,1)+
SUMIFS('Commodity Prices'!$O$9:$O$2500,'Commodity Prices'!$A$9:$A$2500,'Copper-Lead-Zinc - Prices'!G31,'Commodity Prices'!$B$9:$B$2500,2))
/(COUNTIFS('Commodity Prices'!$A$9:$A$2500,'Copper-Lead-Zinc - Prices'!F31,'Commodity Prices'!$B$9:$B$2500,3)+
COUNTIFS('Commodity Prices'!$A$9:$A$2500,'Copper-Lead-Zinc - Prices'!F31,'Commodity Prices'!$B$9:$B$2500,4)+
COUNTIFS('Commodity Prices'!$A$9:$A$2500,'Copper-Lead-Zinc - Prices'!G31,'Commodity Prices'!$B$9:$B$2500,1)+
COUNTIFS('Commodity Prices'!$A$9:$A$2500,'Copper-Lead-Zinc - Prices'!G31,'Commodity Prices'!$B$9:$B$2500,2))</f>
        <v>4921.3858333333328</v>
      </c>
      <c r="M31" s="228">
        <f>(SUMIFS('Commodity Prices'!$Q$9:$Q$2500,'Commodity Prices'!$A$9:$A$2500,'Copper-Lead-Zinc - Prices'!F31,'Commodity Prices'!$B$9:$B$2500,3)+
SUMIFS('Commodity Prices'!$Q$9:$Q$2500,'Commodity Prices'!$A$9:$A$2500,'Copper-Lead-Zinc - Prices'!F31,'Commodity Prices'!$B$9:$B$2500,4)+
SUMIFS('Commodity Prices'!$Q$9:$Q$2500,'Commodity Prices'!$A$9:$A$2500,'Copper-Lead-Zinc - Prices'!G31,'Commodity Prices'!$B$9:$B$2500,1)+
SUMIFS('Commodity Prices'!$Q$9:$Q$2500,'Commodity Prices'!$A$9:$A$2500,'Copper-Lead-Zinc - Prices'!G31,'Commodity Prices'!$B$9:$B$2500,2))
/(COUNTIFS('Commodity Prices'!$A$9:$A$2500,'Copper-Lead-Zinc - Prices'!F31,'Commodity Prices'!$B$9:$B$2500,3)+
COUNTIFS('Commodity Prices'!$A$9:$A$2500,'Copper-Lead-Zinc - Prices'!F31,'Commodity Prices'!$B$9:$B$2500,4)+
COUNTIFS('Commodity Prices'!$A$9:$A$2500,'Copper-Lead-Zinc - Prices'!G31,'Commodity Prices'!$B$9:$B$2500,1)+
COUNTIFS('Commodity Prices'!$A$9:$A$2500,'Copper-Lead-Zinc - Prices'!G31,'Commodity Prices'!$B$9:$B$2500,2))</f>
        <v>1455.1149999999998</v>
      </c>
      <c r="N31" s="228">
        <f>(SUMIFS('Commodity Prices'!$S$9:$S$2500,'Commodity Prices'!$A$9:$A$2500,'Copper-Lead-Zinc - Prices'!F31,'Commodity Prices'!$B$9:$B$2500,3)+
SUMIFS('Commodity Prices'!$S$9:$S$2500,'Commodity Prices'!$A$9:$A$2500,'Copper-Lead-Zinc - Prices'!F31,'Commodity Prices'!$B$9:$B$2500,4)+
SUMIFS('Commodity Prices'!$S$9:$S$2500,'Commodity Prices'!$A$9:$A$2500,'Copper-Lead-Zinc - Prices'!G31,'Commodity Prices'!$B$9:$B$2500,1)+
SUMIFS('Commodity Prices'!$S$9:$S$2500,'Commodity Prices'!$A$9:$A$2500,'Copper-Lead-Zinc - Prices'!G31,'Commodity Prices'!$B$9:$B$2500,2))
/(COUNTIFS('Commodity Prices'!$A$9:$A$2500,'Copper-Lead-Zinc - Prices'!F31,'Commodity Prices'!$B$9:$B$2500,3)+
COUNTIFS('Commodity Prices'!$A$9:$A$2500,'Copper-Lead-Zinc - Prices'!F31,'Commodity Prices'!$B$9:$B$2500,4)+
COUNTIFS('Commodity Prices'!$A$9:$A$2500,'Copper-Lead-Zinc - Prices'!G31,'Commodity Prices'!$B$9:$B$2500,1)+
COUNTIFS('Commodity Prices'!$A$9:$A$2500,'Copper-Lead-Zinc - Prices'!G31,'Commodity Prices'!$B$9:$B$2500,2))</f>
        <v>1399.0849999999998</v>
      </c>
    </row>
    <row r="32" spans="1:14">
      <c r="A32" s="396">
        <f>LARGE('Commodity Prices'!C$159:C$902,38)</f>
        <v>44136</v>
      </c>
      <c r="B32" s="523">
        <f>SUMIF('Commodity Prices'!$C$159:$C$902,$A32,'Commodity Prices'!O$159:O$902)</f>
        <v>7063.43</v>
      </c>
      <c r="C32" s="523">
        <f>SUMIF('Commodity Prices'!$C$159:$C$902,$A32,'Commodity Prices'!Q$159:Q$902)</f>
        <v>1914.48</v>
      </c>
      <c r="D32" s="525">
        <f>SUMIF('Commodity Prices'!$C$159:$C$902,$A32,'Commodity Prices'!S$159:S$902)</f>
        <v>2669.69</v>
      </c>
      <c r="E32" s="8"/>
      <c r="F32" s="70">
        <f t="shared" si="2"/>
        <v>2009</v>
      </c>
      <c r="G32" s="70">
        <f t="shared" si="2"/>
        <v>2010</v>
      </c>
      <c r="H32" s="519">
        <f t="shared" si="1"/>
        <v>2009</v>
      </c>
      <c r="I32" s="1181">
        <f t="array" ref="I32">IF($H$6="Historic Calendar Year",IFERROR(AVERAGE(IF($H32=YEAR('Commodity Prices'!C$100:C$1000),'Commodity Prices'!O$100:O$1000)),"NA"),IFERROR(IF(L32=0,"N/A",L32),"N/A"))</f>
        <v>5151.9275000000007</v>
      </c>
      <c r="J32" s="1181">
        <f t="array" ref="J32">IF($H$6="Historic Calendar Year",IFERROR(AVERAGE(IF($H32=YEAR('Commodity Prices'!C$100:C$1000),'Commodity Prices'!Q$100:Q$1000)),"NA"),IFERROR(IF(M32=0,"N/A",M32),"N/A"))</f>
        <v>1720.8525000000002</v>
      </c>
      <c r="K32" s="525">
        <f t="array" ref="K32">IF($H$6="Historic Calendar Year",IFERROR(AVERAGE(IF($H32=YEAR('Commodity Prices'!C$100:C$1000),'Commodity Prices'!S$100:S$1000)),"N/A"),IFERROR(IF(N32=0,"N/A",N32),"N/A"))</f>
        <v>1653.8325000000002</v>
      </c>
      <c r="L32" s="228">
        <f>(SUMIFS('Commodity Prices'!$O$9:$O$2500,'Commodity Prices'!$A$9:$A$2500,'Copper-Lead-Zinc - Prices'!F32,'Commodity Prices'!$B$9:$B$2500,3)+
SUMIFS('Commodity Prices'!$O$9:$O$2500,'Commodity Prices'!$A$9:$A$2500,'Copper-Lead-Zinc - Prices'!F32,'Commodity Prices'!$B$9:$B$2500,4)+
SUMIFS('Commodity Prices'!$O$9:$O$2500,'Commodity Prices'!$A$9:$A$2500,'Copper-Lead-Zinc - Prices'!G32,'Commodity Prices'!$B$9:$B$2500,1)+
SUMIFS('Commodity Prices'!$O$9:$O$2500,'Commodity Prices'!$A$9:$A$2500,'Copper-Lead-Zinc - Prices'!G32,'Commodity Prices'!$B$9:$B$2500,2))
/(COUNTIFS('Commodity Prices'!$A$9:$A$2500,'Copper-Lead-Zinc - Prices'!F32,'Commodity Prices'!$B$9:$B$2500,3)+
COUNTIFS('Commodity Prices'!$A$9:$A$2500,'Copper-Lead-Zinc - Prices'!F32,'Commodity Prices'!$B$9:$B$2500,4)+
COUNTIFS('Commodity Prices'!$A$9:$A$2500,'Copper-Lead-Zinc - Prices'!G32,'Commodity Prices'!$B$9:$B$2500,1)+
COUNTIFS('Commodity Prices'!$A$9:$A$2500,'Copper-Lead-Zinc - Prices'!G32,'Commodity Prices'!$B$9:$B$2500,2))</f>
        <v>6691.6750000000002</v>
      </c>
      <c r="M32" s="228">
        <f>(SUMIFS('Commodity Prices'!$Q$9:$Q$2500,'Commodity Prices'!$A$9:$A$2500,'Copper-Lead-Zinc - Prices'!F32,'Commodity Prices'!$B$9:$B$2500,3)+
SUMIFS('Commodity Prices'!$Q$9:$Q$2500,'Commodity Prices'!$A$9:$A$2500,'Copper-Lead-Zinc - Prices'!F32,'Commodity Prices'!$B$9:$B$2500,4)+
SUMIFS('Commodity Prices'!$Q$9:$Q$2500,'Commodity Prices'!$A$9:$A$2500,'Copper-Lead-Zinc - Prices'!G32,'Commodity Prices'!$B$9:$B$2500,1)+
SUMIFS('Commodity Prices'!$Q$9:$Q$2500,'Commodity Prices'!$A$9:$A$2500,'Copper-Lead-Zinc - Prices'!G32,'Commodity Prices'!$B$9:$B$2500,2))
/(COUNTIFS('Commodity Prices'!$A$9:$A$2500,'Copper-Lead-Zinc - Prices'!F32,'Commodity Prices'!$B$9:$B$2500,3)+
COUNTIFS('Commodity Prices'!$A$9:$A$2500,'Copper-Lead-Zinc - Prices'!F32,'Commodity Prices'!$B$9:$B$2500,4)+
COUNTIFS('Commodity Prices'!$A$9:$A$2500,'Copper-Lead-Zinc - Prices'!G32,'Commodity Prices'!$B$9:$B$2500,1)+
COUNTIFS('Commodity Prices'!$A$9:$A$2500,'Copper-Lead-Zinc - Prices'!G32,'Commodity Prices'!$B$9:$B$2500,2))</f>
        <v>2097.9516666666668</v>
      </c>
      <c r="N32" s="228">
        <f>(SUMIFS('Commodity Prices'!$S$9:$S$2500,'Commodity Prices'!$A$9:$A$2500,'Copper-Lead-Zinc - Prices'!F32,'Commodity Prices'!$B$9:$B$2500,3)+
SUMIFS('Commodity Prices'!$S$9:$S$2500,'Commodity Prices'!$A$9:$A$2500,'Copper-Lead-Zinc - Prices'!F32,'Commodity Prices'!$B$9:$B$2500,4)+
SUMIFS('Commodity Prices'!$S$9:$S$2500,'Commodity Prices'!$A$9:$A$2500,'Copper-Lead-Zinc - Prices'!G32,'Commodity Prices'!$B$9:$B$2500,1)+
SUMIFS('Commodity Prices'!$S$9:$S$2500,'Commodity Prices'!$A$9:$A$2500,'Copper-Lead-Zinc - Prices'!G32,'Commodity Prices'!$B$9:$B$2500,2))
/(COUNTIFS('Commodity Prices'!$A$9:$A$2500,'Copper-Lead-Zinc - Prices'!F32,'Commodity Prices'!$B$9:$B$2500,3)+
COUNTIFS('Commodity Prices'!$A$9:$A$2500,'Copper-Lead-Zinc - Prices'!F32,'Commodity Prices'!$B$9:$B$2500,4)+
COUNTIFS('Commodity Prices'!$A$9:$A$2500,'Copper-Lead-Zinc - Prices'!G32,'Commodity Prices'!$B$9:$B$2500,1)+
COUNTIFS('Commodity Prices'!$A$9:$A$2500,'Copper-Lead-Zinc - Prices'!G32,'Commodity Prices'!$B$9:$B$2500,2))</f>
        <v>2072.2441666666668</v>
      </c>
    </row>
    <row r="33" spans="1:14">
      <c r="A33" s="418">
        <f>LARGE('Commodity Prices'!C$159:C$902,37)</f>
        <v>44166</v>
      </c>
      <c r="B33" s="524">
        <f>SUMIF('Commodity Prices'!$C$159:$C$902,$A33,'Commodity Prices'!O$159:O$902)</f>
        <v>7755.24</v>
      </c>
      <c r="C33" s="524">
        <f>SUMIF('Commodity Prices'!$C$159:$C$902,$A33,'Commodity Prices'!Q$159:Q$902)</f>
        <v>2018.6</v>
      </c>
      <c r="D33" s="489">
        <f>SUMIF('Commodity Prices'!$C$159:$C$902,$A33,'Commodity Prices'!S$159:S$902)</f>
        <v>2782.36</v>
      </c>
      <c r="E33" s="8"/>
      <c r="F33" s="70">
        <f t="shared" si="2"/>
        <v>2010</v>
      </c>
      <c r="G33" s="70">
        <f t="shared" si="2"/>
        <v>2011</v>
      </c>
      <c r="H33" s="520">
        <f t="shared" si="1"/>
        <v>2010</v>
      </c>
      <c r="I33" s="565">
        <f t="array" ref="I33">IF($H$6="Historic Calendar Year",IFERROR(AVERAGE(IF($H33=YEAR('Commodity Prices'!C$100:C$1000),'Commodity Prices'!O$100:O$1000)),"NA"),IFERROR(IF(L33=0,"N/A",L33),"N/A"))</f>
        <v>7534.7816666666668</v>
      </c>
      <c r="J33" s="565">
        <f t="array" ref="J33">IF($H$6="Historic Calendar Year",IFERROR(AVERAGE(IF($H33=YEAR('Commodity Prices'!C$100:C$1000),'Commodity Prices'!Q$100:Q$1000)),"NA"),IFERROR(IF(M33=0,"N/A",M33),"N/A"))</f>
        <v>2148.4508333333333</v>
      </c>
      <c r="K33" s="489">
        <f t="array" ref="K33">IF($H$6="Historic Calendar Year",IFERROR(AVERAGE(IF($H33=YEAR('Commodity Prices'!C$100:C$1000),'Commodity Prices'!S$100:S$1000)),"N/A"),IFERROR(IF(N33=0,"N/A",N33),"N/A"))</f>
        <v>2160.7441666666668</v>
      </c>
      <c r="L33" s="228">
        <f>(SUMIFS('Commodity Prices'!$O$9:$O$2500,'Commodity Prices'!$A$9:$A$2500,'Copper-Lead-Zinc - Prices'!F33,'Commodity Prices'!$B$9:$B$2500,3)+
SUMIFS('Commodity Prices'!$O$9:$O$2500,'Commodity Prices'!$A$9:$A$2500,'Copper-Lead-Zinc - Prices'!F33,'Commodity Prices'!$B$9:$B$2500,4)+
SUMIFS('Commodity Prices'!$O$9:$O$2500,'Commodity Prices'!$A$9:$A$2500,'Copper-Lead-Zinc - Prices'!G33,'Commodity Prices'!$B$9:$B$2500,1)+
SUMIFS('Commodity Prices'!$O$9:$O$2500,'Commodity Prices'!$A$9:$A$2500,'Copper-Lead-Zinc - Prices'!G33,'Commodity Prices'!$B$9:$B$2500,2))
/(COUNTIFS('Commodity Prices'!$A$9:$A$2500,'Copper-Lead-Zinc - Prices'!F33,'Commodity Prices'!$B$9:$B$2500,3)+
COUNTIFS('Commodity Prices'!$A$9:$A$2500,'Copper-Lead-Zinc - Prices'!F33,'Commodity Prices'!$B$9:$B$2500,4)+
COUNTIFS('Commodity Prices'!$A$9:$A$2500,'Copper-Lead-Zinc - Prices'!G33,'Commodity Prices'!$B$9:$B$2500,1)+
COUNTIFS('Commodity Prices'!$A$9:$A$2500,'Copper-Lead-Zinc - Prices'!G33,'Commodity Prices'!$B$9:$B$2500,2))</f>
        <v>8670.6450000000004</v>
      </c>
      <c r="M33" s="228">
        <f>(SUMIFS('Commodity Prices'!$Q$9:$Q$2500,'Commodity Prices'!$A$9:$A$2500,'Copper-Lead-Zinc - Prices'!F33,'Commodity Prices'!$B$9:$B$2500,3)+
SUMIFS('Commodity Prices'!$Q$9:$Q$2500,'Commodity Prices'!$A$9:$A$2500,'Copper-Lead-Zinc - Prices'!F33,'Commodity Prices'!$B$9:$B$2500,4)+
SUMIFS('Commodity Prices'!$Q$9:$Q$2500,'Commodity Prices'!$A$9:$A$2500,'Copper-Lead-Zinc - Prices'!G33,'Commodity Prices'!$B$9:$B$2500,1)+
SUMIFS('Commodity Prices'!$Q$9:$Q$2500,'Commodity Prices'!$A$9:$A$2500,'Copper-Lead-Zinc - Prices'!G33,'Commodity Prices'!$B$9:$B$2500,2))
/(COUNTIFS('Commodity Prices'!$A$9:$A$2500,'Copper-Lead-Zinc - Prices'!F33,'Commodity Prices'!$B$9:$B$2500,3)+
COUNTIFS('Commodity Prices'!$A$9:$A$2500,'Copper-Lead-Zinc - Prices'!F33,'Commodity Prices'!$B$9:$B$2500,4)+
COUNTIFS('Commodity Prices'!$A$9:$A$2500,'Copper-Lead-Zinc - Prices'!G33,'Commodity Prices'!$B$9:$B$2500,1)+
COUNTIFS('Commodity Prices'!$A$9:$A$2500,'Copper-Lead-Zinc - Prices'!G33,'Commodity Prices'!$B$9:$B$2500,2))</f>
        <v>2396.0025000000001</v>
      </c>
      <c r="N33" s="228">
        <f>(SUMIFS('Commodity Prices'!$S$9:$S$2500,'Commodity Prices'!$A$9:$A$2500,'Copper-Lead-Zinc - Prices'!F33,'Commodity Prices'!$B$9:$B$2500,3)+
SUMIFS('Commodity Prices'!$S$9:$S$2500,'Commodity Prices'!$A$9:$A$2500,'Copper-Lead-Zinc - Prices'!F33,'Commodity Prices'!$B$9:$B$2500,4)+
SUMIFS('Commodity Prices'!$S$9:$S$2500,'Commodity Prices'!$A$9:$A$2500,'Copper-Lead-Zinc - Prices'!G33,'Commodity Prices'!$B$9:$B$2500,1)+
SUMIFS('Commodity Prices'!$S$9:$S$2500,'Commodity Prices'!$A$9:$A$2500,'Copper-Lead-Zinc - Prices'!G33,'Commodity Prices'!$B$9:$B$2500,2))
/(COUNTIFS('Commodity Prices'!$A$9:$A$2500,'Copper-Lead-Zinc - Prices'!F33,'Commodity Prices'!$B$9:$B$2500,3)+
COUNTIFS('Commodity Prices'!$A$9:$A$2500,'Copper-Lead-Zinc - Prices'!F33,'Commodity Prices'!$B$9:$B$2500,4)+
COUNTIFS('Commodity Prices'!$A$9:$A$2500,'Copper-Lead-Zinc - Prices'!G33,'Commodity Prices'!$B$9:$B$2500,1)+
COUNTIFS('Commodity Prices'!$A$9:$A$2500,'Copper-Lead-Zinc - Prices'!G33,'Commodity Prices'!$B$9:$B$2500,2))</f>
        <v>2244.4866666666667</v>
      </c>
    </row>
    <row r="34" spans="1:14">
      <c r="A34" s="396">
        <f>LARGE('Commodity Prices'!C$159:C$902,36)</f>
        <v>44197</v>
      </c>
      <c r="B34" s="523">
        <f>SUMIF('Commodity Prices'!$C$159:$C$902,$A34,'Commodity Prices'!O$159:O$902)</f>
        <v>7970.5</v>
      </c>
      <c r="C34" s="523">
        <f>SUMIF('Commodity Prices'!$C$159:$C$902,$A34,'Commodity Prices'!Q$159:Q$902)</f>
        <v>2014.93</v>
      </c>
      <c r="D34" s="525">
        <f>SUMIF('Commodity Prices'!$C$159:$C$902,$A34,'Commodity Prices'!S$159:S$902)</f>
        <v>2707.7</v>
      </c>
      <c r="E34" s="8"/>
      <c r="F34" s="70">
        <f t="shared" si="2"/>
        <v>2011</v>
      </c>
      <c r="G34" s="70">
        <f t="shared" si="2"/>
        <v>2012</v>
      </c>
      <c r="H34" s="519">
        <f t="shared" si="1"/>
        <v>2011</v>
      </c>
      <c r="I34" s="1181">
        <f t="array" ref="I34">IF($H$6="Historic Calendar Year",IFERROR(AVERAGE(IF($H34=YEAR('Commodity Prices'!C$100:C$1000),'Commodity Prices'!O$100:O$1000)),"NA"),IFERROR(IF(L34=0,"N/A",L34),"N/A"))</f>
        <v>8820.99</v>
      </c>
      <c r="J34" s="1181">
        <f t="array" ref="J34">IF($H$6="Historic Calendar Year",IFERROR(AVERAGE(IF($H34=YEAR('Commodity Prices'!C$100:C$1000),'Commodity Prices'!Q$100:Q$1000)),"NA"),IFERROR(IF(M34=0,"N/A",M34),"N/A"))</f>
        <v>2401.8316666666665</v>
      </c>
      <c r="K34" s="525">
        <f t="array" ref="K34">IF($H$6="Historic Calendar Year",IFERROR(AVERAGE(IF($H34=YEAR('Commodity Prices'!C$100:C$1000),'Commodity Prices'!S$100:S$1000)),"N/A"),IFERROR(IF(N34=0,"N/A",N34),"N/A"))</f>
        <v>2193.335</v>
      </c>
      <c r="L34" s="228">
        <f>(SUMIFS('Commodity Prices'!$O$9:$O$2500,'Commodity Prices'!$A$9:$A$2500,'Copper-Lead-Zinc - Prices'!F34,'Commodity Prices'!$B$9:$B$2500,3)+
SUMIFS('Commodity Prices'!$O$9:$O$2500,'Commodity Prices'!$A$9:$A$2500,'Copper-Lead-Zinc - Prices'!F34,'Commodity Prices'!$B$9:$B$2500,4)+
SUMIFS('Commodity Prices'!$O$9:$O$2500,'Commodity Prices'!$A$9:$A$2500,'Copper-Lead-Zinc - Prices'!G34,'Commodity Prices'!$B$9:$B$2500,1)+
SUMIFS('Commodity Prices'!$O$9:$O$2500,'Commodity Prices'!$A$9:$A$2500,'Copper-Lead-Zinc - Prices'!G34,'Commodity Prices'!$B$9:$B$2500,2))
/(COUNTIFS('Commodity Prices'!$A$9:$A$2500,'Copper-Lead-Zinc - Prices'!F34,'Commodity Prices'!$B$9:$B$2500,3)+
COUNTIFS('Commodity Prices'!$A$9:$A$2500,'Copper-Lead-Zinc - Prices'!F34,'Commodity Prices'!$B$9:$B$2500,4)+
COUNTIFS('Commodity Prices'!$A$9:$A$2500,'Copper-Lead-Zinc - Prices'!G34,'Commodity Prices'!$B$9:$B$2500,1)+
COUNTIFS('Commodity Prices'!$A$9:$A$2500,'Copper-Lead-Zinc - Prices'!G34,'Commodity Prices'!$B$9:$B$2500,2))</f>
        <v>8163.7542500000009</v>
      </c>
      <c r="M34" s="228">
        <f>(SUMIFS('Commodity Prices'!$Q$9:$Q$2500,'Commodity Prices'!$A$9:$A$2500,'Copper-Lead-Zinc - Prices'!F34,'Commodity Prices'!$B$9:$B$2500,3)+
SUMIFS('Commodity Prices'!$Q$9:$Q$2500,'Commodity Prices'!$A$9:$A$2500,'Copper-Lead-Zinc - Prices'!F34,'Commodity Prices'!$B$9:$B$2500,4)+
SUMIFS('Commodity Prices'!$Q$9:$Q$2500,'Commodity Prices'!$A$9:$A$2500,'Copper-Lead-Zinc - Prices'!G34,'Commodity Prices'!$B$9:$B$2500,1)+
SUMIFS('Commodity Prices'!$Q$9:$Q$2500,'Commodity Prices'!$A$9:$A$2500,'Copper-Lead-Zinc - Prices'!G34,'Commodity Prices'!$B$9:$B$2500,2))
/(COUNTIFS('Commodity Prices'!$A$9:$A$2500,'Copper-Lead-Zinc - Prices'!F34,'Commodity Prices'!$B$9:$B$2500,3)+
COUNTIFS('Commodity Prices'!$A$9:$A$2500,'Copper-Lead-Zinc - Prices'!F34,'Commodity Prices'!$B$9:$B$2500,4)+
COUNTIFS('Commodity Prices'!$A$9:$A$2500,'Copper-Lead-Zinc - Prices'!G34,'Commodity Prices'!$B$9:$B$2500,1)+
COUNTIFS('Commodity Prices'!$A$9:$A$2500,'Copper-Lead-Zinc - Prices'!G34,'Commodity Prices'!$B$9:$B$2500,2))</f>
        <v>2127.765758333333</v>
      </c>
      <c r="N34" s="228">
        <f>(SUMIFS('Commodity Prices'!$S$9:$S$2500,'Commodity Prices'!$A$9:$A$2500,'Copper-Lead-Zinc - Prices'!F34,'Commodity Prices'!$B$9:$B$2500,3)+
SUMIFS('Commodity Prices'!$S$9:$S$2500,'Commodity Prices'!$A$9:$A$2500,'Copper-Lead-Zinc - Prices'!F34,'Commodity Prices'!$B$9:$B$2500,4)+
SUMIFS('Commodity Prices'!$S$9:$S$2500,'Commodity Prices'!$A$9:$A$2500,'Copper-Lead-Zinc - Prices'!G34,'Commodity Prices'!$B$9:$B$2500,1)+
SUMIFS('Commodity Prices'!$S$9:$S$2500,'Commodity Prices'!$A$9:$A$2500,'Copper-Lead-Zinc - Prices'!G34,'Commodity Prices'!$B$9:$B$2500,2))
/(COUNTIFS('Commodity Prices'!$A$9:$A$2500,'Copper-Lead-Zinc - Prices'!F34,'Commodity Prices'!$B$9:$B$2500,3)+
COUNTIFS('Commodity Prices'!$A$9:$A$2500,'Copper-Lead-Zinc - Prices'!F34,'Commodity Prices'!$B$9:$B$2500,4)+
COUNTIFS('Commodity Prices'!$A$9:$A$2500,'Copper-Lead-Zinc - Prices'!G34,'Commodity Prices'!$B$9:$B$2500,1)+
COUNTIFS('Commodity Prices'!$A$9:$A$2500,'Copper-Lead-Zinc - Prices'!G34,'Commodity Prices'!$B$9:$B$2500,2))</f>
        <v>2018.8427250000002</v>
      </c>
    </row>
    <row r="35" spans="1:14">
      <c r="A35" s="418">
        <f>LARGE('Commodity Prices'!C$159:C$902,35)</f>
        <v>44228</v>
      </c>
      <c r="B35" s="524">
        <f>SUMIF('Commodity Prices'!$C$159:$C$902,$A35,'Commodity Prices'!O$159:O$902)</f>
        <v>8460.25</v>
      </c>
      <c r="C35" s="524">
        <f>SUMIF('Commodity Prices'!$C$159:$C$902,$A35,'Commodity Prices'!Q$159:Q$902)</f>
        <v>2085.75</v>
      </c>
      <c r="D35" s="489">
        <f>SUMIF('Commodity Prices'!$C$159:$C$902,$A35,'Commodity Prices'!S$159:S$902)</f>
        <v>2713.2</v>
      </c>
      <c r="E35" s="8"/>
      <c r="F35" s="70">
        <f t="shared" si="2"/>
        <v>2012</v>
      </c>
      <c r="G35" s="70">
        <f t="shared" si="2"/>
        <v>2013</v>
      </c>
      <c r="H35" s="520">
        <f t="shared" si="1"/>
        <v>2012</v>
      </c>
      <c r="I35" s="565">
        <f t="array" ref="I35">IF($H$6="Historic Calendar Year",IFERROR(AVERAGE(IF($H35=YEAR('Commodity Prices'!C$100:C$1000),'Commodity Prices'!O$100:O$1000)),"NA"),IFERROR(IF(L35=0,"N/A",L35),"N/A"))</f>
        <v>7949.9472500000002</v>
      </c>
      <c r="J35" s="565">
        <f t="array" ref="J35">IF($H$6="Historic Calendar Year",IFERROR(AVERAGE(IF($H35=YEAR('Commodity Prices'!C$100:C$1000),'Commodity Prices'!Q$100:Q$1000)),"NA"),IFERROR(IF(M35=0,"N/A",M35),"N/A"))</f>
        <v>2062.2622583333332</v>
      </c>
      <c r="K35" s="489">
        <f t="array" ref="K35">IF($H$6="Historic Calendar Year",IFERROR(AVERAGE(IF($H35=YEAR('Commodity Prices'!C$100:C$1000),'Commodity Prices'!S$100:S$1000)),"N/A"),IFERROR(IF(N35=0,"N/A",N35),"N/A"))</f>
        <v>1948.0039166666666</v>
      </c>
      <c r="L35" s="228">
        <f>(SUMIFS('Commodity Prices'!$O$9:$O$2500,'Commodity Prices'!$A$9:$A$2500,'Copper-Lead-Zinc - Prices'!F35,'Commodity Prices'!$B$9:$B$2500,3)+
SUMIFS('Commodity Prices'!$O$9:$O$2500,'Commodity Prices'!$A$9:$A$2500,'Copper-Lead-Zinc - Prices'!F35,'Commodity Prices'!$B$9:$B$2500,4)+
SUMIFS('Commodity Prices'!$O$9:$O$2500,'Commodity Prices'!$A$9:$A$2500,'Copper-Lead-Zinc - Prices'!G35,'Commodity Prices'!$B$9:$B$2500,1)+
SUMIFS('Commodity Prices'!$O$9:$O$2500,'Commodity Prices'!$A$9:$A$2500,'Copper-Lead-Zinc - Prices'!G35,'Commodity Prices'!$B$9:$B$2500,2))
/(COUNTIFS('Commodity Prices'!$A$9:$A$2500,'Copper-Lead-Zinc - Prices'!F35,'Commodity Prices'!$B$9:$B$2500,3)+
COUNTIFS('Commodity Prices'!$A$9:$A$2500,'Copper-Lead-Zinc - Prices'!F35,'Commodity Prices'!$B$9:$B$2500,4)+
COUNTIFS('Commodity Prices'!$A$9:$A$2500,'Copper-Lead-Zinc - Prices'!G35,'Commodity Prices'!$B$9:$B$2500,1)+
COUNTIFS('Commodity Prices'!$A$9:$A$2500,'Copper-Lead-Zinc - Prices'!G35,'Commodity Prices'!$B$9:$B$2500,2))</f>
        <v>7674.6447916666666</v>
      </c>
      <c r="M35" s="228">
        <f>(SUMIFS('Commodity Prices'!$Q$9:$Q$2500,'Commodity Prices'!$A$9:$A$2500,'Copper-Lead-Zinc - Prices'!F35,'Commodity Prices'!$B$9:$B$2500,3)+
SUMIFS('Commodity Prices'!$Q$9:$Q$2500,'Commodity Prices'!$A$9:$A$2500,'Copper-Lead-Zinc - Prices'!F35,'Commodity Prices'!$B$9:$B$2500,4)+
SUMIFS('Commodity Prices'!$Q$9:$Q$2500,'Commodity Prices'!$A$9:$A$2500,'Copper-Lead-Zinc - Prices'!G35,'Commodity Prices'!$B$9:$B$2500,1)+
SUMIFS('Commodity Prices'!$Q$9:$Q$2500,'Commodity Prices'!$A$9:$A$2500,'Copper-Lead-Zinc - Prices'!G35,'Commodity Prices'!$B$9:$B$2500,2))
/(COUNTIFS('Commodity Prices'!$A$9:$A$2500,'Copper-Lead-Zinc - Prices'!F35,'Commodity Prices'!$B$9:$B$2500,3)+
COUNTIFS('Commodity Prices'!$A$9:$A$2500,'Copper-Lead-Zinc - Prices'!F35,'Commodity Prices'!$B$9:$B$2500,4)+
COUNTIFS('Commodity Prices'!$A$9:$A$2500,'Copper-Lead-Zinc - Prices'!G35,'Commodity Prices'!$B$9:$B$2500,1)+
COUNTIFS('Commodity Prices'!$A$9:$A$2500,'Copper-Lead-Zinc - Prices'!G35,'Commodity Prices'!$B$9:$B$2500,2))</f>
        <v>2134.3340249999997</v>
      </c>
      <c r="N35" s="228">
        <f>(SUMIFS('Commodity Prices'!$S$9:$S$2500,'Commodity Prices'!$A$9:$A$2500,'Copper-Lead-Zinc - Prices'!F35,'Commodity Prices'!$B$9:$B$2500,3)+
SUMIFS('Commodity Prices'!$S$9:$S$2500,'Commodity Prices'!$A$9:$A$2500,'Copper-Lead-Zinc - Prices'!F35,'Commodity Prices'!$B$9:$B$2500,4)+
SUMIFS('Commodity Prices'!$S$9:$S$2500,'Commodity Prices'!$A$9:$A$2500,'Copper-Lead-Zinc - Prices'!G35,'Commodity Prices'!$B$9:$B$2500,1)+
SUMIFS('Commodity Prices'!$S$9:$S$2500,'Commodity Prices'!$A$9:$A$2500,'Copper-Lead-Zinc - Prices'!G35,'Commodity Prices'!$B$9:$B$2500,2))
/(COUNTIFS('Commodity Prices'!$A$9:$A$2500,'Copper-Lead-Zinc - Prices'!F35,'Commodity Prices'!$B$9:$B$2500,3)+
COUNTIFS('Commodity Prices'!$A$9:$A$2500,'Copper-Lead-Zinc - Prices'!F35,'Commodity Prices'!$B$9:$B$2500,4)+
COUNTIFS('Commodity Prices'!$A$9:$A$2500,'Copper-Lead-Zinc - Prices'!G35,'Commodity Prices'!$B$9:$B$2500,1)+
COUNTIFS('Commodity Prices'!$A$9:$A$2500,'Copper-Lead-Zinc - Prices'!G35,'Commodity Prices'!$B$9:$B$2500,2))</f>
        <v>1928.3518333333334</v>
      </c>
    </row>
    <row r="36" spans="1:14">
      <c r="A36" s="396">
        <f>LARGE('Commodity Prices'!C$159:C$902,34)</f>
        <v>44256</v>
      </c>
      <c r="B36" s="523">
        <f>SUMIF('Commodity Prices'!$C$159:$C$902,$A36,'Commodity Prices'!O$159:O$902)</f>
        <v>9004.98</v>
      </c>
      <c r="C36" s="523">
        <f>SUMIF('Commodity Prices'!$C$159:$C$902,$A36,'Commodity Prices'!Q$159:Q$902)</f>
        <v>1960.76</v>
      </c>
      <c r="D36" s="525">
        <f>SUMIF('Commodity Prices'!$C$159:$C$902,$A36,'Commodity Prices'!S$159:S$902)</f>
        <v>2791.65</v>
      </c>
      <c r="E36" s="8"/>
      <c r="F36" s="70">
        <f t="shared" si="2"/>
        <v>2013</v>
      </c>
      <c r="G36" s="70">
        <f t="shared" si="2"/>
        <v>2014</v>
      </c>
      <c r="H36" s="519">
        <f t="shared" si="1"/>
        <v>2013</v>
      </c>
      <c r="I36" s="1181">
        <f t="array" ref="I36">IF($H$6="Historic Calendar Year",IFERROR(AVERAGE(IF($H36=YEAR('Commodity Prices'!C$100:C$1000),'Commodity Prices'!O$100:O$1000)),"NA"),IFERROR(IF(L36=0,"N/A",L36),"N/A"))</f>
        <v>7326.1654916666675</v>
      </c>
      <c r="J36" s="1181">
        <f t="array" ref="J36">IF($H$6="Historic Calendar Year",IFERROR(AVERAGE(IF($H36=YEAR('Commodity Prices'!C$100:C$1000),'Commodity Prices'!Q$100:Q$1000)),"NA"),IFERROR(IF(M36=0,"N/A",M36),"N/A"))</f>
        <v>2142.2553750000002</v>
      </c>
      <c r="K36" s="525">
        <f t="array" ref="K36">IF($H$6="Historic Calendar Year",IFERROR(AVERAGE(IF($H36=YEAR('Commodity Prices'!C$100:C$1000),'Commodity Prices'!S$100:S$1000)),"N/A"),IFERROR(IF(N36=0,"N/A",N36),"N/A"))</f>
        <v>1910.343175</v>
      </c>
      <c r="L36" s="228">
        <f>(SUMIFS('Commodity Prices'!$O$9:$O$2500,'Commodity Prices'!$A$9:$A$2500,'Copper-Lead-Zinc - Prices'!F36,'Commodity Prices'!$B$9:$B$2500,3)+
SUMIFS('Commodity Prices'!$O$9:$O$2500,'Commodity Prices'!$A$9:$A$2500,'Copper-Lead-Zinc - Prices'!F36,'Commodity Prices'!$B$9:$B$2500,4)+
SUMIFS('Commodity Prices'!$O$9:$O$2500,'Commodity Prices'!$A$9:$A$2500,'Copper-Lead-Zinc - Prices'!G36,'Commodity Prices'!$B$9:$B$2500,1)+
SUMIFS('Commodity Prices'!$O$9:$O$2500,'Commodity Prices'!$A$9:$A$2500,'Copper-Lead-Zinc - Prices'!G36,'Commodity Prices'!$B$9:$B$2500,2))
/(COUNTIFS('Commodity Prices'!$A$9:$A$2500,'Copper-Lead-Zinc - Prices'!F36,'Commodity Prices'!$B$9:$B$2500,3)+
COUNTIFS('Commodity Prices'!$A$9:$A$2500,'Copper-Lead-Zinc - Prices'!F36,'Commodity Prices'!$B$9:$B$2500,4)+
COUNTIFS('Commodity Prices'!$A$9:$A$2500,'Copper-Lead-Zinc - Prices'!G36,'Commodity Prices'!$B$9:$B$2500,1)+
COUNTIFS('Commodity Prices'!$A$9:$A$2500,'Copper-Lead-Zinc - Prices'!G36,'Commodity Prices'!$B$9:$B$2500,2))</f>
        <v>7014.2024416666673</v>
      </c>
      <c r="M36" s="228">
        <f>(SUMIFS('Commodity Prices'!$Q$9:$Q$2500,'Commodity Prices'!$A$9:$A$2500,'Copper-Lead-Zinc - Prices'!F36,'Commodity Prices'!$B$9:$B$2500,3)+
SUMIFS('Commodity Prices'!$Q$9:$Q$2500,'Commodity Prices'!$A$9:$A$2500,'Copper-Lead-Zinc - Prices'!F36,'Commodity Prices'!$B$9:$B$2500,4)+
SUMIFS('Commodity Prices'!$Q$9:$Q$2500,'Commodity Prices'!$A$9:$A$2500,'Copper-Lead-Zinc - Prices'!G36,'Commodity Prices'!$B$9:$B$2500,1)+
SUMIFS('Commodity Prices'!$Q$9:$Q$2500,'Commodity Prices'!$A$9:$A$2500,'Copper-Lead-Zinc - Prices'!G36,'Commodity Prices'!$B$9:$B$2500,2))
/(COUNTIFS('Commodity Prices'!$A$9:$A$2500,'Copper-Lead-Zinc - Prices'!F36,'Commodity Prices'!$B$9:$B$2500,3)+
COUNTIFS('Commodity Prices'!$A$9:$A$2500,'Copper-Lead-Zinc - Prices'!F36,'Commodity Prices'!$B$9:$B$2500,4)+
COUNTIFS('Commodity Prices'!$A$9:$A$2500,'Copper-Lead-Zinc - Prices'!G36,'Commodity Prices'!$B$9:$B$2500,1)+
COUNTIFS('Commodity Prices'!$A$9:$A$2500,'Copper-Lead-Zinc - Prices'!G36,'Commodity Prices'!$B$9:$B$2500,2))</f>
        <v>2103.9039333333335</v>
      </c>
      <c r="N36" s="228">
        <f>(SUMIFS('Commodity Prices'!$S$9:$S$2500,'Commodity Prices'!$A$9:$A$2500,'Copper-Lead-Zinc - Prices'!F36,'Commodity Prices'!$B$9:$B$2500,3)+
SUMIFS('Commodity Prices'!$S$9:$S$2500,'Commodity Prices'!$A$9:$A$2500,'Copper-Lead-Zinc - Prices'!F36,'Commodity Prices'!$B$9:$B$2500,4)+
SUMIFS('Commodity Prices'!$S$9:$S$2500,'Commodity Prices'!$A$9:$A$2500,'Copper-Lead-Zinc - Prices'!G36,'Commodity Prices'!$B$9:$B$2500,1)+
SUMIFS('Commodity Prices'!$S$9:$S$2500,'Commodity Prices'!$A$9:$A$2500,'Copper-Lead-Zinc - Prices'!G36,'Commodity Prices'!$B$9:$B$2500,2))
/(COUNTIFS('Commodity Prices'!$A$9:$A$2500,'Copper-Lead-Zinc - Prices'!F36,'Commodity Prices'!$B$9:$B$2500,3)+
COUNTIFS('Commodity Prices'!$A$9:$A$2500,'Copper-Lead-Zinc - Prices'!F36,'Commodity Prices'!$B$9:$B$2500,4)+
COUNTIFS('Commodity Prices'!$A$9:$A$2500,'Copper-Lead-Zinc - Prices'!G36,'Commodity Prices'!$B$9:$B$2500,1)+
COUNTIFS('Commodity Prices'!$A$9:$A$2500,'Copper-Lead-Zinc - Prices'!G36,'Commodity Prices'!$B$9:$B$2500,2))</f>
        <v>1967.5441666666666</v>
      </c>
    </row>
    <row r="37" spans="1:14">
      <c r="A37" s="418">
        <f>LARGE('Commodity Prices'!C$159:C$902,33)</f>
        <v>44287</v>
      </c>
      <c r="B37" s="524">
        <f>SUMIF('Commodity Prices'!$C$159:$C$902,$A37,'Commodity Prices'!O$159:O$902)</f>
        <v>9335.5499999999993</v>
      </c>
      <c r="C37" s="524">
        <f>SUMIF('Commodity Prices'!$C$159:$C$902,$A37,'Commodity Prices'!Q$159:Q$902)</f>
        <v>2006.33</v>
      </c>
      <c r="D37" s="489">
        <f>SUMIF('Commodity Prices'!$C$159:$C$902,$A37,'Commodity Prices'!S$159:S$902)</f>
        <v>2827.35</v>
      </c>
      <c r="E37" s="8"/>
      <c r="F37" s="70">
        <f t="shared" si="2"/>
        <v>2014</v>
      </c>
      <c r="G37" s="70">
        <f t="shared" si="2"/>
        <v>2015</v>
      </c>
      <c r="H37" s="520">
        <f t="shared" si="1"/>
        <v>2014</v>
      </c>
      <c r="I37" s="565">
        <f t="array" ref="I37">IF($H$6="Historic Calendar Year",IFERROR(AVERAGE(IF($H37=YEAR('Commodity Prices'!C$100:C$1000),'Commodity Prices'!O$100:O$1000)),"NA"),IFERROR(IF(L37=0,"N/A",L37),"N/A"))</f>
        <v>6859.684608333333</v>
      </c>
      <c r="J37" s="565">
        <f t="array" ref="J37">IF($H$6="Historic Calendar Year",IFERROR(AVERAGE(IF($H37=YEAR('Commodity Prices'!C$100:C$1000),'Commodity Prices'!Q$100:Q$1000)),"NA"),IFERROR(IF(M37=0,"N/A",M37),"N/A"))</f>
        <v>2095.6746749999998</v>
      </c>
      <c r="K37" s="489">
        <f t="array" ref="K37">IF($H$6="Historic Calendar Year",IFERROR(AVERAGE(IF($H37=YEAR('Commodity Prices'!C$100:C$1000),'Commodity Prices'!S$100:S$1000)),"N/A"),IFERROR(IF(N37=0,"N/A",N37),"N/A"))</f>
        <v>2162.0022333333332</v>
      </c>
      <c r="L37" s="228">
        <f>(SUMIFS('Commodity Prices'!$O$9:$O$2500,'Commodity Prices'!$A$9:$A$2500,'Copper-Lead-Zinc - Prices'!F37,'Commodity Prices'!$B$9:$B$2500,3)+
SUMIFS('Commodity Prices'!$O$9:$O$2500,'Commodity Prices'!$A$9:$A$2500,'Copper-Lead-Zinc - Prices'!F37,'Commodity Prices'!$B$9:$B$2500,4)+
SUMIFS('Commodity Prices'!$O$9:$O$2500,'Commodity Prices'!$A$9:$A$2500,'Copper-Lead-Zinc - Prices'!G37,'Commodity Prices'!$B$9:$B$2500,1)+
SUMIFS('Commodity Prices'!$O$9:$O$2500,'Commodity Prices'!$A$9:$A$2500,'Copper-Lead-Zinc - Prices'!G37,'Commodity Prices'!$B$9:$B$2500,2))
/(COUNTIFS('Commodity Prices'!$A$9:$A$2500,'Copper-Lead-Zinc - Prices'!F37,'Commodity Prices'!$B$9:$B$2500,3)+
COUNTIFS('Commodity Prices'!$A$9:$A$2500,'Copper-Lead-Zinc - Prices'!F37,'Commodity Prices'!$B$9:$B$2500,4)+
COUNTIFS('Commodity Prices'!$A$9:$A$2500,'Copper-Lead-Zinc - Prices'!G37,'Commodity Prices'!$B$9:$B$2500,1)+
COUNTIFS('Commodity Prices'!$A$9:$A$2500,'Copper-Lead-Zinc - Prices'!G37,'Commodity Prices'!$B$9:$B$2500,2))</f>
        <v>6370.5827916666667</v>
      </c>
      <c r="M37" s="228">
        <f>(SUMIFS('Commodity Prices'!$Q$9:$Q$2500,'Commodity Prices'!$A$9:$A$2500,'Copper-Lead-Zinc - Prices'!F37,'Commodity Prices'!$B$9:$B$2500,3)+
SUMIFS('Commodity Prices'!$Q$9:$Q$2500,'Commodity Prices'!$A$9:$A$2500,'Copper-Lead-Zinc - Prices'!F37,'Commodity Prices'!$B$9:$B$2500,4)+
SUMIFS('Commodity Prices'!$Q$9:$Q$2500,'Commodity Prices'!$A$9:$A$2500,'Copper-Lead-Zinc - Prices'!G37,'Commodity Prices'!$B$9:$B$2500,1)+
SUMIFS('Commodity Prices'!$Q$9:$Q$2500,'Commodity Prices'!$A$9:$A$2500,'Copper-Lead-Zinc - Prices'!G37,'Commodity Prices'!$B$9:$B$2500,2))
/(COUNTIFS('Commodity Prices'!$A$9:$A$2500,'Copper-Lead-Zinc - Prices'!F37,'Commodity Prices'!$B$9:$B$2500,3)+
COUNTIFS('Commodity Prices'!$A$9:$A$2500,'Copper-Lead-Zinc - Prices'!F37,'Commodity Prices'!$B$9:$B$2500,4)+
COUNTIFS('Commodity Prices'!$A$9:$A$2500,'Copper-Lead-Zinc - Prices'!G37,'Commodity Prices'!$B$9:$B$2500,1)+
COUNTIFS('Commodity Prices'!$A$9:$A$2500,'Copper-Lead-Zinc - Prices'!G37,'Commodity Prices'!$B$9:$B$2500,2))</f>
        <v>1983.732925</v>
      </c>
      <c r="N37" s="228">
        <f>(SUMIFS('Commodity Prices'!$S$9:$S$2500,'Commodity Prices'!$A$9:$A$2500,'Copper-Lead-Zinc - Prices'!F37,'Commodity Prices'!$B$9:$B$2500,3)+
SUMIFS('Commodity Prices'!$S$9:$S$2500,'Commodity Prices'!$A$9:$A$2500,'Copper-Lead-Zinc - Prices'!F37,'Commodity Prices'!$B$9:$B$2500,4)+
SUMIFS('Commodity Prices'!$S$9:$S$2500,'Commodity Prices'!$A$9:$A$2500,'Copper-Lead-Zinc - Prices'!G37,'Commodity Prices'!$B$9:$B$2500,1)+
SUMIFS('Commodity Prices'!$S$9:$S$2500,'Commodity Prices'!$A$9:$A$2500,'Copper-Lead-Zinc - Prices'!G37,'Commodity Prices'!$B$9:$B$2500,2))
/(COUNTIFS('Commodity Prices'!$A$9:$A$2500,'Copper-Lead-Zinc - Prices'!F37,'Commodity Prices'!$B$9:$B$2500,3)+
COUNTIFS('Commodity Prices'!$A$9:$A$2500,'Copper-Lead-Zinc - Prices'!F37,'Commodity Prices'!$B$9:$B$2500,4)+
COUNTIFS('Commodity Prices'!$A$9:$A$2500,'Copper-Lead-Zinc - Prices'!G37,'Commodity Prices'!$B$9:$B$2500,1)+
COUNTIFS('Commodity Prices'!$A$9:$A$2500,'Copper-Lead-Zinc - Prices'!G37,'Commodity Prices'!$B$9:$B$2500,2))</f>
        <v>2205.4105583333335</v>
      </c>
    </row>
    <row r="38" spans="1:14">
      <c r="A38" s="396">
        <f>LARGE('Commodity Prices'!C$159:C$902,32)</f>
        <v>44317</v>
      </c>
      <c r="B38" s="523">
        <f>SUMIF('Commodity Prices'!$C$159:$C$902,$A38,'Commodity Prices'!O$159:O$902)</f>
        <v>10183.969999999999</v>
      </c>
      <c r="C38" s="523">
        <f>SUMIF('Commodity Prices'!$C$159:$C$902,$A38,'Commodity Prices'!Q$159:Q$902)</f>
        <v>2185.92</v>
      </c>
      <c r="D38" s="525">
        <f>SUMIF('Commodity Prices'!$C$159:$C$902,$A38,'Commodity Prices'!S$159:S$902)</f>
        <v>2970.29</v>
      </c>
      <c r="E38" s="8"/>
      <c r="F38" s="70">
        <f t="shared" si="2"/>
        <v>2015</v>
      </c>
      <c r="G38" s="70">
        <f t="shared" si="2"/>
        <v>2016</v>
      </c>
      <c r="H38" s="519">
        <f t="shared" si="1"/>
        <v>2015</v>
      </c>
      <c r="I38" s="1181">
        <f t="array" ref="I38">IF($H$6="Historic Calendar Year",IFERROR(AVERAGE(IF($H38=YEAR('Commodity Prices'!C$100:C$1000),'Commodity Prices'!O$100:O$1000)),"NA"),IFERROR(IF(L38=0,"N/A",L38),"N/A"))</f>
        <v>5501.6853083333335</v>
      </c>
      <c r="J38" s="1181">
        <f t="array" ref="J38">IF($H$6="Historic Calendar Year",IFERROR(AVERAGE(IF($H38=YEAR('Commodity Prices'!C$100:C$1000),'Commodity Prices'!Q$100:Q$1000)),"NA"),IFERROR(IF(M38=0,"N/A",M38),"N/A"))</f>
        <v>1786.4937833333333</v>
      </c>
      <c r="K38" s="525">
        <f t="array" ref="K38">IF($H$6="Historic Calendar Year",IFERROR(AVERAGE(IF($H38=YEAR('Commodity Prices'!C$100:C$1000),'Commodity Prices'!S$100:S$1000)),"N/A"),IFERROR(IF(N38=0,"N/A",N38),"N/A"))</f>
        <v>1932.5104333333336</v>
      </c>
      <c r="L38" s="228">
        <f>(SUMIFS('Commodity Prices'!$O$9:$O$2500,'Commodity Prices'!$A$9:$A$2500,'Copper-Lead-Zinc - Prices'!F38,'Commodity Prices'!$B$9:$B$2500,3)+
SUMIFS('Commodity Prices'!$O$9:$O$2500,'Commodity Prices'!$A$9:$A$2500,'Copper-Lead-Zinc - Prices'!F38,'Commodity Prices'!$B$9:$B$2500,4)+
SUMIFS('Commodity Prices'!$O$9:$O$2500,'Commodity Prices'!$A$9:$A$2500,'Copper-Lead-Zinc - Prices'!G38,'Commodity Prices'!$B$9:$B$2500,1)+
SUMIFS('Commodity Prices'!$O$9:$O$2500,'Commodity Prices'!$A$9:$A$2500,'Copper-Lead-Zinc - Prices'!G38,'Commodity Prices'!$B$9:$B$2500,2))
/(COUNTIFS('Commodity Prices'!$A$9:$A$2500,'Copper-Lead-Zinc - Prices'!F38,'Commodity Prices'!$B$9:$B$2500,3)+
COUNTIFS('Commodity Prices'!$A$9:$A$2500,'Copper-Lead-Zinc - Prices'!F38,'Commodity Prices'!$B$9:$B$2500,4)+
COUNTIFS('Commodity Prices'!$A$9:$A$2500,'Copper-Lead-Zinc - Prices'!G38,'Commodity Prices'!$B$9:$B$2500,1)+
COUNTIFS('Commodity Prices'!$A$9:$A$2500,'Copper-Lead-Zinc - Prices'!G38,'Commodity Prices'!$B$9:$B$2500,2))</f>
        <v>4884.1383166666665</v>
      </c>
      <c r="M38" s="228">
        <f>(SUMIFS('Commodity Prices'!$Q$9:$Q$2500,'Commodity Prices'!$A$9:$A$2500,'Copper-Lead-Zinc - Prices'!F38,'Commodity Prices'!$B$9:$B$2500,3)+
SUMIFS('Commodity Prices'!$Q$9:$Q$2500,'Commodity Prices'!$A$9:$A$2500,'Copper-Lead-Zinc - Prices'!F38,'Commodity Prices'!$B$9:$B$2500,4)+
SUMIFS('Commodity Prices'!$Q$9:$Q$2500,'Commodity Prices'!$A$9:$A$2500,'Copper-Lead-Zinc - Prices'!G38,'Commodity Prices'!$B$9:$B$2500,1)+
SUMIFS('Commodity Prices'!$Q$9:$Q$2500,'Commodity Prices'!$A$9:$A$2500,'Copper-Lead-Zinc - Prices'!G38,'Commodity Prices'!$B$9:$B$2500,2))
/(COUNTIFS('Commodity Prices'!$A$9:$A$2500,'Copper-Lead-Zinc - Prices'!F38,'Commodity Prices'!$B$9:$B$2500,3)+
COUNTIFS('Commodity Prices'!$A$9:$A$2500,'Copper-Lead-Zinc - Prices'!F38,'Commodity Prices'!$B$9:$B$2500,4)+
COUNTIFS('Commodity Prices'!$A$9:$A$2500,'Copper-Lead-Zinc - Prices'!G38,'Commodity Prices'!$B$9:$B$2500,1)+
COUNTIFS('Commodity Prices'!$A$9:$A$2500,'Copper-Lead-Zinc - Prices'!G38,'Commodity Prices'!$B$9:$B$2500,2))</f>
        <v>1713.5557833333332</v>
      </c>
      <c r="N38" s="228">
        <f>(SUMIFS('Commodity Prices'!$S$9:$S$2500,'Commodity Prices'!$A$9:$A$2500,'Copper-Lead-Zinc - Prices'!F38,'Commodity Prices'!$B$9:$B$2500,3)+
SUMIFS('Commodity Prices'!$S$9:$S$2500,'Commodity Prices'!$A$9:$A$2500,'Copper-Lead-Zinc - Prices'!F38,'Commodity Prices'!$B$9:$B$2500,4)+
SUMIFS('Commodity Prices'!$S$9:$S$2500,'Commodity Prices'!$A$9:$A$2500,'Copper-Lead-Zinc - Prices'!G38,'Commodity Prices'!$B$9:$B$2500,1)+
SUMIFS('Commodity Prices'!$S$9:$S$2500,'Commodity Prices'!$A$9:$A$2500,'Copper-Lead-Zinc - Prices'!G38,'Commodity Prices'!$B$9:$B$2500,2))
/(COUNTIFS('Commodity Prices'!$A$9:$A$2500,'Copper-Lead-Zinc - Prices'!F38,'Commodity Prices'!$B$9:$B$2500,3)+
COUNTIFS('Commodity Prices'!$A$9:$A$2500,'Copper-Lead-Zinc - Prices'!F38,'Commodity Prices'!$B$9:$B$2500,4)+
COUNTIFS('Commodity Prices'!$A$9:$A$2500,'Copper-Lead-Zinc - Prices'!G38,'Commodity Prices'!$B$9:$B$2500,1)+
COUNTIFS('Commodity Prices'!$A$9:$A$2500,'Copper-Lead-Zinc - Prices'!G38,'Commodity Prices'!$B$9:$B$2500,2))</f>
        <v>1761.3938083333333</v>
      </c>
    </row>
    <row r="39" spans="1:14">
      <c r="A39" s="418">
        <f>LARGE('Commodity Prices'!C$159:C$902,31)</f>
        <v>44348</v>
      </c>
      <c r="B39" s="524">
        <f>SUMIF('Commodity Prices'!$C$159:$C$902,$A39,'Commodity Prices'!O$159:O$902)</f>
        <v>9587.65</v>
      </c>
      <c r="C39" s="524">
        <f>SUMIF('Commodity Prices'!$C$159:$C$902,$A39,'Commodity Prices'!Q$159:Q$902)</f>
        <v>2188.98</v>
      </c>
      <c r="D39" s="489">
        <f>SUMIF('Commodity Prices'!$C$159:$C$902,$A39,'Commodity Prices'!S$159:S$902)</f>
        <v>2950.07</v>
      </c>
      <c r="E39" s="8"/>
      <c r="F39" s="70">
        <f t="shared" si="2"/>
        <v>2016</v>
      </c>
      <c r="G39" s="70">
        <f t="shared" si="2"/>
        <v>2017</v>
      </c>
      <c r="H39" s="520">
        <f t="shared" si="1"/>
        <v>2016</v>
      </c>
      <c r="I39" s="565">
        <f t="array" ref="I39">IF($H$6="Historic Calendar Year",IFERROR(AVERAGE(IF($H39=YEAR('Commodity Prices'!C$100:C$1000),'Commodity Prices'!O$100:O$1000)),"NA"),IFERROR(IF(L39=0,"N/A",L39),"N/A"))</f>
        <v>4863.2245083333337</v>
      </c>
      <c r="J39" s="565">
        <f t="array" ref="J39">IF($H$6="Historic Calendar Year",IFERROR(AVERAGE(IF($H39=YEAR('Commodity Prices'!C$100:C$1000),'Commodity Prices'!Q$100:Q$1000)),"NA"),IFERROR(IF(M39=0,"N/A",M39),"N/A"))</f>
        <v>1870.7442166666667</v>
      </c>
      <c r="K39" s="489">
        <f t="array" ref="K39">IF($H$6="Historic Calendar Year",IFERROR(AVERAGE(IF($H39=YEAR('Commodity Prices'!C$100:C$1000),'Commodity Prices'!S$100:S$1000)),"N/A"),IFERROR(IF(N39=0,"N/A",N39),"N/A"))</f>
        <v>2090.7071083333335</v>
      </c>
      <c r="L39" s="228">
        <f>(SUMIFS('Commodity Prices'!$O$9:$O$2500,'Commodity Prices'!$A$9:$A$2500,'Copper-Lead-Zinc - Prices'!F39,'Commodity Prices'!$B$9:$B$2500,3)+
SUMIFS('Commodity Prices'!$O$9:$O$2500,'Commodity Prices'!$A$9:$A$2500,'Copper-Lead-Zinc - Prices'!F39,'Commodity Prices'!$B$9:$B$2500,4)+
SUMIFS('Commodity Prices'!$O$9:$O$2500,'Commodity Prices'!$A$9:$A$2500,'Copper-Lead-Zinc - Prices'!G39,'Commodity Prices'!$B$9:$B$2500,1)+
SUMIFS('Commodity Prices'!$O$9:$O$2500,'Commodity Prices'!$A$9:$A$2500,'Copper-Lead-Zinc - Prices'!G39,'Commodity Prices'!$B$9:$B$2500,2))
/(COUNTIFS('Commodity Prices'!$A$9:$A$2500,'Copper-Lead-Zinc - Prices'!F39,'Commodity Prices'!$B$9:$B$2500,3)+
COUNTIFS('Commodity Prices'!$A$9:$A$2500,'Copper-Lead-Zinc - Prices'!F39,'Commodity Prices'!$B$9:$B$2500,4)+
COUNTIFS('Commodity Prices'!$A$9:$A$2500,'Copper-Lead-Zinc - Prices'!G39,'Commodity Prices'!$B$9:$B$2500,1)+
COUNTIFS('Commodity Prices'!$A$9:$A$2500,'Copper-Lead-Zinc - Prices'!G39,'Commodity Prices'!$B$9:$B$2500,2))</f>
        <v>5387.6632666666665</v>
      </c>
      <c r="M39" s="228">
        <f>(SUMIFS('Commodity Prices'!$Q$9:$Q$2500,'Commodity Prices'!$A$9:$A$2500,'Copper-Lead-Zinc - Prices'!F39,'Commodity Prices'!$B$9:$B$2500,3)+
SUMIFS('Commodity Prices'!$Q$9:$Q$2500,'Commodity Prices'!$A$9:$A$2500,'Copper-Lead-Zinc - Prices'!F39,'Commodity Prices'!$B$9:$B$2500,4)+
SUMIFS('Commodity Prices'!$Q$9:$Q$2500,'Commodity Prices'!$A$9:$A$2500,'Copper-Lead-Zinc - Prices'!G39,'Commodity Prices'!$B$9:$B$2500,1)+
SUMIFS('Commodity Prices'!$Q$9:$Q$2500,'Commodity Prices'!$A$9:$A$2500,'Copper-Lead-Zinc - Prices'!G39,'Commodity Prices'!$B$9:$B$2500,2))
/(COUNTIFS('Commodity Prices'!$A$9:$A$2500,'Copper-Lead-Zinc - Prices'!F39,'Commodity Prices'!$B$9:$B$2500,3)+
COUNTIFS('Commodity Prices'!$A$9:$A$2500,'Copper-Lead-Zinc - Prices'!F39,'Commodity Prices'!$B$9:$B$2500,4)+
COUNTIFS('Commodity Prices'!$A$9:$A$2500,'Copper-Lead-Zinc - Prices'!G39,'Commodity Prices'!$B$9:$B$2500,1)+
COUNTIFS('Commodity Prices'!$A$9:$A$2500,'Copper-Lead-Zinc - Prices'!G39,'Commodity Prices'!$B$9:$B$2500,2))</f>
        <v>2116.2715416666665</v>
      </c>
      <c r="N39" s="228">
        <f>(SUMIFS('Commodity Prices'!$S$9:$S$2500,'Commodity Prices'!$A$9:$A$2500,'Copper-Lead-Zinc - Prices'!F39,'Commodity Prices'!$B$9:$B$2500,3)+
SUMIFS('Commodity Prices'!$S$9:$S$2500,'Commodity Prices'!$A$9:$A$2500,'Copper-Lead-Zinc - Prices'!F39,'Commodity Prices'!$B$9:$B$2500,4)+
SUMIFS('Commodity Prices'!$S$9:$S$2500,'Commodity Prices'!$A$9:$A$2500,'Copper-Lead-Zinc - Prices'!G39,'Commodity Prices'!$B$9:$B$2500,1)+
SUMIFS('Commodity Prices'!$S$9:$S$2500,'Commodity Prices'!$A$9:$A$2500,'Copper-Lead-Zinc - Prices'!G39,'Commodity Prices'!$B$9:$B$2500,2))
/(COUNTIFS('Commodity Prices'!$A$9:$A$2500,'Copper-Lead-Zinc - Prices'!F39,'Commodity Prices'!$B$9:$B$2500,3)+
COUNTIFS('Commodity Prices'!$A$9:$A$2500,'Copper-Lead-Zinc - Prices'!F39,'Commodity Prices'!$B$9:$B$2500,4)+
COUNTIFS('Commodity Prices'!$A$9:$A$2500,'Copper-Lead-Zinc - Prices'!G39,'Commodity Prices'!$B$9:$B$2500,1)+
COUNTIFS('Commodity Prices'!$A$9:$A$2500,'Copper-Lead-Zinc - Prices'!G39,'Commodity Prices'!$B$9:$B$2500,2))</f>
        <v>2537.7872583333333</v>
      </c>
    </row>
    <row r="40" spans="1:14">
      <c r="A40" s="396">
        <f>LARGE('Commodity Prices'!C$159:C$902,30)</f>
        <v>44378</v>
      </c>
      <c r="B40" s="523">
        <f>SUMIF('Commodity Prices'!$C$159:$C$902,$A40,'Commodity Prices'!O$159:O$902)</f>
        <v>9433.59</v>
      </c>
      <c r="C40" s="523">
        <f>SUMIF('Commodity Prices'!$C$159:$C$902,$A40,'Commodity Prices'!Q$159:Q$902)</f>
        <v>2336.98</v>
      </c>
      <c r="D40" s="525">
        <f>SUMIF('Commodity Prices'!$C$159:$C$902,$A40,'Commodity Prices'!S$159:S$902)</f>
        <v>2942.98</v>
      </c>
      <c r="E40" s="8"/>
      <c r="F40" s="70">
        <f t="shared" si="2"/>
        <v>2017</v>
      </c>
      <c r="G40" s="70">
        <f t="shared" si="2"/>
        <v>2018</v>
      </c>
      <c r="H40" s="519">
        <f t="shared" si="1"/>
        <v>2017</v>
      </c>
      <c r="I40" s="1181">
        <f t="array" ref="I40">IF($H$6="Historic Calendar Year",IFERROR(AVERAGE(IF($H40=YEAR('Commodity Prices'!C$100:C$1000),'Commodity Prices'!O$100:O$1000)),"NA"),IFERROR(IF(L40=0,"N/A",L40),"N/A"))</f>
        <v>6162.7687181818183</v>
      </c>
      <c r="J40" s="1181">
        <f t="array" ref="J40">IF($H$6="Historic Calendar Year",IFERROR(AVERAGE(IF($H40=YEAR('Commodity Prices'!C$100:C$1000),'Commodity Prices'!Q$100:Q$1000)),"NA"),IFERROR(IF(M40=0,"N/A",M40),"N/A"))</f>
        <v>2317.5336234848487</v>
      </c>
      <c r="K40" s="525">
        <f t="array" ref="K40">IF($H$6="Historic Calendar Year",IFERROR(AVERAGE(IF($H40=YEAR('Commodity Prices'!C$100:C$1000),'Commodity Prices'!S$100:S$1000)),"N/A"),IFERROR(IF(N40=0,"N/A",N40),"N/A"))</f>
        <v>2893.9725840909091</v>
      </c>
      <c r="L40" s="228">
        <f>(SUMIFS('Commodity Prices'!$O$9:$O$2500,'Commodity Prices'!$A$9:$A$2500,'Copper-Lead-Zinc - Prices'!F40,'Commodity Prices'!$B$9:$B$2500,3)+
SUMIFS('Commodity Prices'!$O$9:$O$2500,'Commodity Prices'!$A$9:$A$2500,'Copper-Lead-Zinc - Prices'!F40,'Commodity Prices'!$B$9:$B$2500,4)+
SUMIFS('Commodity Prices'!$O$9:$O$2500,'Commodity Prices'!$A$9:$A$2500,'Copper-Lead-Zinc - Prices'!G40,'Commodity Prices'!$B$9:$B$2500,1)+
SUMIFS('Commodity Prices'!$O$9:$O$2500,'Commodity Prices'!$A$9:$A$2500,'Copper-Lead-Zinc - Prices'!G40,'Commodity Prices'!$B$9:$B$2500,2))
/(COUNTIFS('Commodity Prices'!$A$9:$A$2500,'Copper-Lead-Zinc - Prices'!F40,'Commodity Prices'!$B$9:$B$2500,3)+
COUNTIFS('Commodity Prices'!$A$9:$A$2500,'Copper-Lead-Zinc - Prices'!F40,'Commodity Prices'!$B$9:$B$2500,4)+
COUNTIFS('Commodity Prices'!$A$9:$A$2500,'Copper-Lead-Zinc - Prices'!G40,'Commodity Prices'!$B$9:$B$2500,1)+
COUNTIFS('Commodity Prices'!$A$9:$A$2500,'Copper-Lead-Zinc - Prices'!G40,'Commodity Prices'!$B$9:$B$2500,2))</f>
        <v>6746.4194947691203</v>
      </c>
      <c r="M40" s="228">
        <f>(SUMIFS('Commodity Prices'!$Q$9:$Q$2500,'Commodity Prices'!$A$9:$A$2500,'Copper-Lead-Zinc - Prices'!F40,'Commodity Prices'!$B$9:$B$2500,3)+
SUMIFS('Commodity Prices'!$Q$9:$Q$2500,'Commodity Prices'!$A$9:$A$2500,'Copper-Lead-Zinc - Prices'!F40,'Commodity Prices'!$B$9:$B$2500,4)+
SUMIFS('Commodity Prices'!$Q$9:$Q$2500,'Commodity Prices'!$A$9:$A$2500,'Copper-Lead-Zinc - Prices'!G40,'Commodity Prices'!$B$9:$B$2500,1)+
SUMIFS('Commodity Prices'!$Q$9:$Q$2500,'Commodity Prices'!$A$9:$A$2500,'Copper-Lead-Zinc - Prices'!G40,'Commodity Prices'!$B$9:$B$2500,2))
/(COUNTIFS('Commodity Prices'!$A$9:$A$2500,'Copper-Lead-Zinc - Prices'!F40,'Commodity Prices'!$B$9:$B$2500,3)+
COUNTIFS('Commodity Prices'!$A$9:$A$2500,'Copper-Lead-Zinc - Prices'!F40,'Commodity Prices'!$B$9:$B$2500,4)+
COUNTIFS('Commodity Prices'!$A$9:$A$2500,'Copper-Lead-Zinc - Prices'!G40,'Commodity Prices'!$B$9:$B$2500,1)+
COUNTIFS('Commodity Prices'!$A$9:$A$2500,'Copper-Lead-Zinc - Prices'!G40,'Commodity Prices'!$B$9:$B$2500,2))</f>
        <v>2434.1768024531025</v>
      </c>
      <c r="N40" s="228">
        <f>(SUMIFS('Commodity Prices'!$S$9:$S$2500,'Commodity Prices'!$A$9:$A$2500,'Copper-Lead-Zinc - Prices'!F40,'Commodity Prices'!$B$9:$B$2500,3)+
SUMIFS('Commodity Prices'!$S$9:$S$2500,'Commodity Prices'!$A$9:$A$2500,'Copper-Lead-Zinc - Prices'!F40,'Commodity Prices'!$B$9:$B$2500,4)+
SUMIFS('Commodity Prices'!$S$9:$S$2500,'Commodity Prices'!$A$9:$A$2500,'Copper-Lead-Zinc - Prices'!G40,'Commodity Prices'!$B$9:$B$2500,1)+
SUMIFS('Commodity Prices'!$S$9:$S$2500,'Commodity Prices'!$A$9:$A$2500,'Copper-Lead-Zinc - Prices'!G40,'Commodity Prices'!$B$9:$B$2500,2))
/(COUNTIFS('Commodity Prices'!$A$9:$A$2500,'Copper-Lead-Zinc - Prices'!F40,'Commodity Prices'!$B$9:$B$2500,3)+
COUNTIFS('Commodity Prices'!$A$9:$A$2500,'Copper-Lead-Zinc - Prices'!F40,'Commodity Prices'!$B$9:$B$2500,4)+
COUNTIFS('Commodity Prices'!$A$9:$A$2500,'Copper-Lead-Zinc - Prices'!G40,'Commodity Prices'!$B$9:$B$2500,1)+
COUNTIFS('Commodity Prices'!$A$9:$A$2500,'Copper-Lead-Zinc - Prices'!G40,'Commodity Prices'!$B$9:$B$2500,2))</f>
        <v>3183.1094380591626</v>
      </c>
    </row>
    <row r="41" spans="1:14">
      <c r="A41" s="418">
        <f>LARGE('Commodity Prices'!C$159:C$902,29)</f>
        <v>44409</v>
      </c>
      <c r="B41" s="524">
        <f>SUMIF('Commodity Prices'!$C$159:$C$902,$A41,'Commodity Prices'!O$159:O$902)</f>
        <v>9357.19</v>
      </c>
      <c r="C41" s="524">
        <f>SUMIF('Commodity Prices'!$C$159:$C$902,$A41,'Commodity Prices'!Q$159:Q$902)</f>
        <v>2428.52</v>
      </c>
      <c r="D41" s="489">
        <f>SUMIF('Commodity Prices'!$C$159:$C$902,$A41,'Commodity Prices'!S$159:S$902)</f>
        <v>2988.9</v>
      </c>
      <c r="E41" s="8"/>
      <c r="F41" s="70">
        <f t="shared" si="2"/>
        <v>2018</v>
      </c>
      <c r="G41" s="70">
        <f t="shared" si="2"/>
        <v>2019</v>
      </c>
      <c r="H41" s="520">
        <f t="shared" si="1"/>
        <v>2018</v>
      </c>
      <c r="I41" s="565">
        <f t="array" ref="I41">IF($H$6="Historic Calendar Year",IFERROR(AVERAGE(IF($H41=YEAR('Commodity Prices'!C$100:C$1000),'Commodity Prices'!O$100:O$1000)),"NA"),IFERROR(IF(L41=0,"N/A",L41),"N/A"))</f>
        <v>6525.3342864357865</v>
      </c>
      <c r="J41" s="565">
        <f t="array" ref="J41">IF($H$6="Historic Calendar Year",IFERROR(AVERAGE(IF($H41=YEAR('Commodity Prices'!C$100:C$1000),'Commodity Prices'!Q$100:Q$1000)),"NA"),IFERROR(IF(M41=0,"N/A",M41),"N/A"))</f>
        <v>2243.8643791500722</v>
      </c>
      <c r="K41" s="489">
        <f t="array" ref="K41">IF($H$6="Historic Calendar Year",IFERROR(AVERAGE(IF($H41=YEAR('Commodity Prices'!C$100:C$1000),'Commodity Prices'!S$100:S$1000)),"N/A"),IFERROR(IF(N41=0,"N/A",N41),"N/A"))</f>
        <v>2925.0660569985571</v>
      </c>
      <c r="L41" s="228">
        <f>(SUMIFS('Commodity Prices'!$O$9:$O$2500,'Commodity Prices'!$A$9:$A$2500,'Copper-Lead-Zinc - Prices'!F41,'Commodity Prices'!$B$9:$B$2500,3)+
SUMIFS('Commodity Prices'!$O$9:$O$2500,'Commodity Prices'!$A$9:$A$2500,'Copper-Lead-Zinc - Prices'!F41,'Commodity Prices'!$B$9:$B$2500,4)+
SUMIFS('Commodity Prices'!$O$9:$O$2500,'Commodity Prices'!$A$9:$A$2500,'Copper-Lead-Zinc - Prices'!G41,'Commodity Prices'!$B$9:$B$2500,1)+
SUMIFS('Commodity Prices'!$O$9:$O$2500,'Commodity Prices'!$A$9:$A$2500,'Copper-Lead-Zinc - Prices'!G41,'Commodity Prices'!$B$9:$B$2500,2))
/(COUNTIFS('Commodity Prices'!$A$9:$A$2500,'Copper-Lead-Zinc - Prices'!F41,'Commodity Prices'!$B$9:$B$2500,3)+
COUNTIFS('Commodity Prices'!$A$9:$A$2500,'Copper-Lead-Zinc - Prices'!F41,'Commodity Prices'!$B$9:$B$2500,4)+
COUNTIFS('Commodity Prices'!$A$9:$A$2500,'Copper-Lead-Zinc - Prices'!G41,'Commodity Prices'!$B$9:$B$2500,1)+
COUNTIFS('Commodity Prices'!$A$9:$A$2500,'Copper-Lead-Zinc - Prices'!G41,'Commodity Prices'!$B$9:$B$2500,2))</f>
        <v>6151.1781515151515</v>
      </c>
      <c r="M41" s="228">
        <f>(SUMIFS('Commodity Prices'!$Q$9:$Q$2500,'Commodity Prices'!$A$9:$A$2500,'Copper-Lead-Zinc - Prices'!F41,'Commodity Prices'!$B$9:$B$2500,3)+
SUMIFS('Commodity Prices'!$Q$9:$Q$2500,'Commodity Prices'!$A$9:$A$2500,'Copper-Lead-Zinc - Prices'!F41,'Commodity Prices'!$B$9:$B$2500,4)+
SUMIFS('Commodity Prices'!$Q$9:$Q$2500,'Commodity Prices'!$A$9:$A$2500,'Copper-Lead-Zinc - Prices'!G41,'Commodity Prices'!$B$9:$B$2500,1)+
SUMIFS('Commodity Prices'!$Q$9:$Q$2500,'Commodity Prices'!$A$9:$A$2500,'Copper-Lead-Zinc - Prices'!G41,'Commodity Prices'!$B$9:$B$2500,2))
/(COUNTIFS('Commodity Prices'!$A$9:$A$2500,'Copper-Lead-Zinc - Prices'!F41,'Commodity Prices'!$B$9:$B$2500,3)+
COUNTIFS('Commodity Prices'!$A$9:$A$2500,'Copper-Lead-Zinc - Prices'!F41,'Commodity Prices'!$B$9:$B$2500,4)+
COUNTIFS('Commodity Prices'!$A$9:$A$2500,'Copper-Lead-Zinc - Prices'!G41,'Commodity Prices'!$B$9:$B$2500,1)+
COUNTIFS('Commodity Prices'!$A$9:$A$2500,'Copper-Lead-Zinc - Prices'!G41,'Commodity Prices'!$B$9:$B$2500,2))</f>
        <v>1997.095875181818</v>
      </c>
      <c r="N41" s="228">
        <f>(SUMIFS('Commodity Prices'!$S$9:$S$2500,'Commodity Prices'!$A$9:$A$2500,'Copper-Lead-Zinc - Prices'!F41,'Commodity Prices'!$B$9:$B$2500,3)+
SUMIFS('Commodity Prices'!$S$9:$S$2500,'Commodity Prices'!$A$9:$A$2500,'Copper-Lead-Zinc - Prices'!F41,'Commodity Prices'!$B$9:$B$2500,4)+
SUMIFS('Commodity Prices'!$S$9:$S$2500,'Commodity Prices'!$A$9:$A$2500,'Copper-Lead-Zinc - Prices'!G41,'Commodity Prices'!$B$9:$B$2500,1)+
SUMIFS('Commodity Prices'!$S$9:$S$2500,'Commodity Prices'!$A$9:$A$2500,'Copper-Lead-Zinc - Prices'!G41,'Commodity Prices'!$B$9:$B$2500,2))
/(COUNTIFS('Commodity Prices'!$A$9:$A$2500,'Copper-Lead-Zinc - Prices'!F41,'Commodity Prices'!$B$9:$B$2500,3)+
COUNTIFS('Commodity Prices'!$A$9:$A$2500,'Copper-Lead-Zinc - Prices'!F41,'Commodity Prices'!$B$9:$B$2500,4)+
COUNTIFS('Commodity Prices'!$A$9:$A$2500,'Copper-Lead-Zinc - Prices'!G41,'Commodity Prices'!$B$9:$B$2500,1)+
COUNTIFS('Commodity Prices'!$A$9:$A$2500,'Copper-Lead-Zinc - Prices'!G41,'Commodity Prices'!$B$9:$B$2500,2))</f>
        <v>2657.9032196969697</v>
      </c>
    </row>
    <row r="42" spans="1:14">
      <c r="A42" s="396">
        <f>LARGE('Commodity Prices'!C$159:C$902,28)</f>
        <v>44440</v>
      </c>
      <c r="B42" s="523">
        <f>SUMIF('Commodity Prices'!$C$159:$C$902,$A42,'Commodity Prices'!O$159:O$902)</f>
        <v>9323.69</v>
      </c>
      <c r="C42" s="523">
        <f>SUMIF('Commodity Prices'!$C$159:$C$902,$A42,'Commodity Prices'!Q$159:Q$902)</f>
        <v>2256.48</v>
      </c>
      <c r="D42" s="525">
        <f>SUMIF('Commodity Prices'!$C$159:$C$902,$A42,'Commodity Prices'!S$159:S$902)</f>
        <v>3041.05</v>
      </c>
      <c r="E42" s="8"/>
      <c r="F42" s="70">
        <f t="shared" si="2"/>
        <v>2019</v>
      </c>
      <c r="G42" s="70">
        <f t="shared" si="2"/>
        <v>2020</v>
      </c>
      <c r="H42" s="519">
        <f t="shared" si="1"/>
        <v>2019</v>
      </c>
      <c r="I42" s="1181">
        <f t="array" ref="I42">IF($H$6="Historic Calendar Year",IFERROR(AVERAGE(IF($H42=YEAR('Commodity Prices'!C$100:C$1000),'Commodity Prices'!O$100:O$1000)),"NA"),IFERROR(IF(L42=0,"N/A",L42),"N/A"))</f>
        <v>6005.1166666666659</v>
      </c>
      <c r="J42" s="1181">
        <f t="array" ref="J42">IF($H$6="Historic Calendar Year",IFERROR(AVERAGE(IF($H42=YEAR('Commodity Prices'!C$100:C$1000),'Commodity Prices'!Q$100:Q$1000)),"NA"),IFERROR(IF(M42=0,"N/A",M42),"N/A"))</f>
        <v>1997.6575</v>
      </c>
      <c r="K42" s="525">
        <f t="array" ref="K42">IF($H$6="Historic Calendar Year",IFERROR(AVERAGE(IF($H42=YEAR('Commodity Prices'!C$100:C$1000),'Commodity Prices'!S$100:S$1000)),"N/A"),IFERROR(IF(N42=0,"N/A",N42),"N/A"))</f>
        <v>2549.2399999999998</v>
      </c>
      <c r="L42" s="228">
        <f>(SUMIFS('Commodity Prices'!$O$9:$O$2500,'Commodity Prices'!$A$9:$A$2500,'Copper-Lead-Zinc - Prices'!F42,'Commodity Prices'!$B$9:$B$2500,3)+
SUMIFS('Commodity Prices'!$O$9:$O$2500,'Commodity Prices'!$A$9:$A$2500,'Copper-Lead-Zinc - Prices'!F42,'Commodity Prices'!$B$9:$B$2500,4)+
SUMIFS('Commodity Prices'!$O$9:$O$2500,'Commodity Prices'!$A$9:$A$2500,'Copper-Lead-Zinc - Prices'!G42,'Commodity Prices'!$B$9:$B$2500,1)+
SUMIFS('Commodity Prices'!$O$9:$O$2500,'Commodity Prices'!$A$9:$A$2500,'Copper-Lead-Zinc - Prices'!G42,'Commodity Prices'!$B$9:$B$2500,2))
/(COUNTIFS('Commodity Prices'!$A$9:$A$2500,'Copper-Lead-Zinc - Prices'!F42,'Commodity Prices'!$B$9:$B$2500,3)+
COUNTIFS('Commodity Prices'!$A$9:$A$2500,'Copper-Lead-Zinc - Prices'!F42,'Commodity Prices'!$B$9:$B$2500,4)+
COUNTIFS('Commodity Prices'!$A$9:$A$2500,'Copper-Lead-Zinc - Prices'!G42,'Commodity Prices'!$B$9:$B$2500,1)+
COUNTIFS('Commodity Prices'!$A$9:$A$2500,'Copper-Lead-Zinc - Prices'!G42,'Commodity Prices'!$B$9:$B$2500,2))</f>
        <v>5666.4258333333337</v>
      </c>
      <c r="M42" s="228">
        <f>(SUMIFS('Commodity Prices'!$Q$9:$Q$2500,'Commodity Prices'!$A$9:$A$2500,'Copper-Lead-Zinc - Prices'!F42,'Commodity Prices'!$B$9:$B$2500,3)+
SUMIFS('Commodity Prices'!$Q$9:$Q$2500,'Commodity Prices'!$A$9:$A$2500,'Copper-Lead-Zinc - Prices'!F42,'Commodity Prices'!$B$9:$B$2500,4)+
SUMIFS('Commodity Prices'!$Q$9:$Q$2500,'Commodity Prices'!$A$9:$A$2500,'Copper-Lead-Zinc - Prices'!G42,'Commodity Prices'!$B$9:$B$2500,1)+
SUMIFS('Commodity Prices'!$Q$9:$Q$2500,'Commodity Prices'!$A$9:$A$2500,'Copper-Lead-Zinc - Prices'!G42,'Commodity Prices'!$B$9:$B$2500,2))
/(COUNTIFS('Commodity Prices'!$A$9:$A$2500,'Copper-Lead-Zinc - Prices'!F42,'Commodity Prices'!$B$9:$B$2500,3)+
COUNTIFS('Commodity Prices'!$A$9:$A$2500,'Copper-Lead-Zinc - Prices'!F42,'Commodity Prices'!$B$9:$B$2500,4)+
COUNTIFS('Commodity Prices'!$A$9:$A$2500,'Copper-Lead-Zinc - Prices'!G42,'Commodity Prices'!$B$9:$B$2500,1)+
COUNTIFS('Commodity Prices'!$A$9:$A$2500,'Copper-Lead-Zinc - Prices'!G42,'Commodity Prices'!$B$9:$B$2500,2))</f>
        <v>1896.2641666666668</v>
      </c>
      <c r="N42" s="228">
        <f>(SUMIFS('Commodity Prices'!$S$9:$S$2500,'Commodity Prices'!$A$9:$A$2500,'Copper-Lead-Zinc - Prices'!F42,'Commodity Prices'!$B$9:$B$2500,3)+
SUMIFS('Commodity Prices'!$S$9:$S$2500,'Commodity Prices'!$A$9:$A$2500,'Copper-Lead-Zinc - Prices'!F42,'Commodity Prices'!$B$9:$B$2500,4)+
SUMIFS('Commodity Prices'!$S$9:$S$2500,'Commodity Prices'!$A$9:$A$2500,'Copper-Lead-Zinc - Prices'!G42,'Commodity Prices'!$B$9:$B$2500,1)+
SUMIFS('Commodity Prices'!$S$9:$S$2500,'Commodity Prices'!$A$9:$A$2500,'Copper-Lead-Zinc - Prices'!G42,'Commodity Prices'!$B$9:$B$2500,2))
/(COUNTIFS('Commodity Prices'!$A$9:$A$2500,'Copper-Lead-Zinc - Prices'!F42,'Commodity Prices'!$B$9:$B$2500,3)+
COUNTIFS('Commodity Prices'!$A$9:$A$2500,'Copper-Lead-Zinc - Prices'!F42,'Commodity Prices'!$B$9:$B$2500,4)+
COUNTIFS('Commodity Prices'!$A$9:$A$2500,'Copper-Lead-Zinc - Prices'!G42,'Commodity Prices'!$B$9:$B$2500,1)+
COUNTIFS('Commodity Prices'!$A$9:$A$2500,'Copper-Lead-Zinc - Prices'!G42,'Commodity Prices'!$B$9:$B$2500,2))</f>
        <v>2204.1891666666666</v>
      </c>
    </row>
    <row r="43" spans="1:14">
      <c r="A43" s="418">
        <f>LARGE('Commodity Prices'!C$159:C$902,27)</f>
        <v>44470</v>
      </c>
      <c r="B43" s="524">
        <f>SUMIF('Commodity Prices'!$C$159:$C$902,$A43,'Commodity Prices'!O$159:O$902)</f>
        <v>9777.43</v>
      </c>
      <c r="C43" s="524">
        <f>SUMIF('Commodity Prices'!$C$159:$C$902,$A43,'Commodity Prices'!Q$159:Q$902)</f>
        <v>2338.83</v>
      </c>
      <c r="D43" s="489">
        <f>SUMIF('Commodity Prices'!$C$159:$C$902,$A43,'Commodity Prices'!S$159:S$902)</f>
        <v>3369.49</v>
      </c>
      <c r="E43" s="8"/>
      <c r="F43" s="242">
        <f t="shared" ref="F43:G46" si="3">F42+1</f>
        <v>2020</v>
      </c>
      <c r="G43" s="242">
        <f t="shared" si="3"/>
        <v>2021</v>
      </c>
      <c r="H43" s="520">
        <f t="shared" si="1"/>
        <v>2020</v>
      </c>
      <c r="I43" s="565">
        <f t="array" ref="I43">IF($H$6="Historic Calendar Year",IFERROR(AVERAGE(IF($H43=YEAR('Commodity Prices'!C$100:C$1000),'Commodity Prices'!O$100:O$1000)),"NA"),IFERROR(IF(L43=0,"N/A",L43),"N/A"))</f>
        <v>6168.5916666666681</v>
      </c>
      <c r="J43" s="565">
        <f t="array" ref="J43">IF($H$6="Historic Calendar Year",IFERROR(AVERAGE(IF($H43=YEAR('Commodity Prices'!C$100:C$1000),'Commodity Prices'!Q$100:Q$1000)),"NA"),IFERROR(IF(M43=0,"N/A",M43),"N/A"))</f>
        <v>1824.2091666666668</v>
      </c>
      <c r="K43" s="489">
        <f t="array" ref="K43">IF($H$6="Historic Calendar Year",IFERROR(AVERAGE(IF($H43=YEAR('Commodity Prices'!C$100:C$1000),'Commodity Prices'!S$100:S$1000)),"N/A"),IFERROR(IF(N43=0,"N/A",N43),"N/A"))</f>
        <v>2264.5508333333332</v>
      </c>
      <c r="L43" s="382">
        <f>(SUMIFS('Commodity Prices'!$O$9:$O$2500,'Commodity Prices'!$A$9:$A$2500,'Copper-Lead-Zinc - Prices'!F43,'Commodity Prices'!$B$9:$B$2500,3)+
SUMIFS('Commodity Prices'!$O$9:$O$2500,'Commodity Prices'!$A$9:$A$2500,'Copper-Lead-Zinc - Prices'!F43,'Commodity Prices'!$B$9:$B$2500,4)+
SUMIFS('Commodity Prices'!$O$9:$O$2500,'Commodity Prices'!$A$9:$A$2500,'Copper-Lead-Zinc - Prices'!G43,'Commodity Prices'!$B$9:$B$2500,1)+
SUMIFS('Commodity Prices'!$O$9:$O$2500,'Commodity Prices'!$A$9:$A$2500,'Copper-Lead-Zinc - Prices'!G43,'Commodity Prices'!$B$9:$B$2500,2))
/(COUNTIFS('Commodity Prices'!$A$9:$A$2500,'Copper-Lead-Zinc - Prices'!F43,'Commodity Prices'!$B$9:$B$2500,3)+
COUNTIFS('Commodity Prices'!$A$9:$A$2500,'Copper-Lead-Zinc - Prices'!F43,'Commodity Prices'!$B$9:$B$2500,4)+
COUNTIFS('Commodity Prices'!$A$9:$A$2500,'Copper-Lead-Zinc - Prices'!G43,'Commodity Prices'!$B$9:$B$2500,1)+
COUNTIFS('Commodity Prices'!$A$9:$A$2500,'Copper-Lead-Zinc - Prices'!G43,'Commodity Prices'!$B$9:$B$2500,2))</f>
        <v>7968.934166666666</v>
      </c>
      <c r="M43" s="382">
        <f>(SUMIFS('Commodity Prices'!$Q$9:$Q$2500,'Commodity Prices'!$A$9:$A$2500,'Copper-Lead-Zinc - Prices'!F43,'Commodity Prices'!$B$9:$B$2500,3)+
SUMIFS('Commodity Prices'!$Q$9:$Q$2500,'Commodity Prices'!$A$9:$A$2500,'Copper-Lead-Zinc - Prices'!F43,'Commodity Prices'!$B$9:$B$2500,4)+
SUMIFS('Commodity Prices'!$Q$9:$Q$2500,'Commodity Prices'!$A$9:$A$2500,'Copper-Lead-Zinc - Prices'!G43,'Commodity Prices'!$B$9:$B$2500,1)+
SUMIFS('Commodity Prices'!$Q$9:$Q$2500,'Commodity Prices'!$A$9:$A$2500,'Copper-Lead-Zinc - Prices'!G43,'Commodity Prices'!$B$9:$B$2500,2))
/(COUNTIFS('Commodity Prices'!$A$9:$A$2500,'Copper-Lead-Zinc - Prices'!F43,'Commodity Prices'!$B$9:$B$2500,3)+
COUNTIFS('Commodity Prices'!$A$9:$A$2500,'Copper-Lead-Zinc - Prices'!F43,'Commodity Prices'!$B$9:$B$2500,4)+
COUNTIFS('Commodity Prices'!$A$9:$A$2500,'Copper-Lead-Zinc - Prices'!G43,'Commodity Prices'!$B$9:$B$2500,1)+
COUNTIFS('Commodity Prices'!$A$9:$A$2500,'Copper-Lead-Zinc - Prices'!G43,'Commodity Prices'!$B$9:$B$2500,2))</f>
        <v>1981.7941666666668</v>
      </c>
      <c r="N43" s="382">
        <f>(SUMIFS('Commodity Prices'!$S$9:$S$2500,'Commodity Prices'!$A$9:$A$2500,'Copper-Lead-Zinc - Prices'!F43,'Commodity Prices'!$B$9:$B$2500,3)+
SUMIFS('Commodity Prices'!$S$9:$S$2500,'Commodity Prices'!$A$9:$A$2500,'Copper-Lead-Zinc - Prices'!F43,'Commodity Prices'!$B$9:$B$2500,4)+
SUMIFS('Commodity Prices'!$S$9:$S$2500,'Commodity Prices'!$A$9:$A$2500,'Copper-Lead-Zinc - Prices'!G43,'Commodity Prices'!$B$9:$B$2500,1)+
SUMIFS('Commodity Prices'!$S$9:$S$2500,'Commodity Prices'!$A$9:$A$2500,'Copper-Lead-Zinc - Prices'!G43,'Commodity Prices'!$B$9:$B$2500,2))
/(COUNTIFS('Commodity Prices'!$A$9:$A$2500,'Copper-Lead-Zinc - Prices'!F43,'Commodity Prices'!$B$9:$B$2500,3)+
COUNTIFS('Commodity Prices'!$A$9:$A$2500,'Copper-Lead-Zinc - Prices'!F43,'Commodity Prices'!$B$9:$B$2500,4)+
COUNTIFS('Commodity Prices'!$A$9:$A$2500,'Copper-Lead-Zinc - Prices'!G43,'Commodity Prices'!$B$9:$B$2500,1)+
COUNTIFS('Commodity Prices'!$A$9:$A$2500,'Copper-Lead-Zinc - Prices'!G43,'Commodity Prices'!$B$9:$B$2500,2))</f>
        <v>2656.1191666666668</v>
      </c>
    </row>
    <row r="44" spans="1:14">
      <c r="A44" s="396">
        <f>LARGE('Commodity Prices'!C$159:C$902,26)</f>
        <v>44501</v>
      </c>
      <c r="B44" s="523">
        <f>SUMIF('Commodity Prices'!$C$159:$C$902,$A44,'Commodity Prices'!O$159:O$902)</f>
        <v>9764.59</v>
      </c>
      <c r="C44" s="523">
        <f>SUMIF('Commodity Prices'!$C$159:$C$902,$A44,'Commodity Prices'!Q$159:Q$902)</f>
        <v>2346.94</v>
      </c>
      <c r="D44" s="525">
        <f>SUMIF('Commodity Prices'!$C$159:$C$902,$A44,'Commodity Prices'!S$159:S$902)</f>
        <v>3316.65</v>
      </c>
      <c r="E44" s="8"/>
      <c r="F44" s="242">
        <f t="shared" si="3"/>
        <v>2021</v>
      </c>
      <c r="G44" s="242">
        <f t="shared" si="3"/>
        <v>2022</v>
      </c>
      <c r="H44" s="519">
        <f t="shared" si="1"/>
        <v>2021</v>
      </c>
      <c r="I44" s="1181">
        <f t="array" ref="I44">IF($H$6="Historic Calendar Year",IFERROR(AVERAGE(IF($H44=YEAR('Commodity Prices'!C$100:C$1000),'Commodity Prices'!O$100:O$1000)),"n/a"),IFERROR(IF(L44=0,"n/a",L44),"n/a"))</f>
        <v>9312.3750000000018</v>
      </c>
      <c r="J44" s="1181">
        <f t="array" ref="J44">IF($H$6="Historic Calendar Year",IFERROR(AVERAGE(IF($H44=YEAR('Commodity Prices'!C$100:C$1000),'Commodity Prices'!Q$100:Q$1000)),"n/a"),IFERROR(IF(M44=0,"n/a",M44),"n/a"))</f>
        <v>2204.5516666666663</v>
      </c>
      <c r="K44" s="525">
        <f t="array" ref="K44">IF($H$6="Historic Calendar Year",IFERROR(AVERAGE(IF($H44=YEAR('Commodity Prices'!C$100:C$1000),'Commodity Prices'!S$100:S$1000)),"n/a"),IFERROR(IF(N44=0,"n/a",N44),"n/a"))</f>
        <v>3002.2208333333333</v>
      </c>
      <c r="L44" s="382">
        <f>(SUMIFS('Commodity Prices'!$O$9:$O$2500,'Commodity Prices'!$A$9:$A$2500,'Copper-Lead-Zinc - Prices'!F44,'Commodity Prices'!$B$9:$B$2500,3)+
SUMIFS('Commodity Prices'!$O$9:$O$2500,'Commodity Prices'!$A$9:$A$2500,'Copper-Lead-Zinc - Prices'!F44,'Commodity Prices'!$B$9:$B$2500,4)+
SUMIFS('Commodity Prices'!$O$9:$O$2500,'Commodity Prices'!$A$9:$A$2500,'Copper-Lead-Zinc - Prices'!G44,'Commodity Prices'!$B$9:$B$2500,1)+
SUMIFS('Commodity Prices'!$O$9:$O$2500,'Commodity Prices'!$A$9:$A$2500,'Copper-Lead-Zinc - Prices'!G44,'Commodity Prices'!$B$9:$B$2500,2))
/(COUNTIFS('Commodity Prices'!$A$9:$A$2500,'Copper-Lead-Zinc - Prices'!F44,'Commodity Prices'!$B$9:$B$2500,3)+
COUNTIFS('Commodity Prices'!$A$9:$A$2500,'Copper-Lead-Zinc - Prices'!F44,'Commodity Prices'!$B$9:$B$2500,4)+
COUNTIFS('Commodity Prices'!$A$9:$A$2500,'Copper-Lead-Zinc - Prices'!G44,'Commodity Prices'!$B$9:$B$2500,1)+
COUNTIFS('Commodity Prices'!$A$9:$A$2500,'Copper-Lead-Zinc - Prices'!G44,'Commodity Prices'!$B$9:$B$2500,2))</f>
        <v>9644.4325000000008</v>
      </c>
      <c r="M44" s="382">
        <f>(SUMIFS('Commodity Prices'!$Q$9:$Q$2500,'Commodity Prices'!$A$9:$A$2500,'Copper-Lead-Zinc - Prices'!F44,'Commodity Prices'!$B$9:$B$2500,3)+
SUMIFS('Commodity Prices'!$Q$9:$Q$2500,'Commodity Prices'!$A$9:$A$2500,'Copper-Lead-Zinc - Prices'!F44,'Commodity Prices'!$B$9:$B$2500,4)+
SUMIFS('Commodity Prices'!$Q$9:$Q$2500,'Commodity Prices'!$A$9:$A$2500,'Copper-Lead-Zinc - Prices'!G44,'Commodity Prices'!$B$9:$B$2500,1)+
SUMIFS('Commodity Prices'!$Q$9:$Q$2500,'Commodity Prices'!$A$9:$A$2500,'Copper-Lead-Zinc - Prices'!G44,'Commodity Prices'!$B$9:$B$2500,2))
/(COUNTIFS('Commodity Prices'!$A$9:$A$2500,'Copper-Lead-Zinc - Prices'!F44,'Commodity Prices'!$B$9:$B$2500,3)+
COUNTIFS('Commodity Prices'!$A$9:$A$2500,'Copper-Lead-Zinc - Prices'!F44,'Commodity Prices'!$B$9:$B$2500,4)+
COUNTIFS('Commodity Prices'!$A$9:$A$2500,'Copper-Lead-Zinc - Prices'!G44,'Commodity Prices'!$B$9:$B$2500,1)+
COUNTIFS('Commodity Prices'!$A$9:$A$2500,'Copper-Lead-Zinc - Prices'!G44,'Commodity Prices'!$B$9:$B$2500,2))</f>
        <v>2301.5958333333333</v>
      </c>
      <c r="N44" s="382">
        <f>(SUMIFS('Commodity Prices'!$S$9:$S$2500,'Commodity Prices'!$A$9:$A$2500,'Copper-Lead-Zinc - Prices'!F44,'Commodity Prices'!$B$9:$B$2500,3)+
SUMIFS('Commodity Prices'!$S$9:$S$2500,'Commodity Prices'!$A$9:$A$2500,'Copper-Lead-Zinc - Prices'!F44,'Commodity Prices'!$B$9:$B$2500,4)+
SUMIFS('Commodity Prices'!$S$9:$S$2500,'Commodity Prices'!$A$9:$A$2500,'Copper-Lead-Zinc - Prices'!G44,'Commodity Prices'!$B$9:$B$2500,1)+
SUMIFS('Commodity Prices'!$S$9:$S$2500,'Commodity Prices'!$A$9:$A$2500,'Copper-Lead-Zinc - Prices'!G44,'Commodity Prices'!$B$9:$B$2500,2))
/(COUNTIFS('Commodity Prices'!$A$9:$A$2500,'Copper-Lead-Zinc - Prices'!F44,'Commodity Prices'!$B$9:$B$2500,3)+
COUNTIFS('Commodity Prices'!$A$9:$A$2500,'Copper-Lead-Zinc - Prices'!F44,'Commodity Prices'!$B$9:$B$2500,4)+
COUNTIFS('Commodity Prices'!$A$9:$A$2500,'Copper-Lead-Zinc - Prices'!G44,'Commodity Prices'!$B$9:$B$2500,1)+
COUNTIFS('Commodity Prices'!$A$9:$A$2500,'Copper-Lead-Zinc - Prices'!G44,'Commodity Prices'!$B$9:$B$2500,2))</f>
        <v>3510.8883333333338</v>
      </c>
    </row>
    <row r="45" spans="1:14">
      <c r="A45" s="418">
        <f>LARGE('Commodity Prices'!C$159:C$902,25)</f>
        <v>44531</v>
      </c>
      <c r="B45" s="524">
        <f>SUMIF('Commodity Prices'!$C$159:$C$902,$A45,'Commodity Prices'!O$159:O$902)</f>
        <v>9549.11</v>
      </c>
      <c r="C45" s="524">
        <f>SUMIF('Commodity Prices'!$C$159:$C$902,$A45,'Commodity Prices'!Q$159:Q$902)</f>
        <v>2304.1999999999998</v>
      </c>
      <c r="D45" s="489">
        <f>SUMIF('Commodity Prices'!$C$159:$C$902,$A45,'Commodity Prices'!S$159:S$902)</f>
        <v>3407.32</v>
      </c>
      <c r="E45" s="8"/>
      <c r="F45" s="242">
        <f t="shared" si="3"/>
        <v>2022</v>
      </c>
      <c r="G45" s="242">
        <f t="shared" si="3"/>
        <v>2023</v>
      </c>
      <c r="H45" s="519">
        <f t="shared" ref="H45" si="4">IF($H$6="Historic Calendar Year",H44+1,CONCATENATE(F45,"-",RIGHT(G45,4)))</f>
        <v>2022</v>
      </c>
      <c r="I45" s="565">
        <f t="array" ref="I45">IF($H$6="Historic Calendar Year",IFERROR(AVERAGE(IF($H45=YEAR('Commodity Prices'!C$100:C$1000),'Commodity Prices'!O$100:O$1000)),"n/a"),IFERROR(IF(L45=0,"n/a",L45),"n/a"))</f>
        <v>8813.8875000000025</v>
      </c>
      <c r="J45" s="565">
        <f t="array" ref="J45">IF($H$6="Historic Calendar Year",IFERROR(AVERAGE(IF($H45=YEAR('Commodity Prices'!C$100:C$1000),'Commodity Prices'!Q$100:Q$1000)),"n/a"),IFERROR(IF(M45=0,"n/a",M45),"n/a"))</f>
        <v>2152.6174999999998</v>
      </c>
      <c r="K45" s="489">
        <f t="array" ref="K45">IF($H$6="Historic Calendar Year",IFERROR(AVERAGE(IF($H45=YEAR('Commodity Prices'!C$100:C$1000),'Commodity Prices'!S$100:S$1000)),"n/a"),IFERROR(IF(N45=0,"n/a",N45),"n/a"))</f>
        <v>3489.8516666666669</v>
      </c>
      <c r="L45" s="382">
        <f>(SUMIFS('Commodity Prices'!$O$9:$O$2500,'Commodity Prices'!$A$9:$A$2500,'Copper-Lead-Zinc - Prices'!F45,'Commodity Prices'!$B$9:$B$2500,3)+
SUMIFS('Commodity Prices'!$O$9:$O$2500,'Commodity Prices'!$A$9:$A$2500,'Copper-Lead-Zinc - Prices'!F45,'Commodity Prices'!$B$9:$B$2500,4)+
SUMIFS('Commodity Prices'!$O$9:$O$2500,'Commodity Prices'!$A$9:$A$2500,'Copper-Lead-Zinc - Prices'!G45,'Commodity Prices'!$B$9:$B$2500,1)+
SUMIFS('Commodity Prices'!$O$9:$O$2500,'Commodity Prices'!$A$9:$A$2500,'Copper-Lead-Zinc - Prices'!G45,'Commodity Prices'!$B$9:$B$2500,2))
/(COUNTIFS('Commodity Prices'!$A$9:$A$2500,'Copper-Lead-Zinc - Prices'!F45,'Commodity Prices'!$B$9:$B$2500,3)+
COUNTIFS('Commodity Prices'!$A$9:$A$2500,'Copper-Lead-Zinc - Prices'!F45,'Commodity Prices'!$B$9:$B$2500,4)+
COUNTIFS('Commodity Prices'!$A$9:$A$2500,'Copper-Lead-Zinc - Prices'!G45,'Commodity Prices'!$B$9:$B$2500,1)+
COUNTIFS('Commodity Prices'!$A$9:$A$2500,'Copper-Lead-Zinc - Prices'!G45,'Commodity Prices'!$B$9:$B$2500,2))</f>
        <v>8357.3472727272729</v>
      </c>
      <c r="M45" s="382">
        <f>(SUMIFS('Commodity Prices'!$Q$9:$Q$2500,'Commodity Prices'!$A$9:$A$2500,'Copper-Lead-Zinc - Prices'!F45,'Commodity Prices'!$B$9:$B$2500,3)+
SUMIFS('Commodity Prices'!$Q$9:$Q$2500,'Commodity Prices'!$A$9:$A$2500,'Copper-Lead-Zinc - Prices'!F45,'Commodity Prices'!$B$9:$B$2500,4)+
SUMIFS('Commodity Prices'!$Q$9:$Q$2500,'Commodity Prices'!$A$9:$A$2500,'Copper-Lead-Zinc - Prices'!G45,'Commodity Prices'!$B$9:$B$2500,1)+
SUMIFS('Commodity Prices'!$Q$9:$Q$2500,'Commodity Prices'!$A$9:$A$2500,'Copper-Lead-Zinc - Prices'!G45,'Commodity Prices'!$B$9:$B$2500,2))
/(COUNTIFS('Commodity Prices'!$A$9:$A$2500,'Copper-Lead-Zinc - Prices'!F45,'Commodity Prices'!$B$9:$B$2500,3)+
COUNTIFS('Commodity Prices'!$A$9:$A$2500,'Copper-Lead-Zinc - Prices'!F45,'Commodity Prices'!$B$9:$B$2500,4)+
COUNTIFS('Commodity Prices'!$A$9:$A$2500,'Copper-Lead-Zinc - Prices'!G45,'Commodity Prices'!$B$9:$B$2500,1)+
COUNTIFS('Commodity Prices'!$A$9:$A$2500,'Copper-Lead-Zinc - Prices'!G45,'Commodity Prices'!$B$9:$B$2500,2))</f>
        <v>2092.8481818181822</v>
      </c>
      <c r="N45" s="382">
        <f>(SUMIFS('Commodity Prices'!$S$9:$S$2500,'Commodity Prices'!$A$9:$A$2500,'Copper-Lead-Zinc - Prices'!F45,'Commodity Prices'!$B$9:$B$2500,3)+
SUMIFS('Commodity Prices'!$S$9:$S$2500,'Commodity Prices'!$A$9:$A$2500,'Copper-Lead-Zinc - Prices'!F45,'Commodity Prices'!$B$9:$B$2500,4)+
SUMIFS('Commodity Prices'!$S$9:$S$2500,'Commodity Prices'!$A$9:$A$2500,'Copper-Lead-Zinc - Prices'!G45,'Commodity Prices'!$B$9:$B$2500,1)+
SUMIFS('Commodity Prices'!$S$9:$S$2500,'Commodity Prices'!$A$9:$A$2500,'Copper-Lead-Zinc - Prices'!G45,'Commodity Prices'!$B$9:$B$2500,2))
/(COUNTIFS('Commodity Prices'!$A$9:$A$2500,'Copper-Lead-Zinc - Prices'!F45,'Commodity Prices'!$B$9:$B$2500,3)+
COUNTIFS('Commodity Prices'!$A$9:$A$2500,'Copper-Lead-Zinc - Prices'!F45,'Commodity Prices'!$B$9:$B$2500,4)+
COUNTIFS('Commodity Prices'!$A$9:$A$2500,'Copper-Lead-Zinc - Prices'!G45,'Commodity Prices'!$B$9:$B$2500,1)+
COUNTIFS('Commodity Prices'!$A$9:$A$2500,'Copper-Lead-Zinc - Prices'!G45,'Commodity Prices'!$B$9:$B$2500,2))</f>
        <v>2974.6681818181819</v>
      </c>
    </row>
    <row r="46" spans="1:14" ht="15.75" thickBot="1">
      <c r="A46" s="396">
        <f>LARGE('Commodity Prices'!C$159:C$902,24)</f>
        <v>44562</v>
      </c>
      <c r="B46" s="523">
        <f>SUMIF('Commodity Prices'!$C$159:$C$902,$A46,'Commodity Prices'!O$159:O$902)</f>
        <v>9774.51</v>
      </c>
      <c r="C46" s="523">
        <f>SUMIF('Commodity Prices'!$C$159:$C$902,$A46,'Commodity Prices'!Q$159:Q$902)</f>
        <v>2341.9899999999998</v>
      </c>
      <c r="D46" s="525">
        <f>SUMIF('Commodity Prices'!$C$159:$C$902,$A46,'Commodity Prices'!S$159:S$902)</f>
        <v>3674.5</v>
      </c>
      <c r="E46" s="8"/>
      <c r="F46" s="70">
        <f t="shared" si="3"/>
        <v>2023</v>
      </c>
      <c r="G46" s="70">
        <f t="shared" si="3"/>
        <v>2024</v>
      </c>
      <c r="H46" s="1555">
        <f t="shared" ref="H46" si="5">IF($H$6="Historic Calendar Year",H45+1,CONCATENATE(F46,"-",RIGHT(G46,4)))</f>
        <v>2023</v>
      </c>
      <c r="I46" s="1727">
        <f t="array" ref="I46">IF($H$6="Historic Calendar Year",IFERROR(AVERAGE(IF($H46=YEAR('Commodity Prices'!C$100:C$1000),'Commodity Prices'!O$100:O$1000)),"n/a"),IFERROR(IF(L46=0,"n/a",L46),"n/a"))</f>
        <v>8482.7666666666664</v>
      </c>
      <c r="J46" s="1727">
        <f t="array" ref="J46">IF($H$6="Historic Calendar Year",IFERROR(AVERAGE(IF($H46=YEAR('Commodity Prices'!C$100:C$1000),'Commodity Prices'!Q$100:Q$1000)),"n/a"),IFERROR(IF(M46=0,"n/a",M46),"n/a"))</f>
        <v>2136.5275000000001</v>
      </c>
      <c r="K46" s="1728">
        <f t="array" ref="K46">IF($H$6="Historic Calendar Year",IFERROR(AVERAGE(IF($H46=YEAR('Commodity Prices'!C$100:C$1000),'Commodity Prices'!S$100:S$1000)),"n/a"),IFERROR(IF(N46=0,"n/a",N46),"n/a"))</f>
        <v>2648.4575</v>
      </c>
    </row>
    <row r="47" spans="1:14" ht="15.75" thickBot="1">
      <c r="A47" s="418">
        <f>LARGE('Commodity Prices'!C$159:C$902,23)</f>
        <v>44593</v>
      </c>
      <c r="B47" s="524">
        <f>SUMIF('Commodity Prices'!$C$159:$C$902,$A47,'Commodity Prices'!O$159:O$902)</f>
        <v>9939.98</v>
      </c>
      <c r="C47" s="524">
        <f>SUMIF('Commodity Prices'!$C$159:$C$902,$A47,'Commodity Prices'!Q$159:Q$902)</f>
        <v>2299.16</v>
      </c>
      <c r="D47" s="489">
        <f>SUMIF('Commodity Prices'!$C$159:$C$902,$A47,'Commodity Prices'!S$159:S$902)</f>
        <v>3643.68</v>
      </c>
      <c r="E47" s="8"/>
      <c r="F47" s="70"/>
      <c r="G47" s="70"/>
    </row>
    <row r="48" spans="1:14">
      <c r="A48" s="396">
        <f>LARGE('Commodity Prices'!C$159:C$902,22)</f>
        <v>44621</v>
      </c>
      <c r="B48" s="523">
        <f>SUMIF('Commodity Prices'!$C$159:$C$902,$A48,'Commodity Prices'!O$159:O$902)</f>
        <v>10236.700000000001</v>
      </c>
      <c r="C48" s="523">
        <f>SUMIF('Commodity Prices'!$C$159:$C$902,$A48,'Commodity Prices'!Q$159:Q$902)</f>
        <v>2358.79</v>
      </c>
      <c r="D48" s="525">
        <f>SUMIF('Commodity Prices'!$C$159:$C$902,$A48,'Commodity Prices'!S$159:S$902)</f>
        <v>3973.62</v>
      </c>
      <c r="E48" s="8"/>
      <c r="F48" s="70"/>
      <c r="G48" s="70"/>
      <c r="H48" s="1974" t="s">
        <v>321</v>
      </c>
      <c r="I48" s="1975"/>
      <c r="J48" s="1975"/>
      <c r="K48" s="1976"/>
    </row>
    <row r="49" spans="1:11" ht="15.75" thickBot="1">
      <c r="A49" s="418">
        <f>LARGE('Commodity Prices'!C$159:C$902,21)</f>
        <v>44652</v>
      </c>
      <c r="B49" s="524">
        <f>SUMIF('Commodity Prices'!$C$159:$C$902,$A49,'Commodity Prices'!O$159:O$902)</f>
        <v>10182.33</v>
      </c>
      <c r="C49" s="524">
        <f>SUMIF('Commodity Prices'!$C$159:$C$902,$A49,'Commodity Prices'!Q$159:Q$902)</f>
        <v>2396.0500000000002</v>
      </c>
      <c r="D49" s="489">
        <f>SUMIF('Commodity Prices'!$C$159:$C$902,$A49,'Commodity Prices'!S$159:S$902)</f>
        <v>4370.41</v>
      </c>
      <c r="E49" s="8"/>
      <c r="F49" s="70"/>
      <c r="G49" s="70"/>
      <c r="H49" s="1955" t="s">
        <v>282</v>
      </c>
      <c r="I49" s="1977"/>
      <c r="J49" s="1977"/>
      <c r="K49" s="1956"/>
    </row>
    <row r="50" spans="1:11">
      <c r="A50" s="396">
        <f>LARGE('Commodity Prices'!C$159:C$902,20)</f>
        <v>44682</v>
      </c>
      <c r="B50" s="523">
        <f>SUMIF('Commodity Prices'!$C$159:$C$902,$A50,'Commodity Prices'!O$159:O$902)</f>
        <v>9362.08</v>
      </c>
      <c r="C50" s="523">
        <f>SUMIF('Commodity Prices'!$C$159:$C$902,$A50,'Commodity Prices'!Q$159:Q$902)</f>
        <v>2144.48</v>
      </c>
      <c r="D50" s="525">
        <f>SUMIF('Commodity Prices'!$C$159:$C$902,$A50,'Commodity Prices'!S$159:S$902)</f>
        <v>3758.77</v>
      </c>
      <c r="E50" s="8"/>
      <c r="F50" s="70"/>
      <c r="G50" s="70"/>
      <c r="H50" s="1978" t="s">
        <v>322</v>
      </c>
      <c r="I50" s="1978"/>
      <c r="J50" s="1978"/>
      <c r="K50" s="1978"/>
    </row>
    <row r="51" spans="1:11">
      <c r="A51" s="418">
        <f>LARGE('Commodity Prices'!C$159:C$902,19)</f>
        <v>44713</v>
      </c>
      <c r="B51" s="524">
        <f>SUMIF('Commodity Prices'!$C$159:$C$902,$A51,'Commodity Prices'!O$159:O$902)</f>
        <v>9031.99</v>
      </c>
      <c r="C51" s="524">
        <f>SUMIF('Commodity Prices'!$C$159:$C$902,$A51,'Commodity Prices'!Q$159:Q$902)</f>
        <v>2066.73</v>
      </c>
      <c r="D51" s="489">
        <f>SUMIF('Commodity Prices'!$C$159:$C$902,$A51,'Commodity Prices'!S$159:S$902)</f>
        <v>3643.29</v>
      </c>
      <c r="E51" s="8"/>
      <c r="F51" s="70"/>
      <c r="G51" s="70"/>
      <c r="H51" s="8"/>
      <c r="I51" s="8"/>
      <c r="J51" s="8"/>
      <c r="K51" s="8"/>
    </row>
    <row r="52" spans="1:11">
      <c r="A52" s="396">
        <f>LARGE('Commodity Prices'!C$159:C$902,18)</f>
        <v>44743</v>
      </c>
      <c r="B52" s="523">
        <f>SUMIF('Commodity Prices'!$C$159:$C$902,$A52,'Commodity Prices'!O$159:O$902)</f>
        <v>7529.08</v>
      </c>
      <c r="C52" s="523">
        <f>SUMIF('Commodity Prices'!$C$159:$C$902,$A52,'Commodity Prices'!Q$159:Q$902)</f>
        <v>1975.54</v>
      </c>
      <c r="D52" s="525">
        <f>SUMIF('Commodity Prices'!$C$159:$C$902,$A52,'Commodity Prices'!S$159:S$902)</f>
        <v>3096.58</v>
      </c>
      <c r="E52" s="8"/>
      <c r="F52" s="70"/>
      <c r="G52" s="70"/>
      <c r="H52" s="8"/>
      <c r="I52" s="8"/>
      <c r="J52" s="8"/>
      <c r="K52" s="8"/>
    </row>
    <row r="53" spans="1:11">
      <c r="A53" s="418">
        <f>LARGE('Commodity Prices'!C$159:C$902,17)</f>
        <v>44774</v>
      </c>
      <c r="B53" s="524">
        <f>SUMIF('Commodity Prices'!$C$159:$C$902,$A53,'Commodity Prices'!O$159:O$902)</f>
        <v>7960.24</v>
      </c>
      <c r="C53" s="524">
        <f>SUMIF('Commodity Prices'!$C$159:$C$902,$A53,'Commodity Prices'!Q$159:Q$902)</f>
        <v>2077.2399999999998</v>
      </c>
      <c r="D53" s="489">
        <f>SUMIF('Commodity Prices'!$C$159:$C$902,$A53,'Commodity Prices'!S$159:S$902)</f>
        <v>3572.13</v>
      </c>
      <c r="E53" s="8"/>
      <c r="F53" s="70"/>
      <c r="G53" s="70"/>
      <c r="H53" s="8"/>
      <c r="I53" s="8"/>
      <c r="J53" s="8"/>
      <c r="K53" s="8"/>
    </row>
    <row r="54" spans="1:11">
      <c r="A54" s="396">
        <f>LARGE('Commodity Prices'!C$159:C$902,16)</f>
        <v>44805</v>
      </c>
      <c r="B54" s="523">
        <f>SUMIF('Commodity Prices'!$C$159:$C$902,$A54,'Commodity Prices'!O$159:O$902)</f>
        <v>7733.82</v>
      </c>
      <c r="C54" s="523">
        <f>SUMIF('Commodity Prices'!$C$159:$C$902,$A54,'Commodity Prices'!Q$159:Q$902)</f>
        <v>1873.66</v>
      </c>
      <c r="D54" s="525">
        <f>SUMIF('Commodity Prices'!$C$159:$C$902,$A54,'Commodity Prices'!S$159:S$902)</f>
        <v>3135.72</v>
      </c>
      <c r="E54" s="8"/>
      <c r="F54" s="70"/>
      <c r="G54" s="70"/>
      <c r="H54" s="8"/>
      <c r="I54" s="8"/>
      <c r="J54" s="8"/>
      <c r="K54" s="8"/>
    </row>
    <row r="55" spans="1:11">
      <c r="A55" s="418">
        <f>LARGE('Commodity Prices'!C$159:C$902,15)</f>
        <v>44835</v>
      </c>
      <c r="B55" s="524">
        <f>SUMIF('Commodity Prices'!$C$159:$C$902,$A55,'Commodity Prices'!O$159:O$902)</f>
        <v>7620.25</v>
      </c>
      <c r="C55" s="524">
        <f>SUMIF('Commodity Prices'!$C$159:$C$902,$A55,'Commodity Prices'!Q$159:Q$902)</f>
        <v>1987.32</v>
      </c>
      <c r="D55" s="489">
        <f>SUMIF('Commodity Prices'!$C$159:$C$902,$A55,'Commodity Prices'!S$159:S$902)</f>
        <v>2959.05</v>
      </c>
      <c r="E55" s="8"/>
      <c r="F55" s="70"/>
      <c r="G55" s="70"/>
      <c r="H55" s="8"/>
      <c r="I55" s="8"/>
      <c r="J55" s="8"/>
      <c r="K55" s="8"/>
    </row>
    <row r="56" spans="1:11">
      <c r="A56" s="396">
        <f>LARGE('Commodity Prices'!C$159:C$902,14)</f>
        <v>44866</v>
      </c>
      <c r="B56" s="523">
        <f>SUMIF('Commodity Prices'!$C$159:$C$902,$A56,'Commodity Prices'!O$159:O$902)</f>
        <v>8028.88</v>
      </c>
      <c r="C56" s="523">
        <f>SUMIF('Commodity Prices'!$C$159:$C$902,$A56,'Commodity Prices'!Q$159:Q$902)</f>
        <v>2098.65</v>
      </c>
      <c r="D56" s="525">
        <f>SUMIF('Commodity Prices'!$C$159:$C$902,$A56,'Commodity Prices'!S$159:S$902)</f>
        <v>2922.97</v>
      </c>
      <c r="E56" s="8"/>
      <c r="F56" s="70"/>
      <c r="G56" s="70"/>
      <c r="H56" s="8"/>
      <c r="I56" s="8"/>
      <c r="J56" s="8"/>
      <c r="K56" s="8"/>
    </row>
    <row r="57" spans="1:11">
      <c r="A57" s="418">
        <f>LARGE('Commodity Prices'!C$159:C$902,13)</f>
        <v>44896</v>
      </c>
      <c r="B57" s="524">
        <f>SUMIF('Commodity Prices'!$C$159:$C$902,$A57,'Commodity Prices'!O$159:O$902)</f>
        <v>8366.7900000000009</v>
      </c>
      <c r="C57" s="524">
        <f>SUMIF('Commodity Prices'!$C$159:$C$902,$A57,'Commodity Prices'!Q$159:Q$902)</f>
        <v>2211.8000000000002</v>
      </c>
      <c r="D57" s="489">
        <f>SUMIF('Commodity Prices'!$C$159:$C$902,$A57,'Commodity Prices'!S$159:S$902)</f>
        <v>3127.5</v>
      </c>
      <c r="E57" s="8"/>
      <c r="F57" s="70"/>
      <c r="G57" s="70"/>
      <c r="H57" s="8"/>
      <c r="I57" s="8"/>
      <c r="J57" s="8"/>
      <c r="K57" s="8"/>
    </row>
    <row r="58" spans="1:11">
      <c r="A58" s="396">
        <f>LARGE('Commodity Prices'!C$159:C$902,12)</f>
        <v>44927</v>
      </c>
      <c r="B58" s="523">
        <f>SUMIF('Commodity Prices'!$C$159:$C$902,$A58,'Commodity Prices'!O$159:O$902)</f>
        <v>8999.27</v>
      </c>
      <c r="C58" s="523">
        <f>SUMIF('Commodity Prices'!$C$159:$C$902,$A58,'Commodity Prices'!Q$159:Q$902)</f>
        <v>2207.5</v>
      </c>
      <c r="D58" s="525">
        <f>SUMIF('Commodity Prices'!$C$159:$C$902,$A58,'Commodity Prices'!S$159:S$902)</f>
        <v>3288.55</v>
      </c>
      <c r="E58" s="8"/>
      <c r="F58" s="70"/>
      <c r="G58" s="70"/>
      <c r="H58" s="8"/>
      <c r="I58" s="8"/>
      <c r="J58" s="8"/>
      <c r="K58" s="8"/>
    </row>
    <row r="59" spans="1:11">
      <c r="A59" s="418">
        <f>LARGE('Commodity Prices'!C$159:C$902,11)</f>
        <v>44958</v>
      </c>
      <c r="B59" s="524">
        <f>SUMIF('Commodity Prices'!$C$159:$C$902,$A59,'Commodity Prices'!O$159:O$902)</f>
        <v>8954.4</v>
      </c>
      <c r="C59" s="524">
        <f>SUMIF('Commodity Prices'!$C$159:$C$902,$A59,'Commodity Prices'!Q$159:Q$902)</f>
        <v>2098.29</v>
      </c>
      <c r="D59" s="489">
        <f>SUMIF('Commodity Prices'!$C$159:$C$902,$A59,'Commodity Prices'!S$159:S$902)</f>
        <v>3143.04</v>
      </c>
      <c r="E59" s="8"/>
      <c r="F59" s="70"/>
      <c r="G59" s="70"/>
      <c r="H59" s="8"/>
      <c r="I59" s="8"/>
      <c r="J59" s="8"/>
      <c r="K59" s="8"/>
    </row>
    <row r="60" spans="1:11">
      <c r="A60" s="396">
        <f>LARGE('Commodity Prices'!C$159:C$902,10)</f>
        <v>44986</v>
      </c>
      <c r="B60" s="523">
        <f>SUMIF('Commodity Prices'!$C$159:$C$902,$A60,'Commodity Prices'!O$159:O$902)</f>
        <v>8834.68</v>
      </c>
      <c r="C60" s="523">
        <f>SUMIF('Commodity Prices'!$C$159:$C$902,$A60,'Commodity Prices'!Q$159:Q$902)</f>
        <v>2114.08</v>
      </c>
      <c r="D60" s="525">
        <f>SUMIF('Commodity Prices'!$C$159:$C$902,$A60,'Commodity Prices'!S$159:S$902)</f>
        <v>2955.59</v>
      </c>
      <c r="E60" s="8"/>
      <c r="F60" s="70"/>
      <c r="G60" s="70"/>
      <c r="H60" s="8"/>
      <c r="I60" s="8"/>
      <c r="J60" s="8"/>
      <c r="K60" s="8"/>
    </row>
    <row r="61" spans="1:11">
      <c r="A61" s="418">
        <f>LARGE('Commodity Prices'!C$159:C$902,9)</f>
        <v>45017</v>
      </c>
      <c r="B61" s="524">
        <f>SUMIF('Commodity Prices'!$C$159:$C$902,$A61,'Commodity Prices'!O$159:O$902)</f>
        <v>8813.35</v>
      </c>
      <c r="C61" s="524">
        <f>SUMIF('Commodity Prices'!$C$159:$C$902,$A61,'Commodity Prices'!Q$159:Q$902)</f>
        <v>2148.31</v>
      </c>
      <c r="D61" s="489">
        <f>SUMIF('Commodity Prices'!$C$159:$C$902,$A61,'Commodity Prices'!S$159:S$902)</f>
        <v>2772.06</v>
      </c>
      <c r="E61" s="8"/>
      <c r="F61" s="70"/>
      <c r="G61" s="70"/>
      <c r="H61" s="8"/>
      <c r="I61" s="8"/>
      <c r="J61" s="8"/>
      <c r="K61" s="8"/>
    </row>
    <row r="62" spans="1:11">
      <c r="A62" s="396">
        <f>LARGE('Commodity Prices'!C$159:C$902,8)</f>
        <v>45047</v>
      </c>
      <c r="B62" s="523">
        <f>SUMIF('Commodity Prices'!$C$159:$C$902,$A62,'Commodity Prices'!O$159:O$902)</f>
        <v>8233.58</v>
      </c>
      <c r="C62" s="523">
        <f>SUMIF('Commodity Prices'!$C$159:$C$902,$A62,'Commodity Prices'!Q$159:Q$902)</f>
        <v>2086.84</v>
      </c>
      <c r="D62" s="525">
        <f>SUMIF('Commodity Prices'!$C$159:$C$902,$A62,'Commodity Prices'!S$159:S$902)</f>
        <v>2477.1</v>
      </c>
      <c r="E62" s="8"/>
      <c r="F62" s="70"/>
      <c r="G62" s="70"/>
      <c r="H62" s="8"/>
      <c r="I62" s="8"/>
      <c r="J62" s="8"/>
      <c r="K62" s="8"/>
    </row>
    <row r="63" spans="1:11">
      <c r="A63" s="418">
        <f>LARGE('Commodity Prices'!C$159:C$902,7)</f>
        <v>45078</v>
      </c>
      <c r="B63" s="524">
        <f>SUMIF('Commodity Prices'!$C$159:$C$902,$A63,'Commodity Prices'!O$159:O$902)</f>
        <v>8385.56</v>
      </c>
      <c r="C63" s="524">
        <f>SUMIF('Commodity Prices'!$C$159:$C$902,$A63,'Commodity Prices'!Q$159:Q$902)</f>
        <v>2117.64</v>
      </c>
      <c r="D63" s="489">
        <f>SUMIF('Commodity Prices'!$C$159:$C$902,$A63,'Commodity Prices'!S$159:S$902)</f>
        <v>2367.64</v>
      </c>
      <c r="E63" s="8"/>
      <c r="F63" s="70"/>
      <c r="G63" s="70"/>
      <c r="H63" s="8"/>
      <c r="I63" s="8"/>
      <c r="J63" s="8"/>
      <c r="K63" s="8"/>
    </row>
    <row r="64" spans="1:11">
      <c r="A64" s="396">
        <f>LARGE('Commodity Prices'!C$159:C$902,6)</f>
        <v>45108</v>
      </c>
      <c r="B64" s="523">
        <f>SUMIF('Commodity Prices'!$C$159:$C$902,$A64,'Commodity Prices'!O$159:O$902)</f>
        <v>8444.6200000000008</v>
      </c>
      <c r="C64" s="523">
        <f>SUMIF('Commodity Prices'!$C$159:$C$902,$A64,'Commodity Prices'!Q$159:Q$902)</f>
        <v>2106.13</v>
      </c>
      <c r="D64" s="525">
        <f>SUMIF('Commodity Prices'!$C$159:$C$902,$A64,'Commodity Prices'!S$159:S$902)</f>
        <v>2395.9899999999998</v>
      </c>
      <c r="E64" s="8"/>
      <c r="F64" s="70"/>
      <c r="G64" s="70"/>
      <c r="H64" s="8"/>
      <c r="I64" s="8"/>
      <c r="J64" s="8"/>
      <c r="K64" s="8"/>
    </row>
    <row r="65" spans="1:11">
      <c r="A65" s="396">
        <f>LARGE('Commodity Prices'!C$159:C$902,5)</f>
        <v>45139</v>
      </c>
      <c r="B65" s="524">
        <f>SUMIF('Commodity Prices'!$C$159:$C$902,$A65,'Commodity Prices'!O$159:O$902)</f>
        <v>8351.19</v>
      </c>
      <c r="C65" s="524">
        <f>SUMIF('Commodity Prices'!$C$159:$C$902,$A65,'Commodity Prices'!Q$159:Q$902)</f>
        <v>2151.06</v>
      </c>
      <c r="D65" s="489">
        <f>SUMIF('Commodity Prices'!$C$159:$C$902,$A65,'Commodity Prices'!S$159:S$902)</f>
        <v>2400.48</v>
      </c>
      <c r="E65" s="8"/>
      <c r="F65" s="70"/>
      <c r="G65" s="70"/>
      <c r="H65" s="8"/>
      <c r="I65" s="8"/>
      <c r="J65" s="8"/>
      <c r="K65" s="8"/>
    </row>
    <row r="66" spans="1:11">
      <c r="A66" s="396">
        <f>LARGE('Commodity Prices'!C$159:C$902,4)</f>
        <v>45170</v>
      </c>
      <c r="B66" s="523">
        <f>SUMIF('Commodity Prices'!$C$159:$C$902,$A66,'Commodity Prices'!O$159:O$902)</f>
        <v>8270.19</v>
      </c>
      <c r="C66" s="523">
        <f>SUMIF('Commodity Prices'!$C$159:$C$902,$A66,'Commodity Prices'!Q$159:Q$902)</f>
        <v>2252.2399999999998</v>
      </c>
      <c r="D66" s="525">
        <f>SUMIF('Commodity Prices'!$C$159:$C$902,$A66,'Commodity Prices'!S$159:S$902)</f>
        <v>2487.75</v>
      </c>
      <c r="E66" s="8"/>
      <c r="F66" s="70"/>
      <c r="G66" s="70"/>
      <c r="H66" s="8"/>
      <c r="I66" s="8"/>
      <c r="J66" s="8"/>
      <c r="K66" s="8"/>
    </row>
    <row r="67" spans="1:11">
      <c r="A67" s="396">
        <f>LARGE('Commodity Prices'!C$159:C$902,3)</f>
        <v>45200</v>
      </c>
      <c r="B67" s="524">
        <f>SUMIF('Commodity Prices'!$C$159:$C$902,$A67,'Commodity Prices'!O$159:O$902)</f>
        <v>7939.24</v>
      </c>
      <c r="C67" s="524">
        <f>SUMIF('Commodity Prices'!$C$159:$C$902,$A67,'Commodity Prices'!Q$159:Q$902)</f>
        <v>2135.8000000000002</v>
      </c>
      <c r="D67" s="489">
        <f>SUMIF('Commodity Prices'!$C$159:$C$902,$A67,'Commodity Prices'!S$159:S$902)</f>
        <v>2448.75</v>
      </c>
      <c r="E67" s="8"/>
      <c r="F67" s="70"/>
      <c r="G67" s="70"/>
      <c r="H67" s="8"/>
      <c r="I67" s="8"/>
      <c r="J67" s="8"/>
      <c r="K67" s="8"/>
    </row>
    <row r="68" spans="1:11">
      <c r="A68" s="754">
        <f>LARGE('Commodity Prices'!C$159:C$902,2)</f>
        <v>45231</v>
      </c>
      <c r="B68" s="523">
        <f>SUMIF('Commodity Prices'!$C$159:$C$902,$A68,'Commodity Prices'!O$159:O$902)</f>
        <v>8173.48</v>
      </c>
      <c r="C68" s="523">
        <f>SUMIF('Commodity Prices'!$C$159:$C$902,$A68,'Commodity Prices'!Q$159:Q$902)</f>
        <v>2184.64</v>
      </c>
      <c r="D68" s="525">
        <f>SUMIF('Commodity Prices'!$C$159:$C$902,$A68,'Commodity Prices'!S$159:S$902)</f>
        <v>2543.25</v>
      </c>
      <c r="E68" s="8"/>
      <c r="F68" s="70"/>
      <c r="G68" s="70"/>
      <c r="H68" s="8"/>
      <c r="I68" s="8"/>
      <c r="J68" s="8"/>
      <c r="K68" s="8"/>
    </row>
    <row r="69" spans="1:11" ht="15.75" thickBot="1">
      <c r="A69" s="1556">
        <f>LARGE('Commodity Prices'!C$159:C$902,1)</f>
        <v>45261</v>
      </c>
      <c r="B69" s="1220">
        <f>SUMIF('Commodity Prices'!$C$159:$C$902,$A69,'Commodity Prices'!O$159:O$902)</f>
        <v>8393.64</v>
      </c>
      <c r="C69" s="1220">
        <f>SUMIF('Commodity Prices'!$C$159:$C$902,$A69,'Commodity Prices'!Q$159:Q$902)</f>
        <v>2035.8</v>
      </c>
      <c r="D69" s="490">
        <f>SUMIF('Commodity Prices'!$C$159:$C$902,$A69,'Commodity Prices'!S$159:S$902)</f>
        <v>2501.29</v>
      </c>
      <c r="F69" s="70"/>
      <c r="G69" s="70"/>
    </row>
  </sheetData>
  <mergeCells count="7">
    <mergeCell ref="H48:K48"/>
    <mergeCell ref="H49:K49"/>
    <mergeCell ref="H50:K50"/>
    <mergeCell ref="A5:D5"/>
    <mergeCell ref="A6:D6"/>
    <mergeCell ref="H5:K5"/>
    <mergeCell ref="H6:K6"/>
  </mergeCells>
  <dataValidations xWindow="762" yWindow="948" count="1">
    <dataValidation type="list" allowBlank="1" showInputMessage="1" showErrorMessage="1" promptTitle="Select a Period:" prompt="Select Financial or Calendar years." sqref="H49:K49" xr:uid="{00000000-0002-0000-0F00-000000000000}">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6B4E8"/>
  </sheetPr>
  <dimension ref="A1:AH366"/>
  <sheetViews>
    <sheetView showGridLines="0" zoomScaleNormal="100" workbookViewId="0"/>
  </sheetViews>
  <sheetFormatPr defaultColWidth="9.140625" defaultRowHeight="15"/>
  <cols>
    <col min="1" max="1" width="14.85546875" style="55" bestFit="1" customWidth="1"/>
    <col min="2" max="2" width="16.140625" style="55" bestFit="1" customWidth="1"/>
    <col min="3" max="3" width="20.42578125" style="55" bestFit="1" customWidth="1"/>
    <col min="4" max="4" width="16.140625" style="55" bestFit="1" customWidth="1"/>
    <col min="5" max="5" width="20.42578125" style="55" bestFit="1" customWidth="1"/>
    <col min="6" max="6" width="16.140625" style="55" bestFit="1" customWidth="1"/>
    <col min="7" max="7" width="20.42578125" style="55" bestFit="1" customWidth="1"/>
    <col min="8" max="9" width="10.7109375" style="19" hidden="1" customWidth="1"/>
    <col min="10" max="10" width="10.7109375" style="55" customWidth="1"/>
    <col min="11" max="11" width="12.5703125" style="55" bestFit="1" customWidth="1"/>
    <col min="12" max="12" width="16.140625" style="55" bestFit="1" customWidth="1"/>
    <col min="13" max="13" width="20.42578125" style="55" bestFit="1" customWidth="1"/>
    <col min="14" max="14" width="16.140625" style="55" bestFit="1" customWidth="1"/>
    <col min="15" max="15" width="20.42578125" style="55" bestFit="1" customWidth="1"/>
    <col min="16" max="16" width="16.140625" style="55" bestFit="1" customWidth="1"/>
    <col min="17" max="17" width="20.42578125" style="55" customWidth="1"/>
    <col min="18" max="19" width="9.140625" style="55"/>
    <col min="20" max="20" width="4.85546875" style="55" customWidth="1"/>
    <col min="21" max="21" width="15.140625" style="55" customWidth="1"/>
    <col min="22" max="22" width="11.85546875" style="55" customWidth="1"/>
    <col min="23" max="23" width="17.42578125" style="55" customWidth="1"/>
    <col min="24" max="24" width="11.85546875" style="55" customWidth="1"/>
    <col min="25" max="25" width="17.42578125" style="55" customWidth="1"/>
    <col min="26" max="26" width="11.85546875" style="55" customWidth="1"/>
    <col min="27" max="27" width="17.42578125" style="55" customWidth="1"/>
    <col min="28" max="16384" width="9.140625" style="55"/>
  </cols>
  <sheetData>
    <row r="1" spans="1:34">
      <c r="A1" s="66" t="s">
        <v>240</v>
      </c>
    </row>
    <row r="2" spans="1:34">
      <c r="A2" s="66" t="s">
        <v>246</v>
      </c>
    </row>
    <row r="3" spans="1:34">
      <c r="L3" s="92"/>
    </row>
    <row r="5" spans="1:34">
      <c r="A5" s="1957"/>
      <c r="B5" s="1957"/>
      <c r="C5" s="1957"/>
      <c r="D5" s="1957"/>
      <c r="E5" s="1957"/>
      <c r="F5" s="1957"/>
      <c r="G5" s="1957"/>
      <c r="H5" s="51"/>
      <c r="I5" s="51"/>
    </row>
    <row r="6" spans="1:34" ht="15.75" thickBot="1">
      <c r="A6" s="1958" t="s">
        <v>423</v>
      </c>
      <c r="B6" s="1958"/>
      <c r="C6" s="1958"/>
      <c r="D6" s="1958"/>
      <c r="E6" s="1958"/>
      <c r="F6" s="1958"/>
      <c r="G6" s="1958"/>
      <c r="H6" s="52"/>
      <c r="I6" s="52"/>
    </row>
    <row r="7" spans="1:34">
      <c r="A7" s="1283"/>
      <c r="B7" s="1983" t="s">
        <v>243</v>
      </c>
      <c r="C7" s="1992"/>
      <c r="D7" s="1985" t="s">
        <v>242</v>
      </c>
      <c r="E7" s="1986"/>
      <c r="F7" s="1983" t="s">
        <v>244</v>
      </c>
      <c r="G7" s="1987"/>
      <c r="H7" s="45"/>
      <c r="I7" s="45"/>
      <c r="K7" s="1959" t="s">
        <v>496</v>
      </c>
      <c r="L7" s="1959"/>
      <c r="M7" s="1959"/>
      <c r="N7" s="1959"/>
      <c r="O7" s="1959"/>
      <c r="P7" s="1959"/>
      <c r="Q7" s="1959"/>
    </row>
    <row r="8" spans="1:34" ht="15.75" thickBot="1">
      <c r="A8" s="1284" t="s">
        <v>5</v>
      </c>
      <c r="B8" s="1384" t="s">
        <v>37</v>
      </c>
      <c r="C8" s="1386" t="s">
        <v>382</v>
      </c>
      <c r="D8" s="1384" t="s">
        <v>37</v>
      </c>
      <c r="E8" s="1386" t="s">
        <v>382</v>
      </c>
      <c r="F8" s="1384" t="s">
        <v>37</v>
      </c>
      <c r="G8" s="1385" t="s">
        <v>382</v>
      </c>
      <c r="H8" s="49"/>
      <c r="I8" s="49"/>
      <c r="K8" s="1991" t="s">
        <v>580</v>
      </c>
      <c r="L8" s="1991"/>
      <c r="M8" s="1991"/>
      <c r="N8" s="1991"/>
      <c r="O8" s="1991"/>
      <c r="P8" s="1991"/>
      <c r="Q8" s="1991"/>
    </row>
    <row r="9" spans="1:34">
      <c r="A9" s="752">
        <v>36586</v>
      </c>
      <c r="B9" s="1369">
        <v>7.681</v>
      </c>
      <c r="C9" s="1369">
        <v>18.056524</v>
      </c>
      <c r="D9" s="1369">
        <v>13.048999999999999</v>
      </c>
      <c r="E9" s="1369">
        <v>4.2357139999999998</v>
      </c>
      <c r="F9" s="1369">
        <v>62.015999999999998</v>
      </c>
      <c r="G9" s="514">
        <v>67.439318999999998</v>
      </c>
      <c r="H9" s="49">
        <f>YEAR(A9)</f>
        <v>2000</v>
      </c>
      <c r="I9" s="49" t="str">
        <f>IF(MONTH(A9)=3,"1",IF(MONTH(A9)=6,"2",IF(MONTH(A9)=9,"3","4")))</f>
        <v>1</v>
      </c>
      <c r="K9" s="1283"/>
      <c r="L9" s="1983" t="s">
        <v>243</v>
      </c>
      <c r="M9" s="1984"/>
      <c r="N9" s="1985" t="s">
        <v>242</v>
      </c>
      <c r="O9" s="1986"/>
      <c r="P9" s="1984" t="s">
        <v>244</v>
      </c>
      <c r="Q9" s="1987"/>
      <c r="AC9" s="60"/>
      <c r="AD9" s="60"/>
      <c r="AE9" s="60"/>
      <c r="AF9" s="60"/>
      <c r="AG9" s="60"/>
      <c r="AH9" s="60"/>
    </row>
    <row r="10" spans="1:34">
      <c r="A10" s="752">
        <v>36678</v>
      </c>
      <c r="B10" s="1325">
        <v>8.0039999999999996</v>
      </c>
      <c r="C10" s="1325">
        <v>17.899384000000001</v>
      </c>
      <c r="D10" s="1325">
        <v>22.609000000000002</v>
      </c>
      <c r="E10" s="1325">
        <v>6.6396030000000001</v>
      </c>
      <c r="F10" s="1325">
        <v>55.244999999999997</v>
      </c>
      <c r="G10" s="513">
        <v>60.587583000000002</v>
      </c>
      <c r="H10" s="49">
        <f t="shared" ref="H10:H73" si="0">YEAR(A10)</f>
        <v>2000</v>
      </c>
      <c r="I10" s="49" t="str">
        <f t="shared" ref="I10:I73" si="1">IF(MONTH(A10)=3,"1",IF(MONTH(A10)=6,"2",IF(MONTH(A10)=9,"3","4")))</f>
        <v>2</v>
      </c>
      <c r="K10" s="1284" t="s">
        <v>5</v>
      </c>
      <c r="L10" s="1384" t="s">
        <v>37</v>
      </c>
      <c r="M10" s="1387" t="s">
        <v>382</v>
      </c>
      <c r="N10" s="1384" t="s">
        <v>37</v>
      </c>
      <c r="O10" s="1386" t="s">
        <v>382</v>
      </c>
      <c r="P10" s="1387" t="s">
        <v>37</v>
      </c>
      <c r="Q10" s="1385" t="s">
        <v>382</v>
      </c>
      <c r="AC10" s="60"/>
      <c r="AD10" s="60"/>
      <c r="AE10" s="60"/>
      <c r="AF10" s="60"/>
      <c r="AG10" s="60"/>
      <c r="AH10" s="60"/>
    </row>
    <row r="11" spans="1:34">
      <c r="A11" s="752">
        <v>36770</v>
      </c>
      <c r="B11" s="1369">
        <v>9.2100000000000009</v>
      </c>
      <c r="C11" s="1369">
        <v>22.628861000000001</v>
      </c>
      <c r="D11" s="1369">
        <v>17.123000000000001</v>
      </c>
      <c r="E11" s="1369">
        <v>5.8403790000000004</v>
      </c>
      <c r="F11" s="1369">
        <v>59.823</v>
      </c>
      <c r="G11" s="514">
        <v>74.251819999999995</v>
      </c>
      <c r="H11" s="49">
        <f t="shared" si="0"/>
        <v>2000</v>
      </c>
      <c r="I11" s="49" t="str">
        <f t="shared" si="1"/>
        <v>3</v>
      </c>
      <c r="K11" s="752">
        <f>LARGE(A$9:A$735,9)</f>
        <v>44531</v>
      </c>
      <c r="L11" s="507">
        <f t="shared" ref="L11:L19" si="2">SUMIF($A$9:$A$735,$K11,B$9:B$735)</f>
        <v>40.282176999999997</v>
      </c>
      <c r="M11" s="1400">
        <f t="shared" ref="M11:M19" si="3">SUMIF($A$9:$A$735,$K11,C$9:C$735)</f>
        <v>521.23010099999999</v>
      </c>
      <c r="N11" s="1403">
        <f t="shared" ref="N11:N19" si="4">SUMIF($A$9:$A$735,$K11,D$9:D$735)</f>
        <v>0</v>
      </c>
      <c r="O11" s="1403">
        <f t="shared" ref="O11:O19" si="5">SUMIF($A$9:$A$735,$K11,E$9:E$735)</f>
        <v>0</v>
      </c>
      <c r="P11" s="507">
        <f t="shared" ref="P11:P19" si="6">SUMIF($A$9:$A$735,$K11,F$9:F$735)</f>
        <v>20.505474000000003</v>
      </c>
      <c r="Q11" s="508">
        <f t="shared" ref="Q11:Q18" si="7">SUMIF($A$9:$A$735,$K11,G$9:G$735)</f>
        <v>97.654890999999992</v>
      </c>
      <c r="AC11" s="60"/>
      <c r="AD11" s="60"/>
      <c r="AE11" s="60"/>
      <c r="AF11" s="60"/>
      <c r="AG11" s="60"/>
      <c r="AH11" s="60"/>
    </row>
    <row r="12" spans="1:34">
      <c r="A12" s="752">
        <v>36861</v>
      </c>
      <c r="B12" s="1325">
        <v>9.1430000000000007</v>
      </c>
      <c r="C12" s="1325">
        <v>24.024092</v>
      </c>
      <c r="D12" s="1325">
        <v>20.3</v>
      </c>
      <c r="E12" s="1325">
        <v>9.0457520000000002</v>
      </c>
      <c r="F12" s="1325">
        <v>80.628</v>
      </c>
      <c r="G12" s="513">
        <v>87.835560999999998</v>
      </c>
      <c r="H12" s="49">
        <f t="shared" si="0"/>
        <v>2000</v>
      </c>
      <c r="I12" s="49" t="str">
        <f t="shared" si="1"/>
        <v>4</v>
      </c>
      <c r="K12" s="752">
        <f>LARGE(A$9:A$735,8)</f>
        <v>44621</v>
      </c>
      <c r="L12" s="509">
        <f t="shared" si="2"/>
        <v>41.489346000000005</v>
      </c>
      <c r="M12" s="1401">
        <f t="shared" si="3"/>
        <v>528.75195099999996</v>
      </c>
      <c r="N12" s="1404">
        <f t="shared" si="4"/>
        <v>0</v>
      </c>
      <c r="O12" s="1404">
        <f t="shared" si="5"/>
        <v>0</v>
      </c>
      <c r="P12" s="509">
        <f t="shared" si="6"/>
        <v>16.877814999999998</v>
      </c>
      <c r="Q12" s="510">
        <f t="shared" si="7"/>
        <v>88.230382999999989</v>
      </c>
      <c r="AC12" s="60"/>
      <c r="AD12" s="60"/>
      <c r="AE12" s="60"/>
      <c r="AF12" s="60"/>
      <c r="AG12" s="60"/>
      <c r="AH12" s="60"/>
    </row>
    <row r="13" spans="1:34">
      <c r="A13" s="752">
        <v>36951</v>
      </c>
      <c r="B13" s="1369">
        <v>9.9540000000000006</v>
      </c>
      <c r="C13" s="1369">
        <v>28.795444</v>
      </c>
      <c r="D13" s="1369">
        <v>23.103000000000002</v>
      </c>
      <c r="E13" s="1369">
        <v>11.693618000000001</v>
      </c>
      <c r="F13" s="1369">
        <v>45.084000000000003</v>
      </c>
      <c r="G13" s="514">
        <v>57.100099</v>
      </c>
      <c r="H13" s="49">
        <f t="shared" si="0"/>
        <v>2001</v>
      </c>
      <c r="I13" s="49" t="str">
        <f t="shared" si="1"/>
        <v>1</v>
      </c>
      <c r="K13" s="752">
        <f>LARGE(A$9:A$735,7)</f>
        <v>44713</v>
      </c>
      <c r="L13" s="507">
        <f t="shared" si="2"/>
        <v>37.155797</v>
      </c>
      <c r="M13" s="1400">
        <f t="shared" si="3"/>
        <v>400.06822999999997</v>
      </c>
      <c r="N13" s="1403">
        <f t="shared" si="4"/>
        <v>0</v>
      </c>
      <c r="O13" s="1403">
        <f t="shared" si="5"/>
        <v>0</v>
      </c>
      <c r="P13" s="507">
        <f t="shared" si="6"/>
        <v>20.630479999999999</v>
      </c>
      <c r="Q13" s="508">
        <f t="shared" si="7"/>
        <v>96.293458000000001</v>
      </c>
      <c r="AC13" s="60"/>
      <c r="AD13" s="60"/>
      <c r="AE13" s="60"/>
      <c r="AF13" s="60"/>
      <c r="AG13" s="60"/>
      <c r="AH13" s="60"/>
    </row>
    <row r="14" spans="1:34">
      <c r="A14" s="752">
        <v>37043</v>
      </c>
      <c r="B14" s="1325">
        <v>13.672000000000001</v>
      </c>
      <c r="C14" s="1325">
        <v>34.115588000000002</v>
      </c>
      <c r="D14" s="1325">
        <v>21.8</v>
      </c>
      <c r="E14" s="1325">
        <v>10.72903</v>
      </c>
      <c r="F14" s="1325">
        <v>50.554000000000002</v>
      </c>
      <c r="G14" s="513">
        <v>61.052177999999998</v>
      </c>
      <c r="H14" s="49">
        <f t="shared" si="0"/>
        <v>2001</v>
      </c>
      <c r="I14" s="49" t="str">
        <f t="shared" si="1"/>
        <v>2</v>
      </c>
      <c r="K14" s="752">
        <f>LARGE(A$9:A$735,6)</f>
        <v>44805</v>
      </c>
      <c r="L14" s="509">
        <f t="shared" si="2"/>
        <v>33.090511999999997</v>
      </c>
      <c r="M14" s="1401">
        <f t="shared" si="3"/>
        <v>377.638082</v>
      </c>
      <c r="N14" s="1404">
        <f t="shared" si="4"/>
        <v>0</v>
      </c>
      <c r="O14" s="1404">
        <f t="shared" si="5"/>
        <v>0</v>
      </c>
      <c r="P14" s="509">
        <f t="shared" si="6"/>
        <v>16.250889999999998</v>
      </c>
      <c r="Q14" s="510">
        <f t="shared" si="7"/>
        <v>71.065829999999991</v>
      </c>
      <c r="AC14" s="60"/>
      <c r="AD14" s="60"/>
      <c r="AE14" s="60"/>
      <c r="AF14" s="60"/>
      <c r="AG14" s="60"/>
      <c r="AH14" s="60"/>
    </row>
    <row r="15" spans="1:34">
      <c r="A15" s="752">
        <v>37135</v>
      </c>
      <c r="B15" s="1369">
        <v>10.818</v>
      </c>
      <c r="C15" s="1369">
        <v>25.455144000000001</v>
      </c>
      <c r="D15" s="1369">
        <v>16.63</v>
      </c>
      <c r="E15" s="1369">
        <v>8.1511069999999997</v>
      </c>
      <c r="F15" s="1369">
        <v>59.197000000000003</v>
      </c>
      <c r="G15" s="514">
        <v>40.097408999999999</v>
      </c>
      <c r="H15" s="49">
        <f t="shared" si="0"/>
        <v>2001</v>
      </c>
      <c r="I15" s="49" t="str">
        <f t="shared" si="1"/>
        <v>3</v>
      </c>
      <c r="K15" s="752">
        <f>LARGE(A$9:A$735,5)</f>
        <v>44896</v>
      </c>
      <c r="L15" s="507">
        <f t="shared" si="2"/>
        <v>31.913388000000001</v>
      </c>
      <c r="M15" s="1400">
        <f t="shared" si="3"/>
        <v>392.29862199999997</v>
      </c>
      <c r="N15" s="1403">
        <f t="shared" si="4"/>
        <v>0</v>
      </c>
      <c r="O15" s="1403">
        <f t="shared" si="5"/>
        <v>0</v>
      </c>
      <c r="P15" s="507">
        <f t="shared" si="6"/>
        <v>16.719260000000002</v>
      </c>
      <c r="Q15" s="508">
        <f t="shared" si="7"/>
        <v>80.474464999999995</v>
      </c>
      <c r="AC15" s="60"/>
      <c r="AD15" s="60"/>
      <c r="AE15" s="60"/>
      <c r="AF15" s="60"/>
      <c r="AG15" s="60"/>
      <c r="AH15" s="60"/>
    </row>
    <row r="16" spans="1:34">
      <c r="A16" s="752">
        <v>37226</v>
      </c>
      <c r="B16" s="1325">
        <v>15.792999999999999</v>
      </c>
      <c r="C16" s="1325">
        <v>32.344365000000003</v>
      </c>
      <c r="D16" s="1325">
        <v>29.85</v>
      </c>
      <c r="E16" s="1325">
        <v>14.329164</v>
      </c>
      <c r="F16" s="1325">
        <v>56.002000000000002</v>
      </c>
      <c r="G16" s="513">
        <v>50.467827999999997</v>
      </c>
      <c r="H16" s="49">
        <f t="shared" si="0"/>
        <v>2001</v>
      </c>
      <c r="I16" s="49" t="str">
        <f t="shared" si="1"/>
        <v>4</v>
      </c>
      <c r="K16" s="752">
        <f>LARGE(A$9:A$735,4)</f>
        <v>44986</v>
      </c>
      <c r="L16" s="509">
        <f t="shared" si="2"/>
        <v>22.385741000000003</v>
      </c>
      <c r="M16" s="1401">
        <f t="shared" si="3"/>
        <v>260.774677</v>
      </c>
      <c r="N16" s="1404">
        <f t="shared" si="4"/>
        <v>3.1048879999999999</v>
      </c>
      <c r="O16" s="1404">
        <f t="shared" si="5"/>
        <v>9.473039</v>
      </c>
      <c r="P16" s="509">
        <f t="shared" si="6"/>
        <v>16.79336</v>
      </c>
      <c r="Q16" s="510">
        <f t="shared" si="7"/>
        <v>69.194278999999995</v>
      </c>
      <c r="AC16" s="60"/>
      <c r="AD16" s="60"/>
      <c r="AE16" s="60"/>
      <c r="AF16" s="60"/>
      <c r="AG16" s="60"/>
      <c r="AH16" s="60"/>
    </row>
    <row r="17" spans="1:34">
      <c r="A17" s="752">
        <v>37316</v>
      </c>
      <c r="B17" s="1369">
        <v>18.728000000000002</v>
      </c>
      <c r="C17" s="1369">
        <v>39.500411</v>
      </c>
      <c r="D17" s="1369">
        <v>11.782999999999999</v>
      </c>
      <c r="E17" s="1369">
        <v>6.8930600000000002</v>
      </c>
      <c r="F17" s="1369">
        <v>48.823999999999998</v>
      </c>
      <c r="G17" s="514">
        <v>37.999014000000003</v>
      </c>
      <c r="H17" s="49">
        <f t="shared" si="0"/>
        <v>2002</v>
      </c>
      <c r="I17" s="49" t="str">
        <f t="shared" si="1"/>
        <v>1</v>
      </c>
      <c r="K17" s="752">
        <f>LARGE(A$9:A$735,3)</f>
        <v>45078</v>
      </c>
      <c r="L17" s="507">
        <f t="shared" si="2"/>
        <v>31.336533000000003</v>
      </c>
      <c r="M17" s="1400">
        <f t="shared" si="3"/>
        <v>362.90396299999998</v>
      </c>
      <c r="N17" s="1403">
        <f t="shared" si="4"/>
        <v>9.6369640000000008</v>
      </c>
      <c r="O17" s="1403">
        <f t="shared" si="5"/>
        <v>31.579426999999999</v>
      </c>
      <c r="P17" s="507">
        <f t="shared" si="6"/>
        <v>12.478883</v>
      </c>
      <c r="Q17" s="508">
        <f t="shared" si="7"/>
        <v>44.606971999999999</v>
      </c>
      <c r="AC17" s="60"/>
      <c r="AD17" s="60"/>
      <c r="AE17" s="60"/>
      <c r="AF17" s="60"/>
      <c r="AG17" s="60"/>
      <c r="AH17" s="60"/>
    </row>
    <row r="18" spans="1:34">
      <c r="A18" s="752">
        <v>37408</v>
      </c>
      <c r="B18" s="1325">
        <v>12.295999999999999</v>
      </c>
      <c r="C18" s="1325">
        <v>29.750125000000001</v>
      </c>
      <c r="D18" s="1325">
        <v>16.812999999999999</v>
      </c>
      <c r="E18" s="1325">
        <v>7.3497880000000002</v>
      </c>
      <c r="F18" s="1325">
        <v>59.646000000000001</v>
      </c>
      <c r="G18" s="513">
        <v>45.251676000000003</v>
      </c>
      <c r="H18" s="49">
        <f t="shared" si="0"/>
        <v>2002</v>
      </c>
      <c r="I18" s="49" t="str">
        <f t="shared" si="1"/>
        <v>2</v>
      </c>
      <c r="K18" s="752">
        <f>LARGE(A$9:A$735,2)</f>
        <v>45170</v>
      </c>
      <c r="L18" s="509">
        <f t="shared" si="2"/>
        <v>34.384123999999993</v>
      </c>
      <c r="M18" s="1401">
        <f t="shared" si="3"/>
        <v>402.24887799999999</v>
      </c>
      <c r="N18" s="1404">
        <f t="shared" si="4"/>
        <v>13.182311</v>
      </c>
      <c r="O18" s="1404">
        <f t="shared" si="5"/>
        <v>43.622903999999998</v>
      </c>
      <c r="P18" s="509">
        <f t="shared" si="6"/>
        <v>8.3655200000000001</v>
      </c>
      <c r="Q18" s="510">
        <f t="shared" si="7"/>
        <v>30.972905999999998</v>
      </c>
      <c r="AC18" s="60"/>
      <c r="AD18" s="60"/>
      <c r="AE18" s="60"/>
      <c r="AF18" s="60"/>
      <c r="AG18" s="60"/>
      <c r="AH18" s="60"/>
    </row>
    <row r="19" spans="1:34" ht="15.75" thickBot="1">
      <c r="A19" s="752">
        <v>37500</v>
      </c>
      <c r="B19" s="1369">
        <v>17.913</v>
      </c>
      <c r="C19" s="1369">
        <v>41.170180000000002</v>
      </c>
      <c r="D19" s="1369">
        <v>16.065000000000001</v>
      </c>
      <c r="E19" s="1369">
        <v>7.3971</v>
      </c>
      <c r="F19" s="1369">
        <v>58.856999999999999</v>
      </c>
      <c r="G19" s="514">
        <v>45.744605999999997</v>
      </c>
      <c r="H19" s="49">
        <f t="shared" si="0"/>
        <v>2002</v>
      </c>
      <c r="I19" s="49" t="str">
        <f t="shared" si="1"/>
        <v>3</v>
      </c>
      <c r="K19" s="753">
        <f>LARGE(A$9:A$735,1)</f>
        <v>45261</v>
      </c>
      <c r="L19" s="511">
        <f t="shared" si="2"/>
        <v>15.534391000000001</v>
      </c>
      <c r="M19" s="1402">
        <f t="shared" si="3"/>
        <v>180.350908</v>
      </c>
      <c r="N19" s="1405">
        <f t="shared" si="4"/>
        <v>12.031482</v>
      </c>
      <c r="O19" s="1405">
        <f t="shared" si="5"/>
        <v>38.281461999999998</v>
      </c>
      <c r="P19" s="511">
        <f t="shared" si="6"/>
        <v>12.884283999999999</v>
      </c>
      <c r="Q19" s="512">
        <f>SUMIF($A$9:$A$735,$K19,G$9:G$735)</f>
        <v>47.440481999999996</v>
      </c>
      <c r="AC19" s="60"/>
      <c r="AD19" s="60"/>
      <c r="AE19" s="60"/>
      <c r="AF19" s="60"/>
      <c r="AG19" s="60"/>
      <c r="AH19" s="60"/>
    </row>
    <row r="20" spans="1:34">
      <c r="A20" s="752">
        <v>37591</v>
      </c>
      <c r="B20" s="1325">
        <v>15.35</v>
      </c>
      <c r="C20" s="1325">
        <v>35.069124000000002</v>
      </c>
      <c r="D20" s="1325">
        <v>25.736000000000001</v>
      </c>
      <c r="E20" s="1325">
        <v>11.050075</v>
      </c>
      <c r="F20" s="1325">
        <v>51.475999999999999</v>
      </c>
      <c r="G20" s="513">
        <v>44.068821</v>
      </c>
      <c r="H20" s="49">
        <f t="shared" si="0"/>
        <v>2002</v>
      </c>
      <c r="I20" s="49" t="str">
        <f t="shared" si="1"/>
        <v>4</v>
      </c>
      <c r="K20" s="892"/>
      <c r="L20" s="891"/>
      <c r="M20" s="891"/>
      <c r="N20" s="891"/>
      <c r="O20" s="891"/>
      <c r="P20" s="891"/>
      <c r="Q20" s="891"/>
      <c r="AC20" s="60"/>
      <c r="AD20" s="60"/>
      <c r="AE20" s="60"/>
      <c r="AF20" s="60"/>
      <c r="AG20" s="60"/>
      <c r="AH20" s="60"/>
    </row>
    <row r="21" spans="1:34" ht="15.75" thickBot="1">
      <c r="A21" s="752">
        <v>37681</v>
      </c>
      <c r="B21" s="1369">
        <v>11.138</v>
      </c>
      <c r="C21" s="1369">
        <v>26.82959</v>
      </c>
      <c r="D21" s="1369">
        <v>11.25</v>
      </c>
      <c r="E21" s="1369">
        <v>6.67</v>
      </c>
      <c r="F21" s="1369">
        <v>33.770000000000003</v>
      </c>
      <c r="G21" s="514">
        <v>35.200000000000003</v>
      </c>
      <c r="H21" s="49">
        <f t="shared" si="0"/>
        <v>2003</v>
      </c>
      <c r="I21" s="49" t="str">
        <f t="shared" si="1"/>
        <v>1</v>
      </c>
      <c r="U21" s="1"/>
      <c r="AC21" s="60"/>
      <c r="AD21" s="60"/>
      <c r="AE21" s="60"/>
      <c r="AF21" s="60"/>
      <c r="AG21" s="60"/>
      <c r="AH21" s="60"/>
    </row>
    <row r="22" spans="1:34">
      <c r="A22" s="752">
        <v>37773</v>
      </c>
      <c r="B22" s="1325">
        <v>15.023999999999999</v>
      </c>
      <c r="C22" s="1325">
        <v>35.565981999999998</v>
      </c>
      <c r="D22" s="1325">
        <v>15.18</v>
      </c>
      <c r="E22" s="1325">
        <v>8.35</v>
      </c>
      <c r="F22" s="1325">
        <v>38.11</v>
      </c>
      <c r="G22" s="513">
        <v>35.26</v>
      </c>
      <c r="H22" s="49">
        <f t="shared" si="0"/>
        <v>2003</v>
      </c>
      <c r="I22" s="49" t="str">
        <f t="shared" si="1"/>
        <v>2</v>
      </c>
      <c r="K22" s="1447" t="s">
        <v>247</v>
      </c>
      <c r="L22" s="1988" t="s">
        <v>240</v>
      </c>
      <c r="M22" s="1989"/>
      <c r="N22" s="1989"/>
      <c r="O22" s="1989"/>
      <c r="P22" s="1989"/>
      <c r="Q22" s="1990"/>
      <c r="U22" s="1"/>
      <c r="AC22" s="60"/>
      <c r="AD22" s="60"/>
      <c r="AE22" s="60"/>
      <c r="AF22" s="60"/>
      <c r="AG22" s="60"/>
      <c r="AH22" s="60"/>
    </row>
    <row r="23" spans="1:34">
      <c r="A23" s="752">
        <v>37865</v>
      </c>
      <c r="B23" s="1369">
        <v>20.244250000000001</v>
      </c>
      <c r="C23" s="1369">
        <v>48.337485280000003</v>
      </c>
      <c r="D23" s="1369">
        <v>17.481000000000002</v>
      </c>
      <c r="E23" s="1369">
        <v>8.2900741</v>
      </c>
      <c r="F23" s="1369">
        <v>37.886850000000003</v>
      </c>
      <c r="G23" s="514">
        <v>30.06951887</v>
      </c>
      <c r="H23" s="49">
        <f t="shared" si="0"/>
        <v>2003</v>
      </c>
      <c r="I23" s="49" t="str">
        <f t="shared" si="1"/>
        <v>3</v>
      </c>
      <c r="K23" s="1961" t="str">
        <f>CONCATENATE(A5," Quantity And Value By Year")</f>
        <v xml:space="preserve"> Quantity And Value By Year</v>
      </c>
      <c r="L23" s="1962"/>
      <c r="M23" s="1962"/>
      <c r="N23" s="1962"/>
      <c r="O23" s="1962"/>
      <c r="P23" s="1962"/>
      <c r="Q23" s="1963"/>
      <c r="U23" s="1"/>
      <c r="AC23" s="60"/>
      <c r="AD23" s="60"/>
      <c r="AE23" s="60"/>
      <c r="AF23" s="60"/>
      <c r="AG23" s="60"/>
      <c r="AH23" s="60"/>
    </row>
    <row r="24" spans="1:34">
      <c r="A24" s="752">
        <v>37956</v>
      </c>
      <c r="B24" s="1325">
        <v>13.76984</v>
      </c>
      <c r="C24" s="1325">
        <v>38.777166459999997</v>
      </c>
      <c r="D24" s="1325">
        <v>5.9119999999999999</v>
      </c>
      <c r="E24" s="1325">
        <v>3.6816138199999999</v>
      </c>
      <c r="F24" s="1325">
        <v>39.073090000000001</v>
      </c>
      <c r="G24" s="513">
        <v>33.125015990000001</v>
      </c>
      <c r="H24" s="49">
        <f t="shared" si="0"/>
        <v>2003</v>
      </c>
      <c r="I24" s="49" t="str">
        <f t="shared" si="1"/>
        <v>4</v>
      </c>
      <c r="K24" s="1446"/>
      <c r="L24" s="1979" t="str">
        <f>B7</f>
        <v>Copper</v>
      </c>
      <c r="M24" s="1980"/>
      <c r="N24" s="1979" t="str">
        <f>D7</f>
        <v>Lead</v>
      </c>
      <c r="O24" s="1981"/>
      <c r="P24" s="1980" t="str">
        <f>F7</f>
        <v>Zinc</v>
      </c>
      <c r="Q24" s="1982"/>
      <c r="U24" s="1"/>
      <c r="AC24" s="60"/>
      <c r="AD24" s="60"/>
      <c r="AE24" s="60"/>
      <c r="AF24" s="60"/>
      <c r="AG24" s="60"/>
      <c r="AH24" s="60"/>
    </row>
    <row r="25" spans="1:34">
      <c r="A25" s="752">
        <v>38047</v>
      </c>
      <c r="B25" s="1369">
        <v>9.4638200000000001</v>
      </c>
      <c r="C25" s="1369">
        <v>32.519124169999998</v>
      </c>
      <c r="D25" s="1369">
        <v>0</v>
      </c>
      <c r="E25" s="1369">
        <v>0</v>
      </c>
      <c r="F25" s="1369">
        <v>24.983440000000002</v>
      </c>
      <c r="G25" s="514">
        <v>33.018951549999997</v>
      </c>
      <c r="H25" s="49">
        <f t="shared" si="0"/>
        <v>2004</v>
      </c>
      <c r="I25" s="49" t="str">
        <f t="shared" si="1"/>
        <v>1</v>
      </c>
      <c r="K25" s="1284" t="s">
        <v>34</v>
      </c>
      <c r="L25" s="1384" t="str">
        <f>B8</f>
        <v>Quantity (Kt)</v>
      </c>
      <c r="M25" s="1387" t="str">
        <f>C8</f>
        <v>Value ($ Million)</v>
      </c>
      <c r="N25" s="1384" t="str">
        <f>D8</f>
        <v>Quantity (Kt)</v>
      </c>
      <c r="O25" s="1386" t="str">
        <f>E8</f>
        <v>Value ($ Million)</v>
      </c>
      <c r="P25" s="1387" t="str">
        <f>F8</f>
        <v>Quantity (Kt)</v>
      </c>
      <c r="Q25" s="1385" t="str">
        <f>G8</f>
        <v>Value ($ Million)</v>
      </c>
      <c r="U25" s="1"/>
      <c r="AC25" s="60"/>
      <c r="AD25" s="60"/>
      <c r="AE25" s="60"/>
      <c r="AF25" s="60"/>
      <c r="AG25" s="60"/>
      <c r="AH25" s="60"/>
    </row>
    <row r="26" spans="1:34">
      <c r="A26" s="752">
        <v>38139</v>
      </c>
      <c r="B26" s="1325">
        <v>11.466984</v>
      </c>
      <c r="C26" s="1325">
        <v>47.288723140000002</v>
      </c>
      <c r="D26" s="1325">
        <v>0</v>
      </c>
      <c r="E26" s="1325">
        <v>0</v>
      </c>
      <c r="F26" s="1325">
        <v>4.5332499999999998</v>
      </c>
      <c r="G26" s="513">
        <v>6.6091462600000002</v>
      </c>
      <c r="H26" s="49">
        <f t="shared" si="0"/>
        <v>2004</v>
      </c>
      <c r="I26" s="49" t="str">
        <f t="shared" si="1"/>
        <v>2</v>
      </c>
      <c r="K26" s="1729">
        <f t="shared" ref="K26:K43" si="8">IF($L$22="Calendar Year", K27-1, LEFT(K27,4)-1 &amp; "-" &amp; MID(K27,3,2))</f>
        <v>2004</v>
      </c>
      <c r="L26" s="517">
        <f>IF($L$22="Calendar Year",SUMIF($H$9:$H$201,$K26,$B$9:$B$201),SUMIFS($B$9:$B$201,$H$9:$H$201,LEFT($K26,4),$I$9:$I$201,3)+SUMIFS($B$9:$B$201,$H$9:$H$201,LEFT($K26,4),$I$9:$I$201,4)+SUMIFS($B$9:$B$201,$H$9:$H$201,LEFT($K26,4)+1,$I$9:$I$201,1)+SUMIFS($B$9:$B$201,$H$9:$H$201,LEFT($K26,4)+1,$I$9:$I$201,2))</f>
        <v>42.260094000000002</v>
      </c>
      <c r="M26" s="1388">
        <f>IF($L$22="Calendar Year",SUMIF($H$9:$H$201,$K26,$C$9:$C$201),SUMIFS($C$9:$C$201,$H$9:$H$201,LEFT($K26,4),$I$9:$I$201,3)+SUMIFS($C$9:$C$201,$H$9:$H$201,LEFT($K26,4),$I$9:$I$201,4)+SUMIFS($C$9:$C$201,$H$9:$H$201,LEFT($K26,4)+1,$I$9:$I$201,1)+SUMIFS($C$9:$C$201,$H$9:$H$201,LEFT($K26,4)+1,$I$9:$I$201,2))</f>
        <v>168.13437594999999</v>
      </c>
      <c r="N26" s="1390">
        <f>IF($L$22="Calendar Year",SUMIF($H$9:$H$201,$K26,$D$9:$D$201),SUMIFS($D$9:$D$201,$H$9:$H$201,LEFT($K26,4),$I$9:$I$201,3)+SUMIFS($D$9:$D$201,$H$9:$H$201,LEFT($K26,4),$I$9:$I$201,4)+SUMIFS($D$9:$D$201,$H$9:$H$201,LEFT($K26,4)+1,$I$9:$I$201,1)+SUMIFS($D$9:$D$201,$H$9:$H$201,LEFT($K26,4)+1,$I$9:$I$201,2))</f>
        <v>1.1747399999999999</v>
      </c>
      <c r="O26" s="1390">
        <f>IF($L$22="Calendar Year",SUMIF($H$9:$H$201,$K26,$E$9:$E$201),SUMIFS($E$9:$E$201,$H$9:$H$201,LEFT($K26,4),$I$9:$I$201,3)+SUMIFS($E$9:$E$201,$H$9:$H$201,LEFT($K26,4),$I$9:$I$201,4)+SUMIFS($E$9:$E$201,$H$9:$H$201,LEFT($K26,4)+1,$I$9:$I$201,1)+SUMIFS($E$9:$E$201,$H$9:$H$201,LEFT($K26,4)+1,$I$9:$I$201,2))</f>
        <v>1.5446158400000001</v>
      </c>
      <c r="P26" s="517">
        <f>IF($L$22="Calendar Year",SUMIF($H$9:$H$201,$K26,$F$9:$F$201),SUMIFS($F$9:$F$201,$H$9:$H$201,LEFT($K26,4),$I$9:$I$201,3)+SUMIFS($F$9:$F$201,$H$9:$H$201,LEFT($K26,4),$I$9:$I$201,4)+SUMIFS($F$9:$F$201,$H$9:$H$201,LEFT($K26,4)+1,$I$9:$I$201,1)+SUMIFS($F$9:$F$201,$H$9:$H$201,LEFT($K26,4)+1,$I$9:$I$201,2))</f>
        <v>51.78387</v>
      </c>
      <c r="Q26" s="518">
        <f>IF($L$22="Calendar Year",SUMIF($H$9:$H$201,$K26,$G$9:$G$201),SUMIFS($G$9:$G$201,$H$9:$H$201,LEFT($K26,4),$I$9:$I$201,3)+SUMIFS($G$9:$G$201,$H$9:$H$201,LEFT($K26,4),$I$9:$I$201,4)+SUMIFS($G$9:$G$201,$H$9:$H$201,LEFT($K26,4)+1,$I$9:$I$201,1)+SUMIFS($G$9:$G$201,$H$9:$H$201,LEFT($K26,4)+1,$I$9:$I$201,2))</f>
        <v>71.168342370000005</v>
      </c>
      <c r="U26" s="1"/>
      <c r="AC26" s="60"/>
      <c r="AD26" s="60"/>
      <c r="AE26" s="60"/>
      <c r="AF26" s="60"/>
      <c r="AG26" s="60"/>
      <c r="AH26" s="60"/>
    </row>
    <row r="27" spans="1:34">
      <c r="A27" s="752">
        <v>38231</v>
      </c>
      <c r="B27" s="1369">
        <v>8.9878099999999996</v>
      </c>
      <c r="C27" s="1369">
        <v>36.506440849999997</v>
      </c>
      <c r="D27" s="1369">
        <v>1.1747399999999999</v>
      </c>
      <c r="E27" s="1369">
        <v>1.5446158400000001</v>
      </c>
      <c r="F27" s="1369">
        <v>12.29382</v>
      </c>
      <c r="G27" s="514">
        <v>17.24516753</v>
      </c>
      <c r="H27" s="49">
        <f t="shared" si="0"/>
        <v>2004</v>
      </c>
      <c r="I27" s="49" t="str">
        <f t="shared" si="1"/>
        <v>3</v>
      </c>
      <c r="K27" s="1729">
        <f t="shared" si="8"/>
        <v>2005</v>
      </c>
      <c r="L27" s="515">
        <f t="shared" ref="L27:L51" si="9">IF(K27="","",IF($L$22="Calendar Year",SUMIF($H$9:$H$201,$K27,$B$9:$B$201),SUMIFS($B$9:$B$201,$H$9:$H$201,LEFT($K27,4),$I$9:$I$201,3)+SUMIFS($B$9:$B$201,$H$9:$H$201,LEFT($K27,4),$I$9:$I$201,4)+SUMIFS($B$9:$B$201,$H$9:$H$201,LEFT($K27,4)+1,$I$9:$I$201,1)+SUMIFS($B$9:$B$201,$H$9:$H$201,LEFT($K27,4)+1,$I$9:$I$201,2)))</f>
        <v>85.220481000000007</v>
      </c>
      <c r="M27" s="1389">
        <f t="shared" ref="M27:M51" si="10">IF(K27="","",IF($L$22="Calendar Year",SUMIF($H$9:$H$201,$K27,$C$9:$C$201),SUMIFS($C$9:$C$201,$H$9:$H$201,LEFT($K27,4),$I$9:$I$201,3)+SUMIFS($C$9:$C$201,$H$9:$H$201,LEFT($K27,4),$I$9:$I$201,4)+SUMIFS($C$9:$C$201,$H$9:$H$201,LEFT($K27,4)+1,$I$9:$I$201,1)+SUMIFS($C$9:$C$201,$H$9:$H$201,LEFT($K27,4)+1,$I$9:$I$201,2)))</f>
        <v>471.20839587999996</v>
      </c>
      <c r="N27" s="1299">
        <f t="shared" ref="N27:N51" si="11">IF(K27="","",IF($L$22="Calendar Year",SUMIF($H$9:$H$201,$K27,$D$9:$D$201),SUMIFS($D$9:$D$201,$H$9:$H$201,LEFT($K27,4),$I$9:$I$201,3)+SUMIFS($D$9:$D$201,$H$9:$H$201,LEFT($K27,4),$I$9:$I$201,4)+SUMIFS($D$9:$D$201,$H$9:$H$201,LEFT($K27,4)+1,$I$9:$I$201,1)+SUMIFS($D$9:$D$201,$H$9:$H$201,LEFT($K27,4)+1,$I$9:$I$201,2)))</f>
        <v>28.595314999999999</v>
      </c>
      <c r="O27" s="1299">
        <f t="shared" ref="O27:O51" si="12">IF(K27="","",IF($L$22="Calendar Year",SUMIF($H$9:$H$201,$K27,$E$9:$E$201),SUMIFS($E$9:$E$201,$H$9:$H$201,LEFT($K27,4),$I$9:$I$201,3)+SUMIFS($E$9:$E$201,$H$9:$H$201,LEFT($K27,4),$I$9:$I$201,4)+SUMIFS($E$9:$E$201,$H$9:$H$201,LEFT($K27,4)+1,$I$9:$I$201,1)+SUMIFS($E$9:$E$201,$H$9:$H$201,LEFT($K27,4)+1,$I$9:$I$201,2)))</f>
        <v>39.773083839999998</v>
      </c>
      <c r="P27" s="515">
        <f t="shared" ref="P27:P51" si="13">IF(K27="","",IF($L$22="Calendar Year",SUMIF($H$9:$H$201,$K27,$F$9:$F$201),SUMIFS($F$9:$F$201,$H$9:$H$201,LEFT($K27,4),$I$9:$I$201,3)+SUMIFS($F$9:$F$201,$H$9:$H$201,LEFT($K27,4),$I$9:$I$201,4)+SUMIFS($F$9:$F$201,$H$9:$H$201,LEFT($K27,4)+1,$I$9:$I$201,1)+SUMIFS($F$9:$F$201,$H$9:$H$201,LEFT($K27,4)+1,$I$9:$I$201,2)))</f>
        <v>59.104380000000006</v>
      </c>
      <c r="Q27" s="516">
        <f t="shared" ref="Q27:Q51" si="14">IF(K27="","",IF($L$22="Calendar Year",SUMIF($H$9:$H$201,$K27,$G$9:$G$201),SUMIFS($G$9:$G$201,$H$9:$H$201,LEFT($K27,4),$I$9:$I$201,3)+SUMIFS($G$9:$G$201,$H$9:$H$201,LEFT($K27,4),$I$9:$I$201,4)+SUMIFS($G$9:$G$201,$H$9:$H$201,LEFT($K27,4)+1,$I$9:$I$201,1)+SUMIFS($G$9:$G$201,$H$9:$H$201,LEFT($K27,4)+1,$I$9:$I$201,2)))</f>
        <v>126.89531962000001</v>
      </c>
      <c r="U27" s="1"/>
      <c r="AC27" s="60"/>
      <c r="AD27" s="60"/>
      <c r="AE27" s="60"/>
      <c r="AF27" s="60"/>
      <c r="AG27" s="60"/>
      <c r="AH27" s="60"/>
    </row>
    <row r="28" spans="1:34">
      <c r="A28" s="752">
        <v>38322</v>
      </c>
      <c r="B28" s="1325">
        <v>12.341480000000001</v>
      </c>
      <c r="C28" s="1325">
        <v>51.820087790000002</v>
      </c>
      <c r="D28" s="1325">
        <v>0</v>
      </c>
      <c r="E28" s="1325">
        <v>0</v>
      </c>
      <c r="F28" s="1325">
        <v>9.9733599999999996</v>
      </c>
      <c r="G28" s="513">
        <v>14.29507703</v>
      </c>
      <c r="H28" s="49">
        <f t="shared" si="0"/>
        <v>2004</v>
      </c>
      <c r="I28" s="49" t="str">
        <f t="shared" si="1"/>
        <v>4</v>
      </c>
      <c r="K28" s="1729">
        <f t="shared" si="8"/>
        <v>2006</v>
      </c>
      <c r="L28" s="517">
        <f t="shared" si="9"/>
        <v>99.242470999999995</v>
      </c>
      <c r="M28" s="1388">
        <f t="shared" si="10"/>
        <v>865.00019402999988</v>
      </c>
      <c r="N28" s="1390">
        <f t="shared" si="11"/>
        <v>70.95348899999999</v>
      </c>
      <c r="O28" s="1390">
        <f t="shared" si="12"/>
        <v>127.85454053000001</v>
      </c>
      <c r="P28" s="517">
        <f t="shared" si="13"/>
        <v>109.06339100000001</v>
      </c>
      <c r="Q28" s="518">
        <f t="shared" si="14"/>
        <v>491.08046987</v>
      </c>
      <c r="AC28" s="60"/>
      <c r="AD28" s="60"/>
      <c r="AE28" s="60"/>
      <c r="AF28" s="60"/>
      <c r="AG28" s="60"/>
      <c r="AH28" s="60"/>
    </row>
    <row r="29" spans="1:34">
      <c r="A29" s="752">
        <v>38412</v>
      </c>
      <c r="B29" s="1369">
        <v>10.86936</v>
      </c>
      <c r="C29" s="1369">
        <v>46.321934990000003</v>
      </c>
      <c r="D29" s="1369">
        <v>1.1496</v>
      </c>
      <c r="E29" s="1369">
        <v>1.4617513799999999</v>
      </c>
      <c r="F29" s="1369">
        <v>13.123620000000001</v>
      </c>
      <c r="G29" s="514">
        <v>19.535581140000001</v>
      </c>
      <c r="H29" s="49">
        <f t="shared" si="0"/>
        <v>2005</v>
      </c>
      <c r="I29" s="49" t="str">
        <f t="shared" si="1"/>
        <v>1</v>
      </c>
      <c r="K29" s="1729">
        <f t="shared" si="8"/>
        <v>2007</v>
      </c>
      <c r="L29" s="515">
        <f t="shared" si="9"/>
        <v>105.40498599999999</v>
      </c>
      <c r="M29" s="1389">
        <f t="shared" si="10"/>
        <v>885.58278529999995</v>
      </c>
      <c r="N29" s="1299">
        <f t="shared" si="11"/>
        <v>37.091524999999997</v>
      </c>
      <c r="O29" s="1299">
        <f t="shared" si="12"/>
        <v>96.781479340000004</v>
      </c>
      <c r="P29" s="515">
        <f t="shared" si="13"/>
        <v>173.33780000000002</v>
      </c>
      <c r="Q29" s="516">
        <f t="shared" si="14"/>
        <v>482.88467758000002</v>
      </c>
      <c r="AC29" s="60"/>
      <c r="AD29" s="60"/>
      <c r="AE29" s="60"/>
      <c r="AF29" s="60"/>
      <c r="AG29" s="60"/>
      <c r="AH29" s="60"/>
    </row>
    <row r="30" spans="1:34">
      <c r="A30" s="752">
        <v>38504</v>
      </c>
      <c r="B30" s="1325">
        <v>28.512177000000001</v>
      </c>
      <c r="C30" s="1325">
        <v>133.03050275999999</v>
      </c>
      <c r="D30" s="1325">
        <v>0</v>
      </c>
      <c r="E30" s="1325">
        <v>0</v>
      </c>
      <c r="F30" s="1325">
        <v>13.01009</v>
      </c>
      <c r="G30" s="513">
        <v>21.44047909</v>
      </c>
      <c r="H30" s="49">
        <f t="shared" si="0"/>
        <v>2005</v>
      </c>
      <c r="I30" s="49" t="str">
        <f t="shared" si="1"/>
        <v>2</v>
      </c>
      <c r="K30" s="1729">
        <f t="shared" si="8"/>
        <v>2008</v>
      </c>
      <c r="L30" s="517">
        <f t="shared" si="9"/>
        <v>119.055948</v>
      </c>
      <c r="M30" s="1388">
        <f t="shared" si="10"/>
        <v>832.51515368000003</v>
      </c>
      <c r="N30" s="1390">
        <f t="shared" si="11"/>
        <v>18.538827999999999</v>
      </c>
      <c r="O30" s="1390">
        <f t="shared" si="12"/>
        <v>28.815419949999999</v>
      </c>
      <c r="P30" s="517">
        <f t="shared" si="13"/>
        <v>189.81195299999999</v>
      </c>
      <c r="Q30" s="518">
        <f t="shared" si="14"/>
        <v>293.49248021000005</v>
      </c>
      <c r="AC30" s="60"/>
      <c r="AD30" s="60"/>
      <c r="AE30" s="60"/>
      <c r="AF30" s="60"/>
      <c r="AG30" s="60"/>
      <c r="AH30" s="60"/>
    </row>
    <row r="31" spans="1:34">
      <c r="A31" s="752">
        <v>38596</v>
      </c>
      <c r="B31" s="1369">
        <v>23.733232000000001</v>
      </c>
      <c r="C31" s="1369">
        <v>130.06300292</v>
      </c>
      <c r="D31" s="1369">
        <v>8.9459370000000007</v>
      </c>
      <c r="E31" s="1369">
        <v>10.864582990000001</v>
      </c>
      <c r="F31" s="1369">
        <v>12.67141</v>
      </c>
      <c r="G31" s="514">
        <v>22.451677100000001</v>
      </c>
      <c r="H31" s="49">
        <f t="shared" si="0"/>
        <v>2005</v>
      </c>
      <c r="I31" s="49" t="str">
        <f t="shared" si="1"/>
        <v>3</v>
      </c>
      <c r="K31" s="1729">
        <f t="shared" si="8"/>
        <v>2009</v>
      </c>
      <c r="L31" s="515">
        <f t="shared" si="9"/>
        <v>151.49643399999999</v>
      </c>
      <c r="M31" s="1389">
        <f t="shared" si="10"/>
        <v>933.12328494000008</v>
      </c>
      <c r="N31" s="1299">
        <f t="shared" si="11"/>
        <v>22.755433000000004</v>
      </c>
      <c r="O31" s="1299">
        <f t="shared" si="12"/>
        <v>48.874789219999997</v>
      </c>
      <c r="P31" s="515">
        <f t="shared" si="13"/>
        <v>99.811695999999984</v>
      </c>
      <c r="Q31" s="516">
        <f t="shared" si="14"/>
        <v>215.92451084000001</v>
      </c>
      <c r="AC31" s="60"/>
      <c r="AD31" s="60"/>
      <c r="AE31" s="60"/>
      <c r="AF31" s="60"/>
      <c r="AG31" s="60"/>
      <c r="AH31" s="60"/>
    </row>
    <row r="32" spans="1:34">
      <c r="A32" s="752">
        <v>38687</v>
      </c>
      <c r="B32" s="1325">
        <v>22.105712</v>
      </c>
      <c r="C32" s="1325">
        <v>161.79295521</v>
      </c>
      <c r="D32" s="1325">
        <v>18.499777999999999</v>
      </c>
      <c r="E32" s="1325">
        <v>27.44674947</v>
      </c>
      <c r="F32" s="1325">
        <v>20.29926</v>
      </c>
      <c r="G32" s="513">
        <v>63.467582290000003</v>
      </c>
      <c r="H32" s="49">
        <f t="shared" si="0"/>
        <v>2005</v>
      </c>
      <c r="I32" s="49" t="str">
        <f t="shared" si="1"/>
        <v>4</v>
      </c>
      <c r="K32" s="1729">
        <f t="shared" si="8"/>
        <v>2010</v>
      </c>
      <c r="L32" s="517">
        <f t="shared" si="9"/>
        <v>155.65068099999999</v>
      </c>
      <c r="M32" s="1388">
        <f t="shared" si="10"/>
        <v>1302.14808608</v>
      </c>
      <c r="N32" s="1390">
        <f t="shared" si="11"/>
        <v>52.922928999999996</v>
      </c>
      <c r="O32" s="1390">
        <f t="shared" si="12"/>
        <v>126.64476232</v>
      </c>
      <c r="P32" s="517">
        <f t="shared" si="13"/>
        <v>81.515219999999999</v>
      </c>
      <c r="Q32" s="518">
        <f t="shared" si="14"/>
        <v>191.88413472000002</v>
      </c>
      <c r="AC32" s="60"/>
      <c r="AD32" s="60"/>
      <c r="AE32" s="60"/>
      <c r="AF32" s="60"/>
      <c r="AG32" s="60"/>
      <c r="AH32" s="60"/>
    </row>
    <row r="33" spans="1:34">
      <c r="A33" s="752">
        <v>38777</v>
      </c>
      <c r="B33" s="1369">
        <v>12.024084999999999</v>
      </c>
      <c r="C33" s="1369">
        <v>90.567247140000006</v>
      </c>
      <c r="D33" s="1369">
        <v>14.169449</v>
      </c>
      <c r="E33" s="1369">
        <v>22.678185710000001</v>
      </c>
      <c r="F33" s="1369">
        <v>27.308706000000001</v>
      </c>
      <c r="G33" s="514">
        <v>99.958763950000005</v>
      </c>
      <c r="H33" s="49">
        <f t="shared" si="0"/>
        <v>2006</v>
      </c>
      <c r="I33" s="49" t="str">
        <f t="shared" si="1"/>
        <v>1</v>
      </c>
      <c r="K33" s="1729">
        <f t="shared" si="8"/>
        <v>2011</v>
      </c>
      <c r="L33" s="515">
        <f t="shared" si="9"/>
        <v>144.95804783199998</v>
      </c>
      <c r="M33" s="1389">
        <f t="shared" si="10"/>
        <v>1195.22360826</v>
      </c>
      <c r="N33" s="1299">
        <f t="shared" si="11"/>
        <v>8.3429219999999997</v>
      </c>
      <c r="O33" s="1299">
        <f t="shared" si="12"/>
        <v>19.57646712</v>
      </c>
      <c r="P33" s="515">
        <f t="shared" si="13"/>
        <v>74.400736999999992</v>
      </c>
      <c r="Q33" s="516">
        <f t="shared" si="14"/>
        <v>153.04113046000001</v>
      </c>
      <c r="AC33" s="60"/>
      <c r="AD33" s="60"/>
      <c r="AE33" s="60"/>
      <c r="AF33" s="60"/>
      <c r="AG33" s="60"/>
      <c r="AH33" s="60"/>
    </row>
    <row r="34" spans="1:34">
      <c r="A34" s="752">
        <v>38869</v>
      </c>
      <c r="B34" s="1325">
        <v>26.810188</v>
      </c>
      <c r="C34" s="1325">
        <v>228.69050462000001</v>
      </c>
      <c r="D34" s="1325">
        <v>15.650221999999999</v>
      </c>
      <c r="E34" s="1325">
        <v>23.981002220000001</v>
      </c>
      <c r="F34" s="1325">
        <v>19.727896999999999</v>
      </c>
      <c r="G34" s="513">
        <v>88.366812190000005</v>
      </c>
      <c r="H34" s="49">
        <f t="shared" si="0"/>
        <v>2006</v>
      </c>
      <c r="I34" s="49" t="str">
        <f t="shared" si="1"/>
        <v>2</v>
      </c>
      <c r="K34" s="1729">
        <f t="shared" si="8"/>
        <v>2012</v>
      </c>
      <c r="L34" s="517">
        <f t="shared" si="9"/>
        <v>185.75001993699999</v>
      </c>
      <c r="M34" s="1388">
        <f t="shared" si="10"/>
        <v>1370.4501023600001</v>
      </c>
      <c r="N34" s="1390">
        <f t="shared" si="11"/>
        <v>8.135294</v>
      </c>
      <c r="O34" s="1390">
        <f t="shared" si="12"/>
        <v>16.53442321</v>
      </c>
      <c r="P34" s="517">
        <f t="shared" si="13"/>
        <v>57.112677000000005</v>
      </c>
      <c r="Q34" s="518">
        <f t="shared" si="14"/>
        <v>107.3024735</v>
      </c>
      <c r="AC34" s="60"/>
      <c r="AD34" s="60"/>
      <c r="AE34" s="60"/>
      <c r="AF34" s="60"/>
      <c r="AG34" s="60"/>
      <c r="AH34" s="60"/>
    </row>
    <row r="35" spans="1:34">
      <c r="A35" s="752">
        <v>38961</v>
      </c>
      <c r="B35" s="1369">
        <v>24.652287000000001</v>
      </c>
      <c r="C35" s="1369">
        <v>230.93300636999999</v>
      </c>
      <c r="D35" s="1369">
        <v>19.155919000000001</v>
      </c>
      <c r="E35" s="1369">
        <v>33.62997712</v>
      </c>
      <c r="F35" s="1369">
        <v>30.505755000000001</v>
      </c>
      <c r="G35" s="514">
        <v>155.48276697</v>
      </c>
      <c r="H35" s="49">
        <f t="shared" si="0"/>
        <v>2006</v>
      </c>
      <c r="I35" s="49" t="str">
        <f t="shared" si="1"/>
        <v>3</v>
      </c>
      <c r="K35" s="1729">
        <f t="shared" si="8"/>
        <v>2013</v>
      </c>
      <c r="L35" s="515">
        <f t="shared" si="9"/>
        <v>216.05661499999999</v>
      </c>
      <c r="M35" s="1389">
        <f t="shared" si="10"/>
        <v>1492.7644329999998</v>
      </c>
      <c r="N35" s="1299">
        <f t="shared" si="11"/>
        <v>52.261510000000001</v>
      </c>
      <c r="O35" s="1299">
        <f t="shared" si="12"/>
        <v>116.056679</v>
      </c>
      <c r="P35" s="515">
        <f t="shared" si="13"/>
        <v>47.985600000000005</v>
      </c>
      <c r="Q35" s="516">
        <f t="shared" si="14"/>
        <v>96.281334999999999</v>
      </c>
      <c r="AC35" s="60"/>
      <c r="AD35" s="60"/>
      <c r="AE35" s="60"/>
      <c r="AF35" s="60"/>
      <c r="AG35" s="60"/>
      <c r="AH35" s="60"/>
    </row>
    <row r="36" spans="1:34">
      <c r="A36" s="752">
        <v>39052</v>
      </c>
      <c r="B36" s="1325">
        <v>35.755910999999998</v>
      </c>
      <c r="C36" s="1325">
        <v>314.80943589999998</v>
      </c>
      <c r="D36" s="1325">
        <v>21.977899000000001</v>
      </c>
      <c r="E36" s="1325">
        <v>47.56537548</v>
      </c>
      <c r="F36" s="1325">
        <v>31.521032999999999</v>
      </c>
      <c r="G36" s="513">
        <v>147.27212675999999</v>
      </c>
      <c r="H36" s="49">
        <f t="shared" si="0"/>
        <v>2006</v>
      </c>
      <c r="I36" s="49" t="str">
        <f t="shared" si="1"/>
        <v>4</v>
      </c>
      <c r="K36" s="1729">
        <f t="shared" si="8"/>
        <v>2014</v>
      </c>
      <c r="L36" s="517">
        <f t="shared" si="9"/>
        <v>197.08071799999999</v>
      </c>
      <c r="M36" s="1388">
        <f t="shared" si="10"/>
        <v>1401.6056509999999</v>
      </c>
      <c r="N36" s="1390">
        <f t="shared" si="11"/>
        <v>80.888499999999993</v>
      </c>
      <c r="O36" s="1390">
        <f t="shared" si="12"/>
        <v>184.89006699999999</v>
      </c>
      <c r="P36" s="517">
        <f t="shared" si="13"/>
        <v>72.763530000000003</v>
      </c>
      <c r="Q36" s="518">
        <f t="shared" si="14"/>
        <v>173.001879</v>
      </c>
      <c r="AC36" s="60"/>
      <c r="AD36" s="60"/>
      <c r="AE36" s="60"/>
      <c r="AF36" s="60"/>
      <c r="AG36" s="60"/>
      <c r="AH36" s="60"/>
    </row>
    <row r="37" spans="1:34">
      <c r="A37" s="752">
        <v>39142</v>
      </c>
      <c r="B37" s="1369">
        <v>20.220680000000002</v>
      </c>
      <c r="C37" s="1369">
        <v>168.79466108</v>
      </c>
      <c r="D37" s="1369">
        <v>15.126576999999999</v>
      </c>
      <c r="E37" s="1369">
        <v>36.63672519</v>
      </c>
      <c r="F37" s="1369">
        <v>28.006328</v>
      </c>
      <c r="G37" s="514">
        <v>125.448381</v>
      </c>
      <c r="H37" s="49">
        <f t="shared" si="0"/>
        <v>2007</v>
      </c>
      <c r="I37" s="49" t="str">
        <f t="shared" si="1"/>
        <v>1</v>
      </c>
      <c r="K37" s="1729">
        <f t="shared" si="8"/>
        <v>2015</v>
      </c>
      <c r="L37" s="515">
        <f t="shared" si="9"/>
        <v>189.41435100000001</v>
      </c>
      <c r="M37" s="1389">
        <f t="shared" si="10"/>
        <v>1244.427187</v>
      </c>
      <c r="N37" s="1299">
        <f t="shared" si="11"/>
        <v>20.259029999999999</v>
      </c>
      <c r="O37" s="1299">
        <f t="shared" si="12"/>
        <v>48.685219000000004</v>
      </c>
      <c r="P37" s="515">
        <f t="shared" si="13"/>
        <v>77.178319999999999</v>
      </c>
      <c r="Q37" s="516">
        <f t="shared" si="14"/>
        <v>185.219379</v>
      </c>
      <c r="AC37" s="60"/>
      <c r="AD37" s="60"/>
      <c r="AE37" s="60"/>
      <c r="AF37" s="60"/>
      <c r="AG37" s="60"/>
      <c r="AH37" s="60"/>
    </row>
    <row r="38" spans="1:34">
      <c r="A38" s="752">
        <v>39234</v>
      </c>
      <c r="B38" s="1325">
        <v>28.048957999999999</v>
      </c>
      <c r="C38" s="1325">
        <v>237.11961246999999</v>
      </c>
      <c r="D38" s="1325">
        <v>3.3026089999999999</v>
      </c>
      <c r="E38" s="1325">
        <v>9.9276881899999996</v>
      </c>
      <c r="F38" s="1325">
        <v>32.931809000000001</v>
      </c>
      <c r="G38" s="513">
        <v>111.75150897</v>
      </c>
      <c r="H38" s="49">
        <f t="shared" si="0"/>
        <v>2007</v>
      </c>
      <c r="I38" s="49" t="str">
        <f t="shared" si="1"/>
        <v>2</v>
      </c>
      <c r="K38" s="1729">
        <f t="shared" si="8"/>
        <v>2016</v>
      </c>
      <c r="L38" s="517">
        <f t="shared" si="9"/>
        <v>181.53603300000003</v>
      </c>
      <c r="M38" s="1388">
        <f t="shared" si="10"/>
        <v>1188.4528879999998</v>
      </c>
      <c r="N38" s="1390">
        <f t="shared" si="11"/>
        <v>4.76091</v>
      </c>
      <c r="O38" s="1390">
        <f t="shared" si="12"/>
        <v>12.78299</v>
      </c>
      <c r="P38" s="517">
        <f t="shared" si="13"/>
        <v>94.963539999999995</v>
      </c>
      <c r="Q38" s="518">
        <f t="shared" si="14"/>
        <v>204.52397599999998</v>
      </c>
      <c r="AC38" s="60"/>
      <c r="AD38" s="60"/>
      <c r="AE38" s="60"/>
      <c r="AF38" s="60"/>
      <c r="AG38" s="60"/>
      <c r="AH38" s="60"/>
    </row>
    <row r="39" spans="1:34">
      <c r="A39" s="752">
        <v>39326</v>
      </c>
      <c r="B39" s="1369">
        <v>33.598118999999997</v>
      </c>
      <c r="C39" s="1369">
        <v>283.00854938999998</v>
      </c>
      <c r="D39" s="1369">
        <v>4.5670000000000002</v>
      </c>
      <c r="E39" s="1369">
        <v>15.013902440000001</v>
      </c>
      <c r="F39" s="1369">
        <v>50.316916999999997</v>
      </c>
      <c r="G39" s="514">
        <v>108.15036569</v>
      </c>
      <c r="H39" s="49">
        <f t="shared" si="0"/>
        <v>2007</v>
      </c>
      <c r="I39" s="49" t="str">
        <f t="shared" si="1"/>
        <v>3</v>
      </c>
      <c r="K39" s="1729">
        <f t="shared" si="8"/>
        <v>2017</v>
      </c>
      <c r="L39" s="515">
        <f t="shared" si="9"/>
        <v>160.27640700000001</v>
      </c>
      <c r="M39" s="1389">
        <f t="shared" si="10"/>
        <v>1244.4373860000001</v>
      </c>
      <c r="N39" s="1299">
        <f t="shared" si="11"/>
        <v>5.9010800000000003</v>
      </c>
      <c r="O39" s="1299">
        <f t="shared" si="12"/>
        <v>18.548734</v>
      </c>
      <c r="P39" s="515">
        <f t="shared" si="13"/>
        <v>71.788228000000004</v>
      </c>
      <c r="Q39" s="516">
        <f t="shared" si="14"/>
        <v>292.12296499999997</v>
      </c>
      <c r="AC39" s="60"/>
      <c r="AD39" s="60"/>
      <c r="AE39" s="60"/>
      <c r="AF39" s="60"/>
      <c r="AG39" s="60"/>
      <c r="AH39" s="60"/>
    </row>
    <row r="40" spans="1:34">
      <c r="A40" s="752">
        <v>39417</v>
      </c>
      <c r="B40" s="1325">
        <v>23.537229</v>
      </c>
      <c r="C40" s="1325">
        <v>196.65996236000001</v>
      </c>
      <c r="D40" s="1325">
        <v>14.095338999999999</v>
      </c>
      <c r="E40" s="1325">
        <v>35.203163519999997</v>
      </c>
      <c r="F40" s="1325">
        <v>62.082746</v>
      </c>
      <c r="G40" s="513">
        <v>137.53442192</v>
      </c>
      <c r="H40" s="49">
        <f t="shared" si="0"/>
        <v>2007</v>
      </c>
      <c r="I40" s="49" t="str">
        <f t="shared" si="1"/>
        <v>4</v>
      </c>
      <c r="K40" s="1729">
        <f t="shared" si="8"/>
        <v>2018</v>
      </c>
      <c r="L40" s="517">
        <f t="shared" si="9"/>
        <v>165.92057600000001</v>
      </c>
      <c r="M40" s="1388">
        <f t="shared" si="10"/>
        <v>1349.6936430000001</v>
      </c>
      <c r="N40" s="1390">
        <f t="shared" si="11"/>
        <v>6.0910000000000011</v>
      </c>
      <c r="O40" s="1390">
        <f t="shared" si="12"/>
        <v>17.155192</v>
      </c>
      <c r="P40" s="517">
        <f t="shared" si="13"/>
        <v>68.823993000000002</v>
      </c>
      <c r="Q40" s="518">
        <f t="shared" si="14"/>
        <v>256.93268499999999</v>
      </c>
      <c r="AC40" s="60"/>
      <c r="AD40" s="60"/>
      <c r="AE40" s="60"/>
      <c r="AF40" s="60"/>
      <c r="AG40" s="60"/>
      <c r="AH40" s="60"/>
    </row>
    <row r="41" spans="1:34">
      <c r="A41" s="752">
        <v>39508</v>
      </c>
      <c r="B41" s="1369">
        <v>33.965018999999998</v>
      </c>
      <c r="C41" s="1369">
        <v>281.65695162999998</v>
      </c>
      <c r="D41" s="1369">
        <v>3.9412419999999999</v>
      </c>
      <c r="E41" s="1369">
        <v>8.3185494999999996</v>
      </c>
      <c r="F41" s="1369">
        <v>34.518994999999997</v>
      </c>
      <c r="G41" s="514">
        <v>64.190742040000003</v>
      </c>
      <c r="H41" s="49">
        <f t="shared" si="0"/>
        <v>2008</v>
      </c>
      <c r="I41" s="49" t="str">
        <f t="shared" si="1"/>
        <v>1</v>
      </c>
      <c r="K41" s="1729">
        <f t="shared" si="8"/>
        <v>2019</v>
      </c>
      <c r="L41" s="515">
        <f t="shared" si="9"/>
        <v>172.11437000000001</v>
      </c>
      <c r="M41" s="1389">
        <f t="shared" si="10"/>
        <v>1415.0997299999999</v>
      </c>
      <c r="N41" s="1299">
        <f t="shared" si="11"/>
        <v>2.9168000000000003</v>
      </c>
      <c r="O41" s="1299">
        <f t="shared" si="12"/>
        <v>8.3506509999999992</v>
      </c>
      <c r="P41" s="515">
        <f t="shared" si="13"/>
        <v>77.819270000000003</v>
      </c>
      <c r="Q41" s="516">
        <f t="shared" si="14"/>
        <v>262.55607299999997</v>
      </c>
      <c r="AC41" s="60"/>
      <c r="AD41" s="60"/>
      <c r="AE41" s="60"/>
      <c r="AF41" s="60"/>
      <c r="AG41" s="60"/>
      <c r="AH41" s="60"/>
    </row>
    <row r="42" spans="1:34">
      <c r="A42" s="752">
        <v>39600</v>
      </c>
      <c r="B42" s="1325">
        <v>32.261223000000001</v>
      </c>
      <c r="C42" s="1325">
        <v>269.80962576000002</v>
      </c>
      <c r="D42" s="1325">
        <v>3.247484</v>
      </c>
      <c r="E42" s="1325">
        <v>4.7775501199999999</v>
      </c>
      <c r="F42" s="1325">
        <v>69.099602000000004</v>
      </c>
      <c r="G42" s="513">
        <v>106.05687184</v>
      </c>
      <c r="H42" s="49">
        <f t="shared" si="0"/>
        <v>2008</v>
      </c>
      <c r="I42" s="49" t="str">
        <f t="shared" si="1"/>
        <v>2</v>
      </c>
      <c r="K42" s="1729">
        <f t="shared" si="8"/>
        <v>2020</v>
      </c>
      <c r="L42" s="517">
        <f t="shared" si="9"/>
        <v>147.235827</v>
      </c>
      <c r="M42" s="1388">
        <f t="shared" si="10"/>
        <v>1294.5384939999999</v>
      </c>
      <c r="N42" s="1390">
        <f t="shared" si="11"/>
        <v>1.3745150000000002</v>
      </c>
      <c r="O42" s="1390">
        <f t="shared" si="12"/>
        <v>3.3216389999999998</v>
      </c>
      <c r="P42" s="517">
        <f t="shared" si="13"/>
        <v>62.050920000000005</v>
      </c>
      <c r="Q42" s="518">
        <f t="shared" si="14"/>
        <v>204.01091199999999</v>
      </c>
      <c r="AC42" s="60"/>
      <c r="AD42" s="60"/>
      <c r="AE42" s="60"/>
      <c r="AF42" s="60"/>
      <c r="AG42" s="60"/>
      <c r="AH42" s="60"/>
    </row>
    <row r="43" spans="1:34">
      <c r="A43" s="752">
        <v>39692</v>
      </c>
      <c r="B43" s="1369">
        <v>32.756293999999997</v>
      </c>
      <c r="C43" s="1369">
        <v>188.16778449</v>
      </c>
      <c r="D43" s="1369">
        <v>6.5189919999999999</v>
      </c>
      <c r="E43" s="1369">
        <v>6.9632501600000003</v>
      </c>
      <c r="F43" s="1369">
        <v>50.435758999999997</v>
      </c>
      <c r="G43" s="514">
        <v>62.002122460000002</v>
      </c>
      <c r="H43" s="49">
        <f t="shared" si="0"/>
        <v>2008</v>
      </c>
      <c r="I43" s="49" t="str">
        <f t="shared" si="1"/>
        <v>3</v>
      </c>
      <c r="K43" s="1729">
        <f t="shared" si="8"/>
        <v>2021</v>
      </c>
      <c r="L43" s="515">
        <f t="shared" si="9"/>
        <v>148.743044</v>
      </c>
      <c r="M43" s="1389">
        <f t="shared" si="10"/>
        <v>1827.9389209999999</v>
      </c>
      <c r="N43" s="1299">
        <f t="shared" si="11"/>
        <v>1.2656350000000001</v>
      </c>
      <c r="O43" s="1299">
        <f t="shared" si="12"/>
        <v>3.9687389999999998</v>
      </c>
      <c r="P43" s="515">
        <f t="shared" si="13"/>
        <v>69.051431000000008</v>
      </c>
      <c r="Q43" s="516">
        <f t="shared" si="14"/>
        <v>285.99623299999996</v>
      </c>
      <c r="AC43" s="60"/>
      <c r="AD43" s="60"/>
      <c r="AE43" s="60"/>
      <c r="AF43" s="60"/>
      <c r="AG43" s="60"/>
      <c r="AH43" s="60"/>
    </row>
    <row r="44" spans="1:34">
      <c r="A44" s="752">
        <v>39783</v>
      </c>
      <c r="B44" s="1325">
        <v>20.073412000000001</v>
      </c>
      <c r="C44" s="1325">
        <v>92.880791799999997</v>
      </c>
      <c r="D44" s="1325">
        <v>4.8311099999999998</v>
      </c>
      <c r="E44" s="1325">
        <v>8.7560701699999992</v>
      </c>
      <c r="F44" s="1325">
        <v>35.757596999999997</v>
      </c>
      <c r="G44" s="513">
        <v>61.242743869999998</v>
      </c>
      <c r="H44" s="49">
        <f t="shared" si="0"/>
        <v>2008</v>
      </c>
      <c r="I44" s="49" t="str">
        <f t="shared" si="1"/>
        <v>4</v>
      </c>
      <c r="K44" s="1729">
        <f>IF($L$22="Calendar Year", K45-1, LEFT(K45,4)-1 &amp; "-" &amp; MID(K45,3,2))</f>
        <v>2022</v>
      </c>
      <c r="L44" s="517">
        <f t="shared" si="9"/>
        <v>143.64904300000001</v>
      </c>
      <c r="M44" s="1388">
        <f t="shared" si="10"/>
        <v>1698.756885</v>
      </c>
      <c r="N44" s="1390">
        <f t="shared" si="11"/>
        <v>0</v>
      </c>
      <c r="O44" s="1390">
        <f t="shared" si="12"/>
        <v>0</v>
      </c>
      <c r="P44" s="517">
        <f t="shared" si="13"/>
        <v>70.478444999999994</v>
      </c>
      <c r="Q44" s="518">
        <f t="shared" si="14"/>
        <v>336.06413600000002</v>
      </c>
      <c r="AC44" s="60"/>
      <c r="AD44" s="60"/>
      <c r="AE44" s="60"/>
      <c r="AF44" s="60"/>
      <c r="AG44" s="60"/>
      <c r="AH44" s="60"/>
    </row>
    <row r="45" spans="1:34" ht="15.75" thickBot="1">
      <c r="A45" s="752">
        <v>39873</v>
      </c>
      <c r="B45" s="1369">
        <v>40.978549000000001</v>
      </c>
      <c r="C45" s="1369">
        <v>136.36955429</v>
      </c>
      <c r="D45" s="1369">
        <v>7.1936819999999999</v>
      </c>
      <c r="E45" s="1369">
        <v>12.657921869999999</v>
      </c>
      <c r="F45" s="1369">
        <v>47.770938999999998</v>
      </c>
      <c r="G45" s="514">
        <v>92.671081389999998</v>
      </c>
      <c r="H45" s="49">
        <f t="shared" si="0"/>
        <v>2009</v>
      </c>
      <c r="I45" s="49" t="str">
        <f t="shared" si="1"/>
        <v>1</v>
      </c>
      <c r="K45" s="1730">
        <f>IF($L$22="Calendar Year",
    YEAR(LARGE($A:$A, 4)),
    IF(MONTH(LARGE($A:$A, 4))&gt;6,
        YEAR(LARGE($A:$A, 4)) &amp; "-" &amp; RIGHT(YEAR(LARGE($A:$A, 4))+1),
        YEAR(LARGE($A:$A, 4))-1 &amp; "-" &amp; RIGHT(YEAR(LARGE($A:$A, 4)), 2)
    ))</f>
        <v>2023</v>
      </c>
      <c r="L45" s="1725">
        <f t="shared" si="9"/>
        <v>103.640789</v>
      </c>
      <c r="M45" s="1726">
        <f t="shared" si="10"/>
        <v>1206.2784259999999</v>
      </c>
      <c r="N45" s="1727">
        <f t="shared" si="11"/>
        <v>37.955645000000004</v>
      </c>
      <c r="O45" s="1727">
        <f t="shared" si="12"/>
        <v>122.95683199999999</v>
      </c>
      <c r="P45" s="1725">
        <f t="shared" si="13"/>
        <v>50.522047000000001</v>
      </c>
      <c r="Q45" s="1728">
        <f t="shared" si="14"/>
        <v>192.21463900000001</v>
      </c>
      <c r="AC45" s="60"/>
      <c r="AD45" s="60"/>
      <c r="AE45" s="60"/>
      <c r="AF45" s="60"/>
      <c r="AG45" s="60"/>
      <c r="AH45" s="60"/>
    </row>
    <row r="46" spans="1:34">
      <c r="A46" s="752">
        <v>39965</v>
      </c>
      <c r="B46" s="1325">
        <v>34.424179000000002</v>
      </c>
      <c r="C46" s="1325">
        <v>239.30018798</v>
      </c>
      <c r="D46" s="1325">
        <v>6.6593210000000003</v>
      </c>
      <c r="E46" s="1325">
        <v>13.73808545</v>
      </c>
      <c r="F46" s="1325">
        <v>8.6459510000000002</v>
      </c>
      <c r="G46" s="513">
        <v>16.687580570000002</v>
      </c>
      <c r="H46" s="49">
        <f t="shared" si="0"/>
        <v>2009</v>
      </c>
      <c r="I46" s="49" t="str">
        <f t="shared" si="1"/>
        <v>2</v>
      </c>
      <c r="K46" s="1724"/>
      <c r="L46" s="547"/>
      <c r="M46" s="547"/>
      <c r="N46" s="547"/>
      <c r="O46" s="547"/>
      <c r="P46" s="547"/>
      <c r="Q46" s="547"/>
      <c r="AC46" s="60"/>
      <c r="AD46" s="60"/>
      <c r="AE46" s="60"/>
      <c r="AF46" s="60"/>
      <c r="AG46" s="60"/>
      <c r="AH46" s="60"/>
    </row>
    <row r="47" spans="1:34">
      <c r="A47" s="752">
        <v>40057</v>
      </c>
      <c r="B47" s="1369">
        <v>29.808917999999998</v>
      </c>
      <c r="C47" s="1369">
        <v>227.63924206999999</v>
      </c>
      <c r="D47" s="1369">
        <v>0.28944799999999998</v>
      </c>
      <c r="E47" s="1369">
        <v>0.78659206000000004</v>
      </c>
      <c r="F47" s="1369">
        <v>16.88036</v>
      </c>
      <c r="G47" s="514">
        <v>42.378443079999997</v>
      </c>
      <c r="H47" s="49">
        <f t="shared" si="0"/>
        <v>2009</v>
      </c>
      <c r="I47" s="49" t="str">
        <f t="shared" si="1"/>
        <v>3</v>
      </c>
      <c r="K47" s="1724"/>
      <c r="L47" s="547"/>
      <c r="M47" s="547"/>
      <c r="N47" s="547"/>
      <c r="O47" s="547"/>
      <c r="P47" s="547"/>
      <c r="Q47" s="547"/>
      <c r="AC47" s="60"/>
      <c r="AD47" s="60"/>
      <c r="AE47" s="60"/>
      <c r="AF47" s="60"/>
      <c r="AG47" s="60"/>
      <c r="AH47" s="60"/>
    </row>
    <row r="48" spans="1:34">
      <c r="A48" s="752">
        <v>40148</v>
      </c>
      <c r="B48" s="1325">
        <v>46.284787999999999</v>
      </c>
      <c r="C48" s="1325">
        <v>329.81430060000002</v>
      </c>
      <c r="D48" s="1325">
        <v>8.6129820000000006</v>
      </c>
      <c r="E48" s="1325">
        <v>21.692189840000001</v>
      </c>
      <c r="F48" s="1325">
        <v>26.514446</v>
      </c>
      <c r="G48" s="513">
        <v>64.187405799999993</v>
      </c>
      <c r="H48" s="49">
        <f t="shared" si="0"/>
        <v>2009</v>
      </c>
      <c r="I48" s="49" t="str">
        <f t="shared" si="1"/>
        <v>4</v>
      </c>
      <c r="K48" s="1724"/>
      <c r="L48" s="547"/>
      <c r="M48" s="547"/>
      <c r="N48" s="547"/>
      <c r="O48" s="547"/>
      <c r="P48" s="547"/>
      <c r="Q48" s="547"/>
      <c r="AC48" s="60"/>
      <c r="AD48" s="60"/>
      <c r="AE48" s="60"/>
      <c r="AF48" s="60"/>
      <c r="AG48" s="60"/>
      <c r="AH48" s="60"/>
    </row>
    <row r="49" spans="1:34">
      <c r="A49" s="752">
        <v>40238</v>
      </c>
      <c r="B49" s="1369">
        <v>39.983745999999996</v>
      </c>
      <c r="C49" s="1369">
        <v>322.31750172</v>
      </c>
      <c r="D49" s="1369">
        <v>7.012308</v>
      </c>
      <c r="E49" s="1369">
        <v>17.37599844</v>
      </c>
      <c r="F49" s="1369">
        <v>8.6564560000000004</v>
      </c>
      <c r="G49" s="514">
        <v>22.647604449999999</v>
      </c>
      <c r="H49" s="49">
        <f t="shared" si="0"/>
        <v>2010</v>
      </c>
      <c r="I49" s="49" t="str">
        <f t="shared" si="1"/>
        <v>1</v>
      </c>
      <c r="K49" s="453" t="str">
        <f>IFERROR(IF(YEAR(MAX('Commodity Prices'!$C$9:$C5005))=VALUE(RIGHT(K48,4)),"",IF($L$22="Calendar Year",K48+1,CONCATENATE(LEFT(K48,4)+1,"-",RIGHT(K48,4)+1))),"")</f>
        <v/>
      </c>
      <c r="L49" s="504" t="str">
        <f t="shared" si="9"/>
        <v/>
      </c>
      <c r="M49" s="452" t="str">
        <f t="shared" si="10"/>
        <v/>
      </c>
      <c r="N49" s="504" t="str">
        <f t="shared" si="11"/>
        <v/>
      </c>
      <c r="O49" s="452" t="str">
        <f t="shared" si="12"/>
        <v/>
      </c>
      <c r="P49" s="504" t="str">
        <f t="shared" si="13"/>
        <v/>
      </c>
      <c r="Q49" s="452" t="str">
        <f t="shared" si="14"/>
        <v/>
      </c>
      <c r="AC49" s="60"/>
      <c r="AD49" s="60"/>
      <c r="AE49" s="60"/>
      <c r="AF49" s="60"/>
      <c r="AG49" s="60"/>
      <c r="AH49" s="60"/>
    </row>
    <row r="50" spans="1:34">
      <c r="A50" s="752">
        <v>40330</v>
      </c>
      <c r="B50" s="1325">
        <v>35.885897</v>
      </c>
      <c r="C50" s="1325">
        <v>292.70540636999999</v>
      </c>
      <c r="D50" s="1325">
        <v>10.096719999999999</v>
      </c>
      <c r="E50" s="1325">
        <v>21.700185579999999</v>
      </c>
      <c r="F50" s="1325">
        <v>35.507662000000003</v>
      </c>
      <c r="G50" s="513">
        <v>80.905283100000005</v>
      </c>
      <c r="H50" s="49">
        <f t="shared" si="0"/>
        <v>2010</v>
      </c>
      <c r="I50" s="49" t="str">
        <f t="shared" si="1"/>
        <v>2</v>
      </c>
      <c r="K50" s="453" t="str">
        <f>IFERROR(IF(YEAR(MAX('Commodity Prices'!$C$9:$C5006))=VALUE(RIGHT(K49,4)),"",IF($L$22="Calendar Year",K49+1,CONCATENATE(LEFT(K49,4)+1,"-",RIGHT(K49,4)+1))),"")</f>
        <v/>
      </c>
      <c r="L50" s="504" t="str">
        <f t="shared" si="9"/>
        <v/>
      </c>
      <c r="M50" s="452" t="str">
        <f t="shared" si="10"/>
        <v/>
      </c>
      <c r="N50" s="504" t="str">
        <f t="shared" si="11"/>
        <v/>
      </c>
      <c r="O50" s="452" t="str">
        <f t="shared" si="12"/>
        <v/>
      </c>
      <c r="P50" s="504" t="str">
        <f t="shared" si="13"/>
        <v/>
      </c>
      <c r="Q50" s="452" t="str">
        <f t="shared" si="14"/>
        <v/>
      </c>
      <c r="AC50" s="60"/>
      <c r="AD50" s="60"/>
      <c r="AE50" s="60"/>
      <c r="AF50" s="60"/>
      <c r="AG50" s="60"/>
      <c r="AH50" s="60"/>
    </row>
    <row r="51" spans="1:34">
      <c r="A51" s="752">
        <v>40422</v>
      </c>
      <c r="B51" s="1369">
        <v>36.742528999999998</v>
      </c>
      <c r="C51" s="1369">
        <v>292.37399484999997</v>
      </c>
      <c r="D51" s="1369">
        <v>18.800816999999999</v>
      </c>
      <c r="E51" s="1369">
        <v>45.276855220000002</v>
      </c>
      <c r="F51" s="1369">
        <v>17.518726999999998</v>
      </c>
      <c r="G51" s="514">
        <v>42.093774359999998</v>
      </c>
      <c r="H51" s="49">
        <f t="shared" si="0"/>
        <v>2010</v>
      </c>
      <c r="I51" s="49" t="str">
        <f t="shared" si="1"/>
        <v>3</v>
      </c>
      <c r="K51" s="453" t="str">
        <f>IFERROR(IF(YEAR(MAX('Commodity Prices'!$C$9:$C5007))=VALUE(RIGHT(K50,4)),"",IF($L$22="Calendar Year",K50+1,CONCATENATE(LEFT(K50,4)+1,"-",RIGHT(K50,4)+1))),"")</f>
        <v/>
      </c>
      <c r="L51" s="504" t="str">
        <f t="shared" si="9"/>
        <v/>
      </c>
      <c r="M51" s="452" t="str">
        <f t="shared" si="10"/>
        <v/>
      </c>
      <c r="N51" s="504" t="str">
        <f t="shared" si="11"/>
        <v/>
      </c>
      <c r="O51" s="452" t="str">
        <f t="shared" si="12"/>
        <v/>
      </c>
      <c r="P51" s="504" t="str">
        <f t="shared" si="13"/>
        <v/>
      </c>
      <c r="Q51" s="452" t="str">
        <f t="shared" si="14"/>
        <v/>
      </c>
      <c r="AC51" s="60"/>
      <c r="AD51" s="60"/>
      <c r="AE51" s="60"/>
      <c r="AF51" s="60"/>
      <c r="AG51" s="60"/>
      <c r="AH51" s="60"/>
    </row>
    <row r="52" spans="1:34">
      <c r="A52" s="752">
        <v>40513</v>
      </c>
      <c r="B52" s="1325">
        <v>43.038508999999998</v>
      </c>
      <c r="C52" s="1325">
        <v>394.75118314000002</v>
      </c>
      <c r="D52" s="1325">
        <v>17.013083999999999</v>
      </c>
      <c r="E52" s="1325">
        <v>42.291723079999997</v>
      </c>
      <c r="F52" s="1325">
        <v>19.832374999999999</v>
      </c>
      <c r="G52" s="513">
        <v>46.23747281</v>
      </c>
      <c r="H52" s="49">
        <f t="shared" si="0"/>
        <v>2010</v>
      </c>
      <c r="I52" s="49" t="str">
        <f t="shared" si="1"/>
        <v>4</v>
      </c>
      <c r="AC52" s="60"/>
      <c r="AD52" s="60"/>
      <c r="AE52" s="60"/>
      <c r="AF52" s="60"/>
      <c r="AG52" s="60"/>
      <c r="AH52" s="60"/>
    </row>
    <row r="53" spans="1:34">
      <c r="A53" s="752">
        <v>40603</v>
      </c>
      <c r="B53" s="1369">
        <v>36.091535</v>
      </c>
      <c r="C53" s="1369">
        <v>356.02338121000003</v>
      </c>
      <c r="D53" s="1369">
        <v>2.5361099999999999</v>
      </c>
      <c r="E53" s="1369">
        <v>6.5025722000000004</v>
      </c>
      <c r="F53" s="1369">
        <v>15.705038999999999</v>
      </c>
      <c r="G53" s="514">
        <v>37.563437639999997</v>
      </c>
      <c r="H53" s="49">
        <f t="shared" si="0"/>
        <v>2011</v>
      </c>
      <c r="I53" s="49" t="str">
        <f t="shared" si="1"/>
        <v>1</v>
      </c>
      <c r="AC53" s="60"/>
      <c r="AD53" s="60"/>
      <c r="AE53" s="60"/>
      <c r="AF53" s="60"/>
      <c r="AG53" s="60"/>
      <c r="AH53" s="60"/>
    </row>
    <row r="54" spans="1:34">
      <c r="A54" s="752">
        <v>40695</v>
      </c>
      <c r="B54" s="1325">
        <v>34.157747999999998</v>
      </c>
      <c r="C54" s="1325">
        <v>289.20759103</v>
      </c>
      <c r="D54" s="1325">
        <v>2.4136899999999999</v>
      </c>
      <c r="E54" s="1325">
        <v>5.9973186299999997</v>
      </c>
      <c r="F54" s="1325">
        <v>17.480404</v>
      </c>
      <c r="G54" s="513">
        <v>36.213579729999999</v>
      </c>
      <c r="H54" s="49">
        <f t="shared" si="0"/>
        <v>2011</v>
      </c>
      <c r="I54" s="49" t="str">
        <f t="shared" si="1"/>
        <v>2</v>
      </c>
      <c r="AC54" s="60"/>
      <c r="AD54" s="60"/>
      <c r="AE54" s="60"/>
      <c r="AF54" s="60"/>
      <c r="AG54" s="60"/>
      <c r="AH54" s="60"/>
    </row>
    <row r="55" spans="1:34">
      <c r="A55" s="752">
        <v>40787</v>
      </c>
      <c r="B55" s="1369">
        <v>39.834222885000003</v>
      </c>
      <c r="C55" s="1369">
        <v>306.99842307</v>
      </c>
      <c r="D55" s="1369">
        <v>0</v>
      </c>
      <c r="E55" s="1369">
        <v>0</v>
      </c>
      <c r="F55" s="1369">
        <v>15.565058000000001</v>
      </c>
      <c r="G55" s="514">
        <v>30.27872494</v>
      </c>
      <c r="H55" s="49">
        <f t="shared" si="0"/>
        <v>2011</v>
      </c>
      <c r="I55" s="49" t="str">
        <f t="shared" si="1"/>
        <v>3</v>
      </c>
      <c r="AC55" s="60"/>
      <c r="AD55" s="60"/>
      <c r="AE55" s="60"/>
      <c r="AF55" s="60"/>
      <c r="AG55" s="60"/>
      <c r="AH55" s="60"/>
    </row>
    <row r="56" spans="1:34">
      <c r="A56" s="752">
        <v>40878</v>
      </c>
      <c r="B56" s="1325">
        <v>34.874541946999997</v>
      </c>
      <c r="C56" s="1325">
        <v>242.99421294999999</v>
      </c>
      <c r="D56" s="1325">
        <v>3.393122</v>
      </c>
      <c r="E56" s="1325">
        <v>7.0765762900000002</v>
      </c>
      <c r="F56" s="1325">
        <v>25.650236</v>
      </c>
      <c r="G56" s="513">
        <v>48.985388149999999</v>
      </c>
      <c r="H56" s="49">
        <f t="shared" si="0"/>
        <v>2011</v>
      </c>
      <c r="I56" s="49" t="str">
        <f t="shared" si="1"/>
        <v>4</v>
      </c>
      <c r="AC56" s="60"/>
      <c r="AD56" s="60"/>
      <c r="AE56" s="60"/>
      <c r="AF56" s="60"/>
      <c r="AG56" s="60"/>
      <c r="AH56" s="60"/>
    </row>
    <row r="57" spans="1:34">
      <c r="A57" s="752">
        <v>40969</v>
      </c>
      <c r="B57" s="1369">
        <v>41.897940028999997</v>
      </c>
      <c r="C57" s="1369">
        <v>305.30757376000003</v>
      </c>
      <c r="D57" s="1369">
        <v>1.789914</v>
      </c>
      <c r="E57" s="1369">
        <v>3.49851972</v>
      </c>
      <c r="F57" s="1369">
        <v>15.587477</v>
      </c>
      <c r="G57" s="514">
        <v>29.91564674</v>
      </c>
      <c r="H57" s="49">
        <f t="shared" si="0"/>
        <v>2012</v>
      </c>
      <c r="I57" s="49" t="str">
        <f t="shared" si="1"/>
        <v>1</v>
      </c>
      <c r="AC57" s="60"/>
      <c r="AD57" s="60"/>
      <c r="AE57" s="60"/>
      <c r="AF57" s="60"/>
      <c r="AG57" s="60"/>
      <c r="AH57" s="60"/>
    </row>
    <row r="58" spans="1:34">
      <c r="A58" s="752">
        <v>41061</v>
      </c>
      <c r="B58" s="1325">
        <v>42.564607090999999</v>
      </c>
      <c r="C58" s="1325">
        <v>325.47948958000001</v>
      </c>
      <c r="D58" s="1325">
        <v>1.7386699999999999</v>
      </c>
      <c r="E58" s="1325">
        <v>3.26473462</v>
      </c>
      <c r="F58" s="1325">
        <v>6.7004299999999999</v>
      </c>
      <c r="G58" s="513">
        <v>12.804450170000001</v>
      </c>
      <c r="H58" s="49">
        <f t="shared" si="0"/>
        <v>2012</v>
      </c>
      <c r="I58" s="49" t="str">
        <f t="shared" si="1"/>
        <v>2</v>
      </c>
      <c r="M58" s="228"/>
      <c r="N58" s="228"/>
      <c r="AC58" s="60"/>
      <c r="AD58" s="60"/>
      <c r="AE58" s="60"/>
      <c r="AF58" s="60"/>
      <c r="AG58" s="60"/>
      <c r="AH58" s="60"/>
    </row>
    <row r="59" spans="1:34">
      <c r="A59" s="752">
        <v>41153</v>
      </c>
      <c r="B59" s="1369">
        <v>43.906038315000004</v>
      </c>
      <c r="C59" s="1369">
        <v>302.55236682999998</v>
      </c>
      <c r="D59" s="1369">
        <v>1.63544</v>
      </c>
      <c r="E59" s="1369">
        <v>3.39103544</v>
      </c>
      <c r="F59" s="1369">
        <v>23.52028</v>
      </c>
      <c r="G59" s="514">
        <v>43.076269709999998</v>
      </c>
      <c r="H59" s="49">
        <f t="shared" si="0"/>
        <v>2012</v>
      </c>
      <c r="I59" s="49" t="str">
        <f t="shared" si="1"/>
        <v>3</v>
      </c>
      <c r="AC59" s="60"/>
      <c r="AD59" s="60"/>
      <c r="AE59" s="60"/>
      <c r="AF59" s="60"/>
      <c r="AG59" s="60"/>
      <c r="AH59" s="60"/>
    </row>
    <row r="60" spans="1:34">
      <c r="A60" s="752">
        <v>41244</v>
      </c>
      <c r="B60" s="1325">
        <v>57.381434501999998</v>
      </c>
      <c r="C60" s="1325">
        <v>437.11067219</v>
      </c>
      <c r="D60" s="1325">
        <v>2.9712700000000001</v>
      </c>
      <c r="E60" s="1325">
        <v>6.3801334299999999</v>
      </c>
      <c r="F60" s="1325">
        <v>11.304489999999999</v>
      </c>
      <c r="G60" s="513">
        <v>21.506106880000001</v>
      </c>
      <c r="H60" s="49">
        <f t="shared" si="0"/>
        <v>2012</v>
      </c>
      <c r="I60" s="49" t="str">
        <f t="shared" si="1"/>
        <v>4</v>
      </c>
      <c r="AC60" s="60"/>
      <c r="AD60" s="60"/>
      <c r="AE60" s="60"/>
      <c r="AF60" s="60"/>
      <c r="AG60" s="60"/>
      <c r="AH60" s="60"/>
    </row>
    <row r="61" spans="1:34">
      <c r="A61" s="752">
        <v>41334</v>
      </c>
      <c r="B61" s="1369">
        <v>63.868406999999991</v>
      </c>
      <c r="C61" s="1369">
        <v>384.64021299999996</v>
      </c>
      <c r="D61" s="1369">
        <v>0</v>
      </c>
      <c r="E61" s="1369">
        <v>0</v>
      </c>
      <c r="F61" s="1369">
        <v>10.36923</v>
      </c>
      <c r="G61" s="514">
        <v>19.32968</v>
      </c>
      <c r="H61" s="49">
        <f t="shared" si="0"/>
        <v>2013</v>
      </c>
      <c r="I61" s="49" t="str">
        <f t="shared" si="1"/>
        <v>1</v>
      </c>
      <c r="AC61" s="60"/>
      <c r="AD61" s="60"/>
      <c r="AE61" s="60"/>
      <c r="AF61" s="60"/>
      <c r="AG61" s="60"/>
      <c r="AH61" s="60"/>
    </row>
    <row r="62" spans="1:34">
      <c r="A62" s="752">
        <v>41426</v>
      </c>
      <c r="B62" s="1325">
        <v>44.110455000000002</v>
      </c>
      <c r="C62" s="1325">
        <v>298.74030299999998</v>
      </c>
      <c r="D62" s="1325">
        <v>12.034130000000001</v>
      </c>
      <c r="E62" s="1325">
        <v>25.278355999999999</v>
      </c>
      <c r="F62" s="1325">
        <v>10.65368</v>
      </c>
      <c r="G62" s="513">
        <v>19.955856000000001</v>
      </c>
      <c r="H62" s="49">
        <f t="shared" si="0"/>
        <v>2013</v>
      </c>
      <c r="I62" s="49" t="str">
        <f t="shared" si="1"/>
        <v>2</v>
      </c>
      <c r="AC62" s="60"/>
      <c r="AD62" s="60"/>
      <c r="AE62" s="60"/>
      <c r="AF62" s="60"/>
      <c r="AG62" s="60"/>
      <c r="AH62" s="60"/>
    </row>
    <row r="63" spans="1:34">
      <c r="A63" s="752">
        <v>41518</v>
      </c>
      <c r="B63" s="1369">
        <v>59.303641000000006</v>
      </c>
      <c r="C63" s="1369">
        <v>441.96587599999998</v>
      </c>
      <c r="D63" s="1369">
        <v>19.257619999999999</v>
      </c>
      <c r="E63" s="1369">
        <v>44.064206999999996</v>
      </c>
      <c r="F63" s="1369">
        <v>9.9487000000000005</v>
      </c>
      <c r="G63" s="514">
        <v>20.489159999999998</v>
      </c>
      <c r="H63" s="49">
        <f t="shared" si="0"/>
        <v>2013</v>
      </c>
      <c r="I63" s="49" t="str">
        <f t="shared" si="1"/>
        <v>3</v>
      </c>
      <c r="AC63" s="60"/>
      <c r="AD63" s="60"/>
      <c r="AE63" s="60"/>
      <c r="AF63" s="60"/>
      <c r="AG63" s="60"/>
      <c r="AH63" s="60"/>
    </row>
    <row r="64" spans="1:34">
      <c r="A64" s="752">
        <v>41609</v>
      </c>
      <c r="B64" s="1325">
        <v>48.774112000000002</v>
      </c>
      <c r="C64" s="1325">
        <v>367.41804099999996</v>
      </c>
      <c r="D64" s="1325">
        <v>20.969759999999997</v>
      </c>
      <c r="E64" s="1325">
        <v>46.714115999999997</v>
      </c>
      <c r="F64" s="1325">
        <v>17.013990000000003</v>
      </c>
      <c r="G64" s="513">
        <v>36.506639</v>
      </c>
      <c r="H64" s="49">
        <f t="shared" si="0"/>
        <v>2013</v>
      </c>
      <c r="I64" s="49" t="str">
        <f t="shared" si="1"/>
        <v>4</v>
      </c>
      <c r="AC64" s="60"/>
      <c r="AD64" s="60"/>
      <c r="AE64" s="60"/>
      <c r="AF64" s="60"/>
      <c r="AG64" s="60"/>
      <c r="AH64" s="60"/>
    </row>
    <row r="65" spans="1:34">
      <c r="A65" s="752">
        <v>41699</v>
      </c>
      <c r="B65" s="1369">
        <v>55.770699</v>
      </c>
      <c r="C65" s="1369">
        <v>415.81928999999997</v>
      </c>
      <c r="D65" s="1369">
        <v>16.971529999999998</v>
      </c>
      <c r="E65" s="1369">
        <v>39.460066999999995</v>
      </c>
      <c r="F65" s="1369">
        <v>14.580270000000001</v>
      </c>
      <c r="G65" s="514">
        <v>33.067428999999997</v>
      </c>
      <c r="H65" s="49">
        <f t="shared" si="0"/>
        <v>2014</v>
      </c>
      <c r="I65" s="49" t="str">
        <f t="shared" si="1"/>
        <v>1</v>
      </c>
      <c r="AC65" s="60"/>
      <c r="AD65" s="60"/>
      <c r="AE65" s="60"/>
      <c r="AF65" s="60"/>
      <c r="AG65" s="60"/>
      <c r="AH65" s="60"/>
    </row>
    <row r="66" spans="1:34">
      <c r="A66" s="752">
        <v>41791</v>
      </c>
      <c r="B66" s="1325">
        <v>47.337870000000002</v>
      </c>
      <c r="C66" s="1325">
        <v>334.36239899999998</v>
      </c>
      <c r="D66" s="1325">
        <v>21.451799999999999</v>
      </c>
      <c r="E66" s="1325">
        <v>48.525669000000001</v>
      </c>
      <c r="F66" s="1325">
        <v>12.517329999999999</v>
      </c>
      <c r="G66" s="513">
        <v>28.198347999999999</v>
      </c>
      <c r="H66" s="49">
        <f t="shared" si="0"/>
        <v>2014</v>
      </c>
      <c r="I66" s="49" t="str">
        <f t="shared" si="1"/>
        <v>2</v>
      </c>
      <c r="AC66" s="60"/>
      <c r="AD66" s="60"/>
      <c r="AE66" s="60"/>
      <c r="AF66" s="60"/>
      <c r="AG66" s="60"/>
      <c r="AH66" s="60"/>
    </row>
    <row r="67" spans="1:34">
      <c r="A67" s="752">
        <v>41883</v>
      </c>
      <c r="B67" s="1369">
        <v>37.452018000000002</v>
      </c>
      <c r="C67" s="1369">
        <v>266.114981</v>
      </c>
      <c r="D67" s="1369">
        <v>18.383560000000003</v>
      </c>
      <c r="E67" s="1369">
        <v>41.064085999999996</v>
      </c>
      <c r="F67" s="1369">
        <v>12.253399999999999</v>
      </c>
      <c r="G67" s="514">
        <v>30.285148999999997</v>
      </c>
      <c r="H67" s="49">
        <f t="shared" si="0"/>
        <v>2014</v>
      </c>
      <c r="I67" s="49" t="str">
        <f t="shared" si="1"/>
        <v>3</v>
      </c>
      <c r="AC67" s="60"/>
      <c r="AD67" s="60"/>
      <c r="AE67" s="60"/>
      <c r="AF67" s="60"/>
      <c r="AG67" s="60"/>
      <c r="AH67" s="60"/>
    </row>
    <row r="68" spans="1:34">
      <c r="A68" s="752">
        <v>41974</v>
      </c>
      <c r="B68" s="1325">
        <v>56.520130999999999</v>
      </c>
      <c r="C68" s="1325">
        <v>385.30898099999996</v>
      </c>
      <c r="D68" s="1325">
        <v>24.081610000000001</v>
      </c>
      <c r="E68" s="1325">
        <v>55.840244999999996</v>
      </c>
      <c r="F68" s="1325">
        <v>33.412529999999997</v>
      </c>
      <c r="G68" s="513">
        <v>81.450952999999998</v>
      </c>
      <c r="H68" s="49">
        <f t="shared" si="0"/>
        <v>2014</v>
      </c>
      <c r="I68" s="49" t="str">
        <f t="shared" si="1"/>
        <v>4</v>
      </c>
      <c r="AC68" s="60"/>
      <c r="AD68" s="60"/>
      <c r="AE68" s="60"/>
      <c r="AF68" s="60"/>
      <c r="AG68" s="60"/>
      <c r="AH68" s="60"/>
    </row>
    <row r="69" spans="1:34">
      <c r="A69" s="752">
        <v>42064</v>
      </c>
      <c r="B69" s="1369">
        <v>38.671419</v>
      </c>
      <c r="C69" s="1369">
        <v>273.34245899999996</v>
      </c>
      <c r="D69" s="1369">
        <v>15.08001</v>
      </c>
      <c r="E69" s="1369">
        <v>36.501576</v>
      </c>
      <c r="F69" s="1369">
        <v>8.1486499999999999</v>
      </c>
      <c r="G69" s="514">
        <v>22.29665</v>
      </c>
      <c r="H69" s="49">
        <f t="shared" si="0"/>
        <v>2015</v>
      </c>
      <c r="I69" s="49" t="str">
        <f t="shared" si="1"/>
        <v>1</v>
      </c>
      <c r="AC69" s="60"/>
      <c r="AD69" s="60"/>
      <c r="AE69" s="60"/>
      <c r="AF69" s="60"/>
      <c r="AG69" s="60"/>
      <c r="AH69" s="60"/>
    </row>
    <row r="70" spans="1:34">
      <c r="A70" s="752">
        <v>42156</v>
      </c>
      <c r="B70" s="1325">
        <v>51.851329000000007</v>
      </c>
      <c r="C70" s="1325">
        <v>358.28037599999999</v>
      </c>
      <c r="D70" s="1325">
        <v>1.7032400000000001</v>
      </c>
      <c r="E70" s="1325">
        <v>3.7713969999999999</v>
      </c>
      <c r="F70" s="1325">
        <v>24.016330000000004</v>
      </c>
      <c r="G70" s="513">
        <v>63.007653999999995</v>
      </c>
      <c r="H70" s="49">
        <f t="shared" si="0"/>
        <v>2015</v>
      </c>
      <c r="I70" s="49" t="str">
        <f t="shared" si="1"/>
        <v>2</v>
      </c>
      <c r="AC70" s="60"/>
      <c r="AD70" s="60"/>
      <c r="AE70" s="60"/>
      <c r="AF70" s="60"/>
      <c r="AG70" s="60"/>
      <c r="AH70" s="60"/>
    </row>
    <row r="71" spans="1:34">
      <c r="A71" s="752">
        <v>42248</v>
      </c>
      <c r="B71" s="1369">
        <v>47.839148999999999</v>
      </c>
      <c r="C71" s="1369">
        <v>308.55401000000001</v>
      </c>
      <c r="D71" s="1369">
        <v>1.8742699999999999</v>
      </c>
      <c r="E71" s="1369">
        <v>4.3930509999999998</v>
      </c>
      <c r="F71" s="1369">
        <v>20.545400000000001</v>
      </c>
      <c r="G71" s="514">
        <v>49.244045999999997</v>
      </c>
      <c r="H71" s="49">
        <f t="shared" si="0"/>
        <v>2015</v>
      </c>
      <c r="I71" s="49" t="str">
        <f t="shared" si="1"/>
        <v>3</v>
      </c>
      <c r="AC71" s="60"/>
      <c r="AD71" s="60"/>
      <c r="AE71" s="60"/>
      <c r="AF71" s="60"/>
      <c r="AG71" s="60"/>
      <c r="AH71" s="60"/>
    </row>
    <row r="72" spans="1:34">
      <c r="A72" s="752">
        <v>42339</v>
      </c>
      <c r="B72" s="1325">
        <v>51.052453999999997</v>
      </c>
      <c r="C72" s="1325">
        <v>304.25034199999999</v>
      </c>
      <c r="D72" s="1325">
        <v>1.60151</v>
      </c>
      <c r="E72" s="1325">
        <v>4.0191949999999999</v>
      </c>
      <c r="F72" s="1325">
        <v>24.467940000000002</v>
      </c>
      <c r="G72" s="513">
        <v>50.671028999999997</v>
      </c>
      <c r="H72" s="49">
        <f t="shared" si="0"/>
        <v>2015</v>
      </c>
      <c r="I72" s="49" t="str">
        <f t="shared" si="1"/>
        <v>4</v>
      </c>
      <c r="AC72" s="60"/>
      <c r="AD72" s="60"/>
      <c r="AE72" s="60"/>
      <c r="AF72" s="60"/>
      <c r="AG72" s="60"/>
      <c r="AH72" s="60"/>
    </row>
    <row r="73" spans="1:34">
      <c r="A73" s="752">
        <v>42430</v>
      </c>
      <c r="B73" s="1369">
        <v>49.264921000000008</v>
      </c>
      <c r="C73" s="1369">
        <v>313.77903399999997</v>
      </c>
      <c r="D73" s="1369">
        <v>1.2788199999999998</v>
      </c>
      <c r="E73" s="1369">
        <v>3.204637</v>
      </c>
      <c r="F73" s="1369">
        <v>20.972740000000002</v>
      </c>
      <c r="G73" s="514">
        <v>50.677760999999997</v>
      </c>
      <c r="H73" s="49">
        <f t="shared" si="0"/>
        <v>2016</v>
      </c>
      <c r="I73" s="49" t="str">
        <f t="shared" si="1"/>
        <v>1</v>
      </c>
      <c r="AD73" s="14"/>
      <c r="AF73" s="14"/>
      <c r="AH73" s="14"/>
    </row>
    <row r="74" spans="1:34">
      <c r="A74" s="752">
        <v>42522</v>
      </c>
      <c r="B74" s="1325">
        <v>42.326561999999996</v>
      </c>
      <c r="C74" s="1325">
        <v>254.67870099999999</v>
      </c>
      <c r="D74" s="1325">
        <v>1.2334000000000001</v>
      </c>
      <c r="E74" s="1325">
        <v>3.1937119999999997</v>
      </c>
      <c r="F74" s="1325">
        <v>16.689859999999999</v>
      </c>
      <c r="G74" s="513">
        <v>44.901616999999995</v>
      </c>
      <c r="H74" s="49">
        <f t="shared" ref="H74:H137" si="15">YEAR(A74)</f>
        <v>2016</v>
      </c>
      <c r="I74" s="49" t="str">
        <f t="shared" ref="I74:I137" si="16">IF(MONTH(A74)=3,"1",IF(MONTH(A74)=6,"2",IF(MONTH(A74)=9,"3","4")))</f>
        <v>2</v>
      </c>
      <c r="AD74" s="14"/>
      <c r="AF74" s="14"/>
      <c r="AH74" s="14"/>
    </row>
    <row r="75" spans="1:34">
      <c r="A75" s="752">
        <v>42614</v>
      </c>
      <c r="B75" s="1369">
        <v>39.905644000000009</v>
      </c>
      <c r="C75" s="1369">
        <v>251.52089699999999</v>
      </c>
      <c r="D75" s="1369">
        <v>1.00857</v>
      </c>
      <c r="E75" s="1369">
        <v>2.7969390000000001</v>
      </c>
      <c r="F75" s="1369">
        <v>17.261869999999998</v>
      </c>
      <c r="G75" s="514">
        <v>36.058555999999996</v>
      </c>
      <c r="H75" s="49">
        <f t="shared" si="15"/>
        <v>2016</v>
      </c>
      <c r="I75" s="49" t="str">
        <f t="shared" si="16"/>
        <v>3</v>
      </c>
      <c r="AD75" s="14"/>
      <c r="AF75" s="14"/>
      <c r="AH75" s="14"/>
    </row>
    <row r="76" spans="1:34">
      <c r="A76" s="752">
        <v>42705</v>
      </c>
      <c r="B76" s="1325">
        <v>50.038906000000004</v>
      </c>
      <c r="C76" s="1325">
        <v>368.47425599999997</v>
      </c>
      <c r="D76" s="1325">
        <v>1.2401199999999999</v>
      </c>
      <c r="E76" s="1325">
        <v>3.5877019999999997</v>
      </c>
      <c r="F76" s="1325">
        <v>40.039070000000002</v>
      </c>
      <c r="G76" s="513">
        <v>72.886042000000003</v>
      </c>
      <c r="H76" s="49">
        <f t="shared" si="15"/>
        <v>2016</v>
      </c>
      <c r="I76" s="49" t="str">
        <f t="shared" si="16"/>
        <v>4</v>
      </c>
      <c r="AD76" s="14"/>
      <c r="AF76" s="14"/>
      <c r="AH76" s="14"/>
    </row>
    <row r="77" spans="1:34">
      <c r="A77" s="752">
        <v>42795</v>
      </c>
      <c r="B77" s="1369">
        <v>37.568611000000004</v>
      </c>
      <c r="C77" s="1369">
        <v>272.32097399999998</v>
      </c>
      <c r="D77" s="1369">
        <v>1.2587899999999999</v>
      </c>
      <c r="E77" s="1369">
        <v>3.762076</v>
      </c>
      <c r="F77" s="1369">
        <v>13.381470000000002</v>
      </c>
      <c r="G77" s="514">
        <v>47.819058999999996</v>
      </c>
      <c r="H77" s="49">
        <f t="shared" si="15"/>
        <v>2017</v>
      </c>
      <c r="I77" s="49" t="str">
        <f t="shared" si="16"/>
        <v>1</v>
      </c>
      <c r="AD77" s="14"/>
      <c r="AF77" s="14"/>
      <c r="AH77" s="14"/>
    </row>
    <row r="78" spans="1:34">
      <c r="A78" s="752">
        <v>42887</v>
      </c>
      <c r="B78" s="1325">
        <v>43.217054000000005</v>
      </c>
      <c r="C78" s="1325">
        <v>348.21192199999996</v>
      </c>
      <c r="D78" s="1325">
        <v>0</v>
      </c>
      <c r="E78" s="1325">
        <v>0</v>
      </c>
      <c r="F78" s="1325">
        <v>12.260249999999999</v>
      </c>
      <c r="G78" s="513">
        <v>47.397601999999999</v>
      </c>
      <c r="H78" s="49">
        <f t="shared" si="15"/>
        <v>2017</v>
      </c>
      <c r="I78" s="49" t="str">
        <f t="shared" si="16"/>
        <v>2</v>
      </c>
      <c r="AD78" s="14"/>
      <c r="AF78" s="14"/>
      <c r="AH78" s="14"/>
    </row>
    <row r="79" spans="1:34">
      <c r="A79" s="752">
        <v>42979</v>
      </c>
      <c r="B79" s="1369">
        <v>37.138071000000004</v>
      </c>
      <c r="C79" s="1369">
        <v>293.21190100000001</v>
      </c>
      <c r="D79" s="1369">
        <v>1.1292500000000001</v>
      </c>
      <c r="E79" s="1369">
        <v>3.5253899999999998</v>
      </c>
      <c r="F79" s="1369">
        <v>16.619619999999998</v>
      </c>
      <c r="G79" s="514">
        <v>68.630501999999993</v>
      </c>
      <c r="H79" s="49">
        <f t="shared" si="15"/>
        <v>2017</v>
      </c>
      <c r="I79" s="49" t="str">
        <f t="shared" si="16"/>
        <v>3</v>
      </c>
      <c r="X79" s="62"/>
      <c r="Y79" s="62"/>
      <c r="AD79" s="14"/>
      <c r="AF79" s="14"/>
      <c r="AH79" s="14"/>
    </row>
    <row r="80" spans="1:34">
      <c r="A80" s="752">
        <v>43070</v>
      </c>
      <c r="B80" s="1325">
        <v>42.352671000000001</v>
      </c>
      <c r="C80" s="1325">
        <v>330.692589</v>
      </c>
      <c r="D80" s="1325">
        <v>3.5130400000000002</v>
      </c>
      <c r="E80" s="1325">
        <v>11.261267999999999</v>
      </c>
      <c r="F80" s="1325">
        <v>29.526888</v>
      </c>
      <c r="G80" s="513">
        <v>128.275802</v>
      </c>
      <c r="H80" s="49">
        <f t="shared" si="15"/>
        <v>2017</v>
      </c>
      <c r="I80" s="49" t="str">
        <f t="shared" si="16"/>
        <v>4</v>
      </c>
      <c r="U80" s="62"/>
      <c r="V80" s="62"/>
      <c r="W80" s="62"/>
      <c r="X80" s="62"/>
      <c r="Y80" s="62"/>
      <c r="AD80" s="14"/>
      <c r="AF80" s="14"/>
      <c r="AH80" s="14"/>
    </row>
    <row r="81" spans="1:34">
      <c r="A81" s="752">
        <v>43160</v>
      </c>
      <c r="B81" s="1369">
        <v>38.299224000000002</v>
      </c>
      <c r="C81" s="1369">
        <v>319.67745299999996</v>
      </c>
      <c r="D81" s="1369">
        <v>1.4896500000000001</v>
      </c>
      <c r="E81" s="1369">
        <v>4.653346</v>
      </c>
      <c r="F81" s="1369">
        <v>13.238009999999999</v>
      </c>
      <c r="G81" s="514">
        <v>53.165085999999995</v>
      </c>
      <c r="H81" s="49">
        <f t="shared" si="15"/>
        <v>2018</v>
      </c>
      <c r="I81" s="49" t="str">
        <f t="shared" si="16"/>
        <v>1</v>
      </c>
      <c r="R81" s="62"/>
      <c r="S81" s="62"/>
      <c r="T81" s="62"/>
      <c r="U81" s="63"/>
      <c r="V81" s="61"/>
      <c r="W81" s="61"/>
      <c r="X81" s="62"/>
      <c r="Y81" s="62"/>
      <c r="AD81" s="14"/>
      <c r="AF81" s="14"/>
      <c r="AH81" s="14"/>
    </row>
    <row r="82" spans="1:34">
      <c r="A82" s="752">
        <v>43252</v>
      </c>
      <c r="B82" s="1325">
        <v>48.193789000000002</v>
      </c>
      <c r="C82" s="1325">
        <v>393.00570599999998</v>
      </c>
      <c r="D82" s="1325">
        <v>1.2653399999999999</v>
      </c>
      <c r="E82" s="1325">
        <v>3.359219</v>
      </c>
      <c r="F82" s="1325">
        <v>21.123189</v>
      </c>
      <c r="G82" s="513">
        <v>73.433008000000001</v>
      </c>
      <c r="H82" s="49">
        <f t="shared" si="15"/>
        <v>2018</v>
      </c>
      <c r="I82" s="49" t="str">
        <f t="shared" si="16"/>
        <v>2</v>
      </c>
      <c r="K82" s="62"/>
      <c r="L82" s="62"/>
      <c r="M82" s="62"/>
      <c r="N82" s="62"/>
      <c r="O82" s="62"/>
      <c r="P82" s="62"/>
      <c r="Q82" s="62"/>
      <c r="R82" s="62"/>
      <c r="S82" s="62"/>
      <c r="T82" s="62"/>
      <c r="U82" s="63"/>
      <c r="V82" s="62"/>
      <c r="W82" s="62"/>
      <c r="X82" s="62"/>
      <c r="Y82" s="62"/>
      <c r="AD82" s="14"/>
      <c r="AF82" s="14"/>
      <c r="AH82" s="14"/>
    </row>
    <row r="83" spans="1:34">
      <c r="A83" s="752">
        <v>43344</v>
      </c>
      <c r="B83" s="1369">
        <v>32.559367000000002</v>
      </c>
      <c r="C83" s="1369">
        <v>256.02528999999998</v>
      </c>
      <c r="D83" s="1369">
        <v>1.6848399999999999</v>
      </c>
      <c r="E83" s="1369">
        <v>4.6596440000000001</v>
      </c>
      <c r="F83" s="1369">
        <v>16.817429000000001</v>
      </c>
      <c r="G83" s="514">
        <v>60.621699</v>
      </c>
      <c r="H83" s="49">
        <f t="shared" si="15"/>
        <v>2018</v>
      </c>
      <c r="I83" s="49" t="str">
        <f t="shared" si="16"/>
        <v>3</v>
      </c>
      <c r="K83" s="62"/>
      <c r="L83" s="62"/>
      <c r="M83" s="62"/>
      <c r="N83" s="62"/>
      <c r="O83" s="62"/>
      <c r="P83" s="62"/>
      <c r="Q83" s="62"/>
      <c r="R83" s="62"/>
      <c r="S83" s="62"/>
      <c r="T83" s="62"/>
      <c r="U83" s="63"/>
      <c r="V83" s="62"/>
      <c r="W83" s="62"/>
      <c r="X83" s="62"/>
      <c r="Y83" s="62"/>
      <c r="AD83" s="14"/>
      <c r="AF83" s="14"/>
      <c r="AH83" s="14"/>
    </row>
    <row r="84" spans="1:34">
      <c r="A84" s="752">
        <v>43435</v>
      </c>
      <c r="B84" s="1325">
        <v>46.868196000000005</v>
      </c>
      <c r="C84" s="1325">
        <v>380.98519399999998</v>
      </c>
      <c r="D84" s="1325">
        <v>1.65117</v>
      </c>
      <c r="E84" s="1325">
        <v>4.4829829999999999</v>
      </c>
      <c r="F84" s="1325">
        <v>17.645365000000002</v>
      </c>
      <c r="G84" s="513">
        <v>69.712891999999997</v>
      </c>
      <c r="H84" s="49">
        <f t="shared" si="15"/>
        <v>2018</v>
      </c>
      <c r="I84" s="49" t="str">
        <f t="shared" si="16"/>
        <v>4</v>
      </c>
      <c r="K84" s="62"/>
      <c r="L84" s="62"/>
      <c r="M84" s="62"/>
      <c r="N84" s="62"/>
      <c r="O84" s="62"/>
      <c r="P84" s="62"/>
      <c r="Q84" s="62"/>
      <c r="R84" s="62"/>
      <c r="S84" s="62"/>
      <c r="T84" s="62"/>
      <c r="U84" s="62"/>
      <c r="V84" s="62"/>
      <c r="W84" s="62"/>
      <c r="X84" s="62"/>
      <c r="Y84" s="62"/>
      <c r="AD84" s="14"/>
      <c r="AF84" s="14"/>
      <c r="AH84" s="14"/>
    </row>
    <row r="85" spans="1:34">
      <c r="A85" s="752">
        <v>43525</v>
      </c>
      <c r="B85" s="1369">
        <v>43.993460999999996</v>
      </c>
      <c r="C85" s="1369">
        <v>365.41811200000001</v>
      </c>
      <c r="D85" s="1369">
        <v>1.516</v>
      </c>
      <c r="E85" s="1369">
        <v>4.2015500000000001</v>
      </c>
      <c r="F85" s="1369">
        <v>17.548237</v>
      </c>
      <c r="G85" s="514">
        <v>68.160378999999992</v>
      </c>
      <c r="H85" s="49">
        <f t="shared" si="15"/>
        <v>2019</v>
      </c>
      <c r="I85" s="49" t="str">
        <f t="shared" si="16"/>
        <v>1</v>
      </c>
      <c r="K85" s="62"/>
      <c r="L85" s="62"/>
      <c r="M85" s="62"/>
      <c r="N85" s="62"/>
      <c r="O85" s="62"/>
      <c r="P85" s="62"/>
      <c r="Q85" s="62"/>
      <c r="R85" s="62"/>
      <c r="S85" s="62"/>
      <c r="T85" s="62"/>
      <c r="U85" s="62"/>
      <c r="V85" s="62"/>
      <c r="W85" s="62"/>
      <c r="X85" s="62"/>
      <c r="Y85" s="62"/>
      <c r="AD85" s="14"/>
      <c r="AF85" s="14"/>
      <c r="AH85" s="14"/>
    </row>
    <row r="86" spans="1:34">
      <c r="A86" s="752">
        <v>43617</v>
      </c>
      <c r="B86" s="1325">
        <v>39.062270000000005</v>
      </c>
      <c r="C86" s="1325">
        <v>319.25350299999997</v>
      </c>
      <c r="D86" s="1325">
        <v>0</v>
      </c>
      <c r="E86" s="1325">
        <v>0</v>
      </c>
      <c r="F86" s="1325">
        <v>19.393622000000001</v>
      </c>
      <c r="G86" s="513">
        <v>64.667732999999998</v>
      </c>
      <c r="H86" s="49">
        <f t="shared" si="15"/>
        <v>2019</v>
      </c>
      <c r="I86" s="49" t="str">
        <f t="shared" si="16"/>
        <v>2</v>
      </c>
      <c r="K86" s="62"/>
      <c r="L86" s="62"/>
      <c r="M86" s="62"/>
      <c r="N86" s="62"/>
      <c r="O86" s="62"/>
      <c r="P86" s="62"/>
      <c r="Q86" s="62"/>
      <c r="R86" s="62"/>
      <c r="S86" s="62"/>
      <c r="T86" s="62"/>
      <c r="U86" s="62"/>
      <c r="V86" s="62"/>
      <c r="W86" s="62"/>
      <c r="X86" s="62"/>
      <c r="Y86" s="62"/>
      <c r="AD86" s="14"/>
      <c r="AF86" s="14"/>
      <c r="AH86" s="14"/>
    </row>
    <row r="87" spans="1:34">
      <c r="A87" s="752">
        <v>43709</v>
      </c>
      <c r="B87" s="1369">
        <v>44.801301000000002</v>
      </c>
      <c r="C87" s="1369">
        <v>361.19518799999997</v>
      </c>
      <c r="D87" s="1369">
        <v>1.4008</v>
      </c>
      <c r="E87" s="1369">
        <v>4.1491009999999999</v>
      </c>
      <c r="F87" s="1369">
        <v>12.879391</v>
      </c>
      <c r="G87" s="514">
        <v>44.668489999999998</v>
      </c>
      <c r="H87" s="49">
        <f t="shared" si="15"/>
        <v>2019</v>
      </c>
      <c r="I87" s="49" t="str">
        <f t="shared" si="16"/>
        <v>3</v>
      </c>
      <c r="K87" s="62"/>
      <c r="L87" s="62"/>
      <c r="M87" s="62"/>
      <c r="N87" s="62"/>
      <c r="O87" s="62"/>
      <c r="P87" s="62"/>
      <c r="Q87" s="62"/>
      <c r="R87" s="62"/>
      <c r="S87" s="62"/>
      <c r="T87" s="62"/>
      <c r="U87" s="62"/>
      <c r="V87" s="62"/>
      <c r="W87" s="62"/>
      <c r="X87" s="62"/>
      <c r="Y87" s="62"/>
      <c r="AD87" s="14"/>
      <c r="AF87" s="14"/>
      <c r="AH87" s="14"/>
    </row>
    <row r="88" spans="1:34">
      <c r="A88" s="754">
        <v>43800</v>
      </c>
      <c r="B88" s="1325">
        <v>44.257337999999997</v>
      </c>
      <c r="C88" s="1325">
        <v>369.23292699999996</v>
      </c>
      <c r="D88" s="1325">
        <v>0</v>
      </c>
      <c r="E88" s="1325">
        <v>0</v>
      </c>
      <c r="F88" s="1325">
        <v>27.99802</v>
      </c>
      <c r="G88" s="513">
        <v>85.059471000000002</v>
      </c>
      <c r="H88" s="49">
        <f t="shared" si="15"/>
        <v>2019</v>
      </c>
      <c r="I88" s="49" t="str">
        <f t="shared" si="16"/>
        <v>4</v>
      </c>
      <c r="K88" s="62"/>
      <c r="L88" s="64"/>
      <c r="M88" s="64"/>
      <c r="N88" s="62"/>
      <c r="O88" s="62"/>
      <c r="P88" s="62"/>
      <c r="Q88" s="62"/>
      <c r="R88" s="63"/>
      <c r="S88" s="63"/>
      <c r="T88" s="63"/>
      <c r="U88" s="62"/>
      <c r="V88" s="62"/>
      <c r="W88" s="62"/>
      <c r="X88" s="62"/>
      <c r="Y88" s="62"/>
      <c r="AD88" s="14"/>
      <c r="AF88" s="14"/>
      <c r="AH88" s="14"/>
    </row>
    <row r="89" spans="1:34">
      <c r="A89" s="752">
        <v>43891</v>
      </c>
      <c r="B89" s="1369">
        <v>38.036341</v>
      </c>
      <c r="C89" s="1369">
        <v>286.74112500000001</v>
      </c>
      <c r="D89" s="1369">
        <v>0</v>
      </c>
      <c r="E89" s="1369">
        <v>0</v>
      </c>
      <c r="F89" s="1369">
        <v>8.3514820000000007</v>
      </c>
      <c r="G89" s="514">
        <v>24.541041</v>
      </c>
      <c r="H89" s="49">
        <f t="shared" si="15"/>
        <v>2020</v>
      </c>
      <c r="I89" s="49" t="str">
        <f t="shared" si="16"/>
        <v>1</v>
      </c>
      <c r="K89" s="62"/>
      <c r="L89" s="65"/>
      <c r="M89" s="65"/>
      <c r="N89" s="63"/>
      <c r="O89" s="63"/>
      <c r="P89" s="63"/>
      <c r="Q89" s="63"/>
      <c r="R89" s="63"/>
      <c r="S89" s="63"/>
      <c r="T89" s="63"/>
      <c r="U89" s="62"/>
      <c r="V89" s="62"/>
      <c r="W89" s="62"/>
      <c r="X89" s="62"/>
      <c r="Y89" s="62"/>
      <c r="AD89" s="14"/>
      <c r="AF89" s="14"/>
      <c r="AH89" s="14"/>
    </row>
    <row r="90" spans="1:34">
      <c r="A90" s="752">
        <v>43983</v>
      </c>
      <c r="B90" s="1325">
        <v>44.291395000000001</v>
      </c>
      <c r="C90" s="1325">
        <v>365.82477499999999</v>
      </c>
      <c r="D90" s="1325">
        <v>1.3745150000000002</v>
      </c>
      <c r="E90" s="1325">
        <v>3.3216389999999998</v>
      </c>
      <c r="F90" s="1325">
        <v>22.541713000000001</v>
      </c>
      <c r="G90" s="513">
        <v>69.05257499999999</v>
      </c>
      <c r="H90" s="49">
        <f t="shared" si="15"/>
        <v>2020</v>
      </c>
      <c r="I90" s="49" t="str">
        <f t="shared" si="16"/>
        <v>2</v>
      </c>
      <c r="K90" s="62"/>
      <c r="L90" s="65"/>
      <c r="M90" s="65"/>
      <c r="N90" s="63"/>
      <c r="O90" s="63"/>
      <c r="P90" s="63"/>
      <c r="Q90" s="63"/>
      <c r="R90" s="63"/>
      <c r="S90" s="63"/>
      <c r="T90" s="63"/>
      <c r="U90" s="62"/>
      <c r="V90" s="62"/>
      <c r="W90" s="62"/>
      <c r="X90" s="62"/>
      <c r="Y90" s="62"/>
      <c r="AD90" s="14"/>
      <c r="AF90" s="14"/>
      <c r="AH90" s="14"/>
    </row>
    <row r="91" spans="1:34">
      <c r="A91" s="752">
        <v>44075</v>
      </c>
      <c r="B91" s="1369">
        <v>31.601568</v>
      </c>
      <c r="C91" s="1369">
        <v>289.18076199999996</v>
      </c>
      <c r="D91" s="1369">
        <v>0</v>
      </c>
      <c r="E91" s="1369">
        <v>0</v>
      </c>
      <c r="F91" s="1369">
        <v>14.529898999999999</v>
      </c>
      <c r="G91" s="514">
        <v>50.972107999999999</v>
      </c>
      <c r="H91" s="49">
        <f t="shared" si="15"/>
        <v>2020</v>
      </c>
      <c r="I91" s="49" t="str">
        <f t="shared" si="16"/>
        <v>3</v>
      </c>
      <c r="K91" s="62"/>
      <c r="L91" s="65"/>
      <c r="M91" s="65"/>
      <c r="N91" s="63"/>
      <c r="O91" s="63"/>
      <c r="P91" s="63"/>
      <c r="Q91" s="63"/>
      <c r="R91" s="62"/>
      <c r="S91" s="62"/>
      <c r="T91" s="62"/>
      <c r="U91" s="62"/>
      <c r="V91" s="62"/>
      <c r="W91" s="62"/>
      <c r="X91" s="62"/>
      <c r="Y91" s="62"/>
      <c r="AD91" s="14"/>
      <c r="AF91" s="14"/>
      <c r="AH91" s="14"/>
    </row>
    <row r="92" spans="1:34">
      <c r="A92" s="752">
        <v>44166</v>
      </c>
      <c r="B92" s="1325">
        <v>33.306522999999999</v>
      </c>
      <c r="C92" s="1325">
        <v>352.791832</v>
      </c>
      <c r="D92" s="1325">
        <v>0</v>
      </c>
      <c r="E92" s="1325">
        <v>0</v>
      </c>
      <c r="F92" s="1325">
        <v>16.627826000000002</v>
      </c>
      <c r="G92" s="513">
        <v>59.445187999999995</v>
      </c>
      <c r="H92" s="49">
        <f t="shared" si="15"/>
        <v>2020</v>
      </c>
      <c r="I92" s="49" t="str">
        <f t="shared" si="16"/>
        <v>4</v>
      </c>
      <c r="K92" s="62"/>
      <c r="L92" s="62"/>
      <c r="M92" s="62"/>
      <c r="N92" s="62"/>
      <c r="O92" s="62"/>
      <c r="P92" s="62"/>
      <c r="Q92" s="62"/>
      <c r="R92" s="62"/>
      <c r="S92" s="62"/>
      <c r="T92" s="62"/>
      <c r="U92" s="62"/>
      <c r="V92" s="62"/>
      <c r="W92" s="62"/>
      <c r="X92" s="62"/>
      <c r="Y92" s="62"/>
      <c r="AD92" s="14"/>
      <c r="AF92" s="14"/>
      <c r="AH92" s="14"/>
    </row>
    <row r="93" spans="1:34">
      <c r="A93" s="752">
        <v>44256</v>
      </c>
      <c r="B93" s="1369">
        <v>35.551448999999998</v>
      </c>
      <c r="C93" s="1369">
        <v>414.89923199999998</v>
      </c>
      <c r="D93" s="1369">
        <v>0</v>
      </c>
      <c r="E93" s="1369">
        <v>0</v>
      </c>
      <c r="F93" s="1369">
        <v>16.313015</v>
      </c>
      <c r="G93" s="514">
        <v>58.649034999999998</v>
      </c>
      <c r="H93" s="49">
        <f t="shared" si="15"/>
        <v>2021</v>
      </c>
      <c r="I93" s="49" t="str">
        <f t="shared" si="16"/>
        <v>1</v>
      </c>
      <c r="K93" s="62"/>
      <c r="L93" s="62"/>
      <c r="M93" s="62"/>
      <c r="N93" s="62"/>
      <c r="O93" s="62"/>
      <c r="P93" s="62"/>
      <c r="Q93" s="62"/>
      <c r="R93" s="62"/>
      <c r="S93" s="62"/>
      <c r="T93" s="62"/>
      <c r="U93" s="62"/>
      <c r="V93" s="62"/>
      <c r="W93" s="62"/>
      <c r="X93" s="62"/>
      <c r="Y93" s="62"/>
      <c r="AD93" s="14"/>
      <c r="AF93" s="14"/>
      <c r="AH93" s="14"/>
    </row>
    <row r="94" spans="1:34">
      <c r="A94" s="752">
        <v>44348</v>
      </c>
      <c r="B94" s="1325">
        <v>36.316577000000002</v>
      </c>
      <c r="C94" s="1325">
        <v>441.89163399999995</v>
      </c>
      <c r="D94" s="1325">
        <v>0</v>
      </c>
      <c r="E94" s="1325">
        <v>0</v>
      </c>
      <c r="F94" s="1325">
        <v>16.276184999999998</v>
      </c>
      <c r="G94" s="513">
        <v>62.363813</v>
      </c>
      <c r="H94" s="49">
        <f t="shared" si="15"/>
        <v>2021</v>
      </c>
      <c r="I94" s="49" t="str">
        <f t="shared" si="16"/>
        <v>2</v>
      </c>
      <c r="K94" s="62"/>
      <c r="L94" s="62"/>
      <c r="M94" s="62"/>
      <c r="N94" s="62"/>
      <c r="O94" s="62"/>
      <c r="P94" s="62"/>
      <c r="Q94" s="62"/>
      <c r="R94" s="62"/>
      <c r="S94" s="62"/>
      <c r="T94" s="62"/>
      <c r="U94" s="62"/>
      <c r="V94" s="62"/>
      <c r="W94" s="62"/>
      <c r="X94" s="62"/>
      <c r="Y94" s="62"/>
      <c r="AD94" s="14"/>
      <c r="AF94" s="14"/>
      <c r="AH94" s="14"/>
    </row>
    <row r="95" spans="1:34">
      <c r="A95" s="752">
        <v>44440</v>
      </c>
      <c r="B95" s="1369">
        <v>36.592841</v>
      </c>
      <c r="C95" s="1369">
        <v>449.91795399999995</v>
      </c>
      <c r="D95" s="1369">
        <v>1.2656350000000001</v>
      </c>
      <c r="E95" s="1369">
        <v>3.9687389999999998</v>
      </c>
      <c r="F95" s="1369">
        <v>15.956757</v>
      </c>
      <c r="G95" s="514">
        <v>67.328493999999992</v>
      </c>
      <c r="H95" s="49">
        <f t="shared" si="15"/>
        <v>2021</v>
      </c>
      <c r="I95" s="49" t="str">
        <f t="shared" si="16"/>
        <v>3</v>
      </c>
      <c r="K95" s="62"/>
      <c r="L95" s="62"/>
      <c r="M95" s="62"/>
      <c r="N95" s="62"/>
      <c r="O95" s="62"/>
      <c r="P95" s="62"/>
      <c r="Q95" s="62"/>
      <c r="R95" s="62"/>
      <c r="S95" s="62"/>
      <c r="T95" s="62"/>
      <c r="U95" s="62"/>
      <c r="V95" s="62"/>
      <c r="W95" s="62"/>
      <c r="X95" s="62"/>
      <c r="Y95" s="62"/>
      <c r="AD95" s="14"/>
      <c r="AF95" s="14"/>
      <c r="AH95" s="14"/>
    </row>
    <row r="96" spans="1:34">
      <c r="A96" s="752">
        <v>44531</v>
      </c>
      <c r="B96" s="1325">
        <v>40.282176999999997</v>
      </c>
      <c r="C96" s="1325">
        <v>521.23010099999999</v>
      </c>
      <c r="D96" s="1325">
        <v>0</v>
      </c>
      <c r="E96" s="1325">
        <v>0</v>
      </c>
      <c r="F96" s="1325">
        <v>20.505474000000003</v>
      </c>
      <c r="G96" s="513">
        <v>97.654890999999992</v>
      </c>
      <c r="H96" s="49">
        <f t="shared" si="15"/>
        <v>2021</v>
      </c>
      <c r="I96" s="49" t="str">
        <f t="shared" si="16"/>
        <v>4</v>
      </c>
      <c r="K96" s="62"/>
      <c r="L96" s="62"/>
      <c r="M96" s="62"/>
      <c r="N96" s="62"/>
      <c r="O96" s="62"/>
      <c r="P96" s="62"/>
      <c r="Q96" s="62"/>
      <c r="R96" s="62"/>
      <c r="S96" s="62"/>
      <c r="T96" s="62"/>
      <c r="U96" s="62"/>
      <c r="V96" s="62"/>
      <c r="W96" s="62"/>
      <c r="X96" s="62"/>
      <c r="Y96" s="62"/>
      <c r="AD96" s="14"/>
      <c r="AF96" s="14"/>
      <c r="AH96" s="14"/>
    </row>
    <row r="97" spans="1:34">
      <c r="A97" s="752">
        <v>44621</v>
      </c>
      <c r="B97" s="1369">
        <v>41.489346000000005</v>
      </c>
      <c r="C97" s="1369">
        <v>528.75195099999996</v>
      </c>
      <c r="D97" s="1369">
        <v>0</v>
      </c>
      <c r="E97" s="1369">
        <v>0</v>
      </c>
      <c r="F97" s="1369">
        <v>16.877814999999998</v>
      </c>
      <c r="G97" s="514">
        <v>88.230382999999989</v>
      </c>
      <c r="H97" s="49">
        <f t="shared" si="15"/>
        <v>2022</v>
      </c>
      <c r="I97" s="49" t="str">
        <f t="shared" si="16"/>
        <v>1</v>
      </c>
      <c r="K97" s="62"/>
      <c r="L97" s="62"/>
      <c r="M97" s="62"/>
      <c r="N97" s="62"/>
      <c r="O97" s="62"/>
      <c r="P97" s="62"/>
      <c r="Q97" s="62"/>
      <c r="U97" s="62"/>
      <c r="V97" s="62"/>
      <c r="W97" s="62"/>
      <c r="AD97" s="14"/>
      <c r="AF97" s="14"/>
      <c r="AH97" s="14"/>
    </row>
    <row r="98" spans="1:34">
      <c r="A98" s="752">
        <v>44713</v>
      </c>
      <c r="B98" s="1325">
        <v>37.155797</v>
      </c>
      <c r="C98" s="1325">
        <v>400.06822999999997</v>
      </c>
      <c r="D98" s="1325">
        <v>0</v>
      </c>
      <c r="E98" s="1325">
        <v>0</v>
      </c>
      <c r="F98" s="1325">
        <v>20.630479999999999</v>
      </c>
      <c r="G98" s="513">
        <v>96.293458000000001</v>
      </c>
      <c r="H98" s="49">
        <f t="shared" si="15"/>
        <v>2022</v>
      </c>
      <c r="I98" s="49" t="str">
        <f t="shared" si="16"/>
        <v>2</v>
      </c>
      <c r="AD98" s="14"/>
      <c r="AF98" s="14"/>
      <c r="AH98" s="14"/>
    </row>
    <row r="99" spans="1:34">
      <c r="A99" s="752">
        <v>44805</v>
      </c>
      <c r="B99" s="1369">
        <v>33.090511999999997</v>
      </c>
      <c r="C99" s="1369">
        <v>377.638082</v>
      </c>
      <c r="D99" s="1369">
        <v>0</v>
      </c>
      <c r="E99" s="1369">
        <v>0</v>
      </c>
      <c r="F99" s="1369">
        <v>16.250889999999998</v>
      </c>
      <c r="G99" s="514">
        <v>71.065829999999991</v>
      </c>
      <c r="H99" s="49">
        <f t="shared" si="15"/>
        <v>2022</v>
      </c>
      <c r="I99" s="49" t="str">
        <f t="shared" si="16"/>
        <v>3</v>
      </c>
      <c r="AD99" s="14"/>
      <c r="AF99" s="14"/>
      <c r="AH99" s="14"/>
    </row>
    <row r="100" spans="1:34">
      <c r="A100" s="752">
        <v>44896</v>
      </c>
      <c r="B100" s="1325">
        <v>31.913388000000001</v>
      </c>
      <c r="C100" s="1325">
        <v>392.29862199999997</v>
      </c>
      <c r="D100" s="1325">
        <v>0</v>
      </c>
      <c r="E100" s="1325">
        <v>0</v>
      </c>
      <c r="F100" s="1325">
        <v>16.719260000000002</v>
      </c>
      <c r="G100" s="513">
        <v>80.474464999999995</v>
      </c>
      <c r="H100" s="49">
        <f t="shared" si="15"/>
        <v>2022</v>
      </c>
      <c r="I100" s="49" t="str">
        <f t="shared" si="16"/>
        <v>4</v>
      </c>
      <c r="AD100" s="14"/>
      <c r="AF100" s="14"/>
      <c r="AH100" s="14"/>
    </row>
    <row r="101" spans="1:34">
      <c r="A101" s="752">
        <v>44986</v>
      </c>
      <c r="B101" s="1369">
        <v>22.385741000000003</v>
      </c>
      <c r="C101" s="1369">
        <v>260.774677</v>
      </c>
      <c r="D101" s="1369">
        <v>3.1048879999999999</v>
      </c>
      <c r="E101" s="1369">
        <v>9.473039</v>
      </c>
      <c r="F101" s="1369">
        <v>16.79336</v>
      </c>
      <c r="G101" s="514">
        <v>69.194278999999995</v>
      </c>
      <c r="H101" s="49">
        <f t="shared" si="15"/>
        <v>2023</v>
      </c>
      <c r="I101" s="49" t="str">
        <f t="shared" si="16"/>
        <v>1</v>
      </c>
      <c r="AD101" s="14"/>
      <c r="AF101" s="14"/>
      <c r="AH101" s="14"/>
    </row>
    <row r="102" spans="1:34">
      <c r="A102" s="752">
        <v>45078</v>
      </c>
      <c r="B102" s="1325">
        <v>31.336533000000003</v>
      </c>
      <c r="C102" s="1325">
        <v>362.90396299999998</v>
      </c>
      <c r="D102" s="1325">
        <v>9.6369640000000008</v>
      </c>
      <c r="E102" s="1325">
        <v>31.579426999999999</v>
      </c>
      <c r="F102" s="1325">
        <v>12.478883</v>
      </c>
      <c r="G102" s="513">
        <v>44.606971999999999</v>
      </c>
      <c r="H102" s="49">
        <f t="shared" si="15"/>
        <v>2023</v>
      </c>
      <c r="I102" s="49" t="str">
        <f t="shared" si="16"/>
        <v>2</v>
      </c>
      <c r="AD102" s="14"/>
      <c r="AF102" s="14"/>
      <c r="AH102" s="14"/>
    </row>
    <row r="103" spans="1:34">
      <c r="A103" s="752">
        <v>45170</v>
      </c>
      <c r="B103" s="1369">
        <v>34.384123999999993</v>
      </c>
      <c r="C103" s="1369">
        <v>402.24887799999999</v>
      </c>
      <c r="D103" s="1369">
        <v>13.182311</v>
      </c>
      <c r="E103" s="1369">
        <v>43.622903999999998</v>
      </c>
      <c r="F103" s="1369">
        <v>8.3655200000000001</v>
      </c>
      <c r="G103" s="514">
        <v>30.972905999999998</v>
      </c>
      <c r="H103" s="49">
        <f t="shared" si="15"/>
        <v>2023</v>
      </c>
      <c r="I103" s="49" t="str">
        <f t="shared" si="16"/>
        <v>3</v>
      </c>
      <c r="AD103" s="14"/>
      <c r="AF103" s="14"/>
      <c r="AH103" s="14"/>
    </row>
    <row r="104" spans="1:34" ht="15.75" thickBot="1">
      <c r="A104" s="753">
        <v>45261</v>
      </c>
      <c r="B104" s="1664">
        <v>15.534391000000001</v>
      </c>
      <c r="C104" s="1664">
        <v>180.350908</v>
      </c>
      <c r="D104" s="1664">
        <v>12.031482</v>
      </c>
      <c r="E104" s="1664">
        <v>38.281461999999998</v>
      </c>
      <c r="F104" s="1664">
        <v>12.884283999999999</v>
      </c>
      <c r="G104" s="1665">
        <v>47.440481999999996</v>
      </c>
      <c r="H104" s="49">
        <f t="shared" si="15"/>
        <v>2023</v>
      </c>
      <c r="I104" s="49" t="str">
        <f t="shared" si="16"/>
        <v>4</v>
      </c>
      <c r="AD104" s="14"/>
      <c r="AF104" s="14"/>
      <c r="AH104" s="14"/>
    </row>
    <row r="105" spans="1:34">
      <c r="C105" s="14"/>
      <c r="D105" s="68"/>
      <c r="E105" s="14"/>
      <c r="F105" s="68"/>
      <c r="G105" s="14"/>
      <c r="H105" s="49">
        <f t="shared" si="15"/>
        <v>1900</v>
      </c>
      <c r="I105" s="49" t="str">
        <f t="shared" si="16"/>
        <v>4</v>
      </c>
      <c r="AD105" s="14"/>
      <c r="AF105" s="14"/>
      <c r="AH105" s="14"/>
    </row>
    <row r="106" spans="1:34">
      <c r="C106" s="14"/>
      <c r="D106" s="68"/>
      <c r="E106" s="14"/>
      <c r="F106" s="68"/>
      <c r="G106" s="14"/>
      <c r="H106" s="49">
        <f t="shared" si="15"/>
        <v>1900</v>
      </c>
      <c r="I106" s="49" t="str">
        <f t="shared" si="16"/>
        <v>4</v>
      </c>
      <c r="AD106" s="14"/>
      <c r="AF106" s="14"/>
      <c r="AH106" s="14"/>
    </row>
    <row r="107" spans="1:34">
      <c r="C107" s="14"/>
      <c r="D107" s="68"/>
      <c r="E107" s="14"/>
      <c r="F107" s="68"/>
      <c r="G107" s="14"/>
      <c r="H107" s="49">
        <f t="shared" si="15"/>
        <v>1900</v>
      </c>
      <c r="I107" s="49" t="str">
        <f t="shared" si="16"/>
        <v>4</v>
      </c>
      <c r="AD107" s="14"/>
      <c r="AF107" s="14"/>
      <c r="AH107" s="14"/>
    </row>
    <row r="108" spans="1:34">
      <c r="C108" s="14"/>
      <c r="D108" s="68"/>
      <c r="E108" s="14"/>
      <c r="F108" s="68"/>
      <c r="G108" s="14"/>
      <c r="H108" s="49">
        <f t="shared" si="15"/>
        <v>1900</v>
      </c>
      <c r="I108" s="49" t="str">
        <f t="shared" si="16"/>
        <v>4</v>
      </c>
      <c r="AD108" s="14"/>
      <c r="AF108" s="14"/>
      <c r="AH108" s="14"/>
    </row>
    <row r="109" spans="1:34">
      <c r="C109" s="14"/>
      <c r="D109" s="68"/>
      <c r="E109" s="14"/>
      <c r="F109" s="68"/>
      <c r="G109" s="14"/>
      <c r="H109" s="49">
        <f t="shared" si="15"/>
        <v>1900</v>
      </c>
      <c r="I109" s="49" t="str">
        <f t="shared" si="16"/>
        <v>4</v>
      </c>
      <c r="AD109" s="14"/>
      <c r="AF109" s="14"/>
      <c r="AH109" s="14"/>
    </row>
    <row r="110" spans="1:34">
      <c r="C110" s="14"/>
      <c r="D110" s="68"/>
      <c r="E110" s="14"/>
      <c r="F110" s="68"/>
      <c r="G110" s="14"/>
      <c r="H110" s="49">
        <f t="shared" si="15"/>
        <v>1900</v>
      </c>
      <c r="I110" s="49" t="str">
        <f t="shared" si="16"/>
        <v>4</v>
      </c>
      <c r="AD110" s="14"/>
      <c r="AF110" s="14"/>
      <c r="AH110" s="14"/>
    </row>
    <row r="111" spans="1:34">
      <c r="C111" s="14"/>
      <c r="D111" s="68"/>
      <c r="E111" s="14"/>
      <c r="F111" s="68"/>
      <c r="G111" s="14"/>
      <c r="H111" s="49">
        <f t="shared" si="15"/>
        <v>1900</v>
      </c>
      <c r="I111" s="49" t="str">
        <f t="shared" si="16"/>
        <v>4</v>
      </c>
      <c r="AD111" s="14"/>
      <c r="AF111" s="14"/>
      <c r="AH111" s="14"/>
    </row>
    <row r="112" spans="1:34">
      <c r="C112" s="14"/>
      <c r="D112" s="68"/>
      <c r="E112" s="14"/>
      <c r="F112" s="68"/>
      <c r="G112" s="14"/>
      <c r="H112" s="49">
        <f t="shared" si="15"/>
        <v>1900</v>
      </c>
      <c r="I112" s="49" t="str">
        <f t="shared" si="16"/>
        <v>4</v>
      </c>
      <c r="AD112" s="14"/>
      <c r="AF112" s="14"/>
      <c r="AH112" s="14"/>
    </row>
    <row r="113" spans="3:34">
      <c r="C113" s="14"/>
      <c r="D113" s="68"/>
      <c r="E113" s="14"/>
      <c r="F113" s="68"/>
      <c r="G113" s="14"/>
      <c r="H113" s="49">
        <f t="shared" si="15"/>
        <v>1900</v>
      </c>
      <c r="I113" s="49" t="str">
        <f t="shared" si="16"/>
        <v>4</v>
      </c>
      <c r="AD113" s="14"/>
      <c r="AF113" s="14"/>
      <c r="AH113" s="14"/>
    </row>
    <row r="114" spans="3:34">
      <c r="C114" s="14"/>
      <c r="D114" s="68"/>
      <c r="E114" s="14"/>
      <c r="F114" s="68"/>
      <c r="G114" s="14"/>
      <c r="H114" s="49">
        <f t="shared" si="15"/>
        <v>1900</v>
      </c>
      <c r="I114" s="49" t="str">
        <f t="shared" si="16"/>
        <v>4</v>
      </c>
      <c r="AD114" s="14"/>
      <c r="AF114" s="14"/>
      <c r="AH114" s="14"/>
    </row>
    <row r="115" spans="3:34">
      <c r="C115" s="14"/>
      <c r="D115" s="68"/>
      <c r="E115" s="14"/>
      <c r="F115" s="68"/>
      <c r="G115" s="14"/>
      <c r="H115" s="49">
        <f t="shared" si="15"/>
        <v>1900</v>
      </c>
      <c r="I115" s="49" t="str">
        <f t="shared" si="16"/>
        <v>4</v>
      </c>
      <c r="AD115" s="14"/>
      <c r="AF115" s="14"/>
      <c r="AH115" s="14"/>
    </row>
    <row r="116" spans="3:34">
      <c r="C116" s="14"/>
      <c r="D116" s="68"/>
      <c r="E116" s="14"/>
      <c r="F116" s="68"/>
      <c r="G116" s="14"/>
      <c r="H116" s="49">
        <f t="shared" si="15"/>
        <v>1900</v>
      </c>
      <c r="I116" s="49" t="str">
        <f t="shared" si="16"/>
        <v>4</v>
      </c>
      <c r="AD116" s="14"/>
      <c r="AF116" s="14"/>
      <c r="AH116" s="14"/>
    </row>
    <row r="117" spans="3:34">
      <c r="C117" s="14"/>
      <c r="D117" s="68"/>
      <c r="E117" s="14"/>
      <c r="F117" s="68"/>
      <c r="G117" s="14"/>
      <c r="H117" s="49">
        <f t="shared" si="15"/>
        <v>1900</v>
      </c>
      <c r="I117" s="49" t="str">
        <f t="shared" si="16"/>
        <v>4</v>
      </c>
      <c r="AD117" s="14"/>
      <c r="AF117" s="14"/>
      <c r="AH117" s="14"/>
    </row>
    <row r="118" spans="3:34">
      <c r="C118" s="14"/>
      <c r="D118" s="68"/>
      <c r="E118" s="14"/>
      <c r="F118" s="68"/>
      <c r="G118" s="14"/>
      <c r="H118" s="49">
        <f t="shared" si="15"/>
        <v>1900</v>
      </c>
      <c r="I118" s="49" t="str">
        <f t="shared" si="16"/>
        <v>4</v>
      </c>
      <c r="AD118" s="14"/>
      <c r="AF118" s="14"/>
      <c r="AH118" s="14"/>
    </row>
    <row r="119" spans="3:34">
      <c r="C119" s="14"/>
      <c r="D119" s="68"/>
      <c r="E119" s="14"/>
      <c r="F119" s="68"/>
      <c r="G119" s="14"/>
      <c r="H119" s="49">
        <f t="shared" si="15"/>
        <v>1900</v>
      </c>
      <c r="I119" s="49" t="str">
        <f t="shared" si="16"/>
        <v>4</v>
      </c>
      <c r="AD119" s="14"/>
      <c r="AF119" s="14"/>
      <c r="AH119" s="14"/>
    </row>
    <row r="120" spans="3:34">
      <c r="C120" s="14"/>
      <c r="D120" s="68"/>
      <c r="E120" s="14"/>
      <c r="F120" s="68"/>
      <c r="G120" s="14"/>
      <c r="H120" s="49">
        <f t="shared" si="15"/>
        <v>1900</v>
      </c>
      <c r="I120" s="49" t="str">
        <f t="shared" si="16"/>
        <v>4</v>
      </c>
      <c r="AD120" s="14"/>
      <c r="AF120" s="14"/>
      <c r="AH120" s="14"/>
    </row>
    <row r="121" spans="3:34">
      <c r="C121" s="14"/>
      <c r="D121" s="68"/>
      <c r="E121" s="14"/>
      <c r="F121" s="68"/>
      <c r="G121" s="14"/>
      <c r="H121" s="49">
        <f t="shared" si="15"/>
        <v>1900</v>
      </c>
      <c r="I121" s="49" t="str">
        <f t="shared" si="16"/>
        <v>4</v>
      </c>
      <c r="AD121" s="14"/>
      <c r="AF121" s="14"/>
      <c r="AH121" s="14"/>
    </row>
    <row r="122" spans="3:34">
      <c r="C122" s="14"/>
      <c r="D122" s="68"/>
      <c r="E122" s="14"/>
      <c r="F122" s="68"/>
      <c r="G122" s="14"/>
      <c r="H122" s="49">
        <f t="shared" si="15"/>
        <v>1900</v>
      </c>
      <c r="I122" s="49" t="str">
        <f t="shared" si="16"/>
        <v>4</v>
      </c>
      <c r="AD122" s="14"/>
      <c r="AF122" s="14"/>
      <c r="AH122" s="14"/>
    </row>
    <row r="123" spans="3:34">
      <c r="C123" s="14"/>
      <c r="D123" s="68"/>
      <c r="E123" s="14"/>
      <c r="F123" s="68"/>
      <c r="G123" s="14"/>
      <c r="H123" s="49">
        <f t="shared" si="15"/>
        <v>1900</v>
      </c>
      <c r="I123" s="49" t="str">
        <f t="shared" si="16"/>
        <v>4</v>
      </c>
      <c r="AD123" s="14"/>
      <c r="AF123" s="14"/>
      <c r="AH123" s="14"/>
    </row>
    <row r="124" spans="3:34">
      <c r="C124" s="14"/>
      <c r="D124" s="68"/>
      <c r="E124" s="14"/>
      <c r="F124" s="68"/>
      <c r="G124" s="14"/>
      <c r="H124" s="49">
        <f t="shared" si="15"/>
        <v>1900</v>
      </c>
      <c r="I124" s="49" t="str">
        <f t="shared" si="16"/>
        <v>4</v>
      </c>
      <c r="AD124" s="14"/>
      <c r="AF124" s="14"/>
      <c r="AH124" s="14"/>
    </row>
    <row r="125" spans="3:34">
      <c r="C125" s="14"/>
      <c r="D125" s="68"/>
      <c r="E125" s="14"/>
      <c r="F125" s="68"/>
      <c r="G125" s="14"/>
      <c r="H125" s="49">
        <f t="shared" si="15"/>
        <v>1900</v>
      </c>
      <c r="I125" s="49" t="str">
        <f t="shared" si="16"/>
        <v>4</v>
      </c>
      <c r="AD125" s="14"/>
      <c r="AF125" s="14"/>
      <c r="AH125" s="14"/>
    </row>
    <row r="126" spans="3:34">
      <c r="C126" s="14"/>
      <c r="D126" s="68"/>
      <c r="E126" s="14"/>
      <c r="F126" s="68"/>
      <c r="G126" s="14"/>
      <c r="H126" s="49">
        <f t="shared" si="15"/>
        <v>1900</v>
      </c>
      <c r="I126" s="49" t="str">
        <f t="shared" si="16"/>
        <v>4</v>
      </c>
      <c r="AD126" s="14"/>
      <c r="AF126" s="14"/>
      <c r="AH126" s="14"/>
    </row>
    <row r="127" spans="3:34">
      <c r="C127" s="14"/>
      <c r="D127" s="68"/>
      <c r="E127" s="14"/>
      <c r="F127" s="68"/>
      <c r="G127" s="14"/>
      <c r="H127" s="49">
        <f t="shared" si="15"/>
        <v>1900</v>
      </c>
      <c r="I127" s="49" t="str">
        <f t="shared" si="16"/>
        <v>4</v>
      </c>
      <c r="AD127" s="14"/>
      <c r="AF127" s="14"/>
      <c r="AH127" s="14"/>
    </row>
    <row r="128" spans="3:34">
      <c r="C128" s="14"/>
      <c r="D128" s="68"/>
      <c r="E128" s="14"/>
      <c r="F128" s="68"/>
      <c r="G128" s="14"/>
      <c r="H128" s="49">
        <f t="shared" si="15"/>
        <v>1900</v>
      </c>
      <c r="I128" s="49" t="str">
        <f t="shared" si="16"/>
        <v>4</v>
      </c>
      <c r="AD128" s="14"/>
      <c r="AF128" s="14"/>
      <c r="AH128" s="14"/>
    </row>
    <row r="129" spans="3:34">
      <c r="C129" s="14"/>
      <c r="D129" s="68"/>
      <c r="E129" s="14"/>
      <c r="F129" s="68"/>
      <c r="G129" s="14"/>
      <c r="H129" s="49">
        <f t="shared" si="15"/>
        <v>1900</v>
      </c>
      <c r="I129" s="49" t="str">
        <f t="shared" si="16"/>
        <v>4</v>
      </c>
      <c r="AD129" s="14"/>
      <c r="AF129" s="14"/>
      <c r="AH129" s="14"/>
    </row>
    <row r="130" spans="3:34">
      <c r="C130" s="14"/>
      <c r="D130" s="68"/>
      <c r="E130" s="14"/>
      <c r="F130" s="68"/>
      <c r="G130" s="14"/>
      <c r="H130" s="49">
        <f t="shared" si="15"/>
        <v>1900</v>
      </c>
      <c r="I130" s="49" t="str">
        <f t="shared" si="16"/>
        <v>4</v>
      </c>
      <c r="AD130" s="14"/>
      <c r="AF130" s="14"/>
      <c r="AH130" s="14"/>
    </row>
    <row r="131" spans="3:34">
      <c r="C131" s="14"/>
      <c r="D131" s="68"/>
      <c r="E131" s="14"/>
      <c r="F131" s="68"/>
      <c r="G131" s="14"/>
      <c r="H131" s="49">
        <f t="shared" si="15"/>
        <v>1900</v>
      </c>
      <c r="I131" s="49" t="str">
        <f t="shared" si="16"/>
        <v>4</v>
      </c>
      <c r="AD131" s="14"/>
      <c r="AF131" s="14"/>
      <c r="AH131" s="14"/>
    </row>
    <row r="132" spans="3:34">
      <c r="C132" s="14"/>
      <c r="D132" s="68"/>
      <c r="E132" s="14"/>
      <c r="F132" s="68"/>
      <c r="G132" s="14"/>
      <c r="H132" s="49">
        <f t="shared" si="15"/>
        <v>1900</v>
      </c>
      <c r="I132" s="49" t="str">
        <f t="shared" si="16"/>
        <v>4</v>
      </c>
      <c r="AD132" s="14"/>
      <c r="AF132" s="14"/>
      <c r="AH132" s="14"/>
    </row>
    <row r="133" spans="3:34">
      <c r="C133" s="14"/>
      <c r="D133" s="68"/>
      <c r="E133" s="14"/>
      <c r="F133" s="68"/>
      <c r="G133" s="14"/>
      <c r="H133" s="49">
        <f t="shared" si="15"/>
        <v>1900</v>
      </c>
      <c r="I133" s="49" t="str">
        <f t="shared" si="16"/>
        <v>4</v>
      </c>
      <c r="AD133" s="14"/>
      <c r="AF133" s="14"/>
      <c r="AH133" s="14"/>
    </row>
    <row r="134" spans="3:34">
      <c r="C134" s="14"/>
      <c r="D134" s="68"/>
      <c r="E134" s="14"/>
      <c r="F134" s="68"/>
      <c r="G134" s="14"/>
      <c r="H134" s="49">
        <f t="shared" si="15"/>
        <v>1900</v>
      </c>
      <c r="I134" s="49" t="str">
        <f t="shared" si="16"/>
        <v>4</v>
      </c>
      <c r="AD134" s="14"/>
      <c r="AF134" s="14"/>
      <c r="AH134" s="14"/>
    </row>
    <row r="135" spans="3:34">
      <c r="C135" s="14"/>
      <c r="D135" s="68"/>
      <c r="E135" s="14"/>
      <c r="F135" s="68"/>
      <c r="G135" s="14"/>
      <c r="H135" s="49">
        <f t="shared" si="15"/>
        <v>1900</v>
      </c>
      <c r="I135" s="49" t="str">
        <f t="shared" si="16"/>
        <v>4</v>
      </c>
      <c r="AD135" s="14"/>
      <c r="AF135" s="14"/>
      <c r="AH135" s="14"/>
    </row>
    <row r="136" spans="3:34">
      <c r="C136" s="14"/>
      <c r="D136" s="68"/>
      <c r="E136" s="14"/>
      <c r="F136" s="68"/>
      <c r="G136" s="14"/>
      <c r="H136" s="49">
        <f t="shared" si="15"/>
        <v>1900</v>
      </c>
      <c r="I136" s="49" t="str">
        <f t="shared" si="16"/>
        <v>4</v>
      </c>
      <c r="AD136" s="14"/>
      <c r="AF136" s="14"/>
      <c r="AH136" s="14"/>
    </row>
    <row r="137" spans="3:34">
      <c r="C137" s="14"/>
      <c r="D137" s="68"/>
      <c r="E137" s="14"/>
      <c r="F137" s="68"/>
      <c r="G137" s="14"/>
      <c r="H137" s="49">
        <f t="shared" si="15"/>
        <v>1900</v>
      </c>
      <c r="I137" s="49" t="str">
        <f t="shared" si="16"/>
        <v>4</v>
      </c>
      <c r="AD137" s="14"/>
      <c r="AF137" s="14"/>
      <c r="AH137" s="14"/>
    </row>
    <row r="138" spans="3:34">
      <c r="C138" s="14"/>
      <c r="D138" s="68"/>
      <c r="E138" s="14"/>
      <c r="F138" s="68"/>
      <c r="G138" s="14"/>
      <c r="H138" s="49">
        <f t="shared" ref="H138:H201" si="17">YEAR(A138)</f>
        <v>1900</v>
      </c>
      <c r="I138" s="49" t="str">
        <f t="shared" ref="I138:I201" si="18">IF(MONTH(A138)=3,"1",IF(MONTH(A138)=6,"2",IF(MONTH(A138)=9,"3","4")))</f>
        <v>4</v>
      </c>
      <c r="AD138" s="14"/>
      <c r="AF138" s="14"/>
      <c r="AH138" s="14"/>
    </row>
    <row r="139" spans="3:34">
      <c r="C139" s="14"/>
      <c r="D139" s="68"/>
      <c r="E139" s="14"/>
      <c r="F139" s="68"/>
      <c r="G139" s="14"/>
      <c r="H139" s="49">
        <f t="shared" si="17"/>
        <v>1900</v>
      </c>
      <c r="I139" s="49" t="str">
        <f t="shared" si="18"/>
        <v>4</v>
      </c>
      <c r="AD139" s="14"/>
      <c r="AF139" s="14"/>
      <c r="AH139" s="14"/>
    </row>
    <row r="140" spans="3:34">
      <c r="C140" s="14"/>
      <c r="D140" s="68"/>
      <c r="E140" s="14"/>
      <c r="F140" s="14"/>
      <c r="G140" s="14"/>
      <c r="H140" s="49">
        <f t="shared" si="17"/>
        <v>1900</v>
      </c>
      <c r="I140" s="49" t="str">
        <f t="shared" si="18"/>
        <v>4</v>
      </c>
      <c r="AD140" s="14"/>
      <c r="AF140" s="14"/>
      <c r="AH140" s="14"/>
    </row>
    <row r="141" spans="3:34">
      <c r="C141" s="14"/>
      <c r="D141" s="68"/>
      <c r="E141" s="14"/>
      <c r="F141" s="14"/>
      <c r="G141" s="14"/>
      <c r="H141" s="49">
        <f t="shared" si="17"/>
        <v>1900</v>
      </c>
      <c r="I141" s="49" t="str">
        <f t="shared" si="18"/>
        <v>4</v>
      </c>
      <c r="AD141" s="14"/>
      <c r="AF141" s="14"/>
      <c r="AH141" s="14"/>
    </row>
    <row r="142" spans="3:34">
      <c r="C142" s="14"/>
      <c r="D142" s="68"/>
      <c r="E142" s="14"/>
      <c r="F142" s="14"/>
      <c r="G142" s="14"/>
      <c r="H142" s="49">
        <f t="shared" si="17"/>
        <v>1900</v>
      </c>
      <c r="I142" s="49" t="str">
        <f t="shared" si="18"/>
        <v>4</v>
      </c>
      <c r="AD142" s="14"/>
      <c r="AF142" s="14"/>
      <c r="AH142" s="14"/>
    </row>
    <row r="143" spans="3:34">
      <c r="C143" s="14"/>
      <c r="D143" s="68"/>
      <c r="E143" s="14"/>
      <c r="F143" s="14"/>
      <c r="G143" s="14"/>
      <c r="H143" s="49">
        <f t="shared" si="17"/>
        <v>1900</v>
      </c>
      <c r="I143" s="49" t="str">
        <f t="shared" si="18"/>
        <v>4</v>
      </c>
      <c r="AD143" s="14"/>
      <c r="AF143" s="14"/>
      <c r="AH143" s="14"/>
    </row>
    <row r="144" spans="3:34">
      <c r="C144" s="14"/>
      <c r="D144" s="68"/>
      <c r="E144" s="14"/>
      <c r="F144" s="14"/>
      <c r="G144" s="14"/>
      <c r="H144" s="49">
        <f t="shared" si="17"/>
        <v>1900</v>
      </c>
      <c r="I144" s="49" t="str">
        <f t="shared" si="18"/>
        <v>4</v>
      </c>
      <c r="AD144" s="14"/>
      <c r="AF144" s="14"/>
      <c r="AH144" s="14"/>
    </row>
    <row r="145" spans="3:34">
      <c r="C145" s="14"/>
      <c r="D145" s="68"/>
      <c r="E145" s="14"/>
      <c r="F145" s="14"/>
      <c r="G145" s="14"/>
      <c r="H145" s="49">
        <f t="shared" si="17"/>
        <v>1900</v>
      </c>
      <c r="I145" s="49" t="str">
        <f t="shared" si="18"/>
        <v>4</v>
      </c>
      <c r="AD145" s="14"/>
      <c r="AF145" s="14"/>
      <c r="AH145" s="14"/>
    </row>
    <row r="146" spans="3:34">
      <c r="C146" s="14"/>
      <c r="D146" s="68"/>
      <c r="E146" s="14"/>
      <c r="F146" s="14"/>
      <c r="G146" s="14"/>
      <c r="H146" s="49">
        <f t="shared" si="17"/>
        <v>1900</v>
      </c>
      <c r="I146" s="49" t="str">
        <f t="shared" si="18"/>
        <v>4</v>
      </c>
      <c r="AD146" s="14"/>
      <c r="AF146" s="14"/>
      <c r="AH146" s="14"/>
    </row>
    <row r="147" spans="3:34">
      <c r="C147" s="14"/>
      <c r="D147" s="68"/>
      <c r="E147" s="14"/>
      <c r="F147" s="14"/>
      <c r="G147" s="14"/>
      <c r="H147" s="49">
        <f t="shared" si="17"/>
        <v>1900</v>
      </c>
      <c r="I147" s="49" t="str">
        <f t="shared" si="18"/>
        <v>4</v>
      </c>
      <c r="AD147" s="14"/>
      <c r="AF147" s="14"/>
      <c r="AH147" s="14"/>
    </row>
    <row r="148" spans="3:34">
      <c r="C148" s="14"/>
      <c r="D148" s="68"/>
      <c r="E148" s="14"/>
      <c r="F148" s="14"/>
      <c r="G148" s="14"/>
      <c r="H148" s="49">
        <f t="shared" si="17"/>
        <v>1900</v>
      </c>
      <c r="I148" s="49" t="str">
        <f t="shared" si="18"/>
        <v>4</v>
      </c>
      <c r="AD148" s="14"/>
      <c r="AF148" s="14"/>
      <c r="AH148" s="14"/>
    </row>
    <row r="149" spans="3:34">
      <c r="C149" s="14"/>
      <c r="D149" s="68"/>
      <c r="E149" s="14"/>
      <c r="F149" s="14"/>
      <c r="G149" s="14"/>
      <c r="H149" s="49">
        <f t="shared" si="17"/>
        <v>1900</v>
      </c>
      <c r="I149" s="49" t="str">
        <f t="shared" si="18"/>
        <v>4</v>
      </c>
      <c r="AD149" s="14"/>
      <c r="AF149" s="14"/>
      <c r="AH149" s="14"/>
    </row>
    <row r="150" spans="3:34">
      <c r="C150" s="14"/>
      <c r="D150" s="68"/>
      <c r="E150" s="14"/>
      <c r="F150" s="14"/>
      <c r="G150" s="14"/>
      <c r="H150" s="49">
        <f t="shared" si="17"/>
        <v>1900</v>
      </c>
      <c r="I150" s="49" t="str">
        <f t="shared" si="18"/>
        <v>4</v>
      </c>
      <c r="AD150" s="14"/>
      <c r="AF150" s="14"/>
      <c r="AH150" s="14"/>
    </row>
    <row r="151" spans="3:34">
      <c r="C151" s="14"/>
      <c r="D151" s="68"/>
      <c r="E151" s="14"/>
      <c r="F151" s="14"/>
      <c r="G151" s="14"/>
      <c r="H151" s="49">
        <f t="shared" si="17"/>
        <v>1900</v>
      </c>
      <c r="I151" s="49" t="str">
        <f t="shared" si="18"/>
        <v>4</v>
      </c>
      <c r="AD151" s="14"/>
      <c r="AF151" s="14"/>
      <c r="AH151" s="14"/>
    </row>
    <row r="152" spans="3:34">
      <c r="C152" s="14"/>
      <c r="D152" s="68"/>
      <c r="E152" s="14"/>
      <c r="F152" s="14"/>
      <c r="G152" s="14"/>
      <c r="H152" s="49">
        <f t="shared" si="17"/>
        <v>1900</v>
      </c>
      <c r="I152" s="49" t="str">
        <f t="shared" si="18"/>
        <v>4</v>
      </c>
      <c r="AD152" s="14"/>
      <c r="AF152" s="14"/>
      <c r="AH152" s="14"/>
    </row>
    <row r="153" spans="3:34">
      <c r="C153" s="14"/>
      <c r="D153" s="68"/>
      <c r="E153" s="14"/>
      <c r="F153" s="14"/>
      <c r="G153" s="14"/>
      <c r="H153" s="49">
        <f t="shared" si="17"/>
        <v>1900</v>
      </c>
      <c r="I153" s="49" t="str">
        <f t="shared" si="18"/>
        <v>4</v>
      </c>
      <c r="AD153" s="14"/>
      <c r="AF153" s="14"/>
      <c r="AH153" s="14"/>
    </row>
    <row r="154" spans="3:34">
      <c r="C154" s="14"/>
      <c r="D154" s="68"/>
      <c r="E154" s="14"/>
      <c r="F154" s="14"/>
      <c r="G154" s="14"/>
      <c r="H154" s="49">
        <f t="shared" si="17"/>
        <v>1900</v>
      </c>
      <c r="I154" s="49" t="str">
        <f t="shared" si="18"/>
        <v>4</v>
      </c>
      <c r="AD154" s="14"/>
      <c r="AF154" s="14"/>
      <c r="AH154" s="14"/>
    </row>
    <row r="155" spans="3:34">
      <c r="C155" s="14"/>
      <c r="D155" s="68"/>
      <c r="E155" s="14"/>
      <c r="F155" s="14"/>
      <c r="G155" s="14"/>
      <c r="H155" s="49">
        <f t="shared" si="17"/>
        <v>1900</v>
      </c>
      <c r="I155" s="49" t="str">
        <f t="shared" si="18"/>
        <v>4</v>
      </c>
      <c r="AD155" s="14"/>
      <c r="AF155" s="14"/>
      <c r="AH155" s="14"/>
    </row>
    <row r="156" spans="3:34">
      <c r="C156" s="14"/>
      <c r="D156" s="68"/>
      <c r="E156" s="14"/>
      <c r="F156" s="14"/>
      <c r="G156" s="14"/>
      <c r="H156" s="49">
        <f t="shared" si="17"/>
        <v>1900</v>
      </c>
      <c r="I156" s="49" t="str">
        <f t="shared" si="18"/>
        <v>4</v>
      </c>
      <c r="AD156" s="14"/>
      <c r="AF156" s="14"/>
      <c r="AH156" s="14"/>
    </row>
    <row r="157" spans="3:34">
      <c r="C157" s="14"/>
      <c r="D157" s="68"/>
      <c r="E157" s="14"/>
      <c r="F157" s="14"/>
      <c r="G157" s="14"/>
      <c r="H157" s="49">
        <f t="shared" si="17"/>
        <v>1900</v>
      </c>
      <c r="I157" s="49" t="str">
        <f t="shared" si="18"/>
        <v>4</v>
      </c>
      <c r="AD157" s="14"/>
      <c r="AF157" s="14"/>
      <c r="AH157" s="14"/>
    </row>
    <row r="158" spans="3:34">
      <c r="C158" s="14"/>
      <c r="D158" s="68"/>
      <c r="E158" s="14"/>
      <c r="F158" s="14"/>
      <c r="G158" s="14"/>
      <c r="H158" s="49">
        <f t="shared" si="17"/>
        <v>1900</v>
      </c>
      <c r="I158" s="49" t="str">
        <f t="shared" si="18"/>
        <v>4</v>
      </c>
      <c r="AD158" s="14"/>
      <c r="AF158" s="14"/>
      <c r="AH158" s="14"/>
    </row>
    <row r="159" spans="3:34">
      <c r="C159" s="14"/>
      <c r="D159" s="68"/>
      <c r="E159" s="14"/>
      <c r="F159" s="14"/>
      <c r="G159" s="14"/>
      <c r="H159" s="49">
        <f t="shared" si="17"/>
        <v>1900</v>
      </c>
      <c r="I159" s="49" t="str">
        <f t="shared" si="18"/>
        <v>4</v>
      </c>
      <c r="AD159" s="14"/>
      <c r="AF159" s="14"/>
      <c r="AH159" s="14"/>
    </row>
    <row r="160" spans="3:34">
      <c r="C160" s="14"/>
      <c r="D160" s="68"/>
      <c r="E160" s="14"/>
      <c r="F160" s="14"/>
      <c r="G160" s="14"/>
      <c r="H160" s="49">
        <f t="shared" si="17"/>
        <v>1900</v>
      </c>
      <c r="I160" s="49" t="str">
        <f t="shared" si="18"/>
        <v>4</v>
      </c>
      <c r="AD160" s="14"/>
      <c r="AF160" s="14"/>
      <c r="AH160" s="14"/>
    </row>
    <row r="161" spans="3:34">
      <c r="C161" s="14"/>
      <c r="D161" s="68"/>
      <c r="E161" s="14"/>
      <c r="F161" s="14"/>
      <c r="G161" s="14"/>
      <c r="H161" s="49">
        <f t="shared" si="17"/>
        <v>1900</v>
      </c>
      <c r="I161" s="49" t="str">
        <f t="shared" si="18"/>
        <v>4</v>
      </c>
      <c r="AD161" s="14"/>
      <c r="AF161" s="14"/>
      <c r="AH161" s="14"/>
    </row>
    <row r="162" spans="3:34">
      <c r="C162" s="14"/>
      <c r="D162" s="68"/>
      <c r="E162" s="14"/>
      <c r="F162" s="14"/>
      <c r="G162" s="14"/>
      <c r="H162" s="49">
        <f t="shared" si="17"/>
        <v>1900</v>
      </c>
      <c r="I162" s="49" t="str">
        <f t="shared" si="18"/>
        <v>4</v>
      </c>
      <c r="AD162" s="14"/>
      <c r="AF162" s="14"/>
      <c r="AH162" s="14"/>
    </row>
    <row r="163" spans="3:34">
      <c r="C163" s="14"/>
      <c r="D163" s="68"/>
      <c r="E163" s="14"/>
      <c r="F163" s="14"/>
      <c r="G163" s="14"/>
      <c r="H163" s="49">
        <f t="shared" si="17"/>
        <v>1900</v>
      </c>
      <c r="I163" s="49" t="str">
        <f t="shared" si="18"/>
        <v>4</v>
      </c>
      <c r="AD163" s="14"/>
      <c r="AF163" s="14"/>
      <c r="AH163" s="14"/>
    </row>
    <row r="164" spans="3:34">
      <c r="C164" s="14"/>
      <c r="D164" s="68"/>
      <c r="E164" s="14"/>
      <c r="F164" s="14"/>
      <c r="G164" s="14"/>
      <c r="H164" s="49">
        <f t="shared" si="17"/>
        <v>1900</v>
      </c>
      <c r="I164" s="49" t="str">
        <f t="shared" si="18"/>
        <v>4</v>
      </c>
      <c r="AD164" s="14"/>
      <c r="AF164" s="14"/>
      <c r="AH164" s="14"/>
    </row>
    <row r="165" spans="3:34">
      <c r="C165" s="14"/>
      <c r="D165" s="68"/>
      <c r="E165" s="14"/>
      <c r="F165" s="14"/>
      <c r="G165" s="14"/>
      <c r="H165" s="49">
        <f t="shared" si="17"/>
        <v>1900</v>
      </c>
      <c r="I165" s="49" t="str">
        <f t="shared" si="18"/>
        <v>4</v>
      </c>
    </row>
    <row r="166" spans="3:34">
      <c r="C166" s="14"/>
      <c r="D166" s="68"/>
      <c r="E166" s="14"/>
      <c r="F166" s="14"/>
      <c r="G166" s="14"/>
      <c r="H166" s="49">
        <f t="shared" si="17"/>
        <v>1900</v>
      </c>
      <c r="I166" s="49" t="str">
        <f t="shared" si="18"/>
        <v>4</v>
      </c>
    </row>
    <row r="167" spans="3:34">
      <c r="C167" s="14"/>
      <c r="D167" s="68"/>
      <c r="E167" s="14"/>
      <c r="F167" s="14"/>
      <c r="G167" s="14"/>
      <c r="H167" s="49">
        <f t="shared" si="17"/>
        <v>1900</v>
      </c>
      <c r="I167" s="49" t="str">
        <f t="shared" si="18"/>
        <v>4</v>
      </c>
    </row>
    <row r="168" spans="3:34">
      <c r="C168" s="14"/>
      <c r="D168" s="68"/>
      <c r="E168" s="14"/>
      <c r="F168" s="14"/>
      <c r="G168" s="14"/>
      <c r="H168" s="49">
        <f t="shared" si="17"/>
        <v>1900</v>
      </c>
      <c r="I168" s="49" t="str">
        <f t="shared" si="18"/>
        <v>4</v>
      </c>
    </row>
    <row r="169" spans="3:34">
      <c r="C169" s="14"/>
      <c r="D169" s="68"/>
      <c r="E169" s="14"/>
      <c r="F169" s="14"/>
      <c r="G169" s="14"/>
      <c r="H169" s="49">
        <f t="shared" si="17"/>
        <v>1900</v>
      </c>
      <c r="I169" s="49" t="str">
        <f t="shared" si="18"/>
        <v>4</v>
      </c>
    </row>
    <row r="170" spans="3:34">
      <c r="C170" s="14"/>
      <c r="D170" s="68"/>
      <c r="E170" s="14"/>
      <c r="F170" s="14"/>
      <c r="G170" s="14"/>
      <c r="H170" s="49">
        <f t="shared" si="17"/>
        <v>1900</v>
      </c>
      <c r="I170" s="49" t="str">
        <f t="shared" si="18"/>
        <v>4</v>
      </c>
    </row>
    <row r="171" spans="3:34">
      <c r="C171" s="14"/>
      <c r="D171" s="68"/>
      <c r="E171" s="14"/>
      <c r="F171" s="14"/>
      <c r="G171" s="14"/>
      <c r="H171" s="49">
        <f t="shared" si="17"/>
        <v>1900</v>
      </c>
      <c r="I171" s="49" t="str">
        <f t="shared" si="18"/>
        <v>4</v>
      </c>
    </row>
    <row r="172" spans="3:34">
      <c r="C172" s="14"/>
      <c r="D172" s="68"/>
      <c r="E172" s="14"/>
      <c r="F172" s="14"/>
      <c r="G172" s="14"/>
      <c r="H172" s="49">
        <f t="shared" si="17"/>
        <v>1900</v>
      </c>
      <c r="I172" s="49" t="str">
        <f t="shared" si="18"/>
        <v>4</v>
      </c>
    </row>
    <row r="173" spans="3:34">
      <c r="C173" s="14"/>
      <c r="D173" s="68"/>
      <c r="E173" s="14"/>
      <c r="F173" s="14"/>
      <c r="G173" s="14"/>
      <c r="H173" s="49">
        <f t="shared" si="17"/>
        <v>1900</v>
      </c>
      <c r="I173" s="49" t="str">
        <f t="shared" si="18"/>
        <v>4</v>
      </c>
    </row>
    <row r="174" spans="3:34">
      <c r="C174" s="14"/>
      <c r="D174" s="68"/>
      <c r="E174" s="14"/>
      <c r="F174" s="14"/>
      <c r="G174" s="14"/>
      <c r="H174" s="49">
        <f t="shared" si="17"/>
        <v>1900</v>
      </c>
      <c r="I174" s="49" t="str">
        <f t="shared" si="18"/>
        <v>4</v>
      </c>
    </row>
    <row r="175" spans="3:34">
      <c r="C175" s="14"/>
      <c r="D175" s="68"/>
      <c r="E175" s="14"/>
      <c r="F175" s="14"/>
      <c r="G175" s="14"/>
      <c r="H175" s="49">
        <f t="shared" si="17"/>
        <v>1900</v>
      </c>
      <c r="I175" s="49" t="str">
        <f t="shared" si="18"/>
        <v>4</v>
      </c>
    </row>
    <row r="176" spans="3:34">
      <c r="C176" s="14"/>
      <c r="D176" s="68"/>
      <c r="E176" s="14"/>
      <c r="F176" s="14"/>
      <c r="G176" s="14"/>
      <c r="H176" s="49">
        <f t="shared" si="17"/>
        <v>1900</v>
      </c>
      <c r="I176" s="49" t="str">
        <f t="shared" si="18"/>
        <v>4</v>
      </c>
    </row>
    <row r="177" spans="3:9">
      <c r="C177" s="14"/>
      <c r="D177" s="68"/>
      <c r="E177" s="14"/>
      <c r="F177" s="14"/>
      <c r="G177" s="14"/>
      <c r="H177" s="49">
        <f t="shared" si="17"/>
        <v>1900</v>
      </c>
      <c r="I177" s="49" t="str">
        <f t="shared" si="18"/>
        <v>4</v>
      </c>
    </row>
    <row r="178" spans="3:9">
      <c r="C178" s="14"/>
      <c r="D178" s="68"/>
      <c r="E178" s="14"/>
      <c r="F178" s="14"/>
      <c r="G178" s="14"/>
      <c r="H178" s="49">
        <f t="shared" si="17"/>
        <v>1900</v>
      </c>
      <c r="I178" s="49" t="str">
        <f t="shared" si="18"/>
        <v>4</v>
      </c>
    </row>
    <row r="179" spans="3:9">
      <c r="C179" s="14"/>
      <c r="D179" s="68"/>
      <c r="E179" s="14"/>
      <c r="F179" s="14"/>
      <c r="G179" s="14"/>
      <c r="H179" s="49">
        <f t="shared" si="17"/>
        <v>1900</v>
      </c>
      <c r="I179" s="49" t="str">
        <f t="shared" si="18"/>
        <v>4</v>
      </c>
    </row>
    <row r="180" spans="3:9">
      <c r="C180" s="14"/>
      <c r="D180" s="68"/>
      <c r="E180" s="14"/>
      <c r="F180" s="14"/>
      <c r="G180" s="14"/>
      <c r="H180" s="49">
        <f t="shared" si="17"/>
        <v>1900</v>
      </c>
      <c r="I180" s="49" t="str">
        <f t="shared" si="18"/>
        <v>4</v>
      </c>
    </row>
    <row r="181" spans="3:9">
      <c r="C181" s="14"/>
      <c r="D181" s="68"/>
      <c r="E181" s="14"/>
      <c r="F181" s="14"/>
      <c r="G181" s="14"/>
      <c r="H181" s="49">
        <f t="shared" si="17"/>
        <v>1900</v>
      </c>
      <c r="I181" s="49" t="str">
        <f t="shared" si="18"/>
        <v>4</v>
      </c>
    </row>
    <row r="182" spans="3:9">
      <c r="C182" s="14"/>
      <c r="D182" s="68"/>
      <c r="E182" s="14"/>
      <c r="F182" s="14"/>
      <c r="G182" s="14"/>
      <c r="H182" s="49">
        <f t="shared" si="17"/>
        <v>1900</v>
      </c>
      <c r="I182" s="49" t="str">
        <f t="shared" si="18"/>
        <v>4</v>
      </c>
    </row>
    <row r="183" spans="3:9">
      <c r="C183" s="14"/>
      <c r="D183" s="68"/>
      <c r="E183" s="14"/>
      <c r="F183" s="14"/>
      <c r="G183" s="14"/>
      <c r="H183" s="49">
        <f t="shared" si="17"/>
        <v>1900</v>
      </c>
      <c r="I183" s="49" t="str">
        <f t="shared" si="18"/>
        <v>4</v>
      </c>
    </row>
    <row r="184" spans="3:9">
      <c r="C184" s="14"/>
      <c r="D184" s="68"/>
      <c r="E184" s="14"/>
      <c r="F184" s="14"/>
      <c r="G184" s="14"/>
      <c r="H184" s="49">
        <f t="shared" si="17"/>
        <v>1900</v>
      </c>
      <c r="I184" s="49" t="str">
        <f t="shared" si="18"/>
        <v>4</v>
      </c>
    </row>
    <row r="185" spans="3:9">
      <c r="C185" s="14"/>
      <c r="D185" s="68"/>
      <c r="E185" s="14"/>
      <c r="F185" s="14"/>
      <c r="G185" s="14"/>
      <c r="H185" s="49">
        <f t="shared" si="17"/>
        <v>1900</v>
      </c>
      <c r="I185" s="49" t="str">
        <f t="shared" si="18"/>
        <v>4</v>
      </c>
    </row>
    <row r="186" spans="3:9">
      <c r="C186" s="14"/>
      <c r="D186" s="68"/>
      <c r="E186" s="14"/>
      <c r="F186" s="14"/>
      <c r="G186" s="14"/>
      <c r="H186" s="49">
        <f t="shared" si="17"/>
        <v>1900</v>
      </c>
      <c r="I186" s="49" t="str">
        <f t="shared" si="18"/>
        <v>4</v>
      </c>
    </row>
    <row r="187" spans="3:9">
      <c r="C187" s="14"/>
      <c r="D187" s="68"/>
      <c r="E187" s="14"/>
      <c r="F187" s="14"/>
      <c r="G187" s="14"/>
      <c r="H187" s="49">
        <f t="shared" si="17"/>
        <v>1900</v>
      </c>
      <c r="I187" s="49" t="str">
        <f t="shared" si="18"/>
        <v>4</v>
      </c>
    </row>
    <row r="188" spans="3:9">
      <c r="C188" s="14"/>
      <c r="D188" s="68"/>
      <c r="E188" s="14"/>
      <c r="F188" s="14"/>
      <c r="G188" s="14"/>
      <c r="H188" s="49">
        <f t="shared" si="17"/>
        <v>1900</v>
      </c>
      <c r="I188" s="49" t="str">
        <f t="shared" si="18"/>
        <v>4</v>
      </c>
    </row>
    <row r="189" spans="3:9">
      <c r="C189" s="14"/>
      <c r="D189" s="68"/>
      <c r="E189" s="14"/>
      <c r="F189" s="14"/>
      <c r="G189" s="14"/>
      <c r="H189" s="49">
        <f t="shared" si="17"/>
        <v>1900</v>
      </c>
      <c r="I189" s="49" t="str">
        <f t="shared" si="18"/>
        <v>4</v>
      </c>
    </row>
    <row r="190" spans="3:9">
      <c r="C190" s="14"/>
      <c r="D190" s="68"/>
      <c r="E190" s="14"/>
      <c r="F190" s="14"/>
      <c r="G190" s="14"/>
      <c r="H190" s="49">
        <f t="shared" si="17"/>
        <v>1900</v>
      </c>
      <c r="I190" s="49" t="str">
        <f t="shared" si="18"/>
        <v>4</v>
      </c>
    </row>
    <row r="191" spans="3:9">
      <c r="C191" s="14"/>
      <c r="D191" s="68"/>
      <c r="E191" s="14"/>
      <c r="F191" s="14"/>
      <c r="G191" s="14"/>
      <c r="H191" s="49">
        <f t="shared" si="17"/>
        <v>1900</v>
      </c>
      <c r="I191" s="49" t="str">
        <f t="shared" si="18"/>
        <v>4</v>
      </c>
    </row>
    <row r="192" spans="3:9">
      <c r="C192" s="14"/>
      <c r="D192" s="68"/>
      <c r="E192" s="14"/>
      <c r="F192" s="14"/>
      <c r="G192" s="14"/>
      <c r="H192" s="49">
        <f t="shared" si="17"/>
        <v>1900</v>
      </c>
      <c r="I192" s="49" t="str">
        <f t="shared" si="18"/>
        <v>4</v>
      </c>
    </row>
    <row r="193" spans="3:9">
      <c r="C193" s="14"/>
      <c r="D193" s="68"/>
      <c r="E193" s="14"/>
      <c r="F193" s="14"/>
      <c r="G193" s="14"/>
      <c r="H193" s="49">
        <f t="shared" si="17"/>
        <v>1900</v>
      </c>
      <c r="I193" s="49" t="str">
        <f t="shared" si="18"/>
        <v>4</v>
      </c>
    </row>
    <row r="194" spans="3:9">
      <c r="C194" s="14"/>
      <c r="D194" s="68"/>
      <c r="E194" s="14"/>
      <c r="F194" s="14"/>
      <c r="G194" s="14"/>
      <c r="H194" s="49">
        <f t="shared" si="17"/>
        <v>1900</v>
      </c>
      <c r="I194" s="49" t="str">
        <f t="shared" si="18"/>
        <v>4</v>
      </c>
    </row>
    <row r="195" spans="3:9">
      <c r="C195" s="14"/>
      <c r="D195" s="68"/>
      <c r="E195" s="14"/>
      <c r="F195" s="14"/>
      <c r="G195" s="14"/>
      <c r="H195" s="49">
        <f t="shared" si="17"/>
        <v>1900</v>
      </c>
      <c r="I195" s="49" t="str">
        <f t="shared" si="18"/>
        <v>4</v>
      </c>
    </row>
    <row r="196" spans="3:9">
      <c r="C196" s="14"/>
      <c r="D196" s="68"/>
      <c r="E196" s="14"/>
      <c r="F196" s="14"/>
      <c r="G196" s="14"/>
      <c r="H196" s="49">
        <f t="shared" si="17"/>
        <v>1900</v>
      </c>
      <c r="I196" s="49" t="str">
        <f t="shared" si="18"/>
        <v>4</v>
      </c>
    </row>
    <row r="197" spans="3:9">
      <c r="C197" s="14"/>
      <c r="D197" s="68"/>
      <c r="E197" s="14"/>
      <c r="F197" s="14"/>
      <c r="G197" s="14"/>
      <c r="H197" s="49">
        <f t="shared" si="17"/>
        <v>1900</v>
      </c>
      <c r="I197" s="49" t="str">
        <f t="shared" si="18"/>
        <v>4</v>
      </c>
    </row>
    <row r="198" spans="3:9">
      <c r="C198" s="14"/>
      <c r="D198" s="68"/>
      <c r="E198" s="14"/>
      <c r="F198" s="14"/>
      <c r="G198" s="14"/>
      <c r="H198" s="49">
        <f t="shared" si="17"/>
        <v>1900</v>
      </c>
      <c r="I198" s="49" t="str">
        <f t="shared" si="18"/>
        <v>4</v>
      </c>
    </row>
    <row r="199" spans="3:9">
      <c r="C199" s="14"/>
      <c r="D199" s="68"/>
      <c r="E199" s="14"/>
      <c r="F199" s="14"/>
      <c r="G199" s="14"/>
      <c r="H199" s="49">
        <f t="shared" si="17"/>
        <v>1900</v>
      </c>
      <c r="I199" s="49" t="str">
        <f t="shared" si="18"/>
        <v>4</v>
      </c>
    </row>
    <row r="200" spans="3:9">
      <c r="C200" s="14"/>
      <c r="D200" s="68"/>
      <c r="E200" s="14"/>
      <c r="F200" s="14"/>
      <c r="G200" s="14"/>
      <c r="H200" s="49">
        <f t="shared" si="17"/>
        <v>1900</v>
      </c>
      <c r="I200" s="49" t="str">
        <f t="shared" si="18"/>
        <v>4</v>
      </c>
    </row>
    <row r="201" spans="3:9">
      <c r="C201" s="14"/>
      <c r="D201" s="68"/>
      <c r="E201" s="14"/>
      <c r="F201" s="14"/>
      <c r="G201" s="14"/>
      <c r="H201" s="49">
        <f t="shared" si="17"/>
        <v>1900</v>
      </c>
      <c r="I201" s="49" t="str">
        <f t="shared" si="18"/>
        <v>4</v>
      </c>
    </row>
    <row r="202" spans="3:9">
      <c r="C202" s="14"/>
      <c r="D202" s="68"/>
      <c r="E202" s="14"/>
      <c r="F202" s="14"/>
      <c r="G202" s="14"/>
      <c r="H202" s="49">
        <f t="shared" ref="H202:H250" si="19">YEAR(A202)</f>
        <v>1900</v>
      </c>
      <c r="I202" s="49" t="str">
        <f t="shared" ref="I202:I250" si="20">IF(MONTH(A202)=3,"1",IF(MONTH(A202)=6,"2",IF(MONTH(A202)=9,"3","4")))</f>
        <v>4</v>
      </c>
    </row>
    <row r="203" spans="3:9">
      <c r="C203" s="14"/>
      <c r="D203" s="68"/>
      <c r="E203" s="14"/>
      <c r="F203" s="14"/>
      <c r="G203" s="14"/>
      <c r="H203" s="49">
        <f t="shared" si="19"/>
        <v>1900</v>
      </c>
      <c r="I203" s="49" t="str">
        <f t="shared" si="20"/>
        <v>4</v>
      </c>
    </row>
    <row r="204" spans="3:9">
      <c r="C204" s="14"/>
      <c r="D204" s="68"/>
      <c r="E204" s="14"/>
      <c r="F204" s="14"/>
      <c r="G204" s="14"/>
      <c r="H204" s="49">
        <f t="shared" si="19"/>
        <v>1900</v>
      </c>
      <c r="I204" s="49" t="str">
        <f t="shared" si="20"/>
        <v>4</v>
      </c>
    </row>
    <row r="205" spans="3:9">
      <c r="C205" s="14"/>
      <c r="D205" s="68"/>
      <c r="E205" s="14"/>
      <c r="F205" s="14"/>
      <c r="G205" s="14"/>
      <c r="H205" s="49">
        <f t="shared" si="19"/>
        <v>1900</v>
      </c>
      <c r="I205" s="49" t="str">
        <f t="shared" si="20"/>
        <v>4</v>
      </c>
    </row>
    <row r="206" spans="3:9">
      <c r="C206" s="14"/>
      <c r="D206" s="68"/>
      <c r="E206" s="14"/>
      <c r="F206" s="14"/>
      <c r="G206" s="14"/>
      <c r="H206" s="49">
        <f t="shared" si="19"/>
        <v>1900</v>
      </c>
      <c r="I206" s="49" t="str">
        <f t="shared" si="20"/>
        <v>4</v>
      </c>
    </row>
    <row r="207" spans="3:9">
      <c r="C207" s="14"/>
      <c r="D207" s="68"/>
      <c r="E207" s="14"/>
      <c r="F207" s="14"/>
      <c r="G207" s="14"/>
      <c r="H207" s="49">
        <f t="shared" si="19"/>
        <v>1900</v>
      </c>
      <c r="I207" s="49" t="str">
        <f t="shared" si="20"/>
        <v>4</v>
      </c>
    </row>
    <row r="208" spans="3:9">
      <c r="C208" s="14"/>
      <c r="D208" s="68"/>
      <c r="E208" s="14"/>
      <c r="F208" s="14"/>
      <c r="G208" s="14"/>
      <c r="H208" s="49">
        <f t="shared" si="19"/>
        <v>1900</v>
      </c>
      <c r="I208" s="49" t="str">
        <f t="shared" si="20"/>
        <v>4</v>
      </c>
    </row>
    <row r="209" spans="3:9">
      <c r="C209" s="14"/>
      <c r="D209" s="68"/>
      <c r="E209" s="14"/>
      <c r="F209" s="14"/>
      <c r="G209" s="14"/>
      <c r="H209" s="49">
        <f t="shared" si="19"/>
        <v>1900</v>
      </c>
      <c r="I209" s="49" t="str">
        <f t="shared" si="20"/>
        <v>4</v>
      </c>
    </row>
    <row r="210" spans="3:9">
      <c r="C210" s="14"/>
      <c r="D210" s="68"/>
      <c r="E210" s="14"/>
      <c r="F210" s="14"/>
      <c r="G210" s="14"/>
      <c r="H210" s="49">
        <f t="shared" si="19"/>
        <v>1900</v>
      </c>
      <c r="I210" s="49" t="str">
        <f t="shared" si="20"/>
        <v>4</v>
      </c>
    </row>
    <row r="211" spans="3:9">
      <c r="C211" s="14"/>
      <c r="D211" s="68"/>
      <c r="E211" s="14"/>
      <c r="F211" s="14"/>
      <c r="G211" s="14"/>
      <c r="H211" s="49">
        <f t="shared" si="19"/>
        <v>1900</v>
      </c>
      <c r="I211" s="49" t="str">
        <f t="shared" si="20"/>
        <v>4</v>
      </c>
    </row>
    <row r="212" spans="3:9">
      <c r="C212" s="14"/>
      <c r="D212" s="68"/>
      <c r="E212" s="14"/>
      <c r="F212" s="14"/>
      <c r="G212" s="14"/>
      <c r="H212" s="49">
        <f t="shared" si="19"/>
        <v>1900</v>
      </c>
      <c r="I212" s="49" t="str">
        <f t="shared" si="20"/>
        <v>4</v>
      </c>
    </row>
    <row r="213" spans="3:9">
      <c r="C213" s="14"/>
      <c r="D213" s="68"/>
      <c r="E213" s="14"/>
      <c r="F213" s="14"/>
      <c r="G213" s="14"/>
      <c r="H213" s="49">
        <f t="shared" si="19"/>
        <v>1900</v>
      </c>
      <c r="I213" s="49" t="str">
        <f t="shared" si="20"/>
        <v>4</v>
      </c>
    </row>
    <row r="214" spans="3:9">
      <c r="C214" s="14"/>
      <c r="D214" s="68"/>
      <c r="E214" s="14"/>
      <c r="F214" s="14"/>
      <c r="G214" s="14"/>
      <c r="H214" s="49">
        <f t="shared" si="19"/>
        <v>1900</v>
      </c>
      <c r="I214" s="49" t="str">
        <f t="shared" si="20"/>
        <v>4</v>
      </c>
    </row>
    <row r="215" spans="3:9">
      <c r="C215" s="14"/>
      <c r="D215" s="68"/>
      <c r="E215" s="14"/>
      <c r="F215" s="14"/>
      <c r="G215" s="14"/>
      <c r="H215" s="49">
        <f t="shared" si="19"/>
        <v>1900</v>
      </c>
      <c r="I215" s="49" t="str">
        <f t="shared" si="20"/>
        <v>4</v>
      </c>
    </row>
    <row r="216" spans="3:9">
      <c r="C216" s="14"/>
      <c r="D216" s="68"/>
      <c r="E216" s="14"/>
      <c r="F216" s="14"/>
      <c r="G216" s="14"/>
      <c r="H216" s="49">
        <f t="shared" si="19"/>
        <v>1900</v>
      </c>
      <c r="I216" s="49" t="str">
        <f t="shared" si="20"/>
        <v>4</v>
      </c>
    </row>
    <row r="217" spans="3:9">
      <c r="C217" s="14"/>
      <c r="D217" s="68"/>
      <c r="E217" s="14"/>
      <c r="F217" s="14"/>
      <c r="G217" s="14"/>
      <c r="H217" s="49">
        <f t="shared" si="19"/>
        <v>1900</v>
      </c>
      <c r="I217" s="49" t="str">
        <f t="shared" si="20"/>
        <v>4</v>
      </c>
    </row>
    <row r="218" spans="3:9">
      <c r="C218" s="14"/>
      <c r="D218" s="68"/>
      <c r="E218" s="14"/>
      <c r="F218" s="14"/>
      <c r="G218" s="14"/>
      <c r="H218" s="49">
        <f t="shared" si="19"/>
        <v>1900</v>
      </c>
      <c r="I218" s="49" t="str">
        <f t="shared" si="20"/>
        <v>4</v>
      </c>
    </row>
    <row r="219" spans="3:9">
      <c r="C219" s="14"/>
      <c r="D219" s="14"/>
      <c r="E219" s="14"/>
      <c r="F219" s="14"/>
      <c r="G219" s="14"/>
      <c r="H219" s="49">
        <f t="shared" si="19"/>
        <v>1900</v>
      </c>
      <c r="I219" s="49" t="str">
        <f t="shared" si="20"/>
        <v>4</v>
      </c>
    </row>
    <row r="220" spans="3:9">
      <c r="C220" s="14"/>
      <c r="D220" s="14"/>
      <c r="E220" s="14"/>
      <c r="F220" s="14"/>
      <c r="G220" s="14"/>
      <c r="H220" s="49">
        <f t="shared" si="19"/>
        <v>1900</v>
      </c>
      <c r="I220" s="49" t="str">
        <f t="shared" si="20"/>
        <v>4</v>
      </c>
    </row>
    <row r="221" spans="3:9">
      <c r="C221" s="14"/>
      <c r="D221" s="14"/>
      <c r="E221" s="14"/>
      <c r="F221" s="14"/>
      <c r="G221" s="14"/>
      <c r="H221" s="49">
        <f t="shared" si="19"/>
        <v>1900</v>
      </c>
      <c r="I221" s="49" t="str">
        <f t="shared" si="20"/>
        <v>4</v>
      </c>
    </row>
    <row r="222" spans="3:9">
      <c r="C222" s="14"/>
      <c r="D222" s="14"/>
      <c r="E222" s="14"/>
      <c r="F222" s="14"/>
      <c r="G222" s="14"/>
      <c r="H222" s="49">
        <f t="shared" si="19"/>
        <v>1900</v>
      </c>
      <c r="I222" s="49" t="str">
        <f t="shared" si="20"/>
        <v>4</v>
      </c>
    </row>
    <row r="223" spans="3:9">
      <c r="C223" s="14"/>
      <c r="D223" s="14"/>
      <c r="E223" s="14"/>
      <c r="F223" s="14"/>
      <c r="G223" s="14"/>
      <c r="H223" s="49">
        <f t="shared" si="19"/>
        <v>1900</v>
      </c>
      <c r="I223" s="49" t="str">
        <f t="shared" si="20"/>
        <v>4</v>
      </c>
    </row>
    <row r="224" spans="3:9">
      <c r="C224" s="14"/>
      <c r="D224" s="14"/>
      <c r="E224" s="14"/>
      <c r="F224" s="14"/>
      <c r="G224" s="14"/>
      <c r="H224" s="49">
        <f t="shared" si="19"/>
        <v>1900</v>
      </c>
      <c r="I224" s="49" t="str">
        <f t="shared" si="20"/>
        <v>4</v>
      </c>
    </row>
    <row r="225" spans="3:9">
      <c r="C225" s="14"/>
      <c r="D225" s="14"/>
      <c r="E225" s="14"/>
      <c r="F225" s="14"/>
      <c r="G225" s="14"/>
      <c r="H225" s="49">
        <f t="shared" si="19"/>
        <v>1900</v>
      </c>
      <c r="I225" s="49" t="str">
        <f t="shared" si="20"/>
        <v>4</v>
      </c>
    </row>
    <row r="226" spans="3:9">
      <c r="C226" s="14"/>
      <c r="D226" s="14"/>
      <c r="E226" s="14"/>
      <c r="F226" s="14"/>
      <c r="G226" s="14"/>
      <c r="H226" s="49">
        <f t="shared" si="19"/>
        <v>1900</v>
      </c>
      <c r="I226" s="49" t="str">
        <f t="shared" si="20"/>
        <v>4</v>
      </c>
    </row>
    <row r="227" spans="3:9">
      <c r="C227" s="14"/>
      <c r="D227" s="14"/>
      <c r="E227" s="14"/>
      <c r="F227" s="14"/>
      <c r="G227" s="14"/>
      <c r="H227" s="49">
        <f t="shared" si="19"/>
        <v>1900</v>
      </c>
      <c r="I227" s="49" t="str">
        <f t="shared" si="20"/>
        <v>4</v>
      </c>
    </row>
    <row r="228" spans="3:9">
      <c r="C228" s="14"/>
      <c r="D228" s="14"/>
      <c r="E228" s="14"/>
      <c r="F228" s="14"/>
      <c r="G228" s="14"/>
      <c r="H228" s="49">
        <f t="shared" si="19"/>
        <v>1900</v>
      </c>
      <c r="I228" s="49" t="str">
        <f t="shared" si="20"/>
        <v>4</v>
      </c>
    </row>
    <row r="229" spans="3:9">
      <c r="C229" s="14"/>
      <c r="D229" s="14"/>
      <c r="E229" s="14"/>
      <c r="F229" s="14"/>
      <c r="G229" s="14"/>
      <c r="H229" s="49">
        <f t="shared" si="19"/>
        <v>1900</v>
      </c>
      <c r="I229" s="49" t="str">
        <f t="shared" si="20"/>
        <v>4</v>
      </c>
    </row>
    <row r="230" spans="3:9">
      <c r="C230" s="14"/>
      <c r="D230" s="14"/>
      <c r="E230" s="14"/>
      <c r="F230" s="14"/>
      <c r="G230" s="14"/>
      <c r="H230" s="49">
        <f t="shared" si="19"/>
        <v>1900</v>
      </c>
      <c r="I230" s="49" t="str">
        <f t="shared" si="20"/>
        <v>4</v>
      </c>
    </row>
    <row r="231" spans="3:9">
      <c r="C231" s="14"/>
      <c r="D231" s="14"/>
      <c r="E231" s="14"/>
      <c r="F231" s="14"/>
      <c r="G231" s="14"/>
      <c r="H231" s="49">
        <f t="shared" si="19"/>
        <v>1900</v>
      </c>
      <c r="I231" s="49" t="str">
        <f t="shared" si="20"/>
        <v>4</v>
      </c>
    </row>
    <row r="232" spans="3:9">
      <c r="C232" s="14"/>
      <c r="D232" s="14"/>
      <c r="E232" s="14"/>
      <c r="F232" s="14"/>
      <c r="G232" s="14"/>
      <c r="H232" s="49">
        <f t="shared" si="19"/>
        <v>1900</v>
      </c>
      <c r="I232" s="49" t="str">
        <f t="shared" si="20"/>
        <v>4</v>
      </c>
    </row>
    <row r="233" spans="3:9">
      <c r="C233" s="14"/>
      <c r="D233" s="14"/>
      <c r="E233" s="14"/>
      <c r="F233" s="14"/>
      <c r="G233" s="14"/>
      <c r="H233" s="49">
        <f t="shared" si="19"/>
        <v>1900</v>
      </c>
      <c r="I233" s="49" t="str">
        <f t="shared" si="20"/>
        <v>4</v>
      </c>
    </row>
    <row r="234" spans="3:9">
      <c r="C234" s="14"/>
      <c r="D234" s="14"/>
      <c r="E234" s="14"/>
      <c r="F234" s="14"/>
      <c r="G234" s="14"/>
      <c r="H234" s="49">
        <f t="shared" si="19"/>
        <v>1900</v>
      </c>
      <c r="I234" s="49" t="str">
        <f t="shared" si="20"/>
        <v>4</v>
      </c>
    </row>
    <row r="235" spans="3:9">
      <c r="C235" s="14"/>
      <c r="D235" s="14"/>
      <c r="E235" s="14"/>
      <c r="F235" s="14"/>
      <c r="G235" s="14"/>
      <c r="H235" s="49">
        <f t="shared" si="19"/>
        <v>1900</v>
      </c>
      <c r="I235" s="49" t="str">
        <f t="shared" si="20"/>
        <v>4</v>
      </c>
    </row>
    <row r="236" spans="3:9">
      <c r="C236" s="14"/>
      <c r="D236" s="14"/>
      <c r="E236" s="14"/>
      <c r="F236" s="14"/>
      <c r="G236" s="14"/>
      <c r="H236" s="49">
        <f t="shared" si="19"/>
        <v>1900</v>
      </c>
      <c r="I236" s="49" t="str">
        <f t="shared" si="20"/>
        <v>4</v>
      </c>
    </row>
    <row r="237" spans="3:9">
      <c r="C237" s="14"/>
      <c r="D237" s="14"/>
      <c r="E237" s="14"/>
      <c r="F237" s="14"/>
      <c r="G237" s="14"/>
      <c r="H237" s="49">
        <f t="shared" si="19"/>
        <v>1900</v>
      </c>
      <c r="I237" s="49" t="str">
        <f t="shared" si="20"/>
        <v>4</v>
      </c>
    </row>
    <row r="238" spans="3:9">
      <c r="C238" s="14"/>
      <c r="D238" s="14"/>
      <c r="E238" s="14"/>
      <c r="F238" s="14"/>
      <c r="G238" s="14"/>
      <c r="H238" s="49">
        <f t="shared" si="19"/>
        <v>1900</v>
      </c>
      <c r="I238" s="49" t="str">
        <f t="shared" si="20"/>
        <v>4</v>
      </c>
    </row>
    <row r="239" spans="3:9">
      <c r="C239" s="14"/>
      <c r="D239" s="14"/>
      <c r="E239" s="14"/>
      <c r="F239" s="14"/>
      <c r="G239" s="14"/>
      <c r="H239" s="49">
        <f t="shared" si="19"/>
        <v>1900</v>
      </c>
      <c r="I239" s="49" t="str">
        <f t="shared" si="20"/>
        <v>4</v>
      </c>
    </row>
    <row r="240" spans="3:9">
      <c r="C240" s="14"/>
      <c r="D240" s="14"/>
      <c r="E240" s="14"/>
      <c r="F240" s="14"/>
      <c r="G240" s="14"/>
      <c r="H240" s="49">
        <f t="shared" si="19"/>
        <v>1900</v>
      </c>
      <c r="I240" s="49" t="str">
        <f t="shared" si="20"/>
        <v>4</v>
      </c>
    </row>
    <row r="241" spans="3:9">
      <c r="C241" s="14"/>
      <c r="D241" s="14"/>
      <c r="E241" s="14"/>
      <c r="F241" s="14"/>
      <c r="G241" s="14"/>
      <c r="H241" s="49">
        <f t="shared" si="19"/>
        <v>1900</v>
      </c>
      <c r="I241" s="49" t="str">
        <f t="shared" si="20"/>
        <v>4</v>
      </c>
    </row>
    <row r="242" spans="3:9">
      <c r="C242" s="14"/>
      <c r="D242" s="14"/>
      <c r="E242" s="14"/>
      <c r="F242" s="14"/>
      <c r="G242" s="14"/>
      <c r="H242" s="49">
        <f t="shared" si="19"/>
        <v>1900</v>
      </c>
      <c r="I242" s="49" t="str">
        <f t="shared" si="20"/>
        <v>4</v>
      </c>
    </row>
    <row r="243" spans="3:9">
      <c r="C243" s="14"/>
      <c r="D243" s="14"/>
      <c r="E243" s="14"/>
      <c r="F243" s="14"/>
      <c r="G243" s="14"/>
      <c r="H243" s="49">
        <f t="shared" si="19"/>
        <v>1900</v>
      </c>
      <c r="I243" s="49" t="str">
        <f t="shared" si="20"/>
        <v>4</v>
      </c>
    </row>
    <row r="244" spans="3:9">
      <c r="C244" s="14"/>
      <c r="D244" s="14"/>
      <c r="E244" s="14"/>
      <c r="F244" s="14"/>
      <c r="G244" s="14"/>
      <c r="H244" s="49">
        <f t="shared" si="19"/>
        <v>1900</v>
      </c>
      <c r="I244" s="49" t="str">
        <f t="shared" si="20"/>
        <v>4</v>
      </c>
    </row>
    <row r="245" spans="3:9">
      <c r="C245" s="14"/>
      <c r="D245" s="14"/>
      <c r="E245" s="14"/>
      <c r="F245" s="14"/>
      <c r="G245" s="14"/>
      <c r="H245" s="49">
        <f t="shared" si="19"/>
        <v>1900</v>
      </c>
      <c r="I245" s="49" t="str">
        <f t="shared" si="20"/>
        <v>4</v>
      </c>
    </row>
    <row r="246" spans="3:9">
      <c r="C246" s="14"/>
      <c r="D246" s="14"/>
      <c r="E246" s="14"/>
      <c r="F246" s="14"/>
      <c r="G246" s="14"/>
      <c r="H246" s="49">
        <f t="shared" si="19"/>
        <v>1900</v>
      </c>
      <c r="I246" s="49" t="str">
        <f t="shared" si="20"/>
        <v>4</v>
      </c>
    </row>
    <row r="247" spans="3:9">
      <c r="C247" s="14"/>
      <c r="D247" s="14"/>
      <c r="E247" s="14"/>
      <c r="F247" s="14"/>
      <c r="G247" s="14"/>
      <c r="H247" s="49">
        <f t="shared" si="19"/>
        <v>1900</v>
      </c>
      <c r="I247" s="49" t="str">
        <f t="shared" si="20"/>
        <v>4</v>
      </c>
    </row>
    <row r="248" spans="3:9">
      <c r="C248" s="14"/>
      <c r="D248" s="14"/>
      <c r="E248" s="14"/>
      <c r="F248" s="14"/>
      <c r="G248" s="14"/>
      <c r="H248" s="49">
        <f t="shared" si="19"/>
        <v>1900</v>
      </c>
      <c r="I248" s="49" t="str">
        <f t="shared" si="20"/>
        <v>4</v>
      </c>
    </row>
    <row r="249" spans="3:9">
      <c r="C249" s="14"/>
      <c r="D249" s="14"/>
      <c r="E249" s="14"/>
      <c r="F249" s="14"/>
      <c r="G249" s="14"/>
      <c r="H249" s="49">
        <f t="shared" si="19"/>
        <v>1900</v>
      </c>
      <c r="I249" s="49" t="str">
        <f t="shared" si="20"/>
        <v>4</v>
      </c>
    </row>
    <row r="250" spans="3:9">
      <c r="C250" s="14"/>
      <c r="D250" s="14"/>
      <c r="E250" s="14"/>
      <c r="F250" s="14"/>
      <c r="G250" s="14"/>
      <c r="H250" s="49">
        <f t="shared" si="19"/>
        <v>1900</v>
      </c>
      <c r="I250" s="49" t="str">
        <f t="shared" si="20"/>
        <v>4</v>
      </c>
    </row>
    <row r="251" spans="3:9">
      <c r="C251" s="14"/>
      <c r="D251" s="14"/>
      <c r="E251" s="14"/>
      <c r="F251" s="14"/>
      <c r="G251" s="14"/>
      <c r="H251" s="50"/>
      <c r="I251" s="50"/>
    </row>
    <row r="252" spans="3:9">
      <c r="C252" s="14"/>
      <c r="D252" s="14"/>
      <c r="E252" s="14"/>
      <c r="F252" s="14"/>
      <c r="G252" s="14"/>
      <c r="H252" s="50"/>
      <c r="I252" s="50"/>
    </row>
    <row r="253" spans="3:9">
      <c r="C253" s="14"/>
      <c r="D253" s="14"/>
      <c r="E253" s="14"/>
      <c r="F253" s="14"/>
      <c r="G253" s="14"/>
      <c r="H253" s="50"/>
      <c r="I253" s="50"/>
    </row>
    <row r="254" spans="3:9">
      <c r="C254" s="14"/>
      <c r="D254" s="14"/>
      <c r="E254" s="14"/>
      <c r="F254" s="14"/>
      <c r="G254" s="14"/>
      <c r="H254" s="50"/>
      <c r="I254" s="50"/>
    </row>
    <row r="255" spans="3:9">
      <c r="C255" s="14"/>
      <c r="D255" s="14"/>
      <c r="E255" s="14"/>
      <c r="F255" s="14"/>
      <c r="G255" s="14"/>
      <c r="H255" s="50"/>
      <c r="I255" s="50"/>
    </row>
    <row r="256" spans="3:9">
      <c r="C256" s="14"/>
      <c r="D256" s="14"/>
      <c r="E256" s="14"/>
      <c r="F256" s="14"/>
      <c r="G256" s="14"/>
      <c r="H256" s="50"/>
      <c r="I256" s="50"/>
    </row>
    <row r="257" spans="3:9">
      <c r="C257" s="14"/>
      <c r="D257" s="14"/>
      <c r="E257" s="14"/>
      <c r="F257" s="14"/>
      <c r="G257" s="14"/>
      <c r="H257" s="50"/>
      <c r="I257" s="50"/>
    </row>
    <row r="258" spans="3:9">
      <c r="C258" s="14"/>
      <c r="D258" s="14"/>
      <c r="E258" s="14"/>
      <c r="F258" s="14"/>
      <c r="G258" s="14"/>
      <c r="H258" s="50"/>
      <c r="I258" s="50"/>
    </row>
    <row r="259" spans="3:9">
      <c r="C259" s="14"/>
      <c r="D259" s="14"/>
      <c r="E259" s="14"/>
      <c r="F259" s="14"/>
      <c r="G259" s="14"/>
      <c r="H259" s="50"/>
      <c r="I259" s="50"/>
    </row>
    <row r="260" spans="3:9">
      <c r="C260" s="14"/>
      <c r="D260" s="14"/>
      <c r="E260" s="14"/>
      <c r="F260" s="14"/>
      <c r="G260" s="14"/>
      <c r="H260" s="50"/>
      <c r="I260" s="50"/>
    </row>
    <row r="261" spans="3:9">
      <c r="C261" s="14"/>
      <c r="D261" s="14"/>
      <c r="E261" s="14"/>
      <c r="F261" s="14"/>
      <c r="G261" s="14"/>
      <c r="H261" s="50"/>
      <c r="I261" s="50"/>
    </row>
    <row r="262" spans="3:9">
      <c r="C262" s="14"/>
      <c r="D262" s="14"/>
      <c r="E262" s="14"/>
      <c r="F262" s="14"/>
      <c r="G262" s="14"/>
      <c r="H262" s="50"/>
      <c r="I262" s="50"/>
    </row>
    <row r="263" spans="3:9">
      <c r="C263" s="14"/>
      <c r="D263" s="14"/>
      <c r="E263" s="14"/>
      <c r="F263" s="14"/>
      <c r="G263" s="14"/>
      <c r="H263" s="50"/>
      <c r="I263" s="50"/>
    </row>
    <row r="264" spans="3:9">
      <c r="C264" s="14"/>
      <c r="D264" s="14"/>
      <c r="E264" s="14"/>
      <c r="F264" s="14"/>
      <c r="G264" s="14"/>
      <c r="H264" s="50"/>
      <c r="I264" s="50"/>
    </row>
    <row r="265" spans="3:9">
      <c r="C265" s="14"/>
      <c r="D265" s="14"/>
      <c r="E265" s="14"/>
      <c r="F265" s="14"/>
      <c r="G265" s="14"/>
      <c r="H265" s="50"/>
      <c r="I265" s="50"/>
    </row>
    <row r="266" spans="3:9">
      <c r="C266" s="14"/>
      <c r="D266" s="14"/>
      <c r="E266" s="14"/>
      <c r="F266" s="14"/>
      <c r="G266" s="14"/>
      <c r="H266" s="50"/>
      <c r="I266" s="50"/>
    </row>
    <row r="267" spans="3:9">
      <c r="C267" s="14"/>
      <c r="D267" s="14"/>
      <c r="E267" s="14"/>
      <c r="F267" s="14"/>
      <c r="G267" s="14"/>
      <c r="H267" s="50"/>
      <c r="I267" s="50"/>
    </row>
    <row r="268" spans="3:9">
      <c r="C268" s="14"/>
      <c r="D268" s="14"/>
      <c r="E268" s="14"/>
      <c r="F268" s="14"/>
      <c r="G268" s="14"/>
      <c r="H268" s="50"/>
      <c r="I268" s="50"/>
    </row>
    <row r="269" spans="3:9">
      <c r="C269" s="14"/>
      <c r="D269" s="14"/>
      <c r="E269" s="14"/>
      <c r="F269" s="14"/>
      <c r="G269" s="14"/>
      <c r="H269" s="50"/>
      <c r="I269" s="50"/>
    </row>
    <row r="270" spans="3:9">
      <c r="C270" s="14"/>
      <c r="D270" s="14"/>
      <c r="E270" s="14"/>
      <c r="F270" s="14"/>
      <c r="G270" s="14"/>
      <c r="H270" s="50"/>
      <c r="I270" s="50"/>
    </row>
    <row r="271" spans="3:9">
      <c r="C271" s="14"/>
      <c r="D271" s="14"/>
      <c r="E271" s="14"/>
      <c r="F271" s="14"/>
      <c r="G271" s="14"/>
      <c r="H271" s="50"/>
      <c r="I271" s="50"/>
    </row>
    <row r="272" spans="3:9">
      <c r="C272" s="14"/>
      <c r="D272" s="14"/>
      <c r="E272" s="14"/>
      <c r="F272" s="14"/>
      <c r="G272" s="14"/>
      <c r="H272" s="50"/>
      <c r="I272" s="50"/>
    </row>
    <row r="273" spans="3:9">
      <c r="C273" s="14"/>
      <c r="D273" s="14"/>
      <c r="E273" s="14"/>
      <c r="F273" s="14"/>
      <c r="G273" s="14"/>
      <c r="H273" s="50"/>
      <c r="I273" s="50"/>
    </row>
    <row r="274" spans="3:9">
      <c r="C274" s="14"/>
      <c r="D274" s="14"/>
      <c r="E274" s="14"/>
      <c r="F274" s="14"/>
      <c r="G274" s="14"/>
      <c r="H274" s="50"/>
      <c r="I274" s="50"/>
    </row>
    <row r="275" spans="3:9">
      <c r="C275" s="14"/>
      <c r="D275" s="14"/>
      <c r="E275" s="14"/>
      <c r="F275" s="14"/>
      <c r="G275" s="14"/>
      <c r="H275" s="50"/>
      <c r="I275" s="50"/>
    </row>
    <row r="276" spans="3:9">
      <c r="C276" s="14"/>
      <c r="D276" s="14"/>
      <c r="E276" s="14"/>
      <c r="F276" s="14"/>
      <c r="G276" s="14"/>
      <c r="H276" s="50"/>
      <c r="I276" s="50"/>
    </row>
    <row r="277" spans="3:9">
      <c r="C277" s="14"/>
      <c r="D277" s="14"/>
      <c r="E277" s="14"/>
      <c r="F277" s="14"/>
      <c r="G277" s="14"/>
      <c r="H277" s="50"/>
      <c r="I277" s="50"/>
    </row>
    <row r="278" spans="3:9">
      <c r="C278" s="14"/>
      <c r="D278" s="14"/>
      <c r="E278" s="14"/>
      <c r="F278" s="14"/>
      <c r="G278" s="14"/>
      <c r="H278" s="50"/>
      <c r="I278" s="50"/>
    </row>
    <row r="279" spans="3:9">
      <c r="C279" s="14"/>
      <c r="D279" s="14"/>
      <c r="E279" s="14"/>
      <c r="F279" s="14"/>
      <c r="G279" s="14"/>
      <c r="H279" s="50"/>
      <c r="I279" s="50"/>
    </row>
    <row r="280" spans="3:9">
      <c r="C280" s="14"/>
      <c r="D280" s="14"/>
      <c r="E280" s="14"/>
      <c r="F280" s="14"/>
      <c r="G280" s="14"/>
      <c r="H280" s="50"/>
      <c r="I280" s="50"/>
    </row>
    <row r="281" spans="3:9">
      <c r="C281" s="14"/>
      <c r="D281" s="14"/>
      <c r="E281" s="14"/>
      <c r="F281" s="14"/>
      <c r="G281" s="14"/>
      <c r="H281" s="50"/>
      <c r="I281" s="50"/>
    </row>
    <row r="282" spans="3:9">
      <c r="C282" s="14"/>
      <c r="D282" s="14"/>
      <c r="E282" s="14"/>
      <c r="F282" s="14"/>
      <c r="G282" s="14"/>
      <c r="H282" s="50"/>
      <c r="I282" s="50"/>
    </row>
    <row r="283" spans="3:9">
      <c r="C283" s="14"/>
      <c r="D283" s="14"/>
      <c r="E283" s="14"/>
      <c r="F283" s="14"/>
      <c r="G283" s="14"/>
      <c r="H283" s="50"/>
      <c r="I283" s="50"/>
    </row>
    <row r="284" spans="3:9">
      <c r="C284" s="14"/>
      <c r="D284" s="14"/>
      <c r="E284" s="14"/>
      <c r="F284" s="14"/>
      <c r="G284" s="14"/>
      <c r="H284" s="50"/>
      <c r="I284" s="50"/>
    </row>
    <row r="285" spans="3:9">
      <c r="C285" s="14"/>
      <c r="D285" s="14"/>
      <c r="E285" s="14"/>
      <c r="F285" s="14"/>
      <c r="G285" s="14"/>
      <c r="H285" s="50"/>
      <c r="I285" s="50"/>
    </row>
    <row r="286" spans="3:9">
      <c r="C286" s="14"/>
      <c r="D286" s="14"/>
      <c r="E286" s="14"/>
      <c r="F286" s="14"/>
      <c r="G286" s="14"/>
      <c r="H286" s="50"/>
      <c r="I286" s="50"/>
    </row>
    <row r="287" spans="3:9">
      <c r="C287" s="14"/>
      <c r="D287" s="14"/>
      <c r="E287" s="14"/>
      <c r="F287" s="14"/>
      <c r="G287" s="14"/>
      <c r="H287" s="50"/>
      <c r="I287" s="50"/>
    </row>
    <row r="288" spans="3:9">
      <c r="C288" s="14"/>
      <c r="D288" s="14"/>
      <c r="E288" s="14"/>
      <c r="F288" s="14"/>
      <c r="G288" s="14"/>
      <c r="H288" s="50"/>
      <c r="I288" s="50"/>
    </row>
    <row r="289" spans="3:9">
      <c r="C289" s="14"/>
      <c r="D289" s="14"/>
      <c r="E289" s="14"/>
      <c r="F289" s="14"/>
      <c r="G289" s="14"/>
      <c r="H289" s="50"/>
      <c r="I289" s="50"/>
    </row>
    <row r="290" spans="3:9">
      <c r="C290" s="14"/>
      <c r="D290" s="14"/>
      <c r="E290" s="14"/>
      <c r="F290" s="14"/>
      <c r="G290" s="14"/>
      <c r="H290" s="50"/>
      <c r="I290" s="50"/>
    </row>
    <row r="291" spans="3:9">
      <c r="C291" s="14"/>
      <c r="D291" s="14"/>
      <c r="E291" s="14"/>
      <c r="F291" s="14"/>
      <c r="G291" s="14"/>
      <c r="H291" s="50"/>
      <c r="I291" s="50"/>
    </row>
    <row r="292" spans="3:9">
      <c r="C292" s="14"/>
      <c r="D292" s="14"/>
      <c r="E292" s="14"/>
      <c r="F292" s="14"/>
      <c r="G292" s="14"/>
      <c r="H292" s="50"/>
      <c r="I292" s="50"/>
    </row>
    <row r="293" spans="3:9">
      <c r="C293" s="14"/>
      <c r="D293" s="14"/>
      <c r="E293" s="14"/>
      <c r="F293" s="14"/>
      <c r="G293" s="14"/>
      <c r="H293" s="50"/>
      <c r="I293" s="50"/>
    </row>
    <row r="294" spans="3:9">
      <c r="C294" s="14"/>
      <c r="D294" s="14"/>
      <c r="E294" s="14"/>
      <c r="F294" s="14"/>
      <c r="G294" s="14"/>
      <c r="H294" s="50"/>
      <c r="I294" s="50"/>
    </row>
    <row r="295" spans="3:9">
      <c r="C295" s="14"/>
      <c r="D295" s="14"/>
      <c r="E295" s="14"/>
      <c r="F295" s="14"/>
      <c r="G295" s="14"/>
      <c r="H295" s="50"/>
      <c r="I295" s="50"/>
    </row>
    <row r="296" spans="3:9">
      <c r="C296" s="14"/>
      <c r="D296" s="14"/>
      <c r="E296" s="14"/>
      <c r="F296" s="14"/>
      <c r="G296" s="14"/>
      <c r="H296" s="50"/>
      <c r="I296" s="50"/>
    </row>
    <row r="297" spans="3:9">
      <c r="C297" s="14"/>
      <c r="D297" s="14"/>
      <c r="E297" s="14"/>
      <c r="F297" s="14"/>
      <c r="G297" s="14"/>
      <c r="H297" s="50"/>
      <c r="I297" s="50"/>
    </row>
    <row r="298" spans="3:9">
      <c r="C298" s="14"/>
      <c r="D298" s="14"/>
      <c r="E298" s="14"/>
      <c r="F298" s="14"/>
      <c r="G298" s="14"/>
      <c r="H298" s="50"/>
      <c r="I298" s="50"/>
    </row>
    <row r="299" spans="3:9">
      <c r="C299" s="14"/>
      <c r="D299" s="14"/>
      <c r="E299" s="14"/>
      <c r="F299" s="14"/>
      <c r="G299" s="14"/>
      <c r="H299" s="50"/>
      <c r="I299" s="50"/>
    </row>
    <row r="300" spans="3:9">
      <c r="C300" s="14"/>
      <c r="D300" s="14"/>
      <c r="E300" s="14"/>
      <c r="F300" s="14"/>
      <c r="G300" s="14"/>
      <c r="H300" s="50"/>
      <c r="I300" s="50"/>
    </row>
    <row r="301" spans="3:9">
      <c r="C301" s="14"/>
      <c r="D301" s="14"/>
      <c r="E301" s="14"/>
      <c r="F301" s="14"/>
      <c r="G301" s="14"/>
      <c r="H301" s="50"/>
      <c r="I301" s="50"/>
    </row>
    <row r="302" spans="3:9">
      <c r="C302" s="14"/>
      <c r="D302" s="14"/>
      <c r="E302" s="14"/>
      <c r="F302" s="14"/>
      <c r="G302" s="14"/>
      <c r="H302" s="50"/>
      <c r="I302" s="50"/>
    </row>
    <row r="303" spans="3:9">
      <c r="C303" s="14"/>
      <c r="D303" s="14"/>
      <c r="E303" s="14"/>
      <c r="F303" s="14"/>
      <c r="G303" s="14"/>
      <c r="H303" s="50"/>
      <c r="I303" s="50"/>
    </row>
    <row r="304" spans="3:9">
      <c r="C304" s="14"/>
      <c r="D304" s="14"/>
      <c r="E304" s="14"/>
      <c r="F304" s="14"/>
      <c r="G304" s="14"/>
      <c r="H304" s="50"/>
      <c r="I304" s="50"/>
    </row>
    <row r="305" spans="3:9">
      <c r="C305" s="14"/>
      <c r="D305" s="14"/>
      <c r="E305" s="14"/>
      <c r="F305" s="14"/>
      <c r="G305" s="14"/>
      <c r="H305" s="50"/>
      <c r="I305" s="50"/>
    </row>
    <row r="306" spans="3:9">
      <c r="C306" s="14"/>
      <c r="D306" s="14"/>
      <c r="E306" s="14"/>
      <c r="F306" s="14"/>
      <c r="G306" s="14"/>
      <c r="H306" s="50"/>
      <c r="I306" s="50"/>
    </row>
    <row r="307" spans="3:9">
      <c r="C307" s="14"/>
      <c r="D307" s="14"/>
      <c r="E307" s="14"/>
      <c r="F307" s="14"/>
      <c r="G307" s="14"/>
      <c r="H307" s="50"/>
      <c r="I307" s="50"/>
    </row>
    <row r="308" spans="3:9">
      <c r="C308" s="14"/>
      <c r="D308" s="14"/>
      <c r="E308" s="14"/>
      <c r="F308" s="14"/>
      <c r="G308" s="14"/>
      <c r="H308" s="50"/>
      <c r="I308" s="50"/>
    </row>
    <row r="309" spans="3:9">
      <c r="C309" s="14"/>
      <c r="D309" s="14"/>
      <c r="E309" s="14"/>
      <c r="F309" s="14"/>
      <c r="G309" s="14"/>
      <c r="H309" s="50"/>
      <c r="I309" s="50"/>
    </row>
    <row r="310" spans="3:9">
      <c r="C310" s="14"/>
      <c r="D310" s="14"/>
      <c r="E310" s="14"/>
      <c r="F310" s="14"/>
      <c r="G310" s="14"/>
      <c r="H310" s="50"/>
      <c r="I310" s="50"/>
    </row>
    <row r="311" spans="3:9">
      <c r="C311" s="14"/>
      <c r="D311" s="14"/>
      <c r="E311" s="14"/>
      <c r="F311" s="14"/>
      <c r="G311" s="14"/>
      <c r="H311" s="50"/>
      <c r="I311" s="50"/>
    </row>
    <row r="312" spans="3:9">
      <c r="C312" s="14"/>
      <c r="D312" s="14"/>
      <c r="E312" s="14"/>
      <c r="F312" s="14"/>
      <c r="G312" s="14"/>
      <c r="H312" s="50"/>
      <c r="I312" s="50"/>
    </row>
    <row r="313" spans="3:9">
      <c r="C313" s="14"/>
      <c r="D313" s="14"/>
      <c r="E313" s="14"/>
      <c r="F313" s="14"/>
      <c r="G313" s="14"/>
      <c r="H313" s="50"/>
      <c r="I313" s="50"/>
    </row>
    <row r="314" spans="3:9">
      <c r="C314" s="14"/>
      <c r="D314" s="14"/>
      <c r="E314" s="14"/>
      <c r="F314" s="14"/>
      <c r="G314" s="14"/>
      <c r="H314" s="50"/>
      <c r="I314" s="50"/>
    </row>
    <row r="315" spans="3:9">
      <c r="C315" s="14"/>
      <c r="D315" s="14"/>
      <c r="E315" s="14"/>
      <c r="F315" s="14"/>
      <c r="G315" s="14"/>
      <c r="H315" s="50"/>
      <c r="I315" s="50"/>
    </row>
    <row r="316" spans="3:9">
      <c r="C316" s="14"/>
      <c r="D316" s="14"/>
      <c r="E316" s="14"/>
      <c r="F316" s="14"/>
      <c r="G316" s="14"/>
      <c r="H316" s="50"/>
      <c r="I316" s="50"/>
    </row>
    <row r="317" spans="3:9">
      <c r="C317" s="14"/>
      <c r="D317" s="14"/>
      <c r="E317" s="14"/>
      <c r="F317" s="14"/>
      <c r="G317" s="14"/>
      <c r="H317" s="50"/>
      <c r="I317" s="50"/>
    </row>
    <row r="318" spans="3:9">
      <c r="C318" s="14"/>
      <c r="D318" s="14"/>
      <c r="E318" s="14"/>
      <c r="F318" s="14"/>
      <c r="G318" s="14"/>
      <c r="H318" s="50"/>
      <c r="I318" s="50"/>
    </row>
    <row r="319" spans="3:9">
      <c r="C319" s="14"/>
      <c r="D319" s="14"/>
      <c r="E319" s="14"/>
      <c r="F319" s="14"/>
      <c r="G319" s="14"/>
      <c r="H319" s="50"/>
      <c r="I319" s="50"/>
    </row>
    <row r="320" spans="3:9">
      <c r="C320" s="14"/>
      <c r="D320" s="14"/>
      <c r="E320" s="14"/>
      <c r="F320" s="14"/>
      <c r="G320" s="14"/>
      <c r="H320" s="50"/>
      <c r="I320" s="50"/>
    </row>
    <row r="321" spans="3:9">
      <c r="C321" s="14"/>
      <c r="D321" s="14"/>
      <c r="E321" s="14"/>
      <c r="F321" s="14"/>
      <c r="G321" s="14"/>
      <c r="H321" s="50"/>
      <c r="I321" s="50"/>
    </row>
    <row r="322" spans="3:9">
      <c r="C322" s="14"/>
      <c r="D322" s="14"/>
      <c r="E322" s="14"/>
      <c r="F322" s="14"/>
      <c r="G322" s="14"/>
      <c r="H322" s="50"/>
      <c r="I322" s="50"/>
    </row>
    <row r="323" spans="3:9">
      <c r="C323" s="14"/>
      <c r="D323" s="14"/>
      <c r="E323" s="14"/>
      <c r="F323" s="14"/>
      <c r="G323" s="14"/>
      <c r="H323" s="50"/>
      <c r="I323" s="50"/>
    </row>
    <row r="324" spans="3:9">
      <c r="C324" s="14"/>
      <c r="D324" s="14"/>
      <c r="E324" s="14"/>
      <c r="F324" s="14"/>
      <c r="G324" s="14"/>
      <c r="H324" s="50"/>
      <c r="I324" s="50"/>
    </row>
    <row r="325" spans="3:9">
      <c r="C325" s="14"/>
      <c r="D325" s="14"/>
      <c r="E325" s="14"/>
      <c r="F325" s="14"/>
      <c r="G325" s="14"/>
      <c r="H325" s="50"/>
      <c r="I325" s="50"/>
    </row>
    <row r="326" spans="3:9">
      <c r="C326" s="14"/>
      <c r="D326" s="14"/>
      <c r="E326" s="14"/>
      <c r="F326" s="14"/>
      <c r="G326" s="14"/>
      <c r="H326" s="50"/>
      <c r="I326" s="50"/>
    </row>
    <row r="327" spans="3:9">
      <c r="C327" s="14"/>
      <c r="D327" s="14"/>
      <c r="E327" s="14"/>
      <c r="F327" s="14"/>
      <c r="G327" s="14"/>
      <c r="H327" s="50"/>
      <c r="I327" s="50"/>
    </row>
    <row r="328" spans="3:9">
      <c r="C328" s="14"/>
      <c r="D328" s="14"/>
      <c r="E328" s="14"/>
      <c r="F328" s="14"/>
      <c r="G328" s="14"/>
      <c r="H328" s="50"/>
      <c r="I328" s="50"/>
    </row>
    <row r="329" spans="3:9">
      <c r="C329" s="14"/>
      <c r="D329" s="14"/>
      <c r="E329" s="14"/>
      <c r="F329" s="14"/>
      <c r="G329" s="14"/>
      <c r="H329" s="50"/>
      <c r="I329" s="50"/>
    </row>
    <row r="330" spans="3:9">
      <c r="C330" s="14"/>
      <c r="D330" s="14"/>
      <c r="E330" s="14"/>
      <c r="F330" s="14"/>
      <c r="G330" s="14"/>
      <c r="H330" s="50"/>
      <c r="I330" s="50"/>
    </row>
    <row r="331" spans="3:9">
      <c r="C331" s="14"/>
      <c r="D331" s="14"/>
      <c r="E331" s="14"/>
      <c r="F331" s="14"/>
      <c r="G331" s="14"/>
      <c r="H331" s="50"/>
      <c r="I331" s="50"/>
    </row>
    <row r="332" spans="3:9">
      <c r="C332" s="14"/>
      <c r="D332" s="14"/>
      <c r="E332" s="14"/>
      <c r="F332" s="14"/>
      <c r="G332" s="14"/>
      <c r="H332" s="50"/>
      <c r="I332" s="50"/>
    </row>
    <row r="333" spans="3:9">
      <c r="C333" s="14"/>
      <c r="D333" s="14"/>
      <c r="E333" s="14"/>
      <c r="F333" s="14"/>
      <c r="G333" s="14"/>
      <c r="H333" s="50"/>
      <c r="I333" s="50"/>
    </row>
    <row r="334" spans="3:9">
      <c r="C334" s="14"/>
      <c r="D334" s="14"/>
      <c r="E334" s="14"/>
      <c r="F334" s="14"/>
      <c r="G334" s="14"/>
      <c r="H334" s="50"/>
      <c r="I334" s="50"/>
    </row>
    <row r="335" spans="3:9">
      <c r="C335" s="14"/>
      <c r="D335" s="14"/>
      <c r="E335" s="14"/>
      <c r="F335" s="14"/>
      <c r="G335" s="14"/>
      <c r="H335" s="50"/>
      <c r="I335" s="50"/>
    </row>
    <row r="336" spans="3:9">
      <c r="C336" s="14"/>
      <c r="D336" s="14"/>
      <c r="E336" s="14"/>
      <c r="F336" s="14"/>
      <c r="G336" s="14"/>
      <c r="H336" s="50"/>
      <c r="I336" s="50"/>
    </row>
    <row r="337" spans="3:9">
      <c r="C337" s="14"/>
      <c r="D337" s="14"/>
      <c r="E337" s="14"/>
      <c r="F337" s="14"/>
      <c r="G337" s="14"/>
      <c r="H337" s="50"/>
      <c r="I337" s="50"/>
    </row>
    <row r="338" spans="3:9">
      <c r="C338" s="14"/>
      <c r="D338" s="14"/>
      <c r="E338" s="14"/>
      <c r="F338" s="14"/>
      <c r="G338" s="14"/>
      <c r="H338" s="50"/>
      <c r="I338" s="50"/>
    </row>
    <row r="339" spans="3:9">
      <c r="C339" s="14"/>
      <c r="D339" s="14"/>
      <c r="E339" s="14"/>
      <c r="F339" s="14"/>
      <c r="G339" s="14"/>
      <c r="H339" s="50"/>
      <c r="I339" s="50"/>
    </row>
    <row r="340" spans="3:9">
      <c r="C340" s="14"/>
      <c r="D340" s="14"/>
      <c r="E340" s="14"/>
      <c r="F340" s="14"/>
      <c r="G340" s="14"/>
      <c r="H340" s="50"/>
      <c r="I340" s="50"/>
    </row>
    <row r="341" spans="3:9">
      <c r="C341" s="14"/>
      <c r="D341" s="14"/>
      <c r="E341" s="14"/>
      <c r="F341" s="14"/>
      <c r="G341" s="14"/>
      <c r="H341" s="50"/>
      <c r="I341" s="50"/>
    </row>
    <row r="342" spans="3:9">
      <c r="C342" s="14"/>
      <c r="D342" s="14"/>
      <c r="E342" s="14"/>
      <c r="F342" s="14"/>
      <c r="G342" s="14"/>
      <c r="H342" s="50"/>
      <c r="I342" s="50"/>
    </row>
    <row r="343" spans="3:9">
      <c r="C343" s="14"/>
      <c r="D343" s="14"/>
      <c r="E343" s="14"/>
      <c r="F343" s="14"/>
      <c r="G343" s="14"/>
      <c r="H343" s="50"/>
      <c r="I343" s="50"/>
    </row>
    <row r="344" spans="3:9">
      <c r="C344" s="14"/>
      <c r="D344" s="14"/>
      <c r="E344" s="14"/>
      <c r="F344" s="14"/>
      <c r="G344" s="14"/>
      <c r="H344" s="50"/>
      <c r="I344" s="50"/>
    </row>
    <row r="345" spans="3:9">
      <c r="C345" s="14"/>
      <c r="D345" s="14"/>
      <c r="E345" s="14"/>
      <c r="F345" s="14"/>
      <c r="G345" s="14"/>
      <c r="H345" s="50"/>
      <c r="I345" s="50"/>
    </row>
    <row r="346" spans="3:9">
      <c r="C346" s="14"/>
      <c r="D346" s="14"/>
      <c r="E346" s="14"/>
      <c r="F346" s="14"/>
      <c r="G346" s="14"/>
      <c r="H346" s="50"/>
      <c r="I346" s="50"/>
    </row>
    <row r="347" spans="3:9">
      <c r="C347" s="14"/>
      <c r="D347" s="14"/>
      <c r="E347" s="14"/>
      <c r="F347" s="14"/>
      <c r="G347" s="14"/>
      <c r="H347" s="50"/>
      <c r="I347" s="50"/>
    </row>
    <row r="348" spans="3:9">
      <c r="C348" s="14"/>
      <c r="D348" s="14"/>
      <c r="E348" s="14"/>
      <c r="F348" s="14"/>
      <c r="G348" s="14"/>
      <c r="H348" s="50"/>
      <c r="I348" s="50"/>
    </row>
    <row r="349" spans="3:9">
      <c r="C349" s="14"/>
      <c r="D349" s="14"/>
      <c r="E349" s="14"/>
      <c r="F349" s="14"/>
      <c r="G349" s="14"/>
      <c r="H349" s="50"/>
      <c r="I349" s="50"/>
    </row>
    <row r="350" spans="3:9">
      <c r="C350" s="14"/>
      <c r="D350" s="14"/>
      <c r="E350" s="14"/>
      <c r="F350" s="14"/>
      <c r="G350" s="14"/>
      <c r="H350" s="50"/>
      <c r="I350" s="50"/>
    </row>
    <row r="351" spans="3:9">
      <c r="C351" s="14"/>
      <c r="D351" s="14"/>
      <c r="E351" s="14"/>
      <c r="F351" s="14"/>
      <c r="G351" s="14"/>
      <c r="H351" s="50"/>
      <c r="I351" s="50"/>
    </row>
    <row r="352" spans="3:9">
      <c r="C352" s="14"/>
      <c r="D352" s="14"/>
      <c r="E352" s="14"/>
      <c r="F352" s="14"/>
      <c r="G352" s="14"/>
      <c r="H352" s="50"/>
      <c r="I352" s="50"/>
    </row>
    <row r="353" spans="3:9">
      <c r="C353" s="14"/>
      <c r="D353" s="14"/>
      <c r="E353" s="14"/>
      <c r="F353" s="14"/>
      <c r="G353" s="14"/>
      <c r="H353" s="50"/>
      <c r="I353" s="50"/>
    </row>
    <row r="354" spans="3:9">
      <c r="C354" s="14"/>
      <c r="D354" s="14"/>
      <c r="E354" s="14"/>
      <c r="F354" s="14"/>
      <c r="G354" s="14"/>
      <c r="H354" s="50"/>
      <c r="I354" s="50"/>
    </row>
    <row r="355" spans="3:9">
      <c r="C355" s="14"/>
      <c r="D355" s="14"/>
      <c r="E355" s="14"/>
      <c r="F355" s="14"/>
      <c r="G355" s="14"/>
      <c r="H355" s="50"/>
      <c r="I355" s="50"/>
    </row>
    <row r="356" spans="3:9">
      <c r="C356" s="14"/>
      <c r="D356" s="14"/>
      <c r="E356" s="14"/>
      <c r="F356" s="14"/>
      <c r="G356" s="14"/>
      <c r="H356" s="50"/>
      <c r="I356" s="50"/>
    </row>
    <row r="357" spans="3:9">
      <c r="C357" s="14"/>
      <c r="D357" s="14"/>
      <c r="E357" s="14"/>
      <c r="F357" s="14"/>
      <c r="G357" s="14"/>
      <c r="H357" s="50"/>
      <c r="I357" s="50"/>
    </row>
    <row r="358" spans="3:9">
      <c r="C358" s="14"/>
      <c r="D358" s="14"/>
      <c r="E358" s="14"/>
      <c r="F358" s="14"/>
      <c r="G358" s="14"/>
      <c r="H358" s="50"/>
      <c r="I358" s="50"/>
    </row>
    <row r="359" spans="3:9">
      <c r="C359" s="14"/>
      <c r="D359" s="14"/>
      <c r="E359" s="14"/>
      <c r="F359" s="14"/>
      <c r="G359" s="14"/>
      <c r="H359" s="50"/>
      <c r="I359" s="50"/>
    </row>
    <row r="360" spans="3:9">
      <c r="H360" s="50"/>
      <c r="I360" s="50"/>
    </row>
    <row r="361" spans="3:9">
      <c r="H361" s="50"/>
      <c r="I361" s="50"/>
    </row>
    <row r="362" spans="3:9">
      <c r="H362" s="50"/>
      <c r="I362" s="50"/>
    </row>
    <row r="363" spans="3:9">
      <c r="H363" s="50"/>
      <c r="I363" s="50"/>
    </row>
    <row r="364" spans="3:9">
      <c r="H364" s="50"/>
      <c r="I364" s="50"/>
    </row>
    <row r="365" spans="3:9">
      <c r="H365" s="50"/>
      <c r="I365" s="50"/>
    </row>
    <row r="366" spans="3:9">
      <c r="H366" s="50"/>
      <c r="I366" s="50"/>
    </row>
  </sheetData>
  <mergeCells count="15">
    <mergeCell ref="K7:Q7"/>
    <mergeCell ref="K8:Q8"/>
    <mergeCell ref="A5:G5"/>
    <mergeCell ref="A6:G6"/>
    <mergeCell ref="B7:C7"/>
    <mergeCell ref="D7:E7"/>
    <mergeCell ref="F7:G7"/>
    <mergeCell ref="K23:Q23"/>
    <mergeCell ref="L24:M24"/>
    <mergeCell ref="N24:O24"/>
    <mergeCell ref="P24:Q24"/>
    <mergeCell ref="L9:M9"/>
    <mergeCell ref="N9:O9"/>
    <mergeCell ref="P9:Q9"/>
    <mergeCell ref="L22:Q22"/>
  </mergeCells>
  <dataValidations count="1">
    <dataValidation type="list" allowBlank="1" showInputMessage="1" showErrorMessage="1" promptTitle="Select a Period:" prompt="Select Financial or Calendar years." sqref="L22:Q22" xr:uid="{00000000-0002-0000-1000-000000000000}">
      <formula1>$A$1:$A$2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6B4E8"/>
  </sheetPr>
  <dimension ref="A1:BB82"/>
  <sheetViews>
    <sheetView showGridLines="0" workbookViewId="0"/>
  </sheetViews>
  <sheetFormatPr defaultColWidth="9.140625" defaultRowHeight="15"/>
  <cols>
    <col min="1" max="1" width="24.140625" style="316" customWidth="1"/>
    <col min="2" max="2" width="5.28515625" style="316" bestFit="1" customWidth="1"/>
    <col min="3" max="3" width="16.42578125" style="316" bestFit="1" customWidth="1"/>
    <col min="4" max="4" width="15.42578125" style="316" bestFit="1" customWidth="1"/>
    <col min="5" max="5" width="16.42578125" style="316" bestFit="1" customWidth="1"/>
    <col min="6" max="14" width="15.42578125" style="316" customWidth="1"/>
    <col min="15" max="15" width="13.85546875" style="316" bestFit="1" customWidth="1"/>
    <col min="16" max="21" width="9.140625" style="316"/>
    <col min="22" max="22" width="15.28515625" style="95" bestFit="1" customWidth="1"/>
    <col min="23" max="23" width="17.85546875" style="316" customWidth="1"/>
    <col min="24" max="25" width="9.140625" style="95"/>
    <col min="26" max="26" width="9.140625" style="962"/>
    <col min="27" max="27" width="9.140625" style="95"/>
    <col min="28" max="16384" width="9.140625" style="316"/>
  </cols>
  <sheetData>
    <row r="1" spans="1:54" s="381" customFormat="1" ht="15.75">
      <c r="O1" s="942"/>
      <c r="R1" s="913"/>
      <c r="S1" s="913"/>
      <c r="T1" s="913"/>
      <c r="U1" s="913"/>
      <c r="V1" s="294"/>
      <c r="W1" s="294"/>
      <c r="X1" s="294"/>
      <c r="Y1" s="297">
        <f>IF($B$6="Calendar Year",MAX('Commodity Prices'!$BB$9:$BB$3408),CONCATENATE(MAX('Commodity Prices'!$BN$9:$BN$3417),"-",VALUE(RIGHT(MAX('Commodity Prices'!$BN$9:$BN$3417),2))+1))</f>
        <v>2023</v>
      </c>
      <c r="Z1" s="294"/>
      <c r="AA1" s="294"/>
      <c r="AB1" s="913"/>
      <c r="AC1" s="913"/>
      <c r="AD1" s="913"/>
      <c r="AE1" s="913"/>
      <c r="AF1" s="913"/>
      <c r="AG1" s="913"/>
      <c r="AH1" s="913"/>
      <c r="AI1" s="913"/>
      <c r="AJ1" s="923"/>
      <c r="AK1" s="923"/>
      <c r="AL1" s="923"/>
      <c r="AM1" s="923"/>
      <c r="AN1" s="923"/>
      <c r="AO1" s="923"/>
      <c r="AP1" s="923"/>
      <c r="AQ1" s="923"/>
      <c r="AR1" s="923"/>
      <c r="AS1" s="923"/>
      <c r="AT1" s="923"/>
      <c r="AU1" s="923"/>
      <c r="AV1" s="923"/>
      <c r="AW1" s="923"/>
      <c r="AX1" s="923"/>
      <c r="AY1" s="923"/>
      <c r="AZ1" s="923"/>
      <c r="BA1" s="923"/>
      <c r="BB1" s="923"/>
    </row>
    <row r="2" spans="1:54" ht="15.75">
      <c r="O2" s="154"/>
      <c r="P2" s="154"/>
      <c r="Q2" s="154"/>
      <c r="R2" s="913"/>
      <c r="S2" s="913"/>
      <c r="T2" s="913"/>
      <c r="U2" s="913"/>
      <c r="V2" s="297" t="s">
        <v>228</v>
      </c>
      <c r="W2" s="297" t="str">
        <f>"Copper-Lead-Zinc Exports "&amp;B7&amp;CHAR(10)&amp;"Total Value: $"&amp;TEXT(C22,"#,###")</f>
        <v>Copper-Lead-Zinc Exports 2023
Total Value: $</v>
      </c>
      <c r="X2" s="297" t="s">
        <v>240</v>
      </c>
      <c r="Y2" s="297">
        <f>IFERROR(IF($B$6=$X$2,IF($Z$2&lt;=(Y1-1),Y1-1,""),IF($Z$2=VALUE(LEFT(Y1,4)),"",CONCATENATE(VALUE(LEFT(Y1,4))-1,"-",RIGHT(LEFT(Y1,4),2)))),"")</f>
        <v>2022</v>
      </c>
      <c r="Z2" s="297">
        <f t="array" ref="Z2">MIN(IF('Commodity Prices'!$BA$9:$BA$3488=V2,'Commodity Prices'!$BB$9:$BB$3488))</f>
        <v>2007</v>
      </c>
      <c r="AA2" s="294"/>
      <c r="AB2" s="913"/>
      <c r="AC2" s="913"/>
      <c r="AD2" s="913"/>
      <c r="AE2" s="913"/>
      <c r="AF2" s="913"/>
      <c r="AG2" s="913"/>
      <c r="AH2" s="913"/>
      <c r="AI2" s="913"/>
      <c r="AJ2" s="923"/>
      <c r="AK2" s="923"/>
      <c r="AL2" s="923"/>
      <c r="AM2" s="923"/>
      <c r="AN2" s="923"/>
      <c r="AO2" s="923"/>
      <c r="AP2" s="923"/>
      <c r="AQ2" s="923"/>
      <c r="AR2" s="923"/>
      <c r="AS2" s="923"/>
      <c r="AT2" s="923"/>
      <c r="AU2" s="923"/>
      <c r="AV2" s="923"/>
      <c r="AW2" s="923"/>
      <c r="AX2" s="923"/>
      <c r="AY2" s="923"/>
      <c r="AZ2" s="923"/>
      <c r="BA2" s="923"/>
      <c r="BB2" s="923"/>
    </row>
    <row r="3" spans="1:54" ht="15.75">
      <c r="G3" s="375"/>
      <c r="O3" s="154"/>
      <c r="P3" s="154"/>
      <c r="Q3" s="154"/>
      <c r="R3" s="913"/>
      <c r="S3" s="913"/>
      <c r="T3" s="913"/>
      <c r="U3" s="913"/>
      <c r="V3" s="294"/>
      <c r="W3" s="297" t="str">
        <f>IF($B$6=X2,IF(RIGHT(LEFT(B7,5),1)="-","Mismatch Error",""),IF(LEN(B7)=4,"Mismatch Error",""))</f>
        <v/>
      </c>
      <c r="X3" s="297" t="s">
        <v>246</v>
      </c>
      <c r="Y3" s="297">
        <f>IFERROR(IF($B$6=$X$2,IF($Z$2&lt;=(Y2-1),Y2-1,""),IF($Z$2=VALUE(LEFT(Y2,4)),"",CONCATENATE(VALUE(LEFT(Y2,4))-1,"-",RIGHT(LEFT(Y2,4),2)))),"")</f>
        <v>2021</v>
      </c>
      <c r="Z3" s="294"/>
      <c r="AA3" s="294"/>
      <c r="AB3" s="913"/>
      <c r="AC3" s="913"/>
      <c r="AD3" s="913"/>
      <c r="AE3" s="913"/>
      <c r="AF3" s="913"/>
      <c r="AG3" s="913"/>
      <c r="AH3" s="913"/>
      <c r="AI3" s="913"/>
      <c r="AJ3" s="923"/>
      <c r="AK3" s="923"/>
      <c r="AL3" s="923"/>
      <c r="AM3" s="923"/>
      <c r="AN3" s="923"/>
      <c r="AO3" s="923"/>
      <c r="AP3" s="923"/>
      <c r="AQ3" s="923"/>
      <c r="AR3" s="923"/>
      <c r="AS3" s="923"/>
      <c r="AT3" s="923"/>
      <c r="AU3" s="923"/>
      <c r="AV3" s="923"/>
      <c r="AW3" s="923"/>
      <c r="AX3" s="923"/>
      <c r="AY3" s="923"/>
      <c r="AZ3" s="923"/>
      <c r="BA3" s="923"/>
      <c r="BB3" s="923"/>
    </row>
    <row r="4" spans="1:54" ht="15.75">
      <c r="O4" s="154"/>
      <c r="P4" s="154"/>
      <c r="Q4" s="154"/>
      <c r="R4" s="913"/>
      <c r="S4" s="913"/>
      <c r="T4" s="913"/>
      <c r="U4" s="913"/>
      <c r="V4" s="294"/>
      <c r="W4" s="297"/>
      <c r="X4" s="297"/>
      <c r="Y4" s="297">
        <f t="shared" ref="Y4:Y26" si="0">IFERROR(IF($B$6=$X$2,IF($Z$2&lt;=(Y3-1),Y3-1,""),IF($Z$2=VALUE(LEFT(Y3,4)),"",CONCATENATE(VALUE(LEFT(Y3,4))-1,"-",RIGHT(LEFT(Y3,4),2)))),"")</f>
        <v>2020</v>
      </c>
      <c r="Z4" s="294"/>
      <c r="AA4" s="294"/>
      <c r="AB4" s="913"/>
      <c r="AC4" s="913"/>
      <c r="AD4" s="913"/>
      <c r="AE4" s="913"/>
      <c r="AF4" s="913"/>
      <c r="AG4" s="913"/>
      <c r="AH4" s="913"/>
      <c r="AI4" s="913"/>
      <c r="AJ4" s="923"/>
      <c r="AK4" s="923"/>
      <c r="AL4" s="923"/>
      <c r="AM4" s="923"/>
      <c r="AN4" s="923"/>
      <c r="AO4" s="923"/>
      <c r="AP4" s="923"/>
      <c r="AQ4" s="923"/>
      <c r="AR4" s="923"/>
      <c r="AS4" s="923"/>
      <c r="AT4" s="923"/>
      <c r="AU4" s="923"/>
      <c r="AV4" s="923"/>
      <c r="AW4" s="923"/>
      <c r="AX4" s="923"/>
      <c r="AY4" s="923"/>
      <c r="AZ4" s="923"/>
      <c r="BA4" s="923"/>
      <c r="BB4" s="923"/>
    </row>
    <row r="5" spans="1:54" ht="20.25" customHeight="1" thickBot="1">
      <c r="O5" s="154"/>
      <c r="P5" s="154"/>
      <c r="Q5" s="154"/>
      <c r="R5" s="913"/>
      <c r="S5" s="913"/>
      <c r="T5" s="913"/>
      <c r="U5" s="913"/>
      <c r="V5" s="294"/>
      <c r="W5" s="297"/>
      <c r="X5" s="297"/>
      <c r="Y5" s="297">
        <f t="shared" si="0"/>
        <v>2019</v>
      </c>
      <c r="Z5" s="294"/>
      <c r="AA5" s="294"/>
      <c r="AB5" s="913"/>
      <c r="AC5" s="913"/>
      <c r="AD5" s="913"/>
      <c r="AE5" s="913"/>
      <c r="AF5" s="913"/>
      <c r="AG5" s="913"/>
      <c r="AH5" s="913"/>
      <c r="AI5" s="913"/>
      <c r="AJ5" s="923"/>
      <c r="AK5" s="923"/>
      <c r="AL5" s="923"/>
      <c r="AM5" s="923"/>
      <c r="AN5" s="923"/>
      <c r="AO5" s="923"/>
      <c r="AP5" s="923"/>
      <c r="AQ5" s="923"/>
      <c r="AR5" s="923"/>
      <c r="AS5" s="923"/>
      <c r="AT5" s="923"/>
      <c r="AU5" s="923"/>
      <c r="AV5" s="923"/>
      <c r="AW5" s="923"/>
      <c r="AX5" s="923"/>
      <c r="AY5" s="923"/>
      <c r="AZ5" s="923"/>
      <c r="BA5" s="923"/>
      <c r="BB5" s="923"/>
    </row>
    <row r="6" spans="1:54" ht="15.75">
      <c r="A6" s="1513" t="s">
        <v>247</v>
      </c>
      <c r="B6" s="1993" t="s">
        <v>240</v>
      </c>
      <c r="C6" s="1993"/>
      <c r="D6" s="1994"/>
      <c r="E6" s="296"/>
      <c r="O6" s="154"/>
      <c r="P6" s="154"/>
      <c r="Q6" s="154"/>
      <c r="R6" s="913"/>
      <c r="S6" s="913"/>
      <c r="T6" s="913"/>
      <c r="U6" s="913"/>
      <c r="V6" s="294"/>
      <c r="W6" s="297"/>
      <c r="X6" s="297"/>
      <c r="Y6" s="297">
        <f t="shared" si="0"/>
        <v>2018</v>
      </c>
      <c r="Z6" s="294"/>
      <c r="AA6" s="294"/>
      <c r="AB6" s="913"/>
      <c r="AC6" s="913"/>
      <c r="AD6" s="913"/>
      <c r="AE6" s="913"/>
      <c r="AF6" s="913"/>
      <c r="AG6" s="913"/>
      <c r="AH6" s="913"/>
      <c r="AI6" s="913"/>
      <c r="AJ6" s="923"/>
      <c r="AK6" s="923"/>
      <c r="AL6" s="923"/>
      <c r="AM6" s="923"/>
      <c r="AN6" s="923"/>
      <c r="AO6" s="923"/>
      <c r="AP6" s="923"/>
      <c r="AQ6" s="923"/>
      <c r="AR6" s="923"/>
      <c r="AS6" s="923"/>
      <c r="AT6" s="923"/>
      <c r="AU6" s="923"/>
      <c r="AV6" s="923"/>
      <c r="AW6" s="923"/>
      <c r="AX6" s="923"/>
      <c r="AY6" s="923"/>
      <c r="AZ6" s="923"/>
      <c r="BA6" s="923"/>
      <c r="BB6" s="923"/>
    </row>
    <row r="7" spans="1:54" ht="16.5" thickBot="1">
      <c r="A7" s="1514" t="s">
        <v>247</v>
      </c>
      <c r="B7" s="1995">
        <v>2023</v>
      </c>
      <c r="C7" s="1995"/>
      <c r="D7" s="1996"/>
      <c r="E7" s="296"/>
      <c r="O7" s="154"/>
      <c r="P7" s="154"/>
      <c r="Q7" s="154"/>
      <c r="R7" s="913"/>
      <c r="S7" s="913"/>
      <c r="T7" s="913"/>
      <c r="U7" s="913"/>
      <c r="V7" s="294"/>
      <c r="W7" s="297"/>
      <c r="X7" s="297"/>
      <c r="Y7" s="297">
        <f t="shared" si="0"/>
        <v>2017</v>
      </c>
      <c r="Z7" s="294"/>
      <c r="AA7" s="294"/>
      <c r="AB7" s="913"/>
      <c r="AC7" s="913"/>
      <c r="AD7" s="913"/>
      <c r="AE7" s="913"/>
      <c r="AF7" s="913"/>
      <c r="AG7" s="913"/>
      <c r="AH7" s="913"/>
      <c r="AI7" s="913"/>
      <c r="AJ7" s="923"/>
      <c r="AK7" s="923"/>
      <c r="AL7" s="923"/>
      <c r="AM7" s="923"/>
      <c r="AN7" s="923"/>
      <c r="AO7" s="923"/>
      <c r="AP7" s="923"/>
      <c r="AQ7" s="923"/>
      <c r="AR7" s="923"/>
      <c r="AS7" s="923"/>
      <c r="AT7" s="923"/>
      <c r="AU7" s="923"/>
      <c r="AV7" s="923"/>
      <c r="AW7" s="923"/>
      <c r="AX7" s="923"/>
      <c r="AY7" s="923"/>
      <c r="AZ7" s="923"/>
      <c r="BA7" s="923"/>
      <c r="BB7" s="923"/>
    </row>
    <row r="8" spans="1:54" ht="15.75">
      <c r="O8" s="154"/>
      <c r="P8" s="154"/>
      <c r="Q8" s="154"/>
      <c r="R8" s="913"/>
      <c r="S8" s="913"/>
      <c r="T8" s="913"/>
      <c r="U8" s="913"/>
      <c r="V8" s="294"/>
      <c r="W8" s="297"/>
      <c r="X8" s="297"/>
      <c r="Y8" s="297">
        <f t="shared" si="0"/>
        <v>2016</v>
      </c>
      <c r="Z8" s="294"/>
      <c r="AA8" s="294"/>
      <c r="AB8" s="913"/>
      <c r="AC8" s="913"/>
      <c r="AD8" s="913"/>
      <c r="AE8" s="913"/>
      <c r="AF8" s="913"/>
      <c r="AG8" s="913"/>
      <c r="AH8" s="913"/>
      <c r="AI8" s="913"/>
      <c r="AJ8" s="923"/>
      <c r="AK8" s="923"/>
      <c r="AL8" s="923"/>
      <c r="AM8" s="923"/>
      <c r="AN8" s="923"/>
      <c r="AO8" s="923"/>
      <c r="AP8" s="923"/>
      <c r="AQ8" s="923"/>
      <c r="AR8" s="923"/>
      <c r="AS8" s="923"/>
      <c r="AT8" s="923"/>
      <c r="AU8" s="923"/>
      <c r="AV8" s="923"/>
      <c r="AW8" s="923"/>
      <c r="AX8" s="923"/>
      <c r="AY8" s="923"/>
      <c r="AZ8" s="923"/>
      <c r="BA8" s="923"/>
      <c r="BB8" s="923"/>
    </row>
    <row r="9" spans="1:54" ht="16.5" thickBot="1">
      <c r="A9" s="1948" t="str">
        <f>IF($B$7="Click here to select an option","Select a year above for display.",CONCATENATE("Exports ",B7))</f>
        <v>Exports 2023</v>
      </c>
      <c r="B9" s="1948"/>
      <c r="C9" s="1948"/>
      <c r="D9" s="1948"/>
      <c r="O9" s="154"/>
      <c r="P9" s="154"/>
      <c r="Q9" s="154"/>
      <c r="R9" s="913"/>
      <c r="S9" s="913"/>
      <c r="T9" s="913"/>
      <c r="U9" s="913"/>
      <c r="V9" s="294"/>
      <c r="W9" s="297"/>
      <c r="X9" s="297"/>
      <c r="Y9" s="297">
        <f t="shared" si="0"/>
        <v>2015</v>
      </c>
      <c r="Z9" s="294"/>
      <c r="AA9" s="294"/>
      <c r="AB9" s="913"/>
      <c r="AC9" s="913"/>
      <c r="AD9" s="913"/>
      <c r="AE9" s="913"/>
      <c r="AF9" s="913"/>
      <c r="AG9" s="913"/>
      <c r="AH9" s="913"/>
      <c r="AI9" s="913"/>
      <c r="AJ9" s="923"/>
      <c r="AK9" s="923"/>
      <c r="AL9" s="923"/>
      <c r="AM9" s="923"/>
      <c r="AN9" s="923"/>
      <c r="AO9" s="923"/>
      <c r="AP9" s="923"/>
      <c r="AQ9" s="923"/>
      <c r="AR9" s="923"/>
      <c r="AS9" s="923"/>
      <c r="AT9" s="923"/>
      <c r="AU9" s="923"/>
      <c r="AV9" s="923"/>
      <c r="AW9" s="923"/>
      <c r="AX9" s="923"/>
      <c r="AY9" s="923"/>
      <c r="AZ9" s="923"/>
      <c r="BA9" s="923"/>
      <c r="BB9" s="923"/>
    </row>
    <row r="10" spans="1:54" ht="15.75">
      <c r="A10" s="1413" t="s">
        <v>591</v>
      </c>
      <c r="B10" s="1414" t="s">
        <v>31</v>
      </c>
      <c r="C10" s="1414" t="s">
        <v>402</v>
      </c>
      <c r="D10" s="1415" t="s">
        <v>33</v>
      </c>
      <c r="R10" s="913"/>
      <c r="S10" s="913"/>
      <c r="T10" s="913"/>
      <c r="U10" s="913"/>
      <c r="V10" s="294"/>
      <c r="W10" s="297"/>
      <c r="X10" s="297"/>
      <c r="Y10" s="297">
        <f t="shared" si="0"/>
        <v>2014</v>
      </c>
      <c r="Z10" s="294"/>
      <c r="AA10" s="294"/>
      <c r="AB10" s="913"/>
      <c r="AC10" s="913"/>
      <c r="AD10" s="913"/>
      <c r="AE10" s="913"/>
      <c r="AF10" s="913"/>
      <c r="AG10" s="913"/>
      <c r="AH10" s="913"/>
      <c r="AI10" s="913"/>
      <c r="AJ10" s="923"/>
      <c r="AK10" s="923"/>
      <c r="AL10" s="923"/>
      <c r="AM10" s="923"/>
      <c r="AN10" s="923"/>
      <c r="AO10" s="923"/>
      <c r="AP10" s="923"/>
      <c r="AQ10" s="923"/>
      <c r="AR10" s="923"/>
      <c r="AS10" s="923"/>
      <c r="AT10" s="923"/>
      <c r="AU10" s="923"/>
      <c r="AV10" s="923"/>
      <c r="AW10" s="923"/>
      <c r="AX10" s="923"/>
      <c r="AY10" s="923"/>
      <c r="AZ10" s="923"/>
      <c r="BA10" s="923"/>
      <c r="BB10" s="923"/>
    </row>
    <row r="11" spans="1:54" ht="15.75">
      <c r="A11" s="269" t="str">
        <f t="array" ref="A11">IF($W$3="Mismatch Error","Mismatch Error",IF($B$6=$X$2,INDEX('Commodity Prices'!$BA$9:$BF$3498,MATCH(1,(('Commodity Prices'!$BA$9:$BA$3488)="Base Metals")*(('Commodity Prices'!$BB$9:$BB$3488)=$B$7)*(('Commodity Prices'!$BD$9:$BD$3488)=B11),0),3),INDEX('Commodity Prices'!$BH$9:$BM$3487,MATCH(1,(('Commodity Prices'!$BH$9:$BH$3487)="Base Metals")*(('Commodity Prices'!$BI$9:$BI$3487)=$B$7)*(('Commodity Prices'!$BK$9:$BK$3487)=B11),0),3)))</f>
        <v>Philippines</v>
      </c>
      <c r="B11" s="1298">
        <v>1</v>
      </c>
      <c r="C11" s="1777" t="str">
        <f t="array" ref="C11">IF($W$3="Mismatch Error","",IF($B$6=$X$2,INDEX('Commodity Prices'!$BA$9:$BF$3498,MATCH(1,(('Commodity Prices'!$BA$9:$BA$3488)="Base Metals")*(('Commodity Prices'!$BB$9:$BB$3488)=$B$7)*(('Commodity Prices'!$BD$9:$BD$3488)=B11),0),5),INDEX('Commodity Prices'!$BH$9:$BM$3487,MATCH(1,(('Commodity Prices'!$BH$9:$BH$3487)="Base Metals")*(('Commodity Prices'!$BI$9:$BI$3487)=$B$7)*(('Commodity Prices'!$BK$9:$BK$3487)=B11),0),5)))</f>
        <v>n/a</v>
      </c>
      <c r="D11" s="1301">
        <f t="array" ref="D11">IF($W$3="Mismatch Error","",IF($B$6=$X$2,INDEX('Commodity Prices'!$BA$9:$BF$3498,MATCH(1,(('Commodity Prices'!$BA$9:$BA$3488)="Base Metals")*(('Commodity Prices'!$BB$9:$BB$3488)=$B$7)*(('Commodity Prices'!$BD$9:$BD$3488)=B11),0),6),INDEX('Commodity Prices'!$BH$9:$BM$3487,MATCH(1,(('Commodity Prices'!$BH$9:$BH$3487)="Base Metals")*(('Commodity Prices'!$BI$9:$BI$3487)=$B$7)*(('Commodity Prices'!$BK$9:$BK$3487)=B11),0),6)))</f>
        <v>0.29596078385230828</v>
      </c>
      <c r="R11" s="913"/>
      <c r="S11" s="913"/>
      <c r="T11" s="913"/>
      <c r="U11" s="913"/>
      <c r="V11" s="294"/>
      <c r="W11" s="297"/>
      <c r="X11" s="297"/>
      <c r="Y11" s="297">
        <f t="shared" si="0"/>
        <v>2013</v>
      </c>
      <c r="Z11" s="294"/>
      <c r="AA11" s="294"/>
      <c r="AB11" s="913"/>
      <c r="AC11" s="913"/>
      <c r="AD11" s="913"/>
      <c r="AE11" s="913"/>
      <c r="AF11" s="913"/>
      <c r="AG11" s="913"/>
      <c r="AH11" s="913"/>
      <c r="AI11" s="913"/>
      <c r="AJ11" s="923"/>
      <c r="AK11" s="923"/>
      <c r="AL11" s="923"/>
      <c r="AM11" s="923"/>
      <c r="AN11" s="923"/>
      <c r="AO11" s="923"/>
      <c r="AP11" s="923"/>
      <c r="AQ11" s="923"/>
      <c r="AR11" s="923"/>
      <c r="AS11" s="923"/>
      <c r="AT11" s="923"/>
      <c r="AU11" s="923"/>
      <c r="AV11" s="923"/>
      <c r="AW11" s="923"/>
      <c r="AX11" s="923"/>
      <c r="AY11" s="923"/>
      <c r="AZ11" s="923"/>
      <c r="BA11" s="923"/>
      <c r="BB11" s="923"/>
    </row>
    <row r="12" spans="1:54" ht="15.75">
      <c r="A12" s="319" t="str">
        <f t="array" ref="A12">IF($W$3="Mismatch Error","",IF($B$6=$X$2,INDEX('Commodity Prices'!$BA$9:$BF$3498,MATCH(1,(('Commodity Prices'!$BA$9:$BA$3488)="Base Metals")*(('Commodity Prices'!$BB$9:$BB$3488)=$B$7)*(('Commodity Prices'!$BD$9:$BD$3488)=B12),0),3),INDEX('Commodity Prices'!$BH$9:$BM$3487,MATCH(1,(('Commodity Prices'!$BH$9:$BH$3487)="Base Metals")*(('Commodity Prices'!$BI$9:$BI$3487)=$B$7)*(('Commodity Prices'!$BK$9:$BK$3487)=B12),0),3)))</f>
        <v>Korea, Republic Of (South)</v>
      </c>
      <c r="B12" s="1297">
        <v>2</v>
      </c>
      <c r="C12" s="1778" t="str">
        <f t="array" ref="C12">IF($W$3="Mismatch Error","",IF($B$6=$X$2,INDEX('Commodity Prices'!$BA$9:$BF$3498,MATCH(1,(('Commodity Prices'!$BA$9:$BA$3488)="Base Metals")*(('Commodity Prices'!$BB$9:$BB$3488)=$B$7)*(('Commodity Prices'!$BD$9:$BD$3488)=B12),0),5),INDEX('Commodity Prices'!$BH$9:$BM$3487,MATCH(1,(('Commodity Prices'!$BH$9:$BH$3487)="Base Metals")*(('Commodity Prices'!$BI$9:$BI$3487)=$B$7)*(('Commodity Prices'!$BK$9:$BK$3487)=B12),0),5)))</f>
        <v>n/a</v>
      </c>
      <c r="D12" s="1300">
        <f t="array" ref="D12">IF($W$3="Mismatch Error","",IF($B$6=$X$2,INDEX('Commodity Prices'!$BA$9:$BF$3498,MATCH(1,(('Commodity Prices'!$BA$9:$BA$3488)="Base Metals")*(('Commodity Prices'!$BB$9:$BB$3488)=$B$7)*(('Commodity Prices'!$BD$9:$BD$3488)=B12),0),6),INDEX('Commodity Prices'!$BH$9:$BM$3487,MATCH(1,(('Commodity Prices'!$BH$9:$BH$3487)="Base Metals")*(('Commodity Prices'!$BI$9:$BI$3487)=$B$7)*(('Commodity Prices'!$BK$9:$BK$3487)=B12),0),6)))</f>
        <v>0.19429285905544016</v>
      </c>
      <c r="R12" s="913"/>
      <c r="S12" s="913"/>
      <c r="T12" s="913"/>
      <c r="U12" s="913"/>
      <c r="V12" s="294"/>
      <c r="W12" s="297"/>
      <c r="X12" s="297"/>
      <c r="Y12" s="297">
        <f t="shared" si="0"/>
        <v>2012</v>
      </c>
      <c r="Z12" s="294"/>
      <c r="AA12" s="294"/>
      <c r="AB12" s="913"/>
      <c r="AC12" s="913"/>
      <c r="AD12" s="913"/>
      <c r="AE12" s="913"/>
      <c r="AF12" s="913"/>
      <c r="AG12" s="913"/>
      <c r="AH12" s="913"/>
      <c r="AI12" s="913"/>
      <c r="AJ12" s="923"/>
      <c r="AK12" s="923"/>
      <c r="AL12" s="923"/>
      <c r="AM12" s="923"/>
      <c r="AN12" s="923"/>
      <c r="AO12" s="923"/>
      <c r="AP12" s="923"/>
      <c r="AQ12" s="923"/>
      <c r="AR12" s="923"/>
      <c r="AS12" s="923"/>
      <c r="AT12" s="923"/>
      <c r="AU12" s="923"/>
      <c r="AV12" s="923"/>
      <c r="AW12" s="923"/>
      <c r="AX12" s="923"/>
      <c r="AY12" s="923"/>
      <c r="AZ12" s="923"/>
      <c r="BA12" s="923"/>
      <c r="BB12" s="923"/>
    </row>
    <row r="13" spans="1:54" ht="15.75">
      <c r="A13" s="269" t="str">
        <f t="array" ref="A13">IF($W$3="Mismatch Error","",IF($B$6=$X$2,INDEX('Commodity Prices'!$BA$9:$BF$3498,MATCH(1,(('Commodity Prices'!$BA$9:$BA$3488)="Base Metals")*(('Commodity Prices'!$BB$9:$BB$3488)=$B$7)*(('Commodity Prices'!$BD$9:$BD$3488)=B13),0),3),INDEX('Commodity Prices'!$BH$9:$BM$3487,MATCH(1,(('Commodity Prices'!$BH$9:$BH$3487)="Base Metals")*(('Commodity Prices'!$BI$9:$BI$3487)=$B$7)*(('Commodity Prices'!$BK$9:$BK$3487)=B13),0),3)))</f>
        <v>Japan</v>
      </c>
      <c r="B13" s="1298">
        <v>3</v>
      </c>
      <c r="C13" s="1777" t="str">
        <f t="array" ref="C13">IF($W$3="Mismatch Error","",IF($B$6=$X$2,INDEX('Commodity Prices'!$BA$9:$BF$3498,MATCH(1,(('Commodity Prices'!$BA$9:$BA$3488)="Base Metals")*(('Commodity Prices'!$BB$9:$BB$3488)=$B$7)*(('Commodity Prices'!$BD$9:$BD$3488)=B13),0),5),INDEX('Commodity Prices'!$BH$9:$BM$3487,MATCH(1,(('Commodity Prices'!$BH$9:$BH$3487)="Base Metals")*(('Commodity Prices'!$BI$9:$BI$3487)=$B$7)*(('Commodity Prices'!$BK$9:$BK$3487)=B13),0),5)))</f>
        <v>n/a</v>
      </c>
      <c r="D13" s="1301">
        <f t="array" ref="D13">IF($W$3="Mismatch Error","",IF($B$6=$X$2,INDEX('Commodity Prices'!$BA$9:$BF$3498,MATCH(1,(('Commodity Prices'!$BA$9:$BA$3488)="Base Metals")*(('Commodity Prices'!$BB$9:$BB$3488)=$B$7)*(('Commodity Prices'!$BD$9:$BD$3488)=B13),0),6),INDEX('Commodity Prices'!$BH$9:$BM$3487,MATCH(1,(('Commodity Prices'!$BH$9:$BH$3487)="Base Metals")*(('Commodity Prices'!$BI$9:$BI$3487)=$B$7)*(('Commodity Prices'!$BK$9:$BK$3487)=B13),0),6)))</f>
        <v>0.14726278672538848</v>
      </c>
      <c r="R13" s="913"/>
      <c r="S13" s="913"/>
      <c r="T13" s="913"/>
      <c r="U13" s="913"/>
      <c r="V13" s="294"/>
      <c r="W13" s="297"/>
      <c r="X13" s="297"/>
      <c r="Y13" s="297">
        <f t="shared" si="0"/>
        <v>2011</v>
      </c>
      <c r="Z13" s="294"/>
      <c r="AA13" s="294"/>
      <c r="AB13" s="913"/>
      <c r="AC13" s="913"/>
      <c r="AD13" s="913"/>
      <c r="AE13" s="913"/>
      <c r="AF13" s="913"/>
      <c r="AG13" s="913"/>
      <c r="AH13" s="913"/>
      <c r="AI13" s="913"/>
      <c r="AJ13" s="923"/>
      <c r="AK13" s="923"/>
      <c r="AL13" s="923"/>
      <c r="AM13" s="923"/>
      <c r="AN13" s="923"/>
      <c r="AO13" s="923"/>
      <c r="AP13" s="923"/>
      <c r="AQ13" s="923"/>
      <c r="AR13" s="923"/>
      <c r="AS13" s="923"/>
      <c r="AT13" s="923"/>
      <c r="AU13" s="923"/>
      <c r="AV13" s="923"/>
      <c r="AW13" s="923"/>
      <c r="AX13" s="923"/>
      <c r="AY13" s="923"/>
      <c r="AZ13" s="923"/>
      <c r="BA13" s="923"/>
      <c r="BB13" s="923"/>
    </row>
    <row r="14" spans="1:54" ht="15.75">
      <c r="A14" s="319" t="str">
        <f t="array" ref="A14">IF($W$3="Mismatch Error","",IF($B$6=$X$2,INDEX('Commodity Prices'!$BA$9:$BF$3498,MATCH(1,(('Commodity Prices'!$BA$9:$BA$3488)="Base Metals")*(('Commodity Prices'!$BB$9:$BB$3488)=$B$7)*(('Commodity Prices'!$BD$9:$BD$3488)=B14),0),3),INDEX('Commodity Prices'!$BH$9:$BM$3487,MATCH(1,(('Commodity Prices'!$BH$9:$BH$3487)="Base Metals")*(('Commodity Prices'!$BI$9:$BI$3487)=$B$7)*(('Commodity Prices'!$BK$9:$BK$3487)=B14),0),3)))</f>
        <v>Germany</v>
      </c>
      <c r="B14" s="1297">
        <v>4</v>
      </c>
      <c r="C14" s="1778" t="str">
        <f t="array" ref="C14">IF($W$3="Mismatch Error","",IF($B$6=$X$2,INDEX('Commodity Prices'!$BA$9:$BF$3498,MATCH(1,(('Commodity Prices'!$BA$9:$BA$3488)="Base Metals")*(('Commodity Prices'!$BB$9:$BB$3488)=$B$7)*(('Commodity Prices'!$BD$9:$BD$3488)=B14),0),5),INDEX('Commodity Prices'!$BH$9:$BM$3487,MATCH(1,(('Commodity Prices'!$BH$9:$BH$3487)="Base Metals")*(('Commodity Prices'!$BI$9:$BI$3487)=$B$7)*(('Commodity Prices'!$BK$9:$BK$3487)=B14),0),5)))</f>
        <v>n/a</v>
      </c>
      <c r="D14" s="1300">
        <f t="array" ref="D14">IF($W$3="Mismatch Error","",IF($B$6=$X$2,INDEX('Commodity Prices'!$BA$9:$BF$3498,MATCH(1,(('Commodity Prices'!$BA$9:$BA$3488)="Base Metals")*(('Commodity Prices'!$BB$9:$BB$3488)=$B$7)*(('Commodity Prices'!$BD$9:$BD$3488)=B14),0),6),INDEX('Commodity Prices'!$BH$9:$BM$3487,MATCH(1,(('Commodity Prices'!$BH$9:$BH$3487)="Base Metals")*(('Commodity Prices'!$BI$9:$BI$3487)=$B$7)*(('Commodity Prices'!$BK$9:$BK$3487)=B14),0),6)))</f>
        <v>0.11783673320171363</v>
      </c>
      <c r="R14" s="913"/>
      <c r="S14" s="913"/>
      <c r="T14" s="913"/>
      <c r="U14" s="913"/>
      <c r="V14" s="294"/>
      <c r="W14" s="294"/>
      <c r="X14" s="294"/>
      <c r="Y14" s="297">
        <f t="shared" si="0"/>
        <v>2010</v>
      </c>
      <c r="Z14" s="294"/>
      <c r="AA14" s="294"/>
      <c r="AB14" s="913"/>
      <c r="AC14" s="913"/>
      <c r="AD14" s="913"/>
      <c r="AE14" s="913"/>
      <c r="AF14" s="913"/>
      <c r="AG14" s="913"/>
      <c r="AH14" s="913"/>
      <c r="AI14" s="913"/>
      <c r="AJ14" s="923"/>
      <c r="AK14" s="923"/>
      <c r="AL14" s="923"/>
      <c r="AM14" s="923"/>
      <c r="AN14" s="923"/>
      <c r="AO14" s="923"/>
      <c r="AP14" s="923"/>
      <c r="AQ14" s="923"/>
      <c r="AR14" s="923"/>
      <c r="AS14" s="923"/>
      <c r="AT14" s="923"/>
      <c r="AU14" s="923"/>
      <c r="AV14" s="923"/>
      <c r="AW14" s="923"/>
      <c r="AX14" s="923"/>
      <c r="AY14" s="923"/>
      <c r="AZ14" s="923"/>
      <c r="BA14" s="923"/>
      <c r="BB14" s="923"/>
    </row>
    <row r="15" spans="1:54" ht="15.75">
      <c r="A15" s="269" t="str">
        <f t="array" ref="A15">IF($W$3="Mismatch Error","",IF($B$6=$X$2,INDEX('Commodity Prices'!$BA$9:$BF$3498,MATCH(1,(('Commodity Prices'!$BA$9:$BA$3488)="Base Metals")*(('Commodity Prices'!$BB$9:$BB$3488)=$B$7)*(('Commodity Prices'!$BD$9:$BD$3488)=B15),0),3),INDEX('Commodity Prices'!$BH$9:$BM$3487,MATCH(1,(('Commodity Prices'!$BH$9:$BH$3487)="Base Metals")*(('Commodity Prices'!$BI$9:$BI$3487)=$B$7)*(('Commodity Prices'!$BK$9:$BK$3487)=B15),0),3)))</f>
        <v>China</v>
      </c>
      <c r="B15" s="1298">
        <v>5</v>
      </c>
      <c r="C15" s="1777" t="str">
        <f t="array" ref="C15">IF($W$3="Mismatch Error","",IF($B$6=$X$2,INDEX('Commodity Prices'!$BA$9:$BF$3498,MATCH(1,(('Commodity Prices'!$BA$9:$BA$3488)="Base Metals")*(('Commodity Prices'!$BB$9:$BB$3488)=$B$7)*(('Commodity Prices'!$BD$9:$BD$3488)=B15),0),5),INDEX('Commodity Prices'!$BH$9:$BM$3487,MATCH(1,(('Commodity Prices'!$BH$9:$BH$3487)="Base Metals")*(('Commodity Prices'!$BI$9:$BI$3487)=$B$7)*(('Commodity Prices'!$BK$9:$BK$3487)=B15),0),5)))</f>
        <v>n/a</v>
      </c>
      <c r="D15" s="1301">
        <f t="array" ref="D15">IF($W$3="Mismatch Error","",IF($B$6=$X$2,INDEX('Commodity Prices'!$BA$9:$BF$3498,MATCH(1,(('Commodity Prices'!$BA$9:$BA$3488)="Base Metals")*(('Commodity Prices'!$BB$9:$BB$3488)=$B$7)*(('Commodity Prices'!$BD$9:$BD$3488)=B15),0),6),INDEX('Commodity Prices'!$BH$9:$BM$3487,MATCH(1,(('Commodity Prices'!$BH$9:$BH$3487)="Base Metals")*(('Commodity Prices'!$BI$9:$BI$3487)=$B$7)*(('Commodity Prices'!$BK$9:$BK$3487)=B15),0),6)))</f>
        <v>0.11171339904698359</v>
      </c>
      <c r="R15" s="913"/>
      <c r="S15" s="913"/>
      <c r="T15" s="913"/>
      <c r="U15" s="913"/>
      <c r="V15" s="294"/>
      <c r="W15" s="294"/>
      <c r="X15" s="294"/>
      <c r="Y15" s="297">
        <f t="shared" si="0"/>
        <v>2009</v>
      </c>
      <c r="Z15" s="294"/>
      <c r="AA15" s="294"/>
      <c r="AB15" s="913"/>
      <c r="AC15" s="913"/>
      <c r="AD15" s="913"/>
      <c r="AE15" s="913"/>
      <c r="AF15" s="913"/>
      <c r="AG15" s="913"/>
      <c r="AH15" s="913"/>
      <c r="AI15" s="913"/>
      <c r="AJ15" s="923"/>
      <c r="AK15" s="923"/>
      <c r="AL15" s="923"/>
      <c r="AM15" s="923"/>
      <c r="AN15" s="923"/>
      <c r="AO15" s="923"/>
      <c r="AP15" s="923"/>
      <c r="AQ15" s="923"/>
      <c r="AR15" s="923"/>
      <c r="AS15" s="923"/>
      <c r="AT15" s="923"/>
      <c r="AU15" s="923"/>
      <c r="AV15" s="923"/>
      <c r="AW15" s="923"/>
      <c r="AX15" s="923"/>
      <c r="AY15" s="923"/>
      <c r="AZ15" s="923"/>
      <c r="BA15" s="923"/>
      <c r="BB15" s="923"/>
    </row>
    <row r="16" spans="1:54" ht="15.75">
      <c r="A16" s="319" t="str">
        <f t="array" ref="A16">IF($W$3="Mismatch Error","",IF($B$6=$X$2,INDEX('Commodity Prices'!$BA$9:$BF$3498,MATCH(1,(('Commodity Prices'!$BA$9:$BA$3488)="Base Metals")*(('Commodity Prices'!$BB$9:$BB$3488)=$B$7)*(('Commodity Prices'!$BD$9:$BD$3488)=B16),0),3),INDEX('Commodity Prices'!$BH$9:$BM$3487,MATCH(1,(('Commodity Prices'!$BH$9:$BH$3487)="Base Metals")*(('Commodity Prices'!$BI$9:$BI$3487)=$B$7)*(('Commodity Prices'!$BK$9:$BK$3487)=B16),0),3)))</f>
        <v>Sweden</v>
      </c>
      <c r="B16" s="1297">
        <v>6</v>
      </c>
      <c r="C16" s="1778" t="str">
        <f t="array" ref="C16">IF($W$3="Mismatch Error","",IF($B$6=$X$2,INDEX('Commodity Prices'!$BA$9:$BF$3498,MATCH(1,(('Commodity Prices'!$BA$9:$BA$3488)="Base Metals")*(('Commodity Prices'!$BB$9:$BB$3488)=$B$7)*(('Commodity Prices'!$BD$9:$BD$3488)=B16),0),5),INDEX('Commodity Prices'!$BH$9:$BM$3487,MATCH(1,(('Commodity Prices'!$BH$9:$BH$3487)="Base Metals")*(('Commodity Prices'!$BI$9:$BI$3487)=$B$7)*(('Commodity Prices'!$BK$9:$BK$3487)=B16),0),5)))</f>
        <v>n/a</v>
      </c>
      <c r="D16" s="1300">
        <f t="array" ref="D16">IF($W$3="Mismatch Error","",IF($B$6=$X$2,INDEX('Commodity Prices'!$BA$9:$BF$3498,MATCH(1,(('Commodity Prices'!$BA$9:$BA$3488)="Base Metals")*(('Commodity Prices'!$BB$9:$BB$3488)=$B$7)*(('Commodity Prices'!$BD$9:$BD$3488)=B16),0),6),INDEX('Commodity Prices'!$BH$9:$BM$3487,MATCH(1,(('Commodity Prices'!$BH$9:$BH$3487)="Base Metals")*(('Commodity Prices'!$BI$9:$BI$3487)=$B$7)*(('Commodity Prices'!$BK$9:$BK$3487)=B16),0),6)))</f>
        <v>6.2458053854693919E-2</v>
      </c>
      <c r="R16" s="913"/>
      <c r="S16" s="913"/>
      <c r="T16" s="913"/>
      <c r="U16" s="913"/>
      <c r="V16" s="294"/>
      <c r="W16" s="294"/>
      <c r="X16" s="294"/>
      <c r="Y16" s="297">
        <f t="shared" si="0"/>
        <v>2008</v>
      </c>
      <c r="Z16" s="294"/>
      <c r="AA16" s="294"/>
      <c r="AB16" s="913"/>
      <c r="AC16" s="913"/>
      <c r="AD16" s="913"/>
      <c r="AE16" s="913"/>
      <c r="AF16" s="913"/>
      <c r="AG16" s="913"/>
      <c r="AH16" s="913"/>
      <c r="AI16" s="913"/>
      <c r="AJ16" s="923"/>
      <c r="AK16" s="923"/>
      <c r="AL16" s="923"/>
      <c r="AM16" s="923"/>
      <c r="AN16" s="923"/>
      <c r="AO16" s="923"/>
      <c r="AP16" s="923"/>
      <c r="AQ16" s="923"/>
      <c r="AR16" s="923"/>
      <c r="AS16" s="923"/>
      <c r="AT16" s="923"/>
      <c r="AU16" s="923"/>
      <c r="AV16" s="923"/>
      <c r="AW16" s="923"/>
      <c r="AX16" s="923"/>
      <c r="AY16" s="923"/>
      <c r="AZ16" s="923"/>
      <c r="BA16" s="923"/>
      <c r="BB16" s="923"/>
    </row>
    <row r="17" spans="1:54" ht="15.75">
      <c r="A17" s="269" t="str">
        <f t="array" ref="A17">IF($W$3="Mismatch Error","",IF($B$6=$X$2,INDEX('Commodity Prices'!$BA$9:$BF$3498,MATCH(1,(('Commodity Prices'!$BA$9:$BA$3488)="Base Metals")*(('Commodity Prices'!$BB$9:$BB$3488)=$B$7)*(('Commodity Prices'!$BD$9:$BD$3488)=B17),0),3),INDEX('Commodity Prices'!$BH$9:$BM$3487,MATCH(1,(('Commodity Prices'!$BH$9:$BH$3487)="Base Metals")*(('Commodity Prices'!$BI$9:$BI$3487)=$B$7)*(('Commodity Prices'!$BK$9:$BK$3487)=B17),0),3)))</f>
        <v>Finland</v>
      </c>
      <c r="B17" s="1298">
        <v>7</v>
      </c>
      <c r="C17" s="1777" t="str">
        <f t="array" ref="C17">IF($W$3="Mismatch Error","",IF($B$6=$X$2,INDEX('Commodity Prices'!$BA$9:$BF$3498,MATCH(1,(('Commodity Prices'!$BA$9:$BA$3488)="Base Metals")*(('Commodity Prices'!$BB$9:$BB$3488)=$B$7)*(('Commodity Prices'!$BD$9:$BD$3488)=B17),0),5),INDEX('Commodity Prices'!$BH$9:$BM$3487,MATCH(1,(('Commodity Prices'!$BH$9:$BH$3487)="Base Metals")*(('Commodity Prices'!$BI$9:$BI$3487)=$B$7)*(('Commodity Prices'!$BK$9:$BK$3487)=B17),0),5)))</f>
        <v>n/a</v>
      </c>
      <c r="D17" s="1301">
        <f t="array" ref="D17">IF($W$3="Mismatch Error","",IF($B$6=$X$2,INDEX('Commodity Prices'!$BA$9:$BF$3498,MATCH(1,(('Commodity Prices'!$BA$9:$BA$3488)="Base Metals")*(('Commodity Prices'!$BB$9:$BB$3488)=$B$7)*(('Commodity Prices'!$BD$9:$BD$3488)=B17),0),6),INDEX('Commodity Prices'!$BH$9:$BM$3487,MATCH(1,(('Commodity Prices'!$BH$9:$BH$3487)="Base Metals")*(('Commodity Prices'!$BI$9:$BI$3487)=$B$7)*(('Commodity Prices'!$BK$9:$BK$3487)=B17),0),6)))</f>
        <v>4.9104893740899359E-2</v>
      </c>
      <c r="R17" s="913"/>
      <c r="S17" s="913"/>
      <c r="T17" s="913"/>
      <c r="U17" s="913"/>
      <c r="V17" s="962"/>
      <c r="W17" s="913"/>
      <c r="X17" s="962"/>
      <c r="Y17" s="963">
        <f>IFERROR(IF($B$6=$X$2,IF($Z$2&lt;=(Y16-1),Y16-1,""),IF($Z$2=VALUE(LEFT(Y16,4)),"",CONCATENATE(VALUE(LEFT(Y16,4))-1,"-",RIGHT(LEFT(Y16,4),2)))),"")</f>
        <v>2007</v>
      </c>
      <c r="AA17" s="962"/>
      <c r="AB17" s="913"/>
      <c r="AC17" s="913"/>
      <c r="AD17" s="913"/>
      <c r="AE17" s="913"/>
      <c r="AF17" s="913"/>
      <c r="AG17" s="913"/>
      <c r="AH17" s="913"/>
      <c r="AI17" s="913"/>
      <c r="AJ17" s="923"/>
      <c r="AK17" s="923"/>
      <c r="AL17" s="923"/>
      <c r="AM17" s="923"/>
      <c r="AN17" s="923"/>
      <c r="AO17" s="923"/>
      <c r="AP17" s="923"/>
      <c r="AQ17" s="923"/>
      <c r="AR17" s="923"/>
      <c r="AS17" s="923"/>
      <c r="AT17" s="923"/>
      <c r="AU17" s="923"/>
      <c r="AV17" s="923"/>
      <c r="AW17" s="923"/>
      <c r="AX17" s="923"/>
      <c r="AY17" s="923"/>
      <c r="AZ17" s="923"/>
      <c r="BA17" s="923"/>
      <c r="BB17" s="923"/>
    </row>
    <row r="18" spans="1:54" ht="15.75">
      <c r="A18" s="688" t="str">
        <f t="array" ref="A18">IF($W$3="Mismatch Error","",IF($B$6=$X$2,INDEX('Commodity Prices'!$BA$9:$BF$3498,MATCH(1,(('Commodity Prices'!$BA$9:$BA$3488)="Base Metals")*(('Commodity Prices'!$BB$9:$BB$3488)=$B$7)*(('Commodity Prices'!$BD$9:$BD$3488)=B18),0),3),INDEX('Commodity Prices'!$BH$9:$BM$3487,MATCH(1,(('Commodity Prices'!$BH$9:$BH$3487)="Base Metals")*(('Commodity Prices'!$BI$9:$BI$3487)=$B$7)*(('Commodity Prices'!$BK$9:$BK$3487)=B18),0),3)))</f>
        <v>Taiwan</v>
      </c>
      <c r="B18" s="1297">
        <v>8</v>
      </c>
      <c r="C18" s="1778" t="str">
        <f t="array" ref="C18">IF($W$3="Mismatch Error","",IF($B$6=$X$2,INDEX('Commodity Prices'!$BA$9:$BF$3498,MATCH(1,(('Commodity Prices'!$BA$9:$BA$3488)="Base Metals")*(('Commodity Prices'!$BB$9:$BB$3488)=$B$7)*(('Commodity Prices'!$BD$9:$BD$3488)=B18),0),5),INDEX('Commodity Prices'!$BH$9:$BM$3487,MATCH(1,(('Commodity Prices'!$BH$9:$BH$3487)="Base Metals")*(('Commodity Prices'!$BI$9:$BI$3487)=$B$7)*(('Commodity Prices'!$BK$9:$BK$3487)=B18),0),5)))</f>
        <v>n/a</v>
      </c>
      <c r="D18" s="1300">
        <f t="array" ref="D18">IF($W$3="Mismatch Error","",IF($B$6=$X$2,INDEX('Commodity Prices'!$BA$9:$BF$3498,MATCH(1,(('Commodity Prices'!$BA$9:$BA$3488)="Base Metals")*(('Commodity Prices'!$BB$9:$BB$3488)=$B$7)*(('Commodity Prices'!$BD$9:$BD$3488)=B18),0),6),INDEX('Commodity Prices'!$BH$9:$BM$3487,MATCH(1,(('Commodity Prices'!$BH$9:$BH$3487)="Base Metals")*(('Commodity Prices'!$BI$9:$BI$3487)=$B$7)*(('Commodity Prices'!$BK$9:$BK$3487)=B18),0),6)))</f>
        <v>1.1126869897751532E-2</v>
      </c>
      <c r="R18" s="913"/>
      <c r="S18" s="913"/>
      <c r="T18" s="913"/>
      <c r="U18" s="913"/>
      <c r="V18" s="962"/>
      <c r="W18" s="913"/>
      <c r="X18" s="962"/>
      <c r="Y18" s="963" t="str">
        <f t="shared" si="0"/>
        <v/>
      </c>
      <c r="AA18" s="962"/>
      <c r="AB18" s="913"/>
      <c r="AC18" s="913"/>
      <c r="AD18" s="913"/>
      <c r="AE18" s="913"/>
      <c r="AF18" s="913"/>
      <c r="AG18" s="913"/>
      <c r="AH18" s="913"/>
      <c r="AI18" s="913"/>
      <c r="AJ18" s="923"/>
      <c r="AK18" s="923"/>
      <c r="AL18" s="923"/>
      <c r="AM18" s="923"/>
      <c r="AN18" s="923"/>
      <c r="AO18" s="923"/>
      <c r="AP18" s="923"/>
      <c r="AQ18" s="923"/>
      <c r="AR18" s="923"/>
      <c r="AS18" s="923"/>
      <c r="AT18" s="923"/>
      <c r="AU18" s="923"/>
      <c r="AV18" s="923"/>
      <c r="AW18" s="923"/>
      <c r="AX18" s="923"/>
      <c r="AY18" s="923"/>
      <c r="AZ18" s="923"/>
      <c r="BA18" s="923"/>
      <c r="BB18" s="923"/>
    </row>
    <row r="19" spans="1:54" ht="15.75">
      <c r="A19" s="689" t="str">
        <f t="array" ref="A19">IF($W$3="Mismatch Error","",IF($B$6=$X$2,INDEX('Commodity Prices'!$BA$9:$BF$3498,MATCH(1,(('Commodity Prices'!$BA$9:$BA$3488)="Base Metals")*(('Commodity Prices'!$BB$9:$BB$3488)=$B$7)*(('Commodity Prices'!$BD$9:$BD$3488)=B19),0),3),INDEX('Commodity Prices'!$BH$9:$BM$3487,MATCH(1,(('Commodity Prices'!$BH$9:$BH$3487)="Base Metals")*(('Commodity Prices'!$BI$9:$BI$3487)=$B$7)*(('Commodity Prices'!$BK$9:$BK$3487)=B19),0),3)))</f>
        <v>India</v>
      </c>
      <c r="B19" s="1298">
        <v>9</v>
      </c>
      <c r="C19" s="1777" t="str">
        <f t="array" ref="C19">IF($W$3="Mismatch Error","",IF($B$6=$X$2,INDEX('Commodity Prices'!$BA$9:$BF$3498,MATCH(1,(('Commodity Prices'!$BA$9:$BA$3488)="Base Metals")*(('Commodity Prices'!$BB$9:$BB$3488)=$B$7)*(('Commodity Prices'!$BD$9:$BD$3488)=B19),0),5),INDEX('Commodity Prices'!$BH$9:$BM$3487,MATCH(1,(('Commodity Prices'!$BH$9:$BH$3487)="Base Metals")*(('Commodity Prices'!$BI$9:$BI$3487)=$B$7)*(('Commodity Prices'!$BK$9:$BK$3487)=B19),0),5)))</f>
        <v>n/a</v>
      </c>
      <c r="D19" s="1301">
        <f t="array" ref="D19">IF($W$3="Mismatch Error","",IF($B$6=$X$2,INDEX('Commodity Prices'!$BA$9:$BF$3498,MATCH(1,(('Commodity Prices'!$BA$9:$BA$3488)="Base Metals")*(('Commodity Prices'!$BB$9:$BB$3488)=$B$7)*(('Commodity Prices'!$BD$9:$BD$3488)=B19),0),6),INDEX('Commodity Prices'!$BH$9:$BM$3487,MATCH(1,(('Commodity Prices'!$BH$9:$BH$3487)="Base Metals")*(('Commodity Prices'!$BI$9:$BI$3487)=$B$7)*(('Commodity Prices'!$BK$9:$BK$3487)=B19),0),6)))</f>
        <v>1.0243620624821086E-2</v>
      </c>
      <c r="F19" s="315"/>
      <c r="R19" s="913"/>
      <c r="S19" s="913"/>
      <c r="T19" s="913"/>
      <c r="U19" s="913"/>
      <c r="V19" s="962"/>
      <c r="W19" s="913"/>
      <c r="X19" s="962"/>
      <c r="Y19" s="963" t="str">
        <f>IFERROR(IF($B$6=$X$2,IF($Z$2&lt;=(Y18-1),Y18-1,""),IF($Z$2=VALUE(LEFT(Y18,4)),"",CONCATENATE(VALUE(LEFT(Y18,4))-1,"-",RIGHT(LEFT(Y18,4),2)))),"")</f>
        <v/>
      </c>
      <c r="AA19" s="962"/>
      <c r="AB19" s="913"/>
      <c r="AC19" s="913"/>
      <c r="AD19" s="913"/>
      <c r="AE19" s="913"/>
      <c r="AF19" s="913"/>
      <c r="AG19" s="913"/>
      <c r="AH19" s="913"/>
      <c r="AI19" s="913"/>
      <c r="AJ19" s="923"/>
      <c r="AK19" s="923"/>
      <c r="AL19" s="923"/>
      <c r="AM19" s="923"/>
      <c r="AN19" s="923"/>
      <c r="AO19" s="923"/>
      <c r="AP19" s="923"/>
      <c r="AQ19" s="923"/>
      <c r="AR19" s="923"/>
      <c r="AS19" s="923"/>
      <c r="AT19" s="923"/>
      <c r="AU19" s="923"/>
      <c r="AV19" s="923"/>
      <c r="AW19" s="923"/>
      <c r="AX19" s="923"/>
      <c r="AY19" s="923"/>
      <c r="AZ19" s="923"/>
      <c r="BA19" s="923"/>
      <c r="BB19" s="923"/>
    </row>
    <row r="20" spans="1:54" ht="15.75">
      <c r="A20" s="688" t="str">
        <f t="array" ref="A20">IF($W$3="Mismatch Error","",IF($B$6=$X$2,INDEX('Commodity Prices'!$BA$9:$BF$3498,MATCH(1,(('Commodity Prices'!$BA$9:$BA$3488)="Base Metals")*(('Commodity Prices'!$BB$9:$BB$3488)=$B$7)*(('Commodity Prices'!$BD$9:$BD$3488)=B20),0),3),INDEX('Commodity Prices'!$BH$9:$BM$3487,MATCH(1,(('Commodity Prices'!$BH$9:$BH$3487)="Base Metals")*(('Commodity Prices'!$BI$9:$BI$3487)=$B$7)*(('Commodity Prices'!$BK$9:$BK$3487)=B20),0),3)))</f>
        <v>n/a</v>
      </c>
      <c r="B20" s="1297">
        <v>10</v>
      </c>
      <c r="C20" s="1778" t="str">
        <f t="array" ref="C20">IF($W$3="Mismatch Error","",IF($B$6=$X$2,INDEX('Commodity Prices'!$BA$9:$BF$3498,MATCH(1,(('Commodity Prices'!$BA$9:$BA$3488)="Base Metals")*(('Commodity Prices'!$BB$9:$BB$3488)=$B$7)*(('Commodity Prices'!$BD$9:$BD$3488)=B20),0),5),INDEX('Commodity Prices'!$BH$9:$BM$3487,MATCH(1,(('Commodity Prices'!$BH$9:$BH$3487)="Base Metals")*(('Commodity Prices'!$BI$9:$BI$3487)=$B$7)*(('Commodity Prices'!$BK$9:$BK$3487)=B20),0),5)))</f>
        <v>n/a</v>
      </c>
      <c r="D20" s="1300">
        <f t="array" ref="D20">IF($W$3="Mismatch Error","",IF($B$6=$X$2,INDEX('Commodity Prices'!$BA$9:$BF$3498,MATCH(1,(('Commodity Prices'!$BA$9:$BA$3488)="Base Metals")*(('Commodity Prices'!$BB$9:$BB$3488)=$B$7)*(('Commodity Prices'!$BD$9:$BD$3488)=B20),0),6),INDEX('Commodity Prices'!$BH$9:$BM$3487,MATCH(1,(('Commodity Prices'!$BH$9:$BH$3487)="Base Metals")*(('Commodity Prices'!$BI$9:$BI$3487)=$B$7)*(('Commodity Prices'!$BK$9:$BK$3487)=B20),0),6)))</f>
        <v>0</v>
      </c>
      <c r="R20" s="913"/>
      <c r="S20" s="913"/>
      <c r="T20" s="913"/>
      <c r="U20" s="913"/>
      <c r="V20" s="962"/>
      <c r="W20" s="913"/>
      <c r="X20" s="962"/>
      <c r="Y20" s="963" t="str">
        <f t="shared" si="0"/>
        <v/>
      </c>
      <c r="AA20" s="962"/>
      <c r="AB20" s="913"/>
      <c r="AC20" s="913"/>
      <c r="AD20" s="913"/>
      <c r="AE20" s="913"/>
      <c r="AF20" s="913"/>
      <c r="AG20" s="913"/>
      <c r="AH20" s="913"/>
      <c r="AI20" s="913"/>
      <c r="AJ20" s="923"/>
      <c r="AK20" s="923"/>
      <c r="AL20" s="923"/>
      <c r="AM20" s="923"/>
      <c r="AN20" s="923"/>
      <c r="AO20" s="923"/>
      <c r="AP20" s="923"/>
      <c r="AQ20" s="923"/>
      <c r="AR20" s="923"/>
      <c r="AS20" s="923"/>
      <c r="AT20" s="923"/>
      <c r="AU20" s="923"/>
      <c r="AV20" s="923"/>
      <c r="AW20" s="923"/>
      <c r="AX20" s="923"/>
      <c r="AY20" s="923"/>
      <c r="AZ20" s="923"/>
      <c r="BA20" s="923"/>
      <c r="BB20" s="923"/>
    </row>
    <row r="21" spans="1:54" ht="15.75">
      <c r="A21" s="269" t="str">
        <f>IF($W$3="Mismatch Error","","Other")</f>
        <v>Other</v>
      </c>
      <c r="B21" s="1298"/>
      <c r="C21" s="1779" t="str">
        <f t="array" ref="C21">IF($W$3="Mismatch Error","",IF($B$6=$X$2,INDEX('Commodity Prices'!$BA$9:$BF$3498,MATCH(1,(('Commodity Prices'!$BA$9:$BA$3488)="Base Metals")*(('Commodity Prices'!$BB$9:$BB$3488)=$B$7)*(('Commodity Prices'!$BD$9:$BD$3488)=B21),0),5),INDEX('Commodity Prices'!$BH$9:$BM$3487,MATCH(1,(('Commodity Prices'!$BH$9:$BH$3487)="Base Metals")*(('Commodity Prices'!$BI$9:$BI$3487)=$B$7)*(('Commodity Prices'!$BK$9:$BK$3487)=B21),0),5)))</f>
        <v>n/a</v>
      </c>
      <c r="D21" s="1416">
        <f t="array" ref="D21">IF($W$3="Mismatch Error","",IF($B$6=$X$2,INDEX('Commodity Prices'!$BA$9:$BF$3498,MATCH(1,(('Commodity Prices'!$BA$9:$BA$3488)="Base Metals")*(('Commodity Prices'!$BB$9:$BB$3488)=$B$7)*(('Commodity Prices'!$BD$9:$BD$3488)=B21),0),6),INDEX('Commodity Prices'!$BH$9:$BM$3487,MATCH(1,(('Commodity Prices'!$BH$9:$BH$3487)="Base Metals")*(('Commodity Prices'!$BI$9:$BI$3487)=$B$7)*(('Commodity Prices'!$BK$9:$BK$3487)=B21),0),6)))</f>
        <v>0</v>
      </c>
      <c r="E21" s="95"/>
      <c r="O21" s="315"/>
      <c r="R21" s="913"/>
      <c r="S21" s="913"/>
      <c r="T21" s="913"/>
      <c r="U21" s="913"/>
      <c r="V21" s="962"/>
      <c r="W21" s="913"/>
      <c r="X21" s="962"/>
      <c r="Y21" s="963" t="str">
        <f t="shared" si="0"/>
        <v/>
      </c>
      <c r="AA21" s="962"/>
      <c r="AB21" s="913"/>
      <c r="AC21" s="913"/>
      <c r="AD21" s="913"/>
      <c r="AE21" s="913"/>
      <c r="AF21" s="913"/>
      <c r="AG21" s="913"/>
      <c r="AH21" s="913"/>
      <c r="AI21" s="913"/>
      <c r="AJ21" s="923"/>
      <c r="AK21" s="923"/>
      <c r="AL21" s="923"/>
      <c r="AM21" s="923"/>
      <c r="AN21" s="923"/>
      <c r="AO21" s="923"/>
      <c r="AP21" s="923"/>
      <c r="AQ21" s="923"/>
      <c r="AR21" s="923"/>
      <c r="AS21" s="923"/>
      <c r="AT21" s="923"/>
      <c r="AU21" s="923"/>
      <c r="AV21" s="923"/>
      <c r="AW21" s="923"/>
      <c r="AX21" s="923"/>
      <c r="AY21" s="923"/>
      <c r="AZ21" s="923"/>
      <c r="BA21" s="923"/>
      <c r="BB21" s="923"/>
    </row>
    <row r="22" spans="1:54" ht="15.75">
      <c r="A22" s="1417" t="str">
        <f>IF($W$3="Mismatch Error","","Grand Total")</f>
        <v>Grand Total</v>
      </c>
      <c r="B22" s="1418"/>
      <c r="C22" s="1782">
        <f>IF($W$3="Mismatch Error","",IF($B$6=$X$2,SUMIFS('Commodity Prices'!$BE$9:$BE$3488,'Commodity Prices'!$BA$9:$BA$3488,"Base Metals",'Commodity Prices'!$BB$9:$BB$3488,$B$7,'Commodity Prices'!$BC$9:$BC$3488,"TOTAL"),SUMIFS('Commodity Prices'!$BL$9:$BL$3487,'Commodity Prices'!$BH$9:$BH$3487,"Base Metals",'Commodity Prices'!$BI$9:$BI$3487,$B$7,'Commodity Prices'!$BJ$9:$BJ$3487,"TOTAL")))</f>
        <v>0</v>
      </c>
      <c r="D22" s="1419"/>
      <c r="E22" s="1296"/>
      <c r="R22" s="913"/>
      <c r="S22" s="913"/>
      <c r="T22" s="913"/>
      <c r="U22" s="913"/>
      <c r="V22" s="962"/>
      <c r="W22" s="913"/>
      <c r="X22" s="962"/>
      <c r="Y22" s="963" t="str">
        <f t="shared" si="0"/>
        <v/>
      </c>
      <c r="AA22" s="962"/>
      <c r="AB22" s="913"/>
      <c r="AC22" s="913"/>
      <c r="AD22" s="913"/>
      <c r="AE22" s="913"/>
      <c r="AF22" s="913"/>
      <c r="AG22" s="913"/>
      <c r="AH22" s="913"/>
      <c r="AI22" s="913"/>
      <c r="AJ22" s="923"/>
      <c r="AK22" s="923"/>
      <c r="AL22" s="923"/>
      <c r="AM22" s="923"/>
      <c r="AN22" s="923"/>
      <c r="AO22" s="923"/>
      <c r="AP22" s="923"/>
      <c r="AQ22" s="923"/>
      <c r="AR22" s="923"/>
      <c r="AS22" s="923"/>
      <c r="AT22" s="923"/>
      <c r="AU22" s="923"/>
      <c r="AV22" s="923"/>
      <c r="AW22" s="923"/>
      <c r="AX22" s="923"/>
      <c r="AY22" s="923"/>
      <c r="AZ22" s="923"/>
      <c r="BA22" s="923"/>
      <c r="BB22" s="923"/>
    </row>
    <row r="23" spans="1:54" ht="16.5" thickBot="1">
      <c r="A23" s="1997" t="s">
        <v>430</v>
      </c>
      <c r="B23" s="1998"/>
      <c r="C23" s="1783">
        <f>IF($W$3="Mismatch Error","",IF($B$6=$X$2,SUMIFS('Commodity Prices'!BE9:BE3488,'Commodity Prices'!BB9:BB3488,B7,'Commodity Prices'!BA9:BA3488,"Base Metals Contained Gold/Silver"),SUMIFS('Commodity Prices'!BL9:BL3487,'Commodity Prices'!BI9:BI3487,B7,'Commodity Prices'!BH9:BH3487,"Base Metals Contained Gold/Silver")))</f>
        <v>0</v>
      </c>
      <c r="D23" s="1420"/>
      <c r="E23" s="95"/>
      <c r="R23" s="913"/>
      <c r="S23" s="913"/>
      <c r="T23" s="913"/>
      <c r="U23" s="913"/>
      <c r="V23" s="962"/>
      <c r="W23" s="913"/>
      <c r="X23" s="962"/>
      <c r="Y23" s="963" t="str">
        <f t="shared" si="0"/>
        <v/>
      </c>
      <c r="AA23" s="962"/>
      <c r="AB23" s="913"/>
      <c r="AC23" s="913"/>
      <c r="AD23" s="913"/>
      <c r="AE23" s="913"/>
      <c r="AF23" s="913"/>
      <c r="AG23" s="913"/>
      <c r="AH23" s="913"/>
      <c r="AI23" s="913"/>
      <c r="AJ23" s="923"/>
      <c r="AK23" s="923"/>
      <c r="AL23" s="923"/>
      <c r="AM23" s="923"/>
      <c r="AN23" s="923"/>
      <c r="AO23" s="923"/>
      <c r="AP23" s="923"/>
      <c r="AQ23" s="923"/>
      <c r="AR23" s="923"/>
      <c r="AS23" s="923"/>
      <c r="AT23" s="923"/>
      <c r="AU23" s="923"/>
      <c r="AV23" s="923"/>
      <c r="AW23" s="923"/>
      <c r="AX23" s="923"/>
      <c r="AY23" s="923"/>
      <c r="AZ23" s="923"/>
      <c r="BA23" s="923"/>
      <c r="BB23" s="923"/>
    </row>
    <row r="24" spans="1:54" ht="15.75">
      <c r="A24" s="1762" t="str">
        <f>IF(A11="Mismatch Error","You have selected an incompatible year or year type. Change one or the other to display data.","")</f>
        <v/>
      </c>
      <c r="B24" s="1762"/>
      <c r="C24" s="1762"/>
      <c r="D24" s="1762"/>
      <c r="E24" s="315"/>
      <c r="R24" s="923"/>
      <c r="S24" s="923"/>
      <c r="T24" s="923"/>
      <c r="U24" s="923"/>
      <c r="V24" s="983"/>
      <c r="W24" s="923"/>
      <c r="X24" s="983"/>
      <c r="Y24" s="963" t="str">
        <f t="shared" si="0"/>
        <v/>
      </c>
      <c r="AA24" s="983"/>
      <c r="AB24" s="923"/>
      <c r="AC24" s="923"/>
      <c r="AD24" s="923"/>
      <c r="AE24" s="923"/>
      <c r="AF24" s="923"/>
      <c r="AG24" s="923"/>
      <c r="AH24" s="923"/>
      <c r="AI24" s="923"/>
      <c r="AJ24" s="923"/>
      <c r="AK24" s="923"/>
      <c r="AL24" s="923"/>
      <c r="AM24" s="923"/>
      <c r="AN24" s="923"/>
      <c r="AO24" s="923"/>
      <c r="AP24" s="923"/>
      <c r="AQ24" s="923"/>
      <c r="AR24" s="923"/>
      <c r="AS24" s="923"/>
      <c r="AT24" s="923"/>
      <c r="AU24" s="923"/>
      <c r="AV24" s="923"/>
      <c r="AW24" s="923"/>
      <c r="AX24" s="923"/>
      <c r="AY24" s="923"/>
      <c r="AZ24" s="923"/>
      <c r="BA24" s="923"/>
      <c r="BB24" s="923"/>
    </row>
    <row r="25" spans="1:54" ht="15.75">
      <c r="A25" s="1762"/>
      <c r="B25" s="1762"/>
      <c r="C25" s="1762"/>
      <c r="D25" s="1762"/>
      <c r="R25" s="923"/>
      <c r="S25" s="923"/>
      <c r="T25" s="923"/>
      <c r="U25" s="923"/>
      <c r="V25" s="983"/>
      <c r="W25" s="923"/>
      <c r="X25" s="983"/>
      <c r="Y25" s="963" t="str">
        <f t="shared" si="0"/>
        <v/>
      </c>
      <c r="AA25" s="983"/>
      <c r="AB25" s="923"/>
      <c r="AC25" s="923"/>
      <c r="AD25" s="923"/>
      <c r="AE25" s="923"/>
      <c r="AF25" s="923"/>
      <c r="AG25" s="923"/>
      <c r="AH25" s="923"/>
      <c r="AI25" s="923"/>
      <c r="AJ25" s="923"/>
      <c r="AK25" s="923"/>
      <c r="AL25" s="923"/>
      <c r="AM25" s="923"/>
      <c r="AN25" s="923"/>
      <c r="AO25" s="923"/>
      <c r="AP25" s="923"/>
      <c r="AQ25" s="923"/>
      <c r="AR25" s="923"/>
      <c r="AS25" s="923"/>
      <c r="AT25" s="923"/>
      <c r="AU25" s="923"/>
      <c r="AV25" s="923"/>
      <c r="AW25" s="923"/>
      <c r="AX25" s="923"/>
      <c r="AY25" s="923"/>
      <c r="AZ25" s="923"/>
      <c r="BA25" s="923"/>
      <c r="BB25" s="923"/>
    </row>
    <row r="26" spans="1:54" ht="15" customHeight="1">
      <c r="A26" s="1762" t="str">
        <f>IF(OR(ISNA(A11),ISNA(A12),ISNA(A13),ISNA(A14),ISNA(A15),ISNA(A16),ISNA(A17),ISNA(A18),ISNA(#REF!),ISNA(#REF!),ISNA(C11),ISNA(C12),ISNA(C13),ISNA(C14),ISNA(C15),ISNA(C16),ISNA(C17),ISNA(C18),ISNA(#REF!),ISNA(#REF!)),"You have ecountered an NA Error. This is most likely caused by the accidental loss of an array formula in the table above. Click on the cell showing #N/A above, then click the formula bar and press Ctrl, Shift and Enter.","")</f>
        <v/>
      </c>
      <c r="B26" s="1762"/>
      <c r="C26" s="1762"/>
      <c r="D26" s="1762"/>
      <c r="R26" s="923"/>
      <c r="S26" s="923"/>
      <c r="T26" s="923"/>
      <c r="U26" s="923"/>
      <c r="V26" s="983"/>
      <c r="W26" s="923"/>
      <c r="X26" s="983"/>
      <c r="Y26" s="963" t="str">
        <f t="shared" si="0"/>
        <v/>
      </c>
      <c r="AA26" s="983"/>
      <c r="AB26" s="923"/>
      <c r="AC26" s="923"/>
      <c r="AD26" s="923"/>
      <c r="AE26" s="923"/>
      <c r="AF26" s="923"/>
      <c r="AG26" s="923"/>
      <c r="AH26" s="923"/>
      <c r="AI26" s="923"/>
      <c r="AJ26" s="923"/>
      <c r="AK26" s="923"/>
      <c r="AL26" s="923"/>
      <c r="AM26" s="923"/>
      <c r="AN26" s="923"/>
      <c r="AO26" s="923"/>
      <c r="AP26" s="923"/>
      <c r="AQ26" s="923"/>
      <c r="AR26" s="923"/>
      <c r="AS26" s="923"/>
      <c r="AT26" s="923"/>
      <c r="AU26" s="923"/>
      <c r="AV26" s="923"/>
      <c r="AW26" s="923"/>
      <c r="AX26" s="923"/>
      <c r="AY26" s="923"/>
      <c r="AZ26" s="923"/>
      <c r="BA26" s="923"/>
      <c r="BB26" s="923"/>
    </row>
    <row r="27" spans="1:54" ht="15.75">
      <c r="A27" s="1762"/>
      <c r="B27" s="1762"/>
      <c r="C27" s="1762"/>
      <c r="D27" s="1762"/>
      <c r="R27" s="923"/>
      <c r="S27" s="923"/>
      <c r="T27" s="923"/>
      <c r="U27" s="923"/>
      <c r="V27" s="983"/>
      <c r="W27" s="923"/>
      <c r="X27" s="983"/>
      <c r="Y27" s="984"/>
      <c r="AA27" s="983"/>
      <c r="AB27" s="923"/>
      <c r="AC27" s="923"/>
      <c r="AD27" s="923"/>
      <c r="AE27" s="923"/>
      <c r="AF27" s="923"/>
      <c r="AG27" s="923"/>
      <c r="AH27" s="923"/>
      <c r="AI27" s="923"/>
      <c r="AJ27" s="923"/>
      <c r="AK27" s="923"/>
      <c r="AL27" s="923"/>
      <c r="AM27" s="923"/>
      <c r="AN27" s="923"/>
      <c r="AO27" s="923"/>
      <c r="AP27" s="923"/>
      <c r="AQ27" s="923"/>
      <c r="AR27" s="923"/>
      <c r="AS27" s="923"/>
      <c r="AT27" s="923"/>
      <c r="AU27" s="923"/>
      <c r="AV27" s="923"/>
      <c r="AW27" s="923"/>
      <c r="AX27" s="923"/>
      <c r="AY27" s="923"/>
      <c r="AZ27" s="923"/>
      <c r="BA27" s="923"/>
      <c r="BB27" s="923"/>
    </row>
    <row r="28" spans="1:54" ht="15.75">
      <c r="A28" s="1762"/>
      <c r="B28" s="1762"/>
      <c r="C28" s="1762"/>
      <c r="D28" s="1762"/>
      <c r="R28" s="923"/>
      <c r="S28" s="923"/>
      <c r="T28" s="923"/>
      <c r="U28" s="923"/>
      <c r="V28" s="983"/>
      <c r="W28" s="923"/>
      <c r="X28" s="983"/>
      <c r="Y28" s="984"/>
      <c r="AA28" s="983"/>
      <c r="AB28" s="923"/>
      <c r="AC28" s="923"/>
      <c r="AD28" s="923"/>
      <c r="AE28" s="923"/>
      <c r="AF28" s="923"/>
      <c r="AG28" s="923"/>
      <c r="AH28" s="923"/>
      <c r="AI28" s="923"/>
      <c r="AJ28" s="923"/>
      <c r="AK28" s="923"/>
      <c r="AL28" s="923"/>
      <c r="AM28" s="923"/>
      <c r="AN28" s="923"/>
      <c r="AO28" s="923"/>
      <c r="AP28" s="923"/>
      <c r="AQ28" s="923"/>
      <c r="AR28" s="923"/>
      <c r="AS28" s="923"/>
      <c r="AT28" s="923"/>
      <c r="AU28" s="923"/>
      <c r="AV28" s="923"/>
      <c r="AW28" s="923"/>
      <c r="AX28" s="923"/>
      <c r="AY28" s="923"/>
      <c r="AZ28" s="923"/>
      <c r="BA28" s="923"/>
      <c r="BB28" s="923"/>
    </row>
    <row r="29" spans="1:54" ht="15.75">
      <c r="A29" s="1762"/>
      <c r="B29" s="1762"/>
      <c r="C29" s="1762"/>
      <c r="D29" s="1762"/>
      <c r="R29" s="923"/>
      <c r="S29" s="923"/>
      <c r="T29" s="923"/>
      <c r="U29" s="923"/>
      <c r="V29" s="983"/>
      <c r="W29" s="923"/>
      <c r="X29" s="983"/>
      <c r="Y29" s="984"/>
      <c r="AA29" s="983"/>
      <c r="AB29" s="923"/>
      <c r="AC29" s="923"/>
      <c r="AD29" s="923"/>
      <c r="AE29" s="923"/>
      <c r="AF29" s="923"/>
      <c r="AG29" s="923"/>
      <c r="AH29" s="923"/>
      <c r="AI29" s="923"/>
      <c r="AJ29" s="923"/>
      <c r="AK29" s="923"/>
      <c r="AL29" s="923"/>
      <c r="AM29" s="923"/>
      <c r="AN29" s="923"/>
      <c r="AO29" s="923"/>
      <c r="AP29" s="923"/>
      <c r="AQ29" s="923"/>
      <c r="AR29" s="923"/>
      <c r="AS29" s="923"/>
      <c r="AT29" s="923"/>
      <c r="AU29" s="923"/>
      <c r="AV29" s="923"/>
      <c r="AW29" s="923"/>
      <c r="AX29" s="923"/>
      <c r="AY29" s="923"/>
      <c r="AZ29" s="923"/>
      <c r="BA29" s="923"/>
      <c r="BB29" s="923"/>
    </row>
    <row r="30" spans="1:54" ht="15.75">
      <c r="A30" s="1772" t="str">
        <f>IF(B7=2017,"Note: Data suggests base metals were exported to a restricted number of countries ("&amp;MATCH("",A11:A18,0)-1&amp;") during this period ("&amp;B7&amp;").","")</f>
        <v/>
      </c>
      <c r="B30" s="1772"/>
      <c r="C30" s="1772"/>
      <c r="D30" s="1772"/>
      <c r="R30" s="923"/>
      <c r="S30" s="923"/>
      <c r="T30" s="923"/>
      <c r="U30" s="923"/>
      <c r="V30" s="983"/>
      <c r="W30" s="923"/>
      <c r="X30" s="983"/>
      <c r="Y30" s="984"/>
      <c r="AA30" s="983"/>
      <c r="AB30" s="923"/>
      <c r="AC30" s="923"/>
      <c r="AD30" s="923"/>
      <c r="AE30" s="923"/>
      <c r="AF30" s="923"/>
      <c r="AG30" s="923"/>
      <c r="AH30" s="923"/>
      <c r="AI30" s="923"/>
      <c r="AJ30" s="923"/>
      <c r="AK30" s="923"/>
      <c r="AL30" s="923"/>
      <c r="AM30" s="923"/>
      <c r="AN30" s="923"/>
      <c r="AO30" s="923"/>
      <c r="AP30" s="923"/>
      <c r="AQ30" s="923"/>
      <c r="AR30" s="923"/>
      <c r="AS30" s="923"/>
      <c r="AT30" s="923"/>
      <c r="AU30" s="923"/>
      <c r="AV30" s="923"/>
      <c r="AW30" s="923"/>
      <c r="AX30" s="923"/>
      <c r="AY30" s="923"/>
      <c r="AZ30" s="923"/>
      <c r="BA30" s="923"/>
      <c r="BB30" s="923"/>
    </row>
    <row r="31" spans="1:54" ht="15.75">
      <c r="A31" s="1772"/>
      <c r="B31" s="1772"/>
      <c r="C31" s="1772"/>
      <c r="D31" s="1772"/>
      <c r="R31" s="923"/>
      <c r="S31" s="923"/>
      <c r="T31" s="923"/>
      <c r="U31" s="923"/>
      <c r="V31" s="983"/>
      <c r="W31" s="923"/>
      <c r="X31" s="983"/>
      <c r="Y31" s="984"/>
      <c r="AA31" s="983"/>
      <c r="AB31" s="923"/>
      <c r="AC31" s="923"/>
      <c r="AD31" s="923"/>
      <c r="AE31" s="923"/>
      <c r="AF31" s="923"/>
      <c r="AG31" s="923"/>
      <c r="AH31" s="923"/>
      <c r="AI31" s="923"/>
      <c r="AJ31" s="923"/>
      <c r="AK31" s="923"/>
      <c r="AL31" s="923"/>
      <c r="AM31" s="923"/>
      <c r="AN31" s="923"/>
      <c r="AO31" s="923"/>
      <c r="AP31" s="923"/>
      <c r="AQ31" s="923"/>
      <c r="AR31" s="923"/>
      <c r="AS31" s="923"/>
      <c r="AT31" s="923"/>
      <c r="AU31" s="923"/>
      <c r="AV31" s="923"/>
      <c r="AW31" s="923"/>
      <c r="AX31" s="923"/>
      <c r="AY31" s="923"/>
      <c r="AZ31" s="923"/>
      <c r="BA31" s="923"/>
      <c r="BB31" s="923"/>
    </row>
    <row r="32" spans="1:54" ht="15.75">
      <c r="A32" s="1772"/>
      <c r="B32" s="1772"/>
      <c r="C32" s="1772"/>
      <c r="D32" s="1772"/>
      <c r="R32" s="923"/>
      <c r="S32" s="923"/>
      <c r="T32" s="923"/>
      <c r="U32" s="923"/>
      <c r="V32" s="983"/>
      <c r="W32" s="923"/>
      <c r="X32" s="983"/>
      <c r="Y32" s="984"/>
      <c r="AA32" s="983"/>
      <c r="AB32" s="923"/>
      <c r="AC32" s="923"/>
      <c r="AD32" s="923"/>
      <c r="AE32" s="923"/>
      <c r="AF32" s="923"/>
      <c r="AG32" s="923"/>
      <c r="AH32" s="923"/>
      <c r="AI32" s="923"/>
      <c r="AJ32" s="923"/>
      <c r="AK32" s="923"/>
      <c r="AL32" s="923"/>
      <c r="AM32" s="923"/>
      <c r="AN32" s="923"/>
      <c r="AO32" s="923"/>
      <c r="AP32" s="923"/>
      <c r="AQ32" s="923"/>
      <c r="AR32" s="923"/>
      <c r="AS32" s="923"/>
      <c r="AT32" s="923"/>
      <c r="AU32" s="923"/>
      <c r="AV32" s="923"/>
      <c r="AW32" s="923"/>
      <c r="AX32" s="923"/>
      <c r="AY32" s="923"/>
      <c r="AZ32" s="923"/>
      <c r="BA32" s="923"/>
      <c r="BB32" s="923"/>
    </row>
    <row r="33" spans="1:54" ht="15.75">
      <c r="A33" s="1772"/>
      <c r="B33" s="1772"/>
      <c r="C33" s="1772"/>
      <c r="D33" s="1772"/>
      <c r="E33" s="317"/>
      <c r="R33" s="923"/>
      <c r="S33" s="923"/>
      <c r="T33" s="923"/>
      <c r="U33" s="923"/>
      <c r="V33" s="983"/>
      <c r="W33" s="923"/>
      <c r="X33" s="983"/>
      <c r="Y33" s="984"/>
      <c r="AA33" s="983"/>
      <c r="AB33" s="923"/>
      <c r="AC33" s="923"/>
      <c r="AD33" s="923"/>
      <c r="AE33" s="923"/>
      <c r="AF33" s="923"/>
      <c r="AG33" s="923"/>
      <c r="AH33" s="923"/>
      <c r="AI33" s="923"/>
      <c r="AJ33" s="923"/>
      <c r="AK33" s="923"/>
      <c r="AL33" s="923"/>
      <c r="AM33" s="923"/>
      <c r="AN33" s="923"/>
      <c r="AO33" s="923"/>
      <c r="AP33" s="923"/>
      <c r="AQ33" s="923"/>
      <c r="AR33" s="923"/>
      <c r="AS33" s="923"/>
      <c r="AT33" s="923"/>
      <c r="AU33" s="923"/>
      <c r="AV33" s="923"/>
      <c r="AW33" s="923"/>
      <c r="AX33" s="923"/>
      <c r="AY33" s="923"/>
      <c r="AZ33" s="923"/>
      <c r="BA33" s="923"/>
      <c r="BB33" s="923"/>
    </row>
    <row r="34" spans="1:54">
      <c r="C34" s="80"/>
      <c r="D34" s="315"/>
      <c r="E34" s="317"/>
      <c r="Y34" s="1295"/>
    </row>
    <row r="35" spans="1:54">
      <c r="C35" s="80"/>
      <c r="E35" s="317"/>
      <c r="Y35" s="1295"/>
    </row>
    <row r="36" spans="1:54">
      <c r="C36" s="315"/>
      <c r="E36" s="317"/>
      <c r="Y36" s="1295"/>
    </row>
    <row r="37" spans="1:54">
      <c r="E37" s="317"/>
      <c r="Y37" s="1295"/>
    </row>
    <row r="38" spans="1:54">
      <c r="E38" s="317"/>
      <c r="Y38" s="1295"/>
    </row>
    <row r="39" spans="1:54">
      <c r="E39" s="317"/>
      <c r="Y39" s="1295"/>
    </row>
    <row r="40" spans="1:54">
      <c r="E40" s="317"/>
      <c r="Y40" s="1295"/>
    </row>
    <row r="41" spans="1:54">
      <c r="E41" s="317"/>
      <c r="Y41" s="1295"/>
    </row>
    <row r="42" spans="1:54">
      <c r="C42" s="315"/>
      <c r="E42" s="317"/>
      <c r="Y42" s="1295"/>
    </row>
    <row r="43" spans="1:54">
      <c r="E43" s="317"/>
      <c r="Y43" s="1295"/>
    </row>
    <row r="44" spans="1:54">
      <c r="E44" s="317"/>
      <c r="Y44" s="1295"/>
    </row>
    <row r="45" spans="1:54">
      <c r="E45" s="317"/>
      <c r="Y45" s="1295"/>
    </row>
    <row r="46" spans="1:54">
      <c r="E46" s="317"/>
      <c r="Y46" s="1295"/>
    </row>
    <row r="47" spans="1:54">
      <c r="E47" s="317"/>
      <c r="Y47" s="1295"/>
    </row>
    <row r="48" spans="1:54">
      <c r="E48" s="317"/>
      <c r="Y48" s="1295"/>
    </row>
    <row r="49" spans="5:25">
      <c r="E49" s="317"/>
      <c r="Y49" s="1295"/>
    </row>
    <row r="50" spans="5:25">
      <c r="E50" s="317"/>
      <c r="Y50" s="1295"/>
    </row>
    <row r="51" spans="5:25">
      <c r="E51" s="317"/>
      <c r="Y51" s="1295"/>
    </row>
    <row r="52" spans="5:25">
      <c r="E52" s="317"/>
    </row>
    <row r="53" spans="5:25">
      <c r="E53" s="317"/>
    </row>
    <row r="54" spans="5:25">
      <c r="E54" s="317"/>
    </row>
    <row r="55" spans="5:25">
      <c r="E55" s="317"/>
    </row>
    <row r="56" spans="5:25">
      <c r="E56" s="317"/>
    </row>
    <row r="57" spans="5:25">
      <c r="E57" s="317"/>
    </row>
    <row r="58" spans="5:25">
      <c r="E58" s="317"/>
    </row>
    <row r="59" spans="5:25">
      <c r="E59" s="317"/>
    </row>
    <row r="60" spans="5:25">
      <c r="E60" s="317"/>
    </row>
    <row r="61" spans="5:25">
      <c r="E61" s="317"/>
    </row>
    <row r="62" spans="5:25">
      <c r="E62" s="317"/>
    </row>
    <row r="63" spans="5:25">
      <c r="E63" s="317"/>
    </row>
    <row r="64" spans="5:25">
      <c r="E64" s="317"/>
    </row>
    <row r="65" spans="5:5">
      <c r="E65" s="317"/>
    </row>
    <row r="68" spans="5:5">
      <c r="E68" s="317"/>
    </row>
    <row r="69" spans="5:5">
      <c r="E69" s="317"/>
    </row>
    <row r="70" spans="5:5">
      <c r="E70" s="317"/>
    </row>
    <row r="71" spans="5:5">
      <c r="E71" s="317"/>
    </row>
    <row r="72" spans="5:5">
      <c r="E72" s="317"/>
    </row>
    <row r="73" spans="5:5">
      <c r="E73" s="317"/>
    </row>
    <row r="74" spans="5:5">
      <c r="E74" s="317"/>
    </row>
    <row r="75" spans="5:5">
      <c r="E75" s="317"/>
    </row>
    <row r="76" spans="5:5">
      <c r="E76" s="317"/>
    </row>
    <row r="77" spans="5:5">
      <c r="E77" s="317"/>
    </row>
    <row r="78" spans="5:5">
      <c r="E78" s="317"/>
    </row>
    <row r="79" spans="5:5">
      <c r="E79" s="317"/>
    </row>
    <row r="80" spans="5:5">
      <c r="E80" s="317"/>
    </row>
    <row r="81" spans="5:5">
      <c r="E81" s="317"/>
    </row>
    <row r="82" spans="5:5">
      <c r="E82" s="317"/>
    </row>
  </sheetData>
  <mergeCells count="4">
    <mergeCell ref="B6:D6"/>
    <mergeCell ref="B7:D7"/>
    <mergeCell ref="A9:D9"/>
    <mergeCell ref="A23:B23"/>
  </mergeCells>
  <dataValidations count="3">
    <dataValidation type="list" allowBlank="1" showInputMessage="1" showErrorMessage="1" promptTitle="Select a Display Factor:" prompt="Clicking here will bring up a message describing the selections you can make." sqref="B7:D7" xr:uid="{00000000-0002-0000-1100-000000000000}">
      <formula1>$Y$1:$Y$26</formula1>
    </dataValidation>
    <dataValidation type="list" allowBlank="1" showInputMessage="1" showErrorMessage="1" promptTitle="Select a Display Factor:" prompt="Clicking here will bring up a message describing the selections you can make." sqref="B6:D6" xr:uid="{00000000-0002-0000-1100-000001000000}">
      <formula1>$X$2:$X$3</formula1>
    </dataValidation>
    <dataValidation allowBlank="1" promptTitle="Select a Display Factor:" prompt="Clicking here will bring up a message describing the selections you can make." sqref="E6:E7" xr:uid="{00000000-0002-0000-1100-000002000000}"/>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6B4E8"/>
  </sheetPr>
  <dimension ref="A1:AP64"/>
  <sheetViews>
    <sheetView showGridLines="0" workbookViewId="0"/>
  </sheetViews>
  <sheetFormatPr defaultColWidth="9.140625" defaultRowHeight="15"/>
  <cols>
    <col min="1" max="1" width="7.42578125" style="55" bestFit="1" customWidth="1"/>
    <col min="2" max="2" width="26.85546875" style="55" bestFit="1" customWidth="1"/>
    <col min="3" max="3" width="25.42578125" style="55" bestFit="1" customWidth="1"/>
    <col min="4" max="4" width="26.85546875" style="55" bestFit="1" customWidth="1"/>
    <col min="5" max="5" width="25.42578125" style="55" bestFit="1" customWidth="1"/>
    <col min="6" max="6" width="20.85546875" style="55" bestFit="1" customWidth="1"/>
    <col min="7" max="7" width="25.42578125" style="55" bestFit="1" customWidth="1"/>
    <col min="8" max="18" width="9.140625" style="55"/>
    <col min="19" max="19" width="7.42578125" style="55" bestFit="1" customWidth="1"/>
    <col min="20" max="20" width="27" style="55" bestFit="1" customWidth="1"/>
    <col min="21" max="21" width="25.5703125" style="55" bestFit="1" customWidth="1"/>
    <col min="22" max="22" width="20.85546875" style="55" bestFit="1" customWidth="1"/>
    <col min="23" max="23" width="25.5703125" style="55" bestFit="1" customWidth="1"/>
    <col min="24" max="24" width="27" style="55" bestFit="1" customWidth="1"/>
    <col min="25" max="25" width="25.5703125" style="55" bestFit="1" customWidth="1"/>
    <col min="26" max="26" width="29.28515625" style="55" bestFit="1" customWidth="1"/>
    <col min="27" max="27" width="28.140625" style="55" bestFit="1" customWidth="1"/>
    <col min="28" max="28" width="29.28515625" style="55" bestFit="1" customWidth="1"/>
    <col min="29" max="29" width="28.140625" style="55" bestFit="1" customWidth="1"/>
    <col min="30" max="16384" width="9.140625" style="55"/>
  </cols>
  <sheetData>
    <row r="1" spans="1:42">
      <c r="AP1" s="294" t="str">
        <f>"Australian and Western Australian Copper Production "&amp;MAX(A8:A200)</f>
        <v>Australian and Western Australian Copper Production 2023</v>
      </c>
    </row>
    <row r="2" spans="1:42">
      <c r="E2" s="383"/>
      <c r="AP2" s="294" t="str">
        <f>"Australian and Western Australian Lead Production "&amp;MAX(A8:A200)</f>
        <v>Australian and Western Australian Lead Production 2023</v>
      </c>
    </row>
    <row r="3" spans="1:42">
      <c r="AP3" s="294" t="str">
        <f>"Australian and Western Australian Zinc Production "&amp;MAX(A8:A200)</f>
        <v>Australian and Western Australian Zinc Production 2023</v>
      </c>
    </row>
    <row r="5" spans="1:42" ht="15.75" thickBot="1">
      <c r="A5" s="2004" t="s">
        <v>497</v>
      </c>
      <c r="B5" s="2004"/>
      <c r="C5" s="2004"/>
      <c r="D5" s="2004"/>
      <c r="E5" s="2004"/>
      <c r="F5" s="2004"/>
      <c r="G5" s="2004"/>
      <c r="S5" s="1948" t="s">
        <v>497</v>
      </c>
      <c r="T5" s="1948"/>
      <c r="U5" s="1948"/>
      <c r="V5" s="1948"/>
      <c r="W5" s="1948"/>
      <c r="X5" s="1948"/>
      <c r="Y5" s="1948"/>
    </row>
    <row r="6" spans="1:42" ht="15.75" thickBot="1">
      <c r="A6" s="406"/>
      <c r="B6" s="1985" t="s">
        <v>243</v>
      </c>
      <c r="C6" s="1986"/>
      <c r="D6" s="1985" t="s">
        <v>242</v>
      </c>
      <c r="E6" s="1986"/>
      <c r="F6" s="1985" t="s">
        <v>244</v>
      </c>
      <c r="G6" s="1999"/>
      <c r="S6" s="1948" t="s">
        <v>411</v>
      </c>
      <c r="T6" s="1948"/>
      <c r="U6" s="1948"/>
      <c r="V6" s="1948"/>
      <c r="W6" s="1948"/>
      <c r="X6" s="1948"/>
      <c r="Y6" s="1948"/>
    </row>
    <row r="7" spans="1:42">
      <c r="A7" s="814" t="s">
        <v>34</v>
      </c>
      <c r="B7" s="1396" t="s">
        <v>40</v>
      </c>
      <c r="C7" s="1397" t="s">
        <v>41</v>
      </c>
      <c r="D7" s="1396" t="s">
        <v>40</v>
      </c>
      <c r="E7" s="1397" t="s">
        <v>41</v>
      </c>
      <c r="F7" s="1396" t="s">
        <v>40</v>
      </c>
      <c r="G7" s="1398" t="s">
        <v>41</v>
      </c>
      <c r="S7" s="406"/>
      <c r="T7" s="1999" t="s">
        <v>243</v>
      </c>
      <c r="U7" s="2000"/>
      <c r="V7" s="2001" t="s">
        <v>242</v>
      </c>
      <c r="W7" s="2002"/>
      <c r="X7" s="1999" t="s">
        <v>244</v>
      </c>
      <c r="Y7" s="2003"/>
    </row>
    <row r="8" spans="1:42">
      <c r="A8" s="755">
        <v>1980</v>
      </c>
      <c r="B8" s="484">
        <v>3.1320000000000001</v>
      </c>
      <c r="C8" s="577">
        <v>242</v>
      </c>
      <c r="D8" s="617">
        <v>0</v>
      </c>
      <c r="E8" s="484">
        <v>398</v>
      </c>
      <c r="F8" s="617">
        <v>0</v>
      </c>
      <c r="G8" s="483">
        <v>495</v>
      </c>
      <c r="S8" s="816" t="s">
        <v>34</v>
      </c>
      <c r="T8" s="815" t="str">
        <f t="shared" ref="T8:Y8" si="0">B7</f>
        <v>Western Australia (Kt)</v>
      </c>
      <c r="U8" s="1391" t="str">
        <f t="shared" si="0"/>
        <v>Rest of Australia (Kt)</v>
      </c>
      <c r="V8" s="812" t="str">
        <f t="shared" si="0"/>
        <v>Western Australia (Kt)</v>
      </c>
      <c r="W8" s="815" t="str">
        <f t="shared" si="0"/>
        <v>Rest of Australia (Kt)</v>
      </c>
      <c r="X8" s="815" t="str">
        <f t="shared" si="0"/>
        <v>Western Australia (Kt)</v>
      </c>
      <c r="Y8" s="813" t="str">
        <f t="shared" si="0"/>
        <v>Rest of Australia (Kt)</v>
      </c>
    </row>
    <row r="9" spans="1:42">
      <c r="A9" s="755">
        <v>1981</v>
      </c>
      <c r="B9" s="531">
        <v>4.4240000000000004</v>
      </c>
      <c r="C9" s="1392">
        <v>231</v>
      </c>
      <c r="D9" s="1394">
        <v>0</v>
      </c>
      <c r="E9" s="531">
        <v>388</v>
      </c>
      <c r="F9" s="1394">
        <v>3.613</v>
      </c>
      <c r="G9" s="532">
        <v>518</v>
      </c>
      <c r="S9" s="755">
        <f>LARGE(A$8:A$72,10)</f>
        <v>2014</v>
      </c>
      <c r="T9" s="534">
        <f t="shared" ref="T9:T18" si="1">SUMIF($A$8:$A$77,$S9,B$8:B$77)</f>
        <v>197.08071799999999</v>
      </c>
      <c r="U9" s="579">
        <f t="shared" ref="U9:U18" si="2">SUMIF($A$8:$A$77,$S9,C$8:C$77)</f>
        <v>787</v>
      </c>
      <c r="V9" s="1395">
        <f t="shared" ref="V9:V18" si="3">SUMIF($A$8:$A$77,$S9,D$8:D$77)</f>
        <v>80.888499999999993</v>
      </c>
      <c r="W9" s="534">
        <f t="shared" ref="W9:W18" si="4">SUMIF($A$8:$A$77,$S9,E$8:E$77)</f>
        <v>642</v>
      </c>
      <c r="X9" s="534">
        <f t="shared" ref="X9:X18" si="5">SUMIF($A$8:$A$77,$S9,F$8:F$77)</f>
        <v>72.763530000000003</v>
      </c>
      <c r="Y9" s="533">
        <f t="shared" ref="Y9:Y18" si="6">SUMIF($A$8:$A$77,$S9,G$8:G$77)</f>
        <v>1421</v>
      </c>
    </row>
    <row r="10" spans="1:42">
      <c r="A10" s="755">
        <v>1982</v>
      </c>
      <c r="B10" s="484">
        <v>17.603999999999999</v>
      </c>
      <c r="C10" s="577">
        <v>245</v>
      </c>
      <c r="D10" s="617">
        <v>0</v>
      </c>
      <c r="E10" s="484">
        <v>455</v>
      </c>
      <c r="F10" s="617">
        <v>48.018000000000001</v>
      </c>
      <c r="G10" s="483">
        <v>665</v>
      </c>
      <c r="S10" s="755">
        <f>LARGE(A$8:A$72,9)</f>
        <v>2015</v>
      </c>
      <c r="T10" s="531">
        <f t="shared" si="1"/>
        <v>189.41435100000001</v>
      </c>
      <c r="U10" s="1392">
        <f t="shared" si="2"/>
        <v>800</v>
      </c>
      <c r="V10" s="1394">
        <f t="shared" si="3"/>
        <v>20.259029999999999</v>
      </c>
      <c r="W10" s="531">
        <f t="shared" si="4"/>
        <v>634</v>
      </c>
      <c r="X10" s="531">
        <f t="shared" si="5"/>
        <v>77.178319999999999</v>
      </c>
      <c r="Y10" s="532">
        <f t="shared" si="6"/>
        <v>1508</v>
      </c>
    </row>
    <row r="11" spans="1:42">
      <c r="A11" s="755">
        <v>1983</v>
      </c>
      <c r="B11" s="531">
        <v>11.449</v>
      </c>
      <c r="C11" s="1392">
        <v>262</v>
      </c>
      <c r="D11" s="1394">
        <v>0</v>
      </c>
      <c r="E11" s="531">
        <v>481</v>
      </c>
      <c r="F11" s="1394">
        <v>13.157999999999999</v>
      </c>
      <c r="G11" s="532">
        <v>699</v>
      </c>
      <c r="S11" s="755">
        <f>LARGE(A$8:A$72,8)</f>
        <v>2016</v>
      </c>
      <c r="T11" s="534">
        <f t="shared" si="1"/>
        <v>181.53603300000003</v>
      </c>
      <c r="U11" s="579">
        <f t="shared" si="2"/>
        <v>769</v>
      </c>
      <c r="V11" s="1395">
        <f t="shared" si="3"/>
        <v>4.76091</v>
      </c>
      <c r="W11" s="534">
        <f t="shared" si="4"/>
        <v>436</v>
      </c>
      <c r="X11" s="534">
        <f t="shared" si="5"/>
        <v>94.963539999999995</v>
      </c>
      <c r="Y11" s="533">
        <f t="shared" si="6"/>
        <v>806</v>
      </c>
    </row>
    <row r="12" spans="1:42">
      <c r="A12" s="755">
        <v>1984</v>
      </c>
      <c r="B12" s="484">
        <v>12.005000000000001</v>
      </c>
      <c r="C12" s="577">
        <v>236</v>
      </c>
      <c r="D12" s="617">
        <v>0</v>
      </c>
      <c r="E12" s="484">
        <v>441</v>
      </c>
      <c r="F12" s="617">
        <v>35.64</v>
      </c>
      <c r="G12" s="483">
        <v>677</v>
      </c>
      <c r="S12" s="755">
        <f>LARGE(A$8:A$72,7)</f>
        <v>2017</v>
      </c>
      <c r="T12" s="531">
        <f t="shared" si="1"/>
        <v>160.27640700000001</v>
      </c>
      <c r="U12" s="1392">
        <f t="shared" si="2"/>
        <v>672</v>
      </c>
      <c r="V12" s="1394">
        <f t="shared" si="3"/>
        <v>5.9010800000000003</v>
      </c>
      <c r="W12" s="531">
        <f t="shared" si="4"/>
        <v>387</v>
      </c>
      <c r="X12" s="531">
        <f t="shared" si="5"/>
        <v>71.788228000000004</v>
      </c>
      <c r="Y12" s="532">
        <f t="shared" si="6"/>
        <v>767</v>
      </c>
    </row>
    <row r="13" spans="1:42">
      <c r="A13" s="755">
        <v>1985</v>
      </c>
      <c r="B13" s="531">
        <v>10.403</v>
      </c>
      <c r="C13" s="1392">
        <v>260</v>
      </c>
      <c r="D13" s="1394">
        <v>0</v>
      </c>
      <c r="E13" s="531">
        <v>498</v>
      </c>
      <c r="F13" s="1394">
        <v>51.976999999999997</v>
      </c>
      <c r="G13" s="532">
        <v>759</v>
      </c>
      <c r="S13" s="755">
        <f>LARGE(A$8:A$72,6)</f>
        <v>2018</v>
      </c>
      <c r="T13" s="534">
        <f t="shared" si="1"/>
        <v>165.92057600000001</v>
      </c>
      <c r="U13" s="579">
        <f t="shared" si="2"/>
        <v>727.3</v>
      </c>
      <c r="V13" s="1395">
        <f t="shared" si="3"/>
        <v>6.0910000000000011</v>
      </c>
      <c r="W13" s="534">
        <f t="shared" si="4"/>
        <v>438</v>
      </c>
      <c r="X13" s="534">
        <f t="shared" si="5"/>
        <v>68.823993000000002</v>
      </c>
      <c r="Y13" s="533">
        <f t="shared" si="6"/>
        <v>1056</v>
      </c>
    </row>
    <row r="14" spans="1:42">
      <c r="A14" s="755">
        <v>1986</v>
      </c>
      <c r="B14" s="484">
        <v>7.774</v>
      </c>
      <c r="C14" s="577">
        <v>248</v>
      </c>
      <c r="D14" s="617">
        <v>0</v>
      </c>
      <c r="E14" s="484">
        <v>445</v>
      </c>
      <c r="F14" s="617">
        <v>23.969000000000001</v>
      </c>
      <c r="G14" s="483">
        <v>712</v>
      </c>
      <c r="S14" s="755">
        <f>LARGE(A$8:A$72,5)</f>
        <v>2019</v>
      </c>
      <c r="T14" s="531">
        <f t="shared" si="1"/>
        <v>172.11437000000001</v>
      </c>
      <c r="U14" s="1392">
        <f t="shared" si="2"/>
        <v>753.99</v>
      </c>
      <c r="V14" s="1394">
        <f t="shared" si="3"/>
        <v>2.9168000000000003</v>
      </c>
      <c r="W14" s="531">
        <f t="shared" si="4"/>
        <v>493.82900000000001</v>
      </c>
      <c r="X14" s="531">
        <f t="shared" si="5"/>
        <v>77.819270000000003</v>
      </c>
      <c r="Y14" s="532">
        <f t="shared" si="6"/>
        <v>1248.6500000000001</v>
      </c>
    </row>
    <row r="15" spans="1:42">
      <c r="A15" s="755">
        <v>1987</v>
      </c>
      <c r="B15" s="531">
        <v>2.91</v>
      </c>
      <c r="C15" s="1392">
        <v>233</v>
      </c>
      <c r="D15" s="1394">
        <v>0</v>
      </c>
      <c r="E15" s="531">
        <v>489</v>
      </c>
      <c r="F15" s="1394">
        <v>0</v>
      </c>
      <c r="G15" s="532">
        <v>778</v>
      </c>
      <c r="S15" s="755">
        <f>LARGE(A$8:A$72,4)</f>
        <v>2020</v>
      </c>
      <c r="T15" s="534">
        <f t="shared" si="1"/>
        <v>147.235827</v>
      </c>
      <c r="U15" s="579">
        <f t="shared" si="2"/>
        <v>712.960410031577</v>
      </c>
      <c r="V15" s="1395">
        <f t="shared" si="3"/>
        <v>1.3745150000000002</v>
      </c>
      <c r="W15" s="534">
        <f t="shared" si="4"/>
        <v>488.88600000000002</v>
      </c>
      <c r="X15" s="534">
        <f t="shared" si="5"/>
        <v>62.050920000000005</v>
      </c>
      <c r="Y15" s="533">
        <f t="shared" si="6"/>
        <v>1235.1289999999999</v>
      </c>
    </row>
    <row r="16" spans="1:42">
      <c r="A16" s="755">
        <v>1988</v>
      </c>
      <c r="B16" s="484">
        <v>7.4260000000000002</v>
      </c>
      <c r="C16" s="577">
        <v>238</v>
      </c>
      <c r="D16" s="617">
        <v>0</v>
      </c>
      <c r="E16" s="484">
        <v>462</v>
      </c>
      <c r="F16" s="617">
        <v>20.25</v>
      </c>
      <c r="G16" s="483">
        <v>760</v>
      </c>
      <c r="S16" s="755">
        <f>LARGE(A$8:A$72,3)</f>
        <v>2021</v>
      </c>
      <c r="T16" s="531">
        <f t="shared" si="1"/>
        <v>148.743044</v>
      </c>
      <c r="U16" s="1392">
        <f t="shared" si="2"/>
        <v>652.399</v>
      </c>
      <c r="V16" s="1394">
        <f t="shared" si="3"/>
        <v>1.2656350000000001</v>
      </c>
      <c r="W16" s="531">
        <f t="shared" si="4"/>
        <v>480.55599999999998</v>
      </c>
      <c r="X16" s="531">
        <f t="shared" si="5"/>
        <v>69.051431000000008</v>
      </c>
      <c r="Y16" s="532">
        <f t="shared" si="6"/>
        <v>1239.028</v>
      </c>
    </row>
    <row r="17" spans="1:25">
      <c r="A17" s="755">
        <v>1989</v>
      </c>
      <c r="B17" s="531">
        <v>19.038</v>
      </c>
      <c r="C17" s="1392">
        <v>296</v>
      </c>
      <c r="D17" s="1394">
        <v>7.8460000000000001</v>
      </c>
      <c r="E17" s="531">
        <v>495</v>
      </c>
      <c r="F17" s="1394">
        <v>38.064</v>
      </c>
      <c r="G17" s="532">
        <v>803</v>
      </c>
      <c r="S17" s="755">
        <f>LARGE(A$8:A$72,2)</f>
        <v>2022</v>
      </c>
      <c r="T17" s="534">
        <f t="shared" si="1"/>
        <v>143.64904300000001</v>
      </c>
      <c r="U17" s="579">
        <f t="shared" si="2"/>
        <v>687.22500000000002</v>
      </c>
      <c r="V17" s="1395">
        <f t="shared" si="3"/>
        <v>0</v>
      </c>
      <c r="W17" s="534">
        <f t="shared" si="4"/>
        <v>435.267</v>
      </c>
      <c r="X17" s="534">
        <f t="shared" si="5"/>
        <v>70.478444999999994</v>
      </c>
      <c r="Y17" s="533">
        <f t="shared" si="6"/>
        <v>1147.28790696805</v>
      </c>
    </row>
    <row r="18" spans="1:25" ht="15.75" thickBot="1">
      <c r="A18" s="755">
        <v>1990</v>
      </c>
      <c r="B18" s="484">
        <v>14.959</v>
      </c>
      <c r="C18" s="577">
        <v>314.11700000000002</v>
      </c>
      <c r="D18" s="617">
        <v>13.606</v>
      </c>
      <c r="E18" s="484">
        <v>564.69900000000007</v>
      </c>
      <c r="F18" s="617">
        <v>51.704000000000001</v>
      </c>
      <c r="G18" s="483">
        <v>882.57560000000012</v>
      </c>
      <c r="S18" s="756">
        <f>LARGE(A$8:A$72,1)</f>
        <v>2023</v>
      </c>
      <c r="T18" s="535">
        <f t="shared" si="1"/>
        <v>103.640789</v>
      </c>
      <c r="U18" s="1399">
        <f t="shared" si="2"/>
        <v>687.13800000000003</v>
      </c>
      <c r="V18" s="1307">
        <f t="shared" si="3"/>
        <v>37.955645000000004</v>
      </c>
      <c r="W18" s="535">
        <f t="shared" si="4"/>
        <v>436.50700000000001</v>
      </c>
      <c r="X18" s="535">
        <f t="shared" si="5"/>
        <v>50.522047000000001</v>
      </c>
      <c r="Y18" s="536">
        <f t="shared" si="6"/>
        <v>1040.49692280864</v>
      </c>
    </row>
    <row r="19" spans="1:25">
      <c r="A19" s="755">
        <v>1991</v>
      </c>
      <c r="B19" s="531">
        <v>11.792999999999999</v>
      </c>
      <c r="C19" s="1392">
        <v>315.83949999999999</v>
      </c>
      <c r="D19" s="1394">
        <v>10.698</v>
      </c>
      <c r="E19" s="531">
        <v>565.72300000000007</v>
      </c>
      <c r="F19" s="1394">
        <v>112.015</v>
      </c>
      <c r="G19" s="532">
        <v>900.30520000000001</v>
      </c>
    </row>
    <row r="20" spans="1:25">
      <c r="A20" s="755">
        <v>1992</v>
      </c>
      <c r="B20" s="484">
        <v>12.09362</v>
      </c>
      <c r="C20" s="577">
        <v>369.25614999999999</v>
      </c>
      <c r="D20" s="617">
        <v>20.963999999999999</v>
      </c>
      <c r="E20" s="484">
        <v>565.00263450000011</v>
      </c>
      <c r="F20" s="617">
        <v>141.38499999999999</v>
      </c>
      <c r="G20" s="483">
        <v>923.9254406</v>
      </c>
    </row>
    <row r="21" spans="1:25">
      <c r="A21" s="755">
        <v>1993</v>
      </c>
      <c r="B21" s="531">
        <v>28.98</v>
      </c>
      <c r="C21" s="1392">
        <v>392.97141999999997</v>
      </c>
      <c r="D21" s="1394">
        <v>32.276000000000003</v>
      </c>
      <c r="E21" s="531">
        <v>508.07449600000001</v>
      </c>
      <c r="F21" s="1394">
        <v>141.096</v>
      </c>
      <c r="G21" s="532">
        <v>880.42057299999999</v>
      </c>
    </row>
    <row r="22" spans="1:25">
      <c r="A22" s="755">
        <v>1994</v>
      </c>
      <c r="B22" s="484">
        <v>35.109000000000002</v>
      </c>
      <c r="C22" s="577">
        <v>383.27244780000001</v>
      </c>
      <c r="D22" s="617">
        <v>20.286999999999999</v>
      </c>
      <c r="E22" s="484">
        <v>491.67572100000001</v>
      </c>
      <c r="F22" s="617">
        <v>123.621</v>
      </c>
      <c r="G22" s="483">
        <v>845.69662699999992</v>
      </c>
    </row>
    <row r="23" spans="1:25">
      <c r="A23" s="755">
        <v>1995</v>
      </c>
      <c r="B23" s="531">
        <v>24.312000000000001</v>
      </c>
      <c r="C23" s="1392">
        <v>326.44694399999997</v>
      </c>
      <c r="D23" s="1394">
        <v>15.641999999999999</v>
      </c>
      <c r="E23" s="531">
        <v>449.36164880000001</v>
      </c>
      <c r="F23" s="1394">
        <v>126.336</v>
      </c>
      <c r="G23" s="532">
        <v>817.34446200000002</v>
      </c>
    </row>
    <row r="24" spans="1:25">
      <c r="A24" s="755">
        <v>1996</v>
      </c>
      <c r="B24" s="484">
        <v>23.071999999999999</v>
      </c>
      <c r="C24" s="577">
        <v>509.58433325999999</v>
      </c>
      <c r="D24" s="617">
        <v>17.080275999999998</v>
      </c>
      <c r="E24" s="484">
        <v>509.97193960000004</v>
      </c>
      <c r="F24" s="617">
        <v>106.85529852100001</v>
      </c>
      <c r="G24" s="483">
        <v>907.12170147899997</v>
      </c>
    </row>
    <row r="25" spans="1:25">
      <c r="A25" s="755">
        <v>1997</v>
      </c>
      <c r="B25" s="531">
        <v>28.318000000000001</v>
      </c>
      <c r="C25" s="1392">
        <v>520.75490000000002</v>
      </c>
      <c r="D25" s="1394">
        <v>23.201461999999999</v>
      </c>
      <c r="E25" s="531">
        <v>506.69124799999997</v>
      </c>
      <c r="F25" s="1394">
        <v>117.198171</v>
      </c>
      <c r="G25" s="532">
        <v>840.23782899999992</v>
      </c>
    </row>
    <row r="26" spans="1:25">
      <c r="A26" s="755">
        <v>1998</v>
      </c>
      <c r="B26" s="484">
        <v>28.24</v>
      </c>
      <c r="C26" s="577">
        <v>589.6879899999999</v>
      </c>
      <c r="D26" s="617">
        <v>39.518000000000001</v>
      </c>
      <c r="E26" s="484">
        <v>580.16828559999999</v>
      </c>
      <c r="F26" s="617">
        <v>149.33000000000001</v>
      </c>
      <c r="G26" s="483">
        <v>870.02799999999991</v>
      </c>
    </row>
    <row r="27" spans="1:25">
      <c r="A27" s="755">
        <v>1999</v>
      </c>
      <c r="B27" s="531">
        <v>26.228000000000002</v>
      </c>
      <c r="C27" s="1392">
        <v>711.61930000000007</v>
      </c>
      <c r="D27" s="1394">
        <v>55.280813999999999</v>
      </c>
      <c r="E27" s="531">
        <v>621.56818600000008</v>
      </c>
      <c r="F27" s="1394">
        <v>222.53985500000002</v>
      </c>
      <c r="G27" s="532">
        <v>897.12634500000013</v>
      </c>
    </row>
    <row r="28" spans="1:25">
      <c r="A28" s="755">
        <v>2000</v>
      </c>
      <c r="B28" s="484">
        <f>SUMIF('Copper-Lead-Zinc - Q&amp;V'!H$7:H$507, A28,'Copper-Lead-Zinc - Q&amp;V'!B$7:B$507)</f>
        <v>34.037999999999997</v>
      </c>
      <c r="C28" s="577">
        <v>804.81131599999992</v>
      </c>
      <c r="D28" s="617">
        <f>SUMIF('Copper-Lead-Zinc - Q&amp;V'!H$7:H$507, A28,'Copper-Lead-Zinc - Q&amp;V'!D$7:D$507)</f>
        <v>73.081000000000003</v>
      </c>
      <c r="E28" s="484">
        <v>626.2713</v>
      </c>
      <c r="F28" s="617">
        <f>SUMIF('Copper-Lead-Zinc - Q&amp;V'!H$7:H$507, A28,'Copper-Lead-Zinc - Q&amp;V'!F$7:F$507)</f>
        <v>257.71199999999999</v>
      </c>
      <c r="G28" s="483">
        <v>1121.9626999999998</v>
      </c>
    </row>
    <row r="29" spans="1:25">
      <c r="A29" s="755">
        <v>2001</v>
      </c>
      <c r="B29" s="531">
        <f>SUMIF('Copper-Lead-Zinc - Q&amp;V'!H$7:H$507, A29,'Copper-Lead-Zinc - Q&amp;V'!B$7:B$507)</f>
        <v>50.237000000000002</v>
      </c>
      <c r="C29" s="1392">
        <v>848.10496999999998</v>
      </c>
      <c r="D29" s="1394">
        <f>SUMIF('Copper-Lead-Zinc - Q&amp;V'!H$7:H$507, A29,'Copper-Lead-Zinc - Q&amp;V'!D$7:D$507)</f>
        <v>91.38300000000001</v>
      </c>
      <c r="E29" s="531">
        <v>667.72134999999992</v>
      </c>
      <c r="F29" s="1394">
        <f>SUMIF('Copper-Lead-Zinc - Q&amp;V'!H$7:H$507, A29,'Copper-Lead-Zinc - Q&amp;V'!F$7:F$507)</f>
        <v>210.83700000000002</v>
      </c>
      <c r="G29" s="532">
        <v>1265.751859</v>
      </c>
    </row>
    <row r="30" spans="1:25">
      <c r="A30" s="755">
        <v>2002</v>
      </c>
      <c r="B30" s="484">
        <f>SUMIF('Copper-Lead-Zinc - Q&amp;V'!H$7:H$507, A30,'Copper-Lead-Zinc - Q&amp;V'!B$7:B$507)</f>
        <v>64.286999999999992</v>
      </c>
      <c r="C30" s="577">
        <v>807.99442999999997</v>
      </c>
      <c r="D30" s="617">
        <f>SUMIF('Copper-Lead-Zinc - Q&amp;V'!H$7:H$507, A30,'Copper-Lead-Zinc - Q&amp;V'!D$7:D$507)</f>
        <v>70.397000000000006</v>
      </c>
      <c r="E30" s="484">
        <v>623.45499999999993</v>
      </c>
      <c r="F30" s="617">
        <f>SUMIF('Copper-Lead-Zinc - Q&amp;V'!H$7:H$507, A30,'Copper-Lead-Zinc - Q&amp;V'!F$7:F$507)</f>
        <v>218.803</v>
      </c>
      <c r="G30" s="483">
        <v>1221.1280000000002</v>
      </c>
    </row>
    <row r="31" spans="1:25">
      <c r="A31" s="755">
        <v>2003</v>
      </c>
      <c r="B31" s="531">
        <f>SUMIF('Copper-Lead-Zinc - Q&amp;V'!H$7:H$507, A31,'Copper-Lead-Zinc - Q&amp;V'!B$7:B$507)</f>
        <v>60.176090000000002</v>
      </c>
      <c r="C31" s="1392">
        <v>770.21165999999994</v>
      </c>
      <c r="D31" s="1394">
        <f>SUMIF('Copper-Lead-Zinc - Q&amp;V'!H$7:H$507, A31,'Copper-Lead-Zinc - Q&amp;V'!D$7:D$507)</f>
        <v>49.823</v>
      </c>
      <c r="E31" s="531">
        <v>637.91300000000001</v>
      </c>
      <c r="F31" s="1394">
        <f>SUMIF('Copper-Lead-Zinc - Q&amp;V'!H$7:H$507, A31,'Copper-Lead-Zinc - Q&amp;V'!F$7:F$507)</f>
        <v>148.83994000000001</v>
      </c>
      <c r="G31" s="532">
        <v>1293.2950599999999</v>
      </c>
    </row>
    <row r="32" spans="1:25">
      <c r="A32" s="755">
        <v>2004</v>
      </c>
      <c r="B32" s="484">
        <f>SUMIF('Copper-Lead-Zinc - Q&amp;V'!H$7:H$507, A32,'Copper-Lead-Zinc - Q&amp;V'!B$7:B$507)</f>
        <v>42.260094000000002</v>
      </c>
      <c r="C32" s="577">
        <v>833.115906</v>
      </c>
      <c r="D32" s="617">
        <f>SUMIF('Copper-Lead-Zinc - Q&amp;V'!H$7:H$507, A32,'Copper-Lead-Zinc - Q&amp;V'!D$7:D$507)</f>
        <v>1.1747399999999999</v>
      </c>
      <c r="E32" s="484">
        <v>672.41225999999995</v>
      </c>
      <c r="F32" s="617">
        <f>SUMIF('Copper-Lead-Zinc - Q&amp;V'!H$7:H$507, A32,'Copper-Lead-Zinc - Q&amp;V'!F$7:F$507)</f>
        <v>51.78387</v>
      </c>
      <c r="G32" s="483">
        <v>1245.47513</v>
      </c>
    </row>
    <row r="33" spans="1:11">
      <c r="A33" s="755">
        <v>2005</v>
      </c>
      <c r="B33" s="531">
        <f>SUMIF('Copper-Lead-Zinc - Q&amp;V'!H$7:H$507, A33,'Copper-Lead-Zinc - Q&amp;V'!B$7:B$507)</f>
        <v>85.220481000000007</v>
      </c>
      <c r="C33" s="1392">
        <v>842.99651900000003</v>
      </c>
      <c r="D33" s="1394">
        <f>SUMIF('Copper-Lead-Zinc - Q&amp;V'!H$7:H$507, A33,'Copper-Lead-Zinc - Q&amp;V'!D$7:D$507)</f>
        <v>28.595314999999999</v>
      </c>
      <c r="E33" s="531">
        <v>737.619685</v>
      </c>
      <c r="F33" s="1394">
        <f>SUMIF('Copper-Lead-Zinc - Q&amp;V'!H$7:H$507, A33,'Copper-Lead-Zinc - Q&amp;V'!F$7:F$507)</f>
        <v>59.104380000000006</v>
      </c>
      <c r="G33" s="532">
        <v>1269.63562</v>
      </c>
      <c r="I33" s="32"/>
      <c r="J33" s="32"/>
      <c r="K33" s="32"/>
    </row>
    <row r="34" spans="1:11">
      <c r="A34" s="755">
        <v>2006</v>
      </c>
      <c r="B34" s="484">
        <f>SUMIF('Copper-Lead-Zinc - Q&amp;V'!H$7:H$507, A34,'Copper-Lead-Zinc - Q&amp;V'!B$7:B$507)</f>
        <v>99.242470999999995</v>
      </c>
      <c r="C34" s="577">
        <v>779.63111179999987</v>
      </c>
      <c r="D34" s="617">
        <f>SUMIF('Copper-Lead-Zinc - Q&amp;V'!H$7:H$507, A34,'Copper-Lead-Zinc - Q&amp;V'!D$7:D$507)</f>
        <v>70.95348899999999</v>
      </c>
      <c r="E34" s="484">
        <v>597.06951099999992</v>
      </c>
      <c r="F34" s="617">
        <f>SUMIF('Copper-Lead-Zinc - Q&amp;V'!H$7:H$507, A34,'Copper-Lead-Zinc - Q&amp;V'!F$7:F$507)</f>
        <v>109.06339100000001</v>
      </c>
      <c r="G34" s="483">
        <v>1217.611609</v>
      </c>
      <c r="I34" s="32"/>
      <c r="J34" s="32"/>
      <c r="K34" s="32"/>
    </row>
    <row r="35" spans="1:11">
      <c r="A35" s="755">
        <v>2007</v>
      </c>
      <c r="B35" s="531">
        <f>SUMIF('Copper-Lead-Zinc - Q&amp;V'!H$7:H$507, A35,'Copper-Lead-Zinc - Q&amp;V'!B$7:B$507)</f>
        <v>105.40498599999999</v>
      </c>
      <c r="C35" s="1392">
        <v>757.12953350999999</v>
      </c>
      <c r="D35" s="1394">
        <f>SUMIF('Copper-Lead-Zinc - Q&amp;V'!H$7:H$507, A35,'Copper-Lead-Zinc - Q&amp;V'!D$7:D$507)</f>
        <v>37.091524999999997</v>
      </c>
      <c r="E35" s="531">
        <v>603.55647499999986</v>
      </c>
      <c r="F35" s="1394">
        <f>SUMIF('Copper-Lead-Zinc - Q&amp;V'!H$7:H$507, A35,'Copper-Lead-Zinc - Q&amp;V'!F$7:F$507)</f>
        <v>173.33780000000002</v>
      </c>
      <c r="G35" s="532">
        <v>1307.9872</v>
      </c>
      <c r="I35" s="32"/>
      <c r="J35" s="32"/>
      <c r="K35" s="32"/>
    </row>
    <row r="36" spans="1:11">
      <c r="A36" s="755">
        <v>2008</v>
      </c>
      <c r="B36" s="484">
        <f>SUMIF('Copper-Lead-Zinc - Q&amp;V'!H$7:H$507, A36,'Copper-Lead-Zinc - Q&amp;V'!B$7:B$507)</f>
        <v>119.055948</v>
      </c>
      <c r="C36" s="577">
        <v>759.88395200000014</v>
      </c>
      <c r="D36" s="617">
        <f>SUMIF('Copper-Lead-Zinc - Q&amp;V'!H$7:H$507, A36,'Copper-Lead-Zinc - Q&amp;V'!D$7:D$507)</f>
        <v>18.538827999999999</v>
      </c>
      <c r="E36" s="484">
        <v>631.29</v>
      </c>
      <c r="F36" s="617">
        <f>SUMIF('Copper-Lead-Zinc - Q&amp;V'!H$7:H$507, A36,'Copper-Lead-Zinc - Q&amp;V'!F$7:F$507)</f>
        <v>189.81195299999999</v>
      </c>
      <c r="G36" s="483">
        <v>1292.77</v>
      </c>
      <c r="I36" s="32"/>
      <c r="J36" s="32"/>
      <c r="K36" s="32"/>
    </row>
    <row r="37" spans="1:11">
      <c r="A37" s="755">
        <v>2009</v>
      </c>
      <c r="B37" s="531">
        <f>SUMIF('Copper-Lead-Zinc - Q&amp;V'!H$7:H$507, A37,'Copper-Lead-Zinc - Q&amp;V'!B$7:B$507)</f>
        <v>151.49643399999999</v>
      </c>
      <c r="C37" s="1392">
        <v>710</v>
      </c>
      <c r="D37" s="1394">
        <f>SUMIF('Copper-Lead-Zinc - Q&amp;V'!H$7:H$507, A37,'Copper-Lead-Zinc - Q&amp;V'!D$7:D$507)</f>
        <v>22.755433000000004</v>
      </c>
      <c r="E37" s="531">
        <v>561</v>
      </c>
      <c r="F37" s="1394">
        <f>SUMIF('Copper-Lead-Zinc - Q&amp;V'!H$7:H$507, A37,'Copper-Lead-Zinc - Q&amp;V'!F$7:F$507)</f>
        <v>99.811695999999984</v>
      </c>
      <c r="G37" s="532">
        <v>1166</v>
      </c>
      <c r="I37" s="32"/>
      <c r="J37" s="32"/>
      <c r="K37" s="32"/>
    </row>
    <row r="38" spans="1:11">
      <c r="A38" s="755">
        <v>2010</v>
      </c>
      <c r="B38" s="484">
        <f>SUMIF('Copper-Lead-Zinc - Q&amp;V'!H$7:H$507, A38,'Copper-Lead-Zinc - Q&amp;V'!B$7:B$507)</f>
        <v>155.65068099999999</v>
      </c>
      <c r="C38" s="577">
        <v>703</v>
      </c>
      <c r="D38" s="617">
        <f>SUMIF('Copper-Lead-Zinc - Q&amp;V'!H$7:H$507, A38,'Copper-Lead-Zinc - Q&amp;V'!D$7:D$507)</f>
        <v>52.922928999999996</v>
      </c>
      <c r="E38" s="484">
        <v>616</v>
      </c>
      <c r="F38" s="617">
        <f>SUMIF('Copper-Lead-Zinc - Q&amp;V'!H$7:H$507, A38,'Copper-Lead-Zinc - Q&amp;V'!F$7:F$507)</f>
        <v>81.515219999999999</v>
      </c>
      <c r="G38" s="483">
        <v>1346</v>
      </c>
      <c r="I38" s="32"/>
      <c r="J38" s="32"/>
      <c r="K38" s="32"/>
    </row>
    <row r="39" spans="1:11">
      <c r="A39" s="755">
        <v>2011</v>
      </c>
      <c r="B39" s="531">
        <f>SUMIF('Copper-Lead-Zinc - Q&amp;V'!H$7:H$507, A39,'Copper-Lead-Zinc - Q&amp;V'!B$7:B$507)</f>
        <v>144.95804783199998</v>
      </c>
      <c r="C39" s="1392">
        <v>820</v>
      </c>
      <c r="D39" s="1394">
        <f>SUMIF('Copper-Lead-Zinc - Q&amp;V'!H$7:H$507, A39,'Copper-Lead-Zinc - Q&amp;V'!D$7:D$507)</f>
        <v>8.3429219999999997</v>
      </c>
      <c r="E39" s="531">
        <v>604</v>
      </c>
      <c r="F39" s="1394">
        <f>SUMIF('Copper-Lead-Zinc - Q&amp;V'!H$7:H$507, A39,'Copper-Lead-Zinc - Q&amp;V'!F$7:F$507)</f>
        <v>74.400736999999992</v>
      </c>
      <c r="G39" s="532">
        <v>1387</v>
      </c>
      <c r="I39" s="32"/>
      <c r="J39" s="32"/>
      <c r="K39" s="32"/>
    </row>
    <row r="40" spans="1:11">
      <c r="A40" s="755">
        <v>2012</v>
      </c>
      <c r="B40" s="484">
        <f>SUMIF('Copper-Lead-Zinc - Q&amp;V'!H$7:H$507, A40,'Copper-Lead-Zinc - Q&amp;V'!B$7:B$507)</f>
        <v>185.75001993699999</v>
      </c>
      <c r="C40" s="579">
        <v>729</v>
      </c>
      <c r="D40" s="617">
        <f>SUMIF('Copper-Lead-Zinc - Q&amp;V'!H$7:H$507, A40,'Copper-Lead-Zinc - Q&amp;V'!D$7:D$507)</f>
        <v>8.135294</v>
      </c>
      <c r="E40" s="484">
        <v>613</v>
      </c>
      <c r="F40" s="617">
        <f>SUMIF('Copper-Lead-Zinc - Q&amp;V'!H$7:H$507, A40,'Copper-Lead-Zinc - Q&amp;V'!F$7:F$507)</f>
        <v>57.112677000000005</v>
      </c>
      <c r="G40" s="483">
        <v>1428</v>
      </c>
      <c r="I40" s="32"/>
      <c r="J40" s="32"/>
      <c r="K40" s="32"/>
    </row>
    <row r="41" spans="1:11">
      <c r="A41" s="755">
        <v>2013</v>
      </c>
      <c r="B41" s="531">
        <f>SUMIF('Copper-Lead-Zinc - Q&amp;V'!H$7:H$507, A41,'Copper-Lead-Zinc - Q&amp;V'!B$7:B$507)</f>
        <v>216.05661499999999</v>
      </c>
      <c r="C41" s="1392">
        <v>792</v>
      </c>
      <c r="D41" s="1394">
        <f>SUMIF('Copper-Lead-Zinc - Q&amp;V'!H$7:H$507, A41,'Copper-Lead-Zinc - Q&amp;V'!D$7:D$507)</f>
        <v>52.261510000000001</v>
      </c>
      <c r="E41" s="531">
        <v>664</v>
      </c>
      <c r="F41" s="1394">
        <f>SUMIF('Copper-Lead-Zinc - Q&amp;V'!H$7:H$507, A41,'Copper-Lead-Zinc - Q&amp;V'!F$7:F$507)</f>
        <v>47.985600000000005</v>
      </c>
      <c r="G41" s="532">
        <v>1419</v>
      </c>
      <c r="I41" s="32"/>
      <c r="J41" s="32"/>
      <c r="K41" s="32"/>
    </row>
    <row r="42" spans="1:11">
      <c r="A42" s="755">
        <v>2014</v>
      </c>
      <c r="B42" s="484">
        <f>SUMIF('Copper-Lead-Zinc - Q&amp;V'!H$7:H$507, A42,'Copper-Lead-Zinc - Q&amp;V'!B$7:B$507)</f>
        <v>197.08071799999999</v>
      </c>
      <c r="C42" s="579">
        <v>787</v>
      </c>
      <c r="D42" s="617">
        <f>SUMIF('Copper-Lead-Zinc - Q&amp;V'!H$7:H$507, A42,'Copper-Lead-Zinc - Q&amp;V'!D$7:D$507)</f>
        <v>80.888499999999993</v>
      </c>
      <c r="E42" s="484">
        <v>642</v>
      </c>
      <c r="F42" s="617">
        <f>SUMIF('Copper-Lead-Zinc - Q&amp;V'!H$7:H$507, A42,'Copper-Lead-Zinc - Q&amp;V'!F$7:F$507)</f>
        <v>72.763530000000003</v>
      </c>
      <c r="G42" s="483">
        <v>1421</v>
      </c>
      <c r="I42" s="32"/>
      <c r="J42" s="32"/>
      <c r="K42" s="32"/>
    </row>
    <row r="43" spans="1:11">
      <c r="A43" s="755">
        <v>2015</v>
      </c>
      <c r="B43" s="531">
        <f>SUMIF('Copper-Lead-Zinc - Q&amp;V'!H$7:H$507, A43,'Copper-Lead-Zinc - Q&amp;V'!B$7:B$507)</f>
        <v>189.41435100000001</v>
      </c>
      <c r="C43" s="1392">
        <v>800</v>
      </c>
      <c r="D43" s="1394">
        <f>SUMIF('Copper-Lead-Zinc - Q&amp;V'!H$7:H$507, A43,'Copper-Lead-Zinc - Q&amp;V'!D$7:D$507)</f>
        <v>20.259029999999999</v>
      </c>
      <c r="E43" s="531">
        <v>634</v>
      </c>
      <c r="F43" s="1394">
        <f>SUMIF('Copper-Lead-Zinc - Q&amp;V'!H$7:H$507, A43,'Copper-Lead-Zinc - Q&amp;V'!F$7:F$507)</f>
        <v>77.178319999999999</v>
      </c>
      <c r="G43" s="1510">
        <v>1508</v>
      </c>
      <c r="I43" s="32"/>
      <c r="J43" s="32"/>
      <c r="K43" s="32"/>
    </row>
    <row r="44" spans="1:11">
      <c r="A44" s="755">
        <v>2016</v>
      </c>
      <c r="B44" s="534">
        <f>SUMIF('Copper-Lead-Zinc - Q&amp;V'!H$7:H$507, A44,'Copper-Lead-Zinc - Q&amp;V'!B$7:B$507)</f>
        <v>181.53603300000003</v>
      </c>
      <c r="C44" s="579">
        <v>769</v>
      </c>
      <c r="D44" s="1395">
        <f>SUMIF('Copper-Lead-Zinc - Q&amp;V'!H$7:H$507, A44,'Copper-Lead-Zinc - Q&amp;V'!D$7:D$507)</f>
        <v>4.76091</v>
      </c>
      <c r="E44" s="534">
        <v>436</v>
      </c>
      <c r="F44" s="1395">
        <f>SUMIF('Copper-Lead-Zinc - Q&amp;V'!H$7:H$507, A44,'Copper-Lead-Zinc - Q&amp;V'!F$7:F$507)</f>
        <v>94.963539999999995</v>
      </c>
      <c r="G44" s="1511">
        <v>806</v>
      </c>
      <c r="I44" s="32"/>
      <c r="J44" s="32"/>
      <c r="K44" s="32"/>
    </row>
    <row r="45" spans="1:11">
      <c r="A45" s="755">
        <v>2017</v>
      </c>
      <c r="B45" s="531">
        <f>SUMIF('Copper-Lead-Zinc - Q&amp;V'!H$7:H$507, A45,'Copper-Lead-Zinc - Q&amp;V'!B$7:B$507)</f>
        <v>160.27640700000001</v>
      </c>
      <c r="C45" s="1392">
        <v>672</v>
      </c>
      <c r="D45" s="1394">
        <f>SUMIF('Copper-Lead-Zinc - Q&amp;V'!H$7:H$507, A45,'Copper-Lead-Zinc - Q&amp;V'!D$7:D$507)</f>
        <v>5.9010800000000003</v>
      </c>
      <c r="E45" s="531">
        <v>387</v>
      </c>
      <c r="F45" s="1394">
        <f>SUMIF('Copper-Lead-Zinc - Q&amp;V'!H$7:H$507, A45,'Copper-Lead-Zinc - Q&amp;V'!F$7:F$507)</f>
        <v>71.788228000000004</v>
      </c>
      <c r="G45" s="1510">
        <v>767</v>
      </c>
    </row>
    <row r="46" spans="1:11">
      <c r="A46" s="755">
        <v>2018</v>
      </c>
      <c r="B46" s="534">
        <f>SUMIF('Copper-Lead-Zinc - Q&amp;V'!H$7:H$507, A46,'Copper-Lead-Zinc - Q&amp;V'!B$7:B$507)</f>
        <v>165.92057600000001</v>
      </c>
      <c r="C46" s="579">
        <v>727.3</v>
      </c>
      <c r="D46" s="1395">
        <f>SUMIF('Copper-Lead-Zinc - Q&amp;V'!H$7:H$507, A46,'Copper-Lead-Zinc - Q&amp;V'!D$7:D$507)</f>
        <v>6.0910000000000011</v>
      </c>
      <c r="E46" s="534">
        <v>438</v>
      </c>
      <c r="F46" s="1395">
        <f>SUMIF('Copper-Lead-Zinc - Q&amp;V'!H$7:H$507, A46,'Copper-Lead-Zinc - Q&amp;V'!F$7:F$507)</f>
        <v>68.823993000000002</v>
      </c>
      <c r="G46" s="1511">
        <v>1056</v>
      </c>
    </row>
    <row r="47" spans="1:11">
      <c r="A47" s="755">
        <v>2019</v>
      </c>
      <c r="B47" s="531">
        <f>SUMIF('Copper-Lead-Zinc - Q&amp;V'!H$7:H$507, A47,'Copper-Lead-Zinc - Q&amp;V'!B$7:B$507)</f>
        <v>172.11437000000001</v>
      </c>
      <c r="C47" s="1393">
        <v>753.99</v>
      </c>
      <c r="D47" s="1394">
        <f>SUMIF('Copper-Lead-Zinc - Q&amp;V'!H$7:H$507, A47,'Copper-Lead-Zinc - Q&amp;V'!D$7:D$507)</f>
        <v>2.9168000000000003</v>
      </c>
      <c r="E47" s="1394">
        <v>493.82900000000001</v>
      </c>
      <c r="F47" s="1394">
        <f>SUMIF('Copper-Lead-Zinc - Q&amp;V'!H$7:H$507, A47,'Copper-Lead-Zinc - Q&amp;V'!F$7:F$507)</f>
        <v>77.819270000000003</v>
      </c>
      <c r="G47" s="1510">
        <v>1248.6500000000001</v>
      </c>
    </row>
    <row r="48" spans="1:11">
      <c r="A48" s="755">
        <v>2020</v>
      </c>
      <c r="B48" s="484">
        <f>SUMIF('Copper-Lead-Zinc - Q&amp;V'!H$7:H$507, A48,'Copper-Lead-Zinc - Q&amp;V'!B$7:B$507)</f>
        <v>147.235827</v>
      </c>
      <c r="C48" s="922">
        <v>712.960410031577</v>
      </c>
      <c r="D48" s="617">
        <f>SUMIF('Copper-Lead-Zinc - Q&amp;V'!H$7:H$507, A48,'Copper-Lead-Zinc - Q&amp;V'!D$7:D$507)</f>
        <v>1.3745150000000002</v>
      </c>
      <c r="E48" s="617">
        <v>488.88600000000002</v>
      </c>
      <c r="F48" s="617">
        <f>SUMIF('Copper-Lead-Zinc - Q&amp;V'!H$7:H$507, A48,'Copper-Lead-Zinc - Q&amp;V'!F$7:F$507)</f>
        <v>62.050920000000005</v>
      </c>
      <c r="G48" s="1511">
        <v>1235.1289999999999</v>
      </c>
    </row>
    <row r="49" spans="1:7">
      <c r="A49" s="755">
        <v>2021</v>
      </c>
      <c r="B49" s="1394">
        <f>SUMIF('Copper-Lead-Zinc - Q&amp;V'!H$7:H$507, A49,'Copper-Lead-Zinc - Q&amp;V'!B$7:B$507)</f>
        <v>148.743044</v>
      </c>
      <c r="C49" s="1393">
        <v>652.399</v>
      </c>
      <c r="D49" s="1394">
        <f>SUMIF('Copper-Lead-Zinc - Q&amp;V'!H$7:H$507, A49,'Copper-Lead-Zinc - Q&amp;V'!D$7:D$507)</f>
        <v>1.2656350000000001</v>
      </c>
      <c r="E49" s="1393">
        <v>480.55599999999998</v>
      </c>
      <c r="F49" s="1394">
        <f>SUMIF('Copper-Lead-Zinc - Q&amp;V'!H$7:H$507, A49,'Copper-Lead-Zinc - Q&amp;V'!F$7:F$507)</f>
        <v>69.051431000000008</v>
      </c>
      <c r="G49" s="1510">
        <v>1239.028</v>
      </c>
    </row>
    <row r="50" spans="1:7">
      <c r="A50" s="755">
        <v>2022</v>
      </c>
      <c r="B50" s="617">
        <f>SUMIF('Copper-Lead-Zinc - Q&amp;V'!H$7:H$507, A50,'Copper-Lead-Zinc - Q&amp;V'!B$7:B$507)</f>
        <v>143.64904300000001</v>
      </c>
      <c r="C50" s="922">
        <v>687.22500000000002</v>
      </c>
      <c r="D50" s="617">
        <f>SUMIF('Copper-Lead-Zinc - Q&amp;V'!H$7:H$507, A50,'Copper-Lead-Zinc - Q&amp;V'!D$7:D$507)</f>
        <v>0</v>
      </c>
      <c r="E50" s="922">
        <v>435.267</v>
      </c>
      <c r="F50" s="617">
        <f>SUMIF('Copper-Lead-Zinc - Q&amp;V'!H$7:H$507, A50,'Copper-Lead-Zinc - Q&amp;V'!F$7:F$507)</f>
        <v>70.478444999999994</v>
      </c>
      <c r="G50" s="539">
        <v>1147.28790696805</v>
      </c>
    </row>
    <row r="51" spans="1:7" ht="15.75" thickBot="1">
      <c r="A51" s="756">
        <v>2023</v>
      </c>
      <c r="B51" s="535">
        <f>SUMIF('Copper-Lead-Zinc - Q&amp;V'!H$7:H$507, A51,'Copper-Lead-Zinc - Q&amp;V'!B$7:B$507)</f>
        <v>103.640789</v>
      </c>
      <c r="C51" s="1765">
        <v>687.13800000000003</v>
      </c>
      <c r="D51" s="1307">
        <f>SUMIF('Copper-Lead-Zinc - Q&amp;V'!H$7:H$507, A51,'Copper-Lead-Zinc - Q&amp;V'!D$7:D$507)</f>
        <v>37.955645000000004</v>
      </c>
      <c r="E51" s="1307">
        <v>436.50700000000001</v>
      </c>
      <c r="F51" s="1307">
        <f>SUMIF('Copper-Lead-Zinc - Q&amp;V'!H$7:H$507, A51,'Copper-Lead-Zinc - Q&amp;V'!F$7:F$507)</f>
        <v>50.522047000000001</v>
      </c>
      <c r="G51" s="1766">
        <v>1040.49692280864</v>
      </c>
    </row>
    <row r="52" spans="1:7">
      <c r="B52" s="293"/>
      <c r="D52" s="314"/>
      <c r="E52" s="398"/>
      <c r="F52" s="400"/>
      <c r="G52" s="1509"/>
    </row>
    <row r="53" spans="1:7">
      <c r="B53" s="293"/>
      <c r="D53" s="314"/>
      <c r="E53" s="398"/>
      <c r="F53" s="400"/>
      <c r="G53" s="399"/>
    </row>
    <row r="54" spans="1:7">
      <c r="B54" s="293"/>
      <c r="C54" s="316"/>
      <c r="D54" s="314"/>
      <c r="E54" s="398"/>
      <c r="F54" s="314"/>
      <c r="G54" s="399"/>
    </row>
    <row r="55" spans="1:7">
      <c r="C55" s="94"/>
      <c r="D55" s="314"/>
      <c r="E55" s="398"/>
      <c r="F55" s="314"/>
      <c r="G55" s="399"/>
    </row>
    <row r="56" spans="1:7">
      <c r="C56" s="94"/>
      <c r="D56" s="314"/>
      <c r="E56" s="398"/>
      <c r="F56" s="314"/>
      <c r="G56" s="399"/>
    </row>
    <row r="57" spans="1:7">
      <c r="C57" s="94"/>
      <c r="D57" s="314"/>
      <c r="E57" s="398"/>
      <c r="F57" s="314"/>
      <c r="G57" s="399"/>
    </row>
    <row r="58" spans="1:7">
      <c r="C58" s="94"/>
      <c r="D58" s="314"/>
      <c r="E58" s="398"/>
      <c r="F58" s="314"/>
      <c r="G58" s="399"/>
    </row>
    <row r="59" spans="1:7">
      <c r="C59" s="94"/>
      <c r="D59" s="314"/>
      <c r="E59" s="398"/>
      <c r="F59" s="314"/>
      <c r="G59" s="314"/>
    </row>
    <row r="60" spans="1:7">
      <c r="C60" s="94"/>
      <c r="D60" s="314"/>
      <c r="E60" s="398"/>
      <c r="F60" s="314"/>
      <c r="G60" s="314"/>
    </row>
    <row r="61" spans="1:7">
      <c r="C61" s="94"/>
      <c r="D61" s="314"/>
      <c r="E61" s="398"/>
      <c r="F61" s="314"/>
      <c r="G61" s="314"/>
    </row>
    <row r="62" spans="1:7">
      <c r="C62" s="94"/>
      <c r="D62" s="314"/>
      <c r="E62" s="398"/>
      <c r="F62" s="314"/>
      <c r="G62" s="314"/>
    </row>
    <row r="63" spans="1:7">
      <c r="C63" s="68"/>
      <c r="D63" s="314"/>
      <c r="E63" s="398"/>
      <c r="F63" s="314"/>
      <c r="G63" s="314"/>
    </row>
    <row r="64" spans="1:7">
      <c r="D64" s="314"/>
      <c r="E64" s="314"/>
      <c r="F64" s="314"/>
      <c r="G64" s="314"/>
    </row>
  </sheetData>
  <mergeCells count="9">
    <mergeCell ref="S6:Y6"/>
    <mergeCell ref="T7:U7"/>
    <mergeCell ref="V7:W7"/>
    <mergeCell ref="X7:Y7"/>
    <mergeCell ref="A5:G5"/>
    <mergeCell ref="F6:G6"/>
    <mergeCell ref="D6:E6"/>
    <mergeCell ref="B6:C6"/>
    <mergeCell ref="S5:Y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4:J62"/>
  <sheetViews>
    <sheetView showGridLines="0" workbookViewId="0"/>
  </sheetViews>
  <sheetFormatPr defaultColWidth="9.140625" defaultRowHeight="15"/>
  <cols>
    <col min="1" max="1" width="72" style="70" bestFit="1" customWidth="1"/>
    <col min="2" max="2" width="1.5703125" style="70" bestFit="1" customWidth="1"/>
    <col min="3" max="3" width="116.140625" style="70" bestFit="1" customWidth="1"/>
    <col min="4" max="4" width="92" style="70" customWidth="1"/>
    <col min="5" max="16384" width="9.140625" style="70"/>
  </cols>
  <sheetData>
    <row r="4" spans="1:10">
      <c r="J4" s="268">
        <f>COUNTIF('Commodity Prices'!A9:A5000,MAX('Commodity Prices'!A9:A5000))</f>
        <v>12</v>
      </c>
    </row>
    <row r="5" spans="1:10">
      <c r="A5" s="111" t="s">
        <v>330</v>
      </c>
      <c r="B5" s="111"/>
      <c r="C5" s="4" t="s">
        <v>12</v>
      </c>
      <c r="D5" s="4" t="s">
        <v>369</v>
      </c>
    </row>
    <row r="6" spans="1:10">
      <c r="A6" s="4" t="s">
        <v>367</v>
      </c>
      <c r="D6" s="109"/>
    </row>
    <row r="7" spans="1:10">
      <c r="A7" s="96" t="s">
        <v>520</v>
      </c>
      <c r="B7" s="96" t="s">
        <v>7</v>
      </c>
      <c r="C7" s="268" t="s">
        <v>635</v>
      </c>
      <c r="D7" s="692" t="s">
        <v>636</v>
      </c>
    </row>
    <row r="8" spans="1:10">
      <c r="A8" s="105" t="s">
        <v>288</v>
      </c>
      <c r="B8" s="105" t="s">
        <v>7</v>
      </c>
      <c r="C8" s="81" t="s">
        <v>564</v>
      </c>
      <c r="D8" s="690" t="s">
        <v>368</v>
      </c>
    </row>
    <row r="9" spans="1:10" s="268" customFormat="1">
      <c r="A9" s="105"/>
      <c r="B9" s="105" t="s">
        <v>7</v>
      </c>
      <c r="C9" s="81" t="s">
        <v>565</v>
      </c>
      <c r="D9" s="690" t="s">
        <v>368</v>
      </c>
    </row>
    <row r="10" spans="1:10">
      <c r="A10" s="101" t="s">
        <v>459</v>
      </c>
      <c r="B10" s="101" t="s">
        <v>7</v>
      </c>
      <c r="C10" s="82" t="s">
        <v>378</v>
      </c>
      <c r="D10" s="691" t="s">
        <v>347</v>
      </c>
    </row>
    <row r="11" spans="1:10">
      <c r="A11" s="101"/>
      <c r="B11" s="101" t="s">
        <v>7</v>
      </c>
      <c r="C11" s="82" t="s">
        <v>379</v>
      </c>
      <c r="D11" s="691" t="s">
        <v>347</v>
      </c>
    </row>
    <row r="12" spans="1:10">
      <c r="A12" s="101"/>
      <c r="B12" s="101" t="s">
        <v>7</v>
      </c>
      <c r="C12" s="82" t="s">
        <v>380</v>
      </c>
      <c r="D12" s="691" t="s">
        <v>347</v>
      </c>
    </row>
    <row r="13" spans="1:10">
      <c r="A13" s="99" t="s">
        <v>1</v>
      </c>
      <c r="B13" s="99" t="s">
        <v>7</v>
      </c>
      <c r="C13" s="84" t="s">
        <v>638</v>
      </c>
      <c r="D13" s="693" t="s">
        <v>347</v>
      </c>
    </row>
    <row r="14" spans="1:10">
      <c r="A14" s="99"/>
      <c r="B14" s="99" t="s">
        <v>7</v>
      </c>
      <c r="C14" s="84" t="s">
        <v>566</v>
      </c>
      <c r="D14" s="693" t="s">
        <v>637</v>
      </c>
    </row>
    <row r="15" spans="1:10">
      <c r="A15" s="86" t="s">
        <v>2</v>
      </c>
      <c r="B15" s="108" t="s">
        <v>7</v>
      </c>
      <c r="C15" s="86" t="s">
        <v>485</v>
      </c>
      <c r="D15" s="694" t="s">
        <v>347</v>
      </c>
    </row>
    <row r="16" spans="1:10" s="268" customFormat="1">
      <c r="A16" s="384" t="s">
        <v>360</v>
      </c>
      <c r="B16" s="384" t="s">
        <v>7</v>
      </c>
      <c r="C16" s="384" t="s">
        <v>364</v>
      </c>
      <c r="D16" s="695" t="s">
        <v>365</v>
      </c>
    </row>
    <row r="17" spans="1:4" s="268" customFormat="1">
      <c r="A17" s="384"/>
      <c r="B17" s="384" t="s">
        <v>7</v>
      </c>
      <c r="C17" s="1005" t="s">
        <v>588</v>
      </c>
      <c r="D17" s="695" t="s">
        <v>365</v>
      </c>
    </row>
    <row r="18" spans="1:4">
      <c r="A18" s="110" t="s">
        <v>660</v>
      </c>
      <c r="B18" s="110" t="s">
        <v>7</v>
      </c>
      <c r="C18" s="85" t="s">
        <v>366</v>
      </c>
      <c r="D18" s="696" t="s">
        <v>368</v>
      </c>
    </row>
    <row r="19" spans="1:4">
      <c r="A19" s="104" t="s">
        <v>3</v>
      </c>
      <c r="B19" s="104" t="s">
        <v>7</v>
      </c>
      <c r="C19" s="100" t="s">
        <v>381</v>
      </c>
      <c r="D19" s="697" t="s">
        <v>347</v>
      </c>
    </row>
    <row r="20" spans="1:4" s="268" customFormat="1" ht="15" customHeight="1">
      <c r="A20" s="394" t="s">
        <v>274</v>
      </c>
      <c r="B20" s="394" t="s">
        <v>7</v>
      </c>
      <c r="C20" s="394" t="s">
        <v>638</v>
      </c>
      <c r="D20" s="1062" t="s">
        <v>347</v>
      </c>
    </row>
    <row r="21" spans="1:4" s="268" customFormat="1" ht="15" customHeight="1">
      <c r="A21" s="394"/>
      <c r="B21" s="394" t="s">
        <v>7</v>
      </c>
      <c r="C21" s="394" t="s">
        <v>566</v>
      </c>
      <c r="D21" s="1062" t="s">
        <v>637</v>
      </c>
    </row>
    <row r="22" spans="1:4" s="268" customFormat="1">
      <c r="A22" s="394" t="s">
        <v>277</v>
      </c>
      <c r="B22" s="394" t="s">
        <v>7</v>
      </c>
      <c r="C22" s="394" t="s">
        <v>381</v>
      </c>
      <c r="D22" s="1062" t="s">
        <v>347</v>
      </c>
    </row>
    <row r="23" spans="1:4" s="268" customFormat="1">
      <c r="A23" s="394" t="s">
        <v>513</v>
      </c>
      <c r="B23" s="394" t="s">
        <v>7</v>
      </c>
      <c r="C23" s="394" t="s">
        <v>638</v>
      </c>
      <c r="D23" s="1062" t="s">
        <v>347</v>
      </c>
    </row>
    <row r="24" spans="1:4" s="268" customFormat="1">
      <c r="A24" s="394"/>
      <c r="B24" s="394" t="s">
        <v>7</v>
      </c>
      <c r="C24" s="394" t="s">
        <v>566</v>
      </c>
      <c r="D24" s="1062" t="s">
        <v>637</v>
      </c>
    </row>
    <row r="25" spans="1:4" s="268" customFormat="1">
      <c r="A25" s="394" t="s">
        <v>512</v>
      </c>
      <c r="B25" s="394" t="s">
        <v>7</v>
      </c>
      <c r="C25" s="394" t="s">
        <v>638</v>
      </c>
      <c r="D25" s="1062" t="s">
        <v>347</v>
      </c>
    </row>
    <row r="26" spans="1:4" s="268" customFormat="1">
      <c r="A26" s="394"/>
      <c r="B26" s="394" t="s">
        <v>7</v>
      </c>
      <c r="C26" s="394" t="s">
        <v>639</v>
      </c>
      <c r="D26" s="1062" t="s">
        <v>347</v>
      </c>
    </row>
    <row r="27" spans="1:4" s="268" customFormat="1">
      <c r="A27" s="174" t="s">
        <v>4</v>
      </c>
      <c r="B27" s="174" t="s">
        <v>7</v>
      </c>
      <c r="C27" s="87" t="s">
        <v>641</v>
      </c>
      <c r="D27" s="698"/>
    </row>
    <row r="28" spans="1:4" ht="15" customHeight="1">
      <c r="A28" s="97"/>
      <c r="B28" s="97" t="s">
        <v>7</v>
      </c>
      <c r="C28" s="87" t="s">
        <v>575</v>
      </c>
      <c r="D28" s="699"/>
    </row>
    <row r="29" spans="1:4" s="268" customFormat="1" ht="15" customHeight="1">
      <c r="A29" s="174"/>
      <c r="B29" s="174" t="s">
        <v>7</v>
      </c>
      <c r="C29" s="87" t="s">
        <v>619</v>
      </c>
      <c r="D29" s="699" t="s">
        <v>368</v>
      </c>
    </row>
    <row r="30" spans="1:4" s="268" customFormat="1">
      <c r="B30" s="98"/>
    </row>
    <row r="31" spans="1:4">
      <c r="A31" s="4" t="s">
        <v>483</v>
      </c>
      <c r="B31" s="96"/>
      <c r="C31" s="268"/>
      <c r="D31" s="268"/>
    </row>
    <row r="32" spans="1:4">
      <c r="A32" s="70" t="s">
        <v>561</v>
      </c>
      <c r="B32" s="70" t="s">
        <v>7</v>
      </c>
      <c r="C32" s="268" t="s">
        <v>642</v>
      </c>
      <c r="D32" s="268"/>
    </row>
    <row r="33" spans="1:4" s="268" customFormat="1">
      <c r="A33" s="268" t="s">
        <v>562</v>
      </c>
      <c r="B33" s="98" t="s">
        <v>7</v>
      </c>
      <c r="C33" s="268" t="s">
        <v>643</v>
      </c>
    </row>
    <row r="34" spans="1:4" s="268" customFormat="1">
      <c r="A34" s="107" t="s">
        <v>370</v>
      </c>
      <c r="B34" s="107" t="s">
        <v>7</v>
      </c>
      <c r="C34" s="103" t="s">
        <v>642</v>
      </c>
      <c r="D34" s="1054"/>
    </row>
    <row r="35" spans="1:4">
      <c r="A35" s="107" t="s">
        <v>433</v>
      </c>
      <c r="B35" s="107" t="s">
        <v>7</v>
      </c>
      <c r="C35" s="103" t="s">
        <v>644</v>
      </c>
      <c r="D35" s="1055" t="s">
        <v>375</v>
      </c>
    </row>
    <row r="36" spans="1:4" s="268" customFormat="1">
      <c r="A36" s="107" t="s">
        <v>473</v>
      </c>
      <c r="B36" s="107" t="s">
        <v>7</v>
      </c>
      <c r="C36" s="103" t="s">
        <v>645</v>
      </c>
      <c r="D36" s="1063" t="s">
        <v>467</v>
      </c>
    </row>
    <row r="37" spans="1:4" s="268" customFormat="1">
      <c r="A37" s="101" t="s">
        <v>490</v>
      </c>
      <c r="B37" s="101" t="s">
        <v>7</v>
      </c>
      <c r="C37" s="101" t="s">
        <v>646</v>
      </c>
      <c r="D37" s="1056"/>
    </row>
    <row r="38" spans="1:4">
      <c r="A38" s="101" t="s">
        <v>491</v>
      </c>
      <c r="B38" s="101" t="s">
        <v>7</v>
      </c>
      <c r="C38" s="82" t="s">
        <v>647</v>
      </c>
      <c r="D38" s="691" t="s">
        <v>375</v>
      </c>
    </row>
    <row r="39" spans="1:4" s="268" customFormat="1">
      <c r="A39" s="101" t="s">
        <v>492</v>
      </c>
      <c r="B39" s="101" t="s">
        <v>7</v>
      </c>
      <c r="C39" s="82" t="s">
        <v>648</v>
      </c>
      <c r="D39" s="1056" t="s">
        <v>467</v>
      </c>
    </row>
    <row r="40" spans="1:4" s="268" customFormat="1">
      <c r="A40" s="84" t="s">
        <v>371</v>
      </c>
      <c r="B40" s="99" t="s">
        <v>7</v>
      </c>
      <c r="C40" s="84" t="s">
        <v>366</v>
      </c>
      <c r="D40" s="693" t="s">
        <v>376</v>
      </c>
    </row>
    <row r="41" spans="1:4">
      <c r="A41" s="84" t="s">
        <v>435</v>
      </c>
      <c r="B41" s="99" t="s">
        <v>7</v>
      </c>
      <c r="C41" s="84" t="s">
        <v>647</v>
      </c>
      <c r="D41" s="1057" t="s">
        <v>375</v>
      </c>
    </row>
    <row r="42" spans="1:4" s="268" customFormat="1">
      <c r="A42" s="84" t="s">
        <v>474</v>
      </c>
      <c r="B42" s="99" t="s">
        <v>7</v>
      </c>
      <c r="C42" s="84" t="s">
        <v>648</v>
      </c>
      <c r="D42" s="1057"/>
    </row>
    <row r="43" spans="1:4" s="268" customFormat="1">
      <c r="A43" s="86" t="s">
        <v>373</v>
      </c>
      <c r="B43" s="86" t="s">
        <v>7</v>
      </c>
      <c r="C43" s="86" t="s">
        <v>366</v>
      </c>
      <c r="D43" s="694" t="s">
        <v>376</v>
      </c>
    </row>
    <row r="44" spans="1:4">
      <c r="A44" s="86" t="s">
        <v>432</v>
      </c>
      <c r="B44" s="108" t="s">
        <v>7</v>
      </c>
      <c r="C44" s="86" t="s">
        <v>647</v>
      </c>
      <c r="D44" s="1058" t="s">
        <v>375</v>
      </c>
    </row>
    <row r="45" spans="1:4" s="268" customFormat="1">
      <c r="A45" s="86" t="s">
        <v>475</v>
      </c>
      <c r="B45" s="108" t="s">
        <v>7</v>
      </c>
      <c r="C45" s="86" t="s">
        <v>648</v>
      </c>
      <c r="D45" s="1058" t="s">
        <v>467</v>
      </c>
    </row>
    <row r="46" spans="1:4" s="268" customFormat="1">
      <c r="A46" s="384" t="s">
        <v>618</v>
      </c>
      <c r="B46" s="384" t="s">
        <v>7</v>
      </c>
      <c r="C46" s="384" t="s">
        <v>366</v>
      </c>
      <c r="D46" s="1006"/>
    </row>
    <row r="47" spans="1:4" s="268" customFormat="1">
      <c r="A47" s="384" t="s">
        <v>477</v>
      </c>
      <c r="B47" s="384" t="s">
        <v>7</v>
      </c>
      <c r="C47" s="384" t="s">
        <v>648</v>
      </c>
      <c r="D47" s="1006" t="s">
        <v>467</v>
      </c>
    </row>
    <row r="48" spans="1:4" s="268" customFormat="1">
      <c r="A48" s="106" t="s">
        <v>391</v>
      </c>
      <c r="B48" s="102" t="s">
        <v>7</v>
      </c>
      <c r="C48" s="106" t="s">
        <v>642</v>
      </c>
      <c r="D48" s="1053"/>
    </row>
    <row r="49" spans="1:5">
      <c r="A49" s="106" t="s">
        <v>471</v>
      </c>
      <c r="B49" s="102" t="s">
        <v>7</v>
      </c>
      <c r="C49" s="106" t="s">
        <v>647</v>
      </c>
      <c r="D49" s="1059" t="s">
        <v>375</v>
      </c>
    </row>
    <row r="50" spans="1:5" s="268" customFormat="1">
      <c r="A50" s="106" t="s">
        <v>479</v>
      </c>
      <c r="B50" s="102" t="s">
        <v>7</v>
      </c>
      <c r="C50" s="106" t="s">
        <v>648</v>
      </c>
      <c r="D50" s="1053" t="s">
        <v>467</v>
      </c>
    </row>
    <row r="51" spans="1:5" s="268" customFormat="1">
      <c r="A51" s="106" t="s">
        <v>478</v>
      </c>
      <c r="B51" s="102" t="s">
        <v>7</v>
      </c>
      <c r="C51" s="106" t="s">
        <v>648</v>
      </c>
      <c r="D51" s="1053" t="s">
        <v>467</v>
      </c>
    </row>
    <row r="52" spans="1:5" s="268" customFormat="1">
      <c r="A52" s="104" t="s">
        <v>372</v>
      </c>
      <c r="B52" s="104" t="s">
        <v>7</v>
      </c>
      <c r="C52" s="385" t="s">
        <v>649</v>
      </c>
      <c r="D52" s="1060"/>
    </row>
    <row r="53" spans="1:5" s="268" customFormat="1">
      <c r="A53" s="104" t="s">
        <v>434</v>
      </c>
      <c r="B53" s="104" t="s">
        <v>7</v>
      </c>
      <c r="C53" s="104" t="s">
        <v>647</v>
      </c>
      <c r="D53" s="1061" t="s">
        <v>375</v>
      </c>
    </row>
    <row r="54" spans="1:5" s="268" customFormat="1">
      <c r="A54" s="104" t="s">
        <v>480</v>
      </c>
      <c r="B54" s="104" t="s">
        <v>7</v>
      </c>
      <c r="C54" s="104" t="s">
        <v>648</v>
      </c>
      <c r="D54" s="697" t="s">
        <v>467</v>
      </c>
    </row>
    <row r="55" spans="1:5" s="268" customFormat="1">
      <c r="A55" s="87" t="s">
        <v>374</v>
      </c>
      <c r="B55" s="87" t="s">
        <v>7</v>
      </c>
      <c r="C55" s="87" t="s">
        <v>642</v>
      </c>
      <c r="D55" s="699"/>
    </row>
    <row r="56" spans="1:5">
      <c r="A56" s="87" t="s">
        <v>469</v>
      </c>
      <c r="B56" s="97" t="s">
        <v>7</v>
      </c>
      <c r="C56" s="87" t="s">
        <v>650</v>
      </c>
      <c r="D56" s="698" t="s">
        <v>257</v>
      </c>
    </row>
    <row r="57" spans="1:5" s="72" customFormat="1">
      <c r="A57" s="87" t="s">
        <v>470</v>
      </c>
      <c r="B57" s="174" t="s">
        <v>7</v>
      </c>
      <c r="C57" s="87" t="s">
        <v>651</v>
      </c>
      <c r="D57" s="698" t="s">
        <v>377</v>
      </c>
      <c r="E57" s="1052"/>
    </row>
    <row r="58" spans="1:5" s="72" customFormat="1">
      <c r="A58" s="226" t="s">
        <v>468</v>
      </c>
      <c r="B58" s="226" t="s">
        <v>7</v>
      </c>
      <c r="C58" s="226" t="s">
        <v>642</v>
      </c>
      <c r="D58" s="226"/>
    </row>
    <row r="59" spans="1:5" s="72" customFormat="1">
      <c r="A59" s="226" t="s">
        <v>472</v>
      </c>
      <c r="B59" s="226" t="s">
        <v>7</v>
      </c>
      <c r="C59" s="226" t="s">
        <v>647</v>
      </c>
      <c r="D59" s="1062" t="s">
        <v>375</v>
      </c>
      <c r="E59" s="1052"/>
    </row>
    <row r="60" spans="1:5" s="72" customFormat="1">
      <c r="A60" s="226" t="s">
        <v>476</v>
      </c>
      <c r="B60" s="226" t="s">
        <v>7</v>
      </c>
      <c r="C60" s="226" t="s">
        <v>648</v>
      </c>
      <c r="D60" s="1062" t="s">
        <v>467</v>
      </c>
      <c r="E60" s="1052"/>
    </row>
    <row r="61" spans="1:5" s="72" customFormat="1">
      <c r="A61" s="226" t="s">
        <v>481</v>
      </c>
      <c r="B61" s="226" t="s">
        <v>7</v>
      </c>
      <c r="C61" s="226" t="s">
        <v>482</v>
      </c>
      <c r="D61" s="1062" t="s">
        <v>467</v>
      </c>
      <c r="E61" s="1052"/>
    </row>
    <row r="62" spans="1:5">
      <c r="B62" s="96"/>
      <c r="D62" s="700"/>
    </row>
  </sheetData>
  <hyperlinks>
    <hyperlink ref="D56" r:id="rId1" xr:uid="{00000000-0004-0000-0100-000000000000}"/>
    <hyperlink ref="D13" r:id="rId2" display="http://kitco.com/gold.londonfix.html" xr:uid="{00000000-0004-0000-0100-000001000000}"/>
    <hyperlink ref="D15" r:id="rId3" xr:uid="{00000000-0004-0000-0100-000002000000}"/>
    <hyperlink ref="D19" r:id="rId4" xr:uid="{00000000-0004-0000-0100-000003000000}"/>
    <hyperlink ref="D18" r:id="rId5" xr:uid="{00000000-0004-0000-0100-000004000000}"/>
    <hyperlink ref="D43" r:id="rId6" xr:uid="{00000000-0004-0000-0100-000005000000}"/>
    <hyperlink ref="D8" r:id="rId7" xr:uid="{00000000-0004-0000-0100-000006000000}"/>
    <hyperlink ref="D35" r:id="rId8" display="http://www.industry.gov.au/Office-of-the-Chief-Economist/Pages/default.aspx" xr:uid="{00000000-0004-0000-0100-000007000000}"/>
    <hyperlink ref="D38" r:id="rId9" xr:uid="{00000000-0004-0000-0100-000008000000}"/>
    <hyperlink ref="D41" r:id="rId10" display="http://www.industry.gov.au/Office-of-the-Chief-Economist/Pages/default.aspx" xr:uid="{00000000-0004-0000-0100-000009000000}"/>
    <hyperlink ref="D49" r:id="rId11" display="http://www.industry.gov.au/Office-of-the-Chief-Economist/Pages/default.aspx" xr:uid="{00000000-0004-0000-0100-00000A000000}"/>
    <hyperlink ref="D53" r:id="rId12" display="http://www.industry.gov.au/Office-of-the-Chief-Economist/Pages/default.aspx" xr:uid="{00000000-0004-0000-0100-00000B000000}"/>
    <hyperlink ref="D44" r:id="rId13" display="http://www.industry.gov.au/Office-of-the-Chief-Economist/Pages/default.aspx" xr:uid="{00000000-0004-0000-0100-00000C000000}"/>
    <hyperlink ref="D40" r:id="rId14" display="ABS Stat" xr:uid="{00000000-0004-0000-0100-00000D000000}"/>
    <hyperlink ref="D16" r:id="rId15" xr:uid="{00000000-0004-0000-0100-00000F000000}"/>
    <hyperlink ref="D59" r:id="rId16" xr:uid="{00000000-0004-0000-0100-000010000000}"/>
    <hyperlink ref="D57" r:id="rId17" xr:uid="{00000000-0004-0000-0100-000011000000}"/>
    <hyperlink ref="D61" r:id="rId18" xr:uid="{00000000-0004-0000-0100-000012000000}"/>
    <hyperlink ref="D60" r:id="rId19" xr:uid="{00000000-0004-0000-0100-000013000000}"/>
    <hyperlink ref="D50" r:id="rId20" xr:uid="{00000000-0004-0000-0100-000014000000}"/>
    <hyperlink ref="D51" r:id="rId21" xr:uid="{00000000-0004-0000-0100-000015000000}"/>
    <hyperlink ref="D45" r:id="rId22" xr:uid="{00000000-0004-0000-0100-000016000000}"/>
    <hyperlink ref="D47" r:id="rId23" xr:uid="{00000000-0004-0000-0100-000017000000}"/>
    <hyperlink ref="D39" r:id="rId24" xr:uid="{00000000-0004-0000-0100-000018000000}"/>
    <hyperlink ref="D36" r:id="rId25" xr:uid="{00000000-0004-0000-0100-000019000000}"/>
    <hyperlink ref="D54" r:id="rId26" xr:uid="{00000000-0004-0000-0100-00001A000000}"/>
    <hyperlink ref="D9" r:id="rId27" xr:uid="{00000000-0004-0000-0100-00001B000000}"/>
    <hyperlink ref="D20" r:id="rId28" display="http://kitco.com/gold.londonfix.html" xr:uid="{00000000-0004-0000-0100-00001C000000}"/>
    <hyperlink ref="D23" r:id="rId29" display="http://kitco.com/gold.londonfix.html" xr:uid="{00000000-0004-0000-0100-00001D000000}"/>
    <hyperlink ref="D25" r:id="rId30" display="http://kitco.com/gold.londonfix.html" xr:uid="{00000000-0004-0000-0100-00001E000000}"/>
    <hyperlink ref="D14" r:id="rId31" xr:uid="{E267C976-3AC1-4718-AF97-A96BD904C1FE}"/>
    <hyperlink ref="D17" r:id="rId32" xr:uid="{7AE1D911-0D09-4F14-AB17-F6A1199B22F2}"/>
    <hyperlink ref="D26" r:id="rId33" display="http://kitco.com/gold.londonfix.html" xr:uid="{FF936909-820D-453E-8E6C-1B1BA2F2E472}"/>
  </hyperlinks>
  <pageMargins left="0.7" right="0.7" top="0.75" bottom="0.75" header="0.3" footer="0.3"/>
  <pageSetup paperSize="9" orientation="portrait" r:id="rId34"/>
  <drawing r:id="rId3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FFC000"/>
  </sheetPr>
  <dimension ref="A1:Y85"/>
  <sheetViews>
    <sheetView showGridLines="0" workbookViewId="0"/>
  </sheetViews>
  <sheetFormatPr defaultColWidth="9.140625" defaultRowHeight="15"/>
  <cols>
    <col min="1" max="1" width="9.5703125" style="16" bestFit="1" customWidth="1"/>
    <col min="2" max="2" width="16.7109375" style="16" bestFit="1" customWidth="1"/>
    <col min="3" max="3" width="15.5703125" style="16" bestFit="1" customWidth="1"/>
    <col min="4" max="4" width="8" style="16" customWidth="1"/>
    <col min="5" max="6" width="5.5703125" style="228" hidden="1" customWidth="1"/>
    <col min="7" max="7" width="9.7109375" style="16" bestFit="1" customWidth="1"/>
    <col min="8" max="8" width="18.140625" style="16" bestFit="1" customWidth="1"/>
    <col min="9" max="9" width="16.85546875" style="16" bestFit="1" customWidth="1"/>
    <col min="10" max="10" width="12" style="228" hidden="1" customWidth="1"/>
    <col min="11" max="11" width="12" style="16" hidden="1" customWidth="1"/>
    <col min="12" max="16384" width="9.140625" style="16"/>
  </cols>
  <sheetData>
    <row r="1" spans="1:25">
      <c r="Y1" s="237" t="s">
        <v>282</v>
      </c>
    </row>
    <row r="2" spans="1:25">
      <c r="K2" s="92"/>
      <c r="L2" s="238"/>
      <c r="Y2" s="237" t="s">
        <v>283</v>
      </c>
    </row>
    <row r="5" spans="1:25">
      <c r="A5" s="1948" t="s">
        <v>495</v>
      </c>
      <c r="B5" s="1948"/>
      <c r="C5" s="1948"/>
      <c r="D5" s="8"/>
      <c r="E5" s="70"/>
      <c r="F5" s="70"/>
      <c r="G5" s="1948" t="s">
        <v>620</v>
      </c>
      <c r="H5" s="1948"/>
      <c r="I5" s="1948"/>
    </row>
    <row r="6" spans="1:25" ht="15.75" thickBot="1">
      <c r="A6" s="1977" t="s">
        <v>410</v>
      </c>
      <c r="B6" s="1977"/>
      <c r="C6" s="1977"/>
      <c r="D6" s="8"/>
      <c r="E6" s="70"/>
      <c r="F6" s="70"/>
      <c r="G6" s="1948" t="str">
        <f>G63</f>
        <v>Historic Calendar Year</v>
      </c>
      <c r="H6" s="1948"/>
      <c r="I6" s="1948"/>
      <c r="S6" s="551"/>
    </row>
    <row r="7" spans="1:25">
      <c r="A7" s="806" t="s">
        <v>401</v>
      </c>
      <c r="B7" s="807" t="s">
        <v>621</v>
      </c>
      <c r="C7" s="808" t="s">
        <v>622</v>
      </c>
      <c r="D7" s="8"/>
      <c r="E7" s="70"/>
      <c r="F7" s="70"/>
      <c r="G7" s="806" t="s">
        <v>34</v>
      </c>
      <c r="H7" s="807" t="s">
        <v>621</v>
      </c>
      <c r="I7" s="808" t="s">
        <v>622</v>
      </c>
    </row>
    <row r="8" spans="1:25">
      <c r="A8" s="423">
        <f>LARGE('Commodity Prices'!C$159:C$902,61)</f>
        <v>43435</v>
      </c>
      <c r="B8" s="484">
        <f>SUMIF('Commodity Prices'!C$159:C$902,A8,'Commodity Prices'!I$159:I$902)</f>
        <v>1247.924</v>
      </c>
      <c r="C8" s="483">
        <f>SUMIF('Commodity Prices'!C$159:C$902,A8,'Commodity Prices'!J$159:J$902)</f>
        <v>1748.32</v>
      </c>
      <c r="D8" s="8"/>
      <c r="E8" s="70">
        <v>1971</v>
      </c>
      <c r="F8" s="70">
        <v>1972</v>
      </c>
      <c r="G8" s="757">
        <f>IF($G$6="Historic Calendar Year",1971,CONCATENATE(E8,"-",RIGHT(F8,4)))</f>
        <v>1971</v>
      </c>
      <c r="H8" s="484">
        <f t="array" ref="H8">IF($G$6="Historic Calendar Year",IFERROR(AVERAGE(IF($G8=YEAR('Commodity Prices'!$C$9:$C$1000),'Commodity Prices'!$I$9:$I$1000)),"NA"),IFERROR(IF(K8=0,"NA",K8),"NA"))</f>
        <v>35.706835625000004</v>
      </c>
      <c r="I8" s="483">
        <f t="array" ref="I8">IF($G$6="Historic Calendar Year",IFERROR(AVERAGE(IF($G8=YEAR('Commodity Prices'!$C$9:$C$1000),'Commodity Prices'!$J$9:$J$1000)),"NA"),IFERROR(IF(J8=0,"NA",J8),"NA"))</f>
        <v>40.804166666666667</v>
      </c>
      <c r="J8" s="228">
        <f>(SUMIFS('Commodity Prices'!$J$9:$J$2500,'Commodity Prices'!$A$9:$A$2500,'Gold - Prices'!E8,'Commodity Prices'!$B$9:$B$2500,3)+
SUMIFS('Commodity Prices'!$J$9:$J$2500,'Commodity Prices'!$A$9:$A$2500,'Gold - Prices'!E8,'Commodity Prices'!$B$9:$B$2500,4)+
SUMIFS('Commodity Prices'!$J$9:$J$2500,'Commodity Prices'!$A$9:$A$2500,'Gold - Prices'!F8,'Commodity Prices'!$B$9:$B$2500,1)+
SUMIFS('Commodity Prices'!$J$9:$J$2500,'Commodity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46.884166666666665</v>
      </c>
      <c r="K8" s="16">
        <f>(SUMIFS('Commodity Prices'!$I$9:$I$2500,'Commodity Prices'!$A$9:$A$2500,'Gold - Prices'!E8,'Commodity Prices'!$B$9:$B$2500,3)+
SUMIFS('Commodity Prices'!$I$9:$I$2500,'Commodity Prices'!$A$9:$A$2500,'Gold - Prices'!E8,'Commodity Prices'!$B$9:$B$2500,4)+
SUMIFS('Commodity Prices'!$I$9:$I$2500,'Commodity Prices'!$A$9:$A$2500,'Gold - Prices'!F8,'Commodity Prices'!$B$9:$B$2500,1)+
SUMIFS('Commodity Prices'!$I$9:$I$2500,'Commodity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39.864775658333336</v>
      </c>
    </row>
    <row r="9" spans="1:25">
      <c r="A9" s="423">
        <f>LARGE('Commodity Prices'!C$159:C$902,60)</f>
        <v>43466</v>
      </c>
      <c r="B9" s="537">
        <f>SUMIF('Commodity Prices'!C$159:C$902,A9,'Commodity Prices'!I$159:I$902)</f>
        <v>1291.7449999999999</v>
      </c>
      <c r="C9" s="538">
        <f>SUMIF('Commodity Prices'!C$159:C$902,A9,'Commodity Prices'!J$159:J$902)</f>
        <v>1811.23</v>
      </c>
      <c r="D9" s="8"/>
      <c r="E9" s="70">
        <f>E8+1</f>
        <v>1972</v>
      </c>
      <c r="F9" s="70">
        <f>F8+1</f>
        <v>1973</v>
      </c>
      <c r="G9" s="757">
        <f>IF($G$6="Historic Calendar Year",G8+1,CONCATENATE(E9,"-",RIGHT(F9,4)))</f>
        <v>1972</v>
      </c>
      <c r="H9" s="537">
        <f t="array" ref="H9">IF($G$6="Historic Calendar Year",IFERROR(AVERAGE(IF($G9=YEAR('Commodity Prices'!$C$9:$C$1000),'Commodity Prices'!$I$9:$I$1000)),"NA"),IFERROR(IF(K9=0,"NA",K9),"NA"))</f>
        <v>48.537630145000001</v>
      </c>
      <c r="I9" s="538">
        <f t="array" ref="I9">IF($G$6="Historic Calendar Year",IFERROR(AVERAGE(IF($G9=YEAR('Commodity Prices'!$C$9:$C$1000),'Commodity Prices'!$J$9:$J$1000)),"NA"),IFERROR(IF(J9=0,"NA",J9),"NA"))</f>
        <v>58.159166666666657</v>
      </c>
      <c r="J9" s="228">
        <f>(SUMIFS('Commodity Prices'!$J$9:$J$2500,'Commodity Prices'!$A$9:$A$2500,'Gold - Prices'!E9,'Commodity Prices'!$B$9:$B$2500,3)+
SUMIFS('Commodity Prices'!$J$9:$J$2500,'Commodity Prices'!$A$9:$A$2500,'Gold - Prices'!E9,'Commodity Prices'!$B$9:$B$2500,4)+
SUMIFS('Commodity Prices'!$J$9:$J$2500,'Commodity Prices'!$A$9:$A$2500,'Gold - Prices'!F9,'Commodity Prices'!$B$9:$B$2500,1)+
SUMIFS('Commodity Prices'!$J$9:$J$2500,'Commodity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77.241341136933329</v>
      </c>
      <c r="K9" s="228">
        <f>(SUMIFS('Commodity Prices'!$I$9:$I$2500,'Commodity Prices'!$A$9:$A$2500,'Gold - Prices'!E9,'Commodity Prices'!$B$9:$B$2500,3)+
SUMIFS('Commodity Prices'!$I$9:$I$2500,'Commodity Prices'!$A$9:$A$2500,'Gold - Prices'!E9,'Commodity Prices'!$B$9:$B$2500,4)+
SUMIFS('Commodity Prices'!$I$9:$I$2500,'Commodity Prices'!$A$9:$A$2500,'Gold - Prices'!F9,'Commodity Prices'!$B$9:$B$2500,1)+
SUMIFS('Commodity Prices'!$I$9:$I$2500,'Commodity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58.992837693458711</v>
      </c>
    </row>
    <row r="10" spans="1:25">
      <c r="A10" s="423">
        <f>LARGE('Commodity Prices'!C$159:C$902,59)</f>
        <v>43497</v>
      </c>
      <c r="B10" s="484">
        <f>SUMIF('Commodity Prices'!C$159:C$902,A10,'Commodity Prices'!I$159:I$902)</f>
        <v>1320.0650000000001</v>
      </c>
      <c r="C10" s="483">
        <f>SUMIF('Commodity Prices'!C$159:C$902,A10,'Commodity Prices'!J$159:J$902)</f>
        <v>1849.13</v>
      </c>
      <c r="D10" s="8"/>
      <c r="E10" s="70">
        <f t="shared" ref="E10:F42" si="0">E9+1</f>
        <v>1973</v>
      </c>
      <c r="F10" s="70">
        <f t="shared" si="0"/>
        <v>1974</v>
      </c>
      <c r="G10" s="757">
        <f t="shared" ref="G10:G58" si="1">IF($G$6="Historic Calendar Year",G9+1,CONCATENATE(E10,"-",RIGHT(F10,4)))</f>
        <v>1973</v>
      </c>
      <c r="H10" s="484">
        <f t="array" ref="H10">IF($G$6="Historic Calendar Year",IFERROR(AVERAGE(IF($G10=YEAR('Commodity Prices'!$C$9:$C$1000),'Commodity Prices'!$I$9:$I$1000)),"NA"),IFERROR(IF(K10=0,"NA",K10),"NA"))</f>
        <v>67.983213187027317</v>
      </c>
      <c r="I10" s="483">
        <f t="array" ref="I10">IF($G$6="Historic Calendar Year",IFERROR(AVERAGE(IF($G10=YEAR('Commodity Prices'!$C$9:$C$1000),'Commodity Prices'!$J$9:$J$1000)),"NA"),IFERROR(IF(J10=0,"NA",J10),"NA"))</f>
        <v>97.35802890547501</v>
      </c>
      <c r="J10" s="228">
        <f>(SUMIFS('Commodity Prices'!$J$9:$J$2500,'Commodity Prices'!$A$9:$A$2500,'Gold - Prices'!E10,'Commodity Prices'!$B$9:$B$2500,3)+
SUMIFS('Commodity Prices'!$J$9:$J$2500,'Commodity Prices'!$A$9:$A$2500,'Gold - Prices'!E10,'Commodity Prices'!$B$9:$B$2500,4)+
SUMIFS('Commodity Prices'!$J$9:$J$2500,'Commodity Prices'!$A$9:$A$2500,'Gold - Prices'!F10,'Commodity Prices'!$B$9:$B$2500,1)+
SUMIFS('Commodity Prices'!$J$9:$J$2500,'Commodity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130.78281971773333</v>
      </c>
      <c r="K10" s="228">
        <f>(SUMIFS('Commodity Prices'!$I$9:$I$2500,'Commodity Prices'!$A$9:$A$2500,'Gold - Prices'!E10,'Commodity Prices'!$B$9:$B$2500,3)+
SUMIFS('Commodity Prices'!$I$9:$I$2500,'Commodity Prices'!$A$9:$A$2500,'Gold - Prices'!E10,'Commodity Prices'!$B$9:$B$2500,4)+
SUMIFS('Commodity Prices'!$I$9:$I$2500,'Commodity Prices'!$A$9:$A$2500,'Gold - Prices'!F10,'Commodity Prices'!$B$9:$B$2500,1)+
SUMIFS('Commodity Prices'!$I$9:$I$2500,'Commodity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88.512401521265872</v>
      </c>
    </row>
    <row r="11" spans="1:25">
      <c r="A11" s="423">
        <f>LARGE('Commodity Prices'!C$159:C$902,58)</f>
        <v>43525</v>
      </c>
      <c r="B11" s="537">
        <f>SUMIF('Commodity Prices'!C$159:C$902,A11,'Commodity Prices'!I$159:I$902)</f>
        <v>1300.8979999999999</v>
      </c>
      <c r="C11" s="538">
        <f>SUMIF('Commodity Prices'!C$159:C$902,A11,'Commodity Prices'!J$159:J$902)</f>
        <v>1841.84</v>
      </c>
      <c r="D11" s="8"/>
      <c r="E11" s="70">
        <f t="shared" si="0"/>
        <v>1974</v>
      </c>
      <c r="F11" s="70">
        <f t="shared" si="0"/>
        <v>1975</v>
      </c>
      <c r="G11" s="757">
        <f t="shared" si="1"/>
        <v>1974</v>
      </c>
      <c r="H11" s="537">
        <f t="array" ref="H11">IF($G$6="Historic Calendar Year",IFERROR(AVERAGE(IF($G11=YEAR('Commodity Prices'!$C$9:$C$1000),'Commodity Prices'!$I$9:$I$1000)),"NA"),IFERROR(IF(K11=0,"NA",K11),"NA"))</f>
        <v>112.09585983443016</v>
      </c>
      <c r="I11" s="538">
        <f t="array" ref="I11">IF($G$6="Historic Calendar Year",IFERROR(AVERAGE(IF($G11=YEAR('Commodity Prices'!$C$9:$C$1000),'Commodity Prices'!$J$9:$J$1000)),"NA"),IFERROR(IF(J11=0,"NA",J11),"NA"))</f>
        <v>159.438611728875</v>
      </c>
      <c r="J11" s="228">
        <f>(SUMIFS('Commodity Prices'!$J$9:$J$2500,'Commodity Prices'!$A$9:$A$2500,'Gold - Prices'!E11,'Commodity Prices'!$B$9:$B$2500,3)+
SUMIFS('Commodity Prices'!$J$9:$J$2500,'Commodity Prices'!$A$9:$A$2500,'Gold - Prices'!E11,'Commodity Prices'!$B$9:$B$2500,4)+
SUMIFS('Commodity Prices'!$J$9:$J$2500,'Commodity Prices'!$A$9:$A$2500,'Gold - Prices'!F11,'Commodity Prices'!$B$9:$B$2500,1)+
SUMIFS('Commodity Prices'!$J$9:$J$2500,'Commodity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167.54958855541668</v>
      </c>
      <c r="K11" s="228">
        <f>(SUMIFS('Commodity Prices'!$I$9:$I$2500,'Commodity Prices'!$A$9:$A$2500,'Gold - Prices'!E11,'Commodity Prices'!$B$9:$B$2500,3)+
SUMIFS('Commodity Prices'!$I$9:$I$2500,'Commodity Prices'!$A$9:$A$2500,'Gold - Prices'!E11,'Commodity Prices'!$B$9:$B$2500,4)+
SUMIFS('Commodity Prices'!$I$9:$I$2500,'Commodity Prices'!$A$9:$A$2500,'Gold - Prices'!F11,'Commodity Prices'!$B$9:$B$2500,1)+
SUMIFS('Commodity Prices'!$I$9:$I$2500,'Commodity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123.71216383124874</v>
      </c>
    </row>
    <row r="12" spans="1:25">
      <c r="A12" s="423">
        <f>LARGE('Commodity Prices'!C$159:C$902,57)</f>
        <v>43556</v>
      </c>
      <c r="B12" s="484">
        <f>SUMIF('Commodity Prices'!C$159:C$902,A12,'Commodity Prices'!I$159:I$902)</f>
        <v>1286.4449999999999</v>
      </c>
      <c r="C12" s="483">
        <f>SUMIF('Commodity Prices'!C$159:C$902,A12,'Commodity Prices'!J$159:J$902)</f>
        <v>1812.21</v>
      </c>
      <c r="D12" s="8"/>
      <c r="E12" s="70">
        <f t="shared" si="0"/>
        <v>1975</v>
      </c>
      <c r="F12" s="70">
        <f t="shared" si="0"/>
        <v>1976</v>
      </c>
      <c r="G12" s="758">
        <f t="shared" si="1"/>
        <v>1975</v>
      </c>
      <c r="H12" s="484">
        <f t="array" ref="H12">IF($G$6="Historic Calendar Year",IFERROR(AVERAGE(IF($G12=YEAR('Commodity Prices'!$C$9:$C$1000),'Commodity Prices'!$I$9:$I$1000)),"NA"),IFERROR(IF(K12=0,"NA",K12),"NA"))</f>
        <v>122.9133828900956</v>
      </c>
      <c r="I12" s="483">
        <f t="array" ref="I12">IF($G$6="Historic Calendar Year",IFERROR(AVERAGE(IF($G12=YEAR('Commodity Prices'!$C$9:$C$1000),'Commodity Prices'!$J$9:$J$1000)),"NA"),IFERROR(IF(J12=0,"NA",J12),"NA"))</f>
        <v>160.96236135876666</v>
      </c>
      <c r="J12" s="228">
        <f>(SUMIFS('Commodity Prices'!$J$9:$J$2500,'Commodity Prices'!$A$9:$A$2500,'Gold - Prices'!E12,'Commodity Prices'!$B$9:$B$2500,3)+
SUMIFS('Commodity Prices'!$J$9:$J$2500,'Commodity Prices'!$A$9:$A$2500,'Gold - Prices'!E12,'Commodity Prices'!$B$9:$B$2500,4)+
SUMIFS('Commodity Prices'!$J$9:$J$2500,'Commodity Prices'!$A$9:$A$2500,'Gold - Prices'!F12,'Commodity Prices'!$B$9:$B$2500,1)+
SUMIFS('Commodity Prices'!$J$9:$J$2500,'Commodity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139.28272538951668</v>
      </c>
      <c r="K12" s="228">
        <f>(SUMIFS('Commodity Prices'!$I$9:$I$2500,'Commodity Prices'!$A$9:$A$2500,'Gold - Prices'!E12,'Commodity Prices'!$B$9:$B$2500,3)+
SUMIFS('Commodity Prices'!$I$9:$I$2500,'Commodity Prices'!$A$9:$A$2500,'Gold - Prices'!E12,'Commodity Prices'!$B$9:$B$2500,4)+
SUMIFS('Commodity Prices'!$I$9:$I$2500,'Commodity Prices'!$A$9:$A$2500,'Gold - Prices'!F12,'Commodity Prices'!$B$9:$B$2500,1)+
SUMIFS('Commodity Prices'!$I$9:$I$2500,'Commodity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110.65158637856634</v>
      </c>
    </row>
    <row r="13" spans="1:25">
      <c r="A13" s="423">
        <f>LARGE('Commodity Prices'!C$159:C$902,56)</f>
        <v>43586</v>
      </c>
      <c r="B13" s="537">
        <f>SUMIF('Commodity Prices'!C$159:C$902,A13,'Commodity Prices'!I$159:I$902)</f>
        <v>1283.9480000000001</v>
      </c>
      <c r="C13" s="538">
        <f>SUMIF('Commodity Prices'!C$159:C$902,A13,'Commodity Prices'!J$159:J$902)</f>
        <v>1850.4</v>
      </c>
      <c r="D13" s="8"/>
      <c r="E13" s="70">
        <f t="shared" si="0"/>
        <v>1976</v>
      </c>
      <c r="F13" s="70">
        <f t="shared" si="0"/>
        <v>1977</v>
      </c>
      <c r="G13" s="757">
        <f t="shared" si="1"/>
        <v>1976</v>
      </c>
      <c r="H13" s="537">
        <f t="array" ref="H13">IF($G$6="Historic Calendar Year",IFERROR(AVERAGE(IF($G13=YEAR('Commodity Prices'!$C$9:$C$1000),'Commodity Prices'!$I$9:$I$1000)),"NA"),IFERROR(IF(K13=0,"NA",K13),"NA"))</f>
        <v>103.75646281980045</v>
      </c>
      <c r="I13" s="538">
        <f t="array" ref="I13">IF($G$6="Historic Calendar Year",IFERROR(AVERAGE(IF($G13=YEAR('Commodity Prices'!$C$9:$C$1000),'Commodity Prices'!$J$9:$J$1000)),"NA"),IFERROR(IF(J13=0,"NA",J13),"NA"))</f>
        <v>124.81329892480835</v>
      </c>
      <c r="J13" s="228">
        <f>(SUMIFS('Commodity Prices'!$J$9:$J$2500,'Commodity Prices'!$A$9:$A$2500,'Gold - Prices'!E13,'Commodity Prices'!$B$9:$B$2500,3)+
SUMIFS('Commodity Prices'!$J$9:$J$2500,'Commodity Prices'!$A$9:$A$2500,'Gold - Prices'!E13,'Commodity Prices'!$B$9:$B$2500,4)+
SUMIFS('Commodity Prices'!$J$9:$J$2500,'Commodity Prices'!$A$9:$A$2500,'Gold - Prices'!F13,'Commodity Prices'!$B$9:$B$2500,1)+
SUMIFS('Commodity Prices'!$J$9:$J$2500,'Commodity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131.32729602333333</v>
      </c>
      <c r="K13" s="228">
        <f>(SUMIFS('Commodity Prices'!$I$9:$I$2500,'Commodity Prices'!$A$9:$A$2500,'Gold - Prices'!E13,'Commodity Prices'!$B$9:$B$2500,3)+
SUMIFS('Commodity Prices'!$I$9:$I$2500,'Commodity Prices'!$A$9:$A$2500,'Gold - Prices'!E13,'Commodity Prices'!$B$9:$B$2500,4)+
SUMIFS('Commodity Prices'!$I$9:$I$2500,'Commodity Prices'!$A$9:$A$2500,'Gold - Prices'!F13,'Commodity Prices'!$B$9:$B$2500,1)+
SUMIFS('Commodity Prices'!$I$9:$I$2500,'Commodity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116.40698637885976</v>
      </c>
    </row>
    <row r="14" spans="1:25">
      <c r="A14" s="423">
        <f>LARGE('Commodity Prices'!C$159:C$902,56)</f>
        <v>43586</v>
      </c>
      <c r="B14" s="484">
        <f>SUMIF('Commodity Prices'!C$159:C$902,A14,'Commodity Prices'!I$159:I$902)</f>
        <v>1283.9480000000001</v>
      </c>
      <c r="C14" s="483">
        <f>SUMIF('Commodity Prices'!C$159:C$902,A14,'Commodity Prices'!J$159:J$902)</f>
        <v>1850.4</v>
      </c>
      <c r="D14" s="8"/>
      <c r="E14" s="70">
        <f t="shared" si="0"/>
        <v>1977</v>
      </c>
      <c r="F14" s="70">
        <f t="shared" si="0"/>
        <v>1978</v>
      </c>
      <c r="G14" s="757">
        <f t="shared" si="1"/>
        <v>1977</v>
      </c>
      <c r="H14" s="484">
        <f t="array" ref="H14">IF($G$6="Historic Calendar Year",IFERROR(AVERAGE(IF($G14=YEAR('Commodity Prices'!$C$9:$C$1000),'Commodity Prices'!$I$9:$I$1000)),"NA"),IFERROR(IF(K14=0,"NA",K14),"NA"))</f>
        <v>132.87159356359371</v>
      </c>
      <c r="I14" s="483">
        <f t="array" ref="I14">IF($G$6="Historic Calendar Year",IFERROR(AVERAGE(IF($G14=YEAR('Commodity Prices'!$C$9:$C$1000),'Commodity Prices'!$J$9:$J$1000)),"NA"),IFERROR(IF(J14=0,"NA",J14),"NA"))</f>
        <v>147.75641759620834</v>
      </c>
      <c r="J14" s="228">
        <f>(SUMIFS('Commodity Prices'!$J$9:$J$2500,'Commodity Prices'!$A$9:$A$2500,'Gold - Prices'!E14,'Commodity Prices'!$B$9:$B$2500,3)+
SUMIFS('Commodity Prices'!$J$9:$J$2500,'Commodity Prices'!$A$9:$A$2500,'Gold - Prices'!E14,'Commodity Prices'!$B$9:$B$2500,4)+
SUMIFS('Commodity Prices'!$J$9:$J$2500,'Commodity Prices'!$A$9:$A$2500,'Gold - Prices'!F14,'Commodity Prices'!$B$9:$B$2500,1)+
SUMIFS('Commodity Prices'!$J$9:$J$2500,'Commodity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165.83439099643331</v>
      </c>
      <c r="K14" s="228">
        <f>(SUMIFS('Commodity Prices'!$I$9:$I$2500,'Commodity Prices'!$A$9:$A$2500,'Gold - Prices'!E14,'Commodity Prices'!$B$9:$B$2500,3)+
SUMIFS('Commodity Prices'!$I$9:$I$2500,'Commodity Prices'!$A$9:$A$2500,'Gold - Prices'!E14,'Commodity Prices'!$B$9:$B$2500,4)+
SUMIFS('Commodity Prices'!$I$9:$I$2500,'Commodity Prices'!$A$9:$A$2500,'Gold - Prices'!F14,'Commodity Prices'!$B$9:$B$2500,1)+
SUMIFS('Commodity Prices'!$I$9:$I$2500,'Commodity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146.66546550418241</v>
      </c>
    </row>
    <row r="15" spans="1:25">
      <c r="A15" s="423">
        <f>LARGE('Commodity Prices'!C$159:C$902,54)</f>
        <v>43647</v>
      </c>
      <c r="B15" s="537">
        <f>SUMIF('Commodity Prices'!C$159:C$902,A15,'Commodity Prices'!I$159:I$902)</f>
        <v>1412.9780000000001</v>
      </c>
      <c r="C15" s="538">
        <f>SUMIF('Commodity Prices'!C$159:C$902,A15,'Commodity Prices'!J$159:J$902)</f>
        <v>2029.59</v>
      </c>
      <c r="D15" s="8"/>
      <c r="E15" s="70">
        <f t="shared" si="0"/>
        <v>1978</v>
      </c>
      <c r="F15" s="70">
        <f t="shared" si="0"/>
        <v>1979</v>
      </c>
      <c r="G15" s="757">
        <f t="shared" si="1"/>
        <v>1978</v>
      </c>
      <c r="H15" s="537">
        <f t="array" ref="H15">IF($G$6="Historic Calendar Year",IFERROR(AVERAGE(IF($G15=YEAR('Commodity Prices'!$C$9:$C$1000),'Commodity Prices'!$I$9:$I$1000)),"NA"),IFERROR(IF(K15=0,"NA",K15),"NA"))</f>
        <v>168.26940290151194</v>
      </c>
      <c r="I15" s="538">
        <f t="array" ref="I15">IF($G$6="Historic Calendar Year",IFERROR(AVERAGE(IF($G15=YEAR('Commodity Prices'!$C$9:$C$1000),'Commodity Prices'!$J$9:$J$1000)),"NA"),IFERROR(IF(J15=0,"NA",J15),"NA"))</f>
        <v>193.25000246828333</v>
      </c>
      <c r="J15" s="228">
        <f>(SUMIFS('Commodity Prices'!$J$9:$J$2500,'Commodity Prices'!$A$9:$A$2500,'Gold - Prices'!E15,'Commodity Prices'!$B$9:$B$2500,3)+
SUMIFS('Commodity Prices'!$J$9:$J$2500,'Commodity Prices'!$A$9:$A$2500,'Gold - Prices'!E15,'Commodity Prices'!$B$9:$B$2500,4)+
SUMIFS('Commodity Prices'!$J$9:$J$2500,'Commodity Prices'!$A$9:$A$2500,'Gold - Prices'!F15,'Commodity Prices'!$B$9:$B$2500,1)+
SUMIFS('Commodity Prices'!$J$9:$J$2500,'Commodity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228.39681198735002</v>
      </c>
      <c r="K15" s="228">
        <f>(SUMIFS('Commodity Prices'!$I$9:$I$2500,'Commodity Prices'!$A$9:$A$2500,'Gold - Prices'!E15,'Commodity Prices'!$B$9:$B$2500,3)+
SUMIFS('Commodity Prices'!$I$9:$I$2500,'Commodity Prices'!$A$9:$A$2500,'Gold - Prices'!E15,'Commodity Prices'!$B$9:$B$2500,4)+
SUMIFS('Commodity Prices'!$I$9:$I$2500,'Commodity Prices'!$A$9:$A$2500,'Gold - Prices'!F15,'Commodity Prices'!$B$9:$B$2500,1)+
SUMIFS('Commodity Prices'!$I$9:$I$2500,'Commodity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201.17971761391141</v>
      </c>
    </row>
    <row r="16" spans="1:25">
      <c r="A16" s="423">
        <f>LARGE('Commodity Prices'!C$159:C$902,53)</f>
        <v>43678</v>
      </c>
      <c r="B16" s="484">
        <f>SUMIF('Commodity Prices'!C$159:C$902,A16,'Commodity Prices'!I$159:I$902)</f>
        <v>1498.798</v>
      </c>
      <c r="C16" s="483">
        <f>SUMIF('Commodity Prices'!C$159:C$902,A16,'Commodity Prices'!J$159:J$902)</f>
        <v>2218.41</v>
      </c>
      <c r="D16" s="8"/>
      <c r="E16" s="70">
        <f t="shared" si="0"/>
        <v>1979</v>
      </c>
      <c r="F16" s="70">
        <f t="shared" si="0"/>
        <v>1980</v>
      </c>
      <c r="G16" s="758">
        <f t="shared" si="1"/>
        <v>1979</v>
      </c>
      <c r="H16" s="484">
        <f t="array" ref="H16">IF($G$6="Historic Calendar Year",IFERROR(AVERAGE(IF($G16=YEAR('Commodity Prices'!$C$9:$C$1000),'Commodity Prices'!$I$9:$I$1000)),"NA"),IFERROR(IF(K16=0,"NA",K16),"NA"))</f>
        <v>275.6130443156224</v>
      </c>
      <c r="I16" s="483">
        <f t="array" ref="I16">IF($G$6="Historic Calendar Year",IFERROR(AVERAGE(IF($G16=YEAR('Commodity Prices'!$C$9:$C$1000),'Commodity Prices'!$J$9:$J$1000)),"NA"),IFERROR(IF(J16=0,"NA",J16),"NA"))</f>
        <v>307.16288279422503</v>
      </c>
      <c r="J16" s="228">
        <f>(SUMIFS('Commodity Prices'!$J$9:$J$2500,'Commodity Prices'!$A$9:$A$2500,'Gold - Prices'!E16,'Commodity Prices'!$B$9:$B$2500,3)+
SUMIFS('Commodity Prices'!$J$9:$J$2500,'Commodity Prices'!$A$9:$A$2500,'Gold - Prices'!E16,'Commodity Prices'!$B$9:$B$2500,4)+
SUMIFS('Commodity Prices'!$J$9:$J$2500,'Commodity Prices'!$A$9:$A$2500,'Gold - Prices'!F16,'Commodity Prices'!$B$9:$B$2500,1)+
SUMIFS('Commodity Prices'!$J$9:$J$2500,'Commodity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476.85298639128331</v>
      </c>
      <c r="K16" s="228">
        <f>(SUMIFS('Commodity Prices'!$I$9:$I$2500,'Commodity Prices'!$A$9:$A$2500,'Gold - Prices'!E16,'Commodity Prices'!$B$9:$B$2500,3)+
SUMIFS('Commodity Prices'!$I$9:$I$2500,'Commodity Prices'!$A$9:$A$2500,'Gold - Prices'!E16,'Commodity Prices'!$B$9:$B$2500,4)+
SUMIFS('Commodity Prices'!$I$9:$I$2500,'Commodity Prices'!$A$9:$A$2500,'Gold - Prices'!F16,'Commodity Prices'!$B$9:$B$2500,1)+
SUMIFS('Commodity Prices'!$I$9:$I$2500,'Commodity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427.82403583776903</v>
      </c>
    </row>
    <row r="17" spans="1:11">
      <c r="A17" s="423">
        <f>LARGE('Commodity Prices'!C$159:C$902,52)</f>
        <v>43709</v>
      </c>
      <c r="B17" s="537">
        <f>SUMIF('Commodity Prices'!C$159:C$902,A17,'Commodity Prices'!I$159:I$902)</f>
        <v>1511.3140000000001</v>
      </c>
      <c r="C17" s="538">
        <f>SUMIF('Commodity Prices'!C$159:C$902,A17,'Commodity Prices'!J$159:J$902)</f>
        <v>2221.84</v>
      </c>
      <c r="D17" s="8"/>
      <c r="E17" s="70">
        <f t="shared" si="0"/>
        <v>1980</v>
      </c>
      <c r="F17" s="70">
        <f t="shared" si="0"/>
        <v>1981</v>
      </c>
      <c r="G17" s="757">
        <f t="shared" si="1"/>
        <v>1980</v>
      </c>
      <c r="H17" s="537">
        <f t="array" ref="H17">IF($G$6="Historic Calendar Year",IFERROR(AVERAGE(IF($G17=YEAR('Commodity Prices'!$C$9:$C$1000),'Commodity Prices'!$I$9:$I$1000)),"NA"),IFERROR(IF(K17=0,"NA",K17),"NA"))</f>
        <v>536.39079665008728</v>
      </c>
      <c r="I17" s="538">
        <f t="array" ref="I17">IF($G$6="Historic Calendar Year",IFERROR(AVERAGE(IF($G17=YEAR('Commodity Prices'!$C$9:$C$1000),'Commodity Prices'!$J$9:$J$1000)),"NA"),IFERROR(IF(J17=0,"NA",J17),"NA"))</f>
        <v>612.62523050664993</v>
      </c>
      <c r="J17" s="228">
        <f>(SUMIFS('Commodity Prices'!$J$9:$J$2500,'Commodity Prices'!$A$9:$A$2500,'Gold - Prices'!E17,'Commodity Prices'!$B$9:$B$2500,3)+
SUMIFS('Commodity Prices'!$J$9:$J$2500,'Commodity Prices'!$A$9:$A$2500,'Gold - Prices'!E17,'Commodity Prices'!$B$9:$B$2500,4)+
SUMIFS('Commodity Prices'!$J$9:$J$2500,'Commodity Prices'!$A$9:$A$2500,'Gold - Prices'!F17,'Commodity Prices'!$B$9:$B$2500,1)+
SUMIFS('Commodity Prices'!$J$9:$J$2500,'Commodity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567.63558650239167</v>
      </c>
      <c r="K17" s="228">
        <f>(SUMIFS('Commodity Prices'!$I$9:$I$2500,'Commodity Prices'!$A$9:$A$2500,'Gold - Prices'!E17,'Commodity Prices'!$B$9:$B$2500,3)+
SUMIFS('Commodity Prices'!$I$9:$I$2500,'Commodity Prices'!$A$9:$A$2500,'Gold - Prices'!E17,'Commodity Prices'!$B$9:$B$2500,4)+
SUMIFS('Commodity Prices'!$I$9:$I$2500,'Commodity Prices'!$A$9:$A$2500,'Gold - Prices'!F17,'Commodity Prices'!$B$9:$B$2500,1)+
SUMIFS('Commodity Prices'!$I$9:$I$2500,'Commodity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488.400335780788</v>
      </c>
    </row>
    <row r="18" spans="1:11">
      <c r="A18" s="423">
        <f>LARGE('Commodity Prices'!C$159:C$902,51)</f>
        <v>43739</v>
      </c>
      <c r="B18" s="484">
        <f>SUMIF('Commodity Prices'!C$159:C$902,A18,'Commodity Prices'!I$159:I$902)</f>
        <v>1494.8</v>
      </c>
      <c r="C18" s="483">
        <f>SUMIF('Commodity Prices'!C$159:C$902,A18,'Commodity Prices'!J$159:J$902)</f>
        <v>2203.9299999999998</v>
      </c>
      <c r="D18" s="8"/>
      <c r="E18" s="70">
        <f t="shared" si="0"/>
        <v>1981</v>
      </c>
      <c r="F18" s="70">
        <f t="shared" si="0"/>
        <v>1982</v>
      </c>
      <c r="G18" s="758">
        <f t="shared" si="1"/>
        <v>1981</v>
      </c>
      <c r="H18" s="484">
        <f t="array" ref="H18">IF($G$6="Historic Calendar Year",IFERROR(AVERAGE(IF($G18=YEAR('Commodity Prices'!$C$9:$C$1000),'Commodity Prices'!$I$9:$I$1000)),"NA"),IFERROR(IF(K18=0,"NA",K18),"NA"))</f>
        <v>399.94802762718473</v>
      </c>
      <c r="I18" s="483">
        <f t="array" ref="I18">IF($G$6="Historic Calendar Year",IFERROR(AVERAGE(IF($G18=YEAR('Commodity Prices'!$C$9:$C$1000),'Commodity Prices'!$J$9:$J$1000)),"NA"),IFERROR(IF(J18=0,"NA",J18),"NA"))</f>
        <v>459.40341630442504</v>
      </c>
      <c r="J18" s="228">
        <f>(SUMIFS('Commodity Prices'!$J$9:$J$2500,'Commodity Prices'!$A$9:$A$2500,'Gold - Prices'!E18,'Commodity Prices'!$B$9:$B$2500,3)+
SUMIFS('Commodity Prices'!$J$9:$J$2500,'Commodity Prices'!$A$9:$A$2500,'Gold - Prices'!E18,'Commodity Prices'!$B$9:$B$2500,4)+
SUMIFS('Commodity Prices'!$J$9:$J$2500,'Commodity Prices'!$A$9:$A$2500,'Gold - Prices'!F18,'Commodity Prices'!$B$9:$B$2500,1)+
SUMIFS('Commodity Prices'!$J$9:$J$2500,'Commodity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384.16900610717499</v>
      </c>
      <c r="K18" s="228">
        <f>(SUMIFS('Commodity Prices'!$I$9:$I$2500,'Commodity Prices'!$A$9:$A$2500,'Gold - Prices'!E18,'Commodity Prices'!$B$9:$B$2500,3)+
SUMIFS('Commodity Prices'!$I$9:$I$2500,'Commodity Prices'!$A$9:$A$2500,'Gold - Prices'!E18,'Commodity Prices'!$B$9:$B$2500,4)+
SUMIFS('Commodity Prices'!$I$9:$I$2500,'Commodity Prices'!$A$9:$A$2500,'Gold - Prices'!F18,'Commodity Prices'!$B$9:$B$2500,1)+
SUMIFS('Commodity Prices'!$I$9:$I$2500,'Commodity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348.35130858957814</v>
      </c>
    </row>
    <row r="19" spans="1:11">
      <c r="A19" s="423">
        <f>LARGE('Commodity Prices'!C$159:C$902,50)</f>
        <v>43770</v>
      </c>
      <c r="B19" s="537">
        <f>SUMIF('Commodity Prices'!C$159:C$902,A19,'Commodity Prices'!I$159:I$902)</f>
        <v>1470.0170000000001</v>
      </c>
      <c r="C19" s="538">
        <f>SUMIF('Commodity Prices'!C$159:C$902,A19,'Commodity Prices'!J$159:J$902)</f>
        <v>2160.4899999999998</v>
      </c>
      <c r="D19" s="8"/>
      <c r="E19" s="70">
        <f t="shared" si="0"/>
        <v>1982</v>
      </c>
      <c r="F19" s="70">
        <f t="shared" si="0"/>
        <v>1983</v>
      </c>
      <c r="G19" s="757">
        <f t="shared" si="1"/>
        <v>1982</v>
      </c>
      <c r="H19" s="537">
        <f t="array" ref="H19">IF($G$6="Historic Calendar Year",IFERROR(AVERAGE(IF($G19=YEAR('Commodity Prices'!$C$9:$C$1000),'Commodity Prices'!$I$9:$I$1000)),"NA"),IFERROR(IF(K19=0,"NA",K19),"NA"))</f>
        <v>373.89996587284605</v>
      </c>
      <c r="I19" s="538">
        <f t="array" ref="I19">IF($G$6="Historic Calendar Year",IFERROR(AVERAGE(IF($G19=YEAR('Commodity Prices'!$C$9:$C$1000),'Commodity Prices'!$J$9:$J$1000)),"NA"),IFERROR(IF(J19=0,"NA",J19),"NA"))</f>
        <v>375.89852143419165</v>
      </c>
      <c r="J19" s="228">
        <f>(SUMIFS('Commodity Prices'!$J$9:$J$2500,'Commodity Prices'!$A$9:$A$2500,'Gold - Prices'!E19,'Commodity Prices'!$B$9:$B$2500,3)+
SUMIFS('Commodity Prices'!$J$9:$J$2500,'Commodity Prices'!$A$9:$A$2500,'Gold - Prices'!E19,'Commodity Prices'!$B$9:$B$2500,4)+
SUMIFS('Commodity Prices'!$J$9:$J$2500,'Commodity Prices'!$A$9:$A$2500,'Gold - Prices'!F19,'Commodity Prices'!$B$9:$B$2500,1)+
SUMIFS('Commodity Prices'!$J$9:$J$2500,'Commodity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424.98477623727496</v>
      </c>
      <c r="K19" s="228">
        <f>(SUMIFS('Commodity Prices'!$I$9:$I$2500,'Commodity Prices'!$A$9:$A$2500,'Gold - Prices'!E19,'Commodity Prices'!$B$9:$B$2500,3)+
SUMIFS('Commodity Prices'!$I$9:$I$2500,'Commodity Prices'!$A$9:$A$2500,'Gold - Prices'!E19,'Commodity Prices'!$B$9:$B$2500,4)+
SUMIFS('Commodity Prices'!$I$9:$I$2500,'Commodity Prices'!$A$9:$A$2500,'Gold - Prices'!F19,'Commodity Prices'!$B$9:$B$2500,1)+
SUMIFS('Commodity Prices'!$I$9:$I$2500,'Commodity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456.6300374819063</v>
      </c>
    </row>
    <row r="20" spans="1:11">
      <c r="A20" s="423">
        <f>LARGE('Commodity Prices'!C$159:C$902,49)</f>
        <v>43800</v>
      </c>
      <c r="B20" s="484">
        <f>SUMIF('Commodity Prices'!C$159:C$902,A20,'Commodity Prices'!I$159:I$902)</f>
        <v>1476.0440000000001</v>
      </c>
      <c r="C20" s="483">
        <f>SUMIF('Commodity Prices'!C$159:C$902,A20,'Commodity Prices'!J$159:J$902)</f>
        <v>2156.37</v>
      </c>
      <c r="D20" s="8"/>
      <c r="E20" s="70">
        <f t="shared" si="0"/>
        <v>1983</v>
      </c>
      <c r="F20" s="70">
        <f t="shared" si="0"/>
        <v>1984</v>
      </c>
      <c r="G20" s="758">
        <f t="shared" si="1"/>
        <v>1983</v>
      </c>
      <c r="H20" s="484">
        <f t="array" ref="H20">IF($G$6="Historic Calendar Year",IFERROR(AVERAGE(IF($G20=YEAR('Commodity Prices'!$C$9:$C$1000),'Commodity Prices'!$I$9:$I$1000)),"NA"),IFERROR(IF(K20=0,"NA",K20),"NA"))</f>
        <v>447.83279001100169</v>
      </c>
      <c r="I20" s="483">
        <f t="array" ref="I20">IF($G$6="Historic Calendar Year",IFERROR(AVERAGE(IF($G20=YEAR('Commodity Prices'!$C$9:$C$1000),'Commodity Prices'!$J$9:$J$1000)),"NA"),IFERROR(IF(J20=0,"NA",J20),"NA"))</f>
        <v>447.93605702293326</v>
      </c>
      <c r="J20" s="228">
        <f>(SUMIFS('Commodity Prices'!$J$9:$J$2500,'Commodity Prices'!$A$9:$A$2500,'Gold - Prices'!E20,'Commodity Prices'!$B$9:$B$2500,3)+
SUMIFS('Commodity Prices'!$J$9:$J$2500,'Commodity Prices'!$A$9:$A$2500,'Gold - Prices'!E20,'Commodity Prices'!$B$9:$B$2500,4)+
SUMIFS('Commodity Prices'!$J$9:$J$2500,'Commodity Prices'!$A$9:$A$2500,'Gold - Prices'!F20,'Commodity Prices'!$B$9:$B$2500,1)+
SUMIFS('Commodity Prices'!$J$9:$J$2500,'Commodity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433.32499999999999</v>
      </c>
      <c r="K20" s="228">
        <f>(SUMIFS('Commodity Prices'!$I$9:$I$2500,'Commodity Prices'!$A$9:$A$2500,'Gold - Prices'!E20,'Commodity Prices'!$B$9:$B$2500,3)+
SUMIFS('Commodity Prices'!$I$9:$I$2500,'Commodity Prices'!$A$9:$A$2500,'Gold - Prices'!E20,'Commodity Prices'!$B$9:$B$2500,4)+
SUMIFS('Commodity Prices'!$I$9:$I$2500,'Commodity Prices'!$A$9:$A$2500,'Gold - Prices'!F20,'Commodity Prices'!$B$9:$B$2500,1)+
SUMIFS('Commodity Prices'!$I$9:$I$2500,'Commodity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392.04583333333329</v>
      </c>
    </row>
    <row r="21" spans="1:11">
      <c r="A21" s="423">
        <f>LARGE('Commodity Prices'!C$159:C$902,48)</f>
        <v>43831</v>
      </c>
      <c r="B21" s="537">
        <f>SUMIF('Commodity Prices'!C$159:C$902,A21,'Commodity Prices'!I$159:I$902)</f>
        <v>1560.673</v>
      </c>
      <c r="C21" s="538">
        <f>SUMIF('Commodity Prices'!C$159:C$902,A21,'Commodity Prices'!J$159:J$902)</f>
        <v>2268.7600000000002</v>
      </c>
      <c r="D21" s="8"/>
      <c r="E21" s="70">
        <f t="shared" si="0"/>
        <v>1984</v>
      </c>
      <c r="F21" s="70">
        <f t="shared" si="0"/>
        <v>1985</v>
      </c>
      <c r="G21" s="757">
        <f t="shared" si="1"/>
        <v>1984</v>
      </c>
      <c r="H21" s="537">
        <f t="array" ref="H21">IF($G$6="Historic Calendar Year",IFERROR(AVERAGE(IF($G21=YEAR('Commodity Prices'!$C$9:$C$1000),'Commodity Prices'!$I$9:$I$1000)),"NA"),IFERROR(IF(K21=0,"NA",K21),"NA"))</f>
        <v>360.68333333333334</v>
      </c>
      <c r="I21" s="538">
        <f t="array" ref="I21">IF($G$6="Historic Calendar Year",IFERROR(AVERAGE(IF($G21=YEAR('Commodity Prices'!$C$9:$C$1000),'Commodity Prices'!$J$9:$J$1000)),"NA"),IFERROR(IF(J21=0,"NA",J21),"NA"))</f>
        <v>410.15416666666664</v>
      </c>
      <c r="J21" s="228">
        <f>(SUMIFS('Commodity Prices'!$J$9:$J$2500,'Commodity Prices'!$A$9:$A$2500,'Gold - Prices'!E21,'Commodity Prices'!$B$9:$B$2500,3)+
SUMIFS('Commodity Prices'!$J$9:$J$2500,'Commodity Prices'!$A$9:$A$2500,'Gold - Prices'!E21,'Commodity Prices'!$B$9:$B$2500,4)+
SUMIFS('Commodity Prices'!$J$9:$J$2500,'Commodity Prices'!$A$9:$A$2500,'Gold - Prices'!F21,'Commodity Prices'!$B$9:$B$2500,1)+
SUMIFS('Commodity Prices'!$J$9:$J$2500,'Commodity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421.97916666666669</v>
      </c>
      <c r="K21" s="228">
        <f>(SUMIFS('Commodity Prices'!$I$9:$I$2500,'Commodity Prices'!$A$9:$A$2500,'Gold - Prices'!E21,'Commodity Prices'!$B$9:$B$2500,3)+
SUMIFS('Commodity Prices'!$I$9:$I$2500,'Commodity Prices'!$A$9:$A$2500,'Gold - Prices'!E21,'Commodity Prices'!$B$9:$B$2500,4)+
SUMIFS('Commodity Prices'!$I$9:$I$2500,'Commodity Prices'!$A$9:$A$2500,'Gold - Prices'!F21,'Commodity Prices'!$B$9:$B$2500,1)+
SUMIFS('Commodity Prices'!$I$9:$I$2500,'Commodity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325.22499999999997</v>
      </c>
    </row>
    <row r="22" spans="1:11">
      <c r="A22" s="423">
        <f>LARGE('Commodity Prices'!C$159:C$902,47)</f>
        <v>43862</v>
      </c>
      <c r="B22" s="484">
        <f>SUMIF('Commodity Prices'!C$159:C$902,A22,'Commodity Prices'!I$159:I$902)</f>
        <v>1597.1030000000001</v>
      </c>
      <c r="C22" s="483">
        <f>SUMIF('Commodity Prices'!C$159:C$902,A22,'Commodity Prices'!J$159:J$902)</f>
        <v>2397.5300000000002</v>
      </c>
      <c r="D22" s="8"/>
      <c r="E22" s="70">
        <f t="shared" si="0"/>
        <v>1985</v>
      </c>
      <c r="F22" s="70">
        <f t="shared" si="0"/>
        <v>1986</v>
      </c>
      <c r="G22" s="758">
        <f t="shared" si="1"/>
        <v>1985</v>
      </c>
      <c r="H22" s="484">
        <f t="array" ref="H22">IF($G$6="Historic Calendar Year",IFERROR(AVERAGE(IF($G22=YEAR('Commodity Prices'!$C$9:$C$1000),'Commodity Prices'!$I$9:$I$1000)),"NA"),IFERROR(IF(K22=0,"NA",K22),"NA"))</f>
        <v>317.22499999999997</v>
      </c>
      <c r="I22" s="483">
        <f t="array" ref="I22">IF($G$6="Historic Calendar Year",IFERROR(AVERAGE(IF($G22=YEAR('Commodity Prices'!$C$9:$C$1000),'Commodity Prices'!$J$9:$J$1000)),"NA"),IFERROR(IF(J22=0,"NA",J22),"NA"))</f>
        <v>453.74583333333339</v>
      </c>
      <c r="J22" s="228">
        <f>(SUMIFS('Commodity Prices'!$J$9:$J$2500,'Commodity Prices'!$A$9:$A$2500,'Gold - Prices'!E22,'Commodity Prices'!$B$9:$B$2500,3)+
SUMIFS('Commodity Prices'!$J$9:$J$2500,'Commodity Prices'!$A$9:$A$2500,'Gold - Prices'!E22,'Commodity Prices'!$B$9:$B$2500,4)+
SUMIFS('Commodity Prices'!$J$9:$J$2500,'Commodity Prices'!$A$9:$A$2500,'Gold - Prices'!F22,'Commodity Prices'!$B$9:$B$2500,1)+
SUMIFS('Commodity Prices'!$J$9:$J$2500,'Commodity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476.53749999999997</v>
      </c>
      <c r="K22" s="228">
        <f>(SUMIFS('Commodity Prices'!$I$9:$I$2500,'Commodity Prices'!$A$9:$A$2500,'Gold - Prices'!E22,'Commodity Prices'!$B$9:$B$2500,3)+
SUMIFS('Commodity Prices'!$I$9:$I$2500,'Commodity Prices'!$A$9:$A$2500,'Gold - Prices'!E22,'Commodity Prices'!$B$9:$B$2500,4)+
SUMIFS('Commodity Prices'!$I$9:$I$2500,'Commodity Prices'!$A$9:$A$2500,'Gold - Prices'!F22,'Commodity Prices'!$B$9:$B$2500,1)+
SUMIFS('Commodity Prices'!$I$9:$I$2500,'Commodity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333.13333333333338</v>
      </c>
    </row>
    <row r="23" spans="1:11">
      <c r="A23" s="423">
        <f>LARGE('Commodity Prices'!C$159:C$902,46)</f>
        <v>43891</v>
      </c>
      <c r="B23" s="537">
        <f>SUMIF('Commodity Prices'!C$159:C$902,A23,'Commodity Prices'!I$159:I$902)</f>
        <v>1591.9269999999999</v>
      </c>
      <c r="C23" s="538">
        <f>SUMIF('Commodity Prices'!C$159:C$902,A23,'Commodity Prices'!J$159:J$902)</f>
        <v>2565.17</v>
      </c>
      <c r="D23" s="8"/>
      <c r="E23" s="70">
        <f t="shared" si="0"/>
        <v>1986</v>
      </c>
      <c r="F23" s="70">
        <f t="shared" si="0"/>
        <v>1987</v>
      </c>
      <c r="G23" s="757">
        <f t="shared" si="1"/>
        <v>1986</v>
      </c>
      <c r="H23" s="537">
        <f t="array" ref="H23">IF($G$6="Historic Calendar Year",IFERROR(AVERAGE(IF($G23=YEAR('Commodity Prices'!$C$9:$C$1000),'Commodity Prices'!$I$9:$I$1000)),"NA"),IFERROR(IF(K23=0,"NA",K23),"NA"))</f>
        <v>367.38749999999999</v>
      </c>
      <c r="I23" s="538">
        <f t="array" ref="I23">IF($G$6="Historic Calendar Year",IFERROR(AVERAGE(IF($G23=YEAR('Commodity Prices'!$C$9:$C$1000),'Commodity Prices'!$J$9:$J$1000)),"NA"),IFERROR(IF(J23=0,"NA",J23),"NA"))</f>
        <v>553.46249999999998</v>
      </c>
      <c r="J23" s="228">
        <f>(SUMIFS('Commodity Prices'!$J$9:$J$2500,'Commodity Prices'!$A$9:$A$2500,'Gold - Prices'!E23,'Commodity Prices'!$B$9:$B$2500,3)+
SUMIFS('Commodity Prices'!$J$9:$J$2500,'Commodity Prices'!$A$9:$A$2500,'Gold - Prices'!E23,'Commodity Prices'!$B$9:$B$2500,4)+
SUMIFS('Commodity Prices'!$J$9:$J$2500,'Commodity Prices'!$A$9:$A$2500,'Gold - Prices'!F23,'Commodity Prices'!$B$9:$B$2500,1)+
SUMIFS('Commodity Prices'!$J$9:$J$2500,'Commodity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620.36916666666673</v>
      </c>
      <c r="K23" s="228">
        <f>(SUMIFS('Commodity Prices'!$I$9:$I$2500,'Commodity Prices'!$A$9:$A$2500,'Gold - Prices'!E23,'Commodity Prices'!$B$9:$B$2500,3)+
SUMIFS('Commodity Prices'!$I$9:$I$2500,'Commodity Prices'!$A$9:$A$2500,'Gold - Prices'!E23,'Commodity Prices'!$B$9:$B$2500,4)+
SUMIFS('Commodity Prices'!$I$9:$I$2500,'Commodity Prices'!$A$9:$A$2500,'Gold - Prices'!F23,'Commodity Prices'!$B$9:$B$2500,1)+
SUMIFS('Commodity Prices'!$I$9:$I$2500,'Commodity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410.02749999999997</v>
      </c>
    </row>
    <row r="24" spans="1:11">
      <c r="A24" s="423">
        <f>LARGE('Commodity Prices'!C$159:C$902,45)</f>
        <v>43922</v>
      </c>
      <c r="B24" s="484">
        <f>SUMIF('Commodity Prices'!C$159:C$902,A24,'Commodity Prices'!I$159:I$902)</f>
        <v>1682.93</v>
      </c>
      <c r="C24" s="483">
        <f>SUMIF('Commodity Prices'!C$159:C$902,A24,'Commodity Prices'!J$159:J$902)</f>
        <v>2679.81</v>
      </c>
      <c r="D24" s="8"/>
      <c r="E24" s="70">
        <f t="shared" si="0"/>
        <v>1987</v>
      </c>
      <c r="F24" s="70">
        <f t="shared" si="0"/>
        <v>1988</v>
      </c>
      <c r="G24" s="758">
        <f t="shared" si="1"/>
        <v>1987</v>
      </c>
      <c r="H24" s="484">
        <f t="array" ref="H24">IF($G$6="Historic Calendar Year",IFERROR(AVERAGE(IF($G24=YEAR('Commodity Prices'!$C$9:$C$1000),'Commodity Prices'!$I$9:$I$1000)),"NA"),IFERROR(IF(K24=0,"NA",K24),"NA"))</f>
        <v>446.80166666666668</v>
      </c>
      <c r="I24" s="483">
        <f t="array" ref="I24">IF($G$6="Historic Calendar Year",IFERROR(AVERAGE(IF($G24=YEAR('Commodity Prices'!$C$9:$C$1000),'Commodity Prices'!$J$9:$J$1000)),"NA"),IFERROR(IF(J24=0,"NA",J24),"NA"))</f>
        <v>639.26249999999993</v>
      </c>
      <c r="J24" s="228">
        <f>(SUMIFS('Commodity Prices'!$J$9:$J$2500,'Commodity Prices'!$A$9:$A$2500,'Gold - Prices'!E24,'Commodity Prices'!$B$9:$B$2500,3)+
SUMIFS('Commodity Prices'!$J$9:$J$2500,'Commodity Prices'!$A$9:$A$2500,'Gold - Prices'!E24,'Commodity Prices'!$B$9:$B$2500,4)+
SUMIFS('Commodity Prices'!$J$9:$J$2500,'Commodity Prices'!$A$9:$A$2500,'Gold - Prices'!F24,'Commodity Prices'!$B$9:$B$2500,1)+
SUMIFS('Commodity Prices'!$J$9:$J$2500,'Commodity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634.09833333333336</v>
      </c>
      <c r="K24" s="228">
        <f>(SUMIFS('Commodity Prices'!$I$9:$I$2500,'Commodity Prices'!$A$9:$A$2500,'Gold - Prices'!E24,'Commodity Prices'!$B$9:$B$2500,3)+
SUMIFS('Commodity Prices'!$I$9:$I$2500,'Commodity Prices'!$A$9:$A$2500,'Gold - Prices'!E24,'Commodity Prices'!$B$9:$B$2500,4)+
SUMIFS('Commodity Prices'!$I$9:$I$2500,'Commodity Prices'!$A$9:$A$2500,'Gold - Prices'!F24,'Commodity Prices'!$B$9:$B$2500,1)+
SUMIFS('Commodity Prices'!$I$9:$I$2500,'Commodity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459.5141666666666</v>
      </c>
    </row>
    <row r="25" spans="1:11">
      <c r="A25" s="423">
        <f>LARGE('Commodity Prices'!C$159:C$902,44)</f>
        <v>43952</v>
      </c>
      <c r="B25" s="537">
        <f>SUMIF('Commodity Prices'!C$159:C$902,A25,'Commodity Prices'!I$159:I$902)</f>
        <v>1716.3820000000001</v>
      </c>
      <c r="C25" s="538">
        <f>SUMIF('Commodity Prices'!C$159:C$902,A25,'Commodity Prices'!J$159:J$902)</f>
        <v>2646.51</v>
      </c>
      <c r="D25" s="8"/>
      <c r="E25" s="70">
        <f t="shared" si="0"/>
        <v>1988</v>
      </c>
      <c r="F25" s="70">
        <f t="shared" si="0"/>
        <v>1989</v>
      </c>
      <c r="G25" s="757">
        <f t="shared" si="1"/>
        <v>1988</v>
      </c>
      <c r="H25" s="537">
        <f t="array" ref="H25">IF($G$6="Historic Calendar Year",IFERROR(AVERAGE(IF($G25=YEAR('Commodity Prices'!$C$9:$C$1000),'Commodity Prices'!$I$9:$I$1000)),"NA"),IFERROR(IF(K25=0,"NA",K25),"NA"))</f>
        <v>437.51499999999993</v>
      </c>
      <c r="I25" s="538">
        <f t="array" ref="I25">IF($G$6="Historic Calendar Year",IFERROR(AVERAGE(IF($G25=YEAR('Commodity Prices'!$C$9:$C$1000),'Commodity Prices'!$J$9:$J$1000)),"NA"),IFERROR(IF(J25=0,"NA",J25),"NA"))</f>
        <v>562.99249999999995</v>
      </c>
      <c r="J25" s="228">
        <f>(SUMIFS('Commodity Prices'!$J$9:$J$2500,'Commodity Prices'!$A$9:$A$2500,'Gold - Prices'!E25,'Commodity Prices'!$B$9:$B$2500,3)+
SUMIFS('Commodity Prices'!$J$9:$J$2500,'Commodity Prices'!$A$9:$A$2500,'Gold - Prices'!E25,'Commodity Prices'!$B$9:$B$2500,4)+
SUMIFS('Commodity Prices'!$J$9:$J$2500,'Commodity Prices'!$A$9:$A$2500,'Gold - Prices'!F25,'Commodity Prices'!$B$9:$B$2500,1)+
SUMIFS('Commodity Prices'!$J$9:$J$2500,'Commodity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496.0558333333334</v>
      </c>
      <c r="K25" s="228">
        <f>(SUMIFS('Commodity Prices'!$I$9:$I$2500,'Commodity Prices'!$A$9:$A$2500,'Gold - Prices'!E25,'Commodity Prices'!$B$9:$B$2500,3)+
SUMIFS('Commodity Prices'!$I$9:$I$2500,'Commodity Prices'!$A$9:$A$2500,'Gold - Prices'!E25,'Commodity Prices'!$B$9:$B$2500,4)+
SUMIFS('Commodity Prices'!$I$9:$I$2500,'Commodity Prices'!$A$9:$A$2500,'Gold - Prices'!F25,'Commodity Prices'!$B$9:$B$2500,1)+
SUMIFS('Commodity Prices'!$I$9:$I$2500,'Commodity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403.16249999999997</v>
      </c>
    </row>
    <row r="26" spans="1:11">
      <c r="A26" s="423">
        <f>LARGE('Commodity Prices'!C$159:C$902,43)</f>
        <v>43983</v>
      </c>
      <c r="B26" s="484">
        <f>SUMIF('Commodity Prices'!C$159:C$902,A26,'Commodity Prices'!I$159:I$902)</f>
        <v>1732.2180000000001</v>
      </c>
      <c r="C26" s="483">
        <f>SUMIF('Commodity Prices'!C$159:C$902,A26,'Commodity Prices'!J$159:J$902)</f>
        <v>2520.19</v>
      </c>
      <c r="D26" s="8"/>
      <c r="E26" s="70">
        <f t="shared" si="0"/>
        <v>1989</v>
      </c>
      <c r="F26" s="70">
        <f t="shared" si="0"/>
        <v>1990</v>
      </c>
      <c r="G26" s="758">
        <f t="shared" si="1"/>
        <v>1989</v>
      </c>
      <c r="H26" s="484">
        <f t="array" ref="H26">IF($G$6="Historic Calendar Year",IFERROR(AVERAGE(IF($G26=YEAR('Commodity Prices'!$C$9:$C$1000),'Commodity Prices'!$I$9:$I$1000)),"NA"),IFERROR(IF(K26=0,"NA",K26),"NA"))</f>
        <v>381.83166666666665</v>
      </c>
      <c r="I26" s="483">
        <f t="array" ref="I26">IF($G$6="Historic Calendar Year",IFERROR(AVERAGE(IF($G26=YEAR('Commodity Prices'!$C$9:$C$1000),'Commodity Prices'!$J$9:$J$1000)),"NA"),IFERROR(IF(J26=0,"NA",J26),"NA"))</f>
        <v>483.81833333333338</v>
      </c>
      <c r="J26" s="228">
        <f>(SUMIFS('Commodity Prices'!$J$9:$J$2500,'Commodity Prices'!$A$9:$A$2500,'Gold - Prices'!E26,'Commodity Prices'!$B$9:$B$2500,3)+
SUMIFS('Commodity Prices'!$J$9:$J$2500,'Commodity Prices'!$A$9:$A$2500,'Gold - Prices'!E26,'Commodity Prices'!$B$9:$B$2500,4)+
SUMIFS('Commodity Prices'!$J$9:$J$2500,'Commodity Prices'!$A$9:$A$2500,'Gold - Prices'!F26,'Commodity Prices'!$B$9:$B$2500,1)+
SUMIFS('Commodity Prices'!$J$9:$J$2500,'Commodity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498.92416666666668</v>
      </c>
      <c r="K26" s="228">
        <f>(SUMIFS('Commodity Prices'!$I$9:$I$2500,'Commodity Prices'!$A$9:$A$2500,'Gold - Prices'!E26,'Commodity Prices'!$B$9:$B$2500,3)+
SUMIFS('Commodity Prices'!$I$9:$I$2500,'Commodity Prices'!$A$9:$A$2500,'Gold - Prices'!E26,'Commodity Prices'!$B$9:$B$2500,4)+
SUMIFS('Commodity Prices'!$I$9:$I$2500,'Commodity Prices'!$A$9:$A$2500,'Gold - Prices'!F26,'Commodity Prices'!$B$9:$B$2500,1)+
SUMIFS('Commodity Prices'!$I$9:$I$2500,'Commodity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382.71249999999992</v>
      </c>
    </row>
    <row r="27" spans="1:11">
      <c r="A27" s="423">
        <f>LARGE('Commodity Prices'!C$159:C$902,42)</f>
        <v>44013</v>
      </c>
      <c r="B27" s="537">
        <f>SUMIF('Commodity Prices'!C$159:C$902,A27,'Commodity Prices'!I$159:I$902)</f>
        <v>1843.3130000000001</v>
      </c>
      <c r="C27" s="538">
        <f>SUMIF('Commodity Prices'!C$159:C$902,A27,'Commodity Prices'!J$159:J$902)</f>
        <v>2616.4699999999998</v>
      </c>
      <c r="D27" s="8"/>
      <c r="E27" s="70">
        <f t="shared" si="0"/>
        <v>1990</v>
      </c>
      <c r="F27" s="70">
        <f t="shared" si="0"/>
        <v>1991</v>
      </c>
      <c r="G27" s="757">
        <f t="shared" si="1"/>
        <v>1990</v>
      </c>
      <c r="H27" s="537">
        <f t="array" ref="H27">IF($G$6="Historic Calendar Year",IFERROR(AVERAGE(IF($G27=YEAR('Commodity Prices'!$C$9:$C$1000),'Commodity Prices'!$I$9:$I$1000)),"NA"),IFERROR(IF(K27=0,"NA",K27),"NA"))</f>
        <v>383.67083333333329</v>
      </c>
      <c r="I27" s="538">
        <f t="array" ref="I27">IF($G$6="Historic Calendar Year",IFERROR(AVERAGE(IF($G27=YEAR('Commodity Prices'!$C$9:$C$1000),'Commodity Prices'!$J$9:$J$1000)),"NA"),IFERROR(IF(J27=0,"NA",J27),"NA"))</f>
        <v>493.27333333333331</v>
      </c>
      <c r="J27" s="228">
        <f>(SUMIFS('Commodity Prices'!$J$9:$J$2500,'Commodity Prices'!$A$9:$A$2500,'Gold - Prices'!E27,'Commodity Prices'!$B$9:$B$2500,3)+
SUMIFS('Commodity Prices'!$J$9:$J$2500,'Commodity Prices'!$A$9:$A$2500,'Gold - Prices'!E27,'Commodity Prices'!$B$9:$B$2500,4)+
SUMIFS('Commodity Prices'!$J$9:$J$2500,'Commodity Prices'!$A$9:$A$2500,'Gold - Prices'!F27,'Commodity Prices'!$B$9:$B$2500,1)+
SUMIFS('Commodity Prices'!$J$9:$J$2500,'Commodity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477.64499999999998</v>
      </c>
      <c r="K27" s="228">
        <f>(SUMIFS('Commodity Prices'!$I$9:$I$2500,'Commodity Prices'!$A$9:$A$2500,'Gold - Prices'!E27,'Commodity Prices'!$B$9:$B$2500,3)+
SUMIFS('Commodity Prices'!$I$9:$I$2500,'Commodity Prices'!$A$9:$A$2500,'Gold - Prices'!E27,'Commodity Prices'!$B$9:$B$2500,4)+
SUMIFS('Commodity Prices'!$I$9:$I$2500,'Commodity Prices'!$A$9:$A$2500,'Gold - Prices'!F27,'Commodity Prices'!$B$9:$B$2500,1)+
SUMIFS('Commodity Prices'!$I$9:$I$2500,'Commodity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373.57916666666665</v>
      </c>
    </row>
    <row r="28" spans="1:11">
      <c r="A28" s="423">
        <f>LARGE('Commodity Prices'!C$159:C$902,41)</f>
        <v>44044</v>
      </c>
      <c r="B28" s="484">
        <f>SUMIF('Commodity Prices'!C$159:C$902,A28,'Commodity Prices'!I$159:I$902)</f>
        <v>1968.5650000000001</v>
      </c>
      <c r="C28" s="483">
        <f>SUMIF('Commodity Prices'!C$159:C$902,A28,'Commodity Prices'!J$159:J$902)</f>
        <v>2706.23</v>
      </c>
      <c r="D28" s="8"/>
      <c r="E28" s="70">
        <f t="shared" si="0"/>
        <v>1991</v>
      </c>
      <c r="F28" s="70">
        <f t="shared" si="0"/>
        <v>1992</v>
      </c>
      <c r="G28" s="758">
        <f t="shared" si="1"/>
        <v>1991</v>
      </c>
      <c r="H28" s="484">
        <f t="array" ref="H28">IF($G$6="Historic Calendar Year",IFERROR(AVERAGE(IF($G28=YEAR('Commodity Prices'!$C$9:$C$1000),'Commodity Prices'!$I$9:$I$1000)),"NA"),IFERROR(IF(K28=0,"NA",K28),"NA"))</f>
        <v>362.57666666666665</v>
      </c>
      <c r="I28" s="483">
        <f t="array" ref="I28">IF($G$6="Historic Calendar Year",IFERROR(AVERAGE(IF($G28=YEAR('Commodity Prices'!$C$9:$C$1000),'Commodity Prices'!$J$9:$J$1000)),"NA"),IFERROR(IF(J28=0,"NA",J28),"NA"))</f>
        <v>467.42333333333335</v>
      </c>
      <c r="J28" s="228">
        <f>(SUMIFS('Commodity Prices'!$J$9:$J$2500,'Commodity Prices'!$A$9:$A$2500,'Gold - Prices'!E28,'Commodity Prices'!$B$9:$B$2500,3)+
SUMIFS('Commodity Prices'!$J$9:$J$2500,'Commodity Prices'!$A$9:$A$2500,'Gold - Prices'!E28,'Commodity Prices'!$B$9:$B$2500,4)+
SUMIFS('Commodity Prices'!$J$9:$J$2500,'Commodity Prices'!$A$9:$A$2500,'Gold - Prices'!F28,'Commodity Prices'!$B$9:$B$2500,1)+
SUMIFS('Commodity Prices'!$J$9:$J$2500,'Commodity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459.53249999999997</v>
      </c>
      <c r="K28" s="228">
        <f>(SUMIFS('Commodity Prices'!$I$9:$I$2500,'Commodity Prices'!$A$9:$A$2500,'Gold - Prices'!E28,'Commodity Prices'!$B$9:$B$2500,3)+
SUMIFS('Commodity Prices'!$I$9:$I$2500,'Commodity Prices'!$A$9:$A$2500,'Gold - Prices'!E28,'Commodity Prices'!$B$9:$B$2500,4)+
SUMIFS('Commodity Prices'!$I$9:$I$2500,'Commodity Prices'!$A$9:$A$2500,'Gold - Prices'!F28,'Commodity Prices'!$B$9:$B$2500,1)+
SUMIFS('Commodity Prices'!$I$9:$I$2500,'Commodity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352.09416666666669</v>
      </c>
    </row>
    <row r="29" spans="1:11">
      <c r="A29" s="423">
        <f>LARGE('Commodity Prices'!C$159:C$902,40)</f>
        <v>44075</v>
      </c>
      <c r="B29" s="537">
        <f>SUMIF('Commodity Prices'!C$159:C$902,A29,'Commodity Prices'!I$159:I$902)</f>
        <v>1922.2139999999999</v>
      </c>
      <c r="C29" s="538">
        <f>SUMIF('Commodity Prices'!C$159:C$902,A29,'Commodity Prices'!J$159:J$902)</f>
        <v>2668.63</v>
      </c>
      <c r="D29" s="8"/>
      <c r="E29" s="70">
        <f t="shared" si="0"/>
        <v>1992</v>
      </c>
      <c r="F29" s="70">
        <f t="shared" si="0"/>
        <v>1993</v>
      </c>
      <c r="G29" s="757">
        <f t="shared" si="1"/>
        <v>1992</v>
      </c>
      <c r="H29" s="537">
        <f t="array" ref="H29">IF($G$6="Historic Calendar Year",IFERROR(AVERAGE(IF($G29=YEAR('Commodity Prices'!$C$9:$C$1000),'Commodity Prices'!$I$9:$I$1000)),"NA"),IFERROR(IF(K29=0,"NA",K29),"NA"))</f>
        <v>343.83916666666664</v>
      </c>
      <c r="I29" s="538">
        <f t="array" ref="I29">IF($G$6="Historic Calendar Year",IFERROR(AVERAGE(IF($G29=YEAR('Commodity Prices'!$C$9:$C$1000),'Commodity Prices'!$J$9:$J$1000)),"NA"),IFERROR(IF(J29=0,"NA",J29),"NA"))</f>
        <v>469.76500000000004</v>
      </c>
      <c r="J29" s="228">
        <f>(SUMIFS('Commodity Prices'!$J$9:$J$2500,'Commodity Prices'!$A$9:$A$2500,'Gold - Prices'!E29,'Commodity Prices'!$B$9:$B$2500,3)+
SUMIFS('Commodity Prices'!$J$9:$J$2500,'Commodity Prices'!$A$9:$A$2500,'Gold - Prices'!E29,'Commodity Prices'!$B$9:$B$2500,4)+
SUMIFS('Commodity Prices'!$J$9:$J$2500,'Commodity Prices'!$A$9:$A$2500,'Gold - Prices'!F29,'Commodity Prices'!$B$9:$B$2500,1)+
SUMIFS('Commodity Prices'!$J$9:$J$2500,'Commodity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490.3125</v>
      </c>
      <c r="K29" s="228">
        <f>(SUMIFS('Commodity Prices'!$I$9:$I$2500,'Commodity Prices'!$A$9:$A$2500,'Gold - Prices'!E29,'Commodity Prices'!$B$9:$B$2500,3)+
SUMIFS('Commodity Prices'!$I$9:$I$2500,'Commodity Prices'!$A$9:$A$2500,'Gold - Prices'!E29,'Commodity Prices'!$B$9:$B$2500,4)+
SUMIFS('Commodity Prices'!$I$9:$I$2500,'Commodity Prices'!$A$9:$A$2500,'Gold - Prices'!F29,'Commodity Prices'!$B$9:$B$2500,1)+
SUMIFS('Commodity Prices'!$I$9:$I$2500,'Commodity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343.69583333333338</v>
      </c>
    </row>
    <row r="30" spans="1:11">
      <c r="A30" s="423">
        <f>LARGE('Commodity Prices'!C$159:C$902,39)</f>
        <v>44105</v>
      </c>
      <c r="B30" s="484">
        <f>SUMIF('Commodity Prices'!C$159:C$902,A30,'Commodity Prices'!I$159:I$902)</f>
        <v>1900.2750000000001</v>
      </c>
      <c r="C30" s="483">
        <f>SUMIF('Commodity Prices'!C$159:C$902,A30,'Commodity Prices'!J$159:J$902)</f>
        <v>2673.54</v>
      </c>
      <c r="D30" s="8"/>
      <c r="E30" s="70">
        <f t="shared" si="0"/>
        <v>1993</v>
      </c>
      <c r="F30" s="70">
        <f t="shared" si="0"/>
        <v>1994</v>
      </c>
      <c r="G30" s="758">
        <f t="shared" si="1"/>
        <v>1993</v>
      </c>
      <c r="H30" s="484">
        <f t="array" ref="H30">IF($G$6="Historic Calendar Year",IFERROR(AVERAGE(IF($G30=YEAR('Commodity Prices'!$C$9:$C$1000),'Commodity Prices'!$I$9:$I$1000)),"NA"),IFERROR(IF(K30=0,"NA",K30),"NA"))</f>
        <v>359.80916666666661</v>
      </c>
      <c r="I30" s="483">
        <f t="array" ref="I30">IF($G$6="Historic Calendar Year",IFERROR(AVERAGE(IF($G30=YEAR('Commodity Prices'!$C$9:$C$1000),'Commodity Prices'!$J$9:$J$1000)),"NA"),IFERROR(IF(J30=0,"NA",J30),"NA"))</f>
        <v>530.61</v>
      </c>
      <c r="J30" s="228">
        <f>(SUMIFS('Commodity Prices'!$J$9:$J$2500,'Commodity Prices'!$A$9:$A$2500,'Gold - Prices'!E30,'Commodity Prices'!$B$9:$B$2500,3)+
SUMIFS('Commodity Prices'!$J$9:$J$2500,'Commodity Prices'!$A$9:$A$2500,'Gold - Prices'!E30,'Commodity Prices'!$B$9:$B$2500,4)+
SUMIFS('Commodity Prices'!$J$9:$J$2500,'Commodity Prices'!$A$9:$A$2500,'Gold - Prices'!F30,'Commodity Prices'!$B$9:$B$2500,1)+
SUMIFS('Commodity Prices'!$J$9:$J$2500,'Commodity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548.21622500192268</v>
      </c>
      <c r="K30" s="228">
        <f>(SUMIFS('Commodity Prices'!$I$9:$I$2500,'Commodity Prices'!$A$9:$A$2500,'Gold - Prices'!E30,'Commodity Prices'!$B$9:$B$2500,3)+
SUMIFS('Commodity Prices'!$I$9:$I$2500,'Commodity Prices'!$A$9:$A$2500,'Gold - Prices'!E30,'Commodity Prices'!$B$9:$B$2500,4)+
SUMIFS('Commodity Prices'!$I$9:$I$2500,'Commodity Prices'!$A$9:$A$2500,'Gold - Prices'!F30,'Commodity Prices'!$B$9:$B$2500,1)+
SUMIFS('Commodity Prices'!$I$9:$I$2500,'Commodity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378.87333333333328</v>
      </c>
    </row>
    <row r="31" spans="1:11">
      <c r="A31" s="423">
        <f>LARGE('Commodity Prices'!C$159:C$902,38)</f>
        <v>44136</v>
      </c>
      <c r="B31" s="537">
        <f>SUMIF('Commodity Prices'!C$159:C$902,A31,'Commodity Prices'!I$159:I$902)</f>
        <v>1863.4929999999999</v>
      </c>
      <c r="C31" s="538">
        <f>SUMIF('Commodity Prices'!C$159:C$902,A31,'Commodity Prices'!J$159:J$902)</f>
        <v>2586.6999999999998</v>
      </c>
      <c r="D31" s="8"/>
      <c r="E31" s="70">
        <f t="shared" si="0"/>
        <v>1994</v>
      </c>
      <c r="F31" s="70">
        <f t="shared" si="0"/>
        <v>1995</v>
      </c>
      <c r="G31" s="757">
        <f t="shared" si="1"/>
        <v>1994</v>
      </c>
      <c r="H31" s="537">
        <f t="array" ref="H31">IF($G$6="Historic Calendar Year",IFERROR(AVERAGE(IF($G31=YEAR('Commodity Prices'!$C$9:$C$1000),'Commodity Prices'!$I$9:$I$1000)),"NA"),IFERROR(IF(K31=0,"NA",K31),"NA"))</f>
        <v>384.08416666666659</v>
      </c>
      <c r="I31" s="538">
        <f t="array" ref="I31">IF($G$6="Historic Calendar Year",IFERROR(AVERAGE(IF($G31=YEAR('Commodity Prices'!$C$9:$C$1000),'Commodity Prices'!$J$9:$J$1000)),"NA"),IFERROR(IF(J31=0,"NA",J31),"NA"))</f>
        <v>499.25210832669535</v>
      </c>
      <c r="J31" s="228">
        <f>(SUMIFS('Commodity Prices'!$J$9:$J$2500,'Commodity Prices'!$A$9:$A$2500,'Gold - Prices'!E31,'Commodity Prices'!$B$9:$B$2500,3)+
SUMIFS('Commodity Prices'!$J$9:$J$2500,'Commodity Prices'!$A$9:$A$2500,'Gold - Prices'!E31,'Commodity Prices'!$B$9:$B$2500,4)+
SUMIFS('Commodity Prices'!$J$9:$J$2500,'Commodity Prices'!$A$9:$A$2500,'Gold - Prices'!F31,'Commodity Prices'!$B$9:$B$2500,1)+
SUMIFS('Commodity Prices'!$J$9:$J$2500,'Commodity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491.83997562292598</v>
      </c>
      <c r="K31" s="228">
        <f>(SUMIFS('Commodity Prices'!$I$9:$I$2500,'Commodity Prices'!$A$9:$A$2500,'Gold - Prices'!E31,'Commodity Prices'!$B$9:$B$2500,3)+
SUMIFS('Commodity Prices'!$I$9:$I$2500,'Commodity Prices'!$A$9:$A$2500,'Gold - Prices'!E31,'Commodity Prices'!$B$9:$B$2500,4)+
SUMIFS('Commodity Prices'!$I$9:$I$2500,'Commodity Prices'!$A$9:$A$2500,'Gold - Prices'!F31,'Commodity Prices'!$B$9:$B$2500,1)+
SUMIFS('Commodity Prices'!$I$9:$I$2500,'Commodity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384.45499999999998</v>
      </c>
    </row>
    <row r="32" spans="1:11">
      <c r="A32" s="423">
        <f>LARGE('Commodity Prices'!C$159:C$902,37)</f>
        <v>44166</v>
      </c>
      <c r="B32" s="484">
        <f>SUMIF('Commodity Prices'!C$159:C$902,A32,'Commodity Prices'!I$159:I$902)</f>
        <v>1855.9549999999999</v>
      </c>
      <c r="C32" s="483">
        <f>SUMIF('Commodity Prices'!C$159:C$902,A32,'Commodity Prices'!J$159:J$902)</f>
        <v>2472.54</v>
      </c>
      <c r="D32" s="8"/>
      <c r="E32" s="70">
        <f t="shared" si="0"/>
        <v>1995</v>
      </c>
      <c r="F32" s="70">
        <f t="shared" si="0"/>
        <v>1996</v>
      </c>
      <c r="G32" s="758">
        <f t="shared" si="1"/>
        <v>1995</v>
      </c>
      <c r="H32" s="484">
        <f t="array" ref="H32">IF($G$6="Historic Calendar Year",IFERROR(AVERAGE(IF($G32=YEAR('Commodity Prices'!$C$9:$C$1000),'Commodity Prices'!$I$9:$I$1000)),"NA"),IFERROR(IF(K32=0,"NA",K32),"NA"))</f>
        <v>384.23499999999996</v>
      </c>
      <c r="I32" s="483">
        <f t="array" ref="I32">IF($G$6="Historic Calendar Year",IFERROR(AVERAGE(IF($G32=YEAR('Commodity Prices'!$C$9:$C$1000),'Commodity Prices'!$J$9:$J$1000)),"NA"),IFERROR(IF(J32=0,"NA",J32),"NA"))</f>
        <v>517.43880151020551</v>
      </c>
      <c r="J32" s="228">
        <f>(SUMIFS('Commodity Prices'!$J$9:$J$2500,'Commodity Prices'!$A$9:$A$2500,'Gold - Prices'!E32,'Commodity Prices'!$B$9:$B$2500,3)+
SUMIFS('Commodity Prices'!$J$9:$J$2500,'Commodity Prices'!$A$9:$A$2500,'Gold - Prices'!E32,'Commodity Prices'!$B$9:$B$2500,4)+
SUMIFS('Commodity Prices'!$J$9:$J$2500,'Commodity Prices'!$A$9:$A$2500,'Gold - Prices'!F32,'Commodity Prices'!$B$9:$B$2500,1)+
SUMIFS('Commodity Prices'!$J$9:$J$2500,'Commodity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512.94220921205215</v>
      </c>
      <c r="K32" s="228">
        <f>(SUMIFS('Commodity Prices'!$I$9:$I$2500,'Commodity Prices'!$A$9:$A$2500,'Gold - Prices'!E32,'Commodity Prices'!$B$9:$B$2500,3)+
SUMIFS('Commodity Prices'!$I$9:$I$2500,'Commodity Prices'!$A$9:$A$2500,'Gold - Prices'!E32,'Commodity Prices'!$B$9:$B$2500,4)+
SUMIFS('Commodity Prices'!$I$9:$I$2500,'Commodity Prices'!$A$9:$A$2500,'Gold - Prices'!F32,'Commodity Prices'!$B$9:$B$2500,1)+
SUMIFS('Commodity Prices'!$I$9:$I$2500,'Commodity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389.88916666666665</v>
      </c>
    </row>
    <row r="33" spans="1:11">
      <c r="A33" s="423">
        <f>LARGE('Commodity Prices'!C$159:C$902,36)</f>
        <v>44197</v>
      </c>
      <c r="B33" s="537">
        <f>SUMIF('Commodity Prices'!C$159:C$902,A33,'Commodity Prices'!I$159:I$902)</f>
        <v>1866.9849999999999</v>
      </c>
      <c r="C33" s="538">
        <f>SUMIF('Commodity Prices'!C$159:C$902,A33,'Commodity Prices'!J$159:J$902)</f>
        <v>2420.9499999999998</v>
      </c>
      <c r="D33" s="8"/>
      <c r="E33" s="70">
        <f t="shared" si="0"/>
        <v>1996</v>
      </c>
      <c r="F33" s="70">
        <f t="shared" si="0"/>
        <v>1997</v>
      </c>
      <c r="G33" s="757">
        <f t="shared" si="1"/>
        <v>1996</v>
      </c>
      <c r="H33" s="537">
        <f t="array" ref="H33">IF($G$6="Historic Calendar Year",IFERROR(AVERAGE(IF($G33=YEAR('Commodity Prices'!$C$9:$C$1000),'Commodity Prices'!$I$9:$I$1000)),"NA"),IFERROR(IF(K33=0,"NA",K33),"NA"))</f>
        <v>387.79999999999995</v>
      </c>
      <c r="I33" s="538">
        <f t="array" ref="I33">IF($G$6="Historic Calendar Year",IFERROR(AVERAGE(IF($G33=YEAR('Commodity Prices'!$C$9:$C$1000),'Commodity Prices'!$J$9:$J$1000)),"NA"),IFERROR(IF(J33=0,"NA",J33),"NA"))</f>
        <v>494.79666666666662</v>
      </c>
      <c r="J33" s="228">
        <f>(SUMIFS('Commodity Prices'!$J$9:$J$2500,'Commodity Prices'!$A$9:$A$2500,'Gold - Prices'!E33,'Commodity Prices'!$B$9:$B$2500,3)+
SUMIFS('Commodity Prices'!$J$9:$J$2500,'Commodity Prices'!$A$9:$A$2500,'Gold - Prices'!E33,'Commodity Prices'!$B$9:$B$2500,4)+
SUMIFS('Commodity Prices'!$J$9:$J$2500,'Commodity Prices'!$A$9:$A$2500,'Gold - Prices'!F33,'Commodity Prices'!$B$9:$B$2500,1)+
SUMIFS('Commodity Prices'!$J$9:$J$2500,'Commodity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464.21000000000004</v>
      </c>
      <c r="K33" s="228">
        <f>(SUMIFS('Commodity Prices'!$I$9:$I$2500,'Commodity Prices'!$A$9:$A$2500,'Gold - Prices'!E33,'Commodity Prices'!$B$9:$B$2500,3)+
SUMIFS('Commodity Prices'!$I$9:$I$2500,'Commodity Prices'!$A$9:$A$2500,'Gold - Prices'!E33,'Commodity Prices'!$B$9:$B$2500,4)+
SUMIFS('Commodity Prices'!$I$9:$I$2500,'Commodity Prices'!$A$9:$A$2500,'Gold - Prices'!F33,'Commodity Prices'!$B$9:$B$2500,1)+
SUMIFS('Commodity Prices'!$I$9:$I$2500,'Commodity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363.89249999999998</v>
      </c>
    </row>
    <row r="34" spans="1:11">
      <c r="A34" s="423">
        <f>LARGE('Commodity Prices'!C$159:C$902,35)</f>
        <v>44228</v>
      </c>
      <c r="B34" s="484">
        <f>SUMIF('Commodity Prices'!C$159:C$902,A34,'Commodity Prices'!I$159:I$902)</f>
        <v>1808.175</v>
      </c>
      <c r="C34" s="483">
        <f>SUMIF('Commodity Prices'!C$159:C$902,A34,'Commodity Prices'!J$159:J$902)</f>
        <v>2340.19</v>
      </c>
      <c r="D34" s="8"/>
      <c r="E34" s="70">
        <f t="shared" si="0"/>
        <v>1997</v>
      </c>
      <c r="F34" s="70">
        <f t="shared" si="0"/>
        <v>1998</v>
      </c>
      <c r="G34" s="758">
        <f t="shared" si="1"/>
        <v>1997</v>
      </c>
      <c r="H34" s="484">
        <f t="array" ref="H34">IF($G$6="Historic Calendar Year",IFERROR(AVERAGE(IF($G34=YEAR('Commodity Prices'!$C$9:$C$1000),'Commodity Prices'!$I$9:$I$1000)),"NA"),IFERROR(IF(K34=0,"NA",K34),"NA"))</f>
        <v>331.16833333333335</v>
      </c>
      <c r="I34" s="483">
        <f t="array" ref="I34">IF($G$6="Historic Calendar Year",IFERROR(AVERAGE(IF($G34=YEAR('Commodity Prices'!$C$9:$C$1000),'Commodity Prices'!$J$9:$J$1000)),"NA"),IFERROR(IF(J34=0,"NA",J34),"NA"))</f>
        <v>447.61416666666668</v>
      </c>
      <c r="J34" s="228">
        <f>(SUMIFS('Commodity Prices'!$J$9:$J$2500,'Commodity Prices'!$A$9:$A$2500,'Gold - Prices'!E34,'Commodity Prices'!$B$9:$B$2500,3)+
SUMIFS('Commodity Prices'!$J$9:$J$2500,'Commodity Prices'!$A$9:$A$2500,'Gold - Prices'!E34,'Commodity Prices'!$B$9:$B$2500,4)+
SUMIFS('Commodity Prices'!$J$9:$J$2500,'Commodity Prices'!$A$9:$A$2500,'Gold - Prices'!F34,'Commodity Prices'!$B$9:$B$2500,1)+
SUMIFS('Commodity Prices'!$J$9:$J$2500,'Commodity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454.21166666666664</v>
      </c>
      <c r="K34" s="228">
        <f>(SUMIFS('Commodity Prices'!$I$9:$I$2500,'Commodity Prices'!$A$9:$A$2500,'Gold - Prices'!E34,'Commodity Prices'!$B$9:$B$2500,3)+
SUMIFS('Commodity Prices'!$I$9:$I$2500,'Commodity Prices'!$A$9:$A$2500,'Gold - Prices'!E34,'Commodity Prices'!$B$9:$B$2500,4)+
SUMIFS('Commodity Prices'!$I$9:$I$2500,'Commodity Prices'!$A$9:$A$2500,'Gold - Prices'!F34,'Commodity Prices'!$B$9:$B$2500,1)+
SUMIFS('Commodity Prices'!$I$9:$I$2500,'Commodity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306.07499999999999</v>
      </c>
    </row>
    <row r="35" spans="1:11">
      <c r="A35" s="423">
        <f>LARGE('Commodity Prices'!C$159:C$902,34)</f>
        <v>44256</v>
      </c>
      <c r="B35" s="537">
        <f>SUMIF('Commodity Prices'!C$159:C$902,A35,'Commodity Prices'!I$159:I$902)</f>
        <v>1718.2280000000001</v>
      </c>
      <c r="C35" s="538">
        <f>SUMIF('Commodity Prices'!C$159:C$902,A35,'Commodity Prices'!J$159:J$902)</f>
        <v>2241.92</v>
      </c>
      <c r="D35" s="8"/>
      <c r="E35" s="70">
        <f t="shared" si="0"/>
        <v>1998</v>
      </c>
      <c r="F35" s="70">
        <f t="shared" si="0"/>
        <v>1999</v>
      </c>
      <c r="G35" s="757">
        <f t="shared" si="1"/>
        <v>1998</v>
      </c>
      <c r="H35" s="537">
        <f t="array" ref="H35">IF($G$6="Historic Calendar Year",IFERROR(AVERAGE(IF($G35=YEAR('Commodity Prices'!$C$9:$C$1000),'Commodity Prices'!$I$9:$I$1000)),"NA"),IFERROR(IF(K35=0,"NA",K35),"NA"))</f>
        <v>294.31824074074069</v>
      </c>
      <c r="I35" s="538">
        <f t="array" ref="I35">IF($G$6="Historic Calendar Year",IFERROR(AVERAGE(IF($G35=YEAR('Commodity Prices'!$C$9:$C$1000),'Commodity Prices'!$J$9:$J$1000)),"NA"),IFERROR(IF(J35=0,"NA",J35),"NA"))</f>
        <v>469.56999999999994</v>
      </c>
      <c r="J35" s="228">
        <f>(SUMIFS('Commodity Prices'!$J$9:$J$2500,'Commodity Prices'!$A$9:$A$2500,'Gold - Prices'!E35,'Commodity Prices'!$B$9:$B$2500,3)+
SUMIFS('Commodity Prices'!$J$9:$J$2500,'Commodity Prices'!$A$9:$A$2500,'Gold - Prices'!E35,'Commodity Prices'!$B$9:$B$2500,4)+
SUMIFS('Commodity Prices'!$J$9:$J$2500,'Commodity Prices'!$A$9:$A$2500,'Gold - Prices'!F35,'Commodity Prices'!$B$9:$B$2500,1)+
SUMIFS('Commodity Prices'!$J$9:$J$2500,'Commodity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456.36583333333328</v>
      </c>
      <c r="K35" s="228">
        <f>(SUMIFS('Commodity Prices'!$I$9:$I$2500,'Commodity Prices'!$A$9:$A$2500,'Gold - Prices'!E35,'Commodity Prices'!$B$9:$B$2500,3)+
SUMIFS('Commodity Prices'!$I$9:$I$2500,'Commodity Prices'!$A$9:$A$2500,'Gold - Prices'!E35,'Commodity Prices'!$B$9:$B$2500,4)+
SUMIFS('Commodity Prices'!$I$9:$I$2500,'Commodity Prices'!$A$9:$A$2500,'Gold - Prices'!F35,'Commodity Prices'!$B$9:$B$2500,1)+
SUMIFS('Commodity Prices'!$I$9:$I$2500,'Commodity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285.87740740740736</v>
      </c>
    </row>
    <row r="36" spans="1:11">
      <c r="A36" s="423">
        <f>LARGE('Commodity Prices'!C$159:C$902,33)</f>
        <v>44287</v>
      </c>
      <c r="B36" s="484">
        <f>SUMIF('Commodity Prices'!C$159:C$902,A36,'Commodity Prices'!I$159:I$902)</f>
        <v>1761.6780000000001</v>
      </c>
      <c r="C36" s="483">
        <f>SUMIF('Commodity Prices'!C$159:C$902,A36,'Commodity Prices'!J$159:J$902)</f>
        <v>2289.79</v>
      </c>
      <c r="D36" s="8"/>
      <c r="E36" s="70">
        <f t="shared" si="0"/>
        <v>1999</v>
      </c>
      <c r="F36" s="70">
        <f t="shared" si="0"/>
        <v>2000</v>
      </c>
      <c r="G36" s="758">
        <f t="shared" si="1"/>
        <v>1999</v>
      </c>
      <c r="H36" s="484">
        <f t="array" ref="H36">IF($G$6="Historic Calendar Year",IFERROR(AVERAGE(IF($G36=YEAR('Commodity Prices'!$C$9:$C$1000),'Commodity Prices'!$I$9:$I$1000)),"NA"),IFERROR(IF(K36=0,"NA",K36),"NA"))</f>
        <v>278.80983333333336</v>
      </c>
      <c r="I36" s="483">
        <f t="array" ref="I36">IF($G$6="Historic Calendar Year",IFERROR(AVERAGE(IF($G36=YEAR('Commodity Prices'!$C$9:$C$1000),'Commodity Prices'!$J$9:$J$1000)),"NA"),IFERROR(IF(J36=0,"NA",J36),"NA"))</f>
        <v>433.45000000000005</v>
      </c>
      <c r="J36" s="228">
        <f>(SUMIFS('Commodity Prices'!$J$9:$J$2500,'Commodity Prices'!$A$9:$A$2500,'Gold - Prices'!E36,'Commodity Prices'!$B$9:$B$2500,3)+
SUMIFS('Commodity Prices'!$J$9:$J$2500,'Commodity Prices'!$A$9:$A$2500,'Gold - Prices'!E36,'Commodity Prices'!$B$9:$B$2500,4)+
SUMIFS('Commodity Prices'!$J$9:$J$2500,'Commodity Prices'!$A$9:$A$2500,'Gold - Prices'!F36,'Commodity Prices'!$B$9:$B$2500,1)+
SUMIFS('Commodity Prices'!$J$9:$J$2500,'Commodity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449.42333333333335</v>
      </c>
      <c r="K36" s="228">
        <f>(SUMIFS('Commodity Prices'!$I$9:$I$2500,'Commodity Prices'!$A$9:$A$2500,'Gold - Prices'!E36,'Commodity Prices'!$B$9:$B$2500,3)+
SUMIFS('Commodity Prices'!$I$9:$I$2500,'Commodity Prices'!$A$9:$A$2500,'Gold - Prices'!E36,'Commodity Prices'!$B$9:$B$2500,4)+
SUMIFS('Commodity Prices'!$I$9:$I$2500,'Commodity Prices'!$A$9:$A$2500,'Gold - Prices'!F36,'Commodity Prices'!$B$9:$B$2500,1)+
SUMIFS('Commodity Prices'!$I$9:$I$2500,'Commodity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281.34741666666667</v>
      </c>
    </row>
    <row r="37" spans="1:11">
      <c r="A37" s="423">
        <f>LARGE('Commodity Prices'!C$159:C$902,32)</f>
        <v>44317</v>
      </c>
      <c r="B37" s="537">
        <f>SUMIF('Commodity Prices'!C$159:C$902,A37,'Commodity Prices'!I$159:I$902)</f>
        <v>1853.2239999999999</v>
      </c>
      <c r="C37" s="538">
        <f>SUMIF('Commodity Prices'!C$159:C$902,A37,'Commodity Prices'!J$159:J$902)</f>
        <v>2385.63</v>
      </c>
      <c r="D37" s="8"/>
      <c r="E37" s="70">
        <f t="shared" si="0"/>
        <v>2000</v>
      </c>
      <c r="F37" s="70">
        <f t="shared" si="0"/>
        <v>2001</v>
      </c>
      <c r="G37" s="757">
        <f t="shared" si="1"/>
        <v>2000</v>
      </c>
      <c r="H37" s="537">
        <f t="array" ref="H37">IF($G$6="Historic Calendar Year",IFERROR(AVERAGE(IF($G37=YEAR('Commodity Prices'!$C$9:$C$1000),'Commodity Prices'!$I$9:$I$1000)),"NA"),IFERROR(IF(K37=0,"NA",K37),"NA"))</f>
        <v>279.07016666666664</v>
      </c>
      <c r="I37" s="538">
        <f t="array" ref="I37">IF($G$6="Historic Calendar Year",IFERROR(AVERAGE(IF($G37=YEAR('Commodity Prices'!$C$9:$C$1000),'Commodity Prices'!$J$9:$J$1000)),"NA"),IFERROR(IF(J37=0,"NA",J37),"NA"))</f>
        <v>479.93333333333339</v>
      </c>
      <c r="J37" s="228">
        <f>(SUMIFS('Commodity Prices'!$J$9:$J$2500,'Commodity Prices'!$A$9:$A$2500,'Gold - Prices'!E37,'Commodity Prices'!$B$9:$B$2500,3)+
SUMIFS('Commodity Prices'!$J$9:$J$2500,'Commodity Prices'!$A$9:$A$2500,'Gold - Prices'!E37,'Commodity Prices'!$B$9:$B$2500,4)+
SUMIFS('Commodity Prices'!$J$9:$J$2500,'Commodity Prices'!$A$9:$A$2500,'Gold - Prices'!F37,'Commodity Prices'!$B$9:$B$2500,1)+
SUMIFS('Commodity Prices'!$J$9:$J$2500,'Commodity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501.09666666666664</v>
      </c>
      <c r="K37" s="228">
        <f>(SUMIFS('Commodity Prices'!$I$9:$I$2500,'Commodity Prices'!$A$9:$A$2500,'Gold - Prices'!E37,'Commodity Prices'!$B$9:$B$2500,3)+
SUMIFS('Commodity Prices'!$I$9:$I$2500,'Commodity Prices'!$A$9:$A$2500,'Gold - Prices'!E37,'Commodity Prices'!$B$9:$B$2500,4)+
SUMIFS('Commodity Prices'!$I$9:$I$2500,'Commodity Prices'!$A$9:$A$2500,'Gold - Prices'!F37,'Commodity Prices'!$B$9:$B$2500,1)+
SUMIFS('Commodity Prices'!$I$9:$I$2500,'Commodity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269.23366666666669</v>
      </c>
    </row>
    <row r="38" spans="1:11">
      <c r="A38" s="423">
        <f>LARGE('Commodity Prices'!C$159:C$902,31)</f>
        <v>44348</v>
      </c>
      <c r="B38" s="484">
        <f>SUMIF('Commodity Prices'!C$159:C$902,A38,'Commodity Prices'!I$159:I$902)</f>
        <v>1834.566</v>
      </c>
      <c r="C38" s="483">
        <f>SUMIF('Commodity Prices'!C$159:C$902,A38,'Commodity Prices'!J$159:J$902)</f>
        <v>2409.0100000000002</v>
      </c>
      <c r="D38" s="8"/>
      <c r="E38" s="70">
        <f t="shared" si="0"/>
        <v>2001</v>
      </c>
      <c r="F38" s="70">
        <f t="shared" si="0"/>
        <v>2002</v>
      </c>
      <c r="G38" s="758">
        <f t="shared" si="1"/>
        <v>2001</v>
      </c>
      <c r="H38" s="484">
        <f t="array" ref="H38">IF($G$6="Historic Calendar Year",IFERROR(AVERAGE(IF($G38=YEAR('Commodity Prices'!$C$9:$C$1000),'Commodity Prices'!$I$9:$I$1000)),"NA"),IFERROR(IF(K38=0,"NA",K38),"NA"))</f>
        <v>270.98433333333332</v>
      </c>
      <c r="I38" s="483">
        <f t="array" ref="I38">IF($G$6="Historic Calendar Year",IFERROR(AVERAGE(IF($G38=YEAR('Commodity Prices'!$C$9:$C$1000),'Commodity Prices'!$J$9:$J$1000)),"NA"),IFERROR(IF(J38=0,"NA",J38),"NA"))</f>
        <v>525.91416666666669</v>
      </c>
      <c r="J38" s="228">
        <f>(SUMIFS('Commodity Prices'!$J$9:$J$2500,'Commodity Prices'!$A$9:$A$2500,'Gold - Prices'!E38,'Commodity Prices'!$B$9:$B$2500,3)+
SUMIFS('Commodity Prices'!$J$9:$J$2500,'Commodity Prices'!$A$9:$A$2500,'Gold - Prices'!E38,'Commodity Prices'!$B$9:$B$2500,4)+
SUMIFS('Commodity Prices'!$J$9:$J$2500,'Commodity Prices'!$A$9:$A$2500,'Gold - Prices'!F38,'Commodity Prices'!$B$9:$B$2500,1)+
SUMIFS('Commodity Prices'!$J$9:$J$2500,'Commodity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553.15500000000009</v>
      </c>
      <c r="K38" s="228">
        <f>(SUMIFS('Commodity Prices'!$I$9:$I$2500,'Commodity Prices'!$A$9:$A$2500,'Gold - Prices'!E38,'Commodity Prices'!$B$9:$B$2500,3)+
SUMIFS('Commodity Prices'!$I$9:$I$2500,'Commodity Prices'!$A$9:$A$2500,'Gold - Prices'!E38,'Commodity Prices'!$B$9:$B$2500,4)+
SUMIFS('Commodity Prices'!$I$9:$I$2500,'Commodity Prices'!$A$9:$A$2500,'Gold - Prices'!F38,'Commodity Prices'!$B$9:$B$2500,1)+
SUMIFS('Commodity Prices'!$I$9:$I$2500,'Commodity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289.02083333333331</v>
      </c>
    </row>
    <row r="39" spans="1:11">
      <c r="A39" s="423">
        <f>LARGE('Commodity Prices'!C$159:C$902,30)</f>
        <v>44378</v>
      </c>
      <c r="B39" s="537">
        <f>SUMIF('Commodity Prices'!C$159:C$902,A39,'Commodity Prices'!I$159:I$902)</f>
        <v>1807.0930000000001</v>
      </c>
      <c r="C39" s="538">
        <f>SUMIF('Commodity Prices'!C$159:C$902,A39,'Commodity Prices'!J$159:J$902)</f>
        <v>2436.5100000000002</v>
      </c>
      <c r="D39" s="8"/>
      <c r="E39" s="70">
        <f t="shared" si="0"/>
        <v>2002</v>
      </c>
      <c r="F39" s="70">
        <f t="shared" si="0"/>
        <v>2003</v>
      </c>
      <c r="G39" s="757">
        <f t="shared" si="1"/>
        <v>2002</v>
      </c>
      <c r="H39" s="537">
        <f t="array" ref="H39">IF($G$6="Historic Calendar Year",IFERROR(AVERAGE(IF($G39=YEAR('Commodity Prices'!$C$9:$C$1000),'Commodity Prices'!$I$9:$I$1000)),"NA"),IFERROR(IF(K39=0,"NA",K39),"NA"))</f>
        <v>309.90974999999997</v>
      </c>
      <c r="I39" s="538">
        <f t="array" ref="I39">IF($G$6="Historic Calendar Year",IFERROR(AVERAGE(IF($G39=YEAR('Commodity Prices'!$C$9:$C$1000),'Commodity Prices'!$J$9:$J$1000)),"NA"),IFERROR(IF(J39=0,"NA",J39),"NA"))</f>
        <v>571.49833333333333</v>
      </c>
      <c r="J39" s="228">
        <f>(SUMIFS('Commodity Prices'!$J$9:$J$2500,'Commodity Prices'!$A$9:$A$2500,'Gold - Prices'!E39,'Commodity Prices'!$B$9:$B$2500,3)+
SUMIFS('Commodity Prices'!$J$9:$J$2500,'Commodity Prices'!$A$9:$A$2500,'Gold - Prices'!E39,'Commodity Prices'!$B$9:$B$2500,4)+
SUMIFS('Commodity Prices'!$J$9:$J$2500,'Commodity Prices'!$A$9:$A$2500,'Gold - Prices'!F39,'Commodity Prices'!$B$9:$B$2500,1)+
SUMIFS('Commodity Prices'!$J$9:$J$2500,'Commodity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573.39166666666677</v>
      </c>
      <c r="K39" s="228">
        <f>(SUMIFS('Commodity Prices'!$I$9:$I$2500,'Commodity Prices'!$A$9:$A$2500,'Gold - Prices'!E39,'Commodity Prices'!$B$9:$B$2500,3)+
SUMIFS('Commodity Prices'!$I$9:$I$2500,'Commodity Prices'!$A$9:$A$2500,'Gold - Prices'!E39,'Commodity Prices'!$B$9:$B$2500,4)+
SUMIFS('Commodity Prices'!$I$9:$I$2500,'Commodity Prices'!$A$9:$A$2500,'Gold - Prices'!F39,'Commodity Prices'!$B$9:$B$2500,1)+
SUMIFS('Commodity Prices'!$I$9:$I$2500,'Commodity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333.7210833333333</v>
      </c>
    </row>
    <row r="40" spans="1:11">
      <c r="A40" s="423">
        <f>LARGE('Commodity Prices'!C$159:C$902,29)</f>
        <v>44409</v>
      </c>
      <c r="B40" s="484">
        <f>SUMIF('Commodity Prices'!C$159:C$902,A40,'Commodity Prices'!I$159:I$902)</f>
        <v>1783.9690000000001</v>
      </c>
      <c r="C40" s="483">
        <f>SUMIF('Commodity Prices'!C$159:C$902,A40,'Commodity Prices'!J$159:J$902)</f>
        <v>2449.9299999999998</v>
      </c>
      <c r="D40" s="8"/>
      <c r="E40" s="70">
        <f t="shared" si="0"/>
        <v>2003</v>
      </c>
      <c r="F40" s="70">
        <f t="shared" si="0"/>
        <v>2004</v>
      </c>
      <c r="G40" s="758">
        <f t="shared" si="1"/>
        <v>2003</v>
      </c>
      <c r="H40" s="484">
        <f t="array" ref="H40">IF($G$6="Historic Calendar Year",IFERROR(AVERAGE(IF($G40=YEAR('Commodity Prices'!$C$9:$C$1000),'Commodity Prices'!$I$9:$I$1000)),"NA"),IFERROR(IF(K40=0,"NA",K40),"NA"))</f>
        <v>363.41191666666668</v>
      </c>
      <c r="I40" s="483">
        <f t="array" ref="I40">IF($G$6="Historic Calendar Year",IFERROR(AVERAGE(IF($G40=YEAR('Commodity Prices'!$C$9:$C$1000),'Commodity Prices'!$J$9:$J$1000)),"NA"),IFERROR(IF(J40=0,"NA",J40),"NA"))</f>
        <v>560.54750000000001</v>
      </c>
      <c r="J40" s="228">
        <f>(SUMIFS('Commodity Prices'!$J$9:$J$2500,'Commodity Prices'!$A$9:$A$2500,'Gold - Prices'!E40,'Commodity Prices'!$B$9:$B$2500,3)+
SUMIFS('Commodity Prices'!$J$9:$J$2500,'Commodity Prices'!$A$9:$A$2500,'Gold - Prices'!E40,'Commodity Prices'!$B$9:$B$2500,4)+
SUMIFS('Commodity Prices'!$J$9:$J$2500,'Commodity Prices'!$A$9:$A$2500,'Gold - Prices'!F40,'Commodity Prices'!$B$9:$B$2500,1)+
SUMIFS('Commodity Prices'!$J$9:$J$2500,'Commodity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547.60916666666662</v>
      </c>
      <c r="K40" s="228">
        <f>(SUMIFS('Commodity Prices'!$I$9:$I$2500,'Commodity Prices'!$A$9:$A$2500,'Gold - Prices'!E40,'Commodity Prices'!$B$9:$B$2500,3)+
SUMIFS('Commodity Prices'!$I$9:$I$2500,'Commodity Prices'!$A$9:$A$2500,'Gold - Prices'!E40,'Commodity Prices'!$B$9:$B$2500,4)+
SUMIFS('Commodity Prices'!$I$9:$I$2500,'Commodity Prices'!$A$9:$A$2500,'Gold - Prices'!F40,'Commodity Prices'!$B$9:$B$2500,1)+
SUMIFS('Commodity Prices'!$I$9:$I$2500,'Commodity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389.15649999999999</v>
      </c>
    </row>
    <row r="41" spans="1:11">
      <c r="A41" s="423">
        <f>LARGE('Commodity Prices'!C$159:C$902,28)</f>
        <v>44440</v>
      </c>
      <c r="B41" s="537">
        <f>SUMIF('Commodity Prices'!C$159:C$902,A41,'Commodity Prices'!I$159:I$902)</f>
        <v>1777.252</v>
      </c>
      <c r="C41" s="538">
        <f>SUMIF('Commodity Prices'!C$159:C$902,A41,'Commodity Prices'!J$159:J$902)</f>
        <v>2437.69</v>
      </c>
      <c r="D41" s="8"/>
      <c r="E41" s="70">
        <f t="shared" si="0"/>
        <v>2004</v>
      </c>
      <c r="F41" s="70">
        <f t="shared" si="0"/>
        <v>2005</v>
      </c>
      <c r="G41" s="757">
        <f t="shared" si="1"/>
        <v>2004</v>
      </c>
      <c r="H41" s="537">
        <f t="array" ref="H41">IF($G$6="Historic Calendar Year",IFERROR(AVERAGE(IF($G41=YEAR('Commodity Prices'!$C$9:$C$1000),'Commodity Prices'!$I$9:$I$1000)),"NA"),IFERROR(IF(K41=0,"NA",K41),"NA"))</f>
        <v>409.18650000000002</v>
      </c>
      <c r="I41" s="538">
        <f t="array" ref="I41">IF($G$6="Historic Calendar Year",IFERROR(AVERAGE(IF($G41=YEAR('Commodity Prices'!$C$9:$C$1000),'Commodity Prices'!$J$9:$J$1000)),"NA"),IFERROR(IF(J41=0,"NA",J41),"NA"))</f>
        <v>557.0533333333334</v>
      </c>
      <c r="J41" s="228">
        <f>(SUMIFS('Commodity Prices'!$J$9:$J$2500,'Commodity Prices'!$A$9:$A$2500,'Gold - Prices'!E41,'Commodity Prices'!$B$9:$B$2500,3)+
SUMIFS('Commodity Prices'!$J$9:$J$2500,'Commodity Prices'!$A$9:$A$2500,'Gold - Prices'!E41,'Commodity Prices'!$B$9:$B$2500,4)+
SUMIFS('Commodity Prices'!$J$9:$J$2500,'Commodity Prices'!$A$9:$A$2500,'Gold - Prices'!F41,'Commodity Prices'!$B$9:$B$2500,1)+
SUMIFS('Commodity Prices'!$J$9:$J$2500,'Commodity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562.47416666666675</v>
      </c>
      <c r="K41" s="228">
        <f>(SUMIFS('Commodity Prices'!$I$9:$I$2500,'Commodity Prices'!$A$9:$A$2500,'Gold - Prices'!E41,'Commodity Prices'!$B$9:$B$2500,3)+
SUMIFS('Commodity Prices'!$I$9:$I$2500,'Commodity Prices'!$A$9:$A$2500,'Gold - Prices'!E41,'Commodity Prices'!$B$9:$B$2500,4)+
SUMIFS('Commodity Prices'!$I$9:$I$2500,'Commodity Prices'!$A$9:$A$2500,'Gold - Prices'!F41,'Commodity Prices'!$B$9:$B$2500,1)+
SUMIFS('Commodity Prices'!$I$9:$I$2500,'Commodity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422.45175</v>
      </c>
    </row>
    <row r="42" spans="1:11">
      <c r="A42" s="423">
        <f>LARGE('Commodity Prices'!C$159:C$902,27)</f>
        <v>44470</v>
      </c>
      <c r="B42" s="484">
        <f>SUMIF('Commodity Prices'!C$159:C$902,A42,'Commodity Prices'!I$159:I$902)</f>
        <v>1776.855</v>
      </c>
      <c r="C42" s="483">
        <f>SUMIF('Commodity Prices'!C$159:C$902,A42,'Commodity Prices'!J$159:J$902)</f>
        <v>2405.17</v>
      </c>
      <c r="D42" s="8"/>
      <c r="E42" s="70">
        <f t="shared" si="0"/>
        <v>2005</v>
      </c>
      <c r="F42" s="70">
        <f t="shared" si="0"/>
        <v>2006</v>
      </c>
      <c r="G42" s="758">
        <f t="shared" si="1"/>
        <v>2005</v>
      </c>
      <c r="H42" s="484">
        <f t="array" ref="H42">IF($G$6="Historic Calendar Year",IFERROR(AVERAGE(IF($G42=YEAR('Commodity Prices'!$C$9:$C$1000),'Commodity Prices'!$I$9:$I$1000)),"NA"),IFERROR(IF(K42=0,"NA",K42),"NA"))</f>
        <v>444.86325000000005</v>
      </c>
      <c r="I42" s="483">
        <f t="array" ref="I42">IF($G$6="Historic Calendar Year",IFERROR(AVERAGE(IF($G42=YEAR('Commodity Prices'!$C$9:$C$1000),'Commodity Prices'!$J$9:$J$1000)),"NA"),IFERROR(IF(J42=0,"NA",J42),"NA"))</f>
        <v>584.83499999999992</v>
      </c>
      <c r="J42" s="228">
        <f>(SUMIFS('Commodity Prices'!$J$9:$J$2500,'Commodity Prices'!$A$9:$A$2500,'Gold - Prices'!E42,'Commodity Prices'!$B$9:$B$2500,3)+
SUMIFS('Commodity Prices'!$J$9:$J$2500,'Commodity Prices'!$A$9:$A$2500,'Gold - Prices'!E42,'Commodity Prices'!$B$9:$B$2500,4)+
SUMIFS('Commodity Prices'!$J$9:$J$2500,'Commodity Prices'!$A$9:$A$2500,'Gold - Prices'!F42,'Commodity Prices'!$B$9:$B$2500,1)+
SUMIFS('Commodity Prices'!$J$9:$J$2500,'Commodity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705.23833333333334</v>
      </c>
      <c r="K42" s="228">
        <f>(SUMIFS('Commodity Prices'!$I$9:$I$2500,'Commodity Prices'!$A$9:$A$2500,'Gold - Prices'!E42,'Commodity Prices'!$B$9:$B$2500,3)+
SUMIFS('Commodity Prices'!$I$9:$I$2500,'Commodity Prices'!$A$9:$A$2500,'Gold - Prices'!E42,'Commodity Prices'!$B$9:$B$2500,4)+
SUMIFS('Commodity Prices'!$I$9:$I$2500,'Commodity Prices'!$A$9:$A$2500,'Gold - Prices'!F42,'Commodity Prices'!$B$9:$B$2500,1)+
SUMIFS('Commodity Prices'!$I$9:$I$2500,'Commodity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526.45216666666659</v>
      </c>
    </row>
    <row r="43" spans="1:11">
      <c r="A43" s="423">
        <f>LARGE('Commodity Prices'!C$159:C$902,26)</f>
        <v>44501</v>
      </c>
      <c r="B43" s="537">
        <f>SUMIF('Commodity Prices'!C$159:C$902,A43,'Commodity Prices'!I$159:I$902)</f>
        <v>1820.2339999999999</v>
      </c>
      <c r="C43" s="538">
        <f>SUMIF('Commodity Prices'!C$159:C$902,A43,'Commodity Prices'!J$159:J$902)</f>
        <v>2495.37</v>
      </c>
      <c r="D43" s="8"/>
      <c r="E43" s="70">
        <f t="shared" ref="E43:E60" si="2">E42+1</f>
        <v>2006</v>
      </c>
      <c r="F43" s="70">
        <f t="shared" ref="F43:F60" si="3">F42+1</f>
        <v>2007</v>
      </c>
      <c r="G43" s="757">
        <f t="shared" si="1"/>
        <v>2006</v>
      </c>
      <c r="H43" s="537">
        <f t="array" ref="H43">IF($G$6="Historic Calendar Year",IFERROR(AVERAGE(IF($G43=YEAR('Commodity Prices'!$C$9:$C$1000),'Commodity Prices'!$I$9:$I$1000)),"NA"),IFERROR(IF(K43=0,"NA",K43),"NA"))</f>
        <v>604.28508333333332</v>
      </c>
      <c r="I43" s="538">
        <f t="array" ref="I43">IF($G$6="Historic Calendar Year",IFERROR(AVERAGE(IF($G43=YEAR('Commodity Prices'!$C$9:$C$1000),'Commodity Prices'!$J$9:$J$1000)),"NA"),IFERROR(IF(J43=0,"NA",J43),"NA"))</f>
        <v>802.76083333333338</v>
      </c>
      <c r="J43" s="228">
        <f>(SUMIFS('Commodity Prices'!$J$9:$J$2500,'Commodity Prices'!$A$9:$A$2500,'Gold - Prices'!E43,'Commodity Prices'!$B$9:$B$2500,3)+
SUMIFS('Commodity Prices'!$J$9:$J$2500,'Commodity Prices'!$A$9:$A$2500,'Gold - Prices'!E43,'Commodity Prices'!$B$9:$B$2500,4)+
SUMIFS('Commodity Prices'!$J$9:$J$2500,'Commodity Prices'!$A$9:$A$2500,'Gold - Prices'!F43,'Commodity Prices'!$B$9:$B$2500,1)+
SUMIFS('Commodity Prices'!$J$9:$J$2500,'Commodity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813.43166666666673</v>
      </c>
      <c r="K43" s="228">
        <f>(SUMIFS('Commodity Prices'!$I$9:$I$2500,'Commodity Prices'!$A$9:$A$2500,'Gold - Prices'!E43,'Commodity Prices'!$B$9:$B$2500,3)+
SUMIFS('Commodity Prices'!$I$9:$I$2500,'Commodity Prices'!$A$9:$A$2500,'Gold - Prices'!E43,'Commodity Prices'!$B$9:$B$2500,4)+
SUMIFS('Commodity Prices'!$I$9:$I$2500,'Commodity Prices'!$A$9:$A$2500,'Gold - Prices'!F43,'Commodity Prices'!$B$9:$B$2500,1)+
SUMIFS('Commodity Prices'!$I$9:$I$2500,'Commodity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638.38499999999999</v>
      </c>
    </row>
    <row r="44" spans="1:11">
      <c r="A44" s="423">
        <f>LARGE('Commodity Prices'!C$159:C$902,25)</f>
        <v>44531</v>
      </c>
      <c r="B44" s="484">
        <f>SUMIF('Commodity Prices'!C$159:C$902,A44,'Commodity Prices'!I$159:I$902)</f>
        <v>1786.653</v>
      </c>
      <c r="C44" s="483">
        <f>SUMIF('Commodity Prices'!C$159:C$902,A44,'Commodity Prices'!J$159:J$902)</f>
        <v>2514.13</v>
      </c>
      <c r="D44" s="8"/>
      <c r="E44" s="70">
        <f t="shared" si="2"/>
        <v>2007</v>
      </c>
      <c r="F44" s="70">
        <f t="shared" si="3"/>
        <v>2008</v>
      </c>
      <c r="G44" s="758">
        <f t="shared" si="1"/>
        <v>2007</v>
      </c>
      <c r="H44" s="484">
        <f t="array" ref="H44">IF($G$6="Historic Calendar Year",IFERROR(AVERAGE(IF($G44=YEAR('Commodity Prices'!$C$9:$C$1000),'Commodity Prices'!$I$9:$I$1000)),"NA"),IFERROR(IF(K44=0,"NA",K44),"NA"))</f>
        <v>696.61141666666674</v>
      </c>
      <c r="I44" s="483">
        <f t="array" ref="I44">IF($G$6="Historic Calendar Year",IFERROR(AVERAGE(IF($G44=YEAR('Commodity Prices'!$C$9:$C$1000),'Commodity Prices'!$J$9:$J$1000)),"NA"),IFERROR(IF(J44=0,"NA",J44),"NA"))</f>
        <v>830.21083333333343</v>
      </c>
      <c r="J44" s="228">
        <f>(SUMIFS('Commodity Prices'!$J$9:$J$2500,'Commodity Prices'!$A$9:$A$2500,'Gold - Prices'!E44,'Commodity Prices'!$B$9:$B$2500,3)+
SUMIFS('Commodity Prices'!$J$9:$J$2500,'Commodity Prices'!$A$9:$A$2500,'Gold - Prices'!E44,'Commodity Prices'!$B$9:$B$2500,4)+
SUMIFS('Commodity Prices'!$J$9:$J$2500,'Commodity Prices'!$A$9:$A$2500,'Gold - Prices'!F44,'Commodity Prices'!$B$9:$B$2500,1)+
SUMIFS('Commodity Prices'!$J$9:$J$2500,'Commodity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915.245</v>
      </c>
      <c r="K44" s="228">
        <f>(SUMIFS('Commodity Prices'!$I$9:$I$2500,'Commodity Prices'!$A$9:$A$2500,'Gold - Prices'!E44,'Commodity Prices'!$B$9:$B$2500,3)+
SUMIFS('Commodity Prices'!$I$9:$I$2500,'Commodity Prices'!$A$9:$A$2500,'Gold - Prices'!E44,'Commodity Prices'!$B$9:$B$2500,4)+
SUMIFS('Commodity Prices'!$I$9:$I$2500,'Commodity Prices'!$A$9:$A$2500,'Gold - Prices'!F44,'Commodity Prices'!$B$9:$B$2500,1)+
SUMIFS('Commodity Prices'!$I$9:$I$2500,'Commodity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822.82866666666666</v>
      </c>
    </row>
    <row r="45" spans="1:11">
      <c r="A45" s="423">
        <f>LARGE('Commodity Prices'!C$159:C$902,24)</f>
        <v>44562</v>
      </c>
      <c r="B45" s="537">
        <f>SUMIF('Commodity Prices'!C$159:C$902,A45,'Commodity Prices'!I$159:I$902)</f>
        <v>1816.7650000000001</v>
      </c>
      <c r="C45" s="538">
        <f>SUMIF('Commodity Prices'!C$159:C$902,A45,'Commodity Prices'!J$159:J$902)</f>
        <v>2538.2399999999998</v>
      </c>
      <c r="D45" s="8"/>
      <c r="E45" s="70">
        <f t="shared" si="2"/>
        <v>2008</v>
      </c>
      <c r="F45" s="70">
        <f t="shared" si="3"/>
        <v>2009</v>
      </c>
      <c r="G45" s="757">
        <f t="shared" si="1"/>
        <v>2008</v>
      </c>
      <c r="H45" s="537">
        <f t="array" ref="H45">IF($G$6="Historic Calendar Year",IFERROR(AVERAGE(IF($G45=YEAR('Commodity Prices'!$C$9:$C$1000),'Commodity Prices'!$I$9:$I$1000)),"NA"),IFERROR(IF(K45=0,"NA",K45),"NA"))</f>
        <v>871.50808333333327</v>
      </c>
      <c r="I45" s="538">
        <f t="array" ref="I45">IF($G$6="Historic Calendar Year",IFERROR(AVERAGE(IF($G45=YEAR('Commodity Prices'!$C$9:$C$1000),'Commodity Prices'!$J$9:$J$1000)),"NA"),IFERROR(IF(J45=0,"NA",J45),"NA"))</f>
        <v>1029.3374999999999</v>
      </c>
      <c r="J45" s="228">
        <f>(SUMIFS('Commodity Prices'!$J$9:$J$2500,'Commodity Prices'!$A$9:$A$2500,'Gold - Prices'!E45,'Commodity Prices'!$B$9:$B$2500,3)+
SUMIFS('Commodity Prices'!$J$9:$J$2500,'Commodity Prices'!$A$9:$A$2500,'Gold - Prices'!E45,'Commodity Prices'!$B$9:$B$2500,4)+
SUMIFS('Commodity Prices'!$J$9:$J$2500,'Commodity Prices'!$A$9:$A$2500,'Gold - Prices'!F45,'Commodity Prices'!$B$9:$B$2500,1)+
SUMIFS('Commodity Prices'!$J$9:$J$2500,'Commodity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1181.1433333333332</v>
      </c>
      <c r="K45" s="228">
        <f>(SUMIFS('Commodity Prices'!$I$9:$I$2500,'Commodity Prices'!$A$9:$A$2500,'Gold - Prices'!E45,'Commodity Prices'!$B$9:$B$2500,3)+
SUMIFS('Commodity Prices'!$I$9:$I$2500,'Commodity Prices'!$A$9:$A$2500,'Gold - Prices'!E45,'Commodity Prices'!$B$9:$B$2500,4)+
SUMIFS('Commodity Prices'!$I$9:$I$2500,'Commodity Prices'!$A$9:$A$2500,'Gold - Prices'!F45,'Commodity Prices'!$B$9:$B$2500,1)+
SUMIFS('Commodity Prices'!$I$9:$I$2500,'Commodity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873.51916666666659</v>
      </c>
    </row>
    <row r="46" spans="1:11">
      <c r="A46" s="423">
        <f>LARGE('Commodity Prices'!C$159:C$902,23)</f>
        <v>44593</v>
      </c>
      <c r="B46" s="484">
        <f>SUMIF('Commodity Prices'!C$159:C$902,A46,'Commodity Prices'!I$159:I$902)</f>
        <v>1856.2950000000001</v>
      </c>
      <c r="C46" s="483">
        <f>SUMIF('Commodity Prices'!C$159:C$902,A46,'Commodity Prices'!J$159:J$902)</f>
        <v>2595.4325389285709</v>
      </c>
      <c r="D46" s="8"/>
      <c r="E46" s="70">
        <f t="shared" si="2"/>
        <v>2009</v>
      </c>
      <c r="F46" s="70">
        <f t="shared" si="3"/>
        <v>2010</v>
      </c>
      <c r="G46" s="758">
        <f t="shared" si="1"/>
        <v>2009</v>
      </c>
      <c r="H46" s="484">
        <f t="array" ref="H46">IF($G$6="Historic Calendar Year",IFERROR(AVERAGE(IF($G46=YEAR('Commodity Prices'!$C$9:$C$1000),'Commodity Prices'!$I$9:$I$1000)),"NA"),IFERROR(IF(K46=0,"NA",K46),"NA"))</f>
        <v>972.84858333333341</v>
      </c>
      <c r="I46" s="483">
        <f t="array" ref="I46">IF($G$6="Historic Calendar Year",IFERROR(AVERAGE(IF($G46=YEAR('Commodity Prices'!$C$9:$C$1000),'Commodity Prices'!$J$9:$J$1000)),"NA"),IFERROR(IF(J46=0,"NA",J46),"NA"))</f>
        <v>1235.6508333333334</v>
      </c>
      <c r="J46" s="228">
        <f>(SUMIFS('Commodity Prices'!$J$9:$J$2500,'Commodity Prices'!$A$9:$A$2500,'Gold - Prices'!E46,'Commodity Prices'!$B$9:$B$2500,3)+
SUMIFS('Commodity Prices'!$J$9:$J$2500,'Commodity Prices'!$A$9:$A$2500,'Gold - Prices'!E46,'Commodity Prices'!$B$9:$B$2500,4)+
SUMIFS('Commodity Prices'!$J$9:$J$2500,'Commodity Prices'!$A$9:$A$2500,'Gold - Prices'!F46,'Commodity Prices'!$B$9:$B$2500,1)+
SUMIFS('Commodity Prices'!$J$9:$J$2500,'Commodity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1235.4066666666665</v>
      </c>
      <c r="K46" s="228">
        <f>(SUMIFS('Commodity Prices'!$I$9:$I$2500,'Commodity Prices'!$A$9:$A$2500,'Gold - Prices'!E46,'Commodity Prices'!$B$9:$B$2500,3)+
SUMIFS('Commodity Prices'!$I$9:$I$2500,'Commodity Prices'!$A$9:$A$2500,'Gold - Prices'!E46,'Commodity Prices'!$B$9:$B$2500,4)+
SUMIFS('Commodity Prices'!$I$9:$I$2500,'Commodity Prices'!$A$9:$A$2500,'Gold - Prices'!F46,'Commodity Prices'!$B$9:$B$2500,1)+
SUMIFS('Commodity Prices'!$I$9:$I$2500,'Commodity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1091.2239999999999</v>
      </c>
    </row>
    <row r="47" spans="1:11">
      <c r="A47" s="423">
        <f>LARGE('Commodity Prices'!C$159:C$902,22)</f>
        <v>44621</v>
      </c>
      <c r="B47" s="537">
        <f>SUMIF('Commodity Prices'!C$159:C$902,A47,'Commodity Prices'!I$159:I$902)</f>
        <v>1947.828</v>
      </c>
      <c r="C47" s="538">
        <f>SUMIF('Commodity Prices'!C$159:C$902,A47,'Commodity Prices'!J$159:J$902)</f>
        <v>2640.7890441935479</v>
      </c>
      <c r="D47" s="8"/>
      <c r="E47" s="70">
        <f t="shared" si="2"/>
        <v>2010</v>
      </c>
      <c r="F47" s="70">
        <f t="shared" si="3"/>
        <v>2011</v>
      </c>
      <c r="G47" s="757">
        <f t="shared" si="1"/>
        <v>2010</v>
      </c>
      <c r="H47" s="537">
        <f t="array" ref="H47">IF($G$6="Historic Calendar Year",IFERROR(AVERAGE(IF($G47=YEAR('Commodity Prices'!$C$9:$C$1000),'Commodity Prices'!$I$9:$I$1000)),"NA"),IFERROR(IF(K47=0,"NA",K47),"NA"))</f>
        <v>1224.5156666666664</v>
      </c>
      <c r="I47" s="538">
        <f t="array" ref="I47">IF($G$6="Historic Calendar Year",IFERROR(AVERAGE(IF($G47=YEAR('Commodity Prices'!$C$9:$C$1000),'Commodity Prices'!$J$9:$J$1000)),"NA"),IFERROR(IF(J47=0,"NA",J47),"NA"))</f>
        <v>1335.4691666666668</v>
      </c>
      <c r="J47" s="228">
        <f>(SUMIFS('Commodity Prices'!$J$9:$J$2500,'Commodity Prices'!$A$9:$A$2500,'Gold - Prices'!E47,'Commodity Prices'!$B$9:$B$2500,3)+
SUMIFS('Commodity Prices'!$J$9:$J$2500,'Commodity Prices'!$A$9:$A$2500,'Gold - Prices'!E47,'Commodity Prices'!$B$9:$B$2500,4)+
SUMIFS('Commodity Prices'!$J$9:$J$2500,'Commodity Prices'!$A$9:$A$2500,'Gold - Prices'!F47,'Commodity Prices'!$B$9:$B$2500,1)+
SUMIFS('Commodity Prices'!$J$9:$J$2500,'Commodity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1395.0583333333334</v>
      </c>
      <c r="K47" s="228">
        <f>(SUMIFS('Commodity Prices'!$I$9:$I$2500,'Commodity Prices'!$A$9:$A$2500,'Gold - Prices'!E47,'Commodity Prices'!$B$9:$B$2500,3)+
SUMIFS('Commodity Prices'!$I$9:$I$2500,'Commodity Prices'!$A$9:$A$2500,'Gold - Prices'!E47,'Commodity Prices'!$B$9:$B$2500,4)+
SUMIFS('Commodity Prices'!$I$9:$I$2500,'Commodity Prices'!$A$9:$A$2500,'Gold - Prices'!F47,'Commodity Prices'!$B$9:$B$2500,1)+
SUMIFS('Commodity Prices'!$I$9:$I$2500,'Commodity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1370.8834999999999</v>
      </c>
    </row>
    <row r="48" spans="1:11">
      <c r="A48" s="423">
        <f>LARGE('Commodity Prices'!C$159:C$902,21)</f>
        <v>44652</v>
      </c>
      <c r="B48" s="484">
        <f>SUMIF('Commodity Prices'!C$159:C$902,A48,'Commodity Prices'!I$159:I$902)</f>
        <v>1933.9</v>
      </c>
      <c r="C48" s="483">
        <f>SUMIF('Commodity Prices'!C$159:C$902,A48,'Commodity Prices'!J$159:J$902)</f>
        <v>2630.7344226666669</v>
      </c>
      <c r="D48" s="8"/>
      <c r="E48" s="70">
        <f t="shared" si="2"/>
        <v>2011</v>
      </c>
      <c r="F48" s="70">
        <f t="shared" si="3"/>
        <v>2012</v>
      </c>
      <c r="G48" s="758">
        <f t="shared" si="1"/>
        <v>2011</v>
      </c>
      <c r="H48" s="484">
        <f t="array" ref="H48">IF($G$6="Historic Calendar Year",IFERROR(AVERAGE(IF($G48=YEAR('Commodity Prices'!$C$9:$C$1000),'Commodity Prices'!$I$9:$I$1000)),"NA"),IFERROR(IF(K48=0,"NA",K48),"NA"))</f>
        <v>1568.3911666666665</v>
      </c>
      <c r="I48" s="483">
        <f t="array" ref="I48">IF($G$6="Historic Calendar Year",IFERROR(AVERAGE(IF($G48=YEAR('Commodity Prices'!$C$9:$C$1000),'Commodity Prices'!$J$9:$J$1000)),"NA"),IFERROR(IF(J48=0,"NA",J48),"NA"))</f>
        <v>1535.4658333333334</v>
      </c>
      <c r="J48" s="228">
        <f>(SUMIFS('Commodity Prices'!$J$9:$J$2500,'Commodity Prices'!$A$9:$A$2500,'Gold - Prices'!E48,'Commodity Prices'!$B$9:$B$2500,3)+
SUMIFS('Commodity Prices'!$J$9:$J$2500,'Commodity Prices'!$A$9:$A$2500,'Gold - Prices'!E48,'Commodity Prices'!$B$9:$B$2500,4)+
SUMIFS('Commodity Prices'!$J$9:$J$2500,'Commodity Prices'!$A$9:$A$2500,'Gold - Prices'!F48,'Commodity Prices'!$B$9:$B$2500,1)+
SUMIFS('Commodity Prices'!$J$9:$J$2500,'Commodity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1634.5474999999999</v>
      </c>
      <c r="K48" s="228">
        <f>(SUMIFS('Commodity Prices'!$I$9:$I$2500,'Commodity Prices'!$A$9:$A$2500,'Gold - Prices'!E48,'Commodity Prices'!$B$9:$B$2500,3)+
SUMIFS('Commodity Prices'!$I$9:$I$2500,'Commodity Prices'!$A$9:$A$2500,'Gold - Prices'!E48,'Commodity Prices'!$B$9:$B$2500,4)+
SUMIFS('Commodity Prices'!$I$9:$I$2500,'Commodity Prices'!$A$9:$A$2500,'Gold - Prices'!F48,'Commodity Prices'!$B$9:$B$2500,1)+
SUMIFS('Commodity Prices'!$I$9:$I$2500,'Commodity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1671.4927500000001</v>
      </c>
    </row>
    <row r="49" spans="1:14">
      <c r="A49" s="423">
        <f>LARGE('Commodity Prices'!C$159:C$902,20)</f>
        <v>44682</v>
      </c>
      <c r="B49" s="537">
        <f>SUMIF('Commodity Prices'!C$159:C$902,A49,'Commodity Prices'!I$159:I$902)</f>
        <v>1848.3019999999999</v>
      </c>
      <c r="C49" s="538">
        <f>SUMIF('Commodity Prices'!C$159:C$902,A49,'Commodity Prices'!J$159:J$902)</f>
        <v>2623.7636222580645</v>
      </c>
      <c r="D49" s="8"/>
      <c r="E49" s="70">
        <f t="shared" si="2"/>
        <v>2012</v>
      </c>
      <c r="F49" s="70">
        <f t="shared" si="3"/>
        <v>2013</v>
      </c>
      <c r="G49" s="757">
        <f t="shared" si="1"/>
        <v>2012</v>
      </c>
      <c r="H49" s="537">
        <f t="array" ref="H49">IF($G$6="Historic Calendar Year",IFERROR(AVERAGE(IF($G49=YEAR('Commodity Prices'!$C$9:$C$1000),'Commodity Prices'!$I$9:$I$1000)),"NA"),IFERROR(IF(K49=0,"NA",K49),"NA"))</f>
        <v>1668.8206666666663</v>
      </c>
      <c r="I49" s="538">
        <f t="array" ref="I49">IF($G$6="Historic Calendar Year",IFERROR(AVERAGE(IF($G49=YEAR('Commodity Prices'!$C$9:$C$1000),'Commodity Prices'!$J$9:$J$1000)),"NA"),IFERROR(IF(J49=0,"NA",J49),"NA"))</f>
        <v>1619.6091666666669</v>
      </c>
      <c r="J49" s="228">
        <f>(SUMIFS('Commodity Prices'!$J$9:$J$2500,'Commodity Prices'!$A$9:$A$2500,'Gold - Prices'!E49,'Commodity Prices'!$B$9:$B$2500,3)+
SUMIFS('Commodity Prices'!$J$9:$J$2500,'Commodity Prices'!$A$9:$A$2500,'Gold - Prices'!E49,'Commodity Prices'!$B$9:$B$2500,4)+
SUMIFS('Commodity Prices'!$J$9:$J$2500,'Commodity Prices'!$A$9:$A$2500,'Gold - Prices'!F49,'Commodity Prices'!$B$9:$B$2500,1)+
SUMIFS('Commodity Prices'!$J$9:$J$2500,'Commodity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1570.3675000000003</v>
      </c>
      <c r="K49" s="228">
        <f>(SUMIFS('Commodity Prices'!$I$9:$I$2500,'Commodity Prices'!$A$9:$A$2500,'Gold - Prices'!E49,'Commodity Prices'!$B$9:$B$2500,3)+
SUMIFS('Commodity Prices'!$I$9:$I$2500,'Commodity Prices'!$A$9:$A$2500,'Gold - Prices'!E49,'Commodity Prices'!$B$9:$B$2500,4)+
SUMIFS('Commodity Prices'!$I$9:$I$2500,'Commodity Prices'!$A$9:$A$2500,'Gold - Prices'!F49,'Commodity Prices'!$B$9:$B$2500,1)+
SUMIFS('Commodity Prices'!$I$9:$I$2500,'Commodity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1604.3932499999999</v>
      </c>
    </row>
    <row r="50" spans="1:14">
      <c r="A50" s="423">
        <f>LARGE('Commodity Prices'!C$159:C$902,19)</f>
        <v>44713</v>
      </c>
      <c r="B50" s="484">
        <f>SUMIF('Commodity Prices'!C$159:C$902,A50,'Commodity Prices'!I$159:I$902)</f>
        <v>1833.825</v>
      </c>
      <c r="C50" s="483">
        <f>SUMIF('Commodity Prices'!C$159:C$902,A50,'Commodity Prices'!J$159:J$902)</f>
        <v>2618.6942396666664</v>
      </c>
      <c r="D50" s="8"/>
      <c r="E50" s="70">
        <f t="shared" si="2"/>
        <v>2013</v>
      </c>
      <c r="F50" s="70">
        <f t="shared" si="3"/>
        <v>2014</v>
      </c>
      <c r="G50" s="758">
        <f t="shared" si="1"/>
        <v>2013</v>
      </c>
      <c r="H50" s="484">
        <f t="array" ref="H50">IF($G$6="Historic Calendar Year",IFERROR(AVERAGE(IF($G50=YEAR('Commodity Prices'!$C$9:$C$1000),'Commodity Prices'!$I$9:$I$1000)),"NA"),IFERROR(IF(K50=0,"NA",K50),"NA"))</f>
        <v>1410.8681666666664</v>
      </c>
      <c r="I50" s="483">
        <f t="array" ref="I50">IF($G$6="Historic Calendar Year",IFERROR(AVERAGE(IF($G50=YEAR('Commodity Prices'!$C$9:$C$1000),'Commodity Prices'!$J$9:$J$1000)),"NA"),IFERROR(IF(J50=0,"NA",J50),"NA"))</f>
        <v>1465.1966666666665</v>
      </c>
      <c r="J50" s="228">
        <f>(SUMIFS('Commodity Prices'!$J$9:$J$2500,'Commodity Prices'!$A$9:$A$2500,'Gold - Prices'!E50,'Commodity Prices'!$B$9:$B$2500,3)+
SUMIFS('Commodity Prices'!$J$9:$J$2500,'Commodity Prices'!$A$9:$A$2500,'Gold - Prices'!E50,'Commodity Prices'!$B$9:$B$2500,4)+
SUMIFS('Commodity Prices'!$J$9:$J$2500,'Commodity Prices'!$A$9:$A$2500,'Gold - Prices'!F50,'Commodity Prices'!$B$9:$B$2500,1)+
SUMIFS('Commodity Prices'!$J$9:$J$2500,'Commodity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1422.0191666666669</v>
      </c>
      <c r="K50" s="228">
        <f>(SUMIFS('Commodity Prices'!$I$9:$I$2500,'Commodity Prices'!$A$9:$A$2500,'Gold - Prices'!E50,'Commodity Prices'!$B$9:$B$2500,3)+
SUMIFS('Commodity Prices'!$I$9:$I$2500,'Commodity Prices'!$A$9:$A$2500,'Gold - Prices'!E50,'Commodity Prices'!$B$9:$B$2500,4)+
SUMIFS('Commodity Prices'!$I$9:$I$2500,'Commodity Prices'!$A$9:$A$2500,'Gold - Prices'!F50,'Commodity Prices'!$B$9:$B$2500,1)+
SUMIFS('Commodity Prices'!$I$9:$I$2500,'Commodity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1295.5200833333331</v>
      </c>
    </row>
    <row r="51" spans="1:14">
      <c r="A51" s="423">
        <f>LARGE('Commodity Prices'!C$159:C$902,18)</f>
        <v>44743</v>
      </c>
      <c r="B51" s="537">
        <f>SUMIF('Commodity Prices'!C$159:C$902,A51,'Commodity Prices'!I$159:I$902)</f>
        <v>1736.3710000000001</v>
      </c>
      <c r="C51" s="538">
        <f>SUMIF('Commodity Prices'!C$159:C$902,A51,'Commodity Prices'!J$159:J$902)</f>
        <v>2539.8083667741939</v>
      </c>
      <c r="D51" s="8"/>
      <c r="E51" s="70">
        <f t="shared" si="2"/>
        <v>2014</v>
      </c>
      <c r="F51" s="70">
        <f t="shared" si="3"/>
        <v>2015</v>
      </c>
      <c r="G51" s="757">
        <f t="shared" si="1"/>
        <v>2014</v>
      </c>
      <c r="H51" s="537">
        <f t="array" ref="H51">IF($G$6="Historic Calendar Year",IFERROR(AVERAGE(IF($G51=YEAR('Commodity Prices'!$C$9:$C$1000),'Commodity Prices'!$I$9:$I$1000)),"NA"),IFERROR(IF(K51=0,"NA",K51),"NA"))</f>
        <v>1266.1936666666666</v>
      </c>
      <c r="I51" s="538">
        <f t="array" ref="I51">IF($G$6="Historic Calendar Year",IFERROR(AVERAGE(IF($G51=YEAR('Commodity Prices'!$C$9:$C$1000),'Commodity Prices'!$J$9:$J$1000)),"NA"),IFERROR(IF(J51=0,"NA",J51),"NA"))</f>
        <v>1413.0983333333334</v>
      </c>
      <c r="J51" s="228">
        <f>(SUMIFS('Commodity Prices'!$J$9:$J$2500,'Commodity Prices'!$A$9:$A$2500,'Gold - Prices'!E51,'Commodity Prices'!$B$9:$B$2500,3)+
SUMIFS('Commodity Prices'!$J$9:$J$2500,'Commodity Prices'!$A$9:$A$2500,'Gold - Prices'!E51,'Commodity Prices'!$B$9:$B$2500,4)+
SUMIFS('Commodity Prices'!$J$9:$J$2500,'Commodity Prices'!$A$9:$A$2500,'Gold - Prices'!F51,'Commodity Prices'!$B$9:$B$2500,1)+
SUMIFS('Commodity Prices'!$J$9:$J$2500,'Commodity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1479.22</v>
      </c>
      <c r="K51" s="228">
        <f>(SUMIFS('Commodity Prices'!$I$9:$I$2500,'Commodity Prices'!$A$9:$A$2500,'Gold - Prices'!E51,'Commodity Prices'!$B$9:$B$2500,3)+
SUMIFS('Commodity Prices'!$I$9:$I$2500,'Commodity Prices'!$A$9:$A$2500,'Gold - Prices'!E51,'Commodity Prices'!$B$9:$B$2500,4)+
SUMIFS('Commodity Prices'!$I$9:$I$2500,'Commodity Prices'!$A$9:$A$2500,'Gold - Prices'!F51,'Commodity Prices'!$B$9:$B$2500,1)+
SUMIFS('Commodity Prices'!$I$9:$I$2500,'Commodity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1223.5818333333334</v>
      </c>
    </row>
    <row r="52" spans="1:14">
      <c r="A52" s="423">
        <f>LARGE('Commodity Prices'!C$159:C$902,17)</f>
        <v>44774</v>
      </c>
      <c r="B52" s="484">
        <f>SUMIF('Commodity Prices'!C$159:C$902,A52,'Commodity Prices'!I$159:I$902)</f>
        <v>1765.655</v>
      </c>
      <c r="C52" s="483">
        <f>SUMIF('Commodity Prices'!C$159:C$902,A52,'Commodity Prices'!J$159:J$902)</f>
        <v>2537.6864038709678</v>
      </c>
      <c r="D52" s="8"/>
      <c r="E52" s="70">
        <f t="shared" si="2"/>
        <v>2015</v>
      </c>
      <c r="F52" s="70">
        <f t="shared" si="3"/>
        <v>2016</v>
      </c>
      <c r="G52" s="758">
        <f t="shared" si="1"/>
        <v>2015</v>
      </c>
      <c r="H52" s="484">
        <f t="array" ref="H52">IF($G$6="Historic Calendar Year",IFERROR(AVERAGE(IF($G52=YEAR('Commodity Prices'!$C$9:$C$1000),'Commodity Prices'!$I$9:$I$1000)),"NA"),IFERROR(IF(K52=0,"NA",K52),"NA"))</f>
        <v>1160.1145833333333</v>
      </c>
      <c r="I52" s="483">
        <f t="array" ref="I52">IF($G$6="Historic Calendar Year",IFERROR(AVERAGE(IF($G52=YEAR('Commodity Prices'!$C$9:$C$1000),'Commodity Prices'!$J$9:$J$1000)),"NA"),IFERROR(IF(J52=0,"NA",J52),"NA"))</f>
        <v>1554.5133333333331</v>
      </c>
      <c r="J52" s="228">
        <f>(SUMIFS('Commodity Prices'!$J$9:$J$2500,'Commodity Prices'!$A$9:$A$2500,'Gold - Prices'!E52,'Commodity Prices'!$B$9:$B$2500,3)+
SUMIFS('Commodity Prices'!$J$9:$J$2500,'Commodity Prices'!$A$9:$A$2500,'Gold - Prices'!E52,'Commodity Prices'!$B$9:$B$2500,4)+
SUMIFS('Commodity Prices'!$J$9:$J$2500,'Commodity Prices'!$A$9:$A$2500,'Gold - Prices'!F52,'Commodity Prices'!$B$9:$B$2500,1)+
SUMIFS('Commodity Prices'!$J$9:$J$2500,'Commodity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1613.3033333333333</v>
      </c>
      <c r="K52" s="228">
        <f>(SUMIFS('Commodity Prices'!$I$9:$I$2500,'Commodity Prices'!$A$9:$A$2500,'Gold - Prices'!E52,'Commodity Prices'!$B$9:$B$2500,3)+
SUMIFS('Commodity Prices'!$I$9:$I$2500,'Commodity Prices'!$A$9:$A$2500,'Gold - Prices'!E52,'Commodity Prices'!$B$9:$B$2500,4)+
SUMIFS('Commodity Prices'!$I$9:$I$2500,'Commodity Prices'!$A$9:$A$2500,'Gold - Prices'!F52,'Commodity Prices'!$B$9:$B$2500,1)+
SUMIFS('Commodity Prices'!$I$9:$I$2500,'Commodity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1167.2444999999998</v>
      </c>
    </row>
    <row r="53" spans="1:14">
      <c r="A53" s="423">
        <f>LARGE('Commodity Prices'!C$159:C$902,16)</f>
        <v>44805</v>
      </c>
      <c r="B53" s="537">
        <f>SUMIF('Commodity Prices'!C$159:C$902,A53,'Commodity Prices'!I$159:I$902)</f>
        <v>1682.9670000000001</v>
      </c>
      <c r="C53" s="538">
        <f>SUMIF('Commodity Prices'!C$159:C$902,A53,'Commodity Prices'!J$159:J$902)</f>
        <v>2517.5442363333336</v>
      </c>
      <c r="D53" s="8"/>
      <c r="E53" s="70">
        <f t="shared" si="2"/>
        <v>2016</v>
      </c>
      <c r="F53" s="70">
        <f t="shared" si="3"/>
        <v>2017</v>
      </c>
      <c r="G53" s="758">
        <f t="shared" si="1"/>
        <v>2016</v>
      </c>
      <c r="H53" s="537">
        <f t="array" ref="H53">IF($G$6="Historic Calendar Year",IFERROR(AVERAGE(IF($G53=YEAR('Commodity Prices'!$C$9:$C$1000),'Commodity Prices'!$I$9:$I$1000)),"NA"),IFERROR(IF(K53=0,"NA",K53),"NA"))</f>
        <v>1248.3405833333334</v>
      </c>
      <c r="I53" s="538">
        <f t="array" ref="I53">IF($G$6="Historic Calendar Year",IFERROR(AVERAGE(IF($G53=YEAR('Commodity Prices'!$C$9:$C$1000),'Commodity Prices'!$J$9:$J$1000)),"NA"),IFERROR(IF(J53=0,"NA",J53),"NA"))</f>
        <v>1687.5441666666668</v>
      </c>
      <c r="J53" s="228">
        <f>(SUMIFS('Commodity Prices'!$J$9:$J$2500,'Commodity Prices'!$A$9:$A$2500,'Gold - Prices'!E53,'Commodity Prices'!$B$9:$B$2500,3)+
SUMIFS('Commodity Prices'!$J$9:$J$2500,'Commodity Prices'!$A$9:$A$2500,'Gold - Prices'!E53,'Commodity Prices'!$B$9:$B$2500,4)+
SUMIFS('Commodity Prices'!$J$9:$J$2500,'Commodity Prices'!$A$9:$A$2500,'Gold - Prices'!F53,'Commodity Prices'!$B$9:$B$2500,1)+
SUMIFS('Commodity Prices'!$J$9:$J$2500,'Commodity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1674.9158333333332</v>
      </c>
      <c r="K53" s="228">
        <f>(SUMIFS('Commodity Prices'!$I$9:$I$2500,'Commodity Prices'!$A$9:$A$2500,'Gold - Prices'!E53,'Commodity Prices'!$B$9:$B$2500,3)+
SUMIFS('Commodity Prices'!$I$9:$I$2500,'Commodity Prices'!$A$9:$A$2500,'Gold - Prices'!E53,'Commodity Prices'!$B$9:$B$2500,4)+
SUMIFS('Commodity Prices'!$I$9:$I$2500,'Commodity Prices'!$A$9:$A$2500,'Gold - Prices'!F53,'Commodity Prices'!$B$9:$B$2500,1)+
SUMIFS('Commodity Prices'!$I$9:$I$2500,'Commodity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1257.2795833333332</v>
      </c>
      <c r="N53" s="321"/>
    </row>
    <row r="54" spans="1:14">
      <c r="A54" s="423">
        <f>LARGE('Commodity Prices'!C$159:C$902,15)</f>
        <v>44835</v>
      </c>
      <c r="B54" s="484">
        <f>SUMIF('Commodity Prices'!C$159:C$902,A54,'Commodity Prices'!I$159:I$902)</f>
        <v>1664.4449999999999</v>
      </c>
      <c r="C54" s="483">
        <f>SUMIF('Commodity Prices'!C$159:C$902,A54,'Commodity Prices'!J$159:J$902)</f>
        <v>2617.8040206451606</v>
      </c>
      <c r="D54" s="8"/>
      <c r="E54" s="70">
        <f t="shared" si="2"/>
        <v>2017</v>
      </c>
      <c r="F54" s="70">
        <f t="shared" si="3"/>
        <v>2018</v>
      </c>
      <c r="G54" s="758">
        <f t="shared" si="1"/>
        <v>2017</v>
      </c>
      <c r="H54" s="484">
        <f t="array" ref="H54">IF($G$6="Historic Calendar Year",IFERROR(AVERAGE(IF($G54=YEAR('Commodity Prices'!$C$9:$C$1000),'Commodity Prices'!$I$9:$I$1000)),"NA"),IFERROR(IF(K54=0,"NA",K54),"NA"))</f>
        <v>1257.1273333333331</v>
      </c>
      <c r="I54" s="483">
        <f t="array" ref="I54">IF($G$6="Historic Calendar Year",IFERROR(AVERAGE(IF($G54=YEAR('Commodity Prices'!$C$9:$C$1000),'Commodity Prices'!$J$9:$J$1000)),"NA"),IFERROR(IF(J54=0,"NA",J54),"NA"))</f>
        <v>1645.8166666666666</v>
      </c>
      <c r="J54" s="228">
        <f>(SUMIFS('Commodity Prices'!$J$9:$J$2500,'Commodity Prices'!$A$9:$A$2500,'Gold - Prices'!E54,'Commodity Prices'!$B$9:$B$2500,3)+
SUMIFS('Commodity Prices'!$J$9:$J$2500,'Commodity Prices'!$A$9:$A$2500,'Gold - Prices'!E54,'Commodity Prices'!$B$9:$B$2500,4)+
SUMIFS('Commodity Prices'!$J$9:$J$2500,'Commodity Prices'!$A$9:$A$2500,'Gold - Prices'!F54,'Commodity Prices'!$B$9:$B$2500,1)+
SUMIFS('Commodity Prices'!$J$9:$J$2500,'Commodity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1677.8941666666667</v>
      </c>
      <c r="K54" s="228">
        <f>(SUMIFS('Commodity Prices'!$I$9:$I$2500,'Commodity Prices'!$A$9:$A$2500,'Gold - Prices'!E54,'Commodity Prices'!$B$9:$B$2500,3)+
SUMIFS('Commodity Prices'!$I$9:$I$2500,'Commodity Prices'!$A$9:$A$2500,'Gold - Prices'!E54,'Commodity Prices'!$B$9:$B$2500,4)+
SUMIFS('Commodity Prices'!$I$9:$I$2500,'Commodity Prices'!$A$9:$A$2500,'Gold - Prices'!F54,'Commodity Prices'!$B$9:$B$2500,1)+
SUMIFS('Commodity Prices'!$I$9:$I$2500,'Commodity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1296.9792500000001</v>
      </c>
    </row>
    <row r="55" spans="1:14">
      <c r="A55" s="423">
        <f>LARGE('Commodity Prices'!C$159:C$902,14)</f>
        <v>44866</v>
      </c>
      <c r="B55" s="537">
        <f>SUMIF('Commodity Prices'!C$159:C$902,A55,'Commodity Prices'!I$159:I$902)</f>
        <v>1726.4480000000001</v>
      </c>
      <c r="C55" s="538">
        <f>SUMIF('Commodity Prices'!C$159:C$902,A55,'Commodity Prices'!J$159:J$902)</f>
        <v>2614.5277180000003</v>
      </c>
      <c r="D55" s="8"/>
      <c r="E55" s="70">
        <f t="shared" si="2"/>
        <v>2018</v>
      </c>
      <c r="F55" s="70">
        <f t="shared" si="3"/>
        <v>2019</v>
      </c>
      <c r="G55" s="758">
        <f t="shared" si="1"/>
        <v>2018</v>
      </c>
      <c r="H55" s="537">
        <f t="array" ref="H55">IF($G$6="Historic Calendar Year",IFERROR(AVERAGE(IF($G55=YEAR('Commodity Prices'!$C$9:$C$1000),'Commodity Prices'!$I$9:$I$1000)),"NA"),IFERROR(IF(K55=0,"NA",K55),"NA"))</f>
        <v>1269.1405000000002</v>
      </c>
      <c r="I55" s="538">
        <f t="array" ref="I55">IF($G$6="Historic Calendar Year",IFERROR(AVERAGE(IF($G55=YEAR('Commodity Prices'!$C$9:$C$1000),'Commodity Prices'!$J$9:$J$1000)),"NA"),IFERROR(IF(J55=0,"NA",J55),"NA"))</f>
        <v>1700.585</v>
      </c>
      <c r="J55" s="228">
        <f>(SUMIFS('Commodity Prices'!$J$9:$J$2500,'Commodity Prices'!$A$9:$A$2500,'Gold - Prices'!E55,'Commodity Prices'!$B$9:$B$2500,3)+
SUMIFS('Commodity Prices'!$J$9:$J$2500,'Commodity Prices'!$A$9:$A$2500,'Gold - Prices'!E55,'Commodity Prices'!$B$9:$B$2500,4)+
SUMIFS('Commodity Prices'!$J$9:$J$2500,'Commodity Prices'!$A$9:$A$2500,'Gold - Prices'!F55,'Commodity Prices'!$B$9:$B$2500,1)+
SUMIFS('Commodity Prices'!$J$9:$J$2500,'Commodity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1772.1166666666668</v>
      </c>
      <c r="K55" s="228">
        <f>(SUMIFS('Commodity Prices'!$I$9:$I$2500,'Commodity Prices'!$A$9:$A$2500,'Gold - Prices'!E55,'Commodity Prices'!$B$9:$B$2500,3)+
SUMIFS('Commodity Prices'!$I$9:$I$2500,'Commodity Prices'!$A$9:$A$2500,'Gold - Prices'!E55,'Commodity Prices'!$B$9:$B$2500,4)+
SUMIFS('Commodity Prices'!$I$9:$I$2500,'Commodity Prices'!$A$9:$A$2500,'Gold - Prices'!F55,'Commodity Prices'!$B$9:$B$2500,1)+
SUMIFS('Commodity Prices'!$I$9:$I$2500,'Commodity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1263.72075</v>
      </c>
    </row>
    <row r="56" spans="1:14">
      <c r="A56" s="423">
        <f>LARGE('Commodity Prices'!C$159:C$902,13)</f>
        <v>44896</v>
      </c>
      <c r="B56" s="484">
        <f>SUMIF('Commodity Prices'!C$159:C$902,A56,'Commodity Prices'!I$159:I$902)</f>
        <v>1796.742</v>
      </c>
      <c r="C56" s="483">
        <f>SUMIF('Commodity Prices'!C$159:C$902,A56,'Commodity Prices'!J$159:J$902)</f>
        <v>2662.9885051612905</v>
      </c>
      <c r="D56" s="8"/>
      <c r="E56" s="70">
        <f t="shared" si="2"/>
        <v>2019</v>
      </c>
      <c r="F56" s="70">
        <f t="shared" si="3"/>
        <v>2020</v>
      </c>
      <c r="G56" s="758">
        <f t="shared" si="1"/>
        <v>2019</v>
      </c>
      <c r="H56" s="484">
        <f t="array" ref="H56">IF($G$6="Historic Calendar Year",IFERROR(AVERAGE(IF($G56=YEAR('Commodity Prices'!$C$9:$C$1000),'Commodity Prices'!$I$9:$I$1000)),"NA"),IFERROR(IF(K56=0,"NA",K56),"NA"))</f>
        <v>1392.1745833333334</v>
      </c>
      <c r="I56" s="483">
        <f t="array" ref="I56">IF($G$6="Historic Calendar Year",IFERROR(AVERAGE(IF($G56=YEAR('Commodity Prices'!$C$9:$C$1000),'Commodity Prices'!$J$9:$J$1000)),"NA"),IFERROR(IF(J56=0,"NA",J56),"NA"))</f>
        <v>2009.4724999999996</v>
      </c>
      <c r="J56" s="228">
        <f>(SUMIFS('Commodity Prices'!$J$9:$J$2500,'Commodity Prices'!$A$9:$A$2500,'Gold - Prices'!E56,'Commodity Prices'!$B$9:$B$2500,3)+
SUMIFS('Commodity Prices'!$J$9:$J$2500,'Commodity Prices'!$A$9:$A$2500,'Gold - Prices'!E56,'Commodity Prices'!$B$9:$B$2500,4)+
SUMIFS('Commodity Prices'!$J$9:$J$2500,'Commodity Prices'!$A$9:$A$2500,'Gold - Prices'!F56,'Commodity Prices'!$B$9:$B$2500,1)+
SUMIFS('Commodity Prices'!$J$9:$J$2500,'Commodity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2339.0500000000006</v>
      </c>
      <c r="K56" s="228">
        <f>(SUMIFS('Commodity Prices'!$I$9:$I$2500,'Commodity Prices'!$A$9:$A$2500,'Gold - Prices'!E56,'Commodity Prices'!$B$9:$B$2500,3)+
SUMIFS('Commodity Prices'!$I$9:$I$2500,'Commodity Prices'!$A$9:$A$2500,'Gold - Prices'!E56,'Commodity Prices'!$B$9:$B$2500,4)+
SUMIFS('Commodity Prices'!$I$9:$I$2500,'Commodity Prices'!$A$9:$A$2500,'Gold - Prices'!F56,'Commodity Prices'!$B$9:$B$2500,1)+
SUMIFS('Commodity Prices'!$I$9:$I$2500,'Commodity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1562.0986666666668</v>
      </c>
    </row>
    <row r="57" spans="1:14">
      <c r="A57" s="423">
        <f>LARGE('Commodity Prices'!C$159:C$902,12)</f>
        <v>44927</v>
      </c>
      <c r="B57" s="537">
        <f>SUMIF('Commodity Prices'!C$159:C$902,A57,'Commodity Prices'!I$159:I$902)</f>
        <v>1898.6289999999999</v>
      </c>
      <c r="C57" s="538">
        <f>SUMIF('Commodity Prices'!C$159:C$902,A57,'Commodity Prices'!J$159:J$902)</f>
        <v>2730.4556435483869</v>
      </c>
      <c r="D57" s="8"/>
      <c r="E57" s="70">
        <f t="shared" si="2"/>
        <v>2020</v>
      </c>
      <c r="F57" s="70">
        <f t="shared" si="3"/>
        <v>2021</v>
      </c>
      <c r="G57" s="758">
        <f t="shared" si="1"/>
        <v>2020</v>
      </c>
      <c r="H57" s="537">
        <f t="array" ref="H57">IF($G$6="Historic Calendar Year",IFERROR(AVERAGE(IF($G57=YEAR('Commodity Prices'!$C$9:$C$1000),'Commodity Prices'!$I$9:$I$1000)),"NA"),IFERROR(IF(K57=0,"NA",K57),"NA"))</f>
        <v>1769.5873333333336</v>
      </c>
      <c r="I57" s="538">
        <f t="array" ref="I57">IF($G$6="Historic Calendar Year",IFERROR(AVERAGE(IF($G57=YEAR('Commodity Prices'!$C$9:$C$1000),'Commodity Prices'!$J$9:$J$1000)),"NA"),IFERROR(IF(J57=0,"NA",J57),"NA"))</f>
        <v>2566.8400000000006</v>
      </c>
      <c r="J57" s="228">
        <f>(SUMIFS('Commodity Prices'!$J$9:$J$2500,'Commodity Prices'!$A$9:$A$2500,'Gold - Prices'!E57,'Commodity Prices'!$B$9:$B$2500,3)+
SUMIFS('Commodity Prices'!$J$9:$J$2500,'Commodity Prices'!$A$9:$A$2500,'Gold - Prices'!E57,'Commodity Prices'!$B$9:$B$2500,4)+
SUMIFS('Commodity Prices'!$J$9:$J$2500,'Commodity Prices'!$A$9:$A$2500,'Gold - Prices'!F57,'Commodity Prices'!$B$9:$B$2500,1)+
SUMIFS('Commodity Prices'!$J$9:$J$2500,'Commodity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2484.2999999999997</v>
      </c>
      <c r="K57" s="228">
        <f>(SUMIFS('Commodity Prices'!$I$9:$I$2500,'Commodity Prices'!$A$9:$A$2500,'Gold - Prices'!E57,'Commodity Prices'!$B$9:$B$2500,3)+
SUMIFS('Commodity Prices'!$I$9:$I$2500,'Commodity Prices'!$A$9:$A$2500,'Gold - Prices'!E57,'Commodity Prices'!$B$9:$B$2500,4)+
SUMIFS('Commodity Prices'!$I$9:$I$2500,'Commodity Prices'!$A$9:$A$2500,'Gold - Prices'!F57,'Commodity Prices'!$B$9:$B$2500,1)+
SUMIFS('Commodity Prices'!$I$9:$I$2500,'Commodity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1849.7225833333334</v>
      </c>
    </row>
    <row r="58" spans="1:14">
      <c r="A58" s="423">
        <f>LARGE('Commodity Prices'!C$159:C$902,11)</f>
        <v>44958</v>
      </c>
      <c r="B58" s="484">
        <f>SUMIF('Commodity Prices'!C$159:C$902,A58,'Commodity Prices'!I$159:I$902)</f>
        <v>1854.54</v>
      </c>
      <c r="C58" s="483">
        <f>SUMIF('Commodity Prices'!C$159:C$902,A58,'Commodity Prices'!J$159:J$902)</f>
        <v>2690.315099285714</v>
      </c>
      <c r="D58" s="8"/>
      <c r="E58" s="268">
        <f t="shared" si="2"/>
        <v>2021</v>
      </c>
      <c r="F58" s="268">
        <f t="shared" si="3"/>
        <v>2022</v>
      </c>
      <c r="G58" s="758">
        <f t="shared" si="1"/>
        <v>2021</v>
      </c>
      <c r="H58" s="484">
        <f t="array" ref="H58">IF($G$6="Historic Calendar Year",IFERROR(AVERAGE(IF($G58=YEAR('Commodity Prices'!$C$9:$C$1000),'Commodity Prices'!$I$9:$I$1000)),"n/a"),IFERROR(IF(K58=0,"n/a",K58),"n/a"))</f>
        <v>1799.576</v>
      </c>
      <c r="I58" s="483">
        <f t="array" ref="I58">IF($G$6="Historic Calendar Year",IFERROR(AVERAGE(IF($G58=YEAR('Commodity Prices'!$C$9:$C$1000),'Commodity Prices'!$J$9:$J$1000)),"n/a"),IFERROR(IF(J58=0,"n/a",J58),"n/a"))</f>
        <v>2402.1908333333336</v>
      </c>
      <c r="J58" s="381">
        <f>(SUMIFS('Commodity Prices'!$J$9:$J$2500,'Commodity Prices'!$A$9:$A$2500,'Gold - Prices'!E58,'Commodity Prices'!$B$9:$B$2500,3)+
SUMIFS('Commodity Prices'!$J$9:$J$2500,'Commodity Prices'!$A$9:$A$2500,'Gold - Prices'!E58,'Commodity Prices'!$B$9:$B$2500,4)+
SUMIFS('Commodity Prices'!$J$9:$J$2500,'Commodity Prices'!$A$9:$A$2500,'Gold - Prices'!F58,'Commodity Prices'!$B$9:$B$2500,1)+
SUMIFS('Commodity Prices'!$J$9:$J$2500,'Commodity Prices'!$A$9:$A$2500,'Gold - Prices'!F58,'Commodity Prices'!$B$9:$B$2500,2))
/(COUNTIFS('Commodity Prices'!$A$9:$A$2500,'Gold - Prices'!E58,'Commodity Prices'!$B$9:$B$2500,3)+
COUNTIFS('Commodity Prices'!$A$9:$A$2500,'Gold - Prices'!E58,'Commodity Prices'!$B$9:$B$2500,4)+
COUNTIFS('Commodity Prices'!$A$9:$A$2500,'Gold - Prices'!F58,'Commodity Prices'!$B$9:$B$2500,1)+
COUNTIFS('Commodity Prices'!$A$9:$A$2500,'Gold - Prices'!F58,'Commodity Prices'!$B$9:$B$2500,2))</f>
        <v>2532.2044889761264</v>
      </c>
      <c r="K58" s="381">
        <f>(SUMIFS('Commodity Prices'!$I$9:$I$2500,'Commodity Prices'!$A$9:$A$2500,'Gold - Prices'!E58,'Commodity Prices'!$B$9:$B$2500,3)+
SUMIFS('Commodity Prices'!$I$9:$I$2500,'Commodity Prices'!$A$9:$A$2500,'Gold - Prices'!E58,'Commodity Prices'!$B$9:$B$2500,4)+
SUMIFS('Commodity Prices'!$I$9:$I$2500,'Commodity Prices'!$A$9:$A$2500,'Gold - Prices'!F58,'Commodity Prices'!$B$9:$B$2500,1)+
SUMIFS('Commodity Prices'!$I$9:$I$2500,'Commodity Prices'!$A$9:$A$2500,'Gold - Prices'!F58,'Commodity Prices'!$B$9:$B$2500,2))
/(COUNTIFS('Commodity Prices'!$A$9:$A$2500,'Gold - Prices'!E58,'Commodity Prices'!$B$9:$B$2500,3)+
COUNTIFS('Commodity Prices'!$A$9:$A$2500,'Gold - Prices'!E58,'Commodity Prices'!$B$9:$B$2500,4)+
COUNTIFS('Commodity Prices'!$A$9:$A$2500,'Gold - Prices'!F58,'Commodity Prices'!$B$9:$B$2500,1)+
COUNTIFS('Commodity Prices'!$A$9:$A$2500,'Gold - Prices'!F58,'Commodity Prices'!$B$9:$B$2500,2))</f>
        <v>1832.41425</v>
      </c>
    </row>
    <row r="59" spans="1:14">
      <c r="A59" s="423">
        <f>LARGE('Commodity Prices'!C$159:C$902,10)</f>
        <v>44986</v>
      </c>
      <c r="B59" s="537">
        <f>SUMIF('Commodity Prices'!C$159:C$902,A59,'Commodity Prices'!I$159:I$902)</f>
        <v>1912.73</v>
      </c>
      <c r="C59" s="538">
        <f>SUMIF('Commodity Prices'!C$159:C$902,A59,'Commodity Prices'!J$159:J$902)</f>
        <v>2866.6851138709671</v>
      </c>
      <c r="D59" s="8"/>
      <c r="E59" s="268">
        <f t="shared" si="2"/>
        <v>2022</v>
      </c>
      <c r="F59" s="268">
        <f t="shared" si="3"/>
        <v>2023</v>
      </c>
      <c r="G59" s="758">
        <f t="shared" ref="G59" si="4">IF($G$6="Historic Calendar Year",G58+1,CONCATENATE(E59,"-",RIGHT(F59,4)))</f>
        <v>2022</v>
      </c>
      <c r="H59" s="537">
        <f t="array" ref="H59">IF($G$6="Historic Calendar Year",IFERROR(AVERAGE(IF($G59=YEAR('Commodity Prices'!$C$9:$C$1000),'Commodity Prices'!$I$9:$I$1000)),"n/a"),IFERROR(IF(K59=0,"n/a",K59),"n/a"))</f>
        <v>1800.7952499999999</v>
      </c>
      <c r="I59" s="538">
        <f t="array" ref="I59">IF($G$6="Historic Calendar Year",IFERROR(AVERAGE(IF($G59=YEAR('Commodity Prices'!$C$9:$C$1000),'Commodity Prices'!$J$9:$J$1000)),"n/a"),IFERROR(IF(J59=0,"n/a",J59),"n/a"))</f>
        <v>2594.8344265415394</v>
      </c>
      <c r="J59" s="381">
        <f>(SUMIFS('Commodity Prices'!$J$9:$J$2500,'Commodity Prices'!$A$9:$A$2500,'Gold - Prices'!E59,'Commodity Prices'!$B$9:$B$2500,3)+
SUMIFS('Commodity Prices'!$J$9:$J$2500,'Commodity Prices'!$A$9:$A$2500,'Gold - Prices'!E59,'Commodity Prices'!$B$9:$B$2500,4)+
SUMIFS('Commodity Prices'!$J$9:$J$2500,'Commodity Prices'!$A$9:$A$2500,'Gold - Prices'!F59,'Commodity Prices'!$B$9:$B$2500,1)+
SUMIFS('Commodity Prices'!$J$9:$J$2500,'Commodity Prices'!$A$9:$A$2500,'Gold - Prices'!F59,'Commodity Prices'!$B$9:$B$2500,2))
/(COUNTIFS('Commodity Prices'!$A$9:$A$2500,'Gold - Prices'!E59,'Commodity Prices'!$B$9:$B$2500,3)+
COUNTIFS('Commodity Prices'!$A$9:$A$2500,'Gold - Prices'!E59,'Commodity Prices'!$B$9:$B$2500,4)+
COUNTIFS('Commodity Prices'!$A$9:$A$2500,'Gold - Prices'!F59,'Commodity Prices'!$B$9:$B$2500,1)+
COUNTIFS('Commodity Prices'!$A$9:$A$2500,'Gold - Prices'!F59,'Commodity Prices'!$B$9:$B$2500,2))</f>
        <v>2737.7568780983097</v>
      </c>
      <c r="K59" s="381">
        <f>(SUMIFS('Commodity Prices'!$I$9:$I$2500,'Commodity Prices'!$A$9:$A$2500,'Gold - Prices'!E59,'Commodity Prices'!$B$9:$B$2500,3)+
SUMIFS('Commodity Prices'!$I$9:$I$2500,'Commodity Prices'!$A$9:$A$2500,'Gold - Prices'!E59,'Commodity Prices'!$B$9:$B$2500,4)+
SUMIFS('Commodity Prices'!$I$9:$I$2500,'Commodity Prices'!$A$9:$A$2500,'Gold - Prices'!F59,'Commodity Prices'!$B$9:$B$2500,1)+
SUMIFS('Commodity Prices'!$I$9:$I$2500,'Commodity Prices'!$A$9:$A$2500,'Gold - Prices'!F59,'Commodity Prices'!$B$9:$B$2500,2))
/(COUNTIFS('Commodity Prices'!$A$9:$A$2500,'Gold - Prices'!E59,'Commodity Prices'!$B$9:$B$2500,3)+
COUNTIFS('Commodity Prices'!$A$9:$A$2500,'Gold - Prices'!E59,'Commodity Prices'!$B$9:$B$2500,4)+
COUNTIFS('Commodity Prices'!$A$9:$A$2500,'Gold - Prices'!F59,'Commodity Prices'!$B$9:$B$2500,1)+
COUNTIFS('Commodity Prices'!$A$9:$A$2500,'Gold - Prices'!F59,'Commodity Prices'!$B$9:$B$2500,2))</f>
        <v>1839.6082727272726</v>
      </c>
    </row>
    <row r="60" spans="1:14" ht="15.75" thickBot="1">
      <c r="A60" s="423">
        <f>LARGE('Commodity Prices'!C$159:C$902,9)</f>
        <v>45017</v>
      </c>
      <c r="B60" s="484">
        <f>SUMIF('Commodity Prices'!C$159:C$902,A60,'Commodity Prices'!I$159:I$902)</f>
        <v>2000.4169999999999</v>
      </c>
      <c r="C60" s="483">
        <f>SUMIF('Commodity Prices'!C$159:C$902,A60,'Commodity Prices'!J$159:J$902)</f>
        <v>2986.6147209999995</v>
      </c>
      <c r="D60" s="8"/>
      <c r="E60" s="70">
        <f t="shared" si="2"/>
        <v>2023</v>
      </c>
      <c r="F60" s="70">
        <f t="shared" si="3"/>
        <v>2024</v>
      </c>
      <c r="G60" s="1613">
        <f t="shared" ref="G60" si="5">IF($G$6="Historic Calendar Year",G59+1,CONCATENATE(E60,"-",RIGHT(F60,4)))</f>
        <v>2023</v>
      </c>
      <c r="H60" s="898">
        <f t="array" ref="H60">IF($G$6="Historic Calendar Year",IFERROR(AVERAGE(IF($G60=YEAR('Commodity Prices'!$C$9:$C$1000),'Commodity Prices'!$I$9:$I$1000)),"n/a"),IFERROR(IF(K60=0,"n/a",K60),"n/a"))</f>
        <v>1942.7394999999999</v>
      </c>
      <c r="I60" s="1188">
        <f t="array" ref="I60">IF($G$6="Historic Calendar Year",IFERROR(AVERAGE(IF($G60=YEAR('Commodity Prices'!$C$9:$C$1000),'Commodity Prices'!$J$9:$J$1000)),"n/a"),IFERROR(IF(J60=0,"n/a",J60),"n/a"))</f>
        <v>2926.8317733365329</v>
      </c>
    </row>
    <row r="61" spans="1:14" ht="15.75" thickBot="1">
      <c r="A61" s="423">
        <f>LARGE('Commodity Prices'!C$159:C$902,8)</f>
        <v>45047</v>
      </c>
      <c r="B61" s="537">
        <f>SUMIF('Commodity Prices'!C$159:C$902,A61,'Commodity Prices'!I$159:I$902)</f>
        <v>1990.2180000000001</v>
      </c>
      <c r="C61" s="538">
        <f>SUMIF('Commodity Prices'!C$159:C$902,A61,'Commodity Prices'!J$159:J$902)</f>
        <v>2995.5709090322575</v>
      </c>
      <c r="D61" s="8"/>
      <c r="E61" s="70"/>
      <c r="F61" s="70"/>
      <c r="G61" s="8"/>
      <c r="H61" s="8"/>
      <c r="I61" s="8"/>
    </row>
    <row r="62" spans="1:14">
      <c r="A62" s="423">
        <f>LARGE('Commodity Prices'!C$159:C$902,7)</f>
        <v>45078</v>
      </c>
      <c r="B62" s="484">
        <f>SUMIF('Commodity Prices'!C$159:C$902,A62,'Commodity Prices'!I$159:I$902)</f>
        <v>1942.9</v>
      </c>
      <c r="C62" s="483">
        <f>SUMIF('Commodity Prices'!C$159:C$902,A62,'Commodity Prices'!J$159:J$902)</f>
        <v>2895.1332883333325</v>
      </c>
      <c r="D62" s="8"/>
      <c r="E62" s="70"/>
      <c r="F62" s="70"/>
      <c r="G62" s="2006" t="s">
        <v>321</v>
      </c>
      <c r="H62" s="2007"/>
      <c r="I62" s="2008"/>
    </row>
    <row r="63" spans="1:14" ht="15.75" thickBot="1">
      <c r="A63" s="423">
        <f>LARGE('Commodity Prices'!C$159:C$902,6)</f>
        <v>45108</v>
      </c>
      <c r="B63" s="537">
        <f>SUMIF('Commodity Prices'!C$159:C$902,A63,'Commodity Prices'!I$159:I$902)</f>
        <v>1948.855</v>
      </c>
      <c r="C63" s="538">
        <f>SUMIF('Commodity Prices'!C$159:C$902,A63,'Commodity Prices'!J$159:J$902)</f>
        <v>2894.3292848387091</v>
      </c>
      <c r="D63" s="8"/>
      <c r="E63" s="70"/>
      <c r="F63" s="70"/>
      <c r="G63" s="1955" t="s">
        <v>282</v>
      </c>
      <c r="H63" s="1977"/>
      <c r="I63" s="1956"/>
    </row>
    <row r="64" spans="1:14">
      <c r="A64" s="423">
        <f>LARGE('Commodity Prices'!C$159:C$902,5)</f>
        <v>45139</v>
      </c>
      <c r="B64" s="484">
        <f>SUMIF('Commodity Prices'!C$159:C$902,A64,'Commodity Prices'!I$159:I$902)</f>
        <v>1920.0250000000001</v>
      </c>
      <c r="C64" s="483">
        <f>SUMIF('Commodity Prices'!C$159:C$902,A64,'Commodity Prices'!J$159:J$902)</f>
        <v>2960.7191825806458</v>
      </c>
      <c r="D64" s="8"/>
      <c r="E64" s="70"/>
      <c r="F64" s="70"/>
      <c r="G64" s="1949" t="s">
        <v>322</v>
      </c>
      <c r="H64" s="1949"/>
      <c r="I64" s="1949"/>
    </row>
    <row r="65" spans="1:9">
      <c r="A65" s="423">
        <f>LARGE('Commodity Prices'!C$159:C$902,4)</f>
        <v>45170</v>
      </c>
      <c r="B65" s="537">
        <f>SUMIF('Commodity Prices'!C$159:C$902,A65,'Commodity Prices'!I$159:I$902)</f>
        <v>1916.96</v>
      </c>
      <c r="C65" s="538">
        <f>SUMIF('Commodity Prices'!C$159:C$902,A65,'Commodity Prices'!J$159:J$902)</f>
        <v>2984.2054969999995</v>
      </c>
      <c r="D65" s="8"/>
      <c r="E65" s="70"/>
      <c r="F65" s="70"/>
      <c r="G65" s="8"/>
      <c r="H65" s="8"/>
      <c r="I65" s="8"/>
    </row>
    <row r="66" spans="1:9">
      <c r="A66" s="423">
        <f>LARGE('Commodity Prices'!C$159:C$902,3)</f>
        <v>45200</v>
      </c>
      <c r="B66" s="484">
        <f>SUMIF('Commodity Prices'!C$159:C$902,A66,'Commodity Prices'!I$159:I$902)</f>
        <v>1913.0360000000001</v>
      </c>
      <c r="C66" s="483">
        <f>SUMIF('Commodity Prices'!C$159:C$902,A66,'Commodity Prices'!J$159:J$902)</f>
        <v>3023.2649787096771</v>
      </c>
      <c r="D66" s="8"/>
      <c r="E66" s="70"/>
      <c r="F66" s="70"/>
      <c r="G66" s="2005"/>
      <c r="H66" s="2005"/>
      <c r="I66" s="2005"/>
    </row>
    <row r="67" spans="1:9">
      <c r="A67" s="423">
        <f>LARGE('Commodity Prices'!C$159:C$902,2)</f>
        <v>45231</v>
      </c>
      <c r="B67" s="537">
        <f>SUMIF('Commodity Prices'!C$159:C$902,A67,'Commodity Prices'!I$159:I$902)</f>
        <v>1985.2729999999999</v>
      </c>
      <c r="C67" s="538">
        <f>SUMIF('Commodity Prices'!C$159:C$902,A67,'Commodity Prices'!J$159:J$902)</f>
        <v>3052.067697</v>
      </c>
      <c r="D67" s="8"/>
      <c r="E67" s="70"/>
      <c r="F67" s="70"/>
      <c r="G67" s="2005"/>
      <c r="H67" s="2005"/>
      <c r="I67" s="2005"/>
    </row>
    <row r="68" spans="1:9" ht="15.75" thickBot="1">
      <c r="A68" s="424">
        <f>LARGE('Commodity Prices'!C$159:C$902,1)</f>
        <v>45261</v>
      </c>
      <c r="B68" s="898">
        <f>SUMIF('Commodity Prices'!C$159:C$902,A68,'Commodity Prices'!I$159:I$902)</f>
        <v>2029.2909999999999</v>
      </c>
      <c r="C68" s="1188">
        <f>SUMIF('Commodity Prices'!C$159:C$902,A68,'Commodity Prices'!J$159:J$902)</f>
        <v>3042.6198648387103</v>
      </c>
      <c r="E68" s="70"/>
      <c r="F68" s="70"/>
      <c r="G68" s="2005"/>
      <c r="H68" s="2005"/>
      <c r="I68" s="2005"/>
    </row>
    <row r="69" spans="1:9">
      <c r="G69" s="8"/>
      <c r="H69" s="8"/>
      <c r="I69" s="8"/>
    </row>
    <row r="70" spans="1:9">
      <c r="G70" s="8"/>
      <c r="H70" s="8"/>
      <c r="I70" s="8"/>
    </row>
    <row r="71" spans="1:9">
      <c r="G71" s="8"/>
      <c r="H71" s="8"/>
      <c r="I71" s="8"/>
    </row>
    <row r="72" spans="1:9">
      <c r="G72" s="8"/>
      <c r="H72" s="8"/>
      <c r="I72" s="8"/>
    </row>
    <row r="73" spans="1:9">
      <c r="G73" s="8"/>
      <c r="H73" s="8"/>
      <c r="I73" s="8"/>
    </row>
    <row r="74" spans="1:9">
      <c r="G74" s="8"/>
      <c r="H74" s="8"/>
      <c r="I74" s="8"/>
    </row>
    <row r="75" spans="1:9">
      <c r="G75" s="8"/>
      <c r="H75" s="8"/>
      <c r="I75" s="8"/>
    </row>
    <row r="76" spans="1:9">
      <c r="G76" s="8"/>
      <c r="H76" s="8"/>
      <c r="I76" s="8"/>
    </row>
    <row r="77" spans="1:9">
      <c r="G77" s="8"/>
      <c r="H77" s="8"/>
      <c r="I77" s="8"/>
    </row>
    <row r="78" spans="1:9">
      <c r="G78" s="8"/>
      <c r="H78" s="8"/>
      <c r="I78" s="8"/>
    </row>
    <row r="79" spans="1:9">
      <c r="G79" s="8"/>
      <c r="H79" s="8"/>
      <c r="I79" s="8"/>
    </row>
    <row r="80" spans="1:9">
      <c r="G80" s="8"/>
      <c r="H80" s="8"/>
      <c r="I80" s="8"/>
    </row>
    <row r="81" spans="7:9">
      <c r="G81" s="8"/>
      <c r="H81" s="8"/>
      <c r="I81" s="8"/>
    </row>
    <row r="82" spans="7:9">
      <c r="G82" s="8"/>
      <c r="H82" s="8"/>
      <c r="I82" s="8"/>
    </row>
    <row r="83" spans="7:9">
      <c r="G83" s="8"/>
      <c r="H83" s="8"/>
      <c r="I83" s="8"/>
    </row>
    <row r="84" spans="7:9">
      <c r="G84" s="8"/>
      <c r="H84" s="8"/>
      <c r="I84" s="8"/>
    </row>
    <row r="85" spans="7:9">
      <c r="G85" s="8"/>
      <c r="H85" s="8"/>
      <c r="I85" s="8"/>
    </row>
  </sheetData>
  <mergeCells count="8">
    <mergeCell ref="G66:I68"/>
    <mergeCell ref="G63:I63"/>
    <mergeCell ref="G64:I64"/>
    <mergeCell ref="A5:C5"/>
    <mergeCell ref="G5:I5"/>
    <mergeCell ref="A6:C6"/>
    <mergeCell ref="G6:I6"/>
    <mergeCell ref="G62:I62"/>
  </mergeCells>
  <dataValidations count="1">
    <dataValidation type="list" allowBlank="1" showInputMessage="1" showErrorMessage="1" promptTitle="Select a Period:" prompt="Select Financial or Calendar years." sqref="G63:I63" xr:uid="{00000000-0002-0000-1300-000000000000}">
      <formula1>$Y$1:$Y$2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C000"/>
  </sheetPr>
  <dimension ref="A1:S250"/>
  <sheetViews>
    <sheetView showGridLines="0" workbookViewId="0"/>
  </sheetViews>
  <sheetFormatPr defaultColWidth="9.140625" defaultRowHeight="15"/>
  <cols>
    <col min="1" max="1" width="15" style="13" bestFit="1" customWidth="1"/>
    <col min="2" max="2" width="16.85546875" style="13" bestFit="1" customWidth="1"/>
    <col min="3" max="3" width="16" style="13" bestFit="1" customWidth="1"/>
    <col min="4" max="5" width="11.5703125" style="19" hidden="1" customWidth="1"/>
    <col min="6" max="6" width="18.85546875" style="13" bestFit="1" customWidth="1"/>
    <col min="7" max="12" width="9.140625" style="13"/>
    <col min="13" max="13" width="10.85546875" style="13" customWidth="1"/>
    <col min="14" max="14" width="13.5703125" style="1635" customWidth="1"/>
    <col min="15" max="15" width="16.85546875" style="13" bestFit="1" customWidth="1"/>
    <col min="16" max="16" width="16" style="13" bestFit="1" customWidth="1"/>
    <col min="17" max="16384" width="9.140625" style="13"/>
  </cols>
  <sheetData>
    <row r="1" spans="1:16">
      <c r="A1" s="66" t="s">
        <v>240</v>
      </c>
    </row>
    <row r="2" spans="1:16">
      <c r="A2" s="66" t="s">
        <v>246</v>
      </c>
    </row>
    <row r="4" spans="1:16" ht="18" customHeight="1"/>
    <row r="5" spans="1:16">
      <c r="A5" s="1972"/>
      <c r="B5" s="1972"/>
      <c r="C5" s="1972"/>
      <c r="D5" s="51"/>
      <c r="E5" s="51"/>
    </row>
    <row r="6" spans="1:16" ht="15.75" thickBot="1">
      <c r="A6" s="2004" t="s">
        <v>423</v>
      </c>
      <c r="B6" s="2004"/>
      <c r="C6" s="2004"/>
      <c r="D6" s="52"/>
      <c r="E6" s="52"/>
    </row>
    <row r="7" spans="1:16">
      <c r="A7" s="803" t="s">
        <v>5</v>
      </c>
      <c r="B7" s="809" t="s">
        <v>234</v>
      </c>
      <c r="C7" s="810" t="s">
        <v>382</v>
      </c>
      <c r="D7" s="45"/>
      <c r="E7" s="45"/>
      <c r="N7" s="1948" t="s">
        <v>425</v>
      </c>
      <c r="O7" s="1948"/>
      <c r="P7" s="1948"/>
    </row>
    <row r="8" spans="1:16" ht="15.75" thickBot="1">
      <c r="A8" s="423">
        <v>36220</v>
      </c>
      <c r="B8" s="484">
        <v>52.66</v>
      </c>
      <c r="C8" s="483">
        <v>766.21</v>
      </c>
      <c r="D8" s="48">
        <f>YEAR(A8)</f>
        <v>1999</v>
      </c>
      <c r="E8" s="48" t="str">
        <f>IF(MONTH(A8)=3,"1",IF(MONTH(A8)=6,"2",IF(MONTH(A8)=9,"3","4")))</f>
        <v>1</v>
      </c>
      <c r="N8" s="1973" t="s">
        <v>580</v>
      </c>
      <c r="O8" s="1973"/>
      <c r="P8" s="1973"/>
    </row>
    <row r="9" spans="1:16">
      <c r="A9" s="423">
        <v>36312</v>
      </c>
      <c r="B9" s="537">
        <v>52.39</v>
      </c>
      <c r="C9" s="538">
        <v>704.47</v>
      </c>
      <c r="D9" s="48">
        <f t="shared" ref="D9:D71" si="0">YEAR(A9)</f>
        <v>1999</v>
      </c>
      <c r="E9" s="48" t="str">
        <f t="shared" ref="E9:E72" si="1">IF(MONTH(A9)=3,"1",IF(MONTH(A9)=6,"2",IF(MONTH(A9)=9,"3","4")))</f>
        <v>2</v>
      </c>
      <c r="N9" s="1637" t="s">
        <v>5</v>
      </c>
      <c r="O9" s="807" t="s">
        <v>234</v>
      </c>
      <c r="P9" s="811" t="s">
        <v>382</v>
      </c>
    </row>
    <row r="10" spans="1:16">
      <c r="A10" s="423">
        <v>36404</v>
      </c>
      <c r="B10" s="484">
        <v>53.69</v>
      </c>
      <c r="C10" s="483">
        <v>687.61</v>
      </c>
      <c r="D10" s="48">
        <f t="shared" si="0"/>
        <v>1999</v>
      </c>
      <c r="E10" s="48" t="str">
        <f t="shared" si="1"/>
        <v>3</v>
      </c>
      <c r="N10" s="1638">
        <f>LARGE(A$8:A$750,9)</f>
        <v>44531</v>
      </c>
      <c r="O10" s="1237">
        <f t="shared" ref="O10:O18" si="2">SUMIF($A$8:$A$738,$N10,B$8:B$750)</f>
        <v>52.716413112901712</v>
      </c>
      <c r="P10" s="489">
        <f t="shared" ref="P10:P18" si="3">SUMIF($A$8:$A$738,$N10,C$8:C$750)</f>
        <v>4180.1658969999999</v>
      </c>
    </row>
    <row r="11" spans="1:16">
      <c r="A11" s="423">
        <v>36495</v>
      </c>
      <c r="B11" s="537">
        <v>52.96</v>
      </c>
      <c r="C11" s="538">
        <v>783.77</v>
      </c>
      <c r="D11" s="48">
        <f t="shared" si="0"/>
        <v>1999</v>
      </c>
      <c r="E11" s="48" t="str">
        <f t="shared" si="1"/>
        <v>4</v>
      </c>
      <c r="N11" s="1638">
        <f>LARGE(A$8:A$750,8)</f>
        <v>44621</v>
      </c>
      <c r="O11" s="541">
        <f t="shared" si="2"/>
        <v>53.812187543047528</v>
      </c>
      <c r="P11" s="1600">
        <f t="shared" si="3"/>
        <v>4481.3439829999998</v>
      </c>
    </row>
    <row r="12" spans="1:16">
      <c r="A12" s="423">
        <v>36586</v>
      </c>
      <c r="B12" s="484">
        <v>48.48</v>
      </c>
      <c r="C12" s="483">
        <v>718.08</v>
      </c>
      <c r="D12" s="48">
        <f t="shared" si="0"/>
        <v>2000</v>
      </c>
      <c r="E12" s="48" t="str">
        <f t="shared" si="1"/>
        <v>1</v>
      </c>
      <c r="N12" s="1638">
        <f>LARGE(A$8:A$750,7)</f>
        <v>44713</v>
      </c>
      <c r="O12" s="1237">
        <f t="shared" si="2"/>
        <v>53.717884911737585</v>
      </c>
      <c r="P12" s="489">
        <f t="shared" si="3"/>
        <v>4519.2586309999997</v>
      </c>
    </row>
    <row r="13" spans="1:16">
      <c r="A13" s="423">
        <v>36678</v>
      </c>
      <c r="B13" s="537">
        <v>50.11</v>
      </c>
      <c r="C13" s="538">
        <v>765.84</v>
      </c>
      <c r="D13" s="48">
        <f t="shared" si="0"/>
        <v>2000</v>
      </c>
      <c r="E13" s="48" t="str">
        <f t="shared" si="1"/>
        <v>2</v>
      </c>
      <c r="N13" s="1638">
        <f>LARGE(A$8:A$750,6)</f>
        <v>44805</v>
      </c>
      <c r="O13" s="541">
        <f t="shared" si="2"/>
        <v>53.605277355571765</v>
      </c>
      <c r="P13" s="1600">
        <f t="shared" si="3"/>
        <v>4355.6182360000003</v>
      </c>
    </row>
    <row r="14" spans="1:16">
      <c r="A14" s="423">
        <v>36770</v>
      </c>
      <c r="B14" s="484">
        <v>52.18</v>
      </c>
      <c r="C14" s="483">
        <v>807.56</v>
      </c>
      <c r="D14" s="48">
        <f t="shared" si="0"/>
        <v>2000</v>
      </c>
      <c r="E14" s="48" t="str">
        <f t="shared" si="1"/>
        <v>3</v>
      </c>
      <c r="N14" s="1638">
        <f>LARGE(A$8:A$750,5)</f>
        <v>44896</v>
      </c>
      <c r="O14" s="1237">
        <f t="shared" si="2"/>
        <v>53.406536931726208</v>
      </c>
      <c r="P14" s="489">
        <f t="shared" si="3"/>
        <v>4519.3915639999996</v>
      </c>
    </row>
    <row r="15" spans="1:16">
      <c r="A15" s="423">
        <v>36861</v>
      </c>
      <c r="B15" s="537">
        <v>48.85</v>
      </c>
      <c r="C15" s="538">
        <v>795.8</v>
      </c>
      <c r="D15" s="48">
        <f t="shared" si="0"/>
        <v>2000</v>
      </c>
      <c r="E15" s="48" t="str">
        <f t="shared" si="1"/>
        <v>4</v>
      </c>
      <c r="N15" s="1638">
        <f>LARGE(A$8:A$750,4)</f>
        <v>44986</v>
      </c>
      <c r="O15" s="541">
        <f t="shared" si="2"/>
        <v>49.543430277736618</v>
      </c>
      <c r="P15" s="1600">
        <f t="shared" si="3"/>
        <v>4402.2945890000001</v>
      </c>
    </row>
    <row r="16" spans="1:16">
      <c r="A16" s="423">
        <v>36951</v>
      </c>
      <c r="B16" s="484">
        <v>48.6</v>
      </c>
      <c r="C16" s="483">
        <v>775.97</v>
      </c>
      <c r="D16" s="48">
        <f t="shared" si="0"/>
        <v>2001</v>
      </c>
      <c r="E16" s="48" t="str">
        <f t="shared" si="1"/>
        <v>1</v>
      </c>
      <c r="N16" s="1638">
        <f>LARGE(A$8:A$750,3)</f>
        <v>45078</v>
      </c>
      <c r="O16" s="1237">
        <f t="shared" si="2"/>
        <v>56.338124688135274</v>
      </c>
      <c r="P16" s="489">
        <f t="shared" si="3"/>
        <v>5354.7747979999995</v>
      </c>
    </row>
    <row r="17" spans="1:16">
      <c r="A17" s="423">
        <v>37043</v>
      </c>
      <c r="B17" s="537">
        <v>51.58</v>
      </c>
      <c r="C17" s="538">
        <v>865.74</v>
      </c>
      <c r="D17" s="48">
        <f t="shared" si="0"/>
        <v>2001</v>
      </c>
      <c r="E17" s="48" t="str">
        <f t="shared" si="1"/>
        <v>2</v>
      </c>
      <c r="N17" s="1638">
        <f>LARGE(A$8:A$750,2)</f>
        <v>45170</v>
      </c>
      <c r="O17" s="541">
        <f t="shared" si="2"/>
        <v>50.822118874041742</v>
      </c>
      <c r="P17" s="1600">
        <f t="shared" si="3"/>
        <v>4812.1359489999995</v>
      </c>
    </row>
    <row r="18" spans="1:16" ht="15.75" thickBot="1">
      <c r="A18" s="423">
        <v>37135</v>
      </c>
      <c r="B18" s="484">
        <v>47.03</v>
      </c>
      <c r="C18" s="483">
        <v>807.87</v>
      </c>
      <c r="D18" s="48">
        <f t="shared" si="0"/>
        <v>2001</v>
      </c>
      <c r="E18" s="48" t="str">
        <f t="shared" si="1"/>
        <v>3</v>
      </c>
      <c r="N18" s="1639">
        <f>LARGE(A$8:A$750,1)</f>
        <v>45261</v>
      </c>
      <c r="O18" s="1238">
        <f t="shared" si="2"/>
        <v>54.512742503782938</v>
      </c>
      <c r="P18" s="490">
        <f t="shared" si="3"/>
        <v>5321.7693060000001</v>
      </c>
    </row>
    <row r="19" spans="1:16">
      <c r="A19" s="423">
        <v>37226</v>
      </c>
      <c r="B19" s="537">
        <v>44.99</v>
      </c>
      <c r="C19" s="538">
        <v>786.62</v>
      </c>
      <c r="D19" s="48">
        <f t="shared" si="0"/>
        <v>2001</v>
      </c>
      <c r="E19" s="48" t="str">
        <f t="shared" si="1"/>
        <v>4</v>
      </c>
      <c r="N19" s="1640"/>
    </row>
    <row r="20" spans="1:16">
      <c r="A20" s="423">
        <v>37316</v>
      </c>
      <c r="B20" s="484">
        <v>44.81</v>
      </c>
      <c r="C20" s="483">
        <v>806.7</v>
      </c>
      <c r="D20" s="48">
        <f t="shared" si="0"/>
        <v>2002</v>
      </c>
      <c r="E20" s="48" t="str">
        <f t="shared" si="1"/>
        <v>1</v>
      </c>
      <c r="N20" s="1640"/>
    </row>
    <row r="21" spans="1:16">
      <c r="A21" s="423">
        <v>37408</v>
      </c>
      <c r="B21" s="537">
        <v>48.16</v>
      </c>
      <c r="C21" s="538">
        <v>878.31</v>
      </c>
      <c r="D21" s="48">
        <f t="shared" si="0"/>
        <v>2002</v>
      </c>
      <c r="E21" s="48" t="str">
        <f t="shared" si="1"/>
        <v>2</v>
      </c>
      <c r="N21" s="1640"/>
    </row>
    <row r="22" spans="1:16">
      <c r="A22" s="423">
        <v>37500</v>
      </c>
      <c r="B22" s="484">
        <v>47.52</v>
      </c>
      <c r="C22" s="483">
        <v>876.44</v>
      </c>
      <c r="D22" s="48">
        <f t="shared" si="0"/>
        <v>2002</v>
      </c>
      <c r="E22" s="48" t="str">
        <f t="shared" si="1"/>
        <v>3</v>
      </c>
      <c r="N22" s="1640"/>
    </row>
    <row r="23" spans="1:16">
      <c r="A23" s="423">
        <v>37591</v>
      </c>
      <c r="B23" s="537">
        <v>48.26</v>
      </c>
      <c r="C23" s="538">
        <v>895.78</v>
      </c>
      <c r="D23" s="48">
        <f t="shared" si="0"/>
        <v>2002</v>
      </c>
      <c r="E23" s="48" t="str">
        <f t="shared" si="1"/>
        <v>4</v>
      </c>
      <c r="N23" s="1640"/>
    </row>
    <row r="24" spans="1:16">
      <c r="A24" s="423">
        <v>37681</v>
      </c>
      <c r="B24" s="484">
        <v>44.92</v>
      </c>
      <c r="C24" s="483">
        <v>857.53</v>
      </c>
      <c r="D24" s="48">
        <f t="shared" si="0"/>
        <v>2003</v>
      </c>
      <c r="E24" s="48" t="str">
        <f t="shared" si="1"/>
        <v>1</v>
      </c>
      <c r="N24" s="1640"/>
      <c r="O24" s="381"/>
    </row>
    <row r="25" spans="1:16">
      <c r="A25" s="423">
        <v>37773</v>
      </c>
      <c r="B25" s="537">
        <v>46.67</v>
      </c>
      <c r="C25" s="538">
        <v>812.36</v>
      </c>
      <c r="D25" s="48">
        <f t="shared" si="0"/>
        <v>2003</v>
      </c>
      <c r="E25" s="48" t="str">
        <f t="shared" si="1"/>
        <v>2</v>
      </c>
      <c r="N25" s="1640"/>
    </row>
    <row r="26" spans="1:16">
      <c r="A26" s="423">
        <v>37865</v>
      </c>
      <c r="B26" s="484">
        <v>46.62</v>
      </c>
      <c r="C26" s="483">
        <v>826.7</v>
      </c>
      <c r="D26" s="48">
        <f t="shared" si="0"/>
        <v>2003</v>
      </c>
      <c r="E26" s="48" t="str">
        <f t="shared" si="1"/>
        <v>3</v>
      </c>
    </row>
    <row r="27" spans="1:16">
      <c r="A27" s="423">
        <v>37956</v>
      </c>
      <c r="B27" s="537">
        <v>49.38</v>
      </c>
      <c r="C27" s="538">
        <v>869.49</v>
      </c>
      <c r="D27" s="48">
        <f t="shared" si="0"/>
        <v>2003</v>
      </c>
      <c r="E27" s="48" t="str">
        <f t="shared" si="1"/>
        <v>4</v>
      </c>
    </row>
    <row r="28" spans="1:16">
      <c r="A28" s="423">
        <v>38047</v>
      </c>
      <c r="B28" s="484">
        <v>41.69</v>
      </c>
      <c r="C28" s="483">
        <v>716.23</v>
      </c>
      <c r="D28" s="48">
        <f t="shared" si="0"/>
        <v>2004</v>
      </c>
      <c r="E28" s="48" t="str">
        <f t="shared" si="1"/>
        <v>1</v>
      </c>
    </row>
    <row r="29" spans="1:16">
      <c r="A29" s="423">
        <v>38139</v>
      </c>
      <c r="B29" s="537">
        <v>39.04</v>
      </c>
      <c r="C29" s="538">
        <v>691.75</v>
      </c>
      <c r="D29" s="48">
        <f t="shared" si="0"/>
        <v>2004</v>
      </c>
      <c r="E29" s="48" t="str">
        <f t="shared" si="1"/>
        <v>2</v>
      </c>
    </row>
    <row r="30" spans="1:16">
      <c r="A30" s="423">
        <v>38231</v>
      </c>
      <c r="B30" s="484">
        <v>42.1</v>
      </c>
      <c r="C30" s="483">
        <v>766.16</v>
      </c>
      <c r="D30" s="48">
        <f t="shared" si="0"/>
        <v>2004</v>
      </c>
      <c r="E30" s="48" t="str">
        <f t="shared" si="1"/>
        <v>3</v>
      </c>
    </row>
    <row r="31" spans="1:16" ht="15.75" thickBot="1">
      <c r="A31" s="423">
        <v>38322</v>
      </c>
      <c r="B31" s="537">
        <v>41.05</v>
      </c>
      <c r="C31" s="538">
        <v>757.24</v>
      </c>
      <c r="D31" s="48">
        <f t="shared" si="0"/>
        <v>2004</v>
      </c>
      <c r="E31" s="48" t="str">
        <f t="shared" si="1"/>
        <v>4</v>
      </c>
    </row>
    <row r="32" spans="1:16">
      <c r="A32" s="423">
        <v>38412</v>
      </c>
      <c r="B32" s="484">
        <v>42.723574069999998</v>
      </c>
      <c r="C32" s="483">
        <v>755.68726600000002</v>
      </c>
      <c r="D32" s="48">
        <f t="shared" si="0"/>
        <v>2005</v>
      </c>
      <c r="E32" s="48" t="str">
        <f t="shared" si="1"/>
        <v>1</v>
      </c>
      <c r="N32" s="1641" t="s">
        <v>247</v>
      </c>
      <c r="O32" s="2009" t="s">
        <v>240</v>
      </c>
      <c r="P32" s="2010"/>
    </row>
    <row r="33" spans="1:19">
      <c r="A33" s="423">
        <v>38504</v>
      </c>
      <c r="B33" s="537">
        <v>40.713485339999998</v>
      </c>
      <c r="C33" s="538">
        <v>727.41294900000003</v>
      </c>
      <c r="D33" s="48">
        <f t="shared" si="0"/>
        <v>2005</v>
      </c>
      <c r="E33" s="48" t="str">
        <f t="shared" si="1"/>
        <v>2</v>
      </c>
      <c r="N33" s="1961" t="str">
        <f>CONCATENATE(A5," Quantity And Value ")</f>
        <v xml:space="preserve"> Quantity And Value </v>
      </c>
      <c r="O33" s="1962"/>
      <c r="P33" s="1963"/>
    </row>
    <row r="34" spans="1:19">
      <c r="A34" s="423">
        <v>38596</v>
      </c>
      <c r="B34" s="484">
        <v>40.118740899999999</v>
      </c>
      <c r="C34" s="483">
        <v>744.97775000000001</v>
      </c>
      <c r="D34" s="48">
        <f t="shared" si="0"/>
        <v>2005</v>
      </c>
      <c r="E34" s="48" t="str">
        <f t="shared" si="1"/>
        <v>3</v>
      </c>
      <c r="N34" s="1642" t="s">
        <v>34</v>
      </c>
      <c r="O34" s="1444" t="str">
        <f>B7</f>
        <v>Quantity (t)</v>
      </c>
      <c r="P34" s="1445" t="str">
        <f>C7</f>
        <v>Value ($ Million)</v>
      </c>
    </row>
    <row r="35" spans="1:19">
      <c r="A35" s="423">
        <v>38687</v>
      </c>
      <c r="B35" s="537">
        <v>43.729523180000001</v>
      </c>
      <c r="C35" s="538">
        <v>916.05683299999998</v>
      </c>
      <c r="D35" s="48">
        <f t="shared" si="0"/>
        <v>2005</v>
      </c>
      <c r="E35" s="48" t="str">
        <f t="shared" si="1"/>
        <v>4</v>
      </c>
      <c r="N35" s="1732">
        <f t="shared" ref="N35:N52" si="4">IF($O$32="Calendar Year", N36-1, LEFT(N36,4)-1 &amp; "-" &amp; MID(N36,3,2))</f>
        <v>2004</v>
      </c>
      <c r="O35" s="545">
        <f>IF($O$32="Calendar Year",SUMIF($D$8:$D$200,$N35,$B$8:$B$200),SUMIFS($B$8:$B$200,$D$8:$D$200,LEFT($N35,4),$E$8:$E$200,3)+SUMIFS($B$8:$B$200,$D$8:$D$200,LEFT($N35,4),$E$8:$E$200,4)+SUMIFS($B$8:$B$200,$D$8:$D$200,LEFT($N35,4)+1,$E$8:$E$200,1)+SUMIFS($B$8:$B$200,$D$8:$D$200,LEFT($N35,4)+1,$E$8:$E$200,2))</f>
        <v>163.88</v>
      </c>
      <c r="P35" s="546">
        <f>IF($O$32="Calendar Year",SUMIF($D$8:$D$200,$N35,$C$8:$C$200),SUMIFS($C$8:$C$200,$D$8:$D$200,LEFT($N35,4),$E$8:$E$200,3)+SUMIFS($C$8:$C$200,$D$8:$D$200,LEFT($N35,4),$E$8:$E$200,4)+SUMIFS($C$8:$C$200,$D$8:$D$200,LEFT($N35,4)+1,$E$8:$E$200,1)+SUMIFS($C$8:$C$200,$D$8:$D$200,LEFT($N35,4)+1,$E$8:$E$200,2))</f>
        <v>2931.38</v>
      </c>
    </row>
    <row r="36" spans="1:19">
      <c r="A36" s="423">
        <v>38777</v>
      </c>
      <c r="B36" s="484">
        <v>39.623353799999997</v>
      </c>
      <c r="C36" s="483">
        <v>954.76192300000002</v>
      </c>
      <c r="D36" s="48">
        <f t="shared" si="0"/>
        <v>2006</v>
      </c>
      <c r="E36" s="48" t="str">
        <f t="shared" si="1"/>
        <v>1</v>
      </c>
      <c r="N36" s="1733">
        <f t="shared" si="4"/>
        <v>2005</v>
      </c>
      <c r="O36" s="543">
        <f t="shared" ref="O36:O54" si="5">IF(N36="","",IF($O$32="Calendar Year",SUMIF($D$8:$D$200,$N36,$B$8:$B$200),SUMIFS($B$8:$B$200,$D$8:$D$200,LEFT($N36,4),$E$8:$E$200,3)+SUMIFS($B$8:$B$200,$D$8:$D$200,LEFT($N36,4),$E$8:$E$200,4)+SUMIFS($B$8:$B$200,$D$8:$D$200,LEFT($N36,4)+1,$E$8:$E$200,1)+SUMIFS($B$8:$B$200,$D$8:$D$200,LEFT($N36,4)+1,$E$8:$E$200,2)))</f>
        <v>167.28532349</v>
      </c>
      <c r="P36" s="544">
        <f t="shared" ref="P36:P54" si="6">IF(N36="","",IF($O$32="Calendar Year",SUMIF($D$8:$D$200,$N36,$C$8:$C$200),SUMIFS($C$8:$C$200,$D$8:$D$200,LEFT($N36,4),$E$8:$E$200,3)+SUMIFS($C$8:$C$200,$D$8:$D$200,LEFT($N36,4),$E$8:$E$200,4)+SUMIFS($C$8:$C$200,$D$8:$D$200,LEFT($N36,4)+1,$E$8:$E$200,1)+SUMIFS($C$8:$C$200,$D$8:$D$200,LEFT($N36,4)+1,$E$8:$E$200,2)))</f>
        <v>3144.134798</v>
      </c>
    </row>
    <row r="37" spans="1:19">
      <c r="A37" s="423">
        <v>38869</v>
      </c>
      <c r="B37" s="537">
        <v>39.868646779999999</v>
      </c>
      <c r="C37" s="538">
        <v>1080.5398190000001</v>
      </c>
      <c r="D37" s="48">
        <f t="shared" si="0"/>
        <v>2006</v>
      </c>
      <c r="E37" s="48" t="str">
        <f t="shared" si="1"/>
        <v>2</v>
      </c>
      <c r="N37" s="1733">
        <f t="shared" si="4"/>
        <v>2006</v>
      </c>
      <c r="O37" s="545">
        <f t="shared" si="5"/>
        <v>162.96909348999998</v>
      </c>
      <c r="P37" s="546">
        <f t="shared" si="6"/>
        <v>4208.3325700000005</v>
      </c>
    </row>
    <row r="38" spans="1:19">
      <c r="A38" s="423">
        <v>38961</v>
      </c>
      <c r="B38" s="484">
        <v>39.836891979999997</v>
      </c>
      <c r="C38" s="483">
        <v>1053.8355959999999</v>
      </c>
      <c r="D38" s="48">
        <f t="shared" si="0"/>
        <v>2006</v>
      </c>
      <c r="E38" s="48" t="str">
        <f t="shared" si="1"/>
        <v>3</v>
      </c>
      <c r="N38" s="1733">
        <f t="shared" si="4"/>
        <v>2007</v>
      </c>
      <c r="O38" s="543">
        <f t="shared" si="5"/>
        <v>151.44883905999998</v>
      </c>
      <c r="P38" s="544">
        <f t="shared" si="6"/>
        <v>4039.0577290000001</v>
      </c>
    </row>
    <row r="39" spans="1:19">
      <c r="A39" s="423">
        <v>39052</v>
      </c>
      <c r="B39" s="537">
        <v>43.640200929999999</v>
      </c>
      <c r="C39" s="538">
        <v>1119.195232</v>
      </c>
      <c r="D39" s="48">
        <f t="shared" si="0"/>
        <v>2006</v>
      </c>
      <c r="E39" s="48" t="str">
        <f t="shared" si="1"/>
        <v>4</v>
      </c>
      <c r="N39" s="1733">
        <f t="shared" si="4"/>
        <v>2008</v>
      </c>
      <c r="O39" s="545">
        <f t="shared" si="5"/>
        <v>132.07425353000002</v>
      </c>
      <c r="P39" s="546">
        <f t="shared" si="6"/>
        <v>4399.5130680000002</v>
      </c>
    </row>
    <row r="40" spans="1:19">
      <c r="A40" s="423">
        <v>39142</v>
      </c>
      <c r="B40" s="484">
        <v>38.502062189999997</v>
      </c>
      <c r="C40" s="483">
        <v>1022.274917</v>
      </c>
      <c r="D40" s="48">
        <f t="shared" si="0"/>
        <v>2007</v>
      </c>
      <c r="E40" s="48" t="str">
        <f t="shared" si="1"/>
        <v>1</v>
      </c>
      <c r="N40" s="1733">
        <f t="shared" si="4"/>
        <v>2009</v>
      </c>
      <c r="O40" s="543">
        <f t="shared" si="5"/>
        <v>146.42791006000002</v>
      </c>
      <c r="P40" s="544">
        <f t="shared" si="6"/>
        <v>5814.4216130000004</v>
      </c>
      <c r="R40" s="305"/>
      <c r="S40" s="310"/>
    </row>
    <row r="41" spans="1:19">
      <c r="A41" s="423">
        <v>39234</v>
      </c>
      <c r="B41" s="537">
        <v>37.595793499999999</v>
      </c>
      <c r="C41" s="538">
        <v>970.80074100000002</v>
      </c>
      <c r="D41" s="48">
        <f t="shared" si="0"/>
        <v>2007</v>
      </c>
      <c r="E41" s="48" t="str">
        <f t="shared" si="1"/>
        <v>2</v>
      </c>
      <c r="N41" s="1733">
        <f t="shared" si="4"/>
        <v>2010</v>
      </c>
      <c r="O41" s="545">
        <f t="shared" si="5"/>
        <v>182.89955302999999</v>
      </c>
      <c r="P41" s="546">
        <f t="shared" si="6"/>
        <v>7849.1314590000002</v>
      </c>
      <c r="R41" s="305"/>
      <c r="S41" s="310"/>
    </row>
    <row r="42" spans="1:19">
      <c r="A42" s="423">
        <v>39326</v>
      </c>
      <c r="B42" s="484">
        <v>37.847578720000001</v>
      </c>
      <c r="C42" s="483">
        <v>978.01341500000001</v>
      </c>
      <c r="D42" s="48">
        <f t="shared" si="0"/>
        <v>2007</v>
      </c>
      <c r="E42" s="48" t="str">
        <f t="shared" si="1"/>
        <v>3</v>
      </c>
      <c r="N42" s="1733">
        <f t="shared" si="4"/>
        <v>2011</v>
      </c>
      <c r="O42" s="543">
        <f t="shared" si="5"/>
        <v>179.60817457000002</v>
      </c>
      <c r="P42" s="544">
        <f t="shared" si="6"/>
        <v>8793.8925789999994</v>
      </c>
      <c r="R42" s="305"/>
      <c r="S42" s="310"/>
    </row>
    <row r="43" spans="1:19">
      <c r="A43" s="423">
        <v>39417</v>
      </c>
      <c r="B43" s="537">
        <v>37.50340465</v>
      </c>
      <c r="C43" s="538">
        <v>1067.968656</v>
      </c>
      <c r="D43" s="48">
        <f t="shared" si="0"/>
        <v>2007</v>
      </c>
      <c r="E43" s="48" t="str">
        <f t="shared" si="1"/>
        <v>4</v>
      </c>
      <c r="N43" s="1733">
        <f t="shared" si="4"/>
        <v>2012</v>
      </c>
      <c r="O43" s="545">
        <f t="shared" si="5"/>
        <v>181.28663516</v>
      </c>
      <c r="P43" s="546">
        <f t="shared" si="6"/>
        <v>9380.3064720000002</v>
      </c>
      <c r="R43" s="305"/>
      <c r="S43" s="310"/>
    </row>
    <row r="44" spans="1:19">
      <c r="A44" s="423">
        <v>39508</v>
      </c>
      <c r="B44" s="484">
        <v>32.680447270000002</v>
      </c>
      <c r="C44" s="483">
        <v>1071.989239</v>
      </c>
      <c r="D44" s="48">
        <f t="shared" si="0"/>
        <v>2008</v>
      </c>
      <c r="E44" s="48" t="str">
        <f t="shared" si="1"/>
        <v>1</v>
      </c>
      <c r="N44" s="1733">
        <f t="shared" si="4"/>
        <v>2013</v>
      </c>
      <c r="O44" s="543">
        <f t="shared" si="5"/>
        <v>187.46183645020105</v>
      </c>
      <c r="P44" s="544">
        <f t="shared" si="6"/>
        <v>8743.0332229999985</v>
      </c>
      <c r="R44" s="305"/>
      <c r="S44" s="310"/>
    </row>
    <row r="45" spans="1:19">
      <c r="A45" s="423">
        <v>39600</v>
      </c>
      <c r="B45" s="537">
        <v>33.082373449999999</v>
      </c>
      <c r="C45" s="538">
        <v>1008.627221</v>
      </c>
      <c r="D45" s="48">
        <f t="shared" si="0"/>
        <v>2008</v>
      </c>
      <c r="E45" s="48" t="str">
        <f t="shared" si="1"/>
        <v>2</v>
      </c>
      <c r="N45" s="1733">
        <f t="shared" si="4"/>
        <v>2014</v>
      </c>
      <c r="O45" s="545">
        <f t="shared" si="5"/>
        <v>194.61577561329443</v>
      </c>
      <c r="P45" s="546">
        <f t="shared" si="6"/>
        <v>8780.646553999999</v>
      </c>
      <c r="R45" s="305"/>
      <c r="S45" s="310"/>
    </row>
    <row r="46" spans="1:19">
      <c r="A46" s="423">
        <v>39692</v>
      </c>
      <c r="B46" s="484">
        <v>31.606428690000001</v>
      </c>
      <c r="C46" s="483">
        <v>996.05240900000001</v>
      </c>
      <c r="D46" s="48">
        <f t="shared" si="0"/>
        <v>2008</v>
      </c>
      <c r="E46" s="48" t="str">
        <f t="shared" si="1"/>
        <v>3</v>
      </c>
      <c r="N46" s="1733">
        <f t="shared" si="4"/>
        <v>2015</v>
      </c>
      <c r="O46" s="543">
        <f t="shared" si="5"/>
        <v>194.47144014692839</v>
      </c>
      <c r="P46" s="544">
        <f t="shared" si="6"/>
        <v>9627.6513769999983</v>
      </c>
      <c r="R46" s="305"/>
      <c r="S46" s="310"/>
    </row>
    <row r="47" spans="1:19">
      <c r="A47" s="423">
        <v>39783</v>
      </c>
      <c r="B47" s="537">
        <v>34.705004119999998</v>
      </c>
      <c r="C47" s="538">
        <v>1322.8441989999999</v>
      </c>
      <c r="D47" s="48">
        <f t="shared" si="0"/>
        <v>2008</v>
      </c>
      <c r="E47" s="48" t="str">
        <f t="shared" si="1"/>
        <v>4</v>
      </c>
      <c r="N47" s="1733">
        <f t="shared" si="4"/>
        <v>2016</v>
      </c>
      <c r="O47" s="545">
        <f t="shared" si="5"/>
        <v>197.07233863062316</v>
      </c>
      <c r="P47" s="546">
        <f t="shared" si="6"/>
        <v>10629.36248</v>
      </c>
      <c r="R47" s="305"/>
      <c r="S47" s="310"/>
    </row>
    <row r="48" spans="1:19">
      <c r="A48" s="423">
        <v>39873</v>
      </c>
      <c r="B48" s="484">
        <v>33.420415390000002</v>
      </c>
      <c r="C48" s="483">
        <v>1475.5212750000001</v>
      </c>
      <c r="D48" s="48">
        <f t="shared" si="0"/>
        <v>2009</v>
      </c>
      <c r="E48" s="48" t="str">
        <f t="shared" si="1"/>
        <v>1</v>
      </c>
      <c r="N48" s="1733">
        <f t="shared" si="4"/>
        <v>2017</v>
      </c>
      <c r="O48" s="543">
        <f t="shared" si="5"/>
        <v>210.99182809083629</v>
      </c>
      <c r="P48" s="544">
        <f t="shared" si="6"/>
        <v>11126.621227</v>
      </c>
      <c r="R48" s="305"/>
      <c r="S48" s="310"/>
    </row>
    <row r="49" spans="1:19">
      <c r="A49" s="423">
        <v>39965</v>
      </c>
      <c r="B49" s="537">
        <v>37.26501159</v>
      </c>
      <c r="C49" s="538">
        <v>1453.6864430000001</v>
      </c>
      <c r="D49" s="48">
        <f t="shared" si="0"/>
        <v>2009</v>
      </c>
      <c r="E49" s="48" t="str">
        <f t="shared" si="1"/>
        <v>2</v>
      </c>
      <c r="N49" s="1733">
        <f t="shared" si="4"/>
        <v>2018</v>
      </c>
      <c r="O49" s="545">
        <f t="shared" si="5"/>
        <v>211.09598533001116</v>
      </c>
      <c r="P49" s="546">
        <f t="shared" si="6"/>
        <v>11515.697427999998</v>
      </c>
      <c r="R49" s="305"/>
      <c r="S49" s="310"/>
    </row>
    <row r="50" spans="1:19">
      <c r="A50" s="423">
        <v>40057</v>
      </c>
      <c r="B50" s="484">
        <v>37.164209919999998</v>
      </c>
      <c r="C50" s="483">
        <v>1378.2166769999999</v>
      </c>
      <c r="D50" s="48">
        <f t="shared" si="0"/>
        <v>2009</v>
      </c>
      <c r="E50" s="48" t="str">
        <f t="shared" si="1"/>
        <v>3</v>
      </c>
      <c r="N50" s="1733">
        <f t="shared" si="4"/>
        <v>2019</v>
      </c>
      <c r="O50" s="543">
        <f t="shared" si="5"/>
        <v>213.87697104706595</v>
      </c>
      <c r="P50" s="544">
        <f t="shared" si="6"/>
        <v>13810.68989</v>
      </c>
      <c r="R50" s="305"/>
      <c r="S50" s="310"/>
    </row>
    <row r="51" spans="1:19">
      <c r="A51" s="423">
        <v>40148</v>
      </c>
      <c r="B51" s="537">
        <v>38.578273160000002</v>
      </c>
      <c r="C51" s="538">
        <v>1506.997218</v>
      </c>
      <c r="D51" s="48">
        <f t="shared" si="0"/>
        <v>2009</v>
      </c>
      <c r="E51" s="48" t="str">
        <f t="shared" si="1"/>
        <v>4</v>
      </c>
      <c r="N51" s="1733">
        <f t="shared" si="4"/>
        <v>2020</v>
      </c>
      <c r="O51" s="545">
        <f t="shared" si="5"/>
        <v>209.72645486184584</v>
      </c>
      <c r="P51" s="546">
        <f t="shared" si="6"/>
        <v>17270.493809</v>
      </c>
      <c r="R51" s="305"/>
      <c r="S51" s="310"/>
    </row>
    <row r="52" spans="1:19">
      <c r="A52" s="423">
        <v>40238</v>
      </c>
      <c r="B52" s="484">
        <v>45.239399200000001</v>
      </c>
      <c r="C52" s="483">
        <v>1782.434512</v>
      </c>
      <c r="D52" s="48">
        <f t="shared" si="0"/>
        <v>2010</v>
      </c>
      <c r="E52" s="48" t="str">
        <f t="shared" si="1"/>
        <v>1</v>
      </c>
      <c r="N52" s="1733">
        <f t="shared" si="4"/>
        <v>2021</v>
      </c>
      <c r="O52" s="543">
        <f t="shared" si="5"/>
        <v>207.37680836642937</v>
      </c>
      <c r="P52" s="544">
        <f t="shared" si="6"/>
        <v>15981.479809999997</v>
      </c>
      <c r="R52" s="305"/>
      <c r="S52" s="310"/>
    </row>
    <row r="53" spans="1:19">
      <c r="A53" s="423">
        <v>40330</v>
      </c>
      <c r="B53" s="537">
        <v>43.057267240000002</v>
      </c>
      <c r="C53" s="538">
        <v>1890.607653</v>
      </c>
      <c r="D53" s="48">
        <f t="shared" si="0"/>
        <v>2010</v>
      </c>
      <c r="E53" s="48" t="str">
        <f t="shared" si="1"/>
        <v>2</v>
      </c>
      <c r="N53" s="1733">
        <f>IF($O$32="Calendar Year", N54-1, LEFT(N54,4)-1 &amp; "-" &amp; MID(N54,3,2))</f>
        <v>2022</v>
      </c>
      <c r="O53" s="545">
        <f t="shared" si="5"/>
        <v>214.54188674208308</v>
      </c>
      <c r="P53" s="546">
        <f t="shared" si="6"/>
        <v>17875.612413999999</v>
      </c>
    </row>
    <row r="54" spans="1:19" ht="15.75" thickBot="1">
      <c r="A54" s="423">
        <v>40422</v>
      </c>
      <c r="B54" s="484">
        <v>46.070483780000004</v>
      </c>
      <c r="C54" s="483">
        <v>2012.0115490000001</v>
      </c>
      <c r="D54" s="48">
        <f t="shared" si="0"/>
        <v>2010</v>
      </c>
      <c r="E54" s="48" t="str">
        <f t="shared" si="1"/>
        <v>3</v>
      </c>
      <c r="N54" s="1734">
        <f>IF($O$32="Calendar Year",
    YEAR(LARGE($A:$A, 4)),
    IF(MONTH(LARGE($A:$A, 4))&gt;6,
        YEAR(LARGE($A:$A, 4)) &amp; "-" &amp; RIGHT(YEAR(LARGE($A:$A, 4))+1),
        YEAR(LARGE($A:$A, 4))-1 &amp; "-" &amp; RIGHT(YEAR(LARGE($A:$A, 4)), 2)
    ))</f>
        <v>2023</v>
      </c>
      <c r="O54" s="1731">
        <f t="shared" si="5"/>
        <v>211.21641634369655</v>
      </c>
      <c r="P54" s="1636">
        <f t="shared" si="6"/>
        <v>19890.974642000001</v>
      </c>
    </row>
    <row r="55" spans="1:19">
      <c r="A55" s="423">
        <v>40513</v>
      </c>
      <c r="B55" s="537">
        <v>48.532402810000001</v>
      </c>
      <c r="C55" s="538">
        <v>2164.077745</v>
      </c>
      <c r="D55" s="48">
        <f t="shared" si="0"/>
        <v>2010</v>
      </c>
      <c r="E55" s="48" t="str">
        <f t="shared" si="1"/>
        <v>4</v>
      </c>
      <c r="N55" s="453"/>
      <c r="O55" s="547"/>
      <c r="P55" s="547"/>
    </row>
    <row r="56" spans="1:19">
      <c r="A56" s="423">
        <v>40603</v>
      </c>
      <c r="B56" s="484">
        <v>45.256966130000002</v>
      </c>
      <c r="C56" s="483">
        <v>2006.465418</v>
      </c>
      <c r="D56" s="48">
        <f t="shared" si="0"/>
        <v>2011</v>
      </c>
      <c r="E56" s="48" t="str">
        <f t="shared" si="1"/>
        <v>1</v>
      </c>
      <c r="N56" s="453"/>
      <c r="O56" s="547"/>
      <c r="P56" s="547"/>
    </row>
    <row r="57" spans="1:19">
      <c r="A57" s="423">
        <v>40695</v>
      </c>
      <c r="B57" s="537">
        <v>43.890888660000002</v>
      </c>
      <c r="C57" s="538">
        <v>2001.632744</v>
      </c>
      <c r="D57" s="48">
        <f t="shared" si="0"/>
        <v>2011</v>
      </c>
      <c r="E57" s="48" t="str">
        <f t="shared" si="1"/>
        <v>2</v>
      </c>
      <c r="N57" s="453"/>
      <c r="O57" s="547"/>
      <c r="P57" s="547"/>
    </row>
    <row r="58" spans="1:19">
      <c r="A58" s="423">
        <v>40787</v>
      </c>
      <c r="B58" s="484">
        <v>46.50763122</v>
      </c>
      <c r="C58" s="483">
        <v>2424.520254</v>
      </c>
      <c r="D58" s="48">
        <f t="shared" si="0"/>
        <v>2011</v>
      </c>
      <c r="E58" s="48" t="str">
        <f t="shared" si="1"/>
        <v>3</v>
      </c>
      <c r="N58" s="453"/>
      <c r="O58" s="547"/>
      <c r="P58" s="547"/>
    </row>
    <row r="59" spans="1:19">
      <c r="A59" s="423">
        <v>40878</v>
      </c>
      <c r="B59" s="537">
        <v>43.952688559999999</v>
      </c>
      <c r="C59" s="538">
        <v>2361.274163</v>
      </c>
      <c r="D59" s="48">
        <f t="shared" si="0"/>
        <v>2011</v>
      </c>
      <c r="E59" s="48" t="str">
        <f t="shared" si="1"/>
        <v>4</v>
      </c>
      <c r="G59" s="68"/>
      <c r="N59" s="540" t="str">
        <f>IFERROR(IF(YEAR(MAX('Commodity Prices'!$C$9:$C5006))=VALUE(RIGHT(N58,4)),"",IF($O$32="Calendar Year",N58+1,CONCATENATE(LEFT(N58,4)+1,"-",RIGHT(N58,4)+1))),"")</f>
        <v/>
      </c>
      <c r="O59" s="93" t="str">
        <f>IF(N59="","",IF($O$32="Calendar Year",SUMIF($D$8:$D$200,$N59,$B$8:$B$200),SUMIFS($B$8:$B$200,$D$8:$D$200,LEFT($N59,4),$E$8:$E$200,3)+SUMIFS($B$8:$B$200,$D$8:$D$200,LEFT($N59,4),$E$8:$E$200,4)+SUMIFS($B$8:$B$200,$D$8:$D$200,LEFT($N59,4)+1,$E$8:$E$200,1)+SUMIFS($B$8:$B$200,$D$8:$D$200,LEFT($N59,4)+1,$E$8:$E$200,2)))</f>
        <v/>
      </c>
      <c r="P59" s="93" t="str">
        <f>IF(N59="","",IF($O$32="Calendar Year",SUMIF($D$8:$D$200,$N59,$C$8:$C$200),SUMIFS($C$8:$C$200,$D$8:$D$200,LEFT($N59,4),$E$8:$E$200,3)+SUMIFS($C$8:$C$200,$D$8:$D$200,LEFT($N59,4),$E$8:$E$200,4)+SUMIFS($C$8:$C$200,$D$8:$D$200,LEFT($N59,4)+1,$E$8:$E$200,1)+SUMIFS($C$8:$C$200,$D$8:$D$200,LEFT($N59,4)+1,$E$8:$E$200,2)))</f>
        <v/>
      </c>
    </row>
    <row r="60" spans="1:19">
      <c r="A60" s="423">
        <v>40969</v>
      </c>
      <c r="B60" s="484">
        <v>46.517585840000002</v>
      </c>
      <c r="C60" s="483">
        <v>2393.0271120000002</v>
      </c>
      <c r="D60" s="48">
        <f t="shared" si="0"/>
        <v>2012</v>
      </c>
      <c r="E60" s="48" t="str">
        <f t="shared" si="1"/>
        <v>1</v>
      </c>
      <c r="G60" s="68"/>
      <c r="N60" s="540" t="str">
        <f>IFERROR(IF(YEAR(MAX('Commodity Prices'!$C$9:$C5007))=VALUE(RIGHT(N59,4)),"",IF($O$32="Calendar Year",N59+1,CONCATENATE(LEFT(N59,4)+1,"-",RIGHT(N59,4)+1))),"")</f>
        <v/>
      </c>
      <c r="O60" s="93" t="str">
        <f>IF(N60="","",IF($O$32="Calendar Year",SUMIF($D$8:$D$200,$N60,$B$8:$B$200),SUMIFS($B$8:$B$200,$D$8:$D$200,LEFT($N60,4),$E$8:$E$200,3)+SUMIFS($B$8:$B$200,$D$8:$D$200,LEFT($N60,4),$E$8:$E$200,4)+SUMIFS($B$8:$B$200,$D$8:$D$200,LEFT($N60,4)+1,$E$8:$E$200,1)+SUMIFS($B$8:$B$200,$D$8:$D$200,LEFT($N60,4)+1,$E$8:$E$200,2)))</f>
        <v/>
      </c>
      <c r="P60" s="93" t="str">
        <f>IF(N60="","",IF($O$32="Calendar Year",SUMIF($D$8:$D$200,$N60,$C$8:$C$200),SUMIFS($C$8:$C$200,$D$8:$D$200,LEFT($N60,4),$E$8:$E$200,3)+SUMIFS($C$8:$C$200,$D$8:$D$200,LEFT($N60,4),$E$8:$E$200,4)+SUMIFS($C$8:$C$200,$D$8:$D$200,LEFT($N60,4)+1,$E$8:$E$200,1)+SUMIFS($C$8:$C$200,$D$8:$D$200,LEFT($N60,4)+1,$E$8:$E$200,2)))</f>
        <v/>
      </c>
    </row>
    <row r="61" spans="1:19">
      <c r="A61" s="423">
        <v>41061</v>
      </c>
      <c r="B61" s="537">
        <v>43.793330660000002</v>
      </c>
      <c r="C61" s="538">
        <v>2242.6617980000001</v>
      </c>
      <c r="D61" s="48">
        <f t="shared" si="0"/>
        <v>2012</v>
      </c>
      <c r="E61" s="48" t="str">
        <f t="shared" si="1"/>
        <v>2</v>
      </c>
      <c r="G61" s="68"/>
    </row>
    <row r="62" spans="1:19">
      <c r="A62" s="423">
        <v>41153</v>
      </c>
      <c r="B62" s="484">
        <v>44.712392080000001</v>
      </c>
      <c r="C62" s="483">
        <v>2284.4757519999998</v>
      </c>
      <c r="D62" s="48">
        <f t="shared" si="0"/>
        <v>2012</v>
      </c>
      <c r="E62" s="48" t="str">
        <f t="shared" si="1"/>
        <v>3</v>
      </c>
      <c r="G62" s="68"/>
    </row>
    <row r="63" spans="1:19">
      <c r="A63" s="423">
        <v>41244</v>
      </c>
      <c r="B63" s="537">
        <v>46.263326579999998</v>
      </c>
      <c r="C63" s="538">
        <v>2460.1418100000001</v>
      </c>
      <c r="D63" s="48">
        <f t="shared" si="0"/>
        <v>2012</v>
      </c>
      <c r="E63" s="48" t="str">
        <f t="shared" si="1"/>
        <v>4</v>
      </c>
      <c r="F63" s="68"/>
      <c r="G63" s="68"/>
    </row>
    <row r="64" spans="1:19">
      <c r="A64" s="423">
        <v>41334</v>
      </c>
      <c r="B64" s="484">
        <v>43.726006175289669</v>
      </c>
      <c r="C64" s="483">
        <v>2207.942571</v>
      </c>
      <c r="D64" s="48">
        <f t="shared" si="0"/>
        <v>2013</v>
      </c>
      <c r="E64" s="48" t="str">
        <f t="shared" si="1"/>
        <v>1</v>
      </c>
      <c r="G64" s="68"/>
    </row>
    <row r="65" spans="1:8">
      <c r="A65" s="423">
        <v>41426</v>
      </c>
      <c r="B65" s="537">
        <v>45.150114380748164</v>
      </c>
      <c r="C65" s="538">
        <v>2070.0976609999998</v>
      </c>
      <c r="D65" s="48">
        <f t="shared" si="0"/>
        <v>2013</v>
      </c>
      <c r="E65" s="48" t="str">
        <f t="shared" si="1"/>
        <v>2</v>
      </c>
      <c r="G65" s="68"/>
    </row>
    <row r="66" spans="1:8">
      <c r="A66" s="423">
        <v>41518</v>
      </c>
      <c r="B66" s="484">
        <v>49.235788463606823</v>
      </c>
      <c r="C66" s="483">
        <v>2290.719936</v>
      </c>
      <c r="D66" s="48">
        <f t="shared" si="0"/>
        <v>2013</v>
      </c>
      <c r="E66" s="48" t="str">
        <f t="shared" si="1"/>
        <v>3</v>
      </c>
      <c r="G66" s="68"/>
    </row>
    <row r="67" spans="1:8">
      <c r="A67" s="423">
        <v>41609</v>
      </c>
      <c r="B67" s="537">
        <v>49.349927430556392</v>
      </c>
      <c r="C67" s="538">
        <v>2174.2730550000001</v>
      </c>
      <c r="D67" s="48">
        <f t="shared" si="0"/>
        <v>2013</v>
      </c>
      <c r="E67" s="48" t="str">
        <f t="shared" si="1"/>
        <v>4</v>
      </c>
      <c r="G67" s="68"/>
    </row>
    <row r="68" spans="1:8">
      <c r="A68" s="423">
        <v>41699</v>
      </c>
      <c r="B68" s="484">
        <v>48.800413192612083</v>
      </c>
      <c r="C68" s="483">
        <v>2265.094932</v>
      </c>
      <c r="D68" s="48">
        <f t="shared" si="0"/>
        <v>2014</v>
      </c>
      <c r="E68" s="48" t="str">
        <f t="shared" si="1"/>
        <v>1</v>
      </c>
      <c r="F68" s="68"/>
      <c r="G68" s="68"/>
    </row>
    <row r="69" spans="1:8">
      <c r="A69" s="423">
        <v>41791</v>
      </c>
      <c r="B69" s="537">
        <v>48.637037079749859</v>
      </c>
      <c r="C69" s="538">
        <v>2158.6525959999999</v>
      </c>
      <c r="D69" s="48">
        <f t="shared" si="0"/>
        <v>2014</v>
      </c>
      <c r="E69" s="48" t="str">
        <f t="shared" si="1"/>
        <v>2</v>
      </c>
      <c r="F69" s="68"/>
      <c r="G69" s="68"/>
    </row>
    <row r="70" spans="1:8">
      <c r="A70" s="423">
        <v>41883</v>
      </c>
      <c r="B70" s="484">
        <v>48.53518364399806</v>
      </c>
      <c r="C70" s="483">
        <v>2161.1339899999998</v>
      </c>
      <c r="D70" s="48">
        <f t="shared" si="0"/>
        <v>2014</v>
      </c>
      <c r="E70" s="48" t="str">
        <f t="shared" si="1"/>
        <v>3</v>
      </c>
      <c r="F70" s="68"/>
      <c r="G70" s="68"/>
    </row>
    <row r="71" spans="1:8">
      <c r="A71" s="423">
        <v>41974</v>
      </c>
      <c r="B71" s="537">
        <v>48.643141696934435</v>
      </c>
      <c r="C71" s="538">
        <v>2195.7650359999998</v>
      </c>
      <c r="D71" s="48">
        <f t="shared" si="0"/>
        <v>2014</v>
      </c>
      <c r="E71" s="48" t="str">
        <f t="shared" si="1"/>
        <v>4</v>
      </c>
      <c r="F71" s="68"/>
      <c r="G71" s="68"/>
    </row>
    <row r="72" spans="1:8">
      <c r="A72" s="423">
        <v>42064</v>
      </c>
      <c r="B72" s="484">
        <v>47.124409156905479</v>
      </c>
      <c r="C72" s="483">
        <v>2345.6908249999997</v>
      </c>
      <c r="D72" s="48">
        <f>YEAR(A72)</f>
        <v>2015</v>
      </c>
      <c r="E72" s="48" t="str">
        <f t="shared" si="1"/>
        <v>1</v>
      </c>
      <c r="F72" s="68"/>
      <c r="G72" s="68"/>
    </row>
    <row r="73" spans="1:8">
      <c r="A73" s="423">
        <v>42156</v>
      </c>
      <c r="B73" s="537">
        <v>48.79315261471222</v>
      </c>
      <c r="C73" s="538">
        <v>2401.5574529999999</v>
      </c>
      <c r="D73" s="48">
        <f>YEAR(A73)</f>
        <v>2015</v>
      </c>
      <c r="E73" s="48" t="str">
        <f>IF(MONTH(A73)=3,"1",IF(MONTH(A73)=6,"2",IF(MONTH(A73)=9,"3","4")))</f>
        <v>2</v>
      </c>
      <c r="F73" s="68"/>
      <c r="G73" s="68"/>
    </row>
    <row r="74" spans="1:8">
      <c r="A74" s="423">
        <v>42248</v>
      </c>
      <c r="B74" s="484">
        <v>47.840834635574637</v>
      </c>
      <c r="C74" s="483">
        <v>2382.0794689999998</v>
      </c>
      <c r="D74" s="48">
        <f>YEAR(A74)</f>
        <v>2015</v>
      </c>
      <c r="E74" s="48" t="str">
        <f>IF(MONTH(A74)=3,"1",IF(MONTH(A74)=6,"2",IF(MONTH(A74)=9,"3","4")))</f>
        <v>3</v>
      </c>
      <c r="F74" s="68"/>
      <c r="G74" s="68"/>
    </row>
    <row r="75" spans="1:8">
      <c r="A75" s="423">
        <v>42339</v>
      </c>
      <c r="B75" s="537">
        <v>50.713043739736065</v>
      </c>
      <c r="C75" s="538">
        <v>2498.3236299999999</v>
      </c>
      <c r="D75" s="48">
        <f>YEAR(A75)</f>
        <v>2015</v>
      </c>
      <c r="E75" s="48" t="str">
        <f>IF(MONTH(A75)=3,"1",IF(MONTH(A75)=6,"2",IF(MONTH(A75)=9,"3","4")))</f>
        <v>4</v>
      </c>
      <c r="F75" s="68"/>
      <c r="G75" s="68"/>
      <c r="H75" s="68"/>
    </row>
    <row r="76" spans="1:8">
      <c r="A76" s="423">
        <v>42430</v>
      </c>
      <c r="B76" s="484">
        <v>48.788365105356192</v>
      </c>
      <c r="C76" s="483">
        <v>2574.6538029999997</v>
      </c>
      <c r="D76" s="48">
        <f t="shared" ref="D76:D139" si="7">YEAR(A76)</f>
        <v>2016</v>
      </c>
      <c r="E76" s="48" t="str">
        <f t="shared" ref="E76:E139" si="8">IF(MONTH(A76)=3,"1",IF(MONTH(A76)=6,"2",IF(MONTH(A76)=9,"3","4")))</f>
        <v>1</v>
      </c>
      <c r="F76" s="68"/>
      <c r="G76" s="68"/>
    </row>
    <row r="77" spans="1:8">
      <c r="A77" s="423">
        <v>42522</v>
      </c>
      <c r="B77" s="537">
        <v>48.628216009315459</v>
      </c>
      <c r="C77" s="538">
        <v>2649.4312500000001</v>
      </c>
      <c r="D77" s="48">
        <f t="shared" si="7"/>
        <v>2016</v>
      </c>
      <c r="E77" s="48" t="str">
        <f t="shared" si="8"/>
        <v>2</v>
      </c>
      <c r="F77" s="68"/>
      <c r="G77" s="68"/>
    </row>
    <row r="78" spans="1:8">
      <c r="A78" s="423">
        <v>42614</v>
      </c>
      <c r="B78" s="484">
        <v>47.875138255792166</v>
      </c>
      <c r="C78" s="483">
        <v>2708.3423439999997</v>
      </c>
      <c r="D78" s="48">
        <f t="shared" si="7"/>
        <v>2016</v>
      </c>
      <c r="E78" s="48" t="str">
        <f t="shared" si="8"/>
        <v>3</v>
      </c>
      <c r="F78" s="68"/>
      <c r="G78" s="68"/>
    </row>
    <row r="79" spans="1:8">
      <c r="A79" s="423">
        <v>42705</v>
      </c>
      <c r="B79" s="537">
        <v>51.780619260159341</v>
      </c>
      <c r="C79" s="538">
        <v>2696.9350829999998</v>
      </c>
      <c r="D79" s="48">
        <f t="shared" si="7"/>
        <v>2016</v>
      </c>
      <c r="E79" s="48" t="str">
        <f t="shared" si="8"/>
        <v>4</v>
      </c>
      <c r="F79" s="68"/>
      <c r="G79" s="68"/>
    </row>
    <row r="80" spans="1:8">
      <c r="A80" s="423">
        <v>42795</v>
      </c>
      <c r="B80" s="484">
        <v>51.146422012002866</v>
      </c>
      <c r="C80" s="483">
        <v>2644.2052879999997</v>
      </c>
      <c r="D80" s="48">
        <f t="shared" si="7"/>
        <v>2017</v>
      </c>
      <c r="E80" s="48" t="str">
        <f t="shared" si="8"/>
        <v>1</v>
      </c>
    </row>
    <row r="81" spans="1:5">
      <c r="A81" s="423">
        <v>42887</v>
      </c>
      <c r="B81" s="537">
        <v>52.223809715148775</v>
      </c>
      <c r="C81" s="538">
        <v>2811.1793229999998</v>
      </c>
      <c r="D81" s="48">
        <f t="shared" si="7"/>
        <v>2017</v>
      </c>
      <c r="E81" s="48" t="str">
        <f t="shared" si="8"/>
        <v>2</v>
      </c>
    </row>
    <row r="82" spans="1:5">
      <c r="A82" s="423">
        <v>42979</v>
      </c>
      <c r="B82" s="484">
        <v>53.129097962122216</v>
      </c>
      <c r="C82" s="483">
        <v>2764.118465</v>
      </c>
      <c r="D82" s="48">
        <f t="shared" si="7"/>
        <v>2017</v>
      </c>
      <c r="E82" s="48" t="str">
        <f t="shared" si="8"/>
        <v>3</v>
      </c>
    </row>
    <row r="83" spans="1:5">
      <c r="A83" s="423">
        <v>43070</v>
      </c>
      <c r="B83" s="537">
        <v>54.492498401562457</v>
      </c>
      <c r="C83" s="538">
        <v>2907.1181509999997</v>
      </c>
      <c r="D83" s="48">
        <f t="shared" si="7"/>
        <v>2017</v>
      </c>
      <c r="E83" s="48" t="str">
        <f t="shared" si="8"/>
        <v>4</v>
      </c>
    </row>
    <row r="84" spans="1:5">
      <c r="A84" s="423">
        <v>43160</v>
      </c>
      <c r="B84" s="484">
        <v>48.261704333611561</v>
      </c>
      <c r="C84" s="483">
        <v>2623.0905389999998</v>
      </c>
      <c r="D84" s="48">
        <f t="shared" si="7"/>
        <v>2018</v>
      </c>
      <c r="E84" s="48" t="str">
        <f t="shared" si="8"/>
        <v>1</v>
      </c>
    </row>
    <row r="85" spans="1:5">
      <c r="A85" s="423">
        <v>43252</v>
      </c>
      <c r="B85" s="537">
        <v>56.337913744355589</v>
      </c>
      <c r="C85" s="538">
        <v>3125.127935</v>
      </c>
      <c r="D85" s="48">
        <f t="shared" si="7"/>
        <v>2018</v>
      </c>
      <c r="E85" s="48" t="str">
        <f t="shared" si="8"/>
        <v>2</v>
      </c>
    </row>
    <row r="86" spans="1:5">
      <c r="A86" s="423">
        <v>43344</v>
      </c>
      <c r="B86" s="484">
        <v>52.1525957234266</v>
      </c>
      <c r="C86" s="539">
        <v>2780.4348049999999</v>
      </c>
      <c r="D86" s="48">
        <f t="shared" si="7"/>
        <v>2018</v>
      </c>
      <c r="E86" s="48" t="str">
        <f t="shared" si="8"/>
        <v>3</v>
      </c>
    </row>
    <row r="87" spans="1:5">
      <c r="A87" s="423">
        <v>43435</v>
      </c>
      <c r="B87" s="537">
        <v>54.343771528617431</v>
      </c>
      <c r="C87" s="538">
        <v>2987.0441489999998</v>
      </c>
      <c r="D87" s="48">
        <f t="shared" si="7"/>
        <v>2018</v>
      </c>
      <c r="E87" s="48" t="str">
        <f t="shared" si="8"/>
        <v>4</v>
      </c>
    </row>
    <row r="88" spans="1:5">
      <c r="A88" s="423">
        <v>43525</v>
      </c>
      <c r="B88" s="484">
        <v>52.108602685909403</v>
      </c>
      <c r="C88" s="539">
        <v>3065.5776959999998</v>
      </c>
      <c r="D88" s="48">
        <f t="shared" si="7"/>
        <v>2019</v>
      </c>
      <c r="E88" s="48" t="str">
        <f t="shared" si="8"/>
        <v>1</v>
      </c>
    </row>
    <row r="89" spans="1:5">
      <c r="A89" s="423">
        <v>43617</v>
      </c>
      <c r="B89" s="537">
        <v>51.956183954682125</v>
      </c>
      <c r="C89" s="538">
        <v>3126.6972419999997</v>
      </c>
      <c r="D89" s="48">
        <f t="shared" si="7"/>
        <v>2019</v>
      </c>
      <c r="E89" s="48" t="str">
        <f t="shared" si="8"/>
        <v>2</v>
      </c>
    </row>
    <row r="90" spans="1:5">
      <c r="A90" s="423">
        <v>43709</v>
      </c>
      <c r="B90" s="484">
        <v>52.189670725633952</v>
      </c>
      <c r="C90" s="539">
        <v>3600.7867429999997</v>
      </c>
      <c r="D90" s="48">
        <f t="shared" si="7"/>
        <v>2019</v>
      </c>
      <c r="E90" s="48" t="str">
        <f t="shared" si="8"/>
        <v>3</v>
      </c>
    </row>
    <row r="91" spans="1:5">
      <c r="A91" s="423">
        <v>43800</v>
      </c>
      <c r="B91" s="537">
        <v>57.622513680840456</v>
      </c>
      <c r="C91" s="538">
        <v>4017.628209</v>
      </c>
      <c r="D91" s="48">
        <f t="shared" si="7"/>
        <v>2019</v>
      </c>
      <c r="E91" s="48" t="str">
        <f t="shared" si="8"/>
        <v>4</v>
      </c>
    </row>
    <row r="92" spans="1:5">
      <c r="A92" s="423">
        <v>43891</v>
      </c>
      <c r="B92" s="484">
        <v>51.672248899534523</v>
      </c>
      <c r="C92" s="483">
        <v>4005.2562989999997</v>
      </c>
      <c r="D92" s="48">
        <f t="shared" si="7"/>
        <v>2020</v>
      </c>
      <c r="E92" s="48" t="str">
        <f t="shared" si="8"/>
        <v>1</v>
      </c>
    </row>
    <row r="93" spans="1:5">
      <c r="A93" s="423">
        <v>43983</v>
      </c>
      <c r="B93" s="537">
        <v>50.769176091006621</v>
      </c>
      <c r="C93" s="538">
        <v>4252.4369179999994</v>
      </c>
      <c r="D93" s="48">
        <f t="shared" si="7"/>
        <v>2020</v>
      </c>
      <c r="E93" s="48" t="str">
        <f t="shared" si="8"/>
        <v>2</v>
      </c>
    </row>
    <row r="94" spans="1:5">
      <c r="A94" s="423">
        <v>44075</v>
      </c>
      <c r="B94" s="484">
        <v>52.667403955474008</v>
      </c>
      <c r="C94" s="483">
        <v>4514.276613</v>
      </c>
      <c r="D94" s="48">
        <f t="shared" si="7"/>
        <v>2020</v>
      </c>
      <c r="E94" s="48" t="str">
        <f t="shared" si="8"/>
        <v>3</v>
      </c>
    </row>
    <row r="95" spans="1:5">
      <c r="A95" s="423">
        <v>44166</v>
      </c>
      <c r="B95" s="537">
        <v>54.617625915830672</v>
      </c>
      <c r="C95" s="538">
        <v>4498.5239789999996</v>
      </c>
      <c r="D95" s="48">
        <f t="shared" si="7"/>
        <v>2020</v>
      </c>
      <c r="E95" s="48" t="str">
        <f t="shared" si="8"/>
        <v>4</v>
      </c>
    </row>
    <row r="96" spans="1:5">
      <c r="A96" s="423">
        <v>44256</v>
      </c>
      <c r="B96" s="484">
        <v>49.226566500459974</v>
      </c>
      <c r="C96" s="483">
        <v>3673.9972339999999</v>
      </c>
      <c r="D96" s="48">
        <f t="shared" si="7"/>
        <v>2021</v>
      </c>
      <c r="E96" s="48" t="str">
        <f t="shared" si="8"/>
        <v>1</v>
      </c>
    </row>
    <row r="97" spans="1:5">
      <c r="A97" s="423">
        <v>44348</v>
      </c>
      <c r="B97" s="537">
        <v>51.317288868493257</v>
      </c>
      <c r="C97" s="538">
        <v>3891.8589159999997</v>
      </c>
      <c r="D97" s="48">
        <f t="shared" si="7"/>
        <v>2021</v>
      </c>
      <c r="E97" s="48" t="str">
        <f t="shared" si="8"/>
        <v>2</v>
      </c>
    </row>
    <row r="98" spans="1:5">
      <c r="A98" s="423">
        <v>44440</v>
      </c>
      <c r="B98" s="484">
        <v>54.116539884574422</v>
      </c>
      <c r="C98" s="483">
        <v>4235.4577629999994</v>
      </c>
      <c r="D98" s="48">
        <f t="shared" si="7"/>
        <v>2021</v>
      </c>
      <c r="E98" s="48" t="str">
        <f t="shared" si="8"/>
        <v>3</v>
      </c>
    </row>
    <row r="99" spans="1:5">
      <c r="A99" s="423">
        <v>44531</v>
      </c>
      <c r="B99" s="537">
        <v>52.716413112901712</v>
      </c>
      <c r="C99" s="538">
        <v>4180.1658969999999</v>
      </c>
      <c r="D99" s="48">
        <f t="shared" si="7"/>
        <v>2021</v>
      </c>
      <c r="E99" s="48" t="str">
        <f t="shared" si="8"/>
        <v>4</v>
      </c>
    </row>
    <row r="100" spans="1:5">
      <c r="A100" s="423">
        <v>44621</v>
      </c>
      <c r="B100" s="484">
        <v>53.812187543047528</v>
      </c>
      <c r="C100" s="483">
        <v>4481.3439829999998</v>
      </c>
      <c r="D100" s="48">
        <f t="shared" si="7"/>
        <v>2022</v>
      </c>
      <c r="E100" s="48" t="str">
        <f t="shared" si="8"/>
        <v>1</v>
      </c>
    </row>
    <row r="101" spans="1:5">
      <c r="A101" s="423">
        <v>44713</v>
      </c>
      <c r="B101" s="537">
        <v>53.717884911737585</v>
      </c>
      <c r="C101" s="538">
        <v>4519.2586309999997</v>
      </c>
      <c r="D101" s="48">
        <f t="shared" si="7"/>
        <v>2022</v>
      </c>
      <c r="E101" s="48" t="str">
        <f t="shared" si="8"/>
        <v>2</v>
      </c>
    </row>
    <row r="102" spans="1:5">
      <c r="A102" s="423">
        <v>44805</v>
      </c>
      <c r="B102" s="484">
        <v>53.605277355571765</v>
      </c>
      <c r="C102" s="483">
        <v>4355.6182360000003</v>
      </c>
      <c r="D102" s="48">
        <f t="shared" si="7"/>
        <v>2022</v>
      </c>
      <c r="E102" s="48" t="str">
        <f t="shared" si="8"/>
        <v>3</v>
      </c>
    </row>
    <row r="103" spans="1:5">
      <c r="A103" s="423">
        <v>44896</v>
      </c>
      <c r="B103" s="537">
        <v>53.406536931726208</v>
      </c>
      <c r="C103" s="538">
        <v>4519.3915639999996</v>
      </c>
      <c r="D103" s="48">
        <f t="shared" si="7"/>
        <v>2022</v>
      </c>
      <c r="E103" s="48" t="str">
        <f t="shared" si="8"/>
        <v>4</v>
      </c>
    </row>
    <row r="104" spans="1:5">
      <c r="A104" s="423">
        <v>44986</v>
      </c>
      <c r="B104" s="484">
        <v>49.543430277736618</v>
      </c>
      <c r="C104" s="483">
        <v>4402.2945890000001</v>
      </c>
      <c r="D104" s="48">
        <f t="shared" si="7"/>
        <v>2023</v>
      </c>
      <c r="E104" s="48" t="str">
        <f t="shared" si="8"/>
        <v>1</v>
      </c>
    </row>
    <row r="105" spans="1:5">
      <c r="A105" s="423">
        <v>45078</v>
      </c>
      <c r="B105" s="537">
        <v>56.338124688135274</v>
      </c>
      <c r="C105" s="538">
        <v>5354.7747979999995</v>
      </c>
      <c r="D105" s="48">
        <f t="shared" si="7"/>
        <v>2023</v>
      </c>
      <c r="E105" s="48" t="str">
        <f t="shared" si="8"/>
        <v>2</v>
      </c>
    </row>
    <row r="106" spans="1:5">
      <c r="A106" s="423">
        <v>45170</v>
      </c>
      <c r="B106" s="484">
        <v>50.822118874041742</v>
      </c>
      <c r="C106" s="483">
        <v>4812.1359489999995</v>
      </c>
      <c r="D106" s="48">
        <f t="shared" si="7"/>
        <v>2023</v>
      </c>
      <c r="E106" s="48" t="str">
        <f t="shared" si="8"/>
        <v>3</v>
      </c>
    </row>
    <row r="107" spans="1:5" ht="15.75" thickBot="1">
      <c r="A107" s="424">
        <v>45261</v>
      </c>
      <c r="B107" s="1663">
        <v>54.512742503782938</v>
      </c>
      <c r="C107" s="1566">
        <v>5321.7693060000001</v>
      </c>
      <c r="D107" s="48">
        <f t="shared" si="7"/>
        <v>2023</v>
      </c>
      <c r="E107" s="48" t="str">
        <f t="shared" si="8"/>
        <v>4</v>
      </c>
    </row>
    <row r="108" spans="1:5">
      <c r="D108" s="48">
        <f t="shared" si="7"/>
        <v>1900</v>
      </c>
      <c r="E108" s="48" t="str">
        <f t="shared" si="8"/>
        <v>4</v>
      </c>
    </row>
    <row r="109" spans="1:5">
      <c r="D109" s="48">
        <f t="shared" si="7"/>
        <v>1900</v>
      </c>
      <c r="E109" s="48" t="str">
        <f t="shared" si="8"/>
        <v>4</v>
      </c>
    </row>
    <row r="110" spans="1:5">
      <c r="D110" s="48">
        <f t="shared" si="7"/>
        <v>1900</v>
      </c>
      <c r="E110" s="48" t="str">
        <f t="shared" si="8"/>
        <v>4</v>
      </c>
    </row>
    <row r="111" spans="1:5">
      <c r="D111" s="48">
        <f t="shared" si="7"/>
        <v>1900</v>
      </c>
      <c r="E111" s="48" t="str">
        <f t="shared" si="8"/>
        <v>4</v>
      </c>
    </row>
    <row r="112" spans="1:5">
      <c r="D112" s="48">
        <f t="shared" si="7"/>
        <v>1900</v>
      </c>
      <c r="E112" s="48" t="str">
        <f t="shared" si="8"/>
        <v>4</v>
      </c>
    </row>
    <row r="113" spans="4:5">
      <c r="D113" s="48">
        <f t="shared" si="7"/>
        <v>1900</v>
      </c>
      <c r="E113" s="48" t="str">
        <f t="shared" si="8"/>
        <v>4</v>
      </c>
    </row>
    <row r="114" spans="4:5">
      <c r="D114" s="48">
        <f t="shared" si="7"/>
        <v>1900</v>
      </c>
      <c r="E114" s="48" t="str">
        <f t="shared" si="8"/>
        <v>4</v>
      </c>
    </row>
    <row r="115" spans="4:5">
      <c r="D115" s="48">
        <f t="shared" si="7"/>
        <v>1900</v>
      </c>
      <c r="E115" s="48" t="str">
        <f t="shared" si="8"/>
        <v>4</v>
      </c>
    </row>
    <row r="116" spans="4:5">
      <c r="D116" s="48">
        <f t="shared" si="7"/>
        <v>1900</v>
      </c>
      <c r="E116" s="48" t="str">
        <f t="shared" si="8"/>
        <v>4</v>
      </c>
    </row>
    <row r="117" spans="4:5">
      <c r="D117" s="48">
        <f t="shared" si="7"/>
        <v>1900</v>
      </c>
      <c r="E117" s="48" t="str">
        <f t="shared" si="8"/>
        <v>4</v>
      </c>
    </row>
    <row r="118" spans="4:5">
      <c r="D118" s="48">
        <f t="shared" si="7"/>
        <v>1900</v>
      </c>
      <c r="E118" s="48" t="str">
        <f t="shared" si="8"/>
        <v>4</v>
      </c>
    </row>
    <row r="119" spans="4:5">
      <c r="D119" s="48">
        <f t="shared" si="7"/>
        <v>1900</v>
      </c>
      <c r="E119" s="48" t="str">
        <f t="shared" si="8"/>
        <v>4</v>
      </c>
    </row>
    <row r="120" spans="4:5">
      <c r="D120" s="48">
        <f t="shared" si="7"/>
        <v>1900</v>
      </c>
      <c r="E120" s="48" t="str">
        <f t="shared" si="8"/>
        <v>4</v>
      </c>
    </row>
    <row r="121" spans="4:5">
      <c r="D121" s="48">
        <f t="shared" si="7"/>
        <v>1900</v>
      </c>
      <c r="E121" s="48" t="str">
        <f t="shared" si="8"/>
        <v>4</v>
      </c>
    </row>
    <row r="122" spans="4:5">
      <c r="D122" s="48">
        <f t="shared" si="7"/>
        <v>1900</v>
      </c>
      <c r="E122" s="48" t="str">
        <f t="shared" si="8"/>
        <v>4</v>
      </c>
    </row>
    <row r="123" spans="4:5">
      <c r="D123" s="48">
        <f t="shared" si="7"/>
        <v>1900</v>
      </c>
      <c r="E123" s="48" t="str">
        <f t="shared" si="8"/>
        <v>4</v>
      </c>
    </row>
    <row r="124" spans="4:5">
      <c r="D124" s="48">
        <f t="shared" si="7"/>
        <v>1900</v>
      </c>
      <c r="E124" s="48" t="str">
        <f t="shared" si="8"/>
        <v>4</v>
      </c>
    </row>
    <row r="125" spans="4:5">
      <c r="D125" s="48">
        <f t="shared" si="7"/>
        <v>1900</v>
      </c>
      <c r="E125" s="48" t="str">
        <f t="shared" si="8"/>
        <v>4</v>
      </c>
    </row>
    <row r="126" spans="4:5">
      <c r="D126" s="48">
        <f t="shared" si="7"/>
        <v>1900</v>
      </c>
      <c r="E126" s="48" t="str">
        <f t="shared" si="8"/>
        <v>4</v>
      </c>
    </row>
    <row r="127" spans="4:5">
      <c r="D127" s="48">
        <f t="shared" si="7"/>
        <v>1900</v>
      </c>
      <c r="E127" s="48" t="str">
        <f t="shared" si="8"/>
        <v>4</v>
      </c>
    </row>
    <row r="128" spans="4:5">
      <c r="D128" s="48">
        <f t="shared" si="7"/>
        <v>1900</v>
      </c>
      <c r="E128" s="48" t="str">
        <f t="shared" si="8"/>
        <v>4</v>
      </c>
    </row>
    <row r="129" spans="4:5">
      <c r="D129" s="48">
        <f t="shared" si="7"/>
        <v>1900</v>
      </c>
      <c r="E129" s="48" t="str">
        <f t="shared" si="8"/>
        <v>4</v>
      </c>
    </row>
    <row r="130" spans="4:5">
      <c r="D130" s="48">
        <f t="shared" si="7"/>
        <v>1900</v>
      </c>
      <c r="E130" s="48" t="str">
        <f t="shared" si="8"/>
        <v>4</v>
      </c>
    </row>
    <row r="131" spans="4:5">
      <c r="D131" s="48">
        <f t="shared" si="7"/>
        <v>1900</v>
      </c>
      <c r="E131" s="48" t="str">
        <f t="shared" si="8"/>
        <v>4</v>
      </c>
    </row>
    <row r="132" spans="4:5">
      <c r="D132" s="48">
        <f t="shared" si="7"/>
        <v>1900</v>
      </c>
      <c r="E132" s="48" t="str">
        <f t="shared" si="8"/>
        <v>4</v>
      </c>
    </row>
    <row r="133" spans="4:5">
      <c r="D133" s="48">
        <f t="shared" si="7"/>
        <v>1900</v>
      </c>
      <c r="E133" s="48" t="str">
        <f t="shared" si="8"/>
        <v>4</v>
      </c>
    </row>
    <row r="134" spans="4:5">
      <c r="D134" s="48">
        <f t="shared" si="7"/>
        <v>1900</v>
      </c>
      <c r="E134" s="48" t="str">
        <f t="shared" si="8"/>
        <v>4</v>
      </c>
    </row>
    <row r="135" spans="4:5">
      <c r="D135" s="48">
        <f t="shared" si="7"/>
        <v>1900</v>
      </c>
      <c r="E135" s="48" t="str">
        <f t="shared" si="8"/>
        <v>4</v>
      </c>
    </row>
    <row r="136" spans="4:5">
      <c r="D136" s="48">
        <f t="shared" si="7"/>
        <v>1900</v>
      </c>
      <c r="E136" s="48" t="str">
        <f t="shared" si="8"/>
        <v>4</v>
      </c>
    </row>
    <row r="137" spans="4:5">
      <c r="D137" s="48">
        <f t="shared" si="7"/>
        <v>1900</v>
      </c>
      <c r="E137" s="48" t="str">
        <f t="shared" si="8"/>
        <v>4</v>
      </c>
    </row>
    <row r="138" spans="4:5">
      <c r="D138" s="48">
        <f t="shared" si="7"/>
        <v>1900</v>
      </c>
      <c r="E138" s="48" t="str">
        <f t="shared" si="8"/>
        <v>4</v>
      </c>
    </row>
    <row r="139" spans="4:5">
      <c r="D139" s="48">
        <f t="shared" si="7"/>
        <v>1900</v>
      </c>
      <c r="E139" s="48" t="str">
        <f t="shared" si="8"/>
        <v>4</v>
      </c>
    </row>
    <row r="140" spans="4:5">
      <c r="D140" s="48">
        <f t="shared" ref="D140:D203" si="9">YEAR(A140)</f>
        <v>1900</v>
      </c>
      <c r="E140" s="48" t="str">
        <f t="shared" ref="E140:E203" si="10">IF(MONTH(A140)=3,"1",IF(MONTH(A140)=6,"2",IF(MONTH(A140)=9,"3","4")))</f>
        <v>4</v>
      </c>
    </row>
    <row r="141" spans="4:5">
      <c r="D141" s="48">
        <f t="shared" si="9"/>
        <v>1900</v>
      </c>
      <c r="E141" s="48" t="str">
        <f t="shared" si="10"/>
        <v>4</v>
      </c>
    </row>
    <row r="142" spans="4:5">
      <c r="D142" s="48">
        <f t="shared" si="9"/>
        <v>1900</v>
      </c>
      <c r="E142" s="48" t="str">
        <f t="shared" si="10"/>
        <v>4</v>
      </c>
    </row>
    <row r="143" spans="4:5">
      <c r="D143" s="48">
        <f t="shared" si="9"/>
        <v>1900</v>
      </c>
      <c r="E143" s="48" t="str">
        <f t="shared" si="10"/>
        <v>4</v>
      </c>
    </row>
    <row r="144" spans="4:5">
      <c r="D144" s="48">
        <f t="shared" si="9"/>
        <v>1900</v>
      </c>
      <c r="E144" s="48" t="str">
        <f t="shared" si="10"/>
        <v>4</v>
      </c>
    </row>
    <row r="145" spans="4:5">
      <c r="D145" s="48">
        <f t="shared" si="9"/>
        <v>1900</v>
      </c>
      <c r="E145" s="48" t="str">
        <f t="shared" si="10"/>
        <v>4</v>
      </c>
    </row>
    <row r="146" spans="4:5">
      <c r="D146" s="48">
        <f t="shared" si="9"/>
        <v>1900</v>
      </c>
      <c r="E146" s="48" t="str">
        <f t="shared" si="10"/>
        <v>4</v>
      </c>
    </row>
    <row r="147" spans="4:5">
      <c r="D147" s="48">
        <f t="shared" si="9"/>
        <v>1900</v>
      </c>
      <c r="E147" s="48" t="str">
        <f t="shared" si="10"/>
        <v>4</v>
      </c>
    </row>
    <row r="148" spans="4:5">
      <c r="D148" s="48">
        <f t="shared" si="9"/>
        <v>1900</v>
      </c>
      <c r="E148" s="48" t="str">
        <f t="shared" si="10"/>
        <v>4</v>
      </c>
    </row>
    <row r="149" spans="4:5">
      <c r="D149" s="48">
        <f t="shared" si="9"/>
        <v>1900</v>
      </c>
      <c r="E149" s="48" t="str">
        <f t="shared" si="10"/>
        <v>4</v>
      </c>
    </row>
    <row r="150" spans="4:5">
      <c r="D150" s="48">
        <f t="shared" si="9"/>
        <v>1900</v>
      </c>
      <c r="E150" s="48" t="str">
        <f t="shared" si="10"/>
        <v>4</v>
      </c>
    </row>
    <row r="151" spans="4:5">
      <c r="D151" s="48">
        <f t="shared" si="9"/>
        <v>1900</v>
      </c>
      <c r="E151" s="48" t="str">
        <f t="shared" si="10"/>
        <v>4</v>
      </c>
    </row>
    <row r="152" spans="4:5">
      <c r="D152" s="48">
        <f t="shared" si="9"/>
        <v>1900</v>
      </c>
      <c r="E152" s="48" t="str">
        <f t="shared" si="10"/>
        <v>4</v>
      </c>
    </row>
    <row r="153" spans="4:5">
      <c r="D153" s="48">
        <f t="shared" si="9"/>
        <v>1900</v>
      </c>
      <c r="E153" s="48" t="str">
        <f t="shared" si="10"/>
        <v>4</v>
      </c>
    </row>
    <row r="154" spans="4:5">
      <c r="D154" s="48">
        <f t="shared" si="9"/>
        <v>1900</v>
      </c>
      <c r="E154" s="48" t="str">
        <f t="shared" si="10"/>
        <v>4</v>
      </c>
    </row>
    <row r="155" spans="4:5">
      <c r="D155" s="48">
        <f t="shared" si="9"/>
        <v>1900</v>
      </c>
      <c r="E155" s="48" t="str">
        <f t="shared" si="10"/>
        <v>4</v>
      </c>
    </row>
    <row r="156" spans="4:5">
      <c r="D156" s="48">
        <f t="shared" si="9"/>
        <v>1900</v>
      </c>
      <c r="E156" s="48" t="str">
        <f t="shared" si="10"/>
        <v>4</v>
      </c>
    </row>
    <row r="157" spans="4:5">
      <c r="D157" s="48">
        <f t="shared" si="9"/>
        <v>1900</v>
      </c>
      <c r="E157" s="48" t="str">
        <f t="shared" si="10"/>
        <v>4</v>
      </c>
    </row>
    <row r="158" spans="4:5">
      <c r="D158" s="48">
        <f t="shared" si="9"/>
        <v>1900</v>
      </c>
      <c r="E158" s="48" t="str">
        <f t="shared" si="10"/>
        <v>4</v>
      </c>
    </row>
    <row r="159" spans="4:5">
      <c r="D159" s="48">
        <f t="shared" si="9"/>
        <v>1900</v>
      </c>
      <c r="E159" s="48" t="str">
        <f t="shared" si="10"/>
        <v>4</v>
      </c>
    </row>
    <row r="160" spans="4:5">
      <c r="D160" s="48">
        <f t="shared" si="9"/>
        <v>1900</v>
      </c>
      <c r="E160" s="48" t="str">
        <f t="shared" si="10"/>
        <v>4</v>
      </c>
    </row>
    <row r="161" spans="4:5">
      <c r="D161" s="48">
        <f t="shared" si="9"/>
        <v>1900</v>
      </c>
      <c r="E161" s="48" t="str">
        <f t="shared" si="10"/>
        <v>4</v>
      </c>
    </row>
    <row r="162" spans="4:5">
      <c r="D162" s="48">
        <f t="shared" si="9"/>
        <v>1900</v>
      </c>
      <c r="E162" s="48" t="str">
        <f t="shared" si="10"/>
        <v>4</v>
      </c>
    </row>
    <row r="163" spans="4:5">
      <c r="D163" s="48">
        <f t="shared" si="9"/>
        <v>1900</v>
      </c>
      <c r="E163" s="48" t="str">
        <f t="shared" si="10"/>
        <v>4</v>
      </c>
    </row>
    <row r="164" spans="4:5">
      <c r="D164" s="48">
        <f t="shared" si="9"/>
        <v>1900</v>
      </c>
      <c r="E164" s="48" t="str">
        <f t="shared" si="10"/>
        <v>4</v>
      </c>
    </row>
    <row r="165" spans="4:5">
      <c r="D165" s="48">
        <f t="shared" si="9"/>
        <v>1900</v>
      </c>
      <c r="E165" s="48" t="str">
        <f t="shared" si="10"/>
        <v>4</v>
      </c>
    </row>
    <row r="166" spans="4:5">
      <c r="D166" s="48">
        <f t="shared" si="9"/>
        <v>1900</v>
      </c>
      <c r="E166" s="48" t="str">
        <f t="shared" si="10"/>
        <v>4</v>
      </c>
    </row>
    <row r="167" spans="4:5">
      <c r="D167" s="48">
        <f t="shared" si="9"/>
        <v>1900</v>
      </c>
      <c r="E167" s="48" t="str">
        <f t="shared" si="10"/>
        <v>4</v>
      </c>
    </row>
    <row r="168" spans="4:5">
      <c r="D168" s="48">
        <f t="shared" si="9"/>
        <v>1900</v>
      </c>
      <c r="E168" s="48" t="str">
        <f t="shared" si="10"/>
        <v>4</v>
      </c>
    </row>
    <row r="169" spans="4:5">
      <c r="D169" s="48">
        <f t="shared" si="9"/>
        <v>1900</v>
      </c>
      <c r="E169" s="48" t="str">
        <f t="shared" si="10"/>
        <v>4</v>
      </c>
    </row>
    <row r="170" spans="4:5">
      <c r="D170" s="48">
        <f t="shared" si="9"/>
        <v>1900</v>
      </c>
      <c r="E170" s="48" t="str">
        <f t="shared" si="10"/>
        <v>4</v>
      </c>
    </row>
    <row r="171" spans="4:5">
      <c r="D171" s="48">
        <f t="shared" si="9"/>
        <v>1900</v>
      </c>
      <c r="E171" s="48" t="str">
        <f t="shared" si="10"/>
        <v>4</v>
      </c>
    </row>
    <row r="172" spans="4:5">
      <c r="D172" s="48">
        <f t="shared" si="9"/>
        <v>1900</v>
      </c>
      <c r="E172" s="48" t="str">
        <f t="shared" si="10"/>
        <v>4</v>
      </c>
    </row>
    <row r="173" spans="4:5">
      <c r="D173" s="48">
        <f t="shared" si="9"/>
        <v>1900</v>
      </c>
      <c r="E173" s="48" t="str">
        <f t="shared" si="10"/>
        <v>4</v>
      </c>
    </row>
    <row r="174" spans="4:5">
      <c r="D174" s="48">
        <f t="shared" si="9"/>
        <v>1900</v>
      </c>
      <c r="E174" s="48" t="str">
        <f t="shared" si="10"/>
        <v>4</v>
      </c>
    </row>
    <row r="175" spans="4:5">
      <c r="D175" s="48">
        <f t="shared" si="9"/>
        <v>1900</v>
      </c>
      <c r="E175" s="48" t="str">
        <f t="shared" si="10"/>
        <v>4</v>
      </c>
    </row>
    <row r="176" spans="4:5">
      <c r="D176" s="48">
        <f t="shared" si="9"/>
        <v>1900</v>
      </c>
      <c r="E176" s="48" t="str">
        <f t="shared" si="10"/>
        <v>4</v>
      </c>
    </row>
    <row r="177" spans="4:5">
      <c r="D177" s="48">
        <f t="shared" si="9"/>
        <v>1900</v>
      </c>
      <c r="E177" s="48" t="str">
        <f t="shared" si="10"/>
        <v>4</v>
      </c>
    </row>
    <row r="178" spans="4:5">
      <c r="D178" s="48">
        <f t="shared" si="9"/>
        <v>1900</v>
      </c>
      <c r="E178" s="48" t="str">
        <f t="shared" si="10"/>
        <v>4</v>
      </c>
    </row>
    <row r="179" spans="4:5">
      <c r="D179" s="48">
        <f t="shared" si="9"/>
        <v>1900</v>
      </c>
      <c r="E179" s="48" t="str">
        <f t="shared" si="10"/>
        <v>4</v>
      </c>
    </row>
    <row r="180" spans="4:5">
      <c r="D180" s="48">
        <f t="shared" si="9"/>
        <v>1900</v>
      </c>
      <c r="E180" s="48" t="str">
        <f t="shared" si="10"/>
        <v>4</v>
      </c>
    </row>
    <row r="181" spans="4:5">
      <c r="D181" s="48">
        <f t="shared" si="9"/>
        <v>1900</v>
      </c>
      <c r="E181" s="48" t="str">
        <f t="shared" si="10"/>
        <v>4</v>
      </c>
    </row>
    <row r="182" spans="4:5">
      <c r="D182" s="48">
        <f t="shared" si="9"/>
        <v>1900</v>
      </c>
      <c r="E182" s="48" t="str">
        <f t="shared" si="10"/>
        <v>4</v>
      </c>
    </row>
    <row r="183" spans="4:5">
      <c r="D183" s="48">
        <f t="shared" si="9"/>
        <v>1900</v>
      </c>
      <c r="E183" s="48" t="str">
        <f t="shared" si="10"/>
        <v>4</v>
      </c>
    </row>
    <row r="184" spans="4:5">
      <c r="D184" s="48">
        <f t="shared" si="9"/>
        <v>1900</v>
      </c>
      <c r="E184" s="48" t="str">
        <f t="shared" si="10"/>
        <v>4</v>
      </c>
    </row>
    <row r="185" spans="4:5">
      <c r="D185" s="48">
        <f t="shared" si="9"/>
        <v>1900</v>
      </c>
      <c r="E185" s="48" t="str">
        <f t="shared" si="10"/>
        <v>4</v>
      </c>
    </row>
    <row r="186" spans="4:5">
      <c r="D186" s="48">
        <f t="shared" si="9"/>
        <v>1900</v>
      </c>
      <c r="E186" s="48" t="str">
        <f t="shared" si="10"/>
        <v>4</v>
      </c>
    </row>
    <row r="187" spans="4:5">
      <c r="D187" s="48">
        <f t="shared" si="9"/>
        <v>1900</v>
      </c>
      <c r="E187" s="48" t="str">
        <f t="shared" si="10"/>
        <v>4</v>
      </c>
    </row>
    <row r="188" spans="4:5">
      <c r="D188" s="48">
        <f t="shared" si="9"/>
        <v>1900</v>
      </c>
      <c r="E188" s="48" t="str">
        <f t="shared" si="10"/>
        <v>4</v>
      </c>
    </row>
    <row r="189" spans="4:5">
      <c r="D189" s="48">
        <f t="shared" si="9"/>
        <v>1900</v>
      </c>
      <c r="E189" s="48" t="str">
        <f t="shared" si="10"/>
        <v>4</v>
      </c>
    </row>
    <row r="190" spans="4:5">
      <c r="D190" s="48">
        <f t="shared" si="9"/>
        <v>1900</v>
      </c>
      <c r="E190" s="48" t="str">
        <f t="shared" si="10"/>
        <v>4</v>
      </c>
    </row>
    <row r="191" spans="4:5">
      <c r="D191" s="48">
        <f t="shared" si="9"/>
        <v>1900</v>
      </c>
      <c r="E191" s="48" t="str">
        <f t="shared" si="10"/>
        <v>4</v>
      </c>
    </row>
    <row r="192" spans="4:5">
      <c r="D192" s="48">
        <f t="shared" si="9"/>
        <v>1900</v>
      </c>
      <c r="E192" s="48" t="str">
        <f t="shared" si="10"/>
        <v>4</v>
      </c>
    </row>
    <row r="193" spans="4:5">
      <c r="D193" s="48">
        <f t="shared" si="9"/>
        <v>1900</v>
      </c>
      <c r="E193" s="48" t="str">
        <f t="shared" si="10"/>
        <v>4</v>
      </c>
    </row>
    <row r="194" spans="4:5">
      <c r="D194" s="48">
        <f t="shared" si="9"/>
        <v>1900</v>
      </c>
      <c r="E194" s="48" t="str">
        <f t="shared" si="10"/>
        <v>4</v>
      </c>
    </row>
    <row r="195" spans="4:5">
      <c r="D195" s="48">
        <f t="shared" si="9"/>
        <v>1900</v>
      </c>
      <c r="E195" s="48" t="str">
        <f t="shared" si="10"/>
        <v>4</v>
      </c>
    </row>
    <row r="196" spans="4:5">
      <c r="D196" s="48">
        <f t="shared" si="9"/>
        <v>1900</v>
      </c>
      <c r="E196" s="48" t="str">
        <f t="shared" si="10"/>
        <v>4</v>
      </c>
    </row>
    <row r="197" spans="4:5">
      <c r="D197" s="48">
        <f t="shared" si="9"/>
        <v>1900</v>
      </c>
      <c r="E197" s="48" t="str">
        <f t="shared" si="10"/>
        <v>4</v>
      </c>
    </row>
    <row r="198" spans="4:5">
      <c r="D198" s="48">
        <f t="shared" si="9"/>
        <v>1900</v>
      </c>
      <c r="E198" s="48" t="str">
        <f t="shared" si="10"/>
        <v>4</v>
      </c>
    </row>
    <row r="199" spans="4:5">
      <c r="D199" s="48">
        <f t="shared" si="9"/>
        <v>1900</v>
      </c>
      <c r="E199" s="48" t="str">
        <f t="shared" si="10"/>
        <v>4</v>
      </c>
    </row>
    <row r="200" spans="4:5">
      <c r="D200" s="48">
        <f t="shared" si="9"/>
        <v>1900</v>
      </c>
      <c r="E200" s="48" t="str">
        <f t="shared" si="10"/>
        <v>4</v>
      </c>
    </row>
    <row r="201" spans="4:5">
      <c r="D201" s="48">
        <f t="shared" si="9"/>
        <v>1900</v>
      </c>
      <c r="E201" s="48" t="str">
        <f t="shared" si="10"/>
        <v>4</v>
      </c>
    </row>
    <row r="202" spans="4:5">
      <c r="D202" s="48">
        <f t="shared" si="9"/>
        <v>1900</v>
      </c>
      <c r="E202" s="48" t="str">
        <f t="shared" si="10"/>
        <v>4</v>
      </c>
    </row>
    <row r="203" spans="4:5">
      <c r="D203" s="48">
        <f t="shared" si="9"/>
        <v>1900</v>
      </c>
      <c r="E203" s="48" t="str">
        <f t="shared" si="10"/>
        <v>4</v>
      </c>
    </row>
    <row r="204" spans="4:5">
      <c r="D204" s="48">
        <f t="shared" ref="D204:D250" si="11">YEAR(A204)</f>
        <v>1900</v>
      </c>
      <c r="E204" s="48" t="str">
        <f t="shared" ref="E204:E250" si="12">IF(MONTH(A204)=3,"1",IF(MONTH(A204)=6,"2",IF(MONTH(A204)=9,"3","4")))</f>
        <v>4</v>
      </c>
    </row>
    <row r="205" spans="4:5">
      <c r="D205" s="48">
        <f t="shared" si="11"/>
        <v>1900</v>
      </c>
      <c r="E205" s="48" t="str">
        <f t="shared" si="12"/>
        <v>4</v>
      </c>
    </row>
    <row r="206" spans="4:5">
      <c r="D206" s="48">
        <f t="shared" si="11"/>
        <v>1900</v>
      </c>
      <c r="E206" s="48" t="str">
        <f t="shared" si="12"/>
        <v>4</v>
      </c>
    </row>
    <row r="207" spans="4:5">
      <c r="D207" s="48">
        <f t="shared" si="11"/>
        <v>1900</v>
      </c>
      <c r="E207" s="48" t="str">
        <f t="shared" si="12"/>
        <v>4</v>
      </c>
    </row>
    <row r="208" spans="4:5">
      <c r="D208" s="48">
        <f t="shared" si="11"/>
        <v>1900</v>
      </c>
      <c r="E208" s="48" t="str">
        <f t="shared" si="12"/>
        <v>4</v>
      </c>
    </row>
    <row r="209" spans="4:5">
      <c r="D209" s="48">
        <f t="shared" si="11"/>
        <v>1900</v>
      </c>
      <c r="E209" s="48" t="str">
        <f t="shared" si="12"/>
        <v>4</v>
      </c>
    </row>
    <row r="210" spans="4:5">
      <c r="D210" s="48">
        <f t="shared" si="11"/>
        <v>1900</v>
      </c>
      <c r="E210" s="48" t="str">
        <f t="shared" si="12"/>
        <v>4</v>
      </c>
    </row>
    <row r="211" spans="4:5">
      <c r="D211" s="48">
        <f t="shared" si="11"/>
        <v>1900</v>
      </c>
      <c r="E211" s="48" t="str">
        <f t="shared" si="12"/>
        <v>4</v>
      </c>
    </row>
    <row r="212" spans="4:5">
      <c r="D212" s="48">
        <f t="shared" si="11"/>
        <v>1900</v>
      </c>
      <c r="E212" s="48" t="str">
        <f t="shared" si="12"/>
        <v>4</v>
      </c>
    </row>
    <row r="213" spans="4:5">
      <c r="D213" s="48">
        <f t="shared" si="11"/>
        <v>1900</v>
      </c>
      <c r="E213" s="48" t="str">
        <f t="shared" si="12"/>
        <v>4</v>
      </c>
    </row>
    <row r="214" spans="4:5">
      <c r="D214" s="48">
        <f t="shared" si="11"/>
        <v>1900</v>
      </c>
      <c r="E214" s="48" t="str">
        <f t="shared" si="12"/>
        <v>4</v>
      </c>
    </row>
    <row r="215" spans="4:5">
      <c r="D215" s="48">
        <f t="shared" si="11"/>
        <v>1900</v>
      </c>
      <c r="E215" s="48" t="str">
        <f t="shared" si="12"/>
        <v>4</v>
      </c>
    </row>
    <row r="216" spans="4:5">
      <c r="D216" s="48">
        <f t="shared" si="11"/>
        <v>1900</v>
      </c>
      <c r="E216" s="48" t="str">
        <f t="shared" si="12"/>
        <v>4</v>
      </c>
    </row>
    <row r="217" spans="4:5">
      <c r="D217" s="48">
        <f t="shared" si="11"/>
        <v>1900</v>
      </c>
      <c r="E217" s="48" t="str">
        <f t="shared" si="12"/>
        <v>4</v>
      </c>
    </row>
    <row r="218" spans="4:5">
      <c r="D218" s="48">
        <f t="shared" si="11"/>
        <v>1900</v>
      </c>
      <c r="E218" s="48" t="str">
        <f t="shared" si="12"/>
        <v>4</v>
      </c>
    </row>
    <row r="219" spans="4:5">
      <c r="D219" s="48">
        <f t="shared" si="11"/>
        <v>1900</v>
      </c>
      <c r="E219" s="48" t="str">
        <f t="shared" si="12"/>
        <v>4</v>
      </c>
    </row>
    <row r="220" spans="4:5">
      <c r="D220" s="48">
        <f t="shared" si="11"/>
        <v>1900</v>
      </c>
      <c r="E220" s="48" t="str">
        <f t="shared" si="12"/>
        <v>4</v>
      </c>
    </row>
    <row r="221" spans="4:5">
      <c r="D221" s="48">
        <f t="shared" si="11"/>
        <v>1900</v>
      </c>
      <c r="E221" s="48" t="str">
        <f t="shared" si="12"/>
        <v>4</v>
      </c>
    </row>
    <row r="222" spans="4:5">
      <c r="D222" s="48">
        <f t="shared" si="11"/>
        <v>1900</v>
      </c>
      <c r="E222" s="48" t="str">
        <f t="shared" si="12"/>
        <v>4</v>
      </c>
    </row>
    <row r="223" spans="4:5">
      <c r="D223" s="48">
        <f t="shared" si="11"/>
        <v>1900</v>
      </c>
      <c r="E223" s="48" t="str">
        <f t="shared" si="12"/>
        <v>4</v>
      </c>
    </row>
    <row r="224" spans="4:5">
      <c r="D224" s="48">
        <f t="shared" si="11"/>
        <v>1900</v>
      </c>
      <c r="E224" s="48" t="str">
        <f t="shared" si="12"/>
        <v>4</v>
      </c>
    </row>
    <row r="225" spans="4:5">
      <c r="D225" s="48">
        <f t="shared" si="11"/>
        <v>1900</v>
      </c>
      <c r="E225" s="48" t="str">
        <f t="shared" si="12"/>
        <v>4</v>
      </c>
    </row>
    <row r="226" spans="4:5">
      <c r="D226" s="48">
        <f t="shared" si="11"/>
        <v>1900</v>
      </c>
      <c r="E226" s="48" t="str">
        <f t="shared" si="12"/>
        <v>4</v>
      </c>
    </row>
    <row r="227" spans="4:5">
      <c r="D227" s="48">
        <f t="shared" si="11"/>
        <v>1900</v>
      </c>
      <c r="E227" s="48" t="str">
        <f t="shared" si="12"/>
        <v>4</v>
      </c>
    </row>
    <row r="228" spans="4:5">
      <c r="D228" s="48">
        <f t="shared" si="11"/>
        <v>1900</v>
      </c>
      <c r="E228" s="48" t="str">
        <f t="shared" si="12"/>
        <v>4</v>
      </c>
    </row>
    <row r="229" spans="4:5">
      <c r="D229" s="48">
        <f t="shared" si="11"/>
        <v>1900</v>
      </c>
      <c r="E229" s="48" t="str">
        <f t="shared" si="12"/>
        <v>4</v>
      </c>
    </row>
    <row r="230" spans="4:5">
      <c r="D230" s="48">
        <f t="shared" si="11"/>
        <v>1900</v>
      </c>
      <c r="E230" s="48" t="str">
        <f t="shared" si="12"/>
        <v>4</v>
      </c>
    </row>
    <row r="231" spans="4:5">
      <c r="D231" s="48">
        <f t="shared" si="11"/>
        <v>1900</v>
      </c>
      <c r="E231" s="48" t="str">
        <f t="shared" si="12"/>
        <v>4</v>
      </c>
    </row>
    <row r="232" spans="4:5">
      <c r="D232" s="48">
        <f t="shared" si="11"/>
        <v>1900</v>
      </c>
      <c r="E232" s="48" t="str">
        <f t="shared" si="12"/>
        <v>4</v>
      </c>
    </row>
    <row r="233" spans="4:5">
      <c r="D233" s="48">
        <f t="shared" si="11"/>
        <v>1900</v>
      </c>
      <c r="E233" s="48" t="str">
        <f t="shared" si="12"/>
        <v>4</v>
      </c>
    </row>
    <row r="234" spans="4:5">
      <c r="D234" s="48">
        <f t="shared" si="11"/>
        <v>1900</v>
      </c>
      <c r="E234" s="48" t="str">
        <f t="shared" si="12"/>
        <v>4</v>
      </c>
    </row>
    <row r="235" spans="4:5">
      <c r="D235" s="48">
        <f t="shared" si="11"/>
        <v>1900</v>
      </c>
      <c r="E235" s="48" t="str">
        <f t="shared" si="12"/>
        <v>4</v>
      </c>
    </row>
    <row r="236" spans="4:5">
      <c r="D236" s="48">
        <f t="shared" si="11"/>
        <v>1900</v>
      </c>
      <c r="E236" s="48" t="str">
        <f t="shared" si="12"/>
        <v>4</v>
      </c>
    </row>
    <row r="237" spans="4:5">
      <c r="D237" s="48">
        <f t="shared" si="11"/>
        <v>1900</v>
      </c>
      <c r="E237" s="48" t="str">
        <f t="shared" si="12"/>
        <v>4</v>
      </c>
    </row>
    <row r="238" spans="4:5">
      <c r="D238" s="48">
        <f t="shared" si="11"/>
        <v>1900</v>
      </c>
      <c r="E238" s="48" t="str">
        <f t="shared" si="12"/>
        <v>4</v>
      </c>
    </row>
    <row r="239" spans="4:5">
      <c r="D239" s="48">
        <f t="shared" si="11"/>
        <v>1900</v>
      </c>
      <c r="E239" s="48" t="str">
        <f t="shared" si="12"/>
        <v>4</v>
      </c>
    </row>
    <row r="240" spans="4:5">
      <c r="D240" s="48">
        <f t="shared" si="11"/>
        <v>1900</v>
      </c>
      <c r="E240" s="48" t="str">
        <f t="shared" si="12"/>
        <v>4</v>
      </c>
    </row>
    <row r="241" spans="4:5">
      <c r="D241" s="48">
        <f t="shared" si="11"/>
        <v>1900</v>
      </c>
      <c r="E241" s="48" t="str">
        <f t="shared" si="12"/>
        <v>4</v>
      </c>
    </row>
    <row r="242" spans="4:5">
      <c r="D242" s="48">
        <f t="shared" si="11"/>
        <v>1900</v>
      </c>
      <c r="E242" s="48" t="str">
        <f t="shared" si="12"/>
        <v>4</v>
      </c>
    </row>
    <row r="243" spans="4:5">
      <c r="D243" s="48">
        <f t="shared" si="11"/>
        <v>1900</v>
      </c>
      <c r="E243" s="48" t="str">
        <f t="shared" si="12"/>
        <v>4</v>
      </c>
    </row>
    <row r="244" spans="4:5">
      <c r="D244" s="48">
        <f t="shared" si="11"/>
        <v>1900</v>
      </c>
      <c r="E244" s="48" t="str">
        <f t="shared" si="12"/>
        <v>4</v>
      </c>
    </row>
    <row r="245" spans="4:5">
      <c r="D245" s="48">
        <f t="shared" si="11"/>
        <v>1900</v>
      </c>
      <c r="E245" s="48" t="str">
        <f t="shared" si="12"/>
        <v>4</v>
      </c>
    </row>
    <row r="246" spans="4:5">
      <c r="D246" s="48">
        <f t="shared" si="11"/>
        <v>1900</v>
      </c>
      <c r="E246" s="48" t="str">
        <f t="shared" si="12"/>
        <v>4</v>
      </c>
    </row>
    <row r="247" spans="4:5">
      <c r="D247" s="48">
        <f t="shared" si="11"/>
        <v>1900</v>
      </c>
      <c r="E247" s="48" t="str">
        <f t="shared" si="12"/>
        <v>4</v>
      </c>
    </row>
    <row r="248" spans="4:5">
      <c r="D248" s="48">
        <f t="shared" si="11"/>
        <v>1900</v>
      </c>
      <c r="E248" s="48" t="str">
        <f t="shared" si="12"/>
        <v>4</v>
      </c>
    </row>
    <row r="249" spans="4:5">
      <c r="D249" s="48">
        <f t="shared" si="11"/>
        <v>1900</v>
      </c>
      <c r="E249" s="48" t="str">
        <f t="shared" si="12"/>
        <v>4</v>
      </c>
    </row>
    <row r="250" spans="4:5">
      <c r="D250" s="48">
        <f t="shared" si="11"/>
        <v>1900</v>
      </c>
      <c r="E250" s="48" t="str">
        <f t="shared" si="12"/>
        <v>4</v>
      </c>
    </row>
  </sheetData>
  <mergeCells count="6">
    <mergeCell ref="A5:C5"/>
    <mergeCell ref="A6:C6"/>
    <mergeCell ref="N7:P7"/>
    <mergeCell ref="N8:P8"/>
    <mergeCell ref="N33:P33"/>
    <mergeCell ref="O32:P32"/>
  </mergeCells>
  <dataValidations count="1">
    <dataValidation type="list" allowBlank="1" showInputMessage="1" showErrorMessage="1" promptTitle="Select a Period:" prompt="Select Financial or Calendar years." sqref="O32:P32" xr:uid="{00000000-0002-0000-1400-000000000000}">
      <formula1>A1:A2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Z81"/>
  <sheetViews>
    <sheetView showGridLines="0" workbookViewId="0"/>
  </sheetViews>
  <sheetFormatPr defaultColWidth="9.140625" defaultRowHeight="15"/>
  <cols>
    <col min="1" max="1" width="24.5703125" style="303" bestFit="1" customWidth="1"/>
    <col min="2" max="2" width="5.28515625" style="303" bestFit="1" customWidth="1"/>
    <col min="3" max="3" width="21" style="303" bestFit="1" customWidth="1"/>
    <col min="4" max="4" width="13.42578125" style="303" bestFit="1" customWidth="1"/>
    <col min="5" max="14" width="15.42578125" style="303" customWidth="1"/>
    <col min="15" max="15" width="11" style="303" bestFit="1" customWidth="1"/>
    <col min="16" max="22" width="9.140625" style="303"/>
    <col min="23" max="23" width="17.85546875" style="303" customWidth="1"/>
    <col min="24" max="24" width="9.140625" style="303"/>
    <col min="25" max="25" width="9.140625" style="294"/>
    <col min="26" max="16384" width="9.140625" style="303"/>
  </cols>
  <sheetData>
    <row r="1" spans="1:26">
      <c r="V1" s="297" t="s">
        <v>1</v>
      </c>
      <c r="W1" s="297" t="str">
        <f>"Gold Exports "&amp;B6&amp;CHAR(10)&amp;"Total Value: $"&amp;TEXT(C21,"#,###")</f>
        <v>Gold Exports 2023
Total Value: $22,752,630,000</v>
      </c>
      <c r="X1" s="297" t="s">
        <v>240</v>
      </c>
      <c r="Y1" s="297">
        <f>IF($B$5="Calendar Year",MAX('Commodity Prices'!$BB$9:$BB$3488),CONCATENATE(MAX('Commodity Prices'!$BN$9:$BN$3487),"-",VALUE(RIGHT(MAX('Commodity Prices'!$BN$9:$BN$3487),2))+1))</f>
        <v>2023</v>
      </c>
      <c r="Z1" s="297">
        <f t="array" ref="Z1">MIN(IF('Commodity Prices'!$BA$9:$BA$3488=V1,'Commodity Prices'!$BB$9:$BB$3488))</f>
        <v>2002</v>
      </c>
    </row>
    <row r="2" spans="1:26">
      <c r="W2" s="297" t="str">
        <f>IF($B$5=X1,IF(RIGHT(LEFT(B6,5),1)="-","Mismatch Error",""),IF(LEN(B6)=4,"Mismatch Error",""))</f>
        <v/>
      </c>
      <c r="X2" s="297" t="s">
        <v>246</v>
      </c>
      <c r="Y2" s="297">
        <f>IFERROR(IF($B$5=$X$1,IF($Z$1&lt;=(Y1-1),Y1-1,""),IF($Z$1=VALUE(LEFT(Y1,4)),"",CONCATENATE(VALUE(LEFT(Y1,4))-1,"-",RIGHT(LEFT(Y1,4),2)))),"")</f>
        <v>2022</v>
      </c>
    </row>
    <row r="3" spans="1:26">
      <c r="W3" s="297"/>
      <c r="X3" s="297"/>
      <c r="Y3" s="297">
        <f t="shared" ref="Y3:Y25" si="0">IFERROR(IF($B$5=$X$1,IF($Z$1&lt;=(Y2-1),Y2-1,""),IF($Z$1=VALUE(LEFT(Y2,4)),"",CONCATENATE(VALUE(LEFT(Y2,4))-1,"-",RIGHT(LEFT(Y2,4),2)))),"")</f>
        <v>2021</v>
      </c>
    </row>
    <row r="4" spans="1:26" ht="21.75" customHeight="1" thickBot="1">
      <c r="W4" s="297"/>
      <c r="X4" s="297"/>
      <c r="Y4" s="297">
        <f t="shared" si="0"/>
        <v>2020</v>
      </c>
    </row>
    <row r="5" spans="1:26">
      <c r="A5" s="1410" t="s">
        <v>247</v>
      </c>
      <c r="B5" s="2011" t="s">
        <v>240</v>
      </c>
      <c r="C5" s="2011"/>
      <c r="D5" s="2012"/>
      <c r="E5" s="296"/>
      <c r="W5" s="297"/>
      <c r="X5" s="297"/>
      <c r="Y5" s="297">
        <f t="shared" si="0"/>
        <v>2019</v>
      </c>
    </row>
    <row r="6" spans="1:26" ht="15.75" thickBot="1">
      <c r="A6" s="219" t="s">
        <v>247</v>
      </c>
      <c r="B6" s="2013">
        <v>2023</v>
      </c>
      <c r="C6" s="2013"/>
      <c r="D6" s="2014"/>
      <c r="E6" s="296"/>
      <c r="W6" s="297"/>
      <c r="X6" s="297"/>
      <c r="Y6" s="297">
        <f t="shared" si="0"/>
        <v>2018</v>
      </c>
    </row>
    <row r="7" spans="1:26">
      <c r="W7" s="297"/>
      <c r="X7" s="297"/>
      <c r="Y7" s="297">
        <f t="shared" si="0"/>
        <v>2017</v>
      </c>
    </row>
    <row r="8" spans="1:26" ht="15.75" thickBot="1">
      <c r="A8" s="1948" t="str">
        <f>IF($B$6="Click here to select an option","Select a year above for display.",CONCATENATE("Exports ",B6))</f>
        <v>Exports 2023</v>
      </c>
      <c r="B8" s="1948"/>
      <c r="C8" s="1948"/>
      <c r="D8" s="1948"/>
      <c r="W8" s="297"/>
      <c r="X8" s="297"/>
      <c r="Y8" s="297">
        <f t="shared" si="0"/>
        <v>2016</v>
      </c>
    </row>
    <row r="9" spans="1:26">
      <c r="A9" s="1410" t="s">
        <v>591</v>
      </c>
      <c r="B9" s="1411" t="s">
        <v>31</v>
      </c>
      <c r="C9" s="1425" t="s">
        <v>402</v>
      </c>
      <c r="D9" s="1412" t="s">
        <v>33</v>
      </c>
      <c r="W9" s="297"/>
      <c r="X9" s="297"/>
      <c r="Y9" s="297">
        <f t="shared" si="0"/>
        <v>2015</v>
      </c>
    </row>
    <row r="10" spans="1:26">
      <c r="A10" s="549" t="str">
        <f t="array" ref="A10">IF($W$2="Mismatch Error","Mismatch Error",IF($B$5=$X$1,INDEX('Commodity Prices'!$BA$9:$BF$3498,MATCH(1,(('Commodity Prices'!$BA$9:$BA$3488)="Gold")*(('Commodity Prices'!$BB$9:$BB$3488)=$B$6)*(('Commodity Prices'!$BD$9:$BD$3488)=B10),0),3),INDEX('Commodity Prices'!$BH$9:$BM$3487,MATCH(1,(('Commodity Prices'!$BH$9:$BH$3487)="Gold")*(('Commodity Prices'!$BI$9:$BI$3487)=$B$6)*(('Commodity Prices'!$BK$9:$BK$3487)=B10),0),3)))</f>
        <v>China</v>
      </c>
      <c r="B10" s="552">
        <v>1</v>
      </c>
      <c r="C10" s="1773">
        <f t="array" ref="C10">IF($W$2="Mismatch Error","",IF($B$5=$X$1,INDEX('Commodity Prices'!$BA$9:$BF$3498,MATCH(1,(('Commodity Prices'!$BA$9:$BA$3488)="Gold")*(('Commodity Prices'!$BB$9:$BB$3488)=$B$6)*(('Commodity Prices'!$BD$9:$BD$3488)=B10),0),5),INDEX('Commodity Prices'!$BH$9:$BM$3487,MATCH(1,(('Commodity Prices'!$BH$9:$BH$3487)="Gold")*(('Commodity Prices'!$BI$9:$BI$3487)=$B$6)*(('Commodity Prices'!$BK$9:$BK$3487)=B10),0),5)))</f>
        <v>6398747000</v>
      </c>
      <c r="D10" s="553">
        <f>IF($W$2="Mismatch Error","",C10/$C$21)</f>
        <v>0.2812310928450909</v>
      </c>
      <c r="W10" s="297"/>
      <c r="X10" s="297"/>
      <c r="Y10" s="297">
        <f t="shared" si="0"/>
        <v>2014</v>
      </c>
    </row>
    <row r="11" spans="1:26">
      <c r="A11" s="550" t="str">
        <f t="array" ref="A11">IF($W$2="Mismatch Error","",IF($B$5=$X$1,INDEX('Commodity Prices'!$BA$9:$BF$3498,MATCH(1,(('Commodity Prices'!$BA$9:$BA$3488)="Gold")*(('Commodity Prices'!$BB$9:$BB$3488)=$B$6)*(('Commodity Prices'!$BD$9:$BD$3488)=B11),0),3),INDEX('Commodity Prices'!$BH$9:$BM$3487,MATCH(1,(('Commodity Prices'!$BH$9:$BH$3487)="Gold")*(('Commodity Prices'!$BI$9:$BI$3487)=$B$6)*(('Commodity Prices'!$BK$9:$BK$3487)=B11),0),3)))</f>
        <v>Hong Kong</v>
      </c>
      <c r="B11" s="554">
        <v>2</v>
      </c>
      <c r="C11" s="1774">
        <f t="array" ref="C11">IF($W$2="Mismatch Error","",IF($B$5=$X$1,INDEX('Commodity Prices'!$BA$9:$BF$3498,MATCH(1,(('Commodity Prices'!$BA$9:$BA$3488)="Gold")*(('Commodity Prices'!$BB$9:$BB$3488)=$B$6)*(('Commodity Prices'!$BD$9:$BD$3488)=B11),0),5),INDEX('Commodity Prices'!$BH$9:$BM$3487,MATCH(1,(('Commodity Prices'!$BH$9:$BH$3487)="Gold")*(('Commodity Prices'!$BI$9:$BI$3487)=$B$6)*(('Commodity Prices'!$BK$9:$BK$3487)=B11),0),5)))</f>
        <v>5483849000</v>
      </c>
      <c r="D11" s="555">
        <f t="shared" ref="D11:D20" si="1">IF($W$2="Mismatch Error","",C11/$C$21)</f>
        <v>0.24102044466947337</v>
      </c>
      <c r="E11" s="302"/>
      <c r="W11" s="297"/>
      <c r="X11" s="297"/>
      <c r="Y11" s="297">
        <f t="shared" si="0"/>
        <v>2013</v>
      </c>
    </row>
    <row r="12" spans="1:26">
      <c r="A12" s="549" t="str">
        <f t="array" ref="A12">IF($W$2="Mismatch Error","",IF($B$5=$X$1,INDEX('Commodity Prices'!$BA$9:$BF$3498,MATCH(1,(('Commodity Prices'!$BA$9:$BA$3488)="Gold")*(('Commodity Prices'!$BB$9:$BB$3488)=$B$6)*(('Commodity Prices'!$BD$9:$BD$3488)=B12),0),3),INDEX('Commodity Prices'!$BH$9:$BM$3487,MATCH(1,(('Commodity Prices'!$BH$9:$BH$3487)="Gold")*(('Commodity Prices'!$BI$9:$BI$3487)=$B$6)*(('Commodity Prices'!$BK$9:$BK$3487)=B12),0),3)))</f>
        <v>India</v>
      </c>
      <c r="B12" s="552">
        <v>3</v>
      </c>
      <c r="C12" s="1773">
        <f t="array" ref="C12">IF($W$2="Mismatch Error","",IF($B$5=$X$1,INDEX('Commodity Prices'!$BA$9:$BF$3498,MATCH(1,(('Commodity Prices'!$BA$9:$BA$3488)="Gold")*(('Commodity Prices'!$BB$9:$BB$3488)=$B$6)*(('Commodity Prices'!$BD$9:$BD$3488)=B12),0),5),INDEX('Commodity Prices'!$BH$9:$BM$3487,MATCH(1,(('Commodity Prices'!$BH$9:$BH$3487)="Gold")*(('Commodity Prices'!$BI$9:$BI$3487)=$B$6)*(('Commodity Prices'!$BK$9:$BK$3487)=B12),0),5)))</f>
        <v>3314664000</v>
      </c>
      <c r="D12" s="553">
        <f t="shared" si="1"/>
        <v>0.14568267492593165</v>
      </c>
      <c r="E12" s="302"/>
      <c r="W12" s="297"/>
      <c r="X12" s="297"/>
      <c r="Y12" s="297">
        <f t="shared" si="0"/>
        <v>2012</v>
      </c>
    </row>
    <row r="13" spans="1:26">
      <c r="A13" s="550" t="str">
        <f t="array" ref="A13">IF($W$2="Mismatch Error","",IF($B$5=$X$1,INDEX('Commodity Prices'!$BA$9:$BF$3498,MATCH(1,(('Commodity Prices'!$BA$9:$BA$3488)="Gold")*(('Commodity Prices'!$BB$9:$BB$3488)=$B$6)*(('Commodity Prices'!$BD$9:$BD$3488)=B13),0),3),INDEX('Commodity Prices'!$BH$9:$BM$3487,MATCH(1,(('Commodity Prices'!$BH$9:$BH$3487)="Gold")*(('Commodity Prices'!$BI$9:$BI$3487)=$B$6)*(('Commodity Prices'!$BK$9:$BK$3487)=B13),0),3)))</f>
        <v>United Kingdom</v>
      </c>
      <c r="B13" s="554">
        <v>4</v>
      </c>
      <c r="C13" s="1774">
        <f t="array" ref="C13">IF($W$2="Mismatch Error","",IF($B$5=$X$1,INDEX('Commodity Prices'!$BA$9:$BF$3498,MATCH(1,(('Commodity Prices'!$BA$9:$BA$3488)="Gold")*(('Commodity Prices'!$BB$9:$BB$3488)=$B$6)*(('Commodity Prices'!$BD$9:$BD$3488)=B13),0),5),INDEX('Commodity Prices'!$BH$9:$BM$3487,MATCH(1,(('Commodity Prices'!$BH$9:$BH$3487)="Gold")*(('Commodity Prices'!$BI$9:$BI$3487)=$B$6)*(('Commodity Prices'!$BK$9:$BK$3487)=B13),0),5)))</f>
        <v>2578813000</v>
      </c>
      <c r="D13" s="555">
        <f t="shared" si="1"/>
        <v>0.11334131482821985</v>
      </c>
      <c r="E13" s="302"/>
      <c r="W13" s="294"/>
      <c r="X13" s="294"/>
      <c r="Y13" s="297">
        <f t="shared" si="0"/>
        <v>2011</v>
      </c>
    </row>
    <row r="14" spans="1:26">
      <c r="A14" s="549" t="str">
        <f t="array" ref="A14">IF($W$2="Mismatch Error","",IF($B$5=$X$1,INDEX('Commodity Prices'!$BA$9:$BF$3498,MATCH(1,(('Commodity Prices'!$BA$9:$BA$3488)="Gold")*(('Commodity Prices'!$BB$9:$BB$3488)=$B$6)*(('Commodity Prices'!$BD$9:$BD$3488)=B14),0),3),INDEX('Commodity Prices'!$BH$9:$BM$3487,MATCH(1,(('Commodity Prices'!$BH$9:$BH$3487)="Gold")*(('Commodity Prices'!$BI$9:$BI$3487)=$B$6)*(('Commodity Prices'!$BK$9:$BK$3487)=B14),0),3)))</f>
        <v>Singapore</v>
      </c>
      <c r="B14" s="552">
        <v>5</v>
      </c>
      <c r="C14" s="1773">
        <f t="array" ref="C14">IF($W$2="Mismatch Error","",IF($B$5=$X$1,INDEX('Commodity Prices'!$BA$9:$BF$3498,MATCH(1,(('Commodity Prices'!$BA$9:$BA$3488)="Gold")*(('Commodity Prices'!$BB$9:$BB$3488)=$B$6)*(('Commodity Prices'!$BD$9:$BD$3488)=B14),0),5),INDEX('Commodity Prices'!$BH$9:$BM$3487,MATCH(1,(('Commodity Prices'!$BH$9:$BH$3487)="Gold")*(('Commodity Prices'!$BI$9:$BI$3487)=$B$6)*(('Commodity Prices'!$BK$9:$BK$3487)=B14),0),5)))</f>
        <v>2285380000</v>
      </c>
      <c r="D14" s="553">
        <f t="shared" si="1"/>
        <v>0.10044465189298996</v>
      </c>
      <c r="E14" s="302"/>
      <c r="W14" s="294"/>
      <c r="X14" s="294"/>
      <c r="Y14" s="297">
        <f t="shared" si="0"/>
        <v>2010</v>
      </c>
    </row>
    <row r="15" spans="1:26">
      <c r="A15" s="550" t="str">
        <f t="array" ref="A15">IF($W$2="Mismatch Error","",IF($B$5=$X$1,INDEX('Commodity Prices'!$BA$9:$BF$3498,MATCH(1,(('Commodity Prices'!$BA$9:$BA$3488)="Gold")*(('Commodity Prices'!$BB$9:$BB$3488)=$B$6)*(('Commodity Prices'!$BD$9:$BD$3488)=B15),0),3),INDEX('Commodity Prices'!$BH$9:$BM$3487,MATCH(1,(('Commodity Prices'!$BH$9:$BH$3487)="Gold")*(('Commodity Prices'!$BI$9:$BI$3487)=$B$6)*(('Commodity Prices'!$BK$9:$BK$3487)=B15),0),3)))</f>
        <v>United States of America</v>
      </c>
      <c r="B15" s="554">
        <v>6</v>
      </c>
      <c r="C15" s="1774">
        <f t="array" ref="C15">IF($W$2="Mismatch Error","",IF($B$5=$X$1,INDEX('Commodity Prices'!$BA$9:$BF$3498,MATCH(1,(('Commodity Prices'!$BA$9:$BA$3488)="Gold")*(('Commodity Prices'!$BB$9:$BB$3488)=$B$6)*(('Commodity Prices'!$BD$9:$BD$3488)=B15),0),5),INDEX('Commodity Prices'!$BH$9:$BM$3487,MATCH(1,(('Commodity Prices'!$BH$9:$BH$3487)="Gold")*(('Commodity Prices'!$BI$9:$BI$3487)=$B$6)*(('Commodity Prices'!$BK$9:$BK$3487)=B15),0),5)))</f>
        <v>1636350000</v>
      </c>
      <c r="D15" s="555">
        <f t="shared" si="1"/>
        <v>7.1919158356638327E-2</v>
      </c>
      <c r="W15" s="294"/>
      <c r="X15" s="294"/>
      <c r="Y15" s="297">
        <f t="shared" si="0"/>
        <v>2009</v>
      </c>
    </row>
    <row r="16" spans="1:26">
      <c r="A16" s="549" t="str">
        <f t="array" ref="A16">IF($W$2="Mismatch Error","",IF($B$5=$X$1,INDEX('Commodity Prices'!$BA$9:$BF$3498,MATCH(1,(('Commodity Prices'!$BA$9:$BA$3488)="Gold")*(('Commodity Prices'!$BB$9:$BB$3488)=$B$6)*(('Commodity Prices'!$BD$9:$BD$3488)=B16),0),3),INDEX('Commodity Prices'!$BH$9:$BM$3487,MATCH(1,(('Commodity Prices'!$BH$9:$BH$3487)="Gold")*(('Commodity Prices'!$BI$9:$BI$3487)=$B$6)*(('Commodity Prices'!$BK$9:$BK$3487)=B16),0),3)))</f>
        <v>Korea, Republic of (South)</v>
      </c>
      <c r="B16" s="552">
        <v>7</v>
      </c>
      <c r="C16" s="1773">
        <f t="array" ref="C16">IF($W$2="Mismatch Error","",IF($B$5=$X$1,INDEX('Commodity Prices'!$BA$9:$BF$3498,MATCH(1,(('Commodity Prices'!$BA$9:$BA$3488)="Gold")*(('Commodity Prices'!$BB$9:$BB$3488)=$B$6)*(('Commodity Prices'!$BD$9:$BD$3488)=B16),0),5),INDEX('Commodity Prices'!$BH$9:$BM$3487,MATCH(1,(('Commodity Prices'!$BH$9:$BH$3487)="Gold")*(('Commodity Prices'!$BI$9:$BI$3487)=$B$6)*(('Commodity Prices'!$BK$9:$BK$3487)=B16),0),5)))</f>
        <v>491670000</v>
      </c>
      <c r="D16" s="553">
        <f t="shared" si="1"/>
        <v>2.1609369993710617E-2</v>
      </c>
      <c r="W16" s="294"/>
      <c r="X16" s="294"/>
      <c r="Y16" s="297">
        <f t="shared" si="0"/>
        <v>2008</v>
      </c>
    </row>
    <row r="17" spans="1:25">
      <c r="A17" s="550" t="str">
        <f t="array" ref="A17">IF($W$2="Mismatch Error","",IF($B$5=$X$1,INDEX('Commodity Prices'!$BA$9:$BF$3498,MATCH(1,(('Commodity Prices'!$BA$9:$BA$3488)="Gold")*(('Commodity Prices'!$BB$9:$BB$3488)=$B$6)*(('Commodity Prices'!$BD$9:$BD$3488)=B17),0),3),INDEX('Commodity Prices'!$BH$9:$BM$3487,MATCH(1,(('Commodity Prices'!$BH$9:$BH$3487)="Gold")*(('Commodity Prices'!$BI$9:$BI$3487)=$B$6)*(('Commodity Prices'!$BK$9:$BK$3487)=B17),0),3)))</f>
        <v>Switzerland</v>
      </c>
      <c r="B17" s="554">
        <v>8</v>
      </c>
      <c r="C17" s="1774">
        <f t="array" ref="C17">IF($W$2="Mismatch Error","",IF($B$5=$X$1,INDEX('Commodity Prices'!$BA$9:$BF$3498,MATCH(1,(('Commodity Prices'!$BA$9:$BA$3488)="Gold")*(('Commodity Prices'!$BB$9:$BB$3488)=$B$6)*(('Commodity Prices'!$BD$9:$BD$3488)=B17),0),5),INDEX('Commodity Prices'!$BH$9:$BM$3487,MATCH(1,(('Commodity Prices'!$BH$9:$BH$3487)="Gold")*(('Commodity Prices'!$BI$9:$BI$3487)=$B$6)*(('Commodity Prices'!$BK$9:$BK$3487)=B17),0),5)))</f>
        <v>289073000</v>
      </c>
      <c r="D17" s="555">
        <f t="shared" si="1"/>
        <v>1.270503673641245E-2</v>
      </c>
      <c r="W17" s="294"/>
      <c r="X17" s="294"/>
      <c r="Y17" s="297">
        <f t="shared" si="0"/>
        <v>2007</v>
      </c>
    </row>
    <row r="18" spans="1:25">
      <c r="A18" s="549" t="str">
        <f t="array" ref="A18">IF($W$2="Mismatch Error","",IF($B$5=$X$1,INDEX('Commodity Prices'!$BA$9:$BF$3498,MATCH(1,(('Commodity Prices'!$BA$9:$BA$3488)="Gold")*(('Commodity Prices'!$BB$9:$BB$3488)=$B$6)*(('Commodity Prices'!$BD$9:$BD$3488)=B18),0),3),INDEX('Commodity Prices'!$BH$9:$BM$3487,MATCH(1,(('Commodity Prices'!$BH$9:$BH$3487)="Gold")*(('Commodity Prices'!$BI$9:$BI$3487)=$B$6)*(('Commodity Prices'!$BK$9:$BK$3487)=B18),0),3)))</f>
        <v>Thailand</v>
      </c>
      <c r="B18" s="552">
        <v>9</v>
      </c>
      <c r="C18" s="1773">
        <f t="array" ref="C18">IF($W$2="Mismatch Error","",IF($B$5=$X$1,INDEX('Commodity Prices'!$BA$9:$BF$3498,MATCH(1,(('Commodity Prices'!$BA$9:$BA$3488)="Gold")*(('Commodity Prices'!$BB$9:$BB$3488)=$B$6)*(('Commodity Prices'!$BD$9:$BD$3488)=B18),0),5),INDEX('Commodity Prices'!$BH$9:$BM$3487,MATCH(1,(('Commodity Prices'!$BH$9:$BH$3487)="Gold")*(('Commodity Prices'!$BI$9:$BI$3487)=$B$6)*(('Commodity Prices'!$BK$9:$BK$3487)=B18),0),5)))</f>
        <v>112037000</v>
      </c>
      <c r="D18" s="553">
        <f t="shared" si="1"/>
        <v>4.9241340451631303E-3</v>
      </c>
      <c r="W18" s="294"/>
      <c r="X18" s="294"/>
      <c r="Y18" s="297">
        <f t="shared" si="0"/>
        <v>2006</v>
      </c>
    </row>
    <row r="19" spans="1:25">
      <c r="A19" s="550" t="str">
        <f t="array" ref="A19">IF($W$2="Mismatch Error","",IF($B$5=$X$1,INDEX('Commodity Prices'!$BA$9:$BF$3498,MATCH(1,(('Commodity Prices'!$BA$9:$BA$3488)="Gold")*(('Commodity Prices'!$BB$9:$BB$3488)=$B$6)*(('Commodity Prices'!$BD$9:$BD$3488)=B19),0),3),INDEX('Commodity Prices'!$BH$9:$BM$3487,MATCH(1,(('Commodity Prices'!$BH$9:$BH$3487)="Gold")*(('Commodity Prices'!$BI$9:$BI$3487)=$B$6)*(('Commodity Prices'!$BK$9:$BK$3487)=B19),0),3)))</f>
        <v>United Arab Emirates</v>
      </c>
      <c r="B19" s="554">
        <v>10</v>
      </c>
      <c r="C19" s="1774">
        <f t="array" ref="C19">IF($W$2="Mismatch Error","",IF($B$5=$X$1,INDEX('Commodity Prices'!$BA$9:$BF$3498,MATCH(1,(('Commodity Prices'!$BA$9:$BA$3488)="Gold")*(('Commodity Prices'!$BB$9:$BB$3488)=$B$6)*(('Commodity Prices'!$BD$9:$BD$3488)=B19),0),5),INDEX('Commodity Prices'!$BH$9:$BM$3487,MATCH(1,(('Commodity Prices'!$BH$9:$BH$3487)="Gold")*(('Commodity Prices'!$BI$9:$BI$3487)=$B$6)*(('Commodity Prices'!$BK$9:$BK$3487)=B19),0),5)))</f>
        <v>88269000</v>
      </c>
      <c r="D19" s="555">
        <f t="shared" si="1"/>
        <v>3.8795075558298096E-3</v>
      </c>
      <c r="W19" s="294"/>
      <c r="X19" s="294"/>
      <c r="Y19" s="297">
        <f t="shared" si="0"/>
        <v>2005</v>
      </c>
    </row>
    <row r="20" spans="1:25">
      <c r="A20" s="549" t="str">
        <f>IF($W$2="Mismatch Error","","Other")</f>
        <v>Other</v>
      </c>
      <c r="B20" s="552"/>
      <c r="C20" s="1773">
        <f>IF($W$2="Mismatch Error","",IF($B$5=$X$1,SUMIFS('Commodity Prices'!$BE$9:$BE$3488,'Commodity Prices'!$BA$9:$BA$3488,"Gold",'Commodity Prices'!$BB$9:$BB$3488,$B$6,'Commodity Prices'!$BC$9:$BC$3488,"TOTAL")-SUM($C$10:$C$19),SUMIFS('Commodity Prices'!$BL$9:$BL$3487,'Commodity Prices'!$BH$9:$BH$3487,"Gold",'Commodity Prices'!$BI$9:$BI$3487,$B$6,'Commodity Prices'!$BJ$9:$BJ$3487,"TOTAL")-SUM($C$10:$C$19)))</f>
        <v>73778000</v>
      </c>
      <c r="D20" s="1634">
        <f t="shared" si="1"/>
        <v>3.2426141505399594E-3</v>
      </c>
      <c r="W20" s="294"/>
      <c r="X20" s="294"/>
      <c r="Y20" s="297">
        <f t="shared" si="0"/>
        <v>2004</v>
      </c>
    </row>
    <row r="21" spans="1:25" ht="15.75" thickBot="1">
      <c r="A21" s="1422" t="str">
        <f>IF($W$2="Mismatch Error","","Grand Total")</f>
        <v>Grand Total</v>
      </c>
      <c r="B21" s="1423"/>
      <c r="C21" s="1781">
        <f>IF($W$2="Mismatch Error","",IF($B$5=$X$1,SUMIFS('Commodity Prices'!$BE$9:$BE$3488,'Commodity Prices'!$BA$9:$BA$3488,"Gold",'Commodity Prices'!$BB$9:$BB$3488,$B$6,'Commodity Prices'!$BC$9:$BC$3488,"TOTAL"),SUMIFS('Commodity Prices'!$BL$9:$BL$3487,'Commodity Prices'!$BH$9:$BH$3487,"Gold",'Commodity Prices'!$BI$9:$BI$3487,$B$6,'Commodity Prices'!$BJ$9:$BJ$3487,"TOTAL")))</f>
        <v>22752630000</v>
      </c>
      <c r="D21" s="1424"/>
      <c r="W21" s="294"/>
      <c r="X21" s="294"/>
      <c r="Y21" s="297">
        <f t="shared" si="0"/>
        <v>2003</v>
      </c>
    </row>
    <row r="22" spans="1:25">
      <c r="W22" s="294"/>
      <c r="X22" s="294"/>
      <c r="Y22" s="297">
        <f t="shared" si="0"/>
        <v>2002</v>
      </c>
    </row>
    <row r="23" spans="1:25">
      <c r="A23" s="1762" t="str">
        <f>IF(A10="Mismatch Error","You have selected an incompatible year or year type. Change one or the other to display data.","")</f>
        <v/>
      </c>
      <c r="B23" s="1762"/>
      <c r="C23" s="1762"/>
      <c r="D23" s="1762"/>
      <c r="W23" s="294"/>
      <c r="X23" s="294"/>
      <c r="Y23" s="297" t="str">
        <f t="shared" si="0"/>
        <v/>
      </c>
    </row>
    <row r="24" spans="1:25">
      <c r="A24" s="1762"/>
      <c r="B24" s="1762"/>
      <c r="C24" s="1762"/>
      <c r="D24" s="1762"/>
      <c r="W24" s="294"/>
      <c r="X24" s="294"/>
      <c r="Y24" s="297" t="str">
        <f t="shared" si="0"/>
        <v/>
      </c>
    </row>
    <row r="25" spans="1:25" ht="15" customHeight="1">
      <c r="A25" s="1762"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2"/>
      <c r="C25" s="1762"/>
      <c r="D25" s="1762"/>
      <c r="W25" s="294"/>
      <c r="X25" s="294"/>
      <c r="Y25" s="297" t="str">
        <f t="shared" si="0"/>
        <v/>
      </c>
    </row>
    <row r="26" spans="1:25">
      <c r="A26" s="1762"/>
      <c r="B26" s="1762"/>
      <c r="C26" s="1762"/>
      <c r="D26" s="1762"/>
      <c r="W26" s="294"/>
      <c r="X26" s="294"/>
    </row>
    <row r="27" spans="1:25">
      <c r="A27" s="1762"/>
      <c r="B27" s="1762"/>
      <c r="C27" s="1762"/>
      <c r="D27" s="1762"/>
      <c r="W27" s="294"/>
      <c r="X27" s="294"/>
    </row>
    <row r="28" spans="1:25">
      <c r="A28" s="1762"/>
      <c r="B28" s="1762"/>
      <c r="C28" s="1762"/>
      <c r="D28" s="1762"/>
      <c r="W28" s="294"/>
      <c r="X28" s="294"/>
    </row>
    <row r="29" spans="1:25">
      <c r="W29" s="294"/>
      <c r="X29" s="294"/>
    </row>
    <row r="30" spans="1:25">
      <c r="W30" s="294"/>
      <c r="X30" s="294"/>
    </row>
    <row r="31" spans="1:25">
      <c r="W31" s="294"/>
      <c r="X31" s="294"/>
    </row>
    <row r="32" spans="1:25">
      <c r="E32" s="301"/>
      <c r="W32" s="294"/>
      <c r="X32" s="294"/>
    </row>
    <row r="33" spans="3:24">
      <c r="E33" s="301"/>
      <c r="W33" s="294"/>
      <c r="X33" s="294"/>
    </row>
    <row r="34" spans="3:24">
      <c r="C34" s="355"/>
      <c r="E34" s="301"/>
      <c r="W34" s="294"/>
      <c r="X34" s="294"/>
    </row>
    <row r="35" spans="3:24">
      <c r="E35" s="301"/>
      <c r="W35" s="294"/>
      <c r="X35" s="294"/>
    </row>
    <row r="36" spans="3:24">
      <c r="E36" s="301"/>
      <c r="W36" s="294"/>
      <c r="X36" s="294"/>
    </row>
    <row r="37" spans="3:24">
      <c r="E37" s="301"/>
      <c r="W37" s="294"/>
      <c r="X37" s="294"/>
    </row>
    <row r="38" spans="3:24">
      <c r="E38" s="301"/>
      <c r="W38" s="294"/>
      <c r="X38" s="294"/>
    </row>
    <row r="39" spans="3:24">
      <c r="E39" s="301"/>
    </row>
    <row r="40" spans="3:24">
      <c r="E40" s="301"/>
    </row>
    <row r="41" spans="3:24">
      <c r="E41" s="301"/>
    </row>
    <row r="42" spans="3:24">
      <c r="E42" s="301"/>
    </row>
    <row r="43" spans="3:24">
      <c r="E43" s="301"/>
    </row>
    <row r="44" spans="3:24">
      <c r="E44" s="301"/>
    </row>
    <row r="45" spans="3:24">
      <c r="E45" s="301"/>
    </row>
    <row r="46" spans="3:24">
      <c r="E46" s="301"/>
    </row>
    <row r="47" spans="3:24">
      <c r="E47" s="301"/>
    </row>
    <row r="48" spans="3:24">
      <c r="E48" s="301"/>
    </row>
    <row r="49" spans="5:5">
      <c r="E49" s="301"/>
    </row>
    <row r="50" spans="5:5">
      <c r="E50" s="301"/>
    </row>
    <row r="51" spans="5:5">
      <c r="E51" s="301"/>
    </row>
    <row r="52" spans="5:5">
      <c r="E52" s="301"/>
    </row>
    <row r="53" spans="5:5">
      <c r="E53" s="301"/>
    </row>
    <row r="54" spans="5:5">
      <c r="E54" s="301"/>
    </row>
    <row r="55" spans="5:5">
      <c r="E55" s="301"/>
    </row>
    <row r="56" spans="5:5">
      <c r="E56" s="301"/>
    </row>
    <row r="57" spans="5:5">
      <c r="E57" s="301"/>
    </row>
    <row r="58" spans="5:5">
      <c r="E58" s="301"/>
    </row>
    <row r="59" spans="5:5">
      <c r="E59" s="301"/>
    </row>
    <row r="60" spans="5:5">
      <c r="E60" s="301"/>
    </row>
    <row r="61" spans="5:5">
      <c r="E61" s="301"/>
    </row>
    <row r="62" spans="5:5">
      <c r="E62" s="301"/>
    </row>
    <row r="63" spans="5:5">
      <c r="E63" s="301"/>
    </row>
    <row r="64" spans="5:5">
      <c r="E64" s="301"/>
    </row>
    <row r="67" spans="5:5">
      <c r="E67" s="301"/>
    </row>
    <row r="68" spans="5:5">
      <c r="E68" s="301"/>
    </row>
    <row r="69" spans="5:5">
      <c r="E69" s="301"/>
    </row>
    <row r="70" spans="5:5">
      <c r="E70" s="301"/>
    </row>
    <row r="71" spans="5:5">
      <c r="E71" s="301"/>
    </row>
    <row r="72" spans="5:5">
      <c r="E72" s="301"/>
    </row>
    <row r="73" spans="5:5">
      <c r="E73" s="301"/>
    </row>
    <row r="74" spans="5:5">
      <c r="E74" s="301"/>
    </row>
    <row r="75" spans="5:5">
      <c r="E75" s="301"/>
    </row>
    <row r="76" spans="5:5">
      <c r="E76" s="301"/>
    </row>
    <row r="77" spans="5:5">
      <c r="E77" s="301"/>
    </row>
    <row r="78" spans="5:5">
      <c r="E78" s="301"/>
    </row>
    <row r="79" spans="5:5">
      <c r="E79" s="301"/>
    </row>
    <row r="80" spans="5:5">
      <c r="E80" s="301"/>
    </row>
    <row r="81" spans="5:5">
      <c r="E81" s="301"/>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00000000-0002-0000-1500-000000000000}">
      <formula1>$Y$1:$Y$25</formula1>
    </dataValidation>
    <dataValidation type="list" allowBlank="1" showInputMessage="1" showErrorMessage="1" promptTitle="Select a Display Factor:" prompt="Clicking here will bring up a message describing the selections you can make." sqref="B5:D5" xr:uid="{00000000-0002-0000-1500-000001000000}">
      <formula1>$X$1:$X$2</formula1>
    </dataValidation>
    <dataValidation allowBlank="1" promptTitle="Select a Display Factor:" prompt="Clicking here will bring up a message describing the selections you can make." sqref="E5:E6" xr:uid="{00000000-0002-0000-1500-000002000000}"/>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C000"/>
  </sheetPr>
  <dimension ref="A2:R147"/>
  <sheetViews>
    <sheetView showGridLines="0" workbookViewId="0"/>
  </sheetViews>
  <sheetFormatPr defaultColWidth="9.140625" defaultRowHeight="15"/>
  <cols>
    <col min="1" max="1" width="6.5703125" style="27" bestFit="1" customWidth="1"/>
    <col min="2" max="2" width="25.85546875" style="27" bestFit="1" customWidth="1"/>
    <col min="3" max="3" width="24.140625" style="27" bestFit="1" customWidth="1"/>
    <col min="4" max="4" width="8" style="27" customWidth="1"/>
    <col min="5" max="5" width="2.140625" style="27" customWidth="1"/>
    <col min="6" max="6" width="11" style="27" bestFit="1" customWidth="1"/>
    <col min="7" max="14" width="9.140625" style="27"/>
    <col min="15" max="15" width="13.42578125" style="27" customWidth="1"/>
    <col min="16" max="16" width="6.5703125" style="27" bestFit="1" customWidth="1"/>
    <col min="17" max="17" width="25.85546875" style="27" bestFit="1" customWidth="1"/>
    <col min="18" max="18" width="24.140625" style="27" bestFit="1" customWidth="1"/>
    <col min="19" max="19" width="10.85546875" style="27" customWidth="1"/>
    <col min="20" max="21" width="23.5703125" style="27" customWidth="1"/>
    <col min="22" max="16384" width="9.140625" style="27"/>
  </cols>
  <sheetData>
    <row r="2" spans="1:18">
      <c r="F2" s="383"/>
    </row>
    <row r="4" spans="1:18" ht="21" customHeight="1"/>
    <row r="5" spans="1:18" ht="15.75" thickBot="1">
      <c r="A5" s="1972" t="s">
        <v>497</v>
      </c>
      <c r="B5" s="1972"/>
      <c r="C5" s="1972"/>
      <c r="P5" s="1948" t="s">
        <v>497</v>
      </c>
      <c r="Q5" s="1948"/>
      <c r="R5" s="1948"/>
    </row>
    <row r="6" spans="1:18" ht="15.75" thickBot="1">
      <c r="A6" s="803" t="s">
        <v>34</v>
      </c>
      <c r="B6" s="804" t="s">
        <v>403</v>
      </c>
      <c r="C6" s="805" t="s">
        <v>404</v>
      </c>
      <c r="P6" s="1973" t="s">
        <v>411</v>
      </c>
      <c r="Q6" s="1973"/>
      <c r="R6" s="1973"/>
    </row>
    <row r="7" spans="1:18">
      <c r="A7" s="416">
        <v>1890</v>
      </c>
      <c r="B7" s="557">
        <v>0.6345731</v>
      </c>
      <c r="C7" s="558">
        <v>37.890096900000003</v>
      </c>
      <c r="P7" s="806" t="s">
        <v>34</v>
      </c>
      <c r="Q7" s="807" t="str">
        <f>B6</f>
        <v>Western Australia (t)</v>
      </c>
      <c r="R7" s="808" t="str">
        <f>C6</f>
        <v>Rest of Australia (t)</v>
      </c>
    </row>
    <row r="8" spans="1:18">
      <c r="A8" s="416">
        <v>1891</v>
      </c>
      <c r="B8" s="556">
        <v>0.84340189999999993</v>
      </c>
      <c r="C8" s="546">
        <v>37.832368099999997</v>
      </c>
      <c r="P8" s="416">
        <f>LARGE(A$7:A$149,10)</f>
        <v>2014</v>
      </c>
      <c r="Q8" s="557">
        <f t="shared" ref="Q8:Q17" si="0">SUMIF($A$7:$A$149,$P8,B$7:B$149)</f>
        <v>194.61577561329443</v>
      </c>
      <c r="R8" s="558">
        <f t="shared" ref="R8:R17" si="1">SUMIF($A$7:$A$149,$P8,C$7:C$149)</f>
        <v>85.5</v>
      </c>
    </row>
    <row r="9" spans="1:18">
      <c r="A9" s="416">
        <v>1892</v>
      </c>
      <c r="B9" s="557">
        <v>1.6569130000000001</v>
      </c>
      <c r="C9" s="558">
        <v>41.384076999999998</v>
      </c>
      <c r="P9" s="416">
        <f>LARGE(A$7:A$149,9)</f>
        <v>2015</v>
      </c>
      <c r="Q9" s="556">
        <f t="shared" si="0"/>
        <v>194.47144014692839</v>
      </c>
      <c r="R9" s="546">
        <f t="shared" si="1"/>
        <v>89.7</v>
      </c>
    </row>
    <row r="10" spans="1:18">
      <c r="A10" s="416">
        <v>1893</v>
      </c>
      <c r="B10" s="556">
        <v>3.0855579999999998</v>
      </c>
      <c r="C10" s="546">
        <v>42.217962</v>
      </c>
      <c r="P10" s="416">
        <f>LARGE(A$7:A$149,8)</f>
        <v>2016</v>
      </c>
      <c r="Q10" s="557">
        <f t="shared" si="0"/>
        <v>197.07233863062316</v>
      </c>
      <c r="R10" s="558">
        <f t="shared" si="1"/>
        <v>94.1</v>
      </c>
    </row>
    <row r="11" spans="1:18">
      <c r="A11" s="416">
        <v>1894</v>
      </c>
      <c r="B11" s="557">
        <v>5.7633179999999999</v>
      </c>
      <c r="C11" s="558">
        <v>49.169462000000003</v>
      </c>
      <c r="P11" s="416">
        <f>LARGE(A$7:A$149,7)</f>
        <v>2017</v>
      </c>
      <c r="Q11" s="556">
        <f t="shared" si="0"/>
        <v>210.99182809083629</v>
      </c>
      <c r="R11" s="546">
        <f t="shared" si="1"/>
        <v>87.5</v>
      </c>
    </row>
    <row r="12" spans="1:18">
      <c r="A12" s="416">
        <v>1895</v>
      </c>
      <c r="B12" s="556">
        <v>6.441872</v>
      </c>
      <c r="C12" s="546">
        <v>49.512628000000007</v>
      </c>
      <c r="P12" s="416">
        <f>LARGE(A$7:A$149,6)</f>
        <v>2018</v>
      </c>
      <c r="Q12" s="557">
        <f t="shared" si="0"/>
        <v>211.09598533001116</v>
      </c>
      <c r="R12" s="558">
        <f t="shared" si="1"/>
        <v>96.2</v>
      </c>
    </row>
    <row r="13" spans="1:18">
      <c r="A13" s="416">
        <v>1896</v>
      </c>
      <c r="B13" s="557">
        <v>7.8261940000000001</v>
      </c>
      <c r="C13" s="558">
        <v>49.497975999999994</v>
      </c>
      <c r="P13" s="416">
        <f>LARGE(A$7:A$149,5)</f>
        <v>2019</v>
      </c>
      <c r="Q13" s="556">
        <f t="shared" si="0"/>
        <v>213.87697104706595</v>
      </c>
      <c r="R13" s="546">
        <f t="shared" si="1"/>
        <v>106.3</v>
      </c>
    </row>
    <row r="14" spans="1:18">
      <c r="A14" s="416">
        <v>1897</v>
      </c>
      <c r="B14" s="556">
        <v>18.2789</v>
      </c>
      <c r="C14" s="546">
        <v>54.138829999999992</v>
      </c>
      <c r="P14" s="416">
        <f>LARGE(A$7:A$149,4)</f>
        <v>2020</v>
      </c>
      <c r="Q14" s="557">
        <f t="shared" si="0"/>
        <v>209.72645486184584</v>
      </c>
      <c r="R14" s="558">
        <f t="shared" si="1"/>
        <v>107.941</v>
      </c>
    </row>
    <row r="15" spans="1:18">
      <c r="A15" s="416">
        <v>1898</v>
      </c>
      <c r="B15" s="557">
        <v>29.50365</v>
      </c>
      <c r="C15" s="558">
        <v>56.012799999999991</v>
      </c>
      <c r="P15" s="416">
        <f>LARGE(A$7:A$149,3)</f>
        <v>2021</v>
      </c>
      <c r="Q15" s="556">
        <f t="shared" si="0"/>
        <v>207.37680836642937</v>
      </c>
      <c r="R15" s="546">
        <f t="shared" si="1"/>
        <v>94.019000000000005</v>
      </c>
    </row>
    <row r="16" spans="1:18">
      <c r="A16" s="416">
        <v>1899</v>
      </c>
      <c r="B16" s="556">
        <v>44.892300000000006</v>
      </c>
      <c r="C16" s="546">
        <v>61.525300000000001</v>
      </c>
      <c r="P16" s="416">
        <f>LARGE(A$7:A$149,2)</f>
        <v>2022</v>
      </c>
      <c r="Q16" s="557">
        <f t="shared" si="0"/>
        <v>214.54188674208308</v>
      </c>
      <c r="R16" s="558">
        <f t="shared" si="1"/>
        <v>86.501999999999995</v>
      </c>
    </row>
    <row r="17" spans="1:18" ht="15.75" thickBot="1">
      <c r="A17" s="416">
        <v>1900</v>
      </c>
      <c r="B17" s="557">
        <v>41.324719999999999</v>
      </c>
      <c r="C17" s="558">
        <v>58.101740000000007</v>
      </c>
      <c r="P17" s="417">
        <f>LARGE(A$7:A$149,1)</f>
        <v>2023</v>
      </c>
      <c r="Q17" s="559">
        <f t="shared" si="0"/>
        <v>211.21641634369655</v>
      </c>
      <c r="R17" s="560">
        <f t="shared" si="1"/>
        <v>80.727000000000004</v>
      </c>
    </row>
    <row r="18" spans="1:18">
      <c r="A18" s="416">
        <v>1901</v>
      </c>
      <c r="B18" s="556">
        <v>49.205489999999998</v>
      </c>
      <c r="C18" s="546">
        <v>53.436310000000006</v>
      </c>
      <c r="Q18" s="451"/>
      <c r="R18" s="451"/>
    </row>
    <row r="19" spans="1:18">
      <c r="A19" s="416">
        <v>1902</v>
      </c>
      <c r="B19" s="557">
        <v>55.71705</v>
      </c>
      <c r="C19" s="558">
        <v>52.741749999999996</v>
      </c>
    </row>
    <row r="20" spans="1:18">
      <c r="A20" s="416">
        <v>1903</v>
      </c>
      <c r="B20" s="556">
        <v>61.036239999999999</v>
      </c>
      <c r="C20" s="546">
        <v>58.338259999999998</v>
      </c>
    </row>
    <row r="21" spans="1:18">
      <c r="A21" s="416">
        <v>1904</v>
      </c>
      <c r="B21" s="557">
        <v>59.52693</v>
      </c>
      <c r="C21" s="558">
        <v>57.158269999999995</v>
      </c>
    </row>
    <row r="22" spans="1:18">
      <c r="A22" s="416">
        <v>1905</v>
      </c>
      <c r="B22" s="556">
        <v>57.250809999999994</v>
      </c>
      <c r="C22" s="546">
        <v>56.770389999999999</v>
      </c>
    </row>
    <row r="23" spans="1:18">
      <c r="A23" s="416">
        <v>1906</v>
      </c>
      <c r="B23" s="557">
        <v>54.004820000000002</v>
      </c>
      <c r="C23" s="558">
        <v>53.096979999999995</v>
      </c>
    </row>
    <row r="24" spans="1:18">
      <c r="A24" s="416">
        <v>1907</v>
      </c>
      <c r="B24" s="556">
        <v>52.00479</v>
      </c>
      <c r="C24" s="546">
        <v>46.95617</v>
      </c>
    </row>
    <row r="25" spans="1:18">
      <c r="A25" s="416">
        <v>1908</v>
      </c>
      <c r="B25" s="557">
        <v>49.031699999999994</v>
      </c>
      <c r="C25" s="558">
        <v>46.601350000000004</v>
      </c>
    </row>
    <row r="26" spans="1:18">
      <c r="A26" s="416">
        <v>1909</v>
      </c>
      <c r="B26" s="556">
        <v>49.031699999999994</v>
      </c>
      <c r="C26" s="546">
        <v>43.31427</v>
      </c>
    </row>
    <row r="27" spans="1:18">
      <c r="A27" s="416">
        <v>1910</v>
      </c>
      <c r="B27" s="557">
        <v>44.236339999999998</v>
      </c>
      <c r="C27" s="558">
        <v>40.393820000000005</v>
      </c>
    </row>
    <row r="28" spans="1:18">
      <c r="A28" s="416">
        <v>1911</v>
      </c>
      <c r="B28" s="556">
        <v>41.647150000000003</v>
      </c>
      <c r="C28" s="546">
        <v>35.615839999999999</v>
      </c>
    </row>
    <row r="29" spans="1:18">
      <c r="A29" s="416">
        <v>1912</v>
      </c>
      <c r="B29" s="557">
        <v>39.434379999999997</v>
      </c>
      <c r="C29" s="558">
        <v>32.910220000000002</v>
      </c>
    </row>
    <row r="30" spans="1:18">
      <c r="A30" s="416">
        <v>1913</v>
      </c>
      <c r="B30" s="556">
        <v>40.406179999999999</v>
      </c>
      <c r="C30" s="546">
        <v>28.25262</v>
      </c>
    </row>
    <row r="31" spans="1:18">
      <c r="A31" s="416">
        <v>1914</v>
      </c>
      <c r="B31" s="557">
        <v>37.767060000000001</v>
      </c>
      <c r="C31" s="558">
        <v>26.1569</v>
      </c>
    </row>
    <row r="32" spans="1:18">
      <c r="A32" s="416">
        <v>1915</v>
      </c>
      <c r="B32" s="556">
        <v>37.184160000000006</v>
      </c>
      <c r="C32" s="546">
        <v>23.371409999999997</v>
      </c>
    </row>
    <row r="33" spans="1:3">
      <c r="A33" s="416">
        <v>1916</v>
      </c>
      <c r="B33" s="557">
        <v>32.090290000000003</v>
      </c>
      <c r="C33" s="558">
        <v>19.722379999999994</v>
      </c>
    </row>
    <row r="34" spans="1:3">
      <c r="A34" s="416">
        <v>1917</v>
      </c>
      <c r="B34" s="556">
        <v>29.77908</v>
      </c>
      <c r="C34" s="546">
        <v>15.512810000000002</v>
      </c>
    </row>
    <row r="35" spans="1:3">
      <c r="A35" s="416">
        <v>1918</v>
      </c>
      <c r="B35" s="557">
        <v>26.625990000000002</v>
      </c>
      <c r="C35" s="558">
        <v>12.974579999999996</v>
      </c>
    </row>
    <row r="36" spans="1:3">
      <c r="A36" s="416">
        <v>1919</v>
      </c>
      <c r="B36" s="556">
        <v>21.40588</v>
      </c>
      <c r="C36" s="546">
        <v>11.815799999999999</v>
      </c>
    </row>
    <row r="37" spans="1:3">
      <c r="A37" s="416">
        <v>1920</v>
      </c>
      <c r="B37" s="557">
        <v>19.491289999999999</v>
      </c>
      <c r="C37" s="558">
        <v>9.8596299999999992</v>
      </c>
    </row>
    <row r="38" spans="1:3">
      <c r="A38" s="416">
        <v>1921</v>
      </c>
      <c r="B38" s="556">
        <v>16.346629999999998</v>
      </c>
      <c r="C38" s="546">
        <v>7.2299600000000019</v>
      </c>
    </row>
    <row r="39" spans="1:3">
      <c r="A39" s="416">
        <v>1922</v>
      </c>
      <c r="B39" s="557">
        <v>16.68824</v>
      </c>
      <c r="C39" s="558">
        <v>6.8094999999999999</v>
      </c>
    </row>
    <row r="40" spans="1:3">
      <c r="A40" s="416">
        <v>1923</v>
      </c>
      <c r="B40" s="556">
        <v>15.41714</v>
      </c>
      <c r="C40" s="546">
        <v>6.7370599999999996</v>
      </c>
    </row>
    <row r="41" spans="1:3">
      <c r="A41" s="416">
        <v>1924</v>
      </c>
      <c r="B41" s="557">
        <v>14.251860000000001</v>
      </c>
      <c r="C41" s="558">
        <v>6.7721300000000006</v>
      </c>
    </row>
    <row r="42" spans="1:3">
      <c r="A42" s="416">
        <v>1925</v>
      </c>
      <c r="B42" s="556">
        <v>13.51549</v>
      </c>
      <c r="C42" s="546">
        <v>3.8771999999999984</v>
      </c>
    </row>
    <row r="43" spans="1:3">
      <c r="A43" s="416">
        <v>1926</v>
      </c>
      <c r="B43" s="557">
        <v>13.322559999999999</v>
      </c>
      <c r="C43" s="558">
        <v>2.8921799999999998</v>
      </c>
    </row>
    <row r="44" spans="1:3">
      <c r="A44" s="416">
        <v>1927</v>
      </c>
      <c r="B44" s="556">
        <v>12.64264</v>
      </c>
      <c r="C44" s="546">
        <v>3.1669800000000006</v>
      </c>
    </row>
    <row r="45" spans="1:3">
      <c r="A45" s="416">
        <v>1928</v>
      </c>
      <c r="B45" s="557">
        <v>12.19501</v>
      </c>
      <c r="C45" s="558">
        <v>2.0400900000000011</v>
      </c>
    </row>
    <row r="46" spans="1:3">
      <c r="A46" s="416">
        <v>1929</v>
      </c>
      <c r="B46" s="556">
        <v>11.57249</v>
      </c>
      <c r="C46" s="546">
        <v>1.7136700000000005</v>
      </c>
    </row>
    <row r="47" spans="1:3">
      <c r="A47" s="416">
        <v>1930</v>
      </c>
      <c r="B47" s="557">
        <v>13.05622</v>
      </c>
      <c r="C47" s="558">
        <v>1.4921799999999994</v>
      </c>
    </row>
    <row r="48" spans="1:3">
      <c r="A48" s="416">
        <v>1931</v>
      </c>
      <c r="B48" s="556">
        <v>16.113</v>
      </c>
      <c r="C48" s="546">
        <v>2.3973900000000015</v>
      </c>
    </row>
    <row r="49" spans="1:3">
      <c r="A49" s="416">
        <v>1932</v>
      </c>
      <c r="B49" s="557">
        <v>18.644069999999999</v>
      </c>
      <c r="C49" s="558">
        <v>3.568010000000001</v>
      </c>
    </row>
    <row r="50" spans="1:3">
      <c r="A50" s="416">
        <v>1933</v>
      </c>
      <c r="B50" s="556">
        <v>19.810680000000001</v>
      </c>
      <c r="C50" s="546">
        <v>6.0135099999999966</v>
      </c>
    </row>
    <row r="51" spans="1:3">
      <c r="A51" s="416">
        <v>1934</v>
      </c>
      <c r="B51" s="557">
        <v>19.90222</v>
      </c>
      <c r="C51" s="558">
        <v>7.6743999999999986</v>
      </c>
    </row>
    <row r="52" spans="1:3">
      <c r="A52" s="416">
        <v>1935</v>
      </c>
      <c r="B52" s="556">
        <v>20.09751</v>
      </c>
      <c r="C52" s="546">
        <v>8.2219499999999996</v>
      </c>
    </row>
    <row r="53" spans="1:3">
      <c r="A53" s="416">
        <v>1936</v>
      </c>
      <c r="B53" s="557">
        <v>26.513279999999998</v>
      </c>
      <c r="C53" s="558">
        <v>10.181080000000005</v>
      </c>
    </row>
    <row r="54" spans="1:3">
      <c r="A54" s="416">
        <v>1937</v>
      </c>
      <c r="B54" s="556">
        <v>31.330179999999999</v>
      </c>
      <c r="C54" s="546">
        <v>11.759949999999996</v>
      </c>
    </row>
    <row r="55" spans="1:3">
      <c r="A55" s="416">
        <v>1938</v>
      </c>
      <c r="B55" s="557">
        <v>36.482810000000001</v>
      </c>
      <c r="C55" s="558">
        <v>13.034979999999997</v>
      </c>
    </row>
    <row r="56" spans="1:3">
      <c r="A56" s="416">
        <v>1939</v>
      </c>
      <c r="B56" s="556">
        <v>36.959809999999997</v>
      </c>
      <c r="C56" s="546">
        <v>14.227080000000001</v>
      </c>
    </row>
    <row r="57" spans="1:3">
      <c r="A57" s="416">
        <v>1940</v>
      </c>
      <c r="B57" s="557">
        <v>35.919629999999998</v>
      </c>
      <c r="C57" s="558">
        <v>15.214450000000006</v>
      </c>
    </row>
    <row r="58" spans="1:3">
      <c r="A58" s="416">
        <v>1941</v>
      </c>
      <c r="B58" s="556">
        <v>34.384169999999997</v>
      </c>
      <c r="C58" s="546">
        <v>12.168340000000008</v>
      </c>
    </row>
    <row r="59" spans="1:3">
      <c r="A59" s="416">
        <v>1942</v>
      </c>
      <c r="B59" s="557">
        <v>26.306450000000002</v>
      </c>
      <c r="C59" s="558">
        <v>9.5803399999999961</v>
      </c>
    </row>
    <row r="60" spans="1:3">
      <c r="A60" s="416">
        <v>1943</v>
      </c>
      <c r="B60" s="556">
        <v>16.539189999999998</v>
      </c>
      <c r="C60" s="546">
        <v>6.8282000000000025</v>
      </c>
    </row>
    <row r="61" spans="1:3">
      <c r="A61" s="416">
        <v>1944</v>
      </c>
      <c r="B61" s="557">
        <v>14.69914</v>
      </c>
      <c r="C61" s="558">
        <v>5.7317099999999996</v>
      </c>
    </row>
    <row r="62" spans="1:3">
      <c r="A62" s="416">
        <v>1945</v>
      </c>
      <c r="B62" s="556">
        <v>14.61572</v>
      </c>
      <c r="C62" s="546">
        <v>5.8258900000000011</v>
      </c>
    </row>
    <row r="63" spans="1:3">
      <c r="A63" s="416">
        <v>1946</v>
      </c>
      <c r="B63" s="557">
        <v>19.240839999999999</v>
      </c>
      <c r="C63" s="558">
        <v>6.4033499999999997</v>
      </c>
    </row>
    <row r="64" spans="1:3">
      <c r="A64" s="416">
        <v>1947</v>
      </c>
      <c r="B64" s="556">
        <v>21.82694</v>
      </c>
      <c r="C64" s="546">
        <v>7.3373600000000003</v>
      </c>
    </row>
    <row r="65" spans="1:3">
      <c r="A65" s="416">
        <v>1948</v>
      </c>
      <c r="B65" s="557">
        <v>20.61354</v>
      </c>
      <c r="C65" s="558">
        <v>6.9288099999999986</v>
      </c>
    </row>
    <row r="66" spans="1:3">
      <c r="A66" s="416">
        <v>1949</v>
      </c>
      <c r="B66" s="556">
        <v>20.203949999999999</v>
      </c>
      <c r="C66" s="546">
        <v>7.4488400000000006</v>
      </c>
    </row>
    <row r="67" spans="1:3">
      <c r="A67" s="416">
        <v>1950</v>
      </c>
      <c r="B67" s="557">
        <v>18.930610000000001</v>
      </c>
      <c r="C67" s="558">
        <v>8.1150099999999981</v>
      </c>
    </row>
    <row r="68" spans="1:3">
      <c r="A68" s="416">
        <v>1951</v>
      </c>
      <c r="B68" s="556">
        <v>20.162669999999999</v>
      </c>
      <c r="C68" s="546">
        <v>7.6920800000000007</v>
      </c>
    </row>
    <row r="69" spans="1:3">
      <c r="A69" s="416">
        <v>1952</v>
      </c>
      <c r="B69" s="557">
        <v>22.62678</v>
      </c>
      <c r="C69" s="558">
        <v>7.8681599999999996</v>
      </c>
    </row>
    <row r="70" spans="1:3">
      <c r="A70" s="416">
        <v>1953</v>
      </c>
      <c r="B70" s="556">
        <v>25.608460000000001</v>
      </c>
      <c r="C70" s="546">
        <v>7.8334100000000007</v>
      </c>
    </row>
    <row r="71" spans="1:3">
      <c r="A71" s="416">
        <v>1954</v>
      </c>
      <c r="B71" s="557">
        <v>26.810950000000002</v>
      </c>
      <c r="C71" s="558">
        <v>7.9547100000000022</v>
      </c>
    </row>
    <row r="72" spans="1:3">
      <c r="A72" s="416">
        <v>1955</v>
      </c>
      <c r="B72" s="556">
        <v>25.950430000000001</v>
      </c>
      <c r="C72" s="546">
        <v>6.678329999999999</v>
      </c>
    </row>
    <row r="73" spans="1:3">
      <c r="A73" s="416">
        <v>1956</v>
      </c>
      <c r="B73" s="557">
        <v>25.306330000000003</v>
      </c>
      <c r="C73" s="558">
        <v>6.7246799999999922</v>
      </c>
    </row>
    <row r="74" spans="1:3">
      <c r="A74" s="416">
        <v>1957</v>
      </c>
      <c r="B74" s="556">
        <v>26.42989</v>
      </c>
      <c r="C74" s="546">
        <v>7.2844400000000036</v>
      </c>
    </row>
    <row r="75" spans="1:3">
      <c r="A75" s="416">
        <v>1958</v>
      </c>
      <c r="B75" s="557">
        <v>27.209910000000001</v>
      </c>
      <c r="C75" s="558">
        <v>7.1276999999999973</v>
      </c>
    </row>
    <row r="76" spans="1:3">
      <c r="A76" s="416">
        <v>1959</v>
      </c>
      <c r="B76" s="556">
        <v>26.779130000000002</v>
      </c>
      <c r="C76" s="546">
        <v>6.9713700000000003</v>
      </c>
    </row>
    <row r="77" spans="1:3">
      <c r="A77" s="416">
        <v>1960</v>
      </c>
      <c r="B77" s="557">
        <v>27.058979999999998</v>
      </c>
      <c r="C77" s="558">
        <v>6.7414500000000004</v>
      </c>
    </row>
    <row r="78" spans="1:3">
      <c r="A78" s="416">
        <v>1961</v>
      </c>
      <c r="B78" s="556">
        <v>27.080490000000001</v>
      </c>
      <c r="C78" s="546">
        <v>6.3959299999999963</v>
      </c>
    </row>
    <row r="79" spans="1:3">
      <c r="A79" s="416">
        <v>1962</v>
      </c>
      <c r="B79" s="557">
        <v>26.750209999999999</v>
      </c>
      <c r="C79" s="558">
        <v>6.4943300000000015</v>
      </c>
    </row>
    <row r="80" spans="1:3">
      <c r="A80" s="416">
        <v>1963</v>
      </c>
      <c r="B80" s="556">
        <v>24.971730000000001</v>
      </c>
      <c r="C80" s="546">
        <v>6.8772999999999982</v>
      </c>
    </row>
    <row r="81" spans="1:3">
      <c r="A81" s="416">
        <v>1964</v>
      </c>
      <c r="B81" s="557">
        <v>22.25395</v>
      </c>
      <c r="C81" s="558">
        <v>7.7246400000000008</v>
      </c>
    </row>
    <row r="82" spans="1:3">
      <c r="A82" s="416">
        <v>1965</v>
      </c>
      <c r="B82" s="556">
        <v>20.414930000000002</v>
      </c>
      <c r="C82" s="546">
        <v>6.8828199999999988</v>
      </c>
    </row>
    <row r="83" spans="1:3">
      <c r="A83" s="416">
        <v>1966</v>
      </c>
      <c r="B83" s="557">
        <v>19.503490000000003</v>
      </c>
      <c r="C83" s="558">
        <v>9.0179299999999962</v>
      </c>
    </row>
    <row r="84" spans="1:3">
      <c r="A84" s="416">
        <v>1967</v>
      </c>
      <c r="B84" s="556">
        <v>17.845759999999999</v>
      </c>
      <c r="C84" s="546">
        <v>7.2029899999999998</v>
      </c>
    </row>
    <row r="85" spans="1:3">
      <c r="A85" s="416">
        <v>1968</v>
      </c>
      <c r="B85" s="557">
        <v>16.047840000000001</v>
      </c>
      <c r="C85" s="558">
        <v>8.2683</v>
      </c>
    </row>
    <row r="86" spans="1:3">
      <c r="A86" s="416">
        <v>1969</v>
      </c>
      <c r="B86" s="556">
        <v>13.68755</v>
      </c>
      <c r="C86" s="546">
        <v>8.1438199999999998</v>
      </c>
    </row>
    <row r="87" spans="1:3">
      <c r="A87" s="416">
        <v>1970</v>
      </c>
      <c r="B87" s="557">
        <v>10.89833</v>
      </c>
      <c r="C87" s="558">
        <v>8.3834</v>
      </c>
    </row>
    <row r="88" spans="1:3">
      <c r="A88" s="416">
        <v>1971</v>
      </c>
      <c r="B88" s="556">
        <v>10.73376</v>
      </c>
      <c r="C88" s="546">
        <v>10.184239999999999</v>
      </c>
    </row>
    <row r="89" spans="1:3">
      <c r="A89" s="416">
        <v>1972</v>
      </c>
      <c r="B89" s="557">
        <v>10.47786</v>
      </c>
      <c r="C89" s="558">
        <v>12.883140000000001</v>
      </c>
    </row>
    <row r="90" spans="1:3">
      <c r="A90" s="416">
        <v>1973</v>
      </c>
      <c r="B90" s="556">
        <v>8.5868889999999993</v>
      </c>
      <c r="C90" s="546">
        <v>8.5871110000000002</v>
      </c>
    </row>
    <row r="91" spans="1:3">
      <c r="A91" s="416">
        <v>1974</v>
      </c>
      <c r="B91" s="557">
        <v>6.5834330000000003</v>
      </c>
      <c r="C91" s="558">
        <v>9.3605669999999996</v>
      </c>
    </row>
    <row r="92" spans="1:3">
      <c r="A92" s="416">
        <v>1975</v>
      </c>
      <c r="B92" s="556">
        <v>7.1049750000000005</v>
      </c>
      <c r="C92" s="546">
        <v>9.2810249999999996</v>
      </c>
    </row>
    <row r="93" spans="1:3">
      <c r="A93" s="416">
        <v>1976</v>
      </c>
      <c r="B93" s="557">
        <v>7.0914160000000006</v>
      </c>
      <c r="C93" s="558">
        <v>8.5455839999999998</v>
      </c>
    </row>
    <row r="94" spans="1:3">
      <c r="A94" s="416">
        <v>1977</v>
      </c>
      <c r="B94" s="556">
        <v>10.74737</v>
      </c>
      <c r="C94" s="546">
        <v>8.6696300000000015</v>
      </c>
    </row>
    <row r="95" spans="1:3">
      <c r="A95" s="416">
        <v>1978</v>
      </c>
      <c r="B95" s="557">
        <v>13.332420000000001</v>
      </c>
      <c r="C95" s="558">
        <v>6.8095799999999986</v>
      </c>
    </row>
    <row r="96" spans="1:3">
      <c r="A96" s="416">
        <v>1979</v>
      </c>
      <c r="B96" s="556">
        <v>11.581989999999999</v>
      </c>
      <c r="C96" s="546">
        <v>8.9840099999999996</v>
      </c>
    </row>
    <row r="97" spans="1:3">
      <c r="A97" s="416">
        <v>1980</v>
      </c>
      <c r="B97" s="557">
        <v>11.232940000000001</v>
      </c>
      <c r="C97" s="558">
        <v>5.8020599999999991</v>
      </c>
    </row>
    <row r="98" spans="1:3">
      <c r="A98" s="416">
        <v>1981</v>
      </c>
      <c r="B98" s="556">
        <v>12.046629999999999</v>
      </c>
      <c r="C98" s="546">
        <v>6.3273700000000002</v>
      </c>
    </row>
    <row r="99" spans="1:3">
      <c r="A99" s="416">
        <v>1982</v>
      </c>
      <c r="B99" s="557">
        <v>20.75675</v>
      </c>
      <c r="C99" s="558">
        <v>6.2042499999999983</v>
      </c>
    </row>
    <row r="100" spans="1:3">
      <c r="A100" s="416">
        <v>1983</v>
      </c>
      <c r="B100" s="556">
        <v>23.88092</v>
      </c>
      <c r="C100" s="546">
        <v>6.7100800000000014</v>
      </c>
    </row>
    <row r="101" spans="1:3">
      <c r="A101" s="416">
        <v>1984</v>
      </c>
      <c r="B101" s="557">
        <v>32.110979999999998</v>
      </c>
      <c r="C101" s="558">
        <v>8.1980199999999996</v>
      </c>
    </row>
    <row r="102" spans="1:3">
      <c r="A102" s="416">
        <v>1985</v>
      </c>
      <c r="B102" s="556">
        <v>41.195999999999998</v>
      </c>
      <c r="C102" s="546">
        <v>17.258720000000004</v>
      </c>
    </row>
    <row r="103" spans="1:3">
      <c r="A103" s="416">
        <v>1986</v>
      </c>
      <c r="B103" s="557">
        <v>53.639470000000003</v>
      </c>
      <c r="C103" s="558">
        <v>21.439529999999991</v>
      </c>
    </row>
    <row r="104" spans="1:3">
      <c r="A104" s="416">
        <v>1987</v>
      </c>
      <c r="B104" s="556">
        <v>79.164000000000001</v>
      </c>
      <c r="C104" s="546">
        <v>32.257660000000001</v>
      </c>
    </row>
    <row r="105" spans="1:3">
      <c r="A105" s="416">
        <v>1988</v>
      </c>
      <c r="B105" s="557">
        <v>108.133</v>
      </c>
      <c r="C105" s="558">
        <v>46.432700000000011</v>
      </c>
    </row>
    <row r="106" spans="1:3">
      <c r="A106" s="416">
        <v>1989</v>
      </c>
      <c r="B106" s="556">
        <v>150.459</v>
      </c>
      <c r="C106" s="546">
        <v>56.530500000000018</v>
      </c>
    </row>
    <row r="107" spans="1:3">
      <c r="A107" s="416">
        <v>1990</v>
      </c>
      <c r="B107" s="557">
        <v>187.744</v>
      </c>
      <c r="C107" s="558">
        <v>65.951999999999998</v>
      </c>
    </row>
    <row r="108" spans="1:3">
      <c r="A108" s="416">
        <v>1991</v>
      </c>
      <c r="B108" s="556">
        <v>184.41</v>
      </c>
      <c r="C108" s="546">
        <v>55.257999999999981</v>
      </c>
    </row>
    <row r="109" spans="1:3">
      <c r="A109" s="416">
        <v>1992</v>
      </c>
      <c r="B109" s="557">
        <v>182.45</v>
      </c>
      <c r="C109" s="558">
        <v>58.68</v>
      </c>
    </row>
    <row r="110" spans="1:3">
      <c r="A110" s="416">
        <v>1993</v>
      </c>
      <c r="B110" s="556">
        <v>182.154</v>
      </c>
      <c r="C110" s="546">
        <v>63.709000000000003</v>
      </c>
    </row>
    <row r="111" spans="1:3">
      <c r="A111" s="416">
        <v>1994</v>
      </c>
      <c r="B111" s="557">
        <v>192.953</v>
      </c>
      <c r="C111" s="558">
        <v>62.046999999999997</v>
      </c>
    </row>
    <row r="112" spans="1:3">
      <c r="A112" s="416">
        <v>1995</v>
      </c>
      <c r="B112" s="556">
        <v>196.791</v>
      </c>
      <c r="C112" s="546">
        <v>56.308999999999997</v>
      </c>
    </row>
    <row r="113" spans="1:12">
      <c r="A113" s="416">
        <v>1996</v>
      </c>
      <c r="B113" s="557">
        <v>228.005</v>
      </c>
      <c r="C113" s="558">
        <v>60.875</v>
      </c>
    </row>
    <row r="114" spans="1:12">
      <c r="A114" s="416">
        <v>1997</v>
      </c>
      <c r="B114" s="556">
        <v>238.33535699999999</v>
      </c>
      <c r="C114" s="546">
        <v>75.114643000000001</v>
      </c>
    </row>
    <row r="115" spans="1:12">
      <c r="A115" s="416">
        <v>1998</v>
      </c>
      <c r="B115" s="557">
        <v>231.375</v>
      </c>
      <c r="C115" s="558">
        <v>78.225000000000023</v>
      </c>
    </row>
    <row r="116" spans="1:12">
      <c r="A116" s="416">
        <v>1999</v>
      </c>
      <c r="B116" s="556">
        <f>SUMIF('Gold - Q&amp;V'!D$8:D$508, A116,'Gold - Q&amp;V'!B$8:B$508)</f>
        <v>211.70000000000002</v>
      </c>
      <c r="C116" s="546">
        <v>87.765999999999991</v>
      </c>
    </row>
    <row r="117" spans="1:12">
      <c r="A117" s="416">
        <v>2000</v>
      </c>
      <c r="B117" s="557">
        <f>SUMIF('Gold - Q&amp;V'!D$8:D$508, A117,'Gold - Q&amp;V'!B$8:B$508)</f>
        <v>199.62</v>
      </c>
      <c r="C117" s="558">
        <v>96.00800000000001</v>
      </c>
    </row>
    <row r="118" spans="1:12">
      <c r="A118" s="416">
        <v>2001</v>
      </c>
      <c r="B118" s="556">
        <f>SUMIF('Gold - Q&amp;V'!D$8:D$508, A118,'Gold - Q&amp;V'!B$8:B$508)</f>
        <v>192.20000000000002</v>
      </c>
      <c r="C118" s="546">
        <v>92.826310999999976</v>
      </c>
    </row>
    <row r="119" spans="1:12">
      <c r="A119" s="416">
        <v>2002</v>
      </c>
      <c r="B119" s="557">
        <f>SUMIF('Gold - Q&amp;V'!D$8:D$508, A119,'Gold - Q&amp;V'!B$8:B$508)</f>
        <v>188.75</v>
      </c>
      <c r="C119" s="558">
        <v>77.281331999999992</v>
      </c>
    </row>
    <row r="120" spans="1:12">
      <c r="A120" s="416">
        <v>2003</v>
      </c>
      <c r="B120" s="556">
        <f>SUMIF('Gold - Q&amp;V'!D$8:D$508, A120,'Gold - Q&amp;V'!B$8:B$508)</f>
        <v>187.59</v>
      </c>
      <c r="C120" s="546">
        <v>96.716024000000004</v>
      </c>
    </row>
    <row r="121" spans="1:12">
      <c r="A121" s="416">
        <v>2004</v>
      </c>
      <c r="B121" s="557">
        <f>SUMIF('Gold - Q&amp;V'!D$8:D$508, A121,'Gold - Q&amp;V'!B$8:B$508)</f>
        <v>163.88</v>
      </c>
      <c r="C121" s="558">
        <v>94.578000000000003</v>
      </c>
    </row>
    <row r="122" spans="1:12">
      <c r="A122" s="416">
        <v>2005</v>
      </c>
      <c r="B122" s="556">
        <f>SUMIF('Gold - Q&amp;V'!D$8:D$508, A122,'Gold - Q&amp;V'!B$8:B$508)</f>
        <v>167.28532349</v>
      </c>
      <c r="C122" s="546">
        <v>92.165999999999997</v>
      </c>
    </row>
    <row r="123" spans="1:12">
      <c r="A123" s="416">
        <v>2006</v>
      </c>
      <c r="B123" s="557">
        <f>SUMIF('Gold - Q&amp;V'!D$8:D$508, A123,'Gold - Q&amp;V'!B$8:B$508)</f>
        <v>162.96909348999998</v>
      </c>
      <c r="C123" s="558">
        <v>80.349999999999994</v>
      </c>
    </row>
    <row r="124" spans="1:12">
      <c r="A124" s="416">
        <v>2007</v>
      </c>
      <c r="B124" s="556">
        <f>SUMIF('Gold - Q&amp;V'!D$8:D$508, A124,'Gold - Q&amp;V'!B$8:B$508)</f>
        <v>151.44883905999998</v>
      </c>
      <c r="C124" s="546">
        <v>92.31</v>
      </c>
      <c r="L124" s="68"/>
    </row>
    <row r="125" spans="1:12">
      <c r="A125" s="416">
        <v>2008</v>
      </c>
      <c r="B125" s="557">
        <f>SUMIF('Gold - Q&amp;V'!D$8:D$508, A125,'Gold - Q&amp;V'!B$8:B$508)</f>
        <v>132.07425353000002</v>
      </c>
      <c r="C125" s="558">
        <v>83.175999999999988</v>
      </c>
    </row>
    <row r="126" spans="1:12">
      <c r="A126" s="416">
        <v>2009</v>
      </c>
      <c r="B126" s="556">
        <f>SUMIF('Gold - Q&amp;V'!D$8:D$508, A126,'Gold - Q&amp;V'!B$8:B$508)</f>
        <v>146.42791006000002</v>
      </c>
      <c r="C126" s="546">
        <v>71.5</v>
      </c>
    </row>
    <row r="127" spans="1:12">
      <c r="A127" s="416">
        <v>2010</v>
      </c>
      <c r="B127" s="557">
        <f>SUMIF('Gold - Q&amp;V'!D$8:D$508, A127,'Gold - Q&amp;V'!B$8:B$508)</f>
        <v>182.89955302999999</v>
      </c>
      <c r="C127" s="558">
        <v>77.5</v>
      </c>
    </row>
    <row r="128" spans="1:12">
      <c r="A128" s="416">
        <v>2011</v>
      </c>
      <c r="B128" s="556">
        <f>SUMIF('Gold - Q&amp;V'!D$8:D$508, A128,'Gold - Q&amp;V'!B$8:B$508)</f>
        <v>179.60817457000002</v>
      </c>
      <c r="C128" s="546">
        <v>78.400000000000006</v>
      </c>
    </row>
    <row r="129" spans="1:6">
      <c r="A129" s="416">
        <v>2012</v>
      </c>
      <c r="B129" s="557">
        <f>SUMIF('Gold - Q&amp;V'!D$8:D$508, A129,'Gold - Q&amp;V'!B$8:B$508)</f>
        <v>181.28663516</v>
      </c>
      <c r="C129" s="558">
        <v>69.5</v>
      </c>
    </row>
    <row r="130" spans="1:6">
      <c r="A130" s="416">
        <v>2013</v>
      </c>
      <c r="B130" s="556">
        <f>SUMIF('Gold - Q&amp;V'!D$8:D$508, A130,'Gold - Q&amp;V'!B$8:B$508)</f>
        <v>187.46183645020105</v>
      </c>
      <c r="C130" s="546">
        <v>81.7</v>
      </c>
    </row>
    <row r="131" spans="1:6">
      <c r="A131" s="416">
        <v>2014</v>
      </c>
      <c r="B131" s="557">
        <f>SUMIF('Gold - Q&amp;V'!D$8:D$508, A131,'Gold - Q&amp;V'!B$8:B$508)</f>
        <v>194.61577561329443</v>
      </c>
      <c r="C131" s="558">
        <v>85.5</v>
      </c>
    </row>
    <row r="132" spans="1:6">
      <c r="A132" s="416">
        <v>2015</v>
      </c>
      <c r="B132" s="556">
        <f>SUMIF('Gold - Q&amp;V'!D$8:D$508, A132,'Gold - Q&amp;V'!B$8:B$508)</f>
        <v>194.47144014692839</v>
      </c>
      <c r="C132" s="546">
        <v>89.7</v>
      </c>
      <c r="F132" s="68"/>
    </row>
    <row r="133" spans="1:6">
      <c r="A133" s="416">
        <v>2016</v>
      </c>
      <c r="B133" s="557">
        <f>SUMIF('Gold - Q&amp;V'!D$8:D$508, A133,'Gold - Q&amp;V'!B$8:B$508)</f>
        <v>197.07233863062316</v>
      </c>
      <c r="C133" s="558">
        <v>94.1</v>
      </c>
    </row>
    <row r="134" spans="1:6">
      <c r="A134" s="416">
        <v>2017</v>
      </c>
      <c r="B134" s="556">
        <f>SUMIF('Gold - Q&amp;V'!D$8:D$508, A134,'Gold - Q&amp;V'!B$8:B$508)</f>
        <v>210.99182809083629</v>
      </c>
      <c r="C134" s="546">
        <v>87.5</v>
      </c>
    </row>
    <row r="135" spans="1:6">
      <c r="A135" s="416">
        <v>2018</v>
      </c>
      <c r="B135" s="557">
        <f>SUMIF('Gold - Q&amp;V'!D$8:D$508, A135,'Gold - Q&amp;V'!B$8:B$508)</f>
        <v>211.09598533001116</v>
      </c>
      <c r="C135" s="558">
        <v>96.2</v>
      </c>
    </row>
    <row r="136" spans="1:6">
      <c r="A136" s="416">
        <v>2019</v>
      </c>
      <c r="B136" s="556">
        <f>SUMIF('Gold - Q&amp;V'!D$8:D$508, A136,'Gold - Q&amp;V'!B$8:B$508)</f>
        <v>213.87697104706595</v>
      </c>
      <c r="C136" s="546">
        <v>106.3</v>
      </c>
    </row>
    <row r="137" spans="1:6">
      <c r="A137" s="416">
        <v>2020</v>
      </c>
      <c r="B137" s="557">
        <f>SUMIF('Gold - Q&amp;V'!D$8:D$508, A137,'Gold - Q&amp;V'!B$8:B$508)</f>
        <v>209.72645486184584</v>
      </c>
      <c r="C137" s="558">
        <v>107.941</v>
      </c>
    </row>
    <row r="138" spans="1:6">
      <c r="A138" s="416">
        <v>2021</v>
      </c>
      <c r="B138" s="565">
        <f>SUMIF('Gold - Q&amp;V'!D$8:D$508, A138,'Gold - Q&amp;V'!B$8:B$508)</f>
        <v>207.37680836642937</v>
      </c>
      <c r="C138" s="548">
        <v>94.019000000000005</v>
      </c>
    </row>
    <row r="139" spans="1:6">
      <c r="A139" s="416">
        <v>2022</v>
      </c>
      <c r="B139" s="1767">
        <f>SUMIF('Gold - Q&amp;V'!D$8:D$508, A139,'Gold - Q&amp;V'!B$8:B$508)</f>
        <v>214.54188674208308</v>
      </c>
      <c r="C139" s="544">
        <v>86.501999999999995</v>
      </c>
    </row>
    <row r="140" spans="1:6" ht="15.75" thickBot="1">
      <c r="A140" s="417">
        <v>2023</v>
      </c>
      <c r="B140" s="566">
        <f>SUMIF('Gold - Q&amp;V'!D$8:D$508, A140,'Gold - Q&amp;V'!B$8:B$508)</f>
        <v>211.21641634369655</v>
      </c>
      <c r="C140" s="1768">
        <v>80.727000000000004</v>
      </c>
    </row>
    <row r="141" spans="1:6">
      <c r="A141" s="302"/>
      <c r="B141" s="302"/>
      <c r="C141" s="302"/>
    </row>
    <row r="142" spans="1:6">
      <c r="A142" s="302"/>
      <c r="B142" s="302"/>
      <c r="C142" s="302"/>
    </row>
    <row r="143" spans="1:6">
      <c r="A143" s="302"/>
      <c r="B143" s="302"/>
      <c r="C143" s="302"/>
    </row>
    <row r="144" spans="1:6">
      <c r="A144" s="302"/>
      <c r="B144" s="302"/>
      <c r="C144" s="302"/>
    </row>
    <row r="145" spans="1:3">
      <c r="A145" s="302"/>
      <c r="B145" s="302"/>
      <c r="C145" s="302"/>
    </row>
    <row r="146" spans="1:3">
      <c r="A146" s="302"/>
      <c r="B146" s="302"/>
      <c r="C146" s="302"/>
    </row>
    <row r="147" spans="1:3">
      <c r="A147" s="302"/>
      <c r="B147" s="302"/>
      <c r="C147" s="302"/>
    </row>
  </sheetData>
  <mergeCells count="3">
    <mergeCell ref="A5:C5"/>
    <mergeCell ref="P5:R5"/>
    <mergeCell ref="P6:R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8">
    <tabColor theme="5" tint="0.39997558519241921"/>
  </sheetPr>
  <dimension ref="A1:X72"/>
  <sheetViews>
    <sheetView showGridLines="0" workbookViewId="0"/>
  </sheetViews>
  <sheetFormatPr defaultColWidth="9.140625" defaultRowHeight="15"/>
  <cols>
    <col min="1" max="1" width="9.140625" style="17"/>
    <col min="2" max="3" width="23.7109375" style="17" bestFit="1" customWidth="1"/>
    <col min="4" max="4" width="10.7109375" style="17" customWidth="1"/>
    <col min="5" max="6" width="5" style="228" hidden="1" customWidth="1"/>
    <col min="7" max="7" width="13.85546875" style="17" customWidth="1"/>
    <col min="8" max="8" width="23.7109375" style="17" bestFit="1" customWidth="1"/>
    <col min="9" max="9" width="23.7109375" style="228" bestFit="1" customWidth="1"/>
    <col min="10" max="10" width="12" style="381" hidden="1" customWidth="1"/>
    <col min="11" max="11" width="12" style="17" hidden="1" customWidth="1"/>
    <col min="12" max="16384" width="9.140625" style="17"/>
  </cols>
  <sheetData>
    <row r="1" spans="1:24">
      <c r="X1" s="237" t="s">
        <v>282</v>
      </c>
    </row>
    <row r="2" spans="1:24">
      <c r="X2" s="237" t="s">
        <v>283</v>
      </c>
    </row>
    <row r="4" spans="1:24" s="381" customFormat="1"/>
    <row r="5" spans="1:24">
      <c r="G5" s="238"/>
    </row>
    <row r="6" spans="1:24">
      <c r="A6" s="1948" t="s">
        <v>495</v>
      </c>
      <c r="B6" s="1948"/>
      <c r="C6" s="1948"/>
      <c r="D6" s="8"/>
      <c r="G6" s="1948" t="s">
        <v>620</v>
      </c>
      <c r="H6" s="1948"/>
      <c r="I6" s="1948"/>
    </row>
    <row r="7" spans="1:24" ht="15.75" thickBot="1">
      <c r="A7" s="1973" t="s">
        <v>410</v>
      </c>
      <c r="B7" s="1973"/>
      <c r="C7" s="1973"/>
      <c r="D7" s="8"/>
      <c r="E7" s="70"/>
      <c r="F7" s="70"/>
      <c r="G7" s="1950" t="str">
        <f>G25</f>
        <v>Historic Calendar Year</v>
      </c>
      <c r="H7" s="1950"/>
      <c r="I7" s="1950"/>
    </row>
    <row r="8" spans="1:24">
      <c r="A8" s="794"/>
      <c r="B8" s="347" t="s">
        <v>56</v>
      </c>
      <c r="C8" s="627" t="s">
        <v>56</v>
      </c>
      <c r="D8" s="8"/>
      <c r="E8" s="70"/>
      <c r="F8" s="70"/>
      <c r="G8" s="1191"/>
      <c r="H8" s="1189" t="s">
        <v>56</v>
      </c>
      <c r="I8" s="1190" t="s">
        <v>56</v>
      </c>
      <c r="J8" s="46"/>
      <c r="K8" s="228"/>
    </row>
    <row r="9" spans="1:24">
      <c r="A9" s="795" t="s">
        <v>401</v>
      </c>
      <c r="B9" s="797" t="s">
        <v>405</v>
      </c>
      <c r="C9" s="798" t="s">
        <v>406</v>
      </c>
      <c r="D9" s="8"/>
      <c r="E9" s="268"/>
      <c r="F9" s="268"/>
      <c r="G9" s="795" t="s">
        <v>34</v>
      </c>
      <c r="H9" s="1192" t="s">
        <v>405</v>
      </c>
      <c r="I9" s="1193" t="s">
        <v>406</v>
      </c>
      <c r="K9" s="381"/>
    </row>
    <row r="10" spans="1:24">
      <c r="A10" s="762">
        <f>LARGE('Commodity Prices'!C$159:C$902,61)</f>
        <v>43435</v>
      </c>
      <c r="B10" s="484">
        <f>SUMIF('Commodity Prices'!$C$159:$C$902,$A10,'Commodity Prices'!K$159:K$902)</f>
        <v>69.319999999999993</v>
      </c>
      <c r="C10" s="483">
        <f>SUMIF('Commodity Prices'!$C$159:$C$902,$A10,'Commodity Prices'!L$159:L$902)</f>
        <v>96.461816770300047</v>
      </c>
      <c r="D10" s="8"/>
      <c r="E10" s="70">
        <v>2011</v>
      </c>
      <c r="F10" s="70">
        <v>2012</v>
      </c>
      <c r="G10" s="760">
        <f>IF($G$7="Historic Calendar Year",2011,CONCATENATE(E10,"-",RIGHT(F10,4)))</f>
        <v>2011</v>
      </c>
      <c r="H10" s="484">
        <f t="array" ref="H10">IF($G$7="Historic Calendar Year",IFERROR(AVERAGE(IF($G10=YEAR('Commodity Prices'!C$100:C$1000),'Commodity Prices'!K$100:K$1000)),"NA"),IFERROR(IF(J10=0,"N/A",J10),"N/A"))</f>
        <v>167.58166666666668</v>
      </c>
      <c r="I10" s="483">
        <f t="array" ref="I10">IF($G$7="Historic Calendar Year",IFERROR(AVERAGE(IF($G10=YEAR('Commodity Prices'!C$100:C$1000),'Commodity Prices'!L$100:L$1000)),"NA"),IFERROR(IF(K10=0,"N/A",K10),"N/A"))</f>
        <v>162.39359500074252</v>
      </c>
      <c r="J10" s="381">
        <f>(SUMIFS('Commodity Prices'!$K$9:$K$1300,'Commodity Prices'!$A$9:$A$1300,$E10,'Commodity Prices'!$B$9:$B$1300,3)+
SUMIFS('Commodity Prices'!$K$9:$K$1300,'Commodity Prices'!$A$9:$A$1300,$E10,'Commodity Prices'!$B$9:$B$1300,4)+
SUMIFS('Commodity Prices'!$K$9:$K$1300,'Commodity Prices'!$A$9:$A$1300,$F10,'Commodity Prices'!$B$9:$B$1300,1)+
SUMIFS('Commodity Prices'!$K$9:$K$1300,'Commodity Prices'!$A$9:$A$1300,$F10,'Commodity Prices'!$B$9:$B$1300,2))/
(COUNTIFS('Commodity Prices'!$A$9:$A$1300,$E10,'Commodity Prices'!$B$9:$B$1300,3)+
COUNTIFS('Commodity Prices'!$A$9:$A$1300,$E10,'Commodity Prices'!$B$9:$B$1300,4)+
COUNTIFS('Commodity Prices'!$A$9:$A$1300,$F10,'Commodity Prices'!$B$9:$B$1300,1)+
COUNTIFS('Commodity Prices'!$A$9:$A$1300,$F10,'Commodity Prices'!$B$9:$B$1300,2))</f>
        <v>149.23291666666665</v>
      </c>
      <c r="K10" s="228">
        <f>(SUMIFS('Commodity Prices'!$L$9:$L$1300,'Commodity Prices'!$A$9:$A$1300,$E10,'Commodity Prices'!$B$9:$B$1300,3)+
SUMIFS('Commodity Prices'!$L$9:$L$1300,'Commodity Prices'!$A$9:$A$1300,$E10,'Commodity Prices'!$B$9:$B$1300,4)+
SUMIFS('Commodity Prices'!$L$9:$L$1300,'Commodity Prices'!$A$9:$A$1300,$F10,'Commodity Prices'!$B$9:$B$1300,1)+
SUMIFS('Commodity Prices'!$L$9:$L$1300,'Commodity Prices'!$A$9:$A$1300,$F10,'Commodity Prices'!$B$9:$B$1300,2))/
(COUNTIFS('Commodity Prices'!$A$9:$A$1300,$E10,'Commodity Prices'!$B$9:$B$1300,3)+
COUNTIFS('Commodity Prices'!$A$9:$A$1300,$E10,'Commodity Prices'!$B$9:$B$1300,4)+
COUNTIFS('Commodity Prices'!$A$9:$A$1300,$F10,'Commodity Prices'!$B$9:$B$1300,1)+
COUNTIFS('Commodity Prices'!$A$9:$A$1300,$F10,'Commodity Prices'!$B$9:$B$1300,2))</f>
        <v>144.53121611257308</v>
      </c>
    </row>
    <row r="11" spans="1:24">
      <c r="A11" s="761">
        <f>LARGE('Commodity Prices'!C$159:C$902,60)</f>
        <v>43466</v>
      </c>
      <c r="B11" s="561">
        <f>SUMIF('Commodity Prices'!$C$159:$C$902,$A11,'Commodity Prices'!K$159:K$902)</f>
        <v>76.11</v>
      </c>
      <c r="C11" s="562">
        <f>SUMIF('Commodity Prices'!$C$159:$C$902,$A11,'Commodity Prices'!L$159:L$902)</f>
        <v>106.53553384080092</v>
      </c>
      <c r="D11" s="8"/>
      <c r="E11" s="70">
        <f>E10+1</f>
        <v>2012</v>
      </c>
      <c r="F11" s="70">
        <f>F10+1</f>
        <v>2013</v>
      </c>
      <c r="G11" s="759">
        <f>IF($G$7="Historic Calendar Year",G10+1,CONCATENATE(E11,"-",RIGHT(F11,4)))</f>
        <v>2012</v>
      </c>
      <c r="H11" s="561">
        <f t="array" ref="H11">IF($G$7="Historic Calendar Year",IFERROR(AVERAGE(IF($G11=YEAR('Commodity Prices'!C$100:C$1000),'Commodity Prices'!K$100:K$1000)),"NA"),IFERROR(IF(J11=0,"N/A",J11),"N/A"))</f>
        <v>128.42583333333334</v>
      </c>
      <c r="I11" s="562">
        <f t="array" ref="I11">IF($G$7="Historic Calendar Year",IFERROR(AVERAGE(IF($G11=YEAR('Commodity Prices'!C$100:C$1000),'Commodity Prices'!L$100:L$1000)),"NA"),IFERROR(IF(K11=0,"N/A",K11),"N/A"))</f>
        <v>124.02123322821585</v>
      </c>
      <c r="J11" s="381">
        <f>(SUMIFS('Commodity Prices'!$K$9:$K$1300,'Commodity Prices'!$A$9:$A$1300,$E11,'Commodity Prices'!$B$9:$B$1300,3)+
SUMIFS('Commodity Prices'!$K$9:$K$1300,'Commodity Prices'!$A$9:$A$1300,$E11,'Commodity Prices'!$B$9:$B$1300,4)+
SUMIFS('Commodity Prices'!$K$9:$K$1300,'Commodity Prices'!$A$9:$A$1300,$F11,'Commodity Prices'!$B$9:$B$1300,1)+
SUMIFS('Commodity Prices'!$K$9:$K$1300,'Commodity Prices'!$A$9:$A$1300,$F11,'Commodity Prices'!$B$9:$B$1300,2))/
(COUNTIFS('Commodity Prices'!$A$9:$A$1300,$E11,'Commodity Prices'!$B$9:$B$1300,3)+
COUNTIFS('Commodity Prices'!$A$9:$A$1300,$E11,'Commodity Prices'!$B$9:$B$1300,4)+
COUNTIFS('Commodity Prices'!$A$9:$A$1300,$F11,'Commodity Prices'!$B$9:$B$1300,1)+
COUNTIFS('Commodity Prices'!$A$9:$A$1300,$F11,'Commodity Prices'!$B$9:$B$1300,2))</f>
        <v>126.55208333333333</v>
      </c>
      <c r="K11" s="228">
        <f>(SUMIFS('Commodity Prices'!$L$9:$L$1300,'Commodity Prices'!$A$9:$A$1300,$E11,'Commodity Prices'!$B$9:$B$1300,3)+
SUMIFS('Commodity Prices'!$L$9:$L$1300,'Commodity Prices'!$A$9:$A$1300,$E11,'Commodity Prices'!$B$9:$B$1300,4)+
SUMIFS('Commodity Prices'!$L$9:$L$1300,'Commodity Prices'!$A$9:$A$1300,$F11,'Commodity Prices'!$B$9:$B$1300,1)+
SUMIFS('Commodity Prices'!$L$9:$L$1300,'Commodity Prices'!$A$9:$A$1300,$F11,'Commodity Prices'!$B$9:$B$1300,2))/
(COUNTIFS('Commodity Prices'!$A$9:$A$1300,$E11,'Commodity Prices'!$B$9:$B$1300,3)+
COUNTIFS('Commodity Prices'!$A$9:$A$1300,$E11,'Commodity Prices'!$B$9:$B$1300,4)+
COUNTIFS('Commodity Prices'!$A$9:$A$1300,$F11,'Commodity Prices'!$B$9:$B$1300,1)+
COUNTIFS('Commodity Prices'!$A$9:$A$1300,$F11,'Commodity Prices'!$B$9:$B$1300,2))</f>
        <v>123.24358156585004</v>
      </c>
    </row>
    <row r="12" spans="1:24">
      <c r="A12" s="762">
        <f>LARGE('Commodity Prices'!C$159:C$902,59)</f>
        <v>43497</v>
      </c>
      <c r="B12" s="484">
        <f>SUMIF('Commodity Prices'!$C$159:$C$902,$A12,'Commodity Prices'!K$159:K$902)</f>
        <v>87.12</v>
      </c>
      <c r="C12" s="483">
        <f>SUMIF('Commodity Prices'!$C$159:$C$902,$A12,'Commodity Prices'!L$159:L$902)</f>
        <v>121.94848824188129</v>
      </c>
      <c r="D12" s="8"/>
      <c r="E12" s="70">
        <f t="shared" ref="E12:F22" si="0">E11+1</f>
        <v>2013</v>
      </c>
      <c r="F12" s="70">
        <f t="shared" si="0"/>
        <v>2014</v>
      </c>
      <c r="G12" s="760">
        <f t="shared" ref="G12:G20" si="1">IF($G$7="Historic Calendar Year",G11+1,CONCATENATE(E12,"-",RIGHT(F12,4)))</f>
        <v>2013</v>
      </c>
      <c r="H12" s="484">
        <f t="array" ref="H12">IF($G$7="Historic Calendar Year",IFERROR(AVERAGE(IF($G12=YEAR('Commodity Prices'!C$100:C$1000),'Commodity Prices'!K$100:K$1000)),"NA"),IFERROR(IF(J12=0,"N/A",J12),"N/A"))</f>
        <v>135.18833333333333</v>
      </c>
      <c r="I12" s="483">
        <f t="array" ref="I12">IF($G$7="Historic Calendar Year",IFERROR(AVERAGE(IF($G12=YEAR('Commodity Prices'!C$100:C$1000),'Commodity Prices'!L$100:L$1000)),"NA"),IFERROR(IF(K12=0,"N/A",K12),"N/A"))</f>
        <v>139.71546765309628</v>
      </c>
      <c r="J12" s="381">
        <f>(SUMIFS('Commodity Prices'!$K$9:$K$1300,'Commodity Prices'!$A$9:$A$1300,$E12,'Commodity Prices'!$B$9:$B$1300,3)+
SUMIFS('Commodity Prices'!$K$9:$K$1300,'Commodity Prices'!$A$9:$A$1300,$E12,'Commodity Prices'!$B$9:$B$1300,4)+
SUMIFS('Commodity Prices'!$K$9:$K$1300,'Commodity Prices'!$A$9:$A$1300,$F12,'Commodity Prices'!$B$9:$B$1300,1)+
SUMIFS('Commodity Prices'!$K$9:$K$1300,'Commodity Prices'!$A$9:$A$1300,$F12,'Commodity Prices'!$B$9:$B$1300,2))/
(COUNTIFS('Commodity Prices'!$A$9:$A$1300,$E12,'Commodity Prices'!$B$9:$B$1300,3)+
COUNTIFS('Commodity Prices'!$A$9:$A$1300,$E12,'Commodity Prices'!$B$9:$B$1300,4)+
COUNTIFS('Commodity Prices'!$A$9:$A$1300,$F12,'Commodity Prices'!$B$9:$B$1300,1)+
COUNTIFS('Commodity Prices'!$A$9:$A$1300,$F12,'Commodity Prices'!$B$9:$B$1300,2))</f>
        <v>122.53416666666665</v>
      </c>
      <c r="K12" s="228">
        <f>(SUMIFS('Commodity Prices'!$L$9:$L$1300,'Commodity Prices'!$A$9:$A$1300,$E12,'Commodity Prices'!$B$9:$B$1300,3)+
SUMIFS('Commodity Prices'!$L$9:$L$1300,'Commodity Prices'!$A$9:$A$1300,$E12,'Commodity Prices'!$B$9:$B$1300,4)+
SUMIFS('Commodity Prices'!$L$9:$L$1300,'Commodity Prices'!$A$9:$A$1300,$F12,'Commodity Prices'!$B$9:$B$1300,1)+
SUMIFS('Commodity Prices'!$L$9:$L$1300,'Commodity Prices'!$A$9:$A$1300,$F12,'Commodity Prices'!$B$9:$B$1300,2))/
(COUNTIFS('Commodity Prices'!$A$9:$A$1300,$E12,'Commodity Prices'!$B$9:$B$1300,3)+
COUNTIFS('Commodity Prices'!$A$9:$A$1300,$E12,'Commodity Prices'!$B$9:$B$1300,4)+
COUNTIFS('Commodity Prices'!$A$9:$A$1300,$F12,'Commodity Prices'!$B$9:$B$1300,1)+
COUNTIFS('Commodity Prices'!$A$9:$A$1300,$F12,'Commodity Prices'!$B$9:$B$1300,2))</f>
        <v>133.53477298933754</v>
      </c>
    </row>
    <row r="13" spans="1:24">
      <c r="A13" s="761">
        <f>LARGE('Commodity Prices'!C$159:C$902,58)</f>
        <v>43525</v>
      </c>
      <c r="B13" s="561">
        <f>SUMIF('Commodity Prices'!$C$159:$C$902,$A13,'Commodity Prices'!K$159:K$902)</f>
        <v>85.75</v>
      </c>
      <c r="C13" s="562">
        <f>SUMIF('Commodity Prices'!$C$159:$C$902,$A13,'Commodity Prices'!L$159:L$902)</f>
        <v>121.10197246750104</v>
      </c>
      <c r="D13" s="8"/>
      <c r="E13" s="70">
        <f t="shared" si="0"/>
        <v>2014</v>
      </c>
      <c r="F13" s="70">
        <f t="shared" si="0"/>
        <v>2015</v>
      </c>
      <c r="G13" s="759">
        <f t="shared" si="1"/>
        <v>2014</v>
      </c>
      <c r="H13" s="561">
        <f t="array" ref="H13">IF($G$7="Historic Calendar Year",IFERROR(AVERAGE(IF($G13=YEAR('Commodity Prices'!C$100:C$1000),'Commodity Prices'!K$100:K$1000)),"NA"),IFERROR(IF(J13=0,"N/A",J13),"N/A"))</f>
        <v>96.352916666666673</v>
      </c>
      <c r="I13" s="562">
        <f t="array" ref="I13">IF($G$7="Historic Calendar Year",IFERROR(AVERAGE(IF($G13=YEAR('Commodity Prices'!C$100:C$1000),'Commodity Prices'!L$100:L$1000)),"NA"),IFERROR(IF(K13=0,"N/A",K13),"N/A"))</f>
        <v>106.50278486438286</v>
      </c>
      <c r="J13" s="381">
        <f>(SUMIFS('Commodity Prices'!$K$9:$K$1300,'Commodity Prices'!$A$9:$A$1300,$E13,'Commodity Prices'!$B$9:$B$1300,3)+
SUMIFS('Commodity Prices'!$K$9:$K$1300,'Commodity Prices'!$A$9:$A$1300,$E13,'Commodity Prices'!$B$9:$B$1300,4)+
SUMIFS('Commodity Prices'!$K$9:$K$1300,'Commodity Prices'!$A$9:$A$1300,$F13,'Commodity Prices'!$B$9:$B$1300,1)+
SUMIFS('Commodity Prices'!$K$9:$K$1300,'Commodity Prices'!$A$9:$A$1300,$F13,'Commodity Prices'!$B$9:$B$1300,2))/
(COUNTIFS('Commodity Prices'!$A$9:$A$1300,$E13,'Commodity Prices'!$B$9:$B$1300,3)+
COUNTIFS('Commodity Prices'!$A$9:$A$1300,$E13,'Commodity Prices'!$B$9:$B$1300,4)+
COUNTIFS('Commodity Prices'!$A$9:$A$1300,$F13,'Commodity Prices'!$B$9:$B$1300,1)+
COUNTIFS('Commodity Prices'!$A$9:$A$1300,$F13,'Commodity Prices'!$B$9:$B$1300,2))</f>
        <v>70.03</v>
      </c>
      <c r="K13" s="228">
        <f>(SUMIFS('Commodity Prices'!$L$9:$L$1300,'Commodity Prices'!$A$9:$A$1300,$E13,'Commodity Prices'!$B$9:$B$1300,3)+
SUMIFS('Commodity Prices'!$L$9:$L$1300,'Commodity Prices'!$A$9:$A$1300,$E13,'Commodity Prices'!$B$9:$B$1300,4)+
SUMIFS('Commodity Prices'!$L$9:$L$1300,'Commodity Prices'!$A$9:$A$1300,$F13,'Commodity Prices'!$B$9:$B$1300,1)+
SUMIFS('Commodity Prices'!$L$9:$L$1300,'Commodity Prices'!$A$9:$A$1300,$F13,'Commodity Prices'!$B$9:$B$1300,2))/
(COUNTIFS('Commodity Prices'!$A$9:$A$1300,$E13,'Commodity Prices'!$B$9:$B$1300,3)+
COUNTIFS('Commodity Prices'!$A$9:$A$1300,$E13,'Commodity Prices'!$B$9:$B$1300,4)+
COUNTIFS('Commodity Prices'!$A$9:$A$1300,$F13,'Commodity Prices'!$B$9:$B$1300,1)+
COUNTIFS('Commodity Prices'!$A$9:$A$1300,$F13,'Commodity Prices'!$B$9:$B$1300,2))</f>
        <v>82.971386994991391</v>
      </c>
    </row>
    <row r="14" spans="1:24">
      <c r="A14" s="762">
        <f>LARGE('Commodity Prices'!C$159:C$902,57)</f>
        <v>43556</v>
      </c>
      <c r="B14" s="484">
        <f>SUMIF('Commodity Prices'!$C$159:$C$902,$A14,'Commodity Prices'!K$159:K$902)</f>
        <v>93.54</v>
      </c>
      <c r="C14" s="483">
        <f>SUMIF('Commodity Prices'!$C$159:$C$902,$A14,'Commodity Prices'!L$159:L$902)</f>
        <v>131.46386567053776</v>
      </c>
      <c r="D14" s="8"/>
      <c r="E14" s="70">
        <f t="shared" si="0"/>
        <v>2015</v>
      </c>
      <c r="F14" s="70">
        <f t="shared" si="0"/>
        <v>2016</v>
      </c>
      <c r="G14" s="760">
        <f t="shared" si="1"/>
        <v>2015</v>
      </c>
      <c r="H14" s="484">
        <f t="array" ref="H14">IF($G$7="Historic Calendar Year",IFERROR(AVERAGE(IF($G14=YEAR('Commodity Prices'!C$100:C$1000),'Commodity Prices'!K$100:K$1000)),"NA"),IFERROR(IF(J14=0,"N/A",J14),"N/A"))</f>
        <v>54.300833333333337</v>
      </c>
      <c r="I14" s="483">
        <f t="array" ref="I14">IF($G$7="Historic Calendar Year",IFERROR(AVERAGE(IF($G14=YEAR('Commodity Prices'!C$100:C$1000),'Commodity Prices'!L$100:L$1000)),"NA"),IFERROR(IF(K14=0,"N/A",K14),"N/A"))</f>
        <v>71.974003408098795</v>
      </c>
      <c r="J14" s="381">
        <f>(SUMIFS('Commodity Prices'!$K$9:$K$1300,'Commodity Prices'!$A$9:$A$1300,$E14,'Commodity Prices'!$B$9:$B$1300,3)+
SUMIFS('Commodity Prices'!$K$9:$K$1300,'Commodity Prices'!$A$9:$A$1300,$E14,'Commodity Prices'!$B$9:$B$1300,4)+
SUMIFS('Commodity Prices'!$K$9:$K$1300,'Commodity Prices'!$A$9:$A$1300,$F14,'Commodity Prices'!$B$9:$B$1300,1)+
SUMIFS('Commodity Prices'!$K$9:$K$1300,'Commodity Prices'!$A$9:$A$1300,$F14,'Commodity Prices'!$B$9:$B$1300,2))/
(COUNTIFS('Commodity Prices'!$A$9:$A$1300,$E14,'Commodity Prices'!$B$9:$B$1300,3)+
COUNTIFS('Commodity Prices'!$A$9:$A$1300,$E14,'Commodity Prices'!$B$9:$B$1300,4)+
COUNTIFS('Commodity Prices'!$A$9:$A$1300,$F14,'Commodity Prices'!$B$9:$B$1300,1)+
COUNTIFS('Commodity Prices'!$A$9:$A$1300,$F14,'Commodity Prices'!$B$9:$B$1300,2))</f>
        <v>50.410833333333329</v>
      </c>
      <c r="K14" s="228">
        <f>(SUMIFS('Commodity Prices'!$L$9:$L$1300,'Commodity Prices'!$A$9:$A$1300,$E14,'Commodity Prices'!$B$9:$B$1300,3)+
SUMIFS('Commodity Prices'!$L$9:$L$1300,'Commodity Prices'!$A$9:$A$1300,$E14,'Commodity Prices'!$B$9:$B$1300,4)+
SUMIFS('Commodity Prices'!$L$9:$L$1300,'Commodity Prices'!$A$9:$A$1300,$F14,'Commodity Prices'!$B$9:$B$1300,1)+
SUMIFS('Commodity Prices'!$L$9:$L$1300,'Commodity Prices'!$A$9:$A$1300,$F14,'Commodity Prices'!$B$9:$B$1300,2))/
(COUNTIFS('Commodity Prices'!$A$9:$A$1300,$E14,'Commodity Prices'!$B$9:$B$1300,3)+
COUNTIFS('Commodity Prices'!$A$9:$A$1300,$E14,'Commodity Prices'!$B$9:$B$1300,4)+
COUNTIFS('Commodity Prices'!$A$9:$A$1300,$F14,'Commodity Prices'!$B$9:$B$1300,1)+
COUNTIFS('Commodity Prices'!$A$9:$A$1300,$F14,'Commodity Prices'!$B$9:$B$1300,2))</f>
        <v>69.110160904699555</v>
      </c>
    </row>
    <row r="15" spans="1:24">
      <c r="A15" s="761">
        <f>LARGE('Commodity Prices'!C$159:C$902,56)</f>
        <v>43586</v>
      </c>
      <c r="B15" s="561">
        <f>SUMIF('Commodity Prices'!$C$159:$C$902,$A15,'Commodity Prices'!K$159:K$902)</f>
        <v>99.06</v>
      </c>
      <c r="C15" s="562">
        <f>SUMIF('Commodity Prices'!$C$159:$C$902,$A15,'Commodity Prices'!L$159:L$902)</f>
        <v>142.55466916940406</v>
      </c>
      <c r="D15" s="8"/>
      <c r="E15" s="70">
        <f t="shared" si="0"/>
        <v>2016</v>
      </c>
      <c r="F15" s="70">
        <f t="shared" si="0"/>
        <v>2017</v>
      </c>
      <c r="G15" s="760">
        <f t="shared" si="1"/>
        <v>2016</v>
      </c>
      <c r="H15" s="561">
        <f t="array" ref="H15">IF($G$7="Historic Calendar Year",IFERROR(AVERAGE(IF($G15=YEAR('Commodity Prices'!C$100:C$1000),'Commodity Prices'!K$100:K$1000)),"NA"),IFERROR(IF(J15=0,"N/A",J15),"N/A"))</f>
        <v>57.74583333333333</v>
      </c>
      <c r="I15" s="562">
        <f t="array" ref="I15">IF($G$7="Historic Calendar Year",IFERROR(AVERAGE(IF($G15=YEAR('Commodity Prices'!C$100:C$1000),'Commodity Prices'!L$100:L$1000)),"NA"),IFERROR(IF(K15=0,"N/A",K15),"N/A"))</f>
        <v>77.489999999999995</v>
      </c>
      <c r="J15" s="381">
        <f>(SUMIFS('Commodity Prices'!$K$9:$K$1300,'Commodity Prices'!$A$9:$A$1300,$E15,'Commodity Prices'!$B$9:$B$1300,3)+
SUMIFS('Commodity Prices'!$K$9:$K$1300,'Commodity Prices'!$A$9:$A$1300,$E15,'Commodity Prices'!$B$9:$B$1300,4)+
SUMIFS('Commodity Prices'!$K$9:$K$1300,'Commodity Prices'!$A$9:$A$1300,$F15,'Commodity Prices'!$B$9:$B$1300,1)+
SUMIFS('Commodity Prices'!$K$9:$K$1300,'Commodity Prices'!$A$9:$A$1300,$F15,'Commodity Prices'!$B$9:$B$1300,2))/
(COUNTIFS('Commodity Prices'!$A$9:$A$1300,$E15,'Commodity Prices'!$B$9:$B$1300,3)+
COUNTIFS('Commodity Prices'!$A$9:$A$1300,$E15,'Commodity Prices'!$B$9:$B$1300,4)+
COUNTIFS('Commodity Prices'!$A$9:$A$1300,$F15,'Commodity Prices'!$B$9:$B$1300,1)+
COUNTIFS('Commodity Prices'!$A$9:$A$1300,$F15,'Commodity Prices'!$B$9:$B$1300,2))</f>
        <v>69.55083333333333</v>
      </c>
      <c r="K15" s="228">
        <f>(SUMIFS('Commodity Prices'!$L$9:$L$1300,'Commodity Prices'!$A$9:$A$1300,$E15,'Commodity Prices'!$B$9:$B$1300,3)+
SUMIFS('Commodity Prices'!$L$9:$L$1300,'Commodity Prices'!$A$9:$A$1300,$E15,'Commodity Prices'!$B$9:$B$1300,4)+
SUMIFS('Commodity Prices'!$L$9:$L$1300,'Commodity Prices'!$A$9:$A$1300,$F15,'Commodity Prices'!$B$9:$B$1300,1)+
SUMIFS('Commodity Prices'!$L$9:$L$1300,'Commodity Prices'!$A$9:$A$1300,$F15,'Commodity Prices'!$B$9:$B$1300,2))/
(COUNTIFS('Commodity Prices'!$A$9:$A$1300,$E15,'Commodity Prices'!$B$9:$B$1300,3)+
COUNTIFS('Commodity Prices'!$A$9:$A$1300,$E15,'Commodity Prices'!$B$9:$B$1300,4)+
COUNTIFS('Commodity Prices'!$A$9:$A$1300,$F15,'Commodity Prices'!$B$9:$B$1300,1)+
COUNTIFS('Commodity Prices'!$A$9:$A$1300,$F15,'Commodity Prices'!$B$9:$B$1300,2))</f>
        <v>92.123588292049817</v>
      </c>
    </row>
    <row r="16" spans="1:24">
      <c r="A16" s="762">
        <f>LARGE('Commodity Prices'!C$159:C$902,56)</f>
        <v>43586</v>
      </c>
      <c r="B16" s="484">
        <f>SUMIF('Commodity Prices'!$C$159:$C$902,$A16,'Commodity Prices'!K$159:K$902)</f>
        <v>99.06</v>
      </c>
      <c r="C16" s="483">
        <f>SUMIF('Commodity Prices'!$C$159:$C$902,$A16,'Commodity Prices'!L$159:L$902)</f>
        <v>142.55466916940406</v>
      </c>
      <c r="D16" s="8"/>
      <c r="E16" s="70">
        <f t="shared" si="0"/>
        <v>2017</v>
      </c>
      <c r="F16" s="70">
        <f t="shared" si="0"/>
        <v>2018</v>
      </c>
      <c r="G16" s="760">
        <f t="shared" si="1"/>
        <v>2017</v>
      </c>
      <c r="H16" s="484">
        <f t="array" ref="H16">IF($G$7="Historic Calendar Year",IFERROR(AVERAGE(IF($G16=YEAR('Commodity Prices'!C$100:C$1000),'Commodity Prices'!K$100:K$1000)),"NA"),IFERROR(IF(J16=0,"N/A",J16),"N/A"))</f>
        <v>71.602500000000006</v>
      </c>
      <c r="I16" s="483">
        <f t="array" ref="I16">IF($G$7="Historic Calendar Year",IFERROR(AVERAGE(IF($G16=YEAR('Commodity Prices'!C$100:C$1000),'Commodity Prices'!L$100:L$1000)),"NA"),IFERROR(IF(K16=0,"N/A",K16),"N/A"))</f>
        <v>93.28703937731278</v>
      </c>
      <c r="J16" s="381">
        <f>(SUMIFS('Commodity Prices'!$K$9:$K$1300,'Commodity Prices'!$A$9:$A$1300,$E16,'Commodity Prices'!$B$9:$B$1300,3)+
SUMIFS('Commodity Prices'!$K$9:$K$1300,'Commodity Prices'!$A$9:$A$1300,$E16,'Commodity Prices'!$B$9:$B$1300,4)+
SUMIFS('Commodity Prices'!$K$9:$K$1300,'Commodity Prices'!$A$9:$A$1300,$F16,'Commodity Prices'!$B$9:$B$1300,1)+
SUMIFS('Commodity Prices'!$K$9:$K$1300,'Commodity Prices'!$A$9:$A$1300,$F16,'Commodity Prices'!$B$9:$B$1300,2))/
(COUNTIFS('Commodity Prices'!$A$9:$A$1300,$E16,'Commodity Prices'!$B$9:$B$1300,3)+
COUNTIFS('Commodity Prices'!$A$9:$A$1300,$E16,'Commodity Prices'!$B$9:$B$1300,4)+
COUNTIFS('Commodity Prices'!$A$9:$A$1300,$F16,'Commodity Prices'!$B$9:$B$1300,1)+
COUNTIFS('Commodity Prices'!$A$9:$A$1300,$F16,'Commodity Prices'!$B$9:$B$1300,2))</f>
        <v>69.212499999999991</v>
      </c>
      <c r="K16" s="228">
        <f>(SUMIFS('Commodity Prices'!$L$9:$L$1300,'Commodity Prices'!$A$9:$A$1300,$E16,'Commodity Prices'!$B$9:$B$1300,3)+
SUMIFS('Commodity Prices'!$L$9:$L$1300,'Commodity Prices'!$A$9:$A$1300,$E16,'Commodity Prices'!$B$9:$B$1300,4)+
SUMIFS('Commodity Prices'!$L$9:$L$1300,'Commodity Prices'!$A$9:$A$1300,$F16,'Commodity Prices'!$B$9:$B$1300,1)+
SUMIFS('Commodity Prices'!$L$9:$L$1300,'Commodity Prices'!$A$9:$A$1300,$F16,'Commodity Prices'!$B$9:$B$1300,2))/
(COUNTIFS('Commodity Prices'!$A$9:$A$1300,$E16,'Commodity Prices'!$B$9:$B$1300,3)+
COUNTIFS('Commodity Prices'!$A$9:$A$1300,$E16,'Commodity Prices'!$B$9:$B$1300,4)+
COUNTIFS('Commodity Prices'!$A$9:$A$1300,$F16,'Commodity Prices'!$B$9:$B$1300,1)+
COUNTIFS('Commodity Prices'!$A$9:$A$1300,$F16,'Commodity Prices'!$B$9:$B$1300,2))</f>
        <v>89.211006260664576</v>
      </c>
    </row>
    <row r="17" spans="1:11">
      <c r="A17" s="761">
        <f>LARGE('Commodity Prices'!C$159:C$902,54)</f>
        <v>43647</v>
      </c>
      <c r="B17" s="561">
        <f>SUMIF('Commodity Prices'!$C$159:$C$902,$A17,'Commodity Prices'!K$159:K$902)</f>
        <v>119.96</v>
      </c>
      <c r="C17" s="562">
        <f>SUMIF('Commodity Prices'!$C$159:$C$902,$A17,'Commodity Prices'!L$159:L$902)</f>
        <v>171.68921357543778</v>
      </c>
      <c r="D17" s="8"/>
      <c r="E17" s="70">
        <f t="shared" si="0"/>
        <v>2018</v>
      </c>
      <c r="F17" s="70">
        <f t="shared" si="0"/>
        <v>2019</v>
      </c>
      <c r="G17" s="760">
        <f t="shared" si="1"/>
        <v>2018</v>
      </c>
      <c r="H17" s="561">
        <f t="array" ref="H17">IF($G$7="Historic Calendar Year",IFERROR(AVERAGE(IF($G17=YEAR('Commodity Prices'!C$100:C$1000),'Commodity Prices'!K$100:K$1000)),"NA"),IFERROR(IF(J17=0,"N/A",J17),"N/A"))</f>
        <v>69.38</v>
      </c>
      <c r="I17" s="562">
        <f t="array" ref="I17">IF($G$7="Historic Calendar Year",IFERROR(AVERAGE(IF($G17=YEAR('Commodity Prices'!C$100:C$1000),'Commodity Prices'!L$100:L$1000)),"NA"),IFERROR(IF(K17=0,"N/A",K17),"N/A"))</f>
        <v>92.802397500993834</v>
      </c>
      <c r="J17" s="381">
        <f>(SUMIFS('Commodity Prices'!$K$9:$K$1300,'Commodity Prices'!$A$9:$A$1300,$E17,'Commodity Prices'!$B$9:$B$1300,3)+
SUMIFS('Commodity Prices'!$K$9:$K$1300,'Commodity Prices'!$A$9:$A$1300,$E17,'Commodity Prices'!$B$9:$B$1300,4)+
SUMIFS('Commodity Prices'!$K$9:$K$1300,'Commodity Prices'!$A$9:$A$1300,$F17,'Commodity Prices'!$B$9:$B$1300,1)+
SUMIFS('Commodity Prices'!$K$9:$K$1300,'Commodity Prices'!$A$9:$A$1300,$F17,'Commodity Prices'!$B$9:$B$1300,2))/
(COUNTIFS('Commodity Prices'!$A$9:$A$1300,$E17,'Commodity Prices'!$B$9:$B$1300,3)+
COUNTIFS('Commodity Prices'!$A$9:$A$1300,$E17,'Commodity Prices'!$B$9:$B$1300,4)+
COUNTIFS('Commodity Prices'!$A$9:$A$1300,$F17,'Commodity Prices'!$B$9:$B$1300,1)+
COUNTIFS('Commodity Prices'!$A$9:$A$1300,$F17,'Commodity Prices'!$B$9:$B$1300,2))</f>
        <v>80.306666666666672</v>
      </c>
      <c r="K17" s="228">
        <f>(SUMIFS('Commodity Prices'!$L$9:$L$1300,'Commodity Prices'!$A$9:$A$1300,$E17,'Commodity Prices'!$B$9:$B$1300,3)+
SUMIFS('Commodity Prices'!$L$9:$L$1300,'Commodity Prices'!$A$9:$A$1300,$E17,'Commodity Prices'!$B$9:$B$1300,4)+
SUMIFS('Commodity Prices'!$L$9:$L$1300,'Commodity Prices'!$A$9:$A$1300,$F17,'Commodity Prices'!$B$9:$B$1300,1)+
SUMIFS('Commodity Prices'!$L$9:$L$1300,'Commodity Prices'!$A$9:$A$1300,$F17,'Commodity Prices'!$B$9:$B$1300,2))/
(COUNTIFS('Commodity Prices'!$A$9:$A$1300,$E17,'Commodity Prices'!$B$9:$B$1300,3)+
COUNTIFS('Commodity Prices'!$A$9:$A$1300,$E17,'Commodity Prices'!$B$9:$B$1300,4)+
COUNTIFS('Commodity Prices'!$A$9:$A$1300,$F17,'Commodity Prices'!$B$9:$B$1300,1)+
COUNTIFS('Commodity Prices'!$A$9:$A$1300,$F17,'Commodity Prices'!$B$9:$B$1300,2))</f>
        <v>112.59761245699345</v>
      </c>
    </row>
    <row r="18" spans="1:11">
      <c r="A18" s="762">
        <f>LARGE('Commodity Prices'!C$159:C$902,53)</f>
        <v>43678</v>
      </c>
      <c r="B18" s="484">
        <f>SUMIF('Commodity Prices'!$C$159:$C$902,$A18,'Commodity Prices'!K$159:K$902)</f>
        <v>91.19</v>
      </c>
      <c r="C18" s="483">
        <f>SUMIF('Commodity Prices'!$C$159:$C$902,$A18,'Commodity Prices'!L$159:L$902)</f>
        <v>134.66214743296743</v>
      </c>
      <c r="D18" s="8"/>
      <c r="E18" s="70">
        <f t="shared" si="0"/>
        <v>2019</v>
      </c>
      <c r="F18" s="70">
        <f t="shared" si="0"/>
        <v>2020</v>
      </c>
      <c r="G18" s="760">
        <f t="shared" si="1"/>
        <v>2019</v>
      </c>
      <c r="H18" s="484">
        <f t="array" ref="H18">IF($G$7="Historic Calendar Year",IFERROR(AVERAGE(IF($G18=YEAR('Commodity Prices'!C$100:C$1000),'Commodity Prices'!K$100:K$1000)),"NA"),IFERROR(IF(J18=0,"N/A",J18),"N/A"))</f>
        <v>93.331666666666663</v>
      </c>
      <c r="I18" s="483">
        <f t="array" ref="I18">IF($G$7="Historic Calendar Year",IFERROR(AVERAGE(IF($G18=YEAR('Commodity Prices'!C$100:C$1000),'Commodity Prices'!L$100:L$1000)),"NA"),IFERROR(IF(K18=0,"N/A",K18),"N/A"))</f>
        <v>134.30853316588613</v>
      </c>
      <c r="J18" s="381">
        <f>(SUMIFS('Commodity Prices'!$K$9:$K$1300,'Commodity Prices'!$A$9:$A$1300,$E18,'Commodity Prices'!$B$9:$B$1300,3)+
SUMIFS('Commodity Prices'!$K$9:$K$1300,'Commodity Prices'!$A$9:$A$1300,$E18,'Commodity Prices'!$B$9:$B$1300,4)+
SUMIFS('Commodity Prices'!$K$9:$K$1300,'Commodity Prices'!$A$9:$A$1300,$F18,'Commodity Prices'!$B$9:$B$1300,1)+
SUMIFS('Commodity Prices'!$K$9:$K$1300,'Commodity Prices'!$A$9:$A$1300,$F18,'Commodity Prices'!$B$9:$B$1300,2))/
(COUNTIFS('Commodity Prices'!$A$9:$A$1300,$E18,'Commodity Prices'!$B$9:$B$1300,3)+
COUNTIFS('Commodity Prices'!$A$9:$A$1300,$E18,'Commodity Prices'!$B$9:$B$1300,4)+
COUNTIFS('Commodity Prices'!$A$9:$A$1300,$F18,'Commodity Prices'!$B$9:$B$1300,1)+
COUNTIFS('Commodity Prices'!$A$9:$A$1300,$F18,'Commodity Prices'!$B$9:$B$1300,2))</f>
        <v>92.692499999999995</v>
      </c>
      <c r="K18" s="228">
        <f>(SUMIFS('Commodity Prices'!$L$9:$L$1300,'Commodity Prices'!$A$9:$A$1300,$E18,'Commodity Prices'!$B$9:$B$1300,3)+
SUMIFS('Commodity Prices'!$L$9:$L$1300,'Commodity Prices'!$A$9:$A$1300,$E18,'Commodity Prices'!$B$9:$B$1300,4)+
SUMIFS('Commodity Prices'!$L$9:$L$1300,'Commodity Prices'!$A$9:$A$1300,$F18,'Commodity Prices'!$B$9:$B$1300,1)+
SUMIFS('Commodity Prices'!$L$9:$L$1300,'Commodity Prices'!$A$9:$A$1300,$F18,'Commodity Prices'!$B$9:$B$1300,2))/
(COUNTIFS('Commodity Prices'!$A$9:$A$1300,$E18,'Commodity Prices'!$B$9:$B$1300,3)+
COUNTIFS('Commodity Prices'!$A$9:$A$1300,$E18,'Commodity Prices'!$B$9:$B$1300,4)+
COUNTIFS('Commodity Prices'!$A$9:$A$1300,$F18,'Commodity Prices'!$B$9:$B$1300,1)+
COUNTIFS('Commodity Prices'!$A$9:$A$1300,$F18,'Commodity Prices'!$B$9:$B$1300,2))</f>
        <v>138.01187502684175</v>
      </c>
    </row>
    <row r="19" spans="1:11">
      <c r="A19" s="761">
        <f>LARGE('Commodity Prices'!C$159:C$902,52)</f>
        <v>43709</v>
      </c>
      <c r="B19" s="561">
        <f>SUMIF('Commodity Prices'!$C$159:$C$902,$A19,'Commodity Prices'!K$159:K$902)</f>
        <v>93.3</v>
      </c>
      <c r="C19" s="562">
        <f>SUMIF('Commodity Prices'!$C$159:$C$902,$A19,'Commodity Prices'!L$159:L$902)</f>
        <v>137.04369478698177</v>
      </c>
      <c r="D19" s="8"/>
      <c r="E19" s="70">
        <f t="shared" si="0"/>
        <v>2020</v>
      </c>
      <c r="F19" s="70">
        <f t="shared" si="0"/>
        <v>2021</v>
      </c>
      <c r="G19" s="760">
        <f t="shared" si="1"/>
        <v>2020</v>
      </c>
      <c r="H19" s="561">
        <f t="array" ref="H19">IF($G$7="Historic Calendar Year",IFERROR(AVERAGE(IF($G19=YEAR('Commodity Prices'!C$100:C$1000),'Commodity Prices'!K$100:K$1000)),"NA"),IFERROR(IF(J19=0,"N/A",J19),"N/A"))</f>
        <v>108.10916666666668</v>
      </c>
      <c r="I19" s="562">
        <f t="array" ref="I19">IF($G$7="Historic Calendar Year",IFERROR(AVERAGE(IF($G19=YEAR('Commodity Prices'!C$100:C$1000),'Commodity Prices'!L$100:L$1000)),"NA"),IFERROR(IF(K19=0,"N/A",K19),"N/A"))</f>
        <v>155.54133628125152</v>
      </c>
      <c r="J19" s="381">
        <f>(SUMIFS('Commodity Prices'!$K$9:$K$1300,'Commodity Prices'!$A$9:$A$1300,$E19,'Commodity Prices'!$B$9:$B$1300,3)+
SUMIFS('Commodity Prices'!$K$9:$K$1300,'Commodity Prices'!$A$9:$A$1300,$E19,'Commodity Prices'!$B$9:$B$1300,4)+
SUMIFS('Commodity Prices'!$K$9:$K$1300,'Commodity Prices'!$A$9:$A$1300,$F19,'Commodity Prices'!$B$9:$B$1300,1)+
SUMIFS('Commodity Prices'!$K$9:$K$1300,'Commodity Prices'!$A$9:$A$1300,$F19,'Commodity Prices'!$B$9:$B$1300,2))/
(COUNTIFS('Commodity Prices'!$A$9:$A$1300,$E19,'Commodity Prices'!$B$9:$B$1300,3)+
COUNTIFS('Commodity Prices'!$A$9:$A$1300,$E19,'Commodity Prices'!$B$9:$B$1300,4)+
COUNTIFS('Commodity Prices'!$A$9:$A$1300,$F19,'Commodity Prices'!$B$9:$B$1300,1)+
COUNTIFS('Commodity Prices'!$A$9:$A$1300,$F19,'Commodity Prices'!$B$9:$B$1300,2))</f>
        <v>154.56666666666669</v>
      </c>
      <c r="K19" s="228">
        <f>(SUMIFS('Commodity Prices'!$L$9:$L$1300,'Commodity Prices'!$A$9:$A$1300,$E19,'Commodity Prices'!$B$9:$B$1300,3)+
SUMIFS('Commodity Prices'!$L$9:$L$1300,'Commodity Prices'!$A$9:$A$1300,$E19,'Commodity Prices'!$B$9:$B$1300,4)+
SUMIFS('Commodity Prices'!$L$9:$L$1300,'Commodity Prices'!$A$9:$A$1300,$F19,'Commodity Prices'!$B$9:$B$1300,1)+
SUMIFS('Commodity Prices'!$L$9:$L$1300,'Commodity Prices'!$A$9:$A$1300,$F19,'Commodity Prices'!$B$9:$B$1300,2))/
(COUNTIFS('Commodity Prices'!$A$9:$A$1300,$E19,'Commodity Prices'!$B$9:$B$1300,3)+
COUNTIFS('Commodity Prices'!$A$9:$A$1300,$E19,'Commodity Prices'!$B$9:$B$1300,4)+
COUNTIFS('Commodity Prices'!$A$9:$A$1300,$F19,'Commodity Prices'!$B$9:$B$1300,1)+
COUNTIFS('Commodity Prices'!$A$9:$A$1300,$F19,'Commodity Prices'!$B$9:$B$1300,2))</f>
        <v>205.65694048100735</v>
      </c>
    </row>
    <row r="20" spans="1:11">
      <c r="A20" s="762">
        <f>LARGE('Commodity Prices'!C$159:C$902,51)</f>
        <v>43739</v>
      </c>
      <c r="B20" s="484">
        <f>SUMIF('Commodity Prices'!$C$159:$C$902,$A20,'Commodity Prices'!K$159:K$902)</f>
        <v>89.61</v>
      </c>
      <c r="C20" s="483">
        <f>SUMIF('Commodity Prices'!$C$159:$C$902,$A20,'Commodity Prices'!L$159:L$902)</f>
        <v>131.85962049107411</v>
      </c>
      <c r="D20" s="8"/>
      <c r="E20" s="268">
        <f t="shared" si="0"/>
        <v>2021</v>
      </c>
      <c r="F20" s="268">
        <f t="shared" si="0"/>
        <v>2022</v>
      </c>
      <c r="G20" s="760">
        <f t="shared" si="1"/>
        <v>2021</v>
      </c>
      <c r="H20" s="484">
        <f t="array" ref="H20">IF($G$7="Historic Calendar Year",IFERROR(AVERAGE(IF($G20=YEAR('Commodity Prices'!C$100:C$1000),'Commodity Prices'!K$100:K$1000)),"n/a"),IFERROR(IF(J20=0,"n/a",J20),"n/a"))</f>
        <v>160.02833333333336</v>
      </c>
      <c r="I20" s="483">
        <f t="array" ref="I20">IF($G$7="Historic Calendar Year",IFERROR(AVERAGE(IF($G20=YEAR('Commodity Prices'!C$100:C$1000),'Commodity Prices'!L$100:L$1000)),"n/a"),IFERROR(IF(K20=0,"n/a",K20),"n/a"))</f>
        <v>212.07700457820101</v>
      </c>
      <c r="J20" s="381">
        <f>(SUMIFS('Commodity Prices'!$K$9:$K$1300,'Commodity Prices'!$A$9:$A$1300,$E20,'Commodity Prices'!$B$9:$B$1300,3)+
SUMIFS('Commodity Prices'!$K$9:$K$1300,'Commodity Prices'!$A$9:$A$1300,$E20,'Commodity Prices'!$B$9:$B$1300,4)+
SUMIFS('Commodity Prices'!$K$9:$K$1300,'Commodity Prices'!$A$9:$A$1300,$F20,'Commodity Prices'!$B$9:$B$1300,1)+
SUMIFS('Commodity Prices'!$K$9:$K$1300,'Commodity Prices'!$A$9:$A$1300,$F20,'Commodity Prices'!$B$9:$B$1300,2))/
(COUNTIFS('Commodity Prices'!$A$9:$A$1300,$E20,'Commodity Prices'!$B$9:$B$1300,3)+
COUNTIFS('Commodity Prices'!$A$9:$A$1300,$E20,'Commodity Prices'!$B$9:$B$1300,4)+
COUNTIFS('Commodity Prices'!$A$9:$A$1300,$F20,'Commodity Prices'!$B$9:$B$1300,1)+
COUNTIFS('Commodity Prices'!$A$9:$A$1300,$F20,'Commodity Prices'!$B$9:$B$1300,2))</f>
        <v>138.16333333333333</v>
      </c>
      <c r="K20" s="381">
        <f>(SUMIFS('Commodity Prices'!$L$9:$L$1300,'Commodity Prices'!$A$9:$A$1300,$E20,'Commodity Prices'!$B$9:$B$1300,3)+
SUMIFS('Commodity Prices'!$L$9:$L$1300,'Commodity Prices'!$A$9:$A$1300,$E20,'Commodity Prices'!$B$9:$B$1300,4)+
SUMIFS('Commodity Prices'!$L$9:$L$1300,'Commodity Prices'!$A$9:$A$1300,$F20,'Commodity Prices'!$B$9:$B$1300,1)+
SUMIFS('Commodity Prices'!$L$9:$L$1300,'Commodity Prices'!$A$9:$A$1300,$F20,'Commodity Prices'!$B$9:$B$1300,2))/
(COUNTIFS('Commodity Prices'!$A$9:$A$1300,$E20,'Commodity Prices'!$B$9:$B$1300,3)+
COUNTIFS('Commodity Prices'!$A$9:$A$1300,$E20,'Commodity Prices'!$B$9:$B$1300,4)+
COUNTIFS('Commodity Prices'!$A$9:$A$1300,$F20,'Commodity Prices'!$B$9:$B$1300,1)+
COUNTIFS('Commodity Prices'!$A$9:$A$1300,$F20,'Commodity Prices'!$B$9:$B$1300,2))</f>
        <v>190.1646460537257</v>
      </c>
    </row>
    <row r="21" spans="1:11">
      <c r="A21" s="761">
        <f>LARGE('Commodity Prices'!C$159:C$902,50)</f>
        <v>43770</v>
      </c>
      <c r="B21" s="561">
        <f>SUMIF('Commodity Prices'!$C$159:$C$902,$A21,'Commodity Prices'!K$159:K$902)</f>
        <v>84.25</v>
      </c>
      <c r="C21" s="562">
        <f>SUMIF('Commodity Prices'!$C$159:$C$902,$A21,'Commodity Prices'!L$159:L$902)</f>
        <v>123.36575672000836</v>
      </c>
      <c r="D21" s="8"/>
      <c r="E21" s="268">
        <f t="shared" si="0"/>
        <v>2022</v>
      </c>
      <c r="F21" s="268">
        <f t="shared" si="0"/>
        <v>2023</v>
      </c>
      <c r="G21" s="760">
        <f t="shared" ref="G21" si="2">IF($G$7="Historic Calendar Year",G20+1,CONCATENATE(E21,"-",RIGHT(F21,4)))</f>
        <v>2022</v>
      </c>
      <c r="H21" s="1755">
        <f t="array" ref="H21">IF($G$7="Historic Calendar Year",IFERROR(AVERAGE(IF($G21=YEAR('Commodity Prices'!C$100:C$1000),'Commodity Prices'!K$100:K$1000)),"n/a"),IFERROR(IF(J21=0,"n/a",J21),"n/a"))</f>
        <v>120.40749999999998</v>
      </c>
      <c r="I21" s="1756">
        <f t="array" ref="I21">IF($G$7="Historic Calendar Year",IFERROR(AVERAGE(IF($G21=YEAR('Commodity Prices'!C$100:C$1000),'Commodity Prices'!L$100:L$1000)),"n/a"),IFERROR(IF(K21=0,"n/a",K21),"n/a"))</f>
        <v>172.36656467958414</v>
      </c>
      <c r="J21" s="381">
        <f>(SUMIFS('Commodity Prices'!$K$9:$K$1300,'Commodity Prices'!$A$9:$A$1300,$E21,'Commodity Prices'!$B$9:$B$1300,3)+
SUMIFS('Commodity Prices'!$K$9:$K$1300,'Commodity Prices'!$A$9:$A$1300,$E21,'Commodity Prices'!$B$9:$B$1300,4)+
SUMIFS('Commodity Prices'!$K$9:$K$1300,'Commodity Prices'!$A$9:$A$1300,$F21,'Commodity Prices'!$B$9:$B$1300,1)+
SUMIFS('Commodity Prices'!$K$9:$K$1300,'Commodity Prices'!$A$9:$A$1300,$F21,'Commodity Prices'!$B$9:$B$1300,2))/
(COUNTIFS('Commodity Prices'!$A$9:$A$1300,$E21,'Commodity Prices'!$B$9:$B$1300,3)+
COUNTIFS('Commodity Prices'!$A$9:$A$1300,$E21,'Commodity Prices'!$B$9:$B$1300,4)+
COUNTIFS('Commodity Prices'!$A$9:$A$1300,$F21,'Commodity Prices'!$B$9:$B$1300,1)+
COUNTIFS('Commodity Prices'!$A$9:$A$1300,$F21,'Commodity Prices'!$B$9:$B$1300,2))</f>
        <v>109.79545454545455</v>
      </c>
      <c r="K21" s="381">
        <f>(SUMIFS('Commodity Prices'!$L$9:$L$1300,'Commodity Prices'!$A$9:$A$1300,$E21,'Commodity Prices'!$B$9:$B$1300,3)+
SUMIFS('Commodity Prices'!$L$9:$L$1300,'Commodity Prices'!$A$9:$A$1300,$E21,'Commodity Prices'!$B$9:$B$1300,4)+
SUMIFS('Commodity Prices'!$L$9:$L$1300,'Commodity Prices'!$A$9:$A$1300,$F21,'Commodity Prices'!$B$9:$B$1300,1)+
SUMIFS('Commodity Prices'!$L$9:$L$1300,'Commodity Prices'!$A$9:$A$1300,$F21,'Commodity Prices'!$B$9:$B$1300,2))/
(COUNTIFS('Commodity Prices'!$A$9:$A$1300,$E21,'Commodity Prices'!$B$9:$B$1300,3)+
COUNTIFS('Commodity Prices'!$A$9:$A$1300,$E21,'Commodity Prices'!$B$9:$B$1300,4)+
COUNTIFS('Commodity Prices'!$A$9:$A$1300,$F21,'Commodity Prices'!$B$9:$B$1300,1)+
COUNTIFS('Commodity Prices'!$A$9:$A$1300,$F21,'Commodity Prices'!$B$9:$B$1300,2))</f>
        <v>163.12685608134032</v>
      </c>
    </row>
    <row r="22" spans="1:11" ht="15.75" thickBot="1">
      <c r="A22" s="762">
        <f>LARGE('Commodity Prices'!C$159:C$902,49)</f>
        <v>43800</v>
      </c>
      <c r="B22" s="484">
        <f>SUMIF('Commodity Prices'!$C$159:$C$902,$A22,'Commodity Prices'!K$159:K$902)</f>
        <v>91.4</v>
      </c>
      <c r="C22" s="483">
        <f>SUMIF('Commodity Prices'!$C$159:$C$902,$A22,'Commodity Prices'!L$159:L$902)</f>
        <v>132.90872340734927</v>
      </c>
      <c r="D22" s="8"/>
      <c r="E22" s="70">
        <f t="shared" si="0"/>
        <v>2023</v>
      </c>
      <c r="F22" s="70">
        <f t="shared" si="0"/>
        <v>2024</v>
      </c>
      <c r="G22" s="1621">
        <f t="shared" ref="G22" si="3">IF($G$7="Historic Calendar Year",G21+1,CONCATENATE(E22,"-",RIGHT(F22,4)))</f>
        <v>2023</v>
      </c>
      <c r="H22" s="604">
        <f t="array" ref="H22">IF($G$7="Historic Calendar Year",IFERROR(AVERAGE(IF($G22=YEAR('Commodity Prices'!C$100:C$1000),'Commodity Prices'!K$100:K$1000)),"n/a"),IFERROR(IF(J22=0,"n/a",J22),"n/a"))</f>
        <v>119.73416666666667</v>
      </c>
      <c r="I22" s="1188">
        <f t="array" ref="I22">IF($G$7="Historic Calendar Year",IFERROR(AVERAGE(IF($G22=YEAR('Commodity Prices'!C$100:C$1000),'Commodity Prices'!L$100:L$1000)),"n/a"),IFERROR(IF(K22=0,"n/a",K22),"n/a"))</f>
        <v>180.18389635046742</v>
      </c>
    </row>
    <row r="23" spans="1:11" ht="15.75" thickBot="1">
      <c r="A23" s="761">
        <f>LARGE('Commodity Prices'!C$159:C$902,48)</f>
        <v>43831</v>
      </c>
      <c r="B23" s="561">
        <f>SUMIF('Commodity Prices'!$C$159:$C$902,$A23,'Commodity Prices'!K$159:K$902)</f>
        <v>92.8</v>
      </c>
      <c r="C23" s="562">
        <f>SUMIF('Commodity Prices'!$C$159:$C$902,$A23,'Commodity Prices'!L$159:L$902)</f>
        <v>135.07350443937705</v>
      </c>
      <c r="D23" s="8"/>
      <c r="E23" s="70"/>
      <c r="F23" s="70"/>
      <c r="G23" s="8"/>
      <c r="H23" s="8"/>
    </row>
    <row r="24" spans="1:11">
      <c r="A24" s="762">
        <f>LARGE('Commodity Prices'!C$159:C$902,47)</f>
        <v>43862</v>
      </c>
      <c r="B24" s="484">
        <f>SUMIF('Commodity Prices'!$C$159:$C$902,$A24,'Commodity Prices'!K$159:K$902)</f>
        <v>86.03</v>
      </c>
      <c r="C24" s="483">
        <f>SUMIF('Commodity Prices'!$C$159:$C$902,$A24,'Commodity Prices'!L$159:L$902)</f>
        <v>128.91189846483508</v>
      </c>
      <c r="D24" s="8"/>
      <c r="E24" s="70"/>
      <c r="F24" s="70"/>
      <c r="G24" s="2016" t="s">
        <v>321</v>
      </c>
      <c r="H24" s="2017"/>
      <c r="I24" s="2018"/>
    </row>
    <row r="25" spans="1:11" ht="15.75" thickBot="1">
      <c r="A25" s="761">
        <f>LARGE('Commodity Prices'!C$159:C$902,46)</f>
        <v>43891</v>
      </c>
      <c r="B25" s="561">
        <f>SUMIF('Commodity Prices'!$C$159:$C$902,$A25,'Commodity Prices'!K$159:K$902)</f>
        <v>87.55</v>
      </c>
      <c r="C25" s="562">
        <f>SUMIF('Commodity Prices'!$C$159:$C$902,$A25,'Commodity Prices'!L$159:L$902)</f>
        <v>140.54712754390957</v>
      </c>
      <c r="D25" s="8"/>
      <c r="E25" s="70"/>
      <c r="F25" s="70"/>
      <c r="G25" s="1955" t="s">
        <v>282</v>
      </c>
      <c r="H25" s="1950"/>
      <c r="I25" s="1956"/>
    </row>
    <row r="26" spans="1:11">
      <c r="A26" s="762">
        <f>LARGE('Commodity Prices'!C$159:C$902,45)</f>
        <v>43922</v>
      </c>
      <c r="B26" s="484">
        <f>SUMIF('Commodity Prices'!$C$159:$C$902,$A26,'Commodity Prices'!K$159:K$902)</f>
        <v>83.51</v>
      </c>
      <c r="C26" s="483">
        <f>SUMIF('Commodity Prices'!$C$159:$C$902,$A26,'Commodity Prices'!L$159:L$902)</f>
        <v>132.60080821232646</v>
      </c>
      <c r="D26" s="8"/>
      <c r="E26" s="70"/>
      <c r="F26" s="70"/>
      <c r="G26" s="1949" t="s">
        <v>322</v>
      </c>
      <c r="H26" s="1949"/>
      <c r="I26" s="1949"/>
    </row>
    <row r="27" spans="1:11">
      <c r="A27" s="761">
        <f>LARGE('Commodity Prices'!C$159:C$902,44)</f>
        <v>43952</v>
      </c>
      <c r="B27" s="561">
        <f>SUMIF('Commodity Prices'!$C$159:$C$902,$A27,'Commodity Prices'!K$159:K$902)</f>
        <v>92.29</v>
      </c>
      <c r="C27" s="562">
        <f>SUMIF('Commodity Prices'!$C$159:$C$902,$A27,'Commodity Prices'!L$159:L$902)</f>
        <v>141.7758465556214</v>
      </c>
      <c r="D27" s="8"/>
      <c r="E27" s="70"/>
      <c r="F27" s="70"/>
      <c r="G27" s="8"/>
      <c r="H27" s="8"/>
    </row>
    <row r="28" spans="1:11">
      <c r="A28" s="762">
        <f>LARGE('Commodity Prices'!C$159:C$902,43)</f>
        <v>43983</v>
      </c>
      <c r="B28" s="484">
        <f>SUMIF('Commodity Prices'!$C$159:$C$902,$A28,'Commodity Prices'!K$159:K$902)</f>
        <v>100.42</v>
      </c>
      <c r="C28" s="483">
        <f>SUMIF('Commodity Prices'!$C$159:$C$902,$A28,'Commodity Prices'!L$159:L$902)</f>
        <v>145.70415869221256</v>
      </c>
      <c r="D28" s="8"/>
      <c r="E28" s="70"/>
      <c r="F28" s="70"/>
      <c r="G28" s="2015"/>
      <c r="H28" s="2015"/>
    </row>
    <row r="29" spans="1:11">
      <c r="A29" s="761">
        <f>LARGE('Commodity Prices'!C$159:C$902,42)</f>
        <v>44013</v>
      </c>
      <c r="B29" s="561">
        <f>SUMIF('Commodity Prices'!$C$159:$C$902,$A29,'Commodity Prices'!K$159:K$902)</f>
        <v>107.32</v>
      </c>
      <c r="C29" s="562">
        <f>SUMIF('Commodity Prices'!$C$159:$C$902,$A29,'Commodity Prices'!L$159:L$902)</f>
        <v>152.69308094398562</v>
      </c>
      <c r="D29" s="8"/>
      <c r="E29" s="70"/>
      <c r="F29" s="70"/>
      <c r="G29" s="2015"/>
      <c r="H29" s="2015"/>
    </row>
    <row r="30" spans="1:11">
      <c r="A30" s="762">
        <f>LARGE('Commodity Prices'!C$159:C$902,41)</f>
        <v>44044</v>
      </c>
      <c r="B30" s="484">
        <f>SUMIF('Commodity Prices'!$C$159:$C$902,$A30,'Commodity Prices'!K$159:K$902)</f>
        <v>122.43</v>
      </c>
      <c r="C30" s="483">
        <f>SUMIF('Commodity Prices'!$C$159:$C$902,$A30,'Commodity Prices'!L$159:L$902)</f>
        <v>170.06056228469831</v>
      </c>
      <c r="D30" s="8"/>
      <c r="E30" s="70"/>
      <c r="F30" s="70"/>
      <c r="G30" s="2015"/>
      <c r="H30" s="2015"/>
    </row>
    <row r="31" spans="1:11">
      <c r="A31" s="761">
        <f>LARGE('Commodity Prices'!C$159:C$902,40)</f>
        <v>44075</v>
      </c>
      <c r="B31" s="561">
        <f>SUMIF('Commodity Prices'!$C$159:$C$902,$A31,'Commodity Prices'!K$159:K$902)</f>
        <v>123.96</v>
      </c>
      <c r="C31" s="562">
        <f>SUMIF('Commodity Prices'!$C$159:$C$902,$A31,'Commodity Prices'!L$159:L$902)</f>
        <v>171.26600641826758</v>
      </c>
      <c r="D31" s="8"/>
      <c r="E31" s="70"/>
      <c r="F31" s="70"/>
      <c r="G31" s="8"/>
      <c r="H31" s="8"/>
    </row>
    <row r="32" spans="1:11">
      <c r="A32" s="762">
        <f>LARGE('Commodity Prices'!C$159:C$902,39)</f>
        <v>44105</v>
      </c>
      <c r="B32" s="484">
        <f>SUMIF('Commodity Prices'!$C$159:$C$902,$A32,'Commodity Prices'!K$159:K$902)</f>
        <v>120</v>
      </c>
      <c r="C32" s="483">
        <f>SUMIF('Commodity Prices'!$C$159:$C$902,$A32,'Commodity Prices'!L$159:L$902)</f>
        <v>168.36479037915481</v>
      </c>
      <c r="D32" s="8"/>
      <c r="E32" s="70"/>
      <c r="F32" s="70"/>
      <c r="G32" s="8"/>
      <c r="H32" s="8"/>
    </row>
    <row r="33" spans="1:8">
      <c r="A33" s="761">
        <f>LARGE('Commodity Prices'!C$159:C$902,38)</f>
        <v>44136</v>
      </c>
      <c r="B33" s="561">
        <f>SUMIF('Commodity Prices'!$C$159:$C$902,$A33,'Commodity Prices'!K$159:K$902)</f>
        <v>125</v>
      </c>
      <c r="C33" s="562">
        <f>SUMIF('Commodity Prices'!$C$159:$C$902,$A33,'Commodity Prices'!L$159:L$902)</f>
        <v>172.06457829429925</v>
      </c>
      <c r="D33" s="8"/>
      <c r="E33" s="70"/>
      <c r="F33" s="70"/>
      <c r="G33" s="8"/>
      <c r="H33" s="8"/>
    </row>
    <row r="34" spans="1:8">
      <c r="A34" s="762">
        <f>LARGE('Commodity Prices'!C$159:C$902,37)</f>
        <v>44166</v>
      </c>
      <c r="B34" s="484">
        <f>SUMIF('Commodity Prices'!$C$159:$C$902,$A34,'Commodity Prices'!K$159:K$902)</f>
        <v>156</v>
      </c>
      <c r="C34" s="483">
        <f>SUMIF('Commodity Prices'!$C$159:$C$902,$A34,'Commodity Prices'!L$159:L$902)</f>
        <v>207.43367314633068</v>
      </c>
      <c r="D34" s="8"/>
      <c r="E34" s="70"/>
      <c r="F34" s="70"/>
      <c r="G34" s="8"/>
      <c r="H34" s="8"/>
    </row>
    <row r="35" spans="1:8">
      <c r="A35" s="761">
        <f>LARGE('Commodity Prices'!C$159:C$902,36)</f>
        <v>44197</v>
      </c>
      <c r="B35" s="561">
        <f>SUMIF('Commodity Prices'!$C$159:$C$902,$A35,'Commodity Prices'!K$159:K$902)</f>
        <v>168</v>
      </c>
      <c r="C35" s="562">
        <f>SUMIF('Commodity Prices'!$C$159:$C$902,$A35,'Commodity Prices'!L$159:L$902)</f>
        <v>217.45202362542659</v>
      </c>
      <c r="D35" s="8"/>
      <c r="E35" s="70"/>
      <c r="F35" s="70"/>
      <c r="G35" s="8"/>
      <c r="H35" s="8"/>
    </row>
    <row r="36" spans="1:8">
      <c r="A36" s="762">
        <f>LARGE('Commodity Prices'!C$159:C$902,35)</f>
        <v>44228</v>
      </c>
      <c r="B36" s="484">
        <f>SUMIF('Commodity Prices'!$C$159:$C$902,$A36,'Commodity Prices'!K$159:K$902)</f>
        <v>165.36</v>
      </c>
      <c r="C36" s="483">
        <f>SUMIF('Commodity Prices'!$C$159:$C$902,$A36,'Commodity Prices'!L$159:L$902)</f>
        <v>213.24254792347722</v>
      </c>
      <c r="D36" s="8"/>
      <c r="E36" s="70"/>
      <c r="F36" s="70"/>
      <c r="G36" s="8"/>
      <c r="H36" s="8"/>
    </row>
    <row r="37" spans="1:8" ht="15" customHeight="1">
      <c r="A37" s="761">
        <f>LARGE('Commodity Prices'!C$159:C$902,34)</f>
        <v>44256</v>
      </c>
      <c r="B37" s="561">
        <f>SUMIF('Commodity Prices'!$C$159:$C$902,$A37,'Commodity Prices'!K$159:K$902)</f>
        <v>166.9</v>
      </c>
      <c r="C37" s="562">
        <f>SUMIF('Commodity Prices'!$C$159:$C$902,$A37,'Commodity Prices'!L$159:L$902)</f>
        <v>216.44892274554692</v>
      </c>
      <c r="D37" s="8"/>
      <c r="E37" s="70"/>
      <c r="F37" s="70"/>
      <c r="G37" s="8"/>
      <c r="H37" s="8"/>
    </row>
    <row r="38" spans="1:8">
      <c r="A38" s="762">
        <f>LARGE('Commodity Prices'!C$159:C$902,33)</f>
        <v>44287</v>
      </c>
      <c r="B38" s="484">
        <f>SUMIF('Commodity Prices'!$C$159:$C$902,$A38,'Commodity Prices'!K$159:K$902)</f>
        <v>179.85</v>
      </c>
      <c r="C38" s="483">
        <f>SUMIF('Commodity Prices'!$C$159:$C$902,$A38,'Commodity Prices'!L$159:L$902)</f>
        <v>233.47136941310865</v>
      </c>
      <c r="D38" s="8"/>
      <c r="E38" s="70"/>
      <c r="F38" s="70"/>
      <c r="G38" s="8"/>
      <c r="H38" s="8"/>
    </row>
    <row r="39" spans="1:8">
      <c r="A39" s="761">
        <f>LARGE('Commodity Prices'!C$159:C$902,32)</f>
        <v>44317</v>
      </c>
      <c r="B39" s="561">
        <f>SUMIF('Commodity Prices'!$C$159:$C$902,$A39,'Commodity Prices'!K$159:K$902)</f>
        <v>205.37</v>
      </c>
      <c r="C39" s="562">
        <f>SUMIF('Commodity Prices'!$C$159:$C$902,$A39,'Commodity Prices'!L$159:L$902)</f>
        <v>264.67155166065243</v>
      </c>
      <c r="D39" s="8"/>
      <c r="E39" s="70"/>
      <c r="F39" s="70"/>
      <c r="G39" s="8"/>
      <c r="H39" s="8"/>
    </row>
    <row r="40" spans="1:8">
      <c r="A40" s="762">
        <f>LARGE('Commodity Prices'!C$159:C$902,31)</f>
        <v>44348</v>
      </c>
      <c r="B40" s="484">
        <f>SUMIF('Commodity Prices'!$C$159:$C$902,$A40,'Commodity Prices'!K$159:K$902)</f>
        <v>214.61</v>
      </c>
      <c r="C40" s="483">
        <f>SUMIF('Commodity Prices'!$C$159:$C$902,$A40,'Commodity Prices'!L$159:L$902)</f>
        <v>280.71417893714033</v>
      </c>
      <c r="D40" s="8"/>
      <c r="E40" s="70"/>
      <c r="F40" s="70"/>
      <c r="G40" s="8"/>
      <c r="H40" s="8"/>
    </row>
    <row r="41" spans="1:8">
      <c r="A41" s="761">
        <f>LARGE('Commodity Prices'!C$159:C$902,30)</f>
        <v>44378</v>
      </c>
      <c r="B41" s="561">
        <f>SUMIF('Commodity Prices'!$C$159:$C$902,$A41,'Commodity Prices'!K$159:K$902)</f>
        <v>211.88</v>
      </c>
      <c r="C41" s="562">
        <f>SUMIF('Commodity Prices'!$C$159:$C$902,$A41,'Commodity Prices'!L$159:L$902)</f>
        <v>285.36900425479814</v>
      </c>
      <c r="D41" s="8"/>
      <c r="E41" s="70"/>
      <c r="F41" s="70"/>
      <c r="G41" s="8"/>
      <c r="H41" s="8"/>
    </row>
    <row r="42" spans="1:8">
      <c r="A42" s="762">
        <f>LARGE('Commodity Prices'!C$159:C$902,29)</f>
        <v>44409</v>
      </c>
      <c r="B42" s="484">
        <f>SUMIF('Commodity Prices'!$C$159:$C$902,$A42,'Commodity Prices'!K$159:K$902)</f>
        <v>159.19999999999999</v>
      </c>
      <c r="C42" s="483">
        <f>SUMIF('Commodity Prices'!$C$159:$C$902,$A42,'Commodity Prices'!L$159:L$902)</f>
        <v>218.0551660263894</v>
      </c>
      <c r="D42" s="8"/>
      <c r="E42" s="70"/>
      <c r="F42" s="70"/>
      <c r="G42" s="8"/>
      <c r="H42" s="8"/>
    </row>
    <row r="43" spans="1:8">
      <c r="A43" s="761">
        <f>LARGE('Commodity Prices'!C$159:C$902,28)</f>
        <v>44440</v>
      </c>
      <c r="B43" s="561">
        <f>SUMIF('Commodity Prices'!$C$159:$C$902,$A43,'Commodity Prices'!K$159:K$902)</f>
        <v>120.32</v>
      </c>
      <c r="C43" s="562">
        <f>SUMIF('Commodity Prices'!$C$159:$C$902,$A43,'Commodity Prices'!L$159:L$902)</f>
        <v>164.32566657354812</v>
      </c>
      <c r="D43" s="8"/>
      <c r="E43" s="70"/>
      <c r="F43" s="70"/>
      <c r="G43" s="8"/>
      <c r="H43" s="8"/>
    </row>
    <row r="44" spans="1:8">
      <c r="A44" s="762">
        <f>LARGE('Commodity Prices'!C$159:C$902,27)</f>
        <v>44470</v>
      </c>
      <c r="B44" s="484">
        <f>SUMIF('Commodity Prices'!$C$159:$C$902,$A44,'Commodity Prices'!K$159:K$902)</f>
        <v>120.97</v>
      </c>
      <c r="C44" s="483">
        <f>SUMIF('Commodity Prices'!$C$159:$C$902,$A44,'Commodity Prices'!L$159:L$902)</f>
        <v>163.40783066210093</v>
      </c>
      <c r="D44" s="8"/>
      <c r="E44" s="70"/>
      <c r="F44" s="70"/>
      <c r="G44" s="8"/>
      <c r="H44" s="8"/>
    </row>
    <row r="45" spans="1:8">
      <c r="A45" s="761">
        <f>LARGE('Commodity Prices'!C$159:C$902,26)</f>
        <v>44501</v>
      </c>
      <c r="B45" s="561">
        <f>SUMIF('Commodity Prices'!$C$159:$C$902,$A45,'Commodity Prices'!K$159:K$902)</f>
        <v>94.94</v>
      </c>
      <c r="C45" s="562">
        <f>SUMIF('Commodity Prices'!$C$159:$C$902,$A45,'Commodity Prices'!L$159:L$902)</f>
        <v>129.8203741686867</v>
      </c>
      <c r="D45" s="8"/>
      <c r="E45" s="70"/>
      <c r="F45" s="70"/>
      <c r="G45" s="8"/>
      <c r="H45" s="8"/>
    </row>
    <row r="46" spans="1:8">
      <c r="A46" s="762">
        <f>LARGE('Commodity Prices'!C$159:C$902,25)</f>
        <v>44531</v>
      </c>
      <c r="B46" s="484">
        <f>SUMIF('Commodity Prices'!$C$159:$C$902,$A46,'Commodity Prices'!K$159:K$902)</f>
        <v>112.94</v>
      </c>
      <c r="C46" s="483">
        <f>SUMIF('Commodity Prices'!$C$159:$C$902,$A46,'Commodity Prices'!L$159:L$902)</f>
        <v>157.94541894753667</v>
      </c>
      <c r="D46" s="8"/>
      <c r="E46" s="70"/>
      <c r="F46" s="70"/>
      <c r="G46" s="8"/>
      <c r="H46" s="8"/>
    </row>
    <row r="47" spans="1:8">
      <c r="A47" s="761">
        <f>LARGE('Commodity Prices'!C$159:C$902,24)</f>
        <v>44562</v>
      </c>
      <c r="B47" s="561">
        <f>SUMIF('Commodity Prices'!$C$159:$C$902,$A47,'Commodity Prices'!K$159:K$902)</f>
        <v>131.37</v>
      </c>
      <c r="C47" s="562">
        <f>SUMIF('Commodity Prices'!$C$159:$C$902,$A47,'Commodity Prices'!L$159:L$902)</f>
        <v>182.98401108447513</v>
      </c>
      <c r="D47" s="8"/>
      <c r="E47" s="70"/>
      <c r="F47" s="70"/>
      <c r="G47" s="8"/>
      <c r="H47" s="8"/>
    </row>
    <row r="48" spans="1:8">
      <c r="A48" s="762">
        <f>LARGE('Commodity Prices'!C$159:C$902,23)</f>
        <v>44593</v>
      </c>
      <c r="B48" s="484">
        <f>SUMIF('Commodity Prices'!$C$159:$C$902,$A48,'Commodity Prices'!K$159:K$902)</f>
        <v>141.65</v>
      </c>
      <c r="C48" s="483">
        <f>SUMIF('Commodity Prices'!$C$159:$C$902,$A48,'Commodity Prices'!L$159:L$902)</f>
        <v>197.90014879185208</v>
      </c>
      <c r="D48" s="8"/>
      <c r="E48" s="70"/>
      <c r="F48" s="70"/>
    </row>
    <row r="49" spans="1:6">
      <c r="A49" s="761">
        <f>LARGE('Commodity Prices'!C$159:C$902,22)</f>
        <v>44621</v>
      </c>
      <c r="B49" s="561">
        <f>SUMIF('Commodity Prices'!$C$159:$C$902,$A49,'Commodity Prices'!K$159:K$902)</f>
        <v>150.49</v>
      </c>
      <c r="C49" s="562">
        <f>SUMIF('Commodity Prices'!$C$159:$C$902,$A49,'Commodity Prices'!L$159:L$902)</f>
        <v>204.23002259867005</v>
      </c>
      <c r="D49" s="8"/>
      <c r="E49" s="70"/>
      <c r="F49" s="70"/>
    </row>
    <row r="50" spans="1:6">
      <c r="A50" s="762">
        <f>LARGE('Commodity Prices'!C$159:C$902,21)</f>
        <v>44652</v>
      </c>
      <c r="B50" s="484">
        <f>SUMIF('Commodity Prices'!$C$159:$C$902,$A50,'Commodity Prices'!K$159:K$902)</f>
        <v>150.71</v>
      </c>
      <c r="C50" s="483">
        <f>SUMIF('Commodity Prices'!$C$159:$C$902,$A50,'Commodity Prices'!L$159:L$902)</f>
        <v>203.73099019939173</v>
      </c>
      <c r="D50" s="8"/>
      <c r="E50" s="70"/>
      <c r="F50" s="70"/>
    </row>
    <row r="51" spans="1:6">
      <c r="A51" s="761">
        <f>LARGE('Commodity Prices'!C$159:C$902,20)</f>
        <v>44682</v>
      </c>
      <c r="B51" s="561">
        <f>SUMIF('Commodity Prices'!$C$159:$C$902,$A51,'Commodity Prices'!K$159:K$902)</f>
        <v>133.41999999999999</v>
      </c>
      <c r="C51" s="562">
        <f>SUMIF('Commodity Prices'!$C$159:$C$902,$A51,'Commodity Prices'!L$159:L$902)</f>
        <v>189.19455473624501</v>
      </c>
      <c r="D51" s="8"/>
      <c r="E51" s="70"/>
      <c r="F51" s="70"/>
    </row>
    <row r="52" spans="1:6">
      <c r="A52" s="762">
        <f>LARGE('Commodity Prices'!C$159:C$902,19)</f>
        <v>44713</v>
      </c>
      <c r="B52" s="484">
        <f>SUMIF('Commodity Prices'!$C$159:$C$902,$A52,'Commodity Prices'!K$159:K$902)</f>
        <v>130.07</v>
      </c>
      <c r="C52" s="483">
        <f>SUMIF('Commodity Prices'!$C$159:$C$902,$A52,'Commodity Prices'!L$159:L$902)</f>
        <v>185.01256460101465</v>
      </c>
      <c r="D52" s="8"/>
      <c r="E52" s="70"/>
      <c r="F52" s="70"/>
    </row>
    <row r="53" spans="1:6">
      <c r="A53" s="761">
        <f>LARGE('Commodity Prices'!C$159:C$902,18)</f>
        <v>44743</v>
      </c>
      <c r="B53" s="561">
        <f>SUMIF('Commodity Prices'!$C$159:$C$902,$A53,'Commodity Prices'!K$159:K$902)</f>
        <v>107.43</v>
      </c>
      <c r="C53" s="562">
        <f>SUMIF('Commodity Prices'!$C$159:$C$902,$A53,'Commodity Prices'!L$159:L$902)</f>
        <v>156.72099033011003</v>
      </c>
      <c r="D53" s="8"/>
      <c r="E53" s="70"/>
      <c r="F53" s="70"/>
    </row>
    <row r="54" spans="1:6">
      <c r="A54" s="762">
        <f>LARGE('Commodity Prices'!C$159:C$902,17)</f>
        <v>44774</v>
      </c>
      <c r="B54" s="484">
        <f>SUMIF('Commodity Prices'!$C$159:$C$902,$A54,'Commodity Prices'!K$159:K$902)</f>
        <v>104.84</v>
      </c>
      <c r="C54" s="483">
        <f>SUMIF('Commodity Prices'!$C$159:$C$902,$A54,'Commodity Prices'!L$159:L$902)</f>
        <v>150.63120016196339</v>
      </c>
      <c r="D54" s="8"/>
      <c r="E54" s="70"/>
      <c r="F54" s="70"/>
    </row>
    <row r="55" spans="1:6">
      <c r="A55" s="761">
        <f>LARGE('Commodity Prices'!C$159:C$902,16)</f>
        <v>44805</v>
      </c>
      <c r="B55" s="561">
        <f>SUMIF('Commodity Prices'!$C$159:$C$902,$A55,'Commodity Prices'!K$159:K$902)</f>
        <v>98.35</v>
      </c>
      <c r="C55" s="562">
        <f>SUMIF('Commodity Prices'!$C$159:$C$902,$A55,'Commodity Prices'!L$159:L$902)</f>
        <v>147.06594416001479</v>
      </c>
      <c r="D55" s="8"/>
      <c r="E55" s="70"/>
      <c r="F55" s="70"/>
    </row>
    <row r="56" spans="1:6">
      <c r="A56" s="762">
        <f>LARGE('Commodity Prices'!C$159:C$902,15)</f>
        <v>44835</v>
      </c>
      <c r="B56" s="484">
        <f>SUMIF('Commodity Prices'!$C$159:$C$902,$A56,'Commodity Prices'!K$159:K$902)</f>
        <v>92.28</v>
      </c>
      <c r="C56" s="483">
        <f>SUMIF('Commodity Prices'!$C$159:$C$902,$A56,'Commodity Prices'!L$159:L$902)</f>
        <v>145.07381030986184</v>
      </c>
      <c r="D56" s="8"/>
      <c r="E56" s="70"/>
      <c r="F56" s="70"/>
    </row>
    <row r="57" spans="1:6">
      <c r="A57" s="761">
        <f>LARGE('Commodity Prices'!C$159:C$902,14)</f>
        <v>44866</v>
      </c>
      <c r="B57" s="561">
        <f>SUMIF('Commodity Prices'!$C$159:$C$902,$A57,'Commodity Prices'!K$159:K$902)</f>
        <v>93.13</v>
      </c>
      <c r="C57" s="562">
        <f>SUMIF('Commodity Prices'!$C$159:$C$902,$A57,'Commodity Prices'!L$159:L$902)</f>
        <v>141.23542914653225</v>
      </c>
      <c r="D57" s="8"/>
      <c r="E57" s="70"/>
      <c r="F57" s="70"/>
    </row>
    <row r="58" spans="1:6">
      <c r="A58" s="762">
        <f>LARGE('Commodity Prices'!C$159:C$902,13)</f>
        <v>44896</v>
      </c>
      <c r="B58" s="484">
        <f>SUMIF('Commodity Prices'!$C$159:$C$902,$A58,'Commodity Prices'!K$159:K$902)</f>
        <v>111.15</v>
      </c>
      <c r="C58" s="483">
        <f>SUMIF('Commodity Prices'!$C$159:$C$902,$A58,'Commodity Prices'!L$159:L$902)</f>
        <v>164.61911003487882</v>
      </c>
      <c r="D58" s="8"/>
      <c r="E58" s="70"/>
      <c r="F58" s="70"/>
    </row>
    <row r="59" spans="1:6">
      <c r="A59" s="761">
        <f>LARGE('Commodity Prices'!C$159:C$902,12)</f>
        <v>44927</v>
      </c>
      <c r="B59" s="561">
        <f>SUMIF('Commodity Prices'!$C$159:$C$902,$A59,'Commodity Prices'!K$159:K$902)</f>
        <v>122.93</v>
      </c>
      <c r="C59" s="562">
        <f>SUMIF('Commodity Prices'!$C$159:$C$902,$A59,'Commodity Prices'!L$159:L$902)</f>
        <v>176.91078906845883</v>
      </c>
      <c r="D59" s="8"/>
    </row>
    <row r="60" spans="1:6">
      <c r="A60" s="762">
        <f>LARGE('Commodity Prices'!C$159:C$902,11)</f>
        <v>44958</v>
      </c>
      <c r="B60" s="484">
        <f>SUMIF('Commodity Prices'!$C$159:$C$902,$A60,'Commodity Prices'!K$159:K$902)</f>
        <v>125.75</v>
      </c>
      <c r="C60" s="483">
        <f>SUMIF('Commodity Prices'!$C$159:$C$902,$A60,'Commodity Prices'!L$159:L$902)</f>
        <v>181.86156827582215</v>
      </c>
      <c r="D60" s="8"/>
    </row>
    <row r="61" spans="1:6">
      <c r="A61" s="761">
        <f>LARGE('Commodity Prices'!C$159:C$902,10)</f>
        <v>44986</v>
      </c>
      <c r="B61" s="561">
        <f>SUMIF('Commodity Prices'!$C$159:$C$902,$A61,'Commodity Prices'!K$159:K$902)</f>
        <v>126.67</v>
      </c>
      <c r="C61" s="562">
        <f>SUMIF('Commodity Prices'!$C$159:$C$902,$A61,'Commodity Prices'!L$159:L$902)</f>
        <v>189.4235520532626</v>
      </c>
      <c r="D61" s="8"/>
    </row>
    <row r="62" spans="1:6">
      <c r="A62" s="762">
        <f>LARGE('Commodity Prices'!C$159:C$902,9)</f>
        <v>45017</v>
      </c>
      <c r="B62" s="484">
        <f>SUMIF('Commodity Prices'!$C$159:$C$902,$A62,'Commodity Prices'!K$159:K$902)</f>
        <v>115.37</v>
      </c>
      <c r="C62" s="483">
        <f>SUMIF('Commodity Prices'!$C$159:$C$902,$A62,'Commodity Prices'!L$159:L$902)</f>
        <v>172.33019945523245</v>
      </c>
      <c r="D62" s="8"/>
    </row>
    <row r="63" spans="1:6">
      <c r="A63" s="761">
        <f>LARGE('Commodity Prices'!C$159:C$902,8)</f>
        <v>45047</v>
      </c>
      <c r="B63" s="561">
        <f>SUMIF('Commodity Prices'!$C$159:$C$902,$A63,'Commodity Prices'!K$159:K$902)</f>
        <v>104.37</v>
      </c>
      <c r="C63" s="562">
        <f>SUMIF('Commodity Prices'!$C$159:$C$902,$A63,'Commodity Prices'!L$159:L$902)</f>
        <v>156.92479669481997</v>
      </c>
      <c r="D63" s="8"/>
    </row>
    <row r="64" spans="1:6">
      <c r="A64" s="761">
        <f>LARGE('Commodity Prices'!C$159:C$902,7)</f>
        <v>45078</v>
      </c>
      <c r="B64" s="484">
        <f>SUMIF('Commodity Prices'!$C$159:$C$902,$A64,'Commodity Prices'!K$159:K$902)</f>
        <v>112.91</v>
      </c>
      <c r="C64" s="483">
        <f>SUMIF('Commodity Prices'!$C$159:$C$902,$A64,'Commodity Prices'!L$159:L$902)</f>
        <v>168.31901753389644</v>
      </c>
      <c r="D64" s="8"/>
    </row>
    <row r="65" spans="1:4">
      <c r="A65" s="761">
        <f>LARGE('Commodity Prices'!C$159:C$902,6)</f>
        <v>45108</v>
      </c>
      <c r="B65" s="561">
        <f>SUMIF('Commodity Prices'!$C$159:$C$902,$A65,'Commodity Prices'!K$159:K$902)</f>
        <v>112.96</v>
      </c>
      <c r="C65" s="562">
        <f>SUMIF('Commodity Prices'!$C$159:$C$902,$A65,'Commodity Prices'!L$159:L$902)</f>
        <v>167.65684964908934</v>
      </c>
      <c r="D65" s="8"/>
    </row>
    <row r="66" spans="1:4">
      <c r="A66" s="761">
        <f>LARGE('Commodity Prices'!C$159:C$902,5)</f>
        <v>45139</v>
      </c>
      <c r="B66" s="484">
        <f>SUMIF('Commodity Prices'!$C$159:$C$902,$A66,'Commodity Prices'!K$159:K$902)</f>
        <v>109.3</v>
      </c>
      <c r="C66" s="483">
        <f>SUMIF('Commodity Prices'!$C$159:$C$902,$A66,'Commodity Prices'!L$159:L$902)</f>
        <v>168.46013731259629</v>
      </c>
      <c r="D66" s="8"/>
    </row>
    <row r="67" spans="1:4">
      <c r="A67" s="761">
        <f>LARGE('Commodity Prices'!C$159:C$902,4)</f>
        <v>45170</v>
      </c>
      <c r="B67" s="561">
        <f>SUMIF('Commodity Prices'!$C$159:$C$902,$A67,'Commodity Prices'!K$159:K$902)</f>
        <v>120.53</v>
      </c>
      <c r="C67" s="562">
        <f>SUMIF('Commodity Prices'!$C$159:$C$902,$A67,'Commodity Prices'!L$159:L$902)</f>
        <v>187.60645433859335</v>
      </c>
      <c r="D67" s="8"/>
    </row>
    <row r="68" spans="1:4">
      <c r="A68" s="761">
        <f>LARGE('Commodity Prices'!C$159:C$902,3)</f>
        <v>45200</v>
      </c>
      <c r="B68" s="484">
        <f>SUMIF('Commodity Prices'!$C$159:$C$902,$A68,'Commodity Prices'!K$159:K$902)</f>
        <v>118.97</v>
      </c>
      <c r="C68" s="483">
        <f>SUMIF('Commodity Prices'!$C$159:$C$902,$A68,'Commodity Prices'!L$159:L$902)</f>
        <v>187.35011585791094</v>
      </c>
      <c r="D68" s="8"/>
    </row>
    <row r="69" spans="1:4">
      <c r="A69" s="761">
        <f>LARGE('Commodity Prices'!C$159:C$902,2)</f>
        <v>45231</v>
      </c>
      <c r="B69" s="561">
        <f>SUMIF('Commodity Prices'!$C$159:$C$902,$A69,'Commodity Prices'!K$159:K$902)</f>
        <v>130.69</v>
      </c>
      <c r="C69" s="562">
        <f>SUMIF('Commodity Prices'!$C$159:$C$902,$A69,'Commodity Prices'!L$159:L$902)</f>
        <v>201.31353232367789</v>
      </c>
    </row>
    <row r="70" spans="1:4" ht="15.75" thickBot="1">
      <c r="A70" s="1557">
        <f>LARGE('Commodity Prices'!C$159:C$902,1)</f>
        <v>45261</v>
      </c>
      <c r="B70" s="898">
        <f>SUMIF('Commodity Prices'!$C$159:$C$902,$A70,'Commodity Prices'!K$159:K$902)</f>
        <v>136.36000000000001</v>
      </c>
      <c r="C70" s="1188">
        <f>SUMIF('Commodity Prices'!$C$159:$C$902,$A70,'Commodity Prices'!L$159:L$902)</f>
        <v>204.04974364224901</v>
      </c>
    </row>
    <row r="72" spans="1:4">
      <c r="A72" s="88"/>
    </row>
  </sheetData>
  <mergeCells count="8">
    <mergeCell ref="G28:H30"/>
    <mergeCell ref="A6:C6"/>
    <mergeCell ref="A7:C7"/>
    <mergeCell ref="G24:I24"/>
    <mergeCell ref="G25:I25"/>
    <mergeCell ref="G26:I26"/>
    <mergeCell ref="G6:I6"/>
    <mergeCell ref="G7:I7"/>
  </mergeCells>
  <dataValidations count="1">
    <dataValidation type="list" allowBlank="1" showInputMessage="1" showErrorMessage="1" promptTitle="Select a Period:" prompt="Select Financial or Calendar years." sqref="G25" xr:uid="{00000000-0002-0000-1700-000000000000}">
      <formula1>$X$1:$X$2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tabColor theme="5" tint="0.39997558519241921"/>
  </sheetPr>
  <dimension ref="A1:Z362"/>
  <sheetViews>
    <sheetView showGridLines="0" workbookViewId="0"/>
  </sheetViews>
  <sheetFormatPr defaultColWidth="9.140625" defaultRowHeight="15"/>
  <cols>
    <col min="1" max="1" width="15" style="17" bestFit="1" customWidth="1"/>
    <col min="2" max="2" width="14.7109375" style="17" customWidth="1"/>
    <col min="3" max="3" width="16" style="17" bestFit="1" customWidth="1"/>
    <col min="4" max="5" width="11.5703125" style="19" hidden="1" customWidth="1"/>
    <col min="6" max="16" width="9.140625" style="17"/>
    <col min="17" max="18" width="15.140625" style="17" customWidth="1"/>
    <col min="19" max="19" width="16" style="17" bestFit="1" customWidth="1"/>
    <col min="20" max="16384" width="9.140625" style="17"/>
  </cols>
  <sheetData>
    <row r="1" spans="1:19">
      <c r="A1" s="66" t="s">
        <v>240</v>
      </c>
      <c r="J1" s="88"/>
    </row>
    <row r="2" spans="1:19">
      <c r="A2" s="66" t="s">
        <v>246</v>
      </c>
    </row>
    <row r="5" spans="1:19">
      <c r="A5" s="1972"/>
      <c r="B5" s="1972"/>
      <c r="C5" s="1972"/>
      <c r="D5" s="51"/>
      <c r="E5" s="51"/>
    </row>
    <row r="6" spans="1:19" ht="15.75" thickBot="1">
      <c r="A6" s="2004" t="s">
        <v>423</v>
      </c>
      <c r="B6" s="2004"/>
      <c r="C6" s="2004"/>
      <c r="D6" s="52"/>
      <c r="E6" s="52"/>
    </row>
    <row r="7" spans="1:19">
      <c r="A7" s="1407" t="s">
        <v>5</v>
      </c>
      <c r="B7" s="799" t="s">
        <v>6</v>
      </c>
      <c r="C7" s="800" t="s">
        <v>382</v>
      </c>
      <c r="D7" s="45"/>
      <c r="E7" s="45"/>
      <c r="Q7" s="1948" t="s">
        <v>426</v>
      </c>
      <c r="R7" s="1948"/>
      <c r="S7" s="1948"/>
    </row>
    <row r="8" spans="1:19" ht="15.75" thickBot="1">
      <c r="A8" s="425">
        <v>36220</v>
      </c>
      <c r="B8" s="484">
        <v>31.82</v>
      </c>
      <c r="C8" s="483">
        <v>891.76</v>
      </c>
      <c r="D8" s="47">
        <f t="shared" ref="D8:D71" si="0">YEAR(A8)</f>
        <v>1999</v>
      </c>
      <c r="E8" s="49" t="str">
        <f>IF(MONTH(A8)=3,"1",IF(MONTH(A8)=6,"2",IF(MONTH(A8)=9,"3","4")))</f>
        <v>1</v>
      </c>
      <c r="Q8" s="1973" t="s">
        <v>580</v>
      </c>
      <c r="R8" s="1973"/>
      <c r="S8" s="1973"/>
    </row>
    <row r="9" spans="1:19">
      <c r="A9" s="425">
        <v>36312</v>
      </c>
      <c r="B9" s="561">
        <v>35.439</v>
      </c>
      <c r="C9" s="562">
        <v>846.16</v>
      </c>
      <c r="D9" s="47">
        <f t="shared" si="0"/>
        <v>1999</v>
      </c>
      <c r="E9" s="49" t="str">
        <f t="shared" ref="E9:E72" si="1">IF(MONTH(A9)=3,"1",IF(MONTH(A9)=6,"2",IF(MONTH(A9)=9,"3","4")))</f>
        <v>2</v>
      </c>
      <c r="Q9" s="796" t="s">
        <v>5</v>
      </c>
      <c r="R9" s="801" t="s">
        <v>6</v>
      </c>
      <c r="S9" s="802" t="s">
        <v>382</v>
      </c>
    </row>
    <row r="10" spans="1:19">
      <c r="A10" s="425">
        <v>36404</v>
      </c>
      <c r="B10" s="484">
        <v>38.18</v>
      </c>
      <c r="C10" s="483">
        <v>882.23</v>
      </c>
      <c r="D10" s="47">
        <f t="shared" si="0"/>
        <v>1999</v>
      </c>
      <c r="E10" s="49" t="str">
        <f t="shared" si="1"/>
        <v>3</v>
      </c>
      <c r="Q10" s="425">
        <f>LARGE(A$8:A$738,9)</f>
        <v>44531</v>
      </c>
      <c r="R10" s="484">
        <f t="shared" ref="R10:R18" si="2">SUMIF($A$8:$A$738,$Q10,B$8:B$738)</f>
        <v>217.26983650499994</v>
      </c>
      <c r="S10" s="483">
        <f t="shared" ref="S10:S18" si="3">SUMIF($A$8:$A$738,$Q10,C$8:C$738)</f>
        <v>25789.256395</v>
      </c>
    </row>
    <row r="11" spans="1:19">
      <c r="A11" s="425">
        <v>36495</v>
      </c>
      <c r="B11" s="561">
        <v>37.567</v>
      </c>
      <c r="C11" s="562">
        <v>896.91</v>
      </c>
      <c r="D11" s="47">
        <f t="shared" si="0"/>
        <v>1999</v>
      </c>
      <c r="E11" s="49" t="str">
        <f t="shared" si="1"/>
        <v>4</v>
      </c>
      <c r="Q11" s="425">
        <f>LARGE(A$8:A$738,8)</f>
        <v>44621</v>
      </c>
      <c r="R11" s="561">
        <f t="shared" si="2"/>
        <v>202.35076833299996</v>
      </c>
      <c r="S11" s="562">
        <f t="shared" si="3"/>
        <v>32807.953959999999</v>
      </c>
    </row>
    <row r="12" spans="1:19">
      <c r="A12" s="425">
        <v>36586</v>
      </c>
      <c r="B12" s="484">
        <v>34.799999999999997</v>
      </c>
      <c r="C12" s="483">
        <v>843.83</v>
      </c>
      <c r="D12" s="47">
        <f t="shared" si="0"/>
        <v>2000</v>
      </c>
      <c r="E12" s="49" t="str">
        <f t="shared" si="1"/>
        <v>1</v>
      </c>
      <c r="Q12" s="425">
        <f>LARGE(A$8:A$738,7)</f>
        <v>44713</v>
      </c>
      <c r="R12" s="484">
        <f t="shared" si="2"/>
        <v>214.690910608</v>
      </c>
      <c r="S12" s="483">
        <f t="shared" si="3"/>
        <v>35945.287838999997</v>
      </c>
    </row>
    <row r="13" spans="1:19">
      <c r="A13" s="425">
        <v>36678</v>
      </c>
      <c r="B13" s="561">
        <v>40.612000000000002</v>
      </c>
      <c r="C13" s="562">
        <v>1099.06</v>
      </c>
      <c r="D13" s="47">
        <f t="shared" si="0"/>
        <v>2000</v>
      </c>
      <c r="E13" s="49" t="str">
        <f t="shared" si="1"/>
        <v>2</v>
      </c>
      <c r="Q13" s="425">
        <f>LARGE(A$8:A$738,6)</f>
        <v>44805</v>
      </c>
      <c r="R13" s="561">
        <f t="shared" si="2"/>
        <v>213.83013684700003</v>
      </c>
      <c r="S13" s="562">
        <f t="shared" si="3"/>
        <v>28973.394377999997</v>
      </c>
    </row>
    <row r="14" spans="1:19">
      <c r="A14" s="425">
        <v>36770</v>
      </c>
      <c r="B14" s="484">
        <v>42.546999999999997</v>
      </c>
      <c r="C14" s="483">
        <v>1188.4100000000001</v>
      </c>
      <c r="D14" s="47">
        <f t="shared" si="0"/>
        <v>2000</v>
      </c>
      <c r="E14" s="49" t="str">
        <f t="shared" si="1"/>
        <v>3</v>
      </c>
      <c r="Q14" s="425">
        <f>LARGE(A$8:A$738,5)</f>
        <v>44896</v>
      </c>
      <c r="R14" s="484">
        <f t="shared" si="2"/>
        <v>224.97355805300003</v>
      </c>
      <c r="S14" s="483">
        <f t="shared" si="3"/>
        <v>29795.975777</v>
      </c>
    </row>
    <row r="15" spans="1:19">
      <c r="A15" s="425">
        <v>36861</v>
      </c>
      <c r="B15" s="561">
        <v>40.906999999999996</v>
      </c>
      <c r="C15" s="562">
        <v>1233.8900000000001</v>
      </c>
      <c r="D15" s="47">
        <f t="shared" si="0"/>
        <v>2000</v>
      </c>
      <c r="E15" s="49" t="str">
        <f t="shared" si="1"/>
        <v>4</v>
      </c>
      <c r="Q15" s="425">
        <f>LARGE(A$8:A$738,4)</f>
        <v>44986</v>
      </c>
      <c r="R15" s="561">
        <f t="shared" si="2"/>
        <v>209.39910229200001</v>
      </c>
      <c r="S15" s="562">
        <f t="shared" si="3"/>
        <v>34398.214529999997</v>
      </c>
    </row>
    <row r="16" spans="1:19">
      <c r="A16" s="425">
        <v>36951</v>
      </c>
      <c r="B16" s="484">
        <v>38.255000000000003</v>
      </c>
      <c r="C16" s="483">
        <v>1206.4000000000001</v>
      </c>
      <c r="D16" s="47">
        <f t="shared" si="0"/>
        <v>2001</v>
      </c>
      <c r="E16" s="49" t="str">
        <f t="shared" si="1"/>
        <v>1</v>
      </c>
      <c r="Q16" s="425">
        <f>LARGE(A$8:A$738,3)</f>
        <v>45078</v>
      </c>
      <c r="R16" s="484">
        <f t="shared" si="2"/>
        <v>213.634025764</v>
      </c>
      <c r="S16" s="483">
        <f t="shared" si="3"/>
        <v>32139.332321999998</v>
      </c>
    </row>
    <row r="17" spans="1:19">
      <c r="A17" s="425">
        <v>37043</v>
      </c>
      <c r="B17" s="561">
        <v>40.061</v>
      </c>
      <c r="C17" s="562">
        <v>1284</v>
      </c>
      <c r="D17" s="47">
        <f t="shared" si="0"/>
        <v>2001</v>
      </c>
      <c r="E17" s="49" t="str">
        <f t="shared" si="1"/>
        <v>2</v>
      </c>
      <c r="Q17" s="425">
        <f>LARGE(A$8:A$738,2)</f>
        <v>45170</v>
      </c>
      <c r="R17" s="561">
        <f t="shared" si="2"/>
        <v>216.29227132199998</v>
      </c>
      <c r="S17" s="562">
        <f t="shared" si="3"/>
        <v>33666.547941999997</v>
      </c>
    </row>
    <row r="18" spans="1:19" ht="15.75" thickBot="1">
      <c r="A18" s="425">
        <v>37135</v>
      </c>
      <c r="B18" s="484">
        <v>44.878</v>
      </c>
      <c r="C18" s="483">
        <v>1479.86</v>
      </c>
      <c r="D18" s="47">
        <f t="shared" si="0"/>
        <v>2001</v>
      </c>
      <c r="E18" s="49" t="str">
        <f t="shared" si="1"/>
        <v>3</v>
      </c>
      <c r="Q18" s="426">
        <f>LARGE(A$8:A$738,1)</f>
        <v>45261</v>
      </c>
      <c r="R18" s="898">
        <f t="shared" si="2"/>
        <v>220.19715757399999</v>
      </c>
      <c r="S18" s="1188">
        <f t="shared" si="3"/>
        <v>38855.434780999996</v>
      </c>
    </row>
    <row r="19" spans="1:19">
      <c r="A19" s="425">
        <v>37226</v>
      </c>
      <c r="B19" s="561">
        <v>42.820999999999998</v>
      </c>
      <c r="C19" s="562">
        <v>1399.45</v>
      </c>
      <c r="D19" s="47">
        <f t="shared" si="0"/>
        <v>2001</v>
      </c>
      <c r="E19" s="49" t="str">
        <f t="shared" si="1"/>
        <v>4</v>
      </c>
      <c r="Q19" s="1"/>
    </row>
    <row r="20" spans="1:19">
      <c r="A20" s="425">
        <v>37316</v>
      </c>
      <c r="B20" s="484">
        <v>36.344999999999999</v>
      </c>
      <c r="C20" s="483">
        <v>1139.8</v>
      </c>
      <c r="D20" s="47">
        <f t="shared" si="0"/>
        <v>2002</v>
      </c>
      <c r="E20" s="49" t="str">
        <f t="shared" si="1"/>
        <v>1</v>
      </c>
      <c r="Q20" s="1"/>
    </row>
    <row r="21" spans="1:19">
      <c r="A21" s="425">
        <v>37408</v>
      </c>
      <c r="B21" s="561">
        <v>40.590000000000003</v>
      </c>
      <c r="C21" s="562">
        <v>1188.51</v>
      </c>
      <c r="D21" s="47">
        <f t="shared" si="0"/>
        <v>2002</v>
      </c>
      <c r="E21" s="49" t="str">
        <f t="shared" si="1"/>
        <v>2</v>
      </c>
      <c r="Q21" s="1"/>
    </row>
    <row r="22" spans="1:19">
      <c r="A22" s="425">
        <v>37500</v>
      </c>
      <c r="B22" s="484">
        <v>47.561999999999998</v>
      </c>
      <c r="C22" s="483">
        <v>1387.45</v>
      </c>
      <c r="D22" s="47">
        <f t="shared" si="0"/>
        <v>2002</v>
      </c>
      <c r="E22" s="49" t="str">
        <f t="shared" si="1"/>
        <v>3</v>
      </c>
      <c r="Q22" s="1"/>
    </row>
    <row r="23" spans="1:19">
      <c r="A23" s="425">
        <v>37591</v>
      </c>
      <c r="B23" s="561">
        <v>47.27</v>
      </c>
      <c r="C23" s="562">
        <v>1348.87</v>
      </c>
      <c r="D23" s="47">
        <f t="shared" si="0"/>
        <v>2002</v>
      </c>
      <c r="E23" s="49" t="str">
        <f t="shared" si="1"/>
        <v>4</v>
      </c>
      <c r="Q23" s="1"/>
    </row>
    <row r="24" spans="1:19">
      <c r="A24" s="425">
        <v>37681</v>
      </c>
      <c r="B24" s="484">
        <v>45.606999999999999</v>
      </c>
      <c r="C24" s="483">
        <v>1215.81</v>
      </c>
      <c r="D24" s="47">
        <f t="shared" si="0"/>
        <v>2003</v>
      </c>
      <c r="E24" s="49" t="str">
        <f t="shared" si="1"/>
        <v>1</v>
      </c>
      <c r="Q24" s="1"/>
    </row>
    <row r="25" spans="1:19">
      <c r="A25" s="425">
        <v>37773</v>
      </c>
      <c r="B25" s="561">
        <v>47.893999999999998</v>
      </c>
      <c r="C25" s="562">
        <v>1246.04</v>
      </c>
      <c r="D25" s="47">
        <f t="shared" si="0"/>
        <v>2003</v>
      </c>
      <c r="E25" s="49" t="str">
        <f t="shared" si="1"/>
        <v>2</v>
      </c>
      <c r="Q25" s="1"/>
    </row>
    <row r="26" spans="1:19">
      <c r="A26" s="425">
        <v>37865</v>
      </c>
      <c r="B26" s="484">
        <v>49.100225399999999</v>
      </c>
      <c r="C26" s="483">
        <v>1298.5731617599999</v>
      </c>
      <c r="D26" s="47">
        <f t="shared" si="0"/>
        <v>2003</v>
      </c>
      <c r="E26" s="49" t="str">
        <f t="shared" si="1"/>
        <v>3</v>
      </c>
    </row>
    <row r="27" spans="1:19">
      <c r="A27" s="425">
        <v>37956</v>
      </c>
      <c r="B27" s="561">
        <v>51.992777760000003</v>
      </c>
      <c r="C27" s="562">
        <v>1296.3779992100001</v>
      </c>
      <c r="D27" s="47">
        <f t="shared" si="0"/>
        <v>2003</v>
      </c>
      <c r="E27" s="49" t="str">
        <f t="shared" si="1"/>
        <v>4</v>
      </c>
    </row>
    <row r="28" spans="1:19">
      <c r="A28" s="425">
        <v>38047</v>
      </c>
      <c r="B28" s="484">
        <v>49.918986199999999</v>
      </c>
      <c r="C28" s="483">
        <v>1223.62471413</v>
      </c>
      <c r="D28" s="47">
        <f t="shared" si="0"/>
        <v>2004</v>
      </c>
      <c r="E28" s="49" t="str">
        <f t="shared" si="1"/>
        <v>1</v>
      </c>
    </row>
    <row r="29" spans="1:19">
      <c r="A29" s="425">
        <v>38139</v>
      </c>
      <c r="B29" s="561">
        <v>49.924693769999998</v>
      </c>
      <c r="C29" s="562">
        <v>1541.8841010599999</v>
      </c>
      <c r="D29" s="47">
        <f t="shared" si="0"/>
        <v>2004</v>
      </c>
      <c r="E29" s="49" t="str">
        <f t="shared" si="1"/>
        <v>2</v>
      </c>
    </row>
    <row r="30" spans="1:19">
      <c r="A30" s="425">
        <v>38231</v>
      </c>
      <c r="B30" s="484">
        <v>54.938313600000001</v>
      </c>
      <c r="C30" s="483">
        <v>1690.3767697599999</v>
      </c>
      <c r="D30" s="47">
        <f t="shared" si="0"/>
        <v>2004</v>
      </c>
      <c r="E30" s="49" t="str">
        <f t="shared" si="1"/>
        <v>3</v>
      </c>
    </row>
    <row r="31" spans="1:19" ht="15.75" thickBot="1">
      <c r="A31" s="425">
        <v>38322</v>
      </c>
      <c r="B31" s="561">
        <v>58.749635499999997</v>
      </c>
      <c r="C31" s="562">
        <v>1737.0907341899999</v>
      </c>
      <c r="D31" s="47">
        <f t="shared" si="0"/>
        <v>2004</v>
      </c>
      <c r="E31" s="49" t="str">
        <f t="shared" si="1"/>
        <v>4</v>
      </c>
    </row>
    <row r="32" spans="1:19">
      <c r="A32" s="425">
        <v>38412</v>
      </c>
      <c r="B32" s="484">
        <v>57.198419289999997</v>
      </c>
      <c r="C32" s="483">
        <v>1771.794298</v>
      </c>
      <c r="D32" s="47">
        <f t="shared" si="0"/>
        <v>2005</v>
      </c>
      <c r="E32" s="49" t="str">
        <f t="shared" si="1"/>
        <v>1</v>
      </c>
      <c r="Q32" s="1443" t="s">
        <v>247</v>
      </c>
      <c r="R32" s="2019" t="s">
        <v>240</v>
      </c>
      <c r="S32" s="2020"/>
    </row>
    <row r="33" spans="1:26">
      <c r="A33" s="425">
        <v>38504</v>
      </c>
      <c r="B33" s="561">
        <v>59.228280230000003</v>
      </c>
      <c r="C33" s="562">
        <v>3087.9183412000002</v>
      </c>
      <c r="D33" s="47">
        <f t="shared" si="0"/>
        <v>2005</v>
      </c>
      <c r="E33" s="49" t="str">
        <f t="shared" si="1"/>
        <v>2</v>
      </c>
      <c r="Q33" s="1961" t="str">
        <f>CONCATENATE(A5," Quantity And Value By Year")</f>
        <v xml:space="preserve"> Quantity And Value By Year</v>
      </c>
      <c r="R33" s="1962"/>
      <c r="S33" s="1963"/>
    </row>
    <row r="34" spans="1:26">
      <c r="A34" s="425">
        <v>38596</v>
      </c>
      <c r="B34" s="484">
        <v>59.310883619999998</v>
      </c>
      <c r="C34" s="483">
        <v>3043.2077460300002</v>
      </c>
      <c r="D34" s="47">
        <f t="shared" si="0"/>
        <v>2005</v>
      </c>
      <c r="E34" s="49" t="str">
        <f t="shared" si="1"/>
        <v>3</v>
      </c>
      <c r="Q34" s="1440" t="s">
        <v>34</v>
      </c>
      <c r="R34" s="1441" t="str">
        <f>B7</f>
        <v>Quantity (Mt)</v>
      </c>
      <c r="S34" s="1442" t="str">
        <f>C7</f>
        <v>Value ($ Million)</v>
      </c>
    </row>
    <row r="35" spans="1:26">
      <c r="A35" s="425">
        <v>38687</v>
      </c>
      <c r="B35" s="561">
        <v>64.764090550000006</v>
      </c>
      <c r="C35" s="562">
        <v>3405.7975597599998</v>
      </c>
      <c r="D35" s="47">
        <f t="shared" si="0"/>
        <v>2005</v>
      </c>
      <c r="E35" s="49" t="str">
        <f t="shared" si="1"/>
        <v>4</v>
      </c>
      <c r="Q35" s="765">
        <f t="shared" ref="Q35:Q52" si="4">IF($R$32="Calendar Year", Q36-1, LEFT(Q36,4)-1 &amp; "-" &amp; MID(Q36,3,2))</f>
        <v>2004</v>
      </c>
      <c r="R35" s="505">
        <f>IF($R$32="Calendar Year",SUMIF($D$8:$D$200,$Q35,$B$8:$B$200),SUMIFS($B$8:$B$200,$D$8:$D$200,LEFT($Q35,4),$E$8:$E$200,3)+SUMIFS($B$8:$B$200,$D$8:$D$200,LEFT($Q35,4),$E$8:$E$200,4)+SUMIFS($B$8:$B$200,$D$8:$D$200,LEFT($Q35,4)+1,$E$8:$E$200,1)+SUMIFS($B$8:$B$200,$D$8:$D$200,LEFT($Q35,4)+1,$E$8:$E$200,2))</f>
        <v>213.53162907000001</v>
      </c>
      <c r="S35" s="518">
        <f>IF($R$32="Calendar Year",SUMIF($D$8:$D$200,$Q35,$C$8:$C$200),SUMIFS($C$8:$C$200,$D$8:$D$200,LEFT($Q35,4),$E$8:$E$200,3)+SUMIFS($C$8:$C$200,$D$8:$D$200,LEFT($Q35,4),$E$8:$E$200,4)+SUMIFS($C$8:$C$200,$D$8:$D$200,LEFT($Q35,4)+1,$E$8:$E$200,1)+SUMIFS($C$8:$C$200,$D$8:$D$200,LEFT($Q35,4)+1,$E$8:$E$200,2))</f>
        <v>6192.9763191399998</v>
      </c>
    </row>
    <row r="36" spans="1:26">
      <c r="A36" s="425">
        <v>38777</v>
      </c>
      <c r="B36" s="484">
        <v>54.599854749999999</v>
      </c>
      <c r="C36" s="483">
        <v>2862.9376372400002</v>
      </c>
      <c r="D36" s="47">
        <f t="shared" si="0"/>
        <v>2006</v>
      </c>
      <c r="E36" s="49" t="str">
        <f t="shared" si="1"/>
        <v>1</v>
      </c>
      <c r="Q36" s="765">
        <f t="shared" si="4"/>
        <v>2005</v>
      </c>
      <c r="R36" s="563">
        <f t="shared" ref="R36:R54" si="5">IF(Q36="","",IF($R$32="Calendar Year",SUMIF($D$8:$D$200,$Q36,$B$8:$B$200),SUMIFS($B$8:$B$200,$D$8:$D$200,LEFT($Q36,4),$E$8:$E$200,3)+SUMIFS($B$8:$B$200,$D$8:$D$200,LEFT($Q36,4),$E$8:$E$200,4)+SUMIFS($B$8:$B$200,$D$8:$D$200,LEFT($Q36,4)+1,$E$8:$E$200,1)+SUMIFS($B$8:$B$200,$D$8:$D$200,LEFT($Q36,4)+1,$E$8:$E$200,2)))</f>
        <v>240.50167369000002</v>
      </c>
      <c r="S36" s="1406">
        <f t="shared" ref="S36:S54" si="6">IF(Q36="","",IF($R$32="Calendar Year",SUMIF($D$8:$D$200,$Q36,$C$8:$C$200),SUMIFS($C$8:$C$200,$D$8:$D$200,LEFT($Q36,4),$E$8:$E$200,3)+SUMIFS($C$8:$C$200,$D$8:$D$200,LEFT($Q36,4),$E$8:$E$200,4)+SUMIFS($C$8:$C$200,$D$8:$D$200,LEFT($Q36,4)+1,$E$8:$E$200,1)+SUMIFS($C$8:$C$200,$D$8:$D$200,LEFT($Q36,4)+1,$E$8:$E$200,2)))</f>
        <v>11308.71794499</v>
      </c>
      <c r="Y36" s="305"/>
      <c r="Z36" s="305"/>
    </row>
    <row r="37" spans="1:26">
      <c r="A37" s="425">
        <v>38869</v>
      </c>
      <c r="B37" s="561">
        <v>61.893562467999999</v>
      </c>
      <c r="C37" s="562">
        <v>3728.8830937900002</v>
      </c>
      <c r="D37" s="47">
        <f t="shared" si="0"/>
        <v>2006</v>
      </c>
      <c r="E37" s="49" t="str">
        <f t="shared" si="1"/>
        <v>2</v>
      </c>
      <c r="Q37" s="765">
        <f t="shared" si="4"/>
        <v>2006</v>
      </c>
      <c r="R37" s="505">
        <f t="shared" si="5"/>
        <v>250.325766362</v>
      </c>
      <c r="S37" s="518">
        <f t="shared" si="6"/>
        <v>14780.092745670001</v>
      </c>
      <c r="Y37" s="305"/>
      <c r="Z37" s="305"/>
    </row>
    <row r="38" spans="1:26">
      <c r="A38" s="425">
        <v>38961</v>
      </c>
      <c r="B38" s="484">
        <v>64.795758108000001</v>
      </c>
      <c r="C38" s="483">
        <v>3954.9073160200001</v>
      </c>
      <c r="D38" s="47">
        <f t="shared" si="0"/>
        <v>2006</v>
      </c>
      <c r="E38" s="49" t="str">
        <f t="shared" si="1"/>
        <v>3</v>
      </c>
      <c r="Q38" s="765">
        <f t="shared" si="4"/>
        <v>2007</v>
      </c>
      <c r="R38" s="563">
        <f t="shared" si="5"/>
        <v>264.44915205099994</v>
      </c>
      <c r="S38" s="1406">
        <f t="shared" si="6"/>
        <v>16135.90395344</v>
      </c>
      <c r="Y38" s="305"/>
      <c r="Z38" s="305"/>
    </row>
    <row r="39" spans="1:26">
      <c r="A39" s="425">
        <v>39052</v>
      </c>
      <c r="B39" s="561">
        <v>69.036591036000004</v>
      </c>
      <c r="C39" s="562">
        <v>4233.3646986200001</v>
      </c>
      <c r="D39" s="47">
        <f t="shared" si="0"/>
        <v>2006</v>
      </c>
      <c r="E39" s="49" t="str">
        <f t="shared" si="1"/>
        <v>4</v>
      </c>
      <c r="Q39" s="765">
        <f t="shared" si="4"/>
        <v>2008</v>
      </c>
      <c r="R39" s="505">
        <f t="shared" si="5"/>
        <v>305.88447268200002</v>
      </c>
      <c r="S39" s="518">
        <f t="shared" si="6"/>
        <v>31909.855018219998</v>
      </c>
      <c r="Y39" s="305"/>
      <c r="Z39" s="305"/>
    </row>
    <row r="40" spans="1:26">
      <c r="A40" s="425">
        <v>39142</v>
      </c>
      <c r="B40" s="484">
        <v>58.234962271999997</v>
      </c>
      <c r="C40" s="483">
        <v>3517.6331391799999</v>
      </c>
      <c r="D40" s="47">
        <f t="shared" si="0"/>
        <v>2007</v>
      </c>
      <c r="E40" s="49" t="str">
        <f t="shared" si="1"/>
        <v>1</v>
      </c>
      <c r="Q40" s="765">
        <f t="shared" si="4"/>
        <v>2009</v>
      </c>
      <c r="R40" s="563">
        <f t="shared" si="5"/>
        <v>356.06964630899995</v>
      </c>
      <c r="S40" s="1406">
        <f t="shared" si="6"/>
        <v>28133.427135669997</v>
      </c>
      <c r="Y40" s="305"/>
      <c r="Z40" s="305"/>
    </row>
    <row r="41" spans="1:26">
      <c r="A41" s="425">
        <v>39234</v>
      </c>
      <c r="B41" s="561">
        <v>66.929610177000001</v>
      </c>
      <c r="C41" s="562">
        <v>4073.28629654</v>
      </c>
      <c r="D41" s="47">
        <f t="shared" si="0"/>
        <v>2007</v>
      </c>
      <c r="E41" s="49" t="str">
        <f t="shared" si="1"/>
        <v>2</v>
      </c>
      <c r="Q41" s="765">
        <f t="shared" si="4"/>
        <v>2010</v>
      </c>
      <c r="R41" s="505">
        <f t="shared" si="5"/>
        <v>393.85115706600004</v>
      </c>
      <c r="S41" s="518">
        <f t="shared" si="6"/>
        <v>50262.149327229999</v>
      </c>
      <c r="Y41" s="305"/>
      <c r="Z41" s="305"/>
    </row>
    <row r="42" spans="1:26">
      <c r="A42" s="425">
        <v>39326</v>
      </c>
      <c r="B42" s="484">
        <v>66.547036129999995</v>
      </c>
      <c r="C42" s="483">
        <v>4027.29191631</v>
      </c>
      <c r="D42" s="47">
        <f t="shared" si="0"/>
        <v>2007</v>
      </c>
      <c r="E42" s="49" t="str">
        <f t="shared" si="1"/>
        <v>3</v>
      </c>
      <c r="Q42" s="765">
        <f t="shared" si="4"/>
        <v>2011</v>
      </c>
      <c r="R42" s="563">
        <f t="shared" si="5"/>
        <v>426.67287969500001</v>
      </c>
      <c r="S42" s="1406">
        <f t="shared" si="6"/>
        <v>62863.290517729998</v>
      </c>
      <c r="Y42" s="305"/>
      <c r="Z42" s="305"/>
    </row>
    <row r="43" spans="1:26">
      <c r="A43" s="425">
        <v>39417</v>
      </c>
      <c r="B43" s="561">
        <v>72.737543471999999</v>
      </c>
      <c r="C43" s="562">
        <v>4517.69260141</v>
      </c>
      <c r="D43" s="47">
        <f t="shared" si="0"/>
        <v>2007</v>
      </c>
      <c r="E43" s="49" t="str">
        <f t="shared" si="1"/>
        <v>4</v>
      </c>
      <c r="Q43" s="765">
        <f t="shared" si="4"/>
        <v>2012</v>
      </c>
      <c r="R43" s="505">
        <f t="shared" si="5"/>
        <v>478.32621689000001</v>
      </c>
      <c r="S43" s="518">
        <f t="shared" si="6"/>
        <v>52823.916640019997</v>
      </c>
      <c r="Y43" s="305"/>
      <c r="Z43" s="305"/>
    </row>
    <row r="44" spans="1:26">
      <c r="A44" s="425">
        <v>39508</v>
      </c>
      <c r="B44" s="484">
        <v>73.459152786000004</v>
      </c>
      <c r="C44" s="483">
        <v>5322.6792588799999</v>
      </c>
      <c r="D44" s="47">
        <f t="shared" si="0"/>
        <v>2008</v>
      </c>
      <c r="E44" s="49" t="str">
        <f t="shared" si="1"/>
        <v>1</v>
      </c>
      <c r="Q44" s="765">
        <f t="shared" si="4"/>
        <v>2013</v>
      </c>
      <c r="R44" s="563">
        <f t="shared" si="5"/>
        <v>544.937833372</v>
      </c>
      <c r="S44" s="1406">
        <f t="shared" si="6"/>
        <v>71124.725319999998</v>
      </c>
      <c r="Y44" s="305"/>
      <c r="Z44" s="305"/>
    </row>
    <row r="45" spans="1:26">
      <c r="A45" s="425">
        <v>39600</v>
      </c>
      <c r="B45" s="561">
        <v>78.422382924000004</v>
      </c>
      <c r="C45" s="562">
        <v>8092.7429333399996</v>
      </c>
      <c r="D45" s="47">
        <f t="shared" si="0"/>
        <v>2008</v>
      </c>
      <c r="E45" s="49" t="str">
        <f t="shared" si="1"/>
        <v>2</v>
      </c>
      <c r="Q45" s="765">
        <f t="shared" si="4"/>
        <v>2014</v>
      </c>
      <c r="R45" s="505">
        <f t="shared" si="5"/>
        <v>686.23315313900002</v>
      </c>
      <c r="S45" s="518">
        <f t="shared" si="6"/>
        <v>65059.73704</v>
      </c>
      <c r="Y45" s="305"/>
      <c r="Z45" s="305"/>
    </row>
    <row r="46" spans="1:26">
      <c r="A46" s="425">
        <v>39692</v>
      </c>
      <c r="B46" s="484">
        <v>86.950802327000005</v>
      </c>
      <c r="C46" s="483">
        <v>9861.1783441700009</v>
      </c>
      <c r="D46" s="47">
        <f t="shared" si="0"/>
        <v>2008</v>
      </c>
      <c r="E46" s="49" t="str">
        <f t="shared" si="1"/>
        <v>3</v>
      </c>
      <c r="Q46" s="765">
        <f t="shared" si="4"/>
        <v>2015</v>
      </c>
      <c r="R46" s="563">
        <f t="shared" si="5"/>
        <v>742.4098403160001</v>
      </c>
      <c r="S46" s="1406">
        <f t="shared" si="6"/>
        <v>49630.774950999999</v>
      </c>
      <c r="Y46" s="305"/>
      <c r="Z46" s="305"/>
    </row>
    <row r="47" spans="1:26">
      <c r="A47" s="425">
        <v>39783</v>
      </c>
      <c r="B47" s="561">
        <v>67.052134644999995</v>
      </c>
      <c r="C47" s="562">
        <v>8633.2544818299993</v>
      </c>
      <c r="D47" s="47">
        <f t="shared" si="0"/>
        <v>2008</v>
      </c>
      <c r="E47" s="49" t="str">
        <f t="shared" si="1"/>
        <v>4</v>
      </c>
      <c r="Q47" s="765">
        <f t="shared" si="4"/>
        <v>2016</v>
      </c>
      <c r="R47" s="505">
        <f t="shared" si="5"/>
        <v>769.27752100500004</v>
      </c>
      <c r="S47" s="518">
        <f t="shared" si="6"/>
        <v>55609.172696999995</v>
      </c>
      <c r="Y47" s="305"/>
      <c r="Z47" s="305"/>
    </row>
    <row r="48" spans="1:26">
      <c r="A48" s="425">
        <v>39873</v>
      </c>
      <c r="B48" s="484">
        <v>74.655362797999999</v>
      </c>
      <c r="C48" s="483">
        <v>8405.6447132600006</v>
      </c>
      <c r="D48" s="47">
        <f t="shared" si="0"/>
        <v>2009</v>
      </c>
      <c r="E48" s="49" t="str">
        <f t="shared" si="1"/>
        <v>1</v>
      </c>
      <c r="Q48" s="765">
        <f t="shared" si="4"/>
        <v>2017</v>
      </c>
      <c r="R48" s="563">
        <f t="shared" si="5"/>
        <v>814.12094474599985</v>
      </c>
      <c r="S48" s="1406">
        <f t="shared" si="6"/>
        <v>63830.848204999988</v>
      </c>
      <c r="Y48" s="305"/>
      <c r="Z48" s="305"/>
    </row>
    <row r="49" spans="1:26">
      <c r="A49" s="425">
        <v>39965</v>
      </c>
      <c r="B49" s="561">
        <v>87.887633027999996</v>
      </c>
      <c r="C49" s="562">
        <v>6721.7997574299998</v>
      </c>
      <c r="D49" s="47">
        <f t="shared" si="0"/>
        <v>2009</v>
      </c>
      <c r="E49" s="49" t="str">
        <f t="shared" si="1"/>
        <v>2</v>
      </c>
      <c r="Q49" s="765">
        <f t="shared" si="4"/>
        <v>2018</v>
      </c>
      <c r="R49" s="505">
        <f t="shared" si="5"/>
        <v>813.57781896699998</v>
      </c>
      <c r="S49" s="518">
        <f t="shared" si="6"/>
        <v>65755.563037999993</v>
      </c>
      <c r="Y49" s="305"/>
      <c r="Z49" s="305"/>
    </row>
    <row r="50" spans="1:26">
      <c r="A50" s="425">
        <v>40057</v>
      </c>
      <c r="B50" s="484">
        <v>95.559004707</v>
      </c>
      <c r="C50" s="483">
        <v>6885.2803868600004</v>
      </c>
      <c r="D50" s="47">
        <f t="shared" si="0"/>
        <v>2009</v>
      </c>
      <c r="E50" s="49" t="str">
        <f t="shared" si="1"/>
        <v>3</v>
      </c>
      <c r="Q50" s="765">
        <f t="shared" si="4"/>
        <v>2019</v>
      </c>
      <c r="R50" s="563">
        <f t="shared" si="5"/>
        <v>811.78788645099985</v>
      </c>
      <c r="S50" s="1406">
        <f t="shared" si="6"/>
        <v>99729.341920000006</v>
      </c>
      <c r="Y50" s="305"/>
      <c r="Z50" s="305"/>
    </row>
    <row r="51" spans="1:26">
      <c r="A51" s="425">
        <v>40148</v>
      </c>
      <c r="B51" s="561">
        <v>97.967645775999998</v>
      </c>
      <c r="C51" s="562">
        <v>6120.7022781200003</v>
      </c>
      <c r="D51" s="47">
        <f t="shared" si="0"/>
        <v>2009</v>
      </c>
      <c r="E51" s="49" t="str">
        <f t="shared" si="1"/>
        <v>4</v>
      </c>
      <c r="Q51" s="765">
        <f t="shared" si="4"/>
        <v>2020</v>
      </c>
      <c r="R51" s="505">
        <f t="shared" si="5"/>
        <v>847.132426775</v>
      </c>
      <c r="S51" s="518">
        <f t="shared" si="6"/>
        <v>118437.941051</v>
      </c>
      <c r="Y51" s="305"/>
      <c r="Z51" s="305"/>
    </row>
    <row r="52" spans="1:26">
      <c r="A52" s="425">
        <v>40238</v>
      </c>
      <c r="B52" s="484">
        <v>93.986817368999994</v>
      </c>
      <c r="C52" s="483">
        <v>7923.4848495799997</v>
      </c>
      <c r="D52" s="47">
        <f t="shared" si="0"/>
        <v>2010</v>
      </c>
      <c r="E52" s="49" t="str">
        <f t="shared" si="1"/>
        <v>1</v>
      </c>
      <c r="Q52" s="765">
        <f t="shared" si="4"/>
        <v>2021</v>
      </c>
      <c r="R52" s="563">
        <f t="shared" si="5"/>
        <v>838.29191462299991</v>
      </c>
      <c r="S52" s="1406">
        <f t="shared" si="6"/>
        <v>157824.71403499998</v>
      </c>
      <c r="Y52" s="305"/>
      <c r="Z52" s="305"/>
    </row>
    <row r="53" spans="1:26">
      <c r="A53" s="425">
        <v>40330</v>
      </c>
      <c r="B53" s="561">
        <v>97.451399953999996</v>
      </c>
      <c r="C53" s="562">
        <v>14284.953068790001</v>
      </c>
      <c r="D53" s="47">
        <f t="shared" si="0"/>
        <v>2010</v>
      </c>
      <c r="E53" s="49" t="str">
        <f t="shared" si="1"/>
        <v>2</v>
      </c>
      <c r="Q53" s="765">
        <f>IF($R$32="Calendar Year", Q54-1, LEFT(Q54,4)-1 &amp; "-" &amp; MID(Q54,3,2))</f>
        <v>2022</v>
      </c>
      <c r="R53" s="505">
        <f t="shared" si="5"/>
        <v>855.84537384100008</v>
      </c>
      <c r="S53" s="518">
        <f t="shared" si="6"/>
        <v>127522.61195399999</v>
      </c>
      <c r="U53" s="310"/>
      <c r="V53" s="310"/>
      <c r="Z53" s="305"/>
    </row>
    <row r="54" spans="1:26" ht="15.75" thickBot="1">
      <c r="A54" s="425">
        <v>40422</v>
      </c>
      <c r="B54" s="484">
        <v>97.011669995999995</v>
      </c>
      <c r="C54" s="483">
        <v>14189.22551518</v>
      </c>
      <c r="D54" s="47">
        <f t="shared" si="0"/>
        <v>2010</v>
      </c>
      <c r="E54" s="49" t="str">
        <f t="shared" si="1"/>
        <v>3</v>
      </c>
      <c r="Q54" s="575">
        <f>IF($R$32="Calendar Year",
    YEAR(LARGE($A:$A, 4)),
    IF(MONTH(LARGE($A:$A, 4))&gt;6,
        YEAR(LARGE($A:$A, 4)) &amp; "-" &amp; RIGHT(YEAR(LARGE($A:$A, 4))+1),
        YEAR(LARGE($A:$A, 4))-1 &amp; "-" &amp; RIGHT(YEAR(LARGE($A:$A, 4)), 2)
    ))</f>
        <v>2023</v>
      </c>
      <c r="R54" s="1735">
        <f t="shared" si="5"/>
        <v>859.52255695199995</v>
      </c>
      <c r="S54" s="1643">
        <f t="shared" si="6"/>
        <v>139059.52957499999</v>
      </c>
    </row>
    <row r="55" spans="1:26">
      <c r="A55" s="425">
        <v>40513</v>
      </c>
      <c r="B55" s="561">
        <v>105.401269747</v>
      </c>
      <c r="C55" s="562">
        <v>13864.485893679999</v>
      </c>
      <c r="D55" s="47">
        <f t="shared" si="0"/>
        <v>2010</v>
      </c>
      <c r="E55" s="49" t="str">
        <f t="shared" si="1"/>
        <v>4</v>
      </c>
      <c r="Q55" s="1724"/>
      <c r="R55" s="547"/>
      <c r="S55" s="547"/>
    </row>
    <row r="56" spans="1:26">
      <c r="A56" s="425">
        <v>40603</v>
      </c>
      <c r="B56" s="484">
        <v>92.160356540999999</v>
      </c>
      <c r="C56" s="483">
        <v>13502.716071020001</v>
      </c>
      <c r="D56" s="47">
        <f t="shared" si="0"/>
        <v>2011</v>
      </c>
      <c r="E56" s="49" t="str">
        <f t="shared" si="1"/>
        <v>1</v>
      </c>
      <c r="Q56" s="1724"/>
      <c r="R56" s="547"/>
      <c r="S56" s="547"/>
    </row>
    <row r="57" spans="1:26">
      <c r="A57" s="425">
        <v>40695</v>
      </c>
      <c r="B57" s="561">
        <v>103.030917184</v>
      </c>
      <c r="C57" s="562">
        <v>15976.673848820001</v>
      </c>
      <c r="D57" s="47">
        <f t="shared" si="0"/>
        <v>2011</v>
      </c>
      <c r="E57" s="49" t="str">
        <f t="shared" si="1"/>
        <v>2</v>
      </c>
      <c r="Q57" s="1724"/>
      <c r="R57" s="547"/>
      <c r="S57" s="547"/>
    </row>
    <row r="58" spans="1:26">
      <c r="A58" s="425">
        <v>40787</v>
      </c>
      <c r="B58" s="484">
        <v>112.872409969</v>
      </c>
      <c r="C58" s="483">
        <v>17693.954844650001</v>
      </c>
      <c r="D58" s="47">
        <f t="shared" si="0"/>
        <v>2011</v>
      </c>
      <c r="E58" s="49" t="str">
        <f t="shared" si="1"/>
        <v>3</v>
      </c>
      <c r="Q58" s="1724"/>
      <c r="R58" s="547"/>
      <c r="S58" s="547"/>
    </row>
    <row r="59" spans="1:26">
      <c r="A59" s="425">
        <v>40878</v>
      </c>
      <c r="B59" s="561">
        <v>118.609196001</v>
      </c>
      <c r="C59" s="562">
        <v>15689.945753239999</v>
      </c>
      <c r="D59" s="47">
        <f t="shared" si="0"/>
        <v>2011</v>
      </c>
      <c r="E59" s="49" t="str">
        <f t="shared" si="1"/>
        <v>4</v>
      </c>
      <c r="Q59" s="453" t="str">
        <f>IFERROR(IF(YEAR(MAX('Commodity Prices'!$C$9:$C5006))=VALUE(RIGHT(Q58,4)),"",IF($R$32="Calendar Year",Q58+1,CONCATENATE(LEFT(Q58,4)+1,"-",RIGHT(Q58,4)+1))),"")</f>
        <v/>
      </c>
      <c r="R59" s="504" t="str">
        <f>IF(Q59="","",IF($R$32="Calendar Year",SUMIF($D$8:$D$200,$Q59,$B$8:$B$200),SUMIFS($B$8:$B$200,$D$8:$D$200,LEFT($Q59,4),$E$8:$E$200,3)+SUMIFS($B$8:$B$200,$D$8:$D$200,LEFT($Q59,4),$E$8:$E$200,4)+SUMIFS($B$8:$B$200,$D$8:$D$200,LEFT($Q59,4)+1,$E$8:$E$200,1)+SUMIFS($B$8:$B$200,$D$8:$D$200,LEFT($Q59,4)+1,$E$8:$E$200,2)))</f>
        <v/>
      </c>
      <c r="S59" s="564" t="str">
        <f>IF(Q59="","",IF($R$32="Calendar Year",SUMIF($D$8:$D$200,$Q59,$C$8:$C$200),SUMIFS($C$8:$C$200,$D$8:$D$200,LEFT($Q59,4),$E$8:$E$200,3)+SUMIFS($C$8:$C$200,$D$8:$D$200,LEFT($Q59,4),$E$8:$E$200,4)+SUMIFS($C$8:$C$200,$D$8:$D$200,LEFT($Q59,4)+1,$E$8:$E$200,1)+SUMIFS($C$8:$C$200,$D$8:$D$200,LEFT($Q59,4)+1,$E$8:$E$200,2)))</f>
        <v/>
      </c>
    </row>
    <row r="60" spans="1:26">
      <c r="A60" s="425">
        <v>40969</v>
      </c>
      <c r="B60" s="484">
        <v>103.279320281</v>
      </c>
      <c r="C60" s="483">
        <v>12545.06644411</v>
      </c>
      <c r="D60" s="47">
        <f t="shared" si="0"/>
        <v>2012</v>
      </c>
      <c r="E60" s="49" t="str">
        <f t="shared" si="1"/>
        <v>1</v>
      </c>
      <c r="Q60" s="453" t="str">
        <f>IFERROR(IF(YEAR(MAX('Commodity Prices'!$C$9:$C5007))=VALUE(RIGHT(Q59,4)),"",IF($R$32="Calendar Year",Q59+1,CONCATENATE(LEFT(Q59,4)+1,"-",RIGHT(Q59,4)+1))),"")</f>
        <v/>
      </c>
      <c r="R60" s="504" t="str">
        <f>IF(Q60="","",IF($R$32="Calendar Year",SUMIF($D$8:$D$200,$Q60,$B$8:$B$200),SUMIFS($B$8:$B$200,$D$8:$D$200,LEFT($Q60,4),$E$8:$E$200,3)+SUMIFS($B$8:$B$200,$D$8:$D$200,LEFT($Q60,4),$E$8:$E$200,4)+SUMIFS($B$8:$B$200,$D$8:$D$200,LEFT($Q60,4)+1,$E$8:$E$200,1)+SUMIFS($B$8:$B$200,$D$8:$D$200,LEFT($Q60,4)+1,$E$8:$E$200,2)))</f>
        <v/>
      </c>
      <c r="S60" s="564" t="str">
        <f>IF(Q60="","",IF($R$32="Calendar Year",SUMIF($D$8:$D$200,$Q60,$C$8:$C$200),SUMIFS($C$8:$C$200,$D$8:$D$200,LEFT($Q60,4),$E$8:$E$200,3)+SUMIFS($C$8:$C$200,$D$8:$D$200,LEFT($Q60,4),$E$8:$E$200,4)+SUMIFS($C$8:$C$200,$D$8:$D$200,LEFT($Q60,4)+1,$E$8:$E$200,1)+SUMIFS($C$8:$C$200,$D$8:$D$200,LEFT($Q60,4)+1,$E$8:$E$200,2)))</f>
        <v/>
      </c>
    </row>
    <row r="61" spans="1:26">
      <c r="A61" s="425">
        <v>41061</v>
      </c>
      <c r="B61" s="561">
        <v>119.624137316</v>
      </c>
      <c r="C61" s="562">
        <v>15043.75994937</v>
      </c>
      <c r="D61" s="47">
        <f t="shared" si="0"/>
        <v>2012</v>
      </c>
      <c r="E61" s="49" t="str">
        <f t="shared" si="1"/>
        <v>2</v>
      </c>
    </row>
    <row r="62" spans="1:26">
      <c r="A62" s="425">
        <v>41153</v>
      </c>
      <c r="B62" s="484">
        <v>123.919282607</v>
      </c>
      <c r="C62" s="483">
        <v>12464.5617174</v>
      </c>
      <c r="D62" s="47">
        <f t="shared" si="0"/>
        <v>2012</v>
      </c>
      <c r="E62" s="49" t="str">
        <f t="shared" si="1"/>
        <v>3</v>
      </c>
      <c r="F62" s="305"/>
    </row>
    <row r="63" spans="1:26">
      <c r="A63" s="425">
        <v>41244</v>
      </c>
      <c r="B63" s="561">
        <v>131.503476686</v>
      </c>
      <c r="C63" s="562">
        <v>12770.52852914</v>
      </c>
      <c r="D63" s="47">
        <f t="shared" si="0"/>
        <v>2012</v>
      </c>
      <c r="E63" s="49" t="str">
        <f t="shared" si="1"/>
        <v>4</v>
      </c>
      <c r="F63" s="305"/>
    </row>
    <row r="64" spans="1:26">
      <c r="A64" s="425">
        <v>41334</v>
      </c>
      <c r="B64" s="484">
        <v>119.44340823899999</v>
      </c>
      <c r="C64" s="483">
        <v>14667.798079999999</v>
      </c>
      <c r="D64" s="47">
        <f t="shared" si="0"/>
        <v>2013</v>
      </c>
      <c r="E64" s="49" t="str">
        <f t="shared" si="1"/>
        <v>1</v>
      </c>
      <c r="F64" s="305"/>
    </row>
    <row r="65" spans="1:19">
      <c r="A65" s="425">
        <v>41426</v>
      </c>
      <c r="B65" s="561">
        <v>136.89424895300002</v>
      </c>
      <c r="C65" s="562">
        <v>16301.43455</v>
      </c>
      <c r="D65" s="47">
        <f t="shared" si="0"/>
        <v>2013</v>
      </c>
      <c r="E65" s="49" t="str">
        <f t="shared" si="1"/>
        <v>2</v>
      </c>
      <c r="F65" s="305"/>
    </row>
    <row r="66" spans="1:19">
      <c r="A66" s="425">
        <v>41518</v>
      </c>
      <c r="B66" s="484">
        <v>144.90508703099999</v>
      </c>
      <c r="C66" s="483">
        <v>20439.677551999997</v>
      </c>
      <c r="D66" s="47">
        <f t="shared" si="0"/>
        <v>2013</v>
      </c>
      <c r="E66" s="49" t="str">
        <f t="shared" si="1"/>
        <v>3</v>
      </c>
      <c r="F66" s="305"/>
    </row>
    <row r="67" spans="1:19">
      <c r="A67" s="425">
        <v>41609</v>
      </c>
      <c r="B67" s="561">
        <v>143.69508914899998</v>
      </c>
      <c r="C67" s="562">
        <v>19715.815137999998</v>
      </c>
      <c r="D67" s="47">
        <f t="shared" si="0"/>
        <v>2013</v>
      </c>
      <c r="E67" s="49" t="str">
        <f t="shared" si="1"/>
        <v>4</v>
      </c>
      <c r="F67" s="305"/>
      <c r="S67" s="305"/>
    </row>
    <row r="68" spans="1:19">
      <c r="A68" s="425">
        <v>41699</v>
      </c>
      <c r="B68" s="484">
        <v>151.54441827299999</v>
      </c>
      <c r="C68" s="483">
        <v>18726.793033999998</v>
      </c>
      <c r="D68" s="47">
        <f t="shared" si="0"/>
        <v>2014</v>
      </c>
      <c r="E68" s="49" t="str">
        <f t="shared" si="1"/>
        <v>1</v>
      </c>
      <c r="F68" s="305"/>
    </row>
    <row r="69" spans="1:19">
      <c r="A69" s="425">
        <v>41791</v>
      </c>
      <c r="B69" s="561">
        <v>173.36272031600001</v>
      </c>
      <c r="C69" s="562">
        <v>17027.212037999998</v>
      </c>
      <c r="D69" s="47">
        <f t="shared" si="0"/>
        <v>2014</v>
      </c>
      <c r="E69" s="49" t="str">
        <f t="shared" si="1"/>
        <v>2</v>
      </c>
      <c r="F69" s="305"/>
    </row>
    <row r="70" spans="1:19">
      <c r="A70" s="425">
        <v>41883</v>
      </c>
      <c r="B70" s="484">
        <v>179.09788567999996</v>
      </c>
      <c r="C70" s="483">
        <v>15192.637316999999</v>
      </c>
      <c r="D70" s="47">
        <f t="shared" si="0"/>
        <v>2014</v>
      </c>
      <c r="E70" s="49" t="str">
        <f t="shared" si="1"/>
        <v>3</v>
      </c>
      <c r="F70" s="305"/>
    </row>
    <row r="71" spans="1:19">
      <c r="A71" s="425">
        <v>41974</v>
      </c>
      <c r="B71" s="561">
        <v>182.22812887000003</v>
      </c>
      <c r="C71" s="562">
        <v>14113.094650999999</v>
      </c>
      <c r="D71" s="47">
        <f t="shared" si="0"/>
        <v>2014</v>
      </c>
      <c r="E71" s="49" t="str">
        <f t="shared" si="1"/>
        <v>4</v>
      </c>
      <c r="F71" s="305"/>
    </row>
    <row r="72" spans="1:19">
      <c r="A72" s="425">
        <v>42064</v>
      </c>
      <c r="B72" s="484">
        <v>173.63302629200001</v>
      </c>
      <c r="C72" s="483">
        <v>12906.699777</v>
      </c>
      <c r="D72" s="47">
        <f>YEAR(A72)</f>
        <v>2015</v>
      </c>
      <c r="E72" s="49" t="str">
        <f t="shared" si="1"/>
        <v>1</v>
      </c>
      <c r="F72" s="305"/>
    </row>
    <row r="73" spans="1:19">
      <c r="A73" s="425">
        <v>42156</v>
      </c>
      <c r="B73" s="561">
        <v>183.86199558600001</v>
      </c>
      <c r="C73" s="562">
        <v>12166.051083999999</v>
      </c>
      <c r="D73" s="47">
        <f>YEAR(A73)</f>
        <v>2015</v>
      </c>
      <c r="E73" s="49" t="str">
        <f>IF(MONTH(A73)=3,"1",IF(MONTH(A73)=6,"2",IF(MONTH(A73)=9,"3","4")))</f>
        <v>2</v>
      </c>
      <c r="F73" s="305"/>
      <c r="N73" s="280"/>
      <c r="Q73" s="316"/>
      <c r="R73" s="280"/>
    </row>
    <row r="74" spans="1:19">
      <c r="A74" s="425">
        <v>42248</v>
      </c>
      <c r="B74" s="484">
        <v>192.81670973400006</v>
      </c>
      <c r="C74" s="483">
        <v>13113.917823</v>
      </c>
      <c r="D74" s="47">
        <f>YEAR(A74)</f>
        <v>2015</v>
      </c>
      <c r="E74" s="49" t="str">
        <f>IF(MONTH(A74)=3,"1",IF(MONTH(A74)=6,"2",IF(MONTH(A74)=9,"3","4")))</f>
        <v>3</v>
      </c>
      <c r="F74" s="305"/>
    </row>
    <row r="75" spans="1:19">
      <c r="A75" s="425">
        <v>42339</v>
      </c>
      <c r="B75" s="561">
        <v>192.09810870400003</v>
      </c>
      <c r="C75" s="562">
        <v>11444.106266999999</v>
      </c>
      <c r="D75" s="47">
        <f>YEAR(A75)</f>
        <v>2015</v>
      </c>
      <c r="E75" s="49" t="str">
        <f>IF(MONTH(A75)=3,"1",IF(MONTH(A75)=6,"2",IF(MONTH(A75)=9,"3","4")))</f>
        <v>4</v>
      </c>
      <c r="F75" s="305"/>
    </row>
    <row r="76" spans="1:19">
      <c r="A76" s="425">
        <v>42430</v>
      </c>
      <c r="B76" s="484">
        <v>181.94836509599997</v>
      </c>
      <c r="C76" s="483">
        <v>10837.407256999999</v>
      </c>
      <c r="D76" s="47">
        <f t="shared" ref="D76:D139" si="7">YEAR(A76)</f>
        <v>2016</v>
      </c>
      <c r="E76" s="49" t="str">
        <f t="shared" ref="E76:E139" si="8">IF(MONTH(A76)=3,"1",IF(MONTH(A76)=6,"2",IF(MONTH(A76)=9,"3","4")))</f>
        <v>1</v>
      </c>
      <c r="F76" s="305"/>
    </row>
    <row r="77" spans="1:19">
      <c r="A77" s="425">
        <v>42522</v>
      </c>
      <c r="B77" s="561">
        <v>181.237237185</v>
      </c>
      <c r="C77" s="562">
        <v>13372.315251</v>
      </c>
      <c r="D77" s="47">
        <f t="shared" si="7"/>
        <v>2016</v>
      </c>
      <c r="E77" s="49" t="str">
        <f t="shared" si="8"/>
        <v>2</v>
      </c>
      <c r="F77" s="305"/>
    </row>
    <row r="78" spans="1:19">
      <c r="A78" s="425">
        <v>42614</v>
      </c>
      <c r="B78" s="484">
        <v>197.84951740600002</v>
      </c>
      <c r="C78" s="483">
        <v>14228.356485999999</v>
      </c>
      <c r="D78" s="47">
        <f t="shared" si="7"/>
        <v>2016</v>
      </c>
      <c r="E78" s="49" t="str">
        <f t="shared" si="8"/>
        <v>3</v>
      </c>
      <c r="F78" s="305"/>
    </row>
    <row r="79" spans="1:19">
      <c r="A79" s="425">
        <v>42705</v>
      </c>
      <c r="B79" s="561">
        <v>208.24240131800002</v>
      </c>
      <c r="C79" s="562">
        <v>17171.093702999999</v>
      </c>
      <c r="D79" s="47">
        <f t="shared" si="7"/>
        <v>2016</v>
      </c>
      <c r="E79" s="49" t="str">
        <f t="shared" si="8"/>
        <v>4</v>
      </c>
    </row>
    <row r="80" spans="1:19">
      <c r="A80" s="425">
        <v>42795</v>
      </c>
      <c r="B80" s="484">
        <v>185.80251732899995</v>
      </c>
      <c r="C80" s="483">
        <v>17547.901107999998</v>
      </c>
      <c r="D80" s="47">
        <f t="shared" si="7"/>
        <v>2017</v>
      </c>
      <c r="E80" s="49" t="str">
        <f t="shared" si="8"/>
        <v>1</v>
      </c>
    </row>
    <row r="81" spans="1:7">
      <c r="A81" s="425">
        <v>42887</v>
      </c>
      <c r="B81" s="561">
        <v>201.09012624299993</v>
      </c>
      <c r="C81" s="562">
        <v>15371.898154999999</v>
      </c>
      <c r="D81" s="47">
        <f t="shared" si="7"/>
        <v>2017</v>
      </c>
      <c r="E81" s="49" t="str">
        <f t="shared" si="8"/>
        <v>2</v>
      </c>
    </row>
    <row r="82" spans="1:7">
      <c r="A82" s="425">
        <v>42979</v>
      </c>
      <c r="B82" s="484">
        <v>216.24058999099995</v>
      </c>
      <c r="C82" s="483">
        <v>15797.299101999999</v>
      </c>
      <c r="D82" s="47">
        <f t="shared" si="7"/>
        <v>2017</v>
      </c>
      <c r="E82" s="49" t="str">
        <f t="shared" si="8"/>
        <v>3</v>
      </c>
    </row>
    <row r="83" spans="1:7">
      <c r="A83" s="425">
        <v>43070</v>
      </c>
      <c r="B83" s="561">
        <v>210.98771118299999</v>
      </c>
      <c r="C83" s="562">
        <v>15113.749839999999</v>
      </c>
      <c r="D83" s="47">
        <f t="shared" si="7"/>
        <v>2017</v>
      </c>
      <c r="E83" s="49" t="str">
        <f t="shared" si="8"/>
        <v>4</v>
      </c>
    </row>
    <row r="84" spans="1:7">
      <c r="A84" s="425">
        <v>43160</v>
      </c>
      <c r="B84" s="484">
        <v>196.12663006500006</v>
      </c>
      <c r="C84" s="483">
        <v>15473.545389999999</v>
      </c>
      <c r="D84" s="47">
        <f t="shared" si="7"/>
        <v>2018</v>
      </c>
      <c r="E84" s="49" t="str">
        <f t="shared" si="8"/>
        <v>1</v>
      </c>
    </row>
    <row r="85" spans="1:7">
      <c r="A85" s="425">
        <v>43252</v>
      </c>
      <c r="B85" s="561">
        <v>216.07066851799996</v>
      </c>
      <c r="C85" s="562">
        <v>15691.011537999999</v>
      </c>
      <c r="D85" s="47">
        <f t="shared" si="7"/>
        <v>2018</v>
      </c>
      <c r="E85" s="49" t="str">
        <f t="shared" si="8"/>
        <v>2</v>
      </c>
    </row>
    <row r="86" spans="1:7">
      <c r="A86" s="425">
        <v>43344</v>
      </c>
      <c r="B86" s="484">
        <v>200.76104882500002</v>
      </c>
      <c r="C86" s="539">
        <v>16267.339850999999</v>
      </c>
      <c r="D86" s="47">
        <f t="shared" si="7"/>
        <v>2018</v>
      </c>
      <c r="E86" s="49" t="str">
        <f t="shared" si="8"/>
        <v>3</v>
      </c>
    </row>
    <row r="87" spans="1:7">
      <c r="A87" s="425">
        <v>43435</v>
      </c>
      <c r="B87" s="561">
        <v>200.619471559</v>
      </c>
      <c r="C87" s="562">
        <v>18323.666258999998</v>
      </c>
      <c r="D87" s="47">
        <f t="shared" si="7"/>
        <v>2018</v>
      </c>
      <c r="E87" s="49" t="str">
        <f t="shared" si="8"/>
        <v>4</v>
      </c>
    </row>
    <row r="88" spans="1:7">
      <c r="A88" s="425">
        <v>43525</v>
      </c>
      <c r="B88" s="484">
        <v>182.084182822</v>
      </c>
      <c r="C88" s="539">
        <v>19464.395735999999</v>
      </c>
      <c r="D88" s="47">
        <f t="shared" si="7"/>
        <v>2019</v>
      </c>
      <c r="E88" s="49" t="str">
        <f t="shared" si="8"/>
        <v>1</v>
      </c>
      <c r="G88" s="382"/>
    </row>
    <row r="89" spans="1:7">
      <c r="A89" s="425">
        <v>43617</v>
      </c>
      <c r="B89" s="561">
        <v>211.18462670699992</v>
      </c>
      <c r="C89" s="562">
        <v>27798.968166999999</v>
      </c>
      <c r="D89" s="47">
        <f t="shared" si="7"/>
        <v>2019</v>
      </c>
      <c r="E89" s="49" t="str">
        <f t="shared" si="8"/>
        <v>2</v>
      </c>
    </row>
    <row r="90" spans="1:7">
      <c r="A90" s="425">
        <v>43709</v>
      </c>
      <c r="B90" s="484">
        <v>206.07380828799998</v>
      </c>
      <c r="C90" s="539">
        <v>27854.058919999999</v>
      </c>
      <c r="D90" s="47">
        <f t="shared" si="7"/>
        <v>2019</v>
      </c>
      <c r="E90" s="49" t="str">
        <f t="shared" si="8"/>
        <v>3</v>
      </c>
    </row>
    <row r="91" spans="1:7">
      <c r="A91" s="425">
        <v>43800</v>
      </c>
      <c r="B91" s="561">
        <v>212.445268634</v>
      </c>
      <c r="C91" s="562">
        <v>24611.919096999998</v>
      </c>
      <c r="D91" s="47">
        <f t="shared" si="7"/>
        <v>2019</v>
      </c>
      <c r="E91" s="49" t="str">
        <f t="shared" si="8"/>
        <v>4</v>
      </c>
    </row>
    <row r="92" spans="1:7">
      <c r="A92" s="425">
        <v>43891</v>
      </c>
      <c r="B92" s="484">
        <v>192.44282760599998</v>
      </c>
      <c r="C92" s="483">
        <v>23746.642249</v>
      </c>
      <c r="D92" s="47">
        <f t="shared" si="7"/>
        <v>2020</v>
      </c>
      <c r="E92" s="49" t="str">
        <f t="shared" si="8"/>
        <v>1</v>
      </c>
    </row>
    <row r="93" spans="1:7">
      <c r="A93" s="425">
        <v>43983</v>
      </c>
      <c r="B93" s="561">
        <v>226.11576968100002</v>
      </c>
      <c r="C93" s="562">
        <v>28433.974381</v>
      </c>
      <c r="D93" s="47">
        <f t="shared" si="7"/>
        <v>2020</v>
      </c>
      <c r="E93" s="49" t="str">
        <f t="shared" si="8"/>
        <v>2</v>
      </c>
    </row>
    <row r="94" spans="1:7">
      <c r="A94" s="425">
        <v>44075</v>
      </c>
      <c r="B94" s="484">
        <v>212.44596690199998</v>
      </c>
      <c r="C94" s="483">
        <v>31138.335805999999</v>
      </c>
      <c r="D94" s="47">
        <f t="shared" si="7"/>
        <v>2020</v>
      </c>
      <c r="E94" s="49" t="str">
        <f t="shared" si="8"/>
        <v>3</v>
      </c>
    </row>
    <row r="95" spans="1:7">
      <c r="A95" s="425">
        <v>44166</v>
      </c>
      <c r="B95" s="561">
        <v>216.12786258599999</v>
      </c>
      <c r="C95" s="580">
        <v>35118.988615000002</v>
      </c>
      <c r="D95" s="47">
        <f t="shared" si="7"/>
        <v>2020</v>
      </c>
      <c r="E95" s="49" t="str">
        <f t="shared" si="8"/>
        <v>4</v>
      </c>
    </row>
    <row r="96" spans="1:7">
      <c r="A96" s="425">
        <v>44256</v>
      </c>
      <c r="B96" s="484">
        <v>196.71389246399997</v>
      </c>
      <c r="C96" s="483">
        <v>39719.268637000001</v>
      </c>
      <c r="D96" s="47">
        <f t="shared" si="7"/>
        <v>2021</v>
      </c>
      <c r="E96" s="49" t="str">
        <f t="shared" si="8"/>
        <v>1</v>
      </c>
    </row>
    <row r="97" spans="1:5">
      <c r="A97" s="425">
        <v>44348</v>
      </c>
      <c r="B97" s="561">
        <v>213.79958963400003</v>
      </c>
      <c r="C97" s="580">
        <v>49660.350029000001</v>
      </c>
      <c r="D97" s="47">
        <f t="shared" si="7"/>
        <v>2021</v>
      </c>
      <c r="E97" s="49" t="str">
        <f t="shared" si="8"/>
        <v>2</v>
      </c>
    </row>
    <row r="98" spans="1:5">
      <c r="A98" s="425">
        <v>44440</v>
      </c>
      <c r="B98" s="484">
        <v>210.50859602</v>
      </c>
      <c r="C98" s="483">
        <v>42655.838973999998</v>
      </c>
      <c r="D98" s="47">
        <f t="shared" si="7"/>
        <v>2021</v>
      </c>
      <c r="E98" s="49" t="str">
        <f t="shared" si="8"/>
        <v>3</v>
      </c>
    </row>
    <row r="99" spans="1:5">
      <c r="A99" s="425">
        <v>44531</v>
      </c>
      <c r="B99" s="561">
        <v>217.26983650499994</v>
      </c>
      <c r="C99" s="580">
        <v>25789.256395</v>
      </c>
      <c r="D99" s="47">
        <f t="shared" si="7"/>
        <v>2021</v>
      </c>
      <c r="E99" s="49" t="str">
        <f t="shared" si="8"/>
        <v>4</v>
      </c>
    </row>
    <row r="100" spans="1:5">
      <c r="A100" s="425">
        <v>44621</v>
      </c>
      <c r="B100" s="484">
        <v>202.35076833299996</v>
      </c>
      <c r="C100" s="483">
        <v>32807.953959999999</v>
      </c>
      <c r="D100" s="47">
        <f t="shared" si="7"/>
        <v>2022</v>
      </c>
      <c r="E100" s="49" t="str">
        <f t="shared" si="8"/>
        <v>1</v>
      </c>
    </row>
    <row r="101" spans="1:5">
      <c r="A101" s="425">
        <v>44713</v>
      </c>
      <c r="B101" s="561">
        <v>214.690910608</v>
      </c>
      <c r="C101" s="580">
        <v>35945.287838999997</v>
      </c>
      <c r="D101" s="47">
        <f t="shared" si="7"/>
        <v>2022</v>
      </c>
      <c r="E101" s="49" t="str">
        <f t="shared" si="8"/>
        <v>2</v>
      </c>
    </row>
    <row r="102" spans="1:5">
      <c r="A102" s="425">
        <v>44805</v>
      </c>
      <c r="B102" s="484">
        <v>213.83013684700003</v>
      </c>
      <c r="C102" s="483">
        <v>28973.394377999997</v>
      </c>
      <c r="D102" s="47">
        <f t="shared" si="7"/>
        <v>2022</v>
      </c>
      <c r="E102" s="49" t="str">
        <f t="shared" si="8"/>
        <v>3</v>
      </c>
    </row>
    <row r="103" spans="1:5">
      <c r="A103" s="425">
        <v>44896</v>
      </c>
      <c r="B103" s="561">
        <v>224.97355805300003</v>
      </c>
      <c r="C103" s="580">
        <v>29795.975777</v>
      </c>
      <c r="D103" s="47">
        <f t="shared" si="7"/>
        <v>2022</v>
      </c>
      <c r="E103" s="49" t="str">
        <f t="shared" si="8"/>
        <v>4</v>
      </c>
    </row>
    <row r="104" spans="1:5">
      <c r="A104" s="425">
        <v>44986</v>
      </c>
      <c r="B104" s="484">
        <v>209.39910229200001</v>
      </c>
      <c r="C104" s="483">
        <v>34398.214529999997</v>
      </c>
      <c r="D104" s="47">
        <f t="shared" si="7"/>
        <v>2023</v>
      </c>
      <c r="E104" s="49" t="str">
        <f t="shared" si="8"/>
        <v>1</v>
      </c>
    </row>
    <row r="105" spans="1:5">
      <c r="A105" s="425">
        <v>45078</v>
      </c>
      <c r="B105" s="561">
        <v>213.634025764</v>
      </c>
      <c r="C105" s="580">
        <v>32139.332321999998</v>
      </c>
      <c r="D105" s="47">
        <f t="shared" si="7"/>
        <v>2023</v>
      </c>
      <c r="E105" s="49" t="str">
        <f t="shared" si="8"/>
        <v>2</v>
      </c>
    </row>
    <row r="106" spans="1:5">
      <c r="A106" s="425">
        <v>45170</v>
      </c>
      <c r="B106" s="484">
        <v>216.29227132199998</v>
      </c>
      <c r="C106" s="483">
        <v>33666.547941999997</v>
      </c>
      <c r="D106" s="47">
        <f t="shared" si="7"/>
        <v>2023</v>
      </c>
      <c r="E106" s="49" t="str">
        <f t="shared" si="8"/>
        <v>3</v>
      </c>
    </row>
    <row r="107" spans="1:5" ht="15.75" thickBot="1">
      <c r="A107" s="426">
        <v>45261</v>
      </c>
      <c r="B107" s="1306">
        <v>220.19715757399999</v>
      </c>
      <c r="C107" s="947">
        <v>38855.434780999996</v>
      </c>
      <c r="D107" s="47">
        <f t="shared" si="7"/>
        <v>2023</v>
      </c>
      <c r="E107" s="49" t="str">
        <f t="shared" si="8"/>
        <v>4</v>
      </c>
    </row>
    <row r="108" spans="1:5">
      <c r="C108" s="14"/>
      <c r="D108" s="47">
        <f t="shared" si="7"/>
        <v>1900</v>
      </c>
      <c r="E108" s="49" t="str">
        <f t="shared" si="8"/>
        <v>4</v>
      </c>
    </row>
    <row r="109" spans="1:5">
      <c r="C109" s="14"/>
      <c r="D109" s="47">
        <f t="shared" si="7"/>
        <v>1900</v>
      </c>
      <c r="E109" s="49" t="str">
        <f t="shared" si="8"/>
        <v>4</v>
      </c>
    </row>
    <row r="110" spans="1:5">
      <c r="C110" s="14"/>
      <c r="D110" s="47">
        <f t="shared" si="7"/>
        <v>1900</v>
      </c>
      <c r="E110" s="49" t="str">
        <f t="shared" si="8"/>
        <v>4</v>
      </c>
    </row>
    <row r="111" spans="1:5">
      <c r="C111" s="14"/>
      <c r="D111" s="47">
        <f t="shared" si="7"/>
        <v>1900</v>
      </c>
      <c r="E111" s="49" t="str">
        <f t="shared" si="8"/>
        <v>4</v>
      </c>
    </row>
    <row r="112" spans="1:5">
      <c r="C112" s="14"/>
      <c r="D112" s="47">
        <f t="shared" si="7"/>
        <v>1900</v>
      </c>
      <c r="E112" s="49" t="str">
        <f t="shared" si="8"/>
        <v>4</v>
      </c>
    </row>
    <row r="113" spans="3:5">
      <c r="C113" s="14"/>
      <c r="D113" s="47">
        <f t="shared" si="7"/>
        <v>1900</v>
      </c>
      <c r="E113" s="49" t="str">
        <f t="shared" si="8"/>
        <v>4</v>
      </c>
    </row>
    <row r="114" spans="3:5">
      <c r="C114" s="14"/>
      <c r="D114" s="47">
        <f t="shared" si="7"/>
        <v>1900</v>
      </c>
      <c r="E114" s="49" t="str">
        <f t="shared" si="8"/>
        <v>4</v>
      </c>
    </row>
    <row r="115" spans="3:5">
      <c r="C115" s="14"/>
      <c r="D115" s="47">
        <f t="shared" si="7"/>
        <v>1900</v>
      </c>
      <c r="E115" s="49" t="str">
        <f t="shared" si="8"/>
        <v>4</v>
      </c>
    </row>
    <row r="116" spans="3:5">
      <c r="C116" s="14"/>
      <c r="D116" s="47">
        <f t="shared" si="7"/>
        <v>1900</v>
      </c>
      <c r="E116" s="49" t="str">
        <f t="shared" si="8"/>
        <v>4</v>
      </c>
    </row>
    <row r="117" spans="3:5">
      <c r="C117" s="14"/>
      <c r="D117" s="47">
        <f t="shared" si="7"/>
        <v>1900</v>
      </c>
      <c r="E117" s="49" t="str">
        <f t="shared" si="8"/>
        <v>4</v>
      </c>
    </row>
    <row r="118" spans="3:5">
      <c r="C118" s="14"/>
      <c r="D118" s="47">
        <f t="shared" si="7"/>
        <v>1900</v>
      </c>
      <c r="E118" s="49" t="str">
        <f t="shared" si="8"/>
        <v>4</v>
      </c>
    </row>
    <row r="119" spans="3:5">
      <c r="C119" s="14"/>
      <c r="D119" s="47">
        <f t="shared" si="7"/>
        <v>1900</v>
      </c>
      <c r="E119" s="49" t="str">
        <f t="shared" si="8"/>
        <v>4</v>
      </c>
    </row>
    <row r="120" spans="3:5">
      <c r="C120" s="14"/>
      <c r="D120" s="47">
        <f t="shared" si="7"/>
        <v>1900</v>
      </c>
      <c r="E120" s="49" t="str">
        <f t="shared" si="8"/>
        <v>4</v>
      </c>
    </row>
    <row r="121" spans="3:5">
      <c r="C121" s="14"/>
      <c r="D121" s="47">
        <f t="shared" si="7"/>
        <v>1900</v>
      </c>
      <c r="E121" s="49" t="str">
        <f t="shared" si="8"/>
        <v>4</v>
      </c>
    </row>
    <row r="122" spans="3:5">
      <c r="C122" s="14"/>
      <c r="D122" s="47">
        <f t="shared" si="7"/>
        <v>1900</v>
      </c>
      <c r="E122" s="49" t="str">
        <f t="shared" si="8"/>
        <v>4</v>
      </c>
    </row>
    <row r="123" spans="3:5">
      <c r="C123" s="14"/>
      <c r="D123" s="47">
        <f t="shared" si="7"/>
        <v>1900</v>
      </c>
      <c r="E123" s="49" t="str">
        <f t="shared" si="8"/>
        <v>4</v>
      </c>
    </row>
    <row r="124" spans="3:5">
      <c r="C124" s="14"/>
      <c r="D124" s="47">
        <f t="shared" si="7"/>
        <v>1900</v>
      </c>
      <c r="E124" s="49" t="str">
        <f t="shared" si="8"/>
        <v>4</v>
      </c>
    </row>
    <row r="125" spans="3:5">
      <c r="C125" s="14"/>
      <c r="D125" s="47">
        <f t="shared" si="7"/>
        <v>1900</v>
      </c>
      <c r="E125" s="49" t="str">
        <f t="shared" si="8"/>
        <v>4</v>
      </c>
    </row>
    <row r="126" spans="3:5">
      <c r="C126" s="14"/>
      <c r="D126" s="47">
        <f t="shared" si="7"/>
        <v>1900</v>
      </c>
      <c r="E126" s="49" t="str">
        <f t="shared" si="8"/>
        <v>4</v>
      </c>
    </row>
    <row r="127" spans="3:5">
      <c r="C127" s="14"/>
      <c r="D127" s="47">
        <f t="shared" si="7"/>
        <v>1900</v>
      </c>
      <c r="E127" s="49" t="str">
        <f t="shared" si="8"/>
        <v>4</v>
      </c>
    </row>
    <row r="128" spans="3:5">
      <c r="C128" s="14"/>
      <c r="D128" s="47">
        <f t="shared" si="7"/>
        <v>1900</v>
      </c>
      <c r="E128" s="49" t="str">
        <f t="shared" si="8"/>
        <v>4</v>
      </c>
    </row>
    <row r="129" spans="3:5">
      <c r="C129" s="14"/>
      <c r="D129" s="47">
        <f t="shared" si="7"/>
        <v>1900</v>
      </c>
      <c r="E129" s="49" t="str">
        <f t="shared" si="8"/>
        <v>4</v>
      </c>
    </row>
    <row r="130" spans="3:5">
      <c r="C130" s="14"/>
      <c r="D130" s="47">
        <f t="shared" si="7"/>
        <v>1900</v>
      </c>
      <c r="E130" s="49" t="str">
        <f t="shared" si="8"/>
        <v>4</v>
      </c>
    </row>
    <row r="131" spans="3:5">
      <c r="C131" s="14"/>
      <c r="D131" s="47">
        <f t="shared" si="7"/>
        <v>1900</v>
      </c>
      <c r="E131" s="49" t="str">
        <f t="shared" si="8"/>
        <v>4</v>
      </c>
    </row>
    <row r="132" spans="3:5">
      <c r="C132" s="14"/>
      <c r="D132" s="47">
        <f t="shared" si="7"/>
        <v>1900</v>
      </c>
      <c r="E132" s="49" t="str">
        <f t="shared" si="8"/>
        <v>4</v>
      </c>
    </row>
    <row r="133" spans="3:5">
      <c r="C133" s="14"/>
      <c r="D133" s="47">
        <f t="shared" si="7"/>
        <v>1900</v>
      </c>
      <c r="E133" s="49" t="str">
        <f t="shared" si="8"/>
        <v>4</v>
      </c>
    </row>
    <row r="134" spans="3:5">
      <c r="C134" s="14"/>
      <c r="D134" s="47">
        <f t="shared" si="7"/>
        <v>1900</v>
      </c>
      <c r="E134" s="49" t="str">
        <f t="shared" si="8"/>
        <v>4</v>
      </c>
    </row>
    <row r="135" spans="3:5">
      <c r="C135" s="14"/>
      <c r="D135" s="47">
        <f t="shared" si="7"/>
        <v>1900</v>
      </c>
      <c r="E135" s="49" t="str">
        <f t="shared" si="8"/>
        <v>4</v>
      </c>
    </row>
    <row r="136" spans="3:5">
      <c r="C136" s="14"/>
      <c r="D136" s="47">
        <f t="shared" si="7"/>
        <v>1900</v>
      </c>
      <c r="E136" s="49" t="str">
        <f t="shared" si="8"/>
        <v>4</v>
      </c>
    </row>
    <row r="137" spans="3:5">
      <c r="C137" s="14"/>
      <c r="D137" s="47">
        <f t="shared" si="7"/>
        <v>1900</v>
      </c>
      <c r="E137" s="49" t="str">
        <f t="shared" si="8"/>
        <v>4</v>
      </c>
    </row>
    <row r="138" spans="3:5">
      <c r="C138" s="14"/>
      <c r="D138" s="47">
        <f t="shared" si="7"/>
        <v>1900</v>
      </c>
      <c r="E138" s="49" t="str">
        <f t="shared" si="8"/>
        <v>4</v>
      </c>
    </row>
    <row r="139" spans="3:5">
      <c r="C139" s="14"/>
      <c r="D139" s="47">
        <f t="shared" si="7"/>
        <v>1900</v>
      </c>
      <c r="E139" s="49" t="str">
        <f t="shared" si="8"/>
        <v>4</v>
      </c>
    </row>
    <row r="140" spans="3:5">
      <c r="C140" s="14"/>
      <c r="D140" s="47">
        <f t="shared" ref="D140:D203" si="9">YEAR(A140)</f>
        <v>1900</v>
      </c>
      <c r="E140" s="49" t="str">
        <f t="shared" ref="E140:E203" si="10">IF(MONTH(A140)=3,"1",IF(MONTH(A140)=6,"2",IF(MONTH(A140)=9,"3","4")))</f>
        <v>4</v>
      </c>
    </row>
    <row r="141" spans="3:5">
      <c r="C141" s="14"/>
      <c r="D141" s="47">
        <f t="shared" si="9"/>
        <v>1900</v>
      </c>
      <c r="E141" s="49" t="str">
        <f t="shared" si="10"/>
        <v>4</v>
      </c>
    </row>
    <row r="142" spans="3:5">
      <c r="C142" s="14"/>
      <c r="D142" s="47">
        <f t="shared" si="9"/>
        <v>1900</v>
      </c>
      <c r="E142" s="49" t="str">
        <f t="shared" si="10"/>
        <v>4</v>
      </c>
    </row>
    <row r="143" spans="3:5">
      <c r="C143" s="14"/>
      <c r="D143" s="47">
        <f t="shared" si="9"/>
        <v>1900</v>
      </c>
      <c r="E143" s="49" t="str">
        <f t="shared" si="10"/>
        <v>4</v>
      </c>
    </row>
    <row r="144" spans="3:5">
      <c r="C144" s="14"/>
      <c r="D144" s="47">
        <f t="shared" si="9"/>
        <v>1900</v>
      </c>
      <c r="E144" s="49" t="str">
        <f t="shared" si="10"/>
        <v>4</v>
      </c>
    </row>
    <row r="145" spans="3:5">
      <c r="C145" s="14"/>
      <c r="D145" s="47">
        <f t="shared" si="9"/>
        <v>1900</v>
      </c>
      <c r="E145" s="49" t="str">
        <f t="shared" si="10"/>
        <v>4</v>
      </c>
    </row>
    <row r="146" spans="3:5">
      <c r="C146" s="14"/>
      <c r="D146" s="47">
        <f t="shared" si="9"/>
        <v>1900</v>
      </c>
      <c r="E146" s="49" t="str">
        <f t="shared" si="10"/>
        <v>4</v>
      </c>
    </row>
    <row r="147" spans="3:5">
      <c r="C147" s="14"/>
      <c r="D147" s="47">
        <f t="shared" si="9"/>
        <v>1900</v>
      </c>
      <c r="E147" s="49" t="str">
        <f t="shared" si="10"/>
        <v>4</v>
      </c>
    </row>
    <row r="148" spans="3:5">
      <c r="C148" s="14"/>
      <c r="D148" s="47">
        <f t="shared" si="9"/>
        <v>1900</v>
      </c>
      <c r="E148" s="49" t="str">
        <f t="shared" si="10"/>
        <v>4</v>
      </c>
    </row>
    <row r="149" spans="3:5">
      <c r="C149" s="14"/>
      <c r="D149" s="47">
        <f t="shared" si="9"/>
        <v>1900</v>
      </c>
      <c r="E149" s="49" t="str">
        <f t="shared" si="10"/>
        <v>4</v>
      </c>
    </row>
    <row r="150" spans="3:5">
      <c r="C150" s="14"/>
      <c r="D150" s="47">
        <f t="shared" si="9"/>
        <v>1900</v>
      </c>
      <c r="E150" s="49" t="str">
        <f t="shared" si="10"/>
        <v>4</v>
      </c>
    </row>
    <row r="151" spans="3:5">
      <c r="C151" s="14"/>
      <c r="D151" s="47">
        <f t="shared" si="9"/>
        <v>1900</v>
      </c>
      <c r="E151" s="49" t="str">
        <f t="shared" si="10"/>
        <v>4</v>
      </c>
    </row>
    <row r="152" spans="3:5">
      <c r="C152" s="14"/>
      <c r="D152" s="47">
        <f t="shared" si="9"/>
        <v>1900</v>
      </c>
      <c r="E152" s="49" t="str">
        <f t="shared" si="10"/>
        <v>4</v>
      </c>
    </row>
    <row r="153" spans="3:5">
      <c r="C153" s="14"/>
      <c r="D153" s="47">
        <f t="shared" si="9"/>
        <v>1900</v>
      </c>
      <c r="E153" s="49" t="str">
        <f t="shared" si="10"/>
        <v>4</v>
      </c>
    </row>
    <row r="154" spans="3:5">
      <c r="C154" s="14"/>
      <c r="D154" s="47">
        <f t="shared" si="9"/>
        <v>1900</v>
      </c>
      <c r="E154" s="49" t="str">
        <f t="shared" si="10"/>
        <v>4</v>
      </c>
    </row>
    <row r="155" spans="3:5">
      <c r="C155" s="14"/>
      <c r="D155" s="47">
        <f t="shared" si="9"/>
        <v>1900</v>
      </c>
      <c r="E155" s="49" t="str">
        <f t="shared" si="10"/>
        <v>4</v>
      </c>
    </row>
    <row r="156" spans="3:5">
      <c r="C156" s="14"/>
      <c r="D156" s="47">
        <f t="shared" si="9"/>
        <v>1900</v>
      </c>
      <c r="E156" s="49" t="str">
        <f t="shared" si="10"/>
        <v>4</v>
      </c>
    </row>
    <row r="157" spans="3:5">
      <c r="C157" s="14"/>
      <c r="D157" s="47">
        <f t="shared" si="9"/>
        <v>1900</v>
      </c>
      <c r="E157" s="49" t="str">
        <f t="shared" si="10"/>
        <v>4</v>
      </c>
    </row>
    <row r="158" spans="3:5">
      <c r="C158" s="14"/>
      <c r="D158" s="47">
        <f t="shared" si="9"/>
        <v>1900</v>
      </c>
      <c r="E158" s="49" t="str">
        <f t="shared" si="10"/>
        <v>4</v>
      </c>
    </row>
    <row r="159" spans="3:5">
      <c r="C159" s="14"/>
      <c r="D159" s="47">
        <f t="shared" si="9"/>
        <v>1900</v>
      </c>
      <c r="E159" s="49" t="str">
        <f t="shared" si="10"/>
        <v>4</v>
      </c>
    </row>
    <row r="160" spans="3:5">
      <c r="C160" s="14"/>
      <c r="D160" s="47">
        <f t="shared" si="9"/>
        <v>1900</v>
      </c>
      <c r="E160" s="49" t="str">
        <f t="shared" si="10"/>
        <v>4</v>
      </c>
    </row>
    <row r="161" spans="3:5">
      <c r="C161" s="14"/>
      <c r="D161" s="47">
        <f t="shared" si="9"/>
        <v>1900</v>
      </c>
      <c r="E161" s="49" t="str">
        <f t="shared" si="10"/>
        <v>4</v>
      </c>
    </row>
    <row r="162" spans="3:5">
      <c r="C162" s="14"/>
      <c r="D162" s="47">
        <f t="shared" si="9"/>
        <v>1900</v>
      </c>
      <c r="E162" s="49" t="str">
        <f t="shared" si="10"/>
        <v>4</v>
      </c>
    </row>
    <row r="163" spans="3:5">
      <c r="C163" s="14"/>
      <c r="D163" s="47">
        <f t="shared" si="9"/>
        <v>1900</v>
      </c>
      <c r="E163" s="49" t="str">
        <f t="shared" si="10"/>
        <v>4</v>
      </c>
    </row>
    <row r="164" spans="3:5">
      <c r="C164" s="14"/>
      <c r="D164" s="47">
        <f t="shared" si="9"/>
        <v>1900</v>
      </c>
      <c r="E164" s="49" t="str">
        <f t="shared" si="10"/>
        <v>4</v>
      </c>
    </row>
    <row r="165" spans="3:5">
      <c r="C165" s="14"/>
      <c r="D165" s="47">
        <f t="shared" si="9"/>
        <v>1900</v>
      </c>
      <c r="E165" s="49" t="str">
        <f t="shared" si="10"/>
        <v>4</v>
      </c>
    </row>
    <row r="166" spans="3:5">
      <c r="C166" s="14"/>
      <c r="D166" s="47">
        <f t="shared" si="9"/>
        <v>1900</v>
      </c>
      <c r="E166" s="49" t="str">
        <f t="shared" si="10"/>
        <v>4</v>
      </c>
    </row>
    <row r="167" spans="3:5">
      <c r="C167" s="14"/>
      <c r="D167" s="47">
        <f t="shared" si="9"/>
        <v>1900</v>
      </c>
      <c r="E167" s="49" t="str">
        <f t="shared" si="10"/>
        <v>4</v>
      </c>
    </row>
    <row r="168" spans="3:5">
      <c r="C168" s="14"/>
      <c r="D168" s="47">
        <f t="shared" si="9"/>
        <v>1900</v>
      </c>
      <c r="E168" s="49" t="str">
        <f t="shared" si="10"/>
        <v>4</v>
      </c>
    </row>
    <row r="169" spans="3:5">
      <c r="C169" s="14"/>
      <c r="D169" s="47">
        <f t="shared" si="9"/>
        <v>1900</v>
      </c>
      <c r="E169" s="49" t="str">
        <f t="shared" si="10"/>
        <v>4</v>
      </c>
    </row>
    <row r="170" spans="3:5">
      <c r="C170" s="14"/>
      <c r="D170" s="47">
        <f t="shared" si="9"/>
        <v>1900</v>
      </c>
      <c r="E170" s="49" t="str">
        <f t="shared" si="10"/>
        <v>4</v>
      </c>
    </row>
    <row r="171" spans="3:5">
      <c r="C171" s="14"/>
      <c r="D171" s="47">
        <f t="shared" si="9"/>
        <v>1900</v>
      </c>
      <c r="E171" s="49" t="str">
        <f t="shared" si="10"/>
        <v>4</v>
      </c>
    </row>
    <row r="172" spans="3:5">
      <c r="C172" s="14"/>
      <c r="D172" s="47">
        <f t="shared" si="9"/>
        <v>1900</v>
      </c>
      <c r="E172" s="49" t="str">
        <f t="shared" si="10"/>
        <v>4</v>
      </c>
    </row>
    <row r="173" spans="3:5">
      <c r="C173" s="14"/>
      <c r="D173" s="47">
        <f t="shared" si="9"/>
        <v>1900</v>
      </c>
      <c r="E173" s="49" t="str">
        <f t="shared" si="10"/>
        <v>4</v>
      </c>
    </row>
    <row r="174" spans="3:5">
      <c r="C174" s="14"/>
      <c r="D174" s="47">
        <f t="shared" si="9"/>
        <v>1900</v>
      </c>
      <c r="E174" s="49" t="str">
        <f t="shared" si="10"/>
        <v>4</v>
      </c>
    </row>
    <row r="175" spans="3:5">
      <c r="C175" s="14"/>
      <c r="D175" s="47">
        <f t="shared" si="9"/>
        <v>1900</v>
      </c>
      <c r="E175" s="49" t="str">
        <f t="shared" si="10"/>
        <v>4</v>
      </c>
    </row>
    <row r="176" spans="3:5">
      <c r="C176" s="14"/>
      <c r="D176" s="47">
        <f t="shared" si="9"/>
        <v>1900</v>
      </c>
      <c r="E176" s="49" t="str">
        <f t="shared" si="10"/>
        <v>4</v>
      </c>
    </row>
    <row r="177" spans="3:5">
      <c r="C177" s="14"/>
      <c r="D177" s="47">
        <f t="shared" si="9"/>
        <v>1900</v>
      </c>
      <c r="E177" s="49" t="str">
        <f t="shared" si="10"/>
        <v>4</v>
      </c>
    </row>
    <row r="178" spans="3:5">
      <c r="C178" s="14"/>
      <c r="D178" s="47">
        <f t="shared" si="9"/>
        <v>1900</v>
      </c>
      <c r="E178" s="49" t="str">
        <f t="shared" si="10"/>
        <v>4</v>
      </c>
    </row>
    <row r="179" spans="3:5">
      <c r="C179" s="14"/>
      <c r="D179" s="47">
        <f t="shared" si="9"/>
        <v>1900</v>
      </c>
      <c r="E179" s="49" t="str">
        <f t="shared" si="10"/>
        <v>4</v>
      </c>
    </row>
    <row r="180" spans="3:5">
      <c r="C180" s="14"/>
      <c r="D180" s="47">
        <f t="shared" si="9"/>
        <v>1900</v>
      </c>
      <c r="E180" s="49" t="str">
        <f t="shared" si="10"/>
        <v>4</v>
      </c>
    </row>
    <row r="181" spans="3:5">
      <c r="C181" s="14"/>
      <c r="D181" s="47">
        <f t="shared" si="9"/>
        <v>1900</v>
      </c>
      <c r="E181" s="49" t="str">
        <f t="shared" si="10"/>
        <v>4</v>
      </c>
    </row>
    <row r="182" spans="3:5">
      <c r="C182" s="14"/>
      <c r="D182" s="47">
        <f t="shared" si="9"/>
        <v>1900</v>
      </c>
      <c r="E182" s="49" t="str">
        <f t="shared" si="10"/>
        <v>4</v>
      </c>
    </row>
    <row r="183" spans="3:5">
      <c r="C183" s="14"/>
      <c r="D183" s="47">
        <f t="shared" si="9"/>
        <v>1900</v>
      </c>
      <c r="E183" s="49" t="str">
        <f t="shared" si="10"/>
        <v>4</v>
      </c>
    </row>
    <row r="184" spans="3:5">
      <c r="C184" s="14"/>
      <c r="D184" s="47">
        <f t="shared" si="9"/>
        <v>1900</v>
      </c>
      <c r="E184" s="49" t="str">
        <f t="shared" si="10"/>
        <v>4</v>
      </c>
    </row>
    <row r="185" spans="3:5">
      <c r="C185" s="14"/>
      <c r="D185" s="47">
        <f t="shared" si="9"/>
        <v>1900</v>
      </c>
      <c r="E185" s="49" t="str">
        <f t="shared" si="10"/>
        <v>4</v>
      </c>
    </row>
    <row r="186" spans="3:5">
      <c r="C186" s="14"/>
      <c r="D186" s="47">
        <f t="shared" si="9"/>
        <v>1900</v>
      </c>
      <c r="E186" s="49" t="str">
        <f t="shared" si="10"/>
        <v>4</v>
      </c>
    </row>
    <row r="187" spans="3:5">
      <c r="C187" s="14"/>
      <c r="D187" s="47">
        <f t="shared" si="9"/>
        <v>1900</v>
      </c>
      <c r="E187" s="49" t="str">
        <f t="shared" si="10"/>
        <v>4</v>
      </c>
    </row>
    <row r="188" spans="3:5">
      <c r="C188" s="14"/>
      <c r="D188" s="47">
        <f t="shared" si="9"/>
        <v>1900</v>
      </c>
      <c r="E188" s="49" t="str">
        <f t="shared" si="10"/>
        <v>4</v>
      </c>
    </row>
    <row r="189" spans="3:5">
      <c r="C189" s="14"/>
      <c r="D189" s="47">
        <f t="shared" si="9"/>
        <v>1900</v>
      </c>
      <c r="E189" s="49" t="str">
        <f t="shared" si="10"/>
        <v>4</v>
      </c>
    </row>
    <row r="190" spans="3:5">
      <c r="C190" s="14"/>
      <c r="D190" s="47">
        <f t="shared" si="9"/>
        <v>1900</v>
      </c>
      <c r="E190" s="49" t="str">
        <f t="shared" si="10"/>
        <v>4</v>
      </c>
    </row>
    <row r="191" spans="3:5">
      <c r="C191" s="14"/>
      <c r="D191" s="47">
        <f t="shared" si="9"/>
        <v>1900</v>
      </c>
      <c r="E191" s="49" t="str">
        <f t="shared" si="10"/>
        <v>4</v>
      </c>
    </row>
    <row r="192" spans="3:5">
      <c r="C192" s="14"/>
      <c r="D192" s="47">
        <f t="shared" si="9"/>
        <v>1900</v>
      </c>
      <c r="E192" s="49" t="str">
        <f t="shared" si="10"/>
        <v>4</v>
      </c>
    </row>
    <row r="193" spans="3:5">
      <c r="C193" s="14"/>
      <c r="D193" s="47">
        <f t="shared" si="9"/>
        <v>1900</v>
      </c>
      <c r="E193" s="49" t="str">
        <f t="shared" si="10"/>
        <v>4</v>
      </c>
    </row>
    <row r="194" spans="3:5">
      <c r="C194" s="14"/>
      <c r="D194" s="47">
        <f t="shared" si="9"/>
        <v>1900</v>
      </c>
      <c r="E194" s="49" t="str">
        <f t="shared" si="10"/>
        <v>4</v>
      </c>
    </row>
    <row r="195" spans="3:5">
      <c r="C195" s="14"/>
      <c r="D195" s="47">
        <f t="shared" si="9"/>
        <v>1900</v>
      </c>
      <c r="E195" s="49" t="str">
        <f t="shared" si="10"/>
        <v>4</v>
      </c>
    </row>
    <row r="196" spans="3:5">
      <c r="C196" s="14"/>
      <c r="D196" s="47">
        <f t="shared" si="9"/>
        <v>1900</v>
      </c>
      <c r="E196" s="49" t="str">
        <f t="shared" si="10"/>
        <v>4</v>
      </c>
    </row>
    <row r="197" spans="3:5">
      <c r="C197" s="14"/>
      <c r="D197" s="47">
        <f t="shared" si="9"/>
        <v>1900</v>
      </c>
      <c r="E197" s="49" t="str">
        <f t="shared" si="10"/>
        <v>4</v>
      </c>
    </row>
    <row r="198" spans="3:5">
      <c r="C198" s="14"/>
      <c r="D198" s="47">
        <f t="shared" si="9"/>
        <v>1900</v>
      </c>
      <c r="E198" s="49" t="str">
        <f t="shared" si="10"/>
        <v>4</v>
      </c>
    </row>
    <row r="199" spans="3:5">
      <c r="C199" s="14"/>
      <c r="D199" s="47">
        <f t="shared" si="9"/>
        <v>1900</v>
      </c>
      <c r="E199" s="49" t="str">
        <f t="shared" si="10"/>
        <v>4</v>
      </c>
    </row>
    <row r="200" spans="3:5">
      <c r="C200" s="14"/>
      <c r="D200" s="47">
        <f t="shared" si="9"/>
        <v>1900</v>
      </c>
      <c r="E200" s="49" t="str">
        <f t="shared" si="10"/>
        <v>4</v>
      </c>
    </row>
    <row r="201" spans="3:5">
      <c r="C201" s="14"/>
      <c r="D201" s="47">
        <f t="shared" si="9"/>
        <v>1900</v>
      </c>
      <c r="E201" s="49" t="str">
        <f t="shared" si="10"/>
        <v>4</v>
      </c>
    </row>
    <row r="202" spans="3:5">
      <c r="C202" s="14"/>
      <c r="D202" s="47">
        <f t="shared" si="9"/>
        <v>1900</v>
      </c>
      <c r="E202" s="49" t="str">
        <f t="shared" si="10"/>
        <v>4</v>
      </c>
    </row>
    <row r="203" spans="3:5">
      <c r="C203" s="14"/>
      <c r="D203" s="47">
        <f t="shared" si="9"/>
        <v>1900</v>
      </c>
      <c r="E203" s="49" t="str">
        <f t="shared" si="10"/>
        <v>4</v>
      </c>
    </row>
    <row r="204" spans="3:5">
      <c r="C204" s="14"/>
      <c r="D204" s="47">
        <f t="shared" ref="D204:D250" si="11">YEAR(A204)</f>
        <v>1900</v>
      </c>
      <c r="E204" s="49" t="str">
        <f t="shared" ref="E204:E250" si="12">IF(MONTH(A204)=3,"1",IF(MONTH(A204)=6,"2",IF(MONTH(A204)=9,"3","4")))</f>
        <v>4</v>
      </c>
    </row>
    <row r="205" spans="3:5">
      <c r="C205" s="14"/>
      <c r="D205" s="47">
        <f t="shared" si="11"/>
        <v>1900</v>
      </c>
      <c r="E205" s="49" t="str">
        <f t="shared" si="12"/>
        <v>4</v>
      </c>
    </row>
    <row r="206" spans="3:5">
      <c r="C206" s="14"/>
      <c r="D206" s="47">
        <f t="shared" si="11"/>
        <v>1900</v>
      </c>
      <c r="E206" s="49" t="str">
        <f t="shared" si="12"/>
        <v>4</v>
      </c>
    </row>
    <row r="207" spans="3:5">
      <c r="C207" s="14"/>
      <c r="D207" s="47">
        <f t="shared" si="11"/>
        <v>1900</v>
      </c>
      <c r="E207" s="49" t="str">
        <f t="shared" si="12"/>
        <v>4</v>
      </c>
    </row>
    <row r="208" spans="3:5">
      <c r="C208" s="14"/>
      <c r="D208" s="47">
        <f t="shared" si="11"/>
        <v>1900</v>
      </c>
      <c r="E208" s="49" t="str">
        <f t="shared" si="12"/>
        <v>4</v>
      </c>
    </row>
    <row r="209" spans="3:5">
      <c r="C209" s="14"/>
      <c r="D209" s="47">
        <f t="shared" si="11"/>
        <v>1900</v>
      </c>
      <c r="E209" s="49" t="str">
        <f t="shared" si="12"/>
        <v>4</v>
      </c>
    </row>
    <row r="210" spans="3:5">
      <c r="C210" s="14"/>
      <c r="D210" s="47">
        <f t="shared" si="11"/>
        <v>1900</v>
      </c>
      <c r="E210" s="49" t="str">
        <f t="shared" si="12"/>
        <v>4</v>
      </c>
    </row>
    <row r="211" spans="3:5">
      <c r="C211" s="14"/>
      <c r="D211" s="47">
        <f t="shared" si="11"/>
        <v>1900</v>
      </c>
      <c r="E211" s="49" t="str">
        <f t="shared" si="12"/>
        <v>4</v>
      </c>
    </row>
    <row r="212" spans="3:5">
      <c r="C212" s="14"/>
      <c r="D212" s="47">
        <f t="shared" si="11"/>
        <v>1900</v>
      </c>
      <c r="E212" s="49" t="str">
        <f t="shared" si="12"/>
        <v>4</v>
      </c>
    </row>
    <row r="213" spans="3:5">
      <c r="C213" s="14"/>
      <c r="D213" s="47">
        <f t="shared" si="11"/>
        <v>1900</v>
      </c>
      <c r="E213" s="49" t="str">
        <f t="shared" si="12"/>
        <v>4</v>
      </c>
    </row>
    <row r="214" spans="3:5">
      <c r="C214" s="14"/>
      <c r="D214" s="47">
        <f t="shared" si="11"/>
        <v>1900</v>
      </c>
      <c r="E214" s="49" t="str">
        <f t="shared" si="12"/>
        <v>4</v>
      </c>
    </row>
    <row r="215" spans="3:5">
      <c r="C215" s="14"/>
      <c r="D215" s="47">
        <f t="shared" si="11"/>
        <v>1900</v>
      </c>
      <c r="E215" s="49" t="str">
        <f t="shared" si="12"/>
        <v>4</v>
      </c>
    </row>
    <row r="216" spans="3:5">
      <c r="C216" s="14"/>
      <c r="D216" s="47">
        <f t="shared" si="11"/>
        <v>1900</v>
      </c>
      <c r="E216" s="49" t="str">
        <f t="shared" si="12"/>
        <v>4</v>
      </c>
    </row>
    <row r="217" spans="3:5">
      <c r="C217" s="14"/>
      <c r="D217" s="47">
        <f t="shared" si="11"/>
        <v>1900</v>
      </c>
      <c r="E217" s="49" t="str">
        <f t="shared" si="12"/>
        <v>4</v>
      </c>
    </row>
    <row r="218" spans="3:5">
      <c r="C218" s="14"/>
      <c r="D218" s="47">
        <f t="shared" si="11"/>
        <v>1900</v>
      </c>
      <c r="E218" s="49" t="str">
        <f t="shared" si="12"/>
        <v>4</v>
      </c>
    </row>
    <row r="219" spans="3:5">
      <c r="C219" s="14"/>
      <c r="D219" s="47">
        <f t="shared" si="11"/>
        <v>1900</v>
      </c>
      <c r="E219" s="49" t="str">
        <f t="shared" si="12"/>
        <v>4</v>
      </c>
    </row>
    <row r="220" spans="3:5">
      <c r="C220" s="14"/>
      <c r="D220" s="47">
        <f t="shared" si="11"/>
        <v>1900</v>
      </c>
      <c r="E220" s="49" t="str">
        <f t="shared" si="12"/>
        <v>4</v>
      </c>
    </row>
    <row r="221" spans="3:5">
      <c r="C221" s="14"/>
      <c r="D221" s="47">
        <f t="shared" si="11"/>
        <v>1900</v>
      </c>
      <c r="E221" s="49" t="str">
        <f t="shared" si="12"/>
        <v>4</v>
      </c>
    </row>
    <row r="222" spans="3:5">
      <c r="C222" s="14"/>
      <c r="D222" s="47">
        <f t="shared" si="11"/>
        <v>1900</v>
      </c>
      <c r="E222" s="49" t="str">
        <f t="shared" si="12"/>
        <v>4</v>
      </c>
    </row>
    <row r="223" spans="3:5">
      <c r="C223" s="14"/>
      <c r="D223" s="47">
        <f t="shared" si="11"/>
        <v>1900</v>
      </c>
      <c r="E223" s="49" t="str">
        <f t="shared" si="12"/>
        <v>4</v>
      </c>
    </row>
    <row r="224" spans="3:5">
      <c r="C224" s="14"/>
      <c r="D224" s="47">
        <f t="shared" si="11"/>
        <v>1900</v>
      </c>
      <c r="E224" s="49" t="str">
        <f t="shared" si="12"/>
        <v>4</v>
      </c>
    </row>
    <row r="225" spans="3:5">
      <c r="C225" s="14"/>
      <c r="D225" s="47">
        <f t="shared" si="11"/>
        <v>1900</v>
      </c>
      <c r="E225" s="49" t="str">
        <f t="shared" si="12"/>
        <v>4</v>
      </c>
    </row>
    <row r="226" spans="3:5">
      <c r="C226" s="14"/>
      <c r="D226" s="47">
        <f t="shared" si="11"/>
        <v>1900</v>
      </c>
      <c r="E226" s="49" t="str">
        <f t="shared" si="12"/>
        <v>4</v>
      </c>
    </row>
    <row r="227" spans="3:5">
      <c r="C227" s="14"/>
      <c r="D227" s="47">
        <f t="shared" si="11"/>
        <v>1900</v>
      </c>
      <c r="E227" s="49" t="str">
        <f t="shared" si="12"/>
        <v>4</v>
      </c>
    </row>
    <row r="228" spans="3:5">
      <c r="C228" s="14"/>
      <c r="D228" s="47">
        <f t="shared" si="11"/>
        <v>1900</v>
      </c>
      <c r="E228" s="49" t="str">
        <f t="shared" si="12"/>
        <v>4</v>
      </c>
    </row>
    <row r="229" spans="3:5">
      <c r="C229" s="14"/>
      <c r="D229" s="47">
        <f t="shared" si="11"/>
        <v>1900</v>
      </c>
      <c r="E229" s="49" t="str">
        <f t="shared" si="12"/>
        <v>4</v>
      </c>
    </row>
    <row r="230" spans="3:5">
      <c r="C230" s="14"/>
      <c r="D230" s="47">
        <f t="shared" si="11"/>
        <v>1900</v>
      </c>
      <c r="E230" s="49" t="str">
        <f t="shared" si="12"/>
        <v>4</v>
      </c>
    </row>
    <row r="231" spans="3:5">
      <c r="C231" s="14"/>
      <c r="D231" s="47">
        <f t="shared" si="11"/>
        <v>1900</v>
      </c>
      <c r="E231" s="49" t="str">
        <f t="shared" si="12"/>
        <v>4</v>
      </c>
    </row>
    <row r="232" spans="3:5">
      <c r="C232" s="14"/>
      <c r="D232" s="47">
        <f t="shared" si="11"/>
        <v>1900</v>
      </c>
      <c r="E232" s="49" t="str">
        <f t="shared" si="12"/>
        <v>4</v>
      </c>
    </row>
    <row r="233" spans="3:5">
      <c r="C233" s="14"/>
      <c r="D233" s="47">
        <f t="shared" si="11"/>
        <v>1900</v>
      </c>
      <c r="E233" s="49" t="str">
        <f t="shared" si="12"/>
        <v>4</v>
      </c>
    </row>
    <row r="234" spans="3:5">
      <c r="C234" s="14"/>
      <c r="D234" s="47">
        <f t="shared" si="11"/>
        <v>1900</v>
      </c>
      <c r="E234" s="49" t="str">
        <f t="shared" si="12"/>
        <v>4</v>
      </c>
    </row>
    <row r="235" spans="3:5">
      <c r="C235" s="14"/>
      <c r="D235" s="47">
        <f t="shared" si="11"/>
        <v>1900</v>
      </c>
      <c r="E235" s="49" t="str">
        <f t="shared" si="12"/>
        <v>4</v>
      </c>
    </row>
    <row r="236" spans="3:5">
      <c r="C236" s="14"/>
      <c r="D236" s="47">
        <f t="shared" si="11"/>
        <v>1900</v>
      </c>
      <c r="E236" s="49" t="str">
        <f t="shared" si="12"/>
        <v>4</v>
      </c>
    </row>
    <row r="237" spans="3:5">
      <c r="C237" s="14"/>
      <c r="D237" s="47">
        <f t="shared" si="11"/>
        <v>1900</v>
      </c>
      <c r="E237" s="49" t="str">
        <f t="shared" si="12"/>
        <v>4</v>
      </c>
    </row>
    <row r="238" spans="3:5">
      <c r="C238" s="14"/>
      <c r="D238" s="47">
        <f t="shared" si="11"/>
        <v>1900</v>
      </c>
      <c r="E238" s="49" t="str">
        <f t="shared" si="12"/>
        <v>4</v>
      </c>
    </row>
    <row r="239" spans="3:5">
      <c r="C239" s="14"/>
      <c r="D239" s="47">
        <f t="shared" si="11"/>
        <v>1900</v>
      </c>
      <c r="E239" s="49" t="str">
        <f t="shared" si="12"/>
        <v>4</v>
      </c>
    </row>
    <row r="240" spans="3:5">
      <c r="C240" s="14"/>
      <c r="D240" s="47">
        <f t="shared" si="11"/>
        <v>1900</v>
      </c>
      <c r="E240" s="49" t="str">
        <f t="shared" si="12"/>
        <v>4</v>
      </c>
    </row>
    <row r="241" spans="3:5">
      <c r="C241" s="14"/>
      <c r="D241" s="47">
        <f t="shared" si="11"/>
        <v>1900</v>
      </c>
      <c r="E241" s="49" t="str">
        <f t="shared" si="12"/>
        <v>4</v>
      </c>
    </row>
    <row r="242" spans="3:5">
      <c r="C242" s="14"/>
      <c r="D242" s="47">
        <f t="shared" si="11"/>
        <v>1900</v>
      </c>
      <c r="E242" s="49" t="str">
        <f t="shared" si="12"/>
        <v>4</v>
      </c>
    </row>
    <row r="243" spans="3:5">
      <c r="C243" s="14"/>
      <c r="D243" s="47">
        <f t="shared" si="11"/>
        <v>1900</v>
      </c>
      <c r="E243" s="49" t="str">
        <f t="shared" si="12"/>
        <v>4</v>
      </c>
    </row>
    <row r="244" spans="3:5">
      <c r="C244" s="14"/>
      <c r="D244" s="47">
        <f t="shared" si="11"/>
        <v>1900</v>
      </c>
      <c r="E244" s="49" t="str">
        <f t="shared" si="12"/>
        <v>4</v>
      </c>
    </row>
    <row r="245" spans="3:5">
      <c r="C245" s="14"/>
      <c r="D245" s="47">
        <f t="shared" si="11"/>
        <v>1900</v>
      </c>
      <c r="E245" s="49" t="str">
        <f t="shared" si="12"/>
        <v>4</v>
      </c>
    </row>
    <row r="246" spans="3:5">
      <c r="C246" s="14"/>
      <c r="D246" s="47">
        <f t="shared" si="11"/>
        <v>1900</v>
      </c>
      <c r="E246" s="49" t="str">
        <f t="shared" si="12"/>
        <v>4</v>
      </c>
    </row>
    <row r="247" spans="3:5">
      <c r="C247" s="14"/>
      <c r="D247" s="47">
        <f t="shared" si="11"/>
        <v>1900</v>
      </c>
      <c r="E247" s="49" t="str">
        <f t="shared" si="12"/>
        <v>4</v>
      </c>
    </row>
    <row r="248" spans="3:5">
      <c r="C248" s="14"/>
      <c r="D248" s="47">
        <f t="shared" si="11"/>
        <v>1900</v>
      </c>
      <c r="E248" s="49" t="str">
        <f t="shared" si="12"/>
        <v>4</v>
      </c>
    </row>
    <row r="249" spans="3:5">
      <c r="C249" s="14"/>
      <c r="D249" s="47">
        <f t="shared" si="11"/>
        <v>1900</v>
      </c>
      <c r="E249" s="49" t="str">
        <f t="shared" si="12"/>
        <v>4</v>
      </c>
    </row>
    <row r="250" spans="3:5">
      <c r="C250" s="14"/>
      <c r="D250" s="47">
        <f t="shared" si="11"/>
        <v>1900</v>
      </c>
      <c r="E250" s="49" t="str">
        <f t="shared" si="12"/>
        <v>4</v>
      </c>
    </row>
    <row r="251" spans="3:5">
      <c r="C251" s="14"/>
      <c r="D251" s="50"/>
      <c r="E251" s="50"/>
    </row>
    <row r="252" spans="3:5">
      <c r="C252" s="14"/>
      <c r="D252" s="50"/>
      <c r="E252" s="50"/>
    </row>
    <row r="253" spans="3:5">
      <c r="C253" s="14"/>
      <c r="D253" s="50"/>
      <c r="E253" s="50"/>
    </row>
    <row r="254" spans="3:5">
      <c r="C254" s="14"/>
      <c r="D254" s="50"/>
      <c r="E254" s="50"/>
    </row>
    <row r="255" spans="3:5">
      <c r="C255" s="14"/>
      <c r="D255" s="50"/>
      <c r="E255" s="50"/>
    </row>
    <row r="256" spans="3:5">
      <c r="C256" s="14"/>
      <c r="D256" s="50"/>
      <c r="E256" s="50"/>
    </row>
    <row r="257" spans="3:5">
      <c r="C257" s="14"/>
      <c r="D257" s="50"/>
      <c r="E257" s="50"/>
    </row>
    <row r="258" spans="3:5">
      <c r="C258" s="14"/>
      <c r="D258" s="50"/>
      <c r="E258" s="50"/>
    </row>
    <row r="259" spans="3:5">
      <c r="C259" s="14"/>
      <c r="D259" s="50"/>
      <c r="E259" s="50"/>
    </row>
    <row r="260" spans="3:5">
      <c r="C260" s="14"/>
      <c r="D260" s="50"/>
      <c r="E260" s="50"/>
    </row>
    <row r="261" spans="3:5">
      <c r="C261" s="14"/>
      <c r="D261" s="50"/>
      <c r="E261" s="50"/>
    </row>
    <row r="262" spans="3:5">
      <c r="C262" s="14"/>
      <c r="D262" s="50"/>
      <c r="E262" s="50"/>
    </row>
    <row r="263" spans="3:5">
      <c r="C263" s="14"/>
      <c r="D263" s="50"/>
      <c r="E263" s="50"/>
    </row>
    <row r="264" spans="3:5">
      <c r="C264" s="14"/>
      <c r="D264" s="50"/>
      <c r="E264" s="50"/>
    </row>
    <row r="265" spans="3:5">
      <c r="C265" s="14"/>
      <c r="D265" s="50"/>
      <c r="E265" s="50"/>
    </row>
    <row r="266" spans="3:5">
      <c r="C266" s="14"/>
      <c r="D266" s="50"/>
      <c r="E266" s="50"/>
    </row>
    <row r="267" spans="3:5">
      <c r="C267" s="14"/>
      <c r="D267" s="50"/>
      <c r="E267" s="50"/>
    </row>
    <row r="268" spans="3:5">
      <c r="C268" s="14"/>
      <c r="D268" s="50"/>
      <c r="E268" s="50"/>
    </row>
    <row r="269" spans="3:5">
      <c r="C269" s="14"/>
      <c r="D269" s="50"/>
      <c r="E269" s="50"/>
    </row>
    <row r="270" spans="3:5">
      <c r="C270" s="14"/>
      <c r="D270" s="50"/>
      <c r="E270" s="50"/>
    </row>
    <row r="271" spans="3:5">
      <c r="C271" s="14"/>
      <c r="D271" s="50"/>
      <c r="E271" s="50"/>
    </row>
    <row r="272" spans="3:5">
      <c r="C272" s="14"/>
      <c r="D272" s="50"/>
      <c r="E272" s="50"/>
    </row>
    <row r="273" spans="3:5">
      <c r="C273" s="14"/>
      <c r="D273" s="50"/>
      <c r="E273" s="50"/>
    </row>
    <row r="274" spans="3:5">
      <c r="C274" s="14"/>
      <c r="D274" s="50"/>
      <c r="E274" s="50"/>
    </row>
    <row r="275" spans="3:5">
      <c r="C275" s="14"/>
      <c r="D275" s="50"/>
      <c r="E275" s="50"/>
    </row>
    <row r="276" spans="3:5">
      <c r="C276" s="14"/>
      <c r="D276" s="50"/>
      <c r="E276" s="50"/>
    </row>
    <row r="277" spans="3:5">
      <c r="C277" s="14"/>
      <c r="D277" s="50"/>
      <c r="E277" s="50"/>
    </row>
    <row r="278" spans="3:5">
      <c r="C278" s="14"/>
      <c r="D278" s="50"/>
      <c r="E278" s="50"/>
    </row>
    <row r="279" spans="3:5">
      <c r="C279" s="14"/>
      <c r="D279" s="50"/>
      <c r="E279" s="50"/>
    </row>
    <row r="280" spans="3:5">
      <c r="C280" s="14"/>
      <c r="D280" s="50"/>
      <c r="E280" s="50"/>
    </row>
    <row r="281" spans="3:5">
      <c r="C281" s="14"/>
      <c r="D281" s="50"/>
      <c r="E281" s="50"/>
    </row>
    <row r="282" spans="3:5">
      <c r="C282" s="14"/>
      <c r="D282" s="50"/>
      <c r="E282" s="50"/>
    </row>
    <row r="283" spans="3:5">
      <c r="C283" s="14"/>
      <c r="D283" s="50"/>
      <c r="E283" s="50"/>
    </row>
    <row r="284" spans="3:5">
      <c r="C284" s="14"/>
      <c r="D284" s="50"/>
      <c r="E284" s="50"/>
    </row>
    <row r="285" spans="3:5">
      <c r="C285" s="14"/>
      <c r="D285" s="50"/>
      <c r="E285" s="50"/>
    </row>
    <row r="286" spans="3:5">
      <c r="C286" s="14"/>
      <c r="D286" s="50"/>
      <c r="E286" s="50"/>
    </row>
    <row r="287" spans="3:5">
      <c r="C287" s="14"/>
      <c r="D287" s="50"/>
      <c r="E287" s="50"/>
    </row>
    <row r="288" spans="3:5">
      <c r="C288" s="14"/>
      <c r="D288" s="50"/>
      <c r="E288" s="50"/>
    </row>
    <row r="289" spans="3:5">
      <c r="C289" s="14"/>
      <c r="D289" s="50"/>
      <c r="E289" s="50"/>
    </row>
    <row r="290" spans="3:5">
      <c r="C290" s="14"/>
      <c r="D290" s="50"/>
      <c r="E290" s="50"/>
    </row>
    <row r="291" spans="3:5">
      <c r="C291" s="14"/>
      <c r="D291" s="50"/>
      <c r="E291" s="50"/>
    </row>
    <row r="292" spans="3:5">
      <c r="C292" s="14"/>
      <c r="D292" s="50"/>
      <c r="E292" s="50"/>
    </row>
    <row r="293" spans="3:5">
      <c r="C293" s="14"/>
      <c r="D293" s="50"/>
      <c r="E293" s="50"/>
    </row>
    <row r="294" spans="3:5">
      <c r="C294" s="14"/>
      <c r="D294" s="50"/>
      <c r="E294" s="50"/>
    </row>
    <row r="295" spans="3:5">
      <c r="C295" s="14"/>
      <c r="D295" s="50"/>
      <c r="E295" s="50"/>
    </row>
    <row r="296" spans="3:5">
      <c r="C296" s="14"/>
      <c r="D296" s="50"/>
      <c r="E296" s="50"/>
    </row>
    <row r="297" spans="3:5">
      <c r="C297" s="14"/>
      <c r="D297" s="50"/>
      <c r="E297" s="50"/>
    </row>
    <row r="298" spans="3:5">
      <c r="C298" s="14"/>
      <c r="D298" s="50"/>
      <c r="E298" s="50"/>
    </row>
    <row r="299" spans="3:5">
      <c r="C299" s="14"/>
      <c r="D299" s="50"/>
      <c r="E299" s="50"/>
    </row>
    <row r="300" spans="3:5">
      <c r="C300" s="14"/>
      <c r="D300" s="50"/>
      <c r="E300" s="50"/>
    </row>
    <row r="301" spans="3:5">
      <c r="C301" s="14"/>
      <c r="D301" s="50"/>
      <c r="E301" s="50"/>
    </row>
    <row r="302" spans="3:5">
      <c r="C302" s="14"/>
      <c r="D302" s="50"/>
      <c r="E302" s="50"/>
    </row>
    <row r="303" spans="3:5">
      <c r="C303" s="14"/>
      <c r="D303" s="50"/>
      <c r="E303" s="50"/>
    </row>
    <row r="304" spans="3:5">
      <c r="C304" s="14"/>
      <c r="D304" s="50"/>
      <c r="E304" s="50"/>
    </row>
    <row r="305" spans="3:5">
      <c r="C305" s="14"/>
      <c r="D305" s="50"/>
      <c r="E305" s="50"/>
    </row>
    <row r="306" spans="3:5">
      <c r="C306" s="14"/>
      <c r="D306" s="50"/>
      <c r="E306" s="50"/>
    </row>
    <row r="307" spans="3:5">
      <c r="C307" s="14"/>
      <c r="D307" s="50"/>
      <c r="E307" s="50"/>
    </row>
    <row r="308" spans="3:5">
      <c r="C308" s="14"/>
      <c r="D308" s="50"/>
      <c r="E308" s="50"/>
    </row>
    <row r="309" spans="3:5">
      <c r="C309" s="14"/>
      <c r="D309" s="50"/>
      <c r="E309" s="50"/>
    </row>
    <row r="310" spans="3:5">
      <c r="C310" s="14"/>
      <c r="D310" s="50"/>
      <c r="E310" s="50"/>
    </row>
    <row r="311" spans="3:5">
      <c r="C311" s="14"/>
      <c r="D311" s="50"/>
      <c r="E311" s="50"/>
    </row>
    <row r="312" spans="3:5">
      <c r="C312" s="14"/>
      <c r="D312" s="50"/>
      <c r="E312" s="50"/>
    </row>
    <row r="313" spans="3:5">
      <c r="C313" s="14"/>
      <c r="D313" s="50"/>
      <c r="E313" s="50"/>
    </row>
    <row r="314" spans="3:5">
      <c r="C314" s="14"/>
      <c r="D314" s="50"/>
      <c r="E314" s="50"/>
    </row>
    <row r="315" spans="3:5">
      <c r="C315" s="14"/>
      <c r="D315" s="50"/>
      <c r="E315" s="50"/>
    </row>
    <row r="316" spans="3:5">
      <c r="C316" s="14"/>
      <c r="D316" s="50"/>
      <c r="E316" s="50"/>
    </row>
    <row r="317" spans="3:5">
      <c r="C317" s="14"/>
      <c r="D317" s="50"/>
      <c r="E317" s="50"/>
    </row>
    <row r="318" spans="3:5">
      <c r="C318" s="14"/>
      <c r="D318" s="50"/>
      <c r="E318" s="50"/>
    </row>
    <row r="319" spans="3:5">
      <c r="C319" s="14"/>
      <c r="D319" s="50"/>
      <c r="E319" s="50"/>
    </row>
    <row r="320" spans="3:5">
      <c r="C320" s="14"/>
      <c r="D320" s="50"/>
      <c r="E320" s="50"/>
    </row>
    <row r="321" spans="3:5">
      <c r="C321" s="14"/>
      <c r="D321" s="50"/>
      <c r="E321" s="50"/>
    </row>
    <row r="322" spans="3:5">
      <c r="C322" s="14"/>
      <c r="D322" s="50"/>
      <c r="E322" s="50"/>
    </row>
    <row r="323" spans="3:5">
      <c r="C323" s="14"/>
      <c r="D323" s="50"/>
      <c r="E323" s="50"/>
    </row>
    <row r="324" spans="3:5">
      <c r="C324" s="14"/>
      <c r="D324" s="50"/>
      <c r="E324" s="50"/>
    </row>
    <row r="325" spans="3:5">
      <c r="C325" s="14"/>
      <c r="D325" s="50"/>
      <c r="E325" s="50"/>
    </row>
    <row r="326" spans="3:5">
      <c r="C326" s="14"/>
      <c r="D326" s="50"/>
      <c r="E326" s="50"/>
    </row>
    <row r="327" spans="3:5">
      <c r="C327" s="14"/>
      <c r="D327" s="50"/>
      <c r="E327" s="50"/>
    </row>
    <row r="328" spans="3:5">
      <c r="C328" s="14"/>
      <c r="D328" s="50"/>
      <c r="E328" s="50"/>
    </row>
    <row r="329" spans="3:5">
      <c r="C329" s="14"/>
      <c r="D329" s="50"/>
      <c r="E329" s="50"/>
    </row>
    <row r="330" spans="3:5">
      <c r="C330" s="14"/>
      <c r="D330" s="50"/>
      <c r="E330" s="50"/>
    </row>
    <row r="331" spans="3:5">
      <c r="C331" s="14"/>
      <c r="D331" s="50"/>
      <c r="E331" s="50"/>
    </row>
    <row r="332" spans="3:5">
      <c r="C332" s="14"/>
      <c r="D332" s="50"/>
      <c r="E332" s="50"/>
    </row>
    <row r="333" spans="3:5">
      <c r="C333" s="14"/>
      <c r="D333" s="50"/>
      <c r="E333" s="50"/>
    </row>
    <row r="334" spans="3:5">
      <c r="C334" s="14"/>
      <c r="D334" s="50"/>
      <c r="E334" s="50"/>
    </row>
    <row r="335" spans="3:5">
      <c r="C335" s="14"/>
      <c r="D335" s="50"/>
      <c r="E335" s="50"/>
    </row>
    <row r="336" spans="3:5">
      <c r="C336" s="14"/>
      <c r="D336" s="50"/>
      <c r="E336" s="50"/>
    </row>
    <row r="337" spans="3:5">
      <c r="C337" s="14"/>
      <c r="D337" s="50"/>
      <c r="E337" s="50"/>
    </row>
    <row r="338" spans="3:5">
      <c r="C338" s="14"/>
      <c r="D338" s="50"/>
      <c r="E338" s="50"/>
    </row>
    <row r="339" spans="3:5">
      <c r="C339" s="14"/>
      <c r="D339" s="50"/>
      <c r="E339" s="50"/>
    </row>
    <row r="340" spans="3:5">
      <c r="C340" s="14"/>
      <c r="D340" s="50"/>
      <c r="E340" s="50"/>
    </row>
    <row r="341" spans="3:5">
      <c r="C341" s="14"/>
      <c r="D341" s="50"/>
      <c r="E341" s="50"/>
    </row>
    <row r="342" spans="3:5">
      <c r="C342" s="14"/>
      <c r="D342" s="50"/>
      <c r="E342" s="50"/>
    </row>
    <row r="343" spans="3:5">
      <c r="C343" s="14"/>
      <c r="D343" s="50"/>
      <c r="E343" s="50"/>
    </row>
    <row r="344" spans="3:5">
      <c r="C344" s="14"/>
      <c r="D344" s="50"/>
      <c r="E344" s="50"/>
    </row>
    <row r="345" spans="3:5">
      <c r="C345" s="14"/>
      <c r="D345" s="50"/>
      <c r="E345" s="50"/>
    </row>
    <row r="346" spans="3:5">
      <c r="C346" s="14"/>
      <c r="D346" s="50"/>
      <c r="E346" s="50"/>
    </row>
    <row r="347" spans="3:5">
      <c r="C347" s="14"/>
      <c r="D347" s="50"/>
      <c r="E347" s="50"/>
    </row>
    <row r="348" spans="3:5">
      <c r="C348" s="14"/>
      <c r="D348" s="50"/>
      <c r="E348" s="50"/>
    </row>
    <row r="349" spans="3:5">
      <c r="C349" s="14"/>
      <c r="D349" s="50"/>
      <c r="E349" s="50"/>
    </row>
    <row r="350" spans="3:5">
      <c r="C350" s="14"/>
      <c r="D350" s="50"/>
      <c r="E350" s="50"/>
    </row>
    <row r="351" spans="3:5">
      <c r="C351" s="14"/>
      <c r="D351" s="50"/>
      <c r="E351" s="50"/>
    </row>
    <row r="352" spans="3:5">
      <c r="C352" s="14"/>
      <c r="D352" s="50"/>
      <c r="E352" s="50"/>
    </row>
    <row r="353" spans="3:5">
      <c r="C353" s="14"/>
      <c r="D353" s="50"/>
      <c r="E353" s="50"/>
    </row>
    <row r="354" spans="3:5">
      <c r="C354" s="14"/>
      <c r="D354" s="50"/>
      <c r="E354" s="50"/>
    </row>
    <row r="355" spans="3:5">
      <c r="C355" s="14"/>
      <c r="D355" s="50"/>
      <c r="E355" s="50"/>
    </row>
    <row r="356" spans="3:5">
      <c r="C356" s="14"/>
      <c r="D356" s="50"/>
      <c r="E356" s="50"/>
    </row>
    <row r="357" spans="3:5">
      <c r="C357" s="14"/>
      <c r="D357" s="50"/>
      <c r="E357" s="50"/>
    </row>
    <row r="358" spans="3:5">
      <c r="C358" s="14"/>
      <c r="D358" s="50"/>
      <c r="E358" s="50"/>
    </row>
    <row r="359" spans="3:5">
      <c r="C359" s="14"/>
      <c r="D359" s="50"/>
      <c r="E359" s="50"/>
    </row>
    <row r="360" spans="3:5">
      <c r="C360" s="14"/>
      <c r="D360" s="50"/>
      <c r="E360" s="50"/>
    </row>
    <row r="361" spans="3:5">
      <c r="C361" s="14"/>
      <c r="D361" s="50"/>
      <c r="E361" s="50"/>
    </row>
    <row r="362" spans="3:5">
      <c r="C362" s="14"/>
      <c r="D362" s="50"/>
      <c r="E362" s="50"/>
    </row>
  </sheetData>
  <mergeCells count="6">
    <mergeCell ref="A5:C5"/>
    <mergeCell ref="A6:C6"/>
    <mergeCell ref="Q7:S7"/>
    <mergeCell ref="Q8:S8"/>
    <mergeCell ref="Q33:S33"/>
    <mergeCell ref="R32:S32"/>
  </mergeCells>
  <dataValidations count="1">
    <dataValidation type="list" allowBlank="1" showInputMessage="1" showErrorMessage="1" promptTitle="Select a Period:" prompt="Select Financial or Calendar years." sqref="R32:S32" xr:uid="{00000000-0002-0000-1800-000000000000}">
      <formula1>A1:A2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sheetPr>
  <dimension ref="A1:AA76"/>
  <sheetViews>
    <sheetView showGridLines="0" workbookViewId="0"/>
  </sheetViews>
  <sheetFormatPr defaultColWidth="9.140625" defaultRowHeight="15.75"/>
  <cols>
    <col min="1" max="1" width="31.5703125" style="303" bestFit="1" customWidth="1"/>
    <col min="2" max="2" width="5.28515625" style="303" bestFit="1" customWidth="1"/>
    <col min="3" max="3" width="21.5703125" style="303" bestFit="1" customWidth="1"/>
    <col min="4" max="4" width="15.140625" style="303" bestFit="1" customWidth="1"/>
    <col min="5" max="6" width="15.42578125" style="985" customWidth="1"/>
    <col min="7" max="12" width="15.42578125" style="303" customWidth="1"/>
    <col min="13" max="13" width="19.140625" style="303" customWidth="1"/>
    <col min="14" max="14" width="15.42578125" style="303" customWidth="1"/>
    <col min="15" max="16" width="9.140625" style="983"/>
    <col min="17" max="18" width="12" style="983" bestFit="1" customWidth="1"/>
    <col min="19" max="19" width="14.85546875" style="983" bestFit="1" customWidth="1"/>
    <col min="20" max="20" width="12" style="983" bestFit="1" customWidth="1"/>
    <col min="21" max="21" width="17.28515625" style="971" bestFit="1" customWidth="1"/>
    <col min="22" max="22" width="9.140625" style="971"/>
    <col min="23" max="23" width="17.85546875" style="971" customWidth="1"/>
    <col min="24" max="27" width="9.140625" style="971"/>
    <col min="28" max="16384" width="9.140625" style="303"/>
  </cols>
  <sheetData>
    <row r="1" spans="1:26">
      <c r="V1" s="971" t="s">
        <v>2</v>
      </c>
      <c r="W1" s="972" t="str">
        <f>"Iron Ore Exports "&amp;B6&amp;CHAR(10)&amp;"Total Value: $"&amp;TEXT(C16,"#,###")</f>
        <v>Iron Ore Exports 2023
Total Value: $134,399,976,000</v>
      </c>
      <c r="X1" s="972" t="s">
        <v>240</v>
      </c>
      <c r="Y1" s="972">
        <f>IF($B$5="Calendar Year",MAX('Commodity Prices'!$BB$9:$BB$3488),CONCATENATE(MAX('Commodity Prices'!$BN$9:$BN$3487),"-",VALUE(RIGHT(MAX('Commodity Prices'!$BN$9:$BN$3487),2))+1))</f>
        <v>2023</v>
      </c>
      <c r="Z1" s="971">
        <f t="array" ref="Z1">MIN(IF('Commodity Prices'!$BA$9:$BA$3488=V1,'Commodity Prices'!$BB$9:$BB$3488))</f>
        <v>2007</v>
      </c>
    </row>
    <row r="2" spans="1:26">
      <c r="W2" s="972" t="str">
        <f>IF($B$5=X1,IF(RIGHT(LEFT(B6,5),1)="-","Mismatch Error",""),IF(LEN(B6)=4,"Mismatch Error",""))</f>
        <v/>
      </c>
      <c r="X2" s="972" t="s">
        <v>246</v>
      </c>
      <c r="Y2" s="972">
        <f>IFERROR(IF($B$5=$X$1,IF($Z$1&lt;=(Y1-1),Y1-1,""),IF($Z$1=VALUE(LEFT(Y1,4)),"",CONCATENATE(VALUE(LEFT(Y1,4))-1,"-",RIGHT(LEFT(Y1,4),2)))),"")</f>
        <v>2022</v>
      </c>
    </row>
    <row r="3" spans="1:26">
      <c r="W3" s="972"/>
      <c r="X3" s="972"/>
      <c r="Y3" s="972">
        <f t="shared" ref="Y3:Y25" si="0">IFERROR(IF($B$5=$X$1,IF($Z$1&lt;=(Y2-1),Y2-1,""),IF($Z$1=VALUE(LEFT(Y2,4)),"",CONCATENATE(VALUE(LEFT(Y2,4))-1,"-",RIGHT(LEFT(Y2,4),2)))),"")</f>
        <v>2021</v>
      </c>
    </row>
    <row r="4" spans="1:26" ht="26.25" customHeight="1" thickBot="1">
      <c r="W4" s="972"/>
      <c r="X4" s="972"/>
      <c r="Y4" s="972">
        <f t="shared" si="0"/>
        <v>2020</v>
      </c>
    </row>
    <row r="5" spans="1:26">
      <c r="A5" s="1408" t="s">
        <v>247</v>
      </c>
      <c r="B5" s="2021" t="s">
        <v>240</v>
      </c>
      <c r="C5" s="2021"/>
      <c r="D5" s="2022"/>
      <c r="E5" s="988"/>
      <c r="W5" s="972"/>
      <c r="X5" s="972"/>
      <c r="Y5" s="972">
        <f t="shared" si="0"/>
        <v>2019</v>
      </c>
    </row>
    <row r="6" spans="1:26" ht="16.5" thickBot="1">
      <c r="A6" s="1512" t="s">
        <v>247</v>
      </c>
      <c r="B6" s="2023">
        <v>2023</v>
      </c>
      <c r="C6" s="2023"/>
      <c r="D6" s="2024"/>
      <c r="E6" s="988"/>
      <c r="W6" s="972"/>
      <c r="X6" s="972"/>
      <c r="Y6" s="972">
        <f t="shared" si="0"/>
        <v>2018</v>
      </c>
    </row>
    <row r="7" spans="1:26">
      <c r="W7" s="972"/>
      <c r="X7" s="972"/>
      <c r="Y7" s="972">
        <f t="shared" si="0"/>
        <v>2017</v>
      </c>
    </row>
    <row r="8" spans="1:26" ht="16.5" thickBot="1">
      <c r="A8" s="1948" t="str">
        <f>IF($B$6="Click here to select an option","Select a year above for display.",CONCATENATE("Exports ",B6))</f>
        <v>Exports 2023</v>
      </c>
      <c r="B8" s="1948"/>
      <c r="C8" s="1948"/>
      <c r="D8" s="1948"/>
      <c r="W8" s="972"/>
      <c r="X8" s="972"/>
      <c r="Y8" s="972">
        <f t="shared" si="0"/>
        <v>2016</v>
      </c>
    </row>
    <row r="9" spans="1:26">
      <c r="A9" s="1408" t="s">
        <v>591</v>
      </c>
      <c r="B9" s="1409" t="s">
        <v>31</v>
      </c>
      <c r="C9" s="790" t="s">
        <v>402</v>
      </c>
      <c r="D9" s="791" t="s">
        <v>33</v>
      </c>
      <c r="W9" s="972"/>
      <c r="X9" s="972"/>
      <c r="Y9" s="972">
        <f t="shared" si="0"/>
        <v>2015</v>
      </c>
    </row>
    <row r="10" spans="1:26">
      <c r="A10" s="29" t="str">
        <f t="array" ref="A10">IF($W$2="Mismatch Error","Mismatch Error",IF($B$5=$X$1,INDEX('Commodity Prices'!$BA$9:$BF$3498,MATCH(1,(('Commodity Prices'!$BA$9:$BA$3488)="Iron Ore")*(('Commodity Prices'!$BB$9:$BB$3488)=$B$6)*(('Commodity Prices'!$BD$9:$BD$3488)=B10),0),3),INDEX('Commodity Prices'!$BH$9:$BM$3487,MATCH(1,(('Commodity Prices'!$BH$9:$BH$3487)="Iron Ore")*(('Commodity Prices'!$BI$9:$BI$3487)=$B$6)*(('Commodity Prices'!$BK$9:$BK$3487)=B10),0),3)))</f>
        <v>China</v>
      </c>
      <c r="B10" s="567">
        <v>1</v>
      </c>
      <c r="C10" s="1780">
        <f t="array" ref="C10">IF($W$2="Mismatch Error","",IF($B$5=$X$1,INDEX('Commodity Prices'!$BA$9:$BF$3498,MATCH(1,(('Commodity Prices'!$BA$9:$BA$3488)="Iron Ore")*(('Commodity Prices'!$BB$9:$BB$3488)=$B$6)*(('Commodity Prices'!$BD$9:$BD$3488)=B10),0),5),INDEX('Commodity Prices'!$BH$9:$BM$3487,MATCH(1,(('Commodity Prices'!$BH$9:$BH$3487)="Iron Ore")*(('Commodity Prices'!$BI$9:$BI$3487)=$B$6)*(('Commodity Prices'!$BK$9:$BK$3487)=B10),0),5)))</f>
        <v>114174680000</v>
      </c>
      <c r="D10" s="568">
        <f t="shared" ref="D10:D15" si="1">IF($W$2="Mismatch Error","",C10/$C$16)</f>
        <v>0.84951413979419166</v>
      </c>
      <c r="W10" s="972"/>
      <c r="X10" s="972"/>
      <c r="Y10" s="972">
        <f t="shared" si="0"/>
        <v>2014</v>
      </c>
    </row>
    <row r="11" spans="1:26">
      <c r="A11" s="526" t="str">
        <f t="array" ref="A11">IF($W$2="Mismatch Error","",IF($B$5=$X$1,INDEX('Commodity Prices'!$BA$9:$BF$3498,MATCH(1,(('Commodity Prices'!$BA$9:$BA$3488)="Iron Ore")*(('Commodity Prices'!$BB$9:$BB$3488)=$B$6)*(('Commodity Prices'!$BD$9:$BD$3488)=B11),0),3),INDEX('Commodity Prices'!$BH$9:$BM$3487,MATCH(1,(('Commodity Prices'!$BH$9:$BH$3487)="Iron Ore")*(('Commodity Prices'!$BI$9:$BI$3487)=$B$6)*(('Commodity Prices'!$BK$9:$BK$3487)=B11),0),3)))</f>
        <v>Japan</v>
      </c>
      <c r="B11" s="569">
        <v>2</v>
      </c>
      <c r="C11" s="1775">
        <f t="array" ref="C11">IF($W$2="Mismatch Error","",IF($B$5=$X$1,INDEX('Commodity Prices'!$BA$9:$BF$3498,MATCH(1,(('Commodity Prices'!$BA$9:$BA$3488)="Iron Ore")*(('Commodity Prices'!$BB$9:$BB$3488)=$B$6)*(('Commodity Prices'!$BD$9:$BD$3488)=B11),0),5),INDEX('Commodity Prices'!$BH$9:$BM$3487,MATCH(1,(('Commodity Prices'!$BH$9:$BH$3487)="Iron Ore")*(('Commodity Prices'!$BI$9:$BI$3487)=$B$6)*(('Commodity Prices'!$BK$9:$BK$3487)=B11),0),5)))</f>
        <v>7945510000</v>
      </c>
      <c r="D11" s="570">
        <f t="shared" si="1"/>
        <v>5.9118388533045574E-2</v>
      </c>
      <c r="E11" s="986"/>
      <c r="W11" s="972"/>
      <c r="X11" s="972"/>
      <c r="Y11" s="972">
        <f t="shared" si="0"/>
        <v>2013</v>
      </c>
    </row>
    <row r="12" spans="1:26">
      <c r="A12" s="29" t="str">
        <f t="array" ref="A12">IF($W$2="Mismatch Error","",IF($B$5=$X$1,INDEX('Commodity Prices'!$BA$9:$BF$3498,MATCH(1,(('Commodity Prices'!$BA$9:$BA$3488)="Iron Ore")*(('Commodity Prices'!$BB$9:$BB$3488)=$B$6)*(('Commodity Prices'!$BD$9:$BD$3488)=B12),0),3),INDEX('Commodity Prices'!$BH$9:$BM$3487,MATCH(1,(('Commodity Prices'!$BH$9:$BH$3487)="Iron Ore")*(('Commodity Prices'!$BI$9:$BI$3487)=$B$6)*(('Commodity Prices'!$BK$9:$BK$3487)=B12),0),3)))</f>
        <v>Korea, Republic of (South)</v>
      </c>
      <c r="B12" s="567">
        <v>3</v>
      </c>
      <c r="C12" s="1780">
        <f t="array" ref="C12">IF($W$2="Mismatch Error","",IF($B$5=$X$1,INDEX('Commodity Prices'!$BA$9:$BF$3498,MATCH(1,(('Commodity Prices'!$BA$9:$BA$3488)="Iron Ore")*(('Commodity Prices'!$BB$9:$BB$3488)=$B$6)*(('Commodity Prices'!$BD$9:$BD$3488)=B12),0),5),INDEX('Commodity Prices'!$BH$9:$BM$3487,MATCH(1,(('Commodity Prices'!$BH$9:$BH$3487)="Iron Ore")*(('Commodity Prices'!$BI$9:$BI$3487)=$B$6)*(('Commodity Prices'!$BK$9:$BK$3487)=B12),0),5)))</f>
        <v>7198290000</v>
      </c>
      <c r="D12" s="568">
        <f t="shared" si="1"/>
        <v>5.3558714921199096E-2</v>
      </c>
      <c r="E12" s="986"/>
      <c r="W12" s="972"/>
      <c r="X12" s="972"/>
      <c r="Y12" s="972">
        <f t="shared" si="0"/>
        <v>2012</v>
      </c>
    </row>
    <row r="13" spans="1:26">
      <c r="A13" s="526" t="str">
        <f t="array" ref="A13">IF($W$2="Mismatch Error","",IF($B$5=$X$1,INDEX('Commodity Prices'!$BA$9:$BF$3498,MATCH(1,(('Commodity Prices'!$BA$9:$BA$3488)="Iron Ore")*(('Commodity Prices'!$BB$9:$BB$3488)=$B$6)*(('Commodity Prices'!$BD$9:$BD$3488)=B13),0),3),INDEX('Commodity Prices'!$BH$9:$BM$3487,MATCH(1,(('Commodity Prices'!$BH$9:$BH$3487)="Iron Ore")*(('Commodity Prices'!$BI$9:$BI$3487)=$B$6)*(('Commodity Prices'!$BK$9:$BK$3487)=B13),0),3)))</f>
        <v>Taiwan</v>
      </c>
      <c r="B13" s="569">
        <v>4</v>
      </c>
      <c r="C13" s="1775">
        <f t="array" ref="C13">IF($W$2="Mismatch Error","",IF($B$5=$X$1,INDEX('Commodity Prices'!$BA$9:$BF$3498,MATCH(1,(('Commodity Prices'!$BA$9:$BA$3488)="Iron Ore")*(('Commodity Prices'!$BB$9:$BB$3488)=$B$6)*(('Commodity Prices'!$BD$9:$BD$3488)=B13),0),5),INDEX('Commodity Prices'!$BH$9:$BM$3487,MATCH(1,(('Commodity Prices'!$BH$9:$BH$3487)="Iron Ore")*(('Commodity Prices'!$BI$9:$BI$3487)=$B$6)*(('Commodity Prices'!$BK$9:$BK$3487)=B13),0),5)))</f>
        <v>2117079000</v>
      </c>
      <c r="D13" s="570">
        <f t="shared" si="1"/>
        <v>1.575207870572834E-2</v>
      </c>
      <c r="E13" s="986"/>
      <c r="Y13" s="972">
        <f t="shared" si="0"/>
        <v>2011</v>
      </c>
    </row>
    <row r="14" spans="1:26">
      <c r="A14" s="29" t="str">
        <f t="array" ref="A14">IF($W$2="Mismatch Error","",IF($B$5=$X$1,INDEX('Commodity Prices'!$BA$9:$BF$3498,MATCH(1,(('Commodity Prices'!$BA$9:$BA$3488)="Iron Ore")*(('Commodity Prices'!$BB$9:$BB$3488)=$B$6)*(('Commodity Prices'!$BD$9:$BD$3488)=B14),0),3),INDEX('Commodity Prices'!$BH$9:$BM$3487,MATCH(1,(('Commodity Prices'!$BH$9:$BH$3487)="Iron Ore")*(('Commodity Prices'!$BI$9:$BI$3487)=$B$6)*(('Commodity Prices'!$BK$9:$BK$3487)=B14),0),3)))</f>
        <v>Vietnam</v>
      </c>
      <c r="B14" s="567">
        <v>5</v>
      </c>
      <c r="C14" s="1780">
        <f t="array" ref="C14">IF($W$2="Mismatch Error","",IF($B$5=$X$1,INDEX('Commodity Prices'!$BA$9:$BF$3498,MATCH(1,(('Commodity Prices'!$BA$9:$BA$3488)="Iron Ore")*(('Commodity Prices'!$BB$9:$BB$3488)=$B$6)*(('Commodity Prices'!$BD$9:$BD$3488)=B14),0),5),INDEX('Commodity Prices'!$BH$9:$BM$3487,MATCH(1,(('Commodity Prices'!$BH$9:$BH$3487)="Iron Ore")*(('Commodity Prices'!$BI$9:$BI$3487)=$B$6)*(('Commodity Prices'!$BK$9:$BK$3487)=B14),0),5)))</f>
        <v>1214111000</v>
      </c>
      <c r="D14" s="568">
        <f t="shared" si="1"/>
        <v>9.0335656012319535E-3</v>
      </c>
      <c r="E14" s="986"/>
      <c r="S14" s="992"/>
      <c r="T14" s="993"/>
      <c r="U14" s="1002"/>
      <c r="Y14" s="972">
        <f t="shared" si="0"/>
        <v>2010</v>
      </c>
    </row>
    <row r="15" spans="1:26">
      <c r="A15" s="526" t="str">
        <f>IF($W$2="Mismatch Error","","Other")</f>
        <v>Other</v>
      </c>
      <c r="B15" s="569"/>
      <c r="C15" s="1775">
        <f>IF($W$2="Mismatch Error","",IF($B$5=$X$1,SUMIFS('Commodity Prices'!$BE$9:$BE$3488,'Commodity Prices'!$BA$9:$BA$3488,"Iron Ore",'Commodity Prices'!$BB$9:$BB$3488,$B$6,'Commodity Prices'!$BC$9:$BC$3488,"TOTAL")-SUM($C$10:$C$14),SUMIFS('Commodity Prices'!$BL$9:$BL$3487,'Commodity Prices'!$BH$9:$BH$3487,"Iron Ore",'Commodity Prices'!$BI$9:$BI$3487,$B$6,'Commodity Prices'!$BJ$9:$BJ$3487,"TOTAL")-SUM($C$10:$C$14)))</f>
        <v>1750306000</v>
      </c>
      <c r="D15" s="570">
        <f t="shared" si="1"/>
        <v>1.3023112444603413E-2</v>
      </c>
      <c r="S15" s="992"/>
      <c r="T15" s="993"/>
      <c r="U15" s="1002"/>
      <c r="Y15" s="972">
        <f t="shared" si="0"/>
        <v>2009</v>
      </c>
    </row>
    <row r="16" spans="1:26" ht="16.5" thickBot="1">
      <c r="A16" s="1422" t="str">
        <f>IF($W$2="Mismatch Error","","Grand Total")</f>
        <v>Grand Total</v>
      </c>
      <c r="B16" s="1423"/>
      <c r="C16" s="1781">
        <f>IF($W$2="Mismatch Error","",IF($B$5=$X$1,SUMIFS('Commodity Prices'!$BE$9:$BE$3488,'Commodity Prices'!$BA$9:$BA$3488,"Iron Ore",'Commodity Prices'!$BB$9:$BB$3488,$B$6,'Commodity Prices'!$BC$9:$BC$3488,"TOTAL"),SUMIFS('Commodity Prices'!$BL$9:$BL$3487,'Commodity Prices'!$BH$9:$BH$3487,"Iron Ore",'Commodity Prices'!$BI$9:$BI$3487,$B$6,'Commodity Prices'!$BJ$9:$BJ$3487,"TOTAL")))</f>
        <v>134399976000</v>
      </c>
      <c r="D16" s="1424"/>
      <c r="S16" s="992"/>
      <c r="T16" s="993"/>
      <c r="U16" s="1002"/>
      <c r="Y16" s="972">
        <f t="shared" si="0"/>
        <v>2008</v>
      </c>
    </row>
    <row r="17" spans="1:25">
      <c r="S17" s="992"/>
      <c r="T17" s="993"/>
      <c r="U17" s="1002"/>
      <c r="Y17" s="972">
        <f t="shared" si="0"/>
        <v>2007</v>
      </c>
    </row>
    <row r="18" spans="1:25">
      <c r="A18" s="1762" t="str">
        <f>IF(A10="Mismatch Error","You have selected an incompatible year or year type. Change one or the other to display data.","")</f>
        <v/>
      </c>
      <c r="B18" s="1762"/>
      <c r="C18" s="1762"/>
      <c r="D18" s="1762"/>
      <c r="S18" s="992"/>
      <c r="T18" s="993"/>
      <c r="U18" s="1002"/>
      <c r="Y18" s="972" t="str">
        <f t="shared" si="0"/>
        <v/>
      </c>
    </row>
    <row r="19" spans="1:25">
      <c r="A19" s="1762"/>
      <c r="B19" s="1762"/>
      <c r="C19" s="1762"/>
      <c r="D19" s="1762"/>
      <c r="S19" s="992"/>
      <c r="T19" s="993"/>
      <c r="U19" s="1002"/>
      <c r="Y19" s="972" t="str">
        <f t="shared" si="0"/>
        <v/>
      </c>
    </row>
    <row r="20" spans="1:25">
      <c r="A20" s="1762"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762"/>
      <c r="C20" s="1762"/>
      <c r="D20" s="1762"/>
      <c r="S20" s="992"/>
      <c r="T20" s="993"/>
      <c r="U20" s="1002"/>
      <c r="Y20" s="972" t="str">
        <f t="shared" si="0"/>
        <v/>
      </c>
    </row>
    <row r="21" spans="1:25">
      <c r="A21" s="1762"/>
      <c r="B21" s="1762"/>
      <c r="C21" s="1762"/>
      <c r="D21" s="1762"/>
      <c r="S21" s="992"/>
      <c r="T21" s="993"/>
      <c r="U21" s="1002"/>
      <c r="Y21" s="972" t="str">
        <f t="shared" si="0"/>
        <v/>
      </c>
    </row>
    <row r="22" spans="1:25">
      <c r="A22" s="1762"/>
      <c r="B22" s="1762"/>
      <c r="C22" s="1762"/>
      <c r="D22" s="1762"/>
      <c r="S22" s="992"/>
      <c r="T22" s="993"/>
      <c r="U22" s="1002"/>
      <c r="Y22" s="972" t="str">
        <f t="shared" si="0"/>
        <v/>
      </c>
    </row>
    <row r="23" spans="1:25">
      <c r="A23" s="1762"/>
      <c r="B23" s="1762"/>
      <c r="C23" s="1762"/>
      <c r="D23" s="1762"/>
      <c r="S23" s="992"/>
      <c r="T23" s="993"/>
      <c r="U23" s="1002"/>
      <c r="Y23" s="972" t="str">
        <f t="shared" si="0"/>
        <v/>
      </c>
    </row>
    <row r="24" spans="1:25">
      <c r="Y24" s="972" t="str">
        <f t="shared" si="0"/>
        <v/>
      </c>
    </row>
    <row r="25" spans="1:25" ht="15" customHeight="1">
      <c r="Y25" s="972" t="str">
        <f t="shared" si="0"/>
        <v/>
      </c>
    </row>
    <row r="27" spans="1:25">
      <c r="E27" s="989"/>
    </row>
    <row r="28" spans="1:25">
      <c r="E28" s="989"/>
    </row>
    <row r="29" spans="1:25">
      <c r="E29" s="989"/>
    </row>
    <row r="30" spans="1:25">
      <c r="E30" s="989"/>
    </row>
    <row r="31" spans="1:25">
      <c r="E31" s="989"/>
    </row>
    <row r="32" spans="1:25">
      <c r="E32" s="989"/>
      <c r="M32" s="324"/>
      <c r="N32" s="323"/>
    </row>
    <row r="33" spans="5:13">
      <c r="E33" s="989"/>
      <c r="K33" s="323"/>
      <c r="M33" s="324"/>
    </row>
    <row r="34" spans="5:13">
      <c r="E34" s="989"/>
      <c r="K34" s="323"/>
      <c r="M34" s="324"/>
    </row>
    <row r="35" spans="5:13">
      <c r="E35" s="989"/>
      <c r="K35" s="323"/>
      <c r="M35" s="324"/>
    </row>
    <row r="36" spans="5:13">
      <c r="E36" s="989"/>
      <c r="K36" s="323"/>
      <c r="M36" s="324"/>
    </row>
    <row r="37" spans="5:13">
      <c r="E37" s="989"/>
      <c r="K37" s="323"/>
      <c r="M37" s="324"/>
    </row>
    <row r="38" spans="5:13">
      <c r="E38" s="989"/>
      <c r="M38" s="324"/>
    </row>
    <row r="39" spans="5:13">
      <c r="E39" s="989"/>
      <c r="M39" s="324"/>
    </row>
    <row r="40" spans="5:13">
      <c r="E40" s="989"/>
      <c r="M40" s="324"/>
    </row>
    <row r="41" spans="5:13">
      <c r="E41" s="989"/>
      <c r="M41" s="324"/>
    </row>
    <row r="42" spans="5:13">
      <c r="E42" s="989"/>
    </row>
    <row r="43" spans="5:13">
      <c r="E43" s="989"/>
    </row>
    <row r="44" spans="5:13">
      <c r="E44" s="989"/>
    </row>
    <row r="45" spans="5:13">
      <c r="E45" s="989"/>
    </row>
    <row r="46" spans="5:13">
      <c r="E46" s="989"/>
    </row>
    <row r="47" spans="5:13">
      <c r="E47" s="989"/>
    </row>
    <row r="48" spans="5:13">
      <c r="E48" s="989"/>
    </row>
    <row r="49" spans="5:5">
      <c r="E49" s="989"/>
    </row>
    <row r="50" spans="5:5">
      <c r="E50" s="989"/>
    </row>
    <row r="51" spans="5:5">
      <c r="E51" s="989"/>
    </row>
    <row r="52" spans="5:5">
      <c r="E52" s="989"/>
    </row>
    <row r="53" spans="5:5">
      <c r="E53" s="989"/>
    </row>
    <row r="54" spans="5:5">
      <c r="E54" s="989"/>
    </row>
    <row r="55" spans="5:5">
      <c r="E55" s="989"/>
    </row>
    <row r="56" spans="5:5">
      <c r="E56" s="989"/>
    </row>
    <row r="57" spans="5:5">
      <c r="E57" s="989"/>
    </row>
    <row r="58" spans="5:5">
      <c r="E58" s="989"/>
    </row>
    <row r="59" spans="5:5">
      <c r="E59" s="989"/>
    </row>
    <row r="62" spans="5:5">
      <c r="E62" s="989"/>
    </row>
    <row r="63" spans="5:5">
      <c r="E63" s="989"/>
    </row>
    <row r="64" spans="5:5">
      <c r="E64" s="989"/>
    </row>
    <row r="65" spans="5:5">
      <c r="E65" s="989"/>
    </row>
    <row r="66" spans="5:5">
      <c r="E66" s="989"/>
    </row>
    <row r="67" spans="5:5">
      <c r="E67" s="989"/>
    </row>
    <row r="68" spans="5:5">
      <c r="E68" s="989"/>
    </row>
    <row r="69" spans="5:5">
      <c r="E69" s="989"/>
    </row>
    <row r="70" spans="5:5">
      <c r="E70" s="989"/>
    </row>
    <row r="71" spans="5:5">
      <c r="E71" s="989"/>
    </row>
    <row r="72" spans="5:5">
      <c r="E72" s="989"/>
    </row>
    <row r="73" spans="5:5">
      <c r="E73" s="989"/>
    </row>
    <row r="74" spans="5:5">
      <c r="E74" s="989"/>
    </row>
    <row r="75" spans="5:5">
      <c r="E75" s="989"/>
    </row>
    <row r="76" spans="5:5">
      <c r="E76" s="989"/>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00000000-0002-0000-1900-000000000000}">
      <formula1>$Y$1:$Y$25</formula1>
    </dataValidation>
    <dataValidation type="list" allowBlank="1" showInputMessage="1" showErrorMessage="1" promptTitle="Select a Display Factor:" prompt="Clicking here will bring up a message describing the selections you can make." sqref="B5:D5" xr:uid="{00000000-0002-0000-1900-000001000000}">
      <formula1>$X$1:$X$2</formula1>
    </dataValidation>
    <dataValidation allowBlank="1" promptTitle="Select a Display Factor:" prompt="Clicking here will bring up a message describing the selections you can make." sqref="E5:E6" xr:uid="{00000000-0002-0000-1900-000002000000}"/>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1">
    <tabColor theme="5" tint="0.39997558519241921"/>
  </sheetPr>
  <dimension ref="A2:R80"/>
  <sheetViews>
    <sheetView showGridLines="0" workbookViewId="0"/>
  </sheetViews>
  <sheetFormatPr defaultColWidth="9.140625" defaultRowHeight="15"/>
  <cols>
    <col min="1" max="1" width="8" style="17" customWidth="1"/>
    <col min="2" max="2" width="26.5703125" style="17" customWidth="1"/>
    <col min="3" max="3" width="26" style="17" customWidth="1"/>
    <col min="4" max="5" width="9.140625" style="17"/>
    <col min="6" max="6" width="21.85546875" style="17" bestFit="1" customWidth="1"/>
    <col min="7" max="7" width="20.140625" style="17" bestFit="1" customWidth="1"/>
    <col min="8" max="16" width="9.140625" style="17"/>
    <col min="17" max="17" width="27.140625" style="17" customWidth="1"/>
    <col min="18" max="18" width="26.140625" style="17" customWidth="1"/>
    <col min="19" max="21" width="19.140625" style="17" customWidth="1"/>
    <col min="22" max="16384" width="9.140625" style="17"/>
  </cols>
  <sheetData>
    <row r="2" spans="1:18">
      <c r="F2" s="95"/>
    </row>
    <row r="5" spans="1:18" ht="15.75" thickBot="1">
      <c r="A5" s="1972" t="s">
        <v>497</v>
      </c>
      <c r="B5" s="1972"/>
      <c r="C5" s="1972"/>
    </row>
    <row r="6" spans="1:18">
      <c r="A6" s="792" t="s">
        <v>34</v>
      </c>
      <c r="B6" s="790" t="s">
        <v>38</v>
      </c>
      <c r="C6" s="791" t="s">
        <v>39</v>
      </c>
      <c r="P6" s="1948" t="s">
        <v>497</v>
      </c>
      <c r="Q6" s="1948"/>
      <c r="R6" s="1948"/>
    </row>
    <row r="7" spans="1:18" ht="15.75" thickBot="1">
      <c r="A7" s="763">
        <v>1950</v>
      </c>
      <c r="B7" s="484">
        <v>1.513401E-2</v>
      </c>
      <c r="C7" s="483">
        <v>2.403181</v>
      </c>
      <c r="P7" s="1973" t="s">
        <v>411</v>
      </c>
      <c r="Q7" s="1973"/>
      <c r="R7" s="1973"/>
    </row>
    <row r="8" spans="1:18">
      <c r="A8" s="763">
        <v>1951</v>
      </c>
      <c r="B8" s="561">
        <v>3.6224089999999994E-2</v>
      </c>
      <c r="C8" s="562">
        <v>2.4560900000000001</v>
      </c>
      <c r="P8" s="793" t="s">
        <v>34</v>
      </c>
      <c r="Q8" s="1281" t="str">
        <f>B6</f>
        <v>Western Australia (Mt)</v>
      </c>
      <c r="R8" s="1282" t="str">
        <f>C6</f>
        <v>Rest of Australia (Mt)</v>
      </c>
    </row>
    <row r="9" spans="1:18">
      <c r="A9" s="763">
        <v>1952</v>
      </c>
      <c r="B9" s="484">
        <v>0.227379</v>
      </c>
      <c r="C9" s="483">
        <v>2.7460460000000002</v>
      </c>
      <c r="P9" s="765">
        <f>LARGE(A$17:A$101,10)</f>
        <v>2014</v>
      </c>
      <c r="Q9" s="491">
        <f t="shared" ref="Q9:Q18" si="0">SUMIF($A$17:$A$106,$P9,B$17:B$106)</f>
        <v>686.23315313900002</v>
      </c>
      <c r="R9" s="492">
        <f t="shared" ref="R9:R18" si="1">SUMIF($A$17:$A$106,$P9,C$17:C$106)</f>
        <v>15.496</v>
      </c>
    </row>
    <row r="10" spans="1:18">
      <c r="A10" s="763">
        <v>1953</v>
      </c>
      <c r="B10" s="561">
        <v>0.71873390000000004</v>
      </c>
      <c r="C10" s="562">
        <v>2.644549</v>
      </c>
      <c r="P10" s="765">
        <f>LARGE(A$17:A$101,9)</f>
        <v>2015</v>
      </c>
      <c r="Q10" s="571">
        <f t="shared" si="0"/>
        <v>742.4098403160001</v>
      </c>
      <c r="R10" s="572">
        <f t="shared" si="1"/>
        <v>12.045</v>
      </c>
    </row>
    <row r="11" spans="1:18">
      <c r="A11" s="763">
        <v>1954</v>
      </c>
      <c r="B11" s="484">
        <v>0.66220210000000002</v>
      </c>
      <c r="C11" s="483">
        <v>2.9250180000000001</v>
      </c>
      <c r="P11" s="765">
        <f>LARGE(A$17:A$101,8)</f>
        <v>2016</v>
      </c>
      <c r="Q11" s="491">
        <f t="shared" si="0"/>
        <v>769.27752100500004</v>
      </c>
      <c r="R11" s="492">
        <f t="shared" si="1"/>
        <v>11.536</v>
      </c>
    </row>
    <row r="12" spans="1:18">
      <c r="A12" s="763">
        <v>1955</v>
      </c>
      <c r="B12" s="561">
        <v>0.53711259999999994</v>
      </c>
      <c r="C12" s="562">
        <v>3.1059420000000002</v>
      </c>
      <c r="P12" s="765">
        <f>LARGE(A$17:A$101,7)</f>
        <v>2017</v>
      </c>
      <c r="Q12" s="571">
        <f t="shared" si="0"/>
        <v>814.12094474599985</v>
      </c>
      <c r="R12" s="572">
        <f t="shared" si="1"/>
        <v>8.06</v>
      </c>
    </row>
    <row r="13" spans="1:18">
      <c r="A13" s="763">
        <v>1956</v>
      </c>
      <c r="B13" s="484">
        <v>0.34229590000000004</v>
      </c>
      <c r="C13" s="483">
        <v>3.6605099999999999</v>
      </c>
      <c r="P13" s="765">
        <f>LARGE(A$17:A$101,6)</f>
        <v>2018</v>
      </c>
      <c r="Q13" s="491">
        <f t="shared" si="0"/>
        <v>813.57781896699998</v>
      </c>
      <c r="R13" s="492">
        <f t="shared" si="1"/>
        <v>7.3959999999999999</v>
      </c>
    </row>
    <row r="14" spans="1:18">
      <c r="A14" s="763">
        <v>1957</v>
      </c>
      <c r="B14" s="561">
        <v>0.42291509999999999</v>
      </c>
      <c r="C14" s="562">
        <v>3.458961</v>
      </c>
      <c r="P14" s="765">
        <f>LARGE(A$17:A$101,5)</f>
        <v>2019</v>
      </c>
      <c r="Q14" s="571">
        <f t="shared" si="0"/>
        <v>811.78788645099985</v>
      </c>
      <c r="R14" s="572">
        <f t="shared" si="1"/>
        <v>8.0011720000000004</v>
      </c>
    </row>
    <row r="15" spans="1:18">
      <c r="A15" s="763">
        <v>1958</v>
      </c>
      <c r="B15" s="484">
        <v>0.58212140000000001</v>
      </c>
      <c r="C15" s="483">
        <v>3.4155190000000002</v>
      </c>
      <c r="P15" s="765">
        <f>LARGE(A$17:A$101,4)</f>
        <v>2020</v>
      </c>
      <c r="Q15" s="491">
        <f t="shared" si="0"/>
        <v>847.132426775</v>
      </c>
      <c r="R15" s="492">
        <f t="shared" si="1"/>
        <v>8.3033040000000007</v>
      </c>
    </row>
    <row r="16" spans="1:18">
      <c r="A16" s="763">
        <v>1959</v>
      </c>
      <c r="B16" s="561">
        <v>0.73875109999999999</v>
      </c>
      <c r="C16" s="562">
        <v>3.492232</v>
      </c>
      <c r="P16" s="765">
        <f>LARGE(A$17:A$101,3)</f>
        <v>2021</v>
      </c>
      <c r="Q16" s="571">
        <f t="shared" si="0"/>
        <v>838.29191462299991</v>
      </c>
      <c r="R16" s="572">
        <f t="shared" si="1"/>
        <v>11.074134000000001</v>
      </c>
    </row>
    <row r="17" spans="1:18">
      <c r="A17" s="764">
        <v>1960</v>
      </c>
      <c r="B17" s="484">
        <v>0.94336149999999996</v>
      </c>
      <c r="C17" s="483">
        <v>3.5111849999999998</v>
      </c>
      <c r="P17" s="765">
        <f>LARGE(A$17:A$101,2)</f>
        <v>2022</v>
      </c>
      <c r="Q17" s="491">
        <f t="shared" si="0"/>
        <v>855.84537384100008</v>
      </c>
      <c r="R17" s="492">
        <f t="shared" si="1"/>
        <v>10.642755246276</v>
      </c>
    </row>
    <row r="18" spans="1:18" ht="15.75" thickBot="1">
      <c r="A18" s="764">
        <v>1961</v>
      </c>
      <c r="B18" s="561">
        <v>1.381364</v>
      </c>
      <c r="C18" s="562">
        <v>4.0803659999999997</v>
      </c>
      <c r="P18" s="575">
        <f>LARGE(A$17:A$101,1)</f>
        <v>2023</v>
      </c>
      <c r="Q18" s="573">
        <f t="shared" si="0"/>
        <v>859.52255695199995</v>
      </c>
      <c r="R18" s="574">
        <f t="shared" si="1"/>
        <v>10.4704555833424</v>
      </c>
    </row>
    <row r="19" spans="1:18">
      <c r="A19" s="764">
        <v>1962</v>
      </c>
      <c r="B19" s="484">
        <v>1.4537100000000001</v>
      </c>
      <c r="C19" s="483">
        <v>3.593019</v>
      </c>
    </row>
    <row r="20" spans="1:18">
      <c r="A20" s="764">
        <v>1963</v>
      </c>
      <c r="B20" s="561">
        <v>1.35453</v>
      </c>
      <c r="C20" s="562">
        <v>4.3329839999999997</v>
      </c>
    </row>
    <row r="21" spans="1:18">
      <c r="A21" s="764">
        <v>1964</v>
      </c>
      <c r="B21" s="484">
        <v>1.3795010000000001</v>
      </c>
      <c r="C21" s="483">
        <v>4.4646119999999998</v>
      </c>
    </row>
    <row r="22" spans="1:18">
      <c r="A22" s="764">
        <v>1965</v>
      </c>
      <c r="B22" s="561">
        <v>2.2768980000000001</v>
      </c>
      <c r="C22" s="562">
        <v>4.5258060000000002</v>
      </c>
    </row>
    <row r="23" spans="1:18">
      <c r="A23" s="764">
        <v>1966</v>
      </c>
      <c r="B23" s="484">
        <v>4.2331849999999998</v>
      </c>
      <c r="C23" s="483">
        <v>6.8346090000000004</v>
      </c>
    </row>
    <row r="24" spans="1:18">
      <c r="A24" s="764">
        <v>1967</v>
      </c>
      <c r="B24" s="561">
        <v>10.13655</v>
      </c>
      <c r="C24" s="562">
        <v>7.0214290000000004</v>
      </c>
    </row>
    <row r="25" spans="1:18">
      <c r="A25" s="764">
        <v>1968</v>
      </c>
      <c r="B25" s="484">
        <v>23.25123</v>
      </c>
      <c r="C25" s="483">
        <v>3.3736510000000002</v>
      </c>
    </row>
    <row r="26" spans="1:18">
      <c r="A26" s="764">
        <v>1969</v>
      </c>
      <c r="B26" s="561">
        <v>25.077760000000001</v>
      </c>
      <c r="C26" s="562">
        <v>13.497769999999999</v>
      </c>
    </row>
    <row r="27" spans="1:18">
      <c r="A27" s="764">
        <v>1970</v>
      </c>
      <c r="B27" s="484">
        <v>43.188070000000003</v>
      </c>
      <c r="C27" s="483">
        <v>8.0000599999999995</v>
      </c>
    </row>
    <row r="28" spans="1:18">
      <c r="A28" s="764">
        <v>1971</v>
      </c>
      <c r="B28" s="561">
        <v>52.025660000000002</v>
      </c>
      <c r="C28" s="562">
        <v>10.037330000000001</v>
      </c>
    </row>
    <row r="29" spans="1:18">
      <c r="A29" s="764">
        <v>1972</v>
      </c>
      <c r="B29" s="484">
        <v>56.121499999999997</v>
      </c>
      <c r="C29" s="483">
        <v>8.2794930000000004</v>
      </c>
    </row>
    <row r="30" spans="1:18">
      <c r="A30" s="764">
        <v>1973</v>
      </c>
      <c r="B30" s="561">
        <v>75.896479999999997</v>
      </c>
      <c r="C30" s="562">
        <v>8.9315189999999998</v>
      </c>
    </row>
    <row r="31" spans="1:18">
      <c r="A31" s="764">
        <v>1974</v>
      </c>
      <c r="B31" s="484">
        <v>87.000810000000001</v>
      </c>
      <c r="C31" s="483">
        <v>9.9491879999999995</v>
      </c>
    </row>
    <row r="32" spans="1:18">
      <c r="A32" s="764">
        <v>1975</v>
      </c>
      <c r="B32" s="561">
        <v>85.190029999999993</v>
      </c>
      <c r="C32" s="562">
        <v>12.46097</v>
      </c>
    </row>
    <row r="33" spans="1:3">
      <c r="A33" s="764">
        <v>1976</v>
      </c>
      <c r="B33" s="484">
        <v>85.572789999999998</v>
      </c>
      <c r="C33" s="483">
        <v>7.682334</v>
      </c>
    </row>
    <row r="34" spans="1:3">
      <c r="A34" s="764">
        <v>1977</v>
      </c>
      <c r="B34" s="561">
        <v>83.517189999999999</v>
      </c>
      <c r="C34" s="562">
        <v>12.406219999999999</v>
      </c>
    </row>
    <row r="35" spans="1:3">
      <c r="A35" s="764">
        <v>1978</v>
      </c>
      <c r="B35" s="484">
        <v>82.498580000000004</v>
      </c>
      <c r="C35" s="483">
        <v>10.635450000000001</v>
      </c>
    </row>
    <row r="36" spans="1:3">
      <c r="A36" s="764">
        <v>1979</v>
      </c>
      <c r="B36" s="561">
        <v>85.171980000000005</v>
      </c>
      <c r="C36" s="562">
        <v>6.5450290000000004</v>
      </c>
    </row>
    <row r="37" spans="1:3">
      <c r="A37" s="764">
        <v>1980</v>
      </c>
      <c r="B37" s="484">
        <v>84.971620000000001</v>
      </c>
      <c r="C37" s="483">
        <v>10.562340000000001</v>
      </c>
    </row>
    <row r="38" spans="1:3">
      <c r="A38" s="764">
        <v>1981</v>
      </c>
      <c r="B38" s="561">
        <v>75.302639999999997</v>
      </c>
      <c r="C38" s="562">
        <v>9.358727</v>
      </c>
    </row>
    <row r="39" spans="1:3">
      <c r="A39" s="764">
        <v>1982</v>
      </c>
      <c r="B39" s="484">
        <v>78.182389999999998</v>
      </c>
      <c r="C39" s="483">
        <v>9.5113850000000006</v>
      </c>
    </row>
    <row r="40" spans="1:3">
      <c r="A40" s="764">
        <v>1983</v>
      </c>
      <c r="B40" s="561">
        <v>74.983540000000005</v>
      </c>
      <c r="C40" s="562">
        <v>6.0537559999999999</v>
      </c>
    </row>
    <row r="41" spans="1:3">
      <c r="A41" s="764">
        <v>1984</v>
      </c>
      <c r="B41" s="484">
        <v>90.907129999999995</v>
      </c>
      <c r="C41" s="483">
        <v>4.13896</v>
      </c>
    </row>
    <row r="42" spans="1:3">
      <c r="A42" s="764">
        <v>1985</v>
      </c>
      <c r="B42" s="561">
        <v>88.768079999999998</v>
      </c>
      <c r="C42" s="562">
        <v>8.7090270000000007</v>
      </c>
    </row>
    <row r="43" spans="1:3">
      <c r="A43" s="764">
        <v>1986</v>
      </c>
      <c r="B43" s="484">
        <v>81.290940000000006</v>
      </c>
      <c r="C43" s="483">
        <v>1.2723880000000001</v>
      </c>
    </row>
    <row r="44" spans="1:3">
      <c r="A44" s="764">
        <v>1987</v>
      </c>
      <c r="B44" s="561">
        <v>89.122739999999993</v>
      </c>
      <c r="C44" s="562">
        <v>1.25919</v>
      </c>
    </row>
    <row r="45" spans="1:3">
      <c r="A45" s="764">
        <v>1988</v>
      </c>
      <c r="B45" s="484">
        <v>98.319090000000003</v>
      </c>
      <c r="C45" s="483">
        <v>1.6129899999999999</v>
      </c>
    </row>
    <row r="46" spans="1:3">
      <c r="A46" s="764">
        <v>1989</v>
      </c>
      <c r="B46" s="561">
        <v>106</v>
      </c>
      <c r="C46" s="562">
        <v>4.5</v>
      </c>
    </row>
    <row r="47" spans="1:3">
      <c r="A47" s="764">
        <v>1990</v>
      </c>
      <c r="B47" s="484">
        <v>105</v>
      </c>
      <c r="C47" s="483">
        <v>6.3490000000000002</v>
      </c>
    </row>
    <row r="48" spans="1:3">
      <c r="A48" s="764">
        <v>1991</v>
      </c>
      <c r="B48" s="561">
        <v>113.687</v>
      </c>
      <c r="C48" s="562">
        <v>3.4470000000000001</v>
      </c>
    </row>
    <row r="49" spans="1:13">
      <c r="A49" s="764">
        <v>1992</v>
      </c>
      <c r="B49" s="484">
        <v>108</v>
      </c>
      <c r="C49" s="483">
        <v>3.9369999999999998</v>
      </c>
    </row>
    <row r="50" spans="1:13">
      <c r="A50" s="764">
        <v>1993</v>
      </c>
      <c r="B50" s="561">
        <v>116</v>
      </c>
      <c r="C50" s="562">
        <v>4.1459999999999999</v>
      </c>
    </row>
    <row r="51" spans="1:13">
      <c r="A51" s="764">
        <v>1994</v>
      </c>
      <c r="B51" s="484">
        <v>124.172</v>
      </c>
      <c r="C51" s="483">
        <v>4.2309999999999999</v>
      </c>
    </row>
    <row r="52" spans="1:13">
      <c r="A52" s="764">
        <v>1995</v>
      </c>
      <c r="B52" s="561">
        <v>135.9659</v>
      </c>
      <c r="C52" s="562">
        <v>6.9700949999999997</v>
      </c>
    </row>
    <row r="53" spans="1:13">
      <c r="A53" s="764">
        <v>1996</v>
      </c>
      <c r="B53" s="484">
        <v>133.651298</v>
      </c>
      <c r="C53" s="483">
        <v>4.2309999999999901</v>
      </c>
    </row>
    <row r="54" spans="1:13">
      <c r="A54" s="764">
        <v>1997</v>
      </c>
      <c r="B54" s="561">
        <v>151.718593</v>
      </c>
      <c r="C54" s="562">
        <v>6.05</v>
      </c>
      <c r="I54" s="80"/>
      <c r="J54" s="80"/>
      <c r="K54" s="80"/>
      <c r="L54" s="80"/>
      <c r="M54" s="80"/>
    </row>
    <row r="55" spans="1:13">
      <c r="A55" s="764">
        <v>1998</v>
      </c>
      <c r="B55" s="484">
        <v>143.75200000000001</v>
      </c>
      <c r="C55" s="483">
        <v>9.49</v>
      </c>
      <c r="I55" s="80"/>
      <c r="J55" s="80"/>
      <c r="K55" s="80"/>
      <c r="L55" s="80"/>
      <c r="M55" s="80"/>
    </row>
    <row r="56" spans="1:13">
      <c r="A56" s="764">
        <v>1999</v>
      </c>
      <c r="B56" s="561">
        <f>SUMIF('Iron Ore - Q&amp;V'!D$8:D$508, A56,'Iron Ore - Q&amp;V'!B$8:B$508)</f>
        <v>143.006</v>
      </c>
      <c r="C56" s="562">
        <v>8.5527019999999823</v>
      </c>
      <c r="I56" s="80"/>
      <c r="J56" s="80"/>
      <c r="K56" s="80"/>
      <c r="L56" s="80"/>
      <c r="M56" s="80"/>
    </row>
    <row r="57" spans="1:13">
      <c r="A57" s="764">
        <v>2000</v>
      </c>
      <c r="B57" s="484">
        <f>SUMIF('Iron Ore - Q&amp;V'!D$8:D$508, A57,'Iron Ore - Q&amp;V'!B$8:B$508)</f>
        <v>158.86599999999999</v>
      </c>
      <c r="C57" s="483">
        <v>4.9779999999999998</v>
      </c>
      <c r="I57" s="354">
        <f>SUM(Q18+R18)</f>
        <v>869.99301253534236</v>
      </c>
      <c r="J57" s="80"/>
      <c r="K57" s="353">
        <f>SUM(Q18/I57)</f>
        <v>0.98796489692160938</v>
      </c>
      <c r="L57" s="80"/>
      <c r="M57" s="80"/>
    </row>
    <row r="58" spans="1:13">
      <c r="A58" s="764">
        <v>2001</v>
      </c>
      <c r="B58" s="561">
        <f>SUMIF('Iron Ore - Q&amp;V'!D$8:D$508, A58,'Iron Ore - Q&amp;V'!B$8:B$508)</f>
        <v>166.01499999999999</v>
      </c>
      <c r="C58" s="562">
        <v>5.202</v>
      </c>
      <c r="E58" s="893"/>
      <c r="F58" s="894"/>
      <c r="G58" s="894"/>
      <c r="I58" s="80"/>
      <c r="J58" s="80"/>
      <c r="K58" s="80"/>
      <c r="L58" s="80"/>
      <c r="M58" s="80"/>
    </row>
    <row r="59" spans="1:13">
      <c r="A59" s="764">
        <v>2002</v>
      </c>
      <c r="B59" s="484">
        <f>SUMIF('Iron Ore - Q&amp;V'!D$8:D$508, A59,'Iron Ore - Q&amp;V'!B$8:B$508)</f>
        <v>171.767</v>
      </c>
      <c r="C59" s="483">
        <v>5.202</v>
      </c>
      <c r="I59" s="80"/>
      <c r="J59" s="80"/>
      <c r="K59" s="80"/>
      <c r="L59" s="80"/>
      <c r="M59" s="80"/>
    </row>
    <row r="60" spans="1:13">
      <c r="A60" s="764">
        <v>2003</v>
      </c>
      <c r="B60" s="561">
        <f>SUMIF('Iron Ore - Q&amp;V'!D$8:D$508, A60,'Iron Ore - Q&amp;V'!B$8:B$508)</f>
        <v>194.59400316</v>
      </c>
      <c r="C60" s="562">
        <v>5.7729999999999997</v>
      </c>
    </row>
    <row r="61" spans="1:13">
      <c r="A61" s="764">
        <v>2004</v>
      </c>
      <c r="B61" s="484">
        <f>SUMIF('Iron Ore - Q&amp;V'!D$8:D$508, A61,'Iron Ore - Q&amp;V'!B$8:B$508)</f>
        <v>213.53162907000001</v>
      </c>
      <c r="C61" s="483">
        <v>5.6210000000000004</v>
      </c>
    </row>
    <row r="62" spans="1:13">
      <c r="A62" s="764">
        <v>2005</v>
      </c>
      <c r="B62" s="561">
        <f>SUMIF('Iron Ore - Q&amp;V'!D$8:D$508, A62,'Iron Ore - Q&amp;V'!B$8:B$508)</f>
        <v>240.50167369000002</v>
      </c>
      <c r="C62" s="562">
        <v>5.508</v>
      </c>
    </row>
    <row r="63" spans="1:13">
      <c r="A63" s="764">
        <v>2006</v>
      </c>
      <c r="B63" s="484">
        <f>SUMIF('Iron Ore - Q&amp;V'!D$8:D$508, A63,'Iron Ore - Q&amp;V'!B$8:B$508)</f>
        <v>250.325766362</v>
      </c>
      <c r="C63" s="483">
        <v>5.5949999999999998</v>
      </c>
    </row>
    <row r="64" spans="1:13">
      <c r="A64" s="764">
        <v>2007</v>
      </c>
      <c r="B64" s="561">
        <f>SUMIF('Iron Ore - Q&amp;V'!D$8:D$508, A64,'Iron Ore - Q&amp;V'!B$8:B$508)</f>
        <v>264.44915205099994</v>
      </c>
      <c r="C64" s="562">
        <v>9.2279999999999998</v>
      </c>
    </row>
    <row r="65" spans="1:7">
      <c r="A65" s="764">
        <v>2008</v>
      </c>
      <c r="B65" s="484">
        <f>SUMIF('Iron Ore - Q&amp;V'!D$8:D$508, A65,'Iron Ore - Q&amp;V'!B$8:B$508)</f>
        <v>305.88447268200002</v>
      </c>
      <c r="C65" s="483">
        <v>11.244000000000002</v>
      </c>
    </row>
    <row r="66" spans="1:7">
      <c r="A66" s="764">
        <v>2009</v>
      </c>
      <c r="B66" s="561">
        <f>SUMIF('Iron Ore - Q&amp;V'!D$8:D$508, A66,'Iron Ore - Q&amp;V'!B$8:B$508)</f>
        <v>356.06964630899995</v>
      </c>
      <c r="C66" s="562">
        <v>12.558</v>
      </c>
    </row>
    <row r="67" spans="1:7">
      <c r="A67" s="764">
        <v>2010</v>
      </c>
      <c r="B67" s="484">
        <f>SUMIF('Iron Ore - Q&amp;V'!D$8:D$508, A67,'Iron Ore - Q&amp;V'!B$8:B$508)</f>
        <v>393.85115706600004</v>
      </c>
      <c r="C67" s="577">
        <v>13.754</v>
      </c>
      <c r="D67" s="53"/>
    </row>
    <row r="68" spans="1:7">
      <c r="A68" s="764">
        <v>2011</v>
      </c>
      <c r="B68" s="561">
        <f>SUMIF('Iron Ore - Q&amp;V'!D$8:D$508, A68,'Iron Ore - Q&amp;V'!B$8:B$508)</f>
        <v>426.67287969500001</v>
      </c>
      <c r="C68" s="578">
        <v>14.381</v>
      </c>
      <c r="D68" s="403"/>
      <c r="E68" s="314"/>
      <c r="F68" s="314"/>
      <c r="G68" s="314"/>
    </row>
    <row r="69" spans="1:7">
      <c r="A69" s="764">
        <v>2012</v>
      </c>
      <c r="B69" s="484">
        <f>SUMIF('Iron Ore - Q&amp;V'!D$8:D$508, A69,'Iron Ore - Q&amp;V'!B$8:B$508)</f>
        <v>478.32621689000001</v>
      </c>
      <c r="C69" s="577">
        <v>14.849</v>
      </c>
      <c r="D69" s="403"/>
      <c r="E69" s="402"/>
      <c r="F69" s="401"/>
      <c r="G69" s="401"/>
    </row>
    <row r="70" spans="1:7">
      <c r="A70" s="764">
        <v>2013</v>
      </c>
      <c r="B70" s="561">
        <f>SUMIF('Iron Ore - Q&amp;V'!D$8:D$508, A70,'Iron Ore - Q&amp;V'!B$8:B$508)</f>
        <v>544.937833372</v>
      </c>
      <c r="C70" s="578">
        <v>16.393000000000001</v>
      </c>
      <c r="D70" s="403"/>
      <c r="E70" s="402"/>
      <c r="F70" s="401"/>
      <c r="G70" s="401"/>
    </row>
    <row r="71" spans="1:7">
      <c r="A71" s="764">
        <v>2014</v>
      </c>
      <c r="B71" s="484">
        <f>SUMIF('Iron Ore - Q&amp;V'!D$8:D$508, A71,'Iron Ore - Q&amp;V'!B$8:B$508)</f>
        <v>686.23315313900002</v>
      </c>
      <c r="C71" s="577">
        <v>15.496</v>
      </c>
      <c r="D71" s="403"/>
      <c r="E71" s="402"/>
      <c r="F71" s="401"/>
      <c r="G71" s="401"/>
    </row>
    <row r="72" spans="1:7">
      <c r="A72" s="764">
        <v>2015</v>
      </c>
      <c r="B72" s="561">
        <f>SUMIF('Iron Ore - Q&amp;V'!D$8:D$508, A72,'Iron Ore - Q&amp;V'!B$8:B$508)</f>
        <v>742.4098403160001</v>
      </c>
      <c r="C72" s="578">
        <v>12.045</v>
      </c>
      <c r="D72" s="403"/>
      <c r="E72" s="402"/>
      <c r="F72" s="401"/>
      <c r="G72" s="401"/>
    </row>
    <row r="73" spans="1:7">
      <c r="A73" s="764">
        <v>2016</v>
      </c>
      <c r="B73" s="534">
        <f>SUMIF('Iron Ore - Q&amp;V'!D$8:D$508, A73,'Iron Ore - Q&amp;V'!B$8:B$508)</f>
        <v>769.27752100500004</v>
      </c>
      <c r="C73" s="579">
        <v>11.536</v>
      </c>
      <c r="D73" s="403"/>
      <c r="E73" s="402"/>
      <c r="F73" s="401"/>
      <c r="G73" s="401"/>
    </row>
    <row r="74" spans="1:7">
      <c r="A74" s="764">
        <v>2017</v>
      </c>
      <c r="B74" s="561">
        <f>SUMIF('Iron Ore - Q&amp;V'!D$8:D$508, A74,'Iron Ore - Q&amp;V'!B$8:B$508)</f>
        <v>814.12094474599985</v>
      </c>
      <c r="C74" s="578">
        <v>8.06</v>
      </c>
      <c r="D74" s="403"/>
      <c r="E74" s="402"/>
      <c r="F74" s="401"/>
      <c r="G74" s="401"/>
    </row>
    <row r="75" spans="1:7">
      <c r="A75" s="764">
        <v>2018</v>
      </c>
      <c r="B75" s="534">
        <f>SUMIF('Iron Ore - Q&amp;V'!D$8:D$508, A75,'Iron Ore - Q&amp;V'!B$8:B$508)</f>
        <v>813.57781896699998</v>
      </c>
      <c r="C75" s="579">
        <v>7.3959999999999999</v>
      </c>
      <c r="D75" s="403"/>
      <c r="E75" s="402"/>
      <c r="F75" s="401"/>
      <c r="G75" s="401"/>
    </row>
    <row r="76" spans="1:7">
      <c r="A76" s="764">
        <v>2019</v>
      </c>
      <c r="B76" s="561">
        <f>SUMIF('Iron Ore - Q&amp;V'!D$8:D$508, A76,'Iron Ore - Q&amp;V'!B$8:B$508)</f>
        <v>811.78788645099985</v>
      </c>
      <c r="C76" s="580">
        <v>8.0011720000000004</v>
      </c>
      <c r="D76" s="403"/>
      <c r="E76" s="402"/>
      <c r="F76" s="401"/>
      <c r="G76" s="401"/>
    </row>
    <row r="77" spans="1:7">
      <c r="A77" s="764">
        <v>2020</v>
      </c>
      <c r="B77" s="484">
        <f>SUMIF('Iron Ore - Q&amp;V'!D$8:D$508, A77,'Iron Ore - Q&amp;V'!B$8:B$508)</f>
        <v>847.132426775</v>
      </c>
      <c r="C77" s="539">
        <v>8.3033040000000007</v>
      </c>
      <c r="D77" s="314"/>
      <c r="E77" s="314"/>
      <c r="F77" s="314"/>
      <c r="G77" s="314"/>
    </row>
    <row r="78" spans="1:7">
      <c r="A78" s="764">
        <v>2021</v>
      </c>
      <c r="B78" s="561">
        <f>SUMIF('Iron Ore - Q&amp;V'!D$8:D$508, A78,'Iron Ore - Q&amp;V'!B$8:B$508)</f>
        <v>838.29191462299991</v>
      </c>
      <c r="C78" s="580">
        <v>11.074134000000001</v>
      </c>
    </row>
    <row r="79" spans="1:7">
      <c r="A79" s="764">
        <v>2022</v>
      </c>
      <c r="B79" s="484">
        <f>SUMIF('Iron Ore - Q&amp;V'!D$8:D$508, A79,'Iron Ore - Q&amp;V'!B$8:B$508)</f>
        <v>855.84537384100008</v>
      </c>
      <c r="C79" s="539">
        <v>10.642755246276</v>
      </c>
    </row>
    <row r="80" spans="1:7" ht="15.75" thickBot="1">
      <c r="A80" s="1426">
        <v>2023</v>
      </c>
      <c r="B80" s="1306">
        <f>SUMIF('Iron Ore - Q&amp;V'!D$8:D$508, A80,'Iron Ore - Q&amp;V'!B$8:B$508)</f>
        <v>859.52255695199995</v>
      </c>
      <c r="C80" s="947">
        <v>10.4704555833424</v>
      </c>
    </row>
  </sheetData>
  <mergeCells count="3">
    <mergeCell ref="A5:C5"/>
    <mergeCell ref="P6:R6"/>
    <mergeCell ref="P7:R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B871"/>
  </sheetPr>
  <dimension ref="A1:AA112"/>
  <sheetViews>
    <sheetView showGridLines="0" workbookViewId="0"/>
  </sheetViews>
  <sheetFormatPr defaultColWidth="9.140625" defaultRowHeight="23.25"/>
  <cols>
    <col min="1" max="1" width="9.5703125" style="323" bestFit="1" customWidth="1"/>
    <col min="2" max="2" width="23.42578125" style="323" customWidth="1"/>
    <col min="3" max="3" width="23.42578125" style="323" bestFit="1" customWidth="1"/>
    <col min="4" max="4" width="14" style="405" customWidth="1"/>
    <col min="5" max="6" width="5.5703125" style="95" hidden="1" customWidth="1"/>
    <col min="7" max="7" width="10.7109375" style="323" customWidth="1"/>
    <col min="8" max="8" width="24.7109375" style="323" customWidth="1"/>
    <col min="9" max="9" width="23.42578125" style="323" bestFit="1" customWidth="1"/>
    <col min="10" max="10" width="12" style="381" hidden="1" customWidth="1"/>
    <col min="11" max="11" width="12" style="323" hidden="1" customWidth="1"/>
    <col min="12" max="12" width="19.7109375" style="95" customWidth="1"/>
    <col min="13" max="13" width="9.140625" style="323" customWidth="1"/>
    <col min="14" max="14" width="9.140625" style="381" customWidth="1"/>
    <col min="15" max="23" width="9.140625" style="323"/>
    <col min="24" max="26" width="9.140625" style="964"/>
    <col min="27" max="16384" width="9.140625" style="323"/>
  </cols>
  <sheetData>
    <row r="1" spans="1:27" ht="15" customHeight="1">
      <c r="G1" s="996"/>
      <c r="H1" s="996"/>
      <c r="I1" s="996"/>
      <c r="AA1" s="237" t="s">
        <v>282</v>
      </c>
    </row>
    <row r="2" spans="1:27" ht="15" customHeight="1">
      <c r="G2" s="996"/>
      <c r="H2" s="996"/>
      <c r="I2" s="996"/>
      <c r="AA2" s="237" t="s">
        <v>283</v>
      </c>
    </row>
    <row r="3" spans="1:27" s="349" customFormat="1" ht="15" customHeight="1">
      <c r="D3" s="405"/>
      <c r="E3" s="95"/>
      <c r="F3" s="95"/>
      <c r="G3" s="996"/>
      <c r="H3" s="996"/>
      <c r="I3" s="996"/>
      <c r="J3" s="381"/>
      <c r="L3" s="95"/>
      <c r="N3" s="381"/>
      <c r="X3" s="964"/>
      <c r="Y3" s="964"/>
      <c r="Z3" s="964"/>
      <c r="AA3" s="237"/>
    </row>
    <row r="4" spans="1:27" ht="15" customHeight="1">
      <c r="G4" s="996"/>
      <c r="H4" s="996"/>
      <c r="I4" s="996"/>
    </row>
    <row r="5" spans="1:27" ht="15" customHeight="1">
      <c r="G5" s="996"/>
      <c r="H5" s="996"/>
      <c r="I5" s="996"/>
    </row>
    <row r="6" spans="1:27" ht="15" customHeight="1">
      <c r="A6" s="1948" t="s">
        <v>495</v>
      </c>
      <c r="B6" s="1948"/>
      <c r="C6" s="1948"/>
      <c r="D6" s="409"/>
      <c r="G6" s="1972" t="s">
        <v>620</v>
      </c>
      <c r="H6" s="1972"/>
      <c r="I6" s="1972"/>
      <c r="J6" s="412"/>
      <c r="L6" s="979"/>
    </row>
    <row r="7" spans="1:27" ht="15" customHeight="1" thickBot="1">
      <c r="A7" s="1977" t="s">
        <v>410</v>
      </c>
      <c r="B7" s="1977"/>
      <c r="C7" s="1977"/>
      <c r="D7" s="410"/>
      <c r="G7" s="2031" t="str">
        <f>G20</f>
        <v>Historic Calendar Year</v>
      </c>
      <c r="H7" s="2031"/>
      <c r="I7" s="2031"/>
      <c r="J7" s="413"/>
      <c r="L7" s="979"/>
    </row>
    <row r="8" spans="1:27" ht="15" customHeight="1">
      <c r="A8" s="342"/>
      <c r="B8" s="343" t="s">
        <v>361</v>
      </c>
      <c r="C8" s="1143" t="s">
        <v>345</v>
      </c>
      <c r="D8" s="46"/>
      <c r="G8" s="1144"/>
      <c r="H8" s="343" t="s">
        <v>361</v>
      </c>
      <c r="I8" s="1194" t="s">
        <v>345</v>
      </c>
      <c r="J8" s="382"/>
      <c r="N8" s="323"/>
    </row>
    <row r="9" spans="1:27" ht="15" customHeight="1">
      <c r="A9" s="1280" t="s">
        <v>35</v>
      </c>
      <c r="B9" s="788" t="s">
        <v>405</v>
      </c>
      <c r="C9" s="789" t="s">
        <v>406</v>
      </c>
      <c r="D9" s="46"/>
      <c r="E9" s="268"/>
      <c r="F9" s="268"/>
      <c r="G9" s="1280" t="s">
        <v>34</v>
      </c>
      <c r="H9" s="788" t="s">
        <v>405</v>
      </c>
      <c r="I9" s="789" t="s">
        <v>406</v>
      </c>
      <c r="J9" s="323"/>
      <c r="N9" s="323"/>
    </row>
    <row r="10" spans="1:27" ht="15" customHeight="1">
      <c r="A10" s="1149">
        <f>LARGE('Commodity Prices'!C$159:C$902,61)</f>
        <v>43435</v>
      </c>
      <c r="B10" s="1147">
        <f>SUMIF('Commodity Prices'!$C$159:$C$902,$A10,'Commodity Prices'!Y$159:Y$902)</f>
        <v>15695.747885408853</v>
      </c>
      <c r="C10" s="1148">
        <f>SUMIF('Commodity Prices'!$C$159:$C$902,$A10,'Commodity Prices'!AB$159:AB$902)</f>
        <v>1008.8692607972814</v>
      </c>
      <c r="D10" s="15"/>
      <c r="E10" s="268">
        <v>2016</v>
      </c>
      <c r="F10" s="268">
        <v>2017</v>
      </c>
      <c r="G10" s="1195">
        <f>IF($G$7="Historic Calendar Year",2016,CONCATENATE(E10,"-",RIGHT(F10,4)))</f>
        <v>2016</v>
      </c>
      <c r="H10" s="1147">
        <f t="array" ref="H10">IF($G$7="Historic Calendar Year",IFERROR(AVERAGE(IF($G10=YEAR('Commodity Prices'!C$100:C$1000),'Commodity Prices'!Y$100:Y$1000)),"N/A"),IFERROR(IF(J10=0,"N/A",J10),"N/A"))</f>
        <v>24756.642675188337</v>
      </c>
      <c r="I10" s="1148"/>
      <c r="J10" s="323">
        <f>(SUMIFS('Commodity Prices'!$Y$9:$Y$2500,'Commodity Prices'!$A$9:$A$2500,E10,'Commodity Prices'!$B$9:$B$2500,3)+
SUMIFS('Commodity Prices'!$Y$9:$Y$2500,'Commodity Prices'!$A$9:$A$2500,E10,'Commodity Prices'!$B$9:$B$2500,4)+
SUMIFS('Commodity Prices'!$Y$9:$Y$2500,'Commodity Prices'!$A$9:$A$2500,F10,'Commodity Prices'!$B$9:$B$2500,1)+
SUMIFS('Commodity Prices'!$Y$9:$Y$2500,'Commodity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22725.684247782581</v>
      </c>
      <c r="K10" s="381"/>
      <c r="N10" s="323"/>
    </row>
    <row r="11" spans="1:27" ht="15" customHeight="1">
      <c r="A11" s="1149">
        <f>LARGE('Commodity Prices'!C$159:C$902,60)</f>
        <v>43466</v>
      </c>
      <c r="B11" s="1145">
        <f>SUMIF('Commodity Prices'!$C$159:$C$902,$A11,'Commodity Prices'!Y$159:Y$902)</f>
        <v>15390.061363062987</v>
      </c>
      <c r="C11" s="1146">
        <f>SUMIF('Commodity Prices'!$C$159:$C$902,$A11,'Commodity Prices'!AB$159:AB$902)</f>
        <v>987.78078466399143</v>
      </c>
      <c r="D11" s="15"/>
      <c r="E11" s="268">
        <f t="shared" ref="E11:F17" si="0">E10+1</f>
        <v>2017</v>
      </c>
      <c r="F11" s="268">
        <f t="shared" si="0"/>
        <v>2018</v>
      </c>
      <c r="G11" s="1195">
        <f t="shared" ref="G11:G17" si="1">IF($G$7="Historic Calendar Year",G10+1,CONCATENATE(E11,"-",RIGHT(F11,4)))</f>
        <v>2017</v>
      </c>
      <c r="H11" s="1145">
        <f t="array" ref="H11">IF($G$7="Historic Calendar Year",IFERROR(AVERAGE(IF($G11=YEAR('Commodity Prices'!C$100:C$1000),'Commodity Prices'!Y$100:Y$1000)),"N/A"),IFERROR(IF(J11=0,"N/A",J11),"N/A"))</f>
        <v>22008.191697714054</v>
      </c>
      <c r="I11" s="1146"/>
      <c r="J11" s="323">
        <f>(SUMIFS('Commodity Prices'!$Y$9:$Y$2500,'Commodity Prices'!$A$9:$A$2500,E11,'Commodity Prices'!$B$9:$B$2500,3)+
SUMIFS('Commodity Prices'!$Y$9:$Y$2500,'Commodity Prices'!$A$9:$A$2500,E11,'Commodity Prices'!$B$9:$B$2500,4)+
SUMIFS('Commodity Prices'!$Y$9:$Y$2500,'Commodity Prices'!$A$9:$A$2500,F11,'Commodity Prices'!$B$9:$B$2500,1)+
SUMIFS('Commodity Prices'!$Y$9:$Y$2500,'Commodity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23111.081364821479</v>
      </c>
      <c r="K11" s="381"/>
      <c r="N11" s="323"/>
    </row>
    <row r="12" spans="1:27" ht="15" customHeight="1">
      <c r="A12" s="1149">
        <f>LARGE('Commodity Prices'!C$159:C$902,59)</f>
        <v>43497</v>
      </c>
      <c r="B12" s="1147">
        <f>SUMIF('Commodity Prices'!$C$159:$C$902,$A12,'Commodity Prices'!Y$159:Y$902)</f>
        <v>15232.435257957062</v>
      </c>
      <c r="C12" s="1148">
        <f>SUMIF('Commodity Prices'!$C$159:$C$902,$A12,'Commodity Prices'!AB$159:AB$902)</f>
        <v>966.30739081746924</v>
      </c>
      <c r="D12" s="15"/>
      <c r="E12" s="268">
        <f t="shared" si="0"/>
        <v>2018</v>
      </c>
      <c r="F12" s="268">
        <f t="shared" si="0"/>
        <v>2019</v>
      </c>
      <c r="G12" s="1195">
        <f t="shared" si="1"/>
        <v>2018</v>
      </c>
      <c r="H12" s="1147">
        <f t="array" ref="H12">IF($G$7="Historic Calendar Year",IFERROR(AVERAGE(IF($G12=YEAR('Commodity Prices'!C$100:C$1000),'Commodity Prices'!Y$100:Y$1000)),"N/A"),IFERROR(IF(J12=0,"NA",J12),"NA"))</f>
        <v>20805.067393201785</v>
      </c>
      <c r="I12" s="1148">
        <f t="array" ref="I12">IF($G$7="Historic Calendar Year",IFERROR(AVERAGE(IF($G12=YEAR('Commodity Prices'!C$100:C$1000),'Commodity Prices'!AB$100:AB$1000)),"N/A"),IFERROR(IF(K12=0,"N/A",K12),"N/A"))</f>
        <v>1161.2748501841718</v>
      </c>
      <c r="J12" s="323">
        <f>(SUMIFS('Commodity Prices'!$Y$9:$Y$2500,'Commodity Prices'!$A$9:$A$2500,E12,'Commodity Prices'!$B$9:$B$2500,3)+
SUMIFS('Commodity Prices'!$Y$9:$Y$2500,'Commodity Prices'!$A$9:$A$2500,E12,'Commodity Prices'!$B$9:$B$2500,4)+
SUMIFS('Commodity Prices'!$Y$9:$Y$2500,'Commodity Prices'!$A$9:$A$2500,F12,'Commodity Prices'!$B$9:$B$2500,1)+
SUMIFS('Commodity Prices'!$Y$9:$Y$2500,'Commodity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16067.049084474833</v>
      </c>
      <c r="K12" s="381">
        <f>(SUMIFS('Commodity Prices'!$AB$9:$AB$2500,'Commodity Prices'!$A$9:$A$2500,E12,'Commodity Prices'!$B$9:$B$2500,3)+
SUMIFS('Commodity Prices'!$AB$9:$AB$2500,'Commodity Prices'!$A$9:$A$2500,E12,'Commodity Prices'!$B$9:$B$2500,4)+
SUMIFS('Commodity Prices'!$AB$9:$AB$2500,'Commodity Prices'!$A$9:$A$2500,F12,'Commodity Prices'!$B$9:$B$2500,1)+
SUMIFS('Commodity Prices'!$AB$9:$AB$2500,'Commodity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1018.080868489906</v>
      </c>
      <c r="N12" s="323"/>
    </row>
    <row r="13" spans="1:27" ht="15" customHeight="1">
      <c r="A13" s="1149">
        <f>LARGE('Commodity Prices'!C$159:C$902,58)</f>
        <v>43525</v>
      </c>
      <c r="B13" s="1145">
        <f>SUMIF('Commodity Prices'!$C$159:$C$902,$A13,'Commodity Prices'!Y$159:Y$902)</f>
        <v>14258.202168217851</v>
      </c>
      <c r="C13" s="1146">
        <f>SUMIF('Commodity Prices'!$C$159:$C$902,$A13,'Commodity Prices'!AB$159:AB$902)</f>
        <v>973.46214113263898</v>
      </c>
      <c r="D13" s="15"/>
      <c r="E13" s="268">
        <f t="shared" si="0"/>
        <v>2019</v>
      </c>
      <c r="F13" s="268">
        <f t="shared" si="0"/>
        <v>2020</v>
      </c>
      <c r="G13" s="1195">
        <f t="shared" si="1"/>
        <v>2019</v>
      </c>
      <c r="H13" s="1145">
        <f t="array" ref="H13">IF($G$7="Historic Calendar Year",IFERROR(AVERAGE(IF($G13=YEAR('Commodity Prices'!C$100:C$1000),'Commodity Prices'!Y$100:Y$1000)),"N/A"),IFERROR(IF(J13=0,"NA",J13),"NA"))</f>
        <v>11807.37466021342</v>
      </c>
      <c r="I13" s="1146">
        <f t="array" ref="I13">IF($G$7="Historic Calendar Year",IFERROR(AVERAGE(IF($G13=YEAR('Commodity Prices'!C$100:C$1000),'Commodity Prices'!AB$100:AB$1000)),"N/A"),IFERROR(IF(K13=0,"N/A",K13),"N/A"))</f>
        <v>882.85059201799538</v>
      </c>
      <c r="J13" s="323">
        <f>(SUMIFS('Commodity Prices'!$Y$9:$Y$2500,'Commodity Prices'!$A$9:$A$2500,E13,'Commodity Prices'!$B$9:$B$2500,3)+
SUMIFS('Commodity Prices'!$Y$9:$Y$2500,'Commodity Prices'!$A$9:$A$2500,E13,'Commodity Prices'!$B$9:$B$2500,4)+
SUMIFS('Commodity Prices'!$Y$9:$Y$2500,'Commodity Prices'!$A$9:$A$2500,F13,'Commodity Prices'!$B$9:$B$2500,1)+
SUMIFS('Commodity Prices'!$Y$9:$Y$2500,'Commodity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8547.4139008017355</v>
      </c>
      <c r="K13" s="381">
        <f>(SUMIFS('Commodity Prices'!$AB$9:$AB$2500,'Commodity Prices'!$A$9:$A$2500,E13,'Commodity Prices'!$B$9:$B$2500,3)+
SUMIFS('Commodity Prices'!$AB$9:$AB$2500,'Commodity Prices'!$A$9:$A$2500,E13,'Commodity Prices'!$B$9:$B$2500,4)+
SUMIFS('Commodity Prices'!$AB$9:$AB$2500,'Commodity Prices'!$A$9:$A$2500,F13,'Commodity Prices'!$B$9:$B$2500,1)+
SUMIFS('Commodity Prices'!$AB$9:$AB$2500,'Commodity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762.07630967495334</v>
      </c>
      <c r="N13" s="323"/>
    </row>
    <row r="14" spans="1:27" ht="15" customHeight="1">
      <c r="A14" s="1149">
        <f>LARGE('Commodity Prices'!C$159:C$902,57)</f>
        <v>43556</v>
      </c>
      <c r="B14" s="1147">
        <f>SUMIF('Commodity Prices'!$C$159:$C$902,$A14,'Commodity Prices'!Y$159:Y$902)</f>
        <v>14071.589069160367</v>
      </c>
      <c r="C14" s="1148">
        <f>SUMIF('Commodity Prices'!$C$159:$C$902,$A14,'Commodity Prices'!AB$159:AB$902)</f>
        <v>947.38590132406239</v>
      </c>
      <c r="D14" s="15"/>
      <c r="E14" s="268">
        <f t="shared" si="0"/>
        <v>2020</v>
      </c>
      <c r="F14" s="268">
        <f t="shared" si="0"/>
        <v>2021</v>
      </c>
      <c r="G14" s="1195">
        <f t="shared" si="1"/>
        <v>2020</v>
      </c>
      <c r="H14" s="1147">
        <f t="array" ref="H14">IF($G$7="Historic Calendar Year",IFERROR(AVERAGE(IF($G14=YEAR('Commodity Prices'!C$100:C$1000),'Commodity Prices'!Y$100:Y$1000)),"N/A"),IFERROR(IF(J14=0,"NA",J14),"NA"))</f>
        <v>7298.5137713475133</v>
      </c>
      <c r="I14" s="1148">
        <f t="array" ref="I14">IF($G$7="Historic Calendar Year",IFERROR(AVERAGE(IF($G14=YEAR('Commodity Prices'!C$100:C$1000),'Commodity Prices'!AB$100:AB$1000)),"N/A"),IFERROR(IF(K14=0,"N/A",K14),"N/A"))</f>
        <v>626.47649672021919</v>
      </c>
      <c r="J14" s="323">
        <f>(SUMIFS('Commodity Prices'!$Y$9:$Y$2500,'Commodity Prices'!$A$9:$A$2500,E14,'Commodity Prices'!$B$9:$B$2500,3)+
SUMIFS('Commodity Prices'!$Y$9:$Y$2500,'Commodity Prices'!$A$9:$A$2500,E14,'Commodity Prices'!$B$9:$B$2500,4)+
SUMIFS('Commodity Prices'!$Y$9:$Y$2500,'Commodity Prices'!$A$9:$A$2500,F14,'Commodity Prices'!$B$9:$B$2500,1)+
SUMIFS('Commodity Prices'!$Y$9:$Y$2500,'Commodity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9070.9590107022068</v>
      </c>
      <c r="K14" s="381">
        <f>(SUMIFS('Commodity Prices'!$AB$9:$AB$2500,'Commodity Prices'!$A$9:$A$2500,E14,'Commodity Prices'!$B$9:$B$2500,3)+
SUMIFS('Commodity Prices'!$AB$9:$AB$2500,'Commodity Prices'!$A$9:$A$2500,E14,'Commodity Prices'!$B$9:$B$2500,4)+
SUMIFS('Commodity Prices'!$AB$9:$AB$2500,'Commodity Prices'!$A$9:$A$2500,F14,'Commodity Prices'!$B$9:$B$2500,1)+
SUMIFS('Commodity Prices'!$AB$9:$AB$2500,'Commodity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639.66623881683824</v>
      </c>
      <c r="N14" s="323"/>
    </row>
    <row r="15" spans="1:27" ht="15" customHeight="1">
      <c r="A15" s="1149">
        <f>LARGE('Commodity Prices'!C$159:C$902,56)</f>
        <v>43586</v>
      </c>
      <c r="B15" s="1145">
        <f>SUMIF('Commodity Prices'!$C$159:$C$902,$A15,'Commodity Prices'!Y$159:Y$902)</f>
        <v>13276.344017049141</v>
      </c>
      <c r="C15" s="1146">
        <f>SUMIF('Commodity Prices'!$C$159:$C$902,$A15,'Commodity Prices'!AB$159:AB$902)</f>
        <v>923.88549976536854</v>
      </c>
      <c r="D15" s="15"/>
      <c r="E15" s="268">
        <f t="shared" si="0"/>
        <v>2021</v>
      </c>
      <c r="F15" s="268">
        <f t="shared" si="0"/>
        <v>2022</v>
      </c>
      <c r="G15" s="1195">
        <f t="shared" si="1"/>
        <v>2021</v>
      </c>
      <c r="H15" s="1145">
        <f t="array" ref="H15">IF($G$7="Historic Calendar Year",IFERROR(AVERAGE(IF($G15=YEAR('Commodity Prices'!C$100:C$1000),'Commodity Prices'!Y$100:Y$1000)),"n/a"),IFERROR(IF(J15=0,"n/a",J15),"n/a"))</f>
        <v>17344.021522889703</v>
      </c>
      <c r="I15" s="1146">
        <f t="array" ref="I15">IF($G$7="Historic Calendar Year",IFERROR(AVERAGE(IF($G15=YEAR('Commodity Prices'!C$100:C$1000),'Commodity Prices'!AB$100:AB$1000)),"n/a"),IFERROR(IF(K15=0,"n/a",K15),"n/a"))</f>
        <v>1294.9263687976193</v>
      </c>
      <c r="J15" s="381">
        <f>(SUMIFS('Commodity Prices'!$Y$9:$Y$2500,'Commodity Prices'!$A$9:$A$2500,E15,'Commodity Prices'!$B$9:$B$2500,3)+
SUMIFS('Commodity Prices'!$Y$9:$Y$2500,'Commodity Prices'!$A$9:$A$2500,E15,'Commodity Prices'!$B$9:$B$2500,4)+
SUMIFS('Commodity Prices'!$Y$9:$Y$2500,'Commodity Prices'!$A$9:$A$2500,F15,'Commodity Prices'!$B$9:$B$2500,1)+
SUMIFS('Commodity Prices'!$Y$9:$Y$2500,'Commodity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43895.108242871938</v>
      </c>
      <c r="K15" s="381">
        <f>(SUMIFS('Commodity Prices'!$AB$9:$AB$2500,'Commodity Prices'!$A$9:$A$2500,E15,'Commodity Prices'!$B$9:$B$2500,3)+
SUMIFS('Commodity Prices'!$AB$9:$AB$2500,'Commodity Prices'!$A$9:$A$2500,E15,'Commodity Prices'!$B$9:$B$2500,4)+
SUMIFS('Commodity Prices'!$AB$9:$AB$2500,'Commodity Prices'!$A$9:$A$2500,F15,'Commodity Prices'!$B$9:$B$2500,1)+
SUMIFS('Commodity Prices'!$AB$9:$AB$2500,'Commodity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3224.8203065600078</v>
      </c>
      <c r="N15" s="323"/>
    </row>
    <row r="16" spans="1:27" ht="15" customHeight="1">
      <c r="A16" s="1149">
        <f>LARGE('Commodity Prices'!C$159:C$902,56)</f>
        <v>43586</v>
      </c>
      <c r="B16" s="1147">
        <f>SUMIF('Commodity Prices'!$C$159:$C$902,$A16,'Commodity Prices'!Y$159:Y$902)</f>
        <v>13276.344017049141</v>
      </c>
      <c r="C16" s="1148">
        <f>SUMIF('Commodity Prices'!$C$159:$C$902,$A16,'Commodity Prices'!AB$159:AB$902)</f>
        <v>923.88549976536854</v>
      </c>
      <c r="D16" s="15"/>
      <c r="E16" s="268">
        <f t="shared" si="0"/>
        <v>2022</v>
      </c>
      <c r="F16" s="268">
        <f t="shared" si="0"/>
        <v>2023</v>
      </c>
      <c r="G16" s="1195">
        <f t="shared" si="1"/>
        <v>2022</v>
      </c>
      <c r="H16" s="1147">
        <f t="array" ref="H16">IF($G$7="Historic Calendar Year",IFERROR(AVERAGE(IF($G16=YEAR('Commodity Prices'!C$100:C$1000),'Commodity Prices'!Y$100:Y$1000)),"n/a"),IFERROR(IF(J16=0,"n/a",J16),"n/a"))</f>
        <v>69010.922039641751</v>
      </c>
      <c r="I16" s="1148">
        <f t="array" ref="I16">IF($G$7="Historic Calendar Year",IFERROR(AVERAGE(IF($G16=YEAR('Commodity Prices'!C$100:C$1000),'Commodity Prices'!AB$100:AB$1000)),"n/a"),IFERROR(IF(K16=0,"n/a",K16),"n/a"))</f>
        <v>6361.5047295008289</v>
      </c>
      <c r="J16" s="381">
        <f>(SUMIFS('Commodity Prices'!$Y$9:$Y$2500,'Commodity Prices'!$A$9:$A$2500,E16,'Commodity Prices'!$B$9:$B$2500,3)+
SUMIFS('Commodity Prices'!$Y$9:$Y$2500,'Commodity Prices'!$A$9:$A$2500,E16,'Commodity Prices'!$B$9:$B$2500,4)+
SUMIFS('Commodity Prices'!$Y$9:$Y$2500,'Commodity Prices'!$A$9:$A$2500,F16,'Commodity Prices'!$B$9:$B$2500,1)+
SUMIFS('Commodity Prices'!$Y$9:$Y$2500,'Commodity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62891.207347172247</v>
      </c>
      <c r="K16" s="381">
        <f>(SUMIFS('Commodity Prices'!$AB$9:$AB$2500,'Commodity Prices'!$A$9:$A$2500,E16,'Commodity Prices'!$B$9:$B$2500,3)+
SUMIFS('Commodity Prices'!$AB$9:$AB$2500,'Commodity Prices'!$A$9:$A$2500,E16,'Commodity Prices'!$B$9:$B$2500,4)+
SUMIFS('Commodity Prices'!$AB$9:$AB$2500,'Commodity Prices'!$A$9:$A$2500,F16,'Commodity Prices'!$B$9:$B$2500,1)+
SUMIFS('Commodity Prices'!$AB$9:$AB$2500,'Commodity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7769.6007799660783</v>
      </c>
      <c r="N16" s="323"/>
    </row>
    <row r="17" spans="1:16" ht="15" customHeight="1" thickBot="1">
      <c r="A17" s="1149">
        <f>LARGE('Commodity Prices'!C$159:C$902,54)</f>
        <v>43647</v>
      </c>
      <c r="B17" s="1145">
        <f>SUMIF('Commodity Prices'!$C$159:$C$902,$A17,'Commodity Prices'!Y$159:Y$902)</f>
        <v>11647.749286041295</v>
      </c>
      <c r="C17" s="1146">
        <f>SUMIF('Commodity Prices'!$C$159:$C$902,$A17,'Commodity Prices'!AB$159:AB$902)</f>
        <v>877.83910592276391</v>
      </c>
      <c r="D17" s="15"/>
      <c r="E17" s="95">
        <f t="shared" si="0"/>
        <v>2023</v>
      </c>
      <c r="F17" s="95">
        <f t="shared" si="0"/>
        <v>2024</v>
      </c>
      <c r="G17" s="1196">
        <f t="shared" si="1"/>
        <v>2023</v>
      </c>
      <c r="H17" s="1901">
        <f t="array" ref="H17">IF($G$7="Historic Calendar Year",IFERROR(AVERAGE(IF($G17=YEAR('Commodity Prices'!C$100:C$1000),'Commodity Prices'!Y$100:Y$1000)),"n/a"),IFERROR(IF(J17=0,"n/a",J17),"n/a"))</f>
        <v>39079.229066439708</v>
      </c>
      <c r="I17" s="1902">
        <f t="array" ref="I17">IF($G$7="Historic Calendar Year",IFERROR(AVERAGE(IF($G17=YEAR('Commodity Prices'!C$100:C$1000),'Commodity Prices'!AB$100:AB$1000)),"n/a"),IFERROR(IF(K17=0,"n/a",K17),"n/a"))</f>
        <v>5568.7256793504785</v>
      </c>
      <c r="J17" s="980"/>
      <c r="N17" s="323"/>
    </row>
    <row r="18" spans="1:16" ht="15" customHeight="1" thickBot="1">
      <c r="A18" s="1149">
        <f>LARGE('Commodity Prices'!C$159:C$902,53)</f>
        <v>43678</v>
      </c>
      <c r="B18" s="1147">
        <f>SUMIF('Commodity Prices'!$C$159:$C$902,$A18,'Commodity Prices'!Y$159:Y$902)</f>
        <v>10356.519339959126</v>
      </c>
      <c r="C18" s="1148">
        <f>SUMIF('Commodity Prices'!$C$159:$C$902,$A18,'Commodity Prices'!AB$159:AB$902)</f>
        <v>881.67600751017869</v>
      </c>
      <c r="D18" s="15"/>
      <c r="G18" s="268"/>
      <c r="H18" s="268"/>
      <c r="I18" s="268"/>
      <c r="J18" s="612"/>
      <c r="N18" s="323"/>
    </row>
    <row r="19" spans="1:16" ht="15" customHeight="1" thickBot="1">
      <c r="A19" s="1149">
        <f>LARGE('Commodity Prices'!C$159:C$902,52)</f>
        <v>43709</v>
      </c>
      <c r="B19" s="1145">
        <f>SUMIF('Commodity Prices'!$C$159:$C$902,$A19,'Commodity Prices'!Y$159:Y$902)</f>
        <v>9561.1873667519994</v>
      </c>
      <c r="C19" s="1146">
        <f>SUMIF('Commodity Prices'!$C$159:$C$902,$A19,'Commodity Prices'!AB$159:AB$902)</f>
        <v>843.81019661604967</v>
      </c>
      <c r="D19" s="15"/>
      <c r="G19" s="2025" t="s">
        <v>321</v>
      </c>
      <c r="H19" s="2026"/>
      <c r="I19" s="2027"/>
      <c r="J19" s="901"/>
      <c r="N19" s="323"/>
      <c r="P19" s="323" t="str">
        <f>G6&amp;CHAR(10)&amp;G7</f>
        <v>Annual Prices
Historic Calendar Year</v>
      </c>
    </row>
    <row r="20" spans="1:16" ht="15" customHeight="1" thickBot="1">
      <c r="A20" s="1149">
        <f>LARGE('Commodity Prices'!C$159:C$902,51)</f>
        <v>43739</v>
      </c>
      <c r="B20" s="1147">
        <f>SUMIF('Commodity Prices'!$C$159:$C$902,$A20,'Commodity Prices'!Y$159:Y$902)</f>
        <v>8984.5771595697224</v>
      </c>
      <c r="C20" s="1148">
        <f>SUMIF('Commodity Prices'!$C$159:$C$902,$A20,'Commodity Prices'!AB$159:AB$902)</f>
        <v>789.9511066223439</v>
      </c>
      <c r="D20" s="15"/>
      <c r="G20" s="2028" t="s">
        <v>282</v>
      </c>
      <c r="H20" s="2029"/>
      <c r="I20" s="2030"/>
      <c r="J20" s="268"/>
      <c r="N20" s="323"/>
    </row>
    <row r="21" spans="1:16" ht="15" customHeight="1">
      <c r="A21" s="1149">
        <f>LARGE('Commodity Prices'!C$159:C$902,50)</f>
        <v>43770</v>
      </c>
      <c r="B21" s="1145">
        <f>SUMIF('Commodity Prices'!$C$159:$C$902,$A21,'Commodity Prices'!Y$159:Y$902)</f>
        <v>8559.7618405174871</v>
      </c>
      <c r="C21" s="1146">
        <f>SUMIF('Commodity Prices'!$C$159:$C$902,$A21,'Commodity Prices'!AB$159:AB$902)</f>
        <v>772.93588536763934</v>
      </c>
      <c r="D21" s="15"/>
      <c r="G21" s="1978" t="s">
        <v>322</v>
      </c>
      <c r="H21" s="1978"/>
      <c r="I21" s="1978"/>
      <c r="J21" s="268"/>
      <c r="N21" s="323"/>
    </row>
    <row r="22" spans="1:16" ht="15" customHeight="1">
      <c r="A22" s="1149">
        <f>LARGE('Commodity Prices'!C$159:C$902,49)</f>
        <v>43800</v>
      </c>
      <c r="B22" s="1147">
        <f>SUMIF('Commodity Prices'!$C$159:$C$902,$A22,'Commodity Prices'!Y$159:Y$902)</f>
        <v>7802.2545102638787</v>
      </c>
      <c r="C22" s="1148">
        <f>SUMIF('Commodity Prices'!$C$159:$C$902,$A22,'Commodity Prices'!AB$159:AB$902)</f>
        <v>733.01923831959186</v>
      </c>
      <c r="D22" s="15"/>
      <c r="G22" s="268"/>
      <c r="H22" s="268"/>
      <c r="I22" s="268"/>
      <c r="J22" s="268"/>
      <c r="N22" s="323"/>
    </row>
    <row r="23" spans="1:16" ht="15" customHeight="1">
      <c r="A23" s="1149">
        <f>LARGE('Commodity Prices'!C$159:C$902,48)</f>
        <v>43831</v>
      </c>
      <c r="B23" s="1145">
        <f>SUMIF('Commodity Prices'!$C$159:$C$902,$A23,'Commodity Prices'!Y$159:Y$902)</f>
        <v>7800.5370595090753</v>
      </c>
      <c r="C23" s="1146">
        <f>SUMIF('Commodity Prices'!$C$159:$C$902,$A23,'Commodity Prices'!AB$159:AB$902)</f>
        <v>719.03352578720103</v>
      </c>
      <c r="D23" s="15"/>
      <c r="G23" s="2015"/>
      <c r="H23" s="2015"/>
      <c r="I23" s="2015"/>
      <c r="J23" s="268"/>
      <c r="N23" s="323"/>
    </row>
    <row r="24" spans="1:16" ht="15" customHeight="1">
      <c r="A24" s="1149">
        <f>LARGE('Commodity Prices'!C$159:C$902,47)</f>
        <v>43862</v>
      </c>
      <c r="B24" s="1147">
        <f>SUMIF('Commodity Prices'!$C$159:$C$902,$A24,'Commodity Prices'!Y$159:Y$902)</f>
        <v>7755.0156938647242</v>
      </c>
      <c r="C24" s="1148">
        <f>SUMIF('Commodity Prices'!$C$159:$C$902,$A24,'Commodity Prices'!AB$159:AB$902)</f>
        <v>734.24189524316148</v>
      </c>
      <c r="D24" s="15"/>
      <c r="G24" s="2015"/>
      <c r="H24" s="2015"/>
      <c r="I24" s="2015"/>
      <c r="J24" s="268"/>
      <c r="N24" s="323"/>
    </row>
    <row r="25" spans="1:16" ht="15" customHeight="1">
      <c r="A25" s="1149">
        <f>LARGE('Commodity Prices'!C$159:C$902,46)</f>
        <v>43891</v>
      </c>
      <c r="B25" s="1145">
        <f>SUMIF('Commodity Prices'!$C$159:$C$902,$A25,'Commodity Prices'!Y$159:Y$902)</f>
        <v>7823.5945921546363</v>
      </c>
      <c r="C25" s="1146">
        <f>SUMIF('Commodity Prices'!$C$159:$C$902,$A25,'Commodity Prices'!AB$159:AB$902)</f>
        <v>775.37707143013495</v>
      </c>
      <c r="D25" s="15"/>
      <c r="G25" s="268"/>
      <c r="H25" s="268"/>
      <c r="I25" s="268"/>
      <c r="J25" s="268"/>
      <c r="N25" s="323"/>
    </row>
    <row r="26" spans="1:16" ht="15" customHeight="1">
      <c r="A26" s="1149">
        <f>LARGE('Commodity Prices'!C$159:C$902,45)</f>
        <v>43922</v>
      </c>
      <c r="B26" s="1147">
        <f>SUMIF('Commodity Prices'!$C$159:$C$902,$A26,'Commodity Prices'!Y$159:Y$902)</f>
        <v>7550.3348251335565</v>
      </c>
      <c r="C26" s="1148">
        <f>SUMIF('Commodity Prices'!$C$159:$C$902,$A26,'Commodity Prices'!AB$159:AB$902)</f>
        <v>731.9958398501077</v>
      </c>
      <c r="D26" s="15"/>
      <c r="G26" s="268"/>
      <c r="H26" s="268"/>
      <c r="I26" s="268"/>
      <c r="J26" s="268"/>
      <c r="N26" s="323"/>
    </row>
    <row r="27" spans="1:16" ht="15" customHeight="1">
      <c r="A27" s="1149">
        <f>LARGE('Commodity Prices'!C$159:C$902,44)</f>
        <v>43952</v>
      </c>
      <c r="B27" s="1145">
        <f>SUMIF('Commodity Prices'!$C$159:$C$902,$A27,'Commodity Prices'!Y$159:Y$902)</f>
        <v>7425.838905022918</v>
      </c>
      <c r="C27" s="1146">
        <f>SUMIF('Commodity Prices'!$C$159:$C$902,$A27,'Commodity Prices'!AB$159:AB$902)</f>
        <v>671.48813834573264</v>
      </c>
      <c r="D27" s="15"/>
      <c r="G27" s="268"/>
      <c r="H27" s="268"/>
      <c r="I27" s="268"/>
      <c r="J27" s="268"/>
      <c r="N27" s="323"/>
    </row>
    <row r="28" spans="1:16" ht="15" customHeight="1">
      <c r="A28" s="1149">
        <f>LARGE('Commodity Prices'!C$159:C$902,43)</f>
        <v>43983</v>
      </c>
      <c r="B28" s="1147">
        <f>SUMIF('Commodity Prices'!$C$159:$C$902,$A28,'Commodity Prices'!Y$159:Y$902)</f>
        <v>7301.5962308323851</v>
      </c>
      <c r="C28" s="1148">
        <f>SUMIF('Commodity Prices'!$C$159:$C$902,$A28,'Commodity Prices'!AB$159:AB$902)</f>
        <v>613.54770508453498</v>
      </c>
      <c r="D28" s="15"/>
      <c r="G28" s="268"/>
      <c r="H28" s="268"/>
      <c r="I28" s="268"/>
      <c r="J28" s="268"/>
      <c r="N28" s="323"/>
    </row>
    <row r="29" spans="1:16" ht="15" customHeight="1">
      <c r="A29" s="1149">
        <f>LARGE('Commodity Prices'!C$159:C$902,42)</f>
        <v>44013</v>
      </c>
      <c r="B29" s="1145">
        <f>SUMIF('Commodity Prices'!$C$159:$C$902,$A29,'Commodity Prices'!Y$159:Y$902)</f>
        <v>7004.7823154251973</v>
      </c>
      <c r="C29" s="1146">
        <f>SUMIF('Commodity Prices'!$C$159:$C$902,$A29,'Commodity Prices'!AB$159:AB$902)</f>
        <v>575.9212520491169</v>
      </c>
      <c r="D29" s="15"/>
      <c r="G29" s="268"/>
      <c r="H29" s="268"/>
      <c r="I29" s="268"/>
      <c r="J29" s="268"/>
      <c r="N29" s="323"/>
    </row>
    <row r="30" spans="1:16" ht="15" customHeight="1">
      <c r="A30" s="1149">
        <f>LARGE('Commodity Prices'!C$159:C$902,41)</f>
        <v>44044</v>
      </c>
      <c r="B30" s="1147">
        <f>SUMIF('Commodity Prices'!$C$159:$C$902,$A30,'Commodity Prices'!Y$159:Y$902)</f>
        <v>6935.2115554103084</v>
      </c>
      <c r="C30" s="1148">
        <f>SUMIF('Commodity Prices'!$C$159:$C$902,$A30,'Commodity Prices'!AB$159:AB$902)</f>
        <v>542.06022891432383</v>
      </c>
      <c r="D30" s="15"/>
      <c r="G30" s="268"/>
      <c r="H30" s="268"/>
      <c r="I30" s="268"/>
      <c r="J30" s="268"/>
      <c r="N30" s="323"/>
    </row>
    <row r="31" spans="1:16" ht="15" customHeight="1">
      <c r="A31" s="1149">
        <f>LARGE('Commodity Prices'!C$159:C$902,40)</f>
        <v>44075</v>
      </c>
      <c r="B31" s="1145">
        <f>SUMIF('Commodity Prices'!$C$159:$C$902,$A31,'Commodity Prices'!Y$159:Y$902)</f>
        <v>6965.7978791474006</v>
      </c>
      <c r="C31" s="1146">
        <f>SUMIF('Commodity Prices'!$C$159:$C$902,$A31,'Commodity Prices'!AB$159:AB$902)</f>
        <v>539.16462039903797</v>
      </c>
      <c r="D31" s="15"/>
      <c r="G31" s="268"/>
      <c r="H31" s="268"/>
      <c r="I31" s="268"/>
      <c r="J31" s="268"/>
      <c r="N31" s="323"/>
    </row>
    <row r="32" spans="1:16" ht="15" customHeight="1">
      <c r="A32" s="1149">
        <f>LARGE('Commodity Prices'!C$159:C$902,39)</f>
        <v>44105</v>
      </c>
      <c r="B32" s="1147">
        <f>SUMIF('Commodity Prices'!$C$159:$C$902,$A32,'Commodity Prices'!Y$159:Y$902)</f>
        <v>6980.0320822312278</v>
      </c>
      <c r="C32" s="1148">
        <f>SUMIF('Commodity Prices'!$C$159:$C$902,$A32,'Commodity Prices'!AB$159:AB$902)</f>
        <v>547.74678470018364</v>
      </c>
      <c r="D32" s="15"/>
      <c r="G32" s="268"/>
      <c r="H32" s="268"/>
      <c r="I32" s="268"/>
      <c r="J32" s="268"/>
      <c r="N32" s="323"/>
    </row>
    <row r="33" spans="1:14" ht="15" customHeight="1">
      <c r="A33" s="1149">
        <f>LARGE('Commodity Prices'!C$159:C$902,38)</f>
        <v>44136</v>
      </c>
      <c r="B33" s="1145">
        <f>SUMIF('Commodity Prices'!$C$159:$C$902,$A33,'Commodity Prices'!Y$159:Y$902)</f>
        <v>6965.7633370324129</v>
      </c>
      <c r="C33" s="1146">
        <f>SUMIF('Commodity Prices'!$C$159:$C$902,$A33,'Commodity Prices'!AB$159:AB$902)</f>
        <v>539.59451753092253</v>
      </c>
      <c r="D33" s="15"/>
      <c r="G33" s="268"/>
      <c r="H33" s="268"/>
      <c r="I33" s="268"/>
      <c r="J33" s="268"/>
      <c r="N33" s="323"/>
    </row>
    <row r="34" spans="1:14" ht="15" customHeight="1">
      <c r="A34" s="1149">
        <f>LARGE('Commodity Prices'!C$159:C$902,37)</f>
        <v>44166</v>
      </c>
      <c r="B34" s="1147">
        <f>SUMIF('Commodity Prices'!$C$159:$C$902,$A34,'Commodity Prices'!Y$159:Y$902)</f>
        <v>7073.6607804063178</v>
      </c>
      <c r="C34" s="1148">
        <f>SUMIF('Commodity Prices'!$C$159:$C$902,$A34,'Commodity Prices'!AB$159:AB$902)</f>
        <v>527.54638130817455</v>
      </c>
      <c r="D34" s="15"/>
      <c r="G34" s="268"/>
      <c r="H34" s="268"/>
      <c r="I34" s="268"/>
      <c r="J34" s="268"/>
      <c r="N34" s="323"/>
    </row>
    <row r="35" spans="1:14" ht="15" customHeight="1">
      <c r="A35" s="1149">
        <f>LARGE('Commodity Prices'!C$159:C$902,36)</f>
        <v>44197</v>
      </c>
      <c r="B35" s="1145">
        <f>SUMIF('Commodity Prices'!$C$159:$C$902,$A35,'Commodity Prices'!Y$159:Y$902)</f>
        <v>7983.8371568955763</v>
      </c>
      <c r="C35" s="1146">
        <f>SUMIF('Commodity Prices'!$C$159:$C$902,$A35,'Commodity Prices'!AB$159:AB$902)</f>
        <v>540.71775517572598</v>
      </c>
      <c r="D35" s="15"/>
      <c r="G35" s="268"/>
      <c r="H35" s="268"/>
      <c r="I35" s="268"/>
      <c r="J35" s="268"/>
      <c r="N35" s="323"/>
    </row>
    <row r="36" spans="1:14" ht="15" customHeight="1">
      <c r="A36" s="1149">
        <f>LARGE('Commodity Prices'!C$159:C$902,35)</f>
        <v>44228</v>
      </c>
      <c r="B36" s="1147">
        <f>SUMIF('Commodity Prices'!$C$159:$C$902,$A36,'Commodity Prices'!Y$159:Y$902)</f>
        <v>9250.6835674283484</v>
      </c>
      <c r="C36" s="1148">
        <f>SUMIF('Commodity Prices'!$C$159:$C$902,$A36,'Commodity Prices'!AB$159:AB$902)</f>
        <v>559.67141871546391</v>
      </c>
      <c r="D36" s="15"/>
      <c r="G36" s="268"/>
      <c r="H36" s="268"/>
      <c r="I36" s="268"/>
      <c r="J36" s="268"/>
      <c r="N36" s="323"/>
    </row>
    <row r="37" spans="1:14" ht="15" customHeight="1">
      <c r="A37" s="1149">
        <f>LARGE('Commodity Prices'!C$159:C$902,34)</f>
        <v>44256</v>
      </c>
      <c r="B37" s="1145">
        <f>SUMIF('Commodity Prices'!$C$159:$C$902,$A37,'Commodity Prices'!Y$159:Y$902)</f>
        <v>10499.060123891291</v>
      </c>
      <c r="C37" s="1146">
        <f>SUMIF('Commodity Prices'!$C$159:$C$902,$A37,'Commodity Prices'!AB$159:AB$902)</f>
        <v>626.2234351476468</v>
      </c>
      <c r="D37" s="15"/>
      <c r="G37" s="268"/>
      <c r="H37" s="268"/>
      <c r="I37" s="268"/>
      <c r="J37" s="268"/>
      <c r="N37" s="323"/>
    </row>
    <row r="38" spans="1:14" ht="15" customHeight="1">
      <c r="A38" s="1149">
        <f>LARGE('Commodity Prices'!C$159:C$902,33)</f>
        <v>44287</v>
      </c>
      <c r="B38" s="1147">
        <f>SUMIF('Commodity Prices'!$C$159:$C$902,$A38,'Commodity Prices'!Y$159:Y$902)</f>
        <v>11785.33560363267</v>
      </c>
      <c r="C38" s="1148">
        <f>SUMIF('Commodity Prices'!$C$159:$C$902,$A38,'Commodity Prices'!AB$159:AB$902)</f>
        <v>990.41969026261472</v>
      </c>
      <c r="D38" s="15"/>
      <c r="G38" s="268"/>
      <c r="H38" s="268"/>
      <c r="I38" s="268"/>
      <c r="J38" s="268"/>
      <c r="M38" s="381"/>
      <c r="N38" s="323"/>
    </row>
    <row r="39" spans="1:14" ht="15" customHeight="1">
      <c r="A39" s="1149">
        <f>LARGE('Commodity Prices'!C$159:C$902,32)</f>
        <v>44317</v>
      </c>
      <c r="B39" s="1145">
        <f>SUMIF('Commodity Prices'!$C$159:$C$902,$A39,'Commodity Prices'!Y$159:Y$902)</f>
        <v>13249.57583026559</v>
      </c>
      <c r="C39" s="1146">
        <f>SUMIF('Commodity Prices'!$C$159:$C$902,$A39,'Commodity Prices'!AB$159:AB$902)</f>
        <v>818.02415494513571</v>
      </c>
      <c r="D39" s="15"/>
      <c r="G39" s="268"/>
      <c r="H39" s="268"/>
      <c r="I39" s="268"/>
      <c r="J39" s="268"/>
      <c r="M39" s="381"/>
      <c r="N39" s="323"/>
    </row>
    <row r="40" spans="1:14" ht="15" customHeight="1">
      <c r="A40" s="1149">
        <f>LARGE('Commodity Prices'!C$159:C$902,31)</f>
        <v>44348</v>
      </c>
      <c r="B40" s="1147">
        <f>SUMIF('Commodity Prices'!$C$159:$C$902,$A40,'Commodity Prices'!Y$159:Y$902)</f>
        <v>14157.767896660145</v>
      </c>
      <c r="C40" s="1148">
        <f>SUMIF('Commodity Prices'!$C$159:$C$902,$A40,'Commodity Prices'!AB$159:AB$902)</f>
        <v>868.90462665371103</v>
      </c>
      <c r="D40" s="15"/>
      <c r="G40" s="268"/>
      <c r="H40" s="268"/>
      <c r="I40" s="268"/>
      <c r="J40" s="268"/>
      <c r="M40" s="381"/>
      <c r="N40" s="323"/>
    </row>
    <row r="41" spans="1:14" ht="15" customHeight="1">
      <c r="A41" s="1149">
        <f>LARGE('Commodity Prices'!C$159:C$902,30)</f>
        <v>44378</v>
      </c>
      <c r="B41" s="1145">
        <f>SUMIF('Commodity Prices'!$C$159:$C$902,$A41,'Commodity Prices'!Y$159:Y$902)</f>
        <v>14508.818445033876</v>
      </c>
      <c r="C41" s="1146">
        <f>SUMIF('Commodity Prices'!$C$159:$C$902,$A41,'Commodity Prices'!AB$159:AB$902)</f>
        <v>949.52401359086593</v>
      </c>
      <c r="D41" s="15"/>
      <c r="G41" s="268"/>
      <c r="H41" s="268"/>
      <c r="I41" s="268"/>
      <c r="M41" s="381"/>
      <c r="N41" s="323"/>
    </row>
    <row r="42" spans="1:14" ht="15" customHeight="1">
      <c r="A42" s="1149">
        <f>LARGE('Commodity Prices'!C$159:C$902,29)</f>
        <v>44409</v>
      </c>
      <c r="B42" s="1147">
        <f>SUMIF('Commodity Prices'!$C$159:$C$902,$A42,'Commodity Prices'!Y$159:Y$902)</f>
        <v>16785.068307583409</v>
      </c>
      <c r="C42" s="1148">
        <f>SUMIF('Commodity Prices'!$C$159:$C$902,$A42,'Commodity Prices'!AB$159:AB$902)</f>
        <v>1184.1683026891644</v>
      </c>
      <c r="D42" s="15"/>
      <c r="G42" s="268"/>
      <c r="H42" s="268"/>
      <c r="I42" s="268"/>
      <c r="M42" s="381"/>
      <c r="N42" s="323"/>
    </row>
    <row r="43" spans="1:14" ht="15" customHeight="1">
      <c r="A43" s="1149">
        <f>LARGE('Commodity Prices'!C$159:C$902,28)</f>
        <v>44440</v>
      </c>
      <c r="B43" s="1145">
        <f>SUMIF('Commodity Prices'!$C$159:$C$902,$A43,'Commodity Prices'!Y$159:Y$902)</f>
        <v>22963.317489067074</v>
      </c>
      <c r="C43" s="1146">
        <f>SUMIF('Commodity Prices'!$C$159:$C$902,$A43,'Commodity Prices'!AB$159:AB$902)</f>
        <v>1356.6291088555733</v>
      </c>
      <c r="D43" s="15"/>
      <c r="M43" s="381"/>
      <c r="N43" s="323"/>
    </row>
    <row r="44" spans="1:14" ht="15" customHeight="1">
      <c r="A44" s="1149">
        <f>LARGE('Commodity Prices'!C$159:C$902,27)</f>
        <v>44470</v>
      </c>
      <c r="B44" s="1147">
        <f>SUMIF('Commodity Prices'!$C$159:$C$902,$A44,'Commodity Prices'!Y$159:Y$902)</f>
        <v>28113.956908549804</v>
      </c>
      <c r="C44" s="1148">
        <f>SUMIF('Commodity Prices'!$C$159:$C$902,$A44,'Commodity Prices'!AB$159:AB$902)</f>
        <v>1688.5160645418382</v>
      </c>
      <c r="D44" s="15"/>
      <c r="M44" s="381"/>
      <c r="N44" s="323"/>
    </row>
    <row r="45" spans="1:14" ht="15" customHeight="1">
      <c r="A45" s="1149">
        <f>LARGE('Commodity Prices'!C$159:C$902,26)</f>
        <v>44501</v>
      </c>
      <c r="B45" s="1145">
        <f>SUMIF('Commodity Prices'!$C$159:$C$902,$A45,'Commodity Prices'!Y$159:Y$902)</f>
        <v>28558.364254416887</v>
      </c>
      <c r="C45" s="1146">
        <f>SUMIF('Commodity Prices'!$C$159:$C$902,$A45,'Commodity Prices'!AB$159:AB$902)</f>
        <v>2629.1292187208655</v>
      </c>
      <c r="D45" s="15"/>
      <c r="M45" s="381"/>
      <c r="N45" s="323"/>
    </row>
    <row r="46" spans="1:14" ht="15" customHeight="1">
      <c r="A46" s="1149">
        <f>LARGE('Commodity Prices'!C$159:C$902,25)</f>
        <v>44531</v>
      </c>
      <c r="B46" s="1147">
        <f>SUMIF('Commodity Prices'!$C$159:$C$902,$A46,'Commodity Prices'!Y$159:Y$902)</f>
        <v>30272.472691251791</v>
      </c>
      <c r="C46" s="1148">
        <f>SUMIF('Commodity Prices'!$C$159:$C$902,$A46,'Commodity Prices'!AB$159:AB$902)</f>
        <v>3327.1886362728255</v>
      </c>
      <c r="D46" s="15"/>
      <c r="M46" s="381"/>
      <c r="N46" s="323"/>
    </row>
    <row r="47" spans="1:14" ht="15" customHeight="1">
      <c r="A47" s="1149">
        <f>LARGE('Commodity Prices'!C$159:C$902,24)</f>
        <v>44562</v>
      </c>
      <c r="B47" s="1145">
        <f>SUMIF('Commodity Prices'!$C$159:$C$902,$A47,'Commodity Prices'!Y$159:Y$902)</f>
        <v>40713.478177145567</v>
      </c>
      <c r="C47" s="1146">
        <f>SUMIF('Commodity Prices'!$C$159:$C$902,$A47,'Commodity Prices'!AB$159:AB$902)</f>
        <v>3709.4899821856643</v>
      </c>
      <c r="D47" s="15"/>
      <c r="M47" s="381"/>
      <c r="N47" s="323"/>
    </row>
    <row r="48" spans="1:14" ht="15" customHeight="1">
      <c r="A48" s="1149">
        <f>LARGE('Commodity Prices'!C$159:C$902,23)</f>
        <v>44593</v>
      </c>
      <c r="B48" s="1147">
        <f>SUMIF('Commodity Prices'!$C$159:$C$902,$A48,'Commodity Prices'!Y$159:Y$902)</f>
        <v>56978.311792570181</v>
      </c>
      <c r="C48" s="1148">
        <f>SUMIF('Commodity Prices'!$C$159:$C$902,$A48,'Commodity Prices'!AB$159:AB$902)</f>
        <v>3787.0390421437205</v>
      </c>
      <c r="D48" s="15"/>
      <c r="M48" s="381"/>
      <c r="N48" s="323"/>
    </row>
    <row r="49" spans="1:14" ht="15" customHeight="1">
      <c r="A49" s="1149">
        <f>LARGE('Commodity Prices'!C$159:C$902,22)</f>
        <v>44621</v>
      </c>
      <c r="B49" s="1145">
        <f>SUMIF('Commodity Prices'!$C$159:$C$902,$A49,'Commodity Prices'!Y$159:Y$902)</f>
        <v>72551.840092643746</v>
      </c>
      <c r="C49" s="1146">
        <f>SUMIF('Commodity Prices'!$C$159:$C$902,$A49,'Commodity Prices'!AB$159:AB$902)</f>
        <v>3749.6681004726247</v>
      </c>
      <c r="D49" s="15"/>
      <c r="M49" s="381"/>
      <c r="N49" s="323"/>
    </row>
    <row r="50" spans="1:14" ht="15" customHeight="1">
      <c r="A50" s="1149">
        <f>LARGE('Commodity Prices'!C$159:C$902,21)</f>
        <v>44652</v>
      </c>
      <c r="B50" s="1147">
        <f>SUMIF('Commodity Prices'!$C$159:$C$902,$A50,'Commodity Prices'!Y$159:Y$902)</f>
        <v>74847.210889658047</v>
      </c>
      <c r="C50" s="1148">
        <f>SUMIF('Commodity Prices'!$C$159:$C$902,$A50,'Commodity Prices'!AB$159:AB$902)</f>
        <v>4200.2568435282192</v>
      </c>
      <c r="D50" s="15"/>
      <c r="M50" s="381"/>
      <c r="N50" s="323"/>
    </row>
    <row r="51" spans="1:14" ht="15" customHeight="1">
      <c r="A51" s="1149">
        <f>LARGE('Commodity Prices'!C$159:C$902,20)</f>
        <v>44682</v>
      </c>
      <c r="B51" s="1145">
        <f>SUMIF('Commodity Prices'!$C$159:$C$902,$A51,'Commodity Prices'!Y$159:Y$902)</f>
        <v>69192.00478027387</v>
      </c>
      <c r="C51" s="1146">
        <f>SUMIF('Commodity Prices'!$C$159:$C$902,$A51,'Commodity Prices'!AB$159:AB$902)</f>
        <v>5715.3998865570047</v>
      </c>
      <c r="D51" s="15"/>
      <c r="M51" s="381"/>
      <c r="N51" s="323"/>
    </row>
    <row r="52" spans="1:14" ht="15" customHeight="1">
      <c r="A52" s="1149">
        <f>LARGE('Commodity Prices'!C$159:C$902,19)</f>
        <v>44713</v>
      </c>
      <c r="B52" s="1147">
        <f>SUMIF('Commodity Prices'!$C$159:$C$902,$A52,'Commodity Prices'!Y$159:Y$902)</f>
        <v>71256.455086269038</v>
      </c>
      <c r="C52" s="1148">
        <f>SUMIF('Commodity Prices'!$C$159:$C$902,$A52,'Commodity Prices'!AB$159:AB$902)</f>
        <v>6400.8344791617283</v>
      </c>
      <c r="D52" s="15"/>
      <c r="M52" s="381"/>
      <c r="N52" s="323"/>
    </row>
    <row r="53" spans="1:14" ht="15" customHeight="1">
      <c r="A53" s="1149">
        <f>LARGE('Commodity Prices'!C$159:C$902,18)</f>
        <v>44743</v>
      </c>
      <c r="B53" s="1145">
        <f>SUMIF('Commodity Prices'!$C$159:$C$902,$A53,'Commodity Prices'!Y$159:Y$902)</f>
        <v>70918.02192836297</v>
      </c>
      <c r="C53" s="1146">
        <f>SUMIF('Commodity Prices'!$C$159:$C$902,$A53,'Commodity Prices'!AB$159:AB$902)</f>
        <v>6788.369039679892</v>
      </c>
      <c r="D53" s="15"/>
      <c r="M53" s="381"/>
      <c r="N53" s="323"/>
    </row>
    <row r="54" spans="1:14" ht="15" customHeight="1">
      <c r="A54" s="1149">
        <f>LARGE('Commodity Prices'!C$159:C$902,17)</f>
        <v>44774</v>
      </c>
      <c r="B54" s="1147">
        <f>SUMIF('Commodity Prices'!$C$159:$C$902,$A54,'Commodity Prices'!Y$159:Y$902)</f>
        <v>70328.345507790116</v>
      </c>
      <c r="C54" s="1148">
        <f>SUMIF('Commodity Prices'!$C$159:$C$902,$A54,'Commodity Prices'!AB$159:AB$902)</f>
        <v>6854.6535093161601</v>
      </c>
      <c r="D54" s="15"/>
      <c r="M54" s="381"/>
      <c r="N54" s="323"/>
    </row>
    <row r="55" spans="1:14" ht="15" customHeight="1">
      <c r="A55" s="1149">
        <f>LARGE('Commodity Prices'!C$159:C$902,16)</f>
        <v>44805</v>
      </c>
      <c r="B55" s="1145">
        <f>SUMIF('Commodity Prices'!$C$159:$C$902,$A55,'Commodity Prices'!Y$159:Y$902)</f>
        <v>69325.522267157154</v>
      </c>
      <c r="C55" s="1146">
        <f>SUMIF('Commodity Prices'!$C$159:$C$902,$A55,'Commodity Prices'!AB$159:AB$902)</f>
        <v>7863.2055654848782</v>
      </c>
      <c r="D55" s="15"/>
      <c r="M55" s="381"/>
      <c r="N55" s="323"/>
    </row>
    <row r="56" spans="1:14" ht="15" customHeight="1">
      <c r="A56" s="1149">
        <f>LARGE('Commodity Prices'!C$159:C$902,15)</f>
        <v>44835</v>
      </c>
      <c r="B56" s="1147">
        <f>SUMIF('Commodity Prices'!$C$159:$C$902,$A56,'Commodity Prices'!Y$159:Y$902)</f>
        <v>73594.508578656227</v>
      </c>
      <c r="C56" s="1148">
        <f>SUMIF('Commodity Prices'!$C$159:$C$902,$A56,'Commodity Prices'!AB$159:AB$902)</f>
        <v>9021.9151377949674</v>
      </c>
      <c r="D56" s="15"/>
      <c r="M56" s="381"/>
      <c r="N56" s="323"/>
    </row>
    <row r="57" spans="1:14" ht="15" customHeight="1">
      <c r="A57" s="1149">
        <f>LARGE('Commodity Prices'!C$159:C$902,14)</f>
        <v>44866</v>
      </c>
      <c r="B57" s="1145">
        <f>SUMIF('Commodity Prices'!$C$159:$C$902,$A57,'Commodity Prices'!Y$159:Y$902)</f>
        <v>78847.972986360241</v>
      </c>
      <c r="C57" s="1146">
        <f>SUMIF('Commodity Prices'!$C$159:$C$902,$A57,'Commodity Prices'!AB$159:AB$902)</f>
        <v>9262.6207200810641</v>
      </c>
      <c r="D57" s="15"/>
      <c r="M57" s="381"/>
      <c r="N57" s="323"/>
    </row>
    <row r="58" spans="1:14" ht="15" customHeight="1">
      <c r="A58" s="1149">
        <f>LARGE('Commodity Prices'!C$159:C$902,13)</f>
        <v>44896</v>
      </c>
      <c r="B58" s="1147">
        <f>SUMIF('Commodity Prices'!$C$159:$C$902,$A58,'Commodity Prices'!Y$159:Y$902)</f>
        <v>79577.392388813882</v>
      </c>
      <c r="C58" s="1148">
        <f>SUMIF('Commodity Prices'!$C$159:$C$902,$A58,'Commodity Prices'!AB$159:AB$902)</f>
        <v>8984.6044476040261</v>
      </c>
      <c r="D58" s="15"/>
      <c r="M58" s="381"/>
      <c r="N58" s="323"/>
    </row>
    <row r="59" spans="1:14" ht="15" customHeight="1">
      <c r="A59" s="1149">
        <f>LARGE('Commodity Prices'!C$159:C$902,12)</f>
        <v>44927</v>
      </c>
      <c r="B59" s="1145">
        <f>SUMIF('Commodity Prices'!$C$159:$C$902,$A59,'Commodity Prices'!Y$159:Y$902)</f>
        <v>74141.049646210566</v>
      </c>
      <c r="C59" s="1146">
        <f>SUMIF('Commodity Prices'!$C$159:$C$902,$A59,'Commodity Prices'!AB$159:AB$902)</f>
        <v>8603.8683494754405</v>
      </c>
      <c r="D59" s="15"/>
      <c r="M59" s="381"/>
      <c r="N59" s="323"/>
    </row>
    <row r="60" spans="1:14" ht="15" customHeight="1">
      <c r="A60" s="1149">
        <f>LARGE('Commodity Prices'!C$159:C$902,11)</f>
        <v>44958</v>
      </c>
      <c r="B60" s="1147">
        <f>SUMIF('Commodity Prices'!$C$159:$C$902,$A60,'Commodity Prices'!Y$159:Y$902)</f>
        <v>65667.023151782691</v>
      </c>
      <c r="C60" s="1148">
        <f>SUMIF('Commodity Prices'!$C$159:$C$902,$A60,'Commodity Prices'!AB$159:AB$902)</f>
        <v>8560.8712000694177</v>
      </c>
      <c r="D60" s="15"/>
      <c r="M60" s="381"/>
      <c r="N60" s="323"/>
    </row>
    <row r="61" spans="1:14" ht="15" customHeight="1">
      <c r="A61" s="1149">
        <f>LARGE('Commodity Prices'!C$159:C$902,10)</f>
        <v>44986</v>
      </c>
      <c r="B61" s="1145">
        <f>SUMIF('Commodity Prices'!$C$159:$C$902,$A61,'Commodity Prices'!Y$159:Y$902)</f>
        <v>53163.830238952949</v>
      </c>
      <c r="C61" s="1146">
        <f>SUMIF('Commodity Prices'!$C$159:$C$902,$A61,'Commodity Prices'!AB$159:AB$902)</f>
        <v>7614.8806272918782</v>
      </c>
      <c r="D61" s="15"/>
      <c r="M61" s="381"/>
      <c r="N61" s="323"/>
    </row>
    <row r="62" spans="1:14" ht="15" customHeight="1">
      <c r="A62" s="1149">
        <f>LARGE('Commodity Prices'!C$159:C$902,9)</f>
        <v>45017</v>
      </c>
      <c r="B62" s="1147">
        <f>SUMIF('Commodity Prices'!$C$159:$C$902,$A62,'Commodity Prices'!Y$159:Y$902)</f>
        <v>42118.560798413782</v>
      </c>
      <c r="C62" s="1148">
        <f>SUMIF('Commodity Prices'!$C$159:$C$902,$A62,'Commodity Prices'!AB$159:AB$902)</f>
        <v>6593.2694842280998</v>
      </c>
      <c r="D62" s="15"/>
      <c r="M62" s="381"/>
      <c r="N62" s="323"/>
    </row>
    <row r="63" spans="1:14" ht="15" customHeight="1">
      <c r="A63" s="1149">
        <f>LARGE('Commodity Prices'!C$159:C$902,8)</f>
        <v>45047</v>
      </c>
      <c r="B63" s="1145">
        <f>SUMIF('Commodity Prices'!$C$159:$C$902,$A63,'Commodity Prices'!Y$159:Y$902)</f>
        <v>41677.254484793026</v>
      </c>
      <c r="C63" s="1146">
        <f>SUMIF('Commodity Prices'!$C$159:$C$902,$A63,'Commodity Prices'!AB$159:AB$902)</f>
        <v>6027.7795936511257</v>
      </c>
      <c r="D63" s="15"/>
      <c r="M63" s="381"/>
      <c r="N63" s="323"/>
    </row>
    <row r="64" spans="1:14" ht="15" customHeight="1">
      <c r="A64" s="1149">
        <f>LARGE('Commodity Prices'!C$159:C$902,7)</f>
        <v>45078</v>
      </c>
      <c r="B64" s="1147">
        <f>SUMIF('Commodity Prices'!$C$159:$C$902,$A64,'Commodity Prices'!Y$159:Y$902)</f>
        <v>43361.820769964157</v>
      </c>
      <c r="C64" s="1148">
        <f>SUMIF('Commodity Prices'!$C$159:$C$902,$A64,'Commodity Prices'!AB$159:AB$902)</f>
        <v>6077.9399446297994</v>
      </c>
      <c r="D64" s="15"/>
      <c r="M64" s="381"/>
      <c r="N64" s="323"/>
    </row>
    <row r="65" spans="1:14" ht="15" customHeight="1">
      <c r="A65" s="1149">
        <f>LARGE('Commodity Prices'!C$159:C$902,6)</f>
        <v>45108</v>
      </c>
      <c r="B65" s="1145">
        <f>SUMIF('Commodity Prices'!$C$159:$C$902,$A65,'Commodity Prices'!Y$159:Y$902)</f>
        <v>39612.200514729964</v>
      </c>
      <c r="C65" s="1146">
        <f>SUMIF('Commodity Prices'!$C$159:$C$902,$A65,'Commodity Prices'!AB$159:AB$902)</f>
        <v>6023.7877149460382</v>
      </c>
      <c r="D65" s="15"/>
      <c r="M65" s="381"/>
      <c r="N65" s="323"/>
    </row>
    <row r="66" spans="1:14" ht="15" customHeight="1">
      <c r="A66" s="1149">
        <f>LARGE('Commodity Prices'!C$159:C$902,5)</f>
        <v>45139</v>
      </c>
      <c r="B66" s="1147">
        <f>SUMIF('Commodity Prices'!$C$159:$C$902,$A66,'Commodity Prices'!Y$159:Y$902)</f>
        <v>31038.28596767745</v>
      </c>
      <c r="C66" s="1148">
        <f>SUMIF('Commodity Prices'!$C$159:$C$902,$A66,'Commodity Prices'!AB$159:AB$902)</f>
        <v>5205.4490682359519</v>
      </c>
      <c r="D66" s="15"/>
      <c r="M66" s="381"/>
      <c r="N66" s="323"/>
    </row>
    <row r="67" spans="1:14" ht="15" customHeight="1">
      <c r="A67" s="1149">
        <f>LARGE('Commodity Prices'!C$159:C$902,4)</f>
        <v>45170</v>
      </c>
      <c r="B67" s="1145">
        <f>SUMIF('Commodity Prices'!$C$159:$C$902,$A67,'Commodity Prices'!Y$159:Y$902)</f>
        <v>23220.109400402143</v>
      </c>
      <c r="C67" s="1146">
        <f>SUMIF('Commodity Prices'!$C$159:$C$902,$A67,'Commodity Prices'!AB$159:AB$902)</f>
        <v>4065.7819251836313</v>
      </c>
      <c r="D67" s="15"/>
      <c r="M67" s="381"/>
      <c r="N67" s="323"/>
    </row>
    <row r="68" spans="1:14" ht="15" customHeight="1">
      <c r="A68" s="1149">
        <f>LARGE('Commodity Prices'!C$159:C$902,3)</f>
        <v>45200</v>
      </c>
      <c r="B68" s="1147">
        <f>SUMIF('Commodity Prices'!$C$159:$C$902,$A68,'Commodity Prices'!Y$159:Y$902)</f>
        <v>21571.801175382097</v>
      </c>
      <c r="C68" s="1148">
        <f>SUMIF('Commodity Prices'!$C$159:$C$902,$A68,'Commodity Prices'!AB$159:AB$902)</f>
        <v>3356.1134732626933</v>
      </c>
      <c r="D68" s="15"/>
      <c r="M68" s="381"/>
      <c r="N68" s="323"/>
    </row>
    <row r="69" spans="1:14" ht="15" customHeight="1">
      <c r="A69" s="1149">
        <f>LARGE('Commodity Prices'!C$159:C$902,2)</f>
        <v>45231</v>
      </c>
      <c r="B69" s="1145">
        <f>SUMIF('Commodity Prices'!$C$159:$C$902,$A69,'Commodity Prices'!Y$159:Y$902)</f>
        <v>19098.286519385307</v>
      </c>
      <c r="C69" s="1146">
        <f>SUMIF('Commodity Prices'!$C$159:$C$902,$A69,'Commodity Prices'!AB$159:AB$902)</f>
        <v>2666.2759678198586</v>
      </c>
      <c r="D69" s="15"/>
      <c r="M69" s="381"/>
      <c r="N69" s="323"/>
    </row>
    <row r="70" spans="1:14" ht="15" customHeight="1" thickBot="1">
      <c r="A70" s="1558">
        <f>LARGE('Commodity Prices'!C$159:C$902,1)</f>
        <v>45261</v>
      </c>
      <c r="B70" s="1559">
        <f>SUMIF('Commodity Prices'!$C$159:$C$902,$A70,'Commodity Prices'!Y$159:Y$902)</f>
        <v>14280.526129582391</v>
      </c>
      <c r="C70" s="1560">
        <f>SUMIF('Commodity Prices'!$C$159:$C$902,$A70,'Commodity Prices'!AB$159:AB$902)</f>
        <v>2028.6908034118026</v>
      </c>
    </row>
    <row r="71" spans="1:14" ht="15" customHeight="1"/>
    <row r="72" spans="1:14" ht="15" customHeight="1"/>
    <row r="73" spans="1:14" ht="15" customHeight="1"/>
    <row r="74" spans="1:14" ht="15" customHeight="1"/>
    <row r="75" spans="1:14" ht="15" customHeight="1"/>
    <row r="76" spans="1:14" ht="15" customHeight="1"/>
    <row r="77" spans="1:14" ht="15" customHeight="1"/>
    <row r="78" spans="1:14" ht="15" customHeight="1"/>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sheetData>
  <mergeCells count="8">
    <mergeCell ref="G23:I24"/>
    <mergeCell ref="A6:C6"/>
    <mergeCell ref="A7:C7"/>
    <mergeCell ref="G19:I19"/>
    <mergeCell ref="G20:I20"/>
    <mergeCell ref="G6:I6"/>
    <mergeCell ref="G7:I7"/>
    <mergeCell ref="G21:I21"/>
  </mergeCells>
  <dataValidations count="1">
    <dataValidation type="list" allowBlank="1" showInputMessage="1" showErrorMessage="1" promptTitle="Select a Period:" prompt="Select Financial or Calendar years." sqref="G20" xr:uid="{00000000-0002-0000-1B00-000000000000}">
      <formula1>$AA$1:$AA$2</formula1>
    </dataValidation>
  </dataValidations>
  <pageMargins left="0.7" right="0.7" top="0.75" bottom="0.75" header="0.3" footer="0.3"/>
  <pageSetup paperSize="9" orientation="portrait" r:id="rId1"/>
  <ignoredErrors>
    <ignoredError sqref="G10"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B871"/>
  </sheetPr>
  <dimension ref="A1:W253"/>
  <sheetViews>
    <sheetView showGridLines="0" workbookViewId="0"/>
  </sheetViews>
  <sheetFormatPr defaultRowHeight="15"/>
  <cols>
    <col min="1" max="1" width="10.85546875" customWidth="1"/>
    <col min="2" max="2" width="16.140625" bestFit="1" customWidth="1"/>
    <col min="3" max="3" width="20.42578125" bestFit="1" customWidth="1"/>
    <col min="4" max="4" width="4.85546875" style="1151" hidden="1" customWidth="1"/>
    <col min="5" max="5" width="1.85546875" style="1151" hidden="1" customWidth="1"/>
    <col min="6" max="6" width="14" customWidth="1"/>
    <col min="7" max="7" width="16" style="323" bestFit="1" customWidth="1"/>
    <col min="8" max="9" width="18.42578125" customWidth="1"/>
    <col min="16" max="16" width="13.42578125" style="323" bestFit="1" customWidth="1"/>
    <col min="17" max="17" width="24.5703125" customWidth="1"/>
    <col min="18" max="18" width="28.28515625" customWidth="1"/>
  </cols>
  <sheetData>
    <row r="1" spans="1:18">
      <c r="A1" s="80" t="s">
        <v>240</v>
      </c>
      <c r="B1" s="80" t="e">
        <f>#REF!</f>
        <v>#REF!</v>
      </c>
      <c r="C1" s="80" t="e">
        <f>IF($Q$22=B1,"B","F")</f>
        <v>#REF!</v>
      </c>
      <c r="D1" s="1150"/>
      <c r="E1" s="1150"/>
      <c r="F1" s="323"/>
      <c r="H1" s="323"/>
      <c r="I1" s="323"/>
      <c r="J1" s="323"/>
      <c r="K1" s="323"/>
      <c r="L1" s="323"/>
      <c r="M1" s="323"/>
      <c r="N1" s="323"/>
      <c r="Q1" s="88"/>
      <c r="R1" s="323"/>
    </row>
    <row r="2" spans="1:18">
      <c r="A2" s="80" t="s">
        <v>246</v>
      </c>
      <c r="B2" s="80" t="e">
        <f>#REF!</f>
        <v>#REF!</v>
      </c>
      <c r="C2" s="80" t="e">
        <f>IF($Q$22=B1,"C","G")</f>
        <v>#REF!</v>
      </c>
      <c r="D2" s="1150"/>
      <c r="E2" s="1150"/>
      <c r="F2" s="323"/>
      <c r="H2" s="323"/>
      <c r="I2" s="323"/>
      <c r="J2" s="323"/>
      <c r="K2" s="323"/>
      <c r="L2" s="323"/>
      <c r="M2" s="323"/>
      <c r="N2" s="323"/>
      <c r="Q2" s="323"/>
      <c r="R2" s="323"/>
    </row>
    <row r="3" spans="1:18">
      <c r="A3" s="323"/>
      <c r="B3" s="323"/>
      <c r="C3" s="323"/>
      <c r="D3" s="1150"/>
      <c r="E3" s="1150"/>
      <c r="F3" s="323"/>
      <c r="H3" s="323"/>
      <c r="I3" s="323"/>
      <c r="J3" s="323"/>
      <c r="K3" s="323"/>
      <c r="L3" s="323"/>
      <c r="M3" s="323"/>
      <c r="N3" s="323"/>
      <c r="Q3" s="323"/>
      <c r="R3" s="323"/>
    </row>
    <row r="4" spans="1:18">
      <c r="A4" s="323"/>
      <c r="B4" s="323"/>
      <c r="C4" s="323"/>
      <c r="D4" s="1150"/>
      <c r="E4" s="1150"/>
      <c r="F4" s="323"/>
      <c r="H4" s="323"/>
      <c r="I4" s="323"/>
      <c r="J4" s="323"/>
      <c r="K4" s="323"/>
      <c r="L4" s="323"/>
      <c r="M4" s="323"/>
      <c r="N4" s="323"/>
      <c r="Q4" s="323"/>
      <c r="R4" s="323"/>
    </row>
    <row r="5" spans="1:18">
      <c r="F5" s="323"/>
      <c r="H5" s="323"/>
      <c r="I5" s="323"/>
      <c r="J5" s="323"/>
      <c r="K5" s="323"/>
      <c r="L5" s="323"/>
      <c r="M5" s="323"/>
      <c r="N5" s="323"/>
      <c r="Q5" s="323"/>
      <c r="R5" s="323"/>
    </row>
    <row r="6" spans="1:18">
      <c r="A6" s="1972" t="s">
        <v>345</v>
      </c>
      <c r="B6" s="1972"/>
      <c r="C6" s="1972"/>
      <c r="D6" s="1972"/>
      <c r="E6" s="1972"/>
      <c r="F6" s="323"/>
      <c r="H6" s="323"/>
      <c r="I6" s="323"/>
      <c r="J6" s="323"/>
      <c r="K6" s="323"/>
      <c r="L6" s="323"/>
      <c r="M6" s="323"/>
      <c r="N6" s="323" t="s">
        <v>190</v>
      </c>
      <c r="Q6" s="323"/>
      <c r="R6" s="323"/>
    </row>
    <row r="7" spans="1:18" ht="15.75" thickBot="1">
      <c r="A7" s="2004" t="s">
        <v>423</v>
      </c>
      <c r="B7" s="2004"/>
      <c r="C7" s="2004"/>
      <c r="D7" s="1152"/>
      <c r="E7" s="1152"/>
      <c r="F7" s="323"/>
      <c r="G7"/>
      <c r="P7" s="2032" t="str">
        <f>CONCATENATE(A6," Quantity And Value")</f>
        <v>Spodumene Concentrate Quantity And Value</v>
      </c>
      <c r="Q7" s="2032"/>
      <c r="R7" s="2032"/>
    </row>
    <row r="8" spans="1:18" s="323" customFormat="1" ht="15.75" thickBot="1">
      <c r="A8" s="785" t="s">
        <v>5</v>
      </c>
      <c r="B8" s="786" t="s">
        <v>37</v>
      </c>
      <c r="C8" s="787" t="s">
        <v>382</v>
      </c>
      <c r="D8" s="1153"/>
      <c r="E8" s="1154"/>
      <c r="P8" s="1973" t="s">
        <v>580</v>
      </c>
      <c r="Q8" s="1973"/>
      <c r="R8" s="1973"/>
    </row>
    <row r="9" spans="1:18">
      <c r="A9" s="625">
        <v>37865</v>
      </c>
      <c r="B9" s="484">
        <v>31.434999999999999</v>
      </c>
      <c r="C9" s="483">
        <v>5.4547929999999996</v>
      </c>
      <c r="D9" s="1155">
        <f>YEAR(A9)</f>
        <v>2003</v>
      </c>
      <c r="E9" s="1155" t="str">
        <f>IF(MONTH(A9)=3,"1",IF(MONTH(A9)=6,"2",IF(MONTH(A9)=9,"3","4")))</f>
        <v>3</v>
      </c>
      <c r="F9" s="323"/>
      <c r="G9" s="324"/>
      <c r="P9" s="785" t="s">
        <v>5</v>
      </c>
      <c r="Q9" s="786" t="str">
        <f>B8</f>
        <v>Quantity (Kt)</v>
      </c>
      <c r="R9" s="787" t="str">
        <f>C8</f>
        <v>Value ($ Million)</v>
      </c>
    </row>
    <row r="10" spans="1:18">
      <c r="A10" s="625">
        <v>37956</v>
      </c>
      <c r="B10" s="581">
        <v>24.138999999999999</v>
      </c>
      <c r="C10" s="582">
        <v>4.6638279999999996</v>
      </c>
      <c r="D10" s="1155">
        <f t="shared" ref="D10:D75" si="0">YEAR(A10)</f>
        <v>2003</v>
      </c>
      <c r="E10" s="1155" t="str">
        <f t="shared" ref="E10:E75" si="1">IF(MONTH(A10)=3,"1",IF(MONTH(A10)=6,"2",IF(MONTH(A10)=9,"3","4")))</f>
        <v>4</v>
      </c>
      <c r="F10" s="323"/>
      <c r="G10" s="324"/>
      <c r="P10" s="625">
        <f>LARGE($A$9:$A$252,9)</f>
        <v>44531</v>
      </c>
      <c r="Q10" s="484">
        <f t="shared" ref="Q10:Q18" si="2">SUMIF($A$9:$A$741,$P10,$B$9:$B$741)</f>
        <v>508.27242000000007</v>
      </c>
      <c r="R10" s="483">
        <f t="shared" ref="R10:R18" si="3">SUMIF($A$9:$A$741,$P10,$C$9:$C$741)</f>
        <v>1221.948091</v>
      </c>
    </row>
    <row r="11" spans="1:18">
      <c r="A11" s="625">
        <v>38047</v>
      </c>
      <c r="B11" s="484">
        <v>32.378</v>
      </c>
      <c r="C11" s="483">
        <v>6.9491319999999996</v>
      </c>
      <c r="D11" s="1155">
        <f t="shared" si="0"/>
        <v>2004</v>
      </c>
      <c r="E11" s="1155" t="str">
        <f t="shared" si="1"/>
        <v>1</v>
      </c>
      <c r="F11" s="323"/>
      <c r="G11" s="324"/>
      <c r="P11" s="625">
        <f>LARGE($A$9:$A$252,8)</f>
        <v>44621</v>
      </c>
      <c r="Q11" s="581">
        <f t="shared" si="2"/>
        <v>470.80765000000002</v>
      </c>
      <c r="R11" s="582">
        <f t="shared" si="3"/>
        <v>1859.828818</v>
      </c>
    </row>
    <row r="12" spans="1:18">
      <c r="A12" s="625">
        <v>38139</v>
      </c>
      <c r="B12" s="581">
        <v>18.420999999999999</v>
      </c>
      <c r="C12" s="582">
        <v>4.3138500000000004</v>
      </c>
      <c r="D12" s="1155">
        <f t="shared" si="0"/>
        <v>2004</v>
      </c>
      <c r="E12" s="1155" t="str">
        <f t="shared" si="1"/>
        <v>2</v>
      </c>
      <c r="F12" s="323"/>
      <c r="G12" s="324"/>
      <c r="P12" s="625">
        <f>LARGE($A$9:$A$252,7)</f>
        <v>44713</v>
      </c>
      <c r="Q12" s="484">
        <f t="shared" si="2"/>
        <v>680.67505000000006</v>
      </c>
      <c r="R12" s="483">
        <f t="shared" si="3"/>
        <v>4079.7056659999998</v>
      </c>
    </row>
    <row r="13" spans="1:18">
      <c r="A13" s="625">
        <v>38231</v>
      </c>
      <c r="B13" s="484">
        <v>9.7319999999999993</v>
      </c>
      <c r="C13" s="483">
        <v>2.6784500000000002</v>
      </c>
      <c r="D13" s="1155">
        <f t="shared" si="0"/>
        <v>2004</v>
      </c>
      <c r="E13" s="1155" t="str">
        <f t="shared" si="1"/>
        <v>3</v>
      </c>
      <c r="F13" s="323"/>
      <c r="G13" s="324"/>
      <c r="P13" s="625">
        <f>LARGE($A$9:$A$252,6)</f>
        <v>44805</v>
      </c>
      <c r="Q13" s="581">
        <f t="shared" si="2"/>
        <v>737.78048000000001</v>
      </c>
      <c r="R13" s="582">
        <f t="shared" si="3"/>
        <v>4447.4842209999997</v>
      </c>
    </row>
    <row r="14" spans="1:18">
      <c r="A14" s="625">
        <v>38322</v>
      </c>
      <c r="B14" s="581">
        <v>49.725000000000001</v>
      </c>
      <c r="C14" s="582">
        <v>10.257918999999999</v>
      </c>
      <c r="D14" s="1155">
        <f t="shared" si="0"/>
        <v>2004</v>
      </c>
      <c r="E14" s="1155" t="str">
        <f t="shared" si="1"/>
        <v>4</v>
      </c>
      <c r="F14" s="323"/>
      <c r="G14" s="324"/>
      <c r="P14" s="625">
        <f>LARGE($A$9:$A$252,5)</f>
        <v>44896</v>
      </c>
      <c r="Q14" s="484">
        <f t="shared" si="2"/>
        <v>865.46370999999999</v>
      </c>
      <c r="R14" s="483">
        <f t="shared" si="3"/>
        <v>6644.1630289999994</v>
      </c>
    </row>
    <row r="15" spans="1:18">
      <c r="A15" s="625">
        <v>38412</v>
      </c>
      <c r="B15" s="484">
        <v>18.204000000000001</v>
      </c>
      <c r="C15" s="483">
        <v>4.2521890000000004</v>
      </c>
      <c r="D15" s="1155">
        <f t="shared" si="0"/>
        <v>2005</v>
      </c>
      <c r="E15" s="1155" t="str">
        <f t="shared" si="1"/>
        <v>1</v>
      </c>
      <c r="F15" s="323"/>
      <c r="G15" s="324"/>
      <c r="P15" s="625">
        <f>LARGE($A$9:$A$252,4)</f>
        <v>44986</v>
      </c>
      <c r="Q15" s="581">
        <f>SUMIF($A$9:$A$741,$P15,$B$9:$B$741)</f>
        <v>807.91121399999997</v>
      </c>
      <c r="R15" s="582">
        <f>SUMIF($A$9:$A$741,$P15,$C$9:$C$741)</f>
        <v>5515.5192539999998</v>
      </c>
    </row>
    <row r="16" spans="1:18">
      <c r="A16" s="625">
        <v>38504</v>
      </c>
      <c r="B16" s="581">
        <v>31.143000000000001</v>
      </c>
      <c r="C16" s="582">
        <v>6.2776129999999997</v>
      </c>
      <c r="D16" s="1155">
        <f t="shared" si="0"/>
        <v>2005</v>
      </c>
      <c r="E16" s="1155" t="str">
        <f t="shared" si="1"/>
        <v>2</v>
      </c>
      <c r="F16" s="323"/>
      <c r="G16" t="str">
        <f>B6&amp;CHAR(10)&amp;"Quantity and Value by Quarter"</f>
        <v xml:space="preserve">
Quantity and Value by Quarter</v>
      </c>
      <c r="H16" s="324"/>
      <c r="P16" s="625">
        <f>LARGE($A$9:$A$252,3)</f>
        <v>45078</v>
      </c>
      <c r="Q16" s="484">
        <f t="shared" si="2"/>
        <v>874.227037</v>
      </c>
      <c r="R16" s="483">
        <f t="shared" si="3"/>
        <v>4499.6909679999999</v>
      </c>
    </row>
    <row r="17" spans="1:18">
      <c r="A17" s="625">
        <v>38596</v>
      </c>
      <c r="B17" s="484">
        <v>45.238</v>
      </c>
      <c r="C17" s="483">
        <v>8.3987689999999997</v>
      </c>
      <c r="D17" s="1155">
        <f t="shared" si="0"/>
        <v>2005</v>
      </c>
      <c r="E17" s="1155" t="str">
        <f t="shared" si="1"/>
        <v>3</v>
      </c>
      <c r="F17" s="323"/>
      <c r="G17" s="324"/>
      <c r="P17" s="625">
        <f>LARGE($A$9:$A$252,2)</f>
        <v>45170</v>
      </c>
      <c r="Q17" s="581">
        <f t="shared" si="2"/>
        <v>885.07923800000015</v>
      </c>
      <c r="R17" s="582">
        <f t="shared" si="3"/>
        <v>3756.6079129999998</v>
      </c>
    </row>
    <row r="18" spans="1:18" ht="15.75" thickBot="1">
      <c r="A18" s="625">
        <v>38687</v>
      </c>
      <c r="B18" s="581">
        <v>79.05</v>
      </c>
      <c r="C18" s="582">
        <v>11.389708000000001</v>
      </c>
      <c r="D18" s="1155">
        <f t="shared" si="0"/>
        <v>2005</v>
      </c>
      <c r="E18" s="1155" t="str">
        <f t="shared" si="1"/>
        <v>4</v>
      </c>
      <c r="F18" s="323"/>
      <c r="G18" s="324"/>
      <c r="P18" s="626">
        <f>LARGE($A$9:$A$252,1)</f>
        <v>45261</v>
      </c>
      <c r="Q18" s="898">
        <f t="shared" si="2"/>
        <v>727.82309599999996</v>
      </c>
      <c r="R18" s="1188">
        <f t="shared" si="3"/>
        <v>2073.3342375633965</v>
      </c>
    </row>
    <row r="19" spans="1:18">
      <c r="A19" s="625">
        <v>38777</v>
      </c>
      <c r="B19" s="484">
        <v>45.436</v>
      </c>
      <c r="C19" s="483">
        <v>10.884611</v>
      </c>
      <c r="D19" s="1155">
        <f t="shared" si="0"/>
        <v>2006</v>
      </c>
      <c r="E19" s="1155" t="str">
        <f t="shared" si="1"/>
        <v>1</v>
      </c>
      <c r="F19" s="323"/>
      <c r="G19" s="324"/>
      <c r="P19"/>
    </row>
    <row r="20" spans="1:18">
      <c r="A20" s="625">
        <v>38869</v>
      </c>
      <c r="B20" s="581">
        <v>23.504999999999999</v>
      </c>
      <c r="C20" s="582">
        <v>5.963374</v>
      </c>
      <c r="D20" s="1155">
        <f t="shared" si="0"/>
        <v>2006</v>
      </c>
      <c r="E20" s="1155" t="str">
        <f t="shared" si="1"/>
        <v>2</v>
      </c>
      <c r="F20" s="323"/>
      <c r="G20" s="324"/>
      <c r="P20"/>
    </row>
    <row r="21" spans="1:18">
      <c r="A21" s="625">
        <v>38961</v>
      </c>
      <c r="B21" s="484">
        <v>87.096000000000004</v>
      </c>
      <c r="C21" s="483">
        <v>17.803229999999999</v>
      </c>
      <c r="D21" s="1155">
        <f t="shared" si="0"/>
        <v>2006</v>
      </c>
      <c r="E21" s="1155" t="str">
        <f t="shared" si="1"/>
        <v>3</v>
      </c>
      <c r="F21" s="323"/>
      <c r="G21" s="324"/>
      <c r="P21"/>
    </row>
    <row r="22" spans="1:18" ht="15.75" thickBot="1">
      <c r="A22" s="625">
        <v>39052</v>
      </c>
      <c r="B22" s="581">
        <v>66.063999999999993</v>
      </c>
      <c r="C22" s="582">
        <v>17.133371</v>
      </c>
      <c r="D22" s="1155">
        <f t="shared" si="0"/>
        <v>2006</v>
      </c>
      <c r="E22" s="1155" t="str">
        <f t="shared" si="1"/>
        <v>4</v>
      </c>
      <c r="F22" s="323"/>
      <c r="G22" s="324"/>
      <c r="P22" s="392"/>
      <c r="Q22" s="393"/>
      <c r="R22" s="393"/>
    </row>
    <row r="23" spans="1:18">
      <c r="A23" s="625">
        <v>39142</v>
      </c>
      <c r="B23" s="484">
        <v>67.822999999999993</v>
      </c>
      <c r="C23" s="483">
        <v>18.376117000000001</v>
      </c>
      <c r="D23" s="1155">
        <f t="shared" si="0"/>
        <v>2007</v>
      </c>
      <c r="E23" s="1155" t="str">
        <f t="shared" si="1"/>
        <v>1</v>
      </c>
      <c r="F23" s="323"/>
      <c r="G23" s="324"/>
      <c r="P23" s="1436" t="s">
        <v>247</v>
      </c>
      <c r="Q23" s="2033" t="s">
        <v>240</v>
      </c>
      <c r="R23" s="2034"/>
    </row>
    <row r="24" spans="1:18">
      <c r="A24" s="625">
        <v>39234</v>
      </c>
      <c r="B24" s="581">
        <v>69.448999999999998</v>
      </c>
      <c r="C24" s="582">
        <v>18.888226</v>
      </c>
      <c r="D24" s="1155">
        <f t="shared" si="0"/>
        <v>2007</v>
      </c>
      <c r="E24" s="1155" t="str">
        <f t="shared" si="1"/>
        <v>2</v>
      </c>
      <c r="F24" s="323"/>
      <c r="G24" s="324"/>
      <c r="P24" s="1961" t="str">
        <f>CONCATENATE(A6," Quantity And Value By Year")</f>
        <v>Spodumene Concentrate Quantity And Value By Year</v>
      </c>
      <c r="Q24" s="1962"/>
      <c r="R24" s="1963"/>
    </row>
    <row r="25" spans="1:18">
      <c r="A25" s="625">
        <v>39326</v>
      </c>
      <c r="B25" s="484">
        <v>44.738</v>
      </c>
      <c r="C25" s="483">
        <v>12.719006</v>
      </c>
      <c r="D25" s="1155">
        <f t="shared" si="0"/>
        <v>2007</v>
      </c>
      <c r="E25" s="1155" t="str">
        <f t="shared" si="1"/>
        <v>3</v>
      </c>
      <c r="F25" s="323"/>
      <c r="G25" s="324"/>
      <c r="P25" s="1437" t="s">
        <v>34</v>
      </c>
      <c r="Q25" s="1438" t="str">
        <f>Q9</f>
        <v>Quantity (Kt)</v>
      </c>
      <c r="R25" s="1439" t="str">
        <f>R9</f>
        <v>Value ($ Million)</v>
      </c>
    </row>
    <row r="26" spans="1:18">
      <c r="A26" s="625">
        <v>39417</v>
      </c>
      <c r="B26" s="581">
        <v>63.268999999999998</v>
      </c>
      <c r="C26" s="582">
        <v>17.921375999999999</v>
      </c>
      <c r="D26" s="1155">
        <f t="shared" si="0"/>
        <v>2007</v>
      </c>
      <c r="E26" s="1155" t="str">
        <f t="shared" si="1"/>
        <v>4</v>
      </c>
      <c r="F26" s="323"/>
      <c r="G26" s="324"/>
      <c r="P26" s="767">
        <f t="shared" ref="P26:P43" si="4">IF($Q$23="Calendar Year", P27-1, LEFT(P27,4)-1 &amp; "-" &amp; MID(P27,3,2))</f>
        <v>2004</v>
      </c>
      <c r="Q26" s="484">
        <f t="shared" ref="Q26:Q51" si="5">IF($P26="","",IF($Q$23="Calendar Year",SUMIF($D$9:$D$200,$P26,$B$9:$B$200),SUMIFS($B$9:$B$200,$D$9:$D$200,LEFT($P26,4),$E$9:$E$200,3)+SUMIFS($B$9:$B$200,$D$9:$D$200,LEFT($P26,4),$E$9:$E$200,4)+SUMIFS($B$9:$B$200,$D$9:$D$200,LEFT($P26,4)+1,$E$9:$E$200,1)+SUMIFS($B$9:$B$200,$D$9:$D$200,LEFT($P26,4)+1,$E$9:$E$200,2)))</f>
        <v>110.256</v>
      </c>
      <c r="R26" s="483">
        <f t="shared" ref="R26:R51" si="6">IF($P26="","",IF($Q$23="Calendar Year",SUMIF($D$9:$D$200,$P26,$C$9:$C$200),SUMIFS($C$9:$C$200,$D$9:$D$200,LEFT($P26,4),$E$9:$E$200,3)+SUMIFS($C$9:$C$200,$D$9:$D$200,LEFT($P26,4),$E$9:$E$200,4)+SUMIFS($C$9:$C$200,$D$9:$D$200,LEFT($P26,4)+1,$E$9:$E$200,1)+SUMIFS($C$9:$C$200,$D$9:$D$200,LEFT($P26,4)+1,$E$9:$E$200,2)))</f>
        <v>24.199351</v>
      </c>
    </row>
    <row r="27" spans="1:18">
      <c r="A27" s="625">
        <v>39508</v>
      </c>
      <c r="B27" s="484">
        <v>59.527999999999999</v>
      </c>
      <c r="C27" s="483">
        <v>16.824276000000001</v>
      </c>
      <c r="D27" s="1155">
        <f t="shared" si="0"/>
        <v>2008</v>
      </c>
      <c r="E27" s="1155" t="str">
        <f t="shared" si="1"/>
        <v>1</v>
      </c>
      <c r="F27" s="323"/>
      <c r="G27" s="324"/>
      <c r="P27" s="767">
        <f t="shared" si="4"/>
        <v>2005</v>
      </c>
      <c r="Q27" s="581">
        <f t="shared" si="5"/>
        <v>173.63499999999999</v>
      </c>
      <c r="R27" s="582">
        <f t="shared" si="6"/>
        <v>30.318278999999997</v>
      </c>
    </row>
    <row r="28" spans="1:18">
      <c r="A28" s="625">
        <v>39600</v>
      </c>
      <c r="B28" s="581">
        <v>78.48</v>
      </c>
      <c r="C28" s="582">
        <v>22.511177</v>
      </c>
      <c r="D28" s="1156">
        <f t="shared" si="0"/>
        <v>2008</v>
      </c>
      <c r="E28" s="1156" t="str">
        <f t="shared" si="1"/>
        <v>2</v>
      </c>
      <c r="F28" s="323"/>
      <c r="G28" s="324"/>
      <c r="P28" s="767">
        <f t="shared" si="4"/>
        <v>2006</v>
      </c>
      <c r="Q28" s="484">
        <f t="shared" si="5"/>
        <v>222.101</v>
      </c>
      <c r="R28" s="483">
        <f t="shared" si="6"/>
        <v>51.784586000000004</v>
      </c>
    </row>
    <row r="29" spans="1:18">
      <c r="A29" s="625">
        <v>39692</v>
      </c>
      <c r="B29" s="484">
        <v>49.969000000000001</v>
      </c>
      <c r="C29" s="483">
        <v>16.469846329999999</v>
      </c>
      <c r="D29" s="1156">
        <f t="shared" si="0"/>
        <v>2008</v>
      </c>
      <c r="E29" s="1156" t="str">
        <f t="shared" si="1"/>
        <v>3</v>
      </c>
      <c r="F29" s="323"/>
      <c r="G29" s="324"/>
      <c r="P29" s="767">
        <f t="shared" si="4"/>
        <v>2007</v>
      </c>
      <c r="Q29" s="581">
        <f t="shared" si="5"/>
        <v>245.279</v>
      </c>
      <c r="R29" s="582">
        <f t="shared" si="6"/>
        <v>67.904724999999999</v>
      </c>
    </row>
    <row r="30" spans="1:18">
      <c r="A30" s="625">
        <v>39783</v>
      </c>
      <c r="B30" s="581">
        <v>51.551000000000002</v>
      </c>
      <c r="C30" s="582">
        <v>17.532228</v>
      </c>
      <c r="D30" s="1156">
        <f t="shared" si="0"/>
        <v>2008</v>
      </c>
      <c r="E30" s="1156" t="str">
        <f t="shared" si="1"/>
        <v>4</v>
      </c>
      <c r="F30" s="323"/>
      <c r="G30" s="324"/>
      <c r="P30" s="767">
        <f t="shared" si="4"/>
        <v>2008</v>
      </c>
      <c r="Q30" s="484">
        <f t="shared" si="5"/>
        <v>239.52800000000002</v>
      </c>
      <c r="R30" s="483">
        <f t="shared" si="6"/>
        <v>73.33752733</v>
      </c>
    </row>
    <row r="31" spans="1:18">
      <c r="A31" s="625">
        <v>39873</v>
      </c>
      <c r="B31" s="484">
        <v>39.302999999999997</v>
      </c>
      <c r="C31" s="483">
        <v>15.850790999999999</v>
      </c>
      <c r="D31" s="1156">
        <f t="shared" si="0"/>
        <v>2009</v>
      </c>
      <c r="E31" s="1156" t="str">
        <f t="shared" si="1"/>
        <v>1</v>
      </c>
      <c r="F31" s="323"/>
      <c r="G31" s="324"/>
      <c r="P31" s="767">
        <f t="shared" si="4"/>
        <v>2009</v>
      </c>
      <c r="Q31" s="581">
        <f t="shared" si="5"/>
        <v>197.48214999999999</v>
      </c>
      <c r="R31" s="582">
        <f t="shared" si="6"/>
        <v>71.703547</v>
      </c>
    </row>
    <row r="32" spans="1:18">
      <c r="A32" s="625">
        <v>39965</v>
      </c>
      <c r="B32" s="581">
        <v>82.933149999999998</v>
      </c>
      <c r="C32" s="582">
        <v>30.210339000000001</v>
      </c>
      <c r="D32" s="1156">
        <f t="shared" si="0"/>
        <v>2009</v>
      </c>
      <c r="E32" s="1156" t="str">
        <f t="shared" si="1"/>
        <v>2</v>
      </c>
      <c r="F32" s="323"/>
      <c r="G32" s="324"/>
      <c r="P32" s="767">
        <f t="shared" si="4"/>
        <v>2010</v>
      </c>
      <c r="Q32" s="484">
        <f t="shared" si="5"/>
        <v>326.86499999999995</v>
      </c>
      <c r="R32" s="483">
        <f t="shared" si="6"/>
        <v>92.182259810000005</v>
      </c>
    </row>
    <row r="33" spans="1:23">
      <c r="A33" s="625">
        <v>40057</v>
      </c>
      <c r="B33" s="484">
        <v>26.47</v>
      </c>
      <c r="C33" s="483">
        <v>10.037209000000001</v>
      </c>
      <c r="D33" s="1156">
        <f t="shared" si="0"/>
        <v>2009</v>
      </c>
      <c r="E33" s="1156" t="str">
        <f t="shared" si="1"/>
        <v>3</v>
      </c>
      <c r="F33" s="323"/>
      <c r="G33" s="324"/>
      <c r="P33" s="767">
        <f t="shared" si="4"/>
        <v>2011</v>
      </c>
      <c r="Q33" s="581">
        <f t="shared" si="5"/>
        <v>401.53584999999998</v>
      </c>
      <c r="R33" s="582">
        <f t="shared" si="6"/>
        <v>117.3272889</v>
      </c>
    </row>
    <row r="34" spans="1:23">
      <c r="A34" s="625">
        <v>40148</v>
      </c>
      <c r="B34" s="581">
        <v>48.776000000000003</v>
      </c>
      <c r="C34" s="582">
        <v>15.605207999999999</v>
      </c>
      <c r="D34" s="1157">
        <f t="shared" si="0"/>
        <v>2009</v>
      </c>
      <c r="E34" s="1157" t="str">
        <f t="shared" si="1"/>
        <v>4</v>
      </c>
      <c r="F34" s="323"/>
      <c r="G34" s="324"/>
      <c r="P34" s="767">
        <f t="shared" si="4"/>
        <v>2012</v>
      </c>
      <c r="Q34" s="484">
        <f t="shared" si="5"/>
        <v>500.89855</v>
      </c>
      <c r="R34" s="483">
        <f t="shared" si="6"/>
        <v>162.18938188999999</v>
      </c>
    </row>
    <row r="35" spans="1:23">
      <c r="A35" s="625">
        <v>40238</v>
      </c>
      <c r="B35" s="484">
        <v>77.483000000000004</v>
      </c>
      <c r="C35" s="483">
        <v>21.716777</v>
      </c>
      <c r="D35" s="1156">
        <f t="shared" si="0"/>
        <v>2010</v>
      </c>
      <c r="E35" s="1156" t="str">
        <f t="shared" si="1"/>
        <v>1</v>
      </c>
      <c r="F35" s="323"/>
      <c r="G35" s="324"/>
      <c r="P35" s="767">
        <f t="shared" si="4"/>
        <v>2013</v>
      </c>
      <c r="Q35" s="581">
        <f t="shared" si="5"/>
        <v>405.11900000000003</v>
      </c>
      <c r="R35" s="582">
        <f t="shared" si="6"/>
        <v>169.28654399999999</v>
      </c>
    </row>
    <row r="36" spans="1:23">
      <c r="A36" s="625">
        <v>40330</v>
      </c>
      <c r="B36" s="581">
        <v>94.692999999999998</v>
      </c>
      <c r="C36" s="582">
        <v>26.077617</v>
      </c>
      <c r="D36" s="1156">
        <f t="shared" si="0"/>
        <v>2010</v>
      </c>
      <c r="E36" s="1156" t="str">
        <f t="shared" si="1"/>
        <v>2</v>
      </c>
      <c r="F36" s="323"/>
      <c r="G36" s="324"/>
      <c r="P36" s="767">
        <f t="shared" si="4"/>
        <v>2014</v>
      </c>
      <c r="Q36" s="484">
        <f t="shared" si="5"/>
        <v>444.54599999999999</v>
      </c>
      <c r="R36" s="483">
        <f t="shared" si="6"/>
        <v>201.517762</v>
      </c>
    </row>
    <row r="37" spans="1:23">
      <c r="A37" s="625">
        <v>40422</v>
      </c>
      <c r="B37" s="484">
        <v>101.34699999999999</v>
      </c>
      <c r="C37" s="483">
        <v>27.66628781</v>
      </c>
      <c r="D37" s="1156">
        <f t="shared" si="0"/>
        <v>2010</v>
      </c>
      <c r="E37" s="1156" t="str">
        <f t="shared" si="1"/>
        <v>3</v>
      </c>
      <c r="F37" s="323"/>
      <c r="G37" s="324"/>
      <c r="P37" s="767">
        <f t="shared" si="4"/>
        <v>2015</v>
      </c>
      <c r="Q37" s="581">
        <f t="shared" si="5"/>
        <v>439.51400000000001</v>
      </c>
      <c r="R37" s="582">
        <f t="shared" si="6"/>
        <v>240.17827200000002</v>
      </c>
    </row>
    <row r="38" spans="1:23">
      <c r="A38" s="625">
        <v>40513</v>
      </c>
      <c r="B38" s="581">
        <v>53.341999999999999</v>
      </c>
      <c r="C38" s="582">
        <v>16.721578000000001</v>
      </c>
      <c r="D38" s="1156">
        <f t="shared" si="0"/>
        <v>2010</v>
      </c>
      <c r="E38" s="1156" t="str">
        <f t="shared" si="1"/>
        <v>4</v>
      </c>
      <c r="F38" s="323"/>
      <c r="G38" s="324"/>
      <c r="I38" s="80"/>
      <c r="J38" s="80"/>
      <c r="K38" s="80"/>
      <c r="L38" s="80"/>
      <c r="M38" s="80"/>
      <c r="N38" s="80"/>
      <c r="O38" s="80"/>
      <c r="P38" s="767">
        <f t="shared" si="4"/>
        <v>2016</v>
      </c>
      <c r="Q38" s="484">
        <f t="shared" si="5"/>
        <v>522.18100000000004</v>
      </c>
      <c r="R38" s="483">
        <f t="shared" si="6"/>
        <v>293.85964200000001</v>
      </c>
      <c r="S38" s="80"/>
      <c r="T38" s="80"/>
      <c r="U38" s="80"/>
      <c r="V38" s="80"/>
      <c r="W38" s="80"/>
    </row>
    <row r="39" spans="1:23">
      <c r="A39" s="625">
        <v>40603</v>
      </c>
      <c r="B39" s="484">
        <v>101.30500000000001</v>
      </c>
      <c r="C39" s="483">
        <v>29.212876999999999</v>
      </c>
      <c r="D39" s="1156">
        <f t="shared" si="0"/>
        <v>2011</v>
      </c>
      <c r="E39" s="1156" t="str">
        <f t="shared" si="1"/>
        <v>1</v>
      </c>
      <c r="F39" s="323"/>
      <c r="G39" s="324"/>
      <c r="I39" s="80"/>
      <c r="J39" s="80"/>
      <c r="K39" s="80"/>
      <c r="L39" s="80"/>
      <c r="M39" s="80"/>
      <c r="N39" s="80"/>
      <c r="O39" s="80"/>
      <c r="P39" s="767">
        <f t="shared" si="4"/>
        <v>2017</v>
      </c>
      <c r="Q39" s="581">
        <f t="shared" si="5"/>
        <v>1706.61861</v>
      </c>
      <c r="R39" s="582">
        <f t="shared" si="6"/>
        <v>1198.5285669999998</v>
      </c>
      <c r="S39" s="80"/>
      <c r="T39" s="80"/>
      <c r="U39" s="80"/>
      <c r="V39" s="80"/>
      <c r="W39" s="80"/>
    </row>
    <row r="40" spans="1:23">
      <c r="A40" s="625">
        <v>40695</v>
      </c>
      <c r="B40" s="581">
        <v>96.423699999999997</v>
      </c>
      <c r="C40" s="582">
        <v>29.716937160000001</v>
      </c>
      <c r="D40" s="1156">
        <f t="shared" si="0"/>
        <v>2011</v>
      </c>
      <c r="E40" s="1156" t="str">
        <f t="shared" si="1"/>
        <v>2</v>
      </c>
      <c r="F40" s="323"/>
      <c r="G40" s="324"/>
      <c r="I40" s="80"/>
      <c r="J40" s="80"/>
      <c r="K40" s="80"/>
      <c r="L40" s="80"/>
      <c r="M40" s="80"/>
      <c r="N40" s="80"/>
      <c r="O40" s="80"/>
      <c r="P40" s="767">
        <f t="shared" si="4"/>
        <v>2018</v>
      </c>
      <c r="Q40" s="484">
        <f t="shared" si="5"/>
        <v>1965.9124324999998</v>
      </c>
      <c r="R40" s="483">
        <f t="shared" si="6"/>
        <v>1864.9992829999999</v>
      </c>
      <c r="S40" s="80"/>
      <c r="T40" s="80"/>
      <c r="U40" s="80"/>
      <c r="V40" s="80"/>
      <c r="W40" s="80"/>
    </row>
    <row r="41" spans="1:23">
      <c r="A41" s="625">
        <v>40787</v>
      </c>
      <c r="B41" s="484">
        <v>108.71615</v>
      </c>
      <c r="C41" s="483">
        <v>31.224095949999999</v>
      </c>
      <c r="D41" s="1156">
        <f t="shared" si="0"/>
        <v>2011</v>
      </c>
      <c r="E41" s="1156" t="str">
        <f t="shared" si="1"/>
        <v>3</v>
      </c>
      <c r="F41" s="323"/>
      <c r="G41" s="324"/>
      <c r="I41" s="80"/>
      <c r="J41" s="80"/>
      <c r="K41" s="80"/>
      <c r="L41" s="80"/>
      <c r="M41" s="80"/>
      <c r="N41" s="80"/>
      <c r="O41" s="80"/>
      <c r="P41" s="767">
        <f t="shared" si="4"/>
        <v>2019</v>
      </c>
      <c r="Q41" s="581">
        <f t="shared" si="5"/>
        <v>1588.263023</v>
      </c>
      <c r="R41" s="582">
        <f t="shared" si="6"/>
        <v>1317.353541</v>
      </c>
      <c r="S41" s="80"/>
      <c r="T41" s="80"/>
      <c r="U41" s="80"/>
      <c r="V41" s="80"/>
      <c r="W41" s="80"/>
    </row>
    <row r="42" spans="1:23">
      <c r="A42" s="625">
        <v>40878</v>
      </c>
      <c r="B42" s="581">
        <v>95.090999999999994</v>
      </c>
      <c r="C42" s="582">
        <v>27.173378789999997</v>
      </c>
      <c r="D42" s="1156">
        <f t="shared" si="0"/>
        <v>2011</v>
      </c>
      <c r="E42" s="1156" t="str">
        <f t="shared" si="1"/>
        <v>4</v>
      </c>
      <c r="F42" s="323"/>
      <c r="G42" s="324"/>
      <c r="I42" s="80"/>
      <c r="J42" s="80"/>
      <c r="K42" s="80"/>
      <c r="L42" s="80"/>
      <c r="M42" s="80"/>
      <c r="N42" s="80"/>
      <c r="O42" s="80"/>
      <c r="P42" s="767">
        <f t="shared" si="4"/>
        <v>2020</v>
      </c>
      <c r="Q42" s="484">
        <f t="shared" si="5"/>
        <v>1477.0900270000002</v>
      </c>
      <c r="R42" s="483">
        <f t="shared" si="6"/>
        <v>822.77081499999997</v>
      </c>
      <c r="S42" s="80"/>
      <c r="T42" s="80"/>
      <c r="U42" s="80"/>
      <c r="V42" s="80"/>
      <c r="W42" s="80"/>
    </row>
    <row r="43" spans="1:23">
      <c r="A43" s="625">
        <v>40969</v>
      </c>
      <c r="B43" s="484">
        <v>143.05491000000001</v>
      </c>
      <c r="C43" s="483">
        <v>44.613789560000001</v>
      </c>
      <c r="D43" s="1156">
        <f t="shared" si="0"/>
        <v>2012</v>
      </c>
      <c r="E43" s="1156" t="str">
        <f t="shared" si="1"/>
        <v>1</v>
      </c>
      <c r="F43" s="323"/>
      <c r="G43" s="324"/>
      <c r="I43" s="80"/>
      <c r="J43" s="80"/>
      <c r="K43" s="80"/>
      <c r="L43" s="80"/>
      <c r="M43" s="80"/>
      <c r="N43" s="80"/>
      <c r="O43" s="80"/>
      <c r="P43" s="767">
        <f t="shared" si="4"/>
        <v>2021</v>
      </c>
      <c r="Q43" s="581">
        <f t="shared" si="5"/>
        <v>1966.74443</v>
      </c>
      <c r="R43" s="582">
        <f t="shared" si="6"/>
        <v>2687.7823339999995</v>
      </c>
      <c r="S43" s="80"/>
      <c r="T43" s="80"/>
      <c r="U43" s="80"/>
      <c r="V43" s="80"/>
      <c r="W43" s="80"/>
    </row>
    <row r="44" spans="1:23">
      <c r="A44" s="625">
        <v>41061</v>
      </c>
      <c r="B44" s="581">
        <v>114.25875000000001</v>
      </c>
      <c r="C44" s="582">
        <v>35.402556759999996</v>
      </c>
      <c r="D44" s="1156">
        <f t="shared" si="0"/>
        <v>2012</v>
      </c>
      <c r="E44" s="1156" t="str">
        <f t="shared" si="1"/>
        <v>2</v>
      </c>
      <c r="F44" s="323"/>
      <c r="G44" s="324"/>
      <c r="I44" s="80"/>
      <c r="J44" s="80"/>
      <c r="K44" s="80"/>
      <c r="L44" s="80"/>
      <c r="M44" s="80" t="e">
        <f>#REF!&amp;CHAR(10)&amp;"Quantity and Value by "&amp;Q23</f>
        <v>#REF!</v>
      </c>
      <c r="N44" s="80"/>
      <c r="O44" s="80"/>
      <c r="P44" s="767">
        <f>IF($Q$23="Calendar Year", P45-1, LEFT(P45,4)-1 &amp; "-" &amp; MID(P45,3,2))</f>
        <v>2022</v>
      </c>
      <c r="Q44" s="484">
        <f t="shared" si="5"/>
        <v>2754.7268899999999</v>
      </c>
      <c r="R44" s="483">
        <f t="shared" si="6"/>
        <v>17031.181733999998</v>
      </c>
      <c r="S44" s="80"/>
      <c r="T44" s="80"/>
      <c r="U44" s="80"/>
      <c r="V44" s="80"/>
      <c r="W44" s="80"/>
    </row>
    <row r="45" spans="1:23" ht="15.75" thickBot="1">
      <c r="A45" s="625">
        <v>41153</v>
      </c>
      <c r="B45" s="484">
        <v>124.63388999999999</v>
      </c>
      <c r="C45" s="483">
        <v>40.680747100000005</v>
      </c>
      <c r="D45" s="1156">
        <f t="shared" si="0"/>
        <v>2012</v>
      </c>
      <c r="E45" s="1156" t="str">
        <f t="shared" si="1"/>
        <v>3</v>
      </c>
      <c r="F45" s="323"/>
      <c r="G45" s="324"/>
      <c r="I45" s="80"/>
      <c r="J45" s="80"/>
      <c r="K45" s="80"/>
      <c r="L45" s="80"/>
      <c r="M45" s="80"/>
      <c r="N45" s="80"/>
      <c r="O45" s="80"/>
      <c r="P45" s="1427">
        <f>IF($Q$23="Calendar Year",
    YEAR(LARGE($A:$A, 4)),
    IF(MONTH(LARGE($A:$A, 4))&gt;6,
        YEAR(LARGE($A:$A, 4)) &amp; "-" &amp; RIGHT(YEAR(LARGE($A:$A, 4))+1),
        YEAR(LARGE($A:$A, 4))-1 &amp; "-" &amp; RIGHT(YEAR(LARGE($A:$A, 4)), 2)
    ))</f>
        <v>2023</v>
      </c>
      <c r="Q45" s="1644">
        <f t="shared" si="5"/>
        <v>3295.0405850000002</v>
      </c>
      <c r="R45" s="1568">
        <f t="shared" si="6"/>
        <v>15845.152372563396</v>
      </c>
      <c r="S45" s="80"/>
      <c r="T45" s="80"/>
      <c r="U45" s="80"/>
      <c r="V45" s="80"/>
      <c r="W45" s="80"/>
    </row>
    <row r="46" spans="1:23">
      <c r="A46" s="625">
        <v>41244</v>
      </c>
      <c r="B46" s="581">
        <v>118.95099999999999</v>
      </c>
      <c r="C46" s="582">
        <v>41.492288469999998</v>
      </c>
      <c r="D46" s="1156">
        <f t="shared" si="0"/>
        <v>2012</v>
      </c>
      <c r="E46" s="1156" t="str">
        <f t="shared" si="1"/>
        <v>4</v>
      </c>
      <c r="F46" s="323"/>
      <c r="G46" s="324"/>
      <c r="I46" s="80"/>
      <c r="J46" s="80"/>
      <c r="K46" s="80"/>
      <c r="L46" s="80"/>
      <c r="M46" s="80"/>
      <c r="N46" s="80"/>
      <c r="O46" s="80"/>
      <c r="P46" s="455" t="str">
        <f>IFERROR(IF(YEAR(MAX('Commodity Prices'!$C$9:$C4993))=VALUE(RIGHT(P45,4)),"",IF($Q$23="Calendar Year",P45+1,CONCATENATE(LEFT(P45,4)+1,"-",RIGHT(P45,4)+1))),"")</f>
        <v/>
      </c>
      <c r="Q46" s="504" t="str">
        <f t="shared" si="5"/>
        <v/>
      </c>
      <c r="R46" s="504" t="str">
        <f t="shared" si="6"/>
        <v/>
      </c>
      <c r="S46" s="80"/>
      <c r="T46" s="80"/>
      <c r="U46" s="80"/>
      <c r="V46" s="80"/>
      <c r="W46" s="80"/>
    </row>
    <row r="47" spans="1:23">
      <c r="A47" s="625">
        <v>41334</v>
      </c>
      <c r="B47" s="484">
        <v>87.549000000000007</v>
      </c>
      <c r="C47" s="483">
        <v>32.084334999999996</v>
      </c>
      <c r="D47" s="1156">
        <f t="shared" si="0"/>
        <v>2013</v>
      </c>
      <c r="E47" s="1156" t="str">
        <f t="shared" si="1"/>
        <v>1</v>
      </c>
      <c r="F47" s="323"/>
      <c r="G47" s="324"/>
      <c r="I47" s="80"/>
      <c r="J47" s="80"/>
      <c r="K47" s="80"/>
      <c r="L47" s="80"/>
      <c r="M47" s="80"/>
      <c r="N47" s="80"/>
      <c r="O47" s="80"/>
      <c r="P47" s="455" t="str">
        <f>IFERROR(IF(YEAR(MAX('Commodity Prices'!$C$9:$C4994))=VALUE(RIGHT(P46,4)),"",IF($Q$23="Calendar Year",P46+1,CONCATENATE(LEFT(P46,4)+1,"-",RIGHT(P46,4)+1))),"")</f>
        <v/>
      </c>
      <c r="Q47" s="504" t="str">
        <f t="shared" si="5"/>
        <v/>
      </c>
      <c r="R47" s="504" t="str">
        <f t="shared" si="6"/>
        <v/>
      </c>
      <c r="S47" s="80"/>
      <c r="T47" s="80"/>
      <c r="U47" s="80"/>
      <c r="V47" s="80"/>
      <c r="W47" s="80"/>
    </row>
    <row r="48" spans="1:23">
      <c r="A48" s="625">
        <v>41426</v>
      </c>
      <c r="B48" s="581">
        <v>154.745</v>
      </c>
      <c r="C48" s="582">
        <v>64.529313999999999</v>
      </c>
      <c r="D48" s="1156">
        <f t="shared" si="0"/>
        <v>2013</v>
      </c>
      <c r="E48" s="1156" t="str">
        <f t="shared" si="1"/>
        <v>2</v>
      </c>
      <c r="F48" s="323"/>
      <c r="G48" s="324"/>
      <c r="I48" s="80"/>
      <c r="J48" s="80"/>
      <c r="K48" s="80"/>
      <c r="L48" s="80"/>
      <c r="M48" s="80"/>
      <c r="N48" s="80"/>
      <c r="O48" s="80"/>
      <c r="P48" s="455" t="str">
        <f>IFERROR(IF(YEAR(MAX('Commodity Prices'!$C$9:$C4995))=VALUE(RIGHT(P47,4)),"",IF($Q$23="Calendar Year",P47+1,CONCATENATE(LEFT(P47,4)+1,"-",RIGHT(P47,4)+1))),"")</f>
        <v/>
      </c>
      <c r="Q48" s="504" t="str">
        <f t="shared" si="5"/>
        <v/>
      </c>
      <c r="R48" s="504" t="str">
        <f t="shared" si="6"/>
        <v/>
      </c>
      <c r="S48" s="80"/>
      <c r="T48" s="80"/>
      <c r="U48" s="80"/>
      <c r="V48" s="80"/>
      <c r="W48" s="80"/>
    </row>
    <row r="49" spans="1:23">
      <c r="A49" s="625">
        <v>41518</v>
      </c>
      <c r="B49" s="484">
        <v>69.808999999999997</v>
      </c>
      <c r="C49" s="483">
        <v>31.509907999999999</v>
      </c>
      <c r="D49" s="1156">
        <f t="shared" si="0"/>
        <v>2013</v>
      </c>
      <c r="E49" s="1156" t="str">
        <f t="shared" si="1"/>
        <v>3</v>
      </c>
      <c r="F49" s="323"/>
      <c r="G49" s="324"/>
      <c r="I49" s="80"/>
      <c r="J49" s="80"/>
      <c r="K49" s="80"/>
      <c r="L49" s="80"/>
      <c r="M49" s="80"/>
      <c r="N49" s="80"/>
      <c r="O49" s="80"/>
      <c r="P49" s="455" t="str">
        <f>IFERROR(IF(YEAR(MAX('Commodity Prices'!$C$9:$C4996))=VALUE(RIGHT(P48,4)),"",IF($Q$23="Calendar Year",P48+1,CONCATENATE(LEFT(P48,4)+1,"-",RIGHT(P48,4)+1))),"")</f>
        <v/>
      </c>
      <c r="Q49" s="504" t="str">
        <f t="shared" si="5"/>
        <v/>
      </c>
      <c r="R49" s="504" t="str">
        <f t="shared" si="6"/>
        <v/>
      </c>
      <c r="S49" s="80"/>
      <c r="T49" s="80"/>
      <c r="U49" s="80"/>
      <c r="V49" s="80"/>
      <c r="W49" s="80"/>
    </row>
    <row r="50" spans="1:23">
      <c r="A50" s="625">
        <v>41609</v>
      </c>
      <c r="B50" s="581">
        <v>93.016000000000005</v>
      </c>
      <c r="C50" s="582">
        <v>41.162987000000001</v>
      </c>
      <c r="D50" s="1156">
        <f t="shared" si="0"/>
        <v>2013</v>
      </c>
      <c r="E50" s="1156" t="str">
        <f t="shared" si="1"/>
        <v>4</v>
      </c>
      <c r="F50" s="323"/>
      <c r="G50" s="324"/>
      <c r="I50" s="80"/>
      <c r="J50" s="80"/>
      <c r="K50" s="80"/>
      <c r="L50" s="80"/>
      <c r="M50" s="80"/>
      <c r="N50" s="80"/>
      <c r="O50" s="80"/>
      <c r="P50" s="455" t="str">
        <f>IFERROR(IF(YEAR(MAX('Commodity Prices'!$C$9:$C4997))=VALUE(RIGHT(P49,4)),"",IF($Q$23="Calendar Year",P49+1,CONCATENATE(LEFT(P49,4)+1,"-",RIGHT(P49,4)+1))),"")</f>
        <v/>
      </c>
      <c r="Q50" s="504" t="str">
        <f t="shared" si="5"/>
        <v/>
      </c>
      <c r="R50" s="504" t="str">
        <f t="shared" si="6"/>
        <v/>
      </c>
      <c r="S50" s="80"/>
      <c r="T50" s="80"/>
      <c r="U50" s="80"/>
      <c r="V50" s="80"/>
      <c r="W50" s="80"/>
    </row>
    <row r="51" spans="1:23">
      <c r="A51" s="625">
        <v>41699</v>
      </c>
      <c r="B51" s="484">
        <v>68.242000000000004</v>
      </c>
      <c r="C51" s="483">
        <v>32.743884000000001</v>
      </c>
      <c r="D51" s="1156">
        <f t="shared" si="0"/>
        <v>2014</v>
      </c>
      <c r="E51" s="1156" t="str">
        <f t="shared" si="1"/>
        <v>1</v>
      </c>
      <c r="F51" s="323"/>
      <c r="G51" s="324"/>
      <c r="P51" s="455" t="str">
        <f>IFERROR(IF(YEAR(MAX('Commodity Prices'!$C$9:$C4998))=VALUE(RIGHT(P50,4)),"",IF($Q$23="Calendar Year",P50+1,CONCATENATE(LEFT(P50,4)+1,"-",RIGHT(P50,4)+1))),"")</f>
        <v/>
      </c>
      <c r="Q51" s="504" t="str">
        <f t="shared" si="5"/>
        <v/>
      </c>
      <c r="R51" s="504" t="str">
        <f t="shared" si="6"/>
        <v/>
      </c>
    </row>
    <row r="52" spans="1:23">
      <c r="A52" s="625">
        <v>41791</v>
      </c>
      <c r="B52" s="581">
        <v>110.998</v>
      </c>
      <c r="C52" s="582">
        <v>45.147597999999995</v>
      </c>
      <c r="D52" s="1156">
        <f t="shared" si="0"/>
        <v>2014</v>
      </c>
      <c r="E52" s="1156" t="str">
        <f t="shared" si="1"/>
        <v>2</v>
      </c>
      <c r="F52" s="323"/>
      <c r="G52" s="324"/>
      <c r="P52"/>
    </row>
    <row r="53" spans="1:23">
      <c r="A53" s="625">
        <v>41883</v>
      </c>
      <c r="B53" s="484">
        <v>98.152000000000001</v>
      </c>
      <c r="C53" s="483">
        <v>41.524011999999999</v>
      </c>
      <c r="D53" s="1156">
        <f t="shared" si="0"/>
        <v>2014</v>
      </c>
      <c r="E53" s="1156" t="str">
        <f t="shared" si="1"/>
        <v>3</v>
      </c>
      <c r="F53" s="323"/>
      <c r="P53" s="324"/>
    </row>
    <row r="54" spans="1:23">
      <c r="A54" s="625">
        <v>41974</v>
      </c>
      <c r="B54" s="581">
        <v>167.154</v>
      </c>
      <c r="C54" s="582">
        <v>82.102267999999995</v>
      </c>
      <c r="D54" s="1156">
        <f t="shared" si="0"/>
        <v>2014</v>
      </c>
      <c r="E54" s="1156" t="str">
        <f t="shared" si="1"/>
        <v>4</v>
      </c>
      <c r="F54" s="323"/>
      <c r="P54"/>
      <c r="Q54" s="324"/>
    </row>
    <row r="55" spans="1:23">
      <c r="A55" s="625">
        <v>42064</v>
      </c>
      <c r="B55" s="484">
        <v>117.108</v>
      </c>
      <c r="C55" s="483">
        <v>63.922114000000001</v>
      </c>
      <c r="D55" s="1156">
        <f t="shared" si="0"/>
        <v>2015</v>
      </c>
      <c r="E55" s="1156" t="str">
        <f t="shared" si="1"/>
        <v>1</v>
      </c>
      <c r="F55" s="323"/>
      <c r="P55" s="60"/>
      <c r="Q55" s="344"/>
    </row>
    <row r="56" spans="1:23">
      <c r="A56" s="625">
        <v>42156</v>
      </c>
      <c r="B56" s="583">
        <v>106.66</v>
      </c>
      <c r="C56" s="584">
        <v>58.325992999999997</v>
      </c>
      <c r="D56" s="1156">
        <f t="shared" si="0"/>
        <v>2015</v>
      </c>
      <c r="E56" s="1156" t="str">
        <f t="shared" si="1"/>
        <v>2</v>
      </c>
      <c r="F56" s="323"/>
      <c r="P56" s="324"/>
      <c r="Q56" s="348"/>
    </row>
    <row r="57" spans="1:23">
      <c r="A57" s="625">
        <v>42248</v>
      </c>
      <c r="B57" s="585">
        <v>169.30600000000001</v>
      </c>
      <c r="C57" s="548">
        <v>91.582151999999994</v>
      </c>
      <c r="D57" s="1156">
        <f t="shared" si="0"/>
        <v>2015</v>
      </c>
      <c r="E57" s="1156" t="str">
        <f t="shared" si="1"/>
        <v>3</v>
      </c>
      <c r="F57" s="323"/>
      <c r="P57" s="324"/>
      <c r="Q57" s="352"/>
    </row>
    <row r="58" spans="1:23">
      <c r="A58" s="625">
        <v>42339</v>
      </c>
      <c r="B58" s="583">
        <v>46.44</v>
      </c>
      <c r="C58" s="584">
        <v>26.348012999999998</v>
      </c>
      <c r="D58" s="1156">
        <f t="shared" si="0"/>
        <v>2015</v>
      </c>
      <c r="E58" s="1156" t="str">
        <f t="shared" si="1"/>
        <v>4</v>
      </c>
      <c r="F58" s="349"/>
      <c r="G58" s="324"/>
      <c r="H58" s="304"/>
      <c r="P58"/>
      <c r="R58" s="323"/>
    </row>
    <row r="59" spans="1:23">
      <c r="A59" s="625">
        <v>42430</v>
      </c>
      <c r="B59" s="585">
        <v>112.768</v>
      </c>
      <c r="C59" s="548">
        <v>67.054581999999996</v>
      </c>
      <c r="D59" s="1156">
        <f t="shared" si="0"/>
        <v>2016</v>
      </c>
      <c r="E59" s="1156" t="str">
        <f t="shared" si="1"/>
        <v>1</v>
      </c>
      <c r="F59" s="349"/>
      <c r="G59"/>
      <c r="H59" s="304"/>
      <c r="P59"/>
      <c r="R59" s="323"/>
    </row>
    <row r="60" spans="1:23">
      <c r="A60" s="625">
        <v>42522</v>
      </c>
      <c r="B60" s="583">
        <v>137.303</v>
      </c>
      <c r="C60" s="584">
        <v>75.736792999999992</v>
      </c>
      <c r="D60" s="1156">
        <f t="shared" si="0"/>
        <v>2016</v>
      </c>
      <c r="E60" s="1156" t="str">
        <f t="shared" si="1"/>
        <v>2</v>
      </c>
      <c r="F60" s="349"/>
      <c r="G60"/>
      <c r="H60" s="304"/>
      <c r="P60"/>
      <c r="R60" s="323"/>
    </row>
    <row r="61" spans="1:23">
      <c r="A61" s="625">
        <v>42614</v>
      </c>
      <c r="B61" s="585">
        <v>122.422</v>
      </c>
      <c r="C61" s="548">
        <v>66.685486999999995</v>
      </c>
      <c r="D61" s="1156">
        <f t="shared" si="0"/>
        <v>2016</v>
      </c>
      <c r="E61" s="1156" t="str">
        <f t="shared" si="1"/>
        <v>3</v>
      </c>
      <c r="F61" s="349"/>
      <c r="G61"/>
      <c r="P61"/>
    </row>
    <row r="62" spans="1:23">
      <c r="A62" s="625">
        <v>42705</v>
      </c>
      <c r="B62" s="583">
        <v>149.68799999999999</v>
      </c>
      <c r="C62" s="584">
        <v>84.382779999999997</v>
      </c>
      <c r="D62" s="1156">
        <f t="shared" si="0"/>
        <v>2016</v>
      </c>
      <c r="E62" s="1156" t="str">
        <f t="shared" si="1"/>
        <v>4</v>
      </c>
      <c r="F62" s="349"/>
      <c r="G62"/>
      <c r="P62"/>
    </row>
    <row r="63" spans="1:23">
      <c r="A63" s="625">
        <v>42795</v>
      </c>
      <c r="B63" s="585">
        <v>197.61623</v>
      </c>
      <c r="C63" s="548">
        <v>134.485433</v>
      </c>
      <c r="D63" s="1156">
        <f t="shared" si="0"/>
        <v>2017</v>
      </c>
      <c r="E63" s="1156" t="str">
        <f t="shared" si="1"/>
        <v>1</v>
      </c>
      <c r="F63" s="349"/>
      <c r="G63"/>
      <c r="H63" s="323"/>
      <c r="P63"/>
      <c r="Q63" s="4"/>
    </row>
    <row r="64" spans="1:23">
      <c r="A64" s="625">
        <v>42887</v>
      </c>
      <c r="B64" s="583">
        <v>444.33004499999998</v>
      </c>
      <c r="C64" s="584">
        <v>309.91839499999998</v>
      </c>
      <c r="D64" s="1156">
        <f t="shared" si="0"/>
        <v>2017</v>
      </c>
      <c r="E64" s="1156" t="str">
        <f t="shared" si="1"/>
        <v>2</v>
      </c>
      <c r="F64" s="349"/>
      <c r="G64"/>
      <c r="P64"/>
      <c r="Q64" s="4"/>
    </row>
    <row r="65" spans="1:17">
      <c r="A65" s="625">
        <v>42979</v>
      </c>
      <c r="B65" s="585">
        <v>443.59343749999999</v>
      </c>
      <c r="C65" s="548">
        <v>305.88752999999997</v>
      </c>
      <c r="D65" s="1156">
        <f t="shared" si="0"/>
        <v>2017</v>
      </c>
      <c r="E65" s="1156" t="str">
        <f t="shared" si="1"/>
        <v>3</v>
      </c>
      <c r="F65" s="349"/>
      <c r="G65"/>
      <c r="P65"/>
      <c r="Q65" s="4"/>
    </row>
    <row r="66" spans="1:17">
      <c r="A66" s="625">
        <v>43070</v>
      </c>
      <c r="B66" s="583">
        <v>621.07889750000004</v>
      </c>
      <c r="C66" s="584">
        <v>448.23720900000001</v>
      </c>
      <c r="D66" s="1156">
        <f t="shared" si="0"/>
        <v>2017</v>
      </c>
      <c r="E66" s="1156" t="str">
        <f t="shared" si="1"/>
        <v>4</v>
      </c>
      <c r="F66" s="323"/>
      <c r="G66"/>
      <c r="P66"/>
    </row>
    <row r="67" spans="1:17">
      <c r="A67" s="625">
        <v>43160</v>
      </c>
      <c r="B67" s="484">
        <v>535.00334250000003</v>
      </c>
      <c r="C67" s="483">
        <v>448.96411000000001</v>
      </c>
      <c r="D67" s="1156">
        <f t="shared" si="0"/>
        <v>2018</v>
      </c>
      <c r="E67" s="1156" t="str">
        <f t="shared" si="1"/>
        <v>1</v>
      </c>
      <c r="F67" s="323"/>
      <c r="G67"/>
      <c r="P67"/>
    </row>
    <row r="68" spans="1:17">
      <c r="A68" s="625">
        <v>43252</v>
      </c>
      <c r="B68" s="581">
        <v>538.55034000000001</v>
      </c>
      <c r="C68" s="582">
        <v>495.37811799999997</v>
      </c>
      <c r="D68" s="1156">
        <f t="shared" si="0"/>
        <v>2018</v>
      </c>
      <c r="E68" s="1156" t="str">
        <f t="shared" si="1"/>
        <v>2</v>
      </c>
      <c r="F68" s="323"/>
      <c r="G68"/>
      <c r="P68"/>
    </row>
    <row r="69" spans="1:17">
      <c r="A69" s="625">
        <v>43344</v>
      </c>
      <c r="B69" s="484">
        <v>472.00326000000001</v>
      </c>
      <c r="C69" s="483">
        <v>461.28775999999999</v>
      </c>
      <c r="D69" s="1156">
        <f t="shared" si="0"/>
        <v>2018</v>
      </c>
      <c r="E69" s="1156" t="str">
        <f t="shared" si="1"/>
        <v>3</v>
      </c>
      <c r="F69" s="323"/>
      <c r="G69"/>
      <c r="P69"/>
    </row>
    <row r="70" spans="1:17">
      <c r="A70" s="625">
        <v>43435</v>
      </c>
      <c r="B70" s="581">
        <v>420.35548999999997</v>
      </c>
      <c r="C70" s="582">
        <v>459.36929499999997</v>
      </c>
      <c r="D70" s="1156">
        <f t="shared" si="0"/>
        <v>2018</v>
      </c>
      <c r="E70" s="1156" t="str">
        <f t="shared" si="1"/>
        <v>4</v>
      </c>
      <c r="F70" s="323"/>
      <c r="G70"/>
      <c r="P70"/>
    </row>
    <row r="71" spans="1:17">
      <c r="A71" s="625">
        <v>43525</v>
      </c>
      <c r="B71" s="484">
        <v>405.89135299999992</v>
      </c>
      <c r="C71" s="483">
        <v>391.29296499999998</v>
      </c>
      <c r="D71" s="1156">
        <f t="shared" si="0"/>
        <v>2019</v>
      </c>
      <c r="E71" s="1156" t="str">
        <f t="shared" si="1"/>
        <v>1</v>
      </c>
      <c r="F71" s="323"/>
      <c r="G71"/>
      <c r="P71"/>
    </row>
    <row r="72" spans="1:17" s="381" customFormat="1">
      <c r="A72" s="625">
        <v>43617</v>
      </c>
      <c r="B72" s="586">
        <v>398.65754000000004</v>
      </c>
      <c r="C72" s="587">
        <v>351.14332300000001</v>
      </c>
      <c r="D72" s="1156">
        <f t="shared" ref="D72:D74" si="7">YEAR(A72)</f>
        <v>2019</v>
      </c>
      <c r="E72" s="1156" t="str">
        <f t="shared" ref="E72:E74" si="8">IF(MONTH(A72)=3,"1",IF(MONTH(A72)=6,"2",IF(MONTH(A72)=9,"3","4")))</f>
        <v>2</v>
      </c>
    </row>
    <row r="73" spans="1:17" s="381" customFormat="1">
      <c r="A73" s="766">
        <v>43709</v>
      </c>
      <c r="B73" s="484">
        <v>407.50171</v>
      </c>
      <c r="C73" s="483">
        <v>326.05080599999997</v>
      </c>
      <c r="D73" s="1156">
        <f t="shared" si="7"/>
        <v>2019</v>
      </c>
      <c r="E73" s="1156" t="str">
        <f t="shared" si="8"/>
        <v>3</v>
      </c>
    </row>
    <row r="74" spans="1:17">
      <c r="A74" s="625">
        <v>43800</v>
      </c>
      <c r="B74" s="581">
        <v>376.21242000000001</v>
      </c>
      <c r="C74" s="582">
        <v>248.86644699999999</v>
      </c>
      <c r="D74" s="1156">
        <f t="shared" si="7"/>
        <v>2019</v>
      </c>
      <c r="E74" s="1156" t="str">
        <f t="shared" si="8"/>
        <v>4</v>
      </c>
    </row>
    <row r="75" spans="1:17">
      <c r="A75" s="766">
        <v>43891</v>
      </c>
      <c r="B75" s="484">
        <v>363.39028000000002</v>
      </c>
      <c r="C75" s="483">
        <v>234.55637299999998</v>
      </c>
      <c r="D75" s="1156">
        <f t="shared" si="0"/>
        <v>2020</v>
      </c>
      <c r="E75" s="1156" t="str">
        <f t="shared" si="1"/>
        <v>1</v>
      </c>
    </row>
    <row r="76" spans="1:17">
      <c r="A76" s="625">
        <v>43983</v>
      </c>
      <c r="B76" s="581">
        <v>312.69251000000003</v>
      </c>
      <c r="C76" s="582">
        <v>189.18253199999998</v>
      </c>
      <c r="D76" s="1156">
        <f t="shared" ref="D76:D139" si="9">YEAR(A76)</f>
        <v>2020</v>
      </c>
      <c r="E76" s="1156" t="str">
        <f t="shared" ref="E76:E139" si="10">IF(MONTH(A76)=3,"1",IF(MONTH(A76)=6,"2",IF(MONTH(A76)=9,"3","4")))</f>
        <v>2</v>
      </c>
    </row>
    <row r="77" spans="1:17">
      <c r="A77" s="625">
        <v>44075</v>
      </c>
      <c r="B77" s="484">
        <v>360.40602200000001</v>
      </c>
      <c r="C77" s="483">
        <v>178.09383199999999</v>
      </c>
      <c r="D77" s="1156">
        <f t="shared" si="9"/>
        <v>2020</v>
      </c>
      <c r="E77" s="1156" t="str">
        <f t="shared" si="10"/>
        <v>3</v>
      </c>
    </row>
    <row r="78" spans="1:17">
      <c r="A78" s="625">
        <v>44166</v>
      </c>
      <c r="B78" s="581">
        <v>440.60121500000002</v>
      </c>
      <c r="C78" s="582">
        <v>220.93807799999999</v>
      </c>
      <c r="D78" s="1156">
        <f t="shared" si="9"/>
        <v>2020</v>
      </c>
      <c r="E78" s="1156" t="str">
        <f t="shared" si="10"/>
        <v>4</v>
      </c>
    </row>
    <row r="79" spans="1:17">
      <c r="A79" s="625">
        <v>44256</v>
      </c>
      <c r="B79" s="484">
        <v>354.04701</v>
      </c>
      <c r="C79" s="483">
        <v>231.74695399999999</v>
      </c>
      <c r="D79" s="1156">
        <f t="shared" si="9"/>
        <v>2021</v>
      </c>
      <c r="E79" s="1156" t="str">
        <f t="shared" si="10"/>
        <v>1</v>
      </c>
    </row>
    <row r="80" spans="1:17">
      <c r="A80" s="766">
        <v>44348</v>
      </c>
      <c r="B80" s="581">
        <v>554.84235000000001</v>
      </c>
      <c r="C80" s="582">
        <v>423.11411799999996</v>
      </c>
      <c r="D80" s="1156">
        <f t="shared" si="9"/>
        <v>2021</v>
      </c>
      <c r="E80" s="1156" t="str">
        <f t="shared" si="10"/>
        <v>2</v>
      </c>
    </row>
    <row r="81" spans="1:5">
      <c r="A81" s="625">
        <v>44440</v>
      </c>
      <c r="B81" s="484">
        <v>549.58265000000006</v>
      </c>
      <c r="C81" s="483">
        <v>810.97317099999998</v>
      </c>
      <c r="D81" s="1156">
        <f t="shared" si="9"/>
        <v>2021</v>
      </c>
      <c r="E81" s="1156" t="str">
        <f t="shared" si="10"/>
        <v>3</v>
      </c>
    </row>
    <row r="82" spans="1:5">
      <c r="A82" s="625">
        <v>44531</v>
      </c>
      <c r="B82" s="581">
        <v>508.27242000000007</v>
      </c>
      <c r="C82" s="582">
        <v>1221.948091</v>
      </c>
      <c r="D82" s="1156">
        <f t="shared" si="9"/>
        <v>2021</v>
      </c>
      <c r="E82" s="1156" t="str">
        <f t="shared" si="10"/>
        <v>4</v>
      </c>
    </row>
    <row r="83" spans="1:5">
      <c r="A83" s="625">
        <v>44621</v>
      </c>
      <c r="B83" s="484">
        <v>470.80765000000002</v>
      </c>
      <c r="C83" s="483">
        <v>1859.828818</v>
      </c>
      <c r="D83" s="1156">
        <f t="shared" si="9"/>
        <v>2022</v>
      </c>
      <c r="E83" s="1156" t="str">
        <f t="shared" si="10"/>
        <v>1</v>
      </c>
    </row>
    <row r="84" spans="1:5">
      <c r="A84" s="625">
        <v>44713</v>
      </c>
      <c r="B84" s="581">
        <v>680.67505000000006</v>
      </c>
      <c r="C84" s="582">
        <v>4079.7056659999998</v>
      </c>
      <c r="D84" s="1156">
        <f t="shared" si="9"/>
        <v>2022</v>
      </c>
      <c r="E84" s="1156" t="str">
        <f t="shared" si="10"/>
        <v>2</v>
      </c>
    </row>
    <row r="85" spans="1:5">
      <c r="A85" s="625">
        <v>44805</v>
      </c>
      <c r="B85" s="484">
        <v>737.78048000000001</v>
      </c>
      <c r="C85" s="483">
        <v>4447.4842209999997</v>
      </c>
      <c r="D85" s="1156">
        <f t="shared" si="9"/>
        <v>2022</v>
      </c>
      <c r="E85" s="1156" t="str">
        <f t="shared" si="10"/>
        <v>3</v>
      </c>
    </row>
    <row r="86" spans="1:5">
      <c r="A86" s="625">
        <v>44896</v>
      </c>
      <c r="B86" s="581">
        <v>865.46370999999999</v>
      </c>
      <c r="C86" s="582">
        <v>6644.1630289999994</v>
      </c>
      <c r="D86" s="1156">
        <f t="shared" si="9"/>
        <v>2022</v>
      </c>
      <c r="E86" s="1156" t="str">
        <f t="shared" si="10"/>
        <v>4</v>
      </c>
    </row>
    <row r="87" spans="1:5">
      <c r="A87" s="625">
        <v>44986</v>
      </c>
      <c r="B87" s="484">
        <v>807.91121399999997</v>
      </c>
      <c r="C87" s="483">
        <v>5515.5192539999998</v>
      </c>
      <c r="D87" s="1156">
        <f t="shared" si="9"/>
        <v>2023</v>
      </c>
      <c r="E87" s="1156" t="str">
        <f t="shared" si="10"/>
        <v>1</v>
      </c>
    </row>
    <row r="88" spans="1:5">
      <c r="A88" s="625">
        <v>45078</v>
      </c>
      <c r="B88" s="581">
        <v>874.227037</v>
      </c>
      <c r="C88" s="582">
        <v>4499.6909679999999</v>
      </c>
      <c r="D88" s="1156">
        <f t="shared" si="9"/>
        <v>2023</v>
      </c>
      <c r="E88" s="1156" t="str">
        <f t="shared" si="10"/>
        <v>2</v>
      </c>
    </row>
    <row r="89" spans="1:5">
      <c r="A89" s="625">
        <v>45170</v>
      </c>
      <c r="B89" s="484">
        <v>885.07923800000015</v>
      </c>
      <c r="C89" s="483">
        <v>3756.6079129999998</v>
      </c>
      <c r="D89" s="1156">
        <f t="shared" si="9"/>
        <v>2023</v>
      </c>
      <c r="E89" s="1156" t="str">
        <f t="shared" si="10"/>
        <v>3</v>
      </c>
    </row>
    <row r="90" spans="1:5" ht="15.75" thickBot="1">
      <c r="A90" s="626">
        <v>45261</v>
      </c>
      <c r="B90" s="1662">
        <v>727.82309599999996</v>
      </c>
      <c r="C90" s="1568">
        <v>2073.3342375633965</v>
      </c>
      <c r="D90" s="1156">
        <f t="shared" si="9"/>
        <v>2023</v>
      </c>
      <c r="E90" s="1156" t="str">
        <f t="shared" si="10"/>
        <v>4</v>
      </c>
    </row>
    <row r="91" spans="1:5">
      <c r="D91" s="1156">
        <f t="shared" si="9"/>
        <v>1900</v>
      </c>
      <c r="E91" s="1156" t="str">
        <f t="shared" si="10"/>
        <v>4</v>
      </c>
    </row>
    <row r="92" spans="1:5">
      <c r="D92" s="1156">
        <f t="shared" si="9"/>
        <v>1900</v>
      </c>
      <c r="E92" s="1156" t="str">
        <f t="shared" si="10"/>
        <v>4</v>
      </c>
    </row>
    <row r="93" spans="1:5">
      <c r="D93" s="1156">
        <f t="shared" si="9"/>
        <v>1900</v>
      </c>
      <c r="E93" s="1156" t="str">
        <f t="shared" si="10"/>
        <v>4</v>
      </c>
    </row>
    <row r="94" spans="1:5">
      <c r="D94" s="1156">
        <f t="shared" si="9"/>
        <v>1900</v>
      </c>
      <c r="E94" s="1156" t="str">
        <f t="shared" si="10"/>
        <v>4</v>
      </c>
    </row>
    <row r="95" spans="1:5">
      <c r="D95" s="1156">
        <f t="shared" si="9"/>
        <v>1900</v>
      </c>
      <c r="E95" s="1156" t="str">
        <f t="shared" si="10"/>
        <v>4</v>
      </c>
    </row>
    <row r="96" spans="1:5">
      <c r="D96" s="1156">
        <f t="shared" si="9"/>
        <v>1900</v>
      </c>
      <c r="E96" s="1156" t="str">
        <f t="shared" si="10"/>
        <v>4</v>
      </c>
    </row>
    <row r="97" spans="4:5">
      <c r="D97" s="1156">
        <f t="shared" si="9"/>
        <v>1900</v>
      </c>
      <c r="E97" s="1156" t="str">
        <f t="shared" si="10"/>
        <v>4</v>
      </c>
    </row>
    <row r="98" spans="4:5">
      <c r="D98" s="1156">
        <f t="shared" si="9"/>
        <v>1900</v>
      </c>
      <c r="E98" s="1156" t="str">
        <f t="shared" si="10"/>
        <v>4</v>
      </c>
    </row>
    <row r="99" spans="4:5">
      <c r="D99" s="1156">
        <f t="shared" si="9"/>
        <v>1900</v>
      </c>
      <c r="E99" s="1156" t="str">
        <f t="shared" si="10"/>
        <v>4</v>
      </c>
    </row>
    <row r="100" spans="4:5">
      <c r="D100" s="1156">
        <f t="shared" si="9"/>
        <v>1900</v>
      </c>
      <c r="E100" s="1156" t="str">
        <f t="shared" si="10"/>
        <v>4</v>
      </c>
    </row>
    <row r="101" spans="4:5">
      <c r="D101" s="1156">
        <f t="shared" si="9"/>
        <v>1900</v>
      </c>
      <c r="E101" s="1156" t="str">
        <f t="shared" si="10"/>
        <v>4</v>
      </c>
    </row>
    <row r="102" spans="4:5">
      <c r="D102" s="1156">
        <f t="shared" si="9"/>
        <v>1900</v>
      </c>
      <c r="E102" s="1156" t="str">
        <f t="shared" si="10"/>
        <v>4</v>
      </c>
    </row>
    <row r="103" spans="4:5">
      <c r="D103" s="1156">
        <f t="shared" si="9"/>
        <v>1900</v>
      </c>
      <c r="E103" s="1156" t="str">
        <f t="shared" si="10"/>
        <v>4</v>
      </c>
    </row>
    <row r="104" spans="4:5">
      <c r="D104" s="1156">
        <f t="shared" si="9"/>
        <v>1900</v>
      </c>
      <c r="E104" s="1156" t="str">
        <f t="shared" si="10"/>
        <v>4</v>
      </c>
    </row>
    <row r="105" spans="4:5">
      <c r="D105" s="1156">
        <f t="shared" si="9"/>
        <v>1900</v>
      </c>
      <c r="E105" s="1156" t="str">
        <f t="shared" si="10"/>
        <v>4</v>
      </c>
    </row>
    <row r="106" spans="4:5">
      <c r="D106" s="1156">
        <f t="shared" si="9"/>
        <v>1900</v>
      </c>
      <c r="E106" s="1156" t="str">
        <f t="shared" si="10"/>
        <v>4</v>
      </c>
    </row>
    <row r="107" spans="4:5">
      <c r="D107" s="1156">
        <f t="shared" si="9"/>
        <v>1900</v>
      </c>
      <c r="E107" s="1156" t="str">
        <f t="shared" si="10"/>
        <v>4</v>
      </c>
    </row>
    <row r="108" spans="4:5">
      <c r="D108" s="1156">
        <f t="shared" si="9"/>
        <v>1900</v>
      </c>
      <c r="E108" s="1156" t="str">
        <f t="shared" si="10"/>
        <v>4</v>
      </c>
    </row>
    <row r="109" spans="4:5">
      <c r="D109" s="1156">
        <f t="shared" si="9"/>
        <v>1900</v>
      </c>
      <c r="E109" s="1156" t="str">
        <f t="shared" si="10"/>
        <v>4</v>
      </c>
    </row>
    <row r="110" spans="4:5">
      <c r="D110" s="1156">
        <f t="shared" si="9"/>
        <v>1900</v>
      </c>
      <c r="E110" s="1156" t="str">
        <f t="shared" si="10"/>
        <v>4</v>
      </c>
    </row>
    <row r="111" spans="4:5">
      <c r="D111" s="1156">
        <f t="shared" si="9"/>
        <v>1900</v>
      </c>
      <c r="E111" s="1156" t="str">
        <f t="shared" si="10"/>
        <v>4</v>
      </c>
    </row>
    <row r="112" spans="4:5">
      <c r="D112" s="1156">
        <f t="shared" si="9"/>
        <v>1900</v>
      </c>
      <c r="E112" s="1156" t="str">
        <f t="shared" si="10"/>
        <v>4</v>
      </c>
    </row>
    <row r="113" spans="4:5">
      <c r="D113" s="1156">
        <f t="shared" si="9"/>
        <v>1900</v>
      </c>
      <c r="E113" s="1156" t="str">
        <f t="shared" si="10"/>
        <v>4</v>
      </c>
    </row>
    <row r="114" spans="4:5">
      <c r="D114" s="1156">
        <f t="shared" si="9"/>
        <v>1900</v>
      </c>
      <c r="E114" s="1156" t="str">
        <f t="shared" si="10"/>
        <v>4</v>
      </c>
    </row>
    <row r="115" spans="4:5">
      <c r="D115" s="1156">
        <f t="shared" si="9"/>
        <v>1900</v>
      </c>
      <c r="E115" s="1156" t="str">
        <f t="shared" si="10"/>
        <v>4</v>
      </c>
    </row>
    <row r="116" spans="4:5">
      <c r="D116" s="1156">
        <f t="shared" si="9"/>
        <v>1900</v>
      </c>
      <c r="E116" s="1156" t="str">
        <f t="shared" si="10"/>
        <v>4</v>
      </c>
    </row>
    <row r="117" spans="4:5">
      <c r="D117" s="1156">
        <f t="shared" si="9"/>
        <v>1900</v>
      </c>
      <c r="E117" s="1156" t="str">
        <f t="shared" si="10"/>
        <v>4</v>
      </c>
    </row>
    <row r="118" spans="4:5">
      <c r="D118" s="1156">
        <f t="shared" si="9"/>
        <v>1900</v>
      </c>
      <c r="E118" s="1156" t="str">
        <f t="shared" si="10"/>
        <v>4</v>
      </c>
    </row>
    <row r="119" spans="4:5">
      <c r="D119" s="1156">
        <f t="shared" si="9"/>
        <v>1900</v>
      </c>
      <c r="E119" s="1156" t="str">
        <f t="shared" si="10"/>
        <v>4</v>
      </c>
    </row>
    <row r="120" spans="4:5">
      <c r="D120" s="1156">
        <f t="shared" si="9"/>
        <v>1900</v>
      </c>
      <c r="E120" s="1156" t="str">
        <f t="shared" si="10"/>
        <v>4</v>
      </c>
    </row>
    <row r="121" spans="4:5">
      <c r="D121" s="1156">
        <f t="shared" si="9"/>
        <v>1900</v>
      </c>
      <c r="E121" s="1156" t="str">
        <f t="shared" si="10"/>
        <v>4</v>
      </c>
    </row>
    <row r="122" spans="4:5">
      <c r="D122" s="1156">
        <f t="shared" si="9"/>
        <v>1900</v>
      </c>
      <c r="E122" s="1156" t="str">
        <f t="shared" si="10"/>
        <v>4</v>
      </c>
    </row>
    <row r="123" spans="4:5">
      <c r="D123" s="1156">
        <f t="shared" si="9"/>
        <v>1900</v>
      </c>
      <c r="E123" s="1156" t="str">
        <f t="shared" si="10"/>
        <v>4</v>
      </c>
    </row>
    <row r="124" spans="4:5">
      <c r="D124" s="1156">
        <f t="shared" si="9"/>
        <v>1900</v>
      </c>
      <c r="E124" s="1156" t="str">
        <f t="shared" si="10"/>
        <v>4</v>
      </c>
    </row>
    <row r="125" spans="4:5">
      <c r="D125" s="1156">
        <f t="shared" si="9"/>
        <v>1900</v>
      </c>
      <c r="E125" s="1156" t="str">
        <f t="shared" si="10"/>
        <v>4</v>
      </c>
    </row>
    <row r="126" spans="4:5">
      <c r="D126" s="1156">
        <f t="shared" si="9"/>
        <v>1900</v>
      </c>
      <c r="E126" s="1156" t="str">
        <f t="shared" si="10"/>
        <v>4</v>
      </c>
    </row>
    <row r="127" spans="4:5">
      <c r="D127" s="1156">
        <f t="shared" si="9"/>
        <v>1900</v>
      </c>
      <c r="E127" s="1156" t="str">
        <f t="shared" si="10"/>
        <v>4</v>
      </c>
    </row>
    <row r="128" spans="4:5">
      <c r="D128" s="1156">
        <f t="shared" si="9"/>
        <v>1900</v>
      </c>
      <c r="E128" s="1156" t="str">
        <f t="shared" si="10"/>
        <v>4</v>
      </c>
    </row>
    <row r="129" spans="4:5">
      <c r="D129" s="1156">
        <f t="shared" si="9"/>
        <v>1900</v>
      </c>
      <c r="E129" s="1156" t="str">
        <f t="shared" si="10"/>
        <v>4</v>
      </c>
    </row>
    <row r="130" spans="4:5">
      <c r="D130" s="1156">
        <f t="shared" si="9"/>
        <v>1900</v>
      </c>
      <c r="E130" s="1156" t="str">
        <f t="shared" si="10"/>
        <v>4</v>
      </c>
    </row>
    <row r="131" spans="4:5">
      <c r="D131" s="1156">
        <f t="shared" si="9"/>
        <v>1900</v>
      </c>
      <c r="E131" s="1156" t="str">
        <f t="shared" si="10"/>
        <v>4</v>
      </c>
    </row>
    <row r="132" spans="4:5">
      <c r="D132" s="1156">
        <f t="shared" si="9"/>
        <v>1900</v>
      </c>
      <c r="E132" s="1156" t="str">
        <f t="shared" si="10"/>
        <v>4</v>
      </c>
    </row>
    <row r="133" spans="4:5">
      <c r="D133" s="1156">
        <f t="shared" si="9"/>
        <v>1900</v>
      </c>
      <c r="E133" s="1156" t="str">
        <f t="shared" si="10"/>
        <v>4</v>
      </c>
    </row>
    <row r="134" spans="4:5">
      <c r="D134" s="1156">
        <f t="shared" si="9"/>
        <v>1900</v>
      </c>
      <c r="E134" s="1156" t="str">
        <f t="shared" si="10"/>
        <v>4</v>
      </c>
    </row>
    <row r="135" spans="4:5">
      <c r="D135" s="1156">
        <f t="shared" si="9"/>
        <v>1900</v>
      </c>
      <c r="E135" s="1156" t="str">
        <f t="shared" si="10"/>
        <v>4</v>
      </c>
    </row>
    <row r="136" spans="4:5">
      <c r="D136" s="1156">
        <f t="shared" si="9"/>
        <v>1900</v>
      </c>
      <c r="E136" s="1156" t="str">
        <f t="shared" si="10"/>
        <v>4</v>
      </c>
    </row>
    <row r="137" spans="4:5">
      <c r="D137" s="1156">
        <f t="shared" si="9"/>
        <v>1900</v>
      </c>
      <c r="E137" s="1156" t="str">
        <f t="shared" si="10"/>
        <v>4</v>
      </c>
    </row>
    <row r="138" spans="4:5">
      <c r="D138" s="1156">
        <f t="shared" si="9"/>
        <v>1900</v>
      </c>
      <c r="E138" s="1156" t="str">
        <f t="shared" si="10"/>
        <v>4</v>
      </c>
    </row>
    <row r="139" spans="4:5">
      <c r="D139" s="1156">
        <f t="shared" si="9"/>
        <v>1900</v>
      </c>
      <c r="E139" s="1156" t="str">
        <f t="shared" si="10"/>
        <v>4</v>
      </c>
    </row>
    <row r="140" spans="4:5">
      <c r="D140" s="1156">
        <f t="shared" ref="D140:D203" si="11">YEAR(A140)</f>
        <v>1900</v>
      </c>
      <c r="E140" s="1156" t="str">
        <f t="shared" ref="E140:E203" si="12">IF(MONTH(A140)=3,"1",IF(MONTH(A140)=6,"2",IF(MONTH(A140)=9,"3","4")))</f>
        <v>4</v>
      </c>
    </row>
    <row r="141" spans="4:5">
      <c r="D141" s="1156">
        <f t="shared" si="11"/>
        <v>1900</v>
      </c>
      <c r="E141" s="1156" t="str">
        <f t="shared" si="12"/>
        <v>4</v>
      </c>
    </row>
    <row r="142" spans="4:5">
      <c r="D142" s="1156">
        <f t="shared" si="11"/>
        <v>1900</v>
      </c>
      <c r="E142" s="1156" t="str">
        <f t="shared" si="12"/>
        <v>4</v>
      </c>
    </row>
    <row r="143" spans="4:5">
      <c r="D143" s="1156">
        <f t="shared" si="11"/>
        <v>1900</v>
      </c>
      <c r="E143" s="1156" t="str">
        <f t="shared" si="12"/>
        <v>4</v>
      </c>
    </row>
    <row r="144" spans="4:5">
      <c r="D144" s="1156">
        <f t="shared" si="11"/>
        <v>1900</v>
      </c>
      <c r="E144" s="1156" t="str">
        <f t="shared" si="12"/>
        <v>4</v>
      </c>
    </row>
    <row r="145" spans="4:5">
      <c r="D145" s="1156">
        <f t="shared" si="11"/>
        <v>1900</v>
      </c>
      <c r="E145" s="1156" t="str">
        <f t="shared" si="12"/>
        <v>4</v>
      </c>
    </row>
    <row r="146" spans="4:5">
      <c r="D146" s="1156">
        <f t="shared" si="11"/>
        <v>1900</v>
      </c>
      <c r="E146" s="1156" t="str">
        <f t="shared" si="12"/>
        <v>4</v>
      </c>
    </row>
    <row r="147" spans="4:5">
      <c r="D147" s="1156">
        <f t="shared" si="11"/>
        <v>1900</v>
      </c>
      <c r="E147" s="1156" t="str">
        <f t="shared" si="12"/>
        <v>4</v>
      </c>
    </row>
    <row r="148" spans="4:5">
      <c r="D148" s="1156">
        <f t="shared" si="11"/>
        <v>1900</v>
      </c>
      <c r="E148" s="1156" t="str">
        <f t="shared" si="12"/>
        <v>4</v>
      </c>
    </row>
    <row r="149" spans="4:5">
      <c r="D149" s="1156">
        <f t="shared" si="11"/>
        <v>1900</v>
      </c>
      <c r="E149" s="1156" t="str">
        <f t="shared" si="12"/>
        <v>4</v>
      </c>
    </row>
    <row r="150" spans="4:5">
      <c r="D150" s="1156">
        <f t="shared" si="11"/>
        <v>1900</v>
      </c>
      <c r="E150" s="1156" t="str">
        <f t="shared" si="12"/>
        <v>4</v>
      </c>
    </row>
    <row r="151" spans="4:5">
      <c r="D151" s="1156">
        <f t="shared" si="11"/>
        <v>1900</v>
      </c>
      <c r="E151" s="1156" t="str">
        <f t="shared" si="12"/>
        <v>4</v>
      </c>
    </row>
    <row r="152" spans="4:5">
      <c r="D152" s="1156">
        <f t="shared" si="11"/>
        <v>1900</v>
      </c>
      <c r="E152" s="1156" t="str">
        <f t="shared" si="12"/>
        <v>4</v>
      </c>
    </row>
    <row r="153" spans="4:5">
      <c r="D153" s="1156">
        <f t="shared" si="11"/>
        <v>1900</v>
      </c>
      <c r="E153" s="1156" t="str">
        <f t="shared" si="12"/>
        <v>4</v>
      </c>
    </row>
    <row r="154" spans="4:5">
      <c r="D154" s="1156">
        <f t="shared" si="11"/>
        <v>1900</v>
      </c>
      <c r="E154" s="1156" t="str">
        <f t="shared" si="12"/>
        <v>4</v>
      </c>
    </row>
    <row r="155" spans="4:5">
      <c r="D155" s="1156">
        <f t="shared" si="11"/>
        <v>1900</v>
      </c>
      <c r="E155" s="1156" t="str">
        <f t="shared" si="12"/>
        <v>4</v>
      </c>
    </row>
    <row r="156" spans="4:5">
      <c r="D156" s="1156">
        <f t="shared" si="11"/>
        <v>1900</v>
      </c>
      <c r="E156" s="1156" t="str">
        <f t="shared" si="12"/>
        <v>4</v>
      </c>
    </row>
    <row r="157" spans="4:5">
      <c r="D157" s="1156">
        <f t="shared" si="11"/>
        <v>1900</v>
      </c>
      <c r="E157" s="1156" t="str">
        <f t="shared" si="12"/>
        <v>4</v>
      </c>
    </row>
    <row r="158" spans="4:5">
      <c r="D158" s="1156">
        <f t="shared" si="11"/>
        <v>1900</v>
      </c>
      <c r="E158" s="1156" t="str">
        <f t="shared" si="12"/>
        <v>4</v>
      </c>
    </row>
    <row r="159" spans="4:5">
      <c r="D159" s="1156">
        <f t="shared" si="11"/>
        <v>1900</v>
      </c>
      <c r="E159" s="1156" t="str">
        <f t="shared" si="12"/>
        <v>4</v>
      </c>
    </row>
    <row r="160" spans="4:5">
      <c r="D160" s="1156">
        <f t="shared" si="11"/>
        <v>1900</v>
      </c>
      <c r="E160" s="1156" t="str">
        <f t="shared" si="12"/>
        <v>4</v>
      </c>
    </row>
    <row r="161" spans="4:5">
      <c r="D161" s="1156">
        <f t="shared" si="11"/>
        <v>1900</v>
      </c>
      <c r="E161" s="1156" t="str">
        <f t="shared" si="12"/>
        <v>4</v>
      </c>
    </row>
    <row r="162" spans="4:5">
      <c r="D162" s="1156">
        <f t="shared" si="11"/>
        <v>1900</v>
      </c>
      <c r="E162" s="1156" t="str">
        <f t="shared" si="12"/>
        <v>4</v>
      </c>
    </row>
    <row r="163" spans="4:5">
      <c r="D163" s="1156">
        <f t="shared" si="11"/>
        <v>1900</v>
      </c>
      <c r="E163" s="1156" t="str">
        <f t="shared" si="12"/>
        <v>4</v>
      </c>
    </row>
    <row r="164" spans="4:5">
      <c r="D164" s="1156">
        <f t="shared" si="11"/>
        <v>1900</v>
      </c>
      <c r="E164" s="1156" t="str">
        <f t="shared" si="12"/>
        <v>4</v>
      </c>
    </row>
    <row r="165" spans="4:5">
      <c r="D165" s="1156">
        <f t="shared" si="11"/>
        <v>1900</v>
      </c>
      <c r="E165" s="1156" t="str">
        <f t="shared" si="12"/>
        <v>4</v>
      </c>
    </row>
    <row r="166" spans="4:5">
      <c r="D166" s="1156">
        <f t="shared" si="11"/>
        <v>1900</v>
      </c>
      <c r="E166" s="1156" t="str">
        <f t="shared" si="12"/>
        <v>4</v>
      </c>
    </row>
    <row r="167" spans="4:5">
      <c r="D167" s="1156">
        <f t="shared" si="11"/>
        <v>1900</v>
      </c>
      <c r="E167" s="1156" t="str">
        <f t="shared" si="12"/>
        <v>4</v>
      </c>
    </row>
    <row r="168" spans="4:5">
      <c r="D168" s="1156">
        <f t="shared" si="11"/>
        <v>1900</v>
      </c>
      <c r="E168" s="1156" t="str">
        <f t="shared" si="12"/>
        <v>4</v>
      </c>
    </row>
    <row r="169" spans="4:5">
      <c r="D169" s="1156">
        <f t="shared" si="11"/>
        <v>1900</v>
      </c>
      <c r="E169" s="1156" t="str">
        <f t="shared" si="12"/>
        <v>4</v>
      </c>
    </row>
    <row r="170" spans="4:5">
      <c r="D170" s="1156">
        <f t="shared" si="11"/>
        <v>1900</v>
      </c>
      <c r="E170" s="1156" t="str">
        <f t="shared" si="12"/>
        <v>4</v>
      </c>
    </row>
    <row r="171" spans="4:5">
      <c r="D171" s="1156">
        <f t="shared" si="11"/>
        <v>1900</v>
      </c>
      <c r="E171" s="1156" t="str">
        <f t="shared" si="12"/>
        <v>4</v>
      </c>
    </row>
    <row r="172" spans="4:5">
      <c r="D172" s="1156">
        <f t="shared" si="11"/>
        <v>1900</v>
      </c>
      <c r="E172" s="1156" t="str">
        <f t="shared" si="12"/>
        <v>4</v>
      </c>
    </row>
    <row r="173" spans="4:5">
      <c r="D173" s="1156">
        <f t="shared" si="11"/>
        <v>1900</v>
      </c>
      <c r="E173" s="1156" t="str">
        <f t="shared" si="12"/>
        <v>4</v>
      </c>
    </row>
    <row r="174" spans="4:5">
      <c r="D174" s="1156">
        <f t="shared" si="11"/>
        <v>1900</v>
      </c>
      <c r="E174" s="1156" t="str">
        <f t="shared" si="12"/>
        <v>4</v>
      </c>
    </row>
    <row r="175" spans="4:5">
      <c r="D175" s="1156">
        <f t="shared" si="11"/>
        <v>1900</v>
      </c>
      <c r="E175" s="1156" t="str">
        <f t="shared" si="12"/>
        <v>4</v>
      </c>
    </row>
    <row r="176" spans="4:5">
      <c r="D176" s="1156">
        <f t="shared" si="11"/>
        <v>1900</v>
      </c>
      <c r="E176" s="1156" t="str">
        <f t="shared" si="12"/>
        <v>4</v>
      </c>
    </row>
    <row r="177" spans="4:5">
      <c r="D177" s="1156">
        <f t="shared" si="11"/>
        <v>1900</v>
      </c>
      <c r="E177" s="1156" t="str">
        <f t="shared" si="12"/>
        <v>4</v>
      </c>
    </row>
    <row r="178" spans="4:5">
      <c r="D178" s="1156">
        <f t="shared" si="11"/>
        <v>1900</v>
      </c>
      <c r="E178" s="1156" t="str">
        <f t="shared" si="12"/>
        <v>4</v>
      </c>
    </row>
    <row r="179" spans="4:5">
      <c r="D179" s="1156">
        <f t="shared" si="11"/>
        <v>1900</v>
      </c>
      <c r="E179" s="1156" t="str">
        <f t="shared" si="12"/>
        <v>4</v>
      </c>
    </row>
    <row r="180" spans="4:5">
      <c r="D180" s="1156">
        <f t="shared" si="11"/>
        <v>1900</v>
      </c>
      <c r="E180" s="1156" t="str">
        <f t="shared" si="12"/>
        <v>4</v>
      </c>
    </row>
    <row r="181" spans="4:5">
      <c r="D181" s="1156">
        <f t="shared" si="11"/>
        <v>1900</v>
      </c>
      <c r="E181" s="1156" t="str">
        <f t="shared" si="12"/>
        <v>4</v>
      </c>
    </row>
    <row r="182" spans="4:5">
      <c r="D182" s="1156">
        <f t="shared" si="11"/>
        <v>1900</v>
      </c>
      <c r="E182" s="1156" t="str">
        <f t="shared" si="12"/>
        <v>4</v>
      </c>
    </row>
    <row r="183" spans="4:5">
      <c r="D183" s="1156">
        <f t="shared" si="11"/>
        <v>1900</v>
      </c>
      <c r="E183" s="1156" t="str">
        <f t="shared" si="12"/>
        <v>4</v>
      </c>
    </row>
    <row r="184" spans="4:5">
      <c r="D184" s="1156">
        <f t="shared" si="11"/>
        <v>1900</v>
      </c>
      <c r="E184" s="1156" t="str">
        <f t="shared" si="12"/>
        <v>4</v>
      </c>
    </row>
    <row r="185" spans="4:5">
      <c r="D185" s="1156">
        <f t="shared" si="11"/>
        <v>1900</v>
      </c>
      <c r="E185" s="1156" t="str">
        <f t="shared" si="12"/>
        <v>4</v>
      </c>
    </row>
    <row r="186" spans="4:5">
      <c r="D186" s="1156">
        <f t="shared" si="11"/>
        <v>1900</v>
      </c>
      <c r="E186" s="1156" t="str">
        <f t="shared" si="12"/>
        <v>4</v>
      </c>
    </row>
    <row r="187" spans="4:5">
      <c r="D187" s="1156">
        <f t="shared" si="11"/>
        <v>1900</v>
      </c>
      <c r="E187" s="1156" t="str">
        <f t="shared" si="12"/>
        <v>4</v>
      </c>
    </row>
    <row r="188" spans="4:5">
      <c r="D188" s="1156">
        <f t="shared" si="11"/>
        <v>1900</v>
      </c>
      <c r="E188" s="1156" t="str">
        <f t="shared" si="12"/>
        <v>4</v>
      </c>
    </row>
    <row r="189" spans="4:5">
      <c r="D189" s="1156">
        <f t="shared" si="11"/>
        <v>1900</v>
      </c>
      <c r="E189" s="1156" t="str">
        <f t="shared" si="12"/>
        <v>4</v>
      </c>
    </row>
    <row r="190" spans="4:5">
      <c r="D190" s="1156">
        <f t="shared" si="11"/>
        <v>1900</v>
      </c>
      <c r="E190" s="1156" t="str">
        <f t="shared" si="12"/>
        <v>4</v>
      </c>
    </row>
    <row r="191" spans="4:5">
      <c r="D191" s="1156">
        <f t="shared" si="11"/>
        <v>1900</v>
      </c>
      <c r="E191" s="1156" t="str">
        <f t="shared" si="12"/>
        <v>4</v>
      </c>
    </row>
    <row r="192" spans="4:5">
      <c r="D192" s="1156">
        <f t="shared" si="11"/>
        <v>1900</v>
      </c>
      <c r="E192" s="1156" t="str">
        <f t="shared" si="12"/>
        <v>4</v>
      </c>
    </row>
    <row r="193" spans="4:5">
      <c r="D193" s="1156">
        <f t="shared" si="11"/>
        <v>1900</v>
      </c>
      <c r="E193" s="1156" t="str">
        <f t="shared" si="12"/>
        <v>4</v>
      </c>
    </row>
    <row r="194" spans="4:5">
      <c r="D194" s="1156">
        <f t="shared" si="11"/>
        <v>1900</v>
      </c>
      <c r="E194" s="1156" t="str">
        <f t="shared" si="12"/>
        <v>4</v>
      </c>
    </row>
    <row r="195" spans="4:5">
      <c r="D195" s="1156">
        <f t="shared" si="11"/>
        <v>1900</v>
      </c>
      <c r="E195" s="1156" t="str">
        <f t="shared" si="12"/>
        <v>4</v>
      </c>
    </row>
    <row r="196" spans="4:5">
      <c r="D196" s="1156">
        <f t="shared" si="11"/>
        <v>1900</v>
      </c>
      <c r="E196" s="1156" t="str">
        <f t="shared" si="12"/>
        <v>4</v>
      </c>
    </row>
    <row r="197" spans="4:5">
      <c r="D197" s="1156">
        <f t="shared" si="11"/>
        <v>1900</v>
      </c>
      <c r="E197" s="1156" t="str">
        <f t="shared" si="12"/>
        <v>4</v>
      </c>
    </row>
    <row r="198" spans="4:5">
      <c r="D198" s="1156">
        <f t="shared" si="11"/>
        <v>1900</v>
      </c>
      <c r="E198" s="1156" t="str">
        <f t="shared" si="12"/>
        <v>4</v>
      </c>
    </row>
    <row r="199" spans="4:5">
      <c r="D199" s="1156">
        <f t="shared" si="11"/>
        <v>1900</v>
      </c>
      <c r="E199" s="1156" t="str">
        <f t="shared" si="12"/>
        <v>4</v>
      </c>
    </row>
    <row r="200" spans="4:5">
      <c r="D200" s="1156">
        <f t="shared" si="11"/>
        <v>1900</v>
      </c>
      <c r="E200" s="1156" t="str">
        <f t="shared" si="12"/>
        <v>4</v>
      </c>
    </row>
    <row r="201" spans="4:5">
      <c r="D201" s="1156">
        <f t="shared" si="11"/>
        <v>1900</v>
      </c>
      <c r="E201" s="1156" t="str">
        <f t="shared" si="12"/>
        <v>4</v>
      </c>
    </row>
    <row r="202" spans="4:5">
      <c r="D202" s="1156">
        <f t="shared" si="11"/>
        <v>1900</v>
      </c>
      <c r="E202" s="1156" t="str">
        <f t="shared" si="12"/>
        <v>4</v>
      </c>
    </row>
    <row r="203" spans="4:5">
      <c r="D203" s="1156">
        <f t="shared" si="11"/>
        <v>1900</v>
      </c>
      <c r="E203" s="1156" t="str">
        <f t="shared" si="12"/>
        <v>4</v>
      </c>
    </row>
    <row r="204" spans="4:5">
      <c r="D204" s="1156">
        <f t="shared" ref="D204:D253" si="13">YEAR(A204)</f>
        <v>1900</v>
      </c>
      <c r="E204" s="1156" t="str">
        <f t="shared" ref="E204:E253" si="14">IF(MONTH(A204)=3,"1",IF(MONTH(A204)=6,"2",IF(MONTH(A204)=9,"3","4")))</f>
        <v>4</v>
      </c>
    </row>
    <row r="205" spans="4:5">
      <c r="D205" s="1156">
        <f t="shared" si="13"/>
        <v>1900</v>
      </c>
      <c r="E205" s="1156" t="str">
        <f t="shared" si="14"/>
        <v>4</v>
      </c>
    </row>
    <row r="206" spans="4:5">
      <c r="D206" s="1156">
        <f t="shared" si="13"/>
        <v>1900</v>
      </c>
      <c r="E206" s="1156" t="str">
        <f t="shared" si="14"/>
        <v>4</v>
      </c>
    </row>
    <row r="207" spans="4:5">
      <c r="D207" s="1156">
        <f t="shared" si="13"/>
        <v>1900</v>
      </c>
      <c r="E207" s="1156" t="str">
        <f t="shared" si="14"/>
        <v>4</v>
      </c>
    </row>
    <row r="208" spans="4:5">
      <c r="D208" s="1156">
        <f t="shared" si="13"/>
        <v>1900</v>
      </c>
      <c r="E208" s="1156" t="str">
        <f t="shared" si="14"/>
        <v>4</v>
      </c>
    </row>
    <row r="209" spans="4:5">
      <c r="D209" s="1156">
        <f t="shared" si="13"/>
        <v>1900</v>
      </c>
      <c r="E209" s="1156" t="str">
        <f t="shared" si="14"/>
        <v>4</v>
      </c>
    </row>
    <row r="210" spans="4:5">
      <c r="D210" s="1156">
        <f t="shared" si="13"/>
        <v>1900</v>
      </c>
      <c r="E210" s="1156" t="str">
        <f t="shared" si="14"/>
        <v>4</v>
      </c>
    </row>
    <row r="211" spans="4:5">
      <c r="D211" s="1156">
        <f t="shared" si="13"/>
        <v>1900</v>
      </c>
      <c r="E211" s="1156" t="str">
        <f t="shared" si="14"/>
        <v>4</v>
      </c>
    </row>
    <row r="212" spans="4:5">
      <c r="D212" s="1156">
        <f t="shared" si="13"/>
        <v>1900</v>
      </c>
      <c r="E212" s="1156" t="str">
        <f t="shared" si="14"/>
        <v>4</v>
      </c>
    </row>
    <row r="213" spans="4:5">
      <c r="D213" s="1156">
        <f t="shared" si="13"/>
        <v>1900</v>
      </c>
      <c r="E213" s="1156" t="str">
        <f t="shared" si="14"/>
        <v>4</v>
      </c>
    </row>
    <row r="214" spans="4:5">
      <c r="D214" s="1156">
        <f t="shared" si="13"/>
        <v>1900</v>
      </c>
      <c r="E214" s="1156" t="str">
        <f t="shared" si="14"/>
        <v>4</v>
      </c>
    </row>
    <row r="215" spans="4:5">
      <c r="D215" s="1156">
        <f t="shared" si="13"/>
        <v>1900</v>
      </c>
      <c r="E215" s="1156" t="str">
        <f t="shared" si="14"/>
        <v>4</v>
      </c>
    </row>
    <row r="216" spans="4:5">
      <c r="D216" s="1156">
        <f t="shared" si="13"/>
        <v>1900</v>
      </c>
      <c r="E216" s="1156" t="str">
        <f t="shared" si="14"/>
        <v>4</v>
      </c>
    </row>
    <row r="217" spans="4:5">
      <c r="D217" s="1156">
        <f t="shared" si="13"/>
        <v>1900</v>
      </c>
      <c r="E217" s="1156" t="str">
        <f t="shared" si="14"/>
        <v>4</v>
      </c>
    </row>
    <row r="218" spans="4:5">
      <c r="D218" s="1156">
        <f t="shared" si="13"/>
        <v>1900</v>
      </c>
      <c r="E218" s="1156" t="str">
        <f t="shared" si="14"/>
        <v>4</v>
      </c>
    </row>
    <row r="219" spans="4:5">
      <c r="D219" s="1156">
        <f t="shared" si="13"/>
        <v>1900</v>
      </c>
      <c r="E219" s="1156" t="str">
        <f t="shared" si="14"/>
        <v>4</v>
      </c>
    </row>
    <row r="220" spans="4:5">
      <c r="D220" s="1156">
        <f t="shared" si="13"/>
        <v>1900</v>
      </c>
      <c r="E220" s="1156" t="str">
        <f t="shared" si="14"/>
        <v>4</v>
      </c>
    </row>
    <row r="221" spans="4:5">
      <c r="D221" s="1156">
        <f t="shared" si="13"/>
        <v>1900</v>
      </c>
      <c r="E221" s="1156" t="str">
        <f t="shared" si="14"/>
        <v>4</v>
      </c>
    </row>
    <row r="222" spans="4:5">
      <c r="D222" s="1156">
        <f t="shared" si="13"/>
        <v>1900</v>
      </c>
      <c r="E222" s="1156" t="str">
        <f t="shared" si="14"/>
        <v>4</v>
      </c>
    </row>
    <row r="223" spans="4:5">
      <c r="D223" s="1156">
        <f t="shared" si="13"/>
        <v>1900</v>
      </c>
      <c r="E223" s="1156" t="str">
        <f t="shared" si="14"/>
        <v>4</v>
      </c>
    </row>
    <row r="224" spans="4:5">
      <c r="D224" s="1156">
        <f t="shared" si="13"/>
        <v>1900</v>
      </c>
      <c r="E224" s="1156" t="str">
        <f t="shared" si="14"/>
        <v>4</v>
      </c>
    </row>
    <row r="225" spans="4:5">
      <c r="D225" s="1156">
        <f t="shared" si="13"/>
        <v>1900</v>
      </c>
      <c r="E225" s="1156" t="str">
        <f t="shared" si="14"/>
        <v>4</v>
      </c>
    </row>
    <row r="226" spans="4:5">
      <c r="D226" s="1156">
        <f t="shared" si="13"/>
        <v>1900</v>
      </c>
      <c r="E226" s="1156" t="str">
        <f t="shared" si="14"/>
        <v>4</v>
      </c>
    </row>
    <row r="227" spans="4:5">
      <c r="D227" s="1156">
        <f t="shared" si="13"/>
        <v>1900</v>
      </c>
      <c r="E227" s="1156" t="str">
        <f t="shared" si="14"/>
        <v>4</v>
      </c>
    </row>
    <row r="228" spans="4:5">
      <c r="D228" s="1156">
        <f t="shared" si="13"/>
        <v>1900</v>
      </c>
      <c r="E228" s="1156" t="str">
        <f t="shared" si="14"/>
        <v>4</v>
      </c>
    </row>
    <row r="229" spans="4:5">
      <c r="D229" s="1156">
        <f t="shared" si="13"/>
        <v>1900</v>
      </c>
      <c r="E229" s="1156" t="str">
        <f t="shared" si="14"/>
        <v>4</v>
      </c>
    </row>
    <row r="230" spans="4:5">
      <c r="D230" s="1156">
        <f t="shared" si="13"/>
        <v>1900</v>
      </c>
      <c r="E230" s="1156" t="str">
        <f t="shared" si="14"/>
        <v>4</v>
      </c>
    </row>
    <row r="231" spans="4:5">
      <c r="D231" s="1156">
        <f t="shared" si="13"/>
        <v>1900</v>
      </c>
      <c r="E231" s="1156" t="str">
        <f t="shared" si="14"/>
        <v>4</v>
      </c>
    </row>
    <row r="232" spans="4:5">
      <c r="D232" s="1156">
        <f t="shared" si="13"/>
        <v>1900</v>
      </c>
      <c r="E232" s="1156" t="str">
        <f t="shared" si="14"/>
        <v>4</v>
      </c>
    </row>
    <row r="233" spans="4:5">
      <c r="D233" s="1156">
        <f t="shared" si="13"/>
        <v>1900</v>
      </c>
      <c r="E233" s="1156" t="str">
        <f t="shared" si="14"/>
        <v>4</v>
      </c>
    </row>
    <row r="234" spans="4:5">
      <c r="D234" s="1156">
        <f t="shared" si="13"/>
        <v>1900</v>
      </c>
      <c r="E234" s="1156" t="str">
        <f t="shared" si="14"/>
        <v>4</v>
      </c>
    </row>
    <row r="235" spans="4:5">
      <c r="D235" s="1156">
        <f t="shared" si="13"/>
        <v>1900</v>
      </c>
      <c r="E235" s="1156" t="str">
        <f t="shared" si="14"/>
        <v>4</v>
      </c>
    </row>
    <row r="236" spans="4:5">
      <c r="D236" s="1156">
        <f t="shared" si="13"/>
        <v>1900</v>
      </c>
      <c r="E236" s="1156" t="str">
        <f t="shared" si="14"/>
        <v>4</v>
      </c>
    </row>
    <row r="237" spans="4:5">
      <c r="D237" s="1156">
        <f t="shared" si="13"/>
        <v>1900</v>
      </c>
      <c r="E237" s="1156" t="str">
        <f t="shared" si="14"/>
        <v>4</v>
      </c>
    </row>
    <row r="238" spans="4:5">
      <c r="D238" s="1156">
        <f t="shared" si="13"/>
        <v>1900</v>
      </c>
      <c r="E238" s="1156" t="str">
        <f t="shared" si="14"/>
        <v>4</v>
      </c>
    </row>
    <row r="239" spans="4:5">
      <c r="D239" s="1156">
        <f t="shared" si="13"/>
        <v>1900</v>
      </c>
      <c r="E239" s="1156" t="str">
        <f t="shared" si="14"/>
        <v>4</v>
      </c>
    </row>
    <row r="240" spans="4:5">
      <c r="D240" s="1156">
        <f t="shared" si="13"/>
        <v>1900</v>
      </c>
      <c r="E240" s="1156" t="str">
        <f t="shared" si="14"/>
        <v>4</v>
      </c>
    </row>
    <row r="241" spans="4:5">
      <c r="D241" s="1156">
        <f t="shared" si="13"/>
        <v>1900</v>
      </c>
      <c r="E241" s="1156" t="str">
        <f t="shared" si="14"/>
        <v>4</v>
      </c>
    </row>
    <row r="242" spans="4:5">
      <c r="D242" s="1156">
        <f t="shared" si="13"/>
        <v>1900</v>
      </c>
      <c r="E242" s="1156" t="str">
        <f t="shared" si="14"/>
        <v>4</v>
      </c>
    </row>
    <row r="243" spans="4:5">
      <c r="D243" s="1156">
        <f t="shared" si="13"/>
        <v>1900</v>
      </c>
      <c r="E243" s="1156" t="str">
        <f t="shared" si="14"/>
        <v>4</v>
      </c>
    </row>
    <row r="244" spans="4:5">
      <c r="D244" s="1156">
        <f t="shared" si="13"/>
        <v>1900</v>
      </c>
      <c r="E244" s="1156" t="str">
        <f t="shared" si="14"/>
        <v>4</v>
      </c>
    </row>
    <row r="245" spans="4:5">
      <c r="D245" s="1156">
        <f t="shared" si="13"/>
        <v>1900</v>
      </c>
      <c r="E245" s="1156" t="str">
        <f t="shared" si="14"/>
        <v>4</v>
      </c>
    </row>
    <row r="246" spans="4:5">
      <c r="D246" s="1156">
        <f t="shared" si="13"/>
        <v>1900</v>
      </c>
      <c r="E246" s="1156" t="str">
        <f t="shared" si="14"/>
        <v>4</v>
      </c>
    </row>
    <row r="247" spans="4:5">
      <c r="D247" s="1156">
        <f t="shared" si="13"/>
        <v>1900</v>
      </c>
      <c r="E247" s="1156" t="str">
        <f t="shared" si="14"/>
        <v>4</v>
      </c>
    </row>
    <row r="248" spans="4:5">
      <c r="D248" s="1156">
        <f t="shared" si="13"/>
        <v>1900</v>
      </c>
      <c r="E248" s="1156" t="str">
        <f t="shared" si="14"/>
        <v>4</v>
      </c>
    </row>
    <row r="249" spans="4:5">
      <c r="D249" s="1156">
        <f t="shared" si="13"/>
        <v>1900</v>
      </c>
      <c r="E249" s="1156" t="str">
        <f t="shared" si="14"/>
        <v>4</v>
      </c>
    </row>
    <row r="250" spans="4:5">
      <c r="D250" s="1156">
        <f t="shared" si="13"/>
        <v>1900</v>
      </c>
      <c r="E250" s="1156" t="str">
        <f t="shared" si="14"/>
        <v>4</v>
      </c>
    </row>
    <row r="251" spans="4:5">
      <c r="D251" s="1156">
        <f t="shared" si="13"/>
        <v>1900</v>
      </c>
      <c r="E251" s="1156" t="str">
        <f t="shared" si="14"/>
        <v>4</v>
      </c>
    </row>
    <row r="252" spans="4:5">
      <c r="D252" s="1156">
        <f t="shared" si="13"/>
        <v>1900</v>
      </c>
      <c r="E252" s="1156" t="str">
        <f t="shared" si="14"/>
        <v>4</v>
      </c>
    </row>
    <row r="253" spans="4:5">
      <c r="D253" s="1156">
        <f t="shared" si="13"/>
        <v>1900</v>
      </c>
      <c r="E253" s="1156" t="str">
        <f t="shared" si="14"/>
        <v>4</v>
      </c>
    </row>
  </sheetData>
  <mergeCells count="6">
    <mergeCell ref="P24:R24"/>
    <mergeCell ref="A6:E6"/>
    <mergeCell ref="P8:R8"/>
    <mergeCell ref="P7:R7"/>
    <mergeCell ref="Q23:R23"/>
    <mergeCell ref="A7:C7"/>
  </mergeCells>
  <dataValidations count="2">
    <dataValidation type="list" allowBlank="1" showInputMessage="1" showErrorMessage="1" sqref="Q23" xr:uid="{00000000-0002-0000-1C00-000000000000}">
      <formula1>$A$1:$A$2</formula1>
    </dataValidation>
    <dataValidation type="list" allowBlank="1" showInputMessage="1" showErrorMessage="1" sqref="Q22" xr:uid="{00000000-0002-0000-1C00-000001000000}">
      <formula1>$B$1:$B$2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5"/>
  <sheetViews>
    <sheetView showGridLines="0" workbookViewId="0"/>
  </sheetViews>
  <sheetFormatPr defaultColWidth="9.140625" defaultRowHeight="15"/>
  <cols>
    <col min="1" max="1" width="17.7109375" style="278" customWidth="1"/>
    <col min="2" max="2" width="44" style="278" customWidth="1"/>
    <col min="3" max="8" width="9.140625" style="278"/>
    <col min="9" max="9" width="13.28515625" style="278" bestFit="1" customWidth="1"/>
    <col min="10" max="11" width="9.140625" style="278"/>
    <col min="12" max="12" width="14" style="278" customWidth="1"/>
    <col min="13" max="16384" width="9.140625" style="278"/>
  </cols>
  <sheetData>
    <row r="1" spans="1:25">
      <c r="Y1" s="294" t="s">
        <v>325</v>
      </c>
    </row>
    <row r="2" spans="1:25">
      <c r="Y2" s="294" t="s">
        <v>326</v>
      </c>
    </row>
    <row r="3" spans="1:25">
      <c r="Y3" s="294" t="s">
        <v>327</v>
      </c>
    </row>
    <row r="4" spans="1:25">
      <c r="Y4" s="294" t="s">
        <v>326</v>
      </c>
    </row>
    <row r="8" spans="1:25" ht="15.75" thickBot="1"/>
    <row r="9" spans="1:25" ht="15.75" thickBot="1">
      <c r="A9" s="4"/>
      <c r="H9" s="1908" t="s">
        <v>321</v>
      </c>
      <c r="I9" s="1909"/>
      <c r="J9" s="1909"/>
      <c r="K9" s="1909"/>
      <c r="L9" s="1910"/>
    </row>
    <row r="10" spans="1:25" ht="15.75" thickBot="1">
      <c r="H10" s="1911" t="s">
        <v>325</v>
      </c>
      <c r="I10" s="1912"/>
      <c r="J10" s="1912"/>
      <c r="K10" s="1912"/>
      <c r="L10" s="1913"/>
    </row>
    <row r="11" spans="1:25">
      <c r="H11" s="1914" t="s">
        <v>328</v>
      </c>
      <c r="I11" s="1914"/>
      <c r="J11" s="1914"/>
      <c r="K11" s="1914"/>
      <c r="L11" s="1914"/>
    </row>
    <row r="12" spans="1:25" ht="15.75" thickBot="1">
      <c r="A12" s="4"/>
    </row>
    <row r="13" spans="1:25" ht="15.75" thickBot="1">
      <c r="H13" s="7" t="s">
        <v>247</v>
      </c>
      <c r="I13" s="1915" t="s">
        <v>325</v>
      </c>
      <c r="J13" s="1915"/>
      <c r="K13" s="1915"/>
      <c r="L13" s="1916"/>
    </row>
    <row r="15" spans="1:25">
      <c r="H15" s="1917" t="s">
        <v>327</v>
      </c>
      <c r="I15" s="1918"/>
      <c r="J15" s="1918"/>
      <c r="K15" s="1918"/>
      <c r="L15" s="1918"/>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5:L15" xr:uid="{00000000-0002-0000-0200-000000000000}">
      <formula1>$Y$3:$Y$4</formula1>
    </dataValidation>
    <dataValidation type="list" allowBlank="1" showInputMessage="1" showErrorMessage="1" promptTitle="Select a Display Factor:" prompt="Clicking here will bring up a message describing the selections you can make." sqref="H10:L10 I13:L13" xr:uid="{00000000-0002-0000-0200-000001000000}">
      <formula1>$Y$1:$Y$2</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B871"/>
  </sheetPr>
  <dimension ref="A1:AJ76"/>
  <sheetViews>
    <sheetView showGridLines="0" workbookViewId="0"/>
  </sheetViews>
  <sheetFormatPr defaultColWidth="9.140625" defaultRowHeight="15"/>
  <cols>
    <col min="1" max="1" width="31.5703125" style="381" bestFit="1" customWidth="1"/>
    <col min="2" max="2" width="5.28515625" style="381" bestFit="1" customWidth="1"/>
    <col min="3" max="3" width="21.5703125" style="381" bestFit="1" customWidth="1"/>
    <col min="4" max="4" width="15.140625" style="381" bestFit="1" customWidth="1"/>
    <col min="5" max="12" width="15.42578125" style="381" customWidth="1"/>
    <col min="13" max="13" width="19.140625" style="381" hidden="1" customWidth="1"/>
    <col min="14" max="14" width="15.42578125" style="381" hidden="1" customWidth="1"/>
    <col min="15" max="15" width="0" style="95" hidden="1" customWidth="1"/>
    <col min="16" max="16" width="9.140625" style="95" hidden="1" customWidth="1"/>
    <col min="17" max="18" width="12" style="95" hidden="1" customWidth="1"/>
    <col min="19" max="19" width="14.85546875" style="95" hidden="1" customWidth="1"/>
    <col min="20" max="20" width="12" style="95" hidden="1" customWidth="1"/>
    <col min="21" max="21" width="17.28515625" style="95" hidden="1" customWidth="1"/>
    <col min="22" max="22" width="9.140625" style="911"/>
    <col min="23" max="23" width="52.42578125" style="911" bestFit="1" customWidth="1"/>
    <col min="24" max="24" width="15" style="911" bestFit="1" customWidth="1"/>
    <col min="25" max="25" width="9.140625" style="987"/>
    <col min="26" max="26" width="9.140625" style="911"/>
    <col min="27" max="16384" width="9.140625" style="381"/>
  </cols>
  <sheetData>
    <row r="1" spans="1:36">
      <c r="V1" s="911" t="s">
        <v>360</v>
      </c>
      <c r="W1" s="946" t="str">
        <f>"Spodumene Concentrate Exports "&amp;B6&amp;CHAR(10)&amp;"Total Value: $"&amp;TEXT(C16,"#,###")</f>
        <v>Spodumene Concentrate Exports 2023
Total Value: $18,377,033,980</v>
      </c>
      <c r="X1" s="946" t="s">
        <v>240</v>
      </c>
      <c r="Y1" s="1004">
        <f t="array" ref="Y1">IF($B$5="Calendar Year",MAX('Commodity Prices'!$BB$9:$BB$3488),CONCATENATE(MAX('Commodity Prices'!$BN$9:$BN$3487),"-",VALUE(RIGHT(MAX('Commodity Prices'!$BN$9:$BN$3487),2))+1))</f>
        <v>2023</v>
      </c>
      <c r="Z1" s="911">
        <f t="array" ref="Z1">MIN(IF('Commodity Prices'!$BA$9:$BA$3488=V1,'Commodity Prices'!$BB$9:$BB$3488))</f>
        <v>2021</v>
      </c>
      <c r="AA1" s="95"/>
      <c r="AB1" s="95"/>
      <c r="AC1" s="95"/>
      <c r="AD1" s="95"/>
      <c r="AE1" s="95"/>
      <c r="AF1" s="95"/>
      <c r="AG1" s="95"/>
      <c r="AH1" s="95"/>
      <c r="AI1" s="95"/>
      <c r="AJ1" s="95"/>
    </row>
    <row r="2" spans="1:36" ht="15.75">
      <c r="W2" s="972" t="str">
        <f t="array" ref="W2">IF($B$5=X1,IF(RIGHT(LEFT(B6,5),1)="-","Mismatch Error",""),IF(LEN(B6)=4,"Mismatch Error",""))</f>
        <v/>
      </c>
      <c r="X2" s="946" t="s">
        <v>246</v>
      </c>
      <c r="Y2" s="1004">
        <f t="array" ref="Y2">IFERROR(IF($B$5=$X$1,IF($Z$1&lt;=(Y1-1),Y1-1,""),IF($Z$1=VALUE(LEFT(Y1,4)),"",CONCATENATE(VALUE(LEFT(Y1,4))-1,"-",RIGHT(LEFT(Y1,4),2)))),"")</f>
        <v>2022</v>
      </c>
      <c r="AA2" s="95"/>
      <c r="AB2" s="95"/>
      <c r="AC2" s="95"/>
      <c r="AD2" s="95"/>
      <c r="AE2" s="95"/>
      <c r="AF2" s="95"/>
      <c r="AG2" s="95"/>
      <c r="AH2" s="95"/>
      <c r="AI2" s="95"/>
      <c r="AJ2" s="95"/>
    </row>
    <row r="3" spans="1:36">
      <c r="W3" s="946"/>
      <c r="X3" s="946"/>
      <c r="Y3" s="1004">
        <f t="array" ref="Y3">IFERROR(IF($B$5=$X$1,IF($Z$1&lt;=(Y2-1),Y2-1,""),IF($Z$1=VALUE(LEFT(Y2,4)),"",CONCATENATE(VALUE(LEFT(Y2,4))-1,"-",RIGHT(LEFT(Y2,4),2)))),"")</f>
        <v>2021</v>
      </c>
      <c r="AA3" s="95"/>
      <c r="AB3" s="95"/>
      <c r="AC3" s="95"/>
      <c r="AD3" s="95"/>
      <c r="AE3" s="95"/>
      <c r="AF3" s="95"/>
      <c r="AG3" s="95"/>
      <c r="AH3" s="95"/>
      <c r="AI3" s="95"/>
      <c r="AJ3" s="95"/>
    </row>
    <row r="4" spans="1:36" ht="26.25" customHeight="1" thickBot="1">
      <c r="W4" s="946"/>
      <c r="X4" s="946"/>
      <c r="Y4" s="1004" t="str">
        <f t="array" ref="Y4">IFERROR(IF($B$5=$X$1,IF($Z$1&lt;=(Y3-1),Y3-1,""),IF($Z$1=VALUE(LEFT(Y3,4)),"",CONCATENATE(VALUE(LEFT(Y3,4))-1,"-",RIGHT(LEFT(Y3,4),2)))),"")</f>
        <v/>
      </c>
      <c r="AA4" s="95"/>
      <c r="AB4" s="95"/>
      <c r="AC4" s="95"/>
      <c r="AD4" s="95"/>
      <c r="AE4" s="95"/>
      <c r="AF4" s="95"/>
      <c r="AG4" s="95"/>
      <c r="AH4" s="95"/>
      <c r="AI4" s="95"/>
      <c r="AJ4" s="95"/>
    </row>
    <row r="5" spans="1:36">
      <c r="A5" s="1428" t="s">
        <v>247</v>
      </c>
      <c r="B5" s="2035" t="s">
        <v>240</v>
      </c>
      <c r="C5" s="2035"/>
      <c r="D5" s="2036"/>
      <c r="E5" s="296"/>
      <c r="W5" s="946"/>
      <c r="X5" s="946"/>
      <c r="Y5" s="1004" t="str">
        <f t="shared" ref="Y5:Y25" si="0">IFERROR(IF($B$5=$X$1,IF($Z$1&lt;=(Y4-1),Y4-1,""),IF($Z$1=VALUE(LEFT(Y4,4)),"",CONCATENATE(VALUE(LEFT(Y4,4))-1,"-",RIGHT(LEFT(Y4,4),2)))),"")</f>
        <v/>
      </c>
      <c r="AA5" s="95"/>
      <c r="AB5" s="95"/>
      <c r="AC5" s="95"/>
      <c r="AD5" s="95"/>
      <c r="AE5" s="95"/>
      <c r="AF5" s="95"/>
      <c r="AG5" s="95"/>
      <c r="AH5" s="95"/>
      <c r="AI5" s="95"/>
      <c r="AJ5" s="95"/>
    </row>
    <row r="6" spans="1:36" ht="15.75" thickBot="1">
      <c r="A6" s="1516" t="s">
        <v>247</v>
      </c>
      <c r="B6" s="2037">
        <v>2023</v>
      </c>
      <c r="C6" s="2037"/>
      <c r="D6" s="2038"/>
      <c r="E6" s="296"/>
      <c r="W6" s="946"/>
      <c r="X6" s="946"/>
      <c r="Y6" s="1004" t="str">
        <f t="shared" si="0"/>
        <v/>
      </c>
      <c r="AA6" s="95"/>
      <c r="AB6" s="95"/>
      <c r="AC6" s="95"/>
      <c r="AD6" s="95"/>
      <c r="AE6" s="95"/>
      <c r="AF6" s="95"/>
      <c r="AG6" s="95"/>
      <c r="AH6" s="95"/>
      <c r="AI6" s="95"/>
      <c r="AJ6" s="95"/>
    </row>
    <row r="7" spans="1:36">
      <c r="W7" s="946"/>
      <c r="X7" s="946"/>
      <c r="Y7" s="1004" t="str">
        <f t="shared" si="0"/>
        <v/>
      </c>
      <c r="AA7" s="95"/>
      <c r="AB7" s="95"/>
      <c r="AC7" s="95"/>
      <c r="AD7" s="95"/>
      <c r="AE7" s="95"/>
      <c r="AF7" s="95"/>
      <c r="AG7" s="95"/>
      <c r="AH7" s="95"/>
      <c r="AI7" s="95"/>
      <c r="AJ7" s="95"/>
    </row>
    <row r="8" spans="1:36" ht="15.75" thickBot="1">
      <c r="A8" s="1948" t="str">
        <f>IF($B$6="Click here to select an option","Select a year above for display.",CONCATENATE("Spodumene Concentrate Exports ",B6))</f>
        <v>Spodumene Concentrate Exports 2023</v>
      </c>
      <c r="B8" s="1948"/>
      <c r="C8" s="1948"/>
      <c r="D8" s="1948"/>
      <c r="W8" s="946"/>
      <c r="X8" s="946"/>
      <c r="Y8" s="1004" t="str">
        <f t="shared" si="0"/>
        <v/>
      </c>
      <c r="AA8" s="95"/>
      <c r="AB8" s="95"/>
      <c r="AC8" s="95"/>
      <c r="AD8" s="95"/>
      <c r="AE8" s="95"/>
      <c r="AF8" s="95"/>
      <c r="AG8" s="95"/>
      <c r="AH8" s="95"/>
      <c r="AI8" s="95"/>
      <c r="AJ8" s="95"/>
    </row>
    <row r="9" spans="1:36">
      <c r="A9" s="1428" t="s">
        <v>591</v>
      </c>
      <c r="B9" s="1429" t="s">
        <v>31</v>
      </c>
      <c r="C9" s="786" t="s">
        <v>402</v>
      </c>
      <c r="D9" s="1430" t="s">
        <v>33</v>
      </c>
      <c r="W9" s="946"/>
      <c r="X9" s="946"/>
      <c r="Y9" s="1004" t="str">
        <f t="shared" si="0"/>
        <v/>
      </c>
      <c r="AA9" s="95"/>
      <c r="AB9" s="95"/>
      <c r="AC9" s="95"/>
      <c r="AD9" s="95"/>
      <c r="AE9" s="95"/>
      <c r="AF9" s="95"/>
      <c r="AG9" s="95"/>
      <c r="AH9" s="95"/>
      <c r="AI9" s="95"/>
      <c r="AJ9" s="95"/>
    </row>
    <row r="10" spans="1:36">
      <c r="A10" s="997" t="str">
        <f t="array" ref="A10">IF($W$2="Mismatch Error","Mismatch Error",IF($B$5=$X$1,INDEX('Commodity Prices'!$BA$9:$BF$3498,MATCH(1,(('Commodity Prices'!$BA$9:$BA$3488)="Lithium")*(('Commodity Prices'!$BB$9:$BB$3488)=$B$6)*(('Commodity Prices'!$BD$9:$BD$3488)=B10),0),3),INDEX('Commodity Prices'!$BH$9:$BM$3487,MATCH(1,(('Commodity Prices'!$BH$9:$BH$3487)="Lithium")*(('Commodity Prices'!$BI$9:$BI$3487)=$B$6)*(('Commodity Prices'!$BK$9:$BK$3487)=B10),0),3)))</f>
        <v>China</v>
      </c>
      <c r="B10" s="998">
        <v>1</v>
      </c>
      <c r="C10" s="1784">
        <f t="array" ref="C10">IF($W$2="Mismatch Error","",IF($B$5=$X$1,INDEX('Commodity Prices'!$BA$9:$BF$3498,MATCH(1,(('Commodity Prices'!$BA$9:$BA$3488)="Lithium")*(('Commodity Prices'!$BB$9:$BB$3488)=$B$6)*(('Commodity Prices'!$BD$9:$BD$3488)=B10),0),5),INDEX('Commodity Prices'!$BH$9:$BM$3487,MATCH(1,(('Commodity Prices'!$BH$9:$BH$3487)="Lithium")*(('Commodity Prices'!$BI$9:$BI$3487)=$B$6)*(('Commodity Prices'!$BK$9:$BK$3487)=B10),0),5)))</f>
        <v>18171358116</v>
      </c>
      <c r="D10" s="999">
        <f t="array" ref="D10">IF($W$2="Mismatch Error","",C10/$C$16)</f>
        <v>0.98880799457497659</v>
      </c>
      <c r="W10" s="946"/>
      <c r="X10" s="946"/>
      <c r="Y10" s="1004" t="str">
        <f t="shared" si="0"/>
        <v/>
      </c>
      <c r="AA10" s="95"/>
      <c r="AB10" s="95"/>
      <c r="AC10" s="95"/>
      <c r="AD10" s="95"/>
      <c r="AE10" s="95"/>
      <c r="AF10" s="95"/>
      <c r="AG10" s="95"/>
      <c r="AH10" s="95"/>
      <c r="AI10" s="95"/>
      <c r="AJ10" s="95"/>
    </row>
    <row r="11" spans="1:36">
      <c r="A11" s="30" t="str">
        <f t="array" ref="A11">IF($W$2="Mismatch Error","",IF($B$5=$X$1,INDEX('Commodity Prices'!$BA$9:$BF$3498,MATCH(1,(('Commodity Prices'!$BA$9:$BA$3488)="Lithium")*(('Commodity Prices'!$BB$9:$BB$3488)=$B$6)*(('Commodity Prices'!$BD$9:$BD$3488)=B11),0),3),INDEX('Commodity Prices'!$BH$9:$BM$3487,MATCH(1,(('Commodity Prices'!$BH$9:$BH$3487)="Lithium")*(('Commodity Prices'!$BI$9:$BI$3487)=$B$6)*(('Commodity Prices'!$BK$9:$BK$3487)=B11),0),3)))</f>
        <v>Belgium</v>
      </c>
      <c r="B11" s="569">
        <v>2</v>
      </c>
      <c r="C11" s="1775">
        <f t="array" ref="C11">IF($W$2="Mismatch Error","",IF($B$5=$X$1,INDEX('Commodity Prices'!$BA$9:$BF$3498,MATCH(1,(('Commodity Prices'!$BA$9:$BA$3488)="Lithium")*(('Commodity Prices'!$BB$9:$BB$3488)=$B$6)*(('Commodity Prices'!$BD$9:$BD$3488)=B11),0),5),INDEX('Commodity Prices'!$BH$9:$BM$3487,MATCH(1,(('Commodity Prices'!$BH$9:$BH$3487)="Lithium")*(('Commodity Prices'!$BI$9:$BI$3487)=$B$6)*(('Commodity Prices'!$BK$9:$BK$3487)=B11),0),5)))</f>
        <v>130344082</v>
      </c>
      <c r="D11" s="570">
        <f t="array" ref="D11">IF($W$2="Mismatch Error","",C11/$C$16)</f>
        <v>7.0927703644589985E-3</v>
      </c>
      <c r="E11" s="405"/>
      <c r="W11" s="946"/>
      <c r="X11" s="946"/>
      <c r="Y11" s="1004" t="str">
        <f t="shared" si="0"/>
        <v/>
      </c>
      <c r="AA11" s="95"/>
      <c r="AB11" s="95"/>
      <c r="AC11" s="95"/>
      <c r="AD11" s="95"/>
      <c r="AE11" s="95"/>
      <c r="AF11" s="95"/>
      <c r="AG11" s="95"/>
      <c r="AH11" s="95"/>
      <c r="AI11" s="95"/>
      <c r="AJ11" s="95"/>
    </row>
    <row r="12" spans="1:36">
      <c r="A12" s="997" t="str">
        <f t="array" ref="A12">IF($W$2="Mismatch Error","",IF($B$5=$X$1,INDEX('Commodity Prices'!$BA$9:$BF$3498,MATCH(1,(('Commodity Prices'!$BA$9:$BA$3488)="Lithium")*(('Commodity Prices'!$BB$9:$BB$3488)=$B$6)*(('Commodity Prices'!$BD$9:$BD$3488)=B12),0),3),INDEX('Commodity Prices'!$BH$9:$BM$3487,MATCH(1,(('Commodity Prices'!$BH$9:$BH$3487)="Lithium")*(('Commodity Prices'!$BI$9:$BI$3487)=$B$6)*(('Commodity Prices'!$BK$9:$BK$3487)=B12),0),3)))</f>
        <v>Korea, Republic of (South)</v>
      </c>
      <c r="B12" s="998">
        <v>3</v>
      </c>
      <c r="C12" s="1784">
        <f t="array" ref="C12">IF($W$2="Mismatch Error","",IF($B$5=$X$1,INDEX('Commodity Prices'!$BA$9:$BF$3498,MATCH(1,(('Commodity Prices'!$BA$9:$BA$3488)="Lithium")*(('Commodity Prices'!$BB$9:$BB$3488)=$B$6)*(('Commodity Prices'!$BD$9:$BD$3488)=B12),0),5),INDEX('Commodity Prices'!$BH$9:$BM$3487,MATCH(1,(('Commodity Prices'!$BH$9:$BH$3487)="Lithium")*(('Commodity Prices'!$BI$9:$BI$3487)=$B$6)*(('Commodity Prices'!$BK$9:$BK$3487)=B12),0),5)))</f>
        <v>51562701</v>
      </c>
      <c r="D12" s="999">
        <f t="array" ref="D12">IF($W$2="Mismatch Error","",C12/$C$16)</f>
        <v>2.8058228034032288E-3</v>
      </c>
      <c r="E12" s="405"/>
      <c r="W12" s="946"/>
      <c r="X12" s="946"/>
      <c r="Y12" s="1004" t="str">
        <f t="shared" si="0"/>
        <v/>
      </c>
      <c r="AA12" s="95"/>
      <c r="AB12" s="95"/>
      <c r="AC12" s="95"/>
      <c r="AD12" s="95"/>
      <c r="AE12" s="95"/>
      <c r="AF12" s="95"/>
      <c r="AG12" s="95"/>
      <c r="AH12" s="95"/>
      <c r="AI12" s="95"/>
      <c r="AJ12" s="95"/>
    </row>
    <row r="13" spans="1:36">
      <c r="A13" s="30" t="str">
        <f t="array" ref="A13">IF($W$2="Mismatch Error","",IF($B$5=$X$1,INDEX('Commodity Prices'!$BA$9:$BF$3498,MATCH(1,(('Commodity Prices'!$BA$9:$BA$3488)="Lithium")*(('Commodity Prices'!$BB$9:$BB$3488)=$B$6)*(('Commodity Prices'!$BD$9:$BD$3488)=B13),0),3),INDEX('Commodity Prices'!$BH$9:$BM$3487,MATCH(1,(('Commodity Prices'!$BH$9:$BH$3487)="Lithium")*(('Commodity Prices'!$BI$9:$BI$3487)=$B$6)*(('Commodity Prices'!$BK$9:$BK$3487)=B13),0),3)))</f>
        <v>United States of America</v>
      </c>
      <c r="B13" s="569">
        <v>4</v>
      </c>
      <c r="C13" s="1775">
        <f t="array" ref="C13">IF($W$2="Mismatch Error","",IF($B$5=$X$1,INDEX('Commodity Prices'!$BA$9:$BF$3498,MATCH(1,(('Commodity Prices'!$BA$9:$BA$3488)="Lithium")*(('Commodity Prices'!$BB$9:$BB$3488)=$B$6)*(('Commodity Prices'!$BD$9:$BD$3488)=B13),0),5),INDEX('Commodity Prices'!$BH$9:$BM$3487,MATCH(1,(('Commodity Prices'!$BH$9:$BH$3487)="Lithium")*(('Commodity Prices'!$BI$9:$BI$3487)=$B$6)*(('Commodity Prices'!$BK$9:$BK$3487)=B13),0),5)))</f>
        <v>18325635</v>
      </c>
      <c r="D13" s="570">
        <f t="array" ref="D13">IF($W$2="Mismatch Error","",C13/$C$16)</f>
        <v>9.972030861968293E-4</v>
      </c>
      <c r="E13" s="405"/>
      <c r="Y13" s="1004" t="str">
        <f t="shared" si="0"/>
        <v/>
      </c>
      <c r="AA13" s="95"/>
      <c r="AB13" s="95"/>
      <c r="AC13" s="95"/>
      <c r="AD13" s="95"/>
      <c r="AE13" s="95"/>
      <c r="AF13" s="95"/>
      <c r="AG13" s="95"/>
      <c r="AH13" s="95"/>
      <c r="AI13" s="95"/>
      <c r="AJ13" s="95"/>
    </row>
    <row r="14" spans="1:36">
      <c r="A14" s="997" t="str">
        <f t="array" ref="A14">IF($W$2="Mismatch Error","",IF($B$5=$X$1,INDEX('Commodity Prices'!$BA$9:$BF$3498,MATCH(1,(('Commodity Prices'!$BA$9:$BA$3488)="Lithium")*(('Commodity Prices'!$BB$9:$BB$3488)=$B$6)*(('Commodity Prices'!$BD$9:$BD$3488)=B14),0),3),INDEX('Commodity Prices'!$BH$9:$BM$3487,MATCH(1,(('Commodity Prices'!$BH$9:$BH$3487)="Lithium")*(('Commodity Prices'!$BI$9:$BI$3487)=$B$6)*(('Commodity Prices'!$BK$9:$BK$3487)=B14),0),3)))</f>
        <v>Japan</v>
      </c>
      <c r="B14" s="998">
        <v>5</v>
      </c>
      <c r="C14" s="1784">
        <f t="array" ref="C14">IF($W$2="Mismatch Error","",IF($B$5=$X$1,INDEX('Commodity Prices'!$BA$9:$BF$3498,MATCH(1,(('Commodity Prices'!$BA$9:$BA$3488)="Lithium")*(('Commodity Prices'!$BB$9:$BB$3488)=$B$6)*(('Commodity Prices'!$BD$9:$BD$3488)=B14),0),5),INDEX('Commodity Prices'!$BH$9:$BM$3487,MATCH(1,(('Commodity Prices'!$BH$9:$BH$3487)="Lithium")*(('Commodity Prices'!$BI$9:$BI$3487)=$B$6)*(('Commodity Prices'!$BK$9:$BK$3487)=B14),0),5)))</f>
        <v>2708553</v>
      </c>
      <c r="D14" s="1632">
        <f t="array" ref="D14">IF($W$2="Mismatch Error","",C14/$C$16)</f>
        <v>1.4738793011689257E-4</v>
      </c>
      <c r="E14" s="405"/>
      <c r="S14" s="990"/>
      <c r="T14" s="991"/>
      <c r="U14" s="982"/>
      <c r="Y14" s="1004" t="str">
        <f t="shared" si="0"/>
        <v/>
      </c>
      <c r="AA14" s="95"/>
      <c r="AB14" s="95"/>
      <c r="AC14" s="95"/>
      <c r="AD14" s="95"/>
      <c r="AE14" s="95"/>
      <c r="AF14" s="95"/>
      <c r="AG14" s="95"/>
      <c r="AH14" s="95"/>
      <c r="AI14" s="95"/>
      <c r="AJ14" s="95"/>
    </row>
    <row r="15" spans="1:36">
      <c r="A15" s="30" t="str">
        <f>IF($W$2="Mismatch Error","","Other")</f>
        <v>Other</v>
      </c>
      <c r="B15" s="569"/>
      <c r="C15" s="1775">
        <f t="array" ref="C15">IF($W$2="Mismatch Error","",IF($B$5=$X$1,SUMIFS('Commodity Prices'!$BE$9:$BE$3488,'Commodity Prices'!$BA$9:$BA$3488,"Lithium",'Commodity Prices'!$BB$9:$BB$3488,$B$6,'Commodity Prices'!$BC$9:$BC$3488,"TOTAL")-SUM($C$10:$C$14),SUMIFS('Commodity Prices'!$BL$9:$BL$3487,'Commodity Prices'!$BH$9:$BH$3487,"Lithium",'Commodity Prices'!$BI$9:$BI$3487,$B$6,'Commodity Prices'!$BJ$9:$BJ$3487,"TOTAL")-SUM($C$10:$C$14)))</f>
        <v>2734893</v>
      </c>
      <c r="D15" s="1633">
        <f t="array" ref="D15">IF($W$2="Mismatch Error","",C15/$C$16)</f>
        <v>1.4882124084748523E-4</v>
      </c>
      <c r="S15" s="990"/>
      <c r="T15" s="991"/>
      <c r="U15" s="982"/>
      <c r="Y15" s="1004" t="str">
        <f t="shared" si="0"/>
        <v/>
      </c>
      <c r="AA15" s="95"/>
      <c r="AB15" s="95"/>
      <c r="AC15" s="95"/>
      <c r="AD15" s="95"/>
      <c r="AE15" s="95"/>
      <c r="AF15" s="95"/>
      <c r="AG15" s="95"/>
      <c r="AH15" s="95"/>
      <c r="AI15" s="95"/>
      <c r="AJ15" s="95"/>
    </row>
    <row r="16" spans="1:36" ht="15.75" thickBot="1">
      <c r="A16" s="1422" t="str">
        <f>IF($W$2="Mismatch Error","","Grand Total")</f>
        <v>Grand Total</v>
      </c>
      <c r="B16" s="1423"/>
      <c r="C16" s="1781">
        <f>IF($W$2="Mismatch Error","",IF($B$5=$X$1,SUMIFS('Commodity Prices'!$BE$9:$BE$3488,'Commodity Prices'!$BA$9:$BA$3488,"Lithium",'Commodity Prices'!$BB$9:$BB$3488,$B$6,'Commodity Prices'!$BC$9:$BC$3488,"TOTAL"),SUMIFS('Commodity Prices'!$BL$9:$BL$3487,'Commodity Prices'!$BH$9:$BH$3487,"Lithium",'Commodity Prices'!$BI$9:$BI$3487,$B$6,'Commodity Prices'!$BJ$9:$BJ$3487,"TOTAL")))</f>
        <v>18377033980</v>
      </c>
      <c r="D16" s="1424"/>
      <c r="S16" s="990"/>
      <c r="T16" s="991"/>
      <c r="U16" s="982"/>
      <c r="Y16" s="1004" t="str">
        <f t="shared" si="0"/>
        <v/>
      </c>
      <c r="AA16" s="95"/>
      <c r="AB16" s="95"/>
      <c r="AC16" s="95"/>
      <c r="AD16" s="95"/>
      <c r="AE16" s="95"/>
      <c r="AF16" s="95"/>
      <c r="AG16" s="95"/>
      <c r="AH16" s="95"/>
      <c r="AI16" s="95"/>
      <c r="AJ16" s="95"/>
    </row>
    <row r="17" spans="1:36">
      <c r="A17" s="382"/>
      <c r="B17" s="382"/>
      <c r="C17" s="382"/>
      <c r="D17" s="382"/>
      <c r="E17" s="382"/>
      <c r="F17" s="382"/>
      <c r="S17" s="990"/>
      <c r="T17" s="991"/>
      <c r="U17" s="982"/>
      <c r="V17" s="309"/>
      <c r="W17" s="309"/>
      <c r="X17" s="309"/>
      <c r="Y17" s="1004" t="str">
        <f t="shared" si="0"/>
        <v/>
      </c>
      <c r="Z17" s="309"/>
      <c r="AA17" s="981"/>
      <c r="AB17" s="95"/>
      <c r="AC17" s="95"/>
      <c r="AD17" s="95"/>
      <c r="AE17" s="95"/>
      <c r="AF17" s="95"/>
      <c r="AG17" s="95"/>
      <c r="AH17" s="95"/>
      <c r="AI17" s="95"/>
      <c r="AJ17" s="95"/>
    </row>
    <row r="18" spans="1:36">
      <c r="A18" s="1762" t="str">
        <f>IF(A10="Mismatch Error","You have selected an incompatible year or year type. Change one or the other to display data.","")</f>
        <v/>
      </c>
      <c r="B18" s="1762"/>
      <c r="C18" s="1762"/>
      <c r="D18" s="1762"/>
      <c r="E18" s="994"/>
      <c r="F18" s="382"/>
      <c r="S18" s="990"/>
      <c r="T18" s="991"/>
      <c r="U18" s="982"/>
      <c r="V18" s="309"/>
      <c r="W18" s="309"/>
      <c r="X18" s="309"/>
      <c r="Y18" s="1004" t="str">
        <f t="shared" si="0"/>
        <v/>
      </c>
      <c r="Z18" s="309"/>
      <c r="AA18" s="981"/>
      <c r="AB18" s="95"/>
      <c r="AC18" s="95"/>
      <c r="AD18" s="95"/>
      <c r="AE18" s="95"/>
      <c r="AF18" s="95"/>
      <c r="AG18" s="95"/>
      <c r="AH18" s="95"/>
      <c r="AI18" s="95"/>
      <c r="AJ18" s="95"/>
    </row>
    <row r="19" spans="1:36">
      <c r="A19" s="1762"/>
      <c r="B19" s="1762"/>
      <c r="C19" s="1762"/>
      <c r="D19" s="1762"/>
      <c r="E19" s="994"/>
      <c r="F19" s="382"/>
      <c r="S19" s="990"/>
      <c r="T19" s="991"/>
      <c r="U19" s="982"/>
      <c r="V19" s="309"/>
      <c r="W19" s="309"/>
      <c r="X19" s="309"/>
      <c r="Y19" s="1004" t="str">
        <f t="shared" si="0"/>
        <v/>
      </c>
      <c r="Z19" s="309"/>
      <c r="AA19" s="981"/>
      <c r="AB19" s="95"/>
      <c r="AC19" s="95"/>
      <c r="AD19" s="95"/>
      <c r="AE19" s="95"/>
      <c r="AF19" s="95"/>
      <c r="AG19" s="95"/>
      <c r="AH19" s="95"/>
      <c r="AI19" s="95"/>
      <c r="AJ19" s="95"/>
    </row>
    <row r="20" spans="1:36">
      <c r="A20" s="1762"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762"/>
      <c r="C20" s="1762"/>
      <c r="D20" s="1762"/>
      <c r="E20" s="994"/>
      <c r="F20" s="382"/>
      <c r="S20" s="990"/>
      <c r="T20" s="991"/>
      <c r="U20" s="982"/>
      <c r="V20" s="309"/>
      <c r="W20" s="309"/>
      <c r="X20" s="309"/>
      <c r="Y20" s="1004" t="str">
        <f t="shared" si="0"/>
        <v/>
      </c>
      <c r="Z20" s="309"/>
      <c r="AA20" s="981"/>
      <c r="AB20" s="95"/>
      <c r="AC20" s="95"/>
      <c r="AD20" s="95"/>
      <c r="AE20" s="95"/>
      <c r="AF20" s="95"/>
      <c r="AG20" s="95"/>
      <c r="AH20" s="95"/>
      <c r="AI20" s="95"/>
      <c r="AJ20" s="95"/>
    </row>
    <row r="21" spans="1:36">
      <c r="A21" s="1762"/>
      <c r="B21" s="1762"/>
      <c r="C21" s="1762"/>
      <c r="D21" s="1762"/>
      <c r="E21" s="994"/>
      <c r="F21" s="382"/>
      <c r="S21" s="990"/>
      <c r="T21" s="991"/>
      <c r="U21" s="982"/>
      <c r="V21" s="309"/>
      <c r="W21" s="309"/>
      <c r="X21" s="309"/>
      <c r="Y21" s="1004" t="str">
        <f t="shared" si="0"/>
        <v/>
      </c>
      <c r="Z21" s="309"/>
      <c r="AA21" s="981"/>
      <c r="AB21" s="95"/>
      <c r="AC21" s="95"/>
      <c r="AD21" s="95"/>
      <c r="AE21" s="95"/>
      <c r="AF21" s="95"/>
      <c r="AG21" s="95"/>
      <c r="AH21" s="95"/>
      <c r="AI21" s="95"/>
      <c r="AJ21" s="95"/>
    </row>
    <row r="22" spans="1:36">
      <c r="A22" s="1762"/>
      <c r="B22" s="1762"/>
      <c r="C22" s="1762"/>
      <c r="D22" s="1762"/>
      <c r="E22" s="994"/>
      <c r="F22" s="382"/>
      <c r="S22" s="990"/>
      <c r="T22" s="991"/>
      <c r="U22" s="982"/>
      <c r="V22" s="309"/>
      <c r="W22" s="309"/>
      <c r="X22" s="309"/>
      <c r="Y22" s="1004" t="str">
        <f t="shared" si="0"/>
        <v/>
      </c>
      <c r="Z22" s="309"/>
      <c r="AA22" s="981"/>
      <c r="AB22" s="95"/>
      <c r="AC22" s="95"/>
      <c r="AD22" s="95"/>
      <c r="AE22" s="95"/>
      <c r="AF22" s="95"/>
      <c r="AG22" s="95"/>
      <c r="AH22" s="95"/>
      <c r="AI22" s="95"/>
      <c r="AJ22" s="95"/>
    </row>
    <row r="23" spans="1:36">
      <c r="A23" s="1762"/>
      <c r="B23" s="1762"/>
      <c r="C23" s="1762"/>
      <c r="D23" s="1762"/>
      <c r="E23" s="994"/>
      <c r="F23" s="382"/>
      <c r="S23" s="990"/>
      <c r="T23" s="991"/>
      <c r="U23" s="982"/>
      <c r="V23" s="309"/>
      <c r="W23" s="309"/>
      <c r="X23" s="309"/>
      <c r="Y23" s="1004" t="str">
        <f t="shared" si="0"/>
        <v/>
      </c>
      <c r="Z23" s="309"/>
      <c r="AA23" s="981"/>
      <c r="AB23" s="95"/>
      <c r="AC23" s="95"/>
      <c r="AD23" s="95"/>
      <c r="AE23" s="95"/>
      <c r="AF23" s="95"/>
      <c r="AG23" s="95"/>
      <c r="AH23" s="95"/>
      <c r="AI23" s="95"/>
      <c r="AJ23" s="95"/>
    </row>
    <row r="24" spans="1:36">
      <c r="A24" s="994"/>
      <c r="B24" s="994"/>
      <c r="C24" s="994"/>
      <c r="D24" s="994"/>
      <c r="E24" s="994"/>
      <c r="F24" s="382"/>
      <c r="V24" s="309"/>
      <c r="W24" s="309"/>
      <c r="X24" s="309"/>
      <c r="Y24" s="1004" t="str">
        <f t="shared" si="0"/>
        <v/>
      </c>
      <c r="Z24" s="309"/>
      <c r="AA24" s="981"/>
      <c r="AB24" s="95"/>
      <c r="AC24" s="95"/>
      <c r="AD24" s="95"/>
      <c r="AE24" s="95"/>
      <c r="AF24" s="95"/>
      <c r="AG24" s="95"/>
      <c r="AH24" s="95"/>
      <c r="AI24" s="95"/>
      <c r="AJ24" s="95"/>
    </row>
    <row r="25" spans="1:36" ht="15" customHeight="1">
      <c r="A25" s="994"/>
      <c r="B25" s="994"/>
      <c r="C25" s="994"/>
      <c r="D25" s="994"/>
      <c r="E25" s="994"/>
      <c r="F25" s="382"/>
      <c r="V25" s="309"/>
      <c r="W25" s="309"/>
      <c r="X25" s="309"/>
      <c r="Y25" s="1004" t="str">
        <f t="shared" si="0"/>
        <v/>
      </c>
      <c r="Z25" s="309"/>
      <c r="AA25" s="981"/>
      <c r="AB25" s="95"/>
      <c r="AC25" s="95"/>
      <c r="AD25" s="95"/>
      <c r="AE25" s="95"/>
      <c r="AF25" s="95"/>
      <c r="AG25" s="95"/>
      <c r="AH25" s="95"/>
      <c r="AI25" s="95"/>
      <c r="AJ25" s="95"/>
    </row>
    <row r="26" spans="1:36">
      <c r="A26" s="994"/>
      <c r="B26" s="994"/>
      <c r="C26" s="994"/>
      <c r="D26" s="994"/>
      <c r="E26" s="994"/>
      <c r="F26" s="382"/>
      <c r="V26" s="309"/>
      <c r="W26" s="309"/>
      <c r="X26" s="309"/>
      <c r="Z26" s="309"/>
      <c r="AA26" s="309"/>
    </row>
    <row r="27" spans="1:36">
      <c r="A27" s="994"/>
      <c r="B27" s="994"/>
      <c r="C27" s="994"/>
      <c r="D27" s="994"/>
      <c r="E27" s="995"/>
      <c r="F27" s="382"/>
      <c r="V27" s="309"/>
      <c r="W27" s="309"/>
      <c r="X27" s="309"/>
      <c r="Z27" s="309"/>
      <c r="AA27" s="309"/>
    </row>
    <row r="28" spans="1:36">
      <c r="A28" s="994"/>
      <c r="B28" s="994"/>
      <c r="C28" s="994"/>
      <c r="D28" s="994"/>
      <c r="E28" s="995"/>
      <c r="F28" s="382"/>
      <c r="V28" s="309"/>
      <c r="W28" s="309"/>
      <c r="X28" s="309"/>
      <c r="Z28" s="309"/>
      <c r="AA28" s="309"/>
    </row>
    <row r="29" spans="1:36">
      <c r="A29" s="382"/>
      <c r="B29" s="382"/>
      <c r="C29" s="382"/>
      <c r="D29" s="382"/>
      <c r="E29" s="65"/>
      <c r="F29" s="382"/>
      <c r="V29" s="309"/>
      <c r="W29" s="309"/>
      <c r="X29" s="309"/>
      <c r="Z29" s="309"/>
      <c r="AA29" s="309"/>
    </row>
    <row r="30" spans="1:36">
      <c r="E30" s="317"/>
      <c r="V30" s="309"/>
      <c r="W30" s="309"/>
      <c r="X30" s="309"/>
      <c r="Z30" s="309"/>
      <c r="AA30" s="309"/>
    </row>
    <row r="31" spans="1:36">
      <c r="E31" s="317"/>
      <c r="V31" s="309"/>
      <c r="W31" s="309"/>
      <c r="X31" s="309"/>
      <c r="Z31" s="309"/>
      <c r="AA31" s="309"/>
    </row>
    <row r="32" spans="1:36">
      <c r="E32" s="317"/>
      <c r="M32" s="324"/>
      <c r="V32" s="309"/>
      <c r="W32" s="309"/>
      <c r="X32" s="309"/>
      <c r="Z32" s="309"/>
      <c r="AA32" s="309"/>
    </row>
    <row r="33" spans="5:27">
      <c r="E33" s="317"/>
      <c r="M33" s="324"/>
      <c r="V33" s="309"/>
      <c r="W33" s="309"/>
      <c r="X33" s="309"/>
      <c r="Z33" s="309"/>
      <c r="AA33" s="309"/>
    </row>
    <row r="34" spans="5:27">
      <c r="E34" s="317"/>
      <c r="M34" s="324"/>
      <c r="V34" s="309"/>
      <c r="W34" s="309"/>
      <c r="X34" s="309"/>
      <c r="Z34" s="309"/>
      <c r="AA34" s="309"/>
    </row>
    <row r="35" spans="5:27">
      <c r="E35" s="317"/>
      <c r="M35" s="324"/>
      <c r="V35" s="309"/>
      <c r="W35" s="309"/>
      <c r="X35" s="309"/>
      <c r="Z35" s="309"/>
      <c r="AA35" s="309"/>
    </row>
    <row r="36" spans="5:27">
      <c r="E36" s="317"/>
      <c r="M36" s="324"/>
      <c r="W36" s="294"/>
      <c r="X36" s="294"/>
    </row>
    <row r="37" spans="5:27">
      <c r="E37" s="317"/>
      <c r="M37" s="324"/>
      <c r="W37" s="294"/>
      <c r="X37" s="294"/>
    </row>
    <row r="38" spans="5:27">
      <c r="E38" s="317"/>
      <c r="M38" s="324"/>
      <c r="W38" s="294"/>
      <c r="X38" s="294"/>
    </row>
    <row r="39" spans="5:27">
      <c r="E39" s="317"/>
      <c r="M39" s="324"/>
    </row>
    <row r="40" spans="5:27">
      <c r="E40" s="317"/>
      <c r="M40" s="324"/>
    </row>
    <row r="41" spans="5:27">
      <c r="E41" s="317"/>
      <c r="M41" s="324"/>
    </row>
    <row r="42" spans="5:27">
      <c r="E42" s="317"/>
    </row>
    <row r="43" spans="5:27">
      <c r="E43" s="317"/>
    </row>
    <row r="44" spans="5:27">
      <c r="E44" s="317"/>
    </row>
    <row r="45" spans="5:27">
      <c r="E45" s="317"/>
    </row>
    <row r="46" spans="5:27">
      <c r="E46" s="317"/>
    </row>
    <row r="47" spans="5:27">
      <c r="E47" s="317"/>
    </row>
    <row r="48" spans="5:27">
      <c r="E48" s="317"/>
    </row>
    <row r="49" spans="5:5">
      <c r="E49" s="317"/>
    </row>
    <row r="50" spans="5:5">
      <c r="E50" s="317"/>
    </row>
    <row r="51" spans="5:5">
      <c r="E51" s="317"/>
    </row>
    <row r="52" spans="5:5">
      <c r="E52" s="317"/>
    </row>
    <row r="53" spans="5:5">
      <c r="E53" s="317"/>
    </row>
    <row r="54" spans="5:5">
      <c r="E54" s="317"/>
    </row>
    <row r="55" spans="5:5">
      <c r="E55" s="317"/>
    </row>
    <row r="56" spans="5:5">
      <c r="E56" s="317"/>
    </row>
    <row r="57" spans="5:5">
      <c r="E57" s="317"/>
    </row>
    <row r="58" spans="5:5">
      <c r="E58" s="317"/>
    </row>
    <row r="59" spans="5:5">
      <c r="E59" s="317"/>
    </row>
    <row r="62" spans="5:5">
      <c r="E62" s="317"/>
    </row>
    <row r="63" spans="5:5">
      <c r="E63" s="317"/>
    </row>
    <row r="64" spans="5:5">
      <c r="E64" s="317"/>
    </row>
    <row r="65" spans="5:5">
      <c r="E65" s="317"/>
    </row>
    <row r="66" spans="5:5">
      <c r="E66" s="317"/>
    </row>
    <row r="67" spans="5:5">
      <c r="E67" s="317"/>
    </row>
    <row r="68" spans="5:5">
      <c r="E68" s="317"/>
    </row>
    <row r="69" spans="5:5">
      <c r="E69" s="317"/>
    </row>
    <row r="70" spans="5:5">
      <c r="E70" s="317"/>
    </row>
    <row r="71" spans="5:5">
      <c r="E71" s="317"/>
    </row>
    <row r="72" spans="5:5">
      <c r="E72" s="317"/>
    </row>
    <row r="73" spans="5:5">
      <c r="E73" s="317"/>
    </row>
    <row r="74" spans="5:5">
      <c r="E74" s="317"/>
    </row>
    <row r="75" spans="5:5">
      <c r="E75" s="317"/>
    </row>
    <row r="76" spans="5:5">
      <c r="E76" s="317"/>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00000000-0002-0000-1D00-000000000000}"/>
    <dataValidation type="list" allowBlank="1" showInputMessage="1" showErrorMessage="1" promptTitle="Select a Display Factor:" prompt="Clicking here will bring up a message describing the selections you can make." sqref="B5:D5" xr:uid="{00000000-0002-0000-1D00-000001000000}">
      <formula1>$X$1:$X$2</formula1>
    </dataValidation>
    <dataValidation type="list" allowBlank="1" showInputMessage="1" showErrorMessage="1" promptTitle="Select a Display Factor:" prompt="Clicking here will bring up a message describing the selections you can make." sqref="B6:D6" xr:uid="{00000000-0002-0000-1D00-000002000000}">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7" tint="0.39997558519241921"/>
  </sheetPr>
  <dimension ref="A1:X71"/>
  <sheetViews>
    <sheetView showGridLines="0" workbookViewId="0"/>
  </sheetViews>
  <sheetFormatPr defaultColWidth="9.140625" defaultRowHeight="15"/>
  <cols>
    <col min="1" max="1" width="9.140625" style="69"/>
    <col min="2" max="2" width="21.42578125" style="69" customWidth="1"/>
    <col min="3" max="3" width="24.42578125" style="381" bestFit="1" customWidth="1"/>
    <col min="4" max="4" width="3.140625" style="69" customWidth="1"/>
    <col min="5" max="6" width="5" style="228" hidden="1" customWidth="1"/>
    <col min="7" max="7" width="9.7109375" style="69" bestFit="1" customWidth="1"/>
    <col min="8" max="8" width="21.5703125" style="69" customWidth="1"/>
    <col min="9" max="9" width="24.42578125" style="381" bestFit="1" customWidth="1"/>
    <col min="10" max="10" width="12" style="228" hidden="1" customWidth="1"/>
    <col min="11" max="11" width="12" style="69" hidden="1" customWidth="1"/>
    <col min="12" max="16384" width="9.140625" style="69"/>
  </cols>
  <sheetData>
    <row r="1" spans="1:24">
      <c r="I1" s="904"/>
      <c r="X1" s="237" t="s">
        <v>282</v>
      </c>
    </row>
    <row r="2" spans="1:24">
      <c r="J2" s="95"/>
      <c r="X2" s="237" t="s">
        <v>283</v>
      </c>
    </row>
    <row r="3" spans="1:24">
      <c r="K3" s="238"/>
    </row>
    <row r="4" spans="1:24" ht="20.25" customHeight="1"/>
    <row r="5" spans="1:24">
      <c r="A5" s="1948" t="s">
        <v>495</v>
      </c>
      <c r="B5" s="1948"/>
      <c r="C5" s="1948"/>
      <c r="D5" s="70"/>
      <c r="G5" s="1948" t="s">
        <v>620</v>
      </c>
      <c r="H5" s="1948"/>
      <c r="I5" s="1948"/>
    </row>
    <row r="6" spans="1:24" ht="15.75" thickBot="1">
      <c r="A6" s="1977" t="s">
        <v>410</v>
      </c>
      <c r="B6" s="1977"/>
      <c r="C6" s="1977"/>
      <c r="D6" s="70"/>
      <c r="E6" s="70"/>
      <c r="F6" s="70"/>
      <c r="G6" s="2004" t="str">
        <f>G49</f>
        <v>Historic Calendar Year</v>
      </c>
      <c r="H6" s="2004"/>
      <c r="I6" s="2004"/>
    </row>
    <row r="7" spans="1:24">
      <c r="A7" s="595"/>
      <c r="B7" s="902" t="s">
        <v>223</v>
      </c>
      <c r="C7" s="596" t="s">
        <v>589</v>
      </c>
      <c r="D7" s="70"/>
      <c r="E7" s="70"/>
      <c r="F7" s="70"/>
      <c r="G7" s="600"/>
      <c r="H7" s="902" t="s">
        <v>223</v>
      </c>
      <c r="I7" s="596" t="s">
        <v>589</v>
      </c>
    </row>
    <row r="8" spans="1:24">
      <c r="A8" s="1203" t="s">
        <v>401</v>
      </c>
      <c r="B8" s="1204" t="s">
        <v>406</v>
      </c>
      <c r="C8" s="1205" t="s">
        <v>406</v>
      </c>
      <c r="D8" s="70"/>
      <c r="E8" s="70"/>
      <c r="F8" s="70"/>
      <c r="G8" s="783" t="s">
        <v>34</v>
      </c>
      <c r="H8" s="1201" t="s">
        <v>406</v>
      </c>
      <c r="I8" s="1202" t="s">
        <v>406</v>
      </c>
    </row>
    <row r="9" spans="1:24">
      <c r="A9" s="1206">
        <f>LARGE('Commodity Prices'!C$159:C$902,61)</f>
        <v>43435</v>
      </c>
      <c r="B9" s="1622">
        <f>SUMIF('Commodity Prices'!C$109:C$902,A9,'Commodity Prices'!V$109:V$902)</f>
        <v>2122.5936593659367</v>
      </c>
      <c r="C9" s="1200">
        <f>SUMIF('Commodity Prices'!C$109:C$902,A9,'Commodity Prices'!X$109:X$902)</f>
        <v>3923.9433019649009</v>
      </c>
      <c r="D9" s="70"/>
      <c r="E9" s="70">
        <v>1986</v>
      </c>
      <c r="F9" s="70">
        <v>1987</v>
      </c>
      <c r="G9" s="1199">
        <f>IF($G$6="Historic Calendar Year",1986,CONCATENATE(E9,"-",RIGHT(F9,4)))</f>
        <v>1986</v>
      </c>
      <c r="H9" s="1207">
        <f t="array" ref="H9">IF($G$6="Historic Calendar Year",IFERROR(AVERAGE(IF($G9=YEAR('Commodity Prices'!$C$9:$C$1000),'Commodity Prices'!$V$9:$V$1000)),"NA"),IFERROR(IF(J9=0,"NA",J9),"NA"))</f>
        <v>178.33333333333334</v>
      </c>
      <c r="I9" s="1208"/>
      <c r="J9" s="228">
        <f>(SUMIFS('Commodity Prices'!$V$9:$V$2500,'Commodity Prices'!$A$9:$A$2500,'Mineral Sands - Prices'!E9,'Commodity Prices'!$B$9:$B$2500,3)+
SUMIFS('Commodity Prices'!$V$9:$V$2500,'Commodity Prices'!$A$9:$A$2500,'Mineral Sands - Prices'!E9,'Commodity Prices'!$B$9:$B$2500,4)+
SUMIFS('Commodity Prices'!$V$9:$V$2500,'Commodity Prices'!$A$9:$A$2500,'Mineral Sands - Prices'!F9,'Commodity Prices'!$B$9:$B$2500,1)+
SUMIFS('Commodity Prices'!$V$9:$V$2500,'Commodity Prices'!$A$9:$A$2500,'Mineral Sands - Prices'!F9,'Commodity Prices'!$B$9:$B$2500,2))
/(COUNTIFS('Commodity Prices'!$A$9:$A$2500,'Mineral Sands - Prices'!E9,'Commodity Prices'!$B$9:$B$2500,3)+
COUNTIFS('Commodity Prices'!$A$9:$A$2500,'Mineral Sands - Prices'!E9,'Commodity Prices'!$B$9:$B$2500,4)+
COUNTIFS('Commodity Prices'!$A$9:$A$2500,'Mineral Sands - Prices'!F9,'Commodity Prices'!$B$9:$B$2500,1)+
COUNTIFS('Commodity Prices'!$A$9:$A$2500,'Mineral Sands - Prices'!F9,'Commodity Prices'!$B$9:$B$2500,2))</f>
        <v>215</v>
      </c>
    </row>
    <row r="10" spans="1:24">
      <c r="A10" s="428">
        <f>LARGE('Commodity Prices'!C$159:C$902,60)</f>
        <v>43466</v>
      </c>
      <c r="B10" s="903">
        <f>SUMIF('Commodity Prices'!C$109:C$902,A10,'Commodity Prices'!V$109:V$902)</f>
        <v>2178.5865060240963</v>
      </c>
      <c r="C10" s="593">
        <f>SUMIF('Commodity Prices'!C$109:C$902,A10,'Commodity Prices'!X$109:X$902)</f>
        <v>3869.1255074483197</v>
      </c>
      <c r="D10" s="70"/>
      <c r="E10" s="70">
        <f>E9+1</f>
        <v>1987</v>
      </c>
      <c r="F10" s="70">
        <f>F9+1</f>
        <v>1988</v>
      </c>
      <c r="G10" s="598">
        <f>IF($G$6="Historic Calendar Year",G9+1,CONCATENATE(E10,"-",RIGHT(F10,4)))</f>
        <v>1987</v>
      </c>
      <c r="H10" s="524">
        <f t="array" ref="H10">IF($G$6="Historic Calendar Year",IFERROR(AVERAGE(IF($G10=YEAR('Commodity Prices'!$C$9:$C$1000),'Commodity Prices'!$V$9:$V$1000)),"NA"),IFERROR(IF(J10=0,"NA",J10),"NA"))</f>
        <v>270</v>
      </c>
      <c r="I10" s="489"/>
      <c r="J10" s="228">
        <f>(SUMIFS('Commodity Prices'!$V$9:$V$2500,'Commodity Prices'!$A$9:$A$2500,'Mineral Sands - Prices'!E10,'Commodity Prices'!$B$9:$B$2500,3)+
SUMIFS('Commodity Prices'!$V$9:$V$2500,'Commodity Prices'!$A$9:$A$2500,'Mineral Sands - Prices'!E10,'Commodity Prices'!$B$9:$B$2500,4)+
SUMIFS('Commodity Prices'!$V$9:$V$2500,'Commodity Prices'!$A$9:$A$2500,'Mineral Sands - Prices'!F10,'Commodity Prices'!$B$9:$B$2500,1)+
SUMIFS('Commodity Prices'!$V$9:$V$2500,'Commodity Prices'!$A$9:$A$2500,'Mineral Sands - Prices'!F10,'Commodity Prices'!$B$9:$B$2500,2))
/(COUNTIFS('Commodity Prices'!$A$9:$A$2500,'Mineral Sands - Prices'!E10,'Commodity Prices'!$B$9:$B$2500,3)+
COUNTIFS('Commodity Prices'!$A$9:$A$2500,'Mineral Sands - Prices'!E10,'Commodity Prices'!$B$9:$B$2500,4)+
COUNTIFS('Commodity Prices'!$A$9:$A$2500,'Mineral Sands - Prices'!F10,'Commodity Prices'!$B$9:$B$2500,1)+
COUNTIFS('Commodity Prices'!$A$9:$A$2500,'Mineral Sands - Prices'!F10,'Commodity Prices'!$B$9:$B$2500,2))</f>
        <v>287.5</v>
      </c>
      <c r="K10" s="381"/>
    </row>
    <row r="11" spans="1:24">
      <c r="A11" s="427">
        <f>LARGE('Commodity Prices'!C$159:C$902,59)</f>
        <v>43497</v>
      </c>
      <c r="B11" s="524">
        <f>SUMIF('Commodity Prices'!C$109:C$902,A11,'Commodity Prices'!V$109:V$902)</f>
        <v>2152.1483010479519</v>
      </c>
      <c r="C11" s="489">
        <f>SUMIF('Commodity Prices'!C$109:C$902,A11,'Commodity Prices'!X$109:X$902)</f>
        <v>3797.5507103074233</v>
      </c>
      <c r="D11" s="70"/>
      <c r="E11" s="70">
        <f t="shared" ref="E11:F46" si="0">E10+1</f>
        <v>1988</v>
      </c>
      <c r="F11" s="70">
        <f t="shared" si="0"/>
        <v>1989</v>
      </c>
      <c r="G11" s="599">
        <f t="shared" ref="G11:G44" si="1">IF($G$6="Historic Calendar Year",G10+1,CONCATENATE(E11,"-",RIGHT(F11,4)))</f>
        <v>1988</v>
      </c>
      <c r="H11" s="903">
        <f t="array" ref="H11">IF($G$6="Historic Calendar Year",IFERROR(AVERAGE(IF($G11=YEAR('Commodity Prices'!$C$9:$C$1000),'Commodity Prices'!$V$9:$V$1000)),"NA"),IFERROR(IF(J11=0,"NA",J11),"NA"))</f>
        <v>310</v>
      </c>
      <c r="I11" s="593">
        <f t="array" ref="I11">IF($G$6="Historic Calendar Year",IFERROR(AVERAGE(IF($G11=YEAR('Commodity Prices'!$C$9:$C$1000),'Commodity Prices'!$X$9:$X$1000)),"N/A"),IFERROR(IF(K11=0,"N/A",K11),"N/A"))</f>
        <v>2492.4925642170329</v>
      </c>
      <c r="J11" s="228">
        <f>(SUMIFS('Commodity Prices'!$V$9:$V$2500,'Commodity Prices'!$A$9:$A$2500,'Mineral Sands - Prices'!E11,'Commodity Prices'!$B$9:$B$2500,3)+
SUMIFS('Commodity Prices'!$V$9:$V$2500,'Commodity Prices'!$A$9:$A$2500,'Mineral Sands - Prices'!E11,'Commodity Prices'!$B$9:$B$2500,4)+
SUMIFS('Commodity Prices'!$V$9:$V$2500,'Commodity Prices'!$A$9:$A$2500,'Mineral Sands - Prices'!F11,'Commodity Prices'!$B$9:$B$2500,1)+
SUMIFS('Commodity Prices'!$V$9:$V$2500,'Commodity Prices'!$A$9:$A$2500,'Mineral Sands - Prices'!F11,'Commodity Prices'!$B$9:$B$2500,2))
/(COUNTIFS('Commodity Prices'!$A$9:$A$2500,'Mineral Sands - Prices'!E11,'Commodity Prices'!$B$9:$B$2500,3)+
COUNTIFS('Commodity Prices'!$A$9:$A$2500,'Mineral Sands - Prices'!E11,'Commodity Prices'!$B$9:$B$2500,4)+
COUNTIFS('Commodity Prices'!$A$9:$A$2500,'Mineral Sands - Prices'!F11,'Commodity Prices'!$B$9:$B$2500,1)+
COUNTIFS('Commodity Prices'!$A$9:$A$2500,'Mineral Sands - Prices'!F11,'Commodity Prices'!$B$9:$B$2500,2))</f>
        <v>410</v>
      </c>
      <c r="K11" s="381">
        <f>(SUMIFS('Commodity Prices'!$X$9:$X$2500,'Commodity Prices'!$A$9:$A$2500,'Mineral Sands - Prices'!E11,'Commodity Prices'!$B$9:$B$2500,3)+
SUMIFS('Commodity Prices'!$X$9:$X$2500,'Commodity Prices'!$A$9:$A$2500,'Mineral Sands - Prices'!E11,'Commodity Prices'!$B$9:$B$2500,4)+
SUMIFS('Commodity Prices'!$X$9:$X$2500,'Commodity Prices'!$A$9:$A$2500,'Mineral Sands - Prices'!F11,'Commodity Prices'!$B$9:$B$2500,1)+
SUMIFS('Commodity Prices'!$X$9:$X$2500,'Commodity Prices'!$A$9:$A$2500,'Mineral Sands - Prices'!F11,'Commodity Prices'!$B$9:$B$2500,2))
/(COUNTIFS('Commodity Prices'!$A$9:$A$2500,'Mineral Sands - Prices'!E11,'Commodity Prices'!$B$9:$B$2500,3)+
COUNTIFS('Commodity Prices'!$A$9:$A$2500,'Mineral Sands - Prices'!E11,'Commodity Prices'!$B$9:$B$2500,4)+
COUNTIFS('Commodity Prices'!$A$9:$A$2500,'Mineral Sands - Prices'!F11,'Commodity Prices'!$B$9:$B$2500,1)+
COUNTIFS('Commodity Prices'!$A$9:$A$2500,'Mineral Sands - Prices'!F11,'Commodity Prices'!$B$9:$B$2500,2))</f>
        <v>2590.2992069403367</v>
      </c>
    </row>
    <row r="12" spans="1:24">
      <c r="A12" s="428">
        <f>LARGE('Commodity Prices'!C$159:C$902,58)</f>
        <v>43525</v>
      </c>
      <c r="B12" s="903">
        <f>SUMIF('Commodity Prices'!C$109:C$902,A12,'Commodity Prices'!V$109:V$902)</f>
        <v>2208.0118771726534</v>
      </c>
      <c r="C12" s="593">
        <f>SUMIF('Commodity Prices'!C$109:C$902,A12,'Commodity Prices'!X$109:X$902)</f>
        <v>3825.3170842980858</v>
      </c>
      <c r="D12" s="70"/>
      <c r="E12" s="70">
        <f t="shared" si="0"/>
        <v>1989</v>
      </c>
      <c r="F12" s="70">
        <f t="shared" si="0"/>
        <v>1990</v>
      </c>
      <c r="G12" s="598">
        <f t="shared" si="1"/>
        <v>1989</v>
      </c>
      <c r="H12" s="524">
        <f t="array" ref="H12">IF($G$6="Historic Calendar Year",IFERROR(AVERAGE(IF($G12=YEAR('Commodity Prices'!$C$9:$C$1000),'Commodity Prices'!$V$9:$V$1000)),"NA"),IFERROR(IF(J12=0,"NA",J12),"NA"))</f>
        <v>515</v>
      </c>
      <c r="I12" s="489">
        <f t="array" ref="I12">IF($G$6="Historic Calendar Year",IFERROR(AVERAGE(IF($G12=YEAR('Commodity Prices'!$C$9:$C$1000),'Commodity Prices'!$X$9:$X$1000)),"N/A"),IFERROR(IF(K12=0,"N/A",K12),"N/A"))</f>
        <v>2850.6078738058472</v>
      </c>
      <c r="J12" s="228">
        <f>(SUMIFS('Commodity Prices'!$V$9:$V$2500,'Commodity Prices'!$A$9:$A$2500,'Mineral Sands - Prices'!E12,'Commodity Prices'!$B$9:$B$2500,3)+
SUMIFS('Commodity Prices'!$V$9:$V$2500,'Commodity Prices'!$A$9:$A$2500,'Mineral Sands - Prices'!E12,'Commodity Prices'!$B$9:$B$2500,4)+
SUMIFS('Commodity Prices'!$V$9:$V$2500,'Commodity Prices'!$A$9:$A$2500,'Mineral Sands - Prices'!F12,'Commodity Prices'!$B$9:$B$2500,1)+
SUMIFS('Commodity Prices'!$V$9:$V$2500,'Commodity Prices'!$A$9:$A$2500,'Mineral Sands - Prices'!F12,'Commodity Prices'!$B$9:$B$2500,2))
/(COUNTIFS('Commodity Prices'!$A$9:$A$2500,'Mineral Sands - Prices'!E12,'Commodity Prices'!$B$9:$B$2500,3)+
COUNTIFS('Commodity Prices'!$A$9:$A$2500,'Mineral Sands - Prices'!E12,'Commodity Prices'!$B$9:$B$2500,4)+
COUNTIFS('Commodity Prices'!$A$9:$A$2500,'Mineral Sands - Prices'!F12,'Commodity Prices'!$B$9:$B$2500,1)+
COUNTIFS('Commodity Prices'!$A$9:$A$2500,'Mineral Sands - Prices'!F12,'Commodity Prices'!$B$9:$B$2500,2))</f>
        <v>568.33333333333337</v>
      </c>
      <c r="K12" s="381">
        <f>(SUMIFS('Commodity Prices'!$X$9:$X$2500,'Commodity Prices'!$A$9:$A$2500,'Mineral Sands - Prices'!E12,'Commodity Prices'!$B$9:$B$2500,3)+
SUMIFS('Commodity Prices'!$X$9:$X$2500,'Commodity Prices'!$A$9:$A$2500,'Mineral Sands - Prices'!E12,'Commodity Prices'!$B$9:$B$2500,4)+
SUMIFS('Commodity Prices'!$X$9:$X$2500,'Commodity Prices'!$A$9:$A$2500,'Mineral Sands - Prices'!F12,'Commodity Prices'!$B$9:$B$2500,1)+
SUMIFS('Commodity Prices'!$X$9:$X$2500,'Commodity Prices'!$A$9:$A$2500,'Mineral Sands - Prices'!F12,'Commodity Prices'!$B$9:$B$2500,2))
/(COUNTIFS('Commodity Prices'!$A$9:$A$2500,'Mineral Sands - Prices'!E12,'Commodity Prices'!$B$9:$B$2500,3)+
COUNTIFS('Commodity Prices'!$A$9:$A$2500,'Mineral Sands - Prices'!E12,'Commodity Prices'!$B$9:$B$2500,4)+
COUNTIFS('Commodity Prices'!$A$9:$A$2500,'Mineral Sands - Prices'!F12,'Commodity Prices'!$B$9:$B$2500,1)+
COUNTIFS('Commodity Prices'!$A$9:$A$2500,'Mineral Sands - Prices'!F12,'Commodity Prices'!$B$9:$B$2500,2))</f>
        <v>2968.9487602839145</v>
      </c>
    </row>
    <row r="13" spans="1:24">
      <c r="A13" s="427">
        <f>LARGE('Commodity Prices'!C$159:C$902,57)</f>
        <v>43556</v>
      </c>
      <c r="B13" s="524">
        <f>SUMIF('Commodity Prices'!C$109:C$902,A13,'Commodity Prices'!V$109:V$902)</f>
        <v>2167.5458242101972</v>
      </c>
      <c r="C13" s="489">
        <f>SUMIF('Commodity Prices'!C$109:C$902,A13,'Commodity Prices'!X$109:X$902)</f>
        <v>3872.2849636724181</v>
      </c>
      <c r="D13" s="70"/>
      <c r="E13" s="70">
        <f t="shared" si="0"/>
        <v>1990</v>
      </c>
      <c r="F13" s="70">
        <f t="shared" si="0"/>
        <v>1991</v>
      </c>
      <c r="G13" s="599">
        <f t="shared" si="1"/>
        <v>1990</v>
      </c>
      <c r="H13" s="903">
        <f t="array" ref="H13">IF($G$6="Historic Calendar Year",IFERROR(AVERAGE(IF($G13=YEAR('Commodity Prices'!$C$9:$C$1000),'Commodity Prices'!$V$9:$V$1000)),"NA"),IFERROR(IF(J13=0,"NA",J13),"NA"))</f>
        <v>574.33333333333337</v>
      </c>
      <c r="I13" s="593">
        <f t="array" ref="I13">IF($G$6="Historic Calendar Year",IFERROR(AVERAGE(IF($G13=YEAR('Commodity Prices'!$C$9:$C$1000),'Commodity Prices'!$X$9:$X$1000)),"N/A"),IFERROR(IF(K13=0,"N/A",K13),"N/A"))</f>
        <v>2738.6097485615096</v>
      </c>
      <c r="J13" s="228">
        <f>(SUMIFS('Commodity Prices'!$V$9:$V$2500,'Commodity Prices'!$A$9:$A$2500,'Mineral Sands - Prices'!E13,'Commodity Prices'!$B$9:$B$2500,3)+
SUMIFS('Commodity Prices'!$V$9:$V$2500,'Commodity Prices'!$A$9:$A$2500,'Mineral Sands - Prices'!E13,'Commodity Prices'!$B$9:$B$2500,4)+
SUMIFS('Commodity Prices'!$V$9:$V$2500,'Commodity Prices'!$A$9:$A$2500,'Mineral Sands - Prices'!F13,'Commodity Prices'!$B$9:$B$2500,1)+
SUMIFS('Commodity Prices'!$V$9:$V$2500,'Commodity Prices'!$A$9:$A$2500,'Mineral Sands - Prices'!F13,'Commodity Prices'!$B$9:$B$2500,2))
/(COUNTIFS('Commodity Prices'!$A$9:$A$2500,'Mineral Sands - Prices'!E13,'Commodity Prices'!$B$9:$B$2500,3)+
COUNTIFS('Commodity Prices'!$A$9:$A$2500,'Mineral Sands - Prices'!E13,'Commodity Prices'!$B$9:$B$2500,4)+
COUNTIFS('Commodity Prices'!$A$9:$A$2500,'Mineral Sands - Prices'!F13,'Commodity Prices'!$B$9:$B$2500,1)+
COUNTIFS('Commodity Prices'!$A$9:$A$2500,'Mineral Sands - Prices'!F13,'Commodity Prices'!$B$9:$B$2500,2))</f>
        <v>510.25</v>
      </c>
      <c r="K13" s="381">
        <f>(SUMIFS('Commodity Prices'!$X$9:$X$2500,'Commodity Prices'!$A$9:$A$2500,'Mineral Sands - Prices'!E13,'Commodity Prices'!$B$9:$B$2500,3)+
SUMIFS('Commodity Prices'!$X$9:$X$2500,'Commodity Prices'!$A$9:$A$2500,'Mineral Sands - Prices'!E13,'Commodity Prices'!$B$9:$B$2500,4)+
SUMIFS('Commodity Prices'!$X$9:$X$2500,'Commodity Prices'!$A$9:$A$2500,'Mineral Sands - Prices'!F13,'Commodity Prices'!$B$9:$B$2500,1)+
SUMIFS('Commodity Prices'!$X$9:$X$2500,'Commodity Prices'!$A$9:$A$2500,'Mineral Sands - Prices'!F13,'Commodity Prices'!$B$9:$B$2500,2))
/(COUNTIFS('Commodity Prices'!$A$9:$A$2500,'Mineral Sands - Prices'!E13,'Commodity Prices'!$B$9:$B$2500,3)+
COUNTIFS('Commodity Prices'!$A$9:$A$2500,'Mineral Sands - Prices'!E13,'Commodity Prices'!$B$9:$B$2500,4)+
COUNTIFS('Commodity Prices'!$A$9:$A$2500,'Mineral Sands - Prices'!F13,'Commodity Prices'!$B$9:$B$2500,1)+
COUNTIFS('Commodity Prices'!$A$9:$A$2500,'Mineral Sands - Prices'!F13,'Commodity Prices'!$B$9:$B$2500,2))</f>
        <v>2393.4499976221373</v>
      </c>
    </row>
    <row r="14" spans="1:24">
      <c r="A14" s="428">
        <f>LARGE('Commodity Prices'!C$159:C$902,56)</f>
        <v>43586</v>
      </c>
      <c r="B14" s="903">
        <f>SUMIF('Commodity Prices'!C$109:C$902,A14,'Commodity Prices'!V$109:V$902)</f>
        <v>2225.5955696202532</v>
      </c>
      <c r="C14" s="593">
        <f>SUMIF('Commodity Prices'!C$109:C$902,A14,'Commodity Prices'!X$109:X$902)</f>
        <v>3980.9162964372517</v>
      </c>
      <c r="D14" s="70"/>
      <c r="E14" s="70">
        <f t="shared" si="0"/>
        <v>1991</v>
      </c>
      <c r="F14" s="70">
        <f t="shared" si="0"/>
        <v>1992</v>
      </c>
      <c r="G14" s="598">
        <f t="shared" si="1"/>
        <v>1991</v>
      </c>
      <c r="H14" s="524">
        <f t="array" ref="H14">IF($G$6="Historic Calendar Year",IFERROR(AVERAGE(IF($G14=YEAR('Commodity Prices'!$C$9:$C$1000),'Commodity Prices'!$V$9:$V$1000)),"NA"),IFERROR(IF(J14=0,"NA",J14),"NA"))</f>
        <v>400.75</v>
      </c>
      <c r="I14" s="489">
        <f t="array" ref="I14">IF($G$6="Historic Calendar Year",IFERROR(AVERAGE(IF($G14=YEAR('Commodity Prices'!$C$9:$C$1000),'Commodity Prices'!$X$9:$X$1000)),"N/A"),IFERROR(IF(K14=0,"N/A",K14),"N/A"))</f>
        <v>2150.6365933211728</v>
      </c>
      <c r="J14" s="228">
        <f>(SUMIFS('Commodity Prices'!$V$9:$V$2500,'Commodity Prices'!$A$9:$A$2500,'Mineral Sands - Prices'!E14,'Commodity Prices'!$B$9:$B$2500,3)+
SUMIFS('Commodity Prices'!$V$9:$V$2500,'Commodity Prices'!$A$9:$A$2500,'Mineral Sands - Prices'!E14,'Commodity Prices'!$B$9:$B$2500,4)+
SUMIFS('Commodity Prices'!$V$9:$V$2500,'Commodity Prices'!$A$9:$A$2500,'Mineral Sands - Prices'!F14,'Commodity Prices'!$B$9:$B$2500,1)+
SUMIFS('Commodity Prices'!$V$9:$V$2500,'Commodity Prices'!$A$9:$A$2500,'Mineral Sands - Prices'!F14,'Commodity Prices'!$B$9:$B$2500,2))
/(COUNTIFS('Commodity Prices'!$A$9:$A$2500,'Mineral Sands - Prices'!E14,'Commodity Prices'!$B$9:$B$2500,3)+
COUNTIFS('Commodity Prices'!$A$9:$A$2500,'Mineral Sands - Prices'!E14,'Commodity Prices'!$B$9:$B$2500,4)+
COUNTIFS('Commodity Prices'!$A$9:$A$2500,'Mineral Sands - Prices'!F14,'Commodity Prices'!$B$9:$B$2500,1)+
COUNTIFS('Commodity Prices'!$A$9:$A$2500,'Mineral Sands - Prices'!F14,'Commodity Prices'!$B$9:$B$2500,2))</f>
        <v>292</v>
      </c>
      <c r="K14" s="381">
        <f>(SUMIFS('Commodity Prices'!$X$9:$X$2500,'Commodity Prices'!$A$9:$A$2500,'Mineral Sands - Prices'!E14,'Commodity Prices'!$B$9:$B$2500,3)+
SUMIFS('Commodity Prices'!$X$9:$X$2500,'Commodity Prices'!$A$9:$A$2500,'Mineral Sands - Prices'!E14,'Commodity Prices'!$B$9:$B$2500,4)+
SUMIFS('Commodity Prices'!$X$9:$X$2500,'Commodity Prices'!$A$9:$A$2500,'Mineral Sands - Prices'!F14,'Commodity Prices'!$B$9:$B$2500,1)+
SUMIFS('Commodity Prices'!$X$9:$X$2500,'Commodity Prices'!$A$9:$A$2500,'Mineral Sands - Prices'!F14,'Commodity Prices'!$B$9:$B$2500,2))
/(COUNTIFS('Commodity Prices'!$A$9:$A$2500,'Mineral Sands - Prices'!E14,'Commodity Prices'!$B$9:$B$2500,3)+
COUNTIFS('Commodity Prices'!$A$9:$A$2500,'Mineral Sands - Prices'!E14,'Commodity Prices'!$B$9:$B$2500,4)+
COUNTIFS('Commodity Prices'!$A$9:$A$2500,'Mineral Sands - Prices'!F14,'Commodity Prices'!$B$9:$B$2500,1)+
COUNTIFS('Commodity Prices'!$A$9:$A$2500,'Mineral Sands - Prices'!F14,'Commodity Prices'!$B$9:$B$2500,2))</f>
        <v>2118.0479771251762</v>
      </c>
    </row>
    <row r="15" spans="1:24">
      <c r="A15" s="427">
        <f>LARGE('Commodity Prices'!C$159:C$902,56)</f>
        <v>43586</v>
      </c>
      <c r="B15" s="524">
        <f>SUMIF('Commodity Prices'!C$109:C$902,A15,'Commodity Prices'!V$109:V$902)</f>
        <v>2225.5955696202532</v>
      </c>
      <c r="C15" s="489">
        <f>SUMIF('Commodity Prices'!C$109:C$902,A15,'Commodity Prices'!X$109:X$902)</f>
        <v>3980.9162964372517</v>
      </c>
      <c r="D15" s="70"/>
      <c r="E15" s="70">
        <f t="shared" si="0"/>
        <v>1992</v>
      </c>
      <c r="F15" s="70">
        <f t="shared" si="0"/>
        <v>1993</v>
      </c>
      <c r="G15" s="599">
        <f t="shared" si="1"/>
        <v>1992</v>
      </c>
      <c r="H15" s="903">
        <f t="array" ref="H15">IF($G$6="Historic Calendar Year",IFERROR(AVERAGE(IF($G15=YEAR('Commodity Prices'!$C$9:$C$1000),'Commodity Prices'!$V$9:$V$1000)),"NA"),IFERROR(IF(J15=0,"NA",J15),"NA"))</f>
        <v>216.75</v>
      </c>
      <c r="I15" s="593">
        <f t="array" ref="I15">IF($G$6="Historic Calendar Year",IFERROR(AVERAGE(IF($G15=YEAR('Commodity Prices'!$C$9:$C$1000),'Commodity Prices'!$X$9:$X$1000)),"N/A"),IFERROR(IF(K15=0,"N/A",K15),"N/A"))</f>
        <v>2206.6992972721691</v>
      </c>
      <c r="J15" s="228">
        <f>(SUMIFS('Commodity Prices'!$V$9:$V$2500,'Commodity Prices'!$A$9:$A$2500,'Mineral Sands - Prices'!E15,'Commodity Prices'!$B$9:$B$2500,3)+
SUMIFS('Commodity Prices'!$V$9:$V$2500,'Commodity Prices'!$A$9:$A$2500,'Mineral Sands - Prices'!E15,'Commodity Prices'!$B$9:$B$2500,4)+
SUMIFS('Commodity Prices'!$V$9:$V$2500,'Commodity Prices'!$A$9:$A$2500,'Mineral Sands - Prices'!F15,'Commodity Prices'!$B$9:$B$2500,1)+
SUMIFS('Commodity Prices'!$V$9:$V$2500,'Commodity Prices'!$A$9:$A$2500,'Mineral Sands - Prices'!F15,'Commodity Prices'!$B$9:$B$2500,2))
/(COUNTIFS('Commodity Prices'!$A$9:$A$2500,'Mineral Sands - Prices'!E15,'Commodity Prices'!$B$9:$B$2500,3)+
COUNTIFS('Commodity Prices'!$A$9:$A$2500,'Mineral Sands - Prices'!E15,'Commodity Prices'!$B$9:$B$2500,4)+
COUNTIFS('Commodity Prices'!$A$9:$A$2500,'Mineral Sands - Prices'!F15,'Commodity Prices'!$B$9:$B$2500,1)+
COUNTIFS('Commodity Prices'!$A$9:$A$2500,'Mineral Sands - Prices'!F15,'Commodity Prices'!$B$9:$B$2500,2))</f>
        <v>181.75</v>
      </c>
      <c r="K15" s="381">
        <f>(SUMIFS('Commodity Prices'!$X$9:$X$2500,'Commodity Prices'!$A$9:$A$2500,'Mineral Sands - Prices'!E15,'Commodity Prices'!$B$9:$B$2500,3)+
SUMIFS('Commodity Prices'!$X$9:$X$2500,'Commodity Prices'!$A$9:$A$2500,'Mineral Sands - Prices'!E15,'Commodity Prices'!$B$9:$B$2500,4)+
SUMIFS('Commodity Prices'!$X$9:$X$2500,'Commodity Prices'!$A$9:$A$2500,'Mineral Sands - Prices'!F15,'Commodity Prices'!$B$9:$B$2500,1)+
SUMIFS('Commodity Prices'!$X$9:$X$2500,'Commodity Prices'!$A$9:$A$2500,'Mineral Sands - Prices'!F15,'Commodity Prices'!$B$9:$B$2500,2))
/(COUNTIFS('Commodity Prices'!$A$9:$A$2500,'Mineral Sands - Prices'!E15,'Commodity Prices'!$B$9:$B$2500,3)+
COUNTIFS('Commodity Prices'!$A$9:$A$2500,'Mineral Sands - Prices'!E15,'Commodity Prices'!$B$9:$B$2500,4)+
COUNTIFS('Commodity Prices'!$A$9:$A$2500,'Mineral Sands - Prices'!F15,'Commodity Prices'!$B$9:$B$2500,1)+
COUNTIFS('Commodity Prices'!$A$9:$A$2500,'Mineral Sands - Prices'!F15,'Commodity Prices'!$B$9:$B$2500,2))</f>
        <v>2242.1244266201338</v>
      </c>
    </row>
    <row r="16" spans="1:24">
      <c r="A16" s="428">
        <f>LARGE('Commodity Prices'!C$159:C$902,54)</f>
        <v>43647</v>
      </c>
      <c r="B16" s="903">
        <f>SUMIF('Commodity Prices'!C$109:C$902,A16,'Commodity Prices'!V$109:V$902)</f>
        <v>2213.7237550471064</v>
      </c>
      <c r="C16" s="593">
        <f>SUMIF('Commodity Prices'!C$109:C$902,A16,'Commodity Prices'!X$109:X$902)</f>
        <v>3819.6943832462939</v>
      </c>
      <c r="D16" s="70"/>
      <c r="E16" s="70">
        <f t="shared" si="0"/>
        <v>1993</v>
      </c>
      <c r="F16" s="70">
        <f t="shared" si="0"/>
        <v>1994</v>
      </c>
      <c r="G16" s="598">
        <f t="shared" si="1"/>
        <v>1993</v>
      </c>
      <c r="H16" s="524">
        <f t="array" ref="H16">IF($G$6="Historic Calendar Year",IFERROR(AVERAGE(IF($G16=YEAR('Commodity Prices'!$C$9:$C$1000),'Commodity Prices'!$V$9:$V$1000)),"NA"),IFERROR(IF(J16=0,"NA",J16),"NA"))</f>
        <v>169.25</v>
      </c>
      <c r="I16" s="489">
        <f t="array" ref="I16">IF($G$6="Historic Calendar Year",IFERROR(AVERAGE(IF($G16=YEAR('Commodity Prices'!$C$9:$C$1000),'Commodity Prices'!$X$9:$X$1000)),"N/A"),IFERROR(IF(K16=0,"N/A",K16),"N/A"))</f>
        <v>2259.4688852220715</v>
      </c>
      <c r="J16" s="228">
        <f>(SUMIFS('Commodity Prices'!$V$9:$V$2500,'Commodity Prices'!$A$9:$A$2500,'Mineral Sands - Prices'!E16,'Commodity Prices'!$B$9:$B$2500,3)+
SUMIFS('Commodity Prices'!$V$9:$V$2500,'Commodity Prices'!$A$9:$A$2500,'Mineral Sands - Prices'!E16,'Commodity Prices'!$B$9:$B$2500,4)+
SUMIFS('Commodity Prices'!$V$9:$V$2500,'Commodity Prices'!$A$9:$A$2500,'Mineral Sands - Prices'!F16,'Commodity Prices'!$B$9:$B$2500,1)+
SUMIFS('Commodity Prices'!$V$9:$V$2500,'Commodity Prices'!$A$9:$A$2500,'Mineral Sands - Prices'!F16,'Commodity Prices'!$B$9:$B$2500,2))
/(COUNTIFS('Commodity Prices'!$A$9:$A$2500,'Mineral Sands - Prices'!E16,'Commodity Prices'!$B$9:$B$2500,3)+
COUNTIFS('Commodity Prices'!$A$9:$A$2500,'Mineral Sands - Prices'!E16,'Commodity Prices'!$B$9:$B$2500,4)+
COUNTIFS('Commodity Prices'!$A$9:$A$2500,'Mineral Sands - Prices'!F16,'Commodity Prices'!$B$9:$B$2500,1)+
COUNTIFS('Commodity Prices'!$A$9:$A$2500,'Mineral Sands - Prices'!F16,'Commodity Prices'!$B$9:$B$2500,2))</f>
        <v>192.25</v>
      </c>
      <c r="K16" s="381">
        <f>(SUMIFS('Commodity Prices'!$X$9:$X$2500,'Commodity Prices'!$A$9:$A$2500,'Mineral Sands - Prices'!E16,'Commodity Prices'!$B$9:$B$2500,3)+
SUMIFS('Commodity Prices'!$X$9:$X$2500,'Commodity Prices'!$A$9:$A$2500,'Mineral Sands - Prices'!E16,'Commodity Prices'!$B$9:$B$2500,4)+
SUMIFS('Commodity Prices'!$X$9:$X$2500,'Commodity Prices'!$A$9:$A$2500,'Mineral Sands - Prices'!F16,'Commodity Prices'!$B$9:$B$2500,1)+
SUMIFS('Commodity Prices'!$X$9:$X$2500,'Commodity Prices'!$A$9:$A$2500,'Mineral Sands - Prices'!F16,'Commodity Prices'!$B$9:$B$2500,2))
/(COUNTIFS('Commodity Prices'!$A$9:$A$2500,'Mineral Sands - Prices'!E16,'Commodity Prices'!$B$9:$B$2500,3)+
COUNTIFS('Commodity Prices'!$A$9:$A$2500,'Mineral Sands - Prices'!E16,'Commodity Prices'!$B$9:$B$2500,4)+
COUNTIFS('Commodity Prices'!$A$9:$A$2500,'Mineral Sands - Prices'!F16,'Commodity Prices'!$B$9:$B$2500,1)+
COUNTIFS('Commodity Prices'!$A$9:$A$2500,'Mineral Sands - Prices'!F16,'Commodity Prices'!$B$9:$B$2500,2))</f>
        <v>2397.0213150117547</v>
      </c>
    </row>
    <row r="17" spans="1:11">
      <c r="A17" s="427">
        <f>LARGE('Commodity Prices'!C$159:C$902,53)</f>
        <v>43678</v>
      </c>
      <c r="B17" s="524">
        <f>SUMIF('Commodity Prices'!C$109:C$902,A17,'Commodity Prices'!V$109:V$902)</f>
        <v>2252.8276311502118</v>
      </c>
      <c r="C17" s="489">
        <f>SUMIF('Commodity Prices'!C$109:C$902,A17,'Commodity Prices'!X$109:X$902)</f>
        <v>4013.006570770619</v>
      </c>
      <c r="D17" s="70"/>
      <c r="E17" s="70">
        <f t="shared" si="0"/>
        <v>1994</v>
      </c>
      <c r="F17" s="70">
        <f t="shared" si="0"/>
        <v>1995</v>
      </c>
      <c r="G17" s="599">
        <f t="shared" si="1"/>
        <v>1994</v>
      </c>
      <c r="H17" s="903">
        <f t="array" ref="H17">IF($G$6="Historic Calendar Year",IFERROR(AVERAGE(IF($G17=YEAR('Commodity Prices'!$C$9:$C$1000),'Commodity Prices'!$V$9:$V$1000)),"NA"),IFERROR(IF(J17=0,"NA",J17),"NA"))</f>
        <v>234.5</v>
      </c>
      <c r="I17" s="593">
        <f t="array" ref="I17">IF($G$6="Historic Calendar Year",IFERROR(AVERAGE(IF($G17=YEAR('Commodity Prices'!$C$9:$C$1000),'Commodity Prices'!$X$9:$X$1000)),"N/A"),IFERROR(IF(K17=0,"N/A",K17),"N/A"))</f>
        <v>2615</v>
      </c>
      <c r="J17" s="228">
        <f>(SUMIFS('Commodity Prices'!$V$9:$V$2500,'Commodity Prices'!$A$9:$A$2500,'Mineral Sands - Prices'!E17,'Commodity Prices'!$B$9:$B$2500,3)+
SUMIFS('Commodity Prices'!$V$9:$V$2500,'Commodity Prices'!$A$9:$A$2500,'Mineral Sands - Prices'!E17,'Commodity Prices'!$B$9:$B$2500,4)+
SUMIFS('Commodity Prices'!$V$9:$V$2500,'Commodity Prices'!$A$9:$A$2500,'Mineral Sands - Prices'!F17,'Commodity Prices'!$B$9:$B$2500,1)+
SUMIFS('Commodity Prices'!$V$9:$V$2500,'Commodity Prices'!$A$9:$A$2500,'Mineral Sands - Prices'!F17,'Commodity Prices'!$B$9:$B$2500,2))
/(COUNTIFS('Commodity Prices'!$A$9:$A$2500,'Mineral Sands - Prices'!E17,'Commodity Prices'!$B$9:$B$2500,3)+
COUNTIFS('Commodity Prices'!$A$9:$A$2500,'Mineral Sands - Prices'!E17,'Commodity Prices'!$B$9:$B$2500,4)+
COUNTIFS('Commodity Prices'!$A$9:$A$2500,'Mineral Sands - Prices'!F17,'Commodity Prices'!$B$9:$B$2500,1)+
COUNTIFS('Commodity Prices'!$A$9:$A$2500,'Mineral Sands - Prices'!F17,'Commodity Prices'!$B$9:$B$2500,2))</f>
        <v>277.5</v>
      </c>
      <c r="K17" s="381">
        <f>(SUMIFS('Commodity Prices'!$X$9:$X$2500,'Commodity Prices'!$A$9:$A$2500,'Mineral Sands - Prices'!E17,'Commodity Prices'!$B$9:$B$2500,3)+
SUMIFS('Commodity Prices'!$X$9:$X$2500,'Commodity Prices'!$A$9:$A$2500,'Mineral Sands - Prices'!E17,'Commodity Prices'!$B$9:$B$2500,4)+
SUMIFS('Commodity Prices'!$X$9:$X$2500,'Commodity Prices'!$A$9:$A$2500,'Mineral Sands - Prices'!F17,'Commodity Prices'!$B$9:$B$2500,1)+
SUMIFS('Commodity Prices'!$X$9:$X$2500,'Commodity Prices'!$A$9:$A$2500,'Mineral Sands - Prices'!F17,'Commodity Prices'!$B$9:$B$2500,2))
/(COUNTIFS('Commodity Prices'!$A$9:$A$2500,'Mineral Sands - Prices'!E17,'Commodity Prices'!$B$9:$B$2500,3)+
COUNTIFS('Commodity Prices'!$A$9:$A$2500,'Mineral Sands - Prices'!E17,'Commodity Prices'!$B$9:$B$2500,4)+
COUNTIFS('Commodity Prices'!$A$9:$A$2500,'Mineral Sands - Prices'!F17,'Commodity Prices'!$B$9:$B$2500,1)+
COUNTIFS('Commodity Prices'!$A$9:$A$2500,'Mineral Sands - Prices'!F17,'Commodity Prices'!$B$9:$B$2500,2))</f>
        <v>2661</v>
      </c>
    </row>
    <row r="18" spans="1:11">
      <c r="A18" s="428">
        <f>LARGE('Commodity Prices'!C$159:C$902,52)</f>
        <v>43709</v>
      </c>
      <c r="B18" s="903">
        <f>SUMIF('Commodity Prices'!C$109:C$902,A18,'Commodity Prices'!V$109:V$902)</f>
        <v>2222.9214598540148</v>
      </c>
      <c r="C18" s="593">
        <f>SUMIF('Commodity Prices'!C$109:C$902,A18,'Commodity Prices'!X$109:X$902)</f>
        <v>4070.9555652028612</v>
      </c>
      <c r="D18" s="70"/>
      <c r="E18" s="70">
        <f t="shared" si="0"/>
        <v>1995</v>
      </c>
      <c r="F18" s="70">
        <f t="shared" si="0"/>
        <v>1996</v>
      </c>
      <c r="G18" s="598">
        <f t="shared" si="1"/>
        <v>1995</v>
      </c>
      <c r="H18" s="524">
        <f t="array" ref="H18">IF($G$6="Historic Calendar Year",IFERROR(AVERAGE(IF($G18=YEAR('Commodity Prices'!$C$9:$C$1000),'Commodity Prices'!$V$9:$V$1000)),"NA"),IFERROR(IF(J18=0,"NA",J18),"NA"))</f>
        <v>352.25</v>
      </c>
      <c r="I18" s="489">
        <f t="array" ref="I18">IF($G$6="Historic Calendar Year",IFERROR(AVERAGE(IF($G18=YEAR('Commodity Prices'!$C$9:$C$1000),'Commodity Prices'!$X$9:$X$1000)),"N/A"),IFERROR(IF(K18=0,"N/A",K18),"N/A"))</f>
        <v>2659.25</v>
      </c>
      <c r="J18" s="228">
        <f>(SUMIFS('Commodity Prices'!$V$9:$V$2500,'Commodity Prices'!$A$9:$A$2500,'Mineral Sands - Prices'!E18,'Commodity Prices'!$B$9:$B$2500,3)+
SUMIFS('Commodity Prices'!$V$9:$V$2500,'Commodity Prices'!$A$9:$A$2500,'Mineral Sands - Prices'!E18,'Commodity Prices'!$B$9:$B$2500,4)+
SUMIFS('Commodity Prices'!$V$9:$V$2500,'Commodity Prices'!$A$9:$A$2500,'Mineral Sands - Prices'!F18,'Commodity Prices'!$B$9:$B$2500,1)+
SUMIFS('Commodity Prices'!$V$9:$V$2500,'Commodity Prices'!$A$9:$A$2500,'Mineral Sands - Prices'!F18,'Commodity Prices'!$B$9:$B$2500,2))
/(COUNTIFS('Commodity Prices'!$A$9:$A$2500,'Mineral Sands - Prices'!E18,'Commodity Prices'!$B$9:$B$2500,3)+
COUNTIFS('Commodity Prices'!$A$9:$A$2500,'Mineral Sands - Prices'!E18,'Commodity Prices'!$B$9:$B$2500,4)+
COUNTIFS('Commodity Prices'!$A$9:$A$2500,'Mineral Sands - Prices'!F18,'Commodity Prices'!$B$9:$B$2500,1)+
COUNTIFS('Commodity Prices'!$A$9:$A$2500,'Mineral Sands - Prices'!F18,'Commodity Prices'!$B$9:$B$2500,2))</f>
        <v>477.75</v>
      </c>
      <c r="K18" s="381">
        <f>(SUMIFS('Commodity Prices'!$X$9:$X$2500,'Commodity Prices'!$A$9:$A$2500,'Mineral Sands - Prices'!E18,'Commodity Prices'!$B$9:$B$2500,3)+
SUMIFS('Commodity Prices'!$X$9:$X$2500,'Commodity Prices'!$A$9:$A$2500,'Mineral Sands - Prices'!E18,'Commodity Prices'!$B$9:$B$2500,4)+
SUMIFS('Commodity Prices'!$X$9:$X$2500,'Commodity Prices'!$A$9:$A$2500,'Mineral Sands - Prices'!F18,'Commodity Prices'!$B$9:$B$2500,1)+
SUMIFS('Commodity Prices'!$X$9:$X$2500,'Commodity Prices'!$A$9:$A$2500,'Mineral Sands - Prices'!F18,'Commodity Prices'!$B$9:$B$2500,2))
/(COUNTIFS('Commodity Prices'!$A$9:$A$2500,'Mineral Sands - Prices'!E18,'Commodity Prices'!$B$9:$B$2500,3)+
COUNTIFS('Commodity Prices'!$A$9:$A$2500,'Mineral Sands - Prices'!E18,'Commodity Prices'!$B$9:$B$2500,4)+
COUNTIFS('Commodity Prices'!$A$9:$A$2500,'Mineral Sands - Prices'!F18,'Commodity Prices'!$B$9:$B$2500,1)+
COUNTIFS('Commodity Prices'!$A$9:$A$2500,'Mineral Sands - Prices'!F18,'Commodity Prices'!$B$9:$B$2500,2))</f>
        <v>2573.25</v>
      </c>
    </row>
    <row r="19" spans="1:11">
      <c r="A19" s="427">
        <f>LARGE('Commodity Prices'!C$159:C$902,51)</f>
        <v>43739</v>
      </c>
      <c r="B19" s="524">
        <f>SUMIF('Commodity Prices'!C$109:C$902,A19,'Commodity Prices'!V$109:V$902)</f>
        <v>2167.8608354771532</v>
      </c>
      <c r="C19" s="489">
        <f>SUMIF('Commodity Prices'!C$109:C$902,A19,'Commodity Prices'!X$109:X$902)</f>
        <v>4132.8768979748247</v>
      </c>
      <c r="D19" s="70"/>
      <c r="E19" s="70">
        <f>E18+1</f>
        <v>1996</v>
      </c>
      <c r="F19" s="70">
        <f>F18+1</f>
        <v>1997</v>
      </c>
      <c r="G19" s="599">
        <f t="shared" si="1"/>
        <v>1996</v>
      </c>
      <c r="H19" s="903">
        <f t="array" ref="H19">IF($G$6="Historic Calendar Year",IFERROR(AVERAGE(IF($G19=YEAR('Commodity Prices'!$C$9:$C$1000),'Commodity Prices'!$V$9:$V$1000)),"NA"),IFERROR(IF(J19=0,"NA",J19),"NA"))</f>
        <v>564.5</v>
      </c>
      <c r="I19" s="593">
        <f t="array" ref="I19">IF($G$6="Historic Calendar Year",IFERROR(AVERAGE(IF($G19=YEAR('Commodity Prices'!$C$9:$C$1000),'Commodity Prices'!$X$9:$X$1000)),"N/A"),IFERROR(IF(K19=0,"N/A",K19),"N/A"))</f>
        <v>2227.25</v>
      </c>
      <c r="J19" s="228">
        <f>(SUMIFS('Commodity Prices'!$V$9:$V$2500,'Commodity Prices'!$A$9:$A$2500,'Mineral Sands - Prices'!E19,'Commodity Prices'!$B$9:$B$2500,3)+
SUMIFS('Commodity Prices'!$V$9:$V$2500,'Commodity Prices'!$A$9:$A$2500,'Mineral Sands - Prices'!E19,'Commodity Prices'!$B$9:$B$2500,4)+
SUMIFS('Commodity Prices'!$V$9:$V$2500,'Commodity Prices'!$A$9:$A$2500,'Mineral Sands - Prices'!F19,'Commodity Prices'!$B$9:$B$2500,1)+
SUMIFS('Commodity Prices'!$V$9:$V$2500,'Commodity Prices'!$A$9:$A$2500,'Mineral Sands - Prices'!F19,'Commodity Prices'!$B$9:$B$2500,2))
/(COUNTIFS('Commodity Prices'!$A$9:$A$2500,'Mineral Sands - Prices'!E19,'Commodity Prices'!$B$9:$B$2500,3)+
COUNTIFS('Commodity Prices'!$A$9:$A$2500,'Mineral Sands - Prices'!E19,'Commodity Prices'!$B$9:$B$2500,4)+
COUNTIFS('Commodity Prices'!$A$9:$A$2500,'Mineral Sands - Prices'!F19,'Commodity Prices'!$B$9:$B$2500,1)+
COUNTIFS('Commodity Prices'!$A$9:$A$2500,'Mineral Sands - Prices'!F19,'Commodity Prices'!$B$9:$B$2500,2))</f>
        <v>581.5</v>
      </c>
      <c r="K19" s="381">
        <f>(SUMIFS('Commodity Prices'!$X$9:$X$2500,'Commodity Prices'!$A$9:$A$2500,'Mineral Sands - Prices'!E19,'Commodity Prices'!$B$9:$B$2500,3)+
SUMIFS('Commodity Prices'!$X$9:$X$2500,'Commodity Prices'!$A$9:$A$2500,'Mineral Sands - Prices'!E19,'Commodity Prices'!$B$9:$B$2500,4)+
SUMIFS('Commodity Prices'!$X$9:$X$2500,'Commodity Prices'!$A$9:$A$2500,'Mineral Sands - Prices'!F19,'Commodity Prices'!$B$9:$B$2500,1)+
SUMIFS('Commodity Prices'!$X$9:$X$2500,'Commodity Prices'!$A$9:$A$2500,'Mineral Sands - Prices'!F19,'Commodity Prices'!$B$9:$B$2500,2))
/(COUNTIFS('Commodity Prices'!$A$9:$A$2500,'Mineral Sands - Prices'!E19,'Commodity Prices'!$B$9:$B$2500,3)+
COUNTIFS('Commodity Prices'!$A$9:$A$2500,'Mineral Sands - Prices'!E19,'Commodity Prices'!$B$9:$B$2500,4)+
COUNTIFS('Commodity Prices'!$A$9:$A$2500,'Mineral Sands - Prices'!F19,'Commodity Prices'!$B$9:$B$2500,1)+
COUNTIFS('Commodity Prices'!$A$9:$A$2500,'Mineral Sands - Prices'!F19,'Commodity Prices'!$B$9:$B$2500,2))</f>
        <v>1971.25</v>
      </c>
    </row>
    <row r="20" spans="1:11">
      <c r="A20" s="428">
        <f>LARGE('Commodity Prices'!C$159:C$902,50)</f>
        <v>43770</v>
      </c>
      <c r="B20" s="903">
        <f>SUMIF('Commodity Prices'!C$109:C$902,A20,'Commodity Prices'!V$109:V$902)</f>
        <v>1918.4700971204634</v>
      </c>
      <c r="C20" s="593">
        <f>SUMIF('Commodity Prices'!C$109:C$902,A20,'Commodity Prices'!X$109:X$902)</f>
        <v>3989.9454691906735</v>
      </c>
      <c r="D20" s="70"/>
      <c r="E20" s="70">
        <f t="shared" si="0"/>
        <v>1997</v>
      </c>
      <c r="F20" s="70">
        <f t="shared" si="0"/>
        <v>1998</v>
      </c>
      <c r="G20" s="598">
        <f t="shared" si="1"/>
        <v>1997</v>
      </c>
      <c r="H20" s="524">
        <f t="array" ref="H20">IF($G$6="Historic Calendar Year",IFERROR(AVERAGE(IF($G20=YEAR('Commodity Prices'!$C$9:$C$1000),'Commodity Prices'!$V$9:$V$1000)),"NA"),IFERROR(IF(J20=0,"NA",J20),"NA"))</f>
        <v>574</v>
      </c>
      <c r="I20" s="489">
        <f t="array" ref="I20">IF($G$6="Historic Calendar Year",IFERROR(AVERAGE(IF($G20=YEAR('Commodity Prices'!$C$9:$C$1000),'Commodity Prices'!$X$9:$X$1000)),"N/A"),IFERROR(IF(K20=0,"N/A",K20),"N/A"))</f>
        <v>2128</v>
      </c>
      <c r="J20" s="228">
        <f>(SUMIFS('Commodity Prices'!$V$9:$V$2500,'Commodity Prices'!$A$9:$A$2500,'Mineral Sands - Prices'!E20,'Commodity Prices'!$B$9:$B$2500,3)+
SUMIFS('Commodity Prices'!$V$9:$V$2500,'Commodity Prices'!$A$9:$A$2500,'Mineral Sands - Prices'!E20,'Commodity Prices'!$B$9:$B$2500,4)+
SUMIFS('Commodity Prices'!$V$9:$V$2500,'Commodity Prices'!$A$9:$A$2500,'Mineral Sands - Prices'!F20,'Commodity Prices'!$B$9:$B$2500,1)+
SUMIFS('Commodity Prices'!$V$9:$V$2500,'Commodity Prices'!$A$9:$A$2500,'Mineral Sands - Prices'!F20,'Commodity Prices'!$B$9:$B$2500,2))
/(COUNTIFS('Commodity Prices'!$A$9:$A$2500,'Mineral Sands - Prices'!E20,'Commodity Prices'!$B$9:$B$2500,3)+
COUNTIFS('Commodity Prices'!$A$9:$A$2500,'Mineral Sands - Prices'!E20,'Commodity Prices'!$B$9:$B$2500,4)+
COUNTIFS('Commodity Prices'!$A$9:$A$2500,'Mineral Sands - Prices'!F20,'Commodity Prices'!$B$9:$B$2500,1)+
COUNTIFS('Commodity Prices'!$A$9:$A$2500,'Mineral Sands - Prices'!F20,'Commodity Prices'!$B$9:$B$2500,2))</f>
        <v>559.83666835261636</v>
      </c>
      <c r="K20" s="381">
        <f>(SUMIFS('Commodity Prices'!$X$9:$X$2500,'Commodity Prices'!$A$9:$A$2500,'Mineral Sands - Prices'!E20,'Commodity Prices'!$B$9:$B$2500,3)+
SUMIFS('Commodity Prices'!$X$9:$X$2500,'Commodity Prices'!$A$9:$A$2500,'Mineral Sands - Prices'!E20,'Commodity Prices'!$B$9:$B$2500,4)+
SUMIFS('Commodity Prices'!$X$9:$X$2500,'Commodity Prices'!$A$9:$A$2500,'Mineral Sands - Prices'!F20,'Commodity Prices'!$B$9:$B$2500,1)+
SUMIFS('Commodity Prices'!$X$9:$X$2500,'Commodity Prices'!$A$9:$A$2500,'Mineral Sands - Prices'!F20,'Commodity Prices'!$B$9:$B$2500,2))
/(COUNTIFS('Commodity Prices'!$A$9:$A$2500,'Mineral Sands - Prices'!E20,'Commodity Prices'!$B$9:$B$2500,3)+
COUNTIFS('Commodity Prices'!$A$9:$A$2500,'Mineral Sands - Prices'!E20,'Commodity Prices'!$B$9:$B$2500,4)+
COUNTIFS('Commodity Prices'!$A$9:$A$2500,'Mineral Sands - Prices'!F20,'Commodity Prices'!$B$9:$B$2500,1)+
COUNTIFS('Commodity Prices'!$A$9:$A$2500,'Mineral Sands - Prices'!F20,'Commodity Prices'!$B$9:$B$2500,2))</f>
        <v>2553.1802872474746</v>
      </c>
    </row>
    <row r="21" spans="1:11">
      <c r="A21" s="427">
        <f>LARGE('Commodity Prices'!C$159:C$902,49)</f>
        <v>43800</v>
      </c>
      <c r="B21" s="524">
        <f>SUMIF('Commodity Prices'!C$109:C$902,A21,'Commodity Prices'!V$109:V$902)</f>
        <v>2125.1036752396894</v>
      </c>
      <c r="C21" s="489">
        <f>SUMIF('Commodity Prices'!C$109:C$902,A21,'Commodity Prices'!X$109:X$902)</f>
        <v>4033.0959694185149</v>
      </c>
      <c r="D21" s="70"/>
      <c r="E21" s="70">
        <f t="shared" si="0"/>
        <v>1998</v>
      </c>
      <c r="F21" s="70">
        <f t="shared" si="0"/>
        <v>1999</v>
      </c>
      <c r="G21" s="599">
        <f t="shared" si="1"/>
        <v>1998</v>
      </c>
      <c r="H21" s="903">
        <f t="array" ref="H21">IF($G$6="Historic Calendar Year",IFERROR(AVERAGE(IF($G21=YEAR('Commodity Prices'!$C$9:$C$1000),'Commodity Prices'!$V$9:$V$1000)),"NA"),IFERROR(IF(J21=0,"NA",J21),"NA"))</f>
        <v>555.69899169483199</v>
      </c>
      <c r="I21" s="593">
        <f t="array" ref="I21">IF($G$6="Historic Calendar Year",IFERROR(AVERAGE(IF($G21=YEAR('Commodity Prices'!$C$9:$C$1000),'Commodity Prices'!$X$9:$X$1000)),"N/A"),IFERROR(IF(K21=0,"N/A",K21),"N/A"))</f>
        <v>2885.0833676110919</v>
      </c>
      <c r="J21" s="228">
        <f>(SUMIFS('Commodity Prices'!$V$9:$V$2500,'Commodity Prices'!$A$9:$A$2500,'Mineral Sands - Prices'!E21,'Commodity Prices'!$B$9:$B$2500,3)+
SUMIFS('Commodity Prices'!$V$9:$V$2500,'Commodity Prices'!$A$9:$A$2500,'Mineral Sands - Prices'!E21,'Commodity Prices'!$B$9:$B$2500,4)+
SUMIFS('Commodity Prices'!$V$9:$V$2500,'Commodity Prices'!$A$9:$A$2500,'Mineral Sands - Prices'!F21,'Commodity Prices'!$B$9:$B$2500,1)+
SUMIFS('Commodity Prices'!$V$9:$V$2500,'Commodity Prices'!$A$9:$A$2500,'Mineral Sands - Prices'!F21,'Commodity Prices'!$B$9:$B$2500,2))
/(COUNTIFS('Commodity Prices'!$A$9:$A$2500,'Mineral Sands - Prices'!E21,'Commodity Prices'!$B$9:$B$2500,3)+
COUNTIFS('Commodity Prices'!$A$9:$A$2500,'Mineral Sands - Prices'!E21,'Commodity Prices'!$B$9:$B$2500,4)+
COUNTIFS('Commodity Prices'!$A$9:$A$2500,'Mineral Sands - Prices'!F21,'Commodity Prices'!$B$9:$B$2500,1)+
COUNTIFS('Commodity Prices'!$A$9:$A$2500,'Mineral Sands - Prices'!F21,'Commodity Prices'!$B$9:$B$2500,2))</f>
        <v>516.58662277796691</v>
      </c>
      <c r="K21" s="381">
        <f>(SUMIFS('Commodity Prices'!$X$9:$X$2500,'Commodity Prices'!$A$9:$A$2500,'Mineral Sands - Prices'!E21,'Commodity Prices'!$B$9:$B$2500,3)+
SUMIFS('Commodity Prices'!$X$9:$X$2500,'Commodity Prices'!$A$9:$A$2500,'Mineral Sands - Prices'!E21,'Commodity Prices'!$B$9:$B$2500,4)+
SUMIFS('Commodity Prices'!$X$9:$X$2500,'Commodity Prices'!$A$9:$A$2500,'Mineral Sands - Prices'!F21,'Commodity Prices'!$B$9:$B$2500,1)+
SUMIFS('Commodity Prices'!$X$9:$X$2500,'Commodity Prices'!$A$9:$A$2500,'Mineral Sands - Prices'!F21,'Commodity Prices'!$B$9:$B$2500,2))
/(COUNTIFS('Commodity Prices'!$A$9:$A$2500,'Mineral Sands - Prices'!E21,'Commodity Prices'!$B$9:$B$2500,3)+
COUNTIFS('Commodity Prices'!$A$9:$A$2500,'Mineral Sands - Prices'!E21,'Commodity Prices'!$B$9:$B$2500,4)+
COUNTIFS('Commodity Prices'!$A$9:$A$2500,'Mineral Sands - Prices'!F21,'Commodity Prices'!$B$9:$B$2500,1)+
COUNTIFS('Commodity Prices'!$A$9:$A$2500,'Mineral Sands - Prices'!F21,'Commodity Prices'!$B$9:$B$2500,2))</f>
        <v>2919.1080924375387</v>
      </c>
    </row>
    <row r="22" spans="1:11">
      <c r="A22" s="428">
        <f>LARGE('Commodity Prices'!C$159:C$902,48)</f>
        <v>43831</v>
      </c>
      <c r="B22" s="903">
        <f>SUMIF('Commodity Prices'!C$109:C$902,A22,'Commodity Prices'!V$109:V$902)</f>
        <v>1945.014840423758</v>
      </c>
      <c r="C22" s="593">
        <f>SUMIF('Commodity Prices'!C$109:C$902,A22,'Commodity Prices'!X$109:X$902)</f>
        <v>4034.3765519924154</v>
      </c>
      <c r="D22" s="70"/>
      <c r="E22" s="70">
        <f t="shared" si="0"/>
        <v>1999</v>
      </c>
      <c r="F22" s="70">
        <f t="shared" si="0"/>
        <v>2000</v>
      </c>
      <c r="G22" s="598">
        <f t="shared" si="1"/>
        <v>1999</v>
      </c>
      <c r="H22" s="524">
        <f t="array" ref="H22">IF($G$6="Historic Calendar Year",IFERROR(AVERAGE(IF($G22=YEAR('Commodity Prices'!$C$9:$C$1000),'Commodity Prices'!$V$9:$V$1000)),"NA"),IFERROR(IF(J22=0,"NA",J22),"NA"))</f>
        <v>511.31013276908487</v>
      </c>
      <c r="I22" s="489">
        <f t="array" ref="I22">IF($G$6="Historic Calendar Year",IFERROR(AVERAGE(IF($G22=YEAR('Commodity Prices'!$C$9:$C$1000),'Commodity Prices'!$X$9:$X$1000)),"N/A"),IFERROR(IF(K22=0,"N/A",K22),"N/A"))</f>
        <v>2842.4191787405894</v>
      </c>
      <c r="J22" s="228">
        <f>(SUMIFS('Commodity Prices'!$V$9:$V$2500,'Commodity Prices'!$A$9:$A$2500,'Mineral Sands - Prices'!E22,'Commodity Prices'!$B$9:$B$2500,3)+
SUMIFS('Commodity Prices'!$V$9:$V$2500,'Commodity Prices'!$A$9:$A$2500,'Mineral Sands - Prices'!E22,'Commodity Prices'!$B$9:$B$2500,4)+
SUMIFS('Commodity Prices'!$V$9:$V$2500,'Commodity Prices'!$A$9:$A$2500,'Mineral Sands - Prices'!F22,'Commodity Prices'!$B$9:$B$2500,1)+
SUMIFS('Commodity Prices'!$V$9:$V$2500,'Commodity Prices'!$A$9:$A$2500,'Mineral Sands - Prices'!F22,'Commodity Prices'!$B$9:$B$2500,2))
/(COUNTIFS('Commodity Prices'!$A$9:$A$2500,'Mineral Sands - Prices'!E22,'Commodity Prices'!$B$9:$B$2500,3)+
COUNTIFS('Commodity Prices'!$A$9:$A$2500,'Mineral Sands - Prices'!E22,'Commodity Prices'!$B$9:$B$2500,4)+
COUNTIFS('Commodity Prices'!$A$9:$A$2500,'Mineral Sands - Prices'!F22,'Commodity Prices'!$B$9:$B$2500,1)+
COUNTIFS('Commodity Prices'!$A$9:$A$2500,'Mineral Sands - Prices'!F22,'Commodity Prices'!$B$9:$B$2500,2))</f>
        <v>565.05416666666667</v>
      </c>
      <c r="K22" s="381">
        <f>(SUMIFS('Commodity Prices'!$X$9:$X$2500,'Commodity Prices'!$A$9:$A$2500,'Mineral Sands - Prices'!E22,'Commodity Prices'!$B$9:$B$2500,3)+
SUMIFS('Commodity Prices'!$X$9:$X$2500,'Commodity Prices'!$A$9:$A$2500,'Mineral Sands - Prices'!E22,'Commodity Prices'!$B$9:$B$2500,4)+
SUMIFS('Commodity Prices'!$X$9:$X$2500,'Commodity Prices'!$A$9:$A$2500,'Mineral Sands - Prices'!F22,'Commodity Prices'!$B$9:$B$2500,1)+
SUMIFS('Commodity Prices'!$X$9:$X$2500,'Commodity Prices'!$A$9:$A$2500,'Mineral Sands - Prices'!F22,'Commodity Prices'!$B$9:$B$2500,2))
/(COUNTIFS('Commodity Prices'!$A$9:$A$2500,'Mineral Sands - Prices'!E22,'Commodity Prices'!$B$9:$B$2500,3)+
COUNTIFS('Commodity Prices'!$A$9:$A$2500,'Mineral Sands - Prices'!E22,'Commodity Prices'!$B$9:$B$2500,4)+
COUNTIFS('Commodity Prices'!$A$9:$A$2500,'Mineral Sands - Prices'!F22,'Commodity Prices'!$B$9:$B$2500,1)+
COUNTIFS('Commodity Prices'!$A$9:$A$2500,'Mineral Sands - Prices'!F22,'Commodity Prices'!$B$9:$B$2500,2))</f>
        <v>2971.1541666666667</v>
      </c>
    </row>
    <row r="23" spans="1:11">
      <c r="A23" s="427">
        <f>LARGE('Commodity Prices'!C$159:C$902,47)</f>
        <v>43862</v>
      </c>
      <c r="B23" s="524">
        <f>SUMIF('Commodity Prices'!C$109:C$902,A23,'Commodity Prices'!V$109:V$902)</f>
        <v>1748.3205804749341</v>
      </c>
      <c r="C23" s="489">
        <f>SUMIF('Commodity Prices'!C$109:C$902,A23,'Commodity Prices'!X$109:X$902)</f>
        <v>4088.8274903685424</v>
      </c>
      <c r="D23" s="70"/>
      <c r="E23" s="70">
        <f t="shared" si="0"/>
        <v>2000</v>
      </c>
      <c r="F23" s="70">
        <f t="shared" si="0"/>
        <v>2001</v>
      </c>
      <c r="G23" s="599">
        <f t="shared" si="1"/>
        <v>2000</v>
      </c>
      <c r="H23" s="903">
        <f t="array" ref="H23">IF($G$6="Historic Calendar Year",IFERROR(AVERAGE(IF($G23=YEAR('Commodity Prices'!$C$9:$C$1000),'Commodity Prices'!$V$9:$V$1000)),"NA"),IFERROR(IF(J23=0,"NA",J23),"NA"))</f>
        <v>629.84250000000009</v>
      </c>
      <c r="I23" s="593">
        <f t="array" ref="I23">IF($G$6="Historic Calendar Year",IFERROR(AVERAGE(IF($G23=YEAR('Commodity Prices'!$C$9:$C$1000),'Commodity Prices'!$X$9:$X$1000)),"N/A"),IFERROR(IF(K23=0,"N/A",K23),"N/A"))</f>
        <v>3290.6874999999995</v>
      </c>
      <c r="J23" s="228">
        <f>(SUMIFS('Commodity Prices'!$V$9:$V$2500,'Commodity Prices'!$A$9:$A$2500,'Mineral Sands - Prices'!E23,'Commodity Prices'!$B$9:$B$2500,3)+
SUMIFS('Commodity Prices'!$V$9:$V$2500,'Commodity Prices'!$A$9:$A$2500,'Mineral Sands - Prices'!E23,'Commodity Prices'!$B$9:$B$2500,4)+
SUMIFS('Commodity Prices'!$V$9:$V$2500,'Commodity Prices'!$A$9:$A$2500,'Mineral Sands - Prices'!F23,'Commodity Prices'!$B$9:$B$2500,1)+
SUMIFS('Commodity Prices'!$V$9:$V$2500,'Commodity Prices'!$A$9:$A$2500,'Mineral Sands - Prices'!F23,'Commodity Prices'!$B$9:$B$2500,2))
/(COUNTIFS('Commodity Prices'!$A$9:$A$2500,'Mineral Sands - Prices'!E23,'Commodity Prices'!$B$9:$B$2500,3)+
COUNTIFS('Commodity Prices'!$A$9:$A$2500,'Mineral Sands - Prices'!E23,'Commodity Prices'!$B$9:$B$2500,4)+
COUNTIFS('Commodity Prices'!$A$9:$A$2500,'Mineral Sands - Prices'!F23,'Commodity Prices'!$B$9:$B$2500,1)+
COUNTIFS('Commodity Prices'!$A$9:$A$2500,'Mineral Sands - Prices'!F23,'Commodity Prices'!$B$9:$B$2500,2))</f>
        <v>718.13333333333333</v>
      </c>
      <c r="K23" s="381">
        <f>(SUMIFS('Commodity Prices'!$X$9:$X$2500,'Commodity Prices'!$A$9:$A$2500,'Mineral Sands - Prices'!E23,'Commodity Prices'!$B$9:$B$2500,3)+
SUMIFS('Commodity Prices'!$X$9:$X$2500,'Commodity Prices'!$A$9:$A$2500,'Mineral Sands - Prices'!E23,'Commodity Prices'!$B$9:$B$2500,4)+
SUMIFS('Commodity Prices'!$X$9:$X$2500,'Commodity Prices'!$A$9:$A$2500,'Mineral Sands - Prices'!F23,'Commodity Prices'!$B$9:$B$2500,1)+
SUMIFS('Commodity Prices'!$X$9:$X$2500,'Commodity Prices'!$A$9:$A$2500,'Mineral Sands - Prices'!F23,'Commodity Prices'!$B$9:$B$2500,2))
/(COUNTIFS('Commodity Prices'!$A$9:$A$2500,'Mineral Sands - Prices'!E23,'Commodity Prices'!$B$9:$B$2500,3)+
COUNTIFS('Commodity Prices'!$A$9:$A$2500,'Mineral Sands - Prices'!E23,'Commodity Prices'!$B$9:$B$2500,4)+
COUNTIFS('Commodity Prices'!$A$9:$A$2500,'Mineral Sands - Prices'!F23,'Commodity Prices'!$B$9:$B$2500,1)+
COUNTIFS('Commodity Prices'!$A$9:$A$2500,'Mineral Sands - Prices'!F23,'Commodity Prices'!$B$9:$B$2500,2))</f>
        <v>3545.5</v>
      </c>
    </row>
    <row r="24" spans="1:11">
      <c r="A24" s="428">
        <f>LARGE('Commodity Prices'!C$159:C$902,46)</f>
        <v>43891</v>
      </c>
      <c r="B24" s="903">
        <f>SUMIF('Commodity Prices'!C$109:C$902,A24,'Commodity Prices'!V$109:V$902)</f>
        <v>2148.4225361003278</v>
      </c>
      <c r="C24" s="593">
        <f>SUMIF('Commodity Prices'!C$109:C$902,A24,'Commodity Prices'!X$109:X$902)</f>
        <v>4387.2465278882173</v>
      </c>
      <c r="D24" s="70"/>
      <c r="E24" s="70">
        <f t="shared" si="0"/>
        <v>2001</v>
      </c>
      <c r="F24" s="70">
        <f t="shared" si="0"/>
        <v>2002</v>
      </c>
      <c r="G24" s="598">
        <f t="shared" si="1"/>
        <v>2001</v>
      </c>
      <c r="H24" s="524">
        <f t="array" ref="H24">IF($G$6="Historic Calendar Year",IFERROR(AVERAGE(IF($G24=YEAR('Commodity Prices'!$C$9:$C$1000),'Commodity Prices'!$V$9:$V$1000)),"NA"),IFERROR(IF(J24=0,"NA",J24),"NA"))</f>
        <v>802.76833333333332</v>
      </c>
      <c r="I24" s="489">
        <f t="array" ref="I24">IF($G$6="Historic Calendar Year",IFERROR(AVERAGE(IF($G24=YEAR('Commodity Prices'!$C$9:$C$1000),'Commodity Prices'!$X$9:$X$1000)),"N/A"),IFERROR(IF(K24=0,"N/A",K24),"N/A"))</f>
        <v>3513.52025</v>
      </c>
      <c r="J24" s="228">
        <f>(SUMIFS('Commodity Prices'!$V$9:$V$2500,'Commodity Prices'!$A$9:$A$2500,'Mineral Sands - Prices'!E24,'Commodity Prices'!$B$9:$B$2500,3)+
SUMIFS('Commodity Prices'!$V$9:$V$2500,'Commodity Prices'!$A$9:$A$2500,'Mineral Sands - Prices'!E24,'Commodity Prices'!$B$9:$B$2500,4)+
SUMIFS('Commodity Prices'!$V$9:$V$2500,'Commodity Prices'!$A$9:$A$2500,'Mineral Sands - Prices'!F24,'Commodity Prices'!$B$9:$B$2500,1)+
SUMIFS('Commodity Prices'!$V$9:$V$2500,'Commodity Prices'!$A$9:$A$2500,'Mineral Sands - Prices'!F24,'Commodity Prices'!$B$9:$B$2500,2))
/(COUNTIFS('Commodity Prices'!$A$9:$A$2500,'Mineral Sands - Prices'!E24,'Commodity Prices'!$B$9:$B$2500,3)+
COUNTIFS('Commodity Prices'!$A$9:$A$2500,'Mineral Sands - Prices'!E24,'Commodity Prices'!$B$9:$B$2500,4)+
COUNTIFS('Commodity Prices'!$A$9:$A$2500,'Mineral Sands - Prices'!F24,'Commodity Prices'!$B$9:$B$2500,1)+
COUNTIFS('Commodity Prices'!$A$9:$A$2500,'Mineral Sands - Prices'!F24,'Commodity Prices'!$B$9:$B$2500,2))</f>
        <v>847.75166666666667</v>
      </c>
      <c r="K24" s="381">
        <f>(SUMIFS('Commodity Prices'!$X$9:$X$2500,'Commodity Prices'!$A$9:$A$2500,'Mineral Sands - Prices'!E24,'Commodity Prices'!$B$9:$B$2500,3)+
SUMIFS('Commodity Prices'!$X$9:$X$2500,'Commodity Prices'!$A$9:$A$2500,'Mineral Sands - Prices'!E24,'Commodity Prices'!$B$9:$B$2500,4)+
SUMIFS('Commodity Prices'!$X$9:$X$2500,'Commodity Prices'!$A$9:$A$2500,'Mineral Sands - Prices'!F24,'Commodity Prices'!$B$9:$B$2500,1)+
SUMIFS('Commodity Prices'!$X$9:$X$2500,'Commodity Prices'!$A$9:$A$2500,'Mineral Sands - Prices'!F24,'Commodity Prices'!$B$9:$B$2500,2))
/(COUNTIFS('Commodity Prices'!$A$9:$A$2500,'Mineral Sands - Prices'!E24,'Commodity Prices'!$B$9:$B$2500,3)+
COUNTIFS('Commodity Prices'!$A$9:$A$2500,'Mineral Sands - Prices'!E24,'Commodity Prices'!$B$9:$B$2500,4)+
COUNTIFS('Commodity Prices'!$A$9:$A$2500,'Mineral Sands - Prices'!F24,'Commodity Prices'!$B$9:$B$2500,1)+
COUNTIFS('Commodity Prices'!$A$9:$A$2500,'Mineral Sands - Prices'!F24,'Commodity Prices'!$B$9:$B$2500,2))</f>
        <v>3204.1302500000002</v>
      </c>
    </row>
    <row r="25" spans="1:11">
      <c r="A25" s="427">
        <f>LARGE('Commodity Prices'!C$159:C$902,45)</f>
        <v>43922</v>
      </c>
      <c r="B25" s="524">
        <f>SUMIF('Commodity Prices'!C$109:C$902,A25,'Commodity Prices'!V$109:V$902)</f>
        <v>2228.6141113760696</v>
      </c>
      <c r="C25" s="489">
        <f>SUMIF('Commodity Prices'!C$109:C$902,A25,'Commodity Prices'!X$109:X$902)</f>
        <v>4116.1303151232005</v>
      </c>
      <c r="D25" s="70"/>
      <c r="E25" s="70">
        <f t="shared" si="0"/>
        <v>2002</v>
      </c>
      <c r="F25" s="70">
        <f t="shared" si="0"/>
        <v>2003</v>
      </c>
      <c r="G25" s="599">
        <f t="shared" si="1"/>
        <v>2002</v>
      </c>
      <c r="H25" s="903">
        <f t="array" ref="H25">IF($G$6="Historic Calendar Year",IFERROR(AVERAGE(IF($G25=YEAR('Commodity Prices'!$C$9:$C$1000),'Commodity Prices'!$V$9:$V$1000)),"NA"),IFERROR(IF(J25=0,"NA",J25),"NA"))</f>
        <v>826.95999999999992</v>
      </c>
      <c r="I25" s="593">
        <f t="array" ref="I25">IF($G$6="Historic Calendar Year",IFERROR(AVERAGE(IF($G25=YEAR('Commodity Prices'!$C$9:$C$1000),'Commodity Prices'!$X$9:$X$1000)),"N/A"),IFERROR(IF(K25=0,"N/A",K25),"N/A"))</f>
        <v>2994.624166666667</v>
      </c>
      <c r="J25" s="228">
        <f>(SUMIFS('Commodity Prices'!$V$9:$V$2500,'Commodity Prices'!$A$9:$A$2500,'Mineral Sands - Prices'!E25,'Commodity Prices'!$B$9:$B$2500,3)+
SUMIFS('Commodity Prices'!$V$9:$V$2500,'Commodity Prices'!$A$9:$A$2500,'Mineral Sands - Prices'!E25,'Commodity Prices'!$B$9:$B$2500,4)+
SUMIFS('Commodity Prices'!$V$9:$V$2500,'Commodity Prices'!$A$9:$A$2500,'Mineral Sands - Prices'!F25,'Commodity Prices'!$B$9:$B$2500,1)+
SUMIFS('Commodity Prices'!$V$9:$V$2500,'Commodity Prices'!$A$9:$A$2500,'Mineral Sands - Prices'!F25,'Commodity Prices'!$B$9:$B$2500,2))
/(COUNTIFS('Commodity Prices'!$A$9:$A$2500,'Mineral Sands - Prices'!E25,'Commodity Prices'!$B$9:$B$2500,3)+
COUNTIFS('Commodity Prices'!$A$9:$A$2500,'Mineral Sands - Prices'!E25,'Commodity Prices'!$B$9:$B$2500,4)+
COUNTIFS('Commodity Prices'!$A$9:$A$2500,'Mineral Sands - Prices'!F25,'Commodity Prices'!$B$9:$B$2500,1)+
COUNTIFS('Commodity Prices'!$A$9:$A$2500,'Mineral Sands - Prices'!F25,'Commodity Prices'!$B$9:$B$2500,2))</f>
        <v>763.84416666666675</v>
      </c>
      <c r="K25" s="381">
        <f>(SUMIFS('Commodity Prices'!$X$9:$X$2500,'Commodity Prices'!$A$9:$A$2500,'Mineral Sands - Prices'!E25,'Commodity Prices'!$B$9:$B$2500,3)+
SUMIFS('Commodity Prices'!$X$9:$X$2500,'Commodity Prices'!$A$9:$A$2500,'Mineral Sands - Prices'!E25,'Commodity Prices'!$B$9:$B$2500,4)+
SUMIFS('Commodity Prices'!$X$9:$X$2500,'Commodity Prices'!$A$9:$A$2500,'Mineral Sands - Prices'!F25,'Commodity Prices'!$B$9:$B$2500,1)+
SUMIFS('Commodity Prices'!$X$9:$X$2500,'Commodity Prices'!$A$9:$A$2500,'Mineral Sands - Prices'!F25,'Commodity Prices'!$B$9:$B$2500,2))
/(COUNTIFS('Commodity Prices'!$A$9:$A$2500,'Mineral Sands - Prices'!E25,'Commodity Prices'!$B$9:$B$2500,3)+
COUNTIFS('Commodity Prices'!$A$9:$A$2500,'Mineral Sands - Prices'!E25,'Commodity Prices'!$B$9:$B$2500,4)+
COUNTIFS('Commodity Prices'!$A$9:$A$2500,'Mineral Sands - Prices'!F25,'Commodity Prices'!$B$9:$B$2500,1)+
COUNTIFS('Commodity Prices'!$A$9:$A$2500,'Mineral Sands - Prices'!F25,'Commodity Prices'!$B$9:$B$2500,2))</f>
        <v>2927.3741666666665</v>
      </c>
    </row>
    <row r="26" spans="1:11">
      <c r="A26" s="428">
        <f>LARGE('Commodity Prices'!C$159:C$902,44)</f>
        <v>43952</v>
      </c>
      <c r="B26" s="903">
        <f>SUMIF('Commodity Prices'!C$109:C$902,A26,'Commodity Prices'!V$109:V$902)</f>
        <v>2127.1004091731393</v>
      </c>
      <c r="C26" s="593">
        <f>SUMIF('Commodity Prices'!C$109:C$902,A26,'Commodity Prices'!X$109:X$902)</f>
        <v>4011.0660041173319</v>
      </c>
      <c r="D26" s="70"/>
      <c r="E26" s="70">
        <f t="shared" si="0"/>
        <v>2003</v>
      </c>
      <c r="F26" s="70">
        <f t="shared" si="0"/>
        <v>2004</v>
      </c>
      <c r="G26" s="598">
        <f t="shared" si="1"/>
        <v>2003</v>
      </c>
      <c r="H26" s="524">
        <f t="array" ref="H26">IF($G$6="Historic Calendar Year",IFERROR(AVERAGE(IF($G26=YEAR('Commodity Prices'!$C$9:$C$1000),'Commodity Prices'!$V$9:$V$1000)),"NA"),IFERROR(IF(J26=0,"NA",J26),"NA"))</f>
        <v>700.96083333333343</v>
      </c>
      <c r="I26" s="489">
        <f t="array" ref="I26">IF($G$6="Historic Calendar Year",IFERROR(AVERAGE(IF($G26=YEAR('Commodity Prices'!$C$9:$C$1000),'Commodity Prices'!$X$9:$X$1000)),"N/A"),IFERROR(IF(K26=0,"N/A",K26),"N/A"))</f>
        <v>2682.6608333333334</v>
      </c>
      <c r="J26" s="228">
        <f>(SUMIFS('Commodity Prices'!$V$9:$V$2500,'Commodity Prices'!$A$9:$A$2500,'Mineral Sands - Prices'!E26,'Commodity Prices'!$B$9:$B$2500,3)+
SUMIFS('Commodity Prices'!$V$9:$V$2500,'Commodity Prices'!$A$9:$A$2500,'Mineral Sands - Prices'!E26,'Commodity Prices'!$B$9:$B$2500,4)+
SUMIFS('Commodity Prices'!$V$9:$V$2500,'Commodity Prices'!$A$9:$A$2500,'Mineral Sands - Prices'!F26,'Commodity Prices'!$B$9:$B$2500,1)+
SUMIFS('Commodity Prices'!$V$9:$V$2500,'Commodity Prices'!$A$9:$A$2500,'Mineral Sands - Prices'!F26,'Commodity Prices'!$B$9:$B$2500,2))
/(COUNTIFS('Commodity Prices'!$A$9:$A$2500,'Mineral Sands - Prices'!E26,'Commodity Prices'!$B$9:$B$2500,3)+
COUNTIFS('Commodity Prices'!$A$9:$A$2500,'Mineral Sands - Prices'!E26,'Commodity Prices'!$B$9:$B$2500,4)+
COUNTIFS('Commodity Prices'!$A$9:$A$2500,'Mineral Sands - Prices'!F26,'Commodity Prices'!$B$9:$B$2500,1)+
COUNTIFS('Commodity Prices'!$A$9:$A$2500,'Mineral Sands - Prices'!F26,'Commodity Prices'!$B$9:$B$2500,2))</f>
        <v>704.36472727272724</v>
      </c>
      <c r="K26" s="381">
        <f>(SUMIFS('Commodity Prices'!$X$9:$X$2500,'Commodity Prices'!$A$9:$A$2500,'Mineral Sands - Prices'!E26,'Commodity Prices'!$B$9:$B$2500,3)+
SUMIFS('Commodity Prices'!$X$9:$X$2500,'Commodity Prices'!$A$9:$A$2500,'Mineral Sands - Prices'!E26,'Commodity Prices'!$B$9:$B$2500,4)+
SUMIFS('Commodity Prices'!$X$9:$X$2500,'Commodity Prices'!$A$9:$A$2500,'Mineral Sands - Prices'!F26,'Commodity Prices'!$B$9:$B$2500,1)+
SUMIFS('Commodity Prices'!$X$9:$X$2500,'Commodity Prices'!$A$9:$A$2500,'Mineral Sands - Prices'!F26,'Commodity Prices'!$B$9:$B$2500,2))
/(COUNTIFS('Commodity Prices'!$A$9:$A$2500,'Mineral Sands - Prices'!E26,'Commodity Prices'!$B$9:$B$2500,3)+
COUNTIFS('Commodity Prices'!$A$9:$A$2500,'Mineral Sands - Prices'!E26,'Commodity Prices'!$B$9:$B$2500,4)+
COUNTIFS('Commodity Prices'!$A$9:$A$2500,'Mineral Sands - Prices'!F26,'Commodity Prices'!$B$9:$B$2500,1)+
COUNTIFS('Commodity Prices'!$A$9:$A$2500,'Mineral Sands - Prices'!F26,'Commodity Prices'!$B$9:$B$2500,2))</f>
        <v>2422.8839436321332</v>
      </c>
    </row>
    <row r="27" spans="1:11">
      <c r="A27" s="427">
        <f>LARGE('Commodity Prices'!C$159:C$902,43)</f>
        <v>43983</v>
      </c>
      <c r="B27" s="524">
        <f>SUMIF('Commodity Prices'!C$109:C$902,A27,'Commodity Prices'!V$109:V$902)</f>
        <v>1973.3186947665188</v>
      </c>
      <c r="C27" s="489">
        <f>SUMIF('Commodity Prices'!C$109:C$902,A27,'Commodity Prices'!X$109:X$902)</f>
        <v>3912.5679253847507</v>
      </c>
      <c r="D27" s="70"/>
      <c r="E27" s="70">
        <f t="shared" si="0"/>
        <v>2004</v>
      </c>
      <c r="F27" s="70">
        <f t="shared" si="0"/>
        <v>2005</v>
      </c>
      <c r="G27" s="599">
        <f t="shared" si="1"/>
        <v>2004</v>
      </c>
      <c r="H27" s="903">
        <f t="array" ref="H27">IF($G$6="Historic Calendar Year",IFERROR(AVERAGE(IF($G27=YEAR('Commodity Prices'!$C$9:$C$1000),'Commodity Prices'!$V$9:$V$1000)),"NA"),IFERROR(IF(J27=0,"NA",J27),"NA"))</f>
        <v>785.35716104012909</v>
      </c>
      <c r="I27" s="593">
        <f t="array" ref="I27">IF($G$6="Historic Calendar Year",IFERROR(AVERAGE(IF($G27=YEAR('Commodity Prices'!$C$9:$C$1000),'Commodity Prices'!$X$9:$X$1000)),"N/A"),IFERROR(IF(K27=0,"N/A",K27),"N/A"))</f>
        <v>2384.0651770664231</v>
      </c>
      <c r="J27" s="228">
        <f>(SUMIFS('Commodity Prices'!$V$9:$V$2500,'Commodity Prices'!$A$9:$A$2500,'Mineral Sands - Prices'!E27,'Commodity Prices'!$B$9:$B$2500,3)+
SUMIFS('Commodity Prices'!$V$9:$V$2500,'Commodity Prices'!$A$9:$A$2500,'Mineral Sands - Prices'!E27,'Commodity Prices'!$B$9:$B$2500,4)+
SUMIFS('Commodity Prices'!$V$9:$V$2500,'Commodity Prices'!$A$9:$A$2500,'Mineral Sands - Prices'!F27,'Commodity Prices'!$B$9:$B$2500,1)+
SUMIFS('Commodity Prices'!$V$9:$V$2500,'Commodity Prices'!$A$9:$A$2500,'Mineral Sands - Prices'!F27,'Commodity Prices'!$B$9:$B$2500,2))
/(COUNTIFS('Commodity Prices'!$A$9:$A$2500,'Mineral Sands - Prices'!E27,'Commodity Prices'!$B$9:$B$2500,3)+
COUNTIFS('Commodity Prices'!$A$9:$A$2500,'Mineral Sands - Prices'!E27,'Commodity Prices'!$B$9:$B$2500,4)+
COUNTIFS('Commodity Prices'!$A$9:$A$2500,'Mineral Sands - Prices'!F27,'Commodity Prices'!$B$9:$B$2500,1)+
COUNTIFS('Commodity Prices'!$A$9:$A$2500,'Mineral Sands - Prices'!F27,'Commodity Prices'!$B$9:$B$2500,2))</f>
        <v>899.42520939804888</v>
      </c>
      <c r="K27" s="381">
        <f>(SUMIFS('Commodity Prices'!$X$9:$X$2500,'Commodity Prices'!$A$9:$A$2500,'Mineral Sands - Prices'!E27,'Commodity Prices'!$B$9:$B$2500,3)+
SUMIFS('Commodity Prices'!$X$9:$X$2500,'Commodity Prices'!$A$9:$A$2500,'Mineral Sands - Prices'!E27,'Commodity Prices'!$B$9:$B$2500,4)+
SUMIFS('Commodity Prices'!$X$9:$X$2500,'Commodity Prices'!$A$9:$A$2500,'Mineral Sands - Prices'!F27,'Commodity Prices'!$B$9:$B$2500,1)+
SUMIFS('Commodity Prices'!$X$9:$X$2500,'Commodity Prices'!$A$9:$A$2500,'Mineral Sands - Prices'!F27,'Commodity Prices'!$B$9:$B$2500,2))
/(COUNTIFS('Commodity Prices'!$A$9:$A$2500,'Mineral Sands - Prices'!E27,'Commodity Prices'!$B$9:$B$2500,3)+
COUNTIFS('Commodity Prices'!$A$9:$A$2500,'Mineral Sands - Prices'!E27,'Commodity Prices'!$B$9:$B$2500,4)+
COUNTIFS('Commodity Prices'!$A$9:$A$2500,'Mineral Sands - Prices'!F27,'Commodity Prices'!$B$9:$B$2500,1)+
COUNTIFS('Commodity Prices'!$A$9:$A$2500,'Mineral Sands - Prices'!F27,'Commodity Prices'!$B$9:$B$2500,2))</f>
        <v>2408.943139497032</v>
      </c>
    </row>
    <row r="28" spans="1:11">
      <c r="A28" s="428">
        <f>LARGE('Commodity Prices'!C$159:C$902,42)</f>
        <v>44013</v>
      </c>
      <c r="B28" s="903">
        <f>SUMIF('Commodity Prices'!C$109:C$902,A28,'Commodity Prices'!V$109:V$902)</f>
        <v>1912.6200085873766</v>
      </c>
      <c r="C28" s="593">
        <f>SUMIF('Commodity Prices'!C$109:C$902,A28,'Commodity Prices'!X$109:X$902)</f>
        <v>3813.7157712151452</v>
      </c>
      <c r="D28" s="70"/>
      <c r="E28" s="70">
        <f t="shared" si="0"/>
        <v>2005</v>
      </c>
      <c r="F28" s="70">
        <f t="shared" si="0"/>
        <v>2006</v>
      </c>
      <c r="G28" s="598">
        <f t="shared" si="1"/>
        <v>2005</v>
      </c>
      <c r="H28" s="524">
        <f t="array" ref="H28">IF($G$6="Historic Calendar Year",IFERROR(AVERAGE(IF($G28=YEAR('Commodity Prices'!$C$9:$C$1000),'Commodity Prices'!$V$9:$V$1000)),"NA"),IFERROR(IF(J28=0,"NA",J28),"NA"))</f>
        <v>1011.4432617873277</v>
      </c>
      <c r="I28" s="489">
        <f t="array" ref="I28">IF($G$6="Historic Calendar Year",IFERROR(AVERAGE(IF($G28=YEAR('Commodity Prices'!$C$9:$C$1000),'Commodity Prices'!$X$9:$X$1000)),"N/A"),IFERROR(IF(K28=0,"N/A",K28),"N/A"))</f>
        <v>2429.1093867109557</v>
      </c>
      <c r="J28" s="228">
        <f>(SUMIFS('Commodity Prices'!$V$9:$V$2500,'Commodity Prices'!$A$9:$A$2500,'Mineral Sands - Prices'!E28,'Commodity Prices'!$B$9:$B$2500,3)+
SUMIFS('Commodity Prices'!$V$9:$V$2500,'Commodity Prices'!$A$9:$A$2500,'Mineral Sands - Prices'!E28,'Commodity Prices'!$B$9:$B$2500,4)+
SUMIFS('Commodity Prices'!$V$9:$V$2500,'Commodity Prices'!$A$9:$A$2500,'Mineral Sands - Prices'!F28,'Commodity Prices'!$B$9:$B$2500,1)+
SUMIFS('Commodity Prices'!$V$9:$V$2500,'Commodity Prices'!$A$9:$A$2500,'Mineral Sands - Prices'!F28,'Commodity Prices'!$B$9:$B$2500,2))
/(COUNTIFS('Commodity Prices'!$A$9:$A$2500,'Mineral Sands - Prices'!E28,'Commodity Prices'!$B$9:$B$2500,3)+
COUNTIFS('Commodity Prices'!$A$9:$A$2500,'Mineral Sands - Prices'!E28,'Commodity Prices'!$B$9:$B$2500,4)+
COUNTIFS('Commodity Prices'!$A$9:$A$2500,'Mineral Sands - Prices'!F28,'Commodity Prices'!$B$9:$B$2500,1)+
COUNTIFS('Commodity Prices'!$A$9:$A$2500,'Mineral Sands - Prices'!F28,'Commodity Prices'!$B$9:$B$2500,2))</f>
        <v>1074.4946528233477</v>
      </c>
      <c r="K28" s="381">
        <f>(SUMIFS('Commodity Prices'!$X$9:$X$2500,'Commodity Prices'!$A$9:$A$2500,'Mineral Sands - Prices'!E28,'Commodity Prices'!$B$9:$B$2500,3)+
SUMIFS('Commodity Prices'!$X$9:$X$2500,'Commodity Prices'!$A$9:$A$2500,'Mineral Sands - Prices'!E28,'Commodity Prices'!$B$9:$B$2500,4)+
SUMIFS('Commodity Prices'!$X$9:$X$2500,'Commodity Prices'!$A$9:$A$2500,'Mineral Sands - Prices'!F28,'Commodity Prices'!$B$9:$B$2500,1)+
SUMIFS('Commodity Prices'!$X$9:$X$2500,'Commodity Prices'!$A$9:$A$2500,'Mineral Sands - Prices'!F28,'Commodity Prices'!$B$9:$B$2500,2))
/(COUNTIFS('Commodity Prices'!$A$9:$A$2500,'Mineral Sands - Prices'!E28,'Commodity Prices'!$B$9:$B$2500,3)+
COUNTIFS('Commodity Prices'!$A$9:$A$2500,'Mineral Sands - Prices'!E28,'Commodity Prices'!$B$9:$B$2500,4)+
COUNTIFS('Commodity Prices'!$A$9:$A$2500,'Mineral Sands - Prices'!F28,'Commodity Prices'!$B$9:$B$2500,1)+
COUNTIFS('Commodity Prices'!$A$9:$A$2500,'Mineral Sands - Prices'!F28,'Commodity Prices'!$B$9:$B$2500,2))</f>
        <v>2485.448313981547</v>
      </c>
    </row>
    <row r="29" spans="1:11">
      <c r="A29" s="427">
        <f>LARGE('Commodity Prices'!C$159:C$902,41)</f>
        <v>44044</v>
      </c>
      <c r="B29" s="524">
        <f>SUMIF('Commodity Prices'!C$109:C$902,A29,'Commodity Prices'!V$109:V$902)</f>
        <v>1843.1546517291767</v>
      </c>
      <c r="C29" s="489">
        <f>SUMIF('Commodity Prices'!C$109:C$902,A29,'Commodity Prices'!X$109:X$902)</f>
        <v>3733.8944454336456</v>
      </c>
      <c r="D29" s="70"/>
      <c r="E29" s="70">
        <f t="shared" si="0"/>
        <v>2006</v>
      </c>
      <c r="F29" s="70">
        <f t="shared" si="0"/>
        <v>2007</v>
      </c>
      <c r="G29" s="599">
        <f t="shared" si="1"/>
        <v>2006</v>
      </c>
      <c r="H29" s="903">
        <f t="array" ref="H29">IF($G$6="Historic Calendar Year",IFERROR(AVERAGE(IF($G29=YEAR('Commodity Prices'!$C$9:$C$1000),'Commodity Prices'!$V$9:$V$1000)),"NA"),IFERROR(IF(J29=0,"NA",J29),"NA"))</f>
        <v>1116.5649410552307</v>
      </c>
      <c r="I29" s="593">
        <f t="array" ref="I29">IF($G$6="Historic Calendar Year",IFERROR(AVERAGE(IF($G29=YEAR('Commodity Prices'!$C$9:$C$1000),'Commodity Prices'!$X$9:$X$1000)),"N/A"),IFERROR(IF(K29=0,"N/A",K29),"N/A"))</f>
        <v>2480.2024129449342</v>
      </c>
      <c r="J29" s="228">
        <f>(SUMIFS('Commodity Prices'!$V$9:$V$2500,'Commodity Prices'!$A$9:$A$2500,'Mineral Sands - Prices'!E29,'Commodity Prices'!$B$9:$B$2500,3)+
SUMIFS('Commodity Prices'!$V$9:$V$2500,'Commodity Prices'!$A$9:$A$2500,'Mineral Sands - Prices'!E29,'Commodity Prices'!$B$9:$B$2500,4)+
SUMIFS('Commodity Prices'!$V$9:$V$2500,'Commodity Prices'!$A$9:$A$2500,'Mineral Sands - Prices'!F29,'Commodity Prices'!$B$9:$B$2500,1)+
SUMIFS('Commodity Prices'!$V$9:$V$2500,'Commodity Prices'!$A$9:$A$2500,'Mineral Sands - Prices'!F29,'Commodity Prices'!$B$9:$B$2500,2))
/(COUNTIFS('Commodity Prices'!$A$9:$A$2500,'Mineral Sands - Prices'!E29,'Commodity Prices'!$B$9:$B$2500,3)+
COUNTIFS('Commodity Prices'!$A$9:$A$2500,'Mineral Sands - Prices'!E29,'Commodity Prices'!$B$9:$B$2500,4)+
COUNTIFS('Commodity Prices'!$A$9:$A$2500,'Mineral Sands - Prices'!F29,'Commodity Prices'!$B$9:$B$2500,1)+
COUNTIFS('Commodity Prices'!$A$9:$A$2500,'Mineral Sands - Prices'!F29,'Commodity Prices'!$B$9:$B$2500,2))</f>
        <v>1119.6279421724726</v>
      </c>
      <c r="K29" s="381">
        <f>(SUMIFS('Commodity Prices'!$X$9:$X$2500,'Commodity Prices'!$A$9:$A$2500,'Mineral Sands - Prices'!E29,'Commodity Prices'!$B$9:$B$2500,3)+
SUMIFS('Commodity Prices'!$X$9:$X$2500,'Commodity Prices'!$A$9:$A$2500,'Mineral Sands - Prices'!E29,'Commodity Prices'!$B$9:$B$2500,4)+
SUMIFS('Commodity Prices'!$X$9:$X$2500,'Commodity Prices'!$A$9:$A$2500,'Mineral Sands - Prices'!F29,'Commodity Prices'!$B$9:$B$2500,1)+
SUMIFS('Commodity Prices'!$X$9:$X$2500,'Commodity Prices'!$A$9:$A$2500,'Mineral Sands - Prices'!F29,'Commodity Prices'!$B$9:$B$2500,2))
/(COUNTIFS('Commodity Prices'!$A$9:$A$2500,'Mineral Sands - Prices'!E29,'Commodity Prices'!$B$9:$B$2500,3)+
COUNTIFS('Commodity Prices'!$A$9:$A$2500,'Mineral Sands - Prices'!E29,'Commodity Prices'!$B$9:$B$2500,4)+
COUNTIFS('Commodity Prices'!$A$9:$A$2500,'Mineral Sands - Prices'!F29,'Commodity Prices'!$B$9:$B$2500,1)+
COUNTIFS('Commodity Prices'!$A$9:$A$2500,'Mineral Sands - Prices'!F29,'Commodity Prices'!$B$9:$B$2500,2))</f>
        <v>2396.2535314943398</v>
      </c>
    </row>
    <row r="30" spans="1:11">
      <c r="A30" s="428">
        <f>LARGE('Commodity Prices'!C$159:C$902,40)</f>
        <v>44075</v>
      </c>
      <c r="B30" s="903">
        <f>SUMIF('Commodity Prices'!C$109:C$902,A30,'Commodity Prices'!V$109:V$902)</f>
        <v>1894.3086685610165</v>
      </c>
      <c r="C30" s="593">
        <f>SUMIF('Commodity Prices'!C$109:C$902,A30,'Commodity Prices'!X$109:X$902)</f>
        <v>3710.2323186017834</v>
      </c>
      <c r="D30" s="70"/>
      <c r="E30" s="70">
        <f t="shared" si="0"/>
        <v>2007</v>
      </c>
      <c r="F30" s="70">
        <f t="shared" si="0"/>
        <v>2008</v>
      </c>
      <c r="G30" s="598">
        <f t="shared" si="1"/>
        <v>2007</v>
      </c>
      <c r="H30" s="524">
        <f t="array" ref="H30">IF($G$6="Historic Calendar Year",IFERROR(AVERAGE(IF($G30=YEAR('Commodity Prices'!$C$9:$C$1000),'Commodity Prices'!$V$9:$V$1000)),"NA"),IFERROR(IF(J30=0,"NA",J30),"NA"))</f>
        <v>1059.5140299785669</v>
      </c>
      <c r="I30" s="489">
        <f t="array" ref="I30">IF($G$6="Historic Calendar Year",IFERROR(AVERAGE(IF($G30=YEAR('Commodity Prices'!$C$9:$C$1000),'Commodity Prices'!$X$9:$X$1000)),"N/A"),IFERROR(IF(K30=0,"N/A",K30),"N/A"))</f>
        <v>2255.544174711607</v>
      </c>
      <c r="J30" s="228">
        <f>(SUMIFS('Commodity Prices'!$V$9:$V$2500,'Commodity Prices'!$A$9:$A$2500,'Mineral Sands - Prices'!E30,'Commodity Prices'!$B$9:$B$2500,3)+
SUMIFS('Commodity Prices'!$V$9:$V$2500,'Commodity Prices'!$A$9:$A$2500,'Mineral Sands - Prices'!E30,'Commodity Prices'!$B$9:$B$2500,4)+
SUMIFS('Commodity Prices'!$V$9:$V$2500,'Commodity Prices'!$A$9:$A$2500,'Mineral Sands - Prices'!F30,'Commodity Prices'!$B$9:$B$2500,1)+
SUMIFS('Commodity Prices'!$V$9:$V$2500,'Commodity Prices'!$A$9:$A$2500,'Mineral Sands - Prices'!F30,'Commodity Prices'!$B$9:$B$2500,2))
/(COUNTIFS('Commodity Prices'!$A$9:$A$2500,'Mineral Sands - Prices'!E30,'Commodity Prices'!$B$9:$B$2500,3)+
COUNTIFS('Commodity Prices'!$A$9:$A$2500,'Mineral Sands - Prices'!E30,'Commodity Prices'!$B$9:$B$2500,4)+
COUNTIFS('Commodity Prices'!$A$9:$A$2500,'Mineral Sands - Prices'!F30,'Commodity Prices'!$B$9:$B$2500,1)+
COUNTIFS('Commodity Prices'!$A$9:$A$2500,'Mineral Sands - Prices'!F30,'Commodity Prices'!$B$9:$B$2500,2))</f>
        <v>956.47399672205484</v>
      </c>
      <c r="K30" s="381">
        <f>(SUMIFS('Commodity Prices'!$X$9:$X$2500,'Commodity Prices'!$A$9:$A$2500,'Mineral Sands - Prices'!E30,'Commodity Prices'!$B$9:$B$2500,3)+
SUMIFS('Commodity Prices'!$X$9:$X$2500,'Commodity Prices'!$A$9:$A$2500,'Mineral Sands - Prices'!E30,'Commodity Prices'!$B$9:$B$2500,4)+
SUMIFS('Commodity Prices'!$X$9:$X$2500,'Commodity Prices'!$A$9:$A$2500,'Mineral Sands - Prices'!F30,'Commodity Prices'!$B$9:$B$2500,1)+
SUMIFS('Commodity Prices'!$X$9:$X$2500,'Commodity Prices'!$A$9:$A$2500,'Mineral Sands - Prices'!F30,'Commodity Prices'!$B$9:$B$2500,2))
/(COUNTIFS('Commodity Prices'!$A$9:$A$2500,'Mineral Sands - Prices'!E30,'Commodity Prices'!$B$9:$B$2500,3)+
COUNTIFS('Commodity Prices'!$A$9:$A$2500,'Mineral Sands - Prices'!E30,'Commodity Prices'!$B$9:$B$2500,4)+
COUNTIFS('Commodity Prices'!$A$9:$A$2500,'Mineral Sands - Prices'!F30,'Commodity Prices'!$B$9:$B$2500,1)+
COUNTIFS('Commodity Prices'!$A$9:$A$2500,'Mineral Sands - Prices'!F30,'Commodity Prices'!$B$9:$B$2500,2))</f>
        <v>2137.7476522435632</v>
      </c>
    </row>
    <row r="31" spans="1:11">
      <c r="A31" s="427">
        <f>LARGE('Commodity Prices'!C$159:C$902,39)</f>
        <v>44105</v>
      </c>
      <c r="B31" s="524">
        <f>SUMIF('Commodity Prices'!C$109:C$902,A31,'Commodity Prices'!V$109:V$902)</f>
        <v>1777.2679364751084</v>
      </c>
      <c r="C31" s="489">
        <f>SUMIF('Commodity Prices'!C$109:C$902,A31,'Commodity Prices'!X$109:X$902)</f>
        <v>3825.0629505735674</v>
      </c>
      <c r="D31" s="70"/>
      <c r="E31" s="70">
        <f t="shared" si="0"/>
        <v>2008</v>
      </c>
      <c r="F31" s="70">
        <f t="shared" si="0"/>
        <v>2009</v>
      </c>
      <c r="G31" s="599">
        <f t="shared" si="1"/>
        <v>2008</v>
      </c>
      <c r="H31" s="903">
        <f t="array" ref="H31">IF($G$6="Historic Calendar Year",IFERROR(AVERAGE(IF($G31=YEAR('Commodity Prices'!$C$9:$C$1000),'Commodity Prices'!$V$9:$V$1000)),"NA"),IFERROR(IF(J31=0,"NA",J31),"NA"))</f>
        <v>1013.6758316055339</v>
      </c>
      <c r="I31" s="593">
        <f t="array" ref="I31">IF($G$6="Historic Calendar Year",IFERROR(AVERAGE(IF($G31=YEAR('Commodity Prices'!$C$9:$C$1000),'Commodity Prices'!$X$9:$X$1000)),"N/A"),IFERROR(IF(K31=0,"N/A",K31),"N/A"))</f>
        <v>2440.6540457222404</v>
      </c>
      <c r="J31" s="228">
        <f>(SUMIFS('Commodity Prices'!$V$9:$V$2500,'Commodity Prices'!$A$9:$A$2500,'Mineral Sands - Prices'!E31,'Commodity Prices'!$B$9:$B$2500,3)+
SUMIFS('Commodity Prices'!$V$9:$V$2500,'Commodity Prices'!$A$9:$A$2500,'Mineral Sands - Prices'!E31,'Commodity Prices'!$B$9:$B$2500,4)+
SUMIFS('Commodity Prices'!$V$9:$V$2500,'Commodity Prices'!$A$9:$A$2500,'Mineral Sands - Prices'!F31,'Commodity Prices'!$B$9:$B$2500,1)+
SUMIFS('Commodity Prices'!$V$9:$V$2500,'Commodity Prices'!$A$9:$A$2500,'Mineral Sands - Prices'!F31,'Commodity Prices'!$B$9:$B$2500,2))
/(COUNTIFS('Commodity Prices'!$A$9:$A$2500,'Mineral Sands - Prices'!E31,'Commodity Prices'!$B$9:$B$2500,3)+
COUNTIFS('Commodity Prices'!$A$9:$A$2500,'Mineral Sands - Prices'!E31,'Commodity Prices'!$B$9:$B$2500,4)+
COUNTIFS('Commodity Prices'!$A$9:$A$2500,'Mineral Sands - Prices'!F31,'Commodity Prices'!$B$9:$B$2500,1)+
COUNTIFS('Commodity Prices'!$A$9:$A$2500,'Mineral Sands - Prices'!F31,'Commodity Prices'!$B$9:$B$2500,2))</f>
        <v>1201.1863950812642</v>
      </c>
      <c r="K31" s="381">
        <f>(SUMIFS('Commodity Prices'!$X$9:$X$2500,'Commodity Prices'!$A$9:$A$2500,'Mineral Sands - Prices'!E31,'Commodity Prices'!$B$9:$B$2500,3)+
SUMIFS('Commodity Prices'!$X$9:$X$2500,'Commodity Prices'!$A$9:$A$2500,'Mineral Sands - Prices'!E31,'Commodity Prices'!$B$9:$B$2500,4)+
SUMIFS('Commodity Prices'!$X$9:$X$2500,'Commodity Prices'!$A$9:$A$2500,'Mineral Sands - Prices'!F31,'Commodity Prices'!$B$9:$B$2500,1)+
SUMIFS('Commodity Prices'!$X$9:$X$2500,'Commodity Prices'!$A$9:$A$2500,'Mineral Sands - Prices'!F31,'Commodity Prices'!$B$9:$B$2500,2))
/(COUNTIFS('Commodity Prices'!$A$9:$A$2500,'Mineral Sands - Prices'!E31,'Commodity Prices'!$B$9:$B$2500,3)+
COUNTIFS('Commodity Prices'!$A$9:$A$2500,'Mineral Sands - Prices'!E31,'Commodity Prices'!$B$9:$B$2500,4)+
COUNTIFS('Commodity Prices'!$A$9:$A$2500,'Mineral Sands - Prices'!F31,'Commodity Prices'!$B$9:$B$2500,1)+
COUNTIFS('Commodity Prices'!$A$9:$A$2500,'Mineral Sands - Prices'!F31,'Commodity Prices'!$B$9:$B$2500,2))</f>
        <v>2870.6293694457777</v>
      </c>
    </row>
    <row r="32" spans="1:11">
      <c r="A32" s="428">
        <f>LARGE('Commodity Prices'!C$159:C$902,38)</f>
        <v>44136</v>
      </c>
      <c r="B32" s="903">
        <f>SUMIF('Commodity Prices'!C$109:C$902,A32,'Commodity Prices'!V$109:V$902)</f>
        <v>1775.8293691431502</v>
      </c>
      <c r="C32" s="593">
        <f>SUMIF('Commodity Prices'!C$109:C$902,A32,'Commodity Prices'!X$109:X$902)</f>
        <v>3684.7108626942809</v>
      </c>
      <c r="D32" s="70"/>
      <c r="E32" s="70">
        <f t="shared" si="0"/>
        <v>2009</v>
      </c>
      <c r="F32" s="70">
        <f t="shared" si="0"/>
        <v>2010</v>
      </c>
      <c r="G32" s="598">
        <f t="shared" si="1"/>
        <v>2009</v>
      </c>
      <c r="H32" s="524">
        <f t="array" ref="H32">IF($G$6="Historic Calendar Year",IFERROR(AVERAGE(IF($G32=YEAR('Commodity Prices'!$C$9:$C$1000),'Commodity Prices'!$V$9:$V$1000)),"NA"),IFERROR(IF(J32=0,"NA",J32),"NA"))</f>
        <v>1196.6070783346072</v>
      </c>
      <c r="I32" s="489">
        <f t="array" ref="I32">IF($G$6="Historic Calendar Year",IFERROR(AVERAGE(IF($G32=YEAR('Commodity Prices'!$C$9:$C$1000),'Commodity Prices'!$X$9:$X$1000)),"N/A"),IFERROR(IF(K32=0,"N/A",K32),"N/A"))</f>
        <v>2678.5380291116358</v>
      </c>
      <c r="J32" s="228">
        <f>(SUMIFS('Commodity Prices'!$V$9:$V$2500,'Commodity Prices'!$A$9:$A$2500,'Mineral Sands - Prices'!E32,'Commodity Prices'!$B$9:$B$2500,3)+
SUMIFS('Commodity Prices'!$V$9:$V$2500,'Commodity Prices'!$A$9:$A$2500,'Mineral Sands - Prices'!E32,'Commodity Prices'!$B$9:$B$2500,4)+
SUMIFS('Commodity Prices'!$V$9:$V$2500,'Commodity Prices'!$A$9:$A$2500,'Mineral Sands - Prices'!F32,'Commodity Prices'!$B$9:$B$2500,1)+
SUMIFS('Commodity Prices'!$V$9:$V$2500,'Commodity Prices'!$A$9:$A$2500,'Mineral Sands - Prices'!F32,'Commodity Prices'!$B$9:$B$2500,2))
/(COUNTIFS('Commodity Prices'!$A$9:$A$2500,'Mineral Sands - Prices'!E32,'Commodity Prices'!$B$9:$B$2500,3)+
COUNTIFS('Commodity Prices'!$A$9:$A$2500,'Mineral Sands - Prices'!E32,'Commodity Prices'!$B$9:$B$2500,4)+
COUNTIFS('Commodity Prices'!$A$9:$A$2500,'Mineral Sands - Prices'!F32,'Commodity Prices'!$B$9:$B$2500,1)+
COUNTIFS('Commodity Prices'!$A$9:$A$2500,'Mineral Sands - Prices'!F32,'Commodity Prices'!$B$9:$B$2500,2))</f>
        <v>1065.8881852846446</v>
      </c>
      <c r="K32" s="381">
        <f>(SUMIFS('Commodity Prices'!$X$9:$X$2500,'Commodity Prices'!$A$9:$A$2500,'Mineral Sands - Prices'!E32,'Commodity Prices'!$B$9:$B$2500,3)+
SUMIFS('Commodity Prices'!$X$9:$X$2500,'Commodity Prices'!$A$9:$A$2500,'Mineral Sands - Prices'!E32,'Commodity Prices'!$B$9:$B$2500,4)+
SUMIFS('Commodity Prices'!$X$9:$X$2500,'Commodity Prices'!$A$9:$A$2500,'Mineral Sands - Prices'!F32,'Commodity Prices'!$B$9:$B$2500,1)+
SUMIFS('Commodity Prices'!$X$9:$X$2500,'Commodity Prices'!$A$9:$A$2500,'Mineral Sands - Prices'!F32,'Commodity Prices'!$B$9:$B$2500,2))
/(COUNTIFS('Commodity Prices'!$A$9:$A$2500,'Mineral Sands - Prices'!E32,'Commodity Prices'!$B$9:$B$2500,3)+
COUNTIFS('Commodity Prices'!$A$9:$A$2500,'Mineral Sands - Prices'!E32,'Commodity Prices'!$B$9:$B$2500,4)+
COUNTIFS('Commodity Prices'!$A$9:$A$2500,'Mineral Sands - Prices'!F32,'Commodity Prices'!$B$9:$B$2500,1)+
COUNTIFS('Commodity Prices'!$A$9:$A$2500,'Mineral Sands - Prices'!F32,'Commodity Prices'!$B$9:$B$2500,2))</f>
        <v>2473.6933835304098</v>
      </c>
    </row>
    <row r="33" spans="1:11">
      <c r="A33" s="427">
        <f>LARGE('Commodity Prices'!C$159:C$902,37)</f>
        <v>44166</v>
      </c>
      <c r="B33" s="524">
        <f>SUMIF('Commodity Prices'!C$109:C$902,A33,'Commodity Prices'!V$109:V$902)</f>
        <v>1525.4759061576503</v>
      </c>
      <c r="C33" s="489">
        <f>SUMIF('Commodity Prices'!C$109:C$902,A33,'Commodity Prices'!X$109:X$902)</f>
        <v>3614.7844236787751</v>
      </c>
      <c r="D33" s="70"/>
      <c r="E33" s="70">
        <f t="shared" si="0"/>
        <v>2010</v>
      </c>
      <c r="F33" s="70">
        <f t="shared" si="0"/>
        <v>2011</v>
      </c>
      <c r="G33" s="599">
        <f t="shared" si="1"/>
        <v>2010</v>
      </c>
      <c r="H33" s="903">
        <f t="array" ref="H33">IF($G$6="Historic Calendar Year",IFERROR(AVERAGE(IF($G33=YEAR('Commodity Prices'!$C$9:$C$1000),'Commodity Prices'!$V$9:$V$1000)),"NA"),IFERROR(IF(J33=0,"NA",J33),"NA"))</f>
        <v>1042.916702201426</v>
      </c>
      <c r="I33" s="593">
        <f t="array" ref="I33">IF($G$6="Historic Calendar Year",IFERROR(AVERAGE(IF($G33=YEAR('Commodity Prices'!$C$9:$C$1000),'Commodity Prices'!$X$9:$X$1000)),"N/A"),IFERROR(IF(K33=0,"N/A",K33),"N/A"))</f>
        <v>2585.3501143227295</v>
      </c>
      <c r="J33" s="228">
        <f>(SUMIFS('Commodity Prices'!$V$9:$V$2500,'Commodity Prices'!$A$9:$A$2500,'Mineral Sands - Prices'!E33,'Commodity Prices'!$B$9:$B$2500,3)+
SUMIFS('Commodity Prices'!$V$9:$V$2500,'Commodity Prices'!$A$9:$A$2500,'Mineral Sands - Prices'!E33,'Commodity Prices'!$B$9:$B$2500,4)+
SUMIFS('Commodity Prices'!$V$9:$V$2500,'Commodity Prices'!$A$9:$A$2500,'Mineral Sands - Prices'!F33,'Commodity Prices'!$B$9:$B$2500,1)+
SUMIFS('Commodity Prices'!$V$9:$V$2500,'Commodity Prices'!$A$9:$A$2500,'Mineral Sands - Prices'!F33,'Commodity Prices'!$B$9:$B$2500,2))
/(COUNTIFS('Commodity Prices'!$A$9:$A$2500,'Mineral Sands - Prices'!E33,'Commodity Prices'!$B$9:$B$2500,3)+
COUNTIFS('Commodity Prices'!$A$9:$A$2500,'Mineral Sands - Prices'!E33,'Commodity Prices'!$B$9:$B$2500,4)+
COUNTIFS('Commodity Prices'!$A$9:$A$2500,'Mineral Sands - Prices'!F33,'Commodity Prices'!$B$9:$B$2500,1)+
COUNTIFS('Commodity Prices'!$A$9:$A$2500,'Mineral Sands - Prices'!F33,'Commodity Prices'!$B$9:$B$2500,2))</f>
        <v>1277.7988704351437</v>
      </c>
      <c r="K33" s="381">
        <f>(SUMIFS('Commodity Prices'!$X$9:$X$2500,'Commodity Prices'!$A$9:$A$2500,'Mineral Sands - Prices'!E33,'Commodity Prices'!$B$9:$B$2500,3)+
SUMIFS('Commodity Prices'!$X$9:$X$2500,'Commodity Prices'!$A$9:$A$2500,'Mineral Sands - Prices'!E33,'Commodity Prices'!$B$9:$B$2500,4)+
SUMIFS('Commodity Prices'!$X$9:$X$2500,'Commodity Prices'!$A$9:$A$2500,'Mineral Sands - Prices'!F33,'Commodity Prices'!$B$9:$B$2500,1)+
SUMIFS('Commodity Prices'!$X$9:$X$2500,'Commodity Prices'!$A$9:$A$2500,'Mineral Sands - Prices'!F33,'Commodity Prices'!$B$9:$B$2500,2))
/(COUNTIFS('Commodity Prices'!$A$9:$A$2500,'Mineral Sands - Prices'!E33,'Commodity Prices'!$B$9:$B$2500,3)+
COUNTIFS('Commodity Prices'!$A$9:$A$2500,'Mineral Sands - Prices'!E33,'Commodity Prices'!$B$9:$B$2500,4)+
COUNTIFS('Commodity Prices'!$A$9:$A$2500,'Mineral Sands - Prices'!F33,'Commodity Prices'!$B$9:$B$2500,1)+
COUNTIFS('Commodity Prices'!$A$9:$A$2500,'Mineral Sands - Prices'!F33,'Commodity Prices'!$B$9:$B$2500,2))</f>
        <v>2701.6693919836343</v>
      </c>
    </row>
    <row r="34" spans="1:11">
      <c r="A34" s="428">
        <f>LARGE('Commodity Prices'!C$159:C$902,36)</f>
        <v>44197</v>
      </c>
      <c r="B34" s="903">
        <f>SUMIF('Commodity Prices'!C$109:C$902,A34,'Commodity Prices'!V$109:V$902)</f>
        <v>1716.0525778458398</v>
      </c>
      <c r="C34" s="593">
        <f>SUMIF('Commodity Prices'!C$109:C$902,A34,'Commodity Prices'!X$109:X$902)</f>
        <v>3614.7844236787751</v>
      </c>
      <c r="D34" s="70"/>
      <c r="E34" s="70">
        <f t="shared" si="0"/>
        <v>2011</v>
      </c>
      <c r="F34" s="70">
        <f t="shared" si="0"/>
        <v>2012</v>
      </c>
      <c r="G34" s="598">
        <f t="shared" si="1"/>
        <v>2011</v>
      </c>
      <c r="H34" s="524">
        <f t="array" ref="H34">IF($G$6="Historic Calendar Year",IFERROR(AVERAGE(IF($G34=YEAR('Commodity Prices'!$C$9:$C$1000),'Commodity Prices'!$V$9:$V$1000)),"NA"),IFERROR(IF(J34=0,"NA",J34),"NA"))</f>
        <v>1905.2323059264663</v>
      </c>
      <c r="I34" s="489">
        <f t="array" ref="I34">IF($G$6="Historic Calendar Year",IFERROR(AVERAGE(IF($G34=YEAR('Commodity Prices'!$C$9:$C$1000),'Commodity Prices'!$X$9:$X$1000)),"N/A"),IFERROR(IF(K34=0,"N/A",K34),"N/A"))</f>
        <v>2980.5604204028118</v>
      </c>
      <c r="J34" s="228">
        <f>(SUMIFS('Commodity Prices'!$V$9:$V$2500,'Commodity Prices'!$A$9:$A$2500,'Mineral Sands - Prices'!E34,'Commodity Prices'!$B$9:$B$2500,3)+
SUMIFS('Commodity Prices'!$V$9:$V$2500,'Commodity Prices'!$A$9:$A$2500,'Mineral Sands - Prices'!E34,'Commodity Prices'!$B$9:$B$2500,4)+
SUMIFS('Commodity Prices'!$V$9:$V$2500,'Commodity Prices'!$A$9:$A$2500,'Mineral Sands - Prices'!F34,'Commodity Prices'!$B$9:$B$2500,1)+
SUMIFS('Commodity Prices'!$V$9:$V$2500,'Commodity Prices'!$A$9:$A$2500,'Mineral Sands - Prices'!F34,'Commodity Prices'!$B$9:$B$2500,2))
/(COUNTIFS('Commodity Prices'!$A$9:$A$2500,'Mineral Sands - Prices'!E34,'Commodity Prices'!$B$9:$B$2500,3)+
COUNTIFS('Commodity Prices'!$A$9:$A$2500,'Mineral Sands - Prices'!E34,'Commodity Prices'!$B$9:$B$2500,4)+
COUNTIFS('Commodity Prices'!$A$9:$A$2500,'Mineral Sands - Prices'!F34,'Commodity Prices'!$B$9:$B$2500,1)+
COUNTIFS('Commodity Prices'!$A$9:$A$2500,'Mineral Sands - Prices'!F34,'Commodity Prices'!$B$9:$B$2500,2))</f>
        <v>2339.6804695292017</v>
      </c>
      <c r="K34" s="381">
        <f>(SUMIFS('Commodity Prices'!$X$9:$X$2500,'Commodity Prices'!$A$9:$A$2500,'Mineral Sands - Prices'!E34,'Commodity Prices'!$B$9:$B$2500,3)+
SUMIFS('Commodity Prices'!$X$9:$X$2500,'Commodity Prices'!$A$9:$A$2500,'Mineral Sands - Prices'!E34,'Commodity Prices'!$B$9:$B$2500,4)+
SUMIFS('Commodity Prices'!$X$9:$X$2500,'Commodity Prices'!$A$9:$A$2500,'Mineral Sands - Prices'!F34,'Commodity Prices'!$B$9:$B$2500,1)+
SUMIFS('Commodity Prices'!$X$9:$X$2500,'Commodity Prices'!$A$9:$A$2500,'Mineral Sands - Prices'!F34,'Commodity Prices'!$B$9:$B$2500,2))
/(COUNTIFS('Commodity Prices'!$A$9:$A$2500,'Mineral Sands - Prices'!E34,'Commodity Prices'!$B$9:$B$2500,3)+
COUNTIFS('Commodity Prices'!$A$9:$A$2500,'Mineral Sands - Prices'!E34,'Commodity Prices'!$B$9:$B$2500,4)+
COUNTIFS('Commodity Prices'!$A$9:$A$2500,'Mineral Sands - Prices'!F34,'Commodity Prices'!$B$9:$B$2500,1)+
COUNTIFS('Commodity Prices'!$A$9:$A$2500,'Mineral Sands - Prices'!F34,'Commodity Prices'!$B$9:$B$2500,2))</f>
        <v>3215.8493205809177</v>
      </c>
    </row>
    <row r="35" spans="1:11">
      <c r="A35" s="427">
        <f>LARGE('Commodity Prices'!C$159:C$902,35)</f>
        <v>44228</v>
      </c>
      <c r="B35" s="524">
        <f>SUMIF('Commodity Prices'!C$109:C$902,A35,'Commodity Prices'!V$109:V$902)</f>
        <v>1704.9851469163707</v>
      </c>
      <c r="C35" s="489">
        <f>SUMIF('Commodity Prices'!C$109:C$902,A35,'Commodity Prices'!X$109:X$902)</f>
        <v>3555.2726009570724</v>
      </c>
      <c r="D35" s="70"/>
      <c r="E35" s="70">
        <f t="shared" si="0"/>
        <v>2012</v>
      </c>
      <c r="F35" s="70">
        <f t="shared" si="0"/>
        <v>2013</v>
      </c>
      <c r="G35" s="599">
        <f t="shared" si="1"/>
        <v>2012</v>
      </c>
      <c r="H35" s="903">
        <f t="array" ref="H35">IF($G$6="Historic Calendar Year",IFERROR(AVERAGE(IF($G35=YEAR('Commodity Prices'!$C$9:$C$1000),'Commodity Prices'!$V$9:$V$1000)),"NA"),IFERROR(IF(J35=0,"NA",J35),"NA"))</f>
        <v>2188.2575402213502</v>
      </c>
      <c r="I35" s="593">
        <f t="array" ref="I35">IF($G$6="Historic Calendar Year",IFERROR(AVERAGE(IF($G35=YEAR('Commodity Prices'!$C$9:$C$1000),'Commodity Prices'!$X$9:$X$1000)),"N/A"),IFERROR(IF(K35=0,"N/A",K35),"N/A"))</f>
        <v>3069.6162170961056</v>
      </c>
      <c r="J35" s="228">
        <f>(SUMIFS('Commodity Prices'!$V$9:$V$2500,'Commodity Prices'!$A$9:$A$2500,'Mineral Sands - Prices'!E35,'Commodity Prices'!$B$9:$B$2500,3)+
SUMIFS('Commodity Prices'!$V$9:$V$2500,'Commodity Prices'!$A$9:$A$2500,'Mineral Sands - Prices'!E35,'Commodity Prices'!$B$9:$B$2500,4)+
SUMIFS('Commodity Prices'!$V$9:$V$2500,'Commodity Prices'!$A$9:$A$2500,'Mineral Sands - Prices'!F35,'Commodity Prices'!$B$9:$B$2500,1)+
SUMIFS('Commodity Prices'!$V$9:$V$2500,'Commodity Prices'!$A$9:$A$2500,'Mineral Sands - Prices'!F35,'Commodity Prices'!$B$9:$B$2500,2))
/(COUNTIFS('Commodity Prices'!$A$9:$A$2500,'Mineral Sands - Prices'!E35,'Commodity Prices'!$B$9:$B$2500,3)+
COUNTIFS('Commodity Prices'!$A$9:$A$2500,'Mineral Sands - Prices'!E35,'Commodity Prices'!$B$9:$B$2500,4)+
COUNTIFS('Commodity Prices'!$A$9:$A$2500,'Mineral Sands - Prices'!F35,'Commodity Prices'!$B$9:$B$2500,1)+
COUNTIFS('Commodity Prices'!$A$9:$A$2500,'Mineral Sands - Prices'!F35,'Commodity Prices'!$B$9:$B$2500,2))</f>
        <v>1617.471516205637</v>
      </c>
      <c r="K35" s="381">
        <f>(SUMIFS('Commodity Prices'!$X$9:$X$2500,'Commodity Prices'!$A$9:$A$2500,'Mineral Sands - Prices'!E35,'Commodity Prices'!$B$9:$B$2500,3)+
SUMIFS('Commodity Prices'!$X$9:$X$2500,'Commodity Prices'!$A$9:$A$2500,'Mineral Sands - Prices'!E35,'Commodity Prices'!$B$9:$B$2500,4)+
SUMIFS('Commodity Prices'!$X$9:$X$2500,'Commodity Prices'!$A$9:$A$2500,'Mineral Sands - Prices'!F35,'Commodity Prices'!$B$9:$B$2500,1)+
SUMIFS('Commodity Prices'!$X$9:$X$2500,'Commodity Prices'!$A$9:$A$2500,'Mineral Sands - Prices'!F35,'Commodity Prices'!$B$9:$B$2500,2))
/(COUNTIFS('Commodity Prices'!$A$9:$A$2500,'Mineral Sands - Prices'!E35,'Commodity Prices'!$B$9:$B$2500,3)+
COUNTIFS('Commodity Prices'!$A$9:$A$2500,'Mineral Sands - Prices'!E35,'Commodity Prices'!$B$9:$B$2500,4)+
COUNTIFS('Commodity Prices'!$A$9:$A$2500,'Mineral Sands - Prices'!F35,'Commodity Prices'!$B$9:$B$2500,1)+
COUNTIFS('Commodity Prices'!$A$9:$A$2500,'Mineral Sands - Prices'!F35,'Commodity Prices'!$B$9:$B$2500,2))</f>
        <v>2745.8495504381449</v>
      </c>
    </row>
    <row r="36" spans="1:11">
      <c r="A36" s="428">
        <f>LARGE('Commodity Prices'!C$159:C$902,34)</f>
        <v>44256</v>
      </c>
      <c r="B36" s="903">
        <f>SUMIF('Commodity Prices'!C$109:C$902,A36,'Commodity Prices'!V$109:V$902)</f>
        <v>1549.3028445883442</v>
      </c>
      <c r="C36" s="593">
        <f>SUMIF('Commodity Prices'!C$109:C$902,A36,'Commodity Prices'!X$109:X$902)</f>
        <v>3566.9015170882326</v>
      </c>
      <c r="D36" s="70"/>
      <c r="E36" s="70">
        <f t="shared" si="0"/>
        <v>2013</v>
      </c>
      <c r="F36" s="70">
        <f t="shared" si="0"/>
        <v>2014</v>
      </c>
      <c r="G36" s="598">
        <f t="shared" si="1"/>
        <v>2013</v>
      </c>
      <c r="H36" s="524">
        <f t="array" ref="H36">IF($G$6="Historic Calendar Year",IFERROR(AVERAGE(IF($G36=YEAR('Commodity Prices'!$C$9:$C$1000),'Commodity Prices'!$V$9:$V$1000)),"NA"),IFERROR(IF(J36=0,"NA",J36),"NA"))</f>
        <v>1238.6040401044102</v>
      </c>
      <c r="I36" s="489">
        <f t="array" ref="I36">IF($G$6="Historic Calendar Year",IFERROR(AVERAGE(IF($G36=YEAR('Commodity Prices'!$C$9:$C$1000),'Commodity Prices'!$X$9:$X$1000)),"N/A"),IFERROR(IF(K36=0,"N/A",K36),"N/A"))</f>
        <v>2679.9377199623591</v>
      </c>
      <c r="J36" s="228">
        <f>(SUMIFS('Commodity Prices'!$V$9:$V$2500,'Commodity Prices'!$A$9:$A$2500,'Mineral Sands - Prices'!E36,'Commodity Prices'!$B$9:$B$2500,3)+
SUMIFS('Commodity Prices'!$V$9:$V$2500,'Commodity Prices'!$A$9:$A$2500,'Mineral Sands - Prices'!E36,'Commodity Prices'!$B$9:$B$2500,4)+
SUMIFS('Commodity Prices'!$V$9:$V$2500,'Commodity Prices'!$A$9:$A$2500,'Mineral Sands - Prices'!F36,'Commodity Prices'!$B$9:$B$2500,1)+
SUMIFS('Commodity Prices'!$V$9:$V$2500,'Commodity Prices'!$A$9:$A$2500,'Mineral Sands - Prices'!F36,'Commodity Prices'!$B$9:$B$2500,2))
/(COUNTIFS('Commodity Prices'!$A$9:$A$2500,'Mineral Sands - Prices'!E36,'Commodity Prices'!$B$9:$B$2500,3)+
COUNTIFS('Commodity Prices'!$A$9:$A$2500,'Mineral Sands - Prices'!E36,'Commodity Prices'!$B$9:$B$2500,4)+
COUNTIFS('Commodity Prices'!$A$9:$A$2500,'Mineral Sands - Prices'!F36,'Commodity Prices'!$B$9:$B$2500,1)+
COUNTIFS('Commodity Prices'!$A$9:$A$2500,'Mineral Sands - Prices'!F36,'Commodity Prices'!$B$9:$B$2500,2))</f>
        <v>1214.7701106045768</v>
      </c>
      <c r="K36" s="381">
        <f>(SUMIFS('Commodity Prices'!$X$9:$X$2500,'Commodity Prices'!$A$9:$A$2500,'Mineral Sands - Prices'!E36,'Commodity Prices'!$B$9:$B$2500,3)+
SUMIFS('Commodity Prices'!$X$9:$X$2500,'Commodity Prices'!$A$9:$A$2500,'Mineral Sands - Prices'!E36,'Commodity Prices'!$B$9:$B$2500,4)+
SUMIFS('Commodity Prices'!$X$9:$X$2500,'Commodity Prices'!$A$9:$A$2500,'Mineral Sands - Prices'!F36,'Commodity Prices'!$B$9:$B$2500,1)+
SUMIFS('Commodity Prices'!$X$9:$X$2500,'Commodity Prices'!$A$9:$A$2500,'Mineral Sands - Prices'!F36,'Commodity Prices'!$B$9:$B$2500,2))
/(COUNTIFS('Commodity Prices'!$A$9:$A$2500,'Mineral Sands - Prices'!E36,'Commodity Prices'!$B$9:$B$2500,3)+
COUNTIFS('Commodity Prices'!$A$9:$A$2500,'Mineral Sands - Prices'!E36,'Commodity Prices'!$B$9:$B$2500,4)+
COUNTIFS('Commodity Prices'!$A$9:$A$2500,'Mineral Sands - Prices'!F36,'Commodity Prices'!$B$9:$B$2500,1)+
COUNTIFS('Commodity Prices'!$A$9:$A$2500,'Mineral Sands - Prices'!F36,'Commodity Prices'!$B$9:$B$2500,2))</f>
        <v>2778.5921703270246</v>
      </c>
    </row>
    <row r="37" spans="1:11">
      <c r="A37" s="427">
        <f>LARGE('Commodity Prices'!C$159:C$902,33)</f>
        <v>44287</v>
      </c>
      <c r="B37" s="524">
        <f>SUMIF('Commodity Prices'!C$109:C$902,A37,'Commodity Prices'!V$109:V$902)</f>
        <v>1773.6919422620135</v>
      </c>
      <c r="C37" s="489">
        <f>SUMIF('Commodity Prices'!C$109:C$902,A37,'Commodity Prices'!X$109:X$902)</f>
        <v>3684.4856798233413</v>
      </c>
      <c r="D37" s="70"/>
      <c r="E37" s="70">
        <f t="shared" si="0"/>
        <v>2014</v>
      </c>
      <c r="F37" s="70">
        <f t="shared" si="0"/>
        <v>2015</v>
      </c>
      <c r="G37" s="599">
        <f t="shared" si="1"/>
        <v>2014</v>
      </c>
      <c r="H37" s="903">
        <f t="array" ref="H37">IF($G$6="Historic Calendar Year",IFERROR(AVERAGE(IF($G37=YEAR('Commodity Prices'!$C$9:$C$1000),'Commodity Prices'!$V$9:$V$1000)),"NA"),IFERROR(IF(J37=0,"NA",J37),"NA"))</f>
        <v>1203.8395062815061</v>
      </c>
      <c r="I37" s="593">
        <f t="array" ref="I37">IF($G$6="Historic Calendar Year",IFERROR(AVERAGE(IF($G37=YEAR('Commodity Prices'!$C$9:$C$1000),'Commodity Prices'!$X$9:$X$1000)),"N/A"),IFERROR(IF(K37=0,"N/A",K37),"N/A"))</f>
        <v>2884.5892029194256</v>
      </c>
      <c r="J37" s="228">
        <f>(SUMIFS('Commodity Prices'!$V$9:$V$2500,'Commodity Prices'!$A$9:$A$2500,'Mineral Sands - Prices'!E37,'Commodity Prices'!$B$9:$B$2500,3)+
SUMIFS('Commodity Prices'!$V$9:$V$2500,'Commodity Prices'!$A$9:$A$2500,'Mineral Sands - Prices'!E37,'Commodity Prices'!$B$9:$B$2500,4)+
SUMIFS('Commodity Prices'!$V$9:$V$2500,'Commodity Prices'!$A$9:$A$2500,'Mineral Sands - Prices'!F37,'Commodity Prices'!$B$9:$B$2500,1)+
SUMIFS('Commodity Prices'!$V$9:$V$2500,'Commodity Prices'!$A$9:$A$2500,'Mineral Sands - Prices'!F37,'Commodity Prices'!$B$9:$B$2500,2))
/(COUNTIFS('Commodity Prices'!$A$9:$A$2500,'Mineral Sands - Prices'!E37,'Commodity Prices'!$B$9:$B$2500,3)+
COUNTIFS('Commodity Prices'!$A$9:$A$2500,'Mineral Sands - Prices'!E37,'Commodity Prices'!$B$9:$B$2500,4)+
COUNTIFS('Commodity Prices'!$A$9:$A$2500,'Mineral Sands - Prices'!F37,'Commodity Prices'!$B$9:$B$2500,1)+
COUNTIFS('Commodity Prices'!$A$9:$A$2500,'Mineral Sands - Prices'!F37,'Commodity Prices'!$B$9:$B$2500,2))</f>
        <v>1307.0379518377345</v>
      </c>
      <c r="K37" s="381">
        <f>(SUMIFS('Commodity Prices'!$X$9:$X$2500,'Commodity Prices'!$A$9:$A$2500,'Mineral Sands - Prices'!E37,'Commodity Prices'!$B$9:$B$2500,3)+
SUMIFS('Commodity Prices'!$X$9:$X$2500,'Commodity Prices'!$A$9:$A$2500,'Mineral Sands - Prices'!E37,'Commodity Prices'!$B$9:$B$2500,4)+
SUMIFS('Commodity Prices'!$X$9:$X$2500,'Commodity Prices'!$A$9:$A$2500,'Mineral Sands - Prices'!F37,'Commodity Prices'!$B$9:$B$2500,1)+
SUMIFS('Commodity Prices'!$X$9:$X$2500,'Commodity Prices'!$A$9:$A$2500,'Mineral Sands - Prices'!F37,'Commodity Prices'!$B$9:$B$2500,2))
/(COUNTIFS('Commodity Prices'!$A$9:$A$2500,'Mineral Sands - Prices'!E37,'Commodity Prices'!$B$9:$B$2500,3)+
COUNTIFS('Commodity Prices'!$A$9:$A$2500,'Mineral Sands - Prices'!E37,'Commodity Prices'!$B$9:$B$2500,4)+
COUNTIFS('Commodity Prices'!$A$9:$A$2500,'Mineral Sands - Prices'!F37,'Commodity Prices'!$B$9:$B$2500,1)+
COUNTIFS('Commodity Prices'!$A$9:$A$2500,'Mineral Sands - Prices'!F37,'Commodity Prices'!$B$9:$B$2500,2))</f>
        <v>2998.1335068261451</v>
      </c>
    </row>
    <row r="38" spans="1:11">
      <c r="A38" s="428">
        <f>LARGE('Commodity Prices'!C$159:C$902,32)</f>
        <v>44317</v>
      </c>
      <c r="B38" s="903">
        <f>SUMIF('Commodity Prices'!C$109:C$902,A38,'Commodity Prices'!V$109:V$902)</f>
        <v>1782.5444579780756</v>
      </c>
      <c r="C38" s="593">
        <f>SUMIF('Commodity Prices'!C$109:C$902,A38,'Commodity Prices'!X$109:X$902)</f>
        <v>3621.6441047254616</v>
      </c>
      <c r="D38" s="70"/>
      <c r="E38" s="70">
        <f t="shared" si="0"/>
        <v>2015</v>
      </c>
      <c r="F38" s="70">
        <f t="shared" si="0"/>
        <v>2016</v>
      </c>
      <c r="G38" s="598">
        <f t="shared" si="1"/>
        <v>2015</v>
      </c>
      <c r="H38" s="524">
        <f t="array" ref="H38">IF($G$6="Historic Calendar Year",IFERROR(AVERAGE(IF($G38=YEAR('Commodity Prices'!$C$9:$C$1000),'Commodity Prices'!$V$9:$V$1000)),"NA"),IFERROR(IF(J38=0,"NA",J38),"NA"))</f>
        <v>1360.0217875636138</v>
      </c>
      <c r="I38" s="489">
        <f t="array" ref="I38">IF($G$6="Historic Calendar Year",IFERROR(AVERAGE(IF($G38=YEAR('Commodity Prices'!$C$9:$C$1000),'Commodity Prices'!$X$9:$X$1000)),"N/A"),IFERROR(IF(K38=0,"N/A",K38),"N/A"))</f>
        <v>3011.9026469160121</v>
      </c>
      <c r="J38" s="228">
        <f>(SUMIFS('Commodity Prices'!$V$9:$V$2500,'Commodity Prices'!$A$9:$A$2500,'Mineral Sands - Prices'!E38,'Commodity Prices'!$B$9:$B$2500,3)+
SUMIFS('Commodity Prices'!$V$9:$V$2500,'Commodity Prices'!$A$9:$A$2500,'Mineral Sands - Prices'!E38,'Commodity Prices'!$B$9:$B$2500,4)+
SUMIFS('Commodity Prices'!$V$9:$V$2500,'Commodity Prices'!$A$9:$A$2500,'Mineral Sands - Prices'!F38,'Commodity Prices'!$B$9:$B$2500,1)+
SUMIFS('Commodity Prices'!$V$9:$V$2500,'Commodity Prices'!$A$9:$A$2500,'Mineral Sands - Prices'!F38,'Commodity Prices'!$B$9:$B$2500,2))
/(COUNTIFS('Commodity Prices'!$A$9:$A$2500,'Mineral Sands - Prices'!E38,'Commodity Prices'!$B$9:$B$2500,3)+
COUNTIFS('Commodity Prices'!$A$9:$A$2500,'Mineral Sands - Prices'!E38,'Commodity Prices'!$B$9:$B$2500,4)+
COUNTIFS('Commodity Prices'!$A$9:$A$2500,'Mineral Sands - Prices'!F38,'Commodity Prices'!$B$9:$B$2500,1)+
COUNTIFS('Commodity Prices'!$A$9:$A$2500,'Mineral Sands - Prices'!F38,'Commodity Prices'!$B$9:$B$2500,2))</f>
        <v>1297.4232853007895</v>
      </c>
      <c r="K38" s="381">
        <f>(SUMIFS('Commodity Prices'!$X$9:$X$2500,'Commodity Prices'!$A$9:$A$2500,'Mineral Sands - Prices'!E38,'Commodity Prices'!$B$9:$B$2500,3)+
SUMIFS('Commodity Prices'!$X$9:$X$2500,'Commodity Prices'!$A$9:$A$2500,'Mineral Sands - Prices'!E38,'Commodity Prices'!$B$9:$B$2500,4)+
SUMIFS('Commodity Prices'!$X$9:$X$2500,'Commodity Prices'!$A$9:$A$2500,'Mineral Sands - Prices'!F38,'Commodity Prices'!$B$9:$B$2500,1)+
SUMIFS('Commodity Prices'!$X$9:$X$2500,'Commodity Prices'!$A$9:$A$2500,'Mineral Sands - Prices'!F38,'Commodity Prices'!$B$9:$B$2500,2))
/(COUNTIFS('Commodity Prices'!$A$9:$A$2500,'Mineral Sands - Prices'!E38,'Commodity Prices'!$B$9:$B$2500,3)+
COUNTIFS('Commodity Prices'!$A$9:$A$2500,'Mineral Sands - Prices'!E38,'Commodity Prices'!$B$9:$B$2500,4)+
COUNTIFS('Commodity Prices'!$A$9:$A$2500,'Mineral Sands - Prices'!F38,'Commodity Prices'!$B$9:$B$2500,1)+
COUNTIFS('Commodity Prices'!$A$9:$A$2500,'Mineral Sands - Prices'!F38,'Commodity Prices'!$B$9:$B$2500,2))</f>
        <v>2908.9764066173634</v>
      </c>
    </row>
    <row r="39" spans="1:11">
      <c r="A39" s="427">
        <f>LARGE('Commodity Prices'!C$159:C$902,31)</f>
        <v>44348</v>
      </c>
      <c r="B39" s="524">
        <f>SUMIF('Commodity Prices'!C$109:C$902,A39,'Commodity Prices'!V$109:V$902)</f>
        <v>1837.0598842686045</v>
      </c>
      <c r="C39" s="489">
        <f>SUMIF('Commodity Prices'!C$109:C$902,A39,'Commodity Prices'!X$109:X$902)</f>
        <v>3828.0472520462649</v>
      </c>
      <c r="D39" s="70"/>
      <c r="E39" s="70">
        <f t="shared" si="0"/>
        <v>2016</v>
      </c>
      <c r="F39" s="70">
        <f t="shared" si="0"/>
        <v>2017</v>
      </c>
      <c r="G39" s="598">
        <f t="shared" si="1"/>
        <v>2016</v>
      </c>
      <c r="H39" s="903">
        <f t="array" ref="H39">IF($G$6="Historic Calendar Year",IFERROR(AVERAGE(IF($G39=YEAR('Commodity Prices'!$C$9:$C$1000),'Commodity Prices'!$V$9:$V$1000)),"NA"),IFERROR(IF(J39=0,"NA",J39),"NA"))</f>
        <v>1201.5145088253028</v>
      </c>
      <c r="I39" s="593">
        <f t="array" ref="I39">IF($G$6="Historic Calendar Year",IFERROR(AVERAGE(IF($G39=YEAR('Commodity Prices'!$C$9:$C$1000),'Commodity Prices'!$X$9:$X$1000)),"N/A"),IFERROR(IF(K39=0,"N/A",K39),"N/A"))</f>
        <v>2878.063025644989</v>
      </c>
      <c r="J39" s="228">
        <f>(SUMIFS('Commodity Prices'!$V$9:$V$2500,'Commodity Prices'!$A$9:$A$2500,'Mineral Sands - Prices'!E39,'Commodity Prices'!$B$9:$B$2500,3)+
SUMIFS('Commodity Prices'!$V$9:$V$2500,'Commodity Prices'!$A$9:$A$2500,'Mineral Sands - Prices'!E39,'Commodity Prices'!$B$9:$B$2500,4)+
SUMIFS('Commodity Prices'!$V$9:$V$2500,'Commodity Prices'!$A$9:$A$2500,'Mineral Sands - Prices'!F39,'Commodity Prices'!$B$9:$B$2500,1)+
SUMIFS('Commodity Prices'!$V$9:$V$2500,'Commodity Prices'!$A$9:$A$2500,'Mineral Sands - Prices'!F39,'Commodity Prices'!$B$9:$B$2500,2))
/(COUNTIFS('Commodity Prices'!$A$9:$A$2500,'Mineral Sands - Prices'!E39,'Commodity Prices'!$B$9:$B$2500,3)+
COUNTIFS('Commodity Prices'!$A$9:$A$2500,'Mineral Sands - Prices'!E39,'Commodity Prices'!$B$9:$B$2500,4)+
COUNTIFS('Commodity Prices'!$A$9:$A$2500,'Mineral Sands - Prices'!F39,'Commodity Prices'!$B$9:$B$2500,1)+
COUNTIFS('Commodity Prices'!$A$9:$A$2500,'Mineral Sands - Prices'!F39,'Commodity Prices'!$B$9:$B$2500,2))</f>
        <v>1199.4231794157658</v>
      </c>
      <c r="K39" s="381">
        <f>(SUMIFS('Commodity Prices'!$X$9:$X$2500,'Commodity Prices'!$A$9:$A$2500,'Mineral Sands - Prices'!E39,'Commodity Prices'!$B$9:$B$2500,3)+
SUMIFS('Commodity Prices'!$X$9:$X$2500,'Commodity Prices'!$A$9:$A$2500,'Mineral Sands - Prices'!E39,'Commodity Prices'!$B$9:$B$2500,4)+
SUMIFS('Commodity Prices'!$X$9:$X$2500,'Commodity Prices'!$A$9:$A$2500,'Mineral Sands - Prices'!F39,'Commodity Prices'!$B$9:$B$2500,1)+
SUMIFS('Commodity Prices'!$X$9:$X$2500,'Commodity Prices'!$A$9:$A$2500,'Mineral Sands - Prices'!F39,'Commodity Prices'!$B$9:$B$2500,2))
/(COUNTIFS('Commodity Prices'!$A$9:$A$2500,'Mineral Sands - Prices'!E39,'Commodity Prices'!$B$9:$B$2500,3)+
COUNTIFS('Commodity Prices'!$A$9:$A$2500,'Mineral Sands - Prices'!E39,'Commodity Prices'!$B$9:$B$2500,4)+
COUNTIFS('Commodity Prices'!$A$9:$A$2500,'Mineral Sands - Prices'!F39,'Commodity Prices'!$B$9:$B$2500,1)+
COUNTIFS('Commodity Prices'!$A$9:$A$2500,'Mineral Sands - Prices'!F39,'Commodity Prices'!$B$9:$B$2500,2))</f>
        <v>3033.5430277993232</v>
      </c>
    </row>
    <row r="40" spans="1:11">
      <c r="A40" s="428">
        <f>LARGE('Commodity Prices'!C$159:C$902,30)</f>
        <v>44378</v>
      </c>
      <c r="B40" s="903">
        <f>SUMIF('Commodity Prices'!C$109:C$902,A40,'Commodity Prices'!V$109:V$902)</f>
        <v>1951.5079338100927</v>
      </c>
      <c r="C40" s="593">
        <f>SUMIF('Commodity Prices'!C$109:C$902,A40,'Commodity Prices'!X$109:X$902)</f>
        <v>3918.7916710748777</v>
      </c>
      <c r="D40" s="70"/>
      <c r="E40" s="70">
        <f t="shared" si="0"/>
        <v>2017</v>
      </c>
      <c r="F40" s="70">
        <f t="shared" si="0"/>
        <v>2018</v>
      </c>
      <c r="G40" s="598">
        <f t="shared" si="1"/>
        <v>2017</v>
      </c>
      <c r="H40" s="524">
        <f t="array" ref="H40">IF($G$6="Historic Calendar Year",IFERROR(AVERAGE(IF($G40=YEAR('Commodity Prices'!$C$9:$C$1000),'Commodity Prices'!$V$9:$V$1000)),"NA"),IFERROR(IF(J40=0,"NA",J40),"NA"))</f>
        <v>1347.8244285427531</v>
      </c>
      <c r="I40" s="489">
        <f t="array" ref="I40">IF($G$6="Historic Calendar Year",IFERROR(AVERAGE(IF($G40=YEAR('Commodity Prices'!$C$9:$C$1000),'Commodity Prices'!$X$9:$X$1000)),"N/A"),IFERROR(IF(K40=0,"N/A",K40),"N/A"))</f>
        <v>3304.7281056086772</v>
      </c>
      <c r="J40" s="228">
        <f>(SUMIFS('Commodity Prices'!$V$9:$V$2500,'Commodity Prices'!$A$9:$A$2500,'Mineral Sands - Prices'!E40,'Commodity Prices'!$B$9:$B$2500,3)+
SUMIFS('Commodity Prices'!$V$9:$V$2500,'Commodity Prices'!$A$9:$A$2500,'Mineral Sands - Prices'!E40,'Commodity Prices'!$B$9:$B$2500,4)+
SUMIFS('Commodity Prices'!$V$9:$V$2500,'Commodity Prices'!$A$9:$A$2500,'Mineral Sands - Prices'!F40,'Commodity Prices'!$B$9:$B$2500,1)+
SUMIFS('Commodity Prices'!$V$9:$V$2500,'Commodity Prices'!$A$9:$A$2500,'Mineral Sands - Prices'!F40,'Commodity Prices'!$B$9:$B$2500,2))
/(COUNTIFS('Commodity Prices'!$A$9:$A$2500,'Mineral Sands - Prices'!E40,'Commodity Prices'!$B$9:$B$2500,3)+
COUNTIFS('Commodity Prices'!$A$9:$A$2500,'Mineral Sands - Prices'!E40,'Commodity Prices'!$B$9:$B$2500,4)+
COUNTIFS('Commodity Prices'!$A$9:$A$2500,'Mineral Sands - Prices'!F40,'Commodity Prices'!$B$9:$B$2500,1)+
COUNTIFS('Commodity Prices'!$A$9:$A$2500,'Mineral Sands - Prices'!F40,'Commodity Prices'!$B$9:$B$2500,2))</f>
        <v>1647.2862749250464</v>
      </c>
      <c r="K40" s="381">
        <f>(SUMIFS('Commodity Prices'!$X$9:$X$2500,'Commodity Prices'!$A$9:$A$2500,'Mineral Sands - Prices'!E40,'Commodity Prices'!$B$9:$B$2500,3)+
SUMIFS('Commodity Prices'!$X$9:$X$2500,'Commodity Prices'!$A$9:$A$2500,'Mineral Sands - Prices'!E40,'Commodity Prices'!$B$9:$B$2500,4)+
SUMIFS('Commodity Prices'!$X$9:$X$2500,'Commodity Prices'!$A$9:$A$2500,'Mineral Sands - Prices'!F40,'Commodity Prices'!$B$9:$B$2500,1)+
SUMIFS('Commodity Prices'!$X$9:$X$2500,'Commodity Prices'!$A$9:$A$2500,'Mineral Sands - Prices'!F40,'Commodity Prices'!$B$9:$B$2500,2))
/(COUNTIFS('Commodity Prices'!$A$9:$A$2500,'Mineral Sands - Prices'!E40,'Commodity Prices'!$B$9:$B$2500,3)+
COUNTIFS('Commodity Prices'!$A$9:$A$2500,'Mineral Sands - Prices'!E40,'Commodity Prices'!$B$9:$B$2500,4)+
COUNTIFS('Commodity Prices'!$A$9:$A$2500,'Mineral Sands - Prices'!F40,'Commodity Prices'!$B$9:$B$2500,1)+
COUNTIFS('Commodity Prices'!$A$9:$A$2500,'Mineral Sands - Prices'!F40,'Commodity Prices'!$B$9:$B$2500,2))</f>
        <v>3608.6324065566937</v>
      </c>
    </row>
    <row r="41" spans="1:11">
      <c r="A41" s="427">
        <f>LARGE('Commodity Prices'!C$159:C$902,29)</f>
        <v>44409</v>
      </c>
      <c r="B41" s="524">
        <f>SUMIF('Commodity Prices'!C$109:C$902,A41,'Commodity Prices'!V$109:V$902)</f>
        <v>2081.1388888888887</v>
      </c>
      <c r="C41" s="489">
        <f>SUMIF('Commodity Prices'!C$109:C$902,A41,'Commodity Prices'!X$109:X$902)</f>
        <v>4032.5339931623266</v>
      </c>
      <c r="D41" s="70"/>
      <c r="E41" s="70">
        <f t="shared" si="0"/>
        <v>2018</v>
      </c>
      <c r="F41" s="70">
        <f t="shared" si="0"/>
        <v>2019</v>
      </c>
      <c r="G41" s="598">
        <f t="shared" si="1"/>
        <v>2018</v>
      </c>
      <c r="H41" s="903">
        <f t="array" ref="H41">IF($G$6="Historic Calendar Year",IFERROR(AVERAGE(IF($G41=YEAR('Commodity Prices'!$C$9:$C$1000),'Commodity Prices'!$V$9:$V$1000)),"NA"),IFERROR(IF(J41=0,"NA",J41),"NA"))</f>
        <v>1985.0599543806563</v>
      </c>
      <c r="I41" s="593">
        <f t="array" ref="I41">IF($G$6="Historic Calendar Year",IFERROR(AVERAGE(IF($G41=YEAR('Commodity Prices'!$C$9:$C$1000),'Commodity Prices'!$X$9:$X$1000)),"N/A"),IFERROR(IF(K41=0,"N/A",K41),"N/A"))</f>
        <v>3827.2717032225696</v>
      </c>
      <c r="J41" s="228">
        <f>(SUMIFS('Commodity Prices'!$V$9:$V$2500,'Commodity Prices'!$A$9:$A$2500,'Mineral Sands - Prices'!E41,'Commodity Prices'!$B$9:$B$2500,3)+
SUMIFS('Commodity Prices'!$V$9:$V$2500,'Commodity Prices'!$A$9:$A$2500,'Mineral Sands - Prices'!E41,'Commodity Prices'!$B$9:$B$2500,4)+
SUMIFS('Commodity Prices'!$V$9:$V$2500,'Commodity Prices'!$A$9:$A$2500,'Mineral Sands - Prices'!F41,'Commodity Prices'!$B$9:$B$2500,1)+
SUMIFS('Commodity Prices'!$V$9:$V$2500,'Commodity Prices'!$A$9:$A$2500,'Mineral Sands - Prices'!F41,'Commodity Prices'!$B$9:$B$2500,2))
/(COUNTIFS('Commodity Prices'!$A$9:$A$2500,'Mineral Sands - Prices'!E41,'Commodity Prices'!$B$9:$B$2500,3)+
COUNTIFS('Commodity Prices'!$A$9:$A$2500,'Mineral Sands - Prices'!E41,'Commodity Prices'!$B$9:$B$2500,4)+
COUNTIFS('Commodity Prices'!$A$9:$A$2500,'Mineral Sands - Prices'!F41,'Commodity Prices'!$B$9:$B$2500,1)+
COUNTIFS('Commodity Prices'!$A$9:$A$2500,'Mineral Sands - Prices'!F41,'Commodity Prices'!$B$9:$B$2500,2))</f>
        <v>2168.0725941767664</v>
      </c>
      <c r="K41" s="381">
        <f>(SUMIFS('Commodity Prices'!$X$9:$X$2500,'Commodity Prices'!$A$9:$A$2500,'Mineral Sands - Prices'!E41,'Commodity Prices'!$B$9:$B$2500,3)+
SUMIFS('Commodity Prices'!$X$9:$X$2500,'Commodity Prices'!$A$9:$A$2500,'Mineral Sands - Prices'!E41,'Commodity Prices'!$B$9:$B$2500,4)+
SUMIFS('Commodity Prices'!$X$9:$X$2500,'Commodity Prices'!$A$9:$A$2500,'Mineral Sands - Prices'!F41,'Commodity Prices'!$B$9:$B$2500,1)+
SUMIFS('Commodity Prices'!$X$9:$X$2500,'Commodity Prices'!$A$9:$A$2500,'Mineral Sands - Prices'!F41,'Commodity Prices'!$B$9:$B$2500,2))
/(COUNTIFS('Commodity Prices'!$A$9:$A$2500,'Mineral Sands - Prices'!E41,'Commodity Prices'!$B$9:$B$2500,3)+
COUNTIFS('Commodity Prices'!$A$9:$A$2500,'Mineral Sands - Prices'!E41,'Commodity Prices'!$B$9:$B$2500,4)+
COUNTIFS('Commodity Prices'!$A$9:$A$2500,'Mineral Sands - Prices'!F41,'Commodity Prices'!$B$9:$B$2500,1)+
COUNTIFS('Commodity Prices'!$A$9:$A$2500,'Mineral Sands - Prices'!F41,'Commodity Prices'!$B$9:$B$2500,2))</f>
        <v>3901.1013349327536</v>
      </c>
    </row>
    <row r="42" spans="1:11">
      <c r="A42" s="428">
        <f>LARGE('Commodity Prices'!C$159:C$902,28)</f>
        <v>44440</v>
      </c>
      <c r="B42" s="903">
        <f>SUMIF('Commodity Prices'!C$109:C$902,A42,'Commodity Prices'!V$109:V$902)</f>
        <v>2066.2563540753727</v>
      </c>
      <c r="C42" s="593">
        <f>SUMIF('Commodity Prices'!C$109:C$902,A42,'Commodity Prices'!X$109:X$902)</f>
        <v>4089.7249899767207</v>
      </c>
      <c r="D42" s="70"/>
      <c r="E42" s="70">
        <f t="shared" si="0"/>
        <v>2019</v>
      </c>
      <c r="F42" s="70">
        <f t="shared" si="0"/>
        <v>2020</v>
      </c>
      <c r="G42" s="598">
        <f t="shared" si="1"/>
        <v>2019</v>
      </c>
      <c r="H42" s="524">
        <f t="array" ref="H42">IF($G$6="Historic Calendar Year",IFERROR(AVERAGE(IF($G42=YEAR('Commodity Prices'!$C$9:$C$1000),'Commodity Prices'!$V$9:$V$1000)),"NA"),IFERROR(IF(J42=0,"NA",J42),"NA"))</f>
        <v>2172.7337378270604</v>
      </c>
      <c r="I42" s="489">
        <f t="array" ref="I42">IF($G$6="Historic Calendar Year",IFERROR(AVERAGE(IF($G42=YEAR('Commodity Prices'!$C$9:$C$1000),'Commodity Prices'!$X$9:$X$1000)),"N/A"),IFERROR(IF(K42=0,"N/A",K42),"N/A"))</f>
        <v>3947.7303055069774</v>
      </c>
      <c r="J42" s="228">
        <f>(SUMIFS('Commodity Prices'!$V$9:$V$2500,'Commodity Prices'!$A$9:$A$2500,'Mineral Sands - Prices'!E42,'Commodity Prices'!$B$9:$B$2500,3)+
SUMIFS('Commodity Prices'!$V$9:$V$2500,'Commodity Prices'!$A$9:$A$2500,'Mineral Sands - Prices'!E42,'Commodity Prices'!$B$9:$B$2500,4)+
SUMIFS('Commodity Prices'!$V$9:$V$2500,'Commodity Prices'!$A$9:$A$2500,'Mineral Sands - Prices'!F42,'Commodity Prices'!$B$9:$B$2500,1)+
SUMIFS('Commodity Prices'!$V$9:$V$2500,'Commodity Prices'!$A$9:$A$2500,'Mineral Sands - Prices'!F42,'Commodity Prices'!$B$9:$B$2500,2))
/(COUNTIFS('Commodity Prices'!$A$9:$A$2500,'Mineral Sands - Prices'!E42,'Commodity Prices'!$B$9:$B$2500,3)+
COUNTIFS('Commodity Prices'!$A$9:$A$2500,'Mineral Sands - Prices'!E42,'Commodity Prices'!$B$9:$B$2500,4)+
COUNTIFS('Commodity Prices'!$A$9:$A$2500,'Mineral Sands - Prices'!F42,'Commodity Prices'!$B$9:$B$2500,1)+
COUNTIFS('Commodity Prices'!$A$9:$A$2500,'Mineral Sands - Prices'!F42,'Commodity Prices'!$B$9:$B$2500,2))</f>
        <v>2089.3082188502822</v>
      </c>
      <c r="K42" s="381">
        <f>(SUMIFS('Commodity Prices'!$X$9:$X$2500,'Commodity Prices'!$A$9:$A$2500,'Mineral Sands - Prices'!E42,'Commodity Prices'!$B$9:$B$2500,3)+
SUMIFS('Commodity Prices'!$X$9:$X$2500,'Commodity Prices'!$A$9:$A$2500,'Mineral Sands - Prices'!E42,'Commodity Prices'!$B$9:$B$2500,4)+
SUMIFS('Commodity Prices'!$X$9:$X$2500,'Commodity Prices'!$A$9:$A$2500,'Mineral Sands - Prices'!F42,'Commodity Prices'!$B$9:$B$2500,1)+
SUMIFS('Commodity Prices'!$X$9:$X$2500,'Commodity Prices'!$A$9:$A$2500,'Mineral Sands - Prices'!F42,'Commodity Prices'!$B$9:$B$2500,2))
/(COUNTIFS('Commodity Prices'!$A$9:$A$2500,'Mineral Sands - Prices'!E42,'Commodity Prices'!$B$9:$B$2500,3)+
COUNTIFS('Commodity Prices'!$A$9:$A$2500,'Mineral Sands - Prices'!E42,'Commodity Prices'!$B$9:$B$2500,4)+
COUNTIFS('Commodity Prices'!$A$9:$A$2500,'Mineral Sands - Prices'!F42,'Commodity Prices'!$B$9:$B$2500,1)+
COUNTIFS('Commodity Prices'!$A$9:$A$2500,'Mineral Sands - Prices'!F42,'Commodity Prices'!$B$9:$B$2500,2))</f>
        <v>4050.8158058898539</v>
      </c>
    </row>
    <row r="43" spans="1:11">
      <c r="A43" s="427">
        <f>LARGE('Commodity Prices'!C$159:C$902,27)</f>
        <v>44470</v>
      </c>
      <c r="B43" s="524">
        <f>SUMIF('Commodity Prices'!C$109:C$902,A43,'Commodity Prices'!V$109:V$902)</f>
        <v>1323.1246971410112</v>
      </c>
      <c r="C43" s="489">
        <f>SUMIF('Commodity Prices'!C$109:C$902,A43,'Commodity Prices'!X$109:X$902)</f>
        <v>4220.7497161790034</v>
      </c>
      <c r="D43" s="70"/>
      <c r="E43" s="70">
        <f t="shared" si="0"/>
        <v>2020</v>
      </c>
      <c r="F43" s="70">
        <f t="shared" si="0"/>
        <v>2021</v>
      </c>
      <c r="G43" s="598">
        <f t="shared" si="1"/>
        <v>2020</v>
      </c>
      <c r="H43" s="903">
        <f t="array" ref="H43">IF($G$6="Historic Calendar Year",IFERROR(AVERAGE(IF($G43=YEAR('Commodity Prices'!$C$9:$C$1000),'Commodity Prices'!$V$9:$V$1000)),"NA"),IFERROR(IF(J43=0,"NA",J43),"NA"))</f>
        <v>1908.2873094140189</v>
      </c>
      <c r="I43" s="593">
        <f t="array" ref="I43">IF($G$6="Historic Calendar Year",IFERROR(AVERAGE(IF($G43=YEAR('Commodity Prices'!$C$9:$C$1000),'Commodity Prices'!$X$9:$X$1000)),"N/A"),IFERROR(IF(K43=0,"N/A",K43),"N/A"))</f>
        <v>3911.0512989226386</v>
      </c>
      <c r="J43" s="228">
        <f>(SUMIFS('Commodity Prices'!$V$9:$V$2500,'Commodity Prices'!$A$9:$A$2500,'Mineral Sands - Prices'!E43,'Commodity Prices'!$B$9:$B$2500,3)+
SUMIFS('Commodity Prices'!$V$9:$V$2500,'Commodity Prices'!$A$9:$A$2500,'Mineral Sands - Prices'!E43,'Commodity Prices'!$B$9:$B$2500,4)+
SUMIFS('Commodity Prices'!$V$9:$V$2500,'Commodity Prices'!$A$9:$A$2500,'Mineral Sands - Prices'!F43,'Commodity Prices'!$B$9:$B$2500,1)+
SUMIFS('Commodity Prices'!$V$9:$V$2500,'Commodity Prices'!$A$9:$A$2500,'Mineral Sands - Prices'!F43,'Commodity Prices'!$B$9:$B$2500,2))
/(COUNTIFS('Commodity Prices'!$A$9:$A$2500,'Mineral Sands - Prices'!E43,'Commodity Prices'!$B$9:$B$2500,3)+
COUNTIFS('Commodity Prices'!$A$9:$A$2500,'Mineral Sands - Prices'!E43,'Commodity Prices'!$B$9:$B$2500,4)+
COUNTIFS('Commodity Prices'!$A$9:$A$2500,'Mineral Sands - Prices'!F43,'Commodity Prices'!$B$9:$B$2500,1)+
COUNTIFS('Commodity Prices'!$A$9:$A$2500,'Mineral Sands - Prices'!F43,'Commodity Prices'!$B$9:$B$2500,2))</f>
        <v>1757.6911162093941</v>
      </c>
      <c r="K43" s="381">
        <f>(SUMIFS('Commodity Prices'!$X$9:$X$2500,'Commodity Prices'!$A$9:$A$2500,'Mineral Sands - Prices'!E43,'Commodity Prices'!$B$9:$B$2500,3)+
SUMIFS('Commodity Prices'!$X$9:$X$2500,'Commodity Prices'!$A$9:$A$2500,'Mineral Sands - Prices'!E43,'Commodity Prices'!$B$9:$B$2500,4)+
SUMIFS('Commodity Prices'!$X$9:$X$2500,'Commodity Prices'!$A$9:$A$2500,'Mineral Sands - Prices'!F43,'Commodity Prices'!$B$9:$B$2500,1)+
SUMIFS('Commodity Prices'!$X$9:$X$2500,'Commodity Prices'!$A$9:$A$2500,'Mineral Sands - Prices'!F43,'Commodity Prices'!$B$9:$B$2500,2))
/(COUNTIFS('Commodity Prices'!$A$9:$A$2500,'Mineral Sands - Prices'!E43,'Commodity Prices'!$B$9:$B$2500,3)+
COUNTIFS('Commodity Prices'!$A$9:$A$2500,'Mineral Sands - Prices'!E43,'Commodity Prices'!$B$9:$B$2500,4)+
COUNTIFS('Commodity Prices'!$A$9:$A$2500,'Mineral Sands - Prices'!F43,'Commodity Prices'!$B$9:$B$2500,1)+
COUNTIFS('Commodity Prices'!$A$9:$A$2500,'Mineral Sands - Prices'!F43,'Commodity Prices'!$B$9:$B$2500,2))</f>
        <v>3687.7946958763619</v>
      </c>
    </row>
    <row r="44" spans="1:11">
      <c r="A44" s="428">
        <f>LARGE('Commodity Prices'!C$159:C$902,26)</f>
        <v>44501</v>
      </c>
      <c r="B44" s="903">
        <f>SUMIF('Commodity Prices'!C$109:C$902,A44,'Commodity Prices'!V$109:V$902)</f>
        <v>2303.7133735367152</v>
      </c>
      <c r="C44" s="593">
        <f>SUMIF('Commodity Prices'!C$109:C$902,A44,'Commodity Prices'!X$109:X$902)</f>
        <v>4384.9141947546368</v>
      </c>
      <c r="D44" s="70"/>
      <c r="E44" s="268">
        <f t="shared" si="0"/>
        <v>2021</v>
      </c>
      <c r="F44" s="268">
        <f t="shared" si="0"/>
        <v>2022</v>
      </c>
      <c r="G44" s="598">
        <f t="shared" si="1"/>
        <v>2021</v>
      </c>
      <c r="H44" s="524">
        <f t="array" ref="H44">IF($G$6="Historic Calendar Year",IFERROR(AVERAGE(IF($G44=YEAR('Commodity Prices'!$C$9:$C$1000),'Commodity Prices'!$V$9:$V$1000)),"n/a"),IFERROR(IF(J44=0,"n/a",J44),"n/a"))</f>
        <v>1867.6321213391905</v>
      </c>
      <c r="I44" s="489">
        <f t="array" ref="I44">IF($G$6="Historic Calendar Year",IFERROR(AVERAGE(IF($G44=YEAR('Commodity Prices'!$C$9:$C$1000),'Commodity Prices'!$X$9:$X$1000)),"n/a"),IFERROR(IF(K44=0,"n/a",K44),"n/a"))</f>
        <v>3904.6485173977176</v>
      </c>
      <c r="J44" s="381">
        <f>(SUMIFS('Commodity Prices'!$V$9:$V$2500,'Commodity Prices'!$A$9:$A$2500,'Mineral Sands - Prices'!E44,'Commodity Prices'!$B$9:$B$2500,3)+
SUMIFS('Commodity Prices'!$V$9:$V$2500,'Commodity Prices'!$A$9:$A$2500,'Mineral Sands - Prices'!E44,'Commodity Prices'!$B$9:$B$2500,4)+
SUMIFS('Commodity Prices'!$V$9:$V$2500,'Commodity Prices'!$A$9:$A$2500,'Mineral Sands - Prices'!F44,'Commodity Prices'!$B$9:$B$2500,1)+
SUMIFS('Commodity Prices'!$V$9:$V$2500,'Commodity Prices'!$A$9:$A$2500,'Mineral Sands - Prices'!F44,'Commodity Prices'!$B$9:$B$2500,2))
/(COUNTIFS('Commodity Prices'!$A$9:$A$2500,'Mineral Sands - Prices'!E44,'Commodity Prices'!$B$9:$B$2500,3)+
COUNTIFS('Commodity Prices'!$A$9:$A$2500,'Mineral Sands - Prices'!E44,'Commodity Prices'!$B$9:$B$2500,4)+
COUNTIFS('Commodity Prices'!$A$9:$A$2500,'Mineral Sands - Prices'!F44,'Commodity Prices'!$B$9:$B$2500,1)+
COUNTIFS('Commodity Prices'!$A$9:$A$2500,'Mineral Sands - Prices'!F44,'Commodity Prices'!$B$9:$B$2500,2))</f>
        <v>2328.3174098658724</v>
      </c>
      <c r="K44" s="381">
        <f>(SUMIFS('Commodity Prices'!$X$9:$X$2500,'Commodity Prices'!$A$9:$A$2500,'Mineral Sands - Prices'!E44,'Commodity Prices'!$B$9:$B$2500,3)+
SUMIFS('Commodity Prices'!$X$9:$X$2500,'Commodity Prices'!$A$9:$A$2500,'Mineral Sands - Prices'!E44,'Commodity Prices'!$B$9:$B$2500,4)+
SUMIFS('Commodity Prices'!$X$9:$X$2500,'Commodity Prices'!$A$9:$A$2500,'Mineral Sands - Prices'!F44,'Commodity Prices'!$B$9:$B$2500,1)+
SUMIFS('Commodity Prices'!$X$9:$X$2500,'Commodity Prices'!$A$9:$A$2500,'Mineral Sands - Prices'!F44,'Commodity Prices'!$B$9:$B$2500,2))
/(COUNTIFS('Commodity Prices'!$A$9:$A$2500,'Mineral Sands - Prices'!E44,'Commodity Prices'!$B$9:$B$2500,3)+
COUNTIFS('Commodity Prices'!$A$9:$A$2500,'Mineral Sands - Prices'!E44,'Commodity Prices'!$B$9:$B$2500,4)+
COUNTIFS('Commodity Prices'!$A$9:$A$2500,'Mineral Sands - Prices'!F44,'Commodity Prices'!$B$9:$B$2500,1)+
COUNTIFS('Commodity Prices'!$A$9:$A$2500,'Mineral Sands - Prices'!F44,'Commodity Prices'!$B$9:$B$2500,2))</f>
        <v>4373.967287655667</v>
      </c>
    </row>
    <row r="45" spans="1:11">
      <c r="A45" s="427">
        <f>LARGE('Commodity Prices'!C$159:C$902,25)</f>
        <v>44531</v>
      </c>
      <c r="B45" s="524">
        <f>SUMIF('Commodity Prices'!C$109:C$902,A45,'Commodity Prices'!V$109:V$902)</f>
        <v>2322.2073547589616</v>
      </c>
      <c r="C45" s="489">
        <f>SUMIF('Commodity Prices'!C$109:C$902,A45,'Commodity Prices'!X$109:X$902)</f>
        <v>4337.9320653058994</v>
      </c>
      <c r="D45" s="70"/>
      <c r="E45" s="268">
        <f t="shared" si="0"/>
        <v>2022</v>
      </c>
      <c r="F45" s="268">
        <f t="shared" si="0"/>
        <v>2023</v>
      </c>
      <c r="G45" s="598">
        <f t="shared" ref="G45" si="2">IF($G$6="Historic Calendar Year",G44+1,CONCATENATE(E45,"-",RIGHT(F45,4)))</f>
        <v>2022</v>
      </c>
      <c r="H45" s="1757">
        <f t="array" ref="H45">IF($G$6="Historic Calendar Year",IFERROR(AVERAGE(IF($G45=YEAR('Commodity Prices'!$C$9:$C$1000),'Commodity Prices'!$V$9:$V$1000)),"n/a"),IFERROR(IF(J45=0,"n/a",J45),"n/a"))</f>
        <v>2883.1567834500033</v>
      </c>
      <c r="I45" s="1758">
        <f t="array" ref="I45">IF($G$6="Historic Calendar Year",IFERROR(AVERAGE(IF($G45=YEAR('Commodity Prices'!$C$9:$C$1000),'Commodity Prices'!$X$9:$X$1000)),"n/a"),IFERROR(IF(K45=0,"n/a",K45),"n/a"))</f>
        <v>4751.2042605590004</v>
      </c>
      <c r="J45" s="381">
        <f>(SUMIFS('Commodity Prices'!$V$9:$V$2500,'Commodity Prices'!$A$9:$A$2500,'Mineral Sands - Prices'!E45,'Commodity Prices'!$B$9:$B$2500,3)+
SUMIFS('Commodity Prices'!$V$9:$V$2500,'Commodity Prices'!$A$9:$A$2500,'Mineral Sands - Prices'!E45,'Commodity Prices'!$B$9:$B$2500,4)+
SUMIFS('Commodity Prices'!$V$9:$V$2500,'Commodity Prices'!$A$9:$A$2500,'Mineral Sands - Prices'!F45,'Commodity Prices'!$B$9:$B$2500,1)+
SUMIFS('Commodity Prices'!$V$9:$V$2500,'Commodity Prices'!$A$9:$A$2500,'Mineral Sands - Prices'!F45,'Commodity Prices'!$B$9:$B$2500,2))
/(COUNTIFS('Commodity Prices'!$A$9:$A$2500,'Mineral Sands - Prices'!E45,'Commodity Prices'!$B$9:$B$2500,3)+
COUNTIFS('Commodity Prices'!$A$9:$A$2500,'Mineral Sands - Prices'!E45,'Commodity Prices'!$B$9:$B$2500,4)+
COUNTIFS('Commodity Prices'!$A$9:$A$2500,'Mineral Sands - Prices'!F45,'Commodity Prices'!$B$9:$B$2500,1)+
COUNTIFS('Commodity Prices'!$A$9:$A$2500,'Mineral Sands - Prices'!F45,'Commodity Prices'!$B$9:$B$2500,2))</f>
        <v>3194.8706440765104</v>
      </c>
      <c r="K45" s="381">
        <f>(SUMIFS('Commodity Prices'!$X$9:$X$2500,'Commodity Prices'!$A$9:$A$2500,'Mineral Sands - Prices'!E45,'Commodity Prices'!$B$9:$B$2500,3)+
SUMIFS('Commodity Prices'!$X$9:$X$2500,'Commodity Prices'!$A$9:$A$2500,'Mineral Sands - Prices'!E45,'Commodity Prices'!$B$9:$B$2500,4)+
SUMIFS('Commodity Prices'!$X$9:$X$2500,'Commodity Prices'!$A$9:$A$2500,'Mineral Sands - Prices'!F45,'Commodity Prices'!$B$9:$B$2500,1)+
SUMIFS('Commodity Prices'!$X$9:$X$2500,'Commodity Prices'!$A$9:$A$2500,'Mineral Sands - Prices'!F45,'Commodity Prices'!$B$9:$B$2500,2))
/(COUNTIFS('Commodity Prices'!$A$9:$A$2500,'Mineral Sands - Prices'!E45,'Commodity Prices'!$B$9:$B$2500,3)+
COUNTIFS('Commodity Prices'!$A$9:$A$2500,'Mineral Sands - Prices'!E45,'Commodity Prices'!$B$9:$B$2500,4)+
COUNTIFS('Commodity Prices'!$A$9:$A$2500,'Mineral Sands - Prices'!F45,'Commodity Prices'!$B$9:$B$2500,1)+
COUNTIFS('Commodity Prices'!$A$9:$A$2500,'Mineral Sands - Prices'!F45,'Commodity Prices'!$B$9:$B$2500,2))</f>
        <v>4971.2395529687137</v>
      </c>
    </row>
    <row r="46" spans="1:11" ht="15.75" thickBot="1">
      <c r="A46" s="428">
        <f>LARGE('Commodity Prices'!C$159:C$902,24)</f>
        <v>44562</v>
      </c>
      <c r="B46" s="903">
        <f>SUMIF('Commodity Prices'!C$109:C$902,A46,'Commodity Prices'!V$109:V$902)</f>
        <v>2458.6455574745728</v>
      </c>
      <c r="C46" s="593">
        <f>SUMIF('Commodity Prices'!C$109:C$902,A46,'Commodity Prices'!X$109:X$902)</f>
        <v>4490.7294667642955</v>
      </c>
      <c r="D46" s="70"/>
      <c r="E46" s="70">
        <f t="shared" si="0"/>
        <v>2023</v>
      </c>
      <c r="F46" s="70">
        <f t="shared" si="0"/>
        <v>2024</v>
      </c>
      <c r="G46" s="1625">
        <f t="shared" ref="G46" si="3">IF($G$6="Historic Calendar Year",G45+1,CONCATENATE(E46,"-",RIGHT(F46,4)))</f>
        <v>2023</v>
      </c>
      <c r="H46" s="1220">
        <f t="array" ref="H46">IF($G$6="Historic Calendar Year",IFERROR(AVERAGE(IF($G46=YEAR('Commodity Prices'!$C$9:$C$1000),'Commodity Prices'!$V$9:$V$1000)),"n/a"),IFERROR(IF(J46=0,"n/a",J46),"n/a"))</f>
        <v>3153.5086183160179</v>
      </c>
      <c r="I46" s="490">
        <f t="array" ref="I46">IF($G$6="Historic Calendar Year",IFERROR(AVERAGE(IF($G46=YEAR('Commodity Prices'!$C$9:$C$1000),'Commodity Prices'!$X$9:$X$1000)),"n/a"),IFERROR(IF(K46=0,"n/a",K46),"n/a"))</f>
        <v>4954.0141440339212</v>
      </c>
    </row>
    <row r="47" spans="1:11" ht="15.75" thickBot="1">
      <c r="A47" s="427">
        <f>LARGE('Commodity Prices'!C$159:C$902,23)</f>
        <v>44593</v>
      </c>
      <c r="B47" s="524">
        <f>SUMIF('Commodity Prices'!C$109:C$902,A47,'Commodity Prices'!V$109:V$902)</f>
        <v>2592.3271389856754</v>
      </c>
      <c r="C47" s="489">
        <f>SUMIF('Commodity Prices'!C$109:C$902,A47,'Commodity Prices'!X$109:X$902)</f>
        <v>4524.4786224718264</v>
      </c>
      <c r="D47" s="70"/>
      <c r="E47" s="70"/>
      <c r="F47" s="70"/>
      <c r="G47" s="70"/>
      <c r="H47" s="70"/>
      <c r="I47" s="268"/>
    </row>
    <row r="48" spans="1:11">
      <c r="A48" s="428">
        <f>LARGE('Commodity Prices'!C$159:C$902,22)</f>
        <v>44621</v>
      </c>
      <c r="B48" s="903">
        <f>SUMIF('Commodity Prices'!C$109:C$902,A48,'Commodity Prices'!V$109:V$902)</f>
        <v>2527.4779101037266</v>
      </c>
      <c r="C48" s="593">
        <f>SUMIF('Commodity Prices'!C$109:C$902,A48,'Commodity Prices'!X$109:X$902)</f>
        <v>4596.6436279229101</v>
      </c>
      <c r="D48" s="70"/>
      <c r="E48" s="70"/>
      <c r="F48" s="70"/>
      <c r="G48" s="2039" t="s">
        <v>321</v>
      </c>
      <c r="H48" s="2040"/>
      <c r="I48" s="2041"/>
    </row>
    <row r="49" spans="1:9" ht="15.75" thickBot="1">
      <c r="A49" s="427">
        <f>LARGE('Commodity Prices'!C$159:C$902,21)</f>
        <v>44652</v>
      </c>
      <c r="B49" s="524">
        <f>SUMIF('Commodity Prices'!C$109:C$902,A49,'Commodity Prices'!V$109:V$902)</f>
        <v>2724.5884377150724</v>
      </c>
      <c r="C49" s="489">
        <f>SUMIF('Commodity Prices'!C$109:C$902,A49,'Commodity Prices'!X$109:X$902)</f>
        <v>4431.7794229417223</v>
      </c>
      <c r="D49" s="70"/>
      <c r="E49" s="70"/>
      <c r="F49" s="70"/>
      <c r="G49" s="1955" t="s">
        <v>282</v>
      </c>
      <c r="H49" s="1977"/>
      <c r="I49" s="1956"/>
    </row>
    <row r="50" spans="1:9">
      <c r="A50" s="428">
        <f>LARGE('Commodity Prices'!C$159:C$902,20)</f>
        <v>44682</v>
      </c>
      <c r="B50" s="903">
        <f>SUMIF('Commodity Prices'!C$109:C$902,A50,'Commodity Prices'!V$109:V$902)</f>
        <v>2816.4895976922307</v>
      </c>
      <c r="C50" s="593">
        <f>SUMIF('Commodity Prices'!C$109:C$902,A50,'Commodity Prices'!X$109:X$902)</f>
        <v>4640.4635299876027</v>
      </c>
      <c r="D50" s="70"/>
      <c r="E50" s="70"/>
      <c r="F50" s="70"/>
      <c r="G50" s="1949" t="s">
        <v>322</v>
      </c>
      <c r="H50" s="1949"/>
      <c r="I50" s="1949"/>
    </row>
    <row r="51" spans="1:9">
      <c r="A51" s="427">
        <f>LARGE('Commodity Prices'!C$159:C$902,19)</f>
        <v>44713</v>
      </c>
      <c r="B51" s="524">
        <f>SUMIF('Commodity Prices'!C$109:C$902,A51,'Commodity Prices'!V$109:V$902)</f>
        <v>2772.3316742081447</v>
      </c>
      <c r="C51" s="489">
        <f>SUMIF('Commodity Prices'!C$109:C$902,A51,'Commodity Prices'!X$109:X$902)</f>
        <v>4818.8661513261868</v>
      </c>
      <c r="D51" s="70"/>
      <c r="E51" s="70"/>
      <c r="F51" s="70"/>
      <c r="G51" s="70"/>
      <c r="H51" s="70"/>
      <c r="I51" s="268"/>
    </row>
    <row r="52" spans="1:9">
      <c r="A52" s="428">
        <f>LARGE('Commodity Prices'!C$159:C$902,18)</f>
        <v>44743</v>
      </c>
      <c r="B52" s="903">
        <f>SUMIF('Commodity Prices'!C$109:C$902,A52,'Commodity Prices'!V$109:V$902)</f>
        <v>3139.1894075403948</v>
      </c>
      <c r="C52" s="593">
        <f>SUMIF('Commodity Prices'!C$109:C$902,A52,'Commodity Prices'!X$109:X$902)</f>
        <v>4794.00510305223</v>
      </c>
      <c r="D52" s="70"/>
      <c r="E52" s="70"/>
      <c r="F52" s="70"/>
      <c r="G52" s="2015"/>
      <c r="H52" s="2015"/>
      <c r="I52" s="2015"/>
    </row>
    <row r="53" spans="1:9">
      <c r="A53" s="427">
        <f>LARGE('Commodity Prices'!C$159:C$902,17)</f>
        <v>44774</v>
      </c>
      <c r="B53" s="524">
        <f>SUMIF('Commodity Prices'!C$109:C$902,A53,'Commodity Prices'!V$109:V$902)</f>
        <v>3091.1023391812864</v>
      </c>
      <c r="C53" s="489">
        <f>SUMIF('Commodity Prices'!C$109:C$902,A53,'Commodity Prices'!X$109:X$902)</f>
        <v>4713.261584702961</v>
      </c>
      <c r="D53" s="70"/>
      <c r="E53" s="70"/>
      <c r="F53" s="70"/>
      <c r="G53" s="2015"/>
      <c r="H53" s="2015"/>
      <c r="I53" s="2015"/>
    </row>
    <row r="54" spans="1:9">
      <c r="A54" s="428">
        <f>LARGE('Commodity Prices'!C$159:C$902,16)</f>
        <v>44805</v>
      </c>
      <c r="B54" s="903">
        <f>SUMIF('Commodity Prices'!C$109:C$902,A54,'Commodity Prices'!V$109:V$902)</f>
        <v>3230.9760376551135</v>
      </c>
      <c r="C54" s="593">
        <f>SUMIF('Commodity Prices'!C$109:C$902,A54,'Commodity Prices'!X$109:X$902)</f>
        <v>4945.2473457284632</v>
      </c>
      <c r="D54" s="70"/>
      <c r="E54" s="70"/>
      <c r="F54" s="70"/>
      <c r="G54" s="70"/>
      <c r="H54" s="70"/>
      <c r="I54" s="268"/>
    </row>
    <row r="55" spans="1:9">
      <c r="A55" s="427">
        <f>LARGE('Commodity Prices'!C$159:C$902,15)</f>
        <v>44835</v>
      </c>
      <c r="B55" s="524">
        <f>SUMIF('Commodity Prices'!C$109:C$902,A55,'Commodity Prices'!V$109:V$902)</f>
        <v>3377.6901062959932</v>
      </c>
      <c r="C55" s="489">
        <f>SUMIF('Commodity Prices'!C$109:C$902,A55,'Commodity Prices'!X$109:X$902)</f>
        <v>4863.6497592917385</v>
      </c>
      <c r="D55" s="70"/>
      <c r="E55" s="70"/>
      <c r="F55" s="70"/>
      <c r="G55" s="70"/>
      <c r="H55" s="70"/>
      <c r="I55" s="268"/>
    </row>
    <row r="56" spans="1:9">
      <c r="A56" s="428">
        <f>LARGE('Commodity Prices'!C$159:C$902,14)</f>
        <v>44866</v>
      </c>
      <c r="B56" s="903">
        <f>SUMIF('Commodity Prices'!C$109:C$902,A56,'Commodity Prices'!V$109:V$902)</f>
        <v>3071.7862211709048</v>
      </c>
      <c r="C56" s="593">
        <f>SUMIF('Commodity Prices'!C$109:C$902,A56,'Commodity Prices'!X$109:X$902)</f>
        <v>5065.079379866419</v>
      </c>
      <c r="D56" s="70"/>
      <c r="E56" s="70"/>
      <c r="F56" s="70"/>
      <c r="G56" s="70"/>
      <c r="H56" s="70"/>
      <c r="I56" s="268"/>
    </row>
    <row r="57" spans="1:9">
      <c r="A57" s="427">
        <f>LARGE('Commodity Prices'!C$159:C$902,13)</f>
        <v>44896</v>
      </c>
      <c r="B57" s="524">
        <f>SUMIF('Commodity Prices'!C$109:C$902,A57,'Commodity Prices'!V$109:V$902)</f>
        <v>2795.2769733769269</v>
      </c>
      <c r="C57" s="489">
        <f>SUMIF('Commodity Prices'!C$109:C$902,A57,'Commodity Prices'!X$109:X$902)</f>
        <v>5130.2471326516461</v>
      </c>
      <c r="D57" s="70"/>
      <c r="E57" s="70"/>
      <c r="F57" s="70"/>
      <c r="G57" s="70"/>
      <c r="H57" s="70"/>
      <c r="I57" s="268"/>
    </row>
    <row r="58" spans="1:9">
      <c r="A58" s="428">
        <f>LARGE('Commodity Prices'!C$159:C$902,12)</f>
        <v>44927</v>
      </c>
      <c r="B58" s="903">
        <f>SUMIF('Commodity Prices'!C$109:C$902,A58,'Commodity Prices'!V$109:V$902)</f>
        <v>3158.7770623742454</v>
      </c>
      <c r="C58" s="593">
        <f>SUMIF('Commodity Prices'!C$109:C$902,A58,'Commodity Prices'!X$109:X$902)</f>
        <v>4813.8742189365803</v>
      </c>
      <c r="D58" s="70"/>
      <c r="E58" s="70"/>
      <c r="F58" s="70"/>
      <c r="G58" s="70"/>
      <c r="H58" s="70"/>
      <c r="I58" s="268"/>
    </row>
    <row r="59" spans="1:9">
      <c r="A59" s="427">
        <f>LARGE('Commodity Prices'!C$159:C$902,11)</f>
        <v>44958</v>
      </c>
      <c r="B59" s="524">
        <f>SUMIF('Commodity Prices'!C$109:C$902,A59,'Commodity Prices'!V$109:V$902)</f>
        <v>3156.9546328335255</v>
      </c>
      <c r="C59" s="489">
        <f>SUMIF('Commodity Prices'!C$109:C$902,A59,'Commodity Prices'!X$109:X$902)</f>
        <v>4739.822816925308</v>
      </c>
      <c r="D59" s="70"/>
      <c r="E59" s="70"/>
      <c r="F59" s="70"/>
      <c r="G59" s="70"/>
      <c r="H59" s="70"/>
      <c r="I59" s="268"/>
    </row>
    <row r="60" spans="1:9">
      <c r="A60" s="428">
        <f>LARGE('Commodity Prices'!C$159:C$902,10)</f>
        <v>44986</v>
      </c>
      <c r="B60" s="903">
        <f>SUMIF('Commodity Prices'!C$109:C$902,A60,'Commodity Prices'!V$109:V$902)</f>
        <v>3301.0509282488711</v>
      </c>
      <c r="C60" s="593">
        <f>SUMIF('Commodity Prices'!C$109:C$902,A60,'Commodity Prices'!X$109:X$902)</f>
        <v>5053.0786525678868</v>
      </c>
      <c r="D60" s="70"/>
      <c r="E60" s="70"/>
      <c r="F60" s="70"/>
      <c r="G60" s="70"/>
      <c r="H60" s="70"/>
      <c r="I60" s="268"/>
    </row>
    <row r="61" spans="1:9">
      <c r="A61" s="427">
        <f>LARGE('Commodity Prices'!C$159:C$902,9)</f>
        <v>45017</v>
      </c>
      <c r="B61" s="524">
        <f>SUMIF('Commodity Prices'!C$109:C$902,A61,'Commodity Prices'!V$109:V$902)</f>
        <v>3265.0566442131048</v>
      </c>
      <c r="C61" s="489">
        <f>SUMIF('Commodity Prices'!C$109:C$902,A61,'Commodity Prices'!X$109:X$902)</f>
        <v>4980.8634161280343</v>
      </c>
      <c r="D61" s="70"/>
      <c r="E61" s="70"/>
      <c r="F61" s="70"/>
      <c r="G61" s="70"/>
      <c r="H61" s="70"/>
      <c r="I61" s="268"/>
    </row>
    <row r="62" spans="1:9">
      <c r="A62" s="428">
        <f>LARGE('Commodity Prices'!C$159:C$902,8)</f>
        <v>45047</v>
      </c>
      <c r="B62" s="903">
        <f>SUMIF('Commodity Prices'!C$109:C$902,A62,'Commodity Prices'!V$109:V$902)</f>
        <v>3447.6052496139991</v>
      </c>
      <c r="C62" s="593">
        <f>SUMIF('Commodity Prices'!C$109:C$902,A62,'Commodity Prices'!X$109:X$902)</f>
        <v>5133.2814223581518</v>
      </c>
      <c r="D62" s="70"/>
      <c r="E62" s="70"/>
      <c r="F62" s="70"/>
      <c r="G62" s="70"/>
      <c r="H62" s="70"/>
      <c r="I62" s="268"/>
    </row>
    <row r="63" spans="1:9">
      <c r="A63" s="427">
        <f>LARGE('Commodity Prices'!C$159:C$902,7)</f>
        <v>45078</v>
      </c>
      <c r="B63" s="524">
        <f>SUMIF('Commodity Prices'!C$109:C$902,A63,'Commodity Prices'!V$109:V$902)</f>
        <v>3247.300889877642</v>
      </c>
      <c r="C63" s="489">
        <f>SUMIF('Commodity Prices'!C$109:C$902,A63,'Commodity Prices'!X$109:X$902)</f>
        <v>5245.2293534986629</v>
      </c>
      <c r="D63" s="70"/>
      <c r="E63" s="70"/>
      <c r="F63" s="70"/>
      <c r="G63" s="70"/>
      <c r="H63" s="70"/>
      <c r="I63" s="268"/>
    </row>
    <row r="64" spans="1:9">
      <c r="A64" s="428">
        <f>LARGE('Commodity Prices'!C$159:C$902,6)</f>
        <v>45108</v>
      </c>
      <c r="B64" s="903">
        <f>SUMIF('Commodity Prices'!C$109:C$902,A64,'Commodity Prices'!V$109:V$902)</f>
        <v>3230.4037230948225</v>
      </c>
      <c r="C64" s="593">
        <f>SUMIF('Commodity Prices'!C$109:C$902,A64,'Commodity Prices'!X$109:X$902)</f>
        <v>4921.7403277325138</v>
      </c>
      <c r="D64" s="70"/>
      <c r="E64" s="70"/>
      <c r="F64" s="70"/>
      <c r="G64" s="70"/>
      <c r="H64" s="70"/>
      <c r="I64" s="268"/>
    </row>
    <row r="65" spans="1:9">
      <c r="A65" s="427">
        <f>LARGE('Commodity Prices'!C$159:C$902,5)</f>
        <v>45139</v>
      </c>
      <c r="B65" s="524">
        <f>SUMIF('Commodity Prices'!C$109:C$902,A65,'Commodity Prices'!V$109:V$902)</f>
        <v>3127.3269230769229</v>
      </c>
      <c r="C65" s="489">
        <f>SUMIF('Commodity Prices'!C$109:C$902,A65,'Commodity Prices'!X$109:X$902)</f>
        <v>5052.5761495869829</v>
      </c>
      <c r="D65" s="70"/>
      <c r="E65" s="70"/>
      <c r="F65" s="70"/>
      <c r="G65" s="70"/>
      <c r="H65" s="70"/>
      <c r="I65" s="268"/>
    </row>
    <row r="66" spans="1:9">
      <c r="A66" s="427">
        <f>LARGE('Commodity Prices'!C$159:C$902,4)</f>
        <v>45170</v>
      </c>
      <c r="B66" s="903">
        <f>SUMIF('Commodity Prices'!C$109:C$902,A66,'Commodity Prices'!V$109:V$902)</f>
        <v>3095.211601513241</v>
      </c>
      <c r="C66" s="593">
        <f>SUMIF('Commodity Prices'!C$109:C$902,A66,'Commodity Prices'!X$109:X$902)</f>
        <v>4959.602393190251</v>
      </c>
      <c r="D66" s="70"/>
      <c r="E66" s="70"/>
      <c r="F66" s="70"/>
      <c r="G66" s="70"/>
      <c r="H66" s="70"/>
      <c r="I66" s="268"/>
    </row>
    <row r="67" spans="1:9">
      <c r="A67" s="427">
        <f>LARGE('Commodity Prices'!C$159:C$902,3)</f>
        <v>45200</v>
      </c>
      <c r="B67" s="524">
        <f>SUMIF('Commodity Prices'!C$109:C$902,A67,'Commodity Prices'!V$109:V$902)</f>
        <v>3022.6192486281129</v>
      </c>
      <c r="C67" s="489">
        <f>SUMIF('Commodity Prices'!C$109:C$902,A67,'Commodity Prices'!X$109:X$902)</f>
        <v>4876.2046283817936</v>
      </c>
      <c r="D67" s="70"/>
      <c r="E67" s="70"/>
      <c r="F67" s="70"/>
      <c r="G67" s="70"/>
      <c r="H67" s="70"/>
      <c r="I67" s="268"/>
    </row>
    <row r="68" spans="1:9">
      <c r="A68" s="1624">
        <f>LARGE('Commodity Prices'!C$159:C$902,2)</f>
        <v>45231</v>
      </c>
      <c r="B68" s="903">
        <f>SUMIF('Commodity Prices'!C$109:C$902,A68,'Commodity Prices'!V$109:V$902)</f>
        <v>2931.0982103884767</v>
      </c>
      <c r="C68" s="593">
        <f>SUMIF('Commodity Prices'!C$109:C$902,A68,'Commodity Prices'!X$109:X$902)</f>
        <v>4946.5843723098005</v>
      </c>
      <c r="D68" s="70"/>
      <c r="E68" s="70"/>
      <c r="F68" s="70"/>
      <c r="G68" s="70"/>
      <c r="H68" s="70"/>
      <c r="I68" s="268"/>
    </row>
    <row r="69" spans="1:9" ht="15.75" thickBot="1">
      <c r="A69" s="1623">
        <f>LARGE('Commodity Prices'!C$159:C$902,1)</f>
        <v>45261</v>
      </c>
      <c r="B69" s="1220">
        <f>SUMIF('Commodity Prices'!C$109:C$902,A69,'Commodity Prices'!V$109:V$902)</f>
        <v>2858.6983059292475</v>
      </c>
      <c r="C69" s="490">
        <f>SUMIF('Commodity Prices'!C$109:C$902,A69,'Commodity Prices'!X$109:X$902)</f>
        <v>4725.3119767910921</v>
      </c>
      <c r="E69" s="70"/>
      <c r="F69" s="70"/>
      <c r="G69" s="70"/>
      <c r="H69" s="70"/>
      <c r="I69" s="268"/>
    </row>
    <row r="70" spans="1:9">
      <c r="E70" s="70"/>
      <c r="F70" s="70"/>
      <c r="G70" s="70"/>
      <c r="H70" s="70"/>
      <c r="I70" s="268"/>
    </row>
    <row r="71" spans="1:9">
      <c r="G71" s="70"/>
      <c r="H71" s="70"/>
      <c r="I71" s="268"/>
    </row>
  </sheetData>
  <mergeCells count="8">
    <mergeCell ref="G52:I53"/>
    <mergeCell ref="G6:I6"/>
    <mergeCell ref="G5:I5"/>
    <mergeCell ref="A5:C5"/>
    <mergeCell ref="A6:C6"/>
    <mergeCell ref="G48:I48"/>
    <mergeCell ref="G49:I49"/>
    <mergeCell ref="G50:I50"/>
  </mergeCells>
  <dataValidations count="1">
    <dataValidation type="list" allowBlank="1" showInputMessage="1" showErrorMessage="1" promptTitle="Select a Period:" prompt="Select Financial or Calendar years." sqref="G49" xr:uid="{00000000-0002-0000-1E00-000000000000}">
      <formula1>$X$1:$X$2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7" tint="0.39997558519241921"/>
  </sheetPr>
  <dimension ref="A1:AJ826"/>
  <sheetViews>
    <sheetView showGridLines="0" workbookViewId="0"/>
  </sheetViews>
  <sheetFormatPr defaultColWidth="9.140625" defaultRowHeight="15"/>
  <cols>
    <col min="1" max="1" width="13.28515625" style="17" bestFit="1" customWidth="1"/>
    <col min="2" max="2" width="13.140625" style="17" bestFit="1" customWidth="1"/>
    <col min="3" max="3" width="15.42578125" style="17" customWidth="1"/>
    <col min="4" max="5" width="11.5703125" style="19" hidden="1" customWidth="1"/>
    <col min="6" max="6" width="14.85546875" style="17" bestFit="1" customWidth="1"/>
    <col min="7" max="13" width="9.140625" style="17"/>
    <col min="14" max="15" width="0" style="17" hidden="1" customWidth="1"/>
    <col min="16" max="16" width="3" style="17" customWidth="1"/>
    <col min="17" max="17" width="13.28515625" style="17" customWidth="1"/>
    <col min="18" max="19" width="20.28515625" style="17" customWidth="1"/>
    <col min="20" max="34" width="9.140625" style="17"/>
    <col min="35" max="35" width="11.28515625" style="17" bestFit="1" customWidth="1"/>
    <col min="36" max="16384" width="9.140625" style="17"/>
  </cols>
  <sheetData>
    <row r="1" spans="1:19">
      <c r="A1" s="66" t="s">
        <v>240</v>
      </c>
    </row>
    <row r="2" spans="1:19">
      <c r="A2" s="66" t="s">
        <v>246</v>
      </c>
    </row>
    <row r="5" spans="1:19">
      <c r="A5" s="1972"/>
      <c r="B5" s="1972"/>
      <c r="C5" s="1972"/>
      <c r="D5" s="51"/>
      <c r="E5" s="51"/>
    </row>
    <row r="6" spans="1:19" ht="15.75" thickBot="1">
      <c r="A6" s="2004" t="s">
        <v>423</v>
      </c>
      <c r="B6" s="2004"/>
      <c r="C6" s="2004"/>
      <c r="D6" s="52"/>
      <c r="E6" s="52"/>
    </row>
    <row r="7" spans="1:19">
      <c r="A7" s="782" t="s">
        <v>5</v>
      </c>
      <c r="B7" s="1278" t="s">
        <v>37</v>
      </c>
      <c r="C7" s="1279" t="s">
        <v>382</v>
      </c>
      <c r="D7" s="45"/>
      <c r="E7" s="45"/>
      <c r="Q7" s="1948" t="s">
        <v>496</v>
      </c>
      <c r="R7" s="1948"/>
      <c r="S7" s="1948"/>
    </row>
    <row r="8" spans="1:19" ht="15.75" thickBot="1">
      <c r="A8" s="768">
        <v>36220</v>
      </c>
      <c r="B8" s="484">
        <v>607.9707503030304</v>
      </c>
      <c r="C8" s="483">
        <v>182.762</v>
      </c>
      <c r="D8" s="47">
        <f t="shared" ref="D8:D71" si="0">YEAR(A8)</f>
        <v>1999</v>
      </c>
      <c r="E8" s="49" t="str">
        <f>IF(MONTH(A8)=3,"1",IF(MONTH(A8)=6,"2",IF(MONTH(A8)=9,"3","4")))</f>
        <v>1</v>
      </c>
      <c r="Q8" s="1973" t="s">
        <v>580</v>
      </c>
      <c r="R8" s="1973"/>
      <c r="S8" s="1973"/>
    </row>
    <row r="9" spans="1:19">
      <c r="A9" s="768">
        <v>36312</v>
      </c>
      <c r="B9" s="588">
        <v>615.53115151515146</v>
      </c>
      <c r="C9" s="589">
        <v>166.893</v>
      </c>
      <c r="D9" s="47">
        <f t="shared" si="0"/>
        <v>1999</v>
      </c>
      <c r="E9" s="49" t="str">
        <f t="shared" ref="E9:E72" si="1">IF(MONTH(A9)=3,"1",IF(MONTH(A9)=6,"2",IF(MONTH(A9)=9,"3","4")))</f>
        <v>2</v>
      </c>
      <c r="Q9" s="784" t="s">
        <v>5</v>
      </c>
      <c r="R9" s="1239" t="s">
        <v>37</v>
      </c>
      <c r="S9" s="1240" t="s">
        <v>382</v>
      </c>
    </row>
    <row r="10" spans="1:19">
      <c r="A10" s="768">
        <v>36404</v>
      </c>
      <c r="B10" s="484">
        <v>504.66172727272732</v>
      </c>
      <c r="C10" s="483">
        <v>156.68299999999999</v>
      </c>
      <c r="D10" s="47">
        <f t="shared" si="0"/>
        <v>1999</v>
      </c>
      <c r="E10" s="49" t="str">
        <f t="shared" si="1"/>
        <v>3</v>
      </c>
      <c r="Q10" s="768">
        <f>LARGE(A$8:A$750,9)</f>
        <v>44531</v>
      </c>
      <c r="R10" s="484">
        <f t="shared" ref="R10:R18" si="2">SUMIF($A$8:$A$738,$Q10,B$8:B$750)</f>
        <v>393.06655451515155</v>
      </c>
      <c r="S10" s="483">
        <f t="shared" ref="S10:S18" si="3">SUMIF($A$8:$A$738,$Q10,C$8:C$750)</f>
        <v>382.2088730369374</v>
      </c>
    </row>
    <row r="11" spans="1:19">
      <c r="A11" s="768">
        <v>36495</v>
      </c>
      <c r="B11" s="588">
        <v>595.74552818181803</v>
      </c>
      <c r="C11" s="589">
        <v>182.15100000000001</v>
      </c>
      <c r="D11" s="47">
        <f t="shared" si="0"/>
        <v>1999</v>
      </c>
      <c r="E11" s="49" t="str">
        <f t="shared" si="1"/>
        <v>4</v>
      </c>
      <c r="Q11" s="768">
        <f>LARGE(A$8:A$750,8)</f>
        <v>44621</v>
      </c>
      <c r="R11" s="588">
        <f t="shared" si="2"/>
        <v>258.4733768181818</v>
      </c>
      <c r="S11" s="589">
        <f t="shared" si="3"/>
        <v>308.77832917942902</v>
      </c>
    </row>
    <row r="12" spans="1:19">
      <c r="A12" s="768">
        <v>36586</v>
      </c>
      <c r="B12" s="484">
        <v>512.03651545454545</v>
      </c>
      <c r="C12" s="483">
        <v>174.09700000000001</v>
      </c>
      <c r="D12" s="47">
        <f t="shared" si="0"/>
        <v>2000</v>
      </c>
      <c r="E12" s="49" t="str">
        <f t="shared" si="1"/>
        <v>1</v>
      </c>
      <c r="Q12" s="768">
        <f>LARGE(A$8:A$750,7)</f>
        <v>44713</v>
      </c>
      <c r="R12" s="484">
        <f t="shared" si="2"/>
        <v>316.73389263636363</v>
      </c>
      <c r="S12" s="483">
        <f t="shared" si="3"/>
        <v>354.99344974878761</v>
      </c>
    </row>
    <row r="13" spans="1:19">
      <c r="A13" s="768">
        <v>36678</v>
      </c>
      <c r="B13" s="588">
        <v>692.56772727272732</v>
      </c>
      <c r="C13" s="589">
        <v>218.27099999999999</v>
      </c>
      <c r="D13" s="47">
        <f t="shared" si="0"/>
        <v>2000</v>
      </c>
      <c r="E13" s="49" t="str">
        <f t="shared" si="1"/>
        <v>2</v>
      </c>
      <c r="Q13" s="768">
        <f>LARGE(A$8:A$750,6)</f>
        <v>44805</v>
      </c>
      <c r="R13" s="588">
        <f t="shared" si="2"/>
        <v>271.93652921212123</v>
      </c>
      <c r="S13" s="589">
        <f t="shared" si="3"/>
        <v>323.59798780545378</v>
      </c>
    </row>
    <row r="14" spans="1:19">
      <c r="A14" s="768">
        <v>36770</v>
      </c>
      <c r="B14" s="484">
        <v>694.32842424242426</v>
      </c>
      <c r="C14" s="483">
        <v>224.471</v>
      </c>
      <c r="D14" s="47">
        <f t="shared" si="0"/>
        <v>2000</v>
      </c>
      <c r="E14" s="49" t="str">
        <f t="shared" si="1"/>
        <v>3</v>
      </c>
      <c r="Q14" s="768">
        <f>LARGE(A$8:A$750,5)</f>
        <v>44896</v>
      </c>
      <c r="R14" s="484">
        <f t="shared" si="2"/>
        <v>306.83099057575754</v>
      </c>
      <c r="S14" s="483">
        <f t="shared" si="3"/>
        <v>356.33866866374206</v>
      </c>
    </row>
    <row r="15" spans="1:19">
      <c r="A15" s="768">
        <v>36861</v>
      </c>
      <c r="B15" s="588">
        <v>620.45824242424248</v>
      </c>
      <c r="C15" s="589">
        <v>244.02</v>
      </c>
      <c r="D15" s="47">
        <f t="shared" si="0"/>
        <v>2000</v>
      </c>
      <c r="E15" s="49" t="str">
        <f t="shared" si="1"/>
        <v>4</v>
      </c>
      <c r="Q15" s="768">
        <f>LARGE(A$8:A$750,4)</f>
        <v>44986</v>
      </c>
      <c r="R15" s="588">
        <f t="shared" si="2"/>
        <v>283.87144587878782</v>
      </c>
      <c r="S15" s="589">
        <f t="shared" si="3"/>
        <v>357.26412176788347</v>
      </c>
    </row>
    <row r="16" spans="1:19">
      <c r="A16" s="768">
        <v>36951</v>
      </c>
      <c r="B16" s="484">
        <v>481.92836363636366</v>
      </c>
      <c r="C16" s="483">
        <v>207.05799999999999</v>
      </c>
      <c r="D16" s="47">
        <f t="shared" si="0"/>
        <v>2001</v>
      </c>
      <c r="E16" s="49" t="str">
        <f t="shared" si="1"/>
        <v>1</v>
      </c>
      <c r="Q16" s="768">
        <f>LARGE(A$8:A$750,3)</f>
        <v>45078</v>
      </c>
      <c r="R16" s="484">
        <f t="shared" si="2"/>
        <v>319.21825263636362</v>
      </c>
      <c r="S16" s="483">
        <f t="shared" si="3"/>
        <v>397.28142104125925</v>
      </c>
    </row>
    <row r="17" spans="1:19">
      <c r="A17" s="768">
        <v>37043</v>
      </c>
      <c r="B17" s="588">
        <v>557.10702909090901</v>
      </c>
      <c r="C17" s="589">
        <v>241.45699999999999</v>
      </c>
      <c r="D17" s="47">
        <f t="shared" si="0"/>
        <v>2001</v>
      </c>
      <c r="E17" s="49" t="str">
        <f t="shared" si="1"/>
        <v>2</v>
      </c>
      <c r="Q17" s="768">
        <f>LARGE(A$8:A$750,2)</f>
        <v>45170</v>
      </c>
      <c r="R17" s="588">
        <f t="shared" si="2"/>
        <v>279.5391076068276</v>
      </c>
      <c r="S17" s="589">
        <f t="shared" si="3"/>
        <v>295.54502010998175</v>
      </c>
    </row>
    <row r="18" spans="1:19" ht="15.75" thickBot="1">
      <c r="A18" s="768">
        <v>37135</v>
      </c>
      <c r="B18" s="484">
        <v>532.71918181818194</v>
      </c>
      <c r="C18" s="483">
        <v>229.02699999999999</v>
      </c>
      <c r="D18" s="47">
        <f t="shared" si="0"/>
        <v>2001</v>
      </c>
      <c r="E18" s="49" t="str">
        <f t="shared" si="1"/>
        <v>3</v>
      </c>
      <c r="Q18" s="769">
        <f>LARGE(A$8:A$750,1)</f>
        <v>45261</v>
      </c>
      <c r="R18" s="898">
        <f t="shared" si="2"/>
        <v>229.13012575757577</v>
      </c>
      <c r="S18" s="1188">
        <f t="shared" si="3"/>
        <v>231.49136384222987</v>
      </c>
    </row>
    <row r="19" spans="1:19">
      <c r="A19" s="768">
        <v>37226</v>
      </c>
      <c r="B19" s="588">
        <v>509.69533333333339</v>
      </c>
      <c r="C19" s="589">
        <v>231.68299999999999</v>
      </c>
      <c r="D19" s="47">
        <f t="shared" si="0"/>
        <v>2001</v>
      </c>
      <c r="E19" s="49" t="str">
        <f t="shared" si="1"/>
        <v>4</v>
      </c>
      <c r="Q19" s="1"/>
    </row>
    <row r="20" spans="1:19">
      <c r="A20" s="768">
        <v>37316</v>
      </c>
      <c r="B20" s="484">
        <v>492.80342424242423</v>
      </c>
      <c r="C20" s="483">
        <v>188.23400000000001</v>
      </c>
      <c r="D20" s="47">
        <f t="shared" si="0"/>
        <v>2002</v>
      </c>
      <c r="E20" s="49" t="str">
        <f t="shared" si="1"/>
        <v>1</v>
      </c>
      <c r="Q20" s="1"/>
    </row>
    <row r="21" spans="1:19">
      <c r="A21" s="768">
        <v>37408</v>
      </c>
      <c r="B21" s="588">
        <v>430.57439393939393</v>
      </c>
      <c r="C21" s="589">
        <v>201.25899999999999</v>
      </c>
      <c r="D21" s="47">
        <f t="shared" si="0"/>
        <v>2002</v>
      </c>
      <c r="E21" s="49" t="str">
        <f t="shared" si="1"/>
        <v>2</v>
      </c>
      <c r="Q21" s="1"/>
    </row>
    <row r="22" spans="1:19">
      <c r="A22" s="768">
        <v>37500</v>
      </c>
      <c r="B22" s="484">
        <v>552.94709090909089</v>
      </c>
      <c r="C22" s="483">
        <v>219.47300000000001</v>
      </c>
      <c r="D22" s="47">
        <f t="shared" si="0"/>
        <v>2002</v>
      </c>
      <c r="E22" s="49" t="str">
        <f t="shared" si="1"/>
        <v>3</v>
      </c>
      <c r="Q22" s="1"/>
    </row>
    <row r="23" spans="1:19">
      <c r="A23" s="768">
        <v>37591</v>
      </c>
      <c r="B23" s="588">
        <v>572.48742424242437</v>
      </c>
      <c r="C23" s="589">
        <v>257.88600000000002</v>
      </c>
      <c r="D23" s="47">
        <f t="shared" si="0"/>
        <v>2002</v>
      </c>
      <c r="E23" s="49" t="str">
        <f t="shared" si="1"/>
        <v>4</v>
      </c>
      <c r="Q23" s="1"/>
    </row>
    <row r="24" spans="1:19">
      <c r="A24" s="768">
        <v>37681</v>
      </c>
      <c r="B24" s="484">
        <v>415.87169696969704</v>
      </c>
      <c r="C24" s="483">
        <v>179.92400000000001</v>
      </c>
      <c r="D24" s="47">
        <f t="shared" si="0"/>
        <v>2003</v>
      </c>
      <c r="E24" s="49" t="str">
        <f t="shared" si="1"/>
        <v>1</v>
      </c>
      <c r="Q24" s="1"/>
    </row>
    <row r="25" spans="1:19">
      <c r="A25" s="768">
        <v>37773</v>
      </c>
      <c r="B25" s="588">
        <v>600.56672727272735</v>
      </c>
      <c r="C25" s="589">
        <v>201.46199999999999</v>
      </c>
      <c r="D25" s="47">
        <f t="shared" si="0"/>
        <v>2003</v>
      </c>
      <c r="E25" s="49" t="str">
        <f t="shared" si="1"/>
        <v>2</v>
      </c>
      <c r="Q25" s="1"/>
    </row>
    <row r="26" spans="1:19">
      <c r="A26" s="768">
        <v>37865</v>
      </c>
      <c r="B26" s="484">
        <v>561.44992999999999</v>
      </c>
      <c r="C26" s="483">
        <v>183.99054675333332</v>
      </c>
      <c r="D26" s="47">
        <f t="shared" si="0"/>
        <v>2003</v>
      </c>
      <c r="E26" s="49" t="str">
        <f t="shared" si="1"/>
        <v>3</v>
      </c>
    </row>
    <row r="27" spans="1:19">
      <c r="A27" s="768">
        <v>37956</v>
      </c>
      <c r="B27" s="588">
        <v>709.22357</v>
      </c>
      <c r="C27" s="589">
        <v>224.472241149697</v>
      </c>
      <c r="D27" s="47">
        <f t="shared" si="0"/>
        <v>2003</v>
      </c>
      <c r="E27" s="49" t="str">
        <f t="shared" si="1"/>
        <v>4</v>
      </c>
    </row>
    <row r="28" spans="1:19">
      <c r="A28" s="768">
        <v>38047</v>
      </c>
      <c r="B28" s="484">
        <v>598.08763999999985</v>
      </c>
      <c r="C28" s="483">
        <v>167.37318637727273</v>
      </c>
      <c r="D28" s="47">
        <f t="shared" si="0"/>
        <v>2004</v>
      </c>
      <c r="E28" s="49" t="str">
        <f t="shared" si="1"/>
        <v>1</v>
      </c>
    </row>
    <row r="29" spans="1:19">
      <c r="A29" s="768">
        <v>38139</v>
      </c>
      <c r="B29" s="588">
        <v>667.86923000000002</v>
      </c>
      <c r="C29" s="589">
        <v>201.70191933121214</v>
      </c>
      <c r="D29" s="47">
        <f t="shared" si="0"/>
        <v>2004</v>
      </c>
      <c r="E29" s="49" t="str">
        <f t="shared" si="1"/>
        <v>2</v>
      </c>
    </row>
    <row r="30" spans="1:19">
      <c r="A30" s="768">
        <v>38231</v>
      </c>
      <c r="B30" s="484">
        <v>598.51212999999996</v>
      </c>
      <c r="C30" s="483">
        <v>185.35964952</v>
      </c>
      <c r="D30" s="47">
        <f t="shared" si="0"/>
        <v>2004</v>
      </c>
      <c r="E30" s="49" t="str">
        <f t="shared" si="1"/>
        <v>3</v>
      </c>
    </row>
    <row r="31" spans="1:19" ht="15.75" thickBot="1">
      <c r="A31" s="768">
        <v>38322</v>
      </c>
      <c r="B31" s="588">
        <v>690.77266999999995</v>
      </c>
      <c r="C31" s="589">
        <v>210.47602398363637</v>
      </c>
      <c r="D31" s="47">
        <f t="shared" si="0"/>
        <v>2004</v>
      </c>
      <c r="E31" s="49" t="str">
        <f t="shared" si="1"/>
        <v>4</v>
      </c>
    </row>
    <row r="32" spans="1:19">
      <c r="A32" s="768">
        <v>38412</v>
      </c>
      <c r="B32" s="484">
        <v>577.42081000000007</v>
      </c>
      <c r="C32" s="483">
        <v>163.20437653696968</v>
      </c>
      <c r="D32" s="47">
        <f t="shared" si="0"/>
        <v>2005</v>
      </c>
      <c r="E32" s="49" t="str">
        <f t="shared" si="1"/>
        <v>1</v>
      </c>
      <c r="Q32" s="1435" t="s">
        <v>247</v>
      </c>
      <c r="R32" s="2042" t="s">
        <v>240</v>
      </c>
      <c r="S32" s="2043"/>
    </row>
    <row r="33" spans="1:36">
      <c r="A33" s="768">
        <v>38504</v>
      </c>
      <c r="B33" s="588">
        <v>733.49322999999993</v>
      </c>
      <c r="C33" s="589">
        <v>249.406867639697</v>
      </c>
      <c r="D33" s="47">
        <f t="shared" si="0"/>
        <v>2005</v>
      </c>
      <c r="E33" s="49" t="str">
        <f t="shared" si="1"/>
        <v>2</v>
      </c>
      <c r="Q33" s="1961" t="str">
        <f>CONCATENATE(A5," Quantity And Value By Year")</f>
        <v xml:space="preserve"> Quantity And Value By Year</v>
      </c>
      <c r="R33" s="1962"/>
      <c r="S33" s="1963"/>
    </row>
    <row r="34" spans="1:36">
      <c r="A34" s="768">
        <v>38596</v>
      </c>
      <c r="B34" s="484">
        <v>638.90314000000001</v>
      </c>
      <c r="C34" s="483">
        <v>206.5326046829091</v>
      </c>
      <c r="D34" s="47">
        <f t="shared" si="0"/>
        <v>2005</v>
      </c>
      <c r="E34" s="49" t="str">
        <f t="shared" si="1"/>
        <v>3</v>
      </c>
      <c r="Q34" s="1431" t="s">
        <v>34</v>
      </c>
      <c r="R34" s="1432" t="str">
        <f>B7</f>
        <v>Quantity (Kt)</v>
      </c>
      <c r="S34" s="1433" t="str">
        <f>C7</f>
        <v>Value ($ Million)</v>
      </c>
    </row>
    <row r="35" spans="1:36">
      <c r="A35" s="768">
        <v>38687</v>
      </c>
      <c r="B35" s="588">
        <v>685.25354000000004</v>
      </c>
      <c r="C35" s="589">
        <v>227.64974277981818</v>
      </c>
      <c r="D35" s="47">
        <f t="shared" si="0"/>
        <v>2005</v>
      </c>
      <c r="E35" s="49" t="str">
        <f t="shared" si="1"/>
        <v>4</v>
      </c>
      <c r="Q35" s="1737">
        <f t="shared" ref="Q35:Q52" si="4">IF($R$32="Calendar Year", Q36-1, LEFT(Q36,4)-1 &amp; "-" &amp; MID(Q36,3,2))</f>
        <v>2004</v>
      </c>
      <c r="R35" s="505">
        <f>IF($R$32="Calendar Year",SUMIF($D$8:$D$200,$Q35,$B$8:$B$200),SUMIFS($B$8:$B$200,$D$8:$D$200,LEFT($Q35,4),$E$8:$E$200,3)+SUMIFS($B$8:$B$200,$D$8:$D$200,LEFT($Q35,4),$E$8:$E$200,4)+SUMIFS($B$8:$B$200,$D$8:$D$200,LEFT($Q35,4)+1,$E$8:$E$200,1)+SUMIFS($B$8:$B$200,$D$8:$D$200,LEFT($Q35,4)+1,$E$8:$E$200,2))</f>
        <v>2555.2416699999999</v>
      </c>
      <c r="S35" s="506">
        <f>IF($R$32="Calendar Year",SUMIF($D$8:$D$200,$Q35,$C$8:$C$200),SUMIFS($C$8:$C$200,$D$8:$D$200,LEFT($Q35,4),$E$8:$E$200,3)+SUMIFS($C$8:$C$200,$D$8:$D$200,LEFT($Q35,4),$E$8:$E$200,4)+SUMIFS($C$8:$C$200,$D$8:$D$200,LEFT($Q35,4)+1,$E$8:$E$200,1)+SUMIFS($C$8:$C$200,$D$8:$D$200,LEFT($Q35,4)+1,$E$8:$E$200,2))</f>
        <v>764.91077921212127</v>
      </c>
    </row>
    <row r="36" spans="1:36">
      <c r="A36" s="768">
        <v>38777</v>
      </c>
      <c r="B36" s="484">
        <v>460.74187000000001</v>
      </c>
      <c r="C36" s="483">
        <v>187.91728033527272</v>
      </c>
      <c r="D36" s="47">
        <f t="shared" si="0"/>
        <v>2006</v>
      </c>
      <c r="E36" s="49" t="str">
        <f t="shared" si="1"/>
        <v>1</v>
      </c>
      <c r="Q36" s="1737">
        <f t="shared" si="4"/>
        <v>2005</v>
      </c>
      <c r="R36" s="591">
        <f t="shared" ref="R36:R60" si="5">IF(Q36="","",IF($R$32="Calendar Year",SUMIF($D$8:$D$200,$Q36,$B$8:$B$200),SUMIFS($B$8:$B$200,$D$8:$D$200,LEFT($Q36,4),$E$8:$E$200,3)+SUMIFS($B$8:$B$200,$D$8:$D$200,LEFT($Q36,4),$E$8:$E$200,4)+SUMIFS($B$8:$B$200,$D$8:$D$200,LEFT($Q36,4)+1,$E$8:$E$200,1)+SUMIFS($B$8:$B$200,$D$8:$D$200,LEFT($Q36,4)+1,$E$8:$E$200,2)))</f>
        <v>2635.0707200000002</v>
      </c>
      <c r="S36" s="592">
        <f t="shared" ref="S36:S60" si="6">IF(Q36="","",IF($R$32="Calendar Year",SUMIF($D$8:$D$200,$Q36,$C$8:$C$200),SUMIFS($C$8:$C$200,$D$8:$D$200,LEFT($Q36,4),$E$8:$E$200,3)+SUMIFS($C$8:$C$200,$D$8:$D$200,LEFT($Q36,4),$E$8:$E$200,4)+SUMIFS($C$8:$C$200,$D$8:$D$200,LEFT($Q36,4)+1,$E$8:$E$200,1)+SUMIFS($C$8:$C$200,$D$8:$D$200,LEFT($Q36,4)+1,$E$8:$E$200,2)))</f>
        <v>846.79359163939398</v>
      </c>
    </row>
    <row r="37" spans="1:36">
      <c r="A37" s="768">
        <v>38869</v>
      </c>
      <c r="B37" s="588">
        <v>662.94859899999994</v>
      </c>
      <c r="C37" s="589">
        <v>213.5316214871273</v>
      </c>
      <c r="D37" s="47">
        <f t="shared" si="0"/>
        <v>2006</v>
      </c>
      <c r="E37" s="49" t="str">
        <f t="shared" si="1"/>
        <v>2</v>
      </c>
      <c r="Q37" s="1737">
        <f t="shared" si="4"/>
        <v>2006</v>
      </c>
      <c r="R37" s="505">
        <f t="shared" si="5"/>
        <v>2629.9670580000002</v>
      </c>
      <c r="S37" s="506">
        <f t="shared" si="6"/>
        <v>886.26281036130922</v>
      </c>
      <c r="AE37" s="349"/>
      <c r="AF37" s="349"/>
      <c r="AG37" s="349"/>
      <c r="AH37" s="349"/>
      <c r="AI37" s="349"/>
      <c r="AJ37" s="349"/>
    </row>
    <row r="38" spans="1:36">
      <c r="A38" s="768">
        <v>38961</v>
      </c>
      <c r="B38" s="484">
        <v>667.25884000000008</v>
      </c>
      <c r="C38" s="483">
        <v>221.68141107430307</v>
      </c>
      <c r="D38" s="47">
        <f t="shared" si="0"/>
        <v>2006</v>
      </c>
      <c r="E38" s="49" t="str">
        <f t="shared" si="1"/>
        <v>3</v>
      </c>
      <c r="Q38" s="1737">
        <f t="shared" si="4"/>
        <v>2007</v>
      </c>
      <c r="R38" s="591">
        <f t="shared" si="5"/>
        <v>2489.7558399999998</v>
      </c>
      <c r="S38" s="592">
        <f t="shared" si="6"/>
        <v>691.05571360429815</v>
      </c>
      <c r="AE38" s="349"/>
      <c r="AF38" s="349"/>
      <c r="AG38" s="349"/>
      <c r="AH38" s="349"/>
      <c r="AI38" s="349"/>
      <c r="AJ38" s="349"/>
    </row>
    <row r="39" spans="1:36">
      <c r="A39" s="768">
        <v>39052</v>
      </c>
      <c r="B39" s="588">
        <v>839.01774900000009</v>
      </c>
      <c r="C39" s="589">
        <v>263.13249746460605</v>
      </c>
      <c r="D39" s="47">
        <f t="shared" si="0"/>
        <v>2006</v>
      </c>
      <c r="E39" s="49" t="str">
        <f t="shared" si="1"/>
        <v>4</v>
      </c>
      <c r="Q39" s="1737">
        <f t="shared" si="4"/>
        <v>2008</v>
      </c>
      <c r="R39" s="505">
        <f t="shared" si="5"/>
        <v>2348.3883889999997</v>
      </c>
      <c r="S39" s="506">
        <f t="shared" si="6"/>
        <v>777.13671799124882</v>
      </c>
      <c r="AE39" s="349"/>
      <c r="AF39" s="349"/>
      <c r="AG39" s="349"/>
      <c r="AH39" s="349"/>
      <c r="AI39" s="349"/>
      <c r="AJ39" s="349"/>
    </row>
    <row r="40" spans="1:36">
      <c r="A40" s="768">
        <v>39142</v>
      </c>
      <c r="B40" s="484">
        <v>712.67406999999992</v>
      </c>
      <c r="C40" s="483">
        <v>208.19747113642427</v>
      </c>
      <c r="D40" s="47">
        <f t="shared" si="0"/>
        <v>2007</v>
      </c>
      <c r="E40" s="49" t="str">
        <f t="shared" si="1"/>
        <v>1</v>
      </c>
      <c r="Q40" s="1737">
        <f t="shared" si="4"/>
        <v>2009</v>
      </c>
      <c r="R40" s="591">
        <f t="shared" si="5"/>
        <v>1881.4500789999997</v>
      </c>
      <c r="S40" s="592">
        <f t="shared" si="6"/>
        <v>641.83094086659389</v>
      </c>
      <c r="AE40" s="349"/>
      <c r="AF40" s="349"/>
      <c r="AG40" s="349"/>
      <c r="AH40" s="349"/>
      <c r="AI40" s="349"/>
      <c r="AJ40" s="349"/>
    </row>
    <row r="41" spans="1:36">
      <c r="A41" s="768">
        <v>39234</v>
      </c>
      <c r="B41" s="588">
        <v>525.55197999999996</v>
      </c>
      <c r="C41" s="589">
        <v>152.51562924866667</v>
      </c>
      <c r="D41" s="47">
        <f t="shared" si="0"/>
        <v>2007</v>
      </c>
      <c r="E41" s="49" t="str">
        <f t="shared" si="1"/>
        <v>2</v>
      </c>
      <c r="Q41" s="1737">
        <f t="shared" si="4"/>
        <v>2010</v>
      </c>
      <c r="R41" s="505">
        <f t="shared" si="5"/>
        <v>1599.250035</v>
      </c>
      <c r="S41" s="506">
        <f t="shared" si="6"/>
        <v>526.47051544375756</v>
      </c>
      <c r="AE41" s="349"/>
      <c r="AF41" s="349"/>
      <c r="AG41" s="349"/>
      <c r="AH41" s="349"/>
      <c r="AI41" s="349"/>
      <c r="AJ41" s="349"/>
    </row>
    <row r="42" spans="1:36">
      <c r="A42" s="768">
        <v>39326</v>
      </c>
      <c r="B42" s="484">
        <v>579.62850000000003</v>
      </c>
      <c r="C42" s="483">
        <v>139.81280604818181</v>
      </c>
      <c r="D42" s="47">
        <f t="shared" si="0"/>
        <v>2007</v>
      </c>
      <c r="E42" s="49" t="str">
        <f t="shared" si="1"/>
        <v>3</v>
      </c>
      <c r="Q42" s="1737">
        <f t="shared" si="4"/>
        <v>2011</v>
      </c>
      <c r="R42" s="591">
        <f t="shared" si="5"/>
        <v>1455.1578890000001</v>
      </c>
      <c r="S42" s="592">
        <f t="shared" si="6"/>
        <v>591.6221046056703</v>
      </c>
      <c r="AE42" s="349"/>
      <c r="AF42" s="349"/>
      <c r="AG42" s="349"/>
      <c r="AH42" s="349"/>
      <c r="AI42" s="349"/>
      <c r="AJ42" s="349"/>
    </row>
    <row r="43" spans="1:36">
      <c r="A43" s="768">
        <v>39417</v>
      </c>
      <c r="B43" s="588">
        <v>671.90129000000002</v>
      </c>
      <c r="C43" s="589">
        <v>190.52980717102545</v>
      </c>
      <c r="D43" s="47">
        <f t="shared" si="0"/>
        <v>2007</v>
      </c>
      <c r="E43" s="49" t="str">
        <f t="shared" si="1"/>
        <v>4</v>
      </c>
      <c r="Q43" s="1737">
        <f t="shared" si="4"/>
        <v>2012</v>
      </c>
      <c r="R43" s="505">
        <f t="shared" si="5"/>
        <v>1334.321578</v>
      </c>
      <c r="S43" s="506">
        <f t="shared" si="6"/>
        <v>970.8070320666061</v>
      </c>
      <c r="AE43" s="349"/>
      <c r="AF43" s="349"/>
      <c r="AG43" s="349"/>
      <c r="AH43" s="349"/>
      <c r="AI43" s="349"/>
      <c r="AJ43" s="349"/>
    </row>
    <row r="44" spans="1:36">
      <c r="A44" s="768">
        <v>39508</v>
      </c>
      <c r="B44" s="484">
        <v>563.33965000000001</v>
      </c>
      <c r="C44" s="483">
        <v>150.9215735699818</v>
      </c>
      <c r="D44" s="47">
        <f t="shared" si="0"/>
        <v>2008</v>
      </c>
      <c r="E44" s="49" t="str">
        <f t="shared" si="1"/>
        <v>1</v>
      </c>
      <c r="Q44" s="1737">
        <f t="shared" si="4"/>
        <v>2013</v>
      </c>
      <c r="R44" s="591">
        <f t="shared" si="5"/>
        <v>1162.7821235757576</v>
      </c>
      <c r="S44" s="592">
        <f t="shared" si="6"/>
        <v>380.58465899999999</v>
      </c>
      <c r="AE44" s="349"/>
      <c r="AF44" s="349"/>
      <c r="AG44" s="349"/>
      <c r="AH44" s="349"/>
      <c r="AI44" s="349"/>
      <c r="AJ44" s="349"/>
    </row>
    <row r="45" spans="1:36">
      <c r="A45" s="768">
        <v>39600</v>
      </c>
      <c r="B45" s="588">
        <v>678.11067800000001</v>
      </c>
      <c r="C45" s="589">
        <v>195.99011884184003</v>
      </c>
      <c r="D45" s="47">
        <f t="shared" si="0"/>
        <v>2008</v>
      </c>
      <c r="E45" s="49" t="str">
        <f t="shared" si="1"/>
        <v>2</v>
      </c>
      <c r="Q45" s="1737">
        <f t="shared" si="4"/>
        <v>2014</v>
      </c>
      <c r="R45" s="505">
        <f t="shared" si="5"/>
        <v>754.38299203030306</v>
      </c>
      <c r="S45" s="506">
        <f t="shared" si="6"/>
        <v>406.75867286666664</v>
      </c>
      <c r="AE45" s="349"/>
      <c r="AF45" s="349"/>
      <c r="AG45" s="349"/>
      <c r="AH45" s="349"/>
      <c r="AI45" s="349"/>
      <c r="AJ45" s="349"/>
    </row>
    <row r="46" spans="1:36">
      <c r="A46" s="768">
        <v>39692</v>
      </c>
      <c r="B46" s="484">
        <v>563.2937730000001</v>
      </c>
      <c r="C46" s="483">
        <v>203.25011357072</v>
      </c>
      <c r="D46" s="47">
        <f t="shared" si="0"/>
        <v>2008</v>
      </c>
      <c r="E46" s="49" t="str">
        <f t="shared" si="1"/>
        <v>3</v>
      </c>
      <c r="Q46" s="1737">
        <f t="shared" si="4"/>
        <v>2015</v>
      </c>
      <c r="R46" s="591">
        <f t="shared" si="5"/>
        <v>1013.2926921212122</v>
      </c>
      <c r="S46" s="592">
        <f t="shared" si="6"/>
        <v>586.39609236441697</v>
      </c>
      <c r="AE46" s="349"/>
      <c r="AF46" s="349"/>
      <c r="AG46" s="349"/>
      <c r="AH46" s="349"/>
      <c r="AI46" s="349"/>
      <c r="AJ46" s="349"/>
    </row>
    <row r="47" spans="1:36">
      <c r="A47" s="768">
        <v>39783</v>
      </c>
      <c r="B47" s="588">
        <v>543.64428799999996</v>
      </c>
      <c r="C47" s="589">
        <v>226.97491200870695</v>
      </c>
      <c r="D47" s="47">
        <f t="shared" si="0"/>
        <v>2008</v>
      </c>
      <c r="E47" s="49" t="str">
        <f t="shared" si="1"/>
        <v>4</v>
      </c>
      <c r="Q47" s="1737">
        <f t="shared" si="4"/>
        <v>2016</v>
      </c>
      <c r="R47" s="505">
        <f t="shared" si="5"/>
        <v>1274.8886436363637</v>
      </c>
      <c r="S47" s="506">
        <f t="shared" si="6"/>
        <v>612.46402801084821</v>
      </c>
      <c r="AE47" s="349"/>
      <c r="AF47" s="349"/>
      <c r="AG47" s="349"/>
      <c r="AH47" s="349"/>
      <c r="AI47" s="349"/>
      <c r="AJ47" s="349"/>
    </row>
    <row r="48" spans="1:36">
      <c r="A48" s="768">
        <v>39873</v>
      </c>
      <c r="B48" s="484">
        <v>494.34247199999993</v>
      </c>
      <c r="C48" s="483">
        <v>160.56678365354668</v>
      </c>
      <c r="D48" s="47">
        <f t="shared" si="0"/>
        <v>2009</v>
      </c>
      <c r="E48" s="49" t="str">
        <f t="shared" si="1"/>
        <v>1</v>
      </c>
      <c r="Q48" s="1737">
        <f t="shared" si="4"/>
        <v>2017</v>
      </c>
      <c r="R48" s="591">
        <f t="shared" si="5"/>
        <v>878.65964369696974</v>
      </c>
      <c r="S48" s="592">
        <f t="shared" si="6"/>
        <v>515.14173981765259</v>
      </c>
    </row>
    <row r="49" spans="1:19">
      <c r="A49" s="768">
        <v>39965</v>
      </c>
      <c r="B49" s="588">
        <v>388.15560699999997</v>
      </c>
      <c r="C49" s="589">
        <v>113.81045802763637</v>
      </c>
      <c r="D49" s="47">
        <f t="shared" si="0"/>
        <v>2009</v>
      </c>
      <c r="E49" s="49" t="str">
        <f t="shared" si="1"/>
        <v>2</v>
      </c>
      <c r="Q49" s="1737">
        <f t="shared" si="4"/>
        <v>2018</v>
      </c>
      <c r="R49" s="505">
        <f t="shared" si="5"/>
        <v>939.53333575757574</v>
      </c>
      <c r="S49" s="506">
        <f t="shared" si="6"/>
        <v>628.84552939685091</v>
      </c>
    </row>
    <row r="50" spans="1:19">
      <c r="A50" s="768">
        <v>40057</v>
      </c>
      <c r="B50" s="484">
        <v>448.44291999999996</v>
      </c>
      <c r="C50" s="483">
        <v>161.38295638874911</v>
      </c>
      <c r="D50" s="47">
        <f t="shared" si="0"/>
        <v>2009</v>
      </c>
      <c r="E50" s="49" t="str">
        <f t="shared" si="1"/>
        <v>3</v>
      </c>
      <c r="Q50" s="1737">
        <f t="shared" si="4"/>
        <v>2019</v>
      </c>
      <c r="R50" s="591">
        <f t="shared" si="5"/>
        <v>1063.0407810303032</v>
      </c>
      <c r="S50" s="592">
        <f t="shared" si="6"/>
        <v>761.70542010130384</v>
      </c>
    </row>
    <row r="51" spans="1:19">
      <c r="A51" s="768">
        <v>40148</v>
      </c>
      <c r="B51" s="588">
        <v>550.50907999999993</v>
      </c>
      <c r="C51" s="589">
        <v>206.07074279666182</v>
      </c>
      <c r="D51" s="47">
        <f t="shared" si="0"/>
        <v>2009</v>
      </c>
      <c r="E51" s="49" t="str">
        <f t="shared" si="1"/>
        <v>4</v>
      </c>
      <c r="Q51" s="1737">
        <f t="shared" si="4"/>
        <v>2020</v>
      </c>
      <c r="R51" s="505">
        <f t="shared" si="5"/>
        <v>1237.0700446060605</v>
      </c>
      <c r="S51" s="506">
        <f t="shared" si="6"/>
        <v>886.20492566042287</v>
      </c>
    </row>
    <row r="52" spans="1:19">
      <c r="A52" s="768">
        <v>40238</v>
      </c>
      <c r="B52" s="484">
        <v>432.03534000000002</v>
      </c>
      <c r="C52" s="483">
        <v>146.44246715351517</v>
      </c>
      <c r="D52" s="47">
        <f t="shared" si="0"/>
        <v>2010</v>
      </c>
      <c r="E52" s="49" t="str">
        <f t="shared" si="1"/>
        <v>1</v>
      </c>
      <c r="Q52" s="1737">
        <f t="shared" si="4"/>
        <v>2021</v>
      </c>
      <c r="R52" s="591">
        <f t="shared" si="5"/>
        <v>1278.3006460787878</v>
      </c>
      <c r="S52" s="592">
        <f t="shared" si="6"/>
        <v>1173.5866093361899</v>
      </c>
    </row>
    <row r="53" spans="1:19">
      <c r="A53" s="768">
        <v>40330</v>
      </c>
      <c r="B53" s="588">
        <v>468.59804000000003</v>
      </c>
      <c r="C53" s="589">
        <v>150.58886328757575</v>
      </c>
      <c r="D53" s="47">
        <f t="shared" si="0"/>
        <v>2010</v>
      </c>
      <c r="E53" s="49" t="str">
        <f t="shared" si="1"/>
        <v>2</v>
      </c>
      <c r="Q53" s="1737">
        <f>IF($R$32="Calendar Year", Q54-1, LEFT(Q54,4)-1 &amp; "-" &amp; MID(Q54,3,2))</f>
        <v>2022</v>
      </c>
      <c r="R53" s="505">
        <f t="shared" si="5"/>
        <v>1153.9747892424243</v>
      </c>
      <c r="S53" s="506">
        <f t="shared" si="6"/>
        <v>1343.7084353974126</v>
      </c>
    </row>
    <row r="54" spans="1:19" ht="15.75" thickBot="1">
      <c r="A54" s="768">
        <v>40422</v>
      </c>
      <c r="B54" s="484">
        <v>369.87650800000006</v>
      </c>
      <c r="C54" s="483">
        <v>119.27838987599999</v>
      </c>
      <c r="D54" s="47">
        <f t="shared" si="0"/>
        <v>2010</v>
      </c>
      <c r="E54" s="49" t="str">
        <f t="shared" si="1"/>
        <v>3</v>
      </c>
      <c r="F54" s="228"/>
      <c r="Q54" s="606">
        <f>IF($R$32="Calendar Year",
    YEAR(LARGE($A:$A, 4)),
    IF(MONTH(LARGE($A:$A, 4))&gt;6,
        YEAR(LARGE($A:$A, 4)) &amp; "-" &amp; RIGHT(YEAR(LARGE($A:$A, 4))+1),
        YEAR(LARGE($A:$A, 4))-1 &amp; "-" &amp; RIGHT(YEAR(LARGE($A:$A, 4)), 2)
    ))</f>
        <v>2023</v>
      </c>
      <c r="R54" s="1736">
        <f t="shared" si="5"/>
        <v>1111.7589318795549</v>
      </c>
      <c r="S54" s="1645">
        <f t="shared" si="6"/>
        <v>1281.5819267613545</v>
      </c>
    </row>
    <row r="55" spans="1:19">
      <c r="A55" s="768">
        <v>40513</v>
      </c>
      <c r="B55" s="588">
        <v>328.74014699999998</v>
      </c>
      <c r="C55" s="589">
        <v>110.16079512666667</v>
      </c>
      <c r="D55" s="47">
        <f t="shared" si="0"/>
        <v>2010</v>
      </c>
      <c r="E55" s="49" t="str">
        <f t="shared" si="1"/>
        <v>4</v>
      </c>
      <c r="F55" s="228"/>
      <c r="Q55" s="1724"/>
      <c r="R55" s="547"/>
      <c r="S55" s="547"/>
    </row>
    <row r="56" spans="1:19">
      <c r="A56" s="768">
        <v>40603</v>
      </c>
      <c r="B56" s="484">
        <v>369.869034</v>
      </c>
      <c r="C56" s="483">
        <v>113.38754588096971</v>
      </c>
      <c r="D56" s="47">
        <f t="shared" si="0"/>
        <v>2011</v>
      </c>
      <c r="E56" s="49" t="str">
        <f t="shared" si="1"/>
        <v>1</v>
      </c>
      <c r="F56" s="228"/>
      <c r="Q56" s="1724"/>
      <c r="R56" s="547"/>
      <c r="S56" s="547"/>
    </row>
    <row r="57" spans="1:19">
      <c r="A57" s="768">
        <v>40695</v>
      </c>
      <c r="B57" s="588">
        <v>348.30933999999996</v>
      </c>
      <c r="C57" s="589">
        <v>133.35581608327271</v>
      </c>
      <c r="D57" s="47">
        <f t="shared" si="0"/>
        <v>2011</v>
      </c>
      <c r="E57" s="49" t="str">
        <f t="shared" si="1"/>
        <v>2</v>
      </c>
      <c r="F57" s="228"/>
      <c r="Q57" s="1724"/>
      <c r="R57" s="547"/>
      <c r="S57" s="547"/>
    </row>
    <row r="58" spans="1:19">
      <c r="A58" s="768">
        <v>40787</v>
      </c>
      <c r="B58" s="484">
        <v>381.62442499999997</v>
      </c>
      <c r="C58" s="483">
        <v>174.96184977763636</v>
      </c>
      <c r="D58" s="47">
        <f t="shared" si="0"/>
        <v>2011</v>
      </c>
      <c r="E58" s="49" t="str">
        <f t="shared" si="1"/>
        <v>3</v>
      </c>
      <c r="F58" s="228"/>
      <c r="Q58" s="1724"/>
      <c r="R58" s="547"/>
      <c r="S58" s="547"/>
    </row>
    <row r="59" spans="1:19">
      <c r="A59" s="768">
        <v>40878</v>
      </c>
      <c r="B59" s="588">
        <v>355.35508999999996</v>
      </c>
      <c r="C59" s="589">
        <v>169.91689286379153</v>
      </c>
      <c r="D59" s="47">
        <f t="shared" si="0"/>
        <v>2011</v>
      </c>
      <c r="E59" s="49" t="str">
        <f t="shared" si="1"/>
        <v>4</v>
      </c>
      <c r="F59" s="228"/>
      <c r="Q59" s="453" t="str">
        <f>IFERROR(IF(YEAR(MAX('Commodity Prices'!$C$9:$C5006))=VALUE(RIGHT(Q58,4)),"",IF($R$32="Calendar Year",Q58+1,CONCATENATE(LEFT(Q58,4)+1,"-",RIGHT(Q58,4)+1))),"")</f>
        <v/>
      </c>
      <c r="R59" s="590" t="str">
        <f t="shared" si="5"/>
        <v/>
      </c>
      <c r="S59" s="564" t="str">
        <f t="shared" si="6"/>
        <v/>
      </c>
    </row>
    <row r="60" spans="1:19">
      <c r="A60" s="768">
        <v>40969</v>
      </c>
      <c r="B60" s="484">
        <v>347.86962800000003</v>
      </c>
      <c r="C60" s="483">
        <v>240.15949792703032</v>
      </c>
      <c r="D60" s="47">
        <f t="shared" si="0"/>
        <v>2012</v>
      </c>
      <c r="E60" s="49" t="str">
        <f t="shared" si="1"/>
        <v>1</v>
      </c>
      <c r="F60" s="228"/>
      <c r="Q60" s="453" t="str">
        <f>IFERROR(IF(YEAR(MAX('Commodity Prices'!$C$9:$C5007))=VALUE(RIGHT(Q59,4)),"",IF($R$32="Calendar Year",Q59+1,CONCATENATE(LEFT(Q59,4)+1,"-",RIGHT(Q59,4)+1))),"")</f>
        <v/>
      </c>
      <c r="R60" s="590" t="str">
        <f t="shared" si="5"/>
        <v/>
      </c>
      <c r="S60" s="564" t="str">
        <f t="shared" si="6"/>
        <v/>
      </c>
    </row>
    <row r="61" spans="1:19">
      <c r="A61" s="768">
        <v>41061</v>
      </c>
      <c r="B61" s="588">
        <v>330.71230000000003</v>
      </c>
      <c r="C61" s="589">
        <v>279.07432250472726</v>
      </c>
      <c r="D61" s="47">
        <f t="shared" si="0"/>
        <v>2012</v>
      </c>
      <c r="E61" s="49" t="str">
        <f t="shared" si="1"/>
        <v>2</v>
      </c>
      <c r="F61" s="228"/>
    </row>
    <row r="62" spans="1:19">
      <c r="A62" s="768">
        <v>41153</v>
      </c>
      <c r="B62" s="484">
        <v>323.30175000000003</v>
      </c>
      <c r="C62" s="483">
        <v>240.53327604000003</v>
      </c>
      <c r="D62" s="47">
        <f t="shared" si="0"/>
        <v>2012</v>
      </c>
      <c r="E62" s="49" t="str">
        <f t="shared" si="1"/>
        <v>3</v>
      </c>
      <c r="F62" s="228"/>
      <c r="G62" s="228"/>
      <c r="H62" s="68"/>
      <c r="I62" s="68"/>
    </row>
    <row r="63" spans="1:19">
      <c r="A63" s="768">
        <v>41244</v>
      </c>
      <c r="B63" s="588">
        <v>332.43790000000001</v>
      </c>
      <c r="C63" s="589">
        <v>211.03993559484849</v>
      </c>
      <c r="D63" s="47">
        <f t="shared" si="0"/>
        <v>2012</v>
      </c>
      <c r="E63" s="49" t="str">
        <f t="shared" si="1"/>
        <v>4</v>
      </c>
      <c r="F63" s="228"/>
      <c r="G63" s="228"/>
      <c r="H63" s="68"/>
      <c r="I63" s="68"/>
    </row>
    <row r="64" spans="1:19">
      <c r="A64" s="768">
        <v>41334</v>
      </c>
      <c r="B64" s="484">
        <v>318.15396969696974</v>
      </c>
      <c r="C64" s="483">
        <v>106.96275399999999</v>
      </c>
      <c r="D64" s="47">
        <f t="shared" si="0"/>
        <v>2013</v>
      </c>
      <c r="E64" s="49" t="str">
        <f t="shared" si="1"/>
        <v>1</v>
      </c>
      <c r="F64" s="228"/>
      <c r="G64" s="228"/>
      <c r="H64" s="68"/>
      <c r="I64" s="68"/>
    </row>
    <row r="65" spans="1:9">
      <c r="A65" s="768">
        <v>41426</v>
      </c>
      <c r="B65" s="588">
        <v>283.29897266666666</v>
      </c>
      <c r="C65" s="589">
        <v>98.636386000000002</v>
      </c>
      <c r="D65" s="47">
        <f t="shared" si="0"/>
        <v>2013</v>
      </c>
      <c r="E65" s="49" t="str">
        <f t="shared" si="1"/>
        <v>2</v>
      </c>
      <c r="F65" s="228"/>
      <c r="G65" s="228"/>
      <c r="H65" s="68"/>
      <c r="I65" s="68"/>
    </row>
    <row r="66" spans="1:9">
      <c r="A66" s="768">
        <v>41518</v>
      </c>
      <c r="B66" s="484">
        <v>266.2454872727273</v>
      </c>
      <c r="C66" s="483">
        <v>80.906579999999991</v>
      </c>
      <c r="D66" s="47">
        <f t="shared" si="0"/>
        <v>2013</v>
      </c>
      <c r="E66" s="49" t="str">
        <f t="shared" si="1"/>
        <v>3</v>
      </c>
      <c r="F66" s="228"/>
      <c r="G66" s="228"/>
      <c r="H66" s="68"/>
      <c r="I66" s="68"/>
    </row>
    <row r="67" spans="1:9">
      <c r="A67" s="768">
        <v>41609</v>
      </c>
      <c r="B67" s="588">
        <v>295.08369393939392</v>
      </c>
      <c r="C67" s="589">
        <v>94.078938999999991</v>
      </c>
      <c r="D67" s="47">
        <f t="shared" si="0"/>
        <v>2013</v>
      </c>
      <c r="E67" s="49" t="str">
        <f t="shared" si="1"/>
        <v>4</v>
      </c>
      <c r="F67" s="228"/>
      <c r="G67" s="228"/>
      <c r="H67" s="68"/>
      <c r="I67" s="68"/>
    </row>
    <row r="68" spans="1:9">
      <c r="A68" s="768">
        <v>41699</v>
      </c>
      <c r="B68" s="484">
        <v>167.99979263636362</v>
      </c>
      <c r="C68" s="483">
        <v>76.715109290909098</v>
      </c>
      <c r="D68" s="47">
        <f t="shared" si="0"/>
        <v>2014</v>
      </c>
      <c r="E68" s="49" t="str">
        <f t="shared" si="1"/>
        <v>1</v>
      </c>
      <c r="F68" s="228"/>
      <c r="G68" s="228"/>
      <c r="H68" s="68"/>
      <c r="I68" s="68"/>
    </row>
    <row r="69" spans="1:9">
      <c r="A69" s="768">
        <v>41791</v>
      </c>
      <c r="B69" s="588">
        <v>203.85361151515153</v>
      </c>
      <c r="C69" s="589">
        <v>108.25742245454546</v>
      </c>
      <c r="D69" s="47">
        <f t="shared" si="0"/>
        <v>2014</v>
      </c>
      <c r="E69" s="49" t="str">
        <f t="shared" si="1"/>
        <v>2</v>
      </c>
      <c r="F69" s="228"/>
      <c r="G69" s="228"/>
      <c r="H69" s="68"/>
      <c r="I69" s="68"/>
    </row>
    <row r="70" spans="1:9">
      <c r="A70" s="768">
        <v>41883</v>
      </c>
      <c r="B70" s="484">
        <v>192.05296030303029</v>
      </c>
      <c r="C70" s="483">
        <v>108.58870309090909</v>
      </c>
      <c r="D70" s="47">
        <f t="shared" si="0"/>
        <v>2014</v>
      </c>
      <c r="E70" s="49" t="str">
        <f t="shared" si="1"/>
        <v>3</v>
      </c>
      <c r="F70" s="228"/>
      <c r="G70" s="228"/>
      <c r="H70" s="68"/>
      <c r="I70" s="68"/>
    </row>
    <row r="71" spans="1:9">
      <c r="A71" s="768">
        <v>41974</v>
      </c>
      <c r="B71" s="588">
        <v>190.47662757575756</v>
      </c>
      <c r="C71" s="589">
        <v>113.19743803030303</v>
      </c>
      <c r="D71" s="47">
        <f t="shared" si="0"/>
        <v>2014</v>
      </c>
      <c r="E71" s="49" t="str">
        <f t="shared" si="1"/>
        <v>4</v>
      </c>
      <c r="F71" s="228"/>
      <c r="G71" s="228"/>
      <c r="H71" s="68"/>
      <c r="I71" s="68"/>
    </row>
    <row r="72" spans="1:9">
      <c r="A72" s="768">
        <v>42064</v>
      </c>
      <c r="B72" s="484">
        <v>219.84536454545454</v>
      </c>
      <c r="C72" s="483">
        <v>116.41049234948923</v>
      </c>
      <c r="D72" s="47">
        <f>YEAR(A72)</f>
        <v>2015</v>
      </c>
      <c r="E72" s="49" t="str">
        <f t="shared" si="1"/>
        <v>1</v>
      </c>
      <c r="F72" s="228"/>
      <c r="G72" s="228"/>
      <c r="H72" s="68"/>
      <c r="I72" s="68"/>
    </row>
    <row r="73" spans="1:9">
      <c r="A73" s="768">
        <v>42156</v>
      </c>
      <c r="B73" s="588">
        <v>281.34365909090911</v>
      </c>
      <c r="C73" s="589">
        <v>156.03087978995075</v>
      </c>
      <c r="D73" s="47">
        <f>YEAR(A73)</f>
        <v>2015</v>
      </c>
      <c r="E73" s="49" t="str">
        <f>IF(MONTH(A73)=3,"1",IF(MONTH(A73)=6,"2",IF(MONTH(A73)=9,"3","4")))</f>
        <v>2</v>
      </c>
      <c r="F73" s="228"/>
      <c r="G73" s="228"/>
      <c r="H73" s="68"/>
      <c r="I73" s="68"/>
    </row>
    <row r="74" spans="1:9">
      <c r="A74" s="768">
        <v>42248</v>
      </c>
      <c r="B74" s="484">
        <v>181.19125757575759</v>
      </c>
      <c r="C74" s="483">
        <v>134.82173197609356</v>
      </c>
      <c r="D74" s="47">
        <f>YEAR(A74)</f>
        <v>2015</v>
      </c>
      <c r="E74" s="49" t="str">
        <f>IF(MONTH(A74)=3,"1",IF(MONTH(A74)=6,"2",IF(MONTH(A74)=9,"3","4")))</f>
        <v>3</v>
      </c>
      <c r="F74" s="228"/>
      <c r="G74" s="228"/>
      <c r="H74" s="68"/>
      <c r="I74" s="68"/>
    </row>
    <row r="75" spans="1:9">
      <c r="A75" s="768">
        <v>42339</v>
      </c>
      <c r="B75" s="588">
        <v>330.91241090909091</v>
      </c>
      <c r="C75" s="589">
        <v>179.13298824888346</v>
      </c>
      <c r="D75" s="47">
        <f>YEAR(A75)</f>
        <v>2015</v>
      </c>
      <c r="E75" s="49" t="str">
        <f>IF(MONTH(A75)=3,"1",IF(MONTH(A75)=6,"2",IF(MONTH(A75)=9,"3","4")))</f>
        <v>4</v>
      </c>
      <c r="F75" s="228"/>
      <c r="G75" s="228"/>
      <c r="H75" s="68"/>
      <c r="I75" s="68"/>
    </row>
    <row r="76" spans="1:9">
      <c r="A76" s="768">
        <v>42430</v>
      </c>
      <c r="B76" s="484">
        <v>242.61038606060609</v>
      </c>
      <c r="C76" s="483">
        <v>122.58967324767677</v>
      </c>
      <c r="D76" s="47">
        <f t="shared" ref="D76:D139" si="7">YEAR(A76)</f>
        <v>2016</v>
      </c>
      <c r="E76" s="49" t="str">
        <f t="shared" ref="E76:E139" si="8">IF(MONTH(A76)=3,"1",IF(MONTH(A76)=6,"2",IF(MONTH(A76)=9,"3","4")))</f>
        <v>1</v>
      </c>
      <c r="F76" s="228"/>
    </row>
    <row r="77" spans="1:9">
      <c r="A77" s="768">
        <v>42522</v>
      </c>
      <c r="B77" s="588">
        <v>203.3450606060606</v>
      </c>
      <c r="C77" s="589">
        <v>134.9861616631745</v>
      </c>
      <c r="D77" s="47">
        <f t="shared" si="7"/>
        <v>2016</v>
      </c>
      <c r="E77" s="49" t="str">
        <f t="shared" si="8"/>
        <v>2</v>
      </c>
      <c r="F77" s="228"/>
    </row>
    <row r="78" spans="1:9">
      <c r="A78" s="768">
        <v>42614</v>
      </c>
      <c r="B78" s="484">
        <v>278.4663333333333</v>
      </c>
      <c r="C78" s="483">
        <v>135.27440645425679</v>
      </c>
      <c r="D78" s="47">
        <f t="shared" si="7"/>
        <v>2016</v>
      </c>
      <c r="E78" s="49" t="str">
        <f t="shared" si="8"/>
        <v>3</v>
      </c>
    </row>
    <row r="79" spans="1:9">
      <c r="A79" s="768">
        <v>42705</v>
      </c>
      <c r="B79" s="588">
        <v>550.46686363636366</v>
      </c>
      <c r="C79" s="589">
        <v>219.61378664574019</v>
      </c>
      <c r="D79" s="47">
        <f t="shared" si="7"/>
        <v>2016</v>
      </c>
      <c r="E79" s="49" t="str">
        <f t="shared" si="8"/>
        <v>4</v>
      </c>
    </row>
    <row r="80" spans="1:9">
      <c r="A80" s="768">
        <v>42795</v>
      </c>
      <c r="B80" s="484">
        <v>211.9179272727273</v>
      </c>
      <c r="C80" s="483">
        <v>120.69086450397532</v>
      </c>
      <c r="D80" s="47">
        <f t="shared" si="7"/>
        <v>2017</v>
      </c>
      <c r="E80" s="49" t="str">
        <f t="shared" si="8"/>
        <v>1</v>
      </c>
    </row>
    <row r="81" spans="1:7">
      <c r="A81" s="768">
        <v>42887</v>
      </c>
      <c r="B81" s="588">
        <v>198.13095309090909</v>
      </c>
      <c r="C81" s="589">
        <v>107.88373044242806</v>
      </c>
      <c r="D81" s="47">
        <f t="shared" si="7"/>
        <v>2017</v>
      </c>
      <c r="E81" s="49" t="str">
        <f t="shared" si="8"/>
        <v>2</v>
      </c>
    </row>
    <row r="82" spans="1:7">
      <c r="A82" s="768">
        <v>42979</v>
      </c>
      <c r="B82" s="484">
        <v>215.16577915151515</v>
      </c>
      <c r="C82" s="483">
        <v>140.18719657801475</v>
      </c>
      <c r="D82" s="47">
        <f t="shared" si="7"/>
        <v>2017</v>
      </c>
      <c r="E82" s="49" t="str">
        <f t="shared" si="8"/>
        <v>3</v>
      </c>
    </row>
    <row r="83" spans="1:7">
      <c r="A83" s="768">
        <v>43070</v>
      </c>
      <c r="B83" s="588">
        <v>253.44498418181817</v>
      </c>
      <c r="C83" s="589">
        <v>146.37994829323446</v>
      </c>
      <c r="D83" s="47">
        <f t="shared" si="7"/>
        <v>2017</v>
      </c>
      <c r="E83" s="49" t="str">
        <f t="shared" si="8"/>
        <v>4</v>
      </c>
    </row>
    <row r="84" spans="1:7">
      <c r="A84" s="768">
        <v>43160</v>
      </c>
      <c r="B84" s="484">
        <v>224.9157913939394</v>
      </c>
      <c r="C84" s="483">
        <v>127.05420793713439</v>
      </c>
      <c r="D84" s="47">
        <f t="shared" si="7"/>
        <v>2018</v>
      </c>
      <c r="E84" s="49" t="str">
        <f t="shared" si="8"/>
        <v>1</v>
      </c>
    </row>
    <row r="85" spans="1:7">
      <c r="A85" s="768">
        <v>43252</v>
      </c>
      <c r="B85" s="588">
        <v>200.94247793939391</v>
      </c>
      <c r="C85" s="589">
        <v>138.38763106901274</v>
      </c>
      <c r="D85" s="47">
        <f t="shared" si="7"/>
        <v>2018</v>
      </c>
      <c r="E85" s="49" t="str">
        <f t="shared" si="8"/>
        <v>2</v>
      </c>
    </row>
    <row r="86" spans="1:7">
      <c r="A86" s="768">
        <v>43344</v>
      </c>
      <c r="B86" s="484">
        <v>266.82648236363639</v>
      </c>
      <c r="C86" s="483">
        <v>193.86647576907271</v>
      </c>
      <c r="D86" s="47">
        <f t="shared" si="7"/>
        <v>2018</v>
      </c>
      <c r="E86" s="49" t="str">
        <f t="shared" si="8"/>
        <v>3</v>
      </c>
    </row>
    <row r="87" spans="1:7">
      <c r="A87" s="768">
        <v>43435</v>
      </c>
      <c r="B87" s="588">
        <v>246.84858406060607</v>
      </c>
      <c r="C87" s="589">
        <v>169.53721462163102</v>
      </c>
      <c r="D87" s="47">
        <f t="shared" si="7"/>
        <v>2018</v>
      </c>
      <c r="E87" s="49" t="str">
        <f t="shared" si="8"/>
        <v>4</v>
      </c>
      <c r="G87" s="382"/>
    </row>
    <row r="88" spans="1:7">
      <c r="A88" s="768">
        <v>43525</v>
      </c>
      <c r="B88" s="484">
        <v>230.07744727272726</v>
      </c>
      <c r="C88" s="483">
        <v>167.88623956500098</v>
      </c>
      <c r="D88" s="47">
        <f t="shared" si="7"/>
        <v>2019</v>
      </c>
      <c r="E88" s="49" t="str">
        <f t="shared" si="8"/>
        <v>1</v>
      </c>
    </row>
    <row r="89" spans="1:7">
      <c r="A89" s="768">
        <v>43617</v>
      </c>
      <c r="B89" s="588">
        <v>285.88922212121213</v>
      </c>
      <c r="C89" s="589">
        <v>187.04012640535677</v>
      </c>
      <c r="D89" s="47">
        <f t="shared" si="7"/>
        <v>2019</v>
      </c>
      <c r="E89" s="49" t="str">
        <f t="shared" si="8"/>
        <v>2</v>
      </c>
    </row>
    <row r="90" spans="1:7">
      <c r="A90" s="768">
        <v>43709</v>
      </c>
      <c r="B90" s="484">
        <v>268.09512969696965</v>
      </c>
      <c r="C90" s="483">
        <v>201.03284640572465</v>
      </c>
      <c r="D90" s="47">
        <f t="shared" si="7"/>
        <v>2019</v>
      </c>
      <c r="E90" s="49" t="str">
        <f t="shared" si="8"/>
        <v>3</v>
      </c>
    </row>
    <row r="91" spans="1:7">
      <c r="A91" s="768">
        <v>43800</v>
      </c>
      <c r="B91" s="1434">
        <v>278.97898193939398</v>
      </c>
      <c r="C91" s="592">
        <v>205.74620772522144</v>
      </c>
      <c r="D91" s="47">
        <f t="shared" si="7"/>
        <v>2019</v>
      </c>
      <c r="E91" s="49" t="str">
        <f t="shared" si="8"/>
        <v>4</v>
      </c>
    </row>
    <row r="92" spans="1:7">
      <c r="A92" s="768">
        <v>43891</v>
      </c>
      <c r="B92" s="585">
        <v>280.45567884848481</v>
      </c>
      <c r="C92" s="548">
        <v>178.57415043291149</v>
      </c>
      <c r="D92" s="47">
        <f t="shared" si="7"/>
        <v>2020</v>
      </c>
      <c r="E92" s="49" t="str">
        <f t="shared" si="8"/>
        <v>1</v>
      </c>
    </row>
    <row r="93" spans="1:7">
      <c r="A93" s="768">
        <v>43983</v>
      </c>
      <c r="B93" s="1434">
        <v>286.05264612121215</v>
      </c>
      <c r="C93" s="592">
        <v>230.37788370213656</v>
      </c>
      <c r="D93" s="47">
        <f t="shared" si="7"/>
        <v>2020</v>
      </c>
      <c r="E93" s="49" t="str">
        <f t="shared" si="8"/>
        <v>2</v>
      </c>
    </row>
    <row r="94" spans="1:7">
      <c r="A94" s="768">
        <v>44075</v>
      </c>
      <c r="B94" s="585">
        <v>295.96322115151509</v>
      </c>
      <c r="C94" s="548">
        <v>205.32352876130025</v>
      </c>
      <c r="D94" s="47">
        <f t="shared" si="7"/>
        <v>2020</v>
      </c>
      <c r="E94" s="49" t="str">
        <f t="shared" si="8"/>
        <v>3</v>
      </c>
    </row>
    <row r="95" spans="1:7">
      <c r="A95" s="768">
        <v>44166</v>
      </c>
      <c r="B95" s="588">
        <v>374.59849848484845</v>
      </c>
      <c r="C95" s="589">
        <v>271.92936276407454</v>
      </c>
      <c r="D95" s="47">
        <f t="shared" si="7"/>
        <v>2020</v>
      </c>
      <c r="E95" s="49" t="str">
        <f t="shared" si="8"/>
        <v>4</v>
      </c>
    </row>
    <row r="96" spans="1:7">
      <c r="A96" s="768">
        <v>44256</v>
      </c>
      <c r="B96" s="484">
        <v>257.13602363636363</v>
      </c>
      <c r="C96" s="483">
        <v>183.78462062225722</v>
      </c>
      <c r="D96" s="47">
        <f t="shared" si="7"/>
        <v>2021</v>
      </c>
      <c r="E96" s="49" t="str">
        <f t="shared" si="8"/>
        <v>1</v>
      </c>
    </row>
    <row r="97" spans="1:5">
      <c r="A97" s="768">
        <v>44348</v>
      </c>
      <c r="B97" s="588">
        <v>305.65604278787885</v>
      </c>
      <c r="C97" s="589">
        <v>265.76500319037257</v>
      </c>
      <c r="D97" s="47">
        <f t="shared" si="7"/>
        <v>2021</v>
      </c>
      <c r="E97" s="49" t="str">
        <f t="shared" si="8"/>
        <v>2</v>
      </c>
    </row>
    <row r="98" spans="1:5">
      <c r="A98" s="768">
        <v>44440</v>
      </c>
      <c r="B98" s="484">
        <v>322.44202513939393</v>
      </c>
      <c r="C98" s="483">
        <v>341.82811248662273</v>
      </c>
      <c r="D98" s="47">
        <f t="shared" si="7"/>
        <v>2021</v>
      </c>
      <c r="E98" s="49" t="str">
        <f t="shared" si="8"/>
        <v>3</v>
      </c>
    </row>
    <row r="99" spans="1:5">
      <c r="A99" s="768">
        <v>44531</v>
      </c>
      <c r="B99" s="588">
        <v>393.06655451515155</v>
      </c>
      <c r="C99" s="589">
        <v>382.2088730369374</v>
      </c>
      <c r="D99" s="47">
        <f t="shared" si="7"/>
        <v>2021</v>
      </c>
      <c r="E99" s="49" t="str">
        <f t="shared" si="8"/>
        <v>4</v>
      </c>
    </row>
    <row r="100" spans="1:5">
      <c r="A100" s="768">
        <v>44621</v>
      </c>
      <c r="B100" s="484">
        <v>258.4733768181818</v>
      </c>
      <c r="C100" s="483">
        <v>308.77832917942902</v>
      </c>
      <c r="D100" s="47">
        <f t="shared" si="7"/>
        <v>2022</v>
      </c>
      <c r="E100" s="49" t="str">
        <f t="shared" si="8"/>
        <v>1</v>
      </c>
    </row>
    <row r="101" spans="1:5">
      <c r="A101" s="768">
        <v>44713</v>
      </c>
      <c r="B101" s="588">
        <v>316.73389263636363</v>
      </c>
      <c r="C101" s="589">
        <v>354.99344974878761</v>
      </c>
      <c r="D101" s="47">
        <f t="shared" si="7"/>
        <v>2022</v>
      </c>
      <c r="E101" s="49" t="str">
        <f t="shared" si="8"/>
        <v>2</v>
      </c>
    </row>
    <row r="102" spans="1:5">
      <c r="A102" s="768">
        <v>44805</v>
      </c>
      <c r="B102" s="484">
        <v>271.93652921212123</v>
      </c>
      <c r="C102" s="483">
        <v>323.59798780545378</v>
      </c>
      <c r="D102" s="47">
        <f t="shared" si="7"/>
        <v>2022</v>
      </c>
      <c r="E102" s="49" t="str">
        <f t="shared" si="8"/>
        <v>3</v>
      </c>
    </row>
    <row r="103" spans="1:5">
      <c r="A103" s="768">
        <v>44896</v>
      </c>
      <c r="B103" s="588">
        <v>306.83099057575754</v>
      </c>
      <c r="C103" s="589">
        <v>356.33866866374206</v>
      </c>
      <c r="D103" s="47">
        <f t="shared" si="7"/>
        <v>2022</v>
      </c>
      <c r="E103" s="49" t="str">
        <f t="shared" si="8"/>
        <v>4</v>
      </c>
    </row>
    <row r="104" spans="1:5">
      <c r="A104" s="768">
        <v>44986</v>
      </c>
      <c r="B104" s="484">
        <v>283.87144587878782</v>
      </c>
      <c r="C104" s="483">
        <v>357.26412176788347</v>
      </c>
      <c r="D104" s="47">
        <f t="shared" si="7"/>
        <v>2023</v>
      </c>
      <c r="E104" s="49" t="str">
        <f t="shared" si="8"/>
        <v>1</v>
      </c>
    </row>
    <row r="105" spans="1:5">
      <c r="A105" s="768">
        <v>45078</v>
      </c>
      <c r="B105" s="588">
        <v>319.21825263636362</v>
      </c>
      <c r="C105" s="589">
        <v>397.28142104125925</v>
      </c>
      <c r="D105" s="47">
        <f t="shared" si="7"/>
        <v>2023</v>
      </c>
      <c r="E105" s="49" t="str">
        <f t="shared" si="8"/>
        <v>2</v>
      </c>
    </row>
    <row r="106" spans="1:5">
      <c r="A106" s="768">
        <v>45170</v>
      </c>
      <c r="B106" s="484">
        <v>279.5391076068276</v>
      </c>
      <c r="C106" s="483">
        <v>295.54502010998175</v>
      </c>
      <c r="D106" s="47">
        <f t="shared" si="7"/>
        <v>2023</v>
      </c>
      <c r="E106" s="49" t="str">
        <f t="shared" si="8"/>
        <v>3</v>
      </c>
    </row>
    <row r="107" spans="1:5" ht="15.75" thickBot="1">
      <c r="A107" s="769">
        <v>45261</v>
      </c>
      <c r="B107" s="1660">
        <v>229.13012575757577</v>
      </c>
      <c r="C107" s="1661">
        <v>231.49136384222987</v>
      </c>
      <c r="D107" s="47">
        <f t="shared" si="7"/>
        <v>2023</v>
      </c>
      <c r="E107" s="49" t="str">
        <f t="shared" si="8"/>
        <v>4</v>
      </c>
    </row>
    <row r="108" spans="1:5">
      <c r="B108" s="68"/>
      <c r="C108" s="14"/>
      <c r="D108" s="47">
        <f t="shared" si="7"/>
        <v>1900</v>
      </c>
      <c r="E108" s="49" t="str">
        <f t="shared" si="8"/>
        <v>4</v>
      </c>
    </row>
    <row r="109" spans="1:5">
      <c r="B109" s="68"/>
      <c r="C109" s="14"/>
      <c r="D109" s="47">
        <f t="shared" si="7"/>
        <v>1900</v>
      </c>
      <c r="E109" s="49" t="str">
        <f t="shared" si="8"/>
        <v>4</v>
      </c>
    </row>
    <row r="110" spans="1:5">
      <c r="B110" s="68"/>
      <c r="C110" s="14"/>
      <c r="D110" s="47">
        <f t="shared" si="7"/>
        <v>1900</v>
      </c>
      <c r="E110" s="49" t="str">
        <f t="shared" si="8"/>
        <v>4</v>
      </c>
    </row>
    <row r="111" spans="1:5">
      <c r="B111" s="68"/>
      <c r="C111" s="14"/>
      <c r="D111" s="47">
        <f t="shared" si="7"/>
        <v>1900</v>
      </c>
      <c r="E111" s="49" t="str">
        <f t="shared" si="8"/>
        <v>4</v>
      </c>
    </row>
    <row r="112" spans="1:5">
      <c r="B112" s="68"/>
      <c r="C112" s="14"/>
      <c r="D112" s="47">
        <f t="shared" si="7"/>
        <v>1900</v>
      </c>
      <c r="E112" s="49" t="str">
        <f t="shared" si="8"/>
        <v>4</v>
      </c>
    </row>
    <row r="113" spans="2:5">
      <c r="B113" s="68"/>
      <c r="C113" s="14"/>
      <c r="D113" s="47">
        <f t="shared" si="7"/>
        <v>1900</v>
      </c>
      <c r="E113" s="49" t="str">
        <f t="shared" si="8"/>
        <v>4</v>
      </c>
    </row>
    <row r="114" spans="2:5">
      <c r="B114" s="68"/>
      <c r="C114" s="14"/>
      <c r="D114" s="47">
        <f t="shared" si="7"/>
        <v>1900</v>
      </c>
      <c r="E114" s="49" t="str">
        <f t="shared" si="8"/>
        <v>4</v>
      </c>
    </row>
    <row r="115" spans="2:5">
      <c r="B115" s="68"/>
      <c r="C115" s="14"/>
      <c r="D115" s="47">
        <f t="shared" si="7"/>
        <v>1900</v>
      </c>
      <c r="E115" s="49" t="str">
        <f t="shared" si="8"/>
        <v>4</v>
      </c>
    </row>
    <row r="116" spans="2:5">
      <c r="B116" s="68"/>
      <c r="C116" s="14"/>
      <c r="D116" s="47">
        <f t="shared" si="7"/>
        <v>1900</v>
      </c>
      <c r="E116" s="49" t="str">
        <f t="shared" si="8"/>
        <v>4</v>
      </c>
    </row>
    <row r="117" spans="2:5">
      <c r="B117" s="68"/>
      <c r="C117" s="14"/>
      <c r="D117" s="47">
        <f t="shared" si="7"/>
        <v>1900</v>
      </c>
      <c r="E117" s="49" t="str">
        <f t="shared" si="8"/>
        <v>4</v>
      </c>
    </row>
    <row r="118" spans="2:5">
      <c r="B118" s="68"/>
      <c r="C118" s="14"/>
      <c r="D118" s="47">
        <f t="shared" si="7"/>
        <v>1900</v>
      </c>
      <c r="E118" s="49" t="str">
        <f t="shared" si="8"/>
        <v>4</v>
      </c>
    </row>
    <row r="119" spans="2:5">
      <c r="B119" s="68"/>
      <c r="C119" s="14"/>
      <c r="D119" s="47">
        <f t="shared" si="7"/>
        <v>1900</v>
      </c>
      <c r="E119" s="49" t="str">
        <f t="shared" si="8"/>
        <v>4</v>
      </c>
    </row>
    <row r="120" spans="2:5">
      <c r="B120" s="68"/>
      <c r="C120" s="14"/>
      <c r="D120" s="47">
        <f t="shared" si="7"/>
        <v>1900</v>
      </c>
      <c r="E120" s="49" t="str">
        <f t="shared" si="8"/>
        <v>4</v>
      </c>
    </row>
    <row r="121" spans="2:5">
      <c r="B121" s="68"/>
      <c r="C121" s="14"/>
      <c r="D121" s="47">
        <f t="shared" si="7"/>
        <v>1900</v>
      </c>
      <c r="E121" s="49" t="str">
        <f t="shared" si="8"/>
        <v>4</v>
      </c>
    </row>
    <row r="122" spans="2:5">
      <c r="B122" s="68"/>
      <c r="C122" s="14"/>
      <c r="D122" s="47">
        <f t="shared" si="7"/>
        <v>1900</v>
      </c>
      <c r="E122" s="49" t="str">
        <f t="shared" si="8"/>
        <v>4</v>
      </c>
    </row>
    <row r="123" spans="2:5">
      <c r="B123" s="68"/>
      <c r="C123" s="14"/>
      <c r="D123" s="47">
        <f t="shared" si="7"/>
        <v>1900</v>
      </c>
      <c r="E123" s="49" t="str">
        <f t="shared" si="8"/>
        <v>4</v>
      </c>
    </row>
    <row r="124" spans="2:5">
      <c r="B124" s="68"/>
      <c r="C124" s="14"/>
      <c r="D124" s="47">
        <f t="shared" si="7"/>
        <v>1900</v>
      </c>
      <c r="E124" s="49" t="str">
        <f t="shared" si="8"/>
        <v>4</v>
      </c>
    </row>
    <row r="125" spans="2:5">
      <c r="B125" s="68"/>
      <c r="C125" s="14"/>
      <c r="D125" s="47">
        <f t="shared" si="7"/>
        <v>1900</v>
      </c>
      <c r="E125" s="49" t="str">
        <f t="shared" si="8"/>
        <v>4</v>
      </c>
    </row>
    <row r="126" spans="2:5">
      <c r="B126" s="68"/>
      <c r="C126" s="14"/>
      <c r="D126" s="47">
        <f t="shared" si="7"/>
        <v>1900</v>
      </c>
      <c r="E126" s="49" t="str">
        <f t="shared" si="8"/>
        <v>4</v>
      </c>
    </row>
    <row r="127" spans="2:5">
      <c r="B127" s="68"/>
      <c r="C127" s="14"/>
      <c r="D127" s="47">
        <f t="shared" si="7"/>
        <v>1900</v>
      </c>
      <c r="E127" s="49" t="str">
        <f t="shared" si="8"/>
        <v>4</v>
      </c>
    </row>
    <row r="128" spans="2:5">
      <c r="B128" s="68"/>
      <c r="C128" s="14"/>
      <c r="D128" s="47">
        <f t="shared" si="7"/>
        <v>1900</v>
      </c>
      <c r="E128" s="49" t="str">
        <f t="shared" si="8"/>
        <v>4</v>
      </c>
    </row>
    <row r="129" spans="2:5">
      <c r="B129" s="68"/>
      <c r="C129" s="14"/>
      <c r="D129" s="47">
        <f t="shared" si="7"/>
        <v>1900</v>
      </c>
      <c r="E129" s="49" t="str">
        <f t="shared" si="8"/>
        <v>4</v>
      </c>
    </row>
    <row r="130" spans="2:5">
      <c r="B130" s="68"/>
      <c r="C130" s="14"/>
      <c r="D130" s="47">
        <f t="shared" si="7"/>
        <v>1900</v>
      </c>
      <c r="E130" s="49" t="str">
        <f t="shared" si="8"/>
        <v>4</v>
      </c>
    </row>
    <row r="131" spans="2:5">
      <c r="B131" s="68"/>
      <c r="C131" s="14"/>
      <c r="D131" s="47">
        <f t="shared" si="7"/>
        <v>1900</v>
      </c>
      <c r="E131" s="49" t="str">
        <f t="shared" si="8"/>
        <v>4</v>
      </c>
    </row>
    <row r="132" spans="2:5">
      <c r="B132" s="68"/>
      <c r="C132" s="14"/>
      <c r="D132" s="47">
        <f t="shared" si="7"/>
        <v>1900</v>
      </c>
      <c r="E132" s="49" t="str">
        <f t="shared" si="8"/>
        <v>4</v>
      </c>
    </row>
    <row r="133" spans="2:5">
      <c r="B133" s="68"/>
      <c r="C133" s="14"/>
      <c r="D133" s="47">
        <f t="shared" si="7"/>
        <v>1900</v>
      </c>
      <c r="E133" s="49" t="str">
        <f t="shared" si="8"/>
        <v>4</v>
      </c>
    </row>
    <row r="134" spans="2:5">
      <c r="B134" s="68"/>
      <c r="C134" s="14"/>
      <c r="D134" s="47">
        <f t="shared" si="7"/>
        <v>1900</v>
      </c>
      <c r="E134" s="49" t="str">
        <f t="shared" si="8"/>
        <v>4</v>
      </c>
    </row>
    <row r="135" spans="2:5">
      <c r="B135" s="68"/>
      <c r="C135" s="14"/>
      <c r="D135" s="47">
        <f t="shared" si="7"/>
        <v>1900</v>
      </c>
      <c r="E135" s="49" t="str">
        <f t="shared" si="8"/>
        <v>4</v>
      </c>
    </row>
    <row r="136" spans="2:5">
      <c r="B136" s="68"/>
      <c r="C136" s="14"/>
      <c r="D136" s="47">
        <f t="shared" si="7"/>
        <v>1900</v>
      </c>
      <c r="E136" s="49" t="str">
        <f t="shared" si="8"/>
        <v>4</v>
      </c>
    </row>
    <row r="137" spans="2:5">
      <c r="B137" s="68"/>
      <c r="C137" s="14"/>
      <c r="D137" s="47">
        <f t="shared" si="7"/>
        <v>1900</v>
      </c>
      <c r="E137" s="49" t="str">
        <f t="shared" si="8"/>
        <v>4</v>
      </c>
    </row>
    <row r="138" spans="2:5">
      <c r="B138" s="68"/>
      <c r="C138" s="14"/>
      <c r="D138" s="47">
        <f t="shared" si="7"/>
        <v>1900</v>
      </c>
      <c r="E138" s="49" t="str">
        <f t="shared" si="8"/>
        <v>4</v>
      </c>
    </row>
    <row r="139" spans="2:5">
      <c r="B139" s="68"/>
      <c r="C139" s="14"/>
      <c r="D139" s="47">
        <f t="shared" si="7"/>
        <v>1900</v>
      </c>
      <c r="E139" s="49" t="str">
        <f t="shared" si="8"/>
        <v>4</v>
      </c>
    </row>
    <row r="140" spans="2:5">
      <c r="B140" s="68"/>
      <c r="C140" s="14"/>
      <c r="D140" s="47">
        <f t="shared" ref="D140:D203" si="9">YEAR(A140)</f>
        <v>1900</v>
      </c>
      <c r="E140" s="49" t="str">
        <f t="shared" ref="E140:E203" si="10">IF(MONTH(A140)=3,"1",IF(MONTH(A140)=6,"2",IF(MONTH(A140)=9,"3","4")))</f>
        <v>4</v>
      </c>
    </row>
    <row r="141" spans="2:5">
      <c r="B141" s="68"/>
      <c r="C141" s="14"/>
      <c r="D141" s="47">
        <f t="shared" si="9"/>
        <v>1900</v>
      </c>
      <c r="E141" s="49" t="str">
        <f t="shared" si="10"/>
        <v>4</v>
      </c>
    </row>
    <row r="142" spans="2:5">
      <c r="C142" s="14"/>
      <c r="D142" s="47">
        <f t="shared" si="9"/>
        <v>1900</v>
      </c>
      <c r="E142" s="49" t="str">
        <f t="shared" si="10"/>
        <v>4</v>
      </c>
    </row>
    <row r="143" spans="2:5">
      <c r="C143" s="14"/>
      <c r="D143" s="47">
        <f t="shared" si="9"/>
        <v>1900</v>
      </c>
      <c r="E143" s="49" t="str">
        <f t="shared" si="10"/>
        <v>4</v>
      </c>
    </row>
    <row r="144" spans="2:5">
      <c r="C144" s="14"/>
      <c r="D144" s="47">
        <f t="shared" si="9"/>
        <v>1900</v>
      </c>
      <c r="E144" s="49" t="str">
        <f t="shared" si="10"/>
        <v>4</v>
      </c>
    </row>
    <row r="145" spans="3:5">
      <c r="C145" s="14"/>
      <c r="D145" s="47">
        <f t="shared" si="9"/>
        <v>1900</v>
      </c>
      <c r="E145" s="49" t="str">
        <f t="shared" si="10"/>
        <v>4</v>
      </c>
    </row>
    <row r="146" spans="3:5">
      <c r="C146" s="14"/>
      <c r="D146" s="47">
        <f t="shared" si="9"/>
        <v>1900</v>
      </c>
      <c r="E146" s="49" t="str">
        <f t="shared" si="10"/>
        <v>4</v>
      </c>
    </row>
    <row r="147" spans="3:5">
      <c r="C147" s="14"/>
      <c r="D147" s="47">
        <f t="shared" si="9"/>
        <v>1900</v>
      </c>
      <c r="E147" s="49" t="str">
        <f t="shared" si="10"/>
        <v>4</v>
      </c>
    </row>
    <row r="148" spans="3:5">
      <c r="C148" s="14"/>
      <c r="D148" s="47">
        <f t="shared" si="9"/>
        <v>1900</v>
      </c>
      <c r="E148" s="49" t="str">
        <f t="shared" si="10"/>
        <v>4</v>
      </c>
    </row>
    <row r="149" spans="3:5">
      <c r="C149" s="14"/>
      <c r="D149" s="47">
        <f t="shared" si="9"/>
        <v>1900</v>
      </c>
      <c r="E149" s="49" t="str">
        <f t="shared" si="10"/>
        <v>4</v>
      </c>
    </row>
    <row r="150" spans="3:5">
      <c r="C150" s="14"/>
      <c r="D150" s="47">
        <f t="shared" si="9"/>
        <v>1900</v>
      </c>
      <c r="E150" s="49" t="str">
        <f t="shared" si="10"/>
        <v>4</v>
      </c>
    </row>
    <row r="151" spans="3:5">
      <c r="C151" s="14"/>
      <c r="D151" s="47">
        <f t="shared" si="9"/>
        <v>1900</v>
      </c>
      <c r="E151" s="49" t="str">
        <f t="shared" si="10"/>
        <v>4</v>
      </c>
    </row>
    <row r="152" spans="3:5">
      <c r="C152" s="14"/>
      <c r="D152" s="47">
        <f t="shared" si="9"/>
        <v>1900</v>
      </c>
      <c r="E152" s="49" t="str">
        <f t="shared" si="10"/>
        <v>4</v>
      </c>
    </row>
    <row r="153" spans="3:5">
      <c r="C153" s="14"/>
      <c r="D153" s="47">
        <f t="shared" si="9"/>
        <v>1900</v>
      </c>
      <c r="E153" s="49" t="str">
        <f t="shared" si="10"/>
        <v>4</v>
      </c>
    </row>
    <row r="154" spans="3:5">
      <c r="C154" s="14"/>
      <c r="D154" s="47">
        <f t="shared" si="9"/>
        <v>1900</v>
      </c>
      <c r="E154" s="49" t="str">
        <f t="shared" si="10"/>
        <v>4</v>
      </c>
    </row>
    <row r="155" spans="3:5">
      <c r="C155" s="14"/>
      <c r="D155" s="47">
        <f t="shared" si="9"/>
        <v>1900</v>
      </c>
      <c r="E155" s="49" t="str">
        <f t="shared" si="10"/>
        <v>4</v>
      </c>
    </row>
    <row r="156" spans="3:5">
      <c r="C156" s="14"/>
      <c r="D156" s="47">
        <f t="shared" si="9"/>
        <v>1900</v>
      </c>
      <c r="E156" s="49" t="str">
        <f t="shared" si="10"/>
        <v>4</v>
      </c>
    </row>
    <row r="157" spans="3:5">
      <c r="C157" s="14"/>
      <c r="D157" s="47">
        <f t="shared" si="9"/>
        <v>1900</v>
      </c>
      <c r="E157" s="49" t="str">
        <f t="shared" si="10"/>
        <v>4</v>
      </c>
    </row>
    <row r="158" spans="3:5">
      <c r="C158" s="14"/>
      <c r="D158" s="47">
        <f t="shared" si="9"/>
        <v>1900</v>
      </c>
      <c r="E158" s="49" t="str">
        <f t="shared" si="10"/>
        <v>4</v>
      </c>
    </row>
    <row r="159" spans="3:5">
      <c r="C159" s="14"/>
      <c r="D159" s="47">
        <f t="shared" si="9"/>
        <v>1900</v>
      </c>
      <c r="E159" s="49" t="str">
        <f t="shared" si="10"/>
        <v>4</v>
      </c>
    </row>
    <row r="160" spans="3:5">
      <c r="C160" s="14"/>
      <c r="D160" s="47">
        <f t="shared" si="9"/>
        <v>1900</v>
      </c>
      <c r="E160" s="49" t="str">
        <f t="shared" si="10"/>
        <v>4</v>
      </c>
    </row>
    <row r="161" spans="3:5">
      <c r="C161" s="14"/>
      <c r="D161" s="47">
        <f t="shared" si="9"/>
        <v>1900</v>
      </c>
      <c r="E161" s="49" t="str">
        <f t="shared" si="10"/>
        <v>4</v>
      </c>
    </row>
    <row r="162" spans="3:5">
      <c r="C162" s="14"/>
      <c r="D162" s="47">
        <f t="shared" si="9"/>
        <v>1900</v>
      </c>
      <c r="E162" s="49" t="str">
        <f t="shared" si="10"/>
        <v>4</v>
      </c>
    </row>
    <row r="163" spans="3:5">
      <c r="C163" s="14"/>
      <c r="D163" s="47">
        <f t="shared" si="9"/>
        <v>1900</v>
      </c>
      <c r="E163" s="49" t="str">
        <f t="shared" si="10"/>
        <v>4</v>
      </c>
    </row>
    <row r="164" spans="3:5">
      <c r="C164" s="14"/>
      <c r="D164" s="47">
        <f t="shared" si="9"/>
        <v>1900</v>
      </c>
      <c r="E164" s="49" t="str">
        <f t="shared" si="10"/>
        <v>4</v>
      </c>
    </row>
    <row r="165" spans="3:5">
      <c r="C165" s="14"/>
      <c r="D165" s="47">
        <f t="shared" si="9"/>
        <v>1900</v>
      </c>
      <c r="E165" s="49" t="str">
        <f t="shared" si="10"/>
        <v>4</v>
      </c>
    </row>
    <row r="166" spans="3:5">
      <c r="C166" s="14"/>
      <c r="D166" s="47">
        <f t="shared" si="9"/>
        <v>1900</v>
      </c>
      <c r="E166" s="49" t="str">
        <f t="shared" si="10"/>
        <v>4</v>
      </c>
    </row>
    <row r="167" spans="3:5">
      <c r="C167" s="14"/>
      <c r="D167" s="47">
        <f t="shared" si="9"/>
        <v>1900</v>
      </c>
      <c r="E167" s="49" t="str">
        <f t="shared" si="10"/>
        <v>4</v>
      </c>
    </row>
    <row r="168" spans="3:5">
      <c r="C168" s="14"/>
      <c r="D168" s="47">
        <f t="shared" si="9"/>
        <v>1900</v>
      </c>
      <c r="E168" s="49" t="str">
        <f t="shared" si="10"/>
        <v>4</v>
      </c>
    </row>
    <row r="169" spans="3:5">
      <c r="C169" s="14"/>
      <c r="D169" s="47">
        <f t="shared" si="9"/>
        <v>1900</v>
      </c>
      <c r="E169" s="49" t="str">
        <f t="shared" si="10"/>
        <v>4</v>
      </c>
    </row>
    <row r="170" spans="3:5">
      <c r="C170" s="14"/>
      <c r="D170" s="47">
        <f t="shared" si="9"/>
        <v>1900</v>
      </c>
      <c r="E170" s="49" t="str">
        <f t="shared" si="10"/>
        <v>4</v>
      </c>
    </row>
    <row r="171" spans="3:5">
      <c r="C171" s="14"/>
      <c r="D171" s="47">
        <f t="shared" si="9"/>
        <v>1900</v>
      </c>
      <c r="E171" s="49" t="str">
        <f t="shared" si="10"/>
        <v>4</v>
      </c>
    </row>
    <row r="172" spans="3:5">
      <c r="C172" s="14"/>
      <c r="D172" s="47">
        <f t="shared" si="9"/>
        <v>1900</v>
      </c>
      <c r="E172" s="49" t="str">
        <f t="shared" si="10"/>
        <v>4</v>
      </c>
    </row>
    <row r="173" spans="3:5">
      <c r="C173" s="14"/>
      <c r="D173" s="47">
        <f t="shared" si="9"/>
        <v>1900</v>
      </c>
      <c r="E173" s="49" t="str">
        <f t="shared" si="10"/>
        <v>4</v>
      </c>
    </row>
    <row r="174" spans="3:5">
      <c r="C174" s="14"/>
      <c r="D174" s="47">
        <f t="shared" si="9"/>
        <v>1900</v>
      </c>
      <c r="E174" s="49" t="str">
        <f t="shared" si="10"/>
        <v>4</v>
      </c>
    </row>
    <row r="175" spans="3:5">
      <c r="C175" s="14"/>
      <c r="D175" s="47">
        <f t="shared" si="9"/>
        <v>1900</v>
      </c>
      <c r="E175" s="49" t="str">
        <f t="shared" si="10"/>
        <v>4</v>
      </c>
    </row>
    <row r="176" spans="3:5">
      <c r="C176" s="14"/>
      <c r="D176" s="47">
        <f t="shared" si="9"/>
        <v>1900</v>
      </c>
      <c r="E176" s="49" t="str">
        <f t="shared" si="10"/>
        <v>4</v>
      </c>
    </row>
    <row r="177" spans="3:5">
      <c r="C177" s="14"/>
      <c r="D177" s="47">
        <f t="shared" si="9"/>
        <v>1900</v>
      </c>
      <c r="E177" s="49" t="str">
        <f t="shared" si="10"/>
        <v>4</v>
      </c>
    </row>
    <row r="178" spans="3:5">
      <c r="C178" s="14"/>
      <c r="D178" s="47">
        <f t="shared" si="9"/>
        <v>1900</v>
      </c>
      <c r="E178" s="49" t="str">
        <f t="shared" si="10"/>
        <v>4</v>
      </c>
    </row>
    <row r="179" spans="3:5">
      <c r="C179" s="14"/>
      <c r="D179" s="47">
        <f t="shared" si="9"/>
        <v>1900</v>
      </c>
      <c r="E179" s="49" t="str">
        <f t="shared" si="10"/>
        <v>4</v>
      </c>
    </row>
    <row r="180" spans="3:5">
      <c r="C180" s="14"/>
      <c r="D180" s="47">
        <f t="shared" si="9"/>
        <v>1900</v>
      </c>
      <c r="E180" s="49" t="str">
        <f t="shared" si="10"/>
        <v>4</v>
      </c>
    </row>
    <row r="181" spans="3:5">
      <c r="C181" s="14"/>
      <c r="D181" s="47">
        <f t="shared" si="9"/>
        <v>1900</v>
      </c>
      <c r="E181" s="49" t="str">
        <f t="shared" si="10"/>
        <v>4</v>
      </c>
    </row>
    <row r="182" spans="3:5">
      <c r="C182" s="14"/>
      <c r="D182" s="47">
        <f t="shared" si="9"/>
        <v>1900</v>
      </c>
      <c r="E182" s="49" t="str">
        <f t="shared" si="10"/>
        <v>4</v>
      </c>
    </row>
    <row r="183" spans="3:5">
      <c r="C183" s="14"/>
      <c r="D183" s="47">
        <f t="shared" si="9"/>
        <v>1900</v>
      </c>
      <c r="E183" s="49" t="str">
        <f t="shared" si="10"/>
        <v>4</v>
      </c>
    </row>
    <row r="184" spans="3:5">
      <c r="C184" s="14"/>
      <c r="D184" s="47">
        <f t="shared" si="9"/>
        <v>1900</v>
      </c>
      <c r="E184" s="49" t="str">
        <f t="shared" si="10"/>
        <v>4</v>
      </c>
    </row>
    <row r="185" spans="3:5">
      <c r="C185" s="14"/>
      <c r="D185" s="47">
        <f t="shared" si="9"/>
        <v>1900</v>
      </c>
      <c r="E185" s="49" t="str">
        <f t="shared" si="10"/>
        <v>4</v>
      </c>
    </row>
    <row r="186" spans="3:5">
      <c r="C186" s="14"/>
      <c r="D186" s="47">
        <f t="shared" si="9"/>
        <v>1900</v>
      </c>
      <c r="E186" s="49" t="str">
        <f t="shared" si="10"/>
        <v>4</v>
      </c>
    </row>
    <row r="187" spans="3:5">
      <c r="C187" s="14"/>
      <c r="D187" s="47">
        <f t="shared" si="9"/>
        <v>1900</v>
      </c>
      <c r="E187" s="49" t="str">
        <f t="shared" si="10"/>
        <v>4</v>
      </c>
    </row>
    <row r="188" spans="3:5">
      <c r="C188" s="14"/>
      <c r="D188" s="47">
        <f t="shared" si="9"/>
        <v>1900</v>
      </c>
      <c r="E188" s="49" t="str">
        <f t="shared" si="10"/>
        <v>4</v>
      </c>
    </row>
    <row r="189" spans="3:5">
      <c r="C189" s="14"/>
      <c r="D189" s="47">
        <f t="shared" si="9"/>
        <v>1900</v>
      </c>
      <c r="E189" s="49" t="str">
        <f t="shared" si="10"/>
        <v>4</v>
      </c>
    </row>
    <row r="190" spans="3:5">
      <c r="C190" s="14"/>
      <c r="D190" s="47">
        <f t="shared" si="9"/>
        <v>1900</v>
      </c>
      <c r="E190" s="49" t="str">
        <f t="shared" si="10"/>
        <v>4</v>
      </c>
    </row>
    <row r="191" spans="3:5">
      <c r="C191" s="14"/>
      <c r="D191" s="47">
        <f t="shared" si="9"/>
        <v>1900</v>
      </c>
      <c r="E191" s="49" t="str">
        <f t="shared" si="10"/>
        <v>4</v>
      </c>
    </row>
    <row r="192" spans="3:5">
      <c r="C192" s="14"/>
      <c r="D192" s="47">
        <f t="shared" si="9"/>
        <v>1900</v>
      </c>
      <c r="E192" s="49" t="str">
        <f t="shared" si="10"/>
        <v>4</v>
      </c>
    </row>
    <row r="193" spans="3:5">
      <c r="C193" s="14"/>
      <c r="D193" s="47">
        <f t="shared" si="9"/>
        <v>1900</v>
      </c>
      <c r="E193" s="49" t="str">
        <f t="shared" si="10"/>
        <v>4</v>
      </c>
    </row>
    <row r="194" spans="3:5">
      <c r="C194" s="14"/>
      <c r="D194" s="47">
        <f t="shared" si="9"/>
        <v>1900</v>
      </c>
      <c r="E194" s="49" t="str">
        <f t="shared" si="10"/>
        <v>4</v>
      </c>
    </row>
    <row r="195" spans="3:5">
      <c r="C195" s="14"/>
      <c r="D195" s="47">
        <f t="shared" si="9"/>
        <v>1900</v>
      </c>
      <c r="E195" s="49" t="str">
        <f t="shared" si="10"/>
        <v>4</v>
      </c>
    </row>
    <row r="196" spans="3:5">
      <c r="C196" s="14"/>
      <c r="D196" s="47">
        <f t="shared" si="9"/>
        <v>1900</v>
      </c>
      <c r="E196" s="49" t="str">
        <f t="shared" si="10"/>
        <v>4</v>
      </c>
    </row>
    <row r="197" spans="3:5">
      <c r="C197" s="14"/>
      <c r="D197" s="47">
        <f t="shared" si="9"/>
        <v>1900</v>
      </c>
      <c r="E197" s="49" t="str">
        <f t="shared" si="10"/>
        <v>4</v>
      </c>
    </row>
    <row r="198" spans="3:5">
      <c r="C198" s="14"/>
      <c r="D198" s="47">
        <f t="shared" si="9"/>
        <v>1900</v>
      </c>
      <c r="E198" s="49" t="str">
        <f t="shared" si="10"/>
        <v>4</v>
      </c>
    </row>
    <row r="199" spans="3:5">
      <c r="C199" s="14"/>
      <c r="D199" s="47">
        <f t="shared" si="9"/>
        <v>1900</v>
      </c>
      <c r="E199" s="49" t="str">
        <f t="shared" si="10"/>
        <v>4</v>
      </c>
    </row>
    <row r="200" spans="3:5">
      <c r="C200" s="14"/>
      <c r="D200" s="47">
        <f t="shared" si="9"/>
        <v>1900</v>
      </c>
      <c r="E200" s="49" t="str">
        <f t="shared" si="10"/>
        <v>4</v>
      </c>
    </row>
    <row r="201" spans="3:5">
      <c r="C201" s="14"/>
      <c r="D201" s="47">
        <f t="shared" si="9"/>
        <v>1900</v>
      </c>
      <c r="E201" s="49" t="str">
        <f t="shared" si="10"/>
        <v>4</v>
      </c>
    </row>
    <row r="202" spans="3:5">
      <c r="C202" s="14"/>
      <c r="D202" s="47">
        <f t="shared" si="9"/>
        <v>1900</v>
      </c>
      <c r="E202" s="49" t="str">
        <f t="shared" si="10"/>
        <v>4</v>
      </c>
    </row>
    <row r="203" spans="3:5">
      <c r="C203" s="14"/>
      <c r="D203" s="47">
        <f t="shared" si="9"/>
        <v>1900</v>
      </c>
      <c r="E203" s="49" t="str">
        <f t="shared" si="10"/>
        <v>4</v>
      </c>
    </row>
    <row r="204" spans="3:5">
      <c r="C204" s="14"/>
      <c r="D204" s="47">
        <f t="shared" ref="D204:D250" si="11">YEAR(A204)</f>
        <v>1900</v>
      </c>
      <c r="E204" s="49" t="str">
        <f t="shared" ref="E204:E250" si="12">IF(MONTH(A204)=3,"1",IF(MONTH(A204)=6,"2",IF(MONTH(A204)=9,"3","4")))</f>
        <v>4</v>
      </c>
    </row>
    <row r="205" spans="3:5">
      <c r="C205" s="14"/>
      <c r="D205" s="47">
        <f t="shared" si="11"/>
        <v>1900</v>
      </c>
      <c r="E205" s="49" t="str">
        <f t="shared" si="12"/>
        <v>4</v>
      </c>
    </row>
    <row r="206" spans="3:5">
      <c r="C206" s="14"/>
      <c r="D206" s="47">
        <f t="shared" si="11"/>
        <v>1900</v>
      </c>
      <c r="E206" s="49" t="str">
        <f t="shared" si="12"/>
        <v>4</v>
      </c>
    </row>
    <row r="207" spans="3:5">
      <c r="C207" s="14"/>
      <c r="D207" s="47">
        <f t="shared" si="11"/>
        <v>1900</v>
      </c>
      <c r="E207" s="49" t="str">
        <f t="shared" si="12"/>
        <v>4</v>
      </c>
    </row>
    <row r="208" spans="3:5">
      <c r="C208" s="14"/>
      <c r="D208" s="47">
        <f t="shared" si="11"/>
        <v>1900</v>
      </c>
      <c r="E208" s="49" t="str">
        <f t="shared" si="12"/>
        <v>4</v>
      </c>
    </row>
    <row r="209" spans="3:5">
      <c r="C209" s="14"/>
      <c r="D209" s="47">
        <f t="shared" si="11"/>
        <v>1900</v>
      </c>
      <c r="E209" s="49" t="str">
        <f t="shared" si="12"/>
        <v>4</v>
      </c>
    </row>
    <row r="210" spans="3:5">
      <c r="C210" s="14"/>
      <c r="D210" s="47">
        <f t="shared" si="11"/>
        <v>1900</v>
      </c>
      <c r="E210" s="49" t="str">
        <f t="shared" si="12"/>
        <v>4</v>
      </c>
    </row>
    <row r="211" spans="3:5">
      <c r="C211" s="14"/>
      <c r="D211" s="47">
        <f t="shared" si="11"/>
        <v>1900</v>
      </c>
      <c r="E211" s="49" t="str">
        <f t="shared" si="12"/>
        <v>4</v>
      </c>
    </row>
    <row r="212" spans="3:5">
      <c r="C212" s="14"/>
      <c r="D212" s="47">
        <f t="shared" si="11"/>
        <v>1900</v>
      </c>
      <c r="E212" s="49" t="str">
        <f t="shared" si="12"/>
        <v>4</v>
      </c>
    </row>
    <row r="213" spans="3:5">
      <c r="C213" s="14"/>
      <c r="D213" s="47">
        <f t="shared" si="11"/>
        <v>1900</v>
      </c>
      <c r="E213" s="49" t="str">
        <f t="shared" si="12"/>
        <v>4</v>
      </c>
    </row>
    <row r="214" spans="3:5">
      <c r="C214" s="14"/>
      <c r="D214" s="47">
        <f t="shared" si="11"/>
        <v>1900</v>
      </c>
      <c r="E214" s="49" t="str">
        <f t="shared" si="12"/>
        <v>4</v>
      </c>
    </row>
    <row r="215" spans="3:5">
      <c r="C215" s="14"/>
      <c r="D215" s="47">
        <f t="shared" si="11"/>
        <v>1900</v>
      </c>
      <c r="E215" s="49" t="str">
        <f t="shared" si="12"/>
        <v>4</v>
      </c>
    </row>
    <row r="216" spans="3:5">
      <c r="C216" s="14"/>
      <c r="D216" s="47">
        <f t="shared" si="11"/>
        <v>1900</v>
      </c>
      <c r="E216" s="49" t="str">
        <f t="shared" si="12"/>
        <v>4</v>
      </c>
    </row>
    <row r="217" spans="3:5">
      <c r="C217" s="14"/>
      <c r="D217" s="47">
        <f t="shared" si="11"/>
        <v>1900</v>
      </c>
      <c r="E217" s="49" t="str">
        <f t="shared" si="12"/>
        <v>4</v>
      </c>
    </row>
    <row r="218" spans="3:5">
      <c r="C218" s="14"/>
      <c r="D218" s="47">
        <f t="shared" si="11"/>
        <v>1900</v>
      </c>
      <c r="E218" s="49" t="str">
        <f t="shared" si="12"/>
        <v>4</v>
      </c>
    </row>
    <row r="219" spans="3:5">
      <c r="C219" s="14"/>
      <c r="D219" s="47">
        <f t="shared" si="11"/>
        <v>1900</v>
      </c>
      <c r="E219" s="49" t="str">
        <f t="shared" si="12"/>
        <v>4</v>
      </c>
    </row>
    <row r="220" spans="3:5">
      <c r="C220" s="14"/>
      <c r="D220" s="47">
        <f t="shared" si="11"/>
        <v>1900</v>
      </c>
      <c r="E220" s="49" t="str">
        <f t="shared" si="12"/>
        <v>4</v>
      </c>
    </row>
    <row r="221" spans="3:5">
      <c r="C221" s="14"/>
      <c r="D221" s="47">
        <f t="shared" si="11"/>
        <v>1900</v>
      </c>
      <c r="E221" s="49" t="str">
        <f t="shared" si="12"/>
        <v>4</v>
      </c>
    </row>
    <row r="222" spans="3:5">
      <c r="C222" s="14"/>
      <c r="D222" s="47">
        <f t="shared" si="11"/>
        <v>1900</v>
      </c>
      <c r="E222" s="49" t="str">
        <f t="shared" si="12"/>
        <v>4</v>
      </c>
    </row>
    <row r="223" spans="3:5">
      <c r="C223" s="14"/>
      <c r="D223" s="47">
        <f t="shared" si="11"/>
        <v>1900</v>
      </c>
      <c r="E223" s="49" t="str">
        <f t="shared" si="12"/>
        <v>4</v>
      </c>
    </row>
    <row r="224" spans="3:5">
      <c r="C224" s="14"/>
      <c r="D224" s="47">
        <f t="shared" si="11"/>
        <v>1900</v>
      </c>
      <c r="E224" s="49" t="str">
        <f t="shared" si="12"/>
        <v>4</v>
      </c>
    </row>
    <row r="225" spans="3:5">
      <c r="C225" s="14"/>
      <c r="D225" s="47">
        <f t="shared" si="11"/>
        <v>1900</v>
      </c>
      <c r="E225" s="49" t="str">
        <f t="shared" si="12"/>
        <v>4</v>
      </c>
    </row>
    <row r="226" spans="3:5">
      <c r="C226" s="14"/>
      <c r="D226" s="47">
        <f t="shared" si="11"/>
        <v>1900</v>
      </c>
      <c r="E226" s="49" t="str">
        <f t="shared" si="12"/>
        <v>4</v>
      </c>
    </row>
    <row r="227" spans="3:5">
      <c r="C227" s="14"/>
      <c r="D227" s="47">
        <f t="shared" si="11"/>
        <v>1900</v>
      </c>
      <c r="E227" s="49" t="str">
        <f t="shared" si="12"/>
        <v>4</v>
      </c>
    </row>
    <row r="228" spans="3:5">
      <c r="C228" s="14"/>
      <c r="D228" s="47">
        <f t="shared" si="11"/>
        <v>1900</v>
      </c>
      <c r="E228" s="49" t="str">
        <f t="shared" si="12"/>
        <v>4</v>
      </c>
    </row>
    <row r="229" spans="3:5">
      <c r="C229" s="14"/>
      <c r="D229" s="47">
        <f t="shared" si="11"/>
        <v>1900</v>
      </c>
      <c r="E229" s="49" t="str">
        <f t="shared" si="12"/>
        <v>4</v>
      </c>
    </row>
    <row r="230" spans="3:5">
      <c r="C230" s="14"/>
      <c r="D230" s="47">
        <f t="shared" si="11"/>
        <v>1900</v>
      </c>
      <c r="E230" s="49" t="str">
        <f t="shared" si="12"/>
        <v>4</v>
      </c>
    </row>
    <row r="231" spans="3:5">
      <c r="C231" s="14"/>
      <c r="D231" s="47">
        <f t="shared" si="11"/>
        <v>1900</v>
      </c>
      <c r="E231" s="49" t="str">
        <f t="shared" si="12"/>
        <v>4</v>
      </c>
    </row>
    <row r="232" spans="3:5">
      <c r="C232" s="14"/>
      <c r="D232" s="47">
        <f t="shared" si="11"/>
        <v>1900</v>
      </c>
      <c r="E232" s="49" t="str">
        <f t="shared" si="12"/>
        <v>4</v>
      </c>
    </row>
    <row r="233" spans="3:5">
      <c r="C233" s="14"/>
      <c r="D233" s="47">
        <f t="shared" si="11"/>
        <v>1900</v>
      </c>
      <c r="E233" s="49" t="str">
        <f t="shared" si="12"/>
        <v>4</v>
      </c>
    </row>
    <row r="234" spans="3:5">
      <c r="C234" s="14"/>
      <c r="D234" s="47">
        <f t="shared" si="11"/>
        <v>1900</v>
      </c>
      <c r="E234" s="49" t="str">
        <f t="shared" si="12"/>
        <v>4</v>
      </c>
    </row>
    <row r="235" spans="3:5">
      <c r="C235" s="14"/>
      <c r="D235" s="47">
        <f t="shared" si="11"/>
        <v>1900</v>
      </c>
      <c r="E235" s="49" t="str">
        <f t="shared" si="12"/>
        <v>4</v>
      </c>
    </row>
    <row r="236" spans="3:5">
      <c r="C236" s="14"/>
      <c r="D236" s="47">
        <f t="shared" si="11"/>
        <v>1900</v>
      </c>
      <c r="E236" s="49" t="str">
        <f t="shared" si="12"/>
        <v>4</v>
      </c>
    </row>
    <row r="237" spans="3:5">
      <c r="C237" s="14"/>
      <c r="D237" s="47">
        <f t="shared" si="11"/>
        <v>1900</v>
      </c>
      <c r="E237" s="49" t="str">
        <f t="shared" si="12"/>
        <v>4</v>
      </c>
    </row>
    <row r="238" spans="3:5">
      <c r="C238" s="14"/>
      <c r="D238" s="47">
        <f t="shared" si="11"/>
        <v>1900</v>
      </c>
      <c r="E238" s="49" t="str">
        <f t="shared" si="12"/>
        <v>4</v>
      </c>
    </row>
    <row r="239" spans="3:5">
      <c r="C239" s="14"/>
      <c r="D239" s="47">
        <f t="shared" si="11"/>
        <v>1900</v>
      </c>
      <c r="E239" s="49" t="str">
        <f t="shared" si="12"/>
        <v>4</v>
      </c>
    </row>
    <row r="240" spans="3:5">
      <c r="C240" s="14"/>
      <c r="D240" s="47">
        <f t="shared" si="11"/>
        <v>1900</v>
      </c>
      <c r="E240" s="49" t="str">
        <f t="shared" si="12"/>
        <v>4</v>
      </c>
    </row>
    <row r="241" spans="3:5">
      <c r="C241" s="14"/>
      <c r="D241" s="47">
        <f t="shared" si="11"/>
        <v>1900</v>
      </c>
      <c r="E241" s="49" t="str">
        <f t="shared" si="12"/>
        <v>4</v>
      </c>
    </row>
    <row r="242" spans="3:5">
      <c r="C242" s="14"/>
      <c r="D242" s="47">
        <f t="shared" si="11"/>
        <v>1900</v>
      </c>
      <c r="E242" s="49" t="str">
        <f t="shared" si="12"/>
        <v>4</v>
      </c>
    </row>
    <row r="243" spans="3:5">
      <c r="C243" s="14"/>
      <c r="D243" s="47">
        <f t="shared" si="11"/>
        <v>1900</v>
      </c>
      <c r="E243" s="49" t="str">
        <f t="shared" si="12"/>
        <v>4</v>
      </c>
    </row>
    <row r="244" spans="3:5">
      <c r="C244" s="14"/>
      <c r="D244" s="47">
        <f t="shared" si="11"/>
        <v>1900</v>
      </c>
      <c r="E244" s="49" t="str">
        <f t="shared" si="12"/>
        <v>4</v>
      </c>
    </row>
    <row r="245" spans="3:5">
      <c r="C245" s="14"/>
      <c r="D245" s="47">
        <f t="shared" si="11"/>
        <v>1900</v>
      </c>
      <c r="E245" s="49" t="str">
        <f t="shared" si="12"/>
        <v>4</v>
      </c>
    </row>
    <row r="246" spans="3:5">
      <c r="C246" s="14"/>
      <c r="D246" s="47">
        <f t="shared" si="11"/>
        <v>1900</v>
      </c>
      <c r="E246" s="49" t="str">
        <f t="shared" si="12"/>
        <v>4</v>
      </c>
    </row>
    <row r="247" spans="3:5">
      <c r="C247" s="14"/>
      <c r="D247" s="47">
        <f t="shared" si="11"/>
        <v>1900</v>
      </c>
      <c r="E247" s="49" t="str">
        <f t="shared" si="12"/>
        <v>4</v>
      </c>
    </row>
    <row r="248" spans="3:5">
      <c r="C248" s="14"/>
      <c r="D248" s="47">
        <f t="shared" si="11"/>
        <v>1900</v>
      </c>
      <c r="E248" s="49" t="str">
        <f t="shared" si="12"/>
        <v>4</v>
      </c>
    </row>
    <row r="249" spans="3:5">
      <c r="C249" s="14"/>
      <c r="D249" s="47">
        <f t="shared" si="11"/>
        <v>1900</v>
      </c>
      <c r="E249" s="49" t="str">
        <f t="shared" si="12"/>
        <v>4</v>
      </c>
    </row>
    <row r="250" spans="3:5">
      <c r="C250" s="14"/>
      <c r="D250" s="47">
        <f t="shared" si="11"/>
        <v>1900</v>
      </c>
      <c r="E250" s="49" t="str">
        <f t="shared" si="12"/>
        <v>4</v>
      </c>
    </row>
    <row r="251" spans="3:5">
      <c r="C251" s="14"/>
      <c r="D251" s="50"/>
      <c r="E251" s="50"/>
    </row>
    <row r="252" spans="3:5">
      <c r="C252" s="14"/>
      <c r="D252" s="50"/>
      <c r="E252" s="50"/>
    </row>
    <row r="253" spans="3:5">
      <c r="C253" s="14"/>
      <c r="D253" s="50"/>
      <c r="E253" s="50"/>
    </row>
    <row r="254" spans="3:5">
      <c r="C254" s="14"/>
      <c r="D254" s="50"/>
      <c r="E254" s="50"/>
    </row>
    <row r="255" spans="3:5">
      <c r="C255" s="14"/>
      <c r="D255" s="50"/>
      <c r="E255" s="50"/>
    </row>
    <row r="256" spans="3:5">
      <c r="C256" s="14"/>
      <c r="D256" s="50"/>
      <c r="E256" s="50"/>
    </row>
    <row r="257" spans="3:5">
      <c r="C257" s="14"/>
      <c r="D257" s="50"/>
      <c r="E257" s="50"/>
    </row>
    <row r="258" spans="3:5">
      <c r="C258" s="14"/>
      <c r="D258" s="50"/>
      <c r="E258" s="50"/>
    </row>
    <row r="259" spans="3:5">
      <c r="C259" s="14"/>
      <c r="D259" s="50"/>
      <c r="E259" s="50"/>
    </row>
    <row r="260" spans="3:5">
      <c r="C260" s="14"/>
      <c r="D260" s="50"/>
      <c r="E260" s="50"/>
    </row>
    <row r="261" spans="3:5">
      <c r="C261" s="14"/>
      <c r="D261" s="50"/>
      <c r="E261" s="50"/>
    </row>
    <row r="262" spans="3:5">
      <c r="C262" s="14"/>
      <c r="D262" s="50"/>
      <c r="E262" s="50"/>
    </row>
    <row r="263" spans="3:5">
      <c r="C263" s="14"/>
      <c r="D263" s="50"/>
      <c r="E263" s="50"/>
    </row>
    <row r="264" spans="3:5">
      <c r="C264" s="14"/>
      <c r="D264" s="50"/>
      <c r="E264" s="50"/>
    </row>
    <row r="265" spans="3:5">
      <c r="C265" s="14"/>
      <c r="D265" s="50"/>
      <c r="E265" s="50"/>
    </row>
    <row r="266" spans="3:5">
      <c r="C266" s="14"/>
      <c r="D266" s="50"/>
      <c r="E266" s="50"/>
    </row>
    <row r="267" spans="3:5">
      <c r="C267" s="14"/>
      <c r="D267" s="50"/>
      <c r="E267" s="50"/>
    </row>
    <row r="268" spans="3:5">
      <c r="C268" s="14"/>
      <c r="D268" s="50"/>
      <c r="E268" s="50"/>
    </row>
    <row r="269" spans="3:5">
      <c r="C269" s="14"/>
      <c r="D269" s="50"/>
      <c r="E269" s="50"/>
    </row>
    <row r="270" spans="3:5">
      <c r="C270" s="14"/>
      <c r="D270" s="50"/>
      <c r="E270" s="50"/>
    </row>
    <row r="271" spans="3:5">
      <c r="C271" s="14"/>
      <c r="D271" s="50"/>
      <c r="E271" s="50"/>
    </row>
    <row r="272" spans="3:5">
      <c r="C272" s="14"/>
      <c r="D272" s="50"/>
      <c r="E272" s="50"/>
    </row>
    <row r="273" spans="3:5">
      <c r="C273" s="14"/>
      <c r="D273" s="50"/>
      <c r="E273" s="50"/>
    </row>
    <row r="274" spans="3:5">
      <c r="C274" s="14"/>
      <c r="D274" s="50"/>
      <c r="E274" s="50"/>
    </row>
    <row r="275" spans="3:5">
      <c r="C275" s="14"/>
      <c r="D275" s="50"/>
      <c r="E275" s="50"/>
    </row>
    <row r="276" spans="3:5">
      <c r="C276" s="14"/>
      <c r="D276" s="50"/>
      <c r="E276" s="50"/>
    </row>
    <row r="277" spans="3:5">
      <c r="C277" s="14"/>
      <c r="D277" s="50"/>
      <c r="E277" s="50"/>
    </row>
    <row r="278" spans="3:5">
      <c r="C278" s="14"/>
      <c r="D278" s="50"/>
      <c r="E278" s="50"/>
    </row>
    <row r="279" spans="3:5">
      <c r="C279" s="14"/>
      <c r="D279" s="50"/>
      <c r="E279" s="50"/>
    </row>
    <row r="280" spans="3:5">
      <c r="C280" s="14"/>
      <c r="D280" s="50"/>
      <c r="E280" s="50"/>
    </row>
    <row r="281" spans="3:5">
      <c r="C281" s="14"/>
      <c r="D281" s="50"/>
      <c r="E281" s="50"/>
    </row>
    <row r="282" spans="3:5">
      <c r="C282" s="14"/>
      <c r="D282" s="50"/>
      <c r="E282" s="50"/>
    </row>
    <row r="283" spans="3:5">
      <c r="C283" s="14"/>
      <c r="D283" s="50"/>
      <c r="E283" s="50"/>
    </row>
    <row r="284" spans="3:5">
      <c r="C284" s="14"/>
      <c r="D284" s="50"/>
      <c r="E284" s="50"/>
    </row>
    <row r="285" spans="3:5">
      <c r="C285" s="14"/>
      <c r="D285" s="50"/>
      <c r="E285" s="50"/>
    </row>
    <row r="286" spans="3:5">
      <c r="C286" s="14"/>
      <c r="D286" s="50"/>
      <c r="E286" s="50"/>
    </row>
    <row r="287" spans="3:5">
      <c r="C287" s="14"/>
      <c r="D287" s="50"/>
      <c r="E287" s="50"/>
    </row>
    <row r="288" spans="3:5">
      <c r="C288" s="14"/>
      <c r="D288" s="50"/>
      <c r="E288" s="50"/>
    </row>
    <row r="289" spans="3:5">
      <c r="C289" s="14"/>
      <c r="D289" s="50"/>
      <c r="E289" s="50"/>
    </row>
    <row r="290" spans="3:5">
      <c r="C290" s="14"/>
      <c r="D290" s="50"/>
      <c r="E290" s="50"/>
    </row>
    <row r="291" spans="3:5">
      <c r="C291" s="14"/>
      <c r="D291" s="50"/>
      <c r="E291" s="50"/>
    </row>
    <row r="292" spans="3:5">
      <c r="C292" s="14"/>
      <c r="D292" s="50"/>
      <c r="E292" s="50"/>
    </row>
    <row r="293" spans="3:5">
      <c r="C293" s="14"/>
      <c r="D293" s="50"/>
      <c r="E293" s="50"/>
    </row>
    <row r="294" spans="3:5">
      <c r="C294" s="14"/>
      <c r="D294" s="50"/>
      <c r="E294" s="50"/>
    </row>
    <row r="295" spans="3:5">
      <c r="C295" s="14"/>
      <c r="D295" s="50"/>
      <c r="E295" s="50"/>
    </row>
    <row r="296" spans="3:5">
      <c r="C296" s="14"/>
      <c r="D296" s="50"/>
      <c r="E296" s="50"/>
    </row>
    <row r="297" spans="3:5">
      <c r="C297" s="14"/>
      <c r="D297" s="50"/>
      <c r="E297" s="50"/>
    </row>
    <row r="298" spans="3:5">
      <c r="C298" s="14"/>
      <c r="D298" s="50"/>
      <c r="E298" s="50"/>
    </row>
    <row r="299" spans="3:5">
      <c r="C299" s="14"/>
      <c r="D299" s="50"/>
      <c r="E299" s="50"/>
    </row>
    <row r="300" spans="3:5">
      <c r="C300" s="14"/>
      <c r="D300" s="50"/>
      <c r="E300" s="50"/>
    </row>
    <row r="301" spans="3:5">
      <c r="C301" s="14"/>
      <c r="D301" s="50"/>
      <c r="E301" s="50"/>
    </row>
    <row r="302" spans="3:5">
      <c r="C302" s="14"/>
      <c r="D302" s="50"/>
      <c r="E302" s="50"/>
    </row>
    <row r="303" spans="3:5">
      <c r="C303" s="14"/>
      <c r="D303" s="50"/>
      <c r="E303" s="50"/>
    </row>
    <row r="304" spans="3:5">
      <c r="C304" s="14"/>
      <c r="D304" s="50"/>
      <c r="E304" s="50"/>
    </row>
    <row r="305" spans="3:5">
      <c r="C305" s="14"/>
      <c r="D305" s="50"/>
      <c r="E305" s="50"/>
    </row>
    <row r="306" spans="3:5">
      <c r="C306" s="14"/>
      <c r="D306" s="50"/>
      <c r="E306" s="50"/>
    </row>
    <row r="307" spans="3:5">
      <c r="C307" s="14"/>
      <c r="D307" s="50"/>
      <c r="E307" s="50"/>
    </row>
    <row r="308" spans="3:5">
      <c r="C308" s="14"/>
      <c r="D308" s="50"/>
      <c r="E308" s="50"/>
    </row>
    <row r="309" spans="3:5">
      <c r="C309" s="14"/>
      <c r="D309" s="50"/>
      <c r="E309" s="50"/>
    </row>
    <row r="310" spans="3:5">
      <c r="C310" s="14"/>
      <c r="D310" s="50"/>
      <c r="E310" s="50"/>
    </row>
    <row r="311" spans="3:5">
      <c r="C311" s="14"/>
      <c r="D311" s="50"/>
      <c r="E311" s="50"/>
    </row>
    <row r="312" spans="3:5">
      <c r="C312" s="14"/>
      <c r="D312" s="50"/>
      <c r="E312" s="50"/>
    </row>
    <row r="313" spans="3:5">
      <c r="C313" s="14"/>
      <c r="D313" s="50"/>
      <c r="E313" s="50"/>
    </row>
    <row r="314" spans="3:5">
      <c r="C314" s="14"/>
      <c r="D314" s="50"/>
      <c r="E314" s="50"/>
    </row>
    <row r="315" spans="3:5">
      <c r="C315" s="14"/>
      <c r="D315" s="50"/>
      <c r="E315" s="50"/>
    </row>
    <row r="316" spans="3:5">
      <c r="C316" s="14"/>
      <c r="D316" s="50"/>
      <c r="E316" s="50"/>
    </row>
    <row r="317" spans="3:5">
      <c r="C317" s="14"/>
      <c r="D317" s="50"/>
      <c r="E317" s="50"/>
    </row>
    <row r="318" spans="3:5">
      <c r="C318" s="14"/>
      <c r="D318" s="50"/>
      <c r="E318" s="50"/>
    </row>
    <row r="319" spans="3:5">
      <c r="C319" s="14"/>
      <c r="D319" s="50"/>
      <c r="E319" s="50"/>
    </row>
    <row r="320" spans="3:5">
      <c r="C320" s="14"/>
      <c r="D320" s="50"/>
      <c r="E320" s="50"/>
    </row>
    <row r="321" spans="3:5">
      <c r="C321" s="14"/>
      <c r="D321" s="50"/>
      <c r="E321" s="50"/>
    </row>
    <row r="322" spans="3:5">
      <c r="C322" s="14"/>
      <c r="D322" s="50"/>
      <c r="E322" s="50"/>
    </row>
    <row r="323" spans="3:5">
      <c r="C323" s="14"/>
      <c r="D323" s="50"/>
      <c r="E323" s="50"/>
    </row>
    <row r="324" spans="3:5">
      <c r="C324" s="14"/>
      <c r="D324" s="50"/>
      <c r="E324" s="50"/>
    </row>
    <row r="325" spans="3:5">
      <c r="C325" s="14"/>
      <c r="D325" s="50"/>
      <c r="E325" s="50"/>
    </row>
    <row r="326" spans="3:5">
      <c r="C326" s="14"/>
      <c r="D326" s="50"/>
      <c r="E326" s="50"/>
    </row>
    <row r="327" spans="3:5">
      <c r="C327" s="14"/>
      <c r="D327" s="50"/>
      <c r="E327" s="50"/>
    </row>
    <row r="328" spans="3:5">
      <c r="C328" s="14"/>
      <c r="D328" s="50"/>
      <c r="E328" s="50"/>
    </row>
    <row r="329" spans="3:5">
      <c r="C329" s="14"/>
      <c r="D329" s="50"/>
      <c r="E329" s="50"/>
    </row>
    <row r="330" spans="3:5">
      <c r="C330" s="14"/>
      <c r="D330" s="50"/>
      <c r="E330" s="50"/>
    </row>
    <row r="331" spans="3:5">
      <c r="C331" s="14"/>
      <c r="D331" s="50"/>
      <c r="E331" s="50"/>
    </row>
    <row r="332" spans="3:5">
      <c r="C332" s="14"/>
      <c r="D332" s="50"/>
      <c r="E332" s="50"/>
    </row>
    <row r="333" spans="3:5">
      <c r="C333" s="14"/>
      <c r="D333" s="50"/>
      <c r="E333" s="50"/>
    </row>
    <row r="334" spans="3:5">
      <c r="C334" s="14"/>
      <c r="D334" s="50"/>
      <c r="E334" s="50"/>
    </row>
    <row r="335" spans="3:5">
      <c r="C335" s="14"/>
      <c r="D335" s="50"/>
      <c r="E335" s="50"/>
    </row>
    <row r="336" spans="3:5">
      <c r="C336" s="14"/>
      <c r="D336" s="50"/>
      <c r="E336" s="50"/>
    </row>
    <row r="337" spans="3:5">
      <c r="C337" s="14"/>
      <c r="D337" s="50"/>
      <c r="E337" s="50"/>
    </row>
    <row r="338" spans="3:5">
      <c r="C338" s="14"/>
      <c r="D338" s="50"/>
      <c r="E338" s="50"/>
    </row>
    <row r="339" spans="3:5">
      <c r="C339" s="14"/>
      <c r="D339" s="50"/>
      <c r="E339" s="50"/>
    </row>
    <row r="340" spans="3:5">
      <c r="C340" s="14"/>
      <c r="D340" s="50"/>
      <c r="E340" s="50"/>
    </row>
    <row r="341" spans="3:5">
      <c r="C341" s="14"/>
      <c r="D341" s="50"/>
      <c r="E341" s="50"/>
    </row>
    <row r="342" spans="3:5">
      <c r="C342" s="14"/>
      <c r="D342" s="50"/>
      <c r="E342" s="50"/>
    </row>
    <row r="343" spans="3:5">
      <c r="C343" s="14"/>
      <c r="D343" s="50"/>
      <c r="E343" s="50"/>
    </row>
    <row r="344" spans="3:5">
      <c r="C344" s="14"/>
      <c r="D344" s="50"/>
      <c r="E344" s="50"/>
    </row>
    <row r="345" spans="3:5">
      <c r="C345" s="14"/>
      <c r="D345" s="50"/>
      <c r="E345" s="50"/>
    </row>
    <row r="346" spans="3:5">
      <c r="C346" s="14"/>
      <c r="D346" s="50"/>
      <c r="E346" s="50"/>
    </row>
    <row r="347" spans="3:5">
      <c r="C347" s="14"/>
      <c r="D347" s="50"/>
      <c r="E347" s="50"/>
    </row>
    <row r="348" spans="3:5">
      <c r="C348" s="14"/>
      <c r="D348" s="50"/>
      <c r="E348" s="50"/>
    </row>
    <row r="349" spans="3:5">
      <c r="C349" s="14"/>
      <c r="D349" s="50"/>
      <c r="E349" s="50"/>
    </row>
    <row r="350" spans="3:5">
      <c r="C350" s="14"/>
      <c r="D350" s="50"/>
      <c r="E350" s="50"/>
    </row>
    <row r="351" spans="3:5">
      <c r="C351" s="14"/>
      <c r="D351" s="50"/>
      <c r="E351" s="50"/>
    </row>
    <row r="352" spans="3:5">
      <c r="C352" s="14"/>
      <c r="D352" s="50"/>
      <c r="E352" s="50"/>
    </row>
    <row r="353" spans="3:5">
      <c r="C353" s="14"/>
      <c r="D353" s="50"/>
      <c r="E353" s="50"/>
    </row>
    <row r="354" spans="3:5">
      <c r="C354" s="14"/>
      <c r="D354" s="50"/>
      <c r="E354" s="50"/>
    </row>
    <row r="355" spans="3:5">
      <c r="C355" s="14"/>
      <c r="D355" s="50"/>
      <c r="E355" s="50"/>
    </row>
    <row r="356" spans="3:5">
      <c r="C356" s="14"/>
      <c r="D356" s="50"/>
      <c r="E356" s="50"/>
    </row>
    <row r="357" spans="3:5">
      <c r="C357" s="14"/>
      <c r="D357" s="50"/>
      <c r="E357" s="50"/>
    </row>
    <row r="358" spans="3:5">
      <c r="C358" s="14"/>
      <c r="D358" s="50"/>
      <c r="E358" s="50"/>
    </row>
    <row r="359" spans="3:5">
      <c r="C359" s="14"/>
      <c r="D359" s="50"/>
      <c r="E359" s="50"/>
    </row>
    <row r="360" spans="3:5">
      <c r="C360" s="14"/>
      <c r="D360" s="50"/>
      <c r="E360" s="50"/>
    </row>
    <row r="361" spans="3:5">
      <c r="C361" s="14"/>
      <c r="D361" s="50"/>
      <c r="E361" s="50"/>
    </row>
    <row r="362" spans="3:5">
      <c r="C362" s="14"/>
      <c r="D362" s="50"/>
      <c r="E362" s="50"/>
    </row>
    <row r="363" spans="3:5">
      <c r="C363" s="14"/>
      <c r="D363" s="50"/>
      <c r="E363" s="50"/>
    </row>
    <row r="364" spans="3:5">
      <c r="C364" s="14"/>
      <c r="D364" s="50"/>
      <c r="E364" s="50"/>
    </row>
    <row r="365" spans="3:5">
      <c r="C365" s="14"/>
      <c r="D365" s="50"/>
      <c r="E365" s="50"/>
    </row>
    <row r="366" spans="3:5">
      <c r="C366" s="14"/>
      <c r="D366" s="50"/>
      <c r="E366" s="50"/>
    </row>
    <row r="367" spans="3:5">
      <c r="C367" s="14"/>
      <c r="D367" s="50"/>
      <c r="E367" s="50"/>
    </row>
    <row r="368" spans="3:5">
      <c r="C368" s="14"/>
      <c r="D368" s="50"/>
      <c r="E368" s="50"/>
    </row>
    <row r="369" spans="3:5">
      <c r="C369" s="14"/>
      <c r="D369" s="50"/>
      <c r="E369" s="50"/>
    </row>
    <row r="370" spans="3:5">
      <c r="C370" s="14"/>
      <c r="D370" s="50"/>
      <c r="E370" s="50"/>
    </row>
    <row r="371" spans="3:5">
      <c r="C371" s="14"/>
      <c r="D371" s="50"/>
      <c r="E371" s="50"/>
    </row>
    <row r="372" spans="3:5">
      <c r="C372" s="14"/>
      <c r="D372" s="50"/>
      <c r="E372" s="50"/>
    </row>
    <row r="373" spans="3:5">
      <c r="C373" s="14"/>
      <c r="D373" s="50"/>
      <c r="E373" s="50"/>
    </row>
    <row r="374" spans="3:5">
      <c r="C374" s="14"/>
      <c r="D374" s="50"/>
      <c r="E374" s="50"/>
    </row>
    <row r="375" spans="3:5">
      <c r="C375" s="14"/>
      <c r="D375" s="50"/>
      <c r="E375" s="50"/>
    </row>
    <row r="376" spans="3:5">
      <c r="C376" s="14"/>
      <c r="D376" s="50"/>
      <c r="E376" s="50"/>
    </row>
    <row r="377" spans="3:5">
      <c r="C377" s="14"/>
      <c r="D377" s="50"/>
      <c r="E377" s="50"/>
    </row>
    <row r="378" spans="3:5">
      <c r="C378" s="14"/>
      <c r="D378" s="50"/>
      <c r="E378" s="50"/>
    </row>
    <row r="379" spans="3:5">
      <c r="C379" s="14"/>
      <c r="D379" s="50"/>
      <c r="E379" s="50"/>
    </row>
    <row r="380" spans="3:5">
      <c r="C380" s="14"/>
      <c r="D380" s="50"/>
      <c r="E380" s="50"/>
    </row>
    <row r="381" spans="3:5">
      <c r="C381" s="14"/>
      <c r="D381" s="50"/>
      <c r="E381" s="50"/>
    </row>
    <row r="382" spans="3:5">
      <c r="C382" s="14"/>
      <c r="D382" s="50"/>
      <c r="E382" s="50"/>
    </row>
    <row r="383" spans="3:5">
      <c r="C383" s="14"/>
      <c r="D383" s="50"/>
      <c r="E383" s="50"/>
    </row>
    <row r="384" spans="3:5">
      <c r="C384" s="14"/>
      <c r="D384" s="50"/>
      <c r="E384" s="50"/>
    </row>
    <row r="385" spans="3:5">
      <c r="C385" s="14"/>
      <c r="D385" s="50"/>
      <c r="E385" s="50"/>
    </row>
    <row r="386" spans="3:5">
      <c r="C386" s="14"/>
      <c r="D386" s="50"/>
      <c r="E386" s="50"/>
    </row>
    <row r="387" spans="3:5">
      <c r="C387" s="14"/>
      <c r="D387" s="50"/>
      <c r="E387" s="50"/>
    </row>
    <row r="388" spans="3:5">
      <c r="C388" s="14"/>
      <c r="D388" s="50"/>
      <c r="E388" s="50"/>
    </row>
    <row r="389" spans="3:5">
      <c r="C389" s="14"/>
      <c r="D389" s="50"/>
      <c r="E389" s="50"/>
    </row>
    <row r="390" spans="3:5">
      <c r="C390" s="14"/>
      <c r="D390" s="50"/>
      <c r="E390" s="50"/>
    </row>
    <row r="391" spans="3:5">
      <c r="C391" s="14"/>
      <c r="D391" s="50"/>
      <c r="E391" s="50"/>
    </row>
    <row r="392" spans="3:5">
      <c r="C392" s="14"/>
      <c r="D392" s="50"/>
      <c r="E392" s="50"/>
    </row>
    <row r="393" spans="3:5">
      <c r="C393" s="14"/>
      <c r="D393" s="50"/>
      <c r="E393" s="50"/>
    </row>
    <row r="394" spans="3:5">
      <c r="C394" s="14"/>
      <c r="D394" s="50"/>
      <c r="E394" s="50"/>
    </row>
    <row r="395" spans="3:5">
      <c r="C395" s="14"/>
      <c r="D395" s="50"/>
      <c r="E395" s="50"/>
    </row>
    <row r="396" spans="3:5">
      <c r="C396" s="14"/>
      <c r="D396" s="50"/>
      <c r="E396" s="50"/>
    </row>
    <row r="397" spans="3:5">
      <c r="C397" s="14"/>
      <c r="D397" s="50"/>
      <c r="E397" s="50"/>
    </row>
    <row r="398" spans="3:5">
      <c r="C398" s="14"/>
      <c r="D398" s="50"/>
      <c r="E398" s="50"/>
    </row>
    <row r="399" spans="3:5">
      <c r="C399" s="14"/>
      <c r="D399" s="50"/>
      <c r="E399" s="50"/>
    </row>
    <row r="400" spans="3:5">
      <c r="C400" s="14"/>
      <c r="D400" s="50"/>
      <c r="E400" s="50"/>
    </row>
    <row r="401" spans="3:5">
      <c r="C401" s="14"/>
      <c r="D401" s="50"/>
      <c r="E401" s="50"/>
    </row>
    <row r="402" spans="3:5">
      <c r="C402" s="14"/>
      <c r="D402" s="50"/>
      <c r="E402" s="50"/>
    </row>
    <row r="403" spans="3:5">
      <c r="C403" s="14"/>
      <c r="D403" s="50"/>
      <c r="E403" s="50"/>
    </row>
    <row r="404" spans="3:5">
      <c r="C404" s="14"/>
      <c r="D404" s="50"/>
      <c r="E404" s="50"/>
    </row>
    <row r="405" spans="3:5">
      <c r="C405" s="14"/>
      <c r="D405" s="50"/>
      <c r="E405" s="50"/>
    </row>
    <row r="406" spans="3:5">
      <c r="C406" s="14"/>
      <c r="D406" s="50"/>
      <c r="E406" s="50"/>
    </row>
    <row r="407" spans="3:5">
      <c r="C407" s="14"/>
      <c r="D407" s="50"/>
      <c r="E407" s="50"/>
    </row>
    <row r="408" spans="3:5">
      <c r="C408" s="14"/>
      <c r="D408" s="50"/>
      <c r="E408" s="50"/>
    </row>
    <row r="409" spans="3:5">
      <c r="C409" s="14"/>
      <c r="D409" s="50"/>
      <c r="E409" s="50"/>
    </row>
    <row r="410" spans="3:5">
      <c r="C410" s="14"/>
      <c r="D410" s="50"/>
      <c r="E410" s="50"/>
    </row>
    <row r="411" spans="3:5">
      <c r="C411" s="14"/>
      <c r="D411" s="50"/>
      <c r="E411" s="50"/>
    </row>
    <row r="412" spans="3:5">
      <c r="C412" s="14"/>
      <c r="D412" s="50"/>
      <c r="E412" s="50"/>
    </row>
    <row r="413" spans="3:5">
      <c r="C413" s="14"/>
      <c r="D413" s="50"/>
      <c r="E413" s="50"/>
    </row>
    <row r="414" spans="3:5">
      <c r="C414" s="14"/>
      <c r="D414" s="50"/>
      <c r="E414" s="50"/>
    </row>
    <row r="415" spans="3:5">
      <c r="C415" s="14"/>
      <c r="D415" s="50"/>
      <c r="E415" s="50"/>
    </row>
    <row r="416" spans="3:5">
      <c r="C416" s="14"/>
      <c r="D416" s="50"/>
      <c r="E416" s="50"/>
    </row>
    <row r="417" spans="3:5">
      <c r="C417" s="14"/>
      <c r="D417" s="50"/>
      <c r="E417" s="50"/>
    </row>
    <row r="418" spans="3:5">
      <c r="C418" s="14"/>
      <c r="D418" s="50"/>
      <c r="E418" s="50"/>
    </row>
    <row r="419" spans="3:5">
      <c r="C419" s="14"/>
      <c r="D419" s="50"/>
      <c r="E419" s="50"/>
    </row>
    <row r="420" spans="3:5">
      <c r="C420" s="14"/>
      <c r="D420" s="50"/>
      <c r="E420" s="50"/>
    </row>
    <row r="421" spans="3:5">
      <c r="C421" s="14"/>
      <c r="D421" s="50"/>
      <c r="E421" s="50"/>
    </row>
    <row r="422" spans="3:5">
      <c r="C422" s="14"/>
      <c r="D422" s="50"/>
      <c r="E422" s="50"/>
    </row>
    <row r="423" spans="3:5">
      <c r="C423" s="14"/>
      <c r="D423" s="50"/>
      <c r="E423" s="50"/>
    </row>
    <row r="424" spans="3:5">
      <c r="C424" s="14"/>
      <c r="D424" s="50"/>
      <c r="E424" s="50"/>
    </row>
    <row r="425" spans="3:5">
      <c r="C425" s="14"/>
      <c r="D425" s="50"/>
      <c r="E425" s="50"/>
    </row>
    <row r="426" spans="3:5">
      <c r="C426" s="14"/>
      <c r="D426" s="50"/>
      <c r="E426" s="50"/>
    </row>
    <row r="427" spans="3:5">
      <c r="C427" s="14"/>
      <c r="D427" s="50"/>
      <c r="E427" s="50"/>
    </row>
    <row r="428" spans="3:5">
      <c r="C428" s="14"/>
      <c r="D428" s="50"/>
      <c r="E428" s="50"/>
    </row>
    <row r="429" spans="3:5">
      <c r="C429" s="14"/>
      <c r="D429" s="50"/>
      <c r="E429" s="50"/>
    </row>
    <row r="430" spans="3:5">
      <c r="C430" s="14"/>
      <c r="D430" s="50"/>
      <c r="E430" s="50"/>
    </row>
    <row r="431" spans="3:5">
      <c r="C431" s="14"/>
      <c r="D431" s="50"/>
      <c r="E431" s="50"/>
    </row>
    <row r="432" spans="3:5">
      <c r="C432" s="14"/>
      <c r="D432" s="50"/>
      <c r="E432" s="50"/>
    </row>
    <row r="433" spans="3:5">
      <c r="C433" s="14"/>
      <c r="D433" s="50"/>
      <c r="E433" s="50"/>
    </row>
    <row r="434" spans="3:5">
      <c r="C434" s="14"/>
      <c r="D434" s="50"/>
      <c r="E434" s="50"/>
    </row>
    <row r="435" spans="3:5">
      <c r="C435" s="14"/>
      <c r="D435" s="50"/>
      <c r="E435" s="50"/>
    </row>
    <row r="436" spans="3:5">
      <c r="C436" s="14"/>
      <c r="D436" s="50"/>
      <c r="E436" s="50"/>
    </row>
    <row r="437" spans="3:5">
      <c r="C437" s="14"/>
      <c r="D437" s="50"/>
      <c r="E437" s="50"/>
    </row>
    <row r="438" spans="3:5">
      <c r="C438" s="14"/>
      <c r="D438" s="50"/>
      <c r="E438" s="50"/>
    </row>
    <row r="439" spans="3:5">
      <c r="C439" s="14"/>
      <c r="D439" s="50"/>
      <c r="E439" s="50"/>
    </row>
    <row r="440" spans="3:5">
      <c r="C440" s="14"/>
      <c r="D440" s="50"/>
      <c r="E440" s="50"/>
    </row>
    <row r="441" spans="3:5">
      <c r="C441" s="14"/>
      <c r="D441" s="50"/>
      <c r="E441" s="50"/>
    </row>
    <row r="442" spans="3:5">
      <c r="C442" s="14"/>
      <c r="D442" s="50"/>
      <c r="E442" s="50"/>
    </row>
    <row r="443" spans="3:5">
      <c r="C443" s="14"/>
      <c r="D443" s="50"/>
      <c r="E443" s="50"/>
    </row>
    <row r="444" spans="3:5">
      <c r="C444" s="14"/>
      <c r="D444" s="50"/>
      <c r="E444" s="50"/>
    </row>
    <row r="445" spans="3:5">
      <c r="C445" s="14"/>
      <c r="D445" s="50"/>
      <c r="E445" s="50"/>
    </row>
    <row r="446" spans="3:5">
      <c r="C446" s="14"/>
      <c r="D446" s="50"/>
      <c r="E446" s="50"/>
    </row>
    <row r="447" spans="3:5">
      <c r="C447" s="14"/>
      <c r="D447" s="50"/>
      <c r="E447" s="50"/>
    </row>
    <row r="448" spans="3:5">
      <c r="C448" s="14"/>
      <c r="D448" s="50"/>
      <c r="E448" s="50"/>
    </row>
    <row r="449" spans="3:5">
      <c r="C449" s="14"/>
      <c r="D449" s="50"/>
      <c r="E449" s="50"/>
    </row>
    <row r="450" spans="3:5">
      <c r="C450" s="14"/>
      <c r="D450" s="50"/>
      <c r="E450" s="50"/>
    </row>
    <row r="451" spans="3:5">
      <c r="C451" s="14"/>
      <c r="D451" s="50"/>
      <c r="E451" s="50"/>
    </row>
    <row r="452" spans="3:5">
      <c r="C452" s="14"/>
      <c r="D452" s="50"/>
      <c r="E452" s="50"/>
    </row>
    <row r="453" spans="3:5">
      <c r="C453" s="14"/>
      <c r="D453" s="50"/>
      <c r="E453" s="50"/>
    </row>
    <row r="454" spans="3:5">
      <c r="C454" s="14"/>
      <c r="D454" s="50"/>
      <c r="E454" s="50"/>
    </row>
    <row r="455" spans="3:5">
      <c r="C455" s="14"/>
      <c r="D455" s="50"/>
      <c r="E455" s="50"/>
    </row>
    <row r="456" spans="3:5">
      <c r="C456" s="14"/>
      <c r="D456" s="50"/>
      <c r="E456" s="50"/>
    </row>
    <row r="457" spans="3:5">
      <c r="C457" s="14"/>
      <c r="D457" s="50"/>
      <c r="E457" s="50"/>
    </row>
    <row r="458" spans="3:5">
      <c r="C458" s="14"/>
      <c r="D458" s="50"/>
      <c r="E458" s="50"/>
    </row>
    <row r="459" spans="3:5">
      <c r="C459" s="14"/>
      <c r="D459" s="50"/>
      <c r="E459" s="50"/>
    </row>
    <row r="460" spans="3:5">
      <c r="C460" s="14"/>
      <c r="D460" s="50"/>
      <c r="E460" s="50"/>
    </row>
    <row r="461" spans="3:5">
      <c r="C461" s="14"/>
      <c r="D461" s="50"/>
      <c r="E461" s="50"/>
    </row>
    <row r="462" spans="3:5">
      <c r="C462" s="14"/>
      <c r="D462" s="50"/>
      <c r="E462" s="50"/>
    </row>
    <row r="463" spans="3:5">
      <c r="C463" s="14"/>
      <c r="D463" s="50"/>
      <c r="E463" s="50"/>
    </row>
    <row r="464" spans="3:5">
      <c r="C464" s="14"/>
      <c r="D464" s="50"/>
      <c r="E464" s="50"/>
    </row>
    <row r="465" spans="3:5">
      <c r="C465" s="14"/>
      <c r="D465" s="50"/>
      <c r="E465" s="50"/>
    </row>
    <row r="466" spans="3:5">
      <c r="C466" s="14"/>
      <c r="D466" s="50"/>
      <c r="E466" s="50"/>
    </row>
    <row r="467" spans="3:5">
      <c r="C467" s="14"/>
      <c r="D467" s="50"/>
      <c r="E467" s="50"/>
    </row>
    <row r="468" spans="3:5">
      <c r="C468" s="14"/>
      <c r="D468" s="50"/>
      <c r="E468" s="50"/>
    </row>
    <row r="469" spans="3:5">
      <c r="C469" s="14"/>
      <c r="D469" s="50"/>
      <c r="E469" s="50"/>
    </row>
    <row r="470" spans="3:5">
      <c r="C470" s="14"/>
      <c r="D470" s="50"/>
      <c r="E470" s="50"/>
    </row>
    <row r="471" spans="3:5">
      <c r="C471" s="14"/>
      <c r="D471" s="50"/>
      <c r="E471" s="50"/>
    </row>
    <row r="472" spans="3:5">
      <c r="C472" s="14"/>
      <c r="D472" s="50"/>
      <c r="E472" s="50"/>
    </row>
    <row r="473" spans="3:5">
      <c r="C473" s="14"/>
      <c r="D473" s="50"/>
      <c r="E473" s="50"/>
    </row>
    <row r="474" spans="3:5">
      <c r="C474" s="14"/>
      <c r="D474" s="50"/>
      <c r="E474" s="50"/>
    </row>
    <row r="475" spans="3:5">
      <c r="C475" s="14"/>
      <c r="D475" s="50"/>
      <c r="E475" s="50"/>
    </row>
    <row r="476" spans="3:5">
      <c r="C476" s="14"/>
      <c r="D476" s="50"/>
      <c r="E476" s="50"/>
    </row>
    <row r="477" spans="3:5">
      <c r="C477" s="14"/>
      <c r="D477" s="50"/>
      <c r="E477" s="50"/>
    </row>
    <row r="478" spans="3:5">
      <c r="C478" s="14"/>
      <c r="D478" s="50"/>
      <c r="E478" s="50"/>
    </row>
    <row r="479" spans="3:5">
      <c r="C479" s="14"/>
      <c r="D479" s="50"/>
      <c r="E479" s="50"/>
    </row>
    <row r="480" spans="3:5">
      <c r="C480" s="14"/>
      <c r="D480" s="50"/>
      <c r="E480" s="50"/>
    </row>
    <row r="481" spans="3:5">
      <c r="C481" s="14"/>
      <c r="D481" s="50"/>
      <c r="E481" s="50"/>
    </row>
    <row r="482" spans="3:5">
      <c r="C482" s="14"/>
      <c r="D482" s="50"/>
      <c r="E482" s="50"/>
    </row>
    <row r="483" spans="3:5">
      <c r="C483" s="14"/>
      <c r="D483" s="50"/>
      <c r="E483" s="50"/>
    </row>
    <row r="484" spans="3:5">
      <c r="C484" s="14"/>
      <c r="D484" s="50"/>
      <c r="E484" s="50"/>
    </row>
    <row r="485" spans="3:5">
      <c r="C485" s="14"/>
      <c r="D485" s="50"/>
      <c r="E485" s="50"/>
    </row>
    <row r="486" spans="3:5">
      <c r="C486" s="14"/>
      <c r="D486" s="50"/>
      <c r="E486" s="50"/>
    </row>
    <row r="487" spans="3:5">
      <c r="C487" s="14"/>
      <c r="D487" s="50"/>
      <c r="E487" s="50"/>
    </row>
    <row r="488" spans="3:5">
      <c r="C488" s="14"/>
      <c r="D488" s="50"/>
      <c r="E488" s="50"/>
    </row>
    <row r="489" spans="3:5">
      <c r="C489" s="14"/>
      <c r="D489" s="50"/>
      <c r="E489" s="50"/>
    </row>
    <row r="490" spans="3:5">
      <c r="C490" s="14"/>
      <c r="D490" s="50"/>
      <c r="E490" s="50"/>
    </row>
    <row r="491" spans="3:5">
      <c r="C491" s="14"/>
      <c r="D491" s="50"/>
      <c r="E491" s="50"/>
    </row>
    <row r="492" spans="3:5">
      <c r="C492" s="14"/>
      <c r="D492" s="50"/>
      <c r="E492" s="50"/>
    </row>
    <row r="493" spans="3:5">
      <c r="C493" s="14"/>
      <c r="D493" s="50"/>
      <c r="E493" s="50"/>
    </row>
    <row r="494" spans="3:5">
      <c r="C494" s="14"/>
      <c r="D494" s="50"/>
      <c r="E494" s="50"/>
    </row>
    <row r="495" spans="3:5">
      <c r="C495" s="14"/>
      <c r="D495" s="50"/>
      <c r="E495" s="50"/>
    </row>
    <row r="496" spans="3:5">
      <c r="C496" s="14"/>
      <c r="D496" s="50"/>
      <c r="E496" s="50"/>
    </row>
    <row r="497" spans="3:5">
      <c r="C497" s="14"/>
      <c r="D497" s="50"/>
      <c r="E497" s="50"/>
    </row>
    <row r="498" spans="3:5">
      <c r="C498" s="14"/>
      <c r="D498" s="50"/>
      <c r="E498" s="50"/>
    </row>
    <row r="499" spans="3:5">
      <c r="C499" s="14"/>
      <c r="D499" s="50"/>
      <c r="E499" s="50"/>
    </row>
    <row r="500" spans="3:5">
      <c r="C500" s="14"/>
      <c r="D500" s="50"/>
      <c r="E500" s="50"/>
    </row>
    <row r="501" spans="3:5">
      <c r="C501" s="14"/>
      <c r="D501" s="50"/>
      <c r="E501" s="50"/>
    </row>
    <row r="502" spans="3:5">
      <c r="C502" s="14"/>
      <c r="D502" s="50"/>
      <c r="E502" s="50"/>
    </row>
    <row r="503" spans="3:5">
      <c r="C503" s="14"/>
      <c r="D503" s="50"/>
      <c r="E503" s="50"/>
    </row>
    <row r="504" spans="3:5">
      <c r="C504" s="14"/>
      <c r="D504" s="50"/>
      <c r="E504" s="50"/>
    </row>
    <row r="505" spans="3:5">
      <c r="C505" s="14"/>
      <c r="D505" s="50"/>
      <c r="E505" s="50"/>
    </row>
    <row r="506" spans="3:5">
      <c r="C506" s="14"/>
      <c r="D506" s="50"/>
      <c r="E506" s="50"/>
    </row>
    <row r="507" spans="3:5">
      <c r="C507" s="14"/>
      <c r="D507" s="50"/>
      <c r="E507" s="50"/>
    </row>
    <row r="508" spans="3:5">
      <c r="C508" s="14"/>
      <c r="D508" s="50"/>
      <c r="E508" s="50"/>
    </row>
    <row r="509" spans="3:5">
      <c r="C509" s="14"/>
      <c r="D509" s="50"/>
      <c r="E509" s="50"/>
    </row>
    <row r="510" spans="3:5">
      <c r="C510" s="14"/>
      <c r="D510" s="50"/>
      <c r="E510" s="50"/>
    </row>
    <row r="511" spans="3:5">
      <c r="C511" s="14"/>
      <c r="D511" s="50"/>
      <c r="E511" s="50"/>
    </row>
    <row r="512" spans="3:5">
      <c r="C512" s="14"/>
      <c r="D512" s="50"/>
      <c r="E512" s="50"/>
    </row>
    <row r="513" spans="3:5">
      <c r="C513" s="14"/>
      <c r="D513" s="50"/>
      <c r="E513" s="50"/>
    </row>
    <row r="514" spans="3:5">
      <c r="C514" s="14"/>
      <c r="D514" s="50"/>
      <c r="E514" s="50"/>
    </row>
    <row r="515" spans="3:5">
      <c r="C515" s="14"/>
      <c r="D515" s="50"/>
      <c r="E515" s="50"/>
    </row>
    <row r="516" spans="3:5">
      <c r="C516" s="14"/>
      <c r="D516" s="50"/>
      <c r="E516" s="50"/>
    </row>
    <row r="517" spans="3:5">
      <c r="C517" s="14"/>
      <c r="D517" s="50"/>
      <c r="E517" s="50"/>
    </row>
    <row r="518" spans="3:5">
      <c r="C518" s="14"/>
      <c r="D518" s="50"/>
      <c r="E518" s="50"/>
    </row>
    <row r="519" spans="3:5">
      <c r="C519" s="14"/>
      <c r="D519" s="50"/>
      <c r="E519" s="50"/>
    </row>
    <row r="520" spans="3:5">
      <c r="C520" s="14"/>
      <c r="D520" s="50"/>
      <c r="E520" s="50"/>
    </row>
    <row r="521" spans="3:5">
      <c r="C521" s="14"/>
      <c r="D521" s="50"/>
      <c r="E521" s="50"/>
    </row>
    <row r="522" spans="3:5">
      <c r="C522" s="14"/>
      <c r="D522" s="50"/>
      <c r="E522" s="50"/>
    </row>
    <row r="523" spans="3:5">
      <c r="C523" s="14"/>
      <c r="D523" s="50"/>
      <c r="E523" s="50"/>
    </row>
    <row r="524" spans="3:5">
      <c r="C524" s="14"/>
      <c r="D524" s="50"/>
      <c r="E524" s="50"/>
    </row>
    <row r="525" spans="3:5">
      <c r="C525" s="14"/>
      <c r="D525" s="50"/>
      <c r="E525" s="50"/>
    </row>
    <row r="526" spans="3:5">
      <c r="C526" s="14"/>
      <c r="D526" s="50"/>
      <c r="E526" s="50"/>
    </row>
    <row r="527" spans="3:5">
      <c r="C527" s="14"/>
      <c r="D527" s="50"/>
      <c r="E527" s="50"/>
    </row>
    <row r="528" spans="3:5">
      <c r="C528" s="14"/>
      <c r="D528" s="50"/>
      <c r="E528" s="50"/>
    </row>
    <row r="529" spans="3:5">
      <c r="C529" s="14"/>
      <c r="D529" s="50"/>
      <c r="E529" s="50"/>
    </row>
    <row r="530" spans="3:5">
      <c r="C530" s="14"/>
      <c r="D530" s="50"/>
      <c r="E530" s="50"/>
    </row>
    <row r="531" spans="3:5">
      <c r="C531" s="14"/>
      <c r="D531" s="50"/>
      <c r="E531" s="50"/>
    </row>
    <row r="532" spans="3:5">
      <c r="C532" s="14"/>
      <c r="D532" s="50"/>
      <c r="E532" s="50"/>
    </row>
    <row r="533" spans="3:5">
      <c r="C533" s="14"/>
      <c r="D533" s="50"/>
      <c r="E533" s="50"/>
    </row>
    <row r="534" spans="3:5">
      <c r="C534" s="14"/>
      <c r="D534" s="50"/>
      <c r="E534" s="50"/>
    </row>
    <row r="535" spans="3:5">
      <c r="C535" s="14"/>
      <c r="D535" s="50"/>
      <c r="E535" s="50"/>
    </row>
    <row r="536" spans="3:5">
      <c r="C536" s="14"/>
      <c r="D536" s="50"/>
      <c r="E536" s="50"/>
    </row>
    <row r="537" spans="3:5">
      <c r="C537" s="14"/>
      <c r="D537" s="50"/>
      <c r="E537" s="50"/>
    </row>
    <row r="538" spans="3:5">
      <c r="C538" s="14"/>
      <c r="D538" s="50"/>
      <c r="E538" s="50"/>
    </row>
    <row r="539" spans="3:5">
      <c r="C539" s="14"/>
      <c r="D539" s="50"/>
      <c r="E539" s="50"/>
    </row>
    <row r="540" spans="3:5">
      <c r="C540" s="14"/>
      <c r="D540" s="50"/>
      <c r="E540" s="50"/>
    </row>
    <row r="541" spans="3:5">
      <c r="C541" s="14"/>
      <c r="D541" s="50"/>
      <c r="E541" s="50"/>
    </row>
    <row r="542" spans="3:5">
      <c r="C542" s="14"/>
      <c r="D542" s="50"/>
      <c r="E542" s="50"/>
    </row>
    <row r="543" spans="3:5">
      <c r="C543" s="14"/>
      <c r="D543" s="50"/>
      <c r="E543" s="50"/>
    </row>
    <row r="544" spans="3:5">
      <c r="C544" s="14"/>
      <c r="D544" s="50"/>
      <c r="E544" s="50"/>
    </row>
    <row r="545" spans="3:5">
      <c r="C545" s="14"/>
      <c r="D545" s="50"/>
      <c r="E545" s="50"/>
    </row>
    <row r="546" spans="3:5">
      <c r="C546" s="14"/>
      <c r="D546" s="50"/>
      <c r="E546" s="50"/>
    </row>
    <row r="547" spans="3:5">
      <c r="C547" s="14"/>
      <c r="D547" s="50"/>
      <c r="E547" s="50"/>
    </row>
    <row r="548" spans="3:5">
      <c r="C548" s="14"/>
      <c r="D548" s="50"/>
      <c r="E548" s="50"/>
    </row>
    <row r="549" spans="3:5">
      <c r="C549" s="14"/>
      <c r="D549" s="50"/>
      <c r="E549" s="50"/>
    </row>
    <row r="550" spans="3:5">
      <c r="C550" s="14"/>
      <c r="D550" s="50"/>
      <c r="E550" s="50"/>
    </row>
    <row r="551" spans="3:5">
      <c r="C551" s="14"/>
      <c r="D551" s="50"/>
      <c r="E551" s="50"/>
    </row>
    <row r="552" spans="3:5">
      <c r="C552" s="14"/>
      <c r="D552" s="50"/>
      <c r="E552" s="50"/>
    </row>
    <row r="553" spans="3:5">
      <c r="C553" s="14"/>
      <c r="D553" s="50"/>
      <c r="E553" s="50"/>
    </row>
    <row r="554" spans="3:5">
      <c r="C554" s="14"/>
      <c r="D554" s="50"/>
      <c r="E554" s="50"/>
    </row>
    <row r="555" spans="3:5">
      <c r="C555" s="14"/>
      <c r="D555" s="50"/>
      <c r="E555" s="50"/>
    </row>
    <row r="556" spans="3:5">
      <c r="C556" s="14"/>
      <c r="D556" s="50"/>
      <c r="E556" s="50"/>
    </row>
    <row r="557" spans="3:5">
      <c r="C557" s="14"/>
      <c r="D557" s="50"/>
      <c r="E557" s="50"/>
    </row>
    <row r="558" spans="3:5">
      <c r="C558" s="14"/>
      <c r="D558" s="50"/>
      <c r="E558" s="50"/>
    </row>
    <row r="559" spans="3:5">
      <c r="C559" s="14"/>
      <c r="D559" s="50"/>
      <c r="E559" s="50"/>
    </row>
    <row r="560" spans="3:5">
      <c r="C560" s="14"/>
      <c r="D560" s="50"/>
      <c r="E560" s="50"/>
    </row>
    <row r="561" spans="3:5">
      <c r="C561" s="14"/>
      <c r="D561" s="50"/>
      <c r="E561" s="50"/>
    </row>
    <row r="562" spans="3:5">
      <c r="C562" s="14"/>
      <c r="D562" s="50"/>
      <c r="E562" s="50"/>
    </row>
    <row r="563" spans="3:5">
      <c r="C563" s="14"/>
      <c r="D563" s="50"/>
      <c r="E563" s="50"/>
    </row>
    <row r="564" spans="3:5">
      <c r="C564" s="14"/>
      <c r="D564" s="50"/>
      <c r="E564" s="50"/>
    </row>
    <row r="565" spans="3:5">
      <c r="C565" s="14"/>
      <c r="D565" s="50"/>
      <c r="E565" s="50"/>
    </row>
    <row r="566" spans="3:5">
      <c r="C566" s="14"/>
      <c r="D566" s="50"/>
      <c r="E566" s="50"/>
    </row>
    <row r="567" spans="3:5">
      <c r="C567" s="14"/>
      <c r="D567" s="50"/>
      <c r="E567" s="50"/>
    </row>
    <row r="568" spans="3:5">
      <c r="C568" s="14"/>
      <c r="D568" s="50"/>
      <c r="E568" s="50"/>
    </row>
    <row r="569" spans="3:5">
      <c r="C569" s="14"/>
      <c r="D569" s="50"/>
      <c r="E569" s="50"/>
    </row>
    <row r="570" spans="3:5">
      <c r="C570" s="14"/>
      <c r="D570" s="50"/>
      <c r="E570" s="50"/>
    </row>
    <row r="571" spans="3:5">
      <c r="C571" s="14"/>
      <c r="D571" s="50"/>
      <c r="E571" s="50"/>
    </row>
    <row r="572" spans="3:5">
      <c r="C572" s="14"/>
      <c r="D572" s="50"/>
      <c r="E572" s="50"/>
    </row>
    <row r="573" spans="3:5">
      <c r="C573" s="14"/>
      <c r="D573" s="50"/>
      <c r="E573" s="50"/>
    </row>
    <row r="574" spans="3:5">
      <c r="C574" s="14"/>
      <c r="D574" s="50"/>
      <c r="E574" s="50"/>
    </row>
    <row r="575" spans="3:5">
      <c r="C575" s="14"/>
      <c r="D575" s="50"/>
      <c r="E575" s="50"/>
    </row>
    <row r="576" spans="3:5">
      <c r="C576" s="14"/>
      <c r="D576" s="50"/>
      <c r="E576" s="50"/>
    </row>
    <row r="577" spans="3:5">
      <c r="C577" s="14"/>
      <c r="D577" s="50"/>
      <c r="E577" s="50"/>
    </row>
    <row r="578" spans="3:5">
      <c r="C578" s="14"/>
      <c r="D578" s="50"/>
      <c r="E578" s="50"/>
    </row>
    <row r="579" spans="3:5">
      <c r="C579" s="14"/>
      <c r="D579" s="50"/>
      <c r="E579" s="50"/>
    </row>
    <row r="580" spans="3:5">
      <c r="C580" s="14"/>
      <c r="D580" s="50"/>
      <c r="E580" s="50"/>
    </row>
    <row r="581" spans="3:5">
      <c r="C581" s="14"/>
      <c r="D581" s="50"/>
      <c r="E581" s="50"/>
    </row>
    <row r="582" spans="3:5">
      <c r="C582" s="14"/>
      <c r="D582" s="50"/>
      <c r="E582" s="50"/>
    </row>
    <row r="583" spans="3:5">
      <c r="C583" s="14"/>
      <c r="D583" s="50"/>
      <c r="E583" s="50"/>
    </row>
    <row r="584" spans="3:5">
      <c r="C584" s="14"/>
      <c r="D584" s="50"/>
      <c r="E584" s="50"/>
    </row>
    <row r="585" spans="3:5">
      <c r="C585" s="14"/>
      <c r="D585" s="50"/>
      <c r="E585" s="50"/>
    </row>
    <row r="586" spans="3:5">
      <c r="C586" s="14"/>
      <c r="D586" s="50"/>
      <c r="E586" s="50"/>
    </row>
    <row r="587" spans="3:5">
      <c r="C587" s="14"/>
      <c r="D587" s="50"/>
      <c r="E587" s="50"/>
    </row>
    <row r="588" spans="3:5">
      <c r="C588" s="14"/>
      <c r="D588" s="50"/>
      <c r="E588" s="50"/>
    </row>
    <row r="589" spans="3:5">
      <c r="C589" s="14"/>
      <c r="D589" s="50"/>
      <c r="E589" s="50"/>
    </row>
    <row r="590" spans="3:5">
      <c r="C590" s="14"/>
      <c r="D590" s="50"/>
      <c r="E590" s="50"/>
    </row>
    <row r="591" spans="3:5">
      <c r="C591" s="14"/>
      <c r="D591" s="50"/>
      <c r="E591" s="50"/>
    </row>
    <row r="592" spans="3:5">
      <c r="C592" s="14"/>
      <c r="D592" s="50"/>
      <c r="E592" s="50"/>
    </row>
    <row r="593" spans="3:5">
      <c r="C593" s="14"/>
      <c r="D593" s="50"/>
      <c r="E593" s="50"/>
    </row>
    <row r="594" spans="3:5">
      <c r="C594" s="14"/>
      <c r="D594" s="50"/>
      <c r="E594" s="50"/>
    </row>
    <row r="595" spans="3:5">
      <c r="C595" s="14"/>
      <c r="D595" s="50"/>
      <c r="E595" s="50"/>
    </row>
    <row r="596" spans="3:5">
      <c r="C596" s="14"/>
      <c r="D596" s="50"/>
      <c r="E596" s="50"/>
    </row>
    <row r="597" spans="3:5">
      <c r="C597" s="14"/>
      <c r="D597" s="50"/>
      <c r="E597" s="50"/>
    </row>
    <row r="598" spans="3:5">
      <c r="C598" s="14"/>
      <c r="D598" s="50"/>
      <c r="E598" s="50"/>
    </row>
    <row r="599" spans="3:5">
      <c r="C599" s="14"/>
      <c r="D599" s="50"/>
      <c r="E599" s="50"/>
    </row>
    <row r="600" spans="3:5">
      <c r="C600" s="14"/>
      <c r="D600" s="50"/>
      <c r="E600" s="50"/>
    </row>
    <row r="601" spans="3:5">
      <c r="C601" s="14"/>
      <c r="D601" s="50"/>
      <c r="E601" s="50"/>
    </row>
    <row r="602" spans="3:5">
      <c r="C602" s="14"/>
      <c r="D602" s="50"/>
      <c r="E602" s="50"/>
    </row>
    <row r="603" spans="3:5">
      <c r="C603" s="14"/>
      <c r="D603" s="50"/>
      <c r="E603" s="50"/>
    </row>
    <row r="604" spans="3:5">
      <c r="C604" s="14"/>
      <c r="D604" s="50"/>
      <c r="E604" s="50"/>
    </row>
    <row r="605" spans="3:5">
      <c r="C605" s="14"/>
      <c r="D605" s="50"/>
      <c r="E605" s="50"/>
    </row>
    <row r="606" spans="3:5">
      <c r="C606" s="14"/>
      <c r="D606" s="50"/>
      <c r="E606" s="50"/>
    </row>
    <row r="607" spans="3:5">
      <c r="C607" s="14"/>
      <c r="D607" s="50"/>
      <c r="E607" s="50"/>
    </row>
    <row r="608" spans="3:5">
      <c r="C608" s="14"/>
      <c r="D608" s="50"/>
      <c r="E608" s="50"/>
    </row>
    <row r="609" spans="3:5">
      <c r="C609" s="14"/>
      <c r="D609" s="50"/>
      <c r="E609" s="50"/>
    </row>
    <row r="610" spans="3:5">
      <c r="C610" s="14"/>
      <c r="D610" s="50"/>
      <c r="E610" s="50"/>
    </row>
    <row r="611" spans="3:5">
      <c r="C611" s="14"/>
      <c r="D611" s="50"/>
      <c r="E611" s="50"/>
    </row>
    <row r="612" spans="3:5">
      <c r="C612" s="14"/>
      <c r="D612" s="50"/>
      <c r="E612" s="50"/>
    </row>
    <row r="613" spans="3:5">
      <c r="C613" s="14"/>
      <c r="D613" s="50"/>
      <c r="E613" s="50"/>
    </row>
    <row r="614" spans="3:5">
      <c r="C614" s="14"/>
      <c r="D614" s="50"/>
      <c r="E614" s="50"/>
    </row>
    <row r="615" spans="3:5">
      <c r="C615" s="14"/>
      <c r="D615" s="50"/>
      <c r="E615" s="50"/>
    </row>
    <row r="616" spans="3:5">
      <c r="C616" s="14"/>
      <c r="D616" s="50"/>
      <c r="E616" s="50"/>
    </row>
    <row r="617" spans="3:5">
      <c r="C617" s="14"/>
      <c r="D617" s="50"/>
      <c r="E617" s="50"/>
    </row>
    <row r="618" spans="3:5">
      <c r="C618" s="14"/>
      <c r="D618" s="50"/>
      <c r="E618" s="50"/>
    </row>
    <row r="619" spans="3:5">
      <c r="C619" s="14"/>
      <c r="D619" s="50"/>
      <c r="E619" s="50"/>
    </row>
    <row r="620" spans="3:5">
      <c r="C620" s="14"/>
      <c r="D620" s="50"/>
      <c r="E620" s="50"/>
    </row>
    <row r="621" spans="3:5">
      <c r="C621" s="14"/>
      <c r="D621" s="50"/>
      <c r="E621" s="50"/>
    </row>
    <row r="622" spans="3:5">
      <c r="C622" s="14"/>
      <c r="D622" s="50"/>
      <c r="E622" s="50"/>
    </row>
    <row r="623" spans="3:5">
      <c r="C623" s="14"/>
      <c r="D623" s="50"/>
      <c r="E623" s="50"/>
    </row>
    <row r="624" spans="3:5">
      <c r="C624" s="14"/>
      <c r="D624" s="50"/>
      <c r="E624" s="50"/>
    </row>
    <row r="625" spans="3:5">
      <c r="C625" s="14"/>
      <c r="D625" s="50"/>
      <c r="E625" s="50"/>
    </row>
    <row r="626" spans="3:5">
      <c r="C626" s="14"/>
      <c r="D626" s="50"/>
      <c r="E626" s="50"/>
    </row>
    <row r="627" spans="3:5">
      <c r="C627" s="14"/>
      <c r="D627" s="50"/>
      <c r="E627" s="50"/>
    </row>
    <row r="628" spans="3:5">
      <c r="C628" s="14"/>
      <c r="D628" s="50"/>
      <c r="E628" s="50"/>
    </row>
    <row r="629" spans="3:5">
      <c r="C629" s="14"/>
      <c r="D629" s="50"/>
      <c r="E629" s="50"/>
    </row>
    <row r="630" spans="3:5">
      <c r="C630" s="14"/>
      <c r="D630" s="50"/>
      <c r="E630" s="50"/>
    </row>
    <row r="631" spans="3:5">
      <c r="C631" s="14"/>
      <c r="D631" s="50"/>
      <c r="E631" s="50"/>
    </row>
    <row r="632" spans="3:5">
      <c r="C632" s="14"/>
      <c r="D632" s="50"/>
      <c r="E632" s="50"/>
    </row>
    <row r="633" spans="3:5">
      <c r="C633" s="14"/>
      <c r="D633" s="50"/>
      <c r="E633" s="50"/>
    </row>
    <row r="634" spans="3:5">
      <c r="C634" s="14"/>
      <c r="D634" s="50"/>
      <c r="E634" s="50"/>
    </row>
    <row r="635" spans="3:5">
      <c r="C635" s="14"/>
      <c r="D635" s="50"/>
      <c r="E635" s="50"/>
    </row>
    <row r="636" spans="3:5">
      <c r="C636" s="14"/>
      <c r="D636" s="50"/>
      <c r="E636" s="50"/>
    </row>
    <row r="637" spans="3:5">
      <c r="C637" s="14"/>
      <c r="D637" s="50"/>
      <c r="E637" s="50"/>
    </row>
    <row r="638" spans="3:5">
      <c r="C638" s="14"/>
      <c r="D638" s="50"/>
      <c r="E638" s="50"/>
    </row>
    <row r="639" spans="3:5">
      <c r="C639" s="14"/>
      <c r="D639" s="50"/>
      <c r="E639" s="50"/>
    </row>
    <row r="640" spans="3:5">
      <c r="C640" s="14"/>
      <c r="D640" s="50"/>
      <c r="E640" s="50"/>
    </row>
    <row r="641" spans="3:5">
      <c r="C641" s="14"/>
      <c r="D641" s="50"/>
      <c r="E641" s="50"/>
    </row>
    <row r="642" spans="3:5">
      <c r="C642" s="14"/>
      <c r="D642" s="50"/>
      <c r="E642" s="50"/>
    </row>
    <row r="643" spans="3:5">
      <c r="C643" s="14"/>
      <c r="D643" s="50"/>
      <c r="E643" s="50"/>
    </row>
    <row r="644" spans="3:5">
      <c r="C644" s="14"/>
      <c r="D644" s="50"/>
      <c r="E644" s="50"/>
    </row>
    <row r="645" spans="3:5">
      <c r="C645" s="14"/>
      <c r="D645" s="50"/>
      <c r="E645" s="50"/>
    </row>
    <row r="646" spans="3:5">
      <c r="C646" s="14"/>
      <c r="D646" s="50"/>
      <c r="E646" s="50"/>
    </row>
    <row r="647" spans="3:5">
      <c r="C647" s="14"/>
      <c r="D647" s="50"/>
      <c r="E647" s="50"/>
    </row>
    <row r="648" spans="3:5">
      <c r="C648" s="14"/>
      <c r="D648" s="50"/>
      <c r="E648" s="50"/>
    </row>
    <row r="649" spans="3:5">
      <c r="C649" s="14"/>
      <c r="D649" s="50"/>
      <c r="E649" s="50"/>
    </row>
    <row r="650" spans="3:5">
      <c r="C650" s="14"/>
      <c r="D650" s="50"/>
      <c r="E650" s="50"/>
    </row>
    <row r="651" spans="3:5">
      <c r="C651" s="14"/>
      <c r="D651" s="50"/>
      <c r="E651" s="50"/>
    </row>
    <row r="652" spans="3:5">
      <c r="C652" s="14"/>
      <c r="D652" s="50"/>
      <c r="E652" s="50"/>
    </row>
    <row r="653" spans="3:5">
      <c r="C653" s="14"/>
      <c r="D653" s="50"/>
      <c r="E653" s="50"/>
    </row>
    <row r="654" spans="3:5">
      <c r="C654" s="14"/>
      <c r="D654" s="50"/>
      <c r="E654" s="50"/>
    </row>
    <row r="655" spans="3:5">
      <c r="C655" s="14"/>
      <c r="D655" s="50"/>
      <c r="E655" s="50"/>
    </row>
    <row r="656" spans="3:5">
      <c r="C656" s="14"/>
      <c r="D656" s="50"/>
      <c r="E656" s="50"/>
    </row>
    <row r="657" spans="3:5">
      <c r="C657" s="14"/>
      <c r="D657" s="50"/>
      <c r="E657" s="50"/>
    </row>
    <row r="658" spans="3:5">
      <c r="C658" s="14"/>
      <c r="D658" s="50"/>
      <c r="E658" s="50"/>
    </row>
    <row r="659" spans="3:5">
      <c r="C659" s="14"/>
      <c r="D659" s="50"/>
      <c r="E659" s="50"/>
    </row>
    <row r="660" spans="3:5">
      <c r="C660" s="14"/>
      <c r="D660" s="50"/>
      <c r="E660" s="50"/>
    </row>
    <row r="661" spans="3:5">
      <c r="C661" s="14"/>
      <c r="D661" s="50"/>
      <c r="E661" s="50"/>
    </row>
    <row r="662" spans="3:5">
      <c r="C662" s="14"/>
      <c r="D662" s="50"/>
      <c r="E662" s="50"/>
    </row>
    <row r="663" spans="3:5">
      <c r="C663" s="14"/>
      <c r="D663" s="50"/>
      <c r="E663" s="50"/>
    </row>
    <row r="664" spans="3:5">
      <c r="C664" s="14"/>
      <c r="D664" s="50"/>
      <c r="E664" s="50"/>
    </row>
    <row r="665" spans="3:5">
      <c r="C665" s="14"/>
      <c r="D665" s="50"/>
      <c r="E665" s="50"/>
    </row>
    <row r="666" spans="3:5">
      <c r="C666" s="14"/>
      <c r="D666" s="50"/>
      <c r="E666" s="50"/>
    </row>
    <row r="667" spans="3:5">
      <c r="C667" s="14"/>
      <c r="D667" s="50"/>
      <c r="E667" s="50"/>
    </row>
    <row r="668" spans="3:5">
      <c r="C668" s="14"/>
      <c r="D668" s="50"/>
      <c r="E668" s="50"/>
    </row>
    <row r="669" spans="3:5">
      <c r="C669" s="14"/>
      <c r="D669" s="50"/>
      <c r="E669" s="50"/>
    </row>
    <row r="670" spans="3:5">
      <c r="C670" s="14"/>
      <c r="D670" s="50"/>
      <c r="E670" s="50"/>
    </row>
    <row r="671" spans="3:5">
      <c r="C671" s="14"/>
      <c r="D671" s="50"/>
      <c r="E671" s="50"/>
    </row>
    <row r="672" spans="3:5">
      <c r="C672" s="14"/>
      <c r="D672" s="50"/>
      <c r="E672" s="50"/>
    </row>
    <row r="673" spans="3:5">
      <c r="C673" s="14"/>
      <c r="D673" s="50"/>
      <c r="E673" s="50"/>
    </row>
    <row r="674" spans="3:5">
      <c r="C674" s="14"/>
      <c r="D674" s="50"/>
      <c r="E674" s="50"/>
    </row>
    <row r="675" spans="3:5">
      <c r="C675" s="14"/>
      <c r="D675" s="50"/>
      <c r="E675" s="50"/>
    </row>
    <row r="676" spans="3:5">
      <c r="C676" s="14"/>
      <c r="D676" s="50"/>
      <c r="E676" s="50"/>
    </row>
    <row r="677" spans="3:5">
      <c r="C677" s="14"/>
      <c r="D677" s="50"/>
      <c r="E677" s="50"/>
    </row>
    <row r="678" spans="3:5">
      <c r="C678" s="14"/>
      <c r="D678" s="50"/>
      <c r="E678" s="50"/>
    </row>
    <row r="679" spans="3:5">
      <c r="C679" s="14"/>
      <c r="D679" s="50"/>
      <c r="E679" s="50"/>
    </row>
    <row r="680" spans="3:5">
      <c r="C680" s="14"/>
      <c r="D680" s="50"/>
      <c r="E680" s="50"/>
    </row>
    <row r="681" spans="3:5">
      <c r="C681" s="14"/>
      <c r="D681" s="50"/>
      <c r="E681" s="50"/>
    </row>
    <row r="682" spans="3:5">
      <c r="C682" s="14"/>
      <c r="D682" s="50"/>
      <c r="E682" s="50"/>
    </row>
    <row r="683" spans="3:5">
      <c r="C683" s="14"/>
      <c r="D683" s="50"/>
      <c r="E683" s="50"/>
    </row>
    <row r="684" spans="3:5">
      <c r="C684" s="14"/>
      <c r="D684" s="50"/>
      <c r="E684" s="50"/>
    </row>
    <row r="685" spans="3:5">
      <c r="C685" s="14"/>
      <c r="D685" s="50"/>
      <c r="E685" s="50"/>
    </row>
    <row r="686" spans="3:5">
      <c r="C686" s="14"/>
      <c r="D686" s="50"/>
      <c r="E686" s="50"/>
    </row>
    <row r="687" spans="3:5">
      <c r="C687" s="14"/>
      <c r="D687" s="50"/>
      <c r="E687" s="50"/>
    </row>
    <row r="688" spans="3:5">
      <c r="C688" s="14"/>
      <c r="D688" s="50"/>
      <c r="E688" s="50"/>
    </row>
    <row r="689" spans="3:5">
      <c r="C689" s="14"/>
      <c r="D689" s="50"/>
      <c r="E689" s="50"/>
    </row>
    <row r="690" spans="3:5">
      <c r="C690" s="14"/>
      <c r="D690" s="50"/>
      <c r="E690" s="50"/>
    </row>
    <row r="691" spans="3:5">
      <c r="C691" s="14"/>
      <c r="D691" s="50"/>
      <c r="E691" s="50"/>
    </row>
    <row r="692" spans="3:5">
      <c r="C692" s="14"/>
      <c r="D692" s="50"/>
      <c r="E692" s="50"/>
    </row>
    <row r="693" spans="3:5">
      <c r="C693" s="14"/>
      <c r="D693" s="50"/>
      <c r="E693" s="50"/>
    </row>
    <row r="694" spans="3:5">
      <c r="C694" s="14"/>
      <c r="D694" s="50"/>
      <c r="E694" s="50"/>
    </row>
    <row r="695" spans="3:5">
      <c r="C695" s="14"/>
      <c r="D695" s="50"/>
      <c r="E695" s="50"/>
    </row>
    <row r="696" spans="3:5">
      <c r="C696" s="14"/>
      <c r="D696" s="50"/>
      <c r="E696" s="50"/>
    </row>
    <row r="697" spans="3:5">
      <c r="C697" s="14"/>
      <c r="D697" s="50"/>
      <c r="E697" s="50"/>
    </row>
    <row r="698" spans="3:5">
      <c r="C698" s="14"/>
      <c r="D698" s="50"/>
      <c r="E698" s="50"/>
    </row>
    <row r="699" spans="3:5">
      <c r="C699" s="14"/>
      <c r="D699" s="50"/>
      <c r="E699" s="50"/>
    </row>
    <row r="700" spans="3:5">
      <c r="C700" s="14"/>
      <c r="D700" s="50"/>
      <c r="E700" s="50"/>
    </row>
    <row r="701" spans="3:5">
      <c r="C701" s="14"/>
      <c r="D701" s="50"/>
      <c r="E701" s="50"/>
    </row>
    <row r="702" spans="3:5">
      <c r="C702" s="14"/>
      <c r="D702" s="50"/>
      <c r="E702" s="50"/>
    </row>
    <row r="703" spans="3:5">
      <c r="C703" s="14"/>
      <c r="D703" s="50"/>
      <c r="E703" s="50"/>
    </row>
    <row r="704" spans="3:5">
      <c r="C704" s="14"/>
      <c r="D704" s="50"/>
      <c r="E704" s="50"/>
    </row>
    <row r="705" spans="3:5">
      <c r="C705" s="14"/>
      <c r="D705" s="50"/>
      <c r="E705" s="50"/>
    </row>
    <row r="706" spans="3:5">
      <c r="C706" s="14"/>
      <c r="D706" s="50"/>
      <c r="E706" s="50"/>
    </row>
    <row r="707" spans="3:5">
      <c r="C707" s="14"/>
      <c r="D707" s="50"/>
      <c r="E707" s="50"/>
    </row>
    <row r="708" spans="3:5">
      <c r="C708" s="14"/>
      <c r="D708" s="50"/>
      <c r="E708" s="50"/>
    </row>
    <row r="709" spans="3:5">
      <c r="C709" s="14"/>
      <c r="D709" s="50"/>
      <c r="E709" s="50"/>
    </row>
    <row r="710" spans="3:5">
      <c r="C710" s="14"/>
      <c r="D710" s="50"/>
      <c r="E710" s="50"/>
    </row>
    <row r="711" spans="3:5">
      <c r="C711" s="14"/>
      <c r="D711" s="50"/>
      <c r="E711" s="50"/>
    </row>
    <row r="712" spans="3:5">
      <c r="C712" s="14"/>
      <c r="D712" s="50"/>
      <c r="E712" s="50"/>
    </row>
    <row r="713" spans="3:5">
      <c r="C713" s="14"/>
      <c r="D713" s="50"/>
      <c r="E713" s="50"/>
    </row>
    <row r="714" spans="3:5">
      <c r="C714" s="14"/>
      <c r="D714" s="50"/>
      <c r="E714" s="50"/>
    </row>
    <row r="715" spans="3:5">
      <c r="C715" s="14"/>
      <c r="D715" s="50"/>
      <c r="E715" s="50"/>
    </row>
    <row r="716" spans="3:5">
      <c r="C716" s="14"/>
      <c r="D716" s="50"/>
      <c r="E716" s="50"/>
    </row>
    <row r="717" spans="3:5">
      <c r="C717" s="14"/>
      <c r="D717" s="50"/>
      <c r="E717" s="50"/>
    </row>
    <row r="718" spans="3:5">
      <c r="C718" s="14"/>
      <c r="D718" s="50"/>
      <c r="E718" s="50"/>
    </row>
    <row r="719" spans="3:5">
      <c r="C719" s="14"/>
      <c r="D719" s="50"/>
      <c r="E719" s="50"/>
    </row>
    <row r="720" spans="3:5">
      <c r="C720" s="14"/>
      <c r="D720" s="50"/>
      <c r="E720" s="50"/>
    </row>
    <row r="721" spans="3:5">
      <c r="C721" s="14"/>
      <c r="D721" s="50"/>
      <c r="E721" s="50"/>
    </row>
    <row r="722" spans="3:5">
      <c r="C722" s="14"/>
      <c r="D722" s="50"/>
      <c r="E722" s="50"/>
    </row>
    <row r="723" spans="3:5">
      <c r="C723" s="14"/>
      <c r="D723" s="50"/>
      <c r="E723" s="50"/>
    </row>
    <row r="724" spans="3:5">
      <c r="C724" s="14"/>
      <c r="D724" s="50"/>
      <c r="E724" s="50"/>
    </row>
    <row r="725" spans="3:5">
      <c r="C725" s="14"/>
      <c r="D725" s="50"/>
      <c r="E725" s="50"/>
    </row>
    <row r="726" spans="3:5">
      <c r="C726" s="14"/>
      <c r="D726" s="50"/>
      <c r="E726" s="50"/>
    </row>
    <row r="727" spans="3:5">
      <c r="C727" s="14"/>
      <c r="D727" s="50"/>
      <c r="E727" s="50"/>
    </row>
    <row r="728" spans="3:5">
      <c r="C728" s="14"/>
      <c r="D728" s="50"/>
      <c r="E728" s="50"/>
    </row>
    <row r="729" spans="3:5">
      <c r="C729" s="14"/>
      <c r="D729" s="50"/>
      <c r="E729" s="50"/>
    </row>
    <row r="730" spans="3:5">
      <c r="C730" s="14"/>
      <c r="D730" s="50"/>
      <c r="E730" s="50"/>
    </row>
    <row r="731" spans="3:5">
      <c r="C731" s="14"/>
      <c r="D731" s="50"/>
      <c r="E731" s="50"/>
    </row>
    <row r="732" spans="3:5">
      <c r="C732" s="14"/>
      <c r="D732" s="50"/>
      <c r="E732" s="50"/>
    </row>
    <row r="733" spans="3:5">
      <c r="C733" s="14"/>
      <c r="D733" s="50"/>
      <c r="E733" s="50"/>
    </row>
    <row r="734" spans="3:5">
      <c r="C734" s="14"/>
      <c r="D734" s="50"/>
      <c r="E734" s="50"/>
    </row>
    <row r="735" spans="3:5">
      <c r="C735" s="14"/>
      <c r="D735" s="50"/>
      <c r="E735" s="50"/>
    </row>
    <row r="736" spans="3:5">
      <c r="C736" s="14"/>
      <c r="D736" s="50"/>
      <c r="E736" s="50"/>
    </row>
    <row r="737" spans="3:5">
      <c r="C737" s="14"/>
      <c r="D737" s="50"/>
      <c r="E737" s="50"/>
    </row>
    <row r="738" spans="3:5">
      <c r="C738" s="14"/>
      <c r="D738" s="50"/>
      <c r="E738" s="50"/>
    </row>
    <row r="739" spans="3:5">
      <c r="C739" s="14"/>
      <c r="D739" s="50"/>
      <c r="E739" s="50"/>
    </row>
    <row r="740" spans="3:5">
      <c r="C740" s="14"/>
      <c r="D740" s="50"/>
      <c r="E740" s="50"/>
    </row>
    <row r="741" spans="3:5">
      <c r="C741" s="14"/>
      <c r="D741" s="50"/>
      <c r="E741" s="50"/>
    </row>
    <row r="742" spans="3:5">
      <c r="C742" s="14"/>
      <c r="D742" s="50"/>
      <c r="E742" s="50"/>
    </row>
    <row r="743" spans="3:5">
      <c r="C743" s="14"/>
      <c r="D743" s="50"/>
      <c r="E743" s="50"/>
    </row>
    <row r="744" spans="3:5">
      <c r="C744" s="14"/>
      <c r="D744" s="50"/>
      <c r="E744" s="50"/>
    </row>
    <row r="745" spans="3:5">
      <c r="C745" s="14"/>
      <c r="D745" s="50"/>
      <c r="E745" s="50"/>
    </row>
    <row r="746" spans="3:5">
      <c r="C746" s="14"/>
      <c r="D746" s="50"/>
      <c r="E746" s="50"/>
    </row>
    <row r="747" spans="3:5">
      <c r="C747" s="14"/>
      <c r="D747" s="50"/>
      <c r="E747" s="50"/>
    </row>
    <row r="748" spans="3:5">
      <c r="C748" s="14"/>
      <c r="D748" s="50"/>
      <c r="E748" s="50"/>
    </row>
    <row r="749" spans="3:5">
      <c r="C749" s="14"/>
      <c r="D749" s="50"/>
      <c r="E749" s="50"/>
    </row>
    <row r="750" spans="3:5">
      <c r="C750" s="14"/>
      <c r="D750" s="50"/>
      <c r="E750" s="50"/>
    </row>
    <row r="751" spans="3:5">
      <c r="C751" s="14"/>
      <c r="D751" s="50"/>
      <c r="E751" s="50"/>
    </row>
    <row r="752" spans="3:5">
      <c r="C752" s="14"/>
      <c r="D752" s="50"/>
      <c r="E752" s="50"/>
    </row>
    <row r="753" spans="3:5">
      <c r="C753" s="14"/>
      <c r="D753" s="50"/>
      <c r="E753" s="50"/>
    </row>
    <row r="754" spans="3:5">
      <c r="C754" s="14"/>
      <c r="D754" s="50"/>
      <c r="E754" s="50"/>
    </row>
    <row r="755" spans="3:5">
      <c r="C755" s="14"/>
      <c r="D755" s="50"/>
      <c r="E755" s="50"/>
    </row>
    <row r="756" spans="3:5">
      <c r="C756" s="14"/>
      <c r="D756" s="50"/>
      <c r="E756" s="50"/>
    </row>
    <row r="757" spans="3:5">
      <c r="C757" s="14"/>
      <c r="D757" s="50"/>
      <c r="E757" s="50"/>
    </row>
    <row r="758" spans="3:5">
      <c r="C758" s="14"/>
      <c r="D758" s="50"/>
      <c r="E758" s="50"/>
    </row>
    <row r="759" spans="3:5">
      <c r="C759" s="14"/>
      <c r="D759" s="50"/>
      <c r="E759" s="50"/>
    </row>
    <row r="760" spans="3:5">
      <c r="C760" s="14"/>
      <c r="D760" s="50"/>
      <c r="E760" s="50"/>
    </row>
    <row r="761" spans="3:5">
      <c r="C761" s="14"/>
      <c r="D761" s="50"/>
      <c r="E761" s="50"/>
    </row>
    <row r="762" spans="3:5">
      <c r="C762" s="14"/>
      <c r="D762" s="50"/>
      <c r="E762" s="50"/>
    </row>
    <row r="763" spans="3:5">
      <c r="C763" s="14"/>
      <c r="D763" s="50"/>
      <c r="E763" s="50"/>
    </row>
    <row r="764" spans="3:5">
      <c r="C764" s="14"/>
      <c r="D764" s="50"/>
      <c r="E764" s="50"/>
    </row>
    <row r="765" spans="3:5">
      <c r="C765" s="14"/>
      <c r="D765" s="50"/>
      <c r="E765" s="50"/>
    </row>
    <row r="766" spans="3:5">
      <c r="C766" s="14"/>
      <c r="D766" s="50"/>
      <c r="E766" s="50"/>
    </row>
    <row r="767" spans="3:5">
      <c r="C767" s="14"/>
      <c r="D767" s="50"/>
      <c r="E767" s="50"/>
    </row>
    <row r="768" spans="3:5">
      <c r="C768" s="14"/>
      <c r="D768" s="50"/>
      <c r="E768" s="50"/>
    </row>
    <row r="769" spans="3:5">
      <c r="C769" s="14"/>
      <c r="D769" s="50"/>
      <c r="E769" s="50"/>
    </row>
    <row r="770" spans="3:5">
      <c r="C770" s="14"/>
      <c r="D770" s="50"/>
      <c r="E770" s="50"/>
    </row>
    <row r="771" spans="3:5">
      <c r="C771" s="14"/>
      <c r="D771" s="50"/>
      <c r="E771" s="50"/>
    </row>
    <row r="772" spans="3:5">
      <c r="C772" s="14"/>
      <c r="D772" s="50"/>
      <c r="E772" s="50"/>
    </row>
    <row r="773" spans="3:5">
      <c r="C773" s="14"/>
      <c r="D773" s="50"/>
      <c r="E773" s="50"/>
    </row>
    <row r="774" spans="3:5">
      <c r="C774" s="14"/>
      <c r="D774" s="50"/>
      <c r="E774" s="50"/>
    </row>
    <row r="775" spans="3:5">
      <c r="C775" s="14"/>
      <c r="D775" s="50"/>
      <c r="E775" s="50"/>
    </row>
    <row r="776" spans="3:5">
      <c r="C776" s="14"/>
      <c r="D776" s="50"/>
      <c r="E776" s="50"/>
    </row>
    <row r="777" spans="3:5">
      <c r="C777" s="14"/>
      <c r="D777" s="50"/>
      <c r="E777" s="50"/>
    </row>
    <row r="778" spans="3:5">
      <c r="C778" s="14"/>
      <c r="D778" s="50"/>
      <c r="E778" s="50"/>
    </row>
    <row r="779" spans="3:5">
      <c r="C779" s="14"/>
      <c r="D779" s="50"/>
      <c r="E779" s="50"/>
    </row>
    <row r="780" spans="3:5">
      <c r="C780" s="14"/>
      <c r="D780" s="50"/>
      <c r="E780" s="50"/>
    </row>
    <row r="781" spans="3:5">
      <c r="C781" s="14"/>
      <c r="D781" s="50"/>
      <c r="E781" s="50"/>
    </row>
    <row r="782" spans="3:5">
      <c r="C782" s="14"/>
      <c r="D782" s="50"/>
      <c r="E782" s="50"/>
    </row>
    <row r="783" spans="3:5">
      <c r="C783" s="14"/>
      <c r="D783" s="50"/>
      <c r="E783" s="50"/>
    </row>
    <row r="784" spans="3:5">
      <c r="C784" s="14"/>
      <c r="D784" s="50"/>
      <c r="E784" s="50"/>
    </row>
    <row r="785" spans="3:5">
      <c r="C785" s="14"/>
      <c r="D785" s="50"/>
      <c r="E785" s="50"/>
    </row>
    <row r="786" spans="3:5">
      <c r="C786" s="14"/>
      <c r="D786" s="50"/>
      <c r="E786" s="50"/>
    </row>
    <row r="787" spans="3:5">
      <c r="C787" s="14"/>
      <c r="D787" s="50"/>
      <c r="E787" s="50"/>
    </row>
    <row r="788" spans="3:5">
      <c r="C788" s="14"/>
      <c r="D788" s="50"/>
      <c r="E788" s="50"/>
    </row>
    <row r="789" spans="3:5">
      <c r="C789" s="14"/>
      <c r="D789" s="50"/>
      <c r="E789" s="50"/>
    </row>
    <row r="790" spans="3:5">
      <c r="C790" s="14"/>
      <c r="D790" s="50"/>
      <c r="E790" s="50"/>
    </row>
    <row r="791" spans="3:5">
      <c r="C791" s="14"/>
      <c r="D791" s="50"/>
      <c r="E791" s="50"/>
    </row>
    <row r="792" spans="3:5">
      <c r="C792" s="14"/>
      <c r="D792" s="50"/>
      <c r="E792" s="50"/>
    </row>
    <row r="793" spans="3:5">
      <c r="C793" s="14"/>
      <c r="D793" s="50"/>
      <c r="E793" s="50"/>
    </row>
    <row r="794" spans="3:5">
      <c r="C794" s="14"/>
      <c r="D794" s="50"/>
      <c r="E794" s="50"/>
    </row>
    <row r="795" spans="3:5">
      <c r="C795" s="14"/>
      <c r="D795" s="50"/>
      <c r="E795" s="50"/>
    </row>
    <row r="796" spans="3:5">
      <c r="C796" s="14"/>
      <c r="D796" s="50"/>
      <c r="E796" s="50"/>
    </row>
    <row r="797" spans="3:5">
      <c r="C797" s="14"/>
      <c r="D797" s="50"/>
      <c r="E797" s="50"/>
    </row>
    <row r="798" spans="3:5">
      <c r="C798" s="14"/>
      <c r="D798" s="50"/>
      <c r="E798" s="50"/>
    </row>
    <row r="799" spans="3:5">
      <c r="C799" s="14"/>
      <c r="D799" s="50"/>
      <c r="E799" s="50"/>
    </row>
    <row r="800" spans="3:5">
      <c r="C800" s="14"/>
      <c r="D800" s="50"/>
      <c r="E800" s="50"/>
    </row>
    <row r="801" spans="3:5">
      <c r="C801" s="14"/>
      <c r="D801" s="50"/>
      <c r="E801" s="50"/>
    </row>
    <row r="802" spans="3:5">
      <c r="C802" s="14"/>
      <c r="D802" s="50"/>
      <c r="E802" s="50"/>
    </row>
    <row r="803" spans="3:5">
      <c r="C803" s="14"/>
      <c r="D803" s="50"/>
      <c r="E803" s="50"/>
    </row>
    <row r="804" spans="3:5">
      <c r="C804" s="14"/>
      <c r="D804" s="50"/>
      <c r="E804" s="50"/>
    </row>
    <row r="805" spans="3:5">
      <c r="C805" s="14"/>
      <c r="D805" s="50"/>
      <c r="E805" s="50"/>
    </row>
    <row r="806" spans="3:5">
      <c r="C806" s="14"/>
      <c r="D806" s="50"/>
      <c r="E806" s="50"/>
    </row>
    <row r="807" spans="3:5">
      <c r="C807" s="14"/>
      <c r="D807" s="50"/>
      <c r="E807" s="50"/>
    </row>
    <row r="808" spans="3:5">
      <c r="C808" s="14"/>
      <c r="D808" s="50"/>
      <c r="E808" s="50"/>
    </row>
    <row r="809" spans="3:5">
      <c r="C809" s="14"/>
      <c r="D809" s="50"/>
      <c r="E809" s="50"/>
    </row>
    <row r="810" spans="3:5">
      <c r="C810" s="14"/>
      <c r="D810" s="50"/>
      <c r="E810" s="50"/>
    </row>
    <row r="811" spans="3:5">
      <c r="C811" s="14"/>
      <c r="D811" s="50"/>
      <c r="E811" s="50"/>
    </row>
    <row r="812" spans="3:5">
      <c r="C812" s="14"/>
      <c r="D812" s="50"/>
      <c r="E812" s="50"/>
    </row>
    <row r="813" spans="3:5">
      <c r="C813" s="14"/>
      <c r="D813" s="50"/>
      <c r="E813" s="50"/>
    </row>
    <row r="814" spans="3:5">
      <c r="C814" s="14"/>
      <c r="D814" s="50"/>
      <c r="E814" s="50"/>
    </row>
    <row r="815" spans="3:5">
      <c r="C815" s="14"/>
      <c r="D815" s="50"/>
      <c r="E815" s="50"/>
    </row>
    <row r="816" spans="3:5">
      <c r="C816" s="14"/>
      <c r="D816" s="50"/>
      <c r="E816" s="50"/>
    </row>
    <row r="817" spans="3:5">
      <c r="C817" s="14"/>
      <c r="D817" s="50"/>
      <c r="E817" s="50"/>
    </row>
    <row r="818" spans="3:5">
      <c r="C818" s="14"/>
      <c r="D818" s="50"/>
      <c r="E818" s="50"/>
    </row>
    <row r="819" spans="3:5">
      <c r="C819" s="14"/>
      <c r="D819" s="50"/>
      <c r="E819" s="50"/>
    </row>
    <row r="820" spans="3:5">
      <c r="C820" s="14"/>
      <c r="D820" s="50"/>
      <c r="E820" s="50"/>
    </row>
    <row r="821" spans="3:5">
      <c r="C821" s="14"/>
      <c r="D821" s="50"/>
      <c r="E821" s="50"/>
    </row>
    <row r="822" spans="3:5">
      <c r="C822" s="14"/>
      <c r="D822" s="50"/>
      <c r="E822" s="50"/>
    </row>
    <row r="823" spans="3:5">
      <c r="C823" s="14"/>
      <c r="D823" s="50"/>
      <c r="E823" s="50"/>
    </row>
    <row r="824" spans="3:5">
      <c r="C824" s="14"/>
      <c r="D824" s="50"/>
      <c r="E824" s="50"/>
    </row>
    <row r="825" spans="3:5">
      <c r="C825" s="14"/>
      <c r="D825" s="50"/>
      <c r="E825" s="50"/>
    </row>
    <row r="826" spans="3:5">
      <c r="C826" s="14"/>
      <c r="D826" s="50"/>
      <c r="E826" s="50"/>
    </row>
  </sheetData>
  <mergeCells count="6">
    <mergeCell ref="A5:C5"/>
    <mergeCell ref="A6:C6"/>
    <mergeCell ref="Q7:S7"/>
    <mergeCell ref="Q8:S8"/>
    <mergeCell ref="Q33:S33"/>
    <mergeCell ref="R32:S32"/>
  </mergeCells>
  <dataValidations count="1">
    <dataValidation type="list" allowBlank="1" showInputMessage="1" showErrorMessage="1" promptTitle="Select a Period:" prompt="Select Financial or Calendar years." sqref="R32:S32" xr:uid="{00000000-0002-0000-1F00-000000000000}">
      <formula1>A1:A2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sheetPr>
  <dimension ref="A1:AH81"/>
  <sheetViews>
    <sheetView showGridLines="0" workbookViewId="0"/>
  </sheetViews>
  <sheetFormatPr defaultColWidth="9.140625" defaultRowHeight="15"/>
  <cols>
    <col min="1" max="1" width="25.140625" style="300" customWidth="1"/>
    <col min="2" max="2" width="5.28515625" style="300" bestFit="1" customWidth="1"/>
    <col min="3" max="3" width="23.28515625" style="300" bestFit="1" customWidth="1"/>
    <col min="4" max="4" width="15.140625" style="300" bestFit="1" customWidth="1"/>
    <col min="5" max="14" width="15.42578125" style="300" customWidth="1"/>
    <col min="15" max="18" width="9.140625" style="300"/>
    <col min="19" max="19" width="9.140625" style="88"/>
    <col min="20" max="22" width="9.140625" style="912"/>
    <col min="23" max="23" width="17.85546875" style="912" customWidth="1"/>
    <col min="24" max="33" width="9.140625" style="912"/>
    <col min="34" max="34" width="9.140625" style="88"/>
    <col min="35" max="16384" width="9.140625" style="300"/>
  </cols>
  <sheetData>
    <row r="1" spans="1:26">
      <c r="V1" s="912" t="s">
        <v>280</v>
      </c>
      <c r="W1" s="912" t="str">
        <f>"Mineral Sands Exports "&amp;B6&amp;CHAR(10)&amp;"Total Value: $"&amp;TEXT(C21,"#,###")</f>
        <v>Mineral Sands Exports 2023
Total Value: $1,749,940,790</v>
      </c>
      <c r="X1" s="912" t="s">
        <v>240</v>
      </c>
      <c r="Y1" s="912">
        <f>IF($B$5="Calendar Year",MAX('Commodity Prices'!$BB$9:$BB$3488),CONCATENATE(MAX('Commodity Prices'!$BN$9:$BN$3487),"-",VALUE(RIGHT(MAX('Commodity Prices'!$BN$9:$BN$3487),2))+1))</f>
        <v>2023</v>
      </c>
      <c r="Z1" s="912">
        <f t="array" ref="Z1">MIN(IF('Commodity Prices'!$BA$9:$BA$3488=V1,'Commodity Prices'!$BB$9:$BB$3488))</f>
        <v>2008</v>
      </c>
    </row>
    <row r="2" spans="1:26">
      <c r="W2" s="912" t="str">
        <f>IF($B$5=X1,IF(RIGHT(LEFT(B6,5),1)="-","Mismatch Error",""),IF(LEN(B6)=4,"Mismatch Error",""))</f>
        <v/>
      </c>
      <c r="X2" s="912" t="s">
        <v>246</v>
      </c>
      <c r="Y2" s="912">
        <f>IFERROR(IF($B$5=$X$1,IF($Z$1&lt;=(Y1-1),Y1-1,""),IF($Z$1=VALUE(LEFT(Y1,4)),"",CONCATENATE(VALUE(LEFT(Y1,4))-1,"-",RIGHT(LEFT(Y1,4),2)))),"")</f>
        <v>2022</v>
      </c>
    </row>
    <row r="3" spans="1:26">
      <c r="Y3" s="912">
        <f t="shared" ref="Y3:Y25" si="0">IFERROR(IF($B$5=$X$1,IF($Z$1&lt;=(Y2-1),Y2-1,""),IF($Z$1=VALUE(LEFT(Y2,4)),"",CONCATENATE(VALUE(LEFT(Y2,4))-1,"-",RIGHT(LEFT(Y2,4),2)))),"")</f>
        <v>2021</v>
      </c>
    </row>
    <row r="4" spans="1:26" ht="23.25" customHeight="1" thickBot="1">
      <c r="Y4" s="912">
        <f t="shared" si="0"/>
        <v>2020</v>
      </c>
    </row>
    <row r="5" spans="1:26">
      <c r="A5" s="1521" t="s">
        <v>247</v>
      </c>
      <c r="B5" s="2044" t="s">
        <v>240</v>
      </c>
      <c r="C5" s="2044"/>
      <c r="D5" s="2045"/>
      <c r="E5" s="296"/>
      <c r="Y5" s="912">
        <f t="shared" si="0"/>
        <v>2019</v>
      </c>
    </row>
    <row r="6" spans="1:26" ht="15.75" thickBot="1">
      <c r="A6" s="1522" t="s">
        <v>247</v>
      </c>
      <c r="B6" s="2046">
        <v>2023</v>
      </c>
      <c r="C6" s="2046"/>
      <c r="D6" s="2047"/>
      <c r="E6" s="296"/>
      <c r="Y6" s="912">
        <f t="shared" si="0"/>
        <v>2018</v>
      </c>
    </row>
    <row r="7" spans="1:26">
      <c r="Y7" s="912">
        <f t="shared" si="0"/>
        <v>2017</v>
      </c>
    </row>
    <row r="8" spans="1:26" ht="15.75" thickBot="1">
      <c r="A8" s="1948" t="str">
        <f>IF($B$6="Click here to select an option","Select a year above for display.",CONCATENATE("Exports ",B6))</f>
        <v>Exports 2023</v>
      </c>
      <c r="B8" s="1948"/>
      <c r="C8" s="1948"/>
      <c r="D8" s="1948"/>
      <c r="Y8" s="912">
        <f t="shared" si="0"/>
        <v>2016</v>
      </c>
    </row>
    <row r="9" spans="1:26">
      <c r="A9" s="1521" t="s">
        <v>591</v>
      </c>
      <c r="B9" s="1523" t="s">
        <v>31</v>
      </c>
      <c r="C9" s="1524" t="s">
        <v>402</v>
      </c>
      <c r="D9" s="1525" t="s">
        <v>33</v>
      </c>
      <c r="Y9" s="912">
        <f t="shared" si="0"/>
        <v>2015</v>
      </c>
    </row>
    <row r="10" spans="1:26">
      <c r="A10" s="632" t="str">
        <f t="array" ref="A10">IF($W$2="Mismatch Error","Mismatch Error",IF($B$5=$X$1,INDEX('Commodity Prices'!$BA$9:$BF$3498,MATCH(1,(('Commodity Prices'!$BA$9:$BA$3488)="Mineral Sands")*(('Commodity Prices'!$BB$9:$BB$3488)=$B$6)*(('Commodity Prices'!$BD$9:$BD$3488)=B10),0),3),INDEX('Commodity Prices'!$BH$9:$BM$3487,MATCH(1,(('Commodity Prices'!$BH$9:$BH$3487)="Mineral Sands")*(('Commodity Prices'!$BI$9:$BI$3487)=$B$6)*(('Commodity Prices'!$BK$9:$BK$3487)=B10),0),3)))</f>
        <v>China</v>
      </c>
      <c r="B10" s="601">
        <v>1</v>
      </c>
      <c r="C10" s="1785">
        <f t="array" ref="C10">IF($W$2="Mismatch Error","",IF($B$5=$X$1,INDEX('Commodity Prices'!$BA$9:$BF$3498,MATCH(1,(('Commodity Prices'!$BA$9:$BA$3488)="Mineral Sands")*(('Commodity Prices'!$BB$9:$BB$3488)=$B$6)*(('Commodity Prices'!$BD$9:$BD$3488)=B10),0),5),INDEX('Commodity Prices'!$BH$9:$BM$3487,MATCH(1,(('Commodity Prices'!$BH$9:$BH$3487)="Mineral Sands")*(('Commodity Prices'!$BI$9:$BI$3487)=$B$6)*(('Commodity Prices'!$BK$9:$BK$3487)=B10),0),5)))</f>
        <v>695288422.24000013</v>
      </c>
      <c r="D10" s="633">
        <f>IF($W$2="Mismatch Error","",C10/$C$21)</f>
        <v>0.39732111297062289</v>
      </c>
      <c r="Y10" s="912">
        <f t="shared" si="0"/>
        <v>2014</v>
      </c>
    </row>
    <row r="11" spans="1:26">
      <c r="A11" s="526" t="str">
        <f t="array" ref="A11">IF($W$2="Mismatch Error","",IF($B$5=$X$1,INDEX('Commodity Prices'!$BA$9:$BF$3498,MATCH(1,(('Commodity Prices'!$BA$9:$BA$3488)="Mineral Sands")*(('Commodity Prices'!$BB$9:$BB$3488)=$B$6)*(('Commodity Prices'!$BD$9:$BD$3488)=B11),0),3),INDEX('Commodity Prices'!$BH$9:$BM$3487,MATCH(1,(('Commodity Prices'!$BH$9:$BH$3487)="Mineral Sands")*(('Commodity Prices'!$BI$9:$BI$3487)=$B$6)*(('Commodity Prices'!$BK$9:$BK$3487)=B11),0),3)))</f>
        <v>Malaysia</v>
      </c>
      <c r="B11" s="569">
        <v>2</v>
      </c>
      <c r="C11" s="1775">
        <f t="array" ref="C11">IF($W$2="Mismatch Error","",IF($B$5=$X$1,INDEX('Commodity Prices'!$BA$9:$BF$3498,MATCH(1,(('Commodity Prices'!$BA$9:$BA$3488)="Mineral Sands")*(('Commodity Prices'!$BB$9:$BB$3488)=$B$6)*(('Commodity Prices'!$BD$9:$BD$3488)=B11),0),5),INDEX('Commodity Prices'!$BH$9:$BM$3487,MATCH(1,(('Commodity Prices'!$BH$9:$BH$3487)="Mineral Sands")*(('Commodity Prices'!$BI$9:$BI$3487)=$B$6)*(('Commodity Prices'!$BK$9:$BK$3487)=B11),0),5)))</f>
        <v>150260509.50999999</v>
      </c>
      <c r="D11" s="570">
        <f t="shared" ref="D11:D20" si="1">IF($W$2="Mismatch Error","",C11/$C$21)</f>
        <v>8.5866053517339017E-2</v>
      </c>
      <c r="E11" s="302"/>
      <c r="Y11" s="912">
        <f t="shared" si="0"/>
        <v>2013</v>
      </c>
    </row>
    <row r="12" spans="1:26">
      <c r="A12" s="632" t="str">
        <f t="array" ref="A12">IF($W$2="Mismatch Error","",IF($B$5=$X$1,INDEX('Commodity Prices'!$BA$9:$BF$3498,MATCH(1,(('Commodity Prices'!$BA$9:$BA$3488)="Mineral Sands")*(('Commodity Prices'!$BB$9:$BB$3488)=$B$6)*(('Commodity Prices'!$BD$9:$BD$3488)=B12),0),3),INDEX('Commodity Prices'!$BH$9:$BM$3487,MATCH(1,(('Commodity Prices'!$BH$9:$BH$3487)="Mineral Sands")*(('Commodity Prices'!$BI$9:$BI$3487)=$B$6)*(('Commodity Prices'!$BK$9:$BK$3487)=B12),0),3)))</f>
        <v>United States</v>
      </c>
      <c r="B12" s="601">
        <v>3</v>
      </c>
      <c r="C12" s="1785">
        <f t="array" ref="C12">IF($W$2="Mismatch Error","",IF($B$5=$X$1,INDEX('Commodity Prices'!$BA$9:$BF$3498,MATCH(1,(('Commodity Prices'!$BA$9:$BA$3488)="Mineral Sands")*(('Commodity Prices'!$BB$9:$BB$3488)=$B$6)*(('Commodity Prices'!$BD$9:$BD$3488)=B12),0),5),INDEX('Commodity Prices'!$BH$9:$BM$3487,MATCH(1,(('Commodity Prices'!$BH$9:$BH$3487)="Mineral Sands")*(('Commodity Prices'!$BI$9:$BI$3487)=$B$6)*(('Commodity Prices'!$BK$9:$BK$3487)=B12),0),5)))</f>
        <v>122750216.63999999</v>
      </c>
      <c r="D12" s="633">
        <f t="shared" si="1"/>
        <v>7.0145354262716272E-2</v>
      </c>
      <c r="E12" s="302"/>
      <c r="Y12" s="912">
        <f t="shared" si="0"/>
        <v>2012</v>
      </c>
    </row>
    <row r="13" spans="1:26">
      <c r="A13" s="526" t="str">
        <f t="array" ref="A13">IF($W$2="Mismatch Error","",IF($B$5=$X$1,INDEX('Commodity Prices'!$BA$9:$BF$3498,MATCH(1,(('Commodity Prices'!$BA$9:$BA$3488)="Mineral Sands")*(('Commodity Prices'!$BB$9:$BB$3488)=$B$6)*(('Commodity Prices'!$BD$9:$BD$3488)=B13),0),3),INDEX('Commodity Prices'!$BH$9:$BM$3487,MATCH(1,(('Commodity Prices'!$BH$9:$BH$3487)="Mineral Sands")*(('Commodity Prices'!$BI$9:$BI$3487)=$B$6)*(('Commodity Prices'!$BK$9:$BK$3487)=B13),0),3)))</f>
        <v>Mexico</v>
      </c>
      <c r="B13" s="569">
        <v>4</v>
      </c>
      <c r="C13" s="1775">
        <f t="array" ref="C13">IF($W$2="Mismatch Error","",IF($B$5=$X$1,INDEX('Commodity Prices'!$BA$9:$BF$3498,MATCH(1,(('Commodity Prices'!$BA$9:$BA$3488)="Mineral Sands")*(('Commodity Prices'!$BB$9:$BB$3488)=$B$6)*(('Commodity Prices'!$BD$9:$BD$3488)=B13),0),5),INDEX('Commodity Prices'!$BH$9:$BM$3487,MATCH(1,(('Commodity Prices'!$BH$9:$BH$3487)="Mineral Sands")*(('Commodity Prices'!$BI$9:$BI$3487)=$B$6)*(('Commodity Prices'!$BK$9:$BK$3487)=B13),0),5)))</f>
        <v>113175697.00000001</v>
      </c>
      <c r="D13" s="570">
        <f t="shared" si="1"/>
        <v>6.4674015063268545E-2</v>
      </c>
      <c r="E13" s="302"/>
      <c r="Y13" s="912">
        <f t="shared" si="0"/>
        <v>2011</v>
      </c>
    </row>
    <row r="14" spans="1:26">
      <c r="A14" s="632" t="str">
        <f t="array" ref="A14">IF($W$2="Mismatch Error","",IF($B$5=$X$1,INDEX('Commodity Prices'!$BA$9:$BF$3498,MATCH(1,(('Commodity Prices'!$BA$9:$BA$3488)="Mineral Sands")*(('Commodity Prices'!$BB$9:$BB$3488)=$B$6)*(('Commodity Prices'!$BD$9:$BD$3488)=B14),0),3),INDEX('Commodity Prices'!$BH$9:$BM$3487,MATCH(1,(('Commodity Prices'!$BH$9:$BH$3487)="Mineral Sands")*(('Commodity Prices'!$BI$9:$BI$3487)=$B$6)*(('Commodity Prices'!$BK$9:$BK$3487)=B14),0),3)))</f>
        <v>Spain</v>
      </c>
      <c r="B14" s="601">
        <v>5</v>
      </c>
      <c r="C14" s="1785">
        <f t="array" ref="C14">IF($W$2="Mismatch Error","",IF($B$5=$X$1,INDEX('Commodity Prices'!$BA$9:$BF$3498,MATCH(1,(('Commodity Prices'!$BA$9:$BA$3488)="Mineral Sands")*(('Commodity Prices'!$BB$9:$BB$3488)=$B$6)*(('Commodity Prices'!$BD$9:$BD$3488)=B14),0),5),INDEX('Commodity Prices'!$BH$9:$BM$3487,MATCH(1,(('Commodity Prices'!$BH$9:$BH$3487)="Mineral Sands")*(('Commodity Prices'!$BI$9:$BI$3487)=$B$6)*(('Commodity Prices'!$BK$9:$BK$3487)=B14),0),5)))</f>
        <v>98447179.769999996</v>
      </c>
      <c r="D14" s="633">
        <f t="shared" si="1"/>
        <v>5.6257434733371123E-2</v>
      </c>
      <c r="E14" s="302"/>
      <c r="Y14" s="912">
        <f t="shared" si="0"/>
        <v>2010</v>
      </c>
    </row>
    <row r="15" spans="1:26">
      <c r="A15" s="526" t="str">
        <f t="array" ref="A15">IF($W$2="Mismatch Error","",IF($B$5=$X$1,INDEX('Commodity Prices'!$BA$9:$BF$3498,MATCH(1,(('Commodity Prices'!$BA$9:$BA$3488)="Mineral Sands")*(('Commodity Prices'!$BB$9:$BB$3488)=$B$6)*(('Commodity Prices'!$BD$9:$BD$3488)=B15),0),3),INDEX('Commodity Prices'!$BH$9:$BM$3487,MATCH(1,(('Commodity Prices'!$BH$9:$BH$3487)="Mineral Sands")*(('Commodity Prices'!$BI$9:$BI$3487)=$B$6)*(('Commodity Prices'!$BK$9:$BK$3487)=B15),0),3)))</f>
        <v>United Kingdom</v>
      </c>
      <c r="B15" s="569">
        <v>6</v>
      </c>
      <c r="C15" s="1775">
        <f t="array" ref="C15">IF($W$2="Mismatch Error","",IF($B$5=$X$1,INDEX('Commodity Prices'!$BA$9:$BF$3498,MATCH(1,(('Commodity Prices'!$BA$9:$BA$3488)="Mineral Sands")*(('Commodity Prices'!$BB$9:$BB$3488)=$B$6)*(('Commodity Prices'!$BD$9:$BD$3488)=B15),0),5),INDEX('Commodity Prices'!$BH$9:$BM$3487,MATCH(1,(('Commodity Prices'!$BH$9:$BH$3487)="Mineral Sands")*(('Commodity Prices'!$BI$9:$BI$3487)=$B$6)*(('Commodity Prices'!$BK$9:$BK$3487)=B15),0),5)))</f>
        <v>95542571.940000013</v>
      </c>
      <c r="D15" s="570">
        <f t="shared" si="1"/>
        <v>5.4597602671101544E-2</v>
      </c>
      <c r="Y15" s="912">
        <f t="shared" si="0"/>
        <v>2009</v>
      </c>
    </row>
    <row r="16" spans="1:26">
      <c r="A16" s="632" t="str">
        <f t="array" ref="A16">IF($W$2="Mismatch Error","",IF($B$5=$X$1,INDEX('Commodity Prices'!$BA$9:$BF$3498,MATCH(1,(('Commodity Prices'!$BA$9:$BA$3488)="Mineral Sands")*(('Commodity Prices'!$BB$9:$BB$3488)=$B$6)*(('Commodity Prices'!$BD$9:$BD$3488)=B16),0),3),INDEX('Commodity Prices'!$BH$9:$BM$3487,MATCH(1,(('Commodity Prices'!$BH$9:$BH$3487)="Mineral Sands")*(('Commodity Prices'!$BI$9:$BI$3487)=$B$6)*(('Commodity Prices'!$BK$9:$BK$3487)=B16),0),3)))</f>
        <v>Belgium</v>
      </c>
      <c r="B16" s="601">
        <v>7</v>
      </c>
      <c r="C16" s="1785">
        <f t="array" ref="C16">IF($W$2="Mismatch Error","",IF($B$5=$X$1,INDEX('Commodity Prices'!$BA$9:$BF$3498,MATCH(1,(('Commodity Prices'!$BA$9:$BA$3488)="Mineral Sands")*(('Commodity Prices'!$BB$9:$BB$3488)=$B$6)*(('Commodity Prices'!$BD$9:$BD$3488)=B16),0),5),INDEX('Commodity Prices'!$BH$9:$BM$3487,MATCH(1,(('Commodity Prices'!$BH$9:$BH$3487)="Mineral Sands")*(('Commodity Prices'!$BI$9:$BI$3487)=$B$6)*(('Commodity Prices'!$BK$9:$BK$3487)=B16),0),5)))</f>
        <v>91623482.680000007</v>
      </c>
      <c r="D16" s="633">
        <f t="shared" si="1"/>
        <v>5.2358047319959911E-2</v>
      </c>
      <c r="Y16" s="912">
        <f t="shared" si="0"/>
        <v>2008</v>
      </c>
    </row>
    <row r="17" spans="1:25">
      <c r="A17" s="526" t="str">
        <f t="array" ref="A17">IF($W$2="Mismatch Error","",IF($B$5=$X$1,INDEX('Commodity Prices'!$BA$9:$BF$3498,MATCH(1,(('Commodity Prices'!$BA$9:$BA$3488)="Mineral Sands")*(('Commodity Prices'!$BB$9:$BB$3488)=$B$6)*(('Commodity Prices'!$BD$9:$BD$3488)=B17),0),3),INDEX('Commodity Prices'!$BH$9:$BM$3487,MATCH(1,(('Commodity Prices'!$BH$9:$BH$3487)="Mineral Sands")*(('Commodity Prices'!$BI$9:$BI$3487)=$B$6)*(('Commodity Prices'!$BK$9:$BK$3487)=B17),0),3)))</f>
        <v>Taiwan, Province Of China</v>
      </c>
      <c r="B17" s="569">
        <v>8</v>
      </c>
      <c r="C17" s="1775">
        <f t="array" ref="C17">IF($W$2="Mismatch Error","",IF($B$5=$X$1,INDEX('Commodity Prices'!$BA$9:$BF$3498,MATCH(1,(('Commodity Prices'!$BA$9:$BA$3488)="Mineral Sands")*(('Commodity Prices'!$BB$9:$BB$3488)=$B$6)*(('Commodity Prices'!$BD$9:$BD$3488)=B17),0),5),INDEX('Commodity Prices'!$BH$9:$BM$3487,MATCH(1,(('Commodity Prices'!$BH$9:$BH$3487)="Mineral Sands")*(('Commodity Prices'!$BI$9:$BI$3487)=$B$6)*(('Commodity Prices'!$BK$9:$BK$3487)=B17),0),5)))</f>
        <v>84136649.699999988</v>
      </c>
      <c r="D17" s="570">
        <f t="shared" si="1"/>
        <v>4.8079712290799922E-2</v>
      </c>
      <c r="Y17" s="912" t="str">
        <f t="shared" si="0"/>
        <v/>
      </c>
    </row>
    <row r="18" spans="1:25">
      <c r="A18" s="632" t="str">
        <f t="array" ref="A18">IF($W$2="Mismatch Error","",IF($B$5=$X$1,INDEX('Commodity Prices'!$BA$9:$BF$3498,MATCH(1,(('Commodity Prices'!$BA$9:$BA$3488)="Mineral Sands")*(('Commodity Prices'!$BB$9:$BB$3488)=$B$6)*(('Commodity Prices'!$BD$9:$BD$3488)=B18),0),3),INDEX('Commodity Prices'!$BH$9:$BM$3487,MATCH(1,(('Commodity Prices'!$BH$9:$BH$3487)="Mineral Sands")*(('Commodity Prices'!$BI$9:$BI$3487)=$B$6)*(('Commodity Prices'!$BK$9:$BK$3487)=B18),0),3)))</f>
        <v>Netherlands</v>
      </c>
      <c r="B18" s="601">
        <v>9</v>
      </c>
      <c r="C18" s="1785">
        <f t="array" ref="C18">IF($W$2="Mismatch Error","",IF($B$5=$X$1,INDEX('Commodity Prices'!$BA$9:$BF$3498,MATCH(1,(('Commodity Prices'!$BA$9:$BA$3488)="Mineral Sands")*(('Commodity Prices'!$BB$9:$BB$3488)=$B$6)*(('Commodity Prices'!$BD$9:$BD$3488)=B18),0),5),INDEX('Commodity Prices'!$BH$9:$BM$3487,MATCH(1,(('Commodity Prices'!$BH$9:$BH$3487)="Mineral Sands")*(('Commodity Prices'!$BI$9:$BI$3487)=$B$6)*(('Commodity Prices'!$BK$9:$BK$3487)=B18),0),5)))</f>
        <v>74011819.090000018</v>
      </c>
      <c r="D18" s="633">
        <f t="shared" si="1"/>
        <v>4.2293899039884571E-2</v>
      </c>
      <c r="Y18" s="912" t="str">
        <f t="shared" si="0"/>
        <v/>
      </c>
    </row>
    <row r="19" spans="1:25">
      <c r="A19" s="526" t="str">
        <f t="array" ref="A19">IF($W$2="Mismatch Error","",IF($B$5=$X$1,INDEX('Commodity Prices'!$BA$9:$BF$3498,MATCH(1,(('Commodity Prices'!$BA$9:$BA$3488)="Mineral Sands")*(('Commodity Prices'!$BB$9:$BB$3488)=$B$6)*(('Commodity Prices'!$BD$9:$BD$3488)=B19),0),3),INDEX('Commodity Prices'!$BH$9:$BM$3487,MATCH(1,(('Commodity Prices'!$BH$9:$BH$3487)="Mineral Sands")*(('Commodity Prices'!$BI$9:$BI$3487)=$B$6)*(('Commodity Prices'!$BK$9:$BK$3487)=B19),0),3)))</f>
        <v>Saudi Arabia</v>
      </c>
      <c r="B19" s="569">
        <v>10</v>
      </c>
      <c r="C19" s="1775">
        <f t="array" ref="C19">IF($W$2="Mismatch Error","",IF($B$5=$X$1,INDEX('Commodity Prices'!$BA$9:$BF$3498,MATCH(1,(('Commodity Prices'!$BA$9:$BA$3488)="Mineral Sands")*(('Commodity Prices'!$BB$9:$BB$3488)=$B$6)*(('Commodity Prices'!$BD$9:$BD$3488)=B19),0),5),INDEX('Commodity Prices'!$BH$9:$BM$3487,MATCH(1,(('Commodity Prices'!$BH$9:$BH$3487)="Mineral Sands")*(('Commodity Prices'!$BI$9:$BI$3487)=$B$6)*(('Commodity Prices'!$BK$9:$BK$3487)=B19),0),5)))</f>
        <v>73552774.230000004</v>
      </c>
      <c r="D19" s="570">
        <f t="shared" si="1"/>
        <v>4.2031578815867249E-2</v>
      </c>
      <c r="Y19" s="912" t="str">
        <f t="shared" si="0"/>
        <v/>
      </c>
    </row>
    <row r="20" spans="1:25">
      <c r="A20" s="632" t="str">
        <f>IF($W$2="Mismatch Error","","Other")</f>
        <v>Other</v>
      </c>
      <c r="B20" s="601"/>
      <c r="C20" s="1785">
        <f>IF($W$2="Mismatch Error","",IF($B$5=$X$1,SUMIFS('Commodity Prices'!$BE$9:$BE$3488,'Commodity Prices'!$BA$9:$BA$3488,"Mineral Sands",'Commodity Prices'!$BB$9:$BB$3488,$B$6,'Commodity Prices'!$BC$9:$BC$3488,"TOTAL")-SUM($C$10:$C$19),SUMIFS('Commodity Prices'!$BL$9:$BL$3487,'Commodity Prices'!$BH$9:$BH$3487,"Mineral Sands",'Commodity Prices'!$BI$9:$BI$3487,$B$6,'Commodity Prices'!$BJ$9:$BJ$3487,"TOTAL")-SUM($C$10:$C$19)))</f>
        <v>151151467.00999999</v>
      </c>
      <c r="D20" s="633">
        <f t="shared" si="1"/>
        <v>8.637518931506892E-2</v>
      </c>
      <c r="Y20" s="912" t="str">
        <f t="shared" si="0"/>
        <v/>
      </c>
    </row>
    <row r="21" spans="1:25" ht="15.75" thickBot="1">
      <c r="A21" s="1422" t="str">
        <f>IF($W$2="Mismatch Error","","Grand Total")</f>
        <v>Grand Total</v>
      </c>
      <c r="B21" s="1423"/>
      <c r="C21" s="1781">
        <f>IF($W$2="Mismatch Error","",IF($B$5=$X$1,SUMIFS('Commodity Prices'!$BE$9:$BE$3488,'Commodity Prices'!$BA$9:$BA$3488,"Mineral Sands",'Commodity Prices'!$BB$9:$BB$3488,$B$6,'Commodity Prices'!$BC$9:$BC$3488,"TOTAL"),SUMIFS('Commodity Prices'!$BL$9:$BL$3487,'Commodity Prices'!$BH$9:$BH$3487,"Mineral Sands",'Commodity Prices'!$BI$9:$BI$3487,$B$6,'Commodity Prices'!$BJ$9:$BJ$3487,"TOTAL")))</f>
        <v>1749940789.8100002</v>
      </c>
      <c r="D21" s="1424"/>
      <c r="E21" s="95"/>
      <c r="Y21" s="912" t="str">
        <f t="shared" si="0"/>
        <v/>
      </c>
    </row>
    <row r="22" spans="1:25">
      <c r="Y22" s="912" t="str">
        <f t="shared" si="0"/>
        <v/>
      </c>
    </row>
    <row r="23" spans="1:25">
      <c r="A23" s="1762" t="str">
        <f>IF(A10="Mismatch Error","You have selected an incompatible year or year type. Change one or the other to display data.","")</f>
        <v/>
      </c>
      <c r="B23" s="1762"/>
      <c r="C23" s="1762"/>
      <c r="D23" s="1762"/>
      <c r="Y23" s="912" t="str">
        <f t="shared" si="0"/>
        <v/>
      </c>
    </row>
    <row r="24" spans="1:25">
      <c r="A24" s="1762"/>
      <c r="B24" s="1762"/>
      <c r="C24" s="1762"/>
      <c r="D24" s="1762"/>
      <c r="Y24" s="912" t="str">
        <f t="shared" si="0"/>
        <v/>
      </c>
    </row>
    <row r="25" spans="1:25" ht="15" customHeight="1">
      <c r="A25" s="1762"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2"/>
      <c r="C25" s="1762"/>
      <c r="D25" s="1762"/>
      <c r="Y25" s="912" t="str">
        <f t="shared" si="0"/>
        <v/>
      </c>
    </row>
    <row r="26" spans="1:25">
      <c r="A26" s="1762"/>
      <c r="B26" s="1762"/>
      <c r="C26" s="1762"/>
      <c r="D26" s="1762"/>
    </row>
    <row r="27" spans="1:25">
      <c r="A27" s="1762"/>
      <c r="B27" s="1762"/>
      <c r="C27" s="1762"/>
      <c r="D27" s="1762"/>
    </row>
    <row r="28" spans="1:25">
      <c r="A28" s="1762"/>
      <c r="B28" s="1762"/>
      <c r="C28" s="1762"/>
      <c r="D28" s="1762"/>
    </row>
    <row r="32" spans="1:25">
      <c r="E32" s="301"/>
    </row>
    <row r="33" spans="5:5">
      <c r="E33" s="301"/>
    </row>
    <row r="34" spans="5:5">
      <c r="E34" s="301"/>
    </row>
    <row r="35" spans="5:5">
      <c r="E35" s="301"/>
    </row>
    <row r="36" spans="5:5">
      <c r="E36" s="301"/>
    </row>
    <row r="37" spans="5:5">
      <c r="E37" s="301"/>
    </row>
    <row r="38" spans="5:5">
      <c r="E38" s="301"/>
    </row>
    <row r="39" spans="5:5">
      <c r="E39" s="301"/>
    </row>
    <row r="40" spans="5:5">
      <c r="E40" s="301"/>
    </row>
    <row r="41" spans="5:5">
      <c r="E41" s="301"/>
    </row>
    <row r="42" spans="5:5">
      <c r="E42" s="301"/>
    </row>
    <row r="43" spans="5:5">
      <c r="E43" s="301"/>
    </row>
    <row r="44" spans="5:5">
      <c r="E44" s="301"/>
    </row>
    <row r="45" spans="5:5">
      <c r="E45" s="301"/>
    </row>
    <row r="46" spans="5:5">
      <c r="E46" s="301"/>
    </row>
    <row r="47" spans="5:5">
      <c r="E47" s="301"/>
    </row>
    <row r="48" spans="5:5">
      <c r="E48" s="301"/>
    </row>
    <row r="49" spans="5:5">
      <c r="E49" s="301"/>
    </row>
    <row r="50" spans="5:5">
      <c r="E50" s="301"/>
    </row>
    <row r="51" spans="5:5">
      <c r="E51" s="301"/>
    </row>
    <row r="52" spans="5:5">
      <c r="E52" s="301"/>
    </row>
    <row r="53" spans="5:5">
      <c r="E53" s="301"/>
    </row>
    <row r="54" spans="5:5">
      <c r="E54" s="301"/>
    </row>
    <row r="55" spans="5:5">
      <c r="E55" s="301"/>
    </row>
    <row r="56" spans="5:5">
      <c r="E56" s="301"/>
    </row>
    <row r="57" spans="5:5">
      <c r="E57" s="301"/>
    </row>
    <row r="58" spans="5:5">
      <c r="E58" s="301"/>
    </row>
    <row r="59" spans="5:5">
      <c r="E59" s="301"/>
    </row>
    <row r="60" spans="5:5">
      <c r="E60" s="301"/>
    </row>
    <row r="61" spans="5:5">
      <c r="E61" s="301"/>
    </row>
    <row r="62" spans="5:5">
      <c r="E62" s="301"/>
    </row>
    <row r="63" spans="5:5">
      <c r="E63" s="301"/>
    </row>
    <row r="64" spans="5:5">
      <c r="E64" s="301"/>
    </row>
    <row r="67" spans="5:5">
      <c r="E67" s="301"/>
    </row>
    <row r="68" spans="5:5">
      <c r="E68" s="301"/>
    </row>
    <row r="69" spans="5:5">
      <c r="E69" s="301"/>
    </row>
    <row r="70" spans="5:5">
      <c r="E70" s="301"/>
    </row>
    <row r="71" spans="5:5">
      <c r="E71" s="301"/>
    </row>
    <row r="72" spans="5:5">
      <c r="E72" s="301"/>
    </row>
    <row r="73" spans="5:5">
      <c r="E73" s="301"/>
    </row>
    <row r="74" spans="5:5">
      <c r="E74" s="301"/>
    </row>
    <row r="75" spans="5:5">
      <c r="E75" s="301"/>
    </row>
    <row r="76" spans="5:5">
      <c r="E76" s="301"/>
    </row>
    <row r="77" spans="5:5">
      <c r="E77" s="301"/>
    </row>
    <row r="78" spans="5:5">
      <c r="E78" s="301"/>
    </row>
    <row r="79" spans="5:5">
      <c r="E79" s="301"/>
    </row>
    <row r="80" spans="5:5">
      <c r="E80" s="301"/>
    </row>
    <row r="81" spans="5:5">
      <c r="E81" s="301"/>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00000000-0002-0000-2000-000000000000}"/>
    <dataValidation type="list" allowBlank="1" showInputMessage="1" showErrorMessage="1" promptTitle="Select a Display Factor:" prompt="Clicking here will bring up a message describing the selections you can make." sqref="B5:D5" xr:uid="{00000000-0002-0000-2000-000001000000}">
      <formula1>$X$1:$X$2</formula1>
    </dataValidation>
    <dataValidation type="list" allowBlank="1" showInputMessage="1" showErrorMessage="1" promptTitle="Select a Display Factor:" prompt="Clicking here will bring up a message describing the selections you can make." sqref="B6:D6" xr:uid="{00000000-0002-0000-2000-000002000000}">
      <formula1>$Y$1:$Y$25</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7" tint="0.39997558519241921"/>
  </sheetPr>
  <dimension ref="A2:U123"/>
  <sheetViews>
    <sheetView showGridLines="0" workbookViewId="0"/>
  </sheetViews>
  <sheetFormatPr defaultColWidth="9.140625" defaultRowHeight="15"/>
  <cols>
    <col min="1" max="1" width="7.28515625" style="17" customWidth="1"/>
    <col min="2" max="2" width="24.5703125" style="17" bestFit="1" customWidth="1"/>
    <col min="3" max="3" width="29.42578125" style="17" customWidth="1"/>
    <col min="4" max="4" width="9.140625" style="17"/>
    <col min="5" max="5" width="7.140625" style="17" customWidth="1"/>
    <col min="6" max="7" width="24.28515625" style="17" customWidth="1"/>
    <col min="8" max="16" width="9.140625" style="17"/>
    <col min="17" max="17" width="20.140625" style="17" bestFit="1" customWidth="1"/>
    <col min="18" max="18" width="18.5703125" style="17" bestFit="1" customWidth="1"/>
    <col min="19" max="19" width="10.85546875" style="17" customWidth="1"/>
    <col min="20" max="21" width="23.5703125" style="17" customWidth="1"/>
    <col min="22" max="16384" width="9.140625" style="17"/>
  </cols>
  <sheetData>
    <row r="2" spans="1:20">
      <c r="E2" s="383"/>
      <c r="F2" s="349"/>
    </row>
    <row r="4" spans="1:20" ht="18.75" customHeight="1"/>
    <row r="5" spans="1:20" ht="15.75" thickBot="1">
      <c r="A5" s="2048" t="s">
        <v>498</v>
      </c>
      <c r="B5" s="2048"/>
      <c r="C5" s="2048"/>
      <c r="P5" s="1948" t="s">
        <v>498</v>
      </c>
      <c r="Q5" s="1948"/>
      <c r="R5" s="1948"/>
    </row>
    <row r="6" spans="1:20" ht="15.75" thickBot="1">
      <c r="A6" s="1275" t="s">
        <v>34</v>
      </c>
      <c r="B6" s="1276" t="s">
        <v>383</v>
      </c>
      <c r="C6" s="1277" t="s">
        <v>384</v>
      </c>
      <c r="P6" s="1973" t="s">
        <v>411</v>
      </c>
      <c r="Q6" s="1973"/>
      <c r="R6" s="1973"/>
    </row>
    <row r="7" spans="1:20">
      <c r="A7" s="770">
        <v>1957</v>
      </c>
      <c r="B7" s="484">
        <v>492</v>
      </c>
      <c r="C7" s="483">
        <v>21903008</v>
      </c>
      <c r="P7" s="784" t="s">
        <v>34</v>
      </c>
      <c r="Q7" s="1239" t="str">
        <f>B6</f>
        <v>Western Australia ($)</v>
      </c>
      <c r="R7" s="1240" t="str">
        <f>C6</f>
        <v>Rest of Australia ($)</v>
      </c>
      <c r="T7" s="278"/>
    </row>
    <row r="8" spans="1:20">
      <c r="A8" s="770">
        <v>1958</v>
      </c>
      <c r="B8" s="588">
        <v>2156</v>
      </c>
      <c r="C8" s="589">
        <v>12426344</v>
      </c>
      <c r="P8" s="605">
        <f>LARGE(A$15:A$94,10)</f>
        <v>2014</v>
      </c>
      <c r="Q8" s="597">
        <f t="shared" ref="Q8:Q17" si="0">SUMIF($A$15:$A$100,$P8,B$15:B$100)</f>
        <v>406758672.86666662</v>
      </c>
      <c r="R8" s="594">
        <f>IF(SUMIF($A$15:$A$100,$P8,C$15:C$100)=0,NA(),SUMIF($A$15:$A$100,$P8,C$15:C$100))</f>
        <v>1243000000</v>
      </c>
      <c r="S8" s="278"/>
      <c r="T8" s="278"/>
    </row>
    <row r="9" spans="1:20">
      <c r="A9" s="770">
        <v>1959</v>
      </c>
      <c r="B9" s="484">
        <v>133392</v>
      </c>
      <c r="C9" s="483">
        <v>10460008</v>
      </c>
      <c r="P9" s="605">
        <f>LARGE(A$15:A$94,9)</f>
        <v>2015</v>
      </c>
      <c r="Q9" s="556">
        <f t="shared" si="0"/>
        <v>586396092.36441696</v>
      </c>
      <c r="R9" s="546" t="s">
        <v>165</v>
      </c>
      <c r="S9" s="278"/>
      <c r="T9" s="278"/>
    </row>
    <row r="10" spans="1:20">
      <c r="A10" s="770">
        <v>1960</v>
      </c>
      <c r="B10" s="588">
        <v>345568</v>
      </c>
      <c r="C10" s="589">
        <v>10861632.000000002</v>
      </c>
      <c r="P10" s="605">
        <f>LARGE(A$15:A$94,8)</f>
        <v>2016</v>
      </c>
      <c r="Q10" s="597">
        <f t="shared" si="0"/>
        <v>612464028.01084816</v>
      </c>
      <c r="R10" s="594" t="s">
        <v>165</v>
      </c>
      <c r="S10" s="278"/>
      <c r="T10" s="278"/>
    </row>
    <row r="11" spans="1:20">
      <c r="A11" s="770">
        <v>1961</v>
      </c>
      <c r="B11" s="484">
        <v>588303</v>
      </c>
      <c r="C11" s="483">
        <v>10857057</v>
      </c>
      <c r="P11" s="605">
        <f>LARGE(A$15:A$94,7)</f>
        <v>2017</v>
      </c>
      <c r="Q11" s="556">
        <f t="shared" si="0"/>
        <v>515141739.81765258</v>
      </c>
      <c r="R11" s="546" t="s">
        <v>165</v>
      </c>
      <c r="S11" s="278"/>
      <c r="T11" s="278"/>
    </row>
    <row r="12" spans="1:20">
      <c r="A12" s="770">
        <v>1962</v>
      </c>
      <c r="B12" s="588">
        <v>874763.00000000012</v>
      </c>
      <c r="C12" s="589">
        <v>11597336.999999998</v>
      </c>
      <c r="P12" s="605">
        <f>LARGE(A$15:A$94,6)</f>
        <v>2018</v>
      </c>
      <c r="Q12" s="597">
        <f t="shared" si="0"/>
        <v>628845529.39685094</v>
      </c>
      <c r="R12" s="594" t="s">
        <v>165</v>
      </c>
      <c r="S12" s="278"/>
      <c r="T12" s="278"/>
    </row>
    <row r="13" spans="1:20">
      <c r="A13" s="770">
        <v>1963</v>
      </c>
      <c r="B13" s="484">
        <v>1308304.0999999999</v>
      </c>
      <c r="C13" s="483">
        <v>17902415.899999999</v>
      </c>
      <c r="P13" s="605">
        <f>LARGE(A$15:A$94,5)</f>
        <v>2019</v>
      </c>
      <c r="Q13" s="556">
        <f t="shared" si="0"/>
        <v>761705420.10130382</v>
      </c>
      <c r="R13" s="636" t="s">
        <v>165</v>
      </c>
      <c r="S13" s="278"/>
      <c r="T13" s="278"/>
    </row>
    <row r="14" spans="1:20">
      <c r="A14" s="770">
        <v>1964</v>
      </c>
      <c r="B14" s="588">
        <v>1604629.3</v>
      </c>
      <c r="C14" s="589">
        <v>19308340.699999999</v>
      </c>
      <c r="P14" s="605">
        <f>LARGE(A$15:A$94,4)</f>
        <v>2020</v>
      </c>
      <c r="Q14" s="597">
        <f t="shared" si="0"/>
        <v>886204925.66042292</v>
      </c>
      <c r="R14" s="637" t="s">
        <v>165</v>
      </c>
      <c r="S14" s="278"/>
      <c r="T14" s="278"/>
    </row>
    <row r="15" spans="1:20">
      <c r="A15" s="770">
        <v>1965</v>
      </c>
      <c r="B15" s="534">
        <v>2692152.5</v>
      </c>
      <c r="C15" s="533">
        <v>24680057.500000004</v>
      </c>
      <c r="P15" s="605">
        <f>LARGE(A$15:A$94,3)</f>
        <v>2021</v>
      </c>
      <c r="Q15" s="556">
        <f t="shared" si="0"/>
        <v>1173586609.33619</v>
      </c>
      <c r="R15" s="636" t="s">
        <v>165</v>
      </c>
      <c r="S15" s="278"/>
      <c r="T15" s="278"/>
    </row>
    <row r="16" spans="1:20">
      <c r="A16" s="770">
        <v>1966</v>
      </c>
      <c r="B16" s="588">
        <v>2894269.1</v>
      </c>
      <c r="C16" s="589">
        <v>31947030.899999995</v>
      </c>
      <c r="P16" s="605">
        <f>LARGE(A$15:A$94,2)</f>
        <v>2022</v>
      </c>
      <c r="Q16" s="597">
        <f t="shared" si="0"/>
        <v>1343708435.3974125</v>
      </c>
      <c r="R16" s="637" t="s">
        <v>165</v>
      </c>
      <c r="S16" s="278"/>
      <c r="T16" s="278"/>
    </row>
    <row r="17" spans="1:20" ht="15.75" thickBot="1">
      <c r="A17" s="770">
        <v>1967</v>
      </c>
      <c r="B17" s="484">
        <v>4325525.2</v>
      </c>
      <c r="C17" s="483">
        <v>34500594.800000004</v>
      </c>
      <c r="P17" s="606">
        <f>LARGE(A$15:A$94,1)</f>
        <v>2023</v>
      </c>
      <c r="Q17" s="559">
        <f t="shared" si="0"/>
        <v>1281581926.7613544</v>
      </c>
      <c r="R17" s="638" t="s">
        <v>165</v>
      </c>
      <c r="S17" s="278"/>
      <c r="T17" s="278"/>
    </row>
    <row r="18" spans="1:20">
      <c r="A18" s="770">
        <v>1968</v>
      </c>
      <c r="B18" s="588">
        <v>4214603</v>
      </c>
      <c r="C18" s="589">
        <v>36073557</v>
      </c>
      <c r="S18" s="278"/>
      <c r="T18" s="278"/>
    </row>
    <row r="19" spans="1:20">
      <c r="A19" s="770">
        <v>1969</v>
      </c>
      <c r="B19" s="484">
        <v>9211062.3000000007</v>
      </c>
      <c r="C19" s="483">
        <v>40674638.699999996</v>
      </c>
      <c r="S19" s="278"/>
      <c r="T19" s="278"/>
    </row>
    <row r="20" spans="1:20">
      <c r="A20" s="770">
        <v>1970</v>
      </c>
      <c r="B20" s="588">
        <v>10271270.6</v>
      </c>
      <c r="C20" s="589">
        <v>48209466.400000006</v>
      </c>
      <c r="S20" s="278"/>
      <c r="T20" s="278"/>
    </row>
    <row r="21" spans="1:20">
      <c r="A21" s="770">
        <v>1971</v>
      </c>
      <c r="B21" s="484">
        <v>10462659</v>
      </c>
      <c r="C21" s="483">
        <v>55277821</v>
      </c>
      <c r="S21" s="278"/>
      <c r="T21" s="278"/>
    </row>
    <row r="22" spans="1:20">
      <c r="A22" s="770">
        <v>1972</v>
      </c>
      <c r="B22" s="588">
        <v>10468339.700000001</v>
      </c>
      <c r="C22" s="589">
        <v>47525519.299999982</v>
      </c>
      <c r="S22" s="278"/>
      <c r="T22" s="278"/>
    </row>
    <row r="23" spans="1:20">
      <c r="A23" s="770">
        <v>1973</v>
      </c>
      <c r="B23" s="484">
        <v>11077312.899999999</v>
      </c>
      <c r="C23" s="483">
        <v>52602239.100000001</v>
      </c>
      <c r="S23" s="278"/>
      <c r="T23" s="278"/>
    </row>
    <row r="24" spans="1:20">
      <c r="A24" s="770">
        <v>1974</v>
      </c>
      <c r="B24" s="588">
        <v>16463287.700000001</v>
      </c>
      <c r="C24" s="589">
        <v>70380853.299999982</v>
      </c>
      <c r="S24" s="278"/>
      <c r="T24" s="278"/>
    </row>
    <row r="25" spans="1:20">
      <c r="A25" s="770">
        <v>1975</v>
      </c>
      <c r="B25" s="484">
        <v>34526710.899999999</v>
      </c>
      <c r="C25" s="483">
        <v>125495545.09999999</v>
      </c>
      <c r="S25" s="278"/>
      <c r="T25" s="278"/>
    </row>
    <row r="26" spans="1:20">
      <c r="A26" s="770">
        <v>1976</v>
      </c>
      <c r="B26" s="588">
        <v>39788065</v>
      </c>
      <c r="C26" s="589">
        <v>125917837</v>
      </c>
      <c r="S26" s="278"/>
      <c r="T26" s="278"/>
    </row>
    <row r="27" spans="1:20">
      <c r="A27" s="770">
        <v>1977</v>
      </c>
      <c r="B27" s="484">
        <v>54309956.400000006</v>
      </c>
      <c r="C27" s="483">
        <v>82043274.600000009</v>
      </c>
      <c r="S27" s="278"/>
      <c r="T27" s="278"/>
    </row>
    <row r="28" spans="1:20">
      <c r="A28" s="770">
        <v>1978</v>
      </c>
      <c r="B28" s="588">
        <v>58998055.100000001</v>
      </c>
      <c r="C28" s="589">
        <v>48427636.899999991</v>
      </c>
      <c r="S28" s="278"/>
      <c r="T28" s="278"/>
    </row>
    <row r="29" spans="1:20">
      <c r="A29" s="770">
        <v>1979</v>
      </c>
      <c r="B29" s="484">
        <v>69875106.199999988</v>
      </c>
      <c r="C29" s="483">
        <v>53505783.800000004</v>
      </c>
      <c r="S29" s="278"/>
      <c r="T29" s="278"/>
    </row>
    <row r="30" spans="1:20">
      <c r="A30" s="770">
        <v>1980</v>
      </c>
      <c r="B30" s="588">
        <v>79036531</v>
      </c>
      <c r="C30" s="589">
        <v>80616028</v>
      </c>
      <c r="S30" s="278"/>
      <c r="T30" s="278"/>
    </row>
    <row r="31" spans="1:20">
      <c r="A31" s="770">
        <v>1981</v>
      </c>
      <c r="B31" s="484">
        <v>88623282.399999991</v>
      </c>
      <c r="C31" s="483">
        <v>60094861.599999972</v>
      </c>
      <c r="S31" s="278"/>
      <c r="T31" s="278"/>
    </row>
    <row r="32" spans="1:20">
      <c r="A32" s="770">
        <v>1982</v>
      </c>
      <c r="B32" s="588">
        <v>93353064.400000006</v>
      </c>
      <c r="C32" s="589">
        <v>50807023.599999987</v>
      </c>
      <c r="S32" s="278"/>
      <c r="T32" s="278"/>
    </row>
    <row r="33" spans="1:20">
      <c r="A33" s="770">
        <v>1983</v>
      </c>
      <c r="B33" s="484">
        <v>77817286.499999985</v>
      </c>
      <c r="C33" s="483">
        <v>39991133.5</v>
      </c>
      <c r="S33" s="278"/>
      <c r="T33" s="278"/>
    </row>
    <row r="34" spans="1:20">
      <c r="A34" s="770">
        <v>1984</v>
      </c>
      <c r="B34" s="588">
        <v>114568998.5</v>
      </c>
      <c r="C34" s="589">
        <v>53791583.500000022</v>
      </c>
      <c r="S34" s="278"/>
      <c r="T34" s="278"/>
    </row>
    <row r="35" spans="1:20">
      <c r="A35" s="770">
        <v>1985</v>
      </c>
      <c r="B35" s="484">
        <v>134961831.40000001</v>
      </c>
      <c r="C35" s="483">
        <v>86350293.600000009</v>
      </c>
      <c r="S35" s="278"/>
      <c r="T35" s="278"/>
    </row>
    <row r="36" spans="1:20">
      <c r="A36" s="770">
        <v>1986</v>
      </c>
      <c r="B36" s="588">
        <v>160577471.40000001</v>
      </c>
      <c r="C36" s="589">
        <v>94356085.599999994</v>
      </c>
      <c r="S36" s="278"/>
      <c r="T36" s="278"/>
    </row>
    <row r="37" spans="1:20">
      <c r="A37" s="770">
        <v>1987</v>
      </c>
      <c r="B37" s="484">
        <v>240223386.29999998</v>
      </c>
      <c r="C37" s="483">
        <v>144404564.70000002</v>
      </c>
      <c r="S37" s="278"/>
      <c r="T37" s="278"/>
    </row>
    <row r="38" spans="1:20">
      <c r="A38" s="770">
        <v>1988</v>
      </c>
      <c r="B38" s="588">
        <v>348835148.60000002</v>
      </c>
      <c r="C38" s="589">
        <v>174675127.39999995</v>
      </c>
      <c r="S38" s="278"/>
      <c r="T38" s="278"/>
    </row>
    <row r="39" spans="1:20">
      <c r="A39" s="770">
        <v>1989</v>
      </c>
      <c r="B39" s="484">
        <v>428312699</v>
      </c>
      <c r="C39" s="483">
        <v>321476520.99999994</v>
      </c>
      <c r="S39" s="278"/>
      <c r="T39" s="278"/>
    </row>
    <row r="40" spans="1:20">
      <c r="A40" s="770">
        <v>1990</v>
      </c>
      <c r="B40" s="588">
        <v>447623340.9000001</v>
      </c>
      <c r="C40" s="589">
        <v>294352387.0999999</v>
      </c>
      <c r="S40" s="278"/>
      <c r="T40" s="278"/>
    </row>
    <row r="41" spans="1:20">
      <c r="A41" s="770">
        <v>1991</v>
      </c>
      <c r="B41" s="484">
        <v>241626154</v>
      </c>
      <c r="C41" s="483">
        <v>165517603.99999997</v>
      </c>
      <c r="S41" s="278"/>
      <c r="T41" s="278"/>
    </row>
    <row r="42" spans="1:20">
      <c r="A42" s="770">
        <v>1992</v>
      </c>
      <c r="B42" s="588">
        <v>276836642.00614107</v>
      </c>
      <c r="C42" s="589">
        <v>111675432.39999993</v>
      </c>
      <c r="S42" s="278"/>
      <c r="T42" s="278"/>
    </row>
    <row r="43" spans="1:20">
      <c r="A43" s="770">
        <v>1993</v>
      </c>
      <c r="B43" s="484">
        <v>332056090.18000001</v>
      </c>
      <c r="C43" s="483">
        <v>93207174.899999976</v>
      </c>
      <c r="S43" s="278"/>
      <c r="T43" s="278"/>
    </row>
    <row r="44" spans="1:20">
      <c r="A44" s="770">
        <v>1994</v>
      </c>
      <c r="B44" s="588">
        <v>417667340.69999999</v>
      </c>
      <c r="C44" s="589">
        <v>93063309.300000027</v>
      </c>
      <c r="S44" s="278"/>
      <c r="T44" s="278"/>
    </row>
    <row r="45" spans="1:20">
      <c r="A45" s="770">
        <v>1995</v>
      </c>
      <c r="B45" s="484">
        <v>571348686.50000012</v>
      </c>
      <c r="C45" s="483">
        <v>83489338.499999955</v>
      </c>
      <c r="S45" s="278"/>
      <c r="T45" s="278"/>
    </row>
    <row r="46" spans="1:20">
      <c r="A46" s="770">
        <v>1996</v>
      </c>
      <c r="B46" s="588">
        <v>612206253.4000001</v>
      </c>
      <c r="C46" s="589">
        <v>125882000</v>
      </c>
      <c r="S46" s="278"/>
      <c r="T46" s="278"/>
    </row>
    <row r="47" spans="1:20">
      <c r="A47" s="770">
        <v>1997</v>
      </c>
      <c r="B47" s="484">
        <v>654697524</v>
      </c>
      <c r="C47" s="483">
        <v>158197000</v>
      </c>
      <c r="S47" s="278"/>
      <c r="T47" s="278"/>
    </row>
    <row r="48" spans="1:20">
      <c r="A48" s="770">
        <v>1998</v>
      </c>
      <c r="B48" s="588">
        <v>706242000</v>
      </c>
      <c r="C48" s="589">
        <v>161779000</v>
      </c>
      <c r="S48" s="278"/>
      <c r="T48" s="278"/>
    </row>
    <row r="49" spans="1:21">
      <c r="A49" s="770">
        <v>1999</v>
      </c>
      <c r="B49" s="484">
        <f>SUMIF('Mineral Sands - Q&amp;V'!D$8:D$508, A49,'Mineral Sands - Q&amp;V'!C$8:C$508)*1000000</f>
        <v>688489000</v>
      </c>
      <c r="C49" s="483">
        <v>63105000</v>
      </c>
      <c r="S49" s="278"/>
      <c r="T49" s="278"/>
    </row>
    <row r="50" spans="1:21">
      <c r="A50" s="770">
        <v>2000</v>
      </c>
      <c r="B50" s="588">
        <f>SUMIF('Mineral Sands - Q&amp;V'!D$8:D$508, A50,'Mineral Sands - Q&amp;V'!C$8:C$508)*1000000</f>
        <v>860858999.99999988</v>
      </c>
      <c r="C50" s="589">
        <v>40072000</v>
      </c>
      <c r="S50" s="278"/>
      <c r="T50" s="278"/>
    </row>
    <row r="51" spans="1:21">
      <c r="A51" s="770">
        <v>2001</v>
      </c>
      <c r="B51" s="484">
        <f>SUMIF('Mineral Sands - Q&amp;V'!D$8:D$508, A51,'Mineral Sands - Q&amp;V'!C$8:C$508)*1000000</f>
        <v>909224999.99999988</v>
      </c>
      <c r="C51" s="483">
        <v>72447000</v>
      </c>
      <c r="S51" s="278"/>
      <c r="T51" s="278"/>
    </row>
    <row r="52" spans="1:21">
      <c r="A52" s="770">
        <v>2002</v>
      </c>
      <c r="B52" s="588">
        <f>SUMIF('Mineral Sands - Q&amp;V'!D$8:D$508, A52,'Mineral Sands - Q&amp;V'!C$8:C$508)*1000000</f>
        <v>866852000.00000012</v>
      </c>
      <c r="C52" s="589">
        <v>108805599.99999997</v>
      </c>
      <c r="S52" s="278"/>
      <c r="T52" s="278"/>
    </row>
    <row r="53" spans="1:21">
      <c r="A53" s="770">
        <v>2003</v>
      </c>
      <c r="B53" s="484">
        <f>SUMIF('Mineral Sands - Q&amp;V'!D$8:D$508, A53,'Mineral Sands - Q&amp;V'!C$8:C$508)*1000000</f>
        <v>789848787.90303028</v>
      </c>
      <c r="C53" s="483">
        <v>74724000</v>
      </c>
      <c r="S53" s="278"/>
      <c r="T53" s="278"/>
    </row>
    <row r="54" spans="1:21">
      <c r="A54" s="770">
        <v>2004</v>
      </c>
      <c r="B54" s="588">
        <f>SUMIF('Mineral Sands - Q&amp;V'!D$8:D$508, A54,'Mineral Sands - Q&amp;V'!C$8:C$508)*1000000</f>
        <v>764910779.21212125</v>
      </c>
      <c r="C54" s="589">
        <v>90109962.999999985</v>
      </c>
      <c r="S54" s="278"/>
      <c r="T54" s="278"/>
    </row>
    <row r="55" spans="1:21">
      <c r="A55" s="770">
        <v>2005</v>
      </c>
      <c r="B55" s="484">
        <f>SUMIF('Mineral Sands - Q&amp;V'!D$8:D$508, A55,'Mineral Sands - Q&amp;V'!C$8:C$508)*1000000</f>
        <v>846793591.63939393</v>
      </c>
      <c r="C55" s="483">
        <v>52770605.999999911</v>
      </c>
      <c r="S55" s="278"/>
      <c r="T55" s="278"/>
    </row>
    <row r="56" spans="1:21">
      <c r="A56" s="770">
        <v>2006</v>
      </c>
      <c r="B56" s="588">
        <f>SUMIF('Mineral Sands - Q&amp;V'!D$8:D$508, A56,'Mineral Sands - Q&amp;V'!C$8:C$508)*1000000</f>
        <v>886262810.36130917</v>
      </c>
      <c r="C56" s="589">
        <v>355967000</v>
      </c>
      <c r="S56" s="278"/>
      <c r="T56" s="278"/>
    </row>
    <row r="57" spans="1:21">
      <c r="A57" s="770">
        <v>2007</v>
      </c>
      <c r="B57" s="484">
        <f>SUMIF('Mineral Sands - Q&amp;V'!D$8:D$508, A57,'Mineral Sands - Q&amp;V'!C$8:C$508)*1000000</f>
        <v>691055713.60429811</v>
      </c>
      <c r="C57" s="483">
        <v>545455959</v>
      </c>
      <c r="S57" s="278"/>
      <c r="T57" s="278"/>
    </row>
    <row r="58" spans="1:21">
      <c r="A58" s="770">
        <v>2008</v>
      </c>
      <c r="B58" s="588">
        <f>SUMIF('Mineral Sands - Q&amp;V'!D$8:D$508, A58,'Mineral Sands - Q&amp;V'!C$8:C$508)*1000000</f>
        <v>777136717.99124885</v>
      </c>
      <c r="C58" s="589">
        <v>360678633.00000006</v>
      </c>
      <c r="S58" s="278"/>
      <c r="T58" s="278"/>
    </row>
    <row r="59" spans="1:21">
      <c r="A59" s="770">
        <v>2009</v>
      </c>
      <c r="B59" s="484">
        <f>SUMIF('Mineral Sands - Q&amp;V'!D$8:D$508, A59,'Mineral Sands - Q&amp;V'!C$8:C$508)*1000000</f>
        <v>641830940.86659384</v>
      </c>
      <c r="C59" s="483">
        <v>628933613</v>
      </c>
      <c r="S59" s="278"/>
      <c r="T59" s="278"/>
    </row>
    <row r="60" spans="1:21">
      <c r="A60" s="770">
        <v>2010</v>
      </c>
      <c r="B60" s="588">
        <f>SUMIF('Mineral Sands - Q&amp;V'!D$8:D$508, A60,'Mineral Sands - Q&amp;V'!C$8:C$508)*1000000</f>
        <v>526470515.44375753</v>
      </c>
      <c r="C60" s="589">
        <v>880785482</v>
      </c>
      <c r="S60" s="278"/>
      <c r="T60" s="278"/>
    </row>
    <row r="61" spans="1:21">
      <c r="A61" s="770">
        <v>2011</v>
      </c>
      <c r="B61" s="484">
        <f>SUMIF('Mineral Sands - Q&amp;V'!D$8:D$508, A61,'Mineral Sands - Q&amp;V'!C$8:C$508)*1000000</f>
        <v>591622104.60567033</v>
      </c>
      <c r="C61" s="483">
        <v>1345503845</v>
      </c>
      <c r="S61" s="278"/>
      <c r="T61" s="278"/>
      <c r="U61" s="19"/>
    </row>
    <row r="62" spans="1:21">
      <c r="A62" s="770">
        <v>2012</v>
      </c>
      <c r="B62" s="588">
        <f>SUMIF('Mineral Sands - Q&amp;V'!D$8:D$508, A62,'Mineral Sands - Q&amp;V'!C$8:C$508)*1000000</f>
        <v>970807032.06660604</v>
      </c>
      <c r="C62" s="589">
        <v>1320369000</v>
      </c>
      <c r="S62" s="278"/>
      <c r="T62" s="278"/>
      <c r="U62" s="19"/>
    </row>
    <row r="63" spans="1:21">
      <c r="A63" s="770">
        <v>2013</v>
      </c>
      <c r="B63" s="484">
        <f>SUMIF('Mineral Sands - Q&amp;V'!D$8:D$508, A63,'Mineral Sands - Q&amp;V'!C$8:C$508)*1000000</f>
        <v>380584659</v>
      </c>
      <c r="C63" s="483">
        <v>1367400000</v>
      </c>
      <c r="F63" s="323"/>
      <c r="S63" s="278"/>
      <c r="T63" s="278"/>
      <c r="U63" s="19"/>
    </row>
    <row r="64" spans="1:21">
      <c r="A64" s="770">
        <v>2014</v>
      </c>
      <c r="B64" s="588">
        <f>SUMIF('Mineral Sands - Q&amp;V'!D$8:D$508, A64,'Mineral Sands - Q&amp;V'!C$8:C$508)*1000000</f>
        <v>406758672.86666662</v>
      </c>
      <c r="C64" s="589">
        <v>1243000000</v>
      </c>
      <c r="F64" s="323"/>
      <c r="S64" s="278"/>
      <c r="T64" s="278"/>
      <c r="U64" s="19"/>
    </row>
    <row r="65" spans="1:21">
      <c r="A65" s="770">
        <v>2015</v>
      </c>
      <c r="B65" s="484">
        <f>SUMIF('Mineral Sands - Q&amp;V'!D$8:D$508, A65,'Mineral Sands - Q&amp;V'!C$8:C$508)*1000000</f>
        <v>586396092.36441696</v>
      </c>
      <c r="C65" s="602" t="s">
        <v>165</v>
      </c>
      <c r="F65" s="323"/>
      <c r="S65" s="278"/>
      <c r="T65" s="278"/>
      <c r="U65" s="19"/>
    </row>
    <row r="66" spans="1:21">
      <c r="A66" s="770">
        <v>2016</v>
      </c>
      <c r="B66" s="588">
        <f>SUMIF('Mineral Sands - Q&amp;V'!D$8:D$508, A66,'Mineral Sands - Q&amp;V'!C$8:C$508)*1000000</f>
        <v>612464028.01084816</v>
      </c>
      <c r="C66" s="603" t="s">
        <v>165</v>
      </c>
      <c r="F66" s="323"/>
      <c r="S66" s="22"/>
      <c r="T66" s="19"/>
      <c r="U66" s="19"/>
    </row>
    <row r="67" spans="1:21">
      <c r="A67" s="770">
        <v>2017</v>
      </c>
      <c r="B67" s="484">
        <f>SUMIF('Mineral Sands - Q&amp;V'!D$8:D$508, A67,'Mineral Sands - Q&amp;V'!C$8:C$508)*1000000</f>
        <v>515141739.81765258</v>
      </c>
      <c r="C67" s="602" t="s">
        <v>165</v>
      </c>
      <c r="F67" s="323"/>
      <c r="S67" s="22"/>
      <c r="T67" s="19"/>
      <c r="U67" s="19"/>
    </row>
    <row r="68" spans="1:21">
      <c r="A68" s="770">
        <v>2018</v>
      </c>
      <c r="B68" s="588">
        <f>SUMIF('Mineral Sands - Q&amp;V'!D$8:D$508, A68,'Mineral Sands - Q&amp;V'!C$8:C$508)*1000000</f>
        <v>628845529.39685094</v>
      </c>
      <c r="C68" s="603" t="s">
        <v>165</v>
      </c>
      <c r="F68" s="323"/>
      <c r="S68" s="22"/>
      <c r="T68" s="19"/>
      <c r="U68" s="19"/>
    </row>
    <row r="69" spans="1:21">
      <c r="A69" s="770">
        <v>2019</v>
      </c>
      <c r="B69" s="484">
        <f>SUMIF('Mineral Sands - Q&amp;V'!D$8:D$508, A69,'Mineral Sands - Q&amp;V'!C$8:C$508)*1000000</f>
        <v>761705420.10130382</v>
      </c>
      <c r="C69" s="602" t="s">
        <v>165</v>
      </c>
      <c r="S69" s="22"/>
      <c r="T69" s="19"/>
      <c r="U69" s="19"/>
    </row>
    <row r="70" spans="1:21">
      <c r="A70" s="770">
        <v>2020</v>
      </c>
      <c r="B70" s="588">
        <f>SUMIF('Mineral Sands - Q&amp;V'!D$8:D$508, A70,'Mineral Sands - Q&amp;V'!C$8:C$508)*1000000</f>
        <v>886204925.66042292</v>
      </c>
      <c r="C70" s="603" t="s">
        <v>165</v>
      </c>
      <c r="S70" s="22"/>
      <c r="T70" s="19"/>
      <c r="U70" s="19"/>
    </row>
    <row r="71" spans="1:21">
      <c r="A71" s="770">
        <v>2021</v>
      </c>
      <c r="B71" s="484">
        <f>SUMIF('Mineral Sands - Q&amp;V'!D$8:D$508, A71,'Mineral Sands - Q&amp;V'!C$8:C$508)*1000000</f>
        <v>1173586609.33619</v>
      </c>
      <c r="C71" s="602" t="s">
        <v>165</v>
      </c>
      <c r="S71" s="22"/>
      <c r="T71" s="19"/>
      <c r="U71" s="19"/>
    </row>
    <row r="72" spans="1:21">
      <c r="A72" s="770">
        <v>2022</v>
      </c>
      <c r="B72" s="588">
        <f>SUMIF('Mineral Sands - Q&amp;V'!D$8:D$508, A72,'Mineral Sands - Q&amp;V'!C$8:C$508)*1000000</f>
        <v>1343708435.3974125</v>
      </c>
      <c r="C72" s="603" t="s">
        <v>165</v>
      </c>
      <c r="S72" s="22"/>
      <c r="T72" s="19"/>
      <c r="U72" s="19"/>
    </row>
    <row r="73" spans="1:21" ht="15.75" thickBot="1">
      <c r="A73" s="899">
        <v>2023</v>
      </c>
      <c r="B73" s="604">
        <f>SUMIF('Mineral Sands - Q&amp;V'!D$8:D$508, A73,'Mineral Sands - Q&amp;V'!C$8:C$508)*1000000</f>
        <v>1281581926.7613544</v>
      </c>
      <c r="C73" s="1769" t="s">
        <v>165</v>
      </c>
      <c r="S73" s="22"/>
      <c r="T73" s="19"/>
      <c r="U73" s="19"/>
    </row>
    <row r="74" spans="1:21">
      <c r="S74" s="22"/>
      <c r="T74" s="19"/>
      <c r="U74" s="19"/>
    </row>
    <row r="75" spans="1:21">
      <c r="S75" s="22"/>
      <c r="T75" s="19"/>
      <c r="U75" s="19"/>
    </row>
    <row r="76" spans="1:21">
      <c r="S76" s="22"/>
      <c r="T76" s="19"/>
      <c r="U76" s="19"/>
    </row>
    <row r="77" spans="1:21">
      <c r="S77" s="22"/>
      <c r="T77" s="19"/>
      <c r="U77" s="19"/>
    </row>
    <row r="78" spans="1:21">
      <c r="S78" s="22"/>
      <c r="T78" s="19"/>
      <c r="U78" s="19"/>
    </row>
    <row r="79" spans="1:21">
      <c r="S79" s="22"/>
      <c r="T79" s="19"/>
      <c r="U79" s="19"/>
    </row>
    <row r="80" spans="1:21">
      <c r="S80" s="22"/>
      <c r="T80" s="19"/>
      <c r="U80" s="19"/>
    </row>
    <row r="81" spans="19:21">
      <c r="S81" s="22"/>
      <c r="T81" s="19"/>
      <c r="U81" s="19"/>
    </row>
    <row r="82" spans="19:21">
      <c r="S82" s="22"/>
      <c r="T82" s="19"/>
      <c r="U82" s="19"/>
    </row>
    <row r="83" spans="19:21">
      <c r="S83" s="22"/>
      <c r="T83" s="19"/>
      <c r="U83" s="19"/>
    </row>
    <row r="84" spans="19:21">
      <c r="S84" s="22"/>
      <c r="T84" s="19"/>
      <c r="U84" s="19"/>
    </row>
    <row r="85" spans="19:21">
      <c r="S85" s="22"/>
      <c r="T85" s="19"/>
      <c r="U85" s="19"/>
    </row>
    <row r="86" spans="19:21">
      <c r="S86" s="22"/>
      <c r="T86" s="19"/>
      <c r="U86" s="19"/>
    </row>
    <row r="87" spans="19:21">
      <c r="S87" s="22"/>
      <c r="T87" s="19"/>
      <c r="U87" s="19"/>
    </row>
    <row r="88" spans="19:21">
      <c r="S88" s="22"/>
      <c r="T88" s="19"/>
      <c r="U88" s="19"/>
    </row>
    <row r="89" spans="19:21">
      <c r="S89" s="22"/>
      <c r="T89" s="19"/>
      <c r="U89" s="19"/>
    </row>
    <row r="90" spans="19:21">
      <c r="S90" s="22"/>
      <c r="T90" s="19"/>
      <c r="U90" s="19"/>
    </row>
    <row r="91" spans="19:21">
      <c r="S91" s="22"/>
      <c r="T91" s="19"/>
      <c r="U91" s="19"/>
    </row>
    <row r="92" spans="19:21">
      <c r="S92" s="22"/>
      <c r="T92" s="19"/>
      <c r="U92" s="19"/>
    </row>
    <row r="93" spans="19:21">
      <c r="S93" s="22"/>
      <c r="T93" s="19"/>
      <c r="U93" s="19"/>
    </row>
    <row r="94" spans="19:21">
      <c r="S94" s="22"/>
      <c r="T94" s="19"/>
      <c r="U94" s="19"/>
    </row>
    <row r="95" spans="19:21">
      <c r="S95" s="22"/>
      <c r="T95" s="19"/>
      <c r="U95" s="19"/>
    </row>
    <row r="96" spans="19:21">
      <c r="S96" s="22"/>
      <c r="T96" s="19"/>
      <c r="U96" s="19"/>
    </row>
    <row r="97" spans="19:21">
      <c r="S97" s="22"/>
      <c r="T97" s="19"/>
      <c r="U97" s="19"/>
    </row>
    <row r="98" spans="19:21">
      <c r="S98" s="22"/>
      <c r="T98" s="19"/>
      <c r="U98" s="19"/>
    </row>
    <row r="99" spans="19:21">
      <c r="S99" s="22"/>
      <c r="T99" s="19"/>
      <c r="U99" s="19"/>
    </row>
    <row r="100" spans="19:21">
      <c r="S100" s="22"/>
      <c r="T100" s="19"/>
      <c r="U100" s="19"/>
    </row>
    <row r="101" spans="19:21">
      <c r="S101" s="22"/>
      <c r="T101" s="19"/>
      <c r="U101" s="19"/>
    </row>
    <row r="102" spans="19:21">
      <c r="S102" s="22"/>
      <c r="T102" s="19"/>
      <c r="U102" s="19"/>
    </row>
    <row r="103" spans="19:21">
      <c r="S103" s="22"/>
      <c r="T103" s="19"/>
      <c r="U103" s="19"/>
    </row>
    <row r="104" spans="19:21">
      <c r="S104" s="22"/>
      <c r="T104" s="19"/>
      <c r="U104" s="19"/>
    </row>
    <row r="105" spans="19:21">
      <c r="S105" s="23"/>
      <c r="T105" s="19"/>
      <c r="U105" s="19"/>
    </row>
    <row r="106" spans="19:21">
      <c r="S106" s="23"/>
      <c r="T106" s="19"/>
      <c r="U106" s="19"/>
    </row>
    <row r="107" spans="19:21">
      <c r="S107" s="23"/>
      <c r="T107" s="19"/>
      <c r="U107" s="19"/>
    </row>
    <row r="108" spans="19:21">
      <c r="S108" s="23"/>
      <c r="T108" s="19"/>
      <c r="U108" s="19"/>
    </row>
    <row r="109" spans="19:21">
      <c r="S109" s="23"/>
      <c r="T109" s="19"/>
      <c r="U109" s="19"/>
    </row>
    <row r="110" spans="19:21">
      <c r="S110" s="23"/>
      <c r="T110" s="19"/>
      <c r="U110" s="19"/>
    </row>
    <row r="111" spans="19:21">
      <c r="S111" s="23"/>
      <c r="T111" s="19"/>
      <c r="U111" s="19"/>
    </row>
    <row r="112" spans="19:21">
      <c r="S112" s="23"/>
      <c r="T112" s="19"/>
      <c r="U112" s="19"/>
    </row>
    <row r="113" spans="19:21">
      <c r="S113" s="23"/>
      <c r="T113" s="19"/>
      <c r="U113" s="19"/>
    </row>
    <row r="114" spans="19:21">
      <c r="S114" s="23"/>
      <c r="T114" s="19"/>
      <c r="U114" s="19"/>
    </row>
    <row r="115" spans="19:21">
      <c r="S115" s="23"/>
      <c r="T115" s="19"/>
      <c r="U115" s="19"/>
    </row>
    <row r="116" spans="19:21">
      <c r="S116" s="23"/>
      <c r="T116" s="19"/>
      <c r="U116" s="19"/>
    </row>
    <row r="117" spans="19:21">
      <c r="S117" s="23"/>
      <c r="T117" s="19"/>
      <c r="U117" s="19"/>
    </row>
    <row r="118" spans="19:21">
      <c r="S118" s="23"/>
      <c r="T118" s="19"/>
      <c r="U118" s="19"/>
    </row>
    <row r="119" spans="19:21">
      <c r="S119" s="19"/>
      <c r="T119" s="19"/>
      <c r="U119" s="19"/>
    </row>
    <row r="120" spans="19:21">
      <c r="S120" s="19"/>
      <c r="T120" s="19"/>
      <c r="U120" s="19"/>
    </row>
    <row r="121" spans="19:21">
      <c r="S121" s="19"/>
      <c r="T121" s="19"/>
      <c r="U121" s="19"/>
    </row>
    <row r="122" spans="19:21">
      <c r="S122" s="19"/>
      <c r="T122" s="19"/>
      <c r="U122" s="19"/>
    </row>
    <row r="123" spans="19:21">
      <c r="S123" s="19"/>
      <c r="T123" s="19"/>
      <c r="U123" s="19"/>
    </row>
  </sheetData>
  <mergeCells count="3">
    <mergeCell ref="A5:C5"/>
    <mergeCell ref="P5:R5"/>
    <mergeCell ref="P6:R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theme="4" tint="0.39997558519241921"/>
  </sheetPr>
  <dimension ref="A1:AA70"/>
  <sheetViews>
    <sheetView showGridLines="0" workbookViewId="0"/>
  </sheetViews>
  <sheetFormatPr defaultColWidth="9.140625" defaultRowHeight="15"/>
  <cols>
    <col min="1" max="1" width="9.140625" style="13"/>
    <col min="2" max="2" width="15.85546875" style="13" bestFit="1" customWidth="1"/>
    <col min="3" max="3" width="16.28515625" style="278" customWidth="1"/>
    <col min="4" max="4" width="9.28515625" style="13" customWidth="1"/>
    <col min="5" max="5" width="5.85546875" style="228" hidden="1" customWidth="1"/>
    <col min="6" max="6" width="5" style="228" hidden="1" customWidth="1"/>
    <col min="7" max="7" width="11" style="13" bestFit="1" customWidth="1"/>
    <col min="8" max="8" width="19.7109375" style="278" customWidth="1"/>
    <col min="9" max="9" width="21" style="13" customWidth="1"/>
    <col min="10" max="11" width="12" style="13" hidden="1" customWidth="1"/>
    <col min="12" max="16384" width="9.140625" style="13"/>
  </cols>
  <sheetData>
    <row r="1" spans="1:27">
      <c r="AA1" s="237" t="s">
        <v>282</v>
      </c>
    </row>
    <row r="2" spans="1:27">
      <c r="I2" s="238"/>
      <c r="AA2" s="237" t="s">
        <v>283</v>
      </c>
    </row>
    <row r="4" spans="1:27">
      <c r="H4" s="238"/>
    </row>
    <row r="5" spans="1:27">
      <c r="A5" s="1948" t="s">
        <v>495</v>
      </c>
      <c r="B5" s="1948"/>
      <c r="C5" s="1948"/>
      <c r="D5" s="8"/>
      <c r="E5" s="70"/>
      <c r="F5" s="70"/>
      <c r="G5" s="1948" t="s">
        <v>620</v>
      </c>
      <c r="H5" s="1948"/>
      <c r="I5" s="1948"/>
    </row>
    <row r="6" spans="1:27" ht="15.75" thickBot="1">
      <c r="A6" s="1977" t="s">
        <v>410</v>
      </c>
      <c r="B6" s="1977"/>
      <c r="C6" s="1977"/>
      <c r="D6" s="8"/>
      <c r="E6" s="70"/>
      <c r="F6" s="70"/>
      <c r="G6" s="1948" t="str">
        <f>G48</f>
        <v>Historic Calendar Year</v>
      </c>
      <c r="H6" s="1948"/>
      <c r="I6" s="1948"/>
    </row>
    <row r="7" spans="1:27">
      <c r="A7" s="778" t="s">
        <v>401</v>
      </c>
      <c r="B7" s="1197" t="s">
        <v>405</v>
      </c>
      <c r="C7" s="1198" t="s">
        <v>406</v>
      </c>
      <c r="D7" s="46"/>
      <c r="E7" s="70"/>
      <c r="F7" s="70"/>
      <c r="G7" s="777" t="s">
        <v>34</v>
      </c>
      <c r="H7" s="1197" t="s">
        <v>405</v>
      </c>
      <c r="I7" s="1198" t="s">
        <v>406</v>
      </c>
    </row>
    <row r="8" spans="1:27">
      <c r="A8" s="622">
        <f>LARGE('Commodity Prices'!C$159:C$902,61)</f>
        <v>43435</v>
      </c>
      <c r="B8" s="565">
        <f>SUMIF('Commodity Prices'!C$159:C$902,A8,'Commodity Prices'!M$159:M$902)</f>
        <v>10836.84211</v>
      </c>
      <c r="C8" s="489">
        <f>SUMIF('Commodity Prices'!C$159:C$902,A8,'Commodity Prices'!N$159:N$902)</f>
        <v>15079.940536403517</v>
      </c>
      <c r="D8" s="547"/>
      <c r="E8" s="70">
        <v>1986</v>
      </c>
      <c r="F8" s="70">
        <v>1987</v>
      </c>
      <c r="G8" s="629">
        <f>IF($G$6="Historic Calendar Year",1986,CONCATENATE(E8,"-",RIGHT(F8,4)))</f>
        <v>1986</v>
      </c>
      <c r="H8" s="565">
        <f t="array" ref="H8">IF($G$6="Historic Calendar Year",IFERROR(AVERAGE(IF($G8=YEAR('Commodity Prices'!$C$100:$C$1000),'Commodity Prices'!$M$100:$M$995)),"NA"),IFERROR(IF(K8=0,"NA",K8),"NA"))</f>
        <v>3888.8356621152602</v>
      </c>
      <c r="I8" s="489">
        <f t="array" ref="I8">IF($G$6="Historic Calendar Year",IFERROR(AVERAGE(IF($G8=YEAR('Commodity Prices'!$C$100:$C$1000),'Commodity Prices'!$N$100:$N$1000)),"NA"),IFERROR(IF(J8=0,"NA",J8),"NA"))</f>
        <v>5807.2150261370289</v>
      </c>
      <c r="J8" s="13">
        <f>(SUMIFS('Commodity Prices'!$N$9:$N$2500,'Commodity Prices'!$A$9:$A$2500,'Nickel - Prices'!E8,'Commodity Prices'!$B$9:$B$2500,3)+
SUMIFS('Commodity Prices'!$N$9:$N$2500,'Commodity Prices'!$A$9:$A$2500,'Nickel - Prices'!E8,'Commodity Prices'!$B$9:$B$2500,4)+
SUMIFS('Commodity Prices'!$N$9:$N$2500,'Commodity Prices'!$A$9:$A$2500,'Nickel - Prices'!F8,'Commodity Prices'!$B$9:$B$2500,1)+
SUMIFS('Commodity Prices'!$N$9:$N$2500,'Commodity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5800.0291876857073</v>
      </c>
      <c r="K8" s="278">
        <f>(SUMIFS('Commodity Prices'!$M$9:$M$2500,'Commodity Prices'!$A$9:$A$2500,'Nickel - Prices'!E8,'Commodity Prices'!$B$9:$B$2500,3)+
SUMIFS('Commodity Prices'!$M$9:$M$2500,'Commodity Prices'!$A$9:$A$2500,'Nickel - Prices'!E8,'Commodity Prices'!$B$9:$B$2500,4)+
SUMIFS('Commodity Prices'!$M$9:$M$2500,'Commodity Prices'!$A$9:$A$2500,'Nickel - Prices'!F8,'Commodity Prices'!$B$9:$B$2500,1)+
SUMIFS('Commodity Prices'!$M$9:$M$2500,'Commodity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3846.3600334765192</v>
      </c>
    </row>
    <row r="9" spans="1:27">
      <c r="A9" s="624">
        <f>LARGE('Commodity Prices'!C$159:C$902,60)</f>
        <v>43466</v>
      </c>
      <c r="B9" s="623">
        <f>SUMIF('Commodity Prices'!C$159:C$902,A9,'Commodity Prices'!M$159:M$902)</f>
        <v>11454.55</v>
      </c>
      <c r="C9" s="621">
        <f>SUMIF('Commodity Prices'!C$159:C$902,A9,'Commodity Prices'!N$159:N$902)</f>
        <v>16033.590844253662</v>
      </c>
      <c r="D9" s="547"/>
      <c r="E9" s="70">
        <f>E8+1</f>
        <v>1987</v>
      </c>
      <c r="F9" s="70">
        <f>F8+1</f>
        <v>1988</v>
      </c>
      <c r="G9" s="628">
        <f t="shared" ref="G9:G42" si="0">IF($G$6="Historic Calendar Year",G8+1,CONCATENATE(E9,"-",RIGHT(F9,4)))</f>
        <v>1987</v>
      </c>
      <c r="H9" s="623">
        <f t="array" ref="H9">IF($G$6="Historic Calendar Year",IFERROR(AVERAGE(IF($G9=YEAR('Commodity Prices'!$C$100:$C$1000),'Commodity Prices'!$M$100:$M$995)),"NA"),IFERROR(IF(K9=0,"NA",K9),"NA"))</f>
        <v>4859.1571635335049</v>
      </c>
      <c r="I9" s="621">
        <f t="array" ref="I9">IF($G$6="Historic Calendar Year",IFERROR(AVERAGE(IF($G9=YEAR('Commodity Prices'!$C$100:$C$1000),'Commodity Prices'!$N$100:$N$1000)),"NA"),IFERROR(IF(J9=0,"NA",J9),"NA"))</f>
        <v>6915.6166865840269</v>
      </c>
      <c r="J9" s="13">
        <f>(SUMIFS('Commodity Prices'!$N$9:$N$2500,'Commodity Prices'!$A$9:$A$2500,'Nickel - Prices'!E9,'Commodity Prices'!$B$9:$B$2500,3)+
SUMIFS('Commodity Prices'!$N$9:$N$2500,'Commodity Prices'!$A$9:$A$2500,'Nickel - Prices'!E9,'Commodity Prices'!$B$9:$B$2500,4)+
SUMIFS('Commodity Prices'!$N$9:$N$2500,'Commodity Prices'!$A$9:$A$2500,'Nickel - Prices'!F9,'Commodity Prices'!$B$9:$B$2500,1)+
SUMIFS('Commodity Prices'!$N$9:$N$2500,'Commodity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13287.801364695746</v>
      </c>
      <c r="K9" s="349">
        <f>(SUMIFS('Commodity Prices'!$M$9:$M$2500,'Commodity Prices'!$A$9:$A$2500,'Nickel - Prices'!E9,'Commodity Prices'!$B$9:$B$2500,3)+
SUMIFS('Commodity Prices'!$M$9:$M$2500,'Commodity Prices'!$A$9:$A$2500,'Nickel - Prices'!E9,'Commodity Prices'!$B$9:$B$2500,4)+
SUMIFS('Commodity Prices'!$M$9:$M$2500,'Commodity Prices'!$A$9:$A$2500,'Nickel - Prices'!F9,'Commodity Prices'!$B$9:$B$2500,1)+
SUMIFS('Commodity Prices'!$M$9:$M$2500,'Commodity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9838.9663317719387</v>
      </c>
    </row>
    <row r="10" spans="1:27">
      <c r="A10" s="622">
        <f>LARGE('Commodity Prices'!C$159:C$902,59)</f>
        <v>43497</v>
      </c>
      <c r="B10" s="565">
        <f>SUMIF('Commodity Prices'!C$159:C$902,A10,'Commodity Prices'!M$159:M$902)</f>
        <v>12649.75</v>
      </c>
      <c r="C10" s="489">
        <f>SUMIF('Commodity Prices'!C$159:C$902,A10,'Commodity Prices'!N$159:N$902)</f>
        <v>17706.816909294514</v>
      </c>
      <c r="D10" s="547"/>
      <c r="E10" s="70">
        <f t="shared" ref="E10:F45" si="1">E9+1</f>
        <v>1988</v>
      </c>
      <c r="F10" s="70">
        <f t="shared" si="1"/>
        <v>1989</v>
      </c>
      <c r="G10" s="628">
        <f t="shared" si="0"/>
        <v>1988</v>
      </c>
      <c r="H10" s="565">
        <f t="array" ref="H10">IF($G$6="Historic Calendar Year",IFERROR(AVERAGE(IF($G10=YEAR('Commodity Prices'!$C$100:$C$1000),'Commodity Prices'!$M$100:$M$995)),"NA"),IFERROR(IF(K10=0,"NA",K10),"NA"))</f>
        <v>13794.974205344808</v>
      </c>
      <c r="I10" s="489">
        <f t="array" ref="I10">IF($G$6="Historic Calendar Year",IFERROR(AVERAGE(IF($G10=YEAR('Commodity Prices'!$C$100:$C$1000),'Commodity Prices'!$N$100:$N$1000)),"NA"),IFERROR(IF(J10=0,"NA",J10),"NA"))</f>
        <v>17556.426775707569</v>
      </c>
      <c r="J10" s="13">
        <f>(SUMIFS('Commodity Prices'!$N$9:$N$2500,'Commodity Prices'!$A$9:$A$2500,'Nickel - Prices'!E10,'Commodity Prices'!$B$9:$B$2500,3)+
SUMIFS('Commodity Prices'!$N$9:$N$2500,'Commodity Prices'!$A$9:$A$2500,'Nickel - Prices'!E10,'Commodity Prices'!$B$9:$B$2500,4)+
SUMIFS('Commodity Prices'!$N$9:$N$2500,'Commodity Prices'!$A$9:$A$2500,'Nickel - Prices'!F10,'Commodity Prices'!$B$9:$B$2500,1)+
SUMIFS('Commodity Prices'!$N$9:$N$2500,'Commodity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17915.873273907408</v>
      </c>
      <c r="K10" s="349">
        <f>(SUMIFS('Commodity Prices'!$M$9:$M$2500,'Commodity Prices'!$A$9:$A$2500,'Nickel - Prices'!E10,'Commodity Prices'!$B$9:$B$2500,3)+
SUMIFS('Commodity Prices'!$M$9:$M$2500,'Commodity Prices'!$A$9:$A$2500,'Nickel - Prices'!E10,'Commodity Prices'!$B$9:$B$2500,4)+
SUMIFS('Commodity Prices'!$M$9:$M$2500,'Commodity Prices'!$A$9:$A$2500,'Nickel - Prices'!F10,'Commodity Prices'!$B$9:$B$2500,1)+
SUMIFS('Commodity Prices'!$M$9:$M$2500,'Commodity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14658.825000000003</v>
      </c>
    </row>
    <row r="11" spans="1:27">
      <c r="A11" s="624">
        <f>LARGE('Commodity Prices'!C$159:C$902,58)</f>
        <v>43525</v>
      </c>
      <c r="B11" s="623">
        <f>SUMIF('Commodity Prices'!C$159:C$902,A11,'Commodity Prices'!M$159:M$902)</f>
        <v>13060.71</v>
      </c>
      <c r="C11" s="621">
        <f>SUMIF('Commodity Prices'!C$159:C$902,A11,'Commodity Prices'!N$159:N$902)</f>
        <v>18445.221490682397</v>
      </c>
      <c r="D11" s="547"/>
      <c r="E11" s="70">
        <f t="shared" si="1"/>
        <v>1989</v>
      </c>
      <c r="F11" s="70">
        <f t="shared" si="1"/>
        <v>1990</v>
      </c>
      <c r="G11" s="628">
        <f t="shared" si="0"/>
        <v>1989</v>
      </c>
      <c r="H11" s="623">
        <f t="array" ref="H11">IF($G$6="Historic Calendar Year",IFERROR(AVERAGE(IF($G11=YEAR('Commodity Prices'!$C$100:$C$1000),'Commodity Prices'!$M$100:$M$995)),"NA"),IFERROR(IF(K11=0,"NA",K11),"NA"))</f>
        <v>13236.366666666669</v>
      </c>
      <c r="I11" s="621">
        <f t="array" ref="I11">IF($G$6="Historic Calendar Year",IFERROR(AVERAGE(IF($G11=YEAR('Commodity Prices'!$C$100:$C$1000),'Commodity Prices'!$N$100:$N$1000)),"NA"),IFERROR(IF(J11=0,"NA",J11),"NA"))</f>
        <v>16603.232723155015</v>
      </c>
      <c r="J11" s="278">
        <f>(SUMIFS('Commodity Prices'!$N$9:$N$2500,'Commodity Prices'!$A$9:$A$2500,'Nickel - Prices'!E11,'Commodity Prices'!$B$9:$B$2500,3)+
SUMIFS('Commodity Prices'!$N$9:$N$2500,'Commodity Prices'!$A$9:$A$2500,'Nickel - Prices'!E11,'Commodity Prices'!$B$9:$B$2500,4)+
SUMIFS('Commodity Prices'!$N$9:$N$2500,'Commodity Prices'!$A$9:$A$2500,'Nickel - Prices'!F11,'Commodity Prices'!$B$9:$B$2500,1)+
SUMIFS('Commodity Prices'!$N$9:$N$2500,'Commodity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12396.681889104855</v>
      </c>
      <c r="K11" s="349">
        <f>(SUMIFS('Commodity Prices'!$M$9:$M$2500,'Commodity Prices'!$A$9:$A$2500,'Nickel - Prices'!E11,'Commodity Prices'!$B$9:$B$2500,3)+
SUMIFS('Commodity Prices'!$M$9:$M$2500,'Commodity Prices'!$A$9:$A$2500,'Nickel - Prices'!E11,'Commodity Prices'!$B$9:$B$2500,4)+
SUMIFS('Commodity Prices'!$M$9:$M$2500,'Commodity Prices'!$A$9:$A$2500,'Nickel - Prices'!F11,'Commodity Prices'!$B$9:$B$2500,1)+
SUMIFS('Commodity Prices'!$M$9:$M$2500,'Commodity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9534.4166666666661</v>
      </c>
    </row>
    <row r="12" spans="1:27">
      <c r="A12" s="622">
        <f>LARGE('Commodity Prices'!C$159:C$902,57)</f>
        <v>43556</v>
      </c>
      <c r="B12" s="565">
        <f>SUMIF('Commodity Prices'!C$159:C$902,A12,'Commodity Prices'!M$159:M$902)</f>
        <v>12819</v>
      </c>
      <c r="C12" s="489">
        <f>SUMIF('Commodity Prices'!C$159:C$902,A12,'Commodity Prices'!N$159:N$902)</f>
        <v>18016.199423034246</v>
      </c>
      <c r="D12" s="547"/>
      <c r="E12" s="70">
        <f t="shared" si="1"/>
        <v>1990</v>
      </c>
      <c r="F12" s="70">
        <f t="shared" si="1"/>
        <v>1991</v>
      </c>
      <c r="G12" s="628">
        <f t="shared" si="0"/>
        <v>1990</v>
      </c>
      <c r="H12" s="565">
        <f t="array" ref="H12">IF($G$6="Historic Calendar Year",IFERROR(AVERAGE(IF($G12=YEAR('Commodity Prices'!$C$100:$C$1000),'Commodity Prices'!$M$100:$M$995)),"NA"),IFERROR(IF(K12=0,"NA",K12),"NA"))</f>
        <v>8849.7666666666682</v>
      </c>
      <c r="I12" s="489">
        <f t="array" ref="I12">IF($G$6="Historic Calendar Year",IFERROR(AVERAGE(IF($G12=YEAR('Commodity Prices'!$C$100:$C$1000),'Commodity Prices'!$N$100:$N$1000)),"NA"),IFERROR(IF(J12=0,"NA",J12),"NA"))</f>
        <v>11308.955244810373</v>
      </c>
      <c r="J12" s="278">
        <f>(SUMIFS('Commodity Prices'!$N$9:$N$2500,'Commodity Prices'!$A$9:$A$2500,'Nickel - Prices'!E12,'Commodity Prices'!$B$9:$B$2500,3)+
SUMIFS('Commodity Prices'!$N$9:$N$2500,'Commodity Prices'!$A$9:$A$2500,'Nickel - Prices'!E12,'Commodity Prices'!$B$9:$B$2500,4)+
SUMIFS('Commodity Prices'!$N$9:$N$2500,'Commodity Prices'!$A$9:$A$2500,'Nickel - Prices'!F12,'Commodity Prices'!$B$9:$B$2500,1)+
SUMIFS('Commodity Prices'!$N$9:$N$2500,'Commodity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11490.817262495473</v>
      </c>
      <c r="K12" s="349">
        <f>(SUMIFS('Commodity Prices'!$M$9:$M$2500,'Commodity Prices'!$A$9:$A$2500,'Nickel - Prices'!E12,'Commodity Prices'!$B$9:$B$2500,3)+
SUMIFS('Commodity Prices'!$M$9:$M$2500,'Commodity Prices'!$A$9:$A$2500,'Nickel - Prices'!E12,'Commodity Prices'!$B$9:$B$2500,4)+
SUMIFS('Commodity Prices'!$M$9:$M$2500,'Commodity Prices'!$A$9:$A$2500,'Nickel - Prices'!F12,'Commodity Prices'!$B$9:$B$2500,1)+
SUMIFS('Commodity Prices'!$M$9:$M$2500,'Commodity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9036.7616666666654</v>
      </c>
    </row>
    <row r="13" spans="1:27">
      <c r="A13" s="624">
        <f>LARGE('Commodity Prices'!C$159:C$902,56)</f>
        <v>43586</v>
      </c>
      <c r="B13" s="623">
        <f>SUMIF('Commodity Prices'!C$159:C$902,A13,'Commodity Prices'!M$159:M$902)</f>
        <v>11998.33</v>
      </c>
      <c r="C13" s="621">
        <f>SUMIF('Commodity Prices'!C$159:C$902,A13,'Commodity Prices'!N$159:N$902)</f>
        <v>17266.484592523073</v>
      </c>
      <c r="D13" s="547"/>
      <c r="E13" s="70">
        <f t="shared" si="1"/>
        <v>1991</v>
      </c>
      <c r="F13" s="70">
        <f t="shared" si="1"/>
        <v>1992</v>
      </c>
      <c r="G13" s="628">
        <f t="shared" si="0"/>
        <v>1991</v>
      </c>
      <c r="H13" s="623">
        <f t="array" ref="H13">IF($G$6="Historic Calendar Year",IFERROR(AVERAGE(IF($G13=YEAR('Commodity Prices'!$C$100:$C$1000),'Commodity Prices'!$M$100:$M$995)),"NA"),IFERROR(IF(K13=0,"NA",K13),"NA"))</f>
        <v>8148.1041666666679</v>
      </c>
      <c r="I13" s="621">
        <f t="array" ref="I13">IF($G$6="Historic Calendar Year",IFERROR(AVERAGE(IF($G13=YEAR('Commodity Prices'!$C$100:$C$1000),'Commodity Prices'!$N$100:$N$1000)),"NA"),IFERROR(IF(J13=0,"NA",J13),"NA"))</f>
        <v>10463.634067185552</v>
      </c>
      <c r="J13" s="278">
        <f>(SUMIFS('Commodity Prices'!$N$9:$N$2500,'Commodity Prices'!$A$9:$A$2500,'Nickel - Prices'!E13,'Commodity Prices'!$B$9:$B$2500,3)+
SUMIFS('Commodity Prices'!$N$9:$N$2500,'Commodity Prices'!$A$9:$A$2500,'Nickel - Prices'!E13,'Commodity Prices'!$B$9:$B$2500,4)+
SUMIFS('Commodity Prices'!$N$9:$N$2500,'Commodity Prices'!$A$9:$A$2500,'Nickel - Prices'!F13,'Commodity Prices'!$B$9:$B$2500,1)+
SUMIFS('Commodity Prices'!$N$9:$N$2500,'Commodity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9840.1889382278569</v>
      </c>
      <c r="K13" s="349">
        <f>(SUMIFS('Commodity Prices'!$M$9:$M$2500,'Commodity Prices'!$A$9:$A$2500,'Nickel - Prices'!E13,'Commodity Prices'!$B$9:$B$2500,3)+
SUMIFS('Commodity Prices'!$M$9:$M$2500,'Commodity Prices'!$A$9:$A$2500,'Nickel - Prices'!E13,'Commodity Prices'!$B$9:$B$2500,4)+
SUMIFS('Commodity Prices'!$M$9:$M$2500,'Commodity Prices'!$A$9:$A$2500,'Nickel - Prices'!F13,'Commodity Prices'!$B$9:$B$2500,1)+
SUMIFS('Commodity Prices'!$M$9:$M$2500,'Commodity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7569.251666666667</v>
      </c>
    </row>
    <row r="14" spans="1:27">
      <c r="A14" s="622">
        <f>LARGE('Commodity Prices'!C$159:C$902,56)</f>
        <v>43586</v>
      </c>
      <c r="B14" s="565">
        <f>SUMIF('Commodity Prices'!C$159:C$902,A14,'Commodity Prices'!M$159:M$902)</f>
        <v>11998.33</v>
      </c>
      <c r="C14" s="489">
        <f>SUMIF('Commodity Prices'!C$159:C$902,A14,'Commodity Prices'!N$159:N$902)</f>
        <v>17266.484592523073</v>
      </c>
      <c r="D14" s="547"/>
      <c r="E14" s="70">
        <f t="shared" si="1"/>
        <v>1992</v>
      </c>
      <c r="F14" s="70">
        <f t="shared" si="1"/>
        <v>1993</v>
      </c>
      <c r="G14" s="628">
        <f t="shared" si="0"/>
        <v>1992</v>
      </c>
      <c r="H14" s="565">
        <f t="array" ref="H14">IF($G$6="Historic Calendar Year",IFERROR(AVERAGE(IF($G14=YEAR('Commodity Prices'!$C$100:$C$1000),'Commodity Prices'!$M$100:$M$995)),"NA"),IFERROR(IF(K14=0,"NA",K14),"NA"))</f>
        <v>7005.3058333333347</v>
      </c>
      <c r="I14" s="489">
        <f t="array" ref="I14">IF($G$6="Historic Calendar Year",IFERROR(AVERAGE(IF($G14=YEAR('Commodity Prices'!$C$100:$C$1000),'Commodity Prices'!$N$100:$N$1000)),"NA"),IFERROR(IF(J14=0,"NA",J14),"NA"))</f>
        <v>9508.5645001778048</v>
      </c>
      <c r="J14" s="278">
        <f>(SUMIFS('Commodity Prices'!$N$9:$N$2500,'Commodity Prices'!$A$9:$A$2500,'Nickel - Prices'!E14,'Commodity Prices'!$B$9:$B$2500,3)+
SUMIFS('Commodity Prices'!$N$9:$N$2500,'Commodity Prices'!$A$9:$A$2500,'Nickel - Prices'!E14,'Commodity Prices'!$B$9:$B$2500,4)+
SUMIFS('Commodity Prices'!$N$9:$N$2500,'Commodity Prices'!$A$9:$A$2500,'Nickel - Prices'!F14,'Commodity Prices'!$B$9:$B$2500,1)+
SUMIFS('Commodity Prices'!$N$9:$N$2500,'Commodity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8830.7577787266218</v>
      </c>
      <c r="K14" s="349">
        <f>(SUMIFS('Commodity Prices'!$M$9:$M$2500,'Commodity Prices'!$A$9:$A$2500,'Nickel - Prices'!E14,'Commodity Prices'!$B$9:$B$2500,3)+
SUMIFS('Commodity Prices'!$M$9:$M$2500,'Commodity Prices'!$A$9:$A$2500,'Nickel - Prices'!E14,'Commodity Prices'!$B$9:$B$2500,4)+
SUMIFS('Commodity Prices'!$M$9:$M$2500,'Commodity Prices'!$A$9:$A$2500,'Nickel - Prices'!F14,'Commodity Prices'!$B$9:$B$2500,1)+
SUMIFS('Commodity Prices'!$M$9:$M$2500,'Commodity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6219.1308333333336</v>
      </c>
    </row>
    <row r="15" spans="1:27">
      <c r="A15" s="624">
        <f>LARGE('Commodity Prices'!C$159:C$902,54)</f>
        <v>43647</v>
      </c>
      <c r="B15" s="623">
        <f>SUMIF('Commodity Prices'!C$159:C$902,A15,'Commodity Prices'!M$159:M$902)</f>
        <v>13462.39</v>
      </c>
      <c r="C15" s="621">
        <f>SUMIF('Commodity Prices'!C$159:C$902,A15,'Commodity Prices'!N$159:N$902)</f>
        <v>19267.648815820587</v>
      </c>
      <c r="D15" s="547"/>
      <c r="E15" s="70">
        <f t="shared" si="1"/>
        <v>1993</v>
      </c>
      <c r="F15" s="70">
        <f t="shared" si="1"/>
        <v>1994</v>
      </c>
      <c r="G15" s="628">
        <f t="shared" si="0"/>
        <v>1993</v>
      </c>
      <c r="H15" s="623">
        <f t="array" ref="H15">IF($G$6="Historic Calendar Year",IFERROR(AVERAGE(IF($G15=YEAR('Commodity Prices'!$C$100:$C$1000),'Commodity Prices'!$M$100:$M$995)),"NA"),IFERROR(IF(K15=0,"NA",K15),"NA"))</f>
        <v>5292.8183333333336</v>
      </c>
      <c r="I15" s="621">
        <f t="array" ref="I15">IF($G$6="Historic Calendar Year",IFERROR(AVERAGE(IF($G15=YEAR('Commodity Prices'!$C$100:$C$1000),'Commodity Prices'!$N$100:$N$1000)),"NA"),IFERROR(IF(J15=0,"NA",J15),"NA"))</f>
        <v>7776.8257970252525</v>
      </c>
      <c r="J15" s="278">
        <f>(SUMIFS('Commodity Prices'!$N$9:$N$2500,'Commodity Prices'!$A$9:$A$2500,'Nickel - Prices'!E15,'Commodity Prices'!$B$9:$B$2500,3)+
SUMIFS('Commodity Prices'!$N$9:$N$2500,'Commodity Prices'!$A$9:$A$2500,'Nickel - Prices'!E15,'Commodity Prices'!$B$9:$B$2500,4)+
SUMIFS('Commodity Prices'!$N$9:$N$2500,'Commodity Prices'!$A$9:$A$2500,'Nickel - Prices'!F15,'Commodity Prices'!$B$9:$B$2500,1)+
SUMIFS('Commodity Prices'!$N$9:$N$2500,'Commodity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7577.0498223829154</v>
      </c>
      <c r="K15" s="349">
        <f>(SUMIFS('Commodity Prices'!$M$9:$M$2500,'Commodity Prices'!$A$9:$A$2500,'Nickel - Prices'!E15,'Commodity Prices'!$B$9:$B$2500,3)+
SUMIFS('Commodity Prices'!$M$9:$M$2500,'Commodity Prices'!$A$9:$A$2500,'Nickel - Prices'!E15,'Commodity Prices'!$B$9:$B$2500,4)+
SUMIFS('Commodity Prices'!$M$9:$M$2500,'Commodity Prices'!$A$9:$A$2500,'Nickel - Prices'!F15,'Commodity Prices'!$B$9:$B$2500,1)+
SUMIFS('Commodity Prices'!$M$9:$M$2500,'Commodity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5257.4966666666669</v>
      </c>
    </row>
    <row r="16" spans="1:27">
      <c r="A16" s="622">
        <f>LARGE('Commodity Prices'!C$159:C$902,53)</f>
        <v>43678</v>
      </c>
      <c r="B16" s="565">
        <f>SUMIF('Commodity Prices'!C$159:C$902,A16,'Commodity Prices'!M$159:M$902)</f>
        <v>15682.14</v>
      </c>
      <c r="C16" s="489">
        <f>SUMIF('Commodity Prices'!C$159:C$902,A16,'Commodity Prices'!N$159:N$902)</f>
        <v>23158.138488260069</v>
      </c>
      <c r="D16" s="547"/>
      <c r="E16" s="70">
        <f t="shared" si="1"/>
        <v>1994</v>
      </c>
      <c r="F16" s="70">
        <f t="shared" si="1"/>
        <v>1995</v>
      </c>
      <c r="G16" s="628">
        <f t="shared" si="0"/>
        <v>1994</v>
      </c>
      <c r="H16" s="565">
        <f t="array" ref="H16">IF($G$6="Historic Calendar Year",IFERROR(AVERAGE(IF($G16=YEAR('Commodity Prices'!$C$100:$C$1000),'Commodity Prices'!$M$100:$M$995)),"NA"),IFERROR(IF(K16=0,"NA",K16),"NA"))</f>
        <v>6340.3230000000003</v>
      </c>
      <c r="I16" s="489">
        <f t="array" ref="I16">IF($G$6="Historic Calendar Year",IFERROR(AVERAGE(IF($G16=YEAR('Commodity Prices'!$C$100:$C$1000),'Commodity Prices'!$N$100:$N$1000)),"NA"),IFERROR(IF(J16=0,"NA",J16),"NA"))</f>
        <v>8643.5326677242356</v>
      </c>
      <c r="J16" s="278">
        <f>(SUMIFS('Commodity Prices'!$N$9:$N$2500,'Commodity Prices'!$A$9:$A$2500,'Nickel - Prices'!E16,'Commodity Prices'!$B$9:$B$2500,3)+
SUMIFS('Commodity Prices'!$N$9:$N$2500,'Commodity Prices'!$A$9:$A$2500,'Nickel - Prices'!E16,'Commodity Prices'!$B$9:$B$2500,4)+
SUMIFS('Commodity Prices'!$N$9:$N$2500,'Commodity Prices'!$A$9:$A$2500,'Nickel - Prices'!F16,'Commodity Prices'!$B$9:$B$2500,1)+
SUMIFS('Commodity Prices'!$N$9:$N$2500,'Commodity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10025.880892350542</v>
      </c>
      <c r="K16" s="349">
        <f>(SUMIFS('Commodity Prices'!$M$9:$M$2500,'Commodity Prices'!$A$9:$A$2500,'Nickel - Prices'!E16,'Commodity Prices'!$B$9:$B$2500,3)+
SUMIFS('Commodity Prices'!$M$9:$M$2500,'Commodity Prices'!$A$9:$A$2500,'Nickel - Prices'!E16,'Commodity Prices'!$B$9:$B$2500,4)+
SUMIFS('Commodity Prices'!$M$9:$M$2500,'Commodity Prices'!$A$9:$A$2500,'Nickel - Prices'!F16,'Commodity Prices'!$B$9:$B$2500,1)+
SUMIFS('Commodity Prices'!$M$9:$M$2500,'Commodity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7454.0805</v>
      </c>
    </row>
    <row r="17" spans="1:11">
      <c r="A17" s="624">
        <f>LARGE('Commodity Prices'!C$159:C$902,52)</f>
        <v>43709</v>
      </c>
      <c r="B17" s="623">
        <f>SUMIF('Commodity Prices'!C$159:C$902,A17,'Commodity Prices'!M$159:M$902)</f>
        <v>17673.099999999999</v>
      </c>
      <c r="C17" s="621">
        <f>SUMIF('Commodity Prices'!C$159:C$902,A17,'Commodity Prices'!N$159:N$902)</f>
        <v>25959.131000426663</v>
      </c>
      <c r="D17" s="547"/>
      <c r="E17" s="70">
        <f t="shared" si="1"/>
        <v>1995</v>
      </c>
      <c r="F17" s="70">
        <f t="shared" si="1"/>
        <v>1996</v>
      </c>
      <c r="G17" s="628">
        <f t="shared" si="0"/>
        <v>1995</v>
      </c>
      <c r="H17" s="623">
        <f t="array" ref="H17">IF($G$6="Historic Calendar Year",IFERROR(AVERAGE(IF($G17=YEAR('Commodity Prices'!$C$100:$C$1000),'Commodity Prices'!$M$100:$M$995)),"NA"),IFERROR(IF(K17=0,"NA",K17),"NA"))</f>
        <v>8233.5949999999993</v>
      </c>
      <c r="I17" s="621">
        <f t="array" ref="I17">IF($G$6="Historic Calendar Year",IFERROR(AVERAGE(IF($G17=YEAR('Commodity Prices'!$C$100:$C$1000),'Commodity Prices'!$N$100:$N$1000)),"NA"),IFERROR(IF(J17=0,"NA",J17),"NA"))</f>
        <v>11099.375082539351</v>
      </c>
      <c r="J17" s="278">
        <f>(SUMIFS('Commodity Prices'!$N$9:$N$2500,'Commodity Prices'!$A$9:$A$2500,'Nickel - Prices'!E17,'Commodity Prices'!$B$9:$B$2500,3)+
SUMIFS('Commodity Prices'!$N$9:$N$2500,'Commodity Prices'!$A$9:$A$2500,'Nickel - Prices'!E17,'Commodity Prices'!$B$9:$B$2500,4)+
SUMIFS('Commodity Prices'!$N$9:$N$2500,'Commodity Prices'!$A$9:$A$2500,'Nickel - Prices'!F17,'Commodity Prices'!$B$9:$B$2500,1)+
SUMIFS('Commodity Prices'!$N$9:$N$2500,'Commodity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10840.300514706059</v>
      </c>
      <c r="K17" s="349">
        <f>(SUMIFS('Commodity Prices'!$M$9:$M$2500,'Commodity Prices'!$A$9:$A$2500,'Nickel - Prices'!E17,'Commodity Prices'!$B$9:$B$2500,3)+
SUMIFS('Commodity Prices'!$M$9:$M$2500,'Commodity Prices'!$A$9:$A$2500,'Nickel - Prices'!E17,'Commodity Prices'!$B$9:$B$2500,4)+
SUMIFS('Commodity Prices'!$M$9:$M$2500,'Commodity Prices'!$A$9:$A$2500,'Nickel - Prices'!F17,'Commodity Prices'!$B$9:$B$2500,1)+
SUMIFS('Commodity Prices'!$M$9:$M$2500,'Commodity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8219.2416666666668</v>
      </c>
    </row>
    <row r="18" spans="1:11">
      <c r="A18" s="622">
        <f>LARGE('Commodity Prices'!C$159:C$902,51)</f>
        <v>43739</v>
      </c>
      <c r="B18" s="565">
        <f>SUMIF('Commodity Prices'!C$159:C$902,A18,'Commodity Prices'!M$159:M$902)</f>
        <v>17113.48</v>
      </c>
      <c r="C18" s="489">
        <f>SUMIF('Commodity Prices'!C$159:C$902,A18,'Commodity Prices'!N$159:N$902)</f>
        <v>25182.200402651346</v>
      </c>
      <c r="D18" s="547"/>
      <c r="E18" s="70">
        <f t="shared" si="1"/>
        <v>1996</v>
      </c>
      <c r="F18" s="70">
        <f t="shared" si="1"/>
        <v>1997</v>
      </c>
      <c r="G18" s="628">
        <f t="shared" si="0"/>
        <v>1996</v>
      </c>
      <c r="H18" s="565">
        <f t="array" ref="H18">IF($G$6="Historic Calendar Year",IFERROR(AVERAGE(IF($G18=YEAR('Commodity Prices'!$C$100:$C$1000),'Commodity Prices'!$M$100:$M$995)),"NA"),IFERROR(IF(K18=0,"NA",K18),"NA"))</f>
        <v>7531.4583333333348</v>
      </c>
      <c r="I18" s="489">
        <f t="array" ref="I18">IF($G$6="Historic Calendar Year",IFERROR(AVERAGE(IF($G18=YEAR('Commodity Prices'!$C$100:$C$1000),'Commodity Prices'!$N$100:$N$1000)),"NA"),IFERROR(IF(J18=0,"NA",J18),"NA"))</f>
        <v>9631.7317750959719</v>
      </c>
      <c r="J18" s="278">
        <f>(SUMIFS('Commodity Prices'!$N$9:$N$2500,'Commodity Prices'!$A$9:$A$2500,'Nickel - Prices'!E18,'Commodity Prices'!$B$9:$B$2500,3)+
SUMIFS('Commodity Prices'!$N$9:$N$2500,'Commodity Prices'!$A$9:$A$2500,'Nickel - Prices'!E18,'Commodity Prices'!$B$9:$B$2500,4)+
SUMIFS('Commodity Prices'!$N$9:$N$2500,'Commodity Prices'!$A$9:$A$2500,'Nickel - Prices'!F18,'Commodity Prices'!$B$9:$B$2500,1)+
SUMIFS('Commodity Prices'!$N$9:$N$2500,'Commodity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9257.1616668490296</v>
      </c>
      <c r="K18" s="349">
        <f>(SUMIFS('Commodity Prices'!$M$9:$M$2500,'Commodity Prices'!$A$9:$A$2500,'Nickel - Prices'!E18,'Commodity Prices'!$B$9:$B$2500,3)+
SUMIFS('Commodity Prices'!$M$9:$M$2500,'Commodity Prices'!$A$9:$A$2500,'Nickel - Prices'!E18,'Commodity Prices'!$B$9:$B$2500,4)+
SUMIFS('Commodity Prices'!$M$9:$M$2500,'Commodity Prices'!$A$9:$A$2500,'Nickel - Prices'!F18,'Commodity Prices'!$B$9:$B$2500,1)+
SUMIFS('Commodity Prices'!$M$9:$M$2500,'Commodity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7243.3249999999998</v>
      </c>
    </row>
    <row r="19" spans="1:11">
      <c r="A19" s="624">
        <f>LARGE('Commodity Prices'!C$159:C$902,50)</f>
        <v>43770</v>
      </c>
      <c r="B19" s="623">
        <f>SUMIF('Commodity Prices'!C$159:C$902,A19,'Commodity Prices'!M$159:M$902)</f>
        <v>15199.52</v>
      </c>
      <c r="C19" s="621">
        <f>SUMIF('Commodity Prices'!C$159:C$902,A19,'Commodity Prices'!N$159:N$902)</f>
        <v>22256.383223512184</v>
      </c>
      <c r="D19" s="547"/>
      <c r="E19" s="70">
        <f t="shared" si="1"/>
        <v>1997</v>
      </c>
      <c r="F19" s="70">
        <f t="shared" si="1"/>
        <v>1998</v>
      </c>
      <c r="G19" s="628">
        <f t="shared" si="0"/>
        <v>1997</v>
      </c>
      <c r="H19" s="623">
        <f t="array" ref="H19">IF($G$6="Historic Calendar Year",IFERROR(AVERAGE(IF($G19=YEAR('Commodity Prices'!$C$100:$C$1000),'Commodity Prices'!$M$100:$M$995)),"NA"),IFERROR(IF(K19=0,"NA",K19),"NA"))</f>
        <v>6924.1499999999987</v>
      </c>
      <c r="I19" s="621">
        <f t="array" ref="I19">IF($G$6="Historic Calendar Year",IFERROR(AVERAGE(IF($G19=YEAR('Commodity Prices'!$C$100:$C$1000),'Commodity Prices'!$N$100:$N$1000)),"NA"),IFERROR(IF(J19=0,"NA",J19),"NA"))</f>
        <v>9291.8261160070087</v>
      </c>
      <c r="J19" s="278">
        <f>(SUMIFS('Commodity Prices'!$N$9:$N$2500,'Commodity Prices'!$A$9:$A$2500,'Nickel - Prices'!E19,'Commodity Prices'!$B$9:$B$2500,3)+
SUMIFS('Commodity Prices'!$N$9:$N$2500,'Commodity Prices'!$A$9:$A$2500,'Nickel - Prices'!E19,'Commodity Prices'!$B$9:$B$2500,4)+
SUMIFS('Commodity Prices'!$N$9:$N$2500,'Commodity Prices'!$A$9:$A$2500,'Nickel - Prices'!F19,'Commodity Prices'!$B$9:$B$2500,1)+
SUMIFS('Commodity Prices'!$N$9:$N$2500,'Commodity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8508.99621054608</v>
      </c>
      <c r="K19" s="349">
        <f>(SUMIFS('Commodity Prices'!$M$9:$M$2500,'Commodity Prices'!$A$9:$A$2500,'Nickel - Prices'!E19,'Commodity Prices'!$B$9:$B$2500,3)+
SUMIFS('Commodity Prices'!$M$9:$M$2500,'Commodity Prices'!$A$9:$A$2500,'Nickel - Prices'!E19,'Commodity Prices'!$B$9:$B$2500,4)+
SUMIFS('Commodity Prices'!$M$9:$M$2500,'Commodity Prices'!$A$9:$A$2500,'Nickel - Prices'!F19,'Commodity Prices'!$B$9:$B$2500,1)+
SUMIFS('Commodity Prices'!$M$9:$M$2500,'Commodity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5813.9175000000005</v>
      </c>
    </row>
    <row r="20" spans="1:11">
      <c r="A20" s="622">
        <f>LARGE('Commodity Prices'!C$159:C$902,49)</f>
        <v>43800</v>
      </c>
      <c r="B20" s="565">
        <f>SUMIF('Commodity Prices'!C$159:C$902,A20,'Commodity Prices'!M$159:M$902)</f>
        <v>13800.5</v>
      </c>
      <c r="C20" s="489">
        <f>SUMIF('Commodity Prices'!C$159:C$902,A20,'Commodity Prices'!N$159:N$902)</f>
        <v>20067.908505285814</v>
      </c>
      <c r="D20" s="547"/>
      <c r="E20" s="70">
        <f t="shared" si="1"/>
        <v>1998</v>
      </c>
      <c r="F20" s="70">
        <f t="shared" si="1"/>
        <v>1999</v>
      </c>
      <c r="G20" s="628">
        <f t="shared" si="0"/>
        <v>1998</v>
      </c>
      <c r="H20" s="565">
        <f t="array" ref="H20">IF($G$6="Historic Calendar Year",IFERROR(AVERAGE(IF($G20=YEAR('Commodity Prices'!$C$100:$C$1000),'Commodity Prices'!$M$100:$M$995)),"NA"),IFERROR(IF(K20=0,"NA",K20),"NA"))</f>
        <v>4632.6191666666664</v>
      </c>
      <c r="I20" s="489">
        <f t="array" ref="I20">IF($G$6="Historic Calendar Year",IFERROR(AVERAGE(IF($G20=YEAR('Commodity Prices'!$C$100:$C$1000),'Commodity Prices'!$N$100:$N$1000)),"NA"),IFERROR(IF(J20=0,"NA",J20),"NA"))</f>
        <v>7339.2905318583653</v>
      </c>
      <c r="J20" s="278">
        <f>(SUMIFS('Commodity Prices'!$N$9:$N$2500,'Commodity Prices'!$A$9:$A$2500,'Nickel - Prices'!E20,'Commodity Prices'!$B$9:$B$2500,3)+
SUMIFS('Commodity Prices'!$N$9:$N$2500,'Commodity Prices'!$A$9:$A$2500,'Nickel - Prices'!E20,'Commodity Prices'!$B$9:$B$2500,4)+
SUMIFS('Commodity Prices'!$N$9:$N$2500,'Commodity Prices'!$A$9:$A$2500,'Nickel - Prices'!F20,'Commodity Prices'!$B$9:$B$2500,1)+
SUMIFS('Commodity Prices'!$N$9:$N$2500,'Commodity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7162.868768031236</v>
      </c>
      <c r="K20" s="349">
        <f>(SUMIFS('Commodity Prices'!$M$9:$M$2500,'Commodity Prices'!$A$9:$A$2500,'Nickel - Prices'!E20,'Commodity Prices'!$B$9:$B$2500,3)+
SUMIFS('Commodity Prices'!$M$9:$M$2500,'Commodity Prices'!$A$9:$A$2500,'Nickel - Prices'!E20,'Commodity Prices'!$B$9:$B$2500,4)+
SUMIFS('Commodity Prices'!$M$9:$M$2500,'Commodity Prices'!$A$9:$A$2500,'Nickel - Prices'!F20,'Commodity Prices'!$B$9:$B$2500,1)+
SUMIFS('Commodity Prices'!$M$9:$M$2500,'Commodity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4502.7719999999999</v>
      </c>
    </row>
    <row r="21" spans="1:11">
      <c r="A21" s="624">
        <f>LARGE('Commodity Prices'!C$159:C$902,48)</f>
        <v>43831</v>
      </c>
      <c r="B21" s="623">
        <f>SUMIF('Commodity Prices'!C$159:C$902,A21,'Commodity Prices'!M$159:M$902)</f>
        <v>13552.95</v>
      </c>
      <c r="C21" s="621">
        <f>SUMIF('Commodity Prices'!C$159:C$902,A21,'Commodity Prices'!N$159:N$902)</f>
        <v>19726.772111979044</v>
      </c>
      <c r="D21" s="547"/>
      <c r="E21" s="70">
        <f t="shared" si="1"/>
        <v>1999</v>
      </c>
      <c r="F21" s="70">
        <f t="shared" si="1"/>
        <v>2000</v>
      </c>
      <c r="G21" s="628">
        <f t="shared" si="0"/>
        <v>1999</v>
      </c>
      <c r="H21" s="623">
        <f t="array" ref="H21">IF($G$6="Historic Calendar Year",IFERROR(AVERAGE(IF($G21=YEAR('Commodity Prices'!$C$100:$C$1000),'Commodity Prices'!$M$100:$M$995)),"NA"),IFERROR(IF(K21=0,"NA",K21),"NA"))</f>
        <v>6014.5920000000006</v>
      </c>
      <c r="I21" s="621">
        <f t="array" ref="I21">IF($G$6="Historic Calendar Year",IFERROR(AVERAGE(IF($G21=YEAR('Commodity Prices'!$C$100:$C$1000),'Commodity Prices'!$N$100:$N$1000)),"NA"),IFERROR(IF(J21=0,"NA",J21),"NA"))</f>
        <v>9318.6959983254765</v>
      </c>
      <c r="J21" s="278">
        <f>(SUMIFS('Commodity Prices'!$N$9:$N$2500,'Commodity Prices'!$A$9:$A$2500,'Nickel - Prices'!E21,'Commodity Prices'!$B$9:$B$2500,3)+
SUMIFS('Commodity Prices'!$N$9:$N$2500,'Commodity Prices'!$A$9:$A$2500,'Nickel - Prices'!E21,'Commodity Prices'!$B$9:$B$2500,4)+
SUMIFS('Commodity Prices'!$N$9:$N$2500,'Commodity Prices'!$A$9:$A$2500,'Nickel - Prices'!F21,'Commodity Prices'!$B$9:$B$2500,1)+
SUMIFS('Commodity Prices'!$N$9:$N$2500,'Commodity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13219.810643659506</v>
      </c>
      <c r="K21" s="349">
        <f>(SUMIFS('Commodity Prices'!$M$9:$M$2500,'Commodity Prices'!$A$9:$A$2500,'Nickel - Prices'!E21,'Commodity Prices'!$B$9:$B$2500,3)+
SUMIFS('Commodity Prices'!$M$9:$M$2500,'Commodity Prices'!$A$9:$A$2500,'Nickel - Prices'!E21,'Commodity Prices'!$B$9:$B$2500,4)+
SUMIFS('Commodity Prices'!$M$9:$M$2500,'Commodity Prices'!$A$9:$A$2500,'Nickel - Prices'!F21,'Commodity Prices'!$B$9:$B$2500,1)+
SUMIFS('Commodity Prices'!$M$9:$M$2500,'Commodity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8257.3924999999999</v>
      </c>
    </row>
    <row r="22" spans="1:11">
      <c r="A22" s="622">
        <f>LARGE('Commodity Prices'!C$159:C$902,47)</f>
        <v>43862</v>
      </c>
      <c r="B22" s="565">
        <f>SUMIF('Commodity Prices'!C$159:C$902,A22,'Commodity Prices'!M$159:M$902)</f>
        <v>12743.5</v>
      </c>
      <c r="C22" s="489">
        <f>SUMIF('Commodity Prices'!C$159:C$902,A22,'Commodity Prices'!N$159:N$902)</f>
        <v>19095.533861288222</v>
      </c>
      <c r="D22" s="547"/>
      <c r="E22" s="70">
        <f t="shared" si="1"/>
        <v>2000</v>
      </c>
      <c r="F22" s="70">
        <f t="shared" si="1"/>
        <v>2001</v>
      </c>
      <c r="G22" s="628">
        <f t="shared" si="0"/>
        <v>2000</v>
      </c>
      <c r="H22" s="565">
        <f t="array" ref="H22">IF($G$6="Historic Calendar Year",IFERROR(AVERAGE(IF($G22=YEAR('Commodity Prices'!$C$100:$C$1000),'Commodity Prices'!$M$100:$M$995)),"NA"),IFERROR(IF(K22=0,"NA",K22),"NA"))</f>
        <v>8641.8808333333345</v>
      </c>
      <c r="I22" s="489">
        <f t="array" ref="I22">IF($G$6="Historic Calendar Year",IFERROR(AVERAGE(IF($G22=YEAR('Commodity Prices'!$C$100:$C$1000),'Commodity Prices'!$N$100:$N$1000)),"NA"),IFERROR(IF(J22=0,"NA",J22),"NA"))</f>
        <v>14839.194849024641</v>
      </c>
      <c r="J22" s="278">
        <f>(SUMIFS('Commodity Prices'!$N$9:$N$2500,'Commodity Prices'!$A$9:$A$2500,'Nickel - Prices'!E22,'Commodity Prices'!$B$9:$B$2500,3)+
SUMIFS('Commodity Prices'!$N$9:$N$2500,'Commodity Prices'!$A$9:$A$2500,'Nickel - Prices'!E22,'Commodity Prices'!$B$9:$B$2500,4)+
SUMIFS('Commodity Prices'!$N$9:$N$2500,'Commodity Prices'!$A$9:$A$2500,'Nickel - Prices'!F22,'Commodity Prices'!$B$9:$B$2500,1)+
SUMIFS('Commodity Prices'!$N$9:$N$2500,'Commodity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13439.072229290256</v>
      </c>
      <c r="K22" s="349">
        <f>(SUMIFS('Commodity Prices'!$M$9:$M$2500,'Commodity Prices'!$A$9:$A$2500,'Nickel - Prices'!E22,'Commodity Prices'!$B$9:$B$2500,3)+
SUMIFS('Commodity Prices'!$M$9:$M$2500,'Commodity Prices'!$A$9:$A$2500,'Nickel - Prices'!E22,'Commodity Prices'!$B$9:$B$2500,4)+
SUMIFS('Commodity Prices'!$M$9:$M$2500,'Commodity Prices'!$A$9:$A$2500,'Nickel - Prices'!F22,'Commodity Prices'!$B$9:$B$2500,1)+
SUMIFS('Commodity Prices'!$M$9:$M$2500,'Commodity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7239.4783333333335</v>
      </c>
    </row>
    <row r="23" spans="1:11">
      <c r="A23" s="624">
        <f>LARGE('Commodity Prices'!C$159:C$902,46)</f>
        <v>43891</v>
      </c>
      <c r="B23" s="623">
        <f>SUMIF('Commodity Prices'!C$159:C$902,A23,'Commodity Prices'!M$159:M$902)</f>
        <v>11873</v>
      </c>
      <c r="C23" s="621">
        <f>SUMIF('Commodity Prices'!C$159:C$902,A23,'Commodity Prices'!N$159:N$902)</f>
        <v>19060.149004327108</v>
      </c>
      <c r="D23" s="547"/>
      <c r="E23" s="70">
        <f t="shared" si="1"/>
        <v>2001</v>
      </c>
      <c r="F23" s="70">
        <f t="shared" si="1"/>
        <v>2002</v>
      </c>
      <c r="G23" s="628">
        <f t="shared" si="0"/>
        <v>2001</v>
      </c>
      <c r="H23" s="623">
        <f t="array" ref="H23">IF($G$6="Historic Calendar Year",IFERROR(AVERAGE(IF($G23=YEAR('Commodity Prices'!$C$100:$C$1000),'Commodity Prices'!$M$100:$M$995)),"NA"),IFERROR(IF(K23=0,"NA",K23),"NA"))</f>
        <v>5949.4933333333347</v>
      </c>
      <c r="I23" s="621">
        <f t="array" ref="I23">IF($G$6="Historic Calendar Year",IFERROR(AVERAGE(IF($G23=YEAR('Commodity Prices'!$C$100:$C$1000),'Commodity Prices'!$N$100:$N$1000)),"NA"),IFERROR(IF(J23=0,"NA",J23),"NA"))</f>
        <v>11480.188599147981</v>
      </c>
      <c r="J23" s="278">
        <f>(SUMIFS('Commodity Prices'!$N$9:$N$2500,'Commodity Prices'!$A$9:$A$2500,'Nickel - Prices'!E23,'Commodity Prices'!$B$9:$B$2500,3)+
SUMIFS('Commodity Prices'!$N$9:$N$2500,'Commodity Prices'!$A$9:$A$2500,'Nickel - Prices'!E23,'Commodity Prices'!$B$9:$B$2500,4)+
SUMIFS('Commodity Prices'!$N$9:$N$2500,'Commodity Prices'!$A$9:$A$2500,'Nickel - Prices'!F23,'Commodity Prices'!$B$9:$B$2500,1)+
SUMIFS('Commodity Prices'!$N$9:$N$2500,'Commodity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11321.761904162902</v>
      </c>
      <c r="K23" s="349">
        <f>(SUMIFS('Commodity Prices'!$M$9:$M$2500,'Commodity Prices'!$A$9:$A$2500,'Nickel - Prices'!E23,'Commodity Prices'!$B$9:$B$2500,3)+
SUMIFS('Commodity Prices'!$M$9:$M$2500,'Commodity Prices'!$A$9:$A$2500,'Nickel - Prices'!E23,'Commodity Prices'!$B$9:$B$2500,4)+
SUMIFS('Commodity Prices'!$M$9:$M$2500,'Commodity Prices'!$A$9:$A$2500,'Nickel - Prices'!F23,'Commodity Prices'!$B$9:$B$2500,1)+
SUMIFS('Commodity Prices'!$M$9:$M$2500,'Commodity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5946.2391666666663</v>
      </c>
    </row>
    <row r="24" spans="1:11">
      <c r="A24" s="622">
        <f>LARGE('Commodity Prices'!C$159:C$902,45)</f>
        <v>43922</v>
      </c>
      <c r="B24" s="565">
        <f>SUMIF('Commodity Prices'!C$159:C$902,A24,'Commodity Prices'!M$159:M$902)</f>
        <v>11753.2</v>
      </c>
      <c r="C24" s="489">
        <f>SUMIF('Commodity Prices'!C$159:C$902,A24,'Commodity Prices'!N$159:N$902)</f>
        <v>18662.241876195847</v>
      </c>
      <c r="D24" s="547"/>
      <c r="E24" s="70">
        <f t="shared" si="1"/>
        <v>2002</v>
      </c>
      <c r="F24" s="70">
        <f t="shared" si="1"/>
        <v>2003</v>
      </c>
      <c r="G24" s="628">
        <f t="shared" si="0"/>
        <v>2002</v>
      </c>
      <c r="H24" s="565">
        <f t="array" ref="H24">IF($G$6="Historic Calendar Year",IFERROR(AVERAGE(IF($G24=YEAR('Commodity Prices'!$C$100:$C$1000),'Commodity Prices'!$M$100:$M$995)),"NA"),IFERROR(IF(K24=0,"NA",K24),"NA"))</f>
        <v>6793.0508333333337</v>
      </c>
      <c r="I24" s="489">
        <f t="array" ref="I24">IF($G$6="Historic Calendar Year",IFERROR(AVERAGE(IF($G24=YEAR('Commodity Prices'!$C$100:$C$1000),'Commodity Prices'!$N$100:$N$1000)),"NA"),IFERROR(IF(J24=0,"NA",J24),"NA"))</f>
        <v>12480.84574770486</v>
      </c>
      <c r="J24" s="278">
        <f>(SUMIFS('Commodity Prices'!$N$9:$N$2500,'Commodity Prices'!$A$9:$A$2500,'Nickel - Prices'!E24,'Commodity Prices'!$B$9:$B$2500,3)+
SUMIFS('Commodity Prices'!$N$9:$N$2500,'Commodity Prices'!$A$9:$A$2500,'Nickel - Prices'!E24,'Commodity Prices'!$B$9:$B$2500,4)+
SUMIFS('Commodity Prices'!$N$9:$N$2500,'Commodity Prices'!$A$9:$A$2500,'Nickel - Prices'!F24,'Commodity Prices'!$B$9:$B$2500,1)+
SUMIFS('Commodity Prices'!$N$9:$N$2500,'Commodity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13092.125270484888</v>
      </c>
      <c r="K24" s="349">
        <f>(SUMIFS('Commodity Prices'!$M$9:$M$2500,'Commodity Prices'!$A$9:$A$2500,'Nickel - Prices'!E24,'Commodity Prices'!$B$9:$B$2500,3)+
SUMIFS('Commodity Prices'!$M$9:$M$2500,'Commodity Prices'!$A$9:$A$2500,'Nickel - Prices'!E24,'Commodity Prices'!$B$9:$B$2500,4)+
SUMIFS('Commodity Prices'!$M$9:$M$2500,'Commodity Prices'!$A$9:$A$2500,'Nickel - Prices'!F24,'Commodity Prices'!$B$9:$B$2500,1)+
SUMIFS('Commodity Prices'!$M$9:$M$2500,'Commodity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7667.6566666666658</v>
      </c>
    </row>
    <row r="25" spans="1:11">
      <c r="A25" s="624">
        <f>LARGE('Commodity Prices'!C$159:C$902,44)</f>
        <v>43952</v>
      </c>
      <c r="B25" s="623">
        <f>SUMIF('Commodity Prices'!C$159:C$902,A25,'Commodity Prices'!M$159:M$902)</f>
        <v>12135.32</v>
      </c>
      <c r="C25" s="621">
        <f>SUMIF('Commodity Prices'!C$159:C$902,A25,'Commodity Prices'!N$159:N$902)</f>
        <v>18642.271819518508</v>
      </c>
      <c r="D25" s="547"/>
      <c r="E25" s="70">
        <f t="shared" si="1"/>
        <v>2003</v>
      </c>
      <c r="F25" s="70">
        <f t="shared" si="1"/>
        <v>2004</v>
      </c>
      <c r="G25" s="628">
        <f t="shared" si="0"/>
        <v>2003</v>
      </c>
      <c r="H25" s="623">
        <f t="array" ref="H25">IF($G$6="Historic Calendar Year",IFERROR(AVERAGE(IF($G25=YEAR('Commodity Prices'!$C$100:$C$1000),'Commodity Prices'!$M$100:$M$995)),"NA"),IFERROR(IF(K25=0,"NA",K25),"NA"))</f>
        <v>9633.3608333333341</v>
      </c>
      <c r="I25" s="621">
        <f t="array" ref="I25">IF($G$6="Historic Calendar Year",IFERROR(AVERAGE(IF($G25=YEAR('Commodity Prices'!$C$100:$C$1000),'Commodity Prices'!$N$100:$N$1000)),"NA"),IFERROR(IF(J25=0,"NA",J25),"NA"))</f>
        <v>14681.767613151509</v>
      </c>
      <c r="J25" s="278">
        <f>(SUMIFS('Commodity Prices'!$N$9:$N$2500,'Commodity Prices'!$A$9:$A$2500,'Nickel - Prices'!E25,'Commodity Prices'!$B$9:$B$2500,3)+
SUMIFS('Commodity Prices'!$N$9:$N$2500,'Commodity Prices'!$A$9:$A$2500,'Nickel - Prices'!E25,'Commodity Prices'!$B$9:$B$2500,4)+
SUMIFS('Commodity Prices'!$N$9:$N$2500,'Commodity Prices'!$A$9:$A$2500,'Nickel - Prices'!F25,'Commodity Prices'!$B$9:$B$2500,1)+
SUMIFS('Commodity Prices'!$N$9:$N$2500,'Commodity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17082.860859670152</v>
      </c>
      <c r="K25" s="349">
        <f>(SUMIFS('Commodity Prices'!$M$9:$M$2500,'Commodity Prices'!$A$9:$A$2500,'Nickel - Prices'!E25,'Commodity Prices'!$B$9:$B$2500,3)+
SUMIFS('Commodity Prices'!$M$9:$M$2500,'Commodity Prices'!$A$9:$A$2500,'Nickel - Prices'!E25,'Commodity Prices'!$B$9:$B$2500,4)+
SUMIFS('Commodity Prices'!$M$9:$M$2500,'Commodity Prices'!$A$9:$A$2500,'Nickel - Prices'!F25,'Commodity Prices'!$B$9:$B$2500,1)+
SUMIFS('Commodity Prices'!$M$9:$M$2500,'Commodity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12263.713333333333</v>
      </c>
    </row>
    <row r="26" spans="1:11">
      <c r="A26" s="622">
        <f>LARGE('Commodity Prices'!C$159:C$902,43)</f>
        <v>43983</v>
      </c>
      <c r="B26" s="565">
        <f>SUMIF('Commodity Prices'!C$159:C$902,A26,'Commodity Prices'!M$159:M$902)</f>
        <v>12703.27</v>
      </c>
      <c r="C26" s="489">
        <f>SUMIF('Commodity Prices'!C$159:C$902,A26,'Commodity Prices'!N$159:N$902)</f>
        <v>18431.779207229865</v>
      </c>
      <c r="D26" s="547"/>
      <c r="E26" s="70">
        <f t="shared" si="1"/>
        <v>2004</v>
      </c>
      <c r="F26" s="70">
        <f t="shared" si="1"/>
        <v>2005</v>
      </c>
      <c r="G26" s="628">
        <f t="shared" si="0"/>
        <v>2004</v>
      </c>
      <c r="H26" s="565">
        <f t="array" ref="H26">IF($G$6="Historic Calendar Year",IFERROR(AVERAGE(IF($G26=YEAR('Commodity Prices'!$C$100:$C$1000),'Commodity Prices'!$M$100:$M$995)),"NA"),IFERROR(IF(K26=0,"NA",K26),"NA"))</f>
        <v>13830.259166666665</v>
      </c>
      <c r="I26" s="489">
        <f t="array" ref="I26">IF($G$6="Historic Calendar Year",IFERROR(AVERAGE(IF($G26=YEAR('Commodity Prices'!$C$100:$C$1000),'Commodity Prices'!$N$100:$N$1000)),"NA"),IFERROR(IF(J26=0,"NA",J26),"NA"))</f>
        <v>18776.299374102182</v>
      </c>
      <c r="J26" s="278">
        <f>(SUMIFS('Commodity Prices'!$N$9:$N$2500,'Commodity Prices'!$A$9:$A$2500,'Nickel - Prices'!E26,'Commodity Prices'!$B$9:$B$2500,3)+
SUMIFS('Commodity Prices'!$N$9:$N$2500,'Commodity Prices'!$A$9:$A$2500,'Nickel - Prices'!E26,'Commodity Prices'!$B$9:$B$2500,4)+
SUMIFS('Commodity Prices'!$N$9:$N$2500,'Commodity Prices'!$A$9:$A$2500,'Nickel - Prices'!F26,'Commodity Prices'!$B$9:$B$2500,1)+
SUMIFS('Commodity Prices'!$N$9:$N$2500,'Commodity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19862.976842643191</v>
      </c>
      <c r="K26" s="349">
        <f>(SUMIFS('Commodity Prices'!$M$9:$M$2500,'Commodity Prices'!$A$9:$A$2500,'Nickel - Prices'!E26,'Commodity Prices'!$B$9:$B$2500,3)+
SUMIFS('Commodity Prices'!$M$9:$M$2500,'Commodity Prices'!$A$9:$A$2500,'Nickel - Prices'!E26,'Commodity Prices'!$B$9:$B$2500,4)+
SUMIFS('Commodity Prices'!$M$9:$M$2500,'Commodity Prices'!$A$9:$A$2500,'Nickel - Prices'!F26,'Commodity Prices'!$B$9:$B$2500,1)+
SUMIFS('Commodity Prices'!$M$9:$M$2500,'Commodity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14959.340833333334</v>
      </c>
    </row>
    <row r="27" spans="1:11">
      <c r="A27" s="624">
        <f>LARGE('Commodity Prices'!C$159:C$902,42)</f>
        <v>44013</v>
      </c>
      <c r="B27" s="623">
        <f>SUMIF('Commodity Prices'!C$159:C$902,A27,'Commodity Prices'!M$159:M$902)</f>
        <v>13341.35</v>
      </c>
      <c r="C27" s="621">
        <f>SUMIF('Commodity Prices'!C$159:C$902,A27,'Commodity Prices'!N$159:N$902)</f>
        <v>18981.847143608298</v>
      </c>
      <c r="D27" s="547"/>
      <c r="E27" s="70">
        <f t="shared" si="1"/>
        <v>2005</v>
      </c>
      <c r="F27" s="70">
        <f t="shared" si="1"/>
        <v>2006</v>
      </c>
      <c r="G27" s="628">
        <f t="shared" si="0"/>
        <v>2005</v>
      </c>
      <c r="H27" s="623">
        <f t="array" ref="H27">IF($G$6="Historic Calendar Year",IFERROR(AVERAGE(IF($G27=YEAR('Commodity Prices'!$C$100:$C$1000),'Commodity Prices'!$M$100:$M$995)),"NA"),IFERROR(IF(K27=0,"NA",K27),"NA"))</f>
        <v>14743.910000000002</v>
      </c>
      <c r="I27" s="621">
        <f t="array" ref="I27">IF($G$6="Historic Calendar Year",IFERROR(AVERAGE(IF($G27=YEAR('Commodity Prices'!$C$100:$C$1000),'Commodity Prices'!$N$100:$N$1000)),"NA"),IFERROR(IF(J27=0,"NA",J27),"NA"))</f>
        <v>19319.30706067169</v>
      </c>
      <c r="J27" s="278">
        <f>(SUMIFS('Commodity Prices'!$N$9:$N$2500,'Commodity Prices'!$A$9:$A$2500,'Nickel - Prices'!E27,'Commodity Prices'!$B$9:$B$2500,3)+
SUMIFS('Commodity Prices'!$N$9:$N$2500,'Commodity Prices'!$A$9:$A$2500,'Nickel - Prices'!E27,'Commodity Prices'!$B$9:$B$2500,4)+
SUMIFS('Commodity Prices'!$N$9:$N$2500,'Commodity Prices'!$A$9:$A$2500,'Nickel - Prices'!F27,'Commodity Prices'!$B$9:$B$2500,1)+
SUMIFS('Commodity Prices'!$N$9:$N$2500,'Commodity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20722.573044849039</v>
      </c>
      <c r="K27" s="349">
        <f>(SUMIFS('Commodity Prices'!$M$9:$M$2500,'Commodity Prices'!$A$9:$A$2500,'Nickel - Prices'!E27,'Commodity Prices'!$B$9:$B$2500,3)+
SUMIFS('Commodity Prices'!$M$9:$M$2500,'Commodity Prices'!$A$9:$A$2500,'Nickel - Prices'!E27,'Commodity Prices'!$B$9:$B$2500,4)+
SUMIFS('Commodity Prices'!$M$9:$M$2500,'Commodity Prices'!$A$9:$A$2500,'Nickel - Prices'!F27,'Commodity Prices'!$B$9:$B$2500,1)+
SUMIFS('Commodity Prices'!$M$9:$M$2500,'Commodity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15487.896666666667</v>
      </c>
    </row>
    <row r="28" spans="1:11">
      <c r="A28" s="622">
        <f>LARGE('Commodity Prices'!C$159:C$902,41)</f>
        <v>44044</v>
      </c>
      <c r="B28" s="565">
        <f>SUMIF('Commodity Prices'!C$159:C$902,A28,'Commodity Prices'!M$159:M$902)</f>
        <v>14486.86</v>
      </c>
      <c r="C28" s="489">
        <f>SUMIF('Commodity Prices'!C$159:C$902,A28,'Commodity Prices'!N$159:N$902)</f>
        <v>20122.874763862652</v>
      </c>
      <c r="D28" s="547"/>
      <c r="E28" s="70">
        <f t="shared" si="1"/>
        <v>2006</v>
      </c>
      <c r="F28" s="70">
        <f t="shared" si="1"/>
        <v>2007</v>
      </c>
      <c r="G28" s="628">
        <f t="shared" si="0"/>
        <v>2006</v>
      </c>
      <c r="H28" s="565">
        <f t="array" ref="H28">IF($G$6="Historic Calendar Year",IFERROR(AVERAGE(IF($G28=YEAR('Commodity Prices'!$C$100:$C$1000),'Commodity Prices'!$M$100:$M$995)),"NA"),IFERROR(IF(K28=0,"NA",K28),"NA"))</f>
        <v>24360.182499999999</v>
      </c>
      <c r="I28" s="489">
        <f t="array" ref="I28">IF($G$6="Historic Calendar Year",IFERROR(AVERAGE(IF($G28=YEAR('Commodity Prices'!$C$100:$C$1000),'Commodity Prices'!$N$100:$N$1000)),"NA"),IFERROR(IF(J28=0,"NA",J28),"NA"))</f>
        <v>32188.773145870091</v>
      </c>
      <c r="J28" s="278">
        <f>(SUMIFS('Commodity Prices'!$N$9:$N$2500,'Commodity Prices'!$A$9:$A$2500,'Nickel - Prices'!E28,'Commodity Prices'!$B$9:$B$2500,3)+
SUMIFS('Commodity Prices'!$N$9:$N$2500,'Commodity Prices'!$A$9:$A$2500,'Nickel - Prices'!E28,'Commodity Prices'!$B$9:$B$2500,4)+
SUMIFS('Commodity Prices'!$N$9:$N$2500,'Commodity Prices'!$A$9:$A$2500,'Nickel - Prices'!F28,'Commodity Prices'!$B$9:$B$2500,1)+
SUMIFS('Commodity Prices'!$N$9:$N$2500,'Commodity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48152.426555949576</v>
      </c>
      <c r="K28" s="349">
        <f>(SUMIFS('Commodity Prices'!$M$9:$M$2500,'Commodity Prices'!$A$9:$A$2500,'Nickel - Prices'!E28,'Commodity Prices'!$B$9:$B$2500,3)+
SUMIFS('Commodity Prices'!$M$9:$M$2500,'Commodity Prices'!$A$9:$A$2500,'Nickel - Prices'!E28,'Commodity Prices'!$B$9:$B$2500,4)+
SUMIFS('Commodity Prices'!$M$9:$M$2500,'Commodity Prices'!$A$9:$A$2500,'Nickel - Prices'!F28,'Commodity Prices'!$B$9:$B$2500,1)+
SUMIFS('Commodity Prices'!$M$9:$M$2500,'Commodity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38050.126666666671</v>
      </c>
    </row>
    <row r="29" spans="1:11">
      <c r="A29" s="624">
        <f>LARGE('Commodity Prices'!C$159:C$902,40)</f>
        <v>44075</v>
      </c>
      <c r="B29" s="623">
        <f>SUMIF('Commodity Prices'!C$159:C$902,A29,'Commodity Prices'!M$159:M$902)</f>
        <v>14866.27</v>
      </c>
      <c r="C29" s="621">
        <f>SUMIF('Commodity Prices'!C$159:C$902,A29,'Commodity Prices'!N$159:N$902)</f>
        <v>20539.582875408996</v>
      </c>
      <c r="D29" s="547"/>
      <c r="E29" s="70">
        <f t="shared" si="1"/>
        <v>2007</v>
      </c>
      <c r="F29" s="70">
        <f t="shared" si="1"/>
        <v>2008</v>
      </c>
      <c r="G29" s="628">
        <f t="shared" si="0"/>
        <v>2007</v>
      </c>
      <c r="H29" s="623">
        <f t="array" ref="H29">IF($G$6="Historic Calendar Year",IFERROR(AVERAGE(IF($G29=YEAR('Commodity Prices'!$C$100:$C$1000),'Commodity Prices'!$M$100:$M$995)),"NA"),IFERROR(IF(K29=0,"NA",K29),"NA"))</f>
        <v>37229.805833333332</v>
      </c>
      <c r="I29" s="621">
        <f t="array" ref="I29">IF($G$6="Historic Calendar Year",IFERROR(AVERAGE(IF($G29=YEAR('Commodity Prices'!$C$100:$C$1000),'Commodity Prices'!$N$100:$N$1000)),"NA"),IFERROR(IF(J29=0,"NA",J29),"NA"))</f>
        <v>44744.99982866794</v>
      </c>
      <c r="J29" s="278">
        <f>(SUMIFS('Commodity Prices'!$N$9:$N$2500,'Commodity Prices'!$A$9:$A$2500,'Nickel - Prices'!E29,'Commodity Prices'!$B$9:$B$2500,3)+
SUMIFS('Commodity Prices'!$N$9:$N$2500,'Commodity Prices'!$A$9:$A$2500,'Nickel - Prices'!E29,'Commodity Prices'!$B$9:$B$2500,4)+
SUMIFS('Commodity Prices'!$N$9:$N$2500,'Commodity Prices'!$A$9:$A$2500,'Nickel - Prices'!F29,'Commodity Prices'!$B$9:$B$2500,1)+
SUMIFS('Commodity Prices'!$N$9:$N$2500,'Commodity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31899.190068586395</v>
      </c>
      <c r="K29" s="349">
        <f>(SUMIFS('Commodity Prices'!$M$9:$M$2500,'Commodity Prices'!$A$9:$A$2500,'Nickel - Prices'!E29,'Commodity Prices'!$B$9:$B$2500,3)+
SUMIFS('Commodity Prices'!$M$9:$M$2500,'Commodity Prices'!$A$9:$A$2500,'Nickel - Prices'!E29,'Commodity Prices'!$B$9:$B$2500,4)+
SUMIFS('Commodity Prices'!$M$9:$M$2500,'Commodity Prices'!$A$9:$A$2500,'Nickel - Prices'!F29,'Commodity Prices'!$B$9:$B$2500,1)+
SUMIFS('Commodity Prices'!$M$9:$M$2500,'Commodity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28518.380833333329</v>
      </c>
    </row>
    <row r="30" spans="1:11">
      <c r="A30" s="622">
        <f>LARGE('Commodity Prices'!C$159:C$902,39)</f>
        <v>44105</v>
      </c>
      <c r="B30" s="565">
        <f>SUMIF('Commodity Prices'!C$159:C$902,A30,'Commodity Prices'!M$159:M$902)</f>
        <v>15219.36</v>
      </c>
      <c r="C30" s="489">
        <f>SUMIF('Commodity Prices'!C$159:C$902,A30,'Commodity Prices'!N$159:N$902)</f>
        <v>21353.369634207447</v>
      </c>
      <c r="D30" s="547"/>
      <c r="E30" s="70">
        <f t="shared" si="1"/>
        <v>2008</v>
      </c>
      <c r="F30" s="70">
        <f t="shared" si="1"/>
        <v>2009</v>
      </c>
      <c r="G30" s="628">
        <f t="shared" si="0"/>
        <v>2008</v>
      </c>
      <c r="H30" s="565">
        <f t="array" ref="H30">IF($G$6="Historic Calendar Year",IFERROR(AVERAGE(IF($G30=YEAR('Commodity Prices'!$C$100:$C$1000),'Commodity Prices'!$M$100:$M$995)),"NA"),IFERROR(IF(K30=0,"NA",K30),"NA"))</f>
        <v>21113.145833333332</v>
      </c>
      <c r="I30" s="489">
        <f t="array" ref="I30">IF($G$6="Historic Calendar Year",IFERROR(AVERAGE(IF($G30=YEAR('Commodity Prices'!$C$100:$C$1000),'Commodity Prices'!$N$100:$N$1000)),"NA"),IFERROR(IF(J30=0,"NA",J30),"NA"))</f>
        <v>24173.233354519092</v>
      </c>
      <c r="J30" s="278">
        <f>(SUMIFS('Commodity Prices'!$N$9:$N$2500,'Commodity Prices'!$A$9:$A$2500,'Nickel - Prices'!E30,'Commodity Prices'!$B$9:$B$2500,3)+
SUMIFS('Commodity Prices'!$N$9:$N$2500,'Commodity Prices'!$A$9:$A$2500,'Nickel - Prices'!E30,'Commodity Prices'!$B$9:$B$2500,4)+
SUMIFS('Commodity Prices'!$N$9:$N$2500,'Commodity Prices'!$A$9:$A$2500,'Nickel - Prices'!F30,'Commodity Prices'!$B$9:$B$2500,1)+
SUMIFS('Commodity Prices'!$N$9:$N$2500,'Commodity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17644.16800163388</v>
      </c>
      <c r="K30" s="349">
        <f>(SUMIFS('Commodity Prices'!$M$9:$M$2500,'Commodity Prices'!$A$9:$A$2500,'Nickel - Prices'!E30,'Commodity Prices'!$B$9:$B$2500,3)+
SUMIFS('Commodity Prices'!$M$9:$M$2500,'Commodity Prices'!$A$9:$A$2500,'Nickel - Prices'!E30,'Commodity Prices'!$B$9:$B$2500,4)+
SUMIFS('Commodity Prices'!$M$9:$M$2500,'Commodity Prices'!$A$9:$A$2500,'Nickel - Prices'!F30,'Commodity Prices'!$B$9:$B$2500,1)+
SUMIFS('Commodity Prices'!$M$9:$M$2500,'Commodity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13366.498333333335</v>
      </c>
    </row>
    <row r="31" spans="1:11">
      <c r="A31" s="624">
        <f>LARGE('Commodity Prices'!C$159:C$902,38)</f>
        <v>44136</v>
      </c>
      <c r="B31" s="623">
        <f>SUMIF('Commodity Prices'!C$159:C$902,A31,'Commodity Prices'!M$159:M$902)</f>
        <v>15796.05</v>
      </c>
      <c r="C31" s="621">
        <f>SUMIF('Commodity Prices'!C$159:C$902,A31,'Commodity Prices'!N$159:N$902)</f>
        <v>21743.525455725325</v>
      </c>
      <c r="D31" s="547"/>
      <c r="E31" s="70">
        <f t="shared" si="1"/>
        <v>2009</v>
      </c>
      <c r="F31" s="70">
        <f t="shared" si="1"/>
        <v>2010</v>
      </c>
      <c r="G31" s="628">
        <f t="shared" si="0"/>
        <v>2009</v>
      </c>
      <c r="H31" s="623">
        <f t="array" ref="H31">IF($G$6="Historic Calendar Year",IFERROR(AVERAGE(IF($G31=YEAR('Commodity Prices'!$C$100:$C$1000),'Commodity Prices'!$M$100:$M$995)),"NA"),IFERROR(IF(K31=0,"NA",K31),"NA"))</f>
        <v>14721.555833333334</v>
      </c>
      <c r="I31" s="621">
        <f t="array" ref="I31">IF($G$6="Historic Calendar Year",IFERROR(AVERAGE(IF($G31=YEAR('Commodity Prices'!$C$100:$C$1000),'Commodity Prices'!$N$100:$N$1000)),"NA"),IFERROR(IF(J31=0,"NA",J31),"NA"))</f>
        <v>18387.95872138254</v>
      </c>
      <c r="J31" s="278">
        <f>(SUMIFS('Commodity Prices'!$N$9:$N$2500,'Commodity Prices'!$A$9:$A$2500,'Nickel - Prices'!E31,'Commodity Prices'!$B$9:$B$2500,3)+
SUMIFS('Commodity Prices'!$N$9:$N$2500,'Commodity Prices'!$A$9:$A$2500,'Nickel - Prices'!E31,'Commodity Prices'!$B$9:$B$2500,4)+
SUMIFS('Commodity Prices'!$N$9:$N$2500,'Commodity Prices'!$A$9:$A$2500,'Nickel - Prices'!F31,'Commodity Prices'!$B$9:$B$2500,1)+
SUMIFS('Commodity Prices'!$N$9:$N$2500,'Commodity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21974.910092711118</v>
      </c>
      <c r="K31" s="349">
        <f>(SUMIFS('Commodity Prices'!$M$9:$M$2500,'Commodity Prices'!$A$9:$A$2500,'Nickel - Prices'!E31,'Commodity Prices'!$B$9:$B$2500,3)+
SUMIFS('Commodity Prices'!$M$9:$M$2500,'Commodity Prices'!$A$9:$A$2500,'Nickel - Prices'!E31,'Commodity Prices'!$B$9:$B$2500,4)+
SUMIFS('Commodity Prices'!$M$9:$M$2500,'Commodity Prices'!$A$9:$A$2500,'Nickel - Prices'!F31,'Commodity Prices'!$B$9:$B$2500,1)+
SUMIFS('Commodity Prices'!$M$9:$M$2500,'Commodity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19414.585000000003</v>
      </c>
    </row>
    <row r="32" spans="1:11">
      <c r="A32" s="622">
        <f>LARGE('Commodity Prices'!C$159:C$902,37)</f>
        <v>44166</v>
      </c>
      <c r="B32" s="565">
        <f>SUMIF('Commodity Prices'!C$159:C$902,A32,'Commodity Prices'!M$159:M$902)</f>
        <v>16807.05</v>
      </c>
      <c r="C32" s="489">
        <f>SUMIF('Commodity Prices'!C$159:C$902,A32,'Commodity Prices'!N$159:N$902)</f>
        <v>22348.385360602799</v>
      </c>
      <c r="D32" s="547"/>
      <c r="E32" s="70">
        <f t="shared" si="1"/>
        <v>2010</v>
      </c>
      <c r="F32" s="70">
        <f t="shared" si="1"/>
        <v>2011</v>
      </c>
      <c r="G32" s="628">
        <f t="shared" si="0"/>
        <v>2010</v>
      </c>
      <c r="H32" s="565">
        <f t="array" ref="H32">IF($G$6="Historic Calendar Year",IFERROR(AVERAGE(IF($G32=YEAR('Commodity Prices'!$C$100:$C$1000),'Commodity Prices'!$M$100:$M$995)),"NA"),IFERROR(IF(K32=0,"NA",K32),"NA"))</f>
        <v>21808.852500000001</v>
      </c>
      <c r="I32" s="489">
        <f t="array" ref="I32">IF($G$6="Historic Calendar Year",IFERROR(AVERAGE(IF($G32=YEAR('Commodity Prices'!$C$100:$C$1000),'Commodity Prices'!$N$100:$N$1000)),"NA"),IFERROR(IF(J32=0,"NA",J32),"NA"))</f>
        <v>23691.080165372565</v>
      </c>
      <c r="J32" s="278">
        <f>(SUMIFS('Commodity Prices'!$N$9:$N$2500,'Commodity Prices'!$A$9:$A$2500,'Nickel - Prices'!E32,'Commodity Prices'!$B$9:$B$2500,3)+
SUMIFS('Commodity Prices'!$N$9:$N$2500,'Commodity Prices'!$A$9:$A$2500,'Nickel - Prices'!E32,'Commodity Prices'!$B$9:$B$2500,4)+
SUMIFS('Commodity Prices'!$N$9:$N$2500,'Commodity Prices'!$A$9:$A$2500,'Nickel - Prices'!F32,'Commodity Prices'!$B$9:$B$2500,1)+
SUMIFS('Commodity Prices'!$N$9:$N$2500,'Commodity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24256.632228259648</v>
      </c>
      <c r="K32" s="349">
        <f>(SUMIFS('Commodity Prices'!$M$9:$M$2500,'Commodity Prices'!$A$9:$A$2500,'Nickel - Prices'!E32,'Commodity Prices'!$B$9:$B$2500,3)+
SUMIFS('Commodity Prices'!$M$9:$M$2500,'Commodity Prices'!$A$9:$A$2500,'Nickel - Prices'!E32,'Commodity Prices'!$B$9:$B$2500,4)+
SUMIFS('Commodity Prices'!$M$9:$M$2500,'Commodity Prices'!$A$9:$A$2500,'Nickel - Prices'!F32,'Commodity Prices'!$B$9:$B$2500,1)+
SUMIFS('Commodity Prices'!$M$9:$M$2500,'Commodity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24000.445833333331</v>
      </c>
    </row>
    <row r="33" spans="1:11">
      <c r="A33" s="624">
        <f>LARGE('Commodity Prices'!C$159:C$902,36)</f>
        <v>44197</v>
      </c>
      <c r="B33" s="623">
        <f>SUMIF('Commodity Prices'!C$159:C$902,A33,'Commodity Prices'!M$159:M$902)</f>
        <v>17847.599999999999</v>
      </c>
      <c r="C33" s="621">
        <f>SUMIF('Commodity Prices'!C$159:C$902,A33,'Commodity Prices'!N$159:N$902)</f>
        <v>23101.171052721213</v>
      </c>
      <c r="D33" s="547"/>
      <c r="E33" s="70">
        <f t="shared" si="1"/>
        <v>2011</v>
      </c>
      <c r="F33" s="70">
        <f t="shared" si="1"/>
        <v>2012</v>
      </c>
      <c r="G33" s="628">
        <f t="shared" si="0"/>
        <v>2011</v>
      </c>
      <c r="H33" s="623">
        <f t="array" ref="H33">IF($G$6="Historic Calendar Year",IFERROR(AVERAGE(IF($G33=YEAR('Commodity Prices'!$C$100:$C$1000),'Commodity Prices'!$M$100:$M$995)),"NA"),IFERROR(IF(K33=0,"NA",K33),"NA"))</f>
        <v>22894.358333333334</v>
      </c>
      <c r="I33" s="621">
        <f t="array" ref="I33">IF($G$6="Historic Calendar Year",IFERROR(AVERAGE(IF($G33=YEAR('Commodity Prices'!$C$100:$C$1000),'Commodity Prices'!$N$100:$N$1000)),"NA"),IFERROR(IF(J33=0,"NA",J33),"NA"))</f>
        <v>22194.801667713149</v>
      </c>
      <c r="J33" s="278">
        <f>(SUMIFS('Commodity Prices'!$N$9:$N$2500,'Commodity Prices'!$A$9:$A$2500,'Nickel - Prices'!E33,'Commodity Prices'!$B$9:$B$2500,3)+
SUMIFS('Commodity Prices'!$N$9:$N$2500,'Commodity Prices'!$A$9:$A$2500,'Nickel - Prices'!E33,'Commodity Prices'!$B$9:$B$2500,4)+
SUMIFS('Commodity Prices'!$N$9:$N$2500,'Commodity Prices'!$A$9:$A$2500,'Nickel - Prices'!F33,'Commodity Prices'!$B$9:$B$2500,1)+
SUMIFS('Commodity Prices'!$N$9:$N$2500,'Commodity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18673.954129011898</v>
      </c>
      <c r="K33" s="349">
        <f>(SUMIFS('Commodity Prices'!$M$9:$M$2500,'Commodity Prices'!$A$9:$A$2500,'Nickel - Prices'!E33,'Commodity Prices'!$B$9:$B$2500,3)+
SUMIFS('Commodity Prices'!$M$9:$M$2500,'Commodity Prices'!$A$9:$A$2500,'Nickel - Prices'!E33,'Commodity Prices'!$B$9:$B$2500,4)+
SUMIFS('Commodity Prices'!$M$9:$M$2500,'Commodity Prices'!$A$9:$A$2500,'Nickel - Prices'!F33,'Commodity Prices'!$B$9:$B$2500,1)+
SUMIFS('Commodity Prices'!$M$9:$M$2500,'Commodity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19297.845833333333</v>
      </c>
    </row>
    <row r="34" spans="1:11">
      <c r="A34" s="622">
        <f>LARGE('Commodity Prices'!C$159:C$902,35)</f>
        <v>44228</v>
      </c>
      <c r="B34" s="565">
        <f>SUMIF('Commodity Prices'!C$159:C$902,A34,'Commodity Prices'!M$159:M$902)</f>
        <v>18568.05</v>
      </c>
      <c r="C34" s="489">
        <f>SUMIF('Commodity Prices'!C$159:C$902,A34,'Commodity Prices'!N$159:N$902)</f>
        <v>23944.716327833339</v>
      </c>
      <c r="D34" s="547"/>
      <c r="E34" s="70">
        <f t="shared" si="1"/>
        <v>2012</v>
      </c>
      <c r="F34" s="70">
        <f t="shared" si="1"/>
        <v>2013</v>
      </c>
      <c r="G34" s="628">
        <f t="shared" si="0"/>
        <v>2012</v>
      </c>
      <c r="H34" s="565">
        <f t="array" ref="H34">IF($G$6="Historic Calendar Year",IFERROR(AVERAGE(IF($G34=YEAR('Commodity Prices'!$C$100:$C$1000),'Commodity Prices'!$M$100:$M$995)),"NA"),IFERROR(IF(K34=0,"NA",K34),"NA"))</f>
        <v>17535.575158333333</v>
      </c>
      <c r="I34" s="489">
        <f t="array" ref="I34">IF($G$6="Historic Calendar Year",IFERROR(AVERAGE(IF($G34=YEAR('Commodity Prices'!$C$100:$C$1000),'Commodity Prices'!$N$100:$N$1000)),"NA"),IFERROR(IF(J34=0,"NA",J34),"NA"))</f>
        <v>16920.31787505178</v>
      </c>
      <c r="J34" s="278">
        <f>(SUMIFS('Commodity Prices'!$N$9:$N$2500,'Commodity Prices'!$A$9:$A$2500,'Nickel - Prices'!E34,'Commodity Prices'!$B$9:$B$2500,3)+
SUMIFS('Commodity Prices'!$N$9:$N$2500,'Commodity Prices'!$A$9:$A$2500,'Nickel - Prices'!E34,'Commodity Prices'!$B$9:$B$2500,4)+
SUMIFS('Commodity Prices'!$N$9:$N$2500,'Commodity Prices'!$A$9:$A$2500,'Nickel - Prices'!F34,'Commodity Prices'!$B$9:$B$2500,1)+
SUMIFS('Commodity Prices'!$N$9:$N$2500,'Commodity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15959.484835347399</v>
      </c>
      <c r="K34" s="349">
        <f>(SUMIFS('Commodity Prices'!$M$9:$M$2500,'Commodity Prices'!$A$9:$A$2500,'Nickel - Prices'!E34,'Commodity Prices'!$B$9:$B$2500,3)+
SUMIFS('Commodity Prices'!$M$9:$M$2500,'Commodity Prices'!$A$9:$A$2500,'Nickel - Prices'!E34,'Commodity Prices'!$B$9:$B$2500,4)+
SUMIFS('Commodity Prices'!$M$9:$M$2500,'Commodity Prices'!$A$9:$A$2500,'Nickel - Prices'!F34,'Commodity Prices'!$B$9:$B$2500,1)+
SUMIFS('Commodity Prices'!$M$9:$M$2500,'Commodity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16397.046416666668</v>
      </c>
    </row>
    <row r="35" spans="1:11">
      <c r="A35" s="624">
        <f>LARGE('Commodity Prices'!C$159:C$902,34)</f>
        <v>44256</v>
      </c>
      <c r="B35" s="623">
        <f>SUMIF('Commodity Prices'!C$159:C$902,A35,'Commodity Prices'!M$159:M$902)</f>
        <v>16460.740000000002</v>
      </c>
      <c r="C35" s="621">
        <f>SUMIF('Commodity Prices'!C$159:C$902,A35,'Commodity Prices'!N$159:N$902)</f>
        <v>21347.5700455035</v>
      </c>
      <c r="D35" s="547"/>
      <c r="E35" s="70">
        <f t="shared" si="1"/>
        <v>2013</v>
      </c>
      <c r="F35" s="70">
        <f t="shared" si="1"/>
        <v>2014</v>
      </c>
      <c r="G35" s="628">
        <f t="shared" si="0"/>
        <v>2013</v>
      </c>
      <c r="H35" s="623">
        <f t="array" ref="H35">IF($G$6="Historic Calendar Year",IFERROR(AVERAGE(IF($G35=YEAR('Commodity Prices'!$C$100:$C$1000),'Commodity Prices'!$M$100:$M$995)),"NA"),IFERROR(IF(K35=0,"NA",K35),"NA"))</f>
        <v>15021.8935</v>
      </c>
      <c r="I35" s="621">
        <f t="array" ref="I35">IF($G$6="Historic Calendar Year",IFERROR(AVERAGE(IF($G35=YEAR('Commodity Prices'!$C$100:$C$1000),'Commodity Prices'!$N$100:$N$1000)),"NA"),IFERROR(IF(J35=0,"NA",J35),"NA"))</f>
        <v>15485.073351990808</v>
      </c>
      <c r="J35" s="278">
        <f>(SUMIFS('Commodity Prices'!$N$9:$N$2500,'Commodity Prices'!$A$9:$A$2500,'Nickel - Prices'!E35,'Commodity Prices'!$B$9:$B$2500,3)+
SUMIFS('Commodity Prices'!$N$9:$N$2500,'Commodity Prices'!$A$9:$A$2500,'Nickel - Prices'!E35,'Commodity Prices'!$B$9:$B$2500,4)+
SUMIFS('Commodity Prices'!$N$9:$N$2500,'Commodity Prices'!$A$9:$A$2500,'Nickel - Prices'!F35,'Commodity Prices'!$B$9:$B$2500,1)+
SUMIFS('Commodity Prices'!$N$9:$N$2500,'Commodity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16575.482548732965</v>
      </c>
      <c r="K35" s="349">
        <f>(SUMIFS('Commodity Prices'!$M$9:$M$2500,'Commodity Prices'!$A$9:$A$2500,'Nickel - Prices'!E35,'Commodity Prices'!$B$9:$B$2500,3)+
SUMIFS('Commodity Prices'!$M$9:$M$2500,'Commodity Prices'!$A$9:$A$2500,'Nickel - Prices'!E35,'Commodity Prices'!$B$9:$B$2500,4)+
SUMIFS('Commodity Prices'!$M$9:$M$2500,'Commodity Prices'!$A$9:$A$2500,'Nickel - Prices'!F35,'Commodity Prices'!$B$9:$B$2500,1)+
SUMIFS('Commodity Prices'!$M$9:$M$2500,'Commodity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15233.491533333334</v>
      </c>
    </row>
    <row r="36" spans="1:11">
      <c r="A36" s="622">
        <f>LARGE('Commodity Prices'!C$159:C$902,33)</f>
        <v>44287</v>
      </c>
      <c r="B36" s="565">
        <f>SUMIF('Commodity Prices'!C$159:C$902,A36,'Commodity Prices'!M$159:M$902)</f>
        <v>16480.7</v>
      </c>
      <c r="C36" s="489">
        <f>SUMIF('Commodity Prices'!C$159:C$902,A36,'Commodity Prices'!N$159:N$902)</f>
        <v>21394.337491724324</v>
      </c>
      <c r="D36" s="547"/>
      <c r="E36" s="70">
        <f t="shared" si="1"/>
        <v>2014</v>
      </c>
      <c r="F36" s="70">
        <f t="shared" si="1"/>
        <v>2015</v>
      </c>
      <c r="G36" s="628">
        <f t="shared" si="0"/>
        <v>2014</v>
      </c>
      <c r="H36" s="565">
        <f t="array" ref="H36">IF($G$6="Historic Calendar Year",IFERROR(AVERAGE(IF($G36=YEAR('Commodity Prices'!$C$100:$C$1000),'Commodity Prices'!$M$100:$M$995)),"NA"),IFERROR(IF(K36=0,"NA",K36),"NA"))</f>
        <v>16868.555058333335</v>
      </c>
      <c r="I36" s="489">
        <f t="array" ref="I36">IF($G$6="Historic Calendar Year",IFERROR(AVERAGE(IF($G36=YEAR('Commodity Prices'!$C$100:$C$1000),'Commodity Prices'!$N$100:$N$1000)),"NA"),IFERROR(IF(J36=0,"NA",J36),"NA"))</f>
        <v>18661.064206055453</v>
      </c>
      <c r="J36" s="278">
        <f>(SUMIFS('Commodity Prices'!$N$9:$N$2500,'Commodity Prices'!$A$9:$A$2500,'Nickel - Prices'!E36,'Commodity Prices'!$B$9:$B$2500,3)+
SUMIFS('Commodity Prices'!$N$9:$N$2500,'Commodity Prices'!$A$9:$A$2500,'Nickel - Prices'!E36,'Commodity Prices'!$B$9:$B$2500,4)+
SUMIFS('Commodity Prices'!$N$9:$N$2500,'Commodity Prices'!$A$9:$A$2500,'Nickel - Prices'!F36,'Commodity Prices'!$B$9:$B$2500,1)+
SUMIFS('Commodity Prices'!$N$9:$N$2500,'Commodity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18369.547503720125</v>
      </c>
      <c r="K36" s="349">
        <f>(SUMIFS('Commodity Prices'!$M$9:$M$2500,'Commodity Prices'!$A$9:$A$2500,'Nickel - Prices'!E36,'Commodity Prices'!$B$9:$B$2500,3)+
SUMIFS('Commodity Prices'!$M$9:$M$2500,'Commodity Prices'!$A$9:$A$2500,'Nickel - Prices'!E36,'Commodity Prices'!$B$9:$B$2500,4)+
SUMIFS('Commodity Prices'!$M$9:$M$2500,'Commodity Prices'!$A$9:$A$2500,'Nickel - Prices'!F36,'Commodity Prices'!$B$9:$B$2500,1)+
SUMIFS('Commodity Prices'!$M$9:$M$2500,'Commodity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15435.280291666668</v>
      </c>
    </row>
    <row r="37" spans="1:11">
      <c r="A37" s="624">
        <f>LARGE('Commodity Prices'!C$159:C$902,32)</f>
        <v>44317</v>
      </c>
      <c r="B37" s="623">
        <f>SUMIF('Commodity Prices'!C$159:C$902,A37,'Commodity Prices'!M$159:M$902)</f>
        <v>17605.740000000002</v>
      </c>
      <c r="C37" s="621">
        <f>SUMIF('Commodity Prices'!C$159:C$902,A37,'Commodity Prices'!N$159:N$902)</f>
        <v>22689.480079534573</v>
      </c>
      <c r="D37" s="547"/>
      <c r="E37" s="70">
        <f t="shared" si="1"/>
        <v>2015</v>
      </c>
      <c r="F37" s="70">
        <f t="shared" si="1"/>
        <v>2016</v>
      </c>
      <c r="G37" s="628">
        <f t="shared" si="0"/>
        <v>2015</v>
      </c>
      <c r="H37" s="623">
        <f t="array" ref="H37">IF($G$6="Historic Calendar Year",IFERROR(AVERAGE(IF($G37=YEAR('Commodity Prices'!$C$100:$C$1000),'Commodity Prices'!$M$100:$M$995)),"NA"),IFERROR(IF(K37=0,"NA",K37),"NA"))</f>
        <v>11834.792475000002</v>
      </c>
      <c r="I37" s="621">
        <f t="array" ref="I37">IF($G$6="Historic Calendar Year",IFERROR(AVERAGE(IF($G37=YEAR('Commodity Prices'!$C$100:$C$1000),'Commodity Prices'!$N$100:$N$1000)),"NA"),IFERROR(IF(J37=0,"NA",J37),"NA"))</f>
        <v>15636.201490325429</v>
      </c>
      <c r="J37" s="278">
        <f>(SUMIFS('Commodity Prices'!$N$9:$N$2500,'Commodity Prices'!$A$9:$A$2500,'Nickel - Prices'!E37,'Commodity Prices'!$B$9:$B$2500,3)+
SUMIFS('Commodity Prices'!$N$9:$N$2500,'Commodity Prices'!$A$9:$A$2500,'Nickel - Prices'!E37,'Commodity Prices'!$B$9:$B$2500,4)+
SUMIFS('Commodity Prices'!$N$9:$N$2500,'Commodity Prices'!$A$9:$A$2500,'Nickel - Prices'!F37,'Commodity Prices'!$B$9:$B$2500,1)+
SUMIFS('Commodity Prices'!$N$9:$N$2500,'Commodity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12804.123375954689</v>
      </c>
      <c r="K37" s="349">
        <f>(SUMIFS('Commodity Prices'!$M$9:$M$2500,'Commodity Prices'!$A$9:$A$2500,'Nickel - Prices'!E37,'Commodity Prices'!$B$9:$B$2500,3)+
SUMIFS('Commodity Prices'!$M$9:$M$2500,'Commodity Prices'!$A$9:$A$2500,'Nickel - Prices'!E37,'Commodity Prices'!$B$9:$B$2500,4)+
SUMIFS('Commodity Prices'!$M$9:$M$2500,'Commodity Prices'!$A$9:$A$2500,'Nickel - Prices'!F37,'Commodity Prices'!$B$9:$B$2500,1)+
SUMIFS('Commodity Prices'!$M$9:$M$2500,'Commodity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9320.7333583333329</v>
      </c>
    </row>
    <row r="38" spans="1:11">
      <c r="A38" s="622">
        <f>LARGE('Commodity Prices'!C$159:C$902,31)</f>
        <v>44348</v>
      </c>
      <c r="B38" s="565">
        <f>SUMIF('Commodity Prices'!C$159:C$902,A38,'Commodity Prices'!M$159:M$902)</f>
        <v>17943.23</v>
      </c>
      <c r="C38" s="489">
        <f>SUMIF('Commodity Prices'!C$159:C$902,A38,'Commodity Prices'!N$159:N$902)</f>
        <v>23470.104267882503</v>
      </c>
      <c r="D38" s="547"/>
      <c r="E38" s="70">
        <f t="shared" si="1"/>
        <v>2016</v>
      </c>
      <c r="F38" s="70">
        <f t="shared" si="1"/>
        <v>2017</v>
      </c>
      <c r="G38" s="628">
        <f t="shared" si="0"/>
        <v>2016</v>
      </c>
      <c r="H38" s="565">
        <f t="array" ref="H38">IF($G$6="Historic Calendar Year",IFERROR(AVERAGE(IF($G38=YEAR('Commodity Prices'!$C$100:$C$1000),'Commodity Prices'!$M$100:$M$995)),"NA"),IFERROR(IF(K38=0,"NA",K38),"NA"))</f>
        <v>9597.5587916666682</v>
      </c>
      <c r="I38" s="489">
        <f t="array" ref="I38">IF($G$6="Historic Calendar Year",IFERROR(AVERAGE(IF($G38=YEAR('Commodity Prices'!$C$100:$C$1000),'Commodity Prices'!$N$100:$N$1000)),"NA"),IFERROR(IF(J38=0,"NA",J38),"NA"))</f>
        <v>12891.090930180819</v>
      </c>
      <c r="J38" s="278">
        <f>(SUMIFS('Commodity Prices'!$N$9:$N$2500,'Commodity Prices'!$A$9:$A$2500,'Nickel - Prices'!E38,'Commodity Prices'!$B$9:$B$2500,3)+
SUMIFS('Commodity Prices'!$N$9:$N$2500,'Commodity Prices'!$A$9:$A$2500,'Nickel - Prices'!E38,'Commodity Prices'!$B$9:$B$2500,4)+
SUMIFS('Commodity Prices'!$N$9:$N$2500,'Commodity Prices'!$A$9:$A$2500,'Nickel - Prices'!F38,'Commodity Prices'!$B$9:$B$2500,1)+
SUMIFS('Commodity Prices'!$N$9:$N$2500,'Commodity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13455.511950064092</v>
      </c>
      <c r="K38" s="349">
        <f>(SUMIFS('Commodity Prices'!$M$9:$M$2500,'Commodity Prices'!$A$9:$A$2500,'Nickel - Prices'!E38,'Commodity Prices'!$B$9:$B$2500,3)+
SUMIFS('Commodity Prices'!$M$9:$M$2500,'Commodity Prices'!$A$9:$A$2500,'Nickel - Prices'!E38,'Commodity Prices'!$B$9:$B$2500,4)+
SUMIFS('Commodity Prices'!$M$9:$M$2500,'Commodity Prices'!$A$9:$A$2500,'Nickel - Prices'!F38,'Commodity Prices'!$B$9:$B$2500,1)+
SUMIFS('Commodity Prices'!$M$9:$M$2500,'Commodity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10150.384141666667</v>
      </c>
    </row>
    <row r="39" spans="1:11">
      <c r="A39" s="624">
        <f>LARGE('Commodity Prices'!C$159:C$902,30)</f>
        <v>44378</v>
      </c>
      <c r="B39" s="623">
        <f>SUMIF('Commodity Prices'!C$159:C$902,A39,'Commodity Prices'!M$159:M$902)</f>
        <v>18817.05</v>
      </c>
      <c r="C39" s="621">
        <f>SUMIF('Commodity Prices'!C$159:C$902,A39,'Commodity Prices'!N$159:N$902)</f>
        <v>25343.604028283695</v>
      </c>
      <c r="D39" s="547"/>
      <c r="E39" s="70">
        <f t="shared" si="1"/>
        <v>2017</v>
      </c>
      <c r="F39" s="70">
        <f t="shared" si="1"/>
        <v>2018</v>
      </c>
      <c r="G39" s="628">
        <f t="shared" si="0"/>
        <v>2017</v>
      </c>
      <c r="H39" s="623">
        <f t="array" ref="H39">IF($G$6="Historic Calendar Year",IFERROR(AVERAGE(IF($G39=YEAR('Commodity Prices'!$C$100:$C$1000),'Commodity Prices'!$M$100:$M$995)),"NA"),IFERROR(IF(K39=0,"NA",K39),"NA"))</f>
        <v>10406.91070378788</v>
      </c>
      <c r="I39" s="621">
        <f t="array" ref="I39">IF($G$6="Historic Calendar Year",IFERROR(AVERAGE(IF($G39=YEAR('Commodity Prices'!$C$100:$C$1000),'Commodity Prices'!$N$100:$N$1000)),"NA"),IFERROR(IF(J39=0,"NA",J39),"NA"))</f>
        <v>13567.229044753867</v>
      </c>
      <c r="J39" s="278">
        <f>(SUMIFS('Commodity Prices'!$N$9:$N$2500,'Commodity Prices'!$A$9:$A$2500,'Nickel - Prices'!E39,'Commodity Prices'!$B$9:$B$2500,3)+
SUMIFS('Commodity Prices'!$N$9:$N$2500,'Commodity Prices'!$A$9:$A$2500,'Nickel - Prices'!E39,'Commodity Prices'!$B$9:$B$2500,4)+
SUMIFS('Commodity Prices'!$N$9:$N$2500,'Commodity Prices'!$A$9:$A$2500,'Nickel - Prices'!F39,'Commodity Prices'!$B$9:$B$2500,1)+
SUMIFS('Commodity Prices'!$N$9:$N$2500,'Commodity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16101.811962195317</v>
      </c>
      <c r="K39" s="349">
        <f>(SUMIFS('Commodity Prices'!$M$9:$M$2500,'Commodity Prices'!$A$9:$A$2500,'Nickel - Prices'!E39,'Commodity Prices'!$B$9:$B$2500,3)+
SUMIFS('Commodity Prices'!$M$9:$M$2500,'Commodity Prices'!$A$9:$A$2500,'Nickel - Prices'!E39,'Commodity Prices'!$B$9:$B$2500,4)+
SUMIFS('Commodity Prices'!$M$9:$M$2500,'Commodity Prices'!$A$9:$A$2500,'Nickel - Prices'!F39,'Commodity Prices'!$B$9:$B$2500,1)+
SUMIFS('Commodity Prices'!$M$9:$M$2500,'Commodity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12463.130024819626</v>
      </c>
    </row>
    <row r="40" spans="1:11">
      <c r="A40" s="622">
        <f>LARGE('Commodity Prices'!C$159:C$902,29)</f>
        <v>44409</v>
      </c>
      <c r="B40" s="565">
        <f>SUMIF('Commodity Prices'!C$159:C$902,A40,'Commodity Prices'!M$159:M$902)</f>
        <v>19160.43</v>
      </c>
      <c r="C40" s="489">
        <f>SUMIF('Commodity Prices'!C$159:C$902,A40,'Commodity Prices'!N$159:N$902)</f>
        <v>26243.911713486261</v>
      </c>
      <c r="D40" s="547"/>
      <c r="E40" s="70">
        <f t="shared" si="1"/>
        <v>2018</v>
      </c>
      <c r="F40" s="70">
        <f t="shared" si="1"/>
        <v>2019</v>
      </c>
      <c r="G40" s="628">
        <f t="shared" si="0"/>
        <v>2018</v>
      </c>
      <c r="H40" s="565">
        <f t="array" ref="H40">IF($G$6="Historic Calendar Year",IFERROR(AVERAGE(IF($G40=YEAR('Commodity Prices'!$C$100:$C$1000),'Commodity Prices'!$M$100:$M$995)),"NA"),IFERROR(IF(K40=0,"NA",K40),"NA"))</f>
        <v>13117.675179440836</v>
      </c>
      <c r="I40" s="489">
        <f t="array" ref="I40">IF($G$6="Historic Calendar Year",IFERROR(AVERAGE(IF($G40=YEAR('Commodity Prices'!$C$100:$C$1000),'Commodity Prices'!$N$100:$N$1000)),"NA"),IFERROR(IF(J40=0,"NA",J40),"NA"))</f>
        <v>17527.964525245628</v>
      </c>
      <c r="J40" s="278">
        <f>(SUMIFS('Commodity Prices'!$N$9:$N$2500,'Commodity Prices'!$A$9:$A$2500,'Nickel - Prices'!E40,'Commodity Prices'!$B$9:$B$2500,3)+
SUMIFS('Commodity Prices'!$N$9:$N$2500,'Commodity Prices'!$A$9:$A$2500,'Nickel - Prices'!E40,'Commodity Prices'!$B$9:$B$2500,4)+
SUMIFS('Commodity Prices'!$N$9:$N$2500,'Commodity Prices'!$A$9:$A$2500,'Nickel - Prices'!F40,'Commodity Prices'!$B$9:$B$2500,1)+
SUMIFS('Commodity Prices'!$N$9:$N$2500,'Commodity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17250.114129033274</v>
      </c>
      <c r="K40" s="349">
        <f>(SUMIFS('Commodity Prices'!$M$9:$M$2500,'Commodity Prices'!$A$9:$A$2500,'Nickel - Prices'!E40,'Commodity Prices'!$B$9:$B$2500,3)+
SUMIFS('Commodity Prices'!$M$9:$M$2500,'Commodity Prices'!$A$9:$A$2500,'Nickel - Prices'!E40,'Commodity Prices'!$B$9:$B$2500,4)+
SUMIFS('Commodity Prices'!$M$9:$M$2500,'Commodity Prices'!$A$9:$A$2500,'Nickel - Prices'!F40,'Commodity Prices'!$B$9:$B$2500,1)+
SUMIFS('Commodity Prices'!$M$9:$M$2500,'Commodity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12341.834266742424</v>
      </c>
    </row>
    <row r="41" spans="1:11">
      <c r="A41" s="624">
        <f>LARGE('Commodity Prices'!C$159:C$902,28)</f>
        <v>44440</v>
      </c>
      <c r="B41" s="623">
        <f>SUMIF('Commodity Prices'!C$159:C$902,A41,'Commodity Prices'!M$159:M$902)</f>
        <v>19541</v>
      </c>
      <c r="C41" s="621">
        <f>SUMIF('Commodity Prices'!C$159:C$902,A41,'Commodity Prices'!N$159:N$902)</f>
        <v>26687.897693764164</v>
      </c>
      <c r="D41" s="547"/>
      <c r="E41" s="70">
        <f t="shared" si="1"/>
        <v>2019</v>
      </c>
      <c r="F41" s="70">
        <f t="shared" si="1"/>
        <v>2020</v>
      </c>
      <c r="G41" s="628">
        <f t="shared" si="0"/>
        <v>2019</v>
      </c>
      <c r="H41" s="623">
        <f t="array" ref="H41">IF($G$6="Historic Calendar Year",IFERROR(AVERAGE(IF($G41=YEAR('Commodity Prices'!$C$100:$C$1000),'Commodity Prices'!$M$100:$M$995)),"NA"),IFERROR(IF(K41=0,"NA",K41),"NA"))</f>
        <v>13906.955833333333</v>
      </c>
      <c r="I41" s="621">
        <f t="array" ref="I41">IF($G$6="Historic Calendar Year",IFERROR(AVERAGE(IF($G41=YEAR('Commodity Prices'!$C$100:$C$1000),'Commodity Prices'!$N$100:$N$1000)),"NA"),IFERROR(IF(J41=0,"NA",J41),"NA"))</f>
        <v>20050.216098817091</v>
      </c>
      <c r="J41" s="278">
        <f>(SUMIFS('Commodity Prices'!$N$9:$N$2500,'Commodity Prices'!$A$9:$A$2500,'Nickel - Prices'!E41,'Commodity Prices'!$B$9:$B$2500,3)+
SUMIFS('Commodity Prices'!$N$9:$N$2500,'Commodity Prices'!$A$9:$A$2500,'Nickel - Prices'!E41,'Commodity Prices'!$B$9:$B$2500,4)+
SUMIFS('Commodity Prices'!$N$9:$N$2500,'Commodity Prices'!$A$9:$A$2500,'Nickel - Prices'!F41,'Commodity Prices'!$B$9:$B$2500,1)+
SUMIFS('Commodity Prices'!$N$9:$N$2500,'Commodity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20792.513193041272</v>
      </c>
      <c r="K41" s="349">
        <f>(SUMIFS('Commodity Prices'!$M$9:$M$2500,'Commodity Prices'!$A$9:$A$2500,'Nickel - Prices'!E41,'Commodity Prices'!$B$9:$B$2500,3)+
SUMIFS('Commodity Prices'!$M$9:$M$2500,'Commodity Prices'!$A$9:$A$2500,'Nickel - Prices'!E41,'Commodity Prices'!$B$9:$B$2500,4)+
SUMIFS('Commodity Prices'!$M$9:$M$2500,'Commodity Prices'!$A$9:$A$2500,'Nickel - Prices'!F41,'Commodity Prices'!$B$9:$B$2500,1)+
SUMIFS('Commodity Prices'!$M$9:$M$2500,'Commodity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13974.364166666668</v>
      </c>
    </row>
    <row r="42" spans="1:11">
      <c r="A42" s="622">
        <f>LARGE('Commodity Prices'!C$159:C$902,27)</f>
        <v>44470</v>
      </c>
      <c r="B42" s="565">
        <f>SUMIF('Commodity Prices'!C$159:C$902,A42,'Commodity Prices'!M$159:M$902)</f>
        <v>19416.189999999999</v>
      </c>
      <c r="C42" s="489">
        <f>SUMIF('Commodity Prices'!C$159:C$902,A42,'Commodity Prices'!N$159:N$902)</f>
        <v>26227.638981757274</v>
      </c>
      <c r="D42" s="547"/>
      <c r="E42" s="70">
        <f t="shared" si="1"/>
        <v>2020</v>
      </c>
      <c r="F42" s="70">
        <f t="shared" si="1"/>
        <v>2021</v>
      </c>
      <c r="G42" s="628">
        <f t="shared" si="0"/>
        <v>2020</v>
      </c>
      <c r="H42" s="565">
        <f t="array" ref="H42">IF($G$6="Historic Calendar Year",IFERROR(AVERAGE(IF($G42=YEAR('Commodity Prices'!$C$100:$C$1000),'Commodity Prices'!$M$100:$M$995)),"NA"),IFERROR(IF(K42=0,"NA",K42),"NA"))</f>
        <v>13773.181666666665</v>
      </c>
      <c r="I42" s="489">
        <f t="array" ref="I42">IF($G$6="Historic Calendar Year",IFERROR(AVERAGE(IF($G42=YEAR('Commodity Prices'!$C$100:$C$1000),'Commodity Prices'!$N$100:$N$1000)),"NA"),IFERROR(IF(J42=0,"NA",J42),"NA"))</f>
        <v>19892.361092829509</v>
      </c>
      <c r="J42" s="278">
        <f>(SUMIFS('Commodity Prices'!$N$9:$N$2500,'Commodity Prices'!$A$9:$A$2500,'Nickel - Prices'!E42,'Commodity Prices'!$B$9:$B$2500,3)+
SUMIFS('Commodity Prices'!$N$9:$N$2500,'Commodity Prices'!$A$9:$A$2500,'Nickel - Prices'!E42,'Commodity Prices'!$B$9:$B$2500,4)+
SUMIFS('Commodity Prices'!$N$9:$N$2500,'Commodity Prices'!$A$9:$A$2500,'Nickel - Prices'!F42,'Commodity Prices'!$B$9:$B$2500,1)+
SUMIFS('Commodity Prices'!$N$9:$N$2500,'Commodity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21753.080374884583</v>
      </c>
      <c r="K42" s="349">
        <f>(SUMIFS('Commodity Prices'!$M$9:$M$2500,'Commodity Prices'!$A$9:$A$2500,'Nickel - Prices'!E42,'Commodity Prices'!$B$9:$B$2500,3)+
SUMIFS('Commodity Prices'!$M$9:$M$2500,'Commodity Prices'!$A$9:$A$2500,'Nickel - Prices'!E42,'Commodity Prices'!$B$9:$B$2500,4)+
SUMIFS('Commodity Prices'!$M$9:$M$2500,'Commodity Prices'!$A$9:$A$2500,'Nickel - Prices'!F42,'Commodity Prices'!$B$9:$B$2500,1)+
SUMIFS('Commodity Prices'!$M$9:$M$2500,'Commodity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16285.25</v>
      </c>
    </row>
    <row r="43" spans="1:11">
      <c r="A43" s="624">
        <f>LARGE('Commodity Prices'!C$159:C$902,26)</f>
        <v>44501</v>
      </c>
      <c r="B43" s="623">
        <f>SUMIF('Commodity Prices'!C$159:C$902,A43,'Commodity Prices'!M$159:M$902)</f>
        <v>19957.95</v>
      </c>
      <c r="C43" s="621">
        <f>SUMIF('Commodity Prices'!C$159:C$902,A43,'Commodity Prices'!N$159:N$902)</f>
        <v>27290.378519485366</v>
      </c>
      <c r="D43" s="547"/>
      <c r="E43" s="268">
        <f t="shared" si="1"/>
        <v>2021</v>
      </c>
      <c r="F43" s="268">
        <v>2022</v>
      </c>
      <c r="G43" s="628">
        <f>IF($G$6="Historic Calendar Year",G42+1,CONCATENATE(E43,"-",RIGHT(F43,4)))</f>
        <v>2021</v>
      </c>
      <c r="H43" s="623">
        <f t="array" ref="H43">IF($G$6="Historic Calendar Year",IFERROR(AVERAGE(IF($G43=YEAR('Commodity Prices'!$C$100:$C$1000),'Commodity Prices'!$M$100:$M$995)),"n/a"),IFERROR(IF(K43=0,"n/a",K43),"n/a"))</f>
        <v>18488.620000000003</v>
      </c>
      <c r="I43" s="621">
        <f t="array" ref="I43">IF($G$6="Historic Calendar Year",IFERROR(AVERAGE(IF($G43=YEAR('Commodity Prices'!$C$100:$C$1000),'Commodity Prices'!$N$100:$N$1000)),"n/a"),IFERROR(IF(J43=0,"n/a",J43),"n/a"))</f>
        <v>24650.097417871559</v>
      </c>
      <c r="J43" s="381">
        <f>(SUMIFS('Commodity Prices'!$N$9:$N$2500,'Commodity Prices'!$A$9:$A$2500,'Nickel - Prices'!E43,'Commodity Prices'!$B$9:$B$2500,3)+
SUMIFS('Commodity Prices'!$N$9:$N$2500,'Commodity Prices'!$A$9:$A$2500,'Nickel - Prices'!E43,'Commodity Prices'!$B$9:$B$2500,4)+
SUMIFS('Commodity Prices'!$N$9:$N$2500,'Commodity Prices'!$A$9:$A$2500,'Nickel - Prices'!F43,'Commodity Prices'!$B$9:$B$2500,1)+
SUMIFS('Commodity Prices'!$N$9:$N$2500,'Commodity Prices'!$A$9:$A$2500,'Nickel - Prices'!F43,'Commodity Prices'!$B$9:$B$2500,2))
/(COUNTIFS('Commodity Prices'!$A$9:$A$2500,'Nickel - Prices'!E43,'Commodity Prices'!$B$9:$B$2500,3)+
COUNTIFS('Commodity Prices'!$A$9:$A$2500,'Nickel - Prices'!E43,'Commodity Prices'!$B$9:$B$2500,4)+
COUNTIFS('Commodity Prices'!$A$9:$A$2500,'Nickel - Prices'!F43,'Commodity Prices'!$B$9:$B$2500,1)+
COUNTIFS('Commodity Prices'!$A$9:$A$2500,'Nickel - Prices'!F43,'Commodity Prices'!$B$9:$B$2500,2))</f>
        <v>32695.160353389529</v>
      </c>
      <c r="K43" s="381">
        <f>(SUMIFS('Commodity Prices'!$M$9:$M$2500,'Commodity Prices'!$A$9:$A$2500,'Nickel - Prices'!E43,'Commodity Prices'!$B$9:$B$2500,3)+
SUMIFS('Commodity Prices'!$M$9:$M$2500,'Commodity Prices'!$A$9:$A$2500,'Nickel - Prices'!E43,'Commodity Prices'!$B$9:$B$2500,4)+
SUMIFS('Commodity Prices'!$M$9:$M$2500,'Commodity Prices'!$A$9:$A$2500,'Nickel - Prices'!F43,'Commodity Prices'!$B$9:$B$2500,1)+
SUMIFS('Commodity Prices'!$M$9:$M$2500,'Commodity Prices'!$A$9:$A$2500,'Nickel - Prices'!F43,'Commodity Prices'!$B$9:$B$2500,2))
/(COUNTIFS('Commodity Prices'!$A$9:$A$2500,'Nickel - Prices'!E43,'Commodity Prices'!$B$9:$B$2500,3)+
COUNTIFS('Commodity Prices'!$A$9:$A$2500,'Nickel - Prices'!E43,'Commodity Prices'!$B$9:$B$2500,4)+
COUNTIFS('Commodity Prices'!$A$9:$A$2500,'Nickel - Prices'!F43,'Commodity Prices'!$B$9:$B$2500,1)+
COUNTIFS('Commodity Prices'!$A$9:$A$2500,'Nickel - Prices'!F43,'Commodity Prices'!$B$9:$B$2500,2))</f>
        <v>23716.760833333334</v>
      </c>
    </row>
    <row r="44" spans="1:11">
      <c r="A44" s="622">
        <f>LARGE('Commodity Prices'!C$159:C$902,25)</f>
        <v>44531</v>
      </c>
      <c r="B44" s="565">
        <f>SUMIF('Commodity Prices'!C$159:C$902,A44,'Commodity Prices'!M$159:M$902)</f>
        <v>20064.759999999998</v>
      </c>
      <c r="C44" s="489">
        <f>SUMIF('Commodity Prices'!C$159:C$902,A44,'Commodity Prices'!N$159:N$902)</f>
        <v>28060.358812482518</v>
      </c>
      <c r="D44" s="547"/>
      <c r="E44" s="268">
        <f t="shared" si="1"/>
        <v>2022</v>
      </c>
      <c r="F44" s="268">
        <v>2023</v>
      </c>
      <c r="G44" s="628">
        <f>IF($G$6="Historic Calendar Year",G43+1,CONCATENATE(E44,"-",RIGHT(F44,4)))</f>
        <v>2022</v>
      </c>
      <c r="H44" s="565">
        <f t="array" ref="H44">IF($G$6="Historic Calendar Year",IFERROR(AVERAGE(IF($G44=YEAR('Commodity Prices'!$C$100:$C$1000),'Commodity Prices'!$M$100:$M$995)),"n/a"),IFERROR(IF(K44=0,"n/a",K44),"n/a"))</f>
        <v>25655.938333333335</v>
      </c>
      <c r="I44" s="489">
        <f t="array" ref="I44">IF($G$6="Historic Calendar Year",IFERROR(AVERAGE(IF($G44=YEAR('Commodity Prices'!$C$100:$C$1000),'Commodity Prices'!$N$100:$N$1000)),"n/a"),IFERROR(IF(J44=0,"n/a",J44),"n/a"))</f>
        <v>36828.121415381298</v>
      </c>
      <c r="J44" s="381">
        <f>(SUMIFS('Commodity Prices'!$N$9:$N$2500,'Commodity Prices'!$A$9:$A$2500,'Nickel - Prices'!E44,'Commodity Prices'!$B$9:$B$2500,3)+
SUMIFS('Commodity Prices'!$N$9:$N$2500,'Commodity Prices'!$A$9:$A$2500,'Nickel - Prices'!E44,'Commodity Prices'!$B$9:$B$2500,4)+
SUMIFS('Commodity Prices'!$N$9:$N$2500,'Commodity Prices'!$A$9:$A$2500,'Nickel - Prices'!F44,'Commodity Prices'!$B$9:$B$2500,1)+
SUMIFS('Commodity Prices'!$N$9:$N$2500,'Commodity Prices'!$A$9:$A$2500,'Nickel - Prices'!F44,'Commodity Prices'!$B$9:$B$2500,2))
/(COUNTIFS('Commodity Prices'!$A$9:$A$2500,'Nickel - Prices'!E44,'Commodity Prices'!$B$9:$B$2500,3)+
COUNTIFS('Commodity Prices'!$A$9:$A$2500,'Nickel - Prices'!E44,'Commodity Prices'!$B$9:$B$2500,4)+
COUNTIFS('Commodity Prices'!$A$9:$A$2500,'Nickel - Prices'!F44,'Commodity Prices'!$B$9:$B$2500,1)+
COUNTIFS('Commodity Prices'!$A$9:$A$2500,'Nickel - Prices'!F44,'Commodity Prices'!$B$9:$B$2500,2))</f>
        <v>35692.171704100234</v>
      </c>
      <c r="K44" s="381">
        <f>(SUMIFS('Commodity Prices'!$M$9:$M$2500,'Commodity Prices'!$A$9:$A$2500,'Nickel - Prices'!E44,'Commodity Prices'!$B$9:$B$2500,3)+
SUMIFS('Commodity Prices'!$M$9:$M$2500,'Commodity Prices'!$A$9:$A$2500,'Nickel - Prices'!E44,'Commodity Prices'!$B$9:$B$2500,4)+
SUMIFS('Commodity Prices'!$M$9:$M$2500,'Commodity Prices'!$A$9:$A$2500,'Nickel - Prices'!F44,'Commodity Prices'!$B$9:$B$2500,1)+
SUMIFS('Commodity Prices'!$M$9:$M$2500,'Commodity Prices'!$A$9:$A$2500,'Nickel - Prices'!F44,'Commodity Prices'!$B$9:$B$2500,2))
/(COUNTIFS('Commodity Prices'!$A$9:$A$2500,'Nickel - Prices'!E44,'Commodity Prices'!$B$9:$B$2500,3)+
COUNTIFS('Commodity Prices'!$A$9:$A$2500,'Nickel - Prices'!E44,'Commodity Prices'!$B$9:$B$2500,4)+
COUNTIFS('Commodity Prices'!$A$9:$A$2500,'Nickel - Prices'!F44,'Commodity Prices'!$B$9:$B$2500,1)+
COUNTIFS('Commodity Prices'!$A$9:$A$2500,'Nickel - Prices'!F44,'Commodity Prices'!$B$9:$B$2500,2))</f>
        <v>24009.01</v>
      </c>
    </row>
    <row r="45" spans="1:11" ht="15.75" thickBot="1">
      <c r="A45" s="624">
        <f>LARGE('Commodity Prices'!C$159:C$902,24)</f>
        <v>44562</v>
      </c>
      <c r="B45" s="623">
        <f>SUMIF('Commodity Prices'!C$159:C$902,A45,'Commodity Prices'!M$159:M$902)</f>
        <v>22319.38</v>
      </c>
      <c r="C45" s="621">
        <f>SUMIF('Commodity Prices'!C$159:C$902,A45,'Commodity Prices'!N$159:N$902)</f>
        <v>31088.450006231349</v>
      </c>
      <c r="D45" s="547"/>
      <c r="E45" s="70">
        <f t="shared" si="1"/>
        <v>2023</v>
      </c>
      <c r="F45" s="70">
        <v>2023</v>
      </c>
      <c r="G45" s="1611">
        <f>IF($G$6="Historic Calendar Year",G44+1,CONCATENATE(E45,"-",RIGHT(F45,4)))</f>
        <v>2023</v>
      </c>
      <c r="H45" s="1759">
        <f t="array" ref="H45">IF($G$6="Historic Calendar Year",IFERROR(AVERAGE(IF($G45=YEAR('Commodity Prices'!$C$100:$C$1000),'Commodity Prices'!$M$100:$M$995)),"n/a"),IFERROR(IF(K45=0,"n/a",K45),"n/a"))</f>
        <v>21495.22416666667</v>
      </c>
      <c r="I45" s="1760">
        <f t="array" ref="I45">IF($G$6="Historic Calendar Year",IFERROR(AVERAGE(IF($G45=YEAR('Commodity Prices'!$C$100:$C$1000),'Commodity Prices'!$N$100:$N$1000)),"n/a"),IFERROR(IF(J45=0,"n/a",J45),"n/a"))</f>
        <v>32250.206308655805</v>
      </c>
    </row>
    <row r="46" spans="1:11" ht="15.75" thickBot="1">
      <c r="A46" s="622">
        <f>LARGE('Commodity Prices'!C$159:C$902,23)</f>
        <v>44593</v>
      </c>
      <c r="B46" s="565">
        <f>SUMIF('Commodity Prices'!C$159:C$902,A46,'Commodity Prices'!M$159:M$902)</f>
        <v>24172.5</v>
      </c>
      <c r="C46" s="489">
        <f>SUMIF('Commodity Prices'!C$159:C$902,A46,'Commodity Prices'!N$159:N$902)</f>
        <v>33771.559101101622</v>
      </c>
      <c r="D46" s="547"/>
      <c r="E46" s="70"/>
      <c r="F46" s="70"/>
      <c r="G46" s="8"/>
      <c r="H46" s="268"/>
      <c r="I46" s="8"/>
    </row>
    <row r="47" spans="1:11">
      <c r="A47" s="624">
        <f>LARGE('Commodity Prices'!C$159:C$902,22)</f>
        <v>44621</v>
      </c>
      <c r="B47" s="623">
        <f>SUMIF('Commodity Prices'!C$159:C$902,A47,'Commodity Prices'!M$159:M$902)</f>
        <v>34101.18</v>
      </c>
      <c r="C47" s="621">
        <f>SUMIF('Commodity Prices'!C$159:C$902,A47,'Commodity Prices'!N$159:N$902)</f>
        <v>46278.721257500925</v>
      </c>
      <c r="D47" s="547"/>
      <c r="E47" s="70"/>
      <c r="F47" s="70"/>
      <c r="G47" s="2049" t="s">
        <v>321</v>
      </c>
      <c r="H47" s="2050"/>
      <c r="I47" s="2051"/>
    </row>
    <row r="48" spans="1:11" ht="15.75" thickBot="1">
      <c r="A48" s="622">
        <f>LARGE('Commodity Prices'!C$159:C$902,21)</f>
        <v>44652</v>
      </c>
      <c r="B48" s="565">
        <f>SUMIF('Commodity Prices'!C$159:C$902,A48,'Commodity Prices'!M$159:M$902)</f>
        <v>33287.24</v>
      </c>
      <c r="C48" s="489">
        <f>SUMIF('Commodity Prices'!C$159:C$902,A48,'Commodity Prices'!N$159:N$902)</f>
        <v>44997.958769854682</v>
      </c>
      <c r="D48" s="547"/>
      <c r="E48" s="70"/>
      <c r="F48" s="70"/>
      <c r="G48" s="1955" t="s">
        <v>282</v>
      </c>
      <c r="H48" s="1977"/>
      <c r="I48" s="1956"/>
    </row>
    <row r="49" spans="1:9">
      <c r="A49" s="624">
        <f>LARGE('Commodity Prices'!C$159:C$902,20)</f>
        <v>44682</v>
      </c>
      <c r="B49" s="623">
        <f>SUMIF('Commodity Prices'!C$159:C$902,A49,'Commodity Prices'!M$159:M$902)</f>
        <v>27938.57</v>
      </c>
      <c r="C49" s="621">
        <f>SUMIF('Commodity Prices'!C$159:C$902,A49,'Commodity Prices'!N$159:N$902)</f>
        <v>39617.938173567782</v>
      </c>
      <c r="D49" s="547"/>
      <c r="E49" s="70"/>
      <c r="F49" s="70"/>
      <c r="G49" s="1978" t="s">
        <v>322</v>
      </c>
      <c r="H49" s="1978"/>
      <c r="I49" s="1978"/>
    </row>
    <row r="50" spans="1:9">
      <c r="A50" s="622">
        <f>LARGE('Commodity Prices'!C$159:C$902,19)</f>
        <v>44713</v>
      </c>
      <c r="B50" s="565">
        <f>SUMIF('Commodity Prices'!C$159:C$902,A50,'Commodity Prices'!M$159:M$902)</f>
        <v>25824.880000000001</v>
      </c>
      <c r="C50" s="489">
        <f>SUMIF('Commodity Prices'!C$159:C$902,A50,'Commodity Prices'!N$159:N$902)</f>
        <v>36733.507183158697</v>
      </c>
      <c r="D50" s="547"/>
      <c r="E50" s="70"/>
      <c r="F50" s="70"/>
      <c r="G50" s="8"/>
      <c r="H50" s="268"/>
      <c r="I50" s="8"/>
    </row>
    <row r="51" spans="1:9">
      <c r="A51" s="624">
        <f>LARGE('Commodity Prices'!C$159:C$902,18)</f>
        <v>44743</v>
      </c>
      <c r="B51" s="623">
        <f>SUMIF('Commodity Prices'!C$159:C$902,A51,'Commodity Prices'!M$159:M$902)</f>
        <v>21470.95</v>
      </c>
      <c r="C51" s="621">
        <f>SUMIF('Commodity Prices'!C$159:C$902,A51,'Commodity Prices'!N$159:N$902)</f>
        <v>31322.242830943644</v>
      </c>
      <c r="D51" s="547"/>
      <c r="E51" s="70"/>
      <c r="F51" s="70"/>
      <c r="G51" s="8"/>
      <c r="H51" s="268"/>
      <c r="I51" s="8"/>
    </row>
    <row r="52" spans="1:9">
      <c r="A52" s="622">
        <f>LARGE('Commodity Prices'!C$159:C$902,17)</f>
        <v>44774</v>
      </c>
      <c r="B52" s="565">
        <f>SUMIF('Commodity Prices'!C$159:C$902,A52,'Commodity Prices'!M$159:M$902)</f>
        <v>21987.95</v>
      </c>
      <c r="C52" s="489">
        <f>SUMIF('Commodity Prices'!C$159:C$902,A52,'Commodity Prices'!N$159:N$902)</f>
        <v>31591.675864185836</v>
      </c>
      <c r="D52" s="547"/>
      <c r="E52" s="70"/>
      <c r="F52" s="70"/>
      <c r="G52" s="2015"/>
      <c r="H52" s="2015"/>
      <c r="I52" s="2015"/>
    </row>
    <row r="53" spans="1:9">
      <c r="A53" s="624">
        <f>LARGE('Commodity Prices'!C$159:C$902,16)</f>
        <v>44805</v>
      </c>
      <c r="B53" s="623">
        <f>SUMIF('Commodity Prices'!C$159:C$902,A53,'Commodity Prices'!M$159:M$902)</f>
        <v>22672.84</v>
      </c>
      <c r="C53" s="621">
        <f>SUMIF('Commodity Prices'!C$159:C$902,A53,'Commodity Prices'!N$159:N$902)</f>
        <v>33903.432856013722</v>
      </c>
      <c r="D53" s="547"/>
      <c r="E53" s="70"/>
      <c r="F53" s="70"/>
      <c r="G53" s="2015"/>
      <c r="H53" s="2015"/>
      <c r="I53" s="2015"/>
    </row>
    <row r="54" spans="1:9">
      <c r="A54" s="622">
        <f>LARGE('Commodity Prices'!C$159:C$902,15)</f>
        <v>44835</v>
      </c>
      <c r="B54" s="565">
        <f>SUMIF('Commodity Prices'!C$159:C$902,A54,'Commodity Prices'!M$159:M$902)</f>
        <v>21924.52</v>
      </c>
      <c r="C54" s="489">
        <f>SUMIF('Commodity Prices'!C$159:C$902,A54,'Commodity Prices'!N$159:N$902)</f>
        <v>34467.638227294883</v>
      </c>
      <c r="D54" s="547"/>
      <c r="E54" s="70"/>
      <c r="F54" s="70"/>
      <c r="G54" s="8"/>
      <c r="H54" s="268"/>
      <c r="I54" s="8"/>
    </row>
    <row r="55" spans="1:9">
      <c r="A55" s="624">
        <f>LARGE('Commodity Prices'!C$159:C$902,14)</f>
        <v>44866</v>
      </c>
      <c r="B55" s="623">
        <f>SUMIF('Commodity Prices'!C$159:C$902,A55,'Commodity Prices'!M$159:M$902)</f>
        <v>25246.25</v>
      </c>
      <c r="C55" s="621">
        <f>SUMIF('Commodity Prices'!C$159:C$902,A55,'Commodity Prices'!N$159:N$902)</f>
        <v>38286.963954586492</v>
      </c>
      <c r="D55" s="547"/>
      <c r="E55" s="70"/>
      <c r="F55" s="70"/>
      <c r="G55" s="8"/>
      <c r="H55" s="268"/>
      <c r="I55" s="8"/>
    </row>
    <row r="56" spans="1:9">
      <c r="A56" s="622">
        <f>LARGE('Commodity Prices'!C$159:C$902,13)</f>
        <v>44896</v>
      </c>
      <c r="B56" s="565">
        <f>SUMIF('Commodity Prices'!C$159:C$902,A56,'Commodity Prices'!M$159:M$902)</f>
        <v>26925</v>
      </c>
      <c r="C56" s="489">
        <f>SUMIF('Commodity Prices'!C$159:C$902,A56,'Commodity Prices'!N$159:N$902)</f>
        <v>39877.368760135963</v>
      </c>
      <c r="D56" s="547"/>
      <c r="E56" s="70"/>
      <c r="F56" s="70"/>
      <c r="G56" s="8"/>
      <c r="H56" s="268"/>
      <c r="I56" s="8"/>
    </row>
    <row r="57" spans="1:9">
      <c r="A57" s="624">
        <f>LARGE('Commodity Prices'!C$159:C$902,12)</f>
        <v>44927</v>
      </c>
      <c r="B57" s="623">
        <f>SUMIF('Commodity Prices'!C$159:C$902,A57,'Commodity Prices'!M$159:M$902)</f>
        <v>28226.07</v>
      </c>
      <c r="C57" s="621">
        <f>SUMIF('Commodity Prices'!C$159:C$902,A57,'Commodity Prices'!N$159:N$902)</f>
        <v>40620.648466619648</v>
      </c>
      <c r="D57" s="547"/>
      <c r="E57" s="70"/>
      <c r="F57" s="70"/>
      <c r="G57" s="8"/>
      <c r="H57" s="268"/>
      <c r="I57" s="8"/>
    </row>
    <row r="58" spans="1:9">
      <c r="A58" s="622">
        <f>LARGE('Commodity Prices'!C$159:C$902,11)</f>
        <v>44958</v>
      </c>
      <c r="B58" s="565">
        <f>SUMIF('Commodity Prices'!C$159:C$902,A58,'Commodity Prices'!M$159:M$902)</f>
        <v>26678.880000000001</v>
      </c>
      <c r="C58" s="489">
        <f>SUMIF('Commodity Prices'!C$159:C$902,A58,'Commodity Prices'!N$159:N$902)</f>
        <v>38583.403233737306</v>
      </c>
      <c r="D58" s="547"/>
      <c r="E58" s="70"/>
      <c r="F58" s="70"/>
      <c r="G58" s="8"/>
      <c r="H58" s="268"/>
      <c r="I58" s="8"/>
    </row>
    <row r="59" spans="1:9">
      <c r="A59" s="624">
        <f>LARGE('Commodity Prices'!C$159:C$902,10)</f>
        <v>44986</v>
      </c>
      <c r="B59" s="623">
        <f>SUMIF('Commodity Prices'!C$159:C$902,A59,'Commodity Prices'!M$159:M$902)</f>
        <v>23289.46</v>
      </c>
      <c r="C59" s="621">
        <f>SUMIF('Commodity Prices'!C$159:C$902,A59,'Commodity Prices'!N$159:N$902)</f>
        <v>34827.285376193075</v>
      </c>
      <c r="D59" s="547"/>
      <c r="E59" s="70"/>
      <c r="F59" s="70"/>
      <c r="G59" s="8"/>
      <c r="H59" s="268"/>
      <c r="I59" s="8"/>
    </row>
    <row r="60" spans="1:9">
      <c r="A60" s="622">
        <f>LARGE('Commodity Prices'!C$159:C$902,9)</f>
        <v>45017</v>
      </c>
      <c r="B60" s="565">
        <f>SUMIF('Commodity Prices'!C$159:C$902,A60,'Commodity Prices'!M$159:M$902)</f>
        <v>23749.17</v>
      </c>
      <c r="C60" s="489">
        <f>SUMIF('Commodity Prices'!C$159:C$902,A60,'Commodity Prices'!N$159:N$902)</f>
        <v>35474.553202706265</v>
      </c>
      <c r="D60" s="547"/>
      <c r="E60" s="70"/>
      <c r="F60" s="70"/>
      <c r="G60" s="8"/>
      <c r="H60" s="268"/>
      <c r="I60" s="8"/>
    </row>
    <row r="61" spans="1:9">
      <c r="A61" s="624">
        <f>LARGE('Commodity Prices'!C$159:C$902,8)</f>
        <v>45047</v>
      </c>
      <c r="B61" s="623">
        <f>SUMIF('Commodity Prices'!C$159:C$902,A61,'Commodity Prices'!M$159:M$902)</f>
        <v>22214.880000000001</v>
      </c>
      <c r="C61" s="621">
        <f>SUMIF('Commodity Prices'!C$159:C$902,A61,'Commodity Prices'!N$159:N$902)</f>
        <v>33401.030253902674</v>
      </c>
      <c r="D61" s="547"/>
      <c r="E61" s="70"/>
      <c r="F61" s="70"/>
      <c r="G61" s="8"/>
      <c r="H61" s="268"/>
      <c r="I61" s="8"/>
    </row>
    <row r="62" spans="1:9">
      <c r="A62" s="622">
        <f>LARGE('Commodity Prices'!C$159:C$902,7)</f>
        <v>45078</v>
      </c>
      <c r="B62" s="565">
        <f>SUMIF('Commodity Prices'!C$159:C$902,A62,'Commodity Prices'!M$159:M$902)</f>
        <v>21184.09</v>
      </c>
      <c r="C62" s="489">
        <f>SUMIF('Commodity Prices'!C$159:C$902,A62,'Commodity Prices'!N$159:N$902)</f>
        <v>31579.888549726693</v>
      </c>
      <c r="D62" s="547"/>
      <c r="E62" s="70"/>
      <c r="F62" s="70"/>
      <c r="G62" s="8"/>
      <c r="H62" s="268"/>
      <c r="I62" s="8"/>
    </row>
    <row r="63" spans="1:9">
      <c r="A63" s="624">
        <f>LARGE('Commodity Prices'!C$159:C$902,6)</f>
        <v>45108</v>
      </c>
      <c r="B63" s="623">
        <f>SUMIF('Commodity Prices'!C$159:C$902,A63,'Commodity Prices'!M$159:M$902)</f>
        <v>20889.88</v>
      </c>
      <c r="C63" s="621">
        <f>SUMIF('Commodity Prices'!C$159:C$902,A63,'Commodity Prices'!N$159:N$902)</f>
        <v>31005.059050526899</v>
      </c>
      <c r="D63" s="547"/>
      <c r="E63" s="70"/>
      <c r="F63" s="70"/>
      <c r="G63" s="8"/>
      <c r="H63" s="268"/>
      <c r="I63" s="8"/>
    </row>
    <row r="64" spans="1:9">
      <c r="A64" s="622">
        <f>LARGE('Commodity Prices'!C$159:C$902,5)</f>
        <v>45139</v>
      </c>
      <c r="B64" s="565">
        <f>SUMIF('Commodity Prices'!C$159:C$902,A64,'Commodity Prices'!M$159:M$902)</f>
        <v>20484.43</v>
      </c>
      <c r="C64" s="489">
        <f>SUMIF('Commodity Prices'!C$159:C$902,A64,'Commodity Prices'!N$159:N$902)</f>
        <v>31571.911167157061</v>
      </c>
      <c r="D64" s="547"/>
      <c r="E64" s="70"/>
      <c r="F64" s="70"/>
      <c r="G64" s="8"/>
      <c r="H64" s="268"/>
      <c r="I64" s="8"/>
    </row>
    <row r="65" spans="1:9">
      <c r="A65" s="624">
        <f>LARGE('Commodity Prices'!C$159:C$902,4)</f>
        <v>45170</v>
      </c>
      <c r="B65" s="623">
        <f>SUMIF('Commodity Prices'!C$159:C$902,A65,'Commodity Prices'!M$159:M$902)</f>
        <v>19620.599999999999</v>
      </c>
      <c r="C65" s="621">
        <f>SUMIF('Commodity Prices'!C$159:C$902,A65,'Commodity Prices'!N$159:N$902)</f>
        <v>30539.709599235081</v>
      </c>
      <c r="D65" s="547"/>
      <c r="E65" s="70"/>
      <c r="F65" s="70"/>
      <c r="G65" s="8"/>
      <c r="H65" s="268"/>
      <c r="I65" s="8"/>
    </row>
    <row r="66" spans="1:9">
      <c r="A66" s="622">
        <f>LARGE('Commodity Prices'!C$159:C$902,3)</f>
        <v>45200</v>
      </c>
      <c r="B66" s="565">
        <f>SUMIF('Commodity Prices'!C$159:C$902,A66,'Commodity Prices'!M$159:M$902)</f>
        <v>18249.2</v>
      </c>
      <c r="C66" s="489">
        <f>SUMIF('Commodity Prices'!C$159:C$902,A66,'Commodity Prices'!N$159:N$902)</f>
        <v>28738.251107961576</v>
      </c>
      <c r="D66" s="547"/>
      <c r="E66" s="70"/>
      <c r="F66" s="70"/>
      <c r="G66" s="8"/>
      <c r="H66" s="268"/>
      <c r="I66" s="8"/>
    </row>
    <row r="67" spans="1:9">
      <c r="A67" s="624">
        <f>LARGE('Commodity Prices'!C$159:C$902,2)</f>
        <v>45231</v>
      </c>
      <c r="B67" s="623">
        <f>SUMIF('Commodity Prices'!C$159:C$902,A67,'Commodity Prices'!M$159:M$902)</f>
        <v>16974.32</v>
      </c>
      <c r="C67" s="621">
        <f>SUMIF('Commodity Prices'!C$159:C$902,A67,'Commodity Prices'!N$159:N$902)</f>
        <v>26147.068008206075</v>
      </c>
      <c r="D67" s="547"/>
      <c r="E67" s="70"/>
      <c r="F67" s="70"/>
      <c r="G67" s="8"/>
      <c r="H67" s="268"/>
      <c r="I67" s="8"/>
    </row>
    <row r="68" spans="1:9" ht="15.75" thickBot="1">
      <c r="A68" s="1561">
        <f>LARGE('Commodity Prices'!C$159:C$902,1)</f>
        <v>45261</v>
      </c>
      <c r="B68" s="566">
        <f>SUMIF('Commodity Prices'!C$159:C$902,A68,'Commodity Prices'!M$159:M$902)</f>
        <v>16381.71</v>
      </c>
      <c r="C68" s="490">
        <f>SUMIF('Commodity Prices'!C$159:C$902,A68,'Commodity Prices'!N$159:N$902)</f>
        <v>24513.667687897232</v>
      </c>
      <c r="D68" s="547"/>
      <c r="E68" s="70"/>
      <c r="F68" s="70"/>
      <c r="G68" s="8"/>
      <c r="H68" s="268"/>
      <c r="I68" s="8"/>
    </row>
    <row r="69" spans="1:9">
      <c r="G69" s="8"/>
      <c r="H69" s="268"/>
      <c r="I69" s="8"/>
    </row>
    <row r="70" spans="1:9">
      <c r="G70" s="8"/>
      <c r="H70" s="268"/>
      <c r="I70" s="8"/>
    </row>
  </sheetData>
  <mergeCells count="8">
    <mergeCell ref="G52:I53"/>
    <mergeCell ref="A5:C5"/>
    <mergeCell ref="A6:C6"/>
    <mergeCell ref="G48:I48"/>
    <mergeCell ref="G49:I49"/>
    <mergeCell ref="G5:I5"/>
    <mergeCell ref="G6:I6"/>
    <mergeCell ref="G47:I47"/>
  </mergeCells>
  <dataValidations disablePrompts="1" count="1">
    <dataValidation type="list" allowBlank="1" showInputMessage="1" showErrorMessage="1" promptTitle="Select a Period:" prompt="Select Financial or Calendar years." sqref="G48:I48" xr:uid="{00000000-0002-0000-2200-000000000000}">
      <formula1>$AA$1:$AA$2</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1">
    <tabColor theme="4" tint="0.39997558519241921"/>
  </sheetPr>
  <dimension ref="A1:V826"/>
  <sheetViews>
    <sheetView showGridLines="0" workbookViewId="0"/>
  </sheetViews>
  <sheetFormatPr defaultColWidth="9.140625" defaultRowHeight="15"/>
  <cols>
    <col min="1" max="1" width="14.42578125" style="70" bestFit="1" customWidth="1"/>
    <col min="2" max="2" width="13.140625" style="70" bestFit="1" customWidth="1"/>
    <col min="3" max="3" width="15.7109375" style="70" customWidth="1"/>
    <col min="4" max="4" width="6.140625" style="42" hidden="1" customWidth="1"/>
    <col min="5" max="5" width="5.5703125" style="42" hidden="1" customWidth="1"/>
    <col min="6" max="6" width="11.5703125" style="72" customWidth="1"/>
    <col min="7" max="7" width="9.140625" style="70"/>
    <col min="8" max="8" width="11.140625" style="70" bestFit="1" customWidth="1"/>
    <col min="9" max="15" width="9.140625" style="70"/>
    <col min="16" max="16" width="0" style="70" hidden="1" customWidth="1"/>
    <col min="17" max="17" width="3.28515625" style="70" customWidth="1"/>
    <col min="18" max="18" width="12.85546875" style="70" customWidth="1"/>
    <col min="19" max="19" width="15.140625" style="70" customWidth="1"/>
    <col min="20" max="20" width="16" style="70" bestFit="1" customWidth="1"/>
    <col min="21" max="16384" width="9.140625" style="70"/>
  </cols>
  <sheetData>
    <row r="1" spans="1:20">
      <c r="A1" s="80" t="s">
        <v>240</v>
      </c>
    </row>
    <row r="2" spans="1:20">
      <c r="A2" s="80" t="s">
        <v>246</v>
      </c>
    </row>
    <row r="5" spans="1:20">
      <c r="A5" s="1972"/>
      <c r="B5" s="1972"/>
      <c r="C5" s="1972"/>
      <c r="D5" s="230"/>
      <c r="E5" s="230"/>
      <c r="F5" s="267"/>
    </row>
    <row r="6" spans="1:20" ht="15.75" thickBot="1">
      <c r="A6" s="2004" t="s">
        <v>423</v>
      </c>
      <c r="B6" s="2004"/>
      <c r="C6" s="2004"/>
      <c r="D6" s="229"/>
      <c r="E6" s="229"/>
      <c r="F6" s="266"/>
    </row>
    <row r="7" spans="1:20">
      <c r="A7" s="776" t="s">
        <v>5</v>
      </c>
      <c r="B7" s="779" t="s">
        <v>37</v>
      </c>
      <c r="C7" s="780" t="s">
        <v>382</v>
      </c>
      <c r="D7" s="45"/>
      <c r="E7" s="45"/>
      <c r="F7" s="45"/>
      <c r="R7" s="1948" t="s">
        <v>496</v>
      </c>
      <c r="S7" s="1948"/>
      <c r="T7" s="1948"/>
    </row>
    <row r="8" spans="1:20" ht="15.75" thickBot="1">
      <c r="A8" s="414">
        <v>36220</v>
      </c>
      <c r="B8" s="484">
        <v>17.222999999999999</v>
      </c>
      <c r="C8" s="483">
        <v>119.60600000000001</v>
      </c>
      <c r="D8" s="48">
        <f>YEAR(A8)</f>
        <v>1999</v>
      </c>
      <c r="E8" s="48" t="str">
        <f>IF(MONTH(A8)=3,"1",IF(MONTH(A8)=6,"2",IF(MONTH(A8)=9,"3","4")))</f>
        <v>1</v>
      </c>
      <c r="F8" s="49"/>
      <c r="R8" s="1973" t="s">
        <v>580</v>
      </c>
      <c r="S8" s="1973"/>
      <c r="T8" s="1973"/>
    </row>
    <row r="9" spans="1:20">
      <c r="A9" s="414">
        <v>36312</v>
      </c>
      <c r="B9" s="615">
        <v>34.822000000000003</v>
      </c>
      <c r="C9" s="616">
        <v>271.36399999999998</v>
      </c>
      <c r="D9" s="48">
        <f t="shared" ref="D9:D72" si="0">YEAR(A9)</f>
        <v>1999</v>
      </c>
      <c r="E9" s="48" t="str">
        <f t="shared" ref="E9:E72" si="1">IF(MONTH(A9)=3,"1",IF(MONTH(A9)=6,"2",IF(MONTH(A9)=9,"3","4")))</f>
        <v>2</v>
      </c>
      <c r="F9" s="49"/>
      <c r="R9" s="777" t="s">
        <v>5</v>
      </c>
      <c r="S9" s="1197" t="str">
        <f>B7</f>
        <v>Quantity (Kt)</v>
      </c>
      <c r="T9" s="1198" t="str">
        <f>C7</f>
        <v>Value ($ Million)</v>
      </c>
    </row>
    <row r="10" spans="1:20">
      <c r="A10" s="414">
        <v>36404</v>
      </c>
      <c r="B10" s="484">
        <v>34.843999999999994</v>
      </c>
      <c r="C10" s="483">
        <v>295.02716299999997</v>
      </c>
      <c r="D10" s="48">
        <f t="shared" si="0"/>
        <v>1999</v>
      </c>
      <c r="E10" s="48" t="str">
        <f t="shared" si="1"/>
        <v>3</v>
      </c>
      <c r="F10" s="49"/>
      <c r="R10" s="414">
        <f>LARGE(A$8:A$750,9)</f>
        <v>44531</v>
      </c>
      <c r="S10" s="617">
        <f t="shared" ref="S10:S18" si="2">SUMIF($A$8:$A$738,$R10,B$8:B$750)</f>
        <v>39.386962000000004</v>
      </c>
      <c r="T10" s="539">
        <f t="shared" ref="T10:T18" si="3">SUMIF($A$8:$A$738,$R10,C$8:C$750)</f>
        <v>1167.21880865</v>
      </c>
    </row>
    <row r="11" spans="1:20">
      <c r="A11" s="414">
        <v>36495</v>
      </c>
      <c r="B11" s="615">
        <v>35.907000000000004</v>
      </c>
      <c r="C11" s="616">
        <v>410.636033</v>
      </c>
      <c r="D11" s="48">
        <f t="shared" si="0"/>
        <v>1999</v>
      </c>
      <c r="E11" s="48" t="str">
        <f t="shared" si="1"/>
        <v>4</v>
      </c>
      <c r="F11" s="49"/>
      <c r="R11" s="414">
        <f>LARGE(A$8:A$750,8)</f>
        <v>44621</v>
      </c>
      <c r="S11" s="618">
        <f t="shared" si="2"/>
        <v>36.555967999999993</v>
      </c>
      <c r="T11" s="619">
        <f t="shared" si="3"/>
        <v>1506.8419139999999</v>
      </c>
    </row>
    <row r="12" spans="1:20">
      <c r="A12" s="414">
        <v>36586</v>
      </c>
      <c r="B12" s="484">
        <v>38.5</v>
      </c>
      <c r="C12" s="483">
        <v>528.45242100000007</v>
      </c>
      <c r="D12" s="48">
        <f t="shared" si="0"/>
        <v>2000</v>
      </c>
      <c r="E12" s="48" t="str">
        <f t="shared" si="1"/>
        <v>1</v>
      </c>
      <c r="F12" s="49"/>
      <c r="R12" s="414">
        <f>LARGE(A$8:A$750,7)</f>
        <v>44713</v>
      </c>
      <c r="S12" s="617">
        <f t="shared" si="2"/>
        <v>34.867350000000002</v>
      </c>
      <c r="T12" s="539">
        <f t="shared" si="3"/>
        <v>1195.1312249999999</v>
      </c>
    </row>
    <row r="13" spans="1:20">
      <c r="A13" s="414">
        <v>36678</v>
      </c>
      <c r="B13" s="615">
        <v>34.683</v>
      </c>
      <c r="C13" s="616">
        <v>572.169444</v>
      </c>
      <c r="D13" s="48">
        <f t="shared" si="0"/>
        <v>2000</v>
      </c>
      <c r="E13" s="48" t="str">
        <f t="shared" si="1"/>
        <v>2</v>
      </c>
      <c r="F13" s="49"/>
      <c r="R13" s="414">
        <f>LARGE(A$8:A$750,6)</f>
        <v>44805</v>
      </c>
      <c r="S13" s="618">
        <f t="shared" si="2"/>
        <v>43.281026000000004</v>
      </c>
      <c r="T13" s="619">
        <f t="shared" si="3"/>
        <v>1416.298411</v>
      </c>
    </row>
    <row r="14" spans="1:20">
      <c r="A14" s="414">
        <v>36770</v>
      </c>
      <c r="B14" s="484">
        <v>38.913999999999994</v>
      </c>
      <c r="C14" s="483">
        <v>552.074479</v>
      </c>
      <c r="D14" s="48">
        <f t="shared" si="0"/>
        <v>2000</v>
      </c>
      <c r="E14" s="48" t="str">
        <f t="shared" si="1"/>
        <v>3</v>
      </c>
      <c r="F14" s="49"/>
      <c r="R14" s="414">
        <f>LARGE(A$8:A$750,5)</f>
        <v>44896</v>
      </c>
      <c r="S14" s="617">
        <f t="shared" si="2"/>
        <v>40.566062770452831</v>
      </c>
      <c r="T14" s="539">
        <f t="shared" si="3"/>
        <v>1648.5446689999999</v>
      </c>
    </row>
    <row r="15" spans="1:20">
      <c r="A15" s="414">
        <v>36861</v>
      </c>
      <c r="B15" s="615">
        <v>41.976999999999997</v>
      </c>
      <c r="C15" s="616">
        <v>598.97182499999997</v>
      </c>
      <c r="D15" s="48">
        <f t="shared" si="0"/>
        <v>2000</v>
      </c>
      <c r="E15" s="48" t="str">
        <f t="shared" si="1"/>
        <v>4</v>
      </c>
      <c r="F15" s="49"/>
      <c r="R15" s="414">
        <f>LARGE(A$8:A$750,4)</f>
        <v>44986</v>
      </c>
      <c r="S15" s="618">
        <f t="shared" si="2"/>
        <v>37.112964999999996</v>
      </c>
      <c r="T15" s="619">
        <f t="shared" si="3"/>
        <v>1363.699206</v>
      </c>
    </row>
    <row r="16" spans="1:20">
      <c r="A16" s="414">
        <v>36951</v>
      </c>
      <c r="B16" s="484">
        <v>43.210999999999999</v>
      </c>
      <c r="C16" s="483">
        <v>556.122838</v>
      </c>
      <c r="D16" s="48">
        <f t="shared" si="0"/>
        <v>2001</v>
      </c>
      <c r="E16" s="48" t="str">
        <f t="shared" si="1"/>
        <v>1</v>
      </c>
      <c r="F16" s="49"/>
      <c r="R16" s="414">
        <f>LARGE(A$8:A$750,3)</f>
        <v>45078</v>
      </c>
      <c r="S16" s="617">
        <f t="shared" si="2"/>
        <v>39.732895000000006</v>
      </c>
      <c r="T16" s="539">
        <f t="shared" si="3"/>
        <v>1288.1296649999999</v>
      </c>
    </row>
    <row r="17" spans="1:20">
      <c r="A17" s="414">
        <v>37043</v>
      </c>
      <c r="B17" s="615">
        <v>43.347999999999999</v>
      </c>
      <c r="C17" s="616">
        <v>531.56001000000003</v>
      </c>
      <c r="D17" s="48">
        <f t="shared" si="0"/>
        <v>2001</v>
      </c>
      <c r="E17" s="48" t="str">
        <f t="shared" si="1"/>
        <v>2</v>
      </c>
      <c r="F17" s="49"/>
      <c r="R17" s="414">
        <f>LARGE(A$8:A$750,2)</f>
        <v>45170</v>
      </c>
      <c r="S17" s="618">
        <f t="shared" si="2"/>
        <v>35.742027999999998</v>
      </c>
      <c r="T17" s="619">
        <f t="shared" si="3"/>
        <v>1082.776807</v>
      </c>
    </row>
    <row r="18" spans="1:20" ht="15.75" thickBot="1">
      <c r="A18" s="414">
        <v>37135</v>
      </c>
      <c r="B18" s="484">
        <v>47.738</v>
      </c>
      <c r="C18" s="483">
        <v>532.50429900000006</v>
      </c>
      <c r="D18" s="48">
        <f t="shared" si="0"/>
        <v>2001</v>
      </c>
      <c r="E18" s="48" t="str">
        <f t="shared" si="1"/>
        <v>3</v>
      </c>
      <c r="F18" s="49"/>
      <c r="R18" s="1562">
        <f>LARGE(A$8:A$750,1)</f>
        <v>45261</v>
      </c>
      <c r="S18" s="898">
        <f t="shared" si="2"/>
        <v>36.832878999999991</v>
      </c>
      <c r="T18" s="1563">
        <f t="shared" si="3"/>
        <v>962.80975699999999</v>
      </c>
    </row>
    <row r="19" spans="1:20">
      <c r="A19" s="414">
        <v>37226</v>
      </c>
      <c r="B19" s="615">
        <v>46.872</v>
      </c>
      <c r="C19" s="616">
        <v>454.29322500000001</v>
      </c>
      <c r="D19" s="48">
        <f t="shared" si="0"/>
        <v>2001</v>
      </c>
      <c r="E19" s="48" t="str">
        <f t="shared" si="1"/>
        <v>4</v>
      </c>
      <c r="F19" s="49"/>
      <c r="R19" s="231"/>
    </row>
    <row r="20" spans="1:20">
      <c r="A20" s="414">
        <v>37316</v>
      </c>
      <c r="B20" s="484">
        <v>41.893000000000001</v>
      </c>
      <c r="C20" s="483">
        <v>471.177167</v>
      </c>
      <c r="D20" s="48">
        <f t="shared" si="0"/>
        <v>2002</v>
      </c>
      <c r="E20" s="48" t="str">
        <f t="shared" si="1"/>
        <v>1</v>
      </c>
      <c r="F20" s="49"/>
      <c r="R20" s="231"/>
    </row>
    <row r="21" spans="1:20">
      <c r="A21" s="414">
        <v>37408</v>
      </c>
      <c r="B21" s="615">
        <v>42.975000000000001</v>
      </c>
      <c r="C21" s="616">
        <v>534.85670400000004</v>
      </c>
      <c r="D21" s="48">
        <f t="shared" si="0"/>
        <v>2002</v>
      </c>
      <c r="E21" s="48" t="str">
        <f t="shared" si="1"/>
        <v>2</v>
      </c>
      <c r="F21" s="49"/>
      <c r="R21" s="231"/>
    </row>
    <row r="22" spans="1:20">
      <c r="A22" s="414">
        <v>37500</v>
      </c>
      <c r="B22" s="484">
        <v>53.133000000000003</v>
      </c>
      <c r="C22" s="483">
        <v>666.64412799999991</v>
      </c>
      <c r="D22" s="48">
        <f t="shared" si="0"/>
        <v>2002</v>
      </c>
      <c r="E22" s="48" t="str">
        <f t="shared" si="1"/>
        <v>3</v>
      </c>
      <c r="F22" s="49"/>
      <c r="R22" s="231"/>
    </row>
    <row r="23" spans="1:20">
      <c r="A23" s="414">
        <v>37591</v>
      </c>
      <c r="B23" s="615">
        <v>45.000999999999998</v>
      </c>
      <c r="C23" s="616">
        <v>569.058988</v>
      </c>
      <c r="D23" s="48">
        <f t="shared" si="0"/>
        <v>2002</v>
      </c>
      <c r="E23" s="48" t="str">
        <f t="shared" si="1"/>
        <v>4</v>
      </c>
      <c r="F23" s="49"/>
      <c r="R23" s="231"/>
    </row>
    <row r="24" spans="1:20" ht="15.75" thickBot="1">
      <c r="A24" s="414">
        <v>37681</v>
      </c>
      <c r="B24" s="484">
        <v>45.094999999999999</v>
      </c>
      <c r="C24" s="483">
        <v>605.23837300000002</v>
      </c>
      <c r="D24" s="48">
        <f t="shared" si="0"/>
        <v>2003</v>
      </c>
      <c r="E24" s="48" t="str">
        <f t="shared" si="1"/>
        <v>1</v>
      </c>
      <c r="F24" s="49"/>
    </row>
    <row r="25" spans="1:20">
      <c r="A25" s="414">
        <v>37773</v>
      </c>
      <c r="B25" s="615">
        <v>48.561999999999998</v>
      </c>
      <c r="C25" s="616">
        <v>616.64654700000006</v>
      </c>
      <c r="D25" s="48">
        <f t="shared" si="0"/>
        <v>2003</v>
      </c>
      <c r="E25" s="48" t="str">
        <f t="shared" si="1"/>
        <v>2</v>
      </c>
      <c r="F25" s="49"/>
      <c r="R25" s="1452" t="s">
        <v>247</v>
      </c>
      <c r="S25" s="2052" t="s">
        <v>240</v>
      </c>
      <c r="T25" s="2053"/>
    </row>
    <row r="26" spans="1:20">
      <c r="A26" s="414">
        <v>37865</v>
      </c>
      <c r="B26" s="484">
        <v>48.596999999999994</v>
      </c>
      <c r="C26" s="483">
        <v>682.53408300000001</v>
      </c>
      <c r="D26" s="48">
        <f t="shared" si="0"/>
        <v>2003</v>
      </c>
      <c r="E26" s="48" t="str">
        <f t="shared" si="1"/>
        <v>3</v>
      </c>
      <c r="F26" s="49"/>
      <c r="G26" s="232"/>
      <c r="H26" s="233"/>
      <c r="I26" s="232"/>
      <c r="J26" s="232"/>
      <c r="R26" s="1961" t="str">
        <f>CONCATENATE(A5," Quantity And Value By Year")</f>
        <v xml:space="preserve"> Quantity And Value By Year</v>
      </c>
      <c r="S26" s="1962"/>
      <c r="T26" s="1963"/>
    </row>
    <row r="27" spans="1:20">
      <c r="A27" s="414">
        <v>37956</v>
      </c>
      <c r="B27" s="615">
        <v>47.955999999999996</v>
      </c>
      <c r="C27" s="616">
        <v>775.82492999999999</v>
      </c>
      <c r="D27" s="48">
        <f t="shared" si="0"/>
        <v>2003</v>
      </c>
      <c r="E27" s="48" t="str">
        <f t="shared" si="1"/>
        <v>4</v>
      </c>
      <c r="F27" s="49"/>
      <c r="G27" s="232"/>
      <c r="H27" s="233"/>
      <c r="I27" s="232"/>
      <c r="J27" s="232"/>
      <c r="R27" s="1453" t="s">
        <v>34</v>
      </c>
      <c r="S27" s="1454" t="str">
        <f>B7</f>
        <v>Quantity (Kt)</v>
      </c>
      <c r="T27" s="1455" t="str">
        <f>C7</f>
        <v>Value ($ Million)</v>
      </c>
    </row>
    <row r="28" spans="1:20">
      <c r="A28" s="414">
        <v>38047</v>
      </c>
      <c r="B28" s="484">
        <v>40.414000000000001</v>
      </c>
      <c r="C28" s="483">
        <v>756.27366199999994</v>
      </c>
      <c r="D28" s="48">
        <f t="shared" si="0"/>
        <v>2004</v>
      </c>
      <c r="E28" s="48" t="str">
        <f t="shared" si="1"/>
        <v>1</v>
      </c>
      <c r="F28" s="49"/>
      <c r="G28" s="232"/>
      <c r="H28" s="233"/>
      <c r="I28" s="232"/>
      <c r="J28" s="232"/>
      <c r="R28" s="1739">
        <f t="shared" ref="R28:R45" si="4">IF($S$25="Calendar Year", R29-1, LEFT(R29,4)-1 &amp; "-" &amp; MID(R29,3,2))</f>
        <v>2004</v>
      </c>
      <c r="S28" s="503">
        <f>IF($S$25="Calendar Year",SUMIF($D$8:$D$200,$R28,$B$8:$B$200),SUMIFS($B$8:$B$200,$D$8:$D$200,LEFT($R28,4),$E$8:$E$200,3)+SUMIFS($B$8:$B$200,$D$8:$D$200,LEFT($R28,4),$E$8:$E$200,4)+SUMIFS($B$8:$B$200,$D$8:$D$200,LEFT($R28,4)+1,$E$8:$E$200,1)+SUMIFS($B$8:$B$200,$D$8:$D$200,LEFT($R28,4)+1,$E$8:$E$200,2))</f>
        <v>174.70099999999999</v>
      </c>
      <c r="T28" s="506">
        <f>IF($S$25="Calendar Year",SUMIF($D$8:$D$200,$R28,$C$8:$C$200),SUMIFS($C$8:$C$200,$D$8:$D$200,LEFT($R28,4),$E$8:$E$200,3)+SUMIFS($C$8:$C$200,$D$8:$D$200,LEFT($R28,4),$E$8:$E$200,4)+SUMIFS($C$8:$C$200,$D$8:$D$200,LEFT($R28,4)+1,$E$8:$E$200,1)+SUMIFS($C$8:$C$200,$D$8:$D$200,LEFT($R28,4)+1,$E$8:$E$200,2))</f>
        <v>3270.2078219999999</v>
      </c>
    </row>
    <row r="29" spans="1:20">
      <c r="A29" s="414">
        <v>38139</v>
      </c>
      <c r="B29" s="615">
        <v>45.637999999999998</v>
      </c>
      <c r="C29" s="616">
        <v>821.30489499999999</v>
      </c>
      <c r="D29" s="48">
        <f t="shared" si="0"/>
        <v>2004</v>
      </c>
      <c r="E29" s="48" t="str">
        <f t="shared" si="1"/>
        <v>2</v>
      </c>
      <c r="F29" s="49"/>
      <c r="G29" s="232"/>
      <c r="H29" s="233"/>
      <c r="I29" s="232"/>
      <c r="J29" s="232"/>
      <c r="R29" s="1739">
        <f t="shared" si="4"/>
        <v>2005</v>
      </c>
      <c r="S29" s="620">
        <f t="shared" ref="S29:S53" si="5">IF(R29="","",IF($S$25="Calendar Year",SUMIF($D$8:$D$200,$R29,$B$8:$B$200),SUMIFS($B$8:$B$200,$D$8:$D$200,LEFT($R29,4),$E$8:$E$200,3)+SUMIFS($B$8:$B$200,$D$8:$D$200,LEFT($R29,4),$E$8:$E$200,4)+SUMIFS($B$8:$B$200,$D$8:$D$200,LEFT($R29,4)+1,$E$8:$E$200,1)+SUMIFS($B$8:$B$200,$D$8:$D$200,LEFT($R29,4)+1,$E$8:$E$200,2)))</f>
        <v>188.36199999999999</v>
      </c>
      <c r="T29" s="973">
        <f t="shared" ref="T29:T53" si="6">IF(R29="","",IF($S$25="Calendar Year",SUMIF($D$8:$D$200,$R29,$C$8:$C$200),SUMIFS($C$8:$C$200,$D$8:$D$200,LEFT($R29,4),$E$8:$E$200,3)+SUMIFS($C$8:$C$200,$D$8:$D$200,LEFT($R29,4),$E$8:$E$200,4)+SUMIFS($C$8:$C$200,$D$8:$D$200,LEFT($R29,4)+1,$E$8:$E$200,1)+SUMIFS($C$8:$C$200,$D$8:$D$200,LEFT($R29,4)+1,$E$8:$E$200,2)))</f>
        <v>3490.7384699999998</v>
      </c>
    </row>
    <row r="30" spans="1:20">
      <c r="A30" s="414">
        <v>38231</v>
      </c>
      <c r="B30" s="484">
        <v>42.868000000000002</v>
      </c>
      <c r="C30" s="483">
        <v>843.74164199999996</v>
      </c>
      <c r="D30" s="48">
        <f t="shared" si="0"/>
        <v>2004</v>
      </c>
      <c r="E30" s="48" t="str">
        <f t="shared" si="1"/>
        <v>3</v>
      </c>
      <c r="F30" s="49"/>
      <c r="G30" s="232"/>
      <c r="H30" s="233"/>
      <c r="I30" s="232"/>
      <c r="J30" s="232"/>
      <c r="R30" s="1739">
        <f t="shared" si="4"/>
        <v>2006</v>
      </c>
      <c r="S30" s="503">
        <f t="shared" si="5"/>
        <v>175.08699999999999</v>
      </c>
      <c r="T30" s="506">
        <f t="shared" si="6"/>
        <v>5844.1734319999996</v>
      </c>
    </row>
    <row r="31" spans="1:20">
      <c r="A31" s="414">
        <v>38322</v>
      </c>
      <c r="B31" s="615">
        <v>45.780999999999999</v>
      </c>
      <c r="C31" s="616">
        <v>848.88762299999996</v>
      </c>
      <c r="D31" s="48">
        <f t="shared" si="0"/>
        <v>2004</v>
      </c>
      <c r="E31" s="48" t="str">
        <f t="shared" si="1"/>
        <v>4</v>
      </c>
      <c r="F31" s="49"/>
      <c r="G31" s="232"/>
      <c r="H31" s="233"/>
      <c r="I31" s="232"/>
      <c r="J31" s="232"/>
      <c r="R31" s="1739">
        <f t="shared" si="4"/>
        <v>2007</v>
      </c>
      <c r="S31" s="620">
        <f t="shared" si="5"/>
        <v>162.49200000000002</v>
      </c>
      <c r="T31" s="973">
        <f t="shared" si="6"/>
        <v>6901.8563919999997</v>
      </c>
    </row>
    <row r="32" spans="1:20">
      <c r="A32" s="414">
        <v>38412</v>
      </c>
      <c r="B32" s="484">
        <v>49.765999999999998</v>
      </c>
      <c r="C32" s="483">
        <v>951.74659999999994</v>
      </c>
      <c r="D32" s="48">
        <f t="shared" si="0"/>
        <v>2005</v>
      </c>
      <c r="E32" s="48" t="str">
        <f t="shared" si="1"/>
        <v>1</v>
      </c>
      <c r="F32" s="49"/>
      <c r="G32" s="232"/>
      <c r="H32" s="233"/>
      <c r="I32" s="232"/>
      <c r="J32" s="232"/>
      <c r="R32" s="1739">
        <f t="shared" si="4"/>
        <v>2008</v>
      </c>
      <c r="S32" s="503">
        <f t="shared" si="5"/>
        <v>187.791</v>
      </c>
      <c r="T32" s="506">
        <f t="shared" si="6"/>
        <v>4059.1557379999999</v>
      </c>
    </row>
    <row r="33" spans="1:22">
      <c r="A33" s="414">
        <v>38504</v>
      </c>
      <c r="B33" s="615">
        <v>41.970999999999997</v>
      </c>
      <c r="C33" s="616">
        <v>857.09074399999997</v>
      </c>
      <c r="D33" s="48">
        <f t="shared" si="0"/>
        <v>2005</v>
      </c>
      <c r="E33" s="48" t="str">
        <f t="shared" si="1"/>
        <v>2</v>
      </c>
      <c r="F33" s="49"/>
      <c r="G33" s="232"/>
      <c r="H33" s="233"/>
      <c r="I33" s="232"/>
      <c r="J33" s="232"/>
      <c r="R33" s="1739">
        <f t="shared" si="4"/>
        <v>2009</v>
      </c>
      <c r="S33" s="620">
        <f t="shared" si="5"/>
        <v>171.178</v>
      </c>
      <c r="T33" s="973">
        <f t="shared" si="6"/>
        <v>3352.9418449999998</v>
      </c>
    </row>
    <row r="34" spans="1:22">
      <c r="A34" s="414">
        <v>38596</v>
      </c>
      <c r="B34" s="484">
        <v>42.753999999999998</v>
      </c>
      <c r="C34" s="483">
        <v>711.73360100000002</v>
      </c>
      <c r="D34" s="48">
        <f t="shared" si="0"/>
        <v>2005</v>
      </c>
      <c r="E34" s="48" t="str">
        <f t="shared" si="1"/>
        <v>3</v>
      </c>
      <c r="F34" s="49"/>
      <c r="G34" s="232"/>
      <c r="H34" s="233"/>
      <c r="I34" s="232"/>
      <c r="J34" s="232"/>
      <c r="R34" s="1739">
        <f t="shared" si="4"/>
        <v>2010</v>
      </c>
      <c r="S34" s="503">
        <f t="shared" si="5"/>
        <v>193.25899999999999</v>
      </c>
      <c r="T34" s="506">
        <f t="shared" si="6"/>
        <v>4550.3347899999999</v>
      </c>
    </row>
    <row r="35" spans="1:22">
      <c r="A35" s="414">
        <v>38687</v>
      </c>
      <c r="B35" s="615">
        <v>53.871000000000002</v>
      </c>
      <c r="C35" s="616">
        <v>970.16752499999996</v>
      </c>
      <c r="D35" s="48">
        <f t="shared" si="0"/>
        <v>2005</v>
      </c>
      <c r="E35" s="48" t="str">
        <f t="shared" si="1"/>
        <v>4</v>
      </c>
      <c r="F35" s="49"/>
      <c r="G35" s="232"/>
      <c r="H35" s="233"/>
      <c r="I35" s="232"/>
      <c r="J35" s="232"/>
      <c r="R35" s="1739">
        <f t="shared" si="4"/>
        <v>2011</v>
      </c>
      <c r="S35" s="620">
        <f t="shared" si="5"/>
        <v>185.13</v>
      </c>
      <c r="T35" s="973">
        <f t="shared" si="6"/>
        <v>3951.580226</v>
      </c>
    </row>
    <row r="36" spans="1:22">
      <c r="A36" s="414">
        <v>38777</v>
      </c>
      <c r="B36" s="484">
        <v>42.780999999999999</v>
      </c>
      <c r="C36" s="483">
        <v>871.43034999999998</v>
      </c>
      <c r="D36" s="48">
        <f t="shared" si="0"/>
        <v>2006</v>
      </c>
      <c r="E36" s="48" t="str">
        <f t="shared" si="1"/>
        <v>1</v>
      </c>
      <c r="F36" s="49"/>
      <c r="G36" s="232"/>
      <c r="H36" s="233"/>
      <c r="I36" s="232"/>
      <c r="J36" s="232"/>
      <c r="R36" s="1739">
        <f t="shared" si="4"/>
        <v>2012</v>
      </c>
      <c r="S36" s="503">
        <f t="shared" si="5"/>
        <v>230.76710035740911</v>
      </c>
      <c r="T36" s="506">
        <f t="shared" si="6"/>
        <v>3801.1945485400001</v>
      </c>
    </row>
    <row r="37" spans="1:22">
      <c r="A37" s="414">
        <v>38869</v>
      </c>
      <c r="B37" s="615">
        <v>44.165999999999997</v>
      </c>
      <c r="C37" s="616">
        <v>1258.120529</v>
      </c>
      <c r="D37" s="48">
        <f t="shared" si="0"/>
        <v>2006</v>
      </c>
      <c r="E37" s="48" t="str">
        <f t="shared" si="1"/>
        <v>2</v>
      </c>
      <c r="F37" s="49"/>
      <c r="G37" s="232"/>
      <c r="H37" s="233"/>
      <c r="I37" s="232"/>
      <c r="J37" s="232"/>
      <c r="R37" s="1739">
        <f t="shared" si="4"/>
        <v>2013</v>
      </c>
      <c r="S37" s="620">
        <f t="shared" si="5"/>
        <v>270.74436400000002</v>
      </c>
      <c r="T37" s="973">
        <f t="shared" si="6"/>
        <v>3380.5595159999998</v>
      </c>
    </row>
    <row r="38" spans="1:22">
      <c r="A38" s="414">
        <v>38961</v>
      </c>
      <c r="B38" s="484">
        <v>39.345999999999997</v>
      </c>
      <c r="C38" s="483">
        <v>1474.038761</v>
      </c>
      <c r="D38" s="48">
        <f t="shared" si="0"/>
        <v>2006</v>
      </c>
      <c r="E38" s="48" t="str">
        <f t="shared" si="1"/>
        <v>3</v>
      </c>
      <c r="F38" s="49"/>
      <c r="G38" s="232"/>
      <c r="H38" s="233"/>
      <c r="I38" s="232"/>
      <c r="J38" s="232"/>
      <c r="R38" s="1739">
        <f t="shared" si="4"/>
        <v>2014</v>
      </c>
      <c r="S38" s="503">
        <f t="shared" si="5"/>
        <v>218.56311600000001</v>
      </c>
      <c r="T38" s="506">
        <f t="shared" si="6"/>
        <v>3582.4981079999998</v>
      </c>
    </row>
    <row r="39" spans="1:22">
      <c r="A39" s="414">
        <v>39052</v>
      </c>
      <c r="B39" s="615">
        <v>48.793999999999997</v>
      </c>
      <c r="C39" s="616">
        <v>2240.5837919999999</v>
      </c>
      <c r="D39" s="48">
        <f t="shared" si="0"/>
        <v>2006</v>
      </c>
      <c r="E39" s="48" t="str">
        <f t="shared" si="1"/>
        <v>4</v>
      </c>
      <c r="F39" s="49"/>
      <c r="G39" s="232"/>
      <c r="H39" s="233"/>
      <c r="I39" s="232"/>
      <c r="J39" s="232"/>
      <c r="R39" s="1739">
        <f t="shared" si="4"/>
        <v>2015</v>
      </c>
      <c r="S39" s="620">
        <f t="shared" si="5"/>
        <v>173.97419100000002</v>
      </c>
      <c r="T39" s="973">
        <f t="shared" si="6"/>
        <v>2557.2144789999998</v>
      </c>
    </row>
    <row r="40" spans="1:22">
      <c r="A40" s="414">
        <v>39142</v>
      </c>
      <c r="B40" s="484">
        <v>43.481000000000002</v>
      </c>
      <c r="C40" s="483">
        <v>2182.6945040000001</v>
      </c>
      <c r="D40" s="48">
        <f t="shared" si="0"/>
        <v>2007</v>
      </c>
      <c r="E40" s="48" t="str">
        <f t="shared" si="1"/>
        <v>1</v>
      </c>
      <c r="F40" s="49"/>
      <c r="G40" s="232"/>
      <c r="H40" s="233"/>
      <c r="I40" s="232"/>
      <c r="J40" s="232"/>
      <c r="R40" s="1739">
        <f t="shared" si="4"/>
        <v>2016</v>
      </c>
      <c r="S40" s="503">
        <f t="shared" si="5"/>
        <v>171.60430600000001</v>
      </c>
      <c r="T40" s="506">
        <f t="shared" si="6"/>
        <v>2209.8433130000003</v>
      </c>
    </row>
    <row r="41" spans="1:22">
      <c r="A41" s="414">
        <v>39234</v>
      </c>
      <c r="B41" s="615">
        <v>41.948</v>
      </c>
      <c r="C41" s="616">
        <v>2162.0621139999998</v>
      </c>
      <c r="D41" s="48">
        <f t="shared" si="0"/>
        <v>2007</v>
      </c>
      <c r="E41" s="48" t="str">
        <f t="shared" si="1"/>
        <v>2</v>
      </c>
      <c r="F41" s="49"/>
      <c r="G41" s="232"/>
      <c r="H41" s="233"/>
      <c r="I41" s="232"/>
      <c r="J41" s="232"/>
      <c r="R41" s="1739">
        <f t="shared" si="4"/>
        <v>2017</v>
      </c>
      <c r="S41" s="620">
        <f t="shared" si="5"/>
        <v>166.42021699999998</v>
      </c>
      <c r="T41" s="973">
        <f t="shared" si="6"/>
        <v>2275.8438569999998</v>
      </c>
    </row>
    <row r="42" spans="1:22">
      <c r="A42" s="414">
        <v>39326</v>
      </c>
      <c r="B42" s="484">
        <v>37.274000000000001</v>
      </c>
      <c r="C42" s="483">
        <v>1284.4866919999999</v>
      </c>
      <c r="D42" s="48">
        <f t="shared" si="0"/>
        <v>2007</v>
      </c>
      <c r="E42" s="48" t="str">
        <f t="shared" si="1"/>
        <v>3</v>
      </c>
      <c r="F42" s="49"/>
      <c r="G42" s="232"/>
      <c r="H42" s="233"/>
      <c r="I42" s="232"/>
      <c r="J42" s="232"/>
      <c r="R42" s="1739">
        <f t="shared" si="4"/>
        <v>2018</v>
      </c>
      <c r="S42" s="503">
        <f t="shared" si="5"/>
        <v>149.29546400000001</v>
      </c>
      <c r="T42" s="506">
        <f t="shared" si="6"/>
        <v>2609.3282049999998</v>
      </c>
    </row>
    <row r="43" spans="1:22">
      <c r="A43" s="414">
        <v>39417</v>
      </c>
      <c r="B43" s="615">
        <v>39.789000000000001</v>
      </c>
      <c r="C43" s="616">
        <v>1272.6130820000001</v>
      </c>
      <c r="D43" s="48">
        <f t="shared" si="0"/>
        <v>2007</v>
      </c>
      <c r="E43" s="48" t="str">
        <f t="shared" si="1"/>
        <v>4</v>
      </c>
      <c r="F43" s="49"/>
      <c r="G43" s="232"/>
      <c r="H43" s="233"/>
      <c r="I43" s="232"/>
      <c r="J43" s="232"/>
      <c r="R43" s="1739">
        <f t="shared" si="4"/>
        <v>2019</v>
      </c>
      <c r="S43" s="620">
        <f t="shared" si="5"/>
        <v>153.62417200000002</v>
      </c>
      <c r="T43" s="973">
        <f t="shared" si="6"/>
        <v>3082.1894289999996</v>
      </c>
    </row>
    <row r="44" spans="1:22">
      <c r="A44" s="414">
        <v>39508</v>
      </c>
      <c r="B44" s="484">
        <v>47.405999999999999</v>
      </c>
      <c r="C44" s="483">
        <v>1400.58899</v>
      </c>
      <c r="D44" s="48">
        <f t="shared" si="0"/>
        <v>2008</v>
      </c>
      <c r="E44" s="48" t="str">
        <f t="shared" si="1"/>
        <v>1</v>
      </c>
      <c r="F44" s="49"/>
      <c r="G44" s="232"/>
      <c r="H44" s="233"/>
      <c r="I44" s="232"/>
      <c r="J44" s="232"/>
      <c r="R44" s="1739">
        <f t="shared" si="4"/>
        <v>2020</v>
      </c>
      <c r="S44" s="503">
        <f t="shared" si="5"/>
        <v>165.123107</v>
      </c>
      <c r="T44" s="506">
        <f t="shared" si="6"/>
        <v>3341.235021</v>
      </c>
      <c r="U44" s="268"/>
      <c r="V44" s="268"/>
    </row>
    <row r="45" spans="1:22">
      <c r="A45" s="414">
        <v>39600</v>
      </c>
      <c r="B45" s="615">
        <v>48.332000000000001</v>
      </c>
      <c r="C45" s="616">
        <v>1185.9159749999999</v>
      </c>
      <c r="D45" s="48">
        <f t="shared" si="0"/>
        <v>2008</v>
      </c>
      <c r="E45" s="48" t="str">
        <f t="shared" si="1"/>
        <v>2</v>
      </c>
      <c r="F45" s="49"/>
      <c r="G45" s="232"/>
      <c r="H45" s="233"/>
      <c r="I45" s="232"/>
      <c r="J45" s="232"/>
      <c r="R45" s="1739">
        <f t="shared" si="4"/>
        <v>2021</v>
      </c>
      <c r="S45" s="620">
        <f t="shared" si="5"/>
        <v>150.02785600000001</v>
      </c>
      <c r="T45" s="973">
        <f t="shared" si="6"/>
        <v>3807.35922265</v>
      </c>
      <c r="U45" s="268"/>
      <c r="V45" s="268"/>
    </row>
    <row r="46" spans="1:22">
      <c r="A46" s="414">
        <v>39692</v>
      </c>
      <c r="B46" s="484">
        <v>39.192</v>
      </c>
      <c r="C46" s="483">
        <v>642.03748800000005</v>
      </c>
      <c r="D46" s="48">
        <f t="shared" si="0"/>
        <v>2008</v>
      </c>
      <c r="E46" s="48" t="str">
        <f t="shared" si="1"/>
        <v>3</v>
      </c>
      <c r="F46" s="49"/>
      <c r="G46" s="232"/>
      <c r="H46" s="233"/>
      <c r="I46" s="232"/>
      <c r="J46" s="232"/>
      <c r="R46" s="1739">
        <f>IF($S$25="Calendar Year", R47-1, LEFT(R47,4)-1 &amp; "-" &amp; MID(R47,3,2))</f>
        <v>2022</v>
      </c>
      <c r="S46" s="503">
        <f t="shared" si="5"/>
        <v>155.27040677045284</v>
      </c>
      <c r="T46" s="506">
        <f t="shared" si="6"/>
        <v>5766.8162189999994</v>
      </c>
      <c r="U46" s="268"/>
      <c r="V46" s="268"/>
    </row>
    <row r="47" spans="1:22" ht="15.75" thickBot="1">
      <c r="A47" s="414">
        <v>39783</v>
      </c>
      <c r="B47" s="615">
        <v>52.860999999999997</v>
      </c>
      <c r="C47" s="616">
        <v>830.61328500000002</v>
      </c>
      <c r="D47" s="48">
        <f t="shared" si="0"/>
        <v>2008</v>
      </c>
      <c r="E47" s="48" t="str">
        <f t="shared" si="1"/>
        <v>4</v>
      </c>
      <c r="F47" s="49"/>
      <c r="G47" s="232"/>
      <c r="H47" s="233"/>
      <c r="I47" s="232"/>
      <c r="J47" s="232"/>
      <c r="R47" s="1740">
        <f>IF($S$25="Calendar Year",
    YEAR(LARGE($A:$A, 4)),
    IF(MONTH(LARGE($A:$A, 4))&gt;6,
        YEAR(LARGE($A:$A, 4)) &amp; "-" &amp; RIGHT(YEAR(LARGE($A:$A, 4))+1),
        YEAR(LARGE($A:$A, 4))-1 &amp; "-" &amp; RIGHT(YEAR(LARGE($A:$A, 4)), 2)
    ))</f>
        <v>2023</v>
      </c>
      <c r="S47" s="1738">
        <f t="shared" si="5"/>
        <v>149.42076699999998</v>
      </c>
      <c r="T47" s="1646">
        <f t="shared" si="6"/>
        <v>4697.4154349999999</v>
      </c>
      <c r="U47" s="268"/>
      <c r="V47" s="268"/>
    </row>
    <row r="48" spans="1:22">
      <c r="A48" s="414">
        <v>39873</v>
      </c>
      <c r="B48" s="484">
        <v>42.557000000000002</v>
      </c>
      <c r="C48" s="483">
        <v>703.39529100000004</v>
      </c>
      <c r="D48" s="48">
        <f t="shared" si="0"/>
        <v>2009</v>
      </c>
      <c r="E48" s="48" t="str">
        <f t="shared" si="1"/>
        <v>1</v>
      </c>
      <c r="F48" s="49"/>
      <c r="G48" s="232"/>
      <c r="H48" s="233"/>
      <c r="I48" s="232"/>
      <c r="J48" s="232"/>
      <c r="R48" s="1724"/>
      <c r="S48" s="823"/>
      <c r="T48" s="547"/>
      <c r="U48" s="268"/>
    </row>
    <row r="49" spans="1:20">
      <c r="A49" s="414">
        <v>39965</v>
      </c>
      <c r="B49" s="615">
        <v>43.755000000000003</v>
      </c>
      <c r="C49" s="616">
        <v>820.86273000000006</v>
      </c>
      <c r="D49" s="48">
        <f t="shared" si="0"/>
        <v>2009</v>
      </c>
      <c r="E49" s="48" t="str">
        <f t="shared" si="1"/>
        <v>2</v>
      </c>
      <c r="F49" s="49"/>
      <c r="G49" s="232"/>
      <c r="H49" s="233"/>
      <c r="I49" s="232"/>
      <c r="J49" s="232"/>
      <c r="R49" s="1724"/>
      <c r="S49" s="823"/>
      <c r="T49" s="547"/>
    </row>
    <row r="50" spans="1:20">
      <c r="A50" s="414">
        <v>40057</v>
      </c>
      <c r="B50" s="484">
        <v>39.381</v>
      </c>
      <c r="C50" s="483">
        <v>899.558718</v>
      </c>
      <c r="D50" s="48">
        <f t="shared" si="0"/>
        <v>2009</v>
      </c>
      <c r="E50" s="48" t="str">
        <f t="shared" si="1"/>
        <v>3</v>
      </c>
      <c r="F50" s="49"/>
      <c r="G50" s="232"/>
      <c r="H50" s="233"/>
      <c r="I50" s="232"/>
      <c r="J50" s="232"/>
      <c r="R50" s="1724"/>
      <c r="S50" s="823"/>
      <c r="T50" s="547"/>
    </row>
    <row r="51" spans="1:20">
      <c r="A51" s="414">
        <v>40148</v>
      </c>
      <c r="B51" s="615">
        <v>45.484999999999999</v>
      </c>
      <c r="C51" s="616">
        <v>929.12510599999996</v>
      </c>
      <c r="D51" s="48">
        <f t="shared" si="0"/>
        <v>2009</v>
      </c>
      <c r="E51" s="48" t="str">
        <f t="shared" si="1"/>
        <v>4</v>
      </c>
      <c r="F51" s="49"/>
      <c r="G51" s="232"/>
      <c r="H51" s="233"/>
      <c r="I51" s="232"/>
      <c r="J51" s="232"/>
      <c r="R51" s="1724"/>
      <c r="S51" s="823"/>
      <c r="T51" s="547"/>
    </row>
    <row r="52" spans="1:20">
      <c r="A52" s="414">
        <v>40238</v>
      </c>
      <c r="B52" s="484">
        <v>47.448</v>
      </c>
      <c r="C52" s="483">
        <v>1047.5006519999999</v>
      </c>
      <c r="D52" s="48">
        <f t="shared" si="0"/>
        <v>2010</v>
      </c>
      <c r="E52" s="48" t="str">
        <f t="shared" si="1"/>
        <v>1</v>
      </c>
      <c r="F52" s="49"/>
      <c r="G52" s="232"/>
      <c r="H52" s="233"/>
      <c r="I52" s="232"/>
      <c r="J52" s="232"/>
      <c r="R52" s="453" t="str">
        <f>IFERROR(IF(YEAR(MAX('Commodity Prices'!$C$9:$C5006))=VALUE(RIGHT(R51,4)),"",IF($S$25="Calendar Year",R51+1,CONCATENATE(LEFT(R51,4)+1,"-",RIGHT(R51,4)+1))),"")</f>
        <v/>
      </c>
      <c r="S52" s="504" t="str">
        <f t="shared" si="5"/>
        <v/>
      </c>
      <c r="T52" s="452" t="str">
        <f t="shared" si="6"/>
        <v/>
      </c>
    </row>
    <row r="53" spans="1:20">
      <c r="A53" s="414">
        <v>40330</v>
      </c>
      <c r="B53" s="615">
        <v>47.838000000000001</v>
      </c>
      <c r="C53" s="616">
        <v>1100.587053</v>
      </c>
      <c r="D53" s="48">
        <f t="shared" si="0"/>
        <v>2010</v>
      </c>
      <c r="E53" s="48" t="str">
        <f t="shared" si="1"/>
        <v>2</v>
      </c>
      <c r="F53" s="49"/>
      <c r="G53" s="232"/>
      <c r="H53" s="233"/>
      <c r="I53" s="232"/>
      <c r="J53" s="232"/>
      <c r="R53" s="453" t="str">
        <f>IFERROR(IF(YEAR(MAX('Commodity Prices'!$C$9:$C5007))=VALUE(RIGHT(R52,4)),"",IF($S$25="Calendar Year",R52+1,CONCATENATE(LEFT(R52,4)+1,"-",RIGHT(R52,4)+1))),"")</f>
        <v/>
      </c>
      <c r="S53" s="504" t="str">
        <f t="shared" si="5"/>
        <v/>
      </c>
      <c r="T53" s="452" t="str">
        <f t="shared" si="6"/>
        <v/>
      </c>
    </row>
    <row r="54" spans="1:20">
      <c r="A54" s="414">
        <v>40422</v>
      </c>
      <c r="B54" s="484">
        <v>46.356000000000002</v>
      </c>
      <c r="C54" s="483">
        <v>1138.848252</v>
      </c>
      <c r="D54" s="48">
        <f t="shared" si="0"/>
        <v>2010</v>
      </c>
      <c r="E54" s="48" t="str">
        <f t="shared" si="1"/>
        <v>3</v>
      </c>
      <c r="F54" s="49"/>
      <c r="G54" s="232"/>
      <c r="H54" s="233"/>
      <c r="I54" s="232"/>
      <c r="J54" s="232"/>
    </row>
    <row r="55" spans="1:20">
      <c r="A55" s="414">
        <v>40513</v>
      </c>
      <c r="B55" s="615">
        <v>51.616999999999997</v>
      </c>
      <c r="C55" s="616">
        <v>1263.398833</v>
      </c>
      <c r="D55" s="48">
        <f t="shared" si="0"/>
        <v>2010</v>
      </c>
      <c r="E55" s="48" t="str">
        <f t="shared" si="1"/>
        <v>4</v>
      </c>
      <c r="F55" s="49"/>
      <c r="G55" s="232"/>
      <c r="H55" s="233"/>
      <c r="I55" s="232"/>
      <c r="J55" s="232"/>
    </row>
    <row r="56" spans="1:20">
      <c r="A56" s="414">
        <v>40603</v>
      </c>
      <c r="B56" s="484">
        <v>47.896999999999998</v>
      </c>
      <c r="C56" s="483">
        <v>1231.1867629999999</v>
      </c>
      <c r="D56" s="48">
        <f t="shared" si="0"/>
        <v>2011</v>
      </c>
      <c r="E56" s="48" t="str">
        <f t="shared" si="1"/>
        <v>1</v>
      </c>
      <c r="F56" s="49"/>
      <c r="G56" s="232"/>
      <c r="H56" s="233"/>
      <c r="I56" s="232"/>
      <c r="J56" s="232"/>
    </row>
    <row r="57" spans="1:20">
      <c r="A57" s="414">
        <v>40695</v>
      </c>
      <c r="B57" s="615">
        <v>48.307000000000002</v>
      </c>
      <c r="C57" s="616">
        <v>1052.7396189999999</v>
      </c>
      <c r="D57" s="48">
        <f t="shared" si="0"/>
        <v>2011</v>
      </c>
      <c r="E57" s="48" t="str">
        <f t="shared" si="1"/>
        <v>2</v>
      </c>
      <c r="F57" s="49"/>
      <c r="G57" s="232"/>
      <c r="H57" s="233"/>
      <c r="I57" s="232"/>
      <c r="J57" s="232"/>
    </row>
    <row r="58" spans="1:20">
      <c r="A58" s="414">
        <v>40787</v>
      </c>
      <c r="B58" s="484">
        <v>36.536000000000001</v>
      </c>
      <c r="C58" s="483">
        <v>709.98296900000003</v>
      </c>
      <c r="D58" s="48">
        <f t="shared" si="0"/>
        <v>2011</v>
      </c>
      <c r="E58" s="48" t="str">
        <f t="shared" si="1"/>
        <v>3</v>
      </c>
      <c r="F58" s="49"/>
      <c r="G58" s="232"/>
      <c r="H58" s="233"/>
      <c r="I58" s="232"/>
      <c r="J58" s="232"/>
    </row>
    <row r="59" spans="1:20">
      <c r="A59" s="414">
        <v>40878</v>
      </c>
      <c r="B59" s="615">
        <v>52.39</v>
      </c>
      <c r="C59" s="616">
        <v>957.67087500000002</v>
      </c>
      <c r="D59" s="48">
        <f t="shared" si="0"/>
        <v>2011</v>
      </c>
      <c r="E59" s="48" t="str">
        <f t="shared" si="1"/>
        <v>4</v>
      </c>
      <c r="F59" s="312"/>
      <c r="G59" s="312"/>
      <c r="H59" s="233"/>
      <c r="I59" s="232"/>
      <c r="J59" s="232"/>
    </row>
    <row r="60" spans="1:20">
      <c r="A60" s="414">
        <v>40969</v>
      </c>
      <c r="B60" s="484">
        <v>53.831647400000001</v>
      </c>
      <c r="C60" s="483">
        <v>963.20574728999998</v>
      </c>
      <c r="D60" s="48">
        <f t="shared" si="0"/>
        <v>2012</v>
      </c>
      <c r="E60" s="48" t="str">
        <f t="shared" si="1"/>
        <v>1</v>
      </c>
      <c r="F60" s="312"/>
      <c r="G60" s="312"/>
      <c r="H60" s="233"/>
      <c r="I60" s="232"/>
      <c r="J60" s="232"/>
    </row>
    <row r="61" spans="1:20">
      <c r="A61" s="414">
        <v>41061</v>
      </c>
      <c r="B61" s="615">
        <v>66.612116999999998</v>
      </c>
      <c r="C61" s="616">
        <v>1091.1048049400001</v>
      </c>
      <c r="D61" s="48">
        <f t="shared" si="0"/>
        <v>2012</v>
      </c>
      <c r="E61" s="48" t="str">
        <f t="shared" si="1"/>
        <v>2</v>
      </c>
      <c r="F61" s="312"/>
      <c r="G61" s="312"/>
      <c r="H61" s="233"/>
      <c r="I61" s="232"/>
      <c r="J61" s="232"/>
    </row>
    <row r="62" spans="1:20">
      <c r="A62" s="414">
        <v>41153</v>
      </c>
      <c r="B62" s="484">
        <v>55.94000005327063</v>
      </c>
      <c r="C62" s="483">
        <v>864.43799043000001</v>
      </c>
      <c r="D62" s="48">
        <f t="shared" si="0"/>
        <v>2012</v>
      </c>
      <c r="E62" s="48" t="str">
        <f t="shared" si="1"/>
        <v>3</v>
      </c>
      <c r="F62" s="312"/>
      <c r="G62" s="312"/>
      <c r="H62" s="233"/>
      <c r="I62" s="232"/>
      <c r="J62" s="232"/>
    </row>
    <row r="63" spans="1:20">
      <c r="A63" s="414">
        <v>41244</v>
      </c>
      <c r="B63" s="615">
        <v>54.38333590413847</v>
      </c>
      <c r="C63" s="616">
        <v>882.44600588000003</v>
      </c>
      <c r="D63" s="48">
        <f t="shared" si="0"/>
        <v>2012</v>
      </c>
      <c r="E63" s="48" t="str">
        <f t="shared" si="1"/>
        <v>4</v>
      </c>
      <c r="F63" s="312"/>
      <c r="G63" s="312"/>
      <c r="H63" s="233"/>
      <c r="I63" s="232"/>
      <c r="J63" s="232"/>
    </row>
    <row r="64" spans="1:20">
      <c r="A64" s="414">
        <v>41334</v>
      </c>
      <c r="B64" s="484">
        <v>67.848984999999999</v>
      </c>
      <c r="C64" s="483">
        <v>928.90185699999995</v>
      </c>
      <c r="D64" s="48">
        <f t="shared" si="0"/>
        <v>2013</v>
      </c>
      <c r="E64" s="48" t="str">
        <f t="shared" si="1"/>
        <v>1</v>
      </c>
      <c r="F64" s="312"/>
      <c r="G64" s="312"/>
      <c r="H64" s="233"/>
      <c r="I64" s="232"/>
      <c r="J64" s="232"/>
    </row>
    <row r="65" spans="1:10">
      <c r="A65" s="414">
        <v>41426</v>
      </c>
      <c r="B65" s="615">
        <v>70.702228000000005</v>
      </c>
      <c r="C65" s="616">
        <v>835.92591099999993</v>
      </c>
      <c r="D65" s="48">
        <f t="shared" si="0"/>
        <v>2013</v>
      </c>
      <c r="E65" s="48" t="str">
        <f t="shared" si="1"/>
        <v>2</v>
      </c>
      <c r="F65" s="312"/>
      <c r="G65" s="312"/>
      <c r="H65" s="233"/>
      <c r="I65" s="232"/>
      <c r="J65" s="232"/>
    </row>
    <row r="66" spans="1:10">
      <c r="A66" s="414">
        <v>41518</v>
      </c>
      <c r="B66" s="484">
        <v>68.284731999999991</v>
      </c>
      <c r="C66" s="483">
        <v>831.86759199999995</v>
      </c>
      <c r="D66" s="48">
        <f t="shared" si="0"/>
        <v>2013</v>
      </c>
      <c r="E66" s="48" t="str">
        <f t="shared" si="1"/>
        <v>3</v>
      </c>
      <c r="F66" s="312"/>
      <c r="G66" s="312"/>
      <c r="H66" s="233"/>
      <c r="I66" s="232"/>
      <c r="J66" s="232"/>
    </row>
    <row r="67" spans="1:10">
      <c r="A67" s="414">
        <v>41609</v>
      </c>
      <c r="B67" s="615">
        <v>63.908419000000002</v>
      </c>
      <c r="C67" s="616">
        <v>783.86415599999998</v>
      </c>
      <c r="D67" s="48">
        <f t="shared" si="0"/>
        <v>2013</v>
      </c>
      <c r="E67" s="48" t="str">
        <f t="shared" si="1"/>
        <v>4</v>
      </c>
      <c r="F67" s="312"/>
      <c r="G67" s="312"/>
      <c r="H67" s="233"/>
      <c r="I67" s="232"/>
      <c r="J67" s="232"/>
    </row>
    <row r="68" spans="1:10">
      <c r="A68" s="414">
        <v>41699</v>
      </c>
      <c r="B68" s="484">
        <v>59.844214000000008</v>
      </c>
      <c r="C68" s="483">
        <v>846.20660599999997</v>
      </c>
      <c r="D68" s="48">
        <f t="shared" si="0"/>
        <v>2014</v>
      </c>
      <c r="E68" s="48" t="str">
        <f t="shared" si="1"/>
        <v>1</v>
      </c>
      <c r="F68" s="312"/>
      <c r="G68" s="312"/>
      <c r="H68" s="233"/>
      <c r="I68" s="232"/>
      <c r="J68" s="232"/>
    </row>
    <row r="69" spans="1:10">
      <c r="A69" s="414">
        <v>41791</v>
      </c>
      <c r="B69" s="615">
        <v>60.238544000000005</v>
      </c>
      <c r="C69" s="616">
        <v>957.08476499999995</v>
      </c>
      <c r="D69" s="48">
        <f t="shared" si="0"/>
        <v>2014</v>
      </c>
      <c r="E69" s="48" t="str">
        <f t="shared" si="1"/>
        <v>2</v>
      </c>
      <c r="F69" s="312"/>
      <c r="G69" s="312"/>
      <c r="H69" s="233"/>
      <c r="I69" s="232"/>
      <c r="J69" s="232"/>
    </row>
    <row r="70" spans="1:10">
      <c r="A70" s="414">
        <v>41883</v>
      </c>
      <c r="B70" s="484">
        <v>46.894491999999993</v>
      </c>
      <c r="C70" s="483">
        <v>867.60104799999999</v>
      </c>
      <c r="D70" s="48">
        <f t="shared" si="0"/>
        <v>2014</v>
      </c>
      <c r="E70" s="48" t="str">
        <f t="shared" si="1"/>
        <v>3</v>
      </c>
      <c r="F70" s="312"/>
      <c r="G70" s="312"/>
      <c r="H70" s="233"/>
      <c r="I70" s="232"/>
      <c r="J70" s="232"/>
    </row>
    <row r="71" spans="1:10">
      <c r="A71" s="414">
        <v>41974</v>
      </c>
      <c r="B71" s="615">
        <v>51.585866000000003</v>
      </c>
      <c r="C71" s="616">
        <v>911.60568899999998</v>
      </c>
      <c r="D71" s="48">
        <f t="shared" si="0"/>
        <v>2014</v>
      </c>
      <c r="E71" s="48" t="str">
        <f t="shared" si="1"/>
        <v>4</v>
      </c>
      <c r="F71" s="312"/>
      <c r="G71" s="312"/>
      <c r="H71" s="233"/>
      <c r="I71" s="232"/>
      <c r="J71" s="232"/>
    </row>
    <row r="72" spans="1:10">
      <c r="A72" s="414">
        <v>42064</v>
      </c>
      <c r="B72" s="484">
        <v>39.123603999999993</v>
      </c>
      <c r="C72" s="483">
        <v>675.54155800000001</v>
      </c>
      <c r="D72" s="48">
        <f t="shared" si="0"/>
        <v>2015</v>
      </c>
      <c r="E72" s="48" t="str">
        <f t="shared" si="1"/>
        <v>1</v>
      </c>
      <c r="F72" s="312"/>
      <c r="G72" s="312"/>
      <c r="I72" s="232"/>
      <c r="J72" s="232"/>
    </row>
    <row r="73" spans="1:10">
      <c r="A73" s="414">
        <v>42156</v>
      </c>
      <c r="B73" s="615">
        <v>45.715990000000012</v>
      </c>
      <c r="C73" s="616">
        <v>714.85670599999992</v>
      </c>
      <c r="D73" s="48">
        <f>YEAR(A73)</f>
        <v>2015</v>
      </c>
      <c r="E73" s="48" t="str">
        <f>IF(MONTH(A73)=3,"1",IF(MONTH(A73)=6,"2",IF(MONTH(A73)=9,"3","4")))</f>
        <v>2</v>
      </c>
      <c r="F73" s="312"/>
      <c r="G73" s="312"/>
      <c r="I73" s="232"/>
      <c r="J73" s="232"/>
    </row>
    <row r="74" spans="1:10">
      <c r="A74" s="414">
        <v>42248</v>
      </c>
      <c r="B74" s="484">
        <v>46.322647000000011</v>
      </c>
      <c r="C74" s="483">
        <v>638.45772099999999</v>
      </c>
      <c r="D74" s="48">
        <f>YEAR(A74)</f>
        <v>2015</v>
      </c>
      <c r="E74" s="48" t="str">
        <f>IF(MONTH(A74)=3,"1",IF(MONTH(A74)=6,"2",IF(MONTH(A74)=9,"3","4")))</f>
        <v>3</v>
      </c>
      <c r="F74" s="313"/>
      <c r="G74" s="312"/>
      <c r="I74" s="232"/>
      <c r="J74" s="232"/>
    </row>
    <row r="75" spans="1:10">
      <c r="A75" s="414">
        <v>42339</v>
      </c>
      <c r="B75" s="615">
        <v>42.811950000000003</v>
      </c>
      <c r="C75" s="616">
        <v>528.35849399999995</v>
      </c>
      <c r="D75" s="48">
        <f>YEAR(A75)</f>
        <v>2015</v>
      </c>
      <c r="E75" s="48" t="str">
        <f>IF(MONTH(A75)=3,"1",IF(MONTH(A75)=6,"2",IF(MONTH(A75)=9,"3","4")))</f>
        <v>4</v>
      </c>
      <c r="F75" s="312"/>
      <c r="G75" s="312"/>
      <c r="I75" s="232"/>
      <c r="J75" s="232"/>
    </row>
    <row r="76" spans="1:10">
      <c r="A76" s="414">
        <v>42430</v>
      </c>
      <c r="B76" s="484">
        <v>43.988477000000003</v>
      </c>
      <c r="C76" s="483">
        <v>518.42369199999996</v>
      </c>
      <c r="D76" s="48">
        <f t="shared" ref="D76:D139" si="7">YEAR(A76)</f>
        <v>2016</v>
      </c>
      <c r="E76" s="48" t="str">
        <f t="shared" ref="E76:E139" si="8">IF(MONTH(A76)=3,"1",IF(MONTH(A76)=6,"2",IF(MONTH(A76)=9,"3","4")))</f>
        <v>1</v>
      </c>
      <c r="F76" s="312"/>
      <c r="G76" s="312"/>
      <c r="I76" s="232"/>
    </row>
    <row r="77" spans="1:10">
      <c r="A77" s="414">
        <v>42522</v>
      </c>
      <c r="B77" s="615">
        <v>42.628457000000004</v>
      </c>
      <c r="C77" s="616">
        <v>517.49454400000002</v>
      </c>
      <c r="D77" s="48">
        <f t="shared" si="7"/>
        <v>2016</v>
      </c>
      <c r="E77" s="48" t="str">
        <f t="shared" si="8"/>
        <v>2</v>
      </c>
      <c r="F77" s="312"/>
      <c r="G77" s="313"/>
      <c r="I77" s="232"/>
    </row>
    <row r="78" spans="1:10">
      <c r="A78" s="414">
        <v>42614</v>
      </c>
      <c r="B78" s="484">
        <v>36.742850999999995</v>
      </c>
      <c r="C78" s="483">
        <v>493.70277999999996</v>
      </c>
      <c r="D78" s="48">
        <f t="shared" si="7"/>
        <v>2016</v>
      </c>
      <c r="E78" s="48" t="str">
        <f t="shared" si="8"/>
        <v>3</v>
      </c>
      <c r="F78" s="312"/>
      <c r="G78" s="312"/>
      <c r="I78" s="232"/>
    </row>
    <row r="79" spans="1:10">
      <c r="A79" s="414">
        <v>42705</v>
      </c>
      <c r="B79" s="615">
        <v>48.244521000000006</v>
      </c>
      <c r="C79" s="616">
        <v>680.22229700000003</v>
      </c>
      <c r="D79" s="48">
        <f t="shared" si="7"/>
        <v>2016</v>
      </c>
      <c r="E79" s="48" t="str">
        <f t="shared" si="8"/>
        <v>4</v>
      </c>
      <c r="F79" s="312"/>
      <c r="G79" s="312"/>
      <c r="H79" s="311"/>
      <c r="I79" s="311"/>
    </row>
    <row r="80" spans="1:10">
      <c r="A80" s="414">
        <v>42795</v>
      </c>
      <c r="B80" s="484">
        <v>36.610708999999993</v>
      </c>
      <c r="C80" s="483">
        <v>483.453688</v>
      </c>
      <c r="D80" s="48">
        <f t="shared" si="7"/>
        <v>2017</v>
      </c>
      <c r="E80" s="48" t="str">
        <f t="shared" si="8"/>
        <v>1</v>
      </c>
      <c r="F80" s="49"/>
      <c r="I80" s="232"/>
    </row>
    <row r="81" spans="1:9">
      <c r="A81" s="414">
        <v>42887</v>
      </c>
      <c r="B81" s="615">
        <v>42.093862999999999</v>
      </c>
      <c r="C81" s="616">
        <v>519.34036700000001</v>
      </c>
      <c r="D81" s="48">
        <f t="shared" si="7"/>
        <v>2017</v>
      </c>
      <c r="E81" s="48" t="str">
        <f t="shared" si="8"/>
        <v>2</v>
      </c>
      <c r="F81" s="49"/>
      <c r="I81" s="232"/>
    </row>
    <row r="82" spans="1:9">
      <c r="A82" s="414">
        <v>42979</v>
      </c>
      <c r="B82" s="484">
        <v>45.021073999999999</v>
      </c>
      <c r="C82" s="483">
        <v>609.47907799999996</v>
      </c>
      <c r="D82" s="48">
        <f t="shared" si="7"/>
        <v>2017</v>
      </c>
      <c r="E82" s="48" t="str">
        <f t="shared" si="8"/>
        <v>3</v>
      </c>
      <c r="F82" s="49"/>
      <c r="I82" s="232"/>
    </row>
    <row r="83" spans="1:9">
      <c r="A83" s="414">
        <v>43070</v>
      </c>
      <c r="B83" s="615">
        <v>42.694571000000003</v>
      </c>
      <c r="C83" s="616">
        <v>663.57072399999993</v>
      </c>
      <c r="D83" s="48">
        <f t="shared" si="7"/>
        <v>2017</v>
      </c>
      <c r="E83" s="48" t="str">
        <f t="shared" si="8"/>
        <v>4</v>
      </c>
      <c r="F83" s="49"/>
      <c r="I83" s="232"/>
    </row>
    <row r="84" spans="1:9">
      <c r="A84" s="414">
        <v>43160</v>
      </c>
      <c r="B84" s="484">
        <v>36.993086000000005</v>
      </c>
      <c r="C84" s="483">
        <v>641.27739999999994</v>
      </c>
      <c r="D84" s="48">
        <f t="shared" si="7"/>
        <v>2018</v>
      </c>
      <c r="E84" s="48" t="str">
        <f t="shared" si="8"/>
        <v>1</v>
      </c>
      <c r="F84" s="49"/>
      <c r="I84" s="232"/>
    </row>
    <row r="85" spans="1:9">
      <c r="A85" s="414">
        <v>43252</v>
      </c>
      <c r="B85" s="615">
        <v>39.905166999999999</v>
      </c>
      <c r="C85" s="616">
        <v>743.41831200000001</v>
      </c>
      <c r="D85" s="48">
        <f t="shared" si="7"/>
        <v>2018</v>
      </c>
      <c r="E85" s="48" t="str">
        <f t="shared" si="8"/>
        <v>2</v>
      </c>
      <c r="F85" s="49"/>
      <c r="I85" s="232"/>
    </row>
    <row r="86" spans="1:9">
      <c r="A86" s="414">
        <v>43344</v>
      </c>
      <c r="B86" s="484">
        <v>33.196140999999997</v>
      </c>
      <c r="C86" s="539">
        <v>586.79589199999998</v>
      </c>
      <c r="D86" s="48">
        <f t="shared" si="7"/>
        <v>2018</v>
      </c>
      <c r="E86" s="48" t="str">
        <f t="shared" si="8"/>
        <v>3</v>
      </c>
      <c r="F86" s="49"/>
      <c r="I86" s="232"/>
    </row>
    <row r="87" spans="1:9">
      <c r="A87" s="414">
        <v>43435</v>
      </c>
      <c r="B87" s="615">
        <v>39.201070000000001</v>
      </c>
      <c r="C87" s="616">
        <v>637.83660099999997</v>
      </c>
      <c r="D87" s="48">
        <f t="shared" si="7"/>
        <v>2018</v>
      </c>
      <c r="E87" s="48" t="str">
        <f t="shared" si="8"/>
        <v>4</v>
      </c>
      <c r="F87" s="49"/>
      <c r="I87" s="232"/>
    </row>
    <row r="88" spans="1:9">
      <c r="A88" s="414">
        <v>43525</v>
      </c>
      <c r="B88" s="484">
        <v>37.137700000000002</v>
      </c>
      <c r="C88" s="539">
        <v>651.67899599999998</v>
      </c>
      <c r="D88" s="48">
        <f t="shared" si="7"/>
        <v>2019</v>
      </c>
      <c r="E88" s="48" t="str">
        <f t="shared" si="8"/>
        <v>1</v>
      </c>
      <c r="F88" s="49"/>
      <c r="G88" s="254"/>
      <c r="H88" s="254"/>
      <c r="I88" s="232"/>
    </row>
    <row r="89" spans="1:9">
      <c r="A89" s="414">
        <v>43617</v>
      </c>
      <c r="B89" s="615">
        <v>44.439292000000002</v>
      </c>
      <c r="C89" s="616">
        <v>816.91163699999993</v>
      </c>
      <c r="D89" s="42">
        <v>2019</v>
      </c>
      <c r="E89" s="49" t="str">
        <f t="shared" si="8"/>
        <v>2</v>
      </c>
      <c r="F89" s="49"/>
      <c r="G89" s="404"/>
      <c r="H89" s="401"/>
      <c r="I89" s="232"/>
    </row>
    <row r="90" spans="1:9">
      <c r="A90" s="414">
        <v>43709</v>
      </c>
      <c r="B90" s="484">
        <v>40.476959999999998</v>
      </c>
      <c r="C90" s="539">
        <v>939.78325899999993</v>
      </c>
      <c r="D90" s="48">
        <f t="shared" si="7"/>
        <v>2019</v>
      </c>
      <c r="E90" s="48" t="str">
        <f t="shared" si="8"/>
        <v>3</v>
      </c>
      <c r="F90" s="49"/>
      <c r="G90" s="254"/>
      <c r="H90" s="254"/>
      <c r="I90" s="232"/>
    </row>
    <row r="91" spans="1:9">
      <c r="A91" s="414">
        <v>43800</v>
      </c>
      <c r="B91" s="615">
        <v>31.570220000000003</v>
      </c>
      <c r="C91" s="616">
        <v>673.81553699999995</v>
      </c>
      <c r="D91" s="48">
        <f t="shared" si="7"/>
        <v>2019</v>
      </c>
      <c r="E91" s="48" t="str">
        <f t="shared" si="8"/>
        <v>4</v>
      </c>
      <c r="F91" s="49"/>
      <c r="I91" s="232"/>
    </row>
    <row r="92" spans="1:9">
      <c r="A92" s="414">
        <v>43891</v>
      </c>
      <c r="B92" s="484">
        <v>37.243670999999999</v>
      </c>
      <c r="C92" s="483">
        <v>700.63279</v>
      </c>
      <c r="D92" s="48">
        <f t="shared" si="7"/>
        <v>2020</v>
      </c>
      <c r="E92" s="48" t="str">
        <f t="shared" si="8"/>
        <v>1</v>
      </c>
      <c r="F92" s="49"/>
      <c r="I92" s="232"/>
    </row>
    <row r="93" spans="1:9">
      <c r="A93" s="414">
        <v>43983</v>
      </c>
      <c r="B93" s="615">
        <v>44.273423000000001</v>
      </c>
      <c r="C93" s="616">
        <v>853.91706399999998</v>
      </c>
      <c r="D93" s="48">
        <f t="shared" si="7"/>
        <v>2020</v>
      </c>
      <c r="E93" s="48" t="str">
        <f t="shared" si="8"/>
        <v>2</v>
      </c>
      <c r="F93" s="49"/>
      <c r="I93" s="232"/>
    </row>
    <row r="94" spans="1:9">
      <c r="A94" s="414">
        <v>44075</v>
      </c>
      <c r="B94" s="484">
        <v>42.711554000000007</v>
      </c>
      <c r="C94" s="483">
        <v>869.14050399999996</v>
      </c>
      <c r="D94" s="48">
        <f t="shared" si="7"/>
        <v>2020</v>
      </c>
      <c r="E94" s="48" t="str">
        <f t="shared" si="8"/>
        <v>3</v>
      </c>
      <c r="F94" s="49"/>
      <c r="I94" s="232"/>
    </row>
    <row r="95" spans="1:9">
      <c r="A95" s="414">
        <v>44166</v>
      </c>
      <c r="B95" s="615">
        <v>40.894458999999998</v>
      </c>
      <c r="C95" s="616">
        <v>917.54466300000001</v>
      </c>
      <c r="D95" s="48">
        <f t="shared" si="7"/>
        <v>2020</v>
      </c>
      <c r="E95" s="48" t="str">
        <f t="shared" si="8"/>
        <v>4</v>
      </c>
      <c r="F95" s="49"/>
      <c r="I95" s="232"/>
    </row>
    <row r="96" spans="1:9">
      <c r="A96" s="414">
        <v>44256</v>
      </c>
      <c r="B96" s="484">
        <v>34.595630000000007</v>
      </c>
      <c r="C96" s="483">
        <v>783.50901499999998</v>
      </c>
      <c r="D96" s="48">
        <f t="shared" si="7"/>
        <v>2021</v>
      </c>
      <c r="E96" s="48" t="str">
        <f t="shared" si="8"/>
        <v>1</v>
      </c>
      <c r="F96" s="49"/>
      <c r="I96" s="232"/>
    </row>
    <row r="97" spans="1:9">
      <c r="A97" s="414">
        <v>44348</v>
      </c>
      <c r="B97" s="615">
        <v>39.671388999999998</v>
      </c>
      <c r="C97" s="619">
        <v>908.60599999999999</v>
      </c>
      <c r="D97" s="48">
        <f t="shared" si="7"/>
        <v>2021</v>
      </c>
      <c r="E97" s="48" t="str">
        <f t="shared" si="8"/>
        <v>2</v>
      </c>
      <c r="F97" s="49"/>
      <c r="I97" s="232"/>
    </row>
    <row r="98" spans="1:9">
      <c r="A98" s="414">
        <v>44440</v>
      </c>
      <c r="B98" s="484">
        <v>36.373874999999991</v>
      </c>
      <c r="C98" s="539">
        <v>948.02539899999999</v>
      </c>
      <c r="D98" s="48">
        <f t="shared" si="7"/>
        <v>2021</v>
      </c>
      <c r="E98" s="48" t="str">
        <f t="shared" si="8"/>
        <v>3</v>
      </c>
      <c r="F98" s="49"/>
      <c r="I98" s="232"/>
    </row>
    <row r="99" spans="1:9">
      <c r="A99" s="414">
        <v>44531</v>
      </c>
      <c r="B99" s="615">
        <v>39.386962000000004</v>
      </c>
      <c r="C99" s="619">
        <v>1167.21880865</v>
      </c>
      <c r="D99" s="48">
        <f t="shared" si="7"/>
        <v>2021</v>
      </c>
      <c r="E99" s="48" t="str">
        <f t="shared" si="8"/>
        <v>4</v>
      </c>
      <c r="F99" s="49"/>
      <c r="I99" s="232"/>
    </row>
    <row r="100" spans="1:9">
      <c r="A100" s="414">
        <v>44621</v>
      </c>
      <c r="B100" s="484">
        <v>36.555967999999993</v>
      </c>
      <c r="C100" s="539">
        <v>1506.8419139999999</v>
      </c>
      <c r="D100" s="48">
        <f t="shared" si="7"/>
        <v>2022</v>
      </c>
      <c r="E100" s="48" t="str">
        <f t="shared" si="8"/>
        <v>1</v>
      </c>
      <c r="F100" s="49"/>
      <c r="I100" s="232"/>
    </row>
    <row r="101" spans="1:9">
      <c r="A101" s="414">
        <v>44713</v>
      </c>
      <c r="B101" s="615">
        <v>34.867350000000002</v>
      </c>
      <c r="C101" s="619">
        <v>1195.1312249999999</v>
      </c>
      <c r="D101" s="48">
        <f t="shared" si="7"/>
        <v>2022</v>
      </c>
      <c r="E101" s="48" t="str">
        <f t="shared" si="8"/>
        <v>2</v>
      </c>
      <c r="F101" s="49"/>
      <c r="I101" s="232"/>
    </row>
    <row r="102" spans="1:9">
      <c r="A102" s="414">
        <v>44805</v>
      </c>
      <c r="B102" s="484">
        <v>43.281026000000004</v>
      </c>
      <c r="C102" s="539">
        <v>1416.298411</v>
      </c>
      <c r="D102" s="48">
        <f t="shared" si="7"/>
        <v>2022</v>
      </c>
      <c r="E102" s="48" t="str">
        <f t="shared" si="8"/>
        <v>3</v>
      </c>
      <c r="F102" s="49"/>
      <c r="I102" s="232"/>
    </row>
    <row r="103" spans="1:9">
      <c r="A103" s="414">
        <v>44896</v>
      </c>
      <c r="B103" s="615">
        <v>40.566062770452831</v>
      </c>
      <c r="C103" s="619">
        <v>1648.5446689999999</v>
      </c>
      <c r="D103" s="48">
        <f t="shared" si="7"/>
        <v>2022</v>
      </c>
      <c r="E103" s="48" t="str">
        <f t="shared" si="8"/>
        <v>4</v>
      </c>
      <c r="F103" s="49"/>
      <c r="I103" s="232"/>
    </row>
    <row r="104" spans="1:9">
      <c r="A104" s="414">
        <v>44986</v>
      </c>
      <c r="B104" s="484">
        <v>37.112964999999996</v>
      </c>
      <c r="C104" s="539">
        <v>1363.699206</v>
      </c>
      <c r="D104" s="48">
        <f t="shared" si="7"/>
        <v>2023</v>
      </c>
      <c r="E104" s="48" t="str">
        <f t="shared" si="8"/>
        <v>1</v>
      </c>
      <c r="F104" s="49"/>
      <c r="I104" s="232"/>
    </row>
    <row r="105" spans="1:9">
      <c r="A105" s="414">
        <v>45078</v>
      </c>
      <c r="B105" s="615">
        <v>39.732895000000006</v>
      </c>
      <c r="C105" s="619">
        <v>1288.1296649999999</v>
      </c>
      <c r="D105" s="48">
        <f t="shared" si="7"/>
        <v>2023</v>
      </c>
      <c r="E105" s="48" t="str">
        <f t="shared" si="8"/>
        <v>2</v>
      </c>
      <c r="F105" s="49"/>
      <c r="I105" s="232"/>
    </row>
    <row r="106" spans="1:9">
      <c r="A106" s="414">
        <v>45170</v>
      </c>
      <c r="B106" s="484">
        <v>35.742027999999998</v>
      </c>
      <c r="C106" s="539">
        <v>1082.776807</v>
      </c>
      <c r="D106" s="48">
        <f t="shared" si="7"/>
        <v>2023</v>
      </c>
      <c r="E106" s="48" t="str">
        <f t="shared" si="8"/>
        <v>3</v>
      </c>
      <c r="F106" s="49"/>
      <c r="I106" s="232"/>
    </row>
    <row r="107" spans="1:9" ht="15.75" thickBot="1">
      <c r="A107" s="1562">
        <v>45261</v>
      </c>
      <c r="B107" s="1658">
        <v>36.832878999999991</v>
      </c>
      <c r="C107" s="1659">
        <v>962.80975699999999</v>
      </c>
      <c r="D107" s="48">
        <f t="shared" si="7"/>
        <v>2023</v>
      </c>
      <c r="E107" s="48" t="str">
        <f t="shared" si="8"/>
        <v>4</v>
      </c>
      <c r="F107" s="49"/>
      <c r="I107" s="232"/>
    </row>
    <row r="108" spans="1:9">
      <c r="B108" s="232"/>
      <c r="C108" s="234"/>
      <c r="D108" s="48">
        <f t="shared" si="7"/>
        <v>1900</v>
      </c>
      <c r="E108" s="48" t="str">
        <f t="shared" si="8"/>
        <v>4</v>
      </c>
      <c r="F108" s="49"/>
      <c r="I108" s="232"/>
    </row>
    <row r="109" spans="1:9">
      <c r="B109" s="232"/>
      <c r="C109" s="234"/>
      <c r="D109" s="48">
        <f t="shared" si="7"/>
        <v>1900</v>
      </c>
      <c r="E109" s="48" t="str">
        <f t="shared" si="8"/>
        <v>4</v>
      </c>
      <c r="F109" s="49"/>
      <c r="I109" s="232"/>
    </row>
    <row r="110" spans="1:9">
      <c r="B110" s="232"/>
      <c r="C110" s="234"/>
      <c r="D110" s="48">
        <f t="shared" si="7"/>
        <v>1900</v>
      </c>
      <c r="E110" s="48" t="str">
        <f t="shared" si="8"/>
        <v>4</v>
      </c>
      <c r="F110" s="49"/>
      <c r="I110" s="232"/>
    </row>
    <row r="111" spans="1:9">
      <c r="B111" s="232"/>
      <c r="C111" s="234"/>
      <c r="D111" s="48">
        <f t="shared" si="7"/>
        <v>1900</v>
      </c>
      <c r="E111" s="48" t="str">
        <f t="shared" si="8"/>
        <v>4</v>
      </c>
      <c r="F111" s="49"/>
      <c r="I111" s="232"/>
    </row>
    <row r="112" spans="1:9">
      <c r="B112" s="232"/>
      <c r="C112" s="234"/>
      <c r="D112" s="48">
        <f t="shared" si="7"/>
        <v>1900</v>
      </c>
      <c r="E112" s="48" t="str">
        <f t="shared" si="8"/>
        <v>4</v>
      </c>
      <c r="F112" s="49"/>
      <c r="I112" s="232"/>
    </row>
    <row r="113" spans="2:9">
      <c r="B113" s="232"/>
      <c r="C113" s="234"/>
      <c r="D113" s="48">
        <f t="shared" si="7"/>
        <v>1900</v>
      </c>
      <c r="E113" s="48" t="str">
        <f t="shared" si="8"/>
        <v>4</v>
      </c>
      <c r="F113" s="49"/>
      <c r="I113" s="232"/>
    </row>
    <row r="114" spans="2:9">
      <c r="B114" s="232"/>
      <c r="C114" s="234"/>
      <c r="D114" s="48">
        <f t="shared" si="7"/>
        <v>1900</v>
      </c>
      <c r="E114" s="48" t="str">
        <f t="shared" si="8"/>
        <v>4</v>
      </c>
      <c r="F114" s="49"/>
      <c r="I114" s="232"/>
    </row>
    <row r="115" spans="2:9">
      <c r="B115" s="232"/>
      <c r="C115" s="234"/>
      <c r="D115" s="48">
        <f t="shared" si="7"/>
        <v>1900</v>
      </c>
      <c r="E115" s="48" t="str">
        <f t="shared" si="8"/>
        <v>4</v>
      </c>
      <c r="F115" s="49"/>
      <c r="I115" s="232"/>
    </row>
    <row r="116" spans="2:9">
      <c r="B116" s="232"/>
      <c r="C116" s="234"/>
      <c r="D116" s="48">
        <f t="shared" si="7"/>
        <v>1900</v>
      </c>
      <c r="E116" s="48" t="str">
        <f t="shared" si="8"/>
        <v>4</v>
      </c>
      <c r="F116" s="49"/>
      <c r="I116" s="232"/>
    </row>
    <row r="117" spans="2:9">
      <c r="B117" s="232"/>
      <c r="C117" s="234"/>
      <c r="D117" s="48">
        <f t="shared" si="7"/>
        <v>1900</v>
      </c>
      <c r="E117" s="48" t="str">
        <f t="shared" si="8"/>
        <v>4</v>
      </c>
      <c r="F117" s="49"/>
      <c r="I117" s="232"/>
    </row>
    <row r="118" spans="2:9">
      <c r="B118" s="232"/>
      <c r="C118" s="234"/>
      <c r="D118" s="48">
        <f t="shared" si="7"/>
        <v>1900</v>
      </c>
      <c r="E118" s="48" t="str">
        <f t="shared" si="8"/>
        <v>4</v>
      </c>
      <c r="F118" s="49"/>
      <c r="I118" s="232"/>
    </row>
    <row r="119" spans="2:9">
      <c r="B119" s="232"/>
      <c r="C119" s="234"/>
      <c r="D119" s="48">
        <f t="shared" si="7"/>
        <v>1900</v>
      </c>
      <c r="E119" s="48" t="str">
        <f t="shared" si="8"/>
        <v>4</v>
      </c>
      <c r="F119" s="49"/>
      <c r="I119" s="232"/>
    </row>
    <row r="120" spans="2:9">
      <c r="B120" s="232"/>
      <c r="C120" s="234"/>
      <c r="D120" s="48">
        <f t="shared" si="7"/>
        <v>1900</v>
      </c>
      <c r="E120" s="48" t="str">
        <f t="shared" si="8"/>
        <v>4</v>
      </c>
      <c r="F120" s="49"/>
      <c r="I120" s="232"/>
    </row>
    <row r="121" spans="2:9">
      <c r="B121" s="232"/>
      <c r="C121" s="234"/>
      <c r="D121" s="48">
        <f t="shared" si="7"/>
        <v>1900</v>
      </c>
      <c r="E121" s="48" t="str">
        <f t="shared" si="8"/>
        <v>4</v>
      </c>
      <c r="F121" s="49"/>
      <c r="I121" s="232"/>
    </row>
    <row r="122" spans="2:9">
      <c r="B122" s="232"/>
      <c r="C122" s="234"/>
      <c r="D122" s="48">
        <f t="shared" si="7"/>
        <v>1900</v>
      </c>
      <c r="E122" s="48" t="str">
        <f t="shared" si="8"/>
        <v>4</v>
      </c>
      <c r="F122" s="49"/>
      <c r="I122" s="232"/>
    </row>
    <row r="123" spans="2:9">
      <c r="B123" s="232"/>
      <c r="C123" s="234"/>
      <c r="D123" s="48">
        <f t="shared" si="7"/>
        <v>1900</v>
      </c>
      <c r="E123" s="48" t="str">
        <f t="shared" si="8"/>
        <v>4</v>
      </c>
      <c r="F123" s="49"/>
      <c r="I123" s="232"/>
    </row>
    <row r="124" spans="2:9">
      <c r="B124" s="232"/>
      <c r="C124" s="234"/>
      <c r="D124" s="48">
        <f t="shared" si="7"/>
        <v>1900</v>
      </c>
      <c r="E124" s="48" t="str">
        <f t="shared" si="8"/>
        <v>4</v>
      </c>
      <c r="F124" s="49"/>
      <c r="I124" s="232"/>
    </row>
    <row r="125" spans="2:9">
      <c r="B125" s="232"/>
      <c r="C125" s="234"/>
      <c r="D125" s="48">
        <f t="shared" si="7"/>
        <v>1900</v>
      </c>
      <c r="E125" s="48" t="str">
        <f t="shared" si="8"/>
        <v>4</v>
      </c>
      <c r="F125" s="49"/>
      <c r="I125" s="232"/>
    </row>
    <row r="126" spans="2:9">
      <c r="B126" s="232"/>
      <c r="C126" s="234"/>
      <c r="D126" s="48">
        <f t="shared" si="7"/>
        <v>1900</v>
      </c>
      <c r="E126" s="48" t="str">
        <f t="shared" si="8"/>
        <v>4</v>
      </c>
      <c r="F126" s="49"/>
      <c r="I126" s="232"/>
    </row>
    <row r="127" spans="2:9">
      <c r="B127" s="232"/>
      <c r="C127" s="234"/>
      <c r="D127" s="48">
        <f t="shared" si="7"/>
        <v>1900</v>
      </c>
      <c r="E127" s="48" t="str">
        <f t="shared" si="8"/>
        <v>4</v>
      </c>
      <c r="F127" s="49"/>
      <c r="I127" s="232"/>
    </row>
    <row r="128" spans="2:9">
      <c r="B128" s="232"/>
      <c r="C128" s="234"/>
      <c r="D128" s="48">
        <f t="shared" si="7"/>
        <v>1900</v>
      </c>
      <c r="E128" s="48" t="str">
        <f t="shared" si="8"/>
        <v>4</v>
      </c>
      <c r="F128" s="49"/>
      <c r="I128" s="232"/>
    </row>
    <row r="129" spans="2:9">
      <c r="B129" s="232"/>
      <c r="C129" s="234"/>
      <c r="D129" s="48">
        <f t="shared" si="7"/>
        <v>1900</v>
      </c>
      <c r="E129" s="48" t="str">
        <f t="shared" si="8"/>
        <v>4</v>
      </c>
      <c r="F129" s="49"/>
      <c r="I129" s="232"/>
    </row>
    <row r="130" spans="2:9">
      <c r="B130" s="232"/>
      <c r="C130" s="234"/>
      <c r="D130" s="48">
        <f t="shared" si="7"/>
        <v>1900</v>
      </c>
      <c r="E130" s="48" t="str">
        <f t="shared" si="8"/>
        <v>4</v>
      </c>
      <c r="F130" s="49"/>
      <c r="I130" s="232"/>
    </row>
    <row r="131" spans="2:9">
      <c r="B131" s="232"/>
      <c r="C131" s="234"/>
      <c r="D131" s="48">
        <f t="shared" si="7"/>
        <v>1900</v>
      </c>
      <c r="E131" s="48" t="str">
        <f t="shared" si="8"/>
        <v>4</v>
      </c>
      <c r="F131" s="49"/>
      <c r="I131" s="232"/>
    </row>
    <row r="132" spans="2:9">
      <c r="B132" s="232"/>
      <c r="C132" s="234"/>
      <c r="D132" s="48">
        <f t="shared" si="7"/>
        <v>1900</v>
      </c>
      <c r="E132" s="48" t="str">
        <f t="shared" si="8"/>
        <v>4</v>
      </c>
      <c r="F132" s="49"/>
      <c r="I132" s="232"/>
    </row>
    <row r="133" spans="2:9">
      <c r="B133" s="232"/>
      <c r="C133" s="234"/>
      <c r="D133" s="48">
        <f t="shared" si="7"/>
        <v>1900</v>
      </c>
      <c r="E133" s="48" t="str">
        <f t="shared" si="8"/>
        <v>4</v>
      </c>
      <c r="F133" s="49"/>
      <c r="I133" s="232"/>
    </row>
    <row r="134" spans="2:9">
      <c r="B134" s="232"/>
      <c r="C134" s="234"/>
      <c r="D134" s="48">
        <f t="shared" si="7"/>
        <v>1900</v>
      </c>
      <c r="E134" s="48" t="str">
        <f t="shared" si="8"/>
        <v>4</v>
      </c>
      <c r="F134" s="49"/>
      <c r="I134" s="232"/>
    </row>
    <row r="135" spans="2:9">
      <c r="B135" s="232"/>
      <c r="C135" s="234"/>
      <c r="D135" s="48">
        <f t="shared" si="7"/>
        <v>1900</v>
      </c>
      <c r="E135" s="48" t="str">
        <f t="shared" si="8"/>
        <v>4</v>
      </c>
      <c r="F135" s="49"/>
      <c r="I135" s="232"/>
    </row>
    <row r="136" spans="2:9">
      <c r="B136" s="232"/>
      <c r="C136" s="234"/>
      <c r="D136" s="48">
        <f t="shared" si="7"/>
        <v>1900</v>
      </c>
      <c r="E136" s="48" t="str">
        <f t="shared" si="8"/>
        <v>4</v>
      </c>
      <c r="F136" s="49"/>
      <c r="I136" s="232"/>
    </row>
    <row r="137" spans="2:9">
      <c r="B137" s="232"/>
      <c r="C137" s="234"/>
      <c r="D137" s="48">
        <f t="shared" si="7"/>
        <v>1900</v>
      </c>
      <c r="E137" s="48" t="str">
        <f t="shared" si="8"/>
        <v>4</v>
      </c>
      <c r="F137" s="49"/>
      <c r="I137" s="232"/>
    </row>
    <row r="138" spans="2:9">
      <c r="B138" s="232"/>
      <c r="C138" s="234"/>
      <c r="D138" s="48">
        <f t="shared" si="7"/>
        <v>1900</v>
      </c>
      <c r="E138" s="48" t="str">
        <f t="shared" si="8"/>
        <v>4</v>
      </c>
      <c r="F138" s="49"/>
      <c r="I138" s="232"/>
    </row>
    <row r="139" spans="2:9">
      <c r="B139" s="232"/>
      <c r="C139" s="234"/>
      <c r="D139" s="48">
        <f t="shared" si="7"/>
        <v>1900</v>
      </c>
      <c r="E139" s="48" t="str">
        <f t="shared" si="8"/>
        <v>4</v>
      </c>
      <c r="F139" s="49"/>
      <c r="I139" s="232"/>
    </row>
    <row r="140" spans="2:9">
      <c r="B140" s="232"/>
      <c r="C140" s="234"/>
      <c r="D140" s="48">
        <f t="shared" ref="D140:D203" si="9">YEAR(A140)</f>
        <v>1900</v>
      </c>
      <c r="E140" s="48" t="str">
        <f t="shared" ref="E140:E203" si="10">IF(MONTH(A140)=3,"1",IF(MONTH(A140)=6,"2",IF(MONTH(A140)=9,"3","4")))</f>
        <v>4</v>
      </c>
      <c r="F140" s="49"/>
      <c r="I140" s="232"/>
    </row>
    <row r="141" spans="2:9">
      <c r="B141" s="232"/>
      <c r="C141" s="234"/>
      <c r="D141" s="48">
        <f t="shared" si="9"/>
        <v>1900</v>
      </c>
      <c r="E141" s="48" t="str">
        <f t="shared" si="10"/>
        <v>4</v>
      </c>
      <c r="F141" s="49"/>
      <c r="I141" s="232"/>
    </row>
    <row r="142" spans="2:9">
      <c r="B142" s="232"/>
      <c r="C142" s="234"/>
      <c r="D142" s="48">
        <f t="shared" si="9"/>
        <v>1900</v>
      </c>
      <c r="E142" s="48" t="str">
        <f t="shared" si="10"/>
        <v>4</v>
      </c>
      <c r="F142" s="49"/>
      <c r="I142" s="232"/>
    </row>
    <row r="143" spans="2:9">
      <c r="B143" s="232"/>
      <c r="C143" s="234"/>
      <c r="D143" s="48">
        <f t="shared" si="9"/>
        <v>1900</v>
      </c>
      <c r="E143" s="48" t="str">
        <f t="shared" si="10"/>
        <v>4</v>
      </c>
      <c r="F143" s="49"/>
      <c r="I143" s="232"/>
    </row>
    <row r="144" spans="2:9">
      <c r="B144" s="232"/>
      <c r="C144" s="234"/>
      <c r="D144" s="48">
        <f t="shared" si="9"/>
        <v>1900</v>
      </c>
      <c r="E144" s="48" t="str">
        <f t="shared" si="10"/>
        <v>4</v>
      </c>
      <c r="F144" s="49"/>
      <c r="I144" s="232"/>
    </row>
    <row r="145" spans="2:9">
      <c r="B145" s="232"/>
      <c r="C145" s="234"/>
      <c r="D145" s="48">
        <f t="shared" si="9"/>
        <v>1900</v>
      </c>
      <c r="E145" s="48" t="str">
        <f t="shared" si="10"/>
        <v>4</v>
      </c>
      <c r="F145" s="49"/>
      <c r="I145" s="232"/>
    </row>
    <row r="146" spans="2:9">
      <c r="B146" s="232"/>
      <c r="C146" s="234"/>
      <c r="D146" s="48">
        <f t="shared" si="9"/>
        <v>1900</v>
      </c>
      <c r="E146" s="48" t="str">
        <f t="shared" si="10"/>
        <v>4</v>
      </c>
      <c r="F146" s="49"/>
      <c r="I146" s="232"/>
    </row>
    <row r="147" spans="2:9">
      <c r="B147" s="232"/>
      <c r="C147" s="234"/>
      <c r="D147" s="48">
        <f t="shared" si="9"/>
        <v>1900</v>
      </c>
      <c r="E147" s="48" t="str">
        <f t="shared" si="10"/>
        <v>4</v>
      </c>
      <c r="F147" s="49"/>
      <c r="I147" s="232"/>
    </row>
    <row r="148" spans="2:9">
      <c r="B148" s="232"/>
      <c r="C148" s="234"/>
      <c r="D148" s="48">
        <f t="shared" si="9"/>
        <v>1900</v>
      </c>
      <c r="E148" s="48" t="str">
        <f t="shared" si="10"/>
        <v>4</v>
      </c>
      <c r="F148" s="49"/>
      <c r="I148" s="232"/>
    </row>
    <row r="149" spans="2:9">
      <c r="B149" s="232"/>
      <c r="C149" s="234"/>
      <c r="D149" s="48">
        <f t="shared" si="9"/>
        <v>1900</v>
      </c>
      <c r="E149" s="48" t="str">
        <f t="shared" si="10"/>
        <v>4</v>
      </c>
      <c r="F149" s="49"/>
      <c r="I149" s="232"/>
    </row>
    <row r="150" spans="2:9">
      <c r="B150" s="232"/>
      <c r="C150" s="234"/>
      <c r="D150" s="48">
        <f t="shared" si="9"/>
        <v>1900</v>
      </c>
      <c r="E150" s="48" t="str">
        <f t="shared" si="10"/>
        <v>4</v>
      </c>
      <c r="F150" s="49"/>
      <c r="I150" s="232"/>
    </row>
    <row r="151" spans="2:9">
      <c r="B151" s="232"/>
      <c r="C151" s="234"/>
      <c r="D151" s="48">
        <f t="shared" si="9"/>
        <v>1900</v>
      </c>
      <c r="E151" s="48" t="str">
        <f t="shared" si="10"/>
        <v>4</v>
      </c>
      <c r="F151" s="49"/>
      <c r="I151" s="232"/>
    </row>
    <row r="152" spans="2:9">
      <c r="B152" s="232"/>
      <c r="C152" s="234"/>
      <c r="D152" s="48">
        <f t="shared" si="9"/>
        <v>1900</v>
      </c>
      <c r="E152" s="48" t="str">
        <f t="shared" si="10"/>
        <v>4</v>
      </c>
      <c r="F152" s="49"/>
      <c r="I152" s="232"/>
    </row>
    <row r="153" spans="2:9">
      <c r="B153" s="232"/>
      <c r="C153" s="234"/>
      <c r="D153" s="48">
        <f t="shared" si="9"/>
        <v>1900</v>
      </c>
      <c r="E153" s="48" t="str">
        <f t="shared" si="10"/>
        <v>4</v>
      </c>
      <c r="F153" s="49"/>
      <c r="I153" s="232"/>
    </row>
    <row r="154" spans="2:9">
      <c r="B154" s="232"/>
      <c r="C154" s="234"/>
      <c r="D154" s="48">
        <f t="shared" si="9"/>
        <v>1900</v>
      </c>
      <c r="E154" s="48" t="str">
        <f t="shared" si="10"/>
        <v>4</v>
      </c>
      <c r="F154" s="49"/>
      <c r="I154" s="232"/>
    </row>
    <row r="155" spans="2:9">
      <c r="B155" s="232"/>
      <c r="C155" s="234"/>
      <c r="D155" s="48">
        <f t="shared" si="9"/>
        <v>1900</v>
      </c>
      <c r="E155" s="48" t="str">
        <f t="shared" si="10"/>
        <v>4</v>
      </c>
      <c r="F155" s="49"/>
      <c r="I155" s="232"/>
    </row>
    <row r="156" spans="2:9">
      <c r="B156" s="232"/>
      <c r="C156" s="234"/>
      <c r="D156" s="48">
        <f t="shared" si="9"/>
        <v>1900</v>
      </c>
      <c r="E156" s="48" t="str">
        <f t="shared" si="10"/>
        <v>4</v>
      </c>
      <c r="F156" s="49"/>
      <c r="I156" s="232"/>
    </row>
    <row r="157" spans="2:9">
      <c r="B157" s="232"/>
      <c r="C157" s="234"/>
      <c r="D157" s="48">
        <f t="shared" si="9"/>
        <v>1900</v>
      </c>
      <c r="E157" s="48" t="str">
        <f t="shared" si="10"/>
        <v>4</v>
      </c>
      <c r="F157" s="49"/>
      <c r="I157" s="232"/>
    </row>
    <row r="158" spans="2:9">
      <c r="B158" s="232"/>
      <c r="C158" s="234"/>
      <c r="D158" s="48">
        <f t="shared" si="9"/>
        <v>1900</v>
      </c>
      <c r="E158" s="48" t="str">
        <f t="shared" si="10"/>
        <v>4</v>
      </c>
      <c r="F158" s="49"/>
      <c r="I158" s="232"/>
    </row>
    <row r="159" spans="2:9">
      <c r="B159" s="232"/>
      <c r="C159" s="234"/>
      <c r="D159" s="48">
        <f t="shared" si="9"/>
        <v>1900</v>
      </c>
      <c r="E159" s="48" t="str">
        <f t="shared" si="10"/>
        <v>4</v>
      </c>
      <c r="F159" s="49"/>
      <c r="I159" s="232"/>
    </row>
    <row r="160" spans="2:9">
      <c r="B160" s="232"/>
      <c r="C160" s="234"/>
      <c r="D160" s="48">
        <f t="shared" si="9"/>
        <v>1900</v>
      </c>
      <c r="E160" s="48" t="str">
        <f t="shared" si="10"/>
        <v>4</v>
      </c>
      <c r="F160" s="49"/>
      <c r="I160" s="232"/>
    </row>
    <row r="161" spans="2:9">
      <c r="B161" s="232"/>
      <c r="C161" s="234"/>
      <c r="D161" s="48">
        <f t="shared" si="9"/>
        <v>1900</v>
      </c>
      <c r="E161" s="48" t="str">
        <f t="shared" si="10"/>
        <v>4</v>
      </c>
      <c r="F161" s="49"/>
      <c r="I161" s="232"/>
    </row>
    <row r="162" spans="2:9">
      <c r="C162" s="234"/>
      <c r="D162" s="48">
        <f t="shared" si="9"/>
        <v>1900</v>
      </c>
      <c r="E162" s="48" t="str">
        <f t="shared" si="10"/>
        <v>4</v>
      </c>
      <c r="F162" s="49"/>
      <c r="I162" s="232"/>
    </row>
    <row r="163" spans="2:9">
      <c r="C163" s="234"/>
      <c r="D163" s="48">
        <f t="shared" si="9"/>
        <v>1900</v>
      </c>
      <c r="E163" s="48" t="str">
        <f t="shared" si="10"/>
        <v>4</v>
      </c>
      <c r="F163" s="49"/>
      <c r="I163" s="232"/>
    </row>
    <row r="164" spans="2:9">
      <c r="C164" s="234"/>
      <c r="D164" s="48">
        <f t="shared" si="9"/>
        <v>1900</v>
      </c>
      <c r="E164" s="48" t="str">
        <f t="shared" si="10"/>
        <v>4</v>
      </c>
      <c r="F164" s="49"/>
      <c r="I164" s="232"/>
    </row>
    <row r="165" spans="2:9">
      <c r="C165" s="234"/>
      <c r="D165" s="48">
        <f t="shared" si="9"/>
        <v>1900</v>
      </c>
      <c r="E165" s="48" t="str">
        <f t="shared" si="10"/>
        <v>4</v>
      </c>
      <c r="F165" s="49"/>
      <c r="I165" s="232"/>
    </row>
    <row r="166" spans="2:9">
      <c r="C166" s="234"/>
      <c r="D166" s="48">
        <f t="shared" si="9"/>
        <v>1900</v>
      </c>
      <c r="E166" s="48" t="str">
        <f t="shared" si="10"/>
        <v>4</v>
      </c>
      <c r="F166" s="49"/>
      <c r="I166" s="232"/>
    </row>
    <row r="167" spans="2:9">
      <c r="C167" s="234"/>
      <c r="D167" s="48">
        <f t="shared" si="9"/>
        <v>1900</v>
      </c>
      <c r="E167" s="48" t="str">
        <f t="shared" si="10"/>
        <v>4</v>
      </c>
      <c r="F167" s="49"/>
      <c r="I167" s="232"/>
    </row>
    <row r="168" spans="2:9">
      <c r="C168" s="234"/>
      <c r="D168" s="48">
        <f t="shared" si="9"/>
        <v>1900</v>
      </c>
      <c r="E168" s="48" t="str">
        <f t="shared" si="10"/>
        <v>4</v>
      </c>
      <c r="F168" s="49"/>
      <c r="I168" s="232"/>
    </row>
    <row r="169" spans="2:9">
      <c r="C169" s="234"/>
      <c r="D169" s="48">
        <f t="shared" si="9"/>
        <v>1900</v>
      </c>
      <c r="E169" s="48" t="str">
        <f t="shared" si="10"/>
        <v>4</v>
      </c>
      <c r="F169" s="49"/>
      <c r="I169" s="232"/>
    </row>
    <row r="170" spans="2:9">
      <c r="C170" s="234"/>
      <c r="D170" s="48">
        <f t="shared" si="9"/>
        <v>1900</v>
      </c>
      <c r="E170" s="48" t="str">
        <f t="shared" si="10"/>
        <v>4</v>
      </c>
      <c r="F170" s="49"/>
      <c r="I170" s="232"/>
    </row>
    <row r="171" spans="2:9">
      <c r="C171" s="234"/>
      <c r="D171" s="48">
        <f t="shared" si="9"/>
        <v>1900</v>
      </c>
      <c r="E171" s="48" t="str">
        <f t="shared" si="10"/>
        <v>4</v>
      </c>
      <c r="F171" s="49"/>
      <c r="I171" s="232"/>
    </row>
    <row r="172" spans="2:9">
      <c r="C172" s="234"/>
      <c r="D172" s="48">
        <f t="shared" si="9"/>
        <v>1900</v>
      </c>
      <c r="E172" s="48" t="str">
        <f t="shared" si="10"/>
        <v>4</v>
      </c>
      <c r="F172" s="49"/>
      <c r="I172" s="232"/>
    </row>
    <row r="173" spans="2:9">
      <c r="C173" s="234"/>
      <c r="D173" s="48">
        <f t="shared" si="9"/>
        <v>1900</v>
      </c>
      <c r="E173" s="48" t="str">
        <f t="shared" si="10"/>
        <v>4</v>
      </c>
      <c r="F173" s="49"/>
      <c r="I173" s="232"/>
    </row>
    <row r="174" spans="2:9">
      <c r="C174" s="234"/>
      <c r="D174" s="48">
        <f t="shared" si="9"/>
        <v>1900</v>
      </c>
      <c r="E174" s="48" t="str">
        <f t="shared" si="10"/>
        <v>4</v>
      </c>
      <c r="F174" s="49"/>
      <c r="I174" s="232"/>
    </row>
    <row r="175" spans="2:9">
      <c r="C175" s="234"/>
      <c r="D175" s="48">
        <f t="shared" si="9"/>
        <v>1900</v>
      </c>
      <c r="E175" s="48" t="str">
        <f t="shared" si="10"/>
        <v>4</v>
      </c>
      <c r="F175" s="49"/>
      <c r="I175" s="232"/>
    </row>
    <row r="176" spans="2:9">
      <c r="C176" s="234"/>
      <c r="D176" s="48">
        <f t="shared" si="9"/>
        <v>1900</v>
      </c>
      <c r="E176" s="48" t="str">
        <f t="shared" si="10"/>
        <v>4</v>
      </c>
      <c r="F176" s="49"/>
      <c r="I176" s="232"/>
    </row>
    <row r="177" spans="3:9">
      <c r="C177" s="234"/>
      <c r="D177" s="48">
        <f t="shared" si="9"/>
        <v>1900</v>
      </c>
      <c r="E177" s="48" t="str">
        <f t="shared" si="10"/>
        <v>4</v>
      </c>
      <c r="F177" s="49"/>
      <c r="I177" s="232"/>
    </row>
    <row r="178" spans="3:9">
      <c r="C178" s="234"/>
      <c r="D178" s="48">
        <f t="shared" si="9"/>
        <v>1900</v>
      </c>
      <c r="E178" s="48" t="str">
        <f t="shared" si="10"/>
        <v>4</v>
      </c>
      <c r="F178" s="49"/>
      <c r="I178" s="232"/>
    </row>
    <row r="179" spans="3:9">
      <c r="C179" s="234"/>
      <c r="D179" s="48">
        <f t="shared" si="9"/>
        <v>1900</v>
      </c>
      <c r="E179" s="48" t="str">
        <f t="shared" si="10"/>
        <v>4</v>
      </c>
      <c r="F179" s="49"/>
      <c r="I179" s="232"/>
    </row>
    <row r="180" spans="3:9">
      <c r="C180" s="234"/>
      <c r="D180" s="48">
        <f t="shared" si="9"/>
        <v>1900</v>
      </c>
      <c r="E180" s="48" t="str">
        <f t="shared" si="10"/>
        <v>4</v>
      </c>
      <c r="F180" s="49"/>
      <c r="I180" s="232"/>
    </row>
    <row r="181" spans="3:9">
      <c r="C181" s="234"/>
      <c r="D181" s="48">
        <f t="shared" si="9"/>
        <v>1900</v>
      </c>
      <c r="E181" s="48" t="str">
        <f t="shared" si="10"/>
        <v>4</v>
      </c>
      <c r="F181" s="49"/>
      <c r="I181" s="232"/>
    </row>
    <row r="182" spans="3:9">
      <c r="C182" s="234"/>
      <c r="D182" s="48">
        <f t="shared" si="9"/>
        <v>1900</v>
      </c>
      <c r="E182" s="48" t="str">
        <f t="shared" si="10"/>
        <v>4</v>
      </c>
      <c r="F182" s="49"/>
      <c r="I182" s="232"/>
    </row>
    <row r="183" spans="3:9">
      <c r="C183" s="234"/>
      <c r="D183" s="48">
        <f t="shared" si="9"/>
        <v>1900</v>
      </c>
      <c r="E183" s="48" t="str">
        <f t="shared" si="10"/>
        <v>4</v>
      </c>
      <c r="F183" s="49"/>
      <c r="I183" s="232"/>
    </row>
    <row r="184" spans="3:9">
      <c r="C184" s="234"/>
      <c r="D184" s="48">
        <f t="shared" si="9"/>
        <v>1900</v>
      </c>
      <c r="E184" s="48" t="str">
        <f t="shared" si="10"/>
        <v>4</v>
      </c>
      <c r="F184" s="49"/>
      <c r="I184" s="232"/>
    </row>
    <row r="185" spans="3:9">
      <c r="C185" s="234"/>
      <c r="D185" s="48">
        <f t="shared" si="9"/>
        <v>1900</v>
      </c>
      <c r="E185" s="48" t="str">
        <f t="shared" si="10"/>
        <v>4</v>
      </c>
      <c r="F185" s="49"/>
      <c r="I185" s="232"/>
    </row>
    <row r="186" spans="3:9">
      <c r="C186" s="234"/>
      <c r="D186" s="48">
        <f t="shared" si="9"/>
        <v>1900</v>
      </c>
      <c r="E186" s="48" t="str">
        <f t="shared" si="10"/>
        <v>4</v>
      </c>
      <c r="F186" s="49"/>
      <c r="I186" s="232"/>
    </row>
    <row r="187" spans="3:9">
      <c r="C187" s="234"/>
      <c r="D187" s="48">
        <f t="shared" si="9"/>
        <v>1900</v>
      </c>
      <c r="E187" s="48" t="str">
        <f t="shared" si="10"/>
        <v>4</v>
      </c>
      <c r="F187" s="49"/>
      <c r="I187" s="232"/>
    </row>
    <row r="188" spans="3:9">
      <c r="C188" s="234"/>
      <c r="D188" s="48">
        <f t="shared" si="9"/>
        <v>1900</v>
      </c>
      <c r="E188" s="48" t="str">
        <f t="shared" si="10"/>
        <v>4</v>
      </c>
      <c r="F188" s="49"/>
      <c r="I188" s="232"/>
    </row>
    <row r="189" spans="3:9">
      <c r="C189" s="234"/>
      <c r="D189" s="48">
        <f t="shared" si="9"/>
        <v>1900</v>
      </c>
      <c r="E189" s="48" t="str">
        <f t="shared" si="10"/>
        <v>4</v>
      </c>
      <c r="F189" s="49"/>
      <c r="I189" s="232"/>
    </row>
    <row r="190" spans="3:9">
      <c r="C190" s="234"/>
      <c r="D190" s="48">
        <f t="shared" si="9"/>
        <v>1900</v>
      </c>
      <c r="E190" s="48" t="str">
        <f t="shared" si="10"/>
        <v>4</v>
      </c>
      <c r="F190" s="49"/>
      <c r="I190" s="232"/>
    </row>
    <row r="191" spans="3:9">
      <c r="C191" s="234"/>
      <c r="D191" s="48">
        <f t="shared" si="9"/>
        <v>1900</v>
      </c>
      <c r="E191" s="48" t="str">
        <f t="shared" si="10"/>
        <v>4</v>
      </c>
      <c r="F191" s="49"/>
      <c r="I191" s="232"/>
    </row>
    <row r="192" spans="3:9">
      <c r="C192" s="234"/>
      <c r="D192" s="48">
        <f t="shared" si="9"/>
        <v>1900</v>
      </c>
      <c r="E192" s="48" t="str">
        <f t="shared" si="10"/>
        <v>4</v>
      </c>
      <c r="F192" s="49"/>
      <c r="I192" s="232"/>
    </row>
    <row r="193" spans="3:9">
      <c r="C193" s="234"/>
      <c r="D193" s="48">
        <f t="shared" si="9"/>
        <v>1900</v>
      </c>
      <c r="E193" s="48" t="str">
        <f t="shared" si="10"/>
        <v>4</v>
      </c>
      <c r="F193" s="49"/>
      <c r="I193" s="232"/>
    </row>
    <row r="194" spans="3:9">
      <c r="C194" s="234"/>
      <c r="D194" s="48">
        <f t="shared" si="9"/>
        <v>1900</v>
      </c>
      <c r="E194" s="48" t="str">
        <f t="shared" si="10"/>
        <v>4</v>
      </c>
      <c r="F194" s="49"/>
      <c r="I194" s="232"/>
    </row>
    <row r="195" spans="3:9">
      <c r="C195" s="234"/>
      <c r="D195" s="48">
        <f t="shared" si="9"/>
        <v>1900</v>
      </c>
      <c r="E195" s="48" t="str">
        <f t="shared" si="10"/>
        <v>4</v>
      </c>
      <c r="F195" s="49"/>
      <c r="I195" s="232"/>
    </row>
    <row r="196" spans="3:9">
      <c r="C196" s="234"/>
      <c r="D196" s="48">
        <f t="shared" si="9"/>
        <v>1900</v>
      </c>
      <c r="E196" s="48" t="str">
        <f t="shared" si="10"/>
        <v>4</v>
      </c>
      <c r="F196" s="49"/>
      <c r="I196" s="232"/>
    </row>
    <row r="197" spans="3:9">
      <c r="C197" s="234"/>
      <c r="D197" s="48">
        <f t="shared" si="9"/>
        <v>1900</v>
      </c>
      <c r="E197" s="48" t="str">
        <f t="shared" si="10"/>
        <v>4</v>
      </c>
      <c r="F197" s="49"/>
      <c r="I197" s="232"/>
    </row>
    <row r="198" spans="3:9">
      <c r="C198" s="234"/>
      <c r="D198" s="48">
        <f t="shared" si="9"/>
        <v>1900</v>
      </c>
      <c r="E198" s="48" t="str">
        <f t="shared" si="10"/>
        <v>4</v>
      </c>
      <c r="F198" s="49"/>
      <c r="I198" s="232"/>
    </row>
    <row r="199" spans="3:9">
      <c r="C199" s="234"/>
      <c r="D199" s="48">
        <f t="shared" si="9"/>
        <v>1900</v>
      </c>
      <c r="E199" s="48" t="str">
        <f t="shared" si="10"/>
        <v>4</v>
      </c>
      <c r="F199" s="49"/>
      <c r="I199" s="232"/>
    </row>
    <row r="200" spans="3:9">
      <c r="C200" s="234"/>
      <c r="D200" s="48">
        <f t="shared" si="9"/>
        <v>1900</v>
      </c>
      <c r="E200" s="48" t="str">
        <f t="shared" si="10"/>
        <v>4</v>
      </c>
      <c r="F200" s="49"/>
      <c r="I200" s="232"/>
    </row>
    <row r="201" spans="3:9">
      <c r="C201" s="234"/>
      <c r="D201" s="48">
        <f t="shared" si="9"/>
        <v>1900</v>
      </c>
      <c r="E201" s="48" t="str">
        <f t="shared" si="10"/>
        <v>4</v>
      </c>
      <c r="F201" s="49"/>
      <c r="I201" s="232"/>
    </row>
    <row r="202" spans="3:9">
      <c r="C202" s="234"/>
      <c r="D202" s="48">
        <f t="shared" si="9"/>
        <v>1900</v>
      </c>
      <c r="E202" s="48" t="str">
        <f t="shared" si="10"/>
        <v>4</v>
      </c>
      <c r="F202" s="49"/>
      <c r="I202" s="232"/>
    </row>
    <row r="203" spans="3:9">
      <c r="C203" s="234"/>
      <c r="D203" s="48">
        <f t="shared" si="9"/>
        <v>1900</v>
      </c>
      <c r="E203" s="48" t="str">
        <f t="shared" si="10"/>
        <v>4</v>
      </c>
      <c r="F203" s="49"/>
      <c r="I203" s="232"/>
    </row>
    <row r="204" spans="3:9">
      <c r="C204" s="234"/>
      <c r="D204" s="48">
        <f t="shared" ref="D204:D250" si="11">YEAR(A204)</f>
        <v>1900</v>
      </c>
      <c r="E204" s="48" t="str">
        <f t="shared" ref="E204:E250" si="12">IF(MONTH(A204)=3,"1",IF(MONTH(A204)=6,"2",IF(MONTH(A204)=9,"3","4")))</f>
        <v>4</v>
      </c>
      <c r="F204" s="49"/>
      <c r="I204" s="232"/>
    </row>
    <row r="205" spans="3:9">
      <c r="C205" s="234"/>
      <c r="D205" s="48">
        <f t="shared" si="11"/>
        <v>1900</v>
      </c>
      <c r="E205" s="48" t="str">
        <f t="shared" si="12"/>
        <v>4</v>
      </c>
      <c r="F205" s="49"/>
      <c r="I205" s="232"/>
    </row>
    <row r="206" spans="3:9">
      <c r="C206" s="234"/>
      <c r="D206" s="48">
        <f t="shared" si="11"/>
        <v>1900</v>
      </c>
      <c r="E206" s="48" t="str">
        <f t="shared" si="12"/>
        <v>4</v>
      </c>
      <c r="F206" s="49"/>
      <c r="I206" s="232"/>
    </row>
    <row r="207" spans="3:9">
      <c r="C207" s="234"/>
      <c r="D207" s="48">
        <f t="shared" si="11"/>
        <v>1900</v>
      </c>
      <c r="E207" s="48" t="str">
        <f t="shared" si="12"/>
        <v>4</v>
      </c>
      <c r="F207" s="49"/>
      <c r="I207" s="232"/>
    </row>
    <row r="208" spans="3:9">
      <c r="C208" s="234"/>
      <c r="D208" s="48">
        <f t="shared" si="11"/>
        <v>1900</v>
      </c>
      <c r="E208" s="48" t="str">
        <f t="shared" si="12"/>
        <v>4</v>
      </c>
      <c r="F208" s="49"/>
      <c r="I208" s="232"/>
    </row>
    <row r="209" spans="3:9">
      <c r="C209" s="234"/>
      <c r="D209" s="48">
        <f t="shared" si="11"/>
        <v>1900</v>
      </c>
      <c r="E209" s="48" t="str">
        <f t="shared" si="12"/>
        <v>4</v>
      </c>
      <c r="F209" s="49"/>
      <c r="I209" s="232"/>
    </row>
    <row r="210" spans="3:9">
      <c r="C210" s="234"/>
      <c r="D210" s="48">
        <f t="shared" si="11"/>
        <v>1900</v>
      </c>
      <c r="E210" s="48" t="str">
        <f t="shared" si="12"/>
        <v>4</v>
      </c>
      <c r="F210" s="49"/>
      <c r="I210" s="232"/>
    </row>
    <row r="211" spans="3:9">
      <c r="C211" s="234"/>
      <c r="D211" s="48">
        <f t="shared" si="11"/>
        <v>1900</v>
      </c>
      <c r="E211" s="48" t="str">
        <f t="shared" si="12"/>
        <v>4</v>
      </c>
      <c r="F211" s="49"/>
      <c r="I211" s="232"/>
    </row>
    <row r="212" spans="3:9">
      <c r="C212" s="234"/>
      <c r="D212" s="48">
        <f t="shared" si="11"/>
        <v>1900</v>
      </c>
      <c r="E212" s="48" t="str">
        <f t="shared" si="12"/>
        <v>4</v>
      </c>
      <c r="F212" s="49"/>
      <c r="I212" s="232"/>
    </row>
    <row r="213" spans="3:9">
      <c r="C213" s="234"/>
      <c r="D213" s="48">
        <f t="shared" si="11"/>
        <v>1900</v>
      </c>
      <c r="E213" s="48" t="str">
        <f t="shared" si="12"/>
        <v>4</v>
      </c>
      <c r="F213" s="49"/>
      <c r="I213" s="232"/>
    </row>
    <row r="214" spans="3:9">
      <c r="C214" s="234"/>
      <c r="D214" s="48">
        <f t="shared" si="11"/>
        <v>1900</v>
      </c>
      <c r="E214" s="48" t="str">
        <f t="shared" si="12"/>
        <v>4</v>
      </c>
      <c r="F214" s="49"/>
      <c r="I214" s="232"/>
    </row>
    <row r="215" spans="3:9">
      <c r="C215" s="234"/>
      <c r="D215" s="48">
        <f t="shared" si="11"/>
        <v>1900</v>
      </c>
      <c r="E215" s="48" t="str">
        <f t="shared" si="12"/>
        <v>4</v>
      </c>
      <c r="F215" s="49"/>
      <c r="I215" s="232"/>
    </row>
    <row r="216" spans="3:9">
      <c r="C216" s="234"/>
      <c r="D216" s="48">
        <f t="shared" si="11"/>
        <v>1900</v>
      </c>
      <c r="E216" s="48" t="str">
        <f t="shared" si="12"/>
        <v>4</v>
      </c>
      <c r="F216" s="49"/>
      <c r="I216" s="232"/>
    </row>
    <row r="217" spans="3:9">
      <c r="C217" s="234"/>
      <c r="D217" s="48">
        <f t="shared" si="11"/>
        <v>1900</v>
      </c>
      <c r="E217" s="48" t="str">
        <f t="shared" si="12"/>
        <v>4</v>
      </c>
      <c r="F217" s="49"/>
      <c r="I217" s="232"/>
    </row>
    <row r="218" spans="3:9">
      <c r="C218" s="234"/>
      <c r="D218" s="48">
        <f t="shared" si="11"/>
        <v>1900</v>
      </c>
      <c r="E218" s="48" t="str">
        <f t="shared" si="12"/>
        <v>4</v>
      </c>
      <c r="F218" s="49"/>
      <c r="I218" s="232"/>
    </row>
    <row r="219" spans="3:9">
      <c r="C219" s="234"/>
      <c r="D219" s="48">
        <f t="shared" si="11"/>
        <v>1900</v>
      </c>
      <c r="E219" s="48" t="str">
        <f t="shared" si="12"/>
        <v>4</v>
      </c>
      <c r="F219" s="49"/>
      <c r="I219" s="232"/>
    </row>
    <row r="220" spans="3:9">
      <c r="C220" s="234"/>
      <c r="D220" s="48">
        <f t="shared" si="11"/>
        <v>1900</v>
      </c>
      <c r="E220" s="48" t="str">
        <f t="shared" si="12"/>
        <v>4</v>
      </c>
      <c r="F220" s="49"/>
      <c r="I220" s="232"/>
    </row>
    <row r="221" spans="3:9">
      <c r="C221" s="234"/>
      <c r="D221" s="48">
        <f t="shared" si="11"/>
        <v>1900</v>
      </c>
      <c r="E221" s="48" t="str">
        <f t="shared" si="12"/>
        <v>4</v>
      </c>
      <c r="F221" s="49"/>
      <c r="I221" s="232"/>
    </row>
    <row r="222" spans="3:9">
      <c r="C222" s="234"/>
      <c r="D222" s="48">
        <f t="shared" si="11"/>
        <v>1900</v>
      </c>
      <c r="E222" s="48" t="str">
        <f t="shared" si="12"/>
        <v>4</v>
      </c>
      <c r="F222" s="49"/>
      <c r="I222" s="232"/>
    </row>
    <row r="223" spans="3:9">
      <c r="C223" s="234"/>
      <c r="D223" s="48">
        <f t="shared" si="11"/>
        <v>1900</v>
      </c>
      <c r="E223" s="48" t="str">
        <f t="shared" si="12"/>
        <v>4</v>
      </c>
      <c r="F223" s="49"/>
      <c r="I223" s="232"/>
    </row>
    <row r="224" spans="3:9">
      <c r="C224" s="234"/>
      <c r="D224" s="48">
        <f t="shared" si="11"/>
        <v>1900</v>
      </c>
      <c r="E224" s="48" t="str">
        <f t="shared" si="12"/>
        <v>4</v>
      </c>
      <c r="F224" s="49"/>
      <c r="I224" s="232"/>
    </row>
    <row r="225" spans="3:9">
      <c r="C225" s="234"/>
      <c r="D225" s="48">
        <f t="shared" si="11"/>
        <v>1900</v>
      </c>
      <c r="E225" s="48" t="str">
        <f t="shared" si="12"/>
        <v>4</v>
      </c>
      <c r="F225" s="49"/>
      <c r="I225" s="232"/>
    </row>
    <row r="226" spans="3:9">
      <c r="C226" s="234"/>
      <c r="D226" s="48">
        <f t="shared" si="11"/>
        <v>1900</v>
      </c>
      <c r="E226" s="48" t="str">
        <f t="shared" si="12"/>
        <v>4</v>
      </c>
      <c r="F226" s="49"/>
      <c r="I226" s="232"/>
    </row>
    <row r="227" spans="3:9">
      <c r="C227" s="234"/>
      <c r="D227" s="48">
        <f t="shared" si="11"/>
        <v>1900</v>
      </c>
      <c r="E227" s="48" t="str">
        <f t="shared" si="12"/>
        <v>4</v>
      </c>
      <c r="F227" s="49"/>
      <c r="I227" s="232"/>
    </row>
    <row r="228" spans="3:9">
      <c r="C228" s="234"/>
      <c r="D228" s="48">
        <f t="shared" si="11"/>
        <v>1900</v>
      </c>
      <c r="E228" s="48" t="str">
        <f t="shared" si="12"/>
        <v>4</v>
      </c>
      <c r="F228" s="49"/>
      <c r="I228" s="232"/>
    </row>
    <row r="229" spans="3:9">
      <c r="C229" s="234"/>
      <c r="D229" s="48">
        <f t="shared" si="11"/>
        <v>1900</v>
      </c>
      <c r="E229" s="48" t="str">
        <f t="shared" si="12"/>
        <v>4</v>
      </c>
      <c r="F229" s="49"/>
      <c r="I229" s="232"/>
    </row>
    <row r="230" spans="3:9">
      <c r="C230" s="234"/>
      <c r="D230" s="48">
        <f t="shared" si="11"/>
        <v>1900</v>
      </c>
      <c r="E230" s="48" t="str">
        <f t="shared" si="12"/>
        <v>4</v>
      </c>
      <c r="F230" s="49"/>
      <c r="I230" s="232"/>
    </row>
    <row r="231" spans="3:9">
      <c r="C231" s="234"/>
      <c r="D231" s="48">
        <f t="shared" si="11"/>
        <v>1900</v>
      </c>
      <c r="E231" s="48" t="str">
        <f t="shared" si="12"/>
        <v>4</v>
      </c>
      <c r="F231" s="49"/>
      <c r="I231" s="232"/>
    </row>
    <row r="232" spans="3:9">
      <c r="C232" s="234"/>
      <c r="D232" s="48">
        <f t="shared" si="11"/>
        <v>1900</v>
      </c>
      <c r="E232" s="48" t="str">
        <f t="shared" si="12"/>
        <v>4</v>
      </c>
      <c r="F232" s="49"/>
      <c r="I232" s="232"/>
    </row>
    <row r="233" spans="3:9">
      <c r="C233" s="234"/>
      <c r="D233" s="48">
        <f t="shared" si="11"/>
        <v>1900</v>
      </c>
      <c r="E233" s="48" t="str">
        <f t="shared" si="12"/>
        <v>4</v>
      </c>
      <c r="F233" s="49"/>
      <c r="I233" s="232"/>
    </row>
    <row r="234" spans="3:9">
      <c r="C234" s="234"/>
      <c r="D234" s="48">
        <f t="shared" si="11"/>
        <v>1900</v>
      </c>
      <c r="E234" s="48" t="str">
        <f t="shared" si="12"/>
        <v>4</v>
      </c>
      <c r="F234" s="49"/>
      <c r="I234" s="232"/>
    </row>
    <row r="235" spans="3:9">
      <c r="C235" s="234"/>
      <c r="D235" s="48">
        <f t="shared" si="11"/>
        <v>1900</v>
      </c>
      <c r="E235" s="48" t="str">
        <f t="shared" si="12"/>
        <v>4</v>
      </c>
      <c r="F235" s="49"/>
      <c r="I235" s="232"/>
    </row>
    <row r="236" spans="3:9">
      <c r="C236" s="234"/>
      <c r="D236" s="48">
        <f t="shared" si="11"/>
        <v>1900</v>
      </c>
      <c r="E236" s="48" t="str">
        <f t="shared" si="12"/>
        <v>4</v>
      </c>
      <c r="F236" s="49"/>
      <c r="I236" s="232"/>
    </row>
    <row r="237" spans="3:9">
      <c r="C237" s="234"/>
      <c r="D237" s="48">
        <f t="shared" si="11"/>
        <v>1900</v>
      </c>
      <c r="E237" s="48" t="str">
        <f t="shared" si="12"/>
        <v>4</v>
      </c>
      <c r="F237" s="49"/>
      <c r="I237" s="232"/>
    </row>
    <row r="238" spans="3:9">
      <c r="C238" s="234"/>
      <c r="D238" s="48">
        <f t="shared" si="11"/>
        <v>1900</v>
      </c>
      <c r="E238" s="48" t="str">
        <f t="shared" si="12"/>
        <v>4</v>
      </c>
      <c r="F238" s="49"/>
      <c r="I238" s="232"/>
    </row>
    <row r="239" spans="3:9">
      <c r="C239" s="234"/>
      <c r="D239" s="48">
        <f t="shared" si="11"/>
        <v>1900</v>
      </c>
      <c r="E239" s="48" t="str">
        <f t="shared" si="12"/>
        <v>4</v>
      </c>
      <c r="F239" s="49"/>
      <c r="I239" s="232"/>
    </row>
    <row r="240" spans="3:9">
      <c r="C240" s="234"/>
      <c r="D240" s="48">
        <f t="shared" si="11"/>
        <v>1900</v>
      </c>
      <c r="E240" s="48" t="str">
        <f t="shared" si="12"/>
        <v>4</v>
      </c>
      <c r="F240" s="49"/>
      <c r="I240" s="232"/>
    </row>
    <row r="241" spans="3:9">
      <c r="C241" s="234"/>
      <c r="D241" s="48">
        <f t="shared" si="11"/>
        <v>1900</v>
      </c>
      <c r="E241" s="48" t="str">
        <f t="shared" si="12"/>
        <v>4</v>
      </c>
      <c r="F241" s="49"/>
      <c r="I241" s="232"/>
    </row>
    <row r="242" spans="3:9">
      <c r="C242" s="234"/>
      <c r="D242" s="48">
        <f t="shared" si="11"/>
        <v>1900</v>
      </c>
      <c r="E242" s="48" t="str">
        <f t="shared" si="12"/>
        <v>4</v>
      </c>
      <c r="F242" s="49"/>
      <c r="I242" s="232"/>
    </row>
    <row r="243" spans="3:9">
      <c r="C243" s="234"/>
      <c r="D243" s="48">
        <f t="shared" si="11"/>
        <v>1900</v>
      </c>
      <c r="E243" s="48" t="str">
        <f t="shared" si="12"/>
        <v>4</v>
      </c>
      <c r="F243" s="49"/>
      <c r="I243" s="232"/>
    </row>
    <row r="244" spans="3:9">
      <c r="C244" s="234"/>
      <c r="D244" s="48">
        <f t="shared" si="11"/>
        <v>1900</v>
      </c>
      <c r="E244" s="48" t="str">
        <f t="shared" si="12"/>
        <v>4</v>
      </c>
      <c r="F244" s="49"/>
      <c r="I244" s="232"/>
    </row>
    <row r="245" spans="3:9">
      <c r="C245" s="234"/>
      <c r="D245" s="48">
        <f t="shared" si="11"/>
        <v>1900</v>
      </c>
      <c r="E245" s="48" t="str">
        <f t="shared" si="12"/>
        <v>4</v>
      </c>
      <c r="F245" s="49"/>
      <c r="I245" s="232"/>
    </row>
    <row r="246" spans="3:9">
      <c r="C246" s="234"/>
      <c r="D246" s="48">
        <f t="shared" si="11"/>
        <v>1900</v>
      </c>
      <c r="E246" s="48" t="str">
        <f t="shared" si="12"/>
        <v>4</v>
      </c>
      <c r="F246" s="49"/>
      <c r="I246" s="232"/>
    </row>
    <row r="247" spans="3:9">
      <c r="C247" s="234"/>
      <c r="D247" s="48">
        <f t="shared" si="11"/>
        <v>1900</v>
      </c>
      <c r="E247" s="48" t="str">
        <f t="shared" si="12"/>
        <v>4</v>
      </c>
      <c r="F247" s="49"/>
      <c r="I247" s="232"/>
    </row>
    <row r="248" spans="3:9">
      <c r="C248" s="234"/>
      <c r="D248" s="48">
        <f t="shared" si="11"/>
        <v>1900</v>
      </c>
      <c r="E248" s="48" t="str">
        <f t="shared" si="12"/>
        <v>4</v>
      </c>
      <c r="F248" s="49"/>
      <c r="I248" s="232"/>
    </row>
    <row r="249" spans="3:9">
      <c r="C249" s="234"/>
      <c r="D249" s="48">
        <f t="shared" si="11"/>
        <v>1900</v>
      </c>
      <c r="E249" s="48" t="str">
        <f t="shared" si="12"/>
        <v>4</v>
      </c>
      <c r="F249" s="49"/>
      <c r="I249" s="232"/>
    </row>
    <row r="250" spans="3:9">
      <c r="C250" s="234"/>
      <c r="D250" s="48">
        <f t="shared" si="11"/>
        <v>1900</v>
      </c>
      <c r="E250" s="48" t="str">
        <f t="shared" si="12"/>
        <v>4</v>
      </c>
      <c r="F250" s="49"/>
      <c r="I250" s="232"/>
    </row>
    <row r="251" spans="3:9">
      <c r="C251" s="234"/>
      <c r="D251" s="235"/>
      <c r="E251" s="235"/>
      <c r="F251" s="235"/>
    </row>
    <row r="252" spans="3:9">
      <c r="C252" s="234"/>
      <c r="D252" s="235"/>
      <c r="E252" s="235"/>
      <c r="F252" s="235"/>
    </row>
    <row r="253" spans="3:9">
      <c r="C253" s="234"/>
      <c r="D253" s="235"/>
      <c r="E253" s="235"/>
      <c r="F253" s="235"/>
    </row>
    <row r="254" spans="3:9">
      <c r="C254" s="234"/>
      <c r="D254" s="235"/>
      <c r="E254" s="235"/>
      <c r="F254" s="235"/>
    </row>
    <row r="255" spans="3:9">
      <c r="C255" s="234"/>
      <c r="D255" s="235"/>
      <c r="E255" s="235"/>
      <c r="F255" s="235"/>
    </row>
    <row r="256" spans="3:9">
      <c r="C256" s="234"/>
      <c r="D256" s="235"/>
      <c r="E256" s="235"/>
      <c r="F256" s="235"/>
    </row>
    <row r="257" spans="3:6">
      <c r="C257" s="234"/>
      <c r="D257" s="235"/>
      <c r="E257" s="235"/>
      <c r="F257" s="235"/>
    </row>
    <row r="258" spans="3:6">
      <c r="C258" s="234"/>
      <c r="D258" s="235"/>
      <c r="E258" s="235"/>
      <c r="F258" s="235"/>
    </row>
    <row r="259" spans="3:6">
      <c r="C259" s="234"/>
      <c r="D259" s="235"/>
      <c r="E259" s="235"/>
      <c r="F259" s="235"/>
    </row>
    <row r="260" spans="3:6">
      <c r="C260" s="234"/>
      <c r="D260" s="235"/>
      <c r="E260" s="235"/>
      <c r="F260" s="235"/>
    </row>
    <row r="261" spans="3:6">
      <c r="C261" s="234"/>
      <c r="D261" s="235"/>
      <c r="E261" s="235"/>
      <c r="F261" s="235"/>
    </row>
    <row r="262" spans="3:6">
      <c r="C262" s="234"/>
      <c r="D262" s="235"/>
      <c r="E262" s="235"/>
      <c r="F262" s="235"/>
    </row>
    <row r="263" spans="3:6">
      <c r="C263" s="234"/>
      <c r="D263" s="235"/>
      <c r="E263" s="235"/>
      <c r="F263" s="235"/>
    </row>
    <row r="264" spans="3:6">
      <c r="C264" s="234"/>
      <c r="D264" s="235"/>
      <c r="E264" s="235"/>
      <c r="F264" s="235"/>
    </row>
    <row r="265" spans="3:6">
      <c r="C265" s="234"/>
      <c r="D265" s="235"/>
      <c r="E265" s="235"/>
      <c r="F265" s="235"/>
    </row>
    <row r="266" spans="3:6">
      <c r="C266" s="234"/>
      <c r="D266" s="235"/>
      <c r="E266" s="235"/>
      <c r="F266" s="235"/>
    </row>
    <row r="267" spans="3:6">
      <c r="C267" s="234"/>
      <c r="D267" s="235"/>
      <c r="E267" s="235"/>
      <c r="F267" s="235"/>
    </row>
    <row r="268" spans="3:6">
      <c r="C268" s="234"/>
      <c r="D268" s="235"/>
      <c r="E268" s="235"/>
      <c r="F268" s="235"/>
    </row>
    <row r="269" spans="3:6">
      <c r="C269" s="234"/>
      <c r="D269" s="235"/>
      <c r="E269" s="235"/>
      <c r="F269" s="235"/>
    </row>
    <row r="270" spans="3:6">
      <c r="C270" s="234"/>
      <c r="D270" s="235"/>
      <c r="E270" s="235"/>
      <c r="F270" s="235"/>
    </row>
    <row r="271" spans="3:6">
      <c r="C271" s="234"/>
      <c r="D271" s="235"/>
      <c r="E271" s="235"/>
      <c r="F271" s="235"/>
    </row>
    <row r="272" spans="3:6">
      <c r="C272" s="234"/>
      <c r="D272" s="235"/>
      <c r="E272" s="235"/>
      <c r="F272" s="235"/>
    </row>
    <row r="273" spans="3:6">
      <c r="C273" s="234"/>
      <c r="D273" s="235"/>
      <c r="E273" s="235"/>
      <c r="F273" s="235"/>
    </row>
    <row r="274" spans="3:6">
      <c r="C274" s="234"/>
      <c r="D274" s="235"/>
      <c r="E274" s="235"/>
      <c r="F274" s="235"/>
    </row>
    <row r="275" spans="3:6">
      <c r="C275" s="234"/>
      <c r="D275" s="235"/>
      <c r="E275" s="235"/>
      <c r="F275" s="235"/>
    </row>
    <row r="276" spans="3:6">
      <c r="C276" s="234"/>
      <c r="D276" s="235"/>
      <c r="E276" s="235"/>
      <c r="F276" s="235"/>
    </row>
    <row r="277" spans="3:6">
      <c r="C277" s="234"/>
      <c r="D277" s="235"/>
      <c r="E277" s="235"/>
      <c r="F277" s="235"/>
    </row>
    <row r="278" spans="3:6">
      <c r="C278" s="234"/>
      <c r="D278" s="235"/>
      <c r="E278" s="235"/>
      <c r="F278" s="235"/>
    </row>
    <row r="279" spans="3:6">
      <c r="C279" s="234"/>
      <c r="D279" s="235"/>
      <c r="E279" s="235"/>
      <c r="F279" s="235"/>
    </row>
    <row r="280" spans="3:6">
      <c r="C280" s="234"/>
      <c r="D280" s="235"/>
      <c r="E280" s="235"/>
      <c r="F280" s="235"/>
    </row>
    <row r="281" spans="3:6">
      <c r="C281" s="234"/>
      <c r="D281" s="235"/>
      <c r="E281" s="235"/>
      <c r="F281" s="235"/>
    </row>
    <row r="282" spans="3:6">
      <c r="C282" s="234"/>
      <c r="D282" s="235"/>
      <c r="E282" s="235"/>
      <c r="F282" s="235"/>
    </row>
    <row r="283" spans="3:6">
      <c r="C283" s="234"/>
      <c r="D283" s="235"/>
      <c r="E283" s="235"/>
      <c r="F283" s="235"/>
    </row>
    <row r="284" spans="3:6">
      <c r="C284" s="234"/>
      <c r="D284" s="235"/>
      <c r="E284" s="235"/>
      <c r="F284" s="235"/>
    </row>
    <row r="285" spans="3:6">
      <c r="C285" s="234"/>
      <c r="D285" s="235"/>
      <c r="E285" s="235"/>
      <c r="F285" s="235"/>
    </row>
    <row r="286" spans="3:6">
      <c r="C286" s="234"/>
      <c r="D286" s="235"/>
      <c r="E286" s="235"/>
      <c r="F286" s="235"/>
    </row>
    <row r="287" spans="3:6">
      <c r="C287" s="234"/>
      <c r="D287" s="235"/>
      <c r="E287" s="235"/>
      <c r="F287" s="235"/>
    </row>
    <row r="288" spans="3:6">
      <c r="C288" s="234"/>
      <c r="D288" s="235"/>
      <c r="E288" s="235"/>
      <c r="F288" s="235"/>
    </row>
    <row r="289" spans="3:6">
      <c r="C289" s="234"/>
      <c r="D289" s="235"/>
      <c r="E289" s="235"/>
      <c r="F289" s="235"/>
    </row>
    <row r="290" spans="3:6">
      <c r="C290" s="234"/>
      <c r="D290" s="235"/>
      <c r="E290" s="235"/>
      <c r="F290" s="235"/>
    </row>
    <row r="291" spans="3:6">
      <c r="C291" s="234"/>
      <c r="D291" s="235"/>
      <c r="E291" s="235"/>
      <c r="F291" s="235"/>
    </row>
    <row r="292" spans="3:6">
      <c r="C292" s="234"/>
      <c r="D292" s="235"/>
      <c r="E292" s="235"/>
      <c r="F292" s="235"/>
    </row>
    <row r="293" spans="3:6">
      <c r="C293" s="234"/>
      <c r="D293" s="235"/>
      <c r="E293" s="235"/>
      <c r="F293" s="235"/>
    </row>
    <row r="294" spans="3:6">
      <c r="C294" s="234"/>
      <c r="D294" s="235"/>
      <c r="E294" s="235"/>
      <c r="F294" s="235"/>
    </row>
    <row r="295" spans="3:6">
      <c r="C295" s="234"/>
      <c r="D295" s="235"/>
      <c r="E295" s="235"/>
      <c r="F295" s="235"/>
    </row>
    <row r="296" spans="3:6">
      <c r="C296" s="234"/>
      <c r="D296" s="235"/>
      <c r="E296" s="235"/>
      <c r="F296" s="235"/>
    </row>
    <row r="297" spans="3:6">
      <c r="C297" s="234"/>
      <c r="D297" s="235"/>
      <c r="E297" s="235"/>
      <c r="F297" s="235"/>
    </row>
    <row r="298" spans="3:6">
      <c r="C298" s="234"/>
      <c r="D298" s="235"/>
      <c r="E298" s="235"/>
      <c r="F298" s="235"/>
    </row>
    <row r="299" spans="3:6">
      <c r="C299" s="234"/>
      <c r="D299" s="235"/>
      <c r="E299" s="235"/>
      <c r="F299" s="235"/>
    </row>
    <row r="300" spans="3:6">
      <c r="C300" s="234"/>
      <c r="D300" s="235"/>
      <c r="E300" s="235"/>
      <c r="F300" s="235"/>
    </row>
    <row r="301" spans="3:6">
      <c r="C301" s="234"/>
      <c r="D301" s="235"/>
      <c r="E301" s="235"/>
      <c r="F301" s="235"/>
    </row>
    <row r="302" spans="3:6">
      <c r="C302" s="234"/>
      <c r="D302" s="235"/>
      <c r="E302" s="235"/>
      <c r="F302" s="235"/>
    </row>
    <row r="303" spans="3:6">
      <c r="C303" s="234"/>
      <c r="D303" s="235"/>
      <c r="E303" s="235"/>
      <c r="F303" s="235"/>
    </row>
    <row r="304" spans="3:6">
      <c r="C304" s="234"/>
      <c r="D304" s="235"/>
      <c r="E304" s="235"/>
      <c r="F304" s="235"/>
    </row>
    <row r="305" spans="3:6">
      <c r="C305" s="234"/>
      <c r="D305" s="235"/>
      <c r="E305" s="235"/>
      <c r="F305" s="235"/>
    </row>
    <row r="306" spans="3:6">
      <c r="C306" s="234"/>
      <c r="D306" s="235"/>
      <c r="E306" s="235"/>
      <c r="F306" s="235"/>
    </row>
    <row r="307" spans="3:6">
      <c r="C307" s="234"/>
      <c r="D307" s="235"/>
      <c r="E307" s="235"/>
      <c r="F307" s="235"/>
    </row>
    <row r="308" spans="3:6">
      <c r="C308" s="234"/>
      <c r="D308" s="235"/>
      <c r="E308" s="235"/>
      <c r="F308" s="235"/>
    </row>
    <row r="309" spans="3:6">
      <c r="C309" s="234"/>
      <c r="D309" s="235"/>
      <c r="E309" s="235"/>
      <c r="F309" s="235"/>
    </row>
    <row r="310" spans="3:6">
      <c r="C310" s="234"/>
      <c r="D310" s="235"/>
      <c r="E310" s="235"/>
      <c r="F310" s="235"/>
    </row>
    <row r="311" spans="3:6">
      <c r="C311" s="234"/>
      <c r="D311" s="235"/>
      <c r="E311" s="235"/>
      <c r="F311" s="235"/>
    </row>
    <row r="312" spans="3:6">
      <c r="C312" s="234"/>
      <c r="D312" s="235"/>
      <c r="E312" s="235"/>
      <c r="F312" s="235"/>
    </row>
    <row r="313" spans="3:6">
      <c r="C313" s="234"/>
      <c r="D313" s="235"/>
      <c r="E313" s="235"/>
      <c r="F313" s="235"/>
    </row>
    <row r="314" spans="3:6">
      <c r="C314" s="234"/>
      <c r="D314" s="235"/>
      <c r="E314" s="235"/>
      <c r="F314" s="235"/>
    </row>
    <row r="315" spans="3:6">
      <c r="C315" s="234"/>
      <c r="D315" s="235"/>
      <c r="E315" s="235"/>
      <c r="F315" s="235"/>
    </row>
    <row r="316" spans="3:6">
      <c r="C316" s="234"/>
      <c r="D316" s="235"/>
      <c r="E316" s="235"/>
      <c r="F316" s="235"/>
    </row>
    <row r="317" spans="3:6">
      <c r="C317" s="234"/>
      <c r="D317" s="235"/>
      <c r="E317" s="235"/>
      <c r="F317" s="235"/>
    </row>
    <row r="318" spans="3:6">
      <c r="C318" s="234"/>
      <c r="D318" s="235"/>
      <c r="E318" s="235"/>
      <c r="F318" s="235"/>
    </row>
    <row r="319" spans="3:6">
      <c r="C319" s="234"/>
      <c r="D319" s="235"/>
      <c r="E319" s="235"/>
      <c r="F319" s="235"/>
    </row>
    <row r="320" spans="3:6">
      <c r="C320" s="234"/>
      <c r="D320" s="235"/>
      <c r="E320" s="235"/>
      <c r="F320" s="235"/>
    </row>
    <row r="321" spans="3:6">
      <c r="C321" s="234"/>
      <c r="D321" s="235"/>
      <c r="E321" s="235"/>
      <c r="F321" s="235"/>
    </row>
    <row r="322" spans="3:6">
      <c r="C322" s="234"/>
      <c r="D322" s="235"/>
      <c r="E322" s="235"/>
      <c r="F322" s="235"/>
    </row>
    <row r="323" spans="3:6">
      <c r="C323" s="234"/>
      <c r="D323" s="235"/>
      <c r="E323" s="235"/>
      <c r="F323" s="235"/>
    </row>
    <row r="324" spans="3:6">
      <c r="C324" s="234"/>
      <c r="D324" s="235"/>
      <c r="E324" s="235"/>
      <c r="F324" s="235"/>
    </row>
    <row r="325" spans="3:6">
      <c r="C325" s="234"/>
      <c r="D325" s="235"/>
      <c r="E325" s="235"/>
      <c r="F325" s="235"/>
    </row>
    <row r="326" spans="3:6">
      <c r="C326" s="234"/>
      <c r="D326" s="235"/>
      <c r="E326" s="235"/>
      <c r="F326" s="235"/>
    </row>
    <row r="327" spans="3:6">
      <c r="C327" s="234"/>
      <c r="D327" s="235"/>
      <c r="E327" s="235"/>
      <c r="F327" s="235"/>
    </row>
    <row r="328" spans="3:6">
      <c r="C328" s="234"/>
      <c r="D328" s="235"/>
      <c r="E328" s="235"/>
      <c r="F328" s="235"/>
    </row>
    <row r="329" spans="3:6">
      <c r="C329" s="234"/>
      <c r="D329" s="235"/>
      <c r="E329" s="235"/>
      <c r="F329" s="235"/>
    </row>
    <row r="330" spans="3:6">
      <c r="C330" s="234"/>
      <c r="D330" s="235"/>
      <c r="E330" s="235"/>
      <c r="F330" s="235"/>
    </row>
    <row r="331" spans="3:6">
      <c r="C331" s="234"/>
      <c r="D331" s="235"/>
      <c r="E331" s="235"/>
      <c r="F331" s="235"/>
    </row>
    <row r="332" spans="3:6">
      <c r="C332" s="234"/>
      <c r="D332" s="235"/>
      <c r="E332" s="235"/>
      <c r="F332" s="235"/>
    </row>
    <row r="333" spans="3:6">
      <c r="C333" s="234"/>
      <c r="D333" s="235"/>
      <c r="E333" s="235"/>
      <c r="F333" s="235"/>
    </row>
    <row r="334" spans="3:6">
      <c r="C334" s="234"/>
      <c r="D334" s="235"/>
      <c r="E334" s="235"/>
      <c r="F334" s="235"/>
    </row>
    <row r="335" spans="3:6">
      <c r="C335" s="234"/>
      <c r="D335" s="235"/>
      <c r="E335" s="235"/>
      <c r="F335" s="235"/>
    </row>
    <row r="336" spans="3:6">
      <c r="C336" s="234"/>
      <c r="D336" s="235"/>
      <c r="E336" s="235"/>
      <c r="F336" s="235"/>
    </row>
    <row r="337" spans="3:6">
      <c r="C337" s="234"/>
      <c r="D337" s="235"/>
      <c r="E337" s="235"/>
      <c r="F337" s="235"/>
    </row>
    <row r="338" spans="3:6">
      <c r="C338" s="234"/>
      <c r="D338" s="235"/>
      <c r="E338" s="235"/>
      <c r="F338" s="235"/>
    </row>
    <row r="339" spans="3:6">
      <c r="C339" s="234"/>
      <c r="D339" s="235"/>
      <c r="E339" s="235"/>
      <c r="F339" s="235"/>
    </row>
    <row r="340" spans="3:6">
      <c r="C340" s="234"/>
      <c r="D340" s="235"/>
      <c r="E340" s="235"/>
      <c r="F340" s="235"/>
    </row>
    <row r="341" spans="3:6">
      <c r="C341" s="234"/>
      <c r="D341" s="235"/>
      <c r="E341" s="235"/>
      <c r="F341" s="235"/>
    </row>
    <row r="342" spans="3:6">
      <c r="C342" s="234"/>
      <c r="D342" s="235"/>
      <c r="E342" s="235"/>
      <c r="F342" s="235"/>
    </row>
    <row r="343" spans="3:6">
      <c r="C343" s="234"/>
      <c r="D343" s="235"/>
      <c r="E343" s="235"/>
      <c r="F343" s="235"/>
    </row>
    <row r="344" spans="3:6">
      <c r="C344" s="234"/>
      <c r="D344" s="235"/>
      <c r="E344" s="235"/>
      <c r="F344" s="235"/>
    </row>
    <row r="345" spans="3:6">
      <c r="C345" s="234"/>
      <c r="D345" s="235"/>
      <c r="E345" s="235"/>
      <c r="F345" s="235"/>
    </row>
    <row r="346" spans="3:6">
      <c r="C346" s="234"/>
      <c r="D346" s="235"/>
      <c r="E346" s="235"/>
      <c r="F346" s="235"/>
    </row>
    <row r="347" spans="3:6">
      <c r="C347" s="234"/>
      <c r="D347" s="235"/>
      <c r="E347" s="235"/>
      <c r="F347" s="235"/>
    </row>
    <row r="348" spans="3:6">
      <c r="C348" s="234"/>
      <c r="D348" s="235"/>
      <c r="E348" s="235"/>
      <c r="F348" s="235"/>
    </row>
    <row r="349" spans="3:6">
      <c r="C349" s="234"/>
      <c r="D349" s="235"/>
      <c r="E349" s="235"/>
      <c r="F349" s="235"/>
    </row>
    <row r="350" spans="3:6">
      <c r="C350" s="234"/>
      <c r="D350" s="235"/>
      <c r="E350" s="235"/>
      <c r="F350" s="235"/>
    </row>
    <row r="351" spans="3:6">
      <c r="C351" s="234"/>
      <c r="D351" s="235"/>
      <c r="E351" s="235"/>
      <c r="F351" s="235"/>
    </row>
    <row r="352" spans="3:6">
      <c r="C352" s="234"/>
      <c r="D352" s="235"/>
      <c r="E352" s="235"/>
      <c r="F352" s="235"/>
    </row>
    <row r="353" spans="3:6">
      <c r="C353" s="234"/>
      <c r="D353" s="235"/>
      <c r="E353" s="235"/>
      <c r="F353" s="235"/>
    </row>
    <row r="354" spans="3:6">
      <c r="C354" s="234"/>
      <c r="D354" s="235"/>
      <c r="E354" s="235"/>
      <c r="F354" s="235"/>
    </row>
    <row r="355" spans="3:6">
      <c r="C355" s="234"/>
      <c r="D355" s="235"/>
      <c r="E355" s="235"/>
      <c r="F355" s="235"/>
    </row>
    <row r="356" spans="3:6">
      <c r="C356" s="234"/>
      <c r="D356" s="235"/>
      <c r="E356" s="235"/>
      <c r="F356" s="235"/>
    </row>
    <row r="357" spans="3:6">
      <c r="C357" s="234"/>
      <c r="D357" s="235"/>
      <c r="E357" s="235"/>
      <c r="F357" s="235"/>
    </row>
    <row r="358" spans="3:6">
      <c r="C358" s="234"/>
      <c r="D358" s="235"/>
      <c r="E358" s="235"/>
      <c r="F358" s="235"/>
    </row>
    <row r="359" spans="3:6">
      <c r="C359" s="234"/>
      <c r="D359" s="235"/>
      <c r="E359" s="235"/>
      <c r="F359" s="235"/>
    </row>
    <row r="360" spans="3:6">
      <c r="C360" s="234"/>
      <c r="D360" s="235"/>
      <c r="E360" s="235"/>
      <c r="F360" s="235"/>
    </row>
    <row r="361" spans="3:6">
      <c r="C361" s="234"/>
      <c r="D361" s="235"/>
      <c r="E361" s="235"/>
      <c r="F361" s="235"/>
    </row>
    <row r="362" spans="3:6">
      <c r="C362" s="234"/>
      <c r="D362" s="235"/>
      <c r="E362" s="235"/>
      <c r="F362" s="235"/>
    </row>
    <row r="363" spans="3:6">
      <c r="C363" s="234"/>
      <c r="D363" s="235"/>
      <c r="E363" s="235"/>
      <c r="F363" s="235"/>
    </row>
    <row r="364" spans="3:6">
      <c r="C364" s="234"/>
      <c r="D364" s="235"/>
      <c r="E364" s="235"/>
      <c r="F364" s="235"/>
    </row>
    <row r="365" spans="3:6">
      <c r="C365" s="234"/>
      <c r="D365" s="235"/>
      <c r="E365" s="235"/>
      <c r="F365" s="235"/>
    </row>
    <row r="366" spans="3:6">
      <c r="C366" s="234"/>
      <c r="D366" s="235"/>
      <c r="E366" s="235"/>
      <c r="F366" s="235"/>
    </row>
    <row r="367" spans="3:6">
      <c r="C367" s="234"/>
      <c r="D367" s="235"/>
      <c r="E367" s="235"/>
      <c r="F367" s="235"/>
    </row>
    <row r="368" spans="3:6">
      <c r="C368" s="234"/>
      <c r="D368" s="235"/>
      <c r="E368" s="235"/>
      <c r="F368" s="235"/>
    </row>
    <row r="369" spans="3:6">
      <c r="C369" s="234"/>
      <c r="D369" s="235"/>
      <c r="E369" s="235"/>
      <c r="F369" s="235"/>
    </row>
    <row r="370" spans="3:6">
      <c r="C370" s="234"/>
      <c r="D370" s="235"/>
      <c r="E370" s="235"/>
      <c r="F370" s="235"/>
    </row>
    <row r="371" spans="3:6">
      <c r="C371" s="234"/>
      <c r="D371" s="235"/>
      <c r="E371" s="235"/>
      <c r="F371" s="235"/>
    </row>
    <row r="372" spans="3:6">
      <c r="C372" s="234"/>
      <c r="D372" s="235"/>
      <c r="E372" s="235"/>
      <c r="F372" s="235"/>
    </row>
    <row r="373" spans="3:6">
      <c r="C373" s="234"/>
      <c r="D373" s="235"/>
      <c r="E373" s="235"/>
      <c r="F373" s="235"/>
    </row>
    <row r="374" spans="3:6">
      <c r="C374" s="234"/>
      <c r="D374" s="235"/>
      <c r="E374" s="235"/>
      <c r="F374" s="235"/>
    </row>
    <row r="375" spans="3:6">
      <c r="C375" s="234"/>
      <c r="D375" s="235"/>
      <c r="E375" s="235"/>
      <c r="F375" s="235"/>
    </row>
    <row r="376" spans="3:6">
      <c r="C376" s="234"/>
      <c r="D376" s="235"/>
      <c r="E376" s="235"/>
      <c r="F376" s="235"/>
    </row>
    <row r="377" spans="3:6">
      <c r="C377" s="234"/>
      <c r="D377" s="235"/>
      <c r="E377" s="235"/>
      <c r="F377" s="235"/>
    </row>
    <row r="378" spans="3:6">
      <c r="C378" s="234"/>
      <c r="D378" s="235"/>
      <c r="E378" s="235"/>
      <c r="F378" s="235"/>
    </row>
    <row r="379" spans="3:6">
      <c r="C379" s="234"/>
      <c r="D379" s="235"/>
      <c r="E379" s="235"/>
      <c r="F379" s="235"/>
    </row>
    <row r="380" spans="3:6">
      <c r="C380" s="234"/>
      <c r="D380" s="235"/>
      <c r="E380" s="235"/>
      <c r="F380" s="235"/>
    </row>
    <row r="381" spans="3:6">
      <c r="C381" s="234"/>
      <c r="D381" s="235"/>
      <c r="E381" s="235"/>
      <c r="F381" s="235"/>
    </row>
    <row r="382" spans="3:6">
      <c r="C382" s="234"/>
      <c r="D382" s="235"/>
      <c r="E382" s="235"/>
      <c r="F382" s="235"/>
    </row>
    <row r="383" spans="3:6">
      <c r="C383" s="234"/>
      <c r="D383" s="235"/>
      <c r="E383" s="235"/>
      <c r="F383" s="235"/>
    </row>
    <row r="384" spans="3:6">
      <c r="C384" s="234"/>
      <c r="D384" s="235"/>
      <c r="E384" s="235"/>
      <c r="F384" s="235"/>
    </row>
    <row r="385" spans="3:6">
      <c r="C385" s="234"/>
      <c r="D385" s="235"/>
      <c r="E385" s="235"/>
      <c r="F385" s="235"/>
    </row>
    <row r="386" spans="3:6">
      <c r="C386" s="234"/>
      <c r="D386" s="235"/>
      <c r="E386" s="235"/>
      <c r="F386" s="235"/>
    </row>
    <row r="387" spans="3:6">
      <c r="C387" s="234"/>
      <c r="D387" s="235"/>
      <c r="E387" s="235"/>
      <c r="F387" s="235"/>
    </row>
    <row r="388" spans="3:6">
      <c r="C388" s="234"/>
      <c r="D388" s="235"/>
      <c r="E388" s="235"/>
      <c r="F388" s="235"/>
    </row>
    <row r="389" spans="3:6">
      <c r="C389" s="234"/>
      <c r="D389" s="235"/>
      <c r="E389" s="235"/>
      <c r="F389" s="235"/>
    </row>
    <row r="390" spans="3:6">
      <c r="C390" s="234"/>
      <c r="D390" s="235"/>
      <c r="E390" s="235"/>
      <c r="F390" s="235"/>
    </row>
    <row r="391" spans="3:6">
      <c r="C391" s="234"/>
      <c r="D391" s="235"/>
      <c r="E391" s="235"/>
      <c r="F391" s="235"/>
    </row>
    <row r="392" spans="3:6">
      <c r="C392" s="234"/>
      <c r="D392" s="235"/>
      <c r="E392" s="235"/>
      <c r="F392" s="235"/>
    </row>
    <row r="393" spans="3:6">
      <c r="C393" s="234"/>
      <c r="D393" s="235"/>
      <c r="E393" s="235"/>
      <c r="F393" s="235"/>
    </row>
    <row r="394" spans="3:6">
      <c r="C394" s="234"/>
      <c r="D394" s="235"/>
      <c r="E394" s="235"/>
      <c r="F394" s="235"/>
    </row>
    <row r="395" spans="3:6">
      <c r="C395" s="234"/>
      <c r="D395" s="235"/>
      <c r="E395" s="235"/>
      <c r="F395" s="235"/>
    </row>
    <row r="396" spans="3:6">
      <c r="C396" s="234"/>
      <c r="D396" s="235"/>
      <c r="E396" s="235"/>
      <c r="F396" s="235"/>
    </row>
    <row r="397" spans="3:6">
      <c r="C397" s="234"/>
      <c r="D397" s="235"/>
      <c r="E397" s="235"/>
      <c r="F397" s="235"/>
    </row>
    <row r="398" spans="3:6">
      <c r="C398" s="234"/>
      <c r="D398" s="235"/>
      <c r="E398" s="235"/>
      <c r="F398" s="235"/>
    </row>
    <row r="399" spans="3:6">
      <c r="C399" s="234"/>
      <c r="D399" s="235"/>
      <c r="E399" s="235"/>
      <c r="F399" s="235"/>
    </row>
    <row r="400" spans="3:6">
      <c r="C400" s="234"/>
      <c r="D400" s="235"/>
      <c r="E400" s="235"/>
      <c r="F400" s="235"/>
    </row>
    <row r="401" spans="3:6">
      <c r="C401" s="234"/>
      <c r="D401" s="235"/>
      <c r="E401" s="235"/>
      <c r="F401" s="235"/>
    </row>
    <row r="402" spans="3:6">
      <c r="C402" s="234"/>
      <c r="D402" s="235"/>
      <c r="E402" s="235"/>
      <c r="F402" s="235"/>
    </row>
    <row r="403" spans="3:6">
      <c r="C403" s="234"/>
      <c r="D403" s="235"/>
      <c r="E403" s="235"/>
      <c r="F403" s="235"/>
    </row>
    <row r="404" spans="3:6">
      <c r="C404" s="234"/>
      <c r="D404" s="235"/>
      <c r="E404" s="235"/>
      <c r="F404" s="235"/>
    </row>
    <row r="405" spans="3:6">
      <c r="C405" s="234"/>
      <c r="D405" s="235"/>
      <c r="E405" s="235"/>
      <c r="F405" s="235"/>
    </row>
    <row r="406" spans="3:6">
      <c r="C406" s="234"/>
      <c r="D406" s="235"/>
      <c r="E406" s="235"/>
      <c r="F406" s="235"/>
    </row>
    <row r="407" spans="3:6">
      <c r="C407" s="234"/>
      <c r="D407" s="235"/>
      <c r="E407" s="235"/>
      <c r="F407" s="235"/>
    </row>
    <row r="408" spans="3:6">
      <c r="C408" s="234"/>
      <c r="D408" s="235"/>
      <c r="E408" s="235"/>
      <c r="F408" s="235"/>
    </row>
    <row r="409" spans="3:6">
      <c r="C409" s="234"/>
      <c r="D409" s="235"/>
      <c r="E409" s="235"/>
      <c r="F409" s="235"/>
    </row>
    <row r="410" spans="3:6">
      <c r="C410" s="234"/>
      <c r="D410" s="235"/>
      <c r="E410" s="235"/>
      <c r="F410" s="235"/>
    </row>
    <row r="411" spans="3:6">
      <c r="C411" s="234"/>
      <c r="D411" s="235"/>
      <c r="E411" s="235"/>
      <c r="F411" s="235"/>
    </row>
    <row r="412" spans="3:6">
      <c r="C412" s="234"/>
      <c r="D412" s="235"/>
      <c r="E412" s="235"/>
      <c r="F412" s="235"/>
    </row>
    <row r="413" spans="3:6">
      <c r="C413" s="234"/>
      <c r="D413" s="235"/>
      <c r="E413" s="235"/>
      <c r="F413" s="235"/>
    </row>
    <row r="414" spans="3:6">
      <c r="C414" s="234"/>
      <c r="D414" s="235"/>
      <c r="E414" s="235"/>
      <c r="F414" s="235"/>
    </row>
    <row r="415" spans="3:6">
      <c r="C415" s="234"/>
      <c r="D415" s="235"/>
      <c r="E415" s="235"/>
      <c r="F415" s="235"/>
    </row>
    <row r="416" spans="3:6">
      <c r="C416" s="234"/>
      <c r="D416" s="235"/>
      <c r="E416" s="235"/>
      <c r="F416" s="235"/>
    </row>
    <row r="417" spans="3:6">
      <c r="C417" s="234"/>
      <c r="D417" s="235"/>
      <c r="E417" s="235"/>
      <c r="F417" s="235"/>
    </row>
    <row r="418" spans="3:6">
      <c r="C418" s="234"/>
      <c r="D418" s="235"/>
      <c r="E418" s="235"/>
      <c r="F418" s="235"/>
    </row>
    <row r="419" spans="3:6">
      <c r="C419" s="234"/>
      <c r="D419" s="235"/>
      <c r="E419" s="235"/>
      <c r="F419" s="235"/>
    </row>
    <row r="420" spans="3:6">
      <c r="C420" s="234"/>
      <c r="D420" s="235"/>
      <c r="E420" s="235"/>
      <c r="F420" s="235"/>
    </row>
    <row r="421" spans="3:6">
      <c r="C421" s="234"/>
      <c r="D421" s="235"/>
      <c r="E421" s="235"/>
      <c r="F421" s="235"/>
    </row>
    <row r="422" spans="3:6">
      <c r="C422" s="234"/>
      <c r="D422" s="235"/>
      <c r="E422" s="235"/>
      <c r="F422" s="235"/>
    </row>
    <row r="423" spans="3:6">
      <c r="C423" s="234"/>
      <c r="D423" s="235"/>
      <c r="E423" s="235"/>
      <c r="F423" s="235"/>
    </row>
    <row r="424" spans="3:6">
      <c r="C424" s="234"/>
      <c r="D424" s="235"/>
      <c r="E424" s="235"/>
      <c r="F424" s="235"/>
    </row>
    <row r="425" spans="3:6">
      <c r="C425" s="234"/>
      <c r="D425" s="235"/>
      <c r="E425" s="235"/>
      <c r="F425" s="235"/>
    </row>
    <row r="426" spans="3:6">
      <c r="C426" s="234"/>
      <c r="D426" s="235"/>
      <c r="E426" s="235"/>
      <c r="F426" s="235"/>
    </row>
    <row r="427" spans="3:6">
      <c r="C427" s="234"/>
      <c r="D427" s="235"/>
      <c r="E427" s="235"/>
      <c r="F427" s="235"/>
    </row>
    <row r="428" spans="3:6">
      <c r="C428" s="234"/>
      <c r="D428" s="235"/>
      <c r="E428" s="235"/>
      <c r="F428" s="235"/>
    </row>
    <row r="429" spans="3:6">
      <c r="C429" s="234"/>
      <c r="D429" s="235"/>
      <c r="E429" s="235"/>
      <c r="F429" s="235"/>
    </row>
    <row r="430" spans="3:6">
      <c r="C430" s="234"/>
      <c r="D430" s="235"/>
      <c r="E430" s="235"/>
      <c r="F430" s="235"/>
    </row>
    <row r="431" spans="3:6">
      <c r="C431" s="234"/>
      <c r="D431" s="235"/>
      <c r="E431" s="235"/>
      <c r="F431" s="235"/>
    </row>
    <row r="432" spans="3:6">
      <c r="C432" s="234"/>
      <c r="D432" s="235"/>
      <c r="E432" s="235"/>
      <c r="F432" s="235"/>
    </row>
    <row r="433" spans="3:6">
      <c r="C433" s="234"/>
      <c r="D433" s="235"/>
      <c r="E433" s="235"/>
      <c r="F433" s="235"/>
    </row>
    <row r="434" spans="3:6">
      <c r="C434" s="234"/>
      <c r="D434" s="235"/>
      <c r="E434" s="235"/>
      <c r="F434" s="235"/>
    </row>
    <row r="435" spans="3:6">
      <c r="C435" s="234"/>
      <c r="D435" s="235"/>
      <c r="E435" s="235"/>
      <c r="F435" s="235"/>
    </row>
    <row r="436" spans="3:6">
      <c r="C436" s="234"/>
      <c r="D436" s="235"/>
      <c r="E436" s="235"/>
      <c r="F436" s="235"/>
    </row>
    <row r="437" spans="3:6">
      <c r="C437" s="234"/>
      <c r="D437" s="235"/>
      <c r="E437" s="235"/>
      <c r="F437" s="235"/>
    </row>
    <row r="438" spans="3:6">
      <c r="C438" s="234"/>
      <c r="D438" s="235"/>
      <c r="E438" s="235"/>
      <c r="F438" s="235"/>
    </row>
    <row r="439" spans="3:6">
      <c r="C439" s="234"/>
      <c r="D439" s="235"/>
      <c r="E439" s="235"/>
      <c r="F439" s="235"/>
    </row>
    <row r="440" spans="3:6">
      <c r="C440" s="234"/>
      <c r="D440" s="235"/>
      <c r="E440" s="235"/>
      <c r="F440" s="235"/>
    </row>
    <row r="441" spans="3:6">
      <c r="C441" s="234"/>
      <c r="D441" s="235"/>
      <c r="E441" s="235"/>
      <c r="F441" s="235"/>
    </row>
    <row r="442" spans="3:6">
      <c r="C442" s="234"/>
      <c r="D442" s="235"/>
      <c r="E442" s="235"/>
      <c r="F442" s="235"/>
    </row>
    <row r="443" spans="3:6">
      <c r="C443" s="234"/>
      <c r="D443" s="235"/>
      <c r="E443" s="235"/>
      <c r="F443" s="235"/>
    </row>
    <row r="444" spans="3:6">
      <c r="C444" s="234"/>
      <c r="D444" s="235"/>
      <c r="E444" s="235"/>
      <c r="F444" s="235"/>
    </row>
    <row r="445" spans="3:6">
      <c r="C445" s="234"/>
      <c r="D445" s="235"/>
      <c r="E445" s="235"/>
      <c r="F445" s="235"/>
    </row>
    <row r="446" spans="3:6">
      <c r="C446" s="234"/>
      <c r="D446" s="235"/>
      <c r="E446" s="235"/>
      <c r="F446" s="235"/>
    </row>
    <row r="447" spans="3:6">
      <c r="C447" s="234"/>
      <c r="D447" s="235"/>
      <c r="E447" s="235"/>
      <c r="F447" s="235"/>
    </row>
    <row r="448" spans="3:6">
      <c r="C448" s="234"/>
      <c r="D448" s="235"/>
      <c r="E448" s="235"/>
      <c r="F448" s="235"/>
    </row>
    <row r="449" spans="3:6">
      <c r="C449" s="234"/>
      <c r="D449" s="235"/>
      <c r="E449" s="235"/>
      <c r="F449" s="235"/>
    </row>
    <row r="450" spans="3:6">
      <c r="C450" s="234"/>
      <c r="D450" s="235"/>
      <c r="E450" s="235"/>
      <c r="F450" s="235"/>
    </row>
    <row r="451" spans="3:6">
      <c r="C451" s="234"/>
      <c r="D451" s="235"/>
      <c r="E451" s="235"/>
      <c r="F451" s="235"/>
    </row>
    <row r="452" spans="3:6">
      <c r="C452" s="234"/>
      <c r="D452" s="235"/>
      <c r="E452" s="235"/>
      <c r="F452" s="235"/>
    </row>
    <row r="453" spans="3:6">
      <c r="C453" s="234"/>
      <c r="D453" s="235"/>
      <c r="E453" s="235"/>
      <c r="F453" s="235"/>
    </row>
    <row r="454" spans="3:6">
      <c r="C454" s="234"/>
      <c r="D454" s="235"/>
      <c r="E454" s="235"/>
      <c r="F454" s="235"/>
    </row>
    <row r="455" spans="3:6">
      <c r="C455" s="234"/>
      <c r="D455" s="235"/>
      <c r="E455" s="235"/>
      <c r="F455" s="235"/>
    </row>
    <row r="456" spans="3:6">
      <c r="C456" s="234"/>
      <c r="D456" s="235"/>
      <c r="E456" s="235"/>
      <c r="F456" s="235"/>
    </row>
    <row r="457" spans="3:6">
      <c r="C457" s="234"/>
      <c r="D457" s="235"/>
      <c r="E457" s="235"/>
      <c r="F457" s="235"/>
    </row>
    <row r="458" spans="3:6">
      <c r="C458" s="234"/>
      <c r="D458" s="235"/>
      <c r="E458" s="235"/>
      <c r="F458" s="235"/>
    </row>
    <row r="459" spans="3:6">
      <c r="C459" s="234"/>
      <c r="D459" s="235"/>
      <c r="E459" s="235"/>
      <c r="F459" s="235"/>
    </row>
    <row r="460" spans="3:6">
      <c r="C460" s="234"/>
      <c r="D460" s="235"/>
      <c r="E460" s="235"/>
      <c r="F460" s="235"/>
    </row>
    <row r="461" spans="3:6">
      <c r="C461" s="234"/>
      <c r="D461" s="235"/>
      <c r="E461" s="235"/>
      <c r="F461" s="235"/>
    </row>
    <row r="462" spans="3:6">
      <c r="C462" s="234"/>
      <c r="D462" s="235"/>
      <c r="E462" s="235"/>
      <c r="F462" s="235"/>
    </row>
    <row r="463" spans="3:6">
      <c r="C463" s="234"/>
      <c r="D463" s="235"/>
      <c r="E463" s="235"/>
      <c r="F463" s="235"/>
    </row>
    <row r="464" spans="3:6">
      <c r="C464" s="234"/>
      <c r="D464" s="235"/>
      <c r="E464" s="235"/>
      <c r="F464" s="235"/>
    </row>
    <row r="465" spans="3:6">
      <c r="C465" s="234"/>
      <c r="D465" s="235"/>
      <c r="E465" s="235"/>
      <c r="F465" s="235"/>
    </row>
    <row r="466" spans="3:6">
      <c r="C466" s="234"/>
      <c r="D466" s="235"/>
      <c r="E466" s="235"/>
      <c r="F466" s="235"/>
    </row>
    <row r="467" spans="3:6">
      <c r="C467" s="234"/>
      <c r="D467" s="235"/>
      <c r="E467" s="235"/>
      <c r="F467" s="235"/>
    </row>
    <row r="468" spans="3:6">
      <c r="C468" s="234"/>
      <c r="D468" s="235"/>
      <c r="E468" s="235"/>
      <c r="F468" s="235"/>
    </row>
    <row r="469" spans="3:6">
      <c r="C469" s="234"/>
      <c r="D469" s="235"/>
      <c r="E469" s="235"/>
      <c r="F469" s="235"/>
    </row>
    <row r="470" spans="3:6">
      <c r="C470" s="234"/>
      <c r="D470" s="235"/>
      <c r="E470" s="235"/>
      <c r="F470" s="235"/>
    </row>
    <row r="471" spans="3:6">
      <c r="C471" s="234"/>
      <c r="D471" s="235"/>
      <c r="E471" s="235"/>
      <c r="F471" s="235"/>
    </row>
    <row r="472" spans="3:6">
      <c r="C472" s="234"/>
      <c r="D472" s="235"/>
      <c r="E472" s="235"/>
      <c r="F472" s="235"/>
    </row>
    <row r="473" spans="3:6">
      <c r="C473" s="234"/>
      <c r="D473" s="235"/>
      <c r="E473" s="235"/>
      <c r="F473" s="235"/>
    </row>
    <row r="474" spans="3:6">
      <c r="C474" s="234"/>
      <c r="D474" s="235"/>
      <c r="E474" s="235"/>
      <c r="F474" s="235"/>
    </row>
    <row r="475" spans="3:6">
      <c r="C475" s="234"/>
      <c r="D475" s="235"/>
      <c r="E475" s="235"/>
      <c r="F475" s="235"/>
    </row>
    <row r="476" spans="3:6">
      <c r="C476" s="234"/>
      <c r="D476" s="235"/>
      <c r="E476" s="235"/>
      <c r="F476" s="235"/>
    </row>
    <row r="477" spans="3:6">
      <c r="C477" s="234"/>
      <c r="D477" s="235"/>
      <c r="E477" s="235"/>
      <c r="F477" s="235"/>
    </row>
    <row r="478" spans="3:6">
      <c r="C478" s="234"/>
      <c r="D478" s="235"/>
      <c r="E478" s="235"/>
      <c r="F478" s="235"/>
    </row>
    <row r="479" spans="3:6">
      <c r="C479" s="234"/>
      <c r="D479" s="235"/>
      <c r="E479" s="235"/>
      <c r="F479" s="235"/>
    </row>
    <row r="480" spans="3:6">
      <c r="C480" s="234"/>
      <c r="D480" s="235"/>
      <c r="E480" s="235"/>
      <c r="F480" s="235"/>
    </row>
    <row r="481" spans="3:6">
      <c r="C481" s="234"/>
      <c r="D481" s="235"/>
      <c r="E481" s="235"/>
      <c r="F481" s="235"/>
    </row>
    <row r="482" spans="3:6">
      <c r="C482" s="234"/>
      <c r="D482" s="235"/>
      <c r="E482" s="235"/>
      <c r="F482" s="235"/>
    </row>
    <row r="483" spans="3:6">
      <c r="C483" s="234"/>
      <c r="D483" s="235"/>
      <c r="E483" s="235"/>
      <c r="F483" s="235"/>
    </row>
    <row r="484" spans="3:6">
      <c r="C484" s="234"/>
      <c r="D484" s="235"/>
      <c r="E484" s="235"/>
      <c r="F484" s="235"/>
    </row>
    <row r="485" spans="3:6">
      <c r="C485" s="234"/>
      <c r="D485" s="235"/>
      <c r="E485" s="235"/>
      <c r="F485" s="235"/>
    </row>
    <row r="486" spans="3:6">
      <c r="C486" s="234"/>
      <c r="D486" s="235"/>
      <c r="E486" s="235"/>
      <c r="F486" s="235"/>
    </row>
    <row r="487" spans="3:6">
      <c r="C487" s="234"/>
      <c r="D487" s="235"/>
      <c r="E487" s="235"/>
      <c r="F487" s="235"/>
    </row>
    <row r="488" spans="3:6">
      <c r="C488" s="234"/>
      <c r="D488" s="235"/>
      <c r="E488" s="235"/>
      <c r="F488" s="235"/>
    </row>
    <row r="489" spans="3:6">
      <c r="C489" s="234"/>
      <c r="D489" s="235"/>
      <c r="E489" s="235"/>
      <c r="F489" s="235"/>
    </row>
    <row r="490" spans="3:6">
      <c r="C490" s="234"/>
      <c r="D490" s="235"/>
      <c r="E490" s="235"/>
      <c r="F490" s="235"/>
    </row>
    <row r="491" spans="3:6">
      <c r="C491" s="234"/>
      <c r="D491" s="235"/>
      <c r="E491" s="235"/>
      <c r="F491" s="235"/>
    </row>
    <row r="492" spans="3:6">
      <c r="C492" s="234"/>
      <c r="D492" s="235"/>
      <c r="E492" s="235"/>
      <c r="F492" s="235"/>
    </row>
    <row r="493" spans="3:6">
      <c r="C493" s="234"/>
      <c r="D493" s="235"/>
      <c r="E493" s="235"/>
      <c r="F493" s="235"/>
    </row>
    <row r="494" spans="3:6">
      <c r="C494" s="234"/>
      <c r="D494" s="235"/>
      <c r="E494" s="235"/>
      <c r="F494" s="235"/>
    </row>
    <row r="495" spans="3:6">
      <c r="C495" s="234"/>
      <c r="D495" s="235"/>
      <c r="E495" s="235"/>
      <c r="F495" s="235"/>
    </row>
    <row r="496" spans="3:6">
      <c r="C496" s="234"/>
      <c r="D496" s="235"/>
      <c r="E496" s="235"/>
      <c r="F496" s="235"/>
    </row>
    <row r="497" spans="3:6">
      <c r="C497" s="234"/>
      <c r="D497" s="235"/>
      <c r="E497" s="235"/>
      <c r="F497" s="235"/>
    </row>
    <row r="498" spans="3:6">
      <c r="C498" s="234"/>
      <c r="D498" s="235"/>
      <c r="E498" s="235"/>
      <c r="F498" s="235"/>
    </row>
    <row r="499" spans="3:6">
      <c r="C499" s="234"/>
      <c r="D499" s="235"/>
      <c r="E499" s="235"/>
      <c r="F499" s="235"/>
    </row>
    <row r="500" spans="3:6">
      <c r="C500" s="234"/>
      <c r="D500" s="235"/>
      <c r="E500" s="235"/>
      <c r="F500" s="235"/>
    </row>
    <row r="501" spans="3:6">
      <c r="C501" s="234"/>
      <c r="D501" s="235"/>
      <c r="E501" s="235"/>
      <c r="F501" s="235"/>
    </row>
    <row r="502" spans="3:6">
      <c r="C502" s="234"/>
      <c r="D502" s="235"/>
      <c r="E502" s="235"/>
      <c r="F502" s="235"/>
    </row>
    <row r="503" spans="3:6">
      <c r="C503" s="234"/>
      <c r="D503" s="235"/>
      <c r="E503" s="235"/>
      <c r="F503" s="235"/>
    </row>
    <row r="504" spans="3:6">
      <c r="C504" s="234"/>
      <c r="D504" s="235"/>
      <c r="E504" s="235"/>
      <c r="F504" s="235"/>
    </row>
    <row r="505" spans="3:6">
      <c r="C505" s="234"/>
      <c r="D505" s="235"/>
      <c r="E505" s="235"/>
      <c r="F505" s="235"/>
    </row>
    <row r="506" spans="3:6">
      <c r="C506" s="234"/>
      <c r="D506" s="235"/>
      <c r="E506" s="235"/>
      <c r="F506" s="235"/>
    </row>
    <row r="507" spans="3:6">
      <c r="C507" s="234"/>
      <c r="D507" s="235"/>
      <c r="E507" s="235"/>
      <c r="F507" s="235"/>
    </row>
    <row r="508" spans="3:6">
      <c r="C508" s="234"/>
      <c r="D508" s="235"/>
      <c r="E508" s="235"/>
      <c r="F508" s="235"/>
    </row>
    <row r="509" spans="3:6">
      <c r="C509" s="234"/>
      <c r="D509" s="235"/>
      <c r="E509" s="235"/>
      <c r="F509" s="235"/>
    </row>
    <row r="510" spans="3:6">
      <c r="C510" s="234"/>
      <c r="D510" s="235"/>
      <c r="E510" s="235"/>
      <c r="F510" s="235"/>
    </row>
    <row r="511" spans="3:6">
      <c r="C511" s="234"/>
      <c r="D511" s="235"/>
      <c r="E511" s="235"/>
      <c r="F511" s="235"/>
    </row>
    <row r="512" spans="3:6">
      <c r="C512" s="234"/>
      <c r="D512" s="235"/>
      <c r="E512" s="235"/>
      <c r="F512" s="235"/>
    </row>
    <row r="513" spans="3:6">
      <c r="C513" s="234"/>
      <c r="D513" s="235"/>
      <c r="E513" s="235"/>
      <c r="F513" s="235"/>
    </row>
    <row r="514" spans="3:6">
      <c r="C514" s="234"/>
      <c r="D514" s="235"/>
      <c r="E514" s="235"/>
      <c r="F514" s="235"/>
    </row>
    <row r="515" spans="3:6">
      <c r="C515" s="234"/>
      <c r="D515" s="235"/>
      <c r="E515" s="235"/>
      <c r="F515" s="235"/>
    </row>
    <row r="516" spans="3:6">
      <c r="C516" s="234"/>
      <c r="D516" s="235"/>
      <c r="E516" s="235"/>
      <c r="F516" s="235"/>
    </row>
    <row r="517" spans="3:6">
      <c r="C517" s="234"/>
      <c r="D517" s="235"/>
      <c r="E517" s="235"/>
      <c r="F517" s="235"/>
    </row>
    <row r="518" spans="3:6">
      <c r="C518" s="234"/>
      <c r="D518" s="235"/>
      <c r="E518" s="235"/>
      <c r="F518" s="235"/>
    </row>
    <row r="519" spans="3:6">
      <c r="C519" s="234"/>
      <c r="D519" s="235"/>
      <c r="E519" s="235"/>
      <c r="F519" s="235"/>
    </row>
    <row r="520" spans="3:6">
      <c r="C520" s="234"/>
      <c r="D520" s="235"/>
      <c r="E520" s="235"/>
      <c r="F520" s="235"/>
    </row>
    <row r="521" spans="3:6">
      <c r="C521" s="234"/>
      <c r="D521" s="235"/>
      <c r="E521" s="235"/>
      <c r="F521" s="235"/>
    </row>
    <row r="522" spans="3:6">
      <c r="C522" s="234"/>
      <c r="D522" s="235"/>
      <c r="E522" s="235"/>
      <c r="F522" s="235"/>
    </row>
    <row r="523" spans="3:6">
      <c r="C523" s="234"/>
      <c r="D523" s="235"/>
      <c r="E523" s="235"/>
      <c r="F523" s="235"/>
    </row>
    <row r="524" spans="3:6">
      <c r="C524" s="234"/>
      <c r="D524" s="235"/>
      <c r="E524" s="235"/>
      <c r="F524" s="235"/>
    </row>
    <row r="525" spans="3:6">
      <c r="C525" s="234"/>
      <c r="D525" s="235"/>
      <c r="E525" s="235"/>
      <c r="F525" s="235"/>
    </row>
    <row r="526" spans="3:6">
      <c r="C526" s="234"/>
      <c r="D526" s="235"/>
      <c r="E526" s="235"/>
      <c r="F526" s="235"/>
    </row>
    <row r="527" spans="3:6">
      <c r="C527" s="234"/>
      <c r="D527" s="235"/>
      <c r="E527" s="235"/>
      <c r="F527" s="235"/>
    </row>
    <row r="528" spans="3:6">
      <c r="C528" s="234"/>
      <c r="D528" s="235"/>
      <c r="E528" s="235"/>
      <c r="F528" s="235"/>
    </row>
    <row r="529" spans="3:6">
      <c r="C529" s="234"/>
      <c r="D529" s="235"/>
      <c r="E529" s="235"/>
      <c r="F529" s="235"/>
    </row>
    <row r="530" spans="3:6">
      <c r="C530" s="234"/>
      <c r="D530" s="235"/>
      <c r="E530" s="235"/>
      <c r="F530" s="235"/>
    </row>
    <row r="531" spans="3:6">
      <c r="C531" s="234"/>
      <c r="D531" s="235"/>
      <c r="E531" s="235"/>
      <c r="F531" s="235"/>
    </row>
    <row r="532" spans="3:6">
      <c r="C532" s="234"/>
      <c r="D532" s="235"/>
      <c r="E532" s="235"/>
      <c r="F532" s="235"/>
    </row>
    <row r="533" spans="3:6">
      <c r="C533" s="234"/>
      <c r="D533" s="235"/>
      <c r="E533" s="235"/>
      <c r="F533" s="235"/>
    </row>
    <row r="534" spans="3:6">
      <c r="C534" s="234"/>
      <c r="D534" s="235"/>
      <c r="E534" s="235"/>
      <c r="F534" s="235"/>
    </row>
    <row r="535" spans="3:6">
      <c r="C535" s="234"/>
      <c r="D535" s="235"/>
      <c r="E535" s="235"/>
      <c r="F535" s="235"/>
    </row>
    <row r="536" spans="3:6">
      <c r="C536" s="234"/>
      <c r="D536" s="235"/>
      <c r="E536" s="235"/>
      <c r="F536" s="235"/>
    </row>
    <row r="537" spans="3:6">
      <c r="C537" s="234"/>
      <c r="D537" s="235"/>
      <c r="E537" s="235"/>
      <c r="F537" s="235"/>
    </row>
    <row r="538" spans="3:6">
      <c r="C538" s="234"/>
      <c r="D538" s="235"/>
      <c r="E538" s="235"/>
      <c r="F538" s="235"/>
    </row>
    <row r="539" spans="3:6">
      <c r="C539" s="234"/>
      <c r="D539" s="235"/>
      <c r="E539" s="235"/>
      <c r="F539" s="235"/>
    </row>
    <row r="540" spans="3:6">
      <c r="C540" s="234"/>
      <c r="D540" s="235"/>
      <c r="E540" s="235"/>
      <c r="F540" s="235"/>
    </row>
    <row r="541" spans="3:6">
      <c r="C541" s="234"/>
      <c r="D541" s="235"/>
      <c r="E541" s="235"/>
      <c r="F541" s="235"/>
    </row>
    <row r="542" spans="3:6">
      <c r="C542" s="234"/>
      <c r="D542" s="235"/>
      <c r="E542" s="235"/>
      <c r="F542" s="235"/>
    </row>
    <row r="543" spans="3:6">
      <c r="C543" s="234"/>
      <c r="D543" s="235"/>
      <c r="E543" s="235"/>
      <c r="F543" s="235"/>
    </row>
    <row r="544" spans="3:6">
      <c r="C544" s="234"/>
      <c r="D544" s="235"/>
      <c r="E544" s="235"/>
      <c r="F544" s="235"/>
    </row>
    <row r="545" spans="3:6">
      <c r="C545" s="234"/>
      <c r="D545" s="235"/>
      <c r="E545" s="235"/>
      <c r="F545" s="235"/>
    </row>
    <row r="546" spans="3:6">
      <c r="C546" s="234"/>
      <c r="D546" s="235"/>
      <c r="E546" s="235"/>
      <c r="F546" s="235"/>
    </row>
    <row r="547" spans="3:6">
      <c r="C547" s="234"/>
      <c r="D547" s="235"/>
      <c r="E547" s="235"/>
      <c r="F547" s="235"/>
    </row>
    <row r="548" spans="3:6">
      <c r="C548" s="234"/>
      <c r="D548" s="235"/>
      <c r="E548" s="235"/>
      <c r="F548" s="235"/>
    </row>
    <row r="549" spans="3:6">
      <c r="C549" s="234"/>
      <c r="D549" s="235"/>
      <c r="E549" s="235"/>
      <c r="F549" s="235"/>
    </row>
    <row r="550" spans="3:6">
      <c r="C550" s="234"/>
      <c r="D550" s="235"/>
      <c r="E550" s="235"/>
      <c r="F550" s="235"/>
    </row>
    <row r="551" spans="3:6">
      <c r="C551" s="234"/>
      <c r="D551" s="235"/>
      <c r="E551" s="235"/>
      <c r="F551" s="235"/>
    </row>
    <row r="552" spans="3:6">
      <c r="C552" s="234"/>
      <c r="D552" s="235"/>
      <c r="E552" s="235"/>
      <c r="F552" s="235"/>
    </row>
    <row r="553" spans="3:6">
      <c r="C553" s="234"/>
      <c r="D553" s="235"/>
      <c r="E553" s="235"/>
      <c r="F553" s="235"/>
    </row>
    <row r="554" spans="3:6">
      <c r="C554" s="234"/>
      <c r="D554" s="235"/>
      <c r="E554" s="235"/>
      <c r="F554" s="235"/>
    </row>
    <row r="555" spans="3:6">
      <c r="C555" s="234"/>
      <c r="D555" s="235"/>
      <c r="E555" s="235"/>
      <c r="F555" s="235"/>
    </row>
    <row r="556" spans="3:6">
      <c r="C556" s="234"/>
      <c r="D556" s="235"/>
      <c r="E556" s="235"/>
      <c r="F556" s="235"/>
    </row>
    <row r="557" spans="3:6">
      <c r="C557" s="234"/>
      <c r="D557" s="235"/>
      <c r="E557" s="235"/>
      <c r="F557" s="235"/>
    </row>
    <row r="558" spans="3:6">
      <c r="C558" s="234"/>
      <c r="D558" s="235"/>
      <c r="E558" s="235"/>
      <c r="F558" s="235"/>
    </row>
    <row r="559" spans="3:6">
      <c r="C559" s="234"/>
      <c r="D559" s="235"/>
      <c r="E559" s="235"/>
      <c r="F559" s="235"/>
    </row>
    <row r="560" spans="3:6">
      <c r="C560" s="234"/>
      <c r="D560" s="235"/>
      <c r="E560" s="235"/>
      <c r="F560" s="235"/>
    </row>
    <row r="561" spans="3:6">
      <c r="C561" s="234"/>
      <c r="D561" s="235"/>
      <c r="E561" s="235"/>
      <c r="F561" s="235"/>
    </row>
    <row r="562" spans="3:6">
      <c r="C562" s="234"/>
      <c r="D562" s="235"/>
      <c r="E562" s="235"/>
      <c r="F562" s="235"/>
    </row>
    <row r="563" spans="3:6">
      <c r="C563" s="234"/>
      <c r="D563" s="235"/>
      <c r="E563" s="235"/>
      <c r="F563" s="235"/>
    </row>
    <row r="564" spans="3:6">
      <c r="C564" s="234"/>
      <c r="D564" s="235"/>
      <c r="E564" s="235"/>
      <c r="F564" s="235"/>
    </row>
    <row r="565" spans="3:6">
      <c r="C565" s="234"/>
      <c r="D565" s="235"/>
      <c r="E565" s="235"/>
      <c r="F565" s="235"/>
    </row>
    <row r="566" spans="3:6">
      <c r="C566" s="234"/>
      <c r="D566" s="235"/>
      <c r="E566" s="235"/>
      <c r="F566" s="235"/>
    </row>
    <row r="567" spans="3:6">
      <c r="C567" s="234"/>
      <c r="D567" s="235"/>
      <c r="E567" s="235"/>
      <c r="F567" s="235"/>
    </row>
    <row r="568" spans="3:6">
      <c r="C568" s="234"/>
      <c r="D568" s="235"/>
      <c r="E568" s="235"/>
      <c r="F568" s="235"/>
    </row>
    <row r="569" spans="3:6">
      <c r="C569" s="234"/>
      <c r="D569" s="235"/>
      <c r="E569" s="235"/>
      <c r="F569" s="235"/>
    </row>
    <row r="570" spans="3:6">
      <c r="C570" s="234"/>
      <c r="D570" s="235"/>
      <c r="E570" s="235"/>
      <c r="F570" s="235"/>
    </row>
    <row r="571" spans="3:6">
      <c r="C571" s="234"/>
      <c r="D571" s="235"/>
      <c r="E571" s="235"/>
      <c r="F571" s="235"/>
    </row>
    <row r="572" spans="3:6">
      <c r="C572" s="234"/>
      <c r="D572" s="235"/>
      <c r="E572" s="235"/>
      <c r="F572" s="235"/>
    </row>
    <row r="573" spans="3:6">
      <c r="C573" s="234"/>
      <c r="D573" s="235"/>
      <c r="E573" s="235"/>
      <c r="F573" s="235"/>
    </row>
    <row r="574" spans="3:6">
      <c r="C574" s="234"/>
      <c r="D574" s="235"/>
      <c r="E574" s="235"/>
      <c r="F574" s="235"/>
    </row>
    <row r="575" spans="3:6">
      <c r="C575" s="234"/>
      <c r="D575" s="235"/>
      <c r="E575" s="235"/>
      <c r="F575" s="235"/>
    </row>
    <row r="576" spans="3:6">
      <c r="C576" s="234"/>
      <c r="D576" s="235"/>
      <c r="E576" s="235"/>
      <c r="F576" s="235"/>
    </row>
    <row r="577" spans="3:6">
      <c r="C577" s="234"/>
      <c r="D577" s="235"/>
      <c r="E577" s="235"/>
      <c r="F577" s="235"/>
    </row>
    <row r="578" spans="3:6">
      <c r="C578" s="234"/>
      <c r="D578" s="235"/>
      <c r="E578" s="235"/>
      <c r="F578" s="235"/>
    </row>
    <row r="579" spans="3:6">
      <c r="C579" s="234"/>
      <c r="D579" s="235"/>
      <c r="E579" s="235"/>
      <c r="F579" s="235"/>
    </row>
    <row r="580" spans="3:6">
      <c r="C580" s="234"/>
      <c r="D580" s="235"/>
      <c r="E580" s="235"/>
      <c r="F580" s="235"/>
    </row>
    <row r="581" spans="3:6">
      <c r="C581" s="234"/>
      <c r="D581" s="235"/>
      <c r="E581" s="235"/>
      <c r="F581" s="235"/>
    </row>
    <row r="582" spans="3:6">
      <c r="C582" s="234"/>
      <c r="D582" s="235"/>
      <c r="E582" s="235"/>
      <c r="F582" s="235"/>
    </row>
    <row r="583" spans="3:6">
      <c r="C583" s="234"/>
      <c r="D583" s="235"/>
      <c r="E583" s="235"/>
      <c r="F583" s="235"/>
    </row>
    <row r="584" spans="3:6">
      <c r="C584" s="234"/>
      <c r="D584" s="235"/>
      <c r="E584" s="235"/>
      <c r="F584" s="235"/>
    </row>
    <row r="585" spans="3:6">
      <c r="C585" s="234"/>
      <c r="D585" s="235"/>
      <c r="E585" s="235"/>
      <c r="F585" s="235"/>
    </row>
    <row r="586" spans="3:6">
      <c r="C586" s="234"/>
      <c r="D586" s="235"/>
      <c r="E586" s="235"/>
      <c r="F586" s="235"/>
    </row>
    <row r="587" spans="3:6">
      <c r="C587" s="234"/>
      <c r="D587" s="235"/>
      <c r="E587" s="235"/>
      <c r="F587" s="235"/>
    </row>
    <row r="588" spans="3:6">
      <c r="C588" s="234"/>
      <c r="D588" s="235"/>
      <c r="E588" s="235"/>
      <c r="F588" s="235"/>
    </row>
    <row r="589" spans="3:6">
      <c r="C589" s="234"/>
      <c r="D589" s="235"/>
      <c r="E589" s="235"/>
      <c r="F589" s="235"/>
    </row>
    <row r="590" spans="3:6">
      <c r="C590" s="234"/>
      <c r="D590" s="235"/>
      <c r="E590" s="235"/>
      <c r="F590" s="235"/>
    </row>
    <row r="591" spans="3:6">
      <c r="C591" s="234"/>
      <c r="D591" s="235"/>
      <c r="E591" s="235"/>
      <c r="F591" s="235"/>
    </row>
    <row r="592" spans="3:6">
      <c r="C592" s="234"/>
      <c r="D592" s="235"/>
      <c r="E592" s="235"/>
      <c r="F592" s="235"/>
    </row>
    <row r="593" spans="3:6">
      <c r="C593" s="234"/>
      <c r="D593" s="235"/>
      <c r="E593" s="235"/>
      <c r="F593" s="235"/>
    </row>
    <row r="594" spans="3:6">
      <c r="C594" s="234"/>
      <c r="D594" s="235"/>
      <c r="E594" s="235"/>
      <c r="F594" s="235"/>
    </row>
    <row r="595" spans="3:6">
      <c r="C595" s="234"/>
      <c r="D595" s="235"/>
      <c r="E595" s="235"/>
      <c r="F595" s="235"/>
    </row>
    <row r="596" spans="3:6">
      <c r="C596" s="234"/>
      <c r="D596" s="235"/>
      <c r="E596" s="235"/>
      <c r="F596" s="235"/>
    </row>
    <row r="597" spans="3:6">
      <c r="C597" s="234"/>
      <c r="D597" s="235"/>
      <c r="E597" s="235"/>
      <c r="F597" s="235"/>
    </row>
    <row r="598" spans="3:6">
      <c r="C598" s="234"/>
      <c r="D598" s="235"/>
      <c r="E598" s="235"/>
      <c r="F598" s="235"/>
    </row>
    <row r="599" spans="3:6">
      <c r="C599" s="234"/>
      <c r="D599" s="235"/>
      <c r="E599" s="235"/>
      <c r="F599" s="235"/>
    </row>
    <row r="600" spans="3:6">
      <c r="C600" s="234"/>
      <c r="D600" s="235"/>
      <c r="E600" s="235"/>
      <c r="F600" s="235"/>
    </row>
    <row r="601" spans="3:6">
      <c r="C601" s="234"/>
      <c r="D601" s="235"/>
      <c r="E601" s="235"/>
      <c r="F601" s="235"/>
    </row>
    <row r="602" spans="3:6">
      <c r="C602" s="234"/>
      <c r="D602" s="235"/>
      <c r="E602" s="235"/>
      <c r="F602" s="235"/>
    </row>
    <row r="603" spans="3:6">
      <c r="C603" s="234"/>
      <c r="D603" s="235"/>
      <c r="E603" s="235"/>
      <c r="F603" s="235"/>
    </row>
    <row r="604" spans="3:6">
      <c r="C604" s="234"/>
      <c r="D604" s="235"/>
      <c r="E604" s="235"/>
      <c r="F604" s="235"/>
    </row>
    <row r="605" spans="3:6">
      <c r="C605" s="234"/>
      <c r="D605" s="235"/>
      <c r="E605" s="235"/>
      <c r="F605" s="235"/>
    </row>
    <row r="606" spans="3:6">
      <c r="C606" s="234"/>
      <c r="D606" s="235"/>
      <c r="E606" s="235"/>
      <c r="F606" s="235"/>
    </row>
    <row r="607" spans="3:6">
      <c r="C607" s="234"/>
      <c r="D607" s="235"/>
      <c r="E607" s="235"/>
      <c r="F607" s="235"/>
    </row>
    <row r="608" spans="3:6">
      <c r="C608" s="234"/>
      <c r="D608" s="235"/>
      <c r="E608" s="235"/>
      <c r="F608" s="235"/>
    </row>
    <row r="609" spans="3:6">
      <c r="C609" s="234"/>
      <c r="D609" s="235"/>
      <c r="E609" s="235"/>
      <c r="F609" s="235"/>
    </row>
    <row r="610" spans="3:6">
      <c r="C610" s="234"/>
      <c r="D610" s="235"/>
      <c r="E610" s="235"/>
      <c r="F610" s="235"/>
    </row>
    <row r="611" spans="3:6">
      <c r="C611" s="234"/>
      <c r="D611" s="235"/>
      <c r="E611" s="235"/>
      <c r="F611" s="235"/>
    </row>
    <row r="612" spans="3:6">
      <c r="C612" s="234"/>
      <c r="D612" s="235"/>
      <c r="E612" s="235"/>
      <c r="F612" s="235"/>
    </row>
    <row r="613" spans="3:6">
      <c r="C613" s="234"/>
      <c r="D613" s="235"/>
      <c r="E613" s="235"/>
      <c r="F613" s="235"/>
    </row>
    <row r="614" spans="3:6">
      <c r="C614" s="234"/>
      <c r="D614" s="235"/>
      <c r="E614" s="235"/>
      <c r="F614" s="235"/>
    </row>
    <row r="615" spans="3:6">
      <c r="C615" s="234"/>
      <c r="D615" s="235"/>
      <c r="E615" s="235"/>
      <c r="F615" s="235"/>
    </row>
    <row r="616" spans="3:6">
      <c r="C616" s="234"/>
      <c r="D616" s="235"/>
      <c r="E616" s="235"/>
      <c r="F616" s="235"/>
    </row>
    <row r="617" spans="3:6">
      <c r="C617" s="234"/>
      <c r="D617" s="235"/>
      <c r="E617" s="235"/>
      <c r="F617" s="235"/>
    </row>
    <row r="618" spans="3:6">
      <c r="C618" s="234"/>
      <c r="D618" s="235"/>
      <c r="E618" s="235"/>
      <c r="F618" s="235"/>
    </row>
    <row r="619" spans="3:6">
      <c r="C619" s="234"/>
      <c r="D619" s="235"/>
      <c r="E619" s="235"/>
      <c r="F619" s="235"/>
    </row>
    <row r="620" spans="3:6">
      <c r="C620" s="234"/>
      <c r="D620" s="235"/>
      <c r="E620" s="235"/>
      <c r="F620" s="235"/>
    </row>
    <row r="621" spans="3:6">
      <c r="C621" s="234"/>
      <c r="D621" s="235"/>
      <c r="E621" s="235"/>
      <c r="F621" s="235"/>
    </row>
    <row r="622" spans="3:6">
      <c r="C622" s="234"/>
      <c r="D622" s="235"/>
      <c r="E622" s="235"/>
      <c r="F622" s="235"/>
    </row>
    <row r="623" spans="3:6">
      <c r="C623" s="234"/>
      <c r="D623" s="235"/>
      <c r="E623" s="235"/>
      <c r="F623" s="235"/>
    </row>
    <row r="624" spans="3:6">
      <c r="C624" s="234"/>
      <c r="D624" s="235"/>
      <c r="E624" s="235"/>
      <c r="F624" s="235"/>
    </row>
    <row r="625" spans="3:6">
      <c r="C625" s="234"/>
      <c r="D625" s="235"/>
      <c r="E625" s="235"/>
      <c r="F625" s="235"/>
    </row>
    <row r="626" spans="3:6">
      <c r="C626" s="234"/>
      <c r="D626" s="235"/>
      <c r="E626" s="235"/>
      <c r="F626" s="235"/>
    </row>
    <row r="627" spans="3:6">
      <c r="C627" s="234"/>
      <c r="D627" s="235"/>
      <c r="E627" s="235"/>
      <c r="F627" s="235"/>
    </row>
    <row r="628" spans="3:6">
      <c r="C628" s="234"/>
      <c r="D628" s="235"/>
      <c r="E628" s="235"/>
      <c r="F628" s="235"/>
    </row>
    <row r="629" spans="3:6">
      <c r="C629" s="234"/>
      <c r="D629" s="235"/>
      <c r="E629" s="235"/>
      <c r="F629" s="235"/>
    </row>
    <row r="630" spans="3:6">
      <c r="C630" s="234"/>
      <c r="D630" s="235"/>
      <c r="E630" s="235"/>
      <c r="F630" s="235"/>
    </row>
    <row r="631" spans="3:6">
      <c r="C631" s="234"/>
      <c r="D631" s="235"/>
      <c r="E631" s="235"/>
      <c r="F631" s="235"/>
    </row>
    <row r="632" spans="3:6">
      <c r="C632" s="234"/>
      <c r="D632" s="235"/>
      <c r="E632" s="235"/>
      <c r="F632" s="235"/>
    </row>
    <row r="633" spans="3:6">
      <c r="C633" s="234"/>
      <c r="D633" s="235"/>
      <c r="E633" s="235"/>
      <c r="F633" s="235"/>
    </row>
    <row r="634" spans="3:6">
      <c r="C634" s="234"/>
      <c r="D634" s="235"/>
      <c r="E634" s="235"/>
      <c r="F634" s="235"/>
    </row>
    <row r="635" spans="3:6">
      <c r="C635" s="234"/>
      <c r="D635" s="235"/>
      <c r="E635" s="235"/>
      <c r="F635" s="235"/>
    </row>
    <row r="636" spans="3:6">
      <c r="C636" s="234"/>
      <c r="D636" s="235"/>
      <c r="E636" s="235"/>
      <c r="F636" s="235"/>
    </row>
    <row r="637" spans="3:6">
      <c r="C637" s="234"/>
      <c r="D637" s="235"/>
      <c r="E637" s="235"/>
      <c r="F637" s="235"/>
    </row>
    <row r="638" spans="3:6">
      <c r="C638" s="234"/>
      <c r="D638" s="235"/>
      <c r="E638" s="235"/>
      <c r="F638" s="235"/>
    </row>
    <row r="639" spans="3:6">
      <c r="C639" s="234"/>
      <c r="D639" s="235"/>
      <c r="E639" s="235"/>
      <c r="F639" s="235"/>
    </row>
    <row r="640" spans="3:6">
      <c r="C640" s="234"/>
      <c r="D640" s="235"/>
      <c r="E640" s="235"/>
      <c r="F640" s="235"/>
    </row>
    <row r="641" spans="3:6">
      <c r="C641" s="234"/>
      <c r="D641" s="235"/>
      <c r="E641" s="235"/>
      <c r="F641" s="235"/>
    </row>
    <row r="642" spans="3:6">
      <c r="C642" s="234"/>
      <c r="D642" s="235"/>
      <c r="E642" s="235"/>
      <c r="F642" s="235"/>
    </row>
    <row r="643" spans="3:6">
      <c r="C643" s="234"/>
      <c r="D643" s="235"/>
      <c r="E643" s="235"/>
      <c r="F643" s="235"/>
    </row>
    <row r="644" spans="3:6">
      <c r="C644" s="234"/>
      <c r="D644" s="235"/>
      <c r="E644" s="235"/>
      <c r="F644" s="235"/>
    </row>
    <row r="645" spans="3:6">
      <c r="C645" s="234"/>
      <c r="D645" s="235"/>
      <c r="E645" s="235"/>
      <c r="F645" s="235"/>
    </row>
    <row r="646" spans="3:6">
      <c r="C646" s="234"/>
      <c r="D646" s="235"/>
      <c r="E646" s="235"/>
      <c r="F646" s="235"/>
    </row>
    <row r="647" spans="3:6">
      <c r="C647" s="234"/>
      <c r="D647" s="235"/>
      <c r="E647" s="235"/>
      <c r="F647" s="235"/>
    </row>
    <row r="648" spans="3:6">
      <c r="C648" s="234"/>
      <c r="D648" s="235"/>
      <c r="E648" s="235"/>
      <c r="F648" s="235"/>
    </row>
    <row r="649" spans="3:6">
      <c r="C649" s="234"/>
      <c r="D649" s="235"/>
      <c r="E649" s="235"/>
      <c r="F649" s="235"/>
    </row>
    <row r="650" spans="3:6">
      <c r="C650" s="234"/>
      <c r="D650" s="235"/>
      <c r="E650" s="235"/>
      <c r="F650" s="235"/>
    </row>
    <row r="651" spans="3:6">
      <c r="C651" s="234"/>
      <c r="D651" s="235"/>
      <c r="E651" s="235"/>
      <c r="F651" s="235"/>
    </row>
    <row r="652" spans="3:6">
      <c r="C652" s="234"/>
      <c r="D652" s="235"/>
      <c r="E652" s="235"/>
      <c r="F652" s="235"/>
    </row>
    <row r="653" spans="3:6">
      <c r="C653" s="234"/>
      <c r="D653" s="235"/>
      <c r="E653" s="235"/>
      <c r="F653" s="235"/>
    </row>
    <row r="654" spans="3:6">
      <c r="C654" s="234"/>
      <c r="D654" s="235"/>
      <c r="E654" s="235"/>
      <c r="F654" s="235"/>
    </row>
    <row r="655" spans="3:6">
      <c r="C655" s="234"/>
      <c r="D655" s="235"/>
      <c r="E655" s="235"/>
      <c r="F655" s="235"/>
    </row>
    <row r="656" spans="3:6">
      <c r="C656" s="234"/>
      <c r="D656" s="235"/>
      <c r="E656" s="235"/>
      <c r="F656" s="235"/>
    </row>
    <row r="657" spans="3:6">
      <c r="C657" s="234"/>
      <c r="D657" s="235"/>
      <c r="E657" s="235"/>
      <c r="F657" s="235"/>
    </row>
    <row r="658" spans="3:6">
      <c r="C658" s="234"/>
      <c r="D658" s="235"/>
      <c r="E658" s="235"/>
      <c r="F658" s="235"/>
    </row>
    <row r="659" spans="3:6">
      <c r="C659" s="234"/>
      <c r="D659" s="235"/>
      <c r="E659" s="235"/>
      <c r="F659" s="235"/>
    </row>
    <row r="660" spans="3:6">
      <c r="C660" s="234"/>
      <c r="D660" s="235"/>
      <c r="E660" s="235"/>
      <c r="F660" s="235"/>
    </row>
    <row r="661" spans="3:6">
      <c r="C661" s="234"/>
      <c r="D661" s="235"/>
      <c r="E661" s="235"/>
      <c r="F661" s="235"/>
    </row>
    <row r="662" spans="3:6">
      <c r="C662" s="234"/>
      <c r="D662" s="235"/>
      <c r="E662" s="235"/>
      <c r="F662" s="235"/>
    </row>
    <row r="663" spans="3:6">
      <c r="C663" s="234"/>
      <c r="D663" s="235"/>
      <c r="E663" s="235"/>
      <c r="F663" s="235"/>
    </row>
    <row r="664" spans="3:6">
      <c r="C664" s="234"/>
      <c r="D664" s="235"/>
      <c r="E664" s="235"/>
      <c r="F664" s="235"/>
    </row>
    <row r="665" spans="3:6">
      <c r="C665" s="234"/>
      <c r="D665" s="235"/>
      <c r="E665" s="235"/>
      <c r="F665" s="235"/>
    </row>
    <row r="666" spans="3:6">
      <c r="C666" s="234"/>
      <c r="D666" s="235"/>
      <c r="E666" s="235"/>
      <c r="F666" s="235"/>
    </row>
    <row r="667" spans="3:6">
      <c r="C667" s="234"/>
      <c r="D667" s="235"/>
      <c r="E667" s="235"/>
      <c r="F667" s="235"/>
    </row>
    <row r="668" spans="3:6">
      <c r="C668" s="234"/>
      <c r="D668" s="235"/>
      <c r="E668" s="235"/>
      <c r="F668" s="235"/>
    </row>
    <row r="669" spans="3:6">
      <c r="C669" s="234"/>
      <c r="D669" s="235"/>
      <c r="E669" s="235"/>
      <c r="F669" s="235"/>
    </row>
    <row r="670" spans="3:6">
      <c r="C670" s="234"/>
      <c r="D670" s="235"/>
      <c r="E670" s="235"/>
      <c r="F670" s="235"/>
    </row>
    <row r="671" spans="3:6">
      <c r="C671" s="234"/>
      <c r="D671" s="235"/>
      <c r="E671" s="235"/>
      <c r="F671" s="235"/>
    </row>
    <row r="672" spans="3:6">
      <c r="C672" s="234"/>
      <c r="D672" s="235"/>
      <c r="E672" s="235"/>
      <c r="F672" s="235"/>
    </row>
    <row r="673" spans="3:6">
      <c r="C673" s="234"/>
      <c r="D673" s="235"/>
      <c r="E673" s="235"/>
      <c r="F673" s="235"/>
    </row>
    <row r="674" spans="3:6">
      <c r="C674" s="234"/>
      <c r="D674" s="235"/>
      <c r="E674" s="235"/>
      <c r="F674" s="235"/>
    </row>
    <row r="675" spans="3:6">
      <c r="C675" s="234"/>
      <c r="D675" s="235"/>
      <c r="E675" s="235"/>
      <c r="F675" s="235"/>
    </row>
    <row r="676" spans="3:6">
      <c r="C676" s="234"/>
      <c r="D676" s="235"/>
      <c r="E676" s="235"/>
      <c r="F676" s="235"/>
    </row>
    <row r="677" spans="3:6">
      <c r="C677" s="234"/>
      <c r="D677" s="235"/>
      <c r="E677" s="235"/>
      <c r="F677" s="235"/>
    </row>
    <row r="678" spans="3:6">
      <c r="C678" s="234"/>
      <c r="D678" s="235"/>
      <c r="E678" s="235"/>
      <c r="F678" s="235"/>
    </row>
    <row r="679" spans="3:6">
      <c r="C679" s="234"/>
      <c r="D679" s="235"/>
      <c r="E679" s="235"/>
      <c r="F679" s="235"/>
    </row>
    <row r="680" spans="3:6">
      <c r="C680" s="234"/>
      <c r="D680" s="235"/>
      <c r="E680" s="235"/>
      <c r="F680" s="235"/>
    </row>
    <row r="681" spans="3:6">
      <c r="C681" s="234"/>
      <c r="D681" s="235"/>
      <c r="E681" s="235"/>
      <c r="F681" s="235"/>
    </row>
    <row r="682" spans="3:6">
      <c r="C682" s="234"/>
      <c r="D682" s="235"/>
      <c r="E682" s="235"/>
      <c r="F682" s="235"/>
    </row>
    <row r="683" spans="3:6">
      <c r="C683" s="234"/>
      <c r="D683" s="235"/>
      <c r="E683" s="235"/>
      <c r="F683" s="235"/>
    </row>
    <row r="684" spans="3:6">
      <c r="C684" s="234"/>
      <c r="D684" s="235"/>
      <c r="E684" s="235"/>
      <c r="F684" s="235"/>
    </row>
    <row r="685" spans="3:6">
      <c r="C685" s="234"/>
      <c r="D685" s="235"/>
      <c r="E685" s="235"/>
      <c r="F685" s="235"/>
    </row>
    <row r="686" spans="3:6">
      <c r="C686" s="234"/>
      <c r="D686" s="235"/>
      <c r="E686" s="235"/>
      <c r="F686" s="235"/>
    </row>
    <row r="687" spans="3:6">
      <c r="C687" s="234"/>
      <c r="D687" s="235"/>
      <c r="E687" s="235"/>
      <c r="F687" s="235"/>
    </row>
    <row r="688" spans="3:6">
      <c r="C688" s="234"/>
      <c r="D688" s="235"/>
      <c r="E688" s="235"/>
      <c r="F688" s="235"/>
    </row>
    <row r="689" spans="3:6">
      <c r="C689" s="234"/>
      <c r="D689" s="235"/>
      <c r="E689" s="235"/>
      <c r="F689" s="235"/>
    </row>
    <row r="690" spans="3:6">
      <c r="C690" s="234"/>
      <c r="D690" s="235"/>
      <c r="E690" s="235"/>
      <c r="F690" s="235"/>
    </row>
    <row r="691" spans="3:6">
      <c r="C691" s="234"/>
      <c r="D691" s="235"/>
      <c r="E691" s="235"/>
      <c r="F691" s="235"/>
    </row>
    <row r="692" spans="3:6">
      <c r="C692" s="234"/>
      <c r="D692" s="235"/>
      <c r="E692" s="235"/>
      <c r="F692" s="235"/>
    </row>
    <row r="693" spans="3:6">
      <c r="C693" s="234"/>
      <c r="D693" s="235"/>
      <c r="E693" s="235"/>
      <c r="F693" s="235"/>
    </row>
    <row r="694" spans="3:6">
      <c r="C694" s="234"/>
      <c r="D694" s="235"/>
      <c r="E694" s="235"/>
      <c r="F694" s="235"/>
    </row>
    <row r="695" spans="3:6">
      <c r="C695" s="234"/>
      <c r="D695" s="235"/>
      <c r="E695" s="235"/>
      <c r="F695" s="235"/>
    </row>
    <row r="696" spans="3:6">
      <c r="C696" s="234"/>
      <c r="D696" s="235"/>
      <c r="E696" s="235"/>
      <c r="F696" s="235"/>
    </row>
    <row r="697" spans="3:6">
      <c r="C697" s="234"/>
      <c r="D697" s="235"/>
      <c r="E697" s="235"/>
      <c r="F697" s="235"/>
    </row>
    <row r="698" spans="3:6">
      <c r="C698" s="234"/>
      <c r="D698" s="235"/>
      <c r="E698" s="235"/>
      <c r="F698" s="235"/>
    </row>
    <row r="699" spans="3:6">
      <c r="C699" s="234"/>
      <c r="D699" s="235"/>
      <c r="E699" s="235"/>
      <c r="F699" s="235"/>
    </row>
    <row r="700" spans="3:6">
      <c r="C700" s="234"/>
      <c r="D700" s="235"/>
      <c r="E700" s="235"/>
      <c r="F700" s="235"/>
    </row>
    <row r="701" spans="3:6">
      <c r="C701" s="234"/>
      <c r="D701" s="235"/>
      <c r="E701" s="235"/>
      <c r="F701" s="235"/>
    </row>
    <row r="702" spans="3:6">
      <c r="C702" s="234"/>
      <c r="D702" s="235"/>
      <c r="E702" s="235"/>
      <c r="F702" s="235"/>
    </row>
    <row r="703" spans="3:6">
      <c r="C703" s="234"/>
      <c r="D703" s="235"/>
      <c r="E703" s="235"/>
      <c r="F703" s="235"/>
    </row>
    <row r="704" spans="3:6">
      <c r="C704" s="234"/>
      <c r="D704" s="235"/>
      <c r="E704" s="235"/>
      <c r="F704" s="235"/>
    </row>
    <row r="705" spans="3:6">
      <c r="C705" s="234"/>
      <c r="D705" s="235"/>
      <c r="E705" s="235"/>
      <c r="F705" s="235"/>
    </row>
    <row r="706" spans="3:6">
      <c r="C706" s="234"/>
      <c r="D706" s="235"/>
      <c r="E706" s="235"/>
      <c r="F706" s="235"/>
    </row>
    <row r="707" spans="3:6">
      <c r="C707" s="234"/>
      <c r="D707" s="235"/>
      <c r="E707" s="235"/>
      <c r="F707" s="235"/>
    </row>
    <row r="708" spans="3:6">
      <c r="C708" s="234"/>
      <c r="D708" s="235"/>
      <c r="E708" s="235"/>
      <c r="F708" s="235"/>
    </row>
    <row r="709" spans="3:6">
      <c r="C709" s="234"/>
      <c r="D709" s="235"/>
      <c r="E709" s="235"/>
      <c r="F709" s="235"/>
    </row>
    <row r="710" spans="3:6">
      <c r="C710" s="234"/>
      <c r="D710" s="235"/>
      <c r="E710" s="235"/>
      <c r="F710" s="235"/>
    </row>
    <row r="711" spans="3:6">
      <c r="C711" s="234"/>
      <c r="D711" s="235"/>
      <c r="E711" s="235"/>
      <c r="F711" s="235"/>
    </row>
    <row r="712" spans="3:6">
      <c r="C712" s="234"/>
      <c r="D712" s="235"/>
      <c r="E712" s="235"/>
      <c r="F712" s="235"/>
    </row>
    <row r="713" spans="3:6">
      <c r="C713" s="234"/>
      <c r="D713" s="235"/>
      <c r="E713" s="235"/>
      <c r="F713" s="235"/>
    </row>
    <row r="714" spans="3:6">
      <c r="C714" s="234"/>
      <c r="D714" s="235"/>
      <c r="E714" s="235"/>
      <c r="F714" s="235"/>
    </row>
    <row r="715" spans="3:6">
      <c r="C715" s="234"/>
      <c r="D715" s="235"/>
      <c r="E715" s="235"/>
      <c r="F715" s="235"/>
    </row>
    <row r="716" spans="3:6">
      <c r="C716" s="234"/>
      <c r="D716" s="235"/>
      <c r="E716" s="235"/>
      <c r="F716" s="235"/>
    </row>
    <row r="717" spans="3:6">
      <c r="C717" s="234"/>
      <c r="D717" s="235"/>
      <c r="E717" s="235"/>
      <c r="F717" s="235"/>
    </row>
    <row r="718" spans="3:6">
      <c r="C718" s="234"/>
      <c r="D718" s="235"/>
      <c r="E718" s="235"/>
      <c r="F718" s="235"/>
    </row>
    <row r="719" spans="3:6">
      <c r="C719" s="234"/>
      <c r="D719" s="235"/>
      <c r="E719" s="235"/>
      <c r="F719" s="235"/>
    </row>
    <row r="720" spans="3:6">
      <c r="C720" s="234"/>
      <c r="D720" s="235"/>
      <c r="E720" s="235"/>
      <c r="F720" s="235"/>
    </row>
    <row r="721" spans="3:6">
      <c r="C721" s="234"/>
      <c r="D721" s="235"/>
      <c r="E721" s="235"/>
      <c r="F721" s="235"/>
    </row>
    <row r="722" spans="3:6">
      <c r="C722" s="234"/>
      <c r="D722" s="235"/>
      <c r="E722" s="235"/>
      <c r="F722" s="235"/>
    </row>
    <row r="723" spans="3:6">
      <c r="C723" s="234"/>
      <c r="D723" s="235"/>
      <c r="E723" s="235"/>
      <c r="F723" s="235"/>
    </row>
    <row r="724" spans="3:6">
      <c r="C724" s="234"/>
      <c r="D724" s="235"/>
      <c r="E724" s="235"/>
      <c r="F724" s="235"/>
    </row>
    <row r="725" spans="3:6">
      <c r="C725" s="234"/>
      <c r="D725" s="235"/>
      <c r="E725" s="235"/>
      <c r="F725" s="235"/>
    </row>
    <row r="726" spans="3:6">
      <c r="C726" s="234"/>
      <c r="D726" s="235"/>
      <c r="E726" s="235"/>
      <c r="F726" s="235"/>
    </row>
    <row r="727" spans="3:6">
      <c r="C727" s="234"/>
      <c r="D727" s="235"/>
      <c r="E727" s="235"/>
      <c r="F727" s="235"/>
    </row>
    <row r="728" spans="3:6">
      <c r="C728" s="234"/>
      <c r="D728" s="235"/>
      <c r="E728" s="235"/>
      <c r="F728" s="235"/>
    </row>
    <row r="729" spans="3:6">
      <c r="C729" s="234"/>
      <c r="D729" s="235"/>
      <c r="E729" s="235"/>
      <c r="F729" s="235"/>
    </row>
    <row r="730" spans="3:6">
      <c r="C730" s="234"/>
      <c r="D730" s="235"/>
      <c r="E730" s="235"/>
      <c r="F730" s="235"/>
    </row>
    <row r="731" spans="3:6">
      <c r="C731" s="234"/>
      <c r="D731" s="235"/>
      <c r="E731" s="235"/>
      <c r="F731" s="235"/>
    </row>
    <row r="732" spans="3:6">
      <c r="C732" s="234"/>
      <c r="D732" s="235"/>
      <c r="E732" s="235"/>
      <c r="F732" s="235"/>
    </row>
    <row r="733" spans="3:6">
      <c r="C733" s="234"/>
      <c r="D733" s="235"/>
      <c r="E733" s="235"/>
      <c r="F733" s="235"/>
    </row>
    <row r="734" spans="3:6">
      <c r="C734" s="234"/>
      <c r="D734" s="235"/>
      <c r="E734" s="235"/>
      <c r="F734" s="235"/>
    </row>
    <row r="735" spans="3:6">
      <c r="C735" s="234"/>
      <c r="D735" s="235"/>
      <c r="E735" s="235"/>
      <c r="F735" s="235"/>
    </row>
    <row r="736" spans="3:6">
      <c r="C736" s="234"/>
      <c r="D736" s="235"/>
      <c r="E736" s="235"/>
      <c r="F736" s="235"/>
    </row>
    <row r="737" spans="3:6">
      <c r="C737" s="234"/>
      <c r="D737" s="235"/>
      <c r="E737" s="235"/>
      <c r="F737" s="235"/>
    </row>
    <row r="738" spans="3:6">
      <c r="C738" s="234"/>
      <c r="D738" s="235"/>
      <c r="E738" s="235"/>
      <c r="F738" s="235"/>
    </row>
    <row r="739" spans="3:6">
      <c r="C739" s="234"/>
      <c r="D739" s="235"/>
      <c r="E739" s="235"/>
      <c r="F739" s="235"/>
    </row>
    <row r="740" spans="3:6">
      <c r="C740" s="234"/>
      <c r="D740" s="235"/>
      <c r="E740" s="235"/>
      <c r="F740" s="235"/>
    </row>
    <row r="741" spans="3:6">
      <c r="C741" s="234"/>
      <c r="D741" s="235"/>
      <c r="E741" s="235"/>
      <c r="F741" s="235"/>
    </row>
    <row r="742" spans="3:6">
      <c r="C742" s="234"/>
      <c r="D742" s="235"/>
      <c r="E742" s="235"/>
      <c r="F742" s="235"/>
    </row>
    <row r="743" spans="3:6">
      <c r="C743" s="234"/>
      <c r="D743" s="235"/>
      <c r="E743" s="235"/>
      <c r="F743" s="235"/>
    </row>
    <row r="744" spans="3:6">
      <c r="C744" s="234"/>
      <c r="D744" s="235"/>
      <c r="E744" s="235"/>
      <c r="F744" s="235"/>
    </row>
    <row r="745" spans="3:6">
      <c r="C745" s="234"/>
      <c r="D745" s="235"/>
      <c r="E745" s="235"/>
      <c r="F745" s="235"/>
    </row>
    <row r="746" spans="3:6">
      <c r="C746" s="234"/>
      <c r="D746" s="235"/>
      <c r="E746" s="235"/>
      <c r="F746" s="235"/>
    </row>
    <row r="747" spans="3:6">
      <c r="C747" s="234"/>
      <c r="D747" s="235"/>
      <c r="E747" s="235"/>
      <c r="F747" s="235"/>
    </row>
    <row r="748" spans="3:6">
      <c r="C748" s="234"/>
      <c r="D748" s="235"/>
      <c r="E748" s="235"/>
      <c r="F748" s="235"/>
    </row>
    <row r="749" spans="3:6">
      <c r="C749" s="234"/>
      <c r="D749" s="235"/>
      <c r="E749" s="235"/>
      <c r="F749" s="235"/>
    </row>
    <row r="750" spans="3:6">
      <c r="C750" s="234"/>
      <c r="D750" s="235"/>
      <c r="E750" s="235"/>
      <c r="F750" s="235"/>
    </row>
    <row r="751" spans="3:6">
      <c r="C751" s="234"/>
      <c r="D751" s="235"/>
      <c r="E751" s="235"/>
      <c r="F751" s="235"/>
    </row>
    <row r="752" spans="3:6">
      <c r="C752" s="234"/>
      <c r="D752" s="235"/>
      <c r="E752" s="235"/>
      <c r="F752" s="235"/>
    </row>
    <row r="753" spans="3:6">
      <c r="C753" s="234"/>
      <c r="D753" s="235"/>
      <c r="E753" s="235"/>
      <c r="F753" s="235"/>
    </row>
    <row r="754" spans="3:6">
      <c r="C754" s="234"/>
      <c r="D754" s="235"/>
      <c r="E754" s="235"/>
      <c r="F754" s="235"/>
    </row>
    <row r="755" spans="3:6">
      <c r="C755" s="234"/>
      <c r="D755" s="235"/>
      <c r="E755" s="235"/>
      <c r="F755" s="235"/>
    </row>
    <row r="756" spans="3:6">
      <c r="C756" s="234"/>
      <c r="D756" s="235"/>
      <c r="E756" s="235"/>
      <c r="F756" s="235"/>
    </row>
    <row r="757" spans="3:6">
      <c r="C757" s="234"/>
      <c r="D757" s="235"/>
      <c r="E757" s="235"/>
      <c r="F757" s="235"/>
    </row>
    <row r="758" spans="3:6">
      <c r="C758" s="234"/>
      <c r="D758" s="235"/>
      <c r="E758" s="235"/>
      <c r="F758" s="235"/>
    </row>
    <row r="759" spans="3:6">
      <c r="C759" s="234"/>
      <c r="D759" s="235"/>
      <c r="E759" s="235"/>
      <c r="F759" s="235"/>
    </row>
    <row r="760" spans="3:6">
      <c r="C760" s="234"/>
      <c r="D760" s="235"/>
      <c r="E760" s="235"/>
      <c r="F760" s="235"/>
    </row>
    <row r="761" spans="3:6">
      <c r="C761" s="234"/>
      <c r="D761" s="235"/>
      <c r="E761" s="235"/>
      <c r="F761" s="235"/>
    </row>
    <row r="762" spans="3:6">
      <c r="C762" s="234"/>
      <c r="D762" s="235"/>
      <c r="E762" s="235"/>
      <c r="F762" s="235"/>
    </row>
    <row r="763" spans="3:6">
      <c r="C763" s="234"/>
      <c r="D763" s="235"/>
      <c r="E763" s="235"/>
      <c r="F763" s="235"/>
    </row>
    <row r="764" spans="3:6">
      <c r="C764" s="234"/>
      <c r="D764" s="235"/>
      <c r="E764" s="235"/>
      <c r="F764" s="235"/>
    </row>
    <row r="765" spans="3:6">
      <c r="C765" s="234"/>
      <c r="D765" s="235"/>
      <c r="E765" s="235"/>
      <c r="F765" s="235"/>
    </row>
    <row r="766" spans="3:6">
      <c r="C766" s="234"/>
      <c r="D766" s="235"/>
      <c r="E766" s="235"/>
      <c r="F766" s="235"/>
    </row>
    <row r="767" spans="3:6">
      <c r="C767" s="234"/>
      <c r="D767" s="235"/>
      <c r="E767" s="235"/>
      <c r="F767" s="235"/>
    </row>
    <row r="768" spans="3:6">
      <c r="C768" s="234"/>
      <c r="D768" s="235"/>
      <c r="E768" s="235"/>
      <c r="F768" s="235"/>
    </row>
    <row r="769" spans="3:6">
      <c r="C769" s="234"/>
      <c r="D769" s="235"/>
      <c r="E769" s="235"/>
      <c r="F769" s="235"/>
    </row>
    <row r="770" spans="3:6">
      <c r="C770" s="234"/>
      <c r="D770" s="235"/>
      <c r="E770" s="235"/>
      <c r="F770" s="235"/>
    </row>
    <row r="771" spans="3:6">
      <c r="C771" s="234"/>
      <c r="D771" s="235"/>
      <c r="E771" s="235"/>
      <c r="F771" s="235"/>
    </row>
    <row r="772" spans="3:6">
      <c r="C772" s="234"/>
      <c r="D772" s="235"/>
      <c r="E772" s="235"/>
      <c r="F772" s="235"/>
    </row>
    <row r="773" spans="3:6">
      <c r="C773" s="234"/>
      <c r="D773" s="235"/>
      <c r="E773" s="235"/>
      <c r="F773" s="235"/>
    </row>
    <row r="774" spans="3:6">
      <c r="C774" s="234"/>
      <c r="D774" s="235"/>
      <c r="E774" s="235"/>
      <c r="F774" s="235"/>
    </row>
    <row r="775" spans="3:6">
      <c r="C775" s="234"/>
      <c r="D775" s="235"/>
      <c r="E775" s="235"/>
      <c r="F775" s="235"/>
    </row>
    <row r="776" spans="3:6">
      <c r="C776" s="234"/>
      <c r="D776" s="235"/>
      <c r="E776" s="235"/>
      <c r="F776" s="235"/>
    </row>
    <row r="777" spans="3:6">
      <c r="C777" s="234"/>
      <c r="D777" s="235"/>
      <c r="E777" s="235"/>
      <c r="F777" s="235"/>
    </row>
    <row r="778" spans="3:6">
      <c r="C778" s="234"/>
      <c r="D778" s="235"/>
      <c r="E778" s="235"/>
      <c r="F778" s="235"/>
    </row>
    <row r="779" spans="3:6">
      <c r="C779" s="234"/>
      <c r="D779" s="235"/>
      <c r="E779" s="235"/>
      <c r="F779" s="235"/>
    </row>
    <row r="780" spans="3:6">
      <c r="C780" s="234"/>
      <c r="D780" s="235"/>
      <c r="E780" s="235"/>
      <c r="F780" s="235"/>
    </row>
    <row r="781" spans="3:6">
      <c r="C781" s="234"/>
      <c r="D781" s="235"/>
      <c r="E781" s="235"/>
      <c r="F781" s="235"/>
    </row>
    <row r="782" spans="3:6">
      <c r="C782" s="234"/>
      <c r="D782" s="235"/>
      <c r="E782" s="235"/>
      <c r="F782" s="235"/>
    </row>
    <row r="783" spans="3:6">
      <c r="C783" s="234"/>
      <c r="D783" s="235"/>
      <c r="E783" s="235"/>
      <c r="F783" s="235"/>
    </row>
    <row r="784" spans="3:6">
      <c r="C784" s="234"/>
      <c r="D784" s="235"/>
      <c r="E784" s="235"/>
      <c r="F784" s="235"/>
    </row>
    <row r="785" spans="3:6">
      <c r="C785" s="234"/>
      <c r="D785" s="235"/>
      <c r="E785" s="235"/>
      <c r="F785" s="235"/>
    </row>
    <row r="786" spans="3:6">
      <c r="C786" s="234"/>
      <c r="D786" s="235"/>
      <c r="E786" s="235"/>
      <c r="F786" s="235"/>
    </row>
    <row r="787" spans="3:6">
      <c r="C787" s="234"/>
      <c r="D787" s="235"/>
      <c r="E787" s="235"/>
      <c r="F787" s="235"/>
    </row>
    <row r="788" spans="3:6">
      <c r="C788" s="234"/>
      <c r="D788" s="235"/>
      <c r="E788" s="235"/>
      <c r="F788" s="235"/>
    </row>
    <row r="789" spans="3:6">
      <c r="C789" s="234"/>
      <c r="D789" s="235"/>
      <c r="E789" s="235"/>
      <c r="F789" s="235"/>
    </row>
    <row r="790" spans="3:6">
      <c r="C790" s="234"/>
      <c r="D790" s="235"/>
      <c r="E790" s="235"/>
      <c r="F790" s="235"/>
    </row>
    <row r="791" spans="3:6">
      <c r="C791" s="234"/>
      <c r="D791" s="235"/>
      <c r="E791" s="235"/>
      <c r="F791" s="235"/>
    </row>
    <row r="792" spans="3:6">
      <c r="C792" s="234"/>
      <c r="D792" s="235"/>
      <c r="E792" s="235"/>
      <c r="F792" s="235"/>
    </row>
    <row r="793" spans="3:6">
      <c r="C793" s="234"/>
      <c r="D793" s="235"/>
      <c r="E793" s="235"/>
      <c r="F793" s="235"/>
    </row>
    <row r="794" spans="3:6">
      <c r="C794" s="234"/>
      <c r="D794" s="235"/>
      <c r="E794" s="235"/>
      <c r="F794" s="235"/>
    </row>
    <row r="795" spans="3:6">
      <c r="C795" s="234"/>
      <c r="D795" s="235"/>
      <c r="E795" s="235"/>
      <c r="F795" s="235"/>
    </row>
    <row r="796" spans="3:6">
      <c r="C796" s="234"/>
      <c r="D796" s="235"/>
      <c r="E796" s="235"/>
      <c r="F796" s="235"/>
    </row>
    <row r="797" spans="3:6">
      <c r="C797" s="234"/>
      <c r="D797" s="235"/>
      <c r="E797" s="235"/>
      <c r="F797" s="235"/>
    </row>
    <row r="798" spans="3:6">
      <c r="C798" s="234"/>
      <c r="D798" s="235"/>
      <c r="E798" s="235"/>
      <c r="F798" s="235"/>
    </row>
    <row r="799" spans="3:6">
      <c r="C799" s="234"/>
      <c r="D799" s="235"/>
      <c r="E799" s="235"/>
      <c r="F799" s="235"/>
    </row>
    <row r="800" spans="3:6">
      <c r="C800" s="234"/>
      <c r="D800" s="235"/>
      <c r="E800" s="235"/>
      <c r="F800" s="235"/>
    </row>
    <row r="801" spans="3:6">
      <c r="C801" s="234"/>
      <c r="D801" s="235"/>
      <c r="E801" s="235"/>
      <c r="F801" s="235"/>
    </row>
    <row r="802" spans="3:6">
      <c r="C802" s="234"/>
      <c r="D802" s="235"/>
      <c r="E802" s="235"/>
      <c r="F802" s="235"/>
    </row>
    <row r="803" spans="3:6">
      <c r="C803" s="234"/>
      <c r="D803" s="235"/>
      <c r="E803" s="235"/>
      <c r="F803" s="235"/>
    </row>
    <row r="804" spans="3:6">
      <c r="C804" s="234"/>
      <c r="D804" s="235"/>
      <c r="E804" s="235"/>
      <c r="F804" s="235"/>
    </row>
    <row r="805" spans="3:6">
      <c r="C805" s="234"/>
      <c r="D805" s="235"/>
      <c r="E805" s="235"/>
      <c r="F805" s="235"/>
    </row>
    <row r="806" spans="3:6">
      <c r="C806" s="234"/>
      <c r="D806" s="235"/>
      <c r="E806" s="235"/>
      <c r="F806" s="235"/>
    </row>
    <row r="807" spans="3:6">
      <c r="C807" s="234"/>
      <c r="D807" s="235"/>
      <c r="E807" s="235"/>
      <c r="F807" s="235"/>
    </row>
    <row r="808" spans="3:6">
      <c r="C808" s="234"/>
      <c r="D808" s="235"/>
      <c r="E808" s="235"/>
      <c r="F808" s="235"/>
    </row>
    <row r="809" spans="3:6">
      <c r="C809" s="234"/>
      <c r="D809" s="235"/>
      <c r="E809" s="235"/>
      <c r="F809" s="235"/>
    </row>
    <row r="810" spans="3:6">
      <c r="C810" s="234"/>
      <c r="D810" s="235"/>
      <c r="E810" s="235"/>
      <c r="F810" s="235"/>
    </row>
    <row r="811" spans="3:6">
      <c r="C811" s="234"/>
      <c r="D811" s="235"/>
      <c r="E811" s="235"/>
      <c r="F811" s="235"/>
    </row>
    <row r="812" spans="3:6">
      <c r="C812" s="234"/>
      <c r="D812" s="235"/>
      <c r="E812" s="235"/>
      <c r="F812" s="235"/>
    </row>
    <row r="813" spans="3:6">
      <c r="C813" s="234"/>
      <c r="D813" s="235"/>
      <c r="E813" s="235"/>
      <c r="F813" s="235"/>
    </row>
    <row r="814" spans="3:6">
      <c r="C814" s="234"/>
      <c r="D814" s="235"/>
      <c r="E814" s="235"/>
      <c r="F814" s="235"/>
    </row>
    <row r="815" spans="3:6">
      <c r="C815" s="234"/>
      <c r="D815" s="235"/>
      <c r="E815" s="235"/>
      <c r="F815" s="235"/>
    </row>
    <row r="816" spans="3:6">
      <c r="C816" s="234"/>
      <c r="D816" s="235"/>
      <c r="E816" s="235"/>
      <c r="F816" s="235"/>
    </row>
    <row r="817" spans="3:6">
      <c r="C817" s="234"/>
      <c r="D817" s="235"/>
      <c r="E817" s="235"/>
      <c r="F817" s="235"/>
    </row>
    <row r="818" spans="3:6">
      <c r="C818" s="234"/>
      <c r="D818" s="235"/>
      <c r="E818" s="235"/>
      <c r="F818" s="235"/>
    </row>
    <row r="819" spans="3:6">
      <c r="C819" s="234"/>
      <c r="D819" s="235"/>
      <c r="E819" s="235"/>
      <c r="F819" s="235"/>
    </row>
    <row r="820" spans="3:6">
      <c r="C820" s="234"/>
      <c r="D820" s="235"/>
      <c r="E820" s="235"/>
      <c r="F820" s="235"/>
    </row>
    <row r="821" spans="3:6">
      <c r="C821" s="234"/>
      <c r="D821" s="235"/>
      <c r="E821" s="235"/>
      <c r="F821" s="235"/>
    </row>
    <row r="822" spans="3:6">
      <c r="C822" s="234"/>
      <c r="D822" s="235"/>
      <c r="E822" s="235"/>
      <c r="F822" s="235"/>
    </row>
    <row r="823" spans="3:6">
      <c r="C823" s="234"/>
      <c r="D823" s="235"/>
      <c r="E823" s="235"/>
      <c r="F823" s="235"/>
    </row>
    <row r="824" spans="3:6">
      <c r="C824" s="234"/>
      <c r="D824" s="235"/>
      <c r="E824" s="235"/>
      <c r="F824" s="235"/>
    </row>
    <row r="825" spans="3:6">
      <c r="C825" s="234"/>
      <c r="D825" s="235"/>
      <c r="E825" s="235"/>
      <c r="F825" s="235"/>
    </row>
    <row r="826" spans="3:6">
      <c r="C826" s="234"/>
      <c r="D826" s="235"/>
      <c r="E826" s="235"/>
      <c r="F826" s="235"/>
    </row>
  </sheetData>
  <mergeCells count="6">
    <mergeCell ref="R26:T26"/>
    <mergeCell ref="A5:C5"/>
    <mergeCell ref="A6:C6"/>
    <mergeCell ref="R7:T7"/>
    <mergeCell ref="R8:T8"/>
    <mergeCell ref="S25:T25"/>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5:T25" xr:uid="{00000000-0002-0000-2300-000000000000}">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5">
    <tabColor theme="4" tint="0.39997558519241921"/>
  </sheetPr>
  <dimension ref="A1:CG81"/>
  <sheetViews>
    <sheetView showGridLines="0" workbookViewId="0"/>
  </sheetViews>
  <sheetFormatPr defaultColWidth="9.140625" defaultRowHeight="15"/>
  <cols>
    <col min="1" max="1" width="24.42578125" style="298" bestFit="1" customWidth="1"/>
    <col min="2" max="2" width="5.28515625" style="298" bestFit="1" customWidth="1"/>
    <col min="3" max="3" width="17.5703125" style="298" customWidth="1"/>
    <col min="4" max="4" width="19" style="298" customWidth="1"/>
    <col min="5" max="14" width="15.42578125" style="298" customWidth="1"/>
    <col min="15" max="22" width="9.140625" style="298"/>
    <col min="23" max="23" width="17.85546875" style="298" customWidth="1"/>
    <col min="24" max="16384" width="9.140625" style="298"/>
  </cols>
  <sheetData>
    <row r="1" spans="1:85">
      <c r="M1" s="95"/>
      <c r="N1" s="95"/>
      <c r="O1" s="95"/>
      <c r="P1" s="95"/>
      <c r="Q1" s="95"/>
      <c r="R1" s="95"/>
      <c r="S1" s="95"/>
      <c r="T1" s="95"/>
      <c r="U1" s="911"/>
      <c r="V1" s="297" t="s">
        <v>3</v>
      </c>
      <c r="W1" s="297" t="str">
        <f>"Nickel Exports "&amp;B6&amp;CHAR(10)&amp;"Total Value: $"&amp;TEXT(C21,"#,###")</f>
        <v>Nickel Exports 2023
Total Value: $</v>
      </c>
      <c r="X1" s="297" t="s">
        <v>240</v>
      </c>
      <c r="Y1" s="297">
        <f>IF($B$5="Calendar Year",MAX('Commodity Prices'!$BB$9:$BB$3488),CONCATENATE(MAX('Commodity Prices'!$BN$9:$BN$3487),"-",VALUE(RIGHT(MAX('Commodity Prices'!$BN$9:$BN$3487),2))+1))</f>
        <v>2023</v>
      </c>
      <c r="Z1" s="297">
        <f t="array" ref="Z1">MIN(IF('Commodity Prices'!$BA$9:$BA$3488=V1,'Commodity Prices'!$BB$9:$BB$3488))</f>
        <v>2007</v>
      </c>
      <c r="AA1" s="911"/>
      <c r="AB1" s="911"/>
      <c r="AC1" s="911"/>
      <c r="AD1" s="911"/>
      <c r="AE1" s="911"/>
      <c r="AF1" s="911"/>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row>
    <row r="2" spans="1:85">
      <c r="M2" s="95"/>
      <c r="N2" s="95"/>
      <c r="O2" s="95"/>
      <c r="P2" s="95"/>
      <c r="Q2" s="95"/>
      <c r="R2" s="95"/>
      <c r="S2" s="95"/>
      <c r="T2" s="95"/>
      <c r="U2" s="911"/>
      <c r="V2" s="297"/>
      <c r="W2" s="297" t="str">
        <f>IF($B$5=X1,IF(RIGHT(LEFT(B6,5),1)="-","Mismatch Error",""),IF(LEN(B6)=4,"Mismatch Error",""))</f>
        <v/>
      </c>
      <c r="X2" s="297" t="s">
        <v>246</v>
      </c>
      <c r="Y2" s="297">
        <f>IFERROR(IF($B$5=$X$1,IF($Z$1&lt;=(Y1-1),Y1-1,""),IF($Z$1=VALUE(LEFT(Y1,4)),"",CONCATENATE(VALUE(LEFT(Y1,4))-1,"-",RIGHT(LEFT(Y1,4),2)))),"")</f>
        <v>2022</v>
      </c>
      <c r="Z2" s="297"/>
      <c r="AA2" s="911"/>
      <c r="AB2" s="911"/>
      <c r="AC2" s="911"/>
      <c r="AD2" s="911"/>
      <c r="AE2" s="911"/>
      <c r="AF2" s="911"/>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row>
    <row r="3" spans="1:85">
      <c r="M3" s="95"/>
      <c r="N3" s="95"/>
      <c r="O3" s="95"/>
      <c r="P3" s="95"/>
      <c r="Q3" s="95"/>
      <c r="R3" s="95"/>
      <c r="S3" s="95"/>
      <c r="T3" s="95"/>
      <c r="U3" s="911"/>
      <c r="V3" s="297"/>
      <c r="W3" s="297"/>
      <c r="X3" s="297"/>
      <c r="Y3" s="297">
        <f t="shared" ref="Y3:Y25" si="0">IFERROR(IF($B$5=$X$1,IF($Z$1&lt;=(Y2-1),Y2-1,""),IF($Z$1=VALUE(LEFT(Y2,4)),"",CONCATENATE(VALUE(LEFT(Y2,4))-1,"-",RIGHT(LEFT(Y2,4),2)))),"")</f>
        <v>2021</v>
      </c>
      <c r="Z3" s="297"/>
      <c r="AA3" s="911"/>
      <c r="AB3" s="911"/>
      <c r="AC3" s="911"/>
      <c r="AD3" s="911"/>
      <c r="AE3" s="911"/>
      <c r="AF3" s="911"/>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row>
    <row r="4" spans="1:85" ht="24.75" customHeight="1" thickBot="1">
      <c r="M4" s="95"/>
      <c r="N4" s="95"/>
      <c r="O4" s="95"/>
      <c r="P4" s="95"/>
      <c r="Q4" s="95"/>
      <c r="R4" s="95"/>
      <c r="S4" s="95"/>
      <c r="T4" s="95"/>
      <c r="U4" s="911"/>
      <c r="V4" s="297"/>
      <c r="W4" s="297"/>
      <c r="X4" s="297"/>
      <c r="Y4" s="297">
        <f t="shared" si="0"/>
        <v>2020</v>
      </c>
      <c r="Z4" s="297"/>
      <c r="AA4" s="911"/>
      <c r="AB4" s="911"/>
      <c r="AC4" s="911"/>
      <c r="AD4" s="911"/>
      <c r="AE4" s="911"/>
      <c r="AF4" s="911"/>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row>
    <row r="5" spans="1:85">
      <c r="A5" s="1517" t="s">
        <v>247</v>
      </c>
      <c r="B5" s="2054" t="s">
        <v>240</v>
      </c>
      <c r="C5" s="2054"/>
      <c r="D5" s="2055"/>
      <c r="E5" s="296"/>
      <c r="M5" s="95"/>
      <c r="N5" s="95"/>
      <c r="O5" s="95"/>
      <c r="P5" s="95"/>
      <c r="Q5" s="95"/>
      <c r="R5" s="95"/>
      <c r="S5" s="95"/>
      <c r="T5" s="95"/>
      <c r="U5" s="911"/>
      <c r="V5" s="297"/>
      <c r="W5" s="297"/>
      <c r="X5" s="297"/>
      <c r="Y5" s="297">
        <f t="shared" si="0"/>
        <v>2019</v>
      </c>
      <c r="Z5" s="297"/>
      <c r="AA5" s="911"/>
      <c r="AB5" s="911"/>
      <c r="AC5" s="911"/>
      <c r="AD5" s="911"/>
      <c r="AE5" s="911"/>
      <c r="AF5" s="911"/>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row>
    <row r="6" spans="1:85" ht="15.75" thickBot="1">
      <c r="A6" s="1518" t="s">
        <v>247</v>
      </c>
      <c r="B6" s="2056">
        <v>2023</v>
      </c>
      <c r="C6" s="2056"/>
      <c r="D6" s="2057"/>
      <c r="E6" s="296"/>
      <c r="M6" s="95"/>
      <c r="N6" s="95"/>
      <c r="O6" s="95"/>
      <c r="P6" s="95"/>
      <c r="Q6" s="95"/>
      <c r="R6" s="95"/>
      <c r="S6" s="95"/>
      <c r="T6" s="95"/>
      <c r="U6" s="911"/>
      <c r="V6" s="297"/>
      <c r="W6" s="297"/>
      <c r="X6" s="297"/>
      <c r="Y6" s="297">
        <f t="shared" si="0"/>
        <v>2018</v>
      </c>
      <c r="Z6" s="297"/>
      <c r="AA6" s="911"/>
      <c r="AB6" s="911"/>
      <c r="AC6" s="911"/>
      <c r="AD6" s="911"/>
      <c r="AE6" s="911"/>
      <c r="AF6" s="911"/>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row>
    <row r="7" spans="1:85">
      <c r="M7" s="95"/>
      <c r="N7" s="95"/>
      <c r="O7" s="95"/>
      <c r="P7" s="95"/>
      <c r="Q7" s="95"/>
      <c r="R7" s="95"/>
      <c r="S7" s="95"/>
      <c r="T7" s="95"/>
      <c r="U7" s="911"/>
      <c r="V7" s="297"/>
      <c r="W7" s="297"/>
      <c r="X7" s="297"/>
      <c r="Y7" s="297">
        <f t="shared" si="0"/>
        <v>2017</v>
      </c>
      <c r="Z7" s="297"/>
      <c r="AA7" s="911"/>
      <c r="AB7" s="911"/>
      <c r="AC7" s="911"/>
      <c r="AD7" s="911"/>
      <c r="AE7" s="911"/>
      <c r="AF7" s="911"/>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row>
    <row r="8" spans="1:85" ht="15.75" thickBot="1">
      <c r="A8" s="1948" t="str">
        <f>IF($B$6="Click here to select an option","Select a year above for display.",CONCATENATE("Exports ",B6))</f>
        <v>Exports 2023</v>
      </c>
      <c r="B8" s="1948"/>
      <c r="C8" s="1948"/>
      <c r="D8" s="1948"/>
      <c r="M8" s="95"/>
      <c r="N8" s="95"/>
      <c r="O8" s="95"/>
      <c r="P8" s="95"/>
      <c r="Q8" s="95"/>
      <c r="R8" s="95"/>
      <c r="S8" s="95"/>
      <c r="T8" s="95"/>
      <c r="U8" s="911"/>
      <c r="V8" s="297"/>
      <c r="W8" s="297"/>
      <c r="X8" s="297"/>
      <c r="Y8" s="297">
        <f t="shared" si="0"/>
        <v>2016</v>
      </c>
      <c r="Z8" s="297"/>
      <c r="AA8" s="911"/>
      <c r="AB8" s="911"/>
      <c r="AC8" s="911"/>
      <c r="AD8" s="911"/>
      <c r="AE8" s="911"/>
      <c r="AF8" s="911"/>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row>
    <row r="9" spans="1:85">
      <c r="A9" s="1517" t="s">
        <v>591</v>
      </c>
      <c r="B9" s="1526" t="s">
        <v>31</v>
      </c>
      <c r="C9" s="1273" t="s">
        <v>402</v>
      </c>
      <c r="D9" s="1274" t="s">
        <v>33</v>
      </c>
      <c r="M9" s="95"/>
      <c r="N9" s="95"/>
      <c r="O9" s="95"/>
      <c r="P9" s="95"/>
      <c r="Q9" s="95"/>
      <c r="R9" s="95"/>
      <c r="S9" s="95"/>
      <c r="T9" s="95"/>
      <c r="U9" s="911"/>
      <c r="V9" s="911"/>
      <c r="W9" s="946"/>
      <c r="X9" s="946"/>
      <c r="Y9" s="297">
        <f t="shared" si="0"/>
        <v>2015</v>
      </c>
      <c r="Z9" s="911"/>
      <c r="AA9" s="911"/>
      <c r="AB9" s="911"/>
      <c r="AC9" s="911"/>
      <c r="AD9" s="911"/>
      <c r="AE9" s="911"/>
      <c r="AF9" s="911"/>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row>
    <row r="10" spans="1:85">
      <c r="A10" s="631" t="str">
        <f t="array" ref="A10">IF($W$2="Mismatch Error","Mismatch Error",IF($B$5=$X$1,INDEX('Commodity Prices'!$BA$9:$BF$3498,MATCH(1,(('Commodity Prices'!$BA$9:$BA$3488)="Nickel")*(('Commodity Prices'!$BB$9:$BB$3488)=$B$6)*(('Commodity Prices'!$BD$9:$BD$3488)=B10),0),3),INDEX('Commodity Prices'!$BH$9:$BM$3487,MATCH(1,(('Commodity Prices'!$BH$9:$BH$3487)="Nickel")*(('Commodity Prices'!$BI$9:$BI$3487)=$B$6)*(('Commodity Prices'!$BK$9:$BK$3487)=B10),0),3)))</f>
        <v>China</v>
      </c>
      <c r="B10" s="630">
        <v>1</v>
      </c>
      <c r="C10" s="1786" t="str">
        <f t="array" ref="C10">IF($W$2="Mismatch Error","",IF($B$5=$X$1,INDEX('Commodity Prices'!$BA$9:$BF$3498,MATCH(1,(('Commodity Prices'!$BA$9:$BA$3488)="Nickel")*(('Commodity Prices'!$BB$9:$BB$3488)=$B$6)*(('Commodity Prices'!$BD$9:$BD$3488)=B10),0),5),INDEX('Commodity Prices'!$BH$9:$BM$3487,MATCH(1,(('Commodity Prices'!$BH$9:$BH$3487)="Nickel")*(('Commodity Prices'!$BI$9:$BI$3487)=$B$6)*(('Commodity Prices'!$BK$9:$BK$3487)=B10),0),5)))</f>
        <v>n/a</v>
      </c>
      <c r="D10" s="1302">
        <f t="array" ref="D10">IF($W$2="Mismatch Error","",IF($B$5=$X$1,INDEX('Commodity Prices'!$BA$9:$BF$3498,MATCH(1,(('Commodity Prices'!$BA$9:$BA$3488)="Nickel")*(('Commodity Prices'!$BB$9:$BB$3488)=$B$6)*(('Commodity Prices'!$BD$9:$BD$3488)=B10),0),6),INDEX('Commodity Prices'!$BH$9:$BM$3487,MATCH(1,(('Commodity Prices'!$BH$9:$BH$3487)="Nickel")*(('Commodity Prices'!$BI$9:$BI$3487)=$B$6)*(('Commodity Prices'!$BK$9:$BK$3487)=B10),0),6)))</f>
        <v>0.31812069234463508</v>
      </c>
      <c r="M10" s="95"/>
      <c r="N10" s="95"/>
      <c r="O10" s="95"/>
      <c r="P10" s="95"/>
      <c r="Q10" s="95"/>
      <c r="R10" s="95"/>
      <c r="S10" s="95"/>
      <c r="T10" s="95"/>
      <c r="U10" s="911"/>
      <c r="V10" s="911"/>
      <c r="W10" s="946"/>
      <c r="X10" s="946"/>
      <c r="Y10" s="297">
        <f t="shared" si="0"/>
        <v>2014</v>
      </c>
      <c r="Z10" s="911"/>
      <c r="AA10" s="911"/>
      <c r="AB10" s="911"/>
      <c r="AC10" s="911"/>
      <c r="AD10" s="911"/>
      <c r="AE10" s="911"/>
      <c r="AF10" s="911"/>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row>
    <row r="11" spans="1:85">
      <c r="A11" s="526" t="str">
        <f t="array" ref="A11">IF($W$2="Mismatch Error","",IF($B$5=$X$1,INDEX('Commodity Prices'!$BA$9:$BF$3498,MATCH(1,(('Commodity Prices'!$BA$9:$BA$3488)="Nickel")*(('Commodity Prices'!$BB$9:$BB$3488)=$B$6)*(('Commodity Prices'!$BD$9:$BD$3488)=B11),0),3),INDEX('Commodity Prices'!$BH$9:$BM$3487,MATCH(1,(('Commodity Prices'!$BH$9:$BH$3487)="Nickel")*(('Commodity Prices'!$BI$9:$BI$3487)=$B$6)*(('Commodity Prices'!$BK$9:$BK$3487)=B11),0),3)))</f>
        <v>Japan</v>
      </c>
      <c r="B11" s="569">
        <v>2</v>
      </c>
      <c r="C11" s="1775" t="str">
        <f t="array" ref="C11">IF($W$2="Mismatch Error","",IF($B$5=$X$1,INDEX('Commodity Prices'!$BA$9:$BF$3498,MATCH(1,(('Commodity Prices'!$BA$9:$BA$3488)="Nickel")*(('Commodity Prices'!$BB$9:$BB$3488)=$B$6)*(('Commodity Prices'!$BD$9:$BD$3488)=B11),0),5),INDEX('Commodity Prices'!$BH$9:$BM$3487,MATCH(1,(('Commodity Prices'!$BH$9:$BH$3487)="Nickel")*(('Commodity Prices'!$BI$9:$BI$3487)=$B$6)*(('Commodity Prices'!$BK$9:$BK$3487)=B11),0),5)))</f>
        <v>n/a</v>
      </c>
      <c r="D11" s="1303">
        <f t="array" ref="D11">IF($W$2="Mismatch Error","",IF($B$5=$X$1,INDEX('Commodity Prices'!$BA$9:$BF$3498,MATCH(1,(('Commodity Prices'!$BA$9:$BA$3488)="Nickel")*(('Commodity Prices'!$BB$9:$BB$3488)=$B$6)*(('Commodity Prices'!$BD$9:$BD$3488)=B11),0),6),INDEX('Commodity Prices'!$BH$9:$BM$3487,MATCH(1,(('Commodity Prices'!$BH$9:$BH$3487)="Nickel")*(('Commodity Prices'!$BI$9:$BI$3487)=$B$6)*(('Commodity Prices'!$BK$9:$BK$3487)=B11),0),6)))</f>
        <v>0.15735807940759852</v>
      </c>
      <c r="M11" s="95"/>
      <c r="N11" s="95"/>
      <c r="O11" s="95"/>
      <c r="P11" s="95"/>
      <c r="Q11" s="95"/>
      <c r="R11" s="95"/>
      <c r="S11" s="95"/>
      <c r="T11" s="95"/>
      <c r="U11" s="911"/>
      <c r="V11" s="911"/>
      <c r="W11" s="946"/>
      <c r="X11" s="946"/>
      <c r="Y11" s="297">
        <f t="shared" si="0"/>
        <v>2013</v>
      </c>
      <c r="Z11" s="911"/>
      <c r="AA11" s="911"/>
      <c r="AB11" s="911"/>
      <c r="AC11" s="911"/>
      <c r="AD11" s="911"/>
      <c r="AE11" s="911"/>
      <c r="AF11" s="911"/>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row>
    <row r="12" spans="1:85">
      <c r="A12" s="631" t="str">
        <f t="array" ref="A12">IF($W$2="Mismatch Error","",IF($B$5=$X$1,INDEX('Commodity Prices'!$BA$9:$BF$3498,MATCH(1,(('Commodity Prices'!$BA$9:$BA$3488)="Nickel")*(('Commodity Prices'!$BB$9:$BB$3488)=$B$6)*(('Commodity Prices'!$BD$9:$BD$3488)=B12),0),3),INDEX('Commodity Prices'!$BH$9:$BM$3487,MATCH(1,(('Commodity Prices'!$BH$9:$BH$3487)="Nickel")*(('Commodity Prices'!$BI$9:$BI$3487)=$B$6)*(('Commodity Prices'!$BK$9:$BK$3487)=B12),0),3)))</f>
        <v>Korea, Republic Of (South)</v>
      </c>
      <c r="B12" s="630">
        <v>3</v>
      </c>
      <c r="C12" s="1786" t="str">
        <f t="array" ref="C12">IF($W$2="Mismatch Error","",IF($B$5=$X$1,INDEX('Commodity Prices'!$BA$9:$BF$3498,MATCH(1,(('Commodity Prices'!$BA$9:$BA$3488)="Nickel")*(('Commodity Prices'!$BB$9:$BB$3488)=$B$6)*(('Commodity Prices'!$BD$9:$BD$3488)=B12),0),5),INDEX('Commodity Prices'!$BH$9:$BM$3487,MATCH(1,(('Commodity Prices'!$BH$9:$BH$3487)="Nickel")*(('Commodity Prices'!$BI$9:$BI$3487)=$B$6)*(('Commodity Prices'!$BK$9:$BK$3487)=B12),0),5)))</f>
        <v>n/a</v>
      </c>
      <c r="D12" s="1302">
        <f t="array" ref="D12">IF($W$2="Mismatch Error","",IF($B$5=$X$1,INDEX('Commodity Prices'!$BA$9:$BF$3498,MATCH(1,(('Commodity Prices'!$BA$9:$BA$3488)="Nickel")*(('Commodity Prices'!$BB$9:$BB$3488)=$B$6)*(('Commodity Prices'!$BD$9:$BD$3488)=B12),0),6),INDEX('Commodity Prices'!$BH$9:$BM$3487,MATCH(1,(('Commodity Prices'!$BH$9:$BH$3487)="Nickel")*(('Commodity Prices'!$BI$9:$BI$3487)=$B$6)*(('Commodity Prices'!$BK$9:$BK$3487)=B12),0),6)))</f>
        <v>0.12594909200058171</v>
      </c>
      <c r="T12" s="95"/>
      <c r="U12" s="911"/>
      <c r="V12" s="911"/>
      <c r="W12" s="946"/>
      <c r="X12" s="946"/>
      <c r="Y12" s="297">
        <f t="shared" si="0"/>
        <v>2012</v>
      </c>
      <c r="Z12" s="911"/>
      <c r="AA12" s="911"/>
      <c r="AB12" s="911"/>
      <c r="AC12" s="911"/>
      <c r="AD12" s="911"/>
      <c r="AE12" s="911"/>
      <c r="AF12" s="911"/>
    </row>
    <row r="13" spans="1:85">
      <c r="A13" s="526" t="str">
        <f t="array" ref="A13">IF($W$2="Mismatch Error","",IF($B$5=$X$1,INDEX('Commodity Prices'!$BA$9:$BF$3498,MATCH(1,(('Commodity Prices'!$BA$9:$BA$3488)="Nickel")*(('Commodity Prices'!$BB$9:$BB$3488)=$B$6)*(('Commodity Prices'!$BD$9:$BD$3488)=B13),0),3),INDEX('Commodity Prices'!$BH$9:$BM$3487,MATCH(1,(('Commodity Prices'!$BH$9:$BH$3487)="Nickel")*(('Commodity Prices'!$BI$9:$BI$3487)=$B$6)*(('Commodity Prices'!$BK$9:$BK$3487)=B13),0),3)))</f>
        <v>Norway</v>
      </c>
      <c r="B13" s="569">
        <v>4</v>
      </c>
      <c r="C13" s="1775" t="str">
        <f t="array" ref="C13">IF($W$2="Mismatch Error","",IF($B$5=$X$1,INDEX('Commodity Prices'!$BA$9:$BF$3498,MATCH(1,(('Commodity Prices'!$BA$9:$BA$3488)="Nickel")*(('Commodity Prices'!$BB$9:$BB$3488)=$B$6)*(('Commodity Prices'!$BD$9:$BD$3488)=B13),0),5),INDEX('Commodity Prices'!$BH$9:$BM$3487,MATCH(1,(('Commodity Prices'!$BH$9:$BH$3487)="Nickel")*(('Commodity Prices'!$BI$9:$BI$3487)=$B$6)*(('Commodity Prices'!$BK$9:$BK$3487)=B13),0),5)))</f>
        <v>n/a</v>
      </c>
      <c r="D13" s="1303">
        <f t="array" ref="D13">IF($W$2="Mismatch Error","",IF($B$5=$X$1,INDEX('Commodity Prices'!$BA$9:$BF$3498,MATCH(1,(('Commodity Prices'!$BA$9:$BA$3488)="Nickel")*(('Commodity Prices'!$BB$9:$BB$3488)=$B$6)*(('Commodity Prices'!$BD$9:$BD$3488)=B13),0),6),INDEX('Commodity Prices'!$BH$9:$BM$3487,MATCH(1,(('Commodity Prices'!$BH$9:$BH$3487)="Nickel")*(('Commodity Prices'!$BI$9:$BI$3487)=$B$6)*(('Commodity Prices'!$BK$9:$BK$3487)=B13),0),6)))</f>
        <v>0.11539728335016294</v>
      </c>
      <c r="U13" s="911"/>
      <c r="V13" s="911"/>
      <c r="W13" s="911"/>
      <c r="X13" s="911"/>
      <c r="Y13" s="297">
        <f t="shared" si="0"/>
        <v>2011</v>
      </c>
      <c r="Z13" s="911"/>
      <c r="AA13" s="911"/>
      <c r="AB13" s="911"/>
      <c r="AC13" s="911"/>
      <c r="AD13" s="911"/>
      <c r="AE13" s="911"/>
      <c r="AF13" s="911"/>
    </row>
    <row r="14" spans="1:85">
      <c r="A14" s="631" t="str">
        <f t="array" ref="A14">IF($W$2="Mismatch Error","",IF($B$5=$X$1,INDEX('Commodity Prices'!$BA$9:$BF$3498,MATCH(1,(('Commodity Prices'!$BA$9:$BA$3488)="Nickel")*(('Commodity Prices'!$BB$9:$BB$3488)=$B$6)*(('Commodity Prices'!$BD$9:$BD$3488)=B14),0),3),INDEX('Commodity Prices'!$BH$9:$BM$3487,MATCH(1,(('Commodity Prices'!$BH$9:$BH$3487)="Nickel")*(('Commodity Prices'!$BI$9:$BI$3487)=$B$6)*(('Commodity Prices'!$BK$9:$BK$3487)=B14),0),3)))</f>
        <v>Netherlands</v>
      </c>
      <c r="B14" s="630">
        <v>5</v>
      </c>
      <c r="C14" s="1786" t="str">
        <f t="array" ref="C14">IF($W$2="Mismatch Error","",IF($B$5=$X$1,INDEX('Commodity Prices'!$BA$9:$BF$3498,MATCH(1,(('Commodity Prices'!$BA$9:$BA$3488)="Nickel")*(('Commodity Prices'!$BB$9:$BB$3488)=$B$6)*(('Commodity Prices'!$BD$9:$BD$3488)=B14),0),5),INDEX('Commodity Prices'!$BH$9:$BM$3487,MATCH(1,(('Commodity Prices'!$BH$9:$BH$3487)="Nickel")*(('Commodity Prices'!$BI$9:$BI$3487)=$B$6)*(('Commodity Prices'!$BK$9:$BK$3487)=B14),0),5)))</f>
        <v>n/a</v>
      </c>
      <c r="D14" s="1302">
        <f t="array" ref="D14">IF($W$2="Mismatch Error","",IF($B$5=$X$1,INDEX('Commodity Prices'!$BA$9:$BF$3498,MATCH(1,(('Commodity Prices'!$BA$9:$BA$3488)="Nickel")*(('Commodity Prices'!$BB$9:$BB$3488)=$B$6)*(('Commodity Prices'!$BD$9:$BD$3488)=B14),0),6),INDEX('Commodity Prices'!$BH$9:$BM$3487,MATCH(1,(('Commodity Prices'!$BH$9:$BH$3487)="Nickel")*(('Commodity Prices'!$BI$9:$BI$3487)=$B$6)*(('Commodity Prices'!$BK$9:$BK$3487)=B14),0),6)))</f>
        <v>9.5426933898526481E-2</v>
      </c>
      <c r="U14" s="911"/>
      <c r="V14" s="911"/>
      <c r="W14" s="911"/>
      <c r="X14" s="911"/>
      <c r="Y14" s="297">
        <f t="shared" si="0"/>
        <v>2010</v>
      </c>
      <c r="Z14" s="911"/>
      <c r="AA14" s="911"/>
      <c r="AB14" s="911"/>
      <c r="AC14" s="911"/>
      <c r="AD14" s="911"/>
      <c r="AE14" s="911"/>
      <c r="AF14" s="911"/>
    </row>
    <row r="15" spans="1:85">
      <c r="A15" s="526" t="str">
        <f t="array" ref="A15">IF($W$2="Mismatch Error","",IF($B$5=$X$1,INDEX('Commodity Prices'!$BA$9:$BF$3498,MATCH(1,(('Commodity Prices'!$BA$9:$BA$3488)="Nickel")*(('Commodity Prices'!$BB$9:$BB$3488)=$B$6)*(('Commodity Prices'!$BD$9:$BD$3488)=B15),0),3),INDEX('Commodity Prices'!$BH$9:$BM$3487,MATCH(1,(('Commodity Prices'!$BH$9:$BH$3487)="Nickel")*(('Commodity Prices'!$BI$9:$BI$3487)=$B$6)*(('Commodity Prices'!$BK$9:$BK$3487)=B15),0),3)))</f>
        <v>Canada</v>
      </c>
      <c r="B15" s="569">
        <v>6</v>
      </c>
      <c r="C15" s="1775" t="str">
        <f t="array" ref="C15">IF($W$2="Mismatch Error","",IF($B$5=$X$1,INDEX('Commodity Prices'!$BA$9:$BF$3498,MATCH(1,(('Commodity Prices'!$BA$9:$BA$3488)="Nickel")*(('Commodity Prices'!$BB$9:$BB$3488)=$B$6)*(('Commodity Prices'!$BD$9:$BD$3488)=B15),0),5),INDEX('Commodity Prices'!$BH$9:$BM$3487,MATCH(1,(('Commodity Prices'!$BH$9:$BH$3487)="Nickel")*(('Commodity Prices'!$BI$9:$BI$3487)=$B$6)*(('Commodity Prices'!$BK$9:$BK$3487)=B15),0),5)))</f>
        <v>n/a</v>
      </c>
      <c r="D15" s="1303">
        <f t="array" ref="D15">IF($W$2="Mismatch Error","",IF($B$5=$X$1,INDEX('Commodity Prices'!$BA$9:$BF$3498,MATCH(1,(('Commodity Prices'!$BA$9:$BA$3488)="Nickel")*(('Commodity Prices'!$BB$9:$BB$3488)=$B$6)*(('Commodity Prices'!$BD$9:$BD$3488)=B15),0),6),INDEX('Commodity Prices'!$BH$9:$BM$3487,MATCH(1,(('Commodity Prices'!$BH$9:$BH$3487)="Nickel")*(('Commodity Prices'!$BI$9:$BI$3487)=$B$6)*(('Commodity Prices'!$BK$9:$BK$3487)=B15),0),6)))</f>
        <v>7.0257914107737351E-2</v>
      </c>
      <c r="Y15" s="297">
        <f t="shared" si="0"/>
        <v>2009</v>
      </c>
    </row>
    <row r="16" spans="1:85">
      <c r="A16" s="631" t="str">
        <f t="array" ref="A16">IF($W$2="Mismatch Error","",IF($B$5=$X$1,INDEX('Commodity Prices'!$BA$9:$BF$3498,MATCH(1,(('Commodity Prices'!$BA$9:$BA$3488)="Nickel")*(('Commodity Prices'!$BB$9:$BB$3488)=$B$6)*(('Commodity Prices'!$BD$9:$BD$3488)=B16),0),3),INDEX('Commodity Prices'!$BH$9:$BM$3487,MATCH(1,(('Commodity Prices'!$BH$9:$BH$3487)="Nickel")*(('Commodity Prices'!$BI$9:$BI$3487)=$B$6)*(('Commodity Prices'!$BK$9:$BK$3487)=B16),0),3)))</f>
        <v>Taiwan</v>
      </c>
      <c r="B16" s="630">
        <v>7</v>
      </c>
      <c r="C16" s="1786" t="str">
        <f t="array" ref="C16">IF($W$2="Mismatch Error","",IF($B$5=$X$1,INDEX('Commodity Prices'!$BA$9:$BF$3498,MATCH(1,(('Commodity Prices'!$BA$9:$BA$3488)="Nickel")*(('Commodity Prices'!$BB$9:$BB$3488)=$B$6)*(('Commodity Prices'!$BD$9:$BD$3488)=B16),0),5),INDEX('Commodity Prices'!$BH$9:$BM$3487,MATCH(1,(('Commodity Prices'!$BH$9:$BH$3487)="Nickel")*(('Commodity Prices'!$BI$9:$BI$3487)=$B$6)*(('Commodity Prices'!$BK$9:$BK$3487)=B16),0),5)))</f>
        <v>n/a</v>
      </c>
      <c r="D16" s="1302">
        <f t="array" ref="D16">IF($W$2="Mismatch Error","",IF($B$5=$X$1,INDEX('Commodity Prices'!$BA$9:$BF$3498,MATCH(1,(('Commodity Prices'!$BA$9:$BA$3488)="Nickel")*(('Commodity Prices'!$BB$9:$BB$3488)=$B$6)*(('Commodity Prices'!$BD$9:$BD$3488)=B16),0),6),INDEX('Commodity Prices'!$BH$9:$BM$3487,MATCH(1,(('Commodity Prices'!$BH$9:$BH$3487)="Nickel")*(('Commodity Prices'!$BI$9:$BI$3487)=$B$6)*(('Commodity Prices'!$BK$9:$BK$3487)=B16),0),6)))</f>
        <v>3.5076283841182242E-2</v>
      </c>
      <c r="Y16" s="297">
        <f t="shared" si="0"/>
        <v>2008</v>
      </c>
    </row>
    <row r="17" spans="1:25">
      <c r="A17" s="526" t="str">
        <f t="array" ref="A17">IF($W$2="Mismatch Error","",IF($B$5=$X$1,INDEX('Commodity Prices'!$BA$9:$BF$3498,MATCH(1,(('Commodity Prices'!$BA$9:$BA$3488)="Nickel")*(('Commodity Prices'!$BB$9:$BB$3488)=$B$6)*(('Commodity Prices'!$BD$9:$BD$3488)=B17),0),3),INDEX('Commodity Prices'!$BH$9:$BM$3487,MATCH(1,(('Commodity Prices'!$BH$9:$BH$3487)="Nickel")*(('Commodity Prices'!$BI$9:$BI$3487)=$B$6)*(('Commodity Prices'!$BK$9:$BK$3487)=B17),0),3)))</f>
        <v>Sweden</v>
      </c>
      <c r="B17" s="569">
        <v>8</v>
      </c>
      <c r="C17" s="1775" t="str">
        <f t="array" ref="C17">IF($W$2="Mismatch Error","",IF($B$5=$X$1,INDEX('Commodity Prices'!$BA$9:$BF$3498,MATCH(1,(('Commodity Prices'!$BA$9:$BA$3488)="Nickel")*(('Commodity Prices'!$BB$9:$BB$3488)=$B$6)*(('Commodity Prices'!$BD$9:$BD$3488)=B17),0),5),INDEX('Commodity Prices'!$BH$9:$BM$3487,MATCH(1,(('Commodity Prices'!$BH$9:$BH$3487)="Nickel")*(('Commodity Prices'!$BI$9:$BI$3487)=$B$6)*(('Commodity Prices'!$BK$9:$BK$3487)=B17),0),5)))</f>
        <v>n/a</v>
      </c>
      <c r="D17" s="1303">
        <f t="array" ref="D17">IF($W$2="Mismatch Error","",IF($B$5=$X$1,INDEX('Commodity Prices'!$BA$9:$BF$3498,MATCH(1,(('Commodity Prices'!$BA$9:$BA$3488)="Nickel")*(('Commodity Prices'!$BB$9:$BB$3488)=$B$6)*(('Commodity Prices'!$BD$9:$BD$3488)=B17),0),6),INDEX('Commodity Prices'!$BH$9:$BM$3487,MATCH(1,(('Commodity Prices'!$BH$9:$BH$3487)="Nickel")*(('Commodity Prices'!$BI$9:$BI$3487)=$B$6)*(('Commodity Prices'!$BK$9:$BK$3487)=B17),0),6)))</f>
        <v>2.8001534011993973E-2</v>
      </c>
      <c r="Y17" s="297">
        <f t="shared" si="0"/>
        <v>2007</v>
      </c>
    </row>
    <row r="18" spans="1:25">
      <c r="A18" s="631" t="str">
        <f t="array" ref="A18">IF($W$2="Mismatch Error","",IF($B$5=$X$1,INDEX('Commodity Prices'!$BA$9:$BF$3498,MATCH(1,(('Commodity Prices'!$BA$9:$BA$3488)="Nickel")*(('Commodity Prices'!$BB$9:$BB$3488)=$B$6)*(('Commodity Prices'!$BD$9:$BD$3488)=B18),0),3),INDEX('Commodity Prices'!$BH$9:$BM$3487,MATCH(1,(('Commodity Prices'!$BH$9:$BH$3487)="Nickel")*(('Commodity Prices'!$BI$9:$BI$3487)=$B$6)*(('Commodity Prices'!$BK$9:$BK$3487)=B18),0),3)))</f>
        <v>Singapore</v>
      </c>
      <c r="B18" s="630">
        <v>9</v>
      </c>
      <c r="C18" s="1786" t="str">
        <f t="array" ref="C18">IF($W$2="Mismatch Error","",IF($B$5=$X$1,INDEX('Commodity Prices'!$BA$9:$BF$3498,MATCH(1,(('Commodity Prices'!$BA$9:$BA$3488)="Nickel")*(('Commodity Prices'!$BB$9:$BB$3488)=$B$6)*(('Commodity Prices'!$BD$9:$BD$3488)=B18),0),5),INDEX('Commodity Prices'!$BH$9:$BM$3487,MATCH(1,(('Commodity Prices'!$BH$9:$BH$3487)="Nickel")*(('Commodity Prices'!$BI$9:$BI$3487)=$B$6)*(('Commodity Prices'!$BK$9:$BK$3487)=B18),0),5)))</f>
        <v>n/a</v>
      </c>
      <c r="D18" s="1302">
        <f t="array" ref="D18">IF($W$2="Mismatch Error","",IF($B$5=$X$1,INDEX('Commodity Prices'!$BA$9:$BF$3498,MATCH(1,(('Commodity Prices'!$BA$9:$BA$3488)="Nickel")*(('Commodity Prices'!$BB$9:$BB$3488)=$B$6)*(('Commodity Prices'!$BD$9:$BD$3488)=B18),0),6),INDEX('Commodity Prices'!$BH$9:$BM$3487,MATCH(1,(('Commodity Prices'!$BH$9:$BH$3487)="Nickel")*(('Commodity Prices'!$BI$9:$BI$3487)=$B$6)*(('Commodity Prices'!$BK$9:$BK$3487)=B18),0),6)))</f>
        <v>1.3087963497130855E-2</v>
      </c>
      <c r="Y18" s="297" t="str">
        <f t="shared" si="0"/>
        <v/>
      </c>
    </row>
    <row r="19" spans="1:25">
      <c r="A19" s="526" t="str">
        <f t="array" ref="A19">IF($W$2="Mismatch Error","",IF($B$5=$X$1,INDEX('Commodity Prices'!$BA$9:$BF$3498,MATCH(1,(('Commodity Prices'!$BA$9:$BA$3488)="Nickel")*(('Commodity Prices'!$BB$9:$BB$3488)=$B$6)*(('Commodity Prices'!$BD$9:$BD$3488)=B19),0),3),INDEX('Commodity Prices'!$BH$9:$BM$3487,MATCH(1,(('Commodity Prices'!$BH$9:$BH$3487)="Nickel")*(('Commodity Prices'!$BI$9:$BI$3487)=$B$6)*(('Commodity Prices'!$BK$9:$BK$3487)=B19),0),3)))</f>
        <v>United States</v>
      </c>
      <c r="B19" s="569">
        <v>10</v>
      </c>
      <c r="C19" s="1775" t="str">
        <f t="array" ref="C19">IF($W$2="Mismatch Error","",IF($B$5=$X$1,INDEX('Commodity Prices'!$BA$9:$BF$3498,MATCH(1,(('Commodity Prices'!$BA$9:$BA$3488)="Nickel")*(('Commodity Prices'!$BB$9:$BB$3488)=$B$6)*(('Commodity Prices'!$BD$9:$BD$3488)=B19),0),5),INDEX('Commodity Prices'!$BH$9:$BM$3487,MATCH(1,(('Commodity Prices'!$BH$9:$BH$3487)="Nickel")*(('Commodity Prices'!$BI$9:$BI$3487)=$B$6)*(('Commodity Prices'!$BK$9:$BK$3487)=B19),0),5)))</f>
        <v>n/a</v>
      </c>
      <c r="D19" s="1303">
        <f t="array" ref="D19">IF($W$2="Mismatch Error","",IF($B$5=$X$1,INDEX('Commodity Prices'!$BA$9:$BF$3498,MATCH(1,(('Commodity Prices'!$BA$9:$BA$3488)="Nickel")*(('Commodity Prices'!$BB$9:$BB$3488)=$B$6)*(('Commodity Prices'!$BD$9:$BD$3488)=B19),0),6),INDEX('Commodity Prices'!$BH$9:$BM$3487,MATCH(1,(('Commodity Prices'!$BH$9:$BH$3487)="Nickel")*(('Commodity Prices'!$BI$9:$BI$3487)=$B$6)*(('Commodity Prices'!$BK$9:$BK$3487)=B19),0),6)))</f>
        <v>1.0015955844046475E-2</v>
      </c>
      <c r="Y19" s="297" t="str">
        <f t="shared" si="0"/>
        <v/>
      </c>
    </row>
    <row r="20" spans="1:25">
      <c r="A20" s="631" t="str">
        <f>IF($W$2="Mismatch Error","","Other")</f>
        <v>Other</v>
      </c>
      <c r="B20" s="630"/>
      <c r="C20" s="1786" t="str">
        <f t="array" ref="C20">IF($W$2="Mismatch Error","",IF($B$5=$X$1,INDEX('Commodity Prices'!$BA$9:$BF$3498,MATCH(1,(('Commodity Prices'!$BA$9:$BA$3488)="Nickel")*(('Commodity Prices'!$BB$9:$BB$3488)=$B$6)*(('Commodity Prices'!$BD$9:$BD$3488)=B20),0),5),INDEX('Commodity Prices'!$BH$9:$BM$3487,MATCH(1,(('Commodity Prices'!$BH$9:$BH$3487)="Nickel")*(('Commodity Prices'!$BI$9:$BI$3487)=$B$6)*(('Commodity Prices'!$BK$9:$BK$3487)=B20),0),5)))</f>
        <v>n/a</v>
      </c>
      <c r="D20" s="1302">
        <f t="array" ref="D20">IF($W$2="Mismatch Error","",IF($B$5=$X$1,INDEX('Commodity Prices'!$BA$9:$BF$3498,MATCH(1,(('Commodity Prices'!$BA$9:$BA$3488)="Nickel")*(('Commodity Prices'!$BB$9:$BB$3488)=$B$6)*(('Commodity Prices'!$BD$9:$BD$3488)=B20),0),6),INDEX('Commodity Prices'!$BH$9:$BM$3487,MATCH(1,(('Commodity Prices'!$BH$9:$BH$3487)="Nickel")*(('Commodity Prices'!$BI$9:$BI$3487)=$B$6)*(('Commodity Prices'!$BK$9:$BK$3487)=B20),0),6)))</f>
        <v>3.1308267696404372E-2</v>
      </c>
      <c r="Y20" s="297" t="str">
        <f t="shared" si="0"/>
        <v/>
      </c>
    </row>
    <row r="21" spans="1:25" ht="15.75" thickBot="1">
      <c r="A21" s="1422" t="str">
        <f>IF($W$2="Mismatch Error","","Grand Total")</f>
        <v>Grand Total</v>
      </c>
      <c r="B21" s="1423"/>
      <c r="C21" s="1781">
        <f>IF($W$2="Mismatch Error","",IF($B$5=$X$1,SUMIFS('Commodity Prices'!$BE$9:$BE$3488,'Commodity Prices'!$BA$9:$BA$3488,"Nickel",'Commodity Prices'!$BB$9:$BB$3488,$B$6,'Commodity Prices'!$BC$9:$BC$3488,"TOTAL"),SUMIFS('Commodity Prices'!$BL$9:$BL$3487,'Commodity Prices'!$BH$9:$BH$3487,"Nickel",'Commodity Prices'!$BI$9:$BI$3487,$B$6,'Commodity Prices'!$BJ$9:$BJ$3487,"TOTAL")))</f>
        <v>0</v>
      </c>
      <c r="D21" s="1424"/>
      <c r="E21"/>
      <c r="Y21" s="297" t="str">
        <f t="shared" si="0"/>
        <v/>
      </c>
    </row>
    <row r="22" spans="1:25">
      <c r="Y22" s="297" t="str">
        <f t="shared" si="0"/>
        <v/>
      </c>
    </row>
    <row r="23" spans="1:25">
      <c r="A23" s="1762" t="str">
        <f>IF(A10="Mismatch Error","You have selected an incompatible year or year type. Change one or the other to display data.","")</f>
        <v/>
      </c>
      <c r="B23" s="1762"/>
      <c r="C23" s="1762"/>
      <c r="D23" s="1762"/>
      <c r="Y23" s="297" t="str">
        <f t="shared" si="0"/>
        <v/>
      </c>
    </row>
    <row r="24" spans="1:25">
      <c r="A24" s="1762"/>
      <c r="B24" s="1762"/>
      <c r="C24" s="1762"/>
      <c r="D24" s="1762"/>
      <c r="Y24" s="297" t="str">
        <f t="shared" si="0"/>
        <v/>
      </c>
    </row>
    <row r="25" spans="1:25" ht="15" customHeight="1">
      <c r="A25" s="1762"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2"/>
      <c r="C25" s="1762"/>
      <c r="D25" s="1762"/>
      <c r="Y25" s="297" t="str">
        <f t="shared" si="0"/>
        <v/>
      </c>
    </row>
    <row r="26" spans="1:25">
      <c r="A26" s="1762"/>
      <c r="B26" s="1762"/>
      <c r="C26" s="1762"/>
      <c r="D26" s="1762"/>
      <c r="Y26" s="297"/>
    </row>
    <row r="27" spans="1:25">
      <c r="A27" s="1762"/>
      <c r="B27" s="1762"/>
      <c r="C27" s="1762"/>
      <c r="D27" s="1762"/>
      <c r="Y27" s="297"/>
    </row>
    <row r="28" spans="1:25">
      <c r="A28" s="1762"/>
      <c r="B28" s="1762"/>
      <c r="C28" s="1762"/>
      <c r="D28" s="1762"/>
      <c r="Y28" s="297"/>
    </row>
    <row r="32" spans="1:25">
      <c r="E32" s="299"/>
    </row>
    <row r="33" spans="5:5">
      <c r="E33" s="299"/>
    </row>
    <row r="34" spans="5:5">
      <c r="E34" s="299"/>
    </row>
    <row r="35" spans="5:5">
      <c r="E35" s="299"/>
    </row>
    <row r="36" spans="5:5">
      <c r="E36" s="299"/>
    </row>
    <row r="37" spans="5:5">
      <c r="E37" s="299"/>
    </row>
    <row r="38" spans="5:5">
      <c r="E38" s="299"/>
    </row>
    <row r="39" spans="5:5">
      <c r="E39" s="299"/>
    </row>
    <row r="40" spans="5:5">
      <c r="E40" s="299"/>
    </row>
    <row r="41" spans="5:5">
      <c r="E41" s="299"/>
    </row>
    <row r="42" spans="5:5">
      <c r="E42" s="299"/>
    </row>
    <row r="43" spans="5:5">
      <c r="E43" s="299"/>
    </row>
    <row r="44" spans="5:5">
      <c r="E44" s="299"/>
    </row>
    <row r="45" spans="5:5">
      <c r="E45" s="299"/>
    </row>
    <row r="46" spans="5:5">
      <c r="E46" s="299"/>
    </row>
    <row r="47" spans="5:5">
      <c r="E47" s="299"/>
    </row>
    <row r="48" spans="5:5">
      <c r="E48" s="299"/>
    </row>
    <row r="49" spans="5:5">
      <c r="E49" s="299"/>
    </row>
    <row r="50" spans="5:5">
      <c r="E50" s="299"/>
    </row>
    <row r="51" spans="5:5">
      <c r="E51" s="299"/>
    </row>
    <row r="52" spans="5:5">
      <c r="E52" s="299"/>
    </row>
    <row r="53" spans="5:5">
      <c r="E53" s="299"/>
    </row>
    <row r="54" spans="5:5">
      <c r="E54" s="299"/>
    </row>
    <row r="55" spans="5:5">
      <c r="E55" s="299"/>
    </row>
    <row r="56" spans="5:5">
      <c r="E56" s="299"/>
    </row>
    <row r="57" spans="5:5">
      <c r="E57" s="299"/>
    </row>
    <row r="58" spans="5:5">
      <c r="E58" s="299"/>
    </row>
    <row r="59" spans="5:5">
      <c r="E59" s="299"/>
    </row>
    <row r="60" spans="5:5">
      <c r="E60" s="299"/>
    </row>
    <row r="61" spans="5:5">
      <c r="E61" s="299"/>
    </row>
    <row r="62" spans="5:5">
      <c r="E62" s="299"/>
    </row>
    <row r="63" spans="5:5">
      <c r="E63" s="299"/>
    </row>
    <row r="64" spans="5:5">
      <c r="E64" s="299"/>
    </row>
    <row r="67" spans="5:5">
      <c r="E67" s="299"/>
    </row>
    <row r="68" spans="5:5">
      <c r="E68" s="299"/>
    </row>
    <row r="69" spans="5:5">
      <c r="E69" s="299"/>
    </row>
    <row r="70" spans="5:5">
      <c r="E70" s="299"/>
    </row>
    <row r="71" spans="5:5">
      <c r="E71" s="299"/>
    </row>
    <row r="72" spans="5:5">
      <c r="E72" s="299"/>
    </row>
    <row r="73" spans="5:5">
      <c r="E73" s="299"/>
    </row>
    <row r="74" spans="5:5">
      <c r="E74" s="299"/>
    </row>
    <row r="75" spans="5:5">
      <c r="E75" s="299"/>
    </row>
    <row r="76" spans="5:5">
      <c r="E76" s="299"/>
    </row>
    <row r="77" spans="5:5">
      <c r="E77" s="299"/>
    </row>
    <row r="78" spans="5:5">
      <c r="E78" s="299"/>
    </row>
    <row r="79" spans="5:5">
      <c r="E79" s="299"/>
    </row>
    <row r="80" spans="5:5">
      <c r="E80" s="299"/>
    </row>
    <row r="81" spans="5:5">
      <c r="E81" s="299"/>
    </row>
  </sheetData>
  <mergeCells count="3">
    <mergeCell ref="B5:D5"/>
    <mergeCell ref="B6:D6"/>
    <mergeCell ref="A8:D8"/>
  </mergeCells>
  <dataValidations count="2">
    <dataValidation type="list" allowBlank="1" showInputMessage="1" showErrorMessage="1" promptTitle="Select a Display Factor:" prompt="Clicking here will bring up a message describing the selections you can make." sqref="B6:D6" xr:uid="{00000000-0002-0000-2400-000000000000}">
      <formula1>$Y$1:$Y$25</formula1>
    </dataValidation>
    <dataValidation type="list" allowBlank="1" showInputMessage="1" showErrorMessage="1" promptTitle="Select a Display Factor:" prompt="Clicking here will bring up a message describing the selections you can make." sqref="B5:D5" xr:uid="{00000000-0002-0000-2400-000001000000}">
      <formula1>$X$1:$X$2</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theme="4" tint="0.39997558519241921"/>
  </sheetPr>
  <dimension ref="A2:R63"/>
  <sheetViews>
    <sheetView showGridLines="0" workbookViewId="0"/>
  </sheetViews>
  <sheetFormatPr defaultColWidth="9.140625" defaultRowHeight="15"/>
  <cols>
    <col min="1" max="1" width="11.7109375" style="12" customWidth="1"/>
    <col min="2" max="2" width="27" style="12" bestFit="1" customWidth="1"/>
    <col min="3" max="3" width="25.5703125" style="12" bestFit="1" customWidth="1"/>
    <col min="4" max="5" width="1.7109375" style="12" customWidth="1"/>
    <col min="6" max="7" width="9.140625" style="12"/>
    <col min="8" max="8" width="21" style="12" bestFit="1" customWidth="1"/>
    <col min="9" max="9" width="19.42578125" style="12" bestFit="1" customWidth="1"/>
    <col min="10" max="13" width="9.140625" style="12"/>
    <col min="14" max="14" width="9.28515625" style="12" customWidth="1"/>
    <col min="15" max="16" width="9.140625" style="12" customWidth="1"/>
    <col min="17" max="17" width="27" style="12" bestFit="1" customWidth="1"/>
    <col min="18" max="18" width="25.5703125" style="12" bestFit="1" customWidth="1"/>
    <col min="19" max="19" width="10.85546875" style="12" customWidth="1"/>
    <col min="20" max="21" width="23.5703125" style="12" customWidth="1"/>
    <col min="22" max="16384" width="9.140625" style="12"/>
  </cols>
  <sheetData>
    <row r="2" spans="1:18">
      <c r="G2" s="383"/>
    </row>
    <row r="4" spans="1:18" ht="20.25" customHeight="1"/>
    <row r="5" spans="1:18" ht="15.75" thickBot="1">
      <c r="A5" s="1972" t="s">
        <v>578</v>
      </c>
      <c r="B5" s="1972"/>
      <c r="C5" s="1972"/>
      <c r="P5" s="1948" t="s">
        <v>497</v>
      </c>
      <c r="Q5" s="1948"/>
      <c r="R5" s="1948"/>
    </row>
    <row r="6" spans="1:18" ht="15.75" thickBot="1">
      <c r="A6" s="776" t="s">
        <v>34</v>
      </c>
      <c r="B6" s="1273" t="s">
        <v>40</v>
      </c>
      <c r="C6" s="1274" t="s">
        <v>41</v>
      </c>
      <c r="P6" s="1973" t="s">
        <v>411</v>
      </c>
      <c r="Q6" s="1973"/>
      <c r="R6" s="1973"/>
    </row>
    <row r="7" spans="1:18">
      <c r="A7" s="635">
        <v>1967</v>
      </c>
      <c r="B7" s="484">
        <v>0.29668549999999999</v>
      </c>
      <c r="C7" s="483">
        <v>0</v>
      </c>
      <c r="P7" s="777" t="s">
        <v>34</v>
      </c>
      <c r="Q7" s="1197" t="str">
        <f>B6</f>
        <v>Western Australia (Kt)</v>
      </c>
      <c r="R7" s="1198" t="str">
        <f>C6</f>
        <v>Rest of Australia (Kt)</v>
      </c>
    </row>
    <row r="8" spans="1:18">
      <c r="A8" s="635">
        <v>1968</v>
      </c>
      <c r="B8" s="615">
        <v>0.54866499999999996</v>
      </c>
      <c r="C8" s="616">
        <v>0</v>
      </c>
      <c r="P8" s="635">
        <f>LARGE(A$7:A$84,10)</f>
        <v>2014</v>
      </c>
      <c r="Q8" s="634">
        <f t="shared" ref="Q8:Q17" si="0">SUMIF($A$7:$A$89,$P8,B$7:B$89)</f>
        <v>218.56311600000001</v>
      </c>
      <c r="R8" s="1681">
        <f t="shared" ref="R8:R17" si="1">SUMIF($A$7:$A$89,$P8,C$7:C$89)</f>
        <v>0</v>
      </c>
    </row>
    <row r="9" spans="1:18">
      <c r="A9" s="635">
        <v>1969</v>
      </c>
      <c r="B9" s="484">
        <v>7.877408</v>
      </c>
      <c r="C9" s="483">
        <v>0</v>
      </c>
      <c r="P9" s="635">
        <f>LARGE(A$7:A$84,9)</f>
        <v>2015</v>
      </c>
      <c r="Q9" s="499">
        <f t="shared" si="0"/>
        <v>173.97419100000002</v>
      </c>
      <c r="R9" s="542">
        <f t="shared" si="1"/>
        <v>0</v>
      </c>
    </row>
    <row r="10" spans="1:18">
      <c r="A10" s="635">
        <v>1970</v>
      </c>
      <c r="B10" s="615">
        <v>31.609000000000002</v>
      </c>
      <c r="C10" s="616">
        <v>0</v>
      </c>
      <c r="P10" s="635">
        <f>LARGE(A$7:A$84,8)</f>
        <v>2016</v>
      </c>
      <c r="Q10" s="634">
        <f t="shared" si="0"/>
        <v>171.60430600000001</v>
      </c>
      <c r="R10" s="1681">
        <f t="shared" si="1"/>
        <v>0</v>
      </c>
    </row>
    <row r="11" spans="1:18">
      <c r="A11" s="635">
        <v>1971</v>
      </c>
      <c r="B11" s="484">
        <v>35.768999999999998</v>
      </c>
      <c r="C11" s="483">
        <v>0</v>
      </c>
      <c r="P11" s="635">
        <f>LARGE(A$7:A$84,7)</f>
        <v>2017</v>
      </c>
      <c r="Q11" s="499">
        <f t="shared" si="0"/>
        <v>166.42021699999998</v>
      </c>
      <c r="R11" s="542">
        <f t="shared" si="1"/>
        <v>0</v>
      </c>
    </row>
    <row r="12" spans="1:18">
      <c r="A12" s="635">
        <v>1972</v>
      </c>
      <c r="B12" s="615">
        <v>31.37</v>
      </c>
      <c r="C12" s="616">
        <v>0</v>
      </c>
      <c r="P12" s="635">
        <f>LARGE(A$7:A$84,6)</f>
        <v>2018</v>
      </c>
      <c r="Q12" s="634">
        <f t="shared" si="0"/>
        <v>149.29546400000001</v>
      </c>
      <c r="R12" s="1681">
        <f t="shared" si="1"/>
        <v>0</v>
      </c>
    </row>
    <row r="13" spans="1:18">
      <c r="A13" s="635">
        <v>1973</v>
      </c>
      <c r="B13" s="484">
        <v>40.228000000000002</v>
      </c>
      <c r="C13" s="483">
        <v>0</v>
      </c>
      <c r="P13" s="635">
        <f>LARGE(A$7:A$84,5)</f>
        <v>2019</v>
      </c>
      <c r="Q13" s="499">
        <f t="shared" si="0"/>
        <v>153.62417200000002</v>
      </c>
      <c r="R13" s="542">
        <f t="shared" si="1"/>
        <v>0</v>
      </c>
    </row>
    <row r="14" spans="1:18">
      <c r="A14" s="635">
        <v>1974</v>
      </c>
      <c r="B14" s="615">
        <v>45.93</v>
      </c>
      <c r="C14" s="616">
        <v>1.897</v>
      </c>
      <c r="P14" s="635">
        <f>LARGE(A$7:A$84,4)</f>
        <v>2020</v>
      </c>
      <c r="Q14" s="634">
        <f t="shared" si="0"/>
        <v>165.123107</v>
      </c>
      <c r="R14" s="1681">
        <f t="shared" si="1"/>
        <v>0</v>
      </c>
    </row>
    <row r="15" spans="1:18">
      <c r="A15" s="635">
        <v>1975</v>
      </c>
      <c r="B15" s="484">
        <v>53.432000000000002</v>
      </c>
      <c r="C15" s="483">
        <v>22.393000000000001</v>
      </c>
      <c r="P15" s="635">
        <f>LARGE(A$7:A$84,3)</f>
        <v>2021</v>
      </c>
      <c r="Q15" s="499">
        <f t="shared" si="0"/>
        <v>150.02785600000001</v>
      </c>
      <c r="R15" s="542">
        <f t="shared" si="1"/>
        <v>0</v>
      </c>
    </row>
    <row r="16" spans="1:18">
      <c r="A16" s="635">
        <v>1976</v>
      </c>
      <c r="B16" s="615">
        <v>58.000999999999998</v>
      </c>
      <c r="C16" s="616">
        <v>24.530999999999999</v>
      </c>
      <c r="P16" s="635">
        <f>LARGE(A$7:A$84,2)</f>
        <v>2022</v>
      </c>
      <c r="Q16" s="634">
        <f t="shared" si="0"/>
        <v>155.27040677045284</v>
      </c>
      <c r="R16" s="1681">
        <f t="shared" si="1"/>
        <v>1.653</v>
      </c>
    </row>
    <row r="17" spans="1:18" ht="15.75" thickBot="1">
      <c r="A17" s="635">
        <v>1977</v>
      </c>
      <c r="B17" s="484">
        <v>56.569000000000003</v>
      </c>
      <c r="C17" s="483">
        <v>29.298999999999999</v>
      </c>
      <c r="P17" s="415">
        <f>LARGE(A$7:A$84,1)</f>
        <v>2023</v>
      </c>
      <c r="Q17" s="502">
        <f t="shared" si="0"/>
        <v>149.42076699999998</v>
      </c>
      <c r="R17" s="611">
        <f t="shared" si="1"/>
        <v>3.6059999999999999</v>
      </c>
    </row>
    <row r="18" spans="1:18">
      <c r="A18" s="635">
        <v>1978</v>
      </c>
      <c r="B18" s="615">
        <v>50.723999999999997</v>
      </c>
      <c r="C18" s="616">
        <v>31.635000000000002</v>
      </c>
    </row>
    <row r="19" spans="1:18">
      <c r="A19" s="635">
        <v>1979</v>
      </c>
      <c r="B19" s="484">
        <v>43.688000000000002</v>
      </c>
      <c r="C19" s="483">
        <v>26.021000000000001</v>
      </c>
    </row>
    <row r="20" spans="1:18">
      <c r="A20" s="635">
        <v>1980</v>
      </c>
      <c r="B20" s="615">
        <v>43.597000000000001</v>
      </c>
      <c r="C20" s="616">
        <v>30.725999999999999</v>
      </c>
    </row>
    <row r="21" spans="1:18">
      <c r="A21" s="635">
        <v>1981</v>
      </c>
      <c r="B21" s="484">
        <v>47.768999999999998</v>
      </c>
      <c r="C21" s="483">
        <v>26.585999999999999</v>
      </c>
    </row>
    <row r="22" spans="1:18">
      <c r="A22" s="635">
        <v>1982</v>
      </c>
      <c r="B22" s="615">
        <v>57.545999999999999</v>
      </c>
      <c r="C22" s="616">
        <v>30.006</v>
      </c>
    </row>
    <row r="23" spans="1:18">
      <c r="A23" s="635">
        <v>1983</v>
      </c>
      <c r="B23" s="484">
        <v>57.973999999999997</v>
      </c>
      <c r="C23" s="483">
        <v>18.651</v>
      </c>
    </row>
    <row r="24" spans="1:18">
      <c r="A24" s="635">
        <v>1984</v>
      </c>
      <c r="B24" s="615">
        <v>58.837000000000003</v>
      </c>
      <c r="C24" s="616">
        <v>18.085999999999999</v>
      </c>
    </row>
    <row r="25" spans="1:18">
      <c r="A25" s="635">
        <v>1985</v>
      </c>
      <c r="B25" s="484">
        <v>55.936999999999998</v>
      </c>
      <c r="C25" s="483">
        <v>29.82</v>
      </c>
    </row>
    <row r="26" spans="1:18">
      <c r="A26" s="635">
        <v>1986</v>
      </c>
      <c r="B26" s="615">
        <v>49.228999999999999</v>
      </c>
      <c r="C26" s="616">
        <v>27.51</v>
      </c>
    </row>
    <row r="27" spans="1:18">
      <c r="A27" s="635">
        <v>1987</v>
      </c>
      <c r="B27" s="484">
        <v>47.588999999999999</v>
      </c>
      <c r="C27" s="483">
        <v>26.965</v>
      </c>
    </row>
    <row r="28" spans="1:18">
      <c r="A28" s="635">
        <v>1988</v>
      </c>
      <c r="B28" s="615">
        <v>36.302</v>
      </c>
      <c r="C28" s="616">
        <v>26.337</v>
      </c>
      <c r="O28" s="268"/>
      <c r="P28" s="268"/>
      <c r="Q28" s="268"/>
      <c r="R28" s="268"/>
    </row>
    <row r="29" spans="1:18">
      <c r="A29" s="635">
        <v>1989</v>
      </c>
      <c r="B29" s="484">
        <v>39</v>
      </c>
      <c r="C29" s="483">
        <v>26</v>
      </c>
      <c r="O29" s="268"/>
      <c r="P29" s="268"/>
      <c r="Q29" s="268"/>
      <c r="R29" s="268"/>
    </row>
    <row r="30" spans="1:18">
      <c r="A30" s="635">
        <v>1990</v>
      </c>
      <c r="B30" s="615">
        <v>51</v>
      </c>
      <c r="C30" s="616">
        <v>16</v>
      </c>
      <c r="O30" s="268"/>
      <c r="P30" s="268"/>
      <c r="Q30" s="268"/>
      <c r="R30" s="268"/>
    </row>
    <row r="31" spans="1:18">
      <c r="A31" s="635">
        <v>1991</v>
      </c>
      <c r="B31" s="484">
        <v>56</v>
      </c>
      <c r="C31" s="483">
        <v>13</v>
      </c>
      <c r="O31" s="268"/>
      <c r="P31" s="268"/>
      <c r="Q31" s="268"/>
      <c r="R31" s="268"/>
    </row>
    <row r="32" spans="1:18">
      <c r="A32" s="635">
        <v>1992</v>
      </c>
      <c r="B32" s="615">
        <v>48</v>
      </c>
      <c r="C32" s="616">
        <v>10</v>
      </c>
      <c r="O32" s="268"/>
      <c r="P32" s="268"/>
      <c r="Q32" s="268"/>
      <c r="R32" s="268"/>
    </row>
    <row r="33" spans="1:18">
      <c r="A33" s="635">
        <v>1993</v>
      </c>
      <c r="B33" s="484">
        <v>55.463000000000001</v>
      </c>
      <c r="C33" s="483">
        <v>14.537000000000001</v>
      </c>
      <c r="O33" s="268"/>
      <c r="P33" s="268"/>
      <c r="Q33" s="268"/>
      <c r="R33" s="268"/>
    </row>
    <row r="34" spans="1:18">
      <c r="A34" s="635">
        <v>1994</v>
      </c>
      <c r="B34" s="615">
        <v>77</v>
      </c>
      <c r="C34" s="616">
        <v>2</v>
      </c>
      <c r="O34" s="268"/>
      <c r="P34" s="268"/>
      <c r="Q34" s="268"/>
      <c r="R34" s="268"/>
    </row>
    <row r="35" spans="1:18">
      <c r="A35" s="635">
        <v>1995</v>
      </c>
      <c r="B35" s="484">
        <v>101.358</v>
      </c>
      <c r="C35" s="483">
        <v>0.64200000000000002</v>
      </c>
      <c r="O35" s="268"/>
      <c r="P35" s="268"/>
      <c r="Q35" s="268"/>
      <c r="R35" s="268"/>
    </row>
    <row r="36" spans="1:18">
      <c r="A36" s="635">
        <v>1996</v>
      </c>
      <c r="B36" s="615">
        <v>112.108</v>
      </c>
      <c r="C36" s="616">
        <v>4</v>
      </c>
      <c r="O36" s="268"/>
      <c r="P36" s="268"/>
      <c r="Q36" s="268"/>
      <c r="R36" s="268"/>
    </row>
    <row r="37" spans="1:18">
      <c r="A37" s="635">
        <v>1997</v>
      </c>
      <c r="B37" s="484">
        <v>122.991</v>
      </c>
      <c r="C37" s="483">
        <v>0</v>
      </c>
      <c r="O37" s="268"/>
      <c r="P37" s="268"/>
      <c r="Q37" s="268"/>
      <c r="R37" s="268"/>
    </row>
    <row r="38" spans="1:18">
      <c r="A38" s="635">
        <v>1998</v>
      </c>
      <c r="B38" s="615">
        <v>143.08199999999999</v>
      </c>
      <c r="C38" s="616">
        <v>0</v>
      </c>
      <c r="O38" s="268"/>
      <c r="P38" s="268"/>
      <c r="Q38" s="268"/>
      <c r="R38" s="268"/>
    </row>
    <row r="39" spans="1:18">
      <c r="A39" s="635">
        <v>1999</v>
      </c>
      <c r="B39" s="484">
        <f>SUMIF('Nickel - Q&amp;V'!$D$8:$D$200,'Nickel - WA vs Aus'!A39,'Nickel - Q&amp;V'!$B$8:$B$200)</f>
        <v>122.79599999999999</v>
      </c>
      <c r="C39" s="483">
        <v>0</v>
      </c>
      <c r="O39" s="268"/>
      <c r="P39" s="268"/>
      <c r="Q39" s="268"/>
      <c r="R39" s="268"/>
    </row>
    <row r="40" spans="1:18">
      <c r="A40" s="635">
        <v>2000</v>
      </c>
      <c r="B40" s="615">
        <f>SUMIF('Nickel - Q&amp;V'!$D$8:$D$200,'Nickel - WA vs Aus'!A40,'Nickel - Q&amp;V'!$B$8:$B$200)</f>
        <v>154.07399999999998</v>
      </c>
      <c r="C40" s="616">
        <v>0</v>
      </c>
      <c r="O40" s="268"/>
      <c r="P40" s="268"/>
      <c r="Q40" s="268"/>
      <c r="R40" s="268"/>
    </row>
    <row r="41" spans="1:18">
      <c r="A41" s="635">
        <v>2001</v>
      </c>
      <c r="B41" s="484">
        <f>SUMIF('Nickel - Q&amp;V'!$D$8:$D$200,'Nickel - WA vs Aus'!A41,'Nickel - Q&amp;V'!$B$8:$B$200)</f>
        <v>181.16899999999998</v>
      </c>
      <c r="C41" s="483">
        <v>0</v>
      </c>
      <c r="O41" s="268"/>
      <c r="P41" s="268"/>
      <c r="Q41" s="268"/>
      <c r="R41" s="268"/>
    </row>
    <row r="42" spans="1:18">
      <c r="A42" s="635">
        <v>2002</v>
      </c>
      <c r="B42" s="615">
        <f>SUMIF('Nickel - Q&amp;V'!$D$8:$D$200,'Nickel - WA vs Aus'!A42,'Nickel - Q&amp;V'!$B$8:$B$200)</f>
        <v>183.00200000000001</v>
      </c>
      <c r="C42" s="616">
        <v>0</v>
      </c>
      <c r="O42" s="268"/>
      <c r="P42" s="268"/>
      <c r="Q42" s="268"/>
      <c r="R42" s="268"/>
    </row>
    <row r="43" spans="1:18">
      <c r="A43" s="635">
        <v>2003</v>
      </c>
      <c r="B43" s="484">
        <f>SUMIF('Nickel - Q&amp;V'!$D$8:$D$200,'Nickel - WA vs Aus'!A43,'Nickel - Q&amp;V'!$B$8:$B$200)</f>
        <v>190.20999999999998</v>
      </c>
      <c r="C43" s="483">
        <v>0</v>
      </c>
    </row>
    <row r="44" spans="1:18">
      <c r="A44" s="635">
        <v>2004</v>
      </c>
      <c r="B44" s="615">
        <f>SUMIF('Nickel - Q&amp;V'!$D$8:$D$200,'Nickel - WA vs Aus'!A44,'Nickel - Q&amp;V'!$B$8:$B$200)</f>
        <v>174.70099999999999</v>
      </c>
      <c r="C44" s="616">
        <v>0</v>
      </c>
    </row>
    <row r="45" spans="1:18">
      <c r="A45" s="635">
        <v>2005</v>
      </c>
      <c r="B45" s="484">
        <f>SUMIF('Nickel - Q&amp;V'!$D$8:$D$200,'Nickel - WA vs Aus'!A45,'Nickel - Q&amp;V'!$B$8:$B$200)</f>
        <v>188.36199999999999</v>
      </c>
      <c r="C45" s="483">
        <v>0</v>
      </c>
    </row>
    <row r="46" spans="1:18">
      <c r="A46" s="635">
        <v>2006</v>
      </c>
      <c r="B46" s="615">
        <f>SUMIF('Nickel - Q&amp;V'!$D$8:$D$200,'Nickel - WA vs Aus'!A46,'Nickel - Q&amp;V'!$B$8:$B$200)</f>
        <v>175.08699999999999</v>
      </c>
      <c r="C46" s="616">
        <v>0</v>
      </c>
    </row>
    <row r="47" spans="1:18">
      <c r="A47" s="635">
        <v>2007</v>
      </c>
      <c r="B47" s="484">
        <f>SUMIF('Nickel - Q&amp;V'!$D$8:$D$200,'Nickel - WA vs Aus'!A47,'Nickel - Q&amp;V'!$B$8:$B$200)</f>
        <v>162.49200000000002</v>
      </c>
      <c r="C47" s="483">
        <v>0</v>
      </c>
    </row>
    <row r="48" spans="1:18">
      <c r="A48" s="635">
        <v>2008</v>
      </c>
      <c r="B48" s="615">
        <f>SUMIF('Nickel - Q&amp;V'!$D$8:$D$200,'Nickel - WA vs Aus'!A48,'Nickel - Q&amp;V'!$B$8:$B$200)</f>
        <v>187.791</v>
      </c>
      <c r="C48" s="616">
        <v>0</v>
      </c>
    </row>
    <row r="49" spans="1:3">
      <c r="A49" s="635">
        <v>2009</v>
      </c>
      <c r="B49" s="484">
        <f>SUMIF('Nickel - Q&amp;V'!$D$8:$D$200,'Nickel - WA vs Aus'!A49,'Nickel - Q&amp;V'!$B$8:$B$200)</f>
        <v>171.178</v>
      </c>
      <c r="C49" s="483">
        <v>0</v>
      </c>
    </row>
    <row r="50" spans="1:3">
      <c r="A50" s="635">
        <v>2010</v>
      </c>
      <c r="B50" s="615">
        <f>SUMIF('Nickel - Q&amp;V'!$D$8:$D$200,'Nickel - WA vs Aus'!A50,'Nickel - Q&amp;V'!$B$8:$B$200)</f>
        <v>193.25899999999999</v>
      </c>
      <c r="C50" s="616">
        <v>0</v>
      </c>
    </row>
    <row r="51" spans="1:3">
      <c r="A51" s="635">
        <v>2011</v>
      </c>
      <c r="B51" s="484">
        <f>SUMIF('Nickel - Q&amp;V'!$D$8:$D$200,'Nickel - WA vs Aus'!A51,'Nickel - Q&amp;V'!$B$8:$B$200)</f>
        <v>185.13</v>
      </c>
      <c r="C51" s="483">
        <v>0</v>
      </c>
    </row>
    <row r="52" spans="1:3">
      <c r="A52" s="635">
        <v>2012</v>
      </c>
      <c r="B52" s="615">
        <f>SUMIF('Nickel - Q&amp;V'!$D$8:$D$200,'Nickel - WA vs Aus'!A52,'Nickel - Q&amp;V'!$B$8:$B$200)</f>
        <v>230.76710035740911</v>
      </c>
      <c r="C52" s="616">
        <v>0</v>
      </c>
    </row>
    <row r="53" spans="1:3">
      <c r="A53" s="635">
        <v>2013</v>
      </c>
      <c r="B53" s="484">
        <f>SUMIF('Nickel - Q&amp;V'!$D$8:$D$200,'Nickel - WA vs Aus'!A53,'Nickel - Q&amp;V'!$B$8:$B$200)</f>
        <v>270.74436400000002</v>
      </c>
      <c r="C53" s="483">
        <v>0</v>
      </c>
    </row>
    <row r="54" spans="1:3">
      <c r="A54" s="635">
        <v>2014</v>
      </c>
      <c r="B54" s="615">
        <f>SUMIF('Nickel - Q&amp;V'!$D$8:$D$200,'Nickel - WA vs Aus'!A54,'Nickel - Q&amp;V'!$B$8:$B$200)</f>
        <v>218.56311600000001</v>
      </c>
      <c r="C54" s="616">
        <v>0</v>
      </c>
    </row>
    <row r="55" spans="1:3">
      <c r="A55" s="635">
        <v>2015</v>
      </c>
      <c r="B55" s="484">
        <f>SUMIF('Nickel - Q&amp;V'!$D$8:$D$200,'Nickel - WA vs Aus'!A55,'Nickel - Q&amp;V'!$B$8:$B$200)</f>
        <v>173.97419100000002</v>
      </c>
      <c r="C55" s="483">
        <v>0</v>
      </c>
    </row>
    <row r="56" spans="1:3">
      <c r="A56" s="635">
        <v>2016</v>
      </c>
      <c r="B56" s="615">
        <f>SUMIF('Nickel - Q&amp;V'!$D$8:$D$200,'Nickel - WA vs Aus'!A56,'Nickel - Q&amp;V'!$B$8:$B$200)</f>
        <v>171.60430600000001</v>
      </c>
      <c r="C56" s="616">
        <v>0</v>
      </c>
    </row>
    <row r="57" spans="1:3">
      <c r="A57" s="635">
        <v>2017</v>
      </c>
      <c r="B57" s="484">
        <f>SUMIF('Nickel - Q&amp;V'!$D$8:$D$200,'Nickel - WA vs Aus'!A57,'Nickel - Q&amp;V'!$B$8:$B$200)</f>
        <v>166.42021699999998</v>
      </c>
      <c r="C57" s="533">
        <v>0</v>
      </c>
    </row>
    <row r="58" spans="1:3">
      <c r="A58" s="635">
        <v>2018</v>
      </c>
      <c r="B58" s="615">
        <f>SUMIF('Nickel - Q&amp;V'!$D$8:$D$200,'Nickel - WA vs Aus'!A58,'Nickel - Q&amp;V'!$B$8:$B$200)</f>
        <v>149.29546400000001</v>
      </c>
      <c r="C58" s="616">
        <v>0</v>
      </c>
    </row>
    <row r="59" spans="1:3">
      <c r="A59" s="635">
        <v>2019</v>
      </c>
      <c r="B59" s="484">
        <f>SUMIF('Nickel - Q&amp;V'!$D$8:$D$200,'Nickel - WA vs Aus'!A59,'Nickel - Q&amp;V'!$B$8:$B$200)</f>
        <v>153.62417200000002</v>
      </c>
      <c r="C59" s="533">
        <v>0</v>
      </c>
    </row>
    <row r="60" spans="1:3">
      <c r="A60" s="635">
        <v>2020</v>
      </c>
      <c r="B60" s="1308">
        <f>SUMIF('Nickel - Q&amp;V'!$D$8:$D$200,'Nickel - WA vs Aus'!A60,'Nickel - Q&amp;V'!$B$8:$B$200)</f>
        <v>165.123107</v>
      </c>
      <c r="C60" s="973">
        <v>0</v>
      </c>
    </row>
    <row r="61" spans="1:3">
      <c r="A61" s="635">
        <v>2021</v>
      </c>
      <c r="B61" s="585">
        <f>SUMIF('Nickel - Q&amp;V'!$D$8:$D$200,'Nickel - WA vs Aus'!A61,'Nickel - Q&amp;V'!$B$8:$B$200)</f>
        <v>150.02785600000001</v>
      </c>
      <c r="C61" s="489">
        <v>0</v>
      </c>
    </row>
    <row r="62" spans="1:3">
      <c r="A62" s="635">
        <v>2022</v>
      </c>
      <c r="B62" s="1308">
        <f>SUMIF('Nickel - Q&amp;V'!$D$8:$D$200,'Nickel - WA vs Aus'!A62,'Nickel - Q&amp;V'!$B$8:$B$200)</f>
        <v>155.27040677045284</v>
      </c>
      <c r="C62" s="1770">
        <v>1.653</v>
      </c>
    </row>
    <row r="63" spans="1:3" ht="15.75" thickBot="1">
      <c r="A63" s="415">
        <v>2023</v>
      </c>
      <c r="B63" s="1771">
        <f>SUMIF('Nickel - Q&amp;V'!$D$8:$D$200,'Nickel - WA vs Aus'!A63,'Nickel - Q&amp;V'!$B$8:$B$200)</f>
        <v>149.42076699999998</v>
      </c>
      <c r="C63" s="1768">
        <v>3.6059999999999999</v>
      </c>
    </row>
  </sheetData>
  <mergeCells count="3">
    <mergeCell ref="A5:C5"/>
    <mergeCell ref="P5:R5"/>
    <mergeCell ref="P6:R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theme="1" tint="0.499984740745262"/>
  </sheetPr>
  <dimension ref="A1:AD365"/>
  <sheetViews>
    <sheetView showGridLines="0" zoomScaleNormal="100" workbookViewId="0"/>
  </sheetViews>
  <sheetFormatPr defaultColWidth="9.140625" defaultRowHeight="15"/>
  <cols>
    <col min="1" max="1" width="15" style="71" bestFit="1" customWidth="1"/>
    <col min="2" max="2" width="13.85546875" style="71" customWidth="1"/>
    <col min="3" max="3" width="17.140625" style="71" customWidth="1"/>
    <col min="4" max="4" width="13.28515625" style="71" bestFit="1" customWidth="1"/>
    <col min="5" max="5" width="15.5703125" style="71" customWidth="1"/>
    <col min="6" max="6" width="13.28515625" style="71" bestFit="1" customWidth="1"/>
    <col min="7" max="7" width="16.7109375" style="71" customWidth="1"/>
    <col min="8" max="8" width="19.5703125" style="71" customWidth="1"/>
    <col min="9" max="9" width="17.5703125" style="71" customWidth="1"/>
    <col min="10" max="10" width="14.140625" style="71" customWidth="1"/>
    <col min="11" max="11" width="17.5703125" style="71" customWidth="1"/>
    <col min="12" max="12" width="15.7109375" style="71" customWidth="1"/>
    <col min="13" max="13" width="16.85546875" style="18" customWidth="1"/>
    <col min="14" max="14" width="5" style="946" hidden="1" customWidth="1"/>
    <col min="15" max="15" width="2" style="946" hidden="1" customWidth="1"/>
    <col min="16" max="16" width="9.28515625" style="18" bestFit="1" customWidth="1"/>
    <col min="17" max="17" width="18" style="71" bestFit="1" customWidth="1"/>
    <col min="18" max="18" width="24.140625" style="71" customWidth="1"/>
    <col min="19" max="19" width="23.140625" style="71" customWidth="1"/>
    <col min="20" max="20" width="10.7109375" style="71" bestFit="1" customWidth="1"/>
    <col min="21" max="26" width="9.140625" style="71"/>
    <col min="27" max="29" width="9.140625" style="80"/>
    <col min="30" max="16384" width="9.140625" style="71"/>
  </cols>
  <sheetData>
    <row r="1" spans="1:30">
      <c r="A1" s="66" t="s">
        <v>240</v>
      </c>
      <c r="E1" s="88"/>
      <c r="AB1" s="80" t="str">
        <f>IF(R31=AC1,"B",IF(R31=AC2,"D",IF(R31=AC3,"F",IF(R31=AC4,"H",IF(R31=AC5,"J",IF(R31=AC6,"L","N"))))))</f>
        <v>B</v>
      </c>
      <c r="AC1" s="220" t="s">
        <v>274</v>
      </c>
    </row>
    <row r="2" spans="1:30" ht="21">
      <c r="A2" s="66" t="s">
        <v>246</v>
      </c>
      <c r="H2" s="376"/>
      <c r="AB2" s="80" t="str">
        <f>IF(AB1="B","C",IF(AB1="F","G",IF(AB1="H","I",IF(AB1="J","K",IF(AB1="L","M","E")))))</f>
        <v>C</v>
      </c>
      <c r="AC2" s="220" t="s">
        <v>227</v>
      </c>
      <c r="AD2" s="377"/>
    </row>
    <row r="3" spans="1:30">
      <c r="S3" s="278"/>
      <c r="T3" s="278"/>
      <c r="AC3" s="220" t="s">
        <v>275</v>
      </c>
      <c r="AD3" s="377"/>
    </row>
    <row r="4" spans="1:30">
      <c r="AC4" s="220" t="s">
        <v>276</v>
      </c>
      <c r="AD4" s="377"/>
    </row>
    <row r="5" spans="1:30">
      <c r="A5" s="1972" t="s">
        <v>238</v>
      </c>
      <c r="B5" s="1972"/>
      <c r="C5" s="1972"/>
      <c r="D5" s="1972"/>
      <c r="E5" s="1972"/>
      <c r="F5" s="1972"/>
      <c r="G5" s="1972"/>
      <c r="H5" s="1972"/>
      <c r="I5" s="1972"/>
      <c r="J5" s="1972"/>
      <c r="K5" s="1972"/>
      <c r="L5" s="1972"/>
      <c r="M5" s="1972"/>
      <c r="N5" s="948"/>
      <c r="O5" s="948"/>
      <c r="AC5" s="220" t="s">
        <v>277</v>
      </c>
      <c r="AD5" s="377"/>
    </row>
    <row r="6" spans="1:30" ht="15.75" thickBot="1">
      <c r="A6" s="2004" t="s">
        <v>423</v>
      </c>
      <c r="B6" s="2004"/>
      <c r="C6" s="2004"/>
      <c r="D6" s="2004"/>
      <c r="E6" s="2004"/>
      <c r="F6" s="2004"/>
      <c r="G6" s="2004"/>
      <c r="H6" s="2004"/>
      <c r="I6" s="2004"/>
      <c r="J6" s="2004"/>
      <c r="K6" s="2004"/>
      <c r="L6" s="2004"/>
      <c r="M6" s="2004"/>
      <c r="N6" s="46"/>
      <c r="O6" s="46"/>
      <c r="Q6" s="607"/>
      <c r="R6" s="607"/>
      <c r="S6" s="607"/>
      <c r="AC6" s="220" t="s">
        <v>521</v>
      </c>
      <c r="AD6" s="377"/>
    </row>
    <row r="7" spans="1:30">
      <c r="A7" s="1463"/>
      <c r="B7" s="2058" t="s">
        <v>274</v>
      </c>
      <c r="C7" s="2058"/>
      <c r="D7" s="2058" t="s">
        <v>227</v>
      </c>
      <c r="E7" s="2058"/>
      <c r="F7" s="2058" t="s">
        <v>275</v>
      </c>
      <c r="G7" s="2058"/>
      <c r="H7" s="2058" t="s">
        <v>276</v>
      </c>
      <c r="I7" s="2058"/>
      <c r="J7" s="2058" t="s">
        <v>277</v>
      </c>
      <c r="K7" s="2058"/>
      <c r="L7" s="2058" t="s">
        <v>521</v>
      </c>
      <c r="M7" s="2064"/>
      <c r="N7" s="46"/>
      <c r="O7" s="46"/>
      <c r="Q7" s="2065" t="str">
        <f>CONCATENATE(R31," Quantity And Value By Quarter")</f>
        <v>Silver Quantity And Value By Quarter</v>
      </c>
      <c r="R7" s="2065"/>
      <c r="S7" s="2065"/>
      <c r="AC7" s="221"/>
    </row>
    <row r="8" spans="1:30" ht="30.75" thickBot="1">
      <c r="A8" s="1464" t="s">
        <v>5</v>
      </c>
      <c r="B8" s="1461" t="s">
        <v>234</v>
      </c>
      <c r="C8" s="1461" t="s">
        <v>382</v>
      </c>
      <c r="D8" s="1461" t="s">
        <v>6</v>
      </c>
      <c r="E8" s="1461" t="s">
        <v>382</v>
      </c>
      <c r="F8" s="1461" t="s">
        <v>6</v>
      </c>
      <c r="G8" s="1461" t="s">
        <v>382</v>
      </c>
      <c r="H8" s="1461" t="s">
        <v>407</v>
      </c>
      <c r="I8" s="1461" t="s">
        <v>382</v>
      </c>
      <c r="J8" s="1461" t="s">
        <v>37</v>
      </c>
      <c r="K8" s="1461" t="s">
        <v>382</v>
      </c>
      <c r="L8" s="1461" t="s">
        <v>278</v>
      </c>
      <c r="M8" s="1462" t="s">
        <v>382</v>
      </c>
      <c r="N8" s="390"/>
      <c r="O8" s="390"/>
      <c r="P8" s="391"/>
      <c r="Q8" s="2059" t="s">
        <v>580</v>
      </c>
      <c r="R8" s="2059"/>
      <c r="S8" s="2059"/>
      <c r="T8" s="405"/>
    </row>
    <row r="9" spans="1:30">
      <c r="A9" s="609">
        <v>36220</v>
      </c>
      <c r="B9" s="617">
        <v>30.273350000000001</v>
      </c>
      <c r="C9" s="617">
        <v>6.3547880000000001</v>
      </c>
      <c r="D9" s="617">
        <v>1.5795699999999999</v>
      </c>
      <c r="E9" s="617">
        <v>69.80547</v>
      </c>
      <c r="F9" s="617">
        <v>1.893567</v>
      </c>
      <c r="G9" s="617">
        <v>46.45391</v>
      </c>
      <c r="H9" s="617">
        <v>18.484000000000002</v>
      </c>
      <c r="I9" s="617">
        <v>219.48088999999999</v>
      </c>
      <c r="J9" s="617">
        <v>0.17065884000000003</v>
      </c>
      <c r="K9" s="617">
        <v>5.3259227641147149</v>
      </c>
      <c r="L9" s="617">
        <v>69.267070000000004</v>
      </c>
      <c r="M9" s="539">
        <v>0.95002500000000001</v>
      </c>
      <c r="N9" s="949">
        <f t="shared" ref="N9:N40" si="0">YEAR(A9)</f>
        <v>1999</v>
      </c>
      <c r="O9" s="949" t="str">
        <f t="shared" ref="O9:O40" si="1">IF(MONTH(A9)=3,"1",IF(MONTH(A9)=6,"2",IF(MONTH(A9)=9,"3","4")))</f>
        <v>1</v>
      </c>
      <c r="P9" s="278"/>
      <c r="Q9" s="781" t="s">
        <v>5</v>
      </c>
      <c r="R9" s="1470" t="str">
        <f ca="1">R34</f>
        <v>Quantity (t)</v>
      </c>
      <c r="S9" s="1471" t="str">
        <f ca="1">S34</f>
        <v>Value ($ Million)</v>
      </c>
      <c r="T9" s="405"/>
    </row>
    <row r="10" spans="1:30">
      <c r="A10" s="609">
        <v>36312</v>
      </c>
      <c r="B10" s="1465">
        <v>14.806039999999999</v>
      </c>
      <c r="C10" s="1465">
        <v>3.7642370000000001</v>
      </c>
      <c r="D10" s="1465">
        <v>1.3721159999999999</v>
      </c>
      <c r="E10" s="1465">
        <v>61.922820000000002</v>
      </c>
      <c r="F10" s="1465">
        <v>2.1109450000000001</v>
      </c>
      <c r="G10" s="1465">
        <v>49.146189999999997</v>
      </c>
      <c r="H10" s="1465">
        <v>10.177709999999999</v>
      </c>
      <c r="I10" s="1465">
        <v>106.01584</v>
      </c>
      <c r="J10" s="1465">
        <v>0.31939600000000001</v>
      </c>
      <c r="K10" s="1465">
        <v>13.42855</v>
      </c>
      <c r="L10" s="1465">
        <v>355.79199999999997</v>
      </c>
      <c r="M10" s="1466">
        <v>3.5388470000000001</v>
      </c>
      <c r="N10" s="949">
        <f t="shared" si="0"/>
        <v>1999</v>
      </c>
      <c r="O10" s="949" t="str">
        <f t="shared" si="1"/>
        <v>2</v>
      </c>
      <c r="P10" s="305"/>
      <c r="Q10" s="609">
        <f>LARGE(A$9:A$741,9)</f>
        <v>44531</v>
      </c>
      <c r="R10" s="499">
        <f t="shared" ref="R10:R18" si="2">IF($R$31=$B$7,SUMIF($A$9:$A$741,$Q10,B$9:B$741),IF($R$31=$D$7,SUMIF($A$9:$A$741,$Q10,D$9:D$733),IF($R$31=$F$7,SUMIF($A$9:$A$741,$Q10,F$9:F$733),IF($R$31=$H$7,SUMIF($A$9:$A$741,$Q10,H$9:H$733),IF($R$31=$J$7,SUMIF($A$9:$A$741,$Q10,J$9:J$741),IF($R$31=$L$7,SUMIF($A$9:$A$741,$Q10,L$9:L$741),""))))))</f>
        <v>46.315750622626005</v>
      </c>
      <c r="S10" s="542">
        <f t="shared" ref="S10:S18" si="3">IF($R$31=$B$7,SUMIF($A$9:$A$741,$Q10,C$9:C$741),IF($R$31=$D$7,SUMIF($A$9:$A$741,$Q10,E$9:E$733),IF($R$31=$F$7,SUMIF($A$9:$A$741,$Q10,G$9:G$733),IF($R$31=$H$7,SUMIF($A$9:$A$741,$Q10,I$9:I$733),IF($R$31=$J$7,SUMIF($A$9:$A$741,$Q10,K$9:K$741),IF($R$31=$L$7,SUMIF($A$9:$A$741,$Q10,M$9:M$741),""))))))</f>
        <v>46.427197999999997</v>
      </c>
      <c r="T10" s="405"/>
    </row>
    <row r="11" spans="1:30">
      <c r="A11" s="609">
        <v>36404</v>
      </c>
      <c r="B11" s="617">
        <v>16.44342</v>
      </c>
      <c r="C11" s="617">
        <v>3.7416930000000002</v>
      </c>
      <c r="D11" s="617">
        <v>1.610838</v>
      </c>
      <c r="E11" s="617">
        <v>67.613169999999997</v>
      </c>
      <c r="F11" s="617">
        <v>2.2822930000000001</v>
      </c>
      <c r="G11" s="617">
        <v>53.361289999999997</v>
      </c>
      <c r="H11" s="617">
        <v>17.68383</v>
      </c>
      <c r="I11" s="617">
        <v>198.37900999999999</v>
      </c>
      <c r="J11" s="617">
        <v>0.15714699999999998</v>
      </c>
      <c r="K11" s="617">
        <v>7.2140009999999997</v>
      </c>
      <c r="L11" s="617">
        <v>198.84700000000001</v>
      </c>
      <c r="M11" s="539">
        <v>2.9512670000000001</v>
      </c>
      <c r="N11" s="949">
        <f t="shared" si="0"/>
        <v>1999</v>
      </c>
      <c r="O11" s="949" t="str">
        <f t="shared" si="1"/>
        <v>3</v>
      </c>
      <c r="P11" s="305"/>
      <c r="Q11" s="609">
        <f>LARGE(A$9:A$741,8)</f>
        <v>44621</v>
      </c>
      <c r="R11" s="608">
        <f t="shared" si="2"/>
        <v>38.749103270144204</v>
      </c>
      <c r="S11" s="610">
        <f t="shared" si="3"/>
        <v>41.464129</v>
      </c>
      <c r="T11" s="405"/>
    </row>
    <row r="12" spans="1:30">
      <c r="A12" s="609">
        <v>36495</v>
      </c>
      <c r="B12" s="1465">
        <v>20.329879999999999</v>
      </c>
      <c r="C12" s="1465">
        <v>4.9106420000000002</v>
      </c>
      <c r="D12" s="1465">
        <v>1.66896</v>
      </c>
      <c r="E12" s="1465">
        <v>68.676630000000003</v>
      </c>
      <c r="F12" s="1465">
        <v>2.729635</v>
      </c>
      <c r="G12" s="1465">
        <v>63.780630000000002</v>
      </c>
      <c r="H12" s="1465">
        <v>5.2963899999999997</v>
      </c>
      <c r="I12" s="1465">
        <v>116.18223999999999</v>
      </c>
      <c r="J12" s="1465">
        <v>0.36314299999999999</v>
      </c>
      <c r="K12" s="1465">
        <v>11.712628</v>
      </c>
      <c r="L12" s="1465">
        <v>293.99200000000002</v>
      </c>
      <c r="M12" s="1466">
        <v>5.0616390000000004</v>
      </c>
      <c r="N12" s="949">
        <f t="shared" si="0"/>
        <v>1999</v>
      </c>
      <c r="O12" s="949" t="str">
        <f t="shared" si="1"/>
        <v>4</v>
      </c>
      <c r="P12" s="305"/>
      <c r="Q12" s="609">
        <f>LARGE(A$9:A$741,7)</f>
        <v>44713</v>
      </c>
      <c r="R12" s="499">
        <f t="shared" si="2"/>
        <v>32.893021558383367</v>
      </c>
      <c r="S12" s="542">
        <f t="shared" si="3"/>
        <v>30.408784999999998</v>
      </c>
      <c r="T12" s="405"/>
    </row>
    <row r="13" spans="1:30">
      <c r="A13" s="609">
        <v>36586</v>
      </c>
      <c r="B13" s="617">
        <v>20.281870000000001</v>
      </c>
      <c r="C13" s="617">
        <v>5.3519800000000002</v>
      </c>
      <c r="D13" s="617">
        <v>1.626428</v>
      </c>
      <c r="E13" s="617">
        <v>67.772890000000004</v>
      </c>
      <c r="F13" s="617">
        <v>2.1116389999999998</v>
      </c>
      <c r="G13" s="617">
        <v>49.039890999999997</v>
      </c>
      <c r="H13" s="617">
        <v>17.765540000000001</v>
      </c>
      <c r="I13" s="617">
        <v>226.41005999999999</v>
      </c>
      <c r="J13" s="617">
        <v>0.56810000000000005</v>
      </c>
      <c r="K13" s="617">
        <v>19.984059999999999</v>
      </c>
      <c r="L13" s="617">
        <v>240.303</v>
      </c>
      <c r="M13" s="539">
        <v>6.2399279999999999</v>
      </c>
      <c r="N13" s="949">
        <f t="shared" si="0"/>
        <v>2000</v>
      </c>
      <c r="O13" s="949" t="str">
        <f t="shared" si="1"/>
        <v>1</v>
      </c>
      <c r="P13" s="305"/>
      <c r="Q13" s="609">
        <f>LARGE(A$9:A$741,6)</f>
        <v>44805</v>
      </c>
      <c r="R13" s="608">
        <f t="shared" si="2"/>
        <v>27.698218456580072</v>
      </c>
      <c r="S13" s="610">
        <f t="shared" si="3"/>
        <v>25.890908</v>
      </c>
      <c r="T13" s="405"/>
    </row>
    <row r="14" spans="1:30">
      <c r="A14" s="609">
        <v>36678</v>
      </c>
      <c r="B14" s="1465">
        <v>53.063160000000003</v>
      </c>
      <c r="C14" s="1465">
        <v>10.98086</v>
      </c>
      <c r="D14" s="1465">
        <v>1.5982799999999999</v>
      </c>
      <c r="E14" s="1465">
        <v>67.468779999999995</v>
      </c>
      <c r="F14" s="1465">
        <v>1.686202</v>
      </c>
      <c r="G14" s="1465">
        <v>42.396659999999997</v>
      </c>
      <c r="H14" s="1465">
        <v>10.23887</v>
      </c>
      <c r="I14" s="1465">
        <v>162.69863000000001</v>
      </c>
      <c r="J14" s="1465">
        <v>0.82822000000000007</v>
      </c>
      <c r="K14" s="1465">
        <v>37.767986999999998</v>
      </c>
      <c r="L14" s="1465">
        <v>179.32599999999999</v>
      </c>
      <c r="M14" s="1466">
        <v>5.5992490000000004</v>
      </c>
      <c r="N14" s="949">
        <f t="shared" si="0"/>
        <v>2000</v>
      </c>
      <c r="O14" s="949" t="str">
        <f t="shared" si="1"/>
        <v>2</v>
      </c>
      <c r="P14" s="305"/>
      <c r="Q14" s="609">
        <f>LARGE(A$9:A$741,5)</f>
        <v>44896</v>
      </c>
      <c r="R14" s="499">
        <f t="shared" si="2"/>
        <v>30.281053938261522</v>
      </c>
      <c r="S14" s="542">
        <f t="shared" si="3"/>
        <v>32.214169999999996</v>
      </c>
      <c r="T14" s="405"/>
    </row>
    <row r="15" spans="1:30">
      <c r="A15" s="609">
        <v>36770</v>
      </c>
      <c r="B15" s="617">
        <v>48.170050000000003</v>
      </c>
      <c r="C15" s="617">
        <v>12.125999999999999</v>
      </c>
      <c r="D15" s="617">
        <v>1.5842620000000001</v>
      </c>
      <c r="E15" s="617">
        <v>64.46011</v>
      </c>
      <c r="F15" s="617">
        <v>1.5742499999999999</v>
      </c>
      <c r="G15" s="617">
        <v>40.654631999999999</v>
      </c>
      <c r="H15" s="617">
        <v>7.151688</v>
      </c>
      <c r="I15" s="617">
        <v>186.05951999999999</v>
      </c>
      <c r="J15" s="617">
        <v>0.99601100000000009</v>
      </c>
      <c r="K15" s="617">
        <v>43.441274999999997</v>
      </c>
      <c r="L15" s="617">
        <v>314.51</v>
      </c>
      <c r="M15" s="539">
        <v>10.692036999999999</v>
      </c>
      <c r="N15" s="949">
        <f t="shared" si="0"/>
        <v>2000</v>
      </c>
      <c r="O15" s="949" t="str">
        <f t="shared" si="1"/>
        <v>3</v>
      </c>
      <c r="P15" s="305"/>
      <c r="Q15" s="609">
        <f>LARGE(A$9:A$741,4)</f>
        <v>44986</v>
      </c>
      <c r="R15" s="608">
        <f t="shared" si="2"/>
        <v>24.687312231016456</v>
      </c>
      <c r="S15" s="610">
        <f t="shared" si="3"/>
        <v>26.304580999999999</v>
      </c>
      <c r="T15" s="405"/>
    </row>
    <row r="16" spans="1:30">
      <c r="A16" s="609">
        <v>36861</v>
      </c>
      <c r="B16" s="1465">
        <v>36.123550000000002</v>
      </c>
      <c r="C16" s="1465">
        <v>8.9040750000000006</v>
      </c>
      <c r="D16" s="1465">
        <v>1.395618</v>
      </c>
      <c r="E16" s="1465">
        <v>58.137219999999999</v>
      </c>
      <c r="F16" s="1465">
        <v>2.3333339999999998</v>
      </c>
      <c r="G16" s="1465">
        <v>65.224576999999996</v>
      </c>
      <c r="H16" s="1465">
        <v>7.1440130000000002</v>
      </c>
      <c r="I16" s="1465">
        <v>138.51633000000001</v>
      </c>
      <c r="J16" s="1465">
        <v>1.2061489999999999</v>
      </c>
      <c r="K16" s="1465">
        <v>56.461489999999998</v>
      </c>
      <c r="L16" s="1465">
        <v>248.636</v>
      </c>
      <c r="M16" s="1466">
        <v>10.725585000000001</v>
      </c>
      <c r="N16" s="949">
        <f t="shared" si="0"/>
        <v>2000</v>
      </c>
      <c r="O16" s="949" t="str">
        <f t="shared" si="1"/>
        <v>4</v>
      </c>
      <c r="P16" s="305"/>
      <c r="Q16" s="609">
        <f>LARGE(A$9:A$741,3)</f>
        <v>45078</v>
      </c>
      <c r="R16" s="499">
        <f t="shared" si="2"/>
        <v>32.832366015102671</v>
      </c>
      <c r="S16" s="542">
        <f t="shared" si="3"/>
        <v>36.123833999999995</v>
      </c>
      <c r="T16" s="405"/>
    </row>
    <row r="17" spans="1:20">
      <c r="A17" s="609">
        <v>36951</v>
      </c>
      <c r="B17" s="617">
        <v>54.526189000000002</v>
      </c>
      <c r="C17" s="617">
        <v>14.99315</v>
      </c>
      <c r="D17" s="617">
        <v>1.5618970000000001</v>
      </c>
      <c r="E17" s="617">
        <v>64.973159999999993</v>
      </c>
      <c r="F17" s="617">
        <v>2.2834430000000001</v>
      </c>
      <c r="G17" s="617">
        <v>64.993669999999995</v>
      </c>
      <c r="H17" s="617">
        <v>7.5364909999999998</v>
      </c>
      <c r="I17" s="617">
        <v>192.1585</v>
      </c>
      <c r="J17" s="617">
        <v>1.0214529999999999</v>
      </c>
      <c r="K17" s="617">
        <v>37.440311000000001</v>
      </c>
      <c r="L17" s="617">
        <v>259.02</v>
      </c>
      <c r="M17" s="539">
        <v>14.713063</v>
      </c>
      <c r="N17" s="949">
        <f t="shared" si="0"/>
        <v>2001</v>
      </c>
      <c r="O17" s="949" t="str">
        <f t="shared" si="1"/>
        <v>1</v>
      </c>
      <c r="P17" s="305"/>
      <c r="Q17" s="609">
        <f>LARGE(A$9:A$741,2)</f>
        <v>45170</v>
      </c>
      <c r="R17" s="608">
        <f t="shared" si="2"/>
        <v>31.147456276401329</v>
      </c>
      <c r="S17" s="610">
        <f t="shared" si="3"/>
        <v>35.056601000000001</v>
      </c>
      <c r="T17" s="405"/>
    </row>
    <row r="18" spans="1:20" ht="15.75" thickBot="1">
      <c r="A18" s="609">
        <v>37043</v>
      </c>
      <c r="B18" s="1465">
        <v>15.433811</v>
      </c>
      <c r="C18" s="1465">
        <v>3.898466</v>
      </c>
      <c r="D18" s="1465">
        <v>1.5610360000000001</v>
      </c>
      <c r="E18" s="1465">
        <v>64.711269999999999</v>
      </c>
      <c r="F18" s="1465">
        <v>2.1126010000000002</v>
      </c>
      <c r="G18" s="1465">
        <v>62.208860000000001</v>
      </c>
      <c r="H18" s="1465">
        <v>3.5872389999999998</v>
      </c>
      <c r="I18" s="1465">
        <v>97.719009999999997</v>
      </c>
      <c r="J18" s="1465">
        <v>0.96547000000000005</v>
      </c>
      <c r="K18" s="1465">
        <v>37.037523999999998</v>
      </c>
      <c r="L18" s="1465">
        <v>229</v>
      </c>
      <c r="M18" s="1466">
        <v>9.1052979999999994</v>
      </c>
      <c r="N18" s="949">
        <f t="shared" si="0"/>
        <v>2001</v>
      </c>
      <c r="O18" s="949" t="str">
        <f t="shared" si="1"/>
        <v>2</v>
      </c>
      <c r="P18" s="305"/>
      <c r="Q18" s="429">
        <f>LARGE(A$9:A$741,1)</f>
        <v>45261</v>
      </c>
      <c r="R18" s="502">
        <f t="shared" si="2"/>
        <v>20.942340252123518</v>
      </c>
      <c r="S18" s="611">
        <f t="shared" si="3"/>
        <v>23.662554999999998</v>
      </c>
      <c r="T18" s="405"/>
    </row>
    <row r="19" spans="1:20">
      <c r="A19" s="609">
        <v>37135</v>
      </c>
      <c r="B19" s="617">
        <v>10.779284799999999</v>
      </c>
      <c r="C19" s="617">
        <v>2.9351850000000002</v>
      </c>
      <c r="D19" s="617">
        <v>1.6005370000000001</v>
      </c>
      <c r="E19" s="617">
        <v>66.351070000000007</v>
      </c>
      <c r="F19" s="617">
        <v>1.954604</v>
      </c>
      <c r="G19" s="617">
        <v>56.981020000000001</v>
      </c>
      <c r="H19" s="617">
        <v>8.3431879999999996</v>
      </c>
      <c r="I19" s="617">
        <v>163.57499999999999</v>
      </c>
      <c r="J19" s="617">
        <v>1.0345039999999999</v>
      </c>
      <c r="K19" s="617">
        <v>35.395420999999999</v>
      </c>
      <c r="L19" s="617">
        <v>268.209</v>
      </c>
      <c r="M19" s="539">
        <v>8.3445169999999997</v>
      </c>
      <c r="N19" s="949">
        <f t="shared" si="0"/>
        <v>2001</v>
      </c>
      <c r="O19" s="949" t="str">
        <f t="shared" si="1"/>
        <v>3</v>
      </c>
      <c r="P19" s="305"/>
      <c r="Q19" s="1"/>
      <c r="T19" s="405"/>
    </row>
    <row r="20" spans="1:20">
      <c r="A20" s="609">
        <v>37226</v>
      </c>
      <c r="B20" s="1465">
        <v>42.040999999999997</v>
      </c>
      <c r="C20" s="1465">
        <v>8.8894350000000006</v>
      </c>
      <c r="D20" s="1465">
        <v>1.481225</v>
      </c>
      <c r="E20" s="1465">
        <v>62.176290000000002</v>
      </c>
      <c r="F20" s="1465">
        <v>2.2257669999999998</v>
      </c>
      <c r="G20" s="1465">
        <v>65.056740000000005</v>
      </c>
      <c r="H20" s="1465">
        <v>2.213012</v>
      </c>
      <c r="I20" s="1465">
        <v>46.081600000000002</v>
      </c>
      <c r="J20" s="1465">
        <v>1.290513</v>
      </c>
      <c r="K20" s="1465">
        <v>34.973458999999998</v>
      </c>
      <c r="L20" s="1465">
        <v>245.17</v>
      </c>
      <c r="M20" s="1466">
        <v>5.4069849999999997</v>
      </c>
      <c r="N20" s="949">
        <f t="shared" si="0"/>
        <v>2001</v>
      </c>
      <c r="O20" s="949" t="str">
        <f t="shared" si="1"/>
        <v>4</v>
      </c>
      <c r="P20" s="305"/>
      <c r="Q20" s="1"/>
      <c r="T20" s="405"/>
    </row>
    <row r="21" spans="1:20">
      <c r="A21" s="609">
        <v>37316</v>
      </c>
      <c r="B21" s="617">
        <v>8.5067913884426201</v>
      </c>
      <c r="C21" s="617">
        <v>2.7064270000000001</v>
      </c>
      <c r="D21" s="617">
        <v>1.505015</v>
      </c>
      <c r="E21" s="617">
        <v>64.021928000000003</v>
      </c>
      <c r="F21" s="617">
        <v>2.3002959999999999</v>
      </c>
      <c r="G21" s="617">
        <v>68.604766999999995</v>
      </c>
      <c r="H21" s="617">
        <v>12.646680999999999</v>
      </c>
      <c r="I21" s="617">
        <v>253.815437</v>
      </c>
      <c r="J21" s="617">
        <v>1.0311630000000001</v>
      </c>
      <c r="K21" s="617">
        <v>27.725504999999998</v>
      </c>
      <c r="L21" s="617">
        <v>225.58</v>
      </c>
      <c r="M21" s="539">
        <v>5.3030109999999997</v>
      </c>
      <c r="N21" s="949">
        <f t="shared" si="0"/>
        <v>2002</v>
      </c>
      <c r="O21" s="949" t="str">
        <f t="shared" si="1"/>
        <v>1</v>
      </c>
      <c r="P21" s="305"/>
      <c r="Q21" s="1"/>
      <c r="T21" s="405"/>
    </row>
    <row r="22" spans="1:20">
      <c r="A22" s="609">
        <v>37408</v>
      </c>
      <c r="B22" s="1465">
        <v>41.200089999999996</v>
      </c>
      <c r="C22" s="1465">
        <v>10.031777999999999</v>
      </c>
      <c r="D22" s="1465">
        <v>1.5774170000000001</v>
      </c>
      <c r="E22" s="1465">
        <v>65.576620000000005</v>
      </c>
      <c r="F22" s="1465">
        <v>2.1654870000000002</v>
      </c>
      <c r="G22" s="1465">
        <v>60.399329999999999</v>
      </c>
      <c r="H22" s="1465">
        <v>7.0153869999999996</v>
      </c>
      <c r="I22" s="1465">
        <v>146.80247900000001</v>
      </c>
      <c r="J22" s="1465">
        <v>1.19547</v>
      </c>
      <c r="K22" s="1465">
        <v>32.521793000000002</v>
      </c>
      <c r="L22" s="1465">
        <v>232.72</v>
      </c>
      <c r="M22" s="1466">
        <v>4.9676169999999997</v>
      </c>
      <c r="N22" s="949">
        <f t="shared" si="0"/>
        <v>2002</v>
      </c>
      <c r="O22" s="949" t="str">
        <f t="shared" si="1"/>
        <v>2</v>
      </c>
      <c r="P22" s="305"/>
      <c r="Q22" s="1"/>
      <c r="T22" s="405"/>
    </row>
    <row r="23" spans="1:20">
      <c r="A23" s="609">
        <v>37500</v>
      </c>
      <c r="B23" s="617">
        <v>15.169086724195569</v>
      </c>
      <c r="C23" s="617">
        <v>3.9290959999999999</v>
      </c>
      <c r="D23" s="617">
        <v>1.626439</v>
      </c>
      <c r="E23" s="617">
        <v>69.443230999999997</v>
      </c>
      <c r="F23" s="617">
        <v>2.092015</v>
      </c>
      <c r="G23" s="617">
        <v>56.626885999999999</v>
      </c>
      <c r="H23" s="617">
        <v>7.9505169999999996</v>
      </c>
      <c r="I23" s="617">
        <v>147.228297</v>
      </c>
      <c r="J23" s="617">
        <v>1.2979349999999998</v>
      </c>
      <c r="K23" s="617">
        <v>31.53819</v>
      </c>
      <c r="L23" s="617">
        <v>189.24100000000001</v>
      </c>
      <c r="M23" s="539">
        <v>3.459381</v>
      </c>
      <c r="N23" s="949">
        <f t="shared" si="0"/>
        <v>2002</v>
      </c>
      <c r="O23" s="949" t="str">
        <f t="shared" si="1"/>
        <v>3</v>
      </c>
      <c r="P23" s="305"/>
      <c r="Q23" s="1"/>
      <c r="T23" s="405"/>
    </row>
    <row r="24" spans="1:20">
      <c r="A24" s="609">
        <v>37591</v>
      </c>
      <c r="B24" s="1465">
        <v>34.019711772046264</v>
      </c>
      <c r="C24" s="1465">
        <v>8.2505400000000009</v>
      </c>
      <c r="D24" s="1465">
        <v>1.5536669999999999</v>
      </c>
      <c r="E24" s="1465">
        <v>67.360894000000002</v>
      </c>
      <c r="F24" s="1465">
        <v>2.6136650000000001</v>
      </c>
      <c r="G24" s="1465">
        <v>64.895644000000004</v>
      </c>
      <c r="H24" s="1465">
        <v>7.8663959999999999</v>
      </c>
      <c r="I24" s="1465">
        <v>114.01141699999999</v>
      </c>
      <c r="J24" s="1465">
        <v>1.175405</v>
      </c>
      <c r="K24" s="1465">
        <v>27.168202999999998</v>
      </c>
      <c r="L24" s="1465">
        <v>165.81700000000001</v>
      </c>
      <c r="M24" s="1466">
        <v>3.1514899999999999</v>
      </c>
      <c r="N24" s="949">
        <f t="shared" si="0"/>
        <v>2002</v>
      </c>
      <c r="O24" s="949" t="str">
        <f t="shared" si="1"/>
        <v>4</v>
      </c>
      <c r="P24" s="305"/>
      <c r="Q24" s="1"/>
      <c r="T24" s="405"/>
    </row>
    <row r="25" spans="1:20">
      <c r="A25" s="609">
        <v>37681</v>
      </c>
      <c r="B25" s="617">
        <v>10.363415549847053</v>
      </c>
      <c r="C25" s="617">
        <v>2.3356549392733785</v>
      </c>
      <c r="D25" s="617">
        <v>1.59413</v>
      </c>
      <c r="E25" s="617">
        <v>69.661443000000006</v>
      </c>
      <c r="F25" s="617">
        <v>2.4200170000000001</v>
      </c>
      <c r="G25" s="617">
        <v>54.355421999999997</v>
      </c>
      <c r="H25" s="617">
        <v>12.646680999999999</v>
      </c>
      <c r="I25" s="617">
        <v>253.86191199999999</v>
      </c>
      <c r="J25" s="617">
        <v>1.1724480000000002</v>
      </c>
      <c r="K25" s="617">
        <v>30.158299</v>
      </c>
      <c r="L25" s="617">
        <v>161.61000000000001</v>
      </c>
      <c r="M25" s="539">
        <v>2.9535019999999998</v>
      </c>
      <c r="N25" s="949">
        <f t="shared" si="0"/>
        <v>2003</v>
      </c>
      <c r="O25" s="949" t="str">
        <f t="shared" si="1"/>
        <v>1</v>
      </c>
      <c r="P25" s="305"/>
      <c r="Q25" s="1"/>
      <c r="T25" s="405"/>
    </row>
    <row r="26" spans="1:20">
      <c r="A26" s="609">
        <v>37773</v>
      </c>
      <c r="B26" s="1465">
        <v>23.004932622460245</v>
      </c>
      <c r="C26" s="1465">
        <v>5.7236078169604818</v>
      </c>
      <c r="D26" s="1465">
        <v>1.548961</v>
      </c>
      <c r="E26" s="1465">
        <v>66.421180000000007</v>
      </c>
      <c r="F26" s="1465">
        <v>2.481233</v>
      </c>
      <c r="G26" s="1465">
        <v>52.071703999999997</v>
      </c>
      <c r="H26" s="1465">
        <v>7.0153879999999997</v>
      </c>
      <c r="I26" s="1465">
        <v>146.84101100000001</v>
      </c>
      <c r="J26" s="1465">
        <v>1.2773699999999999</v>
      </c>
      <c r="K26" s="1465">
        <v>33.387242000000001</v>
      </c>
      <c r="L26" s="1465">
        <v>152.66999999999999</v>
      </c>
      <c r="M26" s="1466">
        <v>2.2418100000000001</v>
      </c>
      <c r="N26" s="949">
        <f t="shared" si="0"/>
        <v>2003</v>
      </c>
      <c r="O26" s="949" t="str">
        <f t="shared" si="1"/>
        <v>2</v>
      </c>
      <c r="P26" s="305"/>
      <c r="T26" s="405"/>
    </row>
    <row r="27" spans="1:20">
      <c r="A27" s="609">
        <v>37865</v>
      </c>
      <c r="B27" s="617">
        <v>27.48</v>
      </c>
      <c r="C27" s="617">
        <v>4.6400335400000001</v>
      </c>
      <c r="D27" s="617">
        <v>1.494164</v>
      </c>
      <c r="E27" s="617">
        <v>65.080843000000002</v>
      </c>
      <c r="F27" s="617">
        <v>2.1555275300000001</v>
      </c>
      <c r="G27" s="617">
        <v>42.955953039999997</v>
      </c>
      <c r="H27" s="617">
        <v>7.9505169999999996</v>
      </c>
      <c r="I27" s="617">
        <v>147.25605200000001</v>
      </c>
      <c r="J27" s="617">
        <v>1.152933</v>
      </c>
      <c r="K27" s="617">
        <v>34.490805999999999</v>
      </c>
      <c r="L27" s="617">
        <v>150.25200000000001</v>
      </c>
      <c r="M27" s="539">
        <v>1.3383670000000001</v>
      </c>
      <c r="N27" s="949">
        <f t="shared" si="0"/>
        <v>2003</v>
      </c>
      <c r="O27" s="949" t="str">
        <f t="shared" si="1"/>
        <v>3</v>
      </c>
      <c r="P27" s="305"/>
      <c r="T27" s="405"/>
    </row>
    <row r="28" spans="1:20">
      <c r="A28" s="609">
        <v>37956</v>
      </c>
      <c r="B28" s="1465">
        <v>11.35</v>
      </c>
      <c r="C28" s="1465">
        <v>2.5258398899999999</v>
      </c>
      <c r="D28" s="1465">
        <v>1.3893260000000001</v>
      </c>
      <c r="E28" s="1465">
        <v>60.2582825</v>
      </c>
      <c r="F28" s="1465">
        <v>2.6791669300000001</v>
      </c>
      <c r="G28" s="1465">
        <v>47.156611499999997</v>
      </c>
      <c r="H28" s="1465">
        <v>7.8663959999999999</v>
      </c>
      <c r="I28" s="1465">
        <v>114.102937</v>
      </c>
      <c r="J28" s="1465">
        <v>1.3972260000000001</v>
      </c>
      <c r="K28" s="1465">
        <v>47.001964000000001</v>
      </c>
      <c r="L28" s="1465">
        <v>145.874</v>
      </c>
      <c r="M28" s="1466">
        <v>1.775582</v>
      </c>
      <c r="N28" s="950">
        <f t="shared" si="0"/>
        <v>2003</v>
      </c>
      <c r="O28" s="949" t="str">
        <f t="shared" si="1"/>
        <v>4</v>
      </c>
      <c r="P28" s="305"/>
      <c r="T28" s="405"/>
    </row>
    <row r="29" spans="1:20">
      <c r="A29" s="609">
        <v>38047</v>
      </c>
      <c r="B29" s="617">
        <v>13.29</v>
      </c>
      <c r="C29" s="617">
        <v>3.1044165100000001</v>
      </c>
      <c r="D29" s="617">
        <v>1.5455429999999999</v>
      </c>
      <c r="E29" s="617">
        <v>74.215363999999994</v>
      </c>
      <c r="F29" s="617">
        <v>2.4372070799999999</v>
      </c>
      <c r="G29" s="617">
        <v>41.628523899999998</v>
      </c>
      <c r="H29" s="617">
        <v>10.401199</v>
      </c>
      <c r="I29" s="617">
        <v>150.60917900000001</v>
      </c>
      <c r="J29" s="617">
        <v>0.98941699999999999</v>
      </c>
      <c r="K29" s="617">
        <v>60.842170000000003</v>
      </c>
      <c r="L29" s="617">
        <v>163.95</v>
      </c>
      <c r="M29" s="539">
        <v>1.946752</v>
      </c>
      <c r="N29" s="950">
        <f t="shared" si="0"/>
        <v>2004</v>
      </c>
      <c r="O29" s="949" t="str">
        <f t="shared" si="1"/>
        <v>1</v>
      </c>
      <c r="P29" s="305"/>
      <c r="T29" s="405"/>
    </row>
    <row r="30" spans="1:20" ht="15.75" thickBot="1">
      <c r="A30" s="609">
        <v>38139</v>
      </c>
      <c r="B30" s="1465">
        <v>45.94</v>
      </c>
      <c r="C30" s="1465">
        <v>2.8316377400000001</v>
      </c>
      <c r="D30" s="1465">
        <v>1.5439799999999999</v>
      </c>
      <c r="E30" s="1465">
        <v>69.288295000000005</v>
      </c>
      <c r="F30" s="1465">
        <v>2.6841794399999999</v>
      </c>
      <c r="G30" s="1465">
        <v>49.179690200000003</v>
      </c>
      <c r="H30" s="1465">
        <v>6.2809999999999997</v>
      </c>
      <c r="I30" s="1465">
        <v>107.897165</v>
      </c>
      <c r="J30" s="1465">
        <v>1.1341509999999999</v>
      </c>
      <c r="K30" s="1465">
        <v>72.180019999999999</v>
      </c>
      <c r="L30" s="1465">
        <v>206.61</v>
      </c>
      <c r="M30" s="1466">
        <v>3.1444960000000002</v>
      </c>
      <c r="N30" s="950">
        <f t="shared" si="0"/>
        <v>2004</v>
      </c>
      <c r="O30" s="950" t="str">
        <f t="shared" si="1"/>
        <v>2</v>
      </c>
      <c r="P30" s="305"/>
      <c r="T30" s="405"/>
    </row>
    <row r="31" spans="1:20">
      <c r="A31" s="609">
        <v>38231</v>
      </c>
      <c r="B31" s="617">
        <v>34.18</v>
      </c>
      <c r="C31" s="617">
        <v>10.586493279999999</v>
      </c>
      <c r="D31" s="617">
        <v>1.5242880000000001</v>
      </c>
      <c r="E31" s="617">
        <v>65.108678999999995</v>
      </c>
      <c r="F31" s="617">
        <v>2.5136058600000002</v>
      </c>
      <c r="G31" s="617">
        <v>46.099858400000002</v>
      </c>
      <c r="H31" s="617">
        <v>2.9031189999999998</v>
      </c>
      <c r="I31" s="617">
        <v>68.935257000000007</v>
      </c>
      <c r="J31" s="617">
        <v>1.2430099999999999</v>
      </c>
      <c r="K31" s="617">
        <v>73.460751000000002</v>
      </c>
      <c r="L31" s="617">
        <v>342.62</v>
      </c>
      <c r="M31" s="539">
        <v>3.0398429999999999</v>
      </c>
      <c r="N31" s="950">
        <f t="shared" si="0"/>
        <v>2004</v>
      </c>
      <c r="O31" s="950" t="str">
        <f t="shared" si="1"/>
        <v>3</v>
      </c>
      <c r="P31" s="305"/>
      <c r="Q31" s="288" t="s">
        <v>279</v>
      </c>
      <c r="R31" s="2060" t="s">
        <v>274</v>
      </c>
      <c r="S31" s="2061"/>
      <c r="T31" s="405"/>
    </row>
    <row r="32" spans="1:20">
      <c r="A32" s="609">
        <v>38322</v>
      </c>
      <c r="B32" s="1465">
        <v>28.13</v>
      </c>
      <c r="C32" s="1465">
        <v>8.1323652699999993</v>
      </c>
      <c r="D32" s="1465">
        <v>1.6876340000000001</v>
      </c>
      <c r="E32" s="1465">
        <v>72.845381000000003</v>
      </c>
      <c r="F32" s="1465">
        <v>2.851439536</v>
      </c>
      <c r="G32" s="1465">
        <v>49.721344600000002</v>
      </c>
      <c r="H32" s="1465">
        <v>4.639805</v>
      </c>
      <c r="I32" s="1465">
        <v>93.302954</v>
      </c>
      <c r="J32" s="1465">
        <v>1.0302899999999999</v>
      </c>
      <c r="K32" s="1465">
        <v>54.704602000000001</v>
      </c>
      <c r="L32" s="1465">
        <v>328.83</v>
      </c>
      <c r="M32" s="1466">
        <v>2.4366889999999999</v>
      </c>
      <c r="N32" s="950">
        <f t="shared" si="0"/>
        <v>2004</v>
      </c>
      <c r="O32" s="950" t="str">
        <f t="shared" si="1"/>
        <v>4</v>
      </c>
      <c r="P32" s="305"/>
      <c r="Q32" s="1456" t="s">
        <v>323</v>
      </c>
      <c r="R32" s="2062" t="s">
        <v>240</v>
      </c>
      <c r="S32" s="2063"/>
    </row>
    <row r="33" spans="1:20">
      <c r="A33" s="609">
        <v>38412</v>
      </c>
      <c r="B33" s="617">
        <v>69.63</v>
      </c>
      <c r="C33" s="617">
        <v>18.353739430000001</v>
      </c>
      <c r="D33" s="617">
        <v>1.542613</v>
      </c>
      <c r="E33" s="617">
        <v>66.680474000000004</v>
      </c>
      <c r="F33" s="617">
        <v>3.0537117500000002</v>
      </c>
      <c r="G33" s="617">
        <v>55.3390998</v>
      </c>
      <c r="H33" s="617">
        <v>9.3064780000000003</v>
      </c>
      <c r="I33" s="617">
        <v>175.62052700000001</v>
      </c>
      <c r="J33" s="617">
        <v>1.0505500000000001</v>
      </c>
      <c r="K33" s="617">
        <v>40.748783000000003</v>
      </c>
      <c r="L33" s="617">
        <v>212.22</v>
      </c>
      <c r="M33" s="539">
        <v>2.0615700000000001</v>
      </c>
      <c r="N33" s="950">
        <f t="shared" si="0"/>
        <v>2005</v>
      </c>
      <c r="O33" s="950" t="str">
        <f t="shared" si="1"/>
        <v>1</v>
      </c>
      <c r="P33" s="305"/>
      <c r="Q33" s="1961" t="str">
        <f>CONCATENATE(R31," Quantity and Value by ",R32)</f>
        <v>Silver Quantity and Value by Calendar Year</v>
      </c>
      <c r="R33" s="1962"/>
      <c r="S33" s="1963"/>
    </row>
    <row r="34" spans="1:20" ht="16.5" customHeight="1">
      <c r="A34" s="1467">
        <v>38504</v>
      </c>
      <c r="B34" s="1468">
        <v>10.46</v>
      </c>
      <c r="C34" s="1468">
        <v>2.9647892699999998</v>
      </c>
      <c r="D34" s="1468">
        <v>1.44953</v>
      </c>
      <c r="E34" s="1468">
        <v>64.003716999999995</v>
      </c>
      <c r="F34" s="1468">
        <v>3.0877919999999999</v>
      </c>
      <c r="G34" s="1468">
        <v>52.637320799999998</v>
      </c>
      <c r="H34" s="1468">
        <v>5.9503709999999996</v>
      </c>
      <c r="I34" s="1468">
        <v>141.983859</v>
      </c>
      <c r="J34" s="1468">
        <v>1.01464</v>
      </c>
      <c r="K34" s="1468">
        <v>34.349407999999997</v>
      </c>
      <c r="L34" s="1468">
        <v>167.33</v>
      </c>
      <c r="M34" s="1469">
        <v>1.6127419999999999</v>
      </c>
      <c r="N34" s="951">
        <f t="shared" si="0"/>
        <v>2005</v>
      </c>
      <c r="O34" s="951" t="str">
        <f t="shared" si="1"/>
        <v>2</v>
      </c>
      <c r="P34" s="305"/>
      <c r="Q34" s="1457" t="s">
        <v>34</v>
      </c>
      <c r="R34" s="1458" t="str">
        <f ca="1">INDIRECT(CONCATENATE(AB1,"8"),TRUE)</f>
        <v>Quantity (t)</v>
      </c>
      <c r="S34" s="1459" t="str">
        <f ca="1">INDIRECT(CONCATENATE(AB2,"8"),TRUE)</f>
        <v>Value ($ Million)</v>
      </c>
      <c r="T34" s="405"/>
    </row>
    <row r="35" spans="1:20">
      <c r="A35" s="609">
        <v>38596</v>
      </c>
      <c r="B35" s="617">
        <v>8.11</v>
      </c>
      <c r="C35" s="617">
        <v>2.3440821299999999</v>
      </c>
      <c r="D35" s="617">
        <v>1.659041</v>
      </c>
      <c r="E35" s="617">
        <v>73.671881999999997</v>
      </c>
      <c r="F35" s="617">
        <v>2.5908350000000002</v>
      </c>
      <c r="G35" s="617">
        <v>50.711830509999999</v>
      </c>
      <c r="H35" s="617">
        <v>12.544718</v>
      </c>
      <c r="I35" s="617">
        <v>273.347419</v>
      </c>
      <c r="J35" s="617">
        <v>1.304505</v>
      </c>
      <c r="K35" s="617">
        <v>47.096665999999999</v>
      </c>
      <c r="L35" s="617">
        <v>211.44</v>
      </c>
      <c r="M35" s="539">
        <v>1.719373</v>
      </c>
      <c r="N35" s="950">
        <f t="shared" si="0"/>
        <v>2005</v>
      </c>
      <c r="O35" s="950" t="str">
        <f t="shared" si="1"/>
        <v>3</v>
      </c>
      <c r="P35" s="305"/>
      <c r="Q35" s="1744">
        <f t="shared" ref="Q35:Q52" si="4">IF($R$32="Calendar Year", Q36-1, LEFT(Q36,4)-1 &amp; "-" &amp; MID(Q36,3,2))</f>
        <v>2004</v>
      </c>
      <c r="R35" s="545">
        <f ca="1">IF($R$32="Calendar Year",SUMIF($N$9:$N$201,$Q35,INDIRECT(CONCATENATE($AB$1,"9:",$AB$1,"201"),TRUE)),SUMIFS(INDIRECT(CONCATENATE($AB$1,"9:",$AB$1,"201"),TRUE),$N$9:$N$201,LEFT($Q35,4),$O$9:$O$201,3)+SUMIFS(INDIRECT(CONCATENATE($AB$1,"9:",$AB$1,"201"),TRUE),$N$9:$N$201,LEFT($Q35,4),$O$9:$O$201,4)+SUMIFS(INDIRECT(CONCATENATE($AB$1,"9:",$AB$1,"201"),TRUE),$N$9:$N$201,LEFT($Q35,4)+1,$O$9:$O$201,1)+SUMIFS(INDIRECT(CONCATENATE($AB$1,"9:",$AB$1,"201"),TRUE),$N$9:$N$201,LEFT($Q35,4)+1,$O$9:$O$201,2))</f>
        <v>121.53999999999999</v>
      </c>
      <c r="S35" s="974">
        <f ca="1">IF($R$32="Calendar Year",SUMIF($N$9:$N$201,$Q35,INDIRECT(CONCATENATE($AB$2,"9:",$AB$2,"201"),TRUE)),SUMIFS(INDIRECT(CONCATENATE($AB$2,"9:",$AB$2,"201"),TRUE),$N$9:$N$201,LEFT($Q35,4),$O$9:$O$201,3)+SUMIFS(INDIRECT(CONCATENATE($AB$2,"9:",$AB$2,"201"),TRUE),$N$9:$N$201,LEFT($Q35,4),$O$9:$O$201,4)+SUMIFS(INDIRECT(CONCATENATE($AB$2,"9:",$AB$2,"201"),TRUE),$N$9:$N$201,LEFT($Q35,4)+1,$O$9:$O$201,1)+SUMIFS(INDIRECT(CONCATENATE($AB$2,"9:",$AB$2,"201"),TRUE),$N$9:$N$201,LEFT($Q35,4)+1,$O$9:$O$201,2))</f>
        <v>24.654912799999998</v>
      </c>
      <c r="T35" s="405"/>
    </row>
    <row r="36" spans="1:20">
      <c r="A36" s="609">
        <v>38687</v>
      </c>
      <c r="B36" s="1465">
        <v>39.32</v>
      </c>
      <c r="C36" s="1465">
        <v>15.440655530000001</v>
      </c>
      <c r="D36" s="1465">
        <v>1.6833</v>
      </c>
      <c r="E36" s="1465">
        <v>75.830461999999997</v>
      </c>
      <c r="F36" s="1465">
        <v>2.7428681699999999</v>
      </c>
      <c r="G36" s="1465">
        <v>55.094403900000003</v>
      </c>
      <c r="H36" s="1465">
        <v>6.505312</v>
      </c>
      <c r="I36" s="1465">
        <v>149.196808</v>
      </c>
      <c r="J36" s="1465">
        <v>1.197765</v>
      </c>
      <c r="K36" s="1465">
        <v>44.737943000000001</v>
      </c>
      <c r="L36" s="1465">
        <v>70.22</v>
      </c>
      <c r="M36" s="1466">
        <v>0.62642600000000004</v>
      </c>
      <c r="N36" s="950">
        <f t="shared" si="0"/>
        <v>2005</v>
      </c>
      <c r="O36" s="950" t="str">
        <f t="shared" si="1"/>
        <v>4</v>
      </c>
      <c r="P36" s="305"/>
      <c r="Q36" s="1744">
        <f t="shared" si="4"/>
        <v>2005</v>
      </c>
      <c r="R36" s="614">
        <f t="shared" ref="R36:R54" ca="1" si="5">IF(Q36="","",IF($R$32="Calendar Year",SUMIF($N$9:$N$201,$Q36,INDIRECT(CONCATENATE($AB$1,"9:",$AB$1,"201"),TRUE)),SUMIFS(INDIRECT(CONCATENATE($AB$1,"9:",$AB$1,"201"),TRUE),$N$9:$N$201,LEFT($Q36,4),$O$9:$O$201,3)+SUMIFS(INDIRECT(CONCATENATE($AB$1,"9:",$AB$1,"201"),TRUE),$N$9:$N$201,LEFT($Q36,4),$O$9:$O$201,4)+SUMIFS(INDIRECT(CONCATENATE($AB$1,"9:",$AB$1,"201"),TRUE),$N$9:$N$201,LEFT($Q36,4)+1,$O$9:$O$201,1)+SUMIFS(INDIRECT(CONCATENATE($AB$1,"9:",$AB$1,"201"),TRUE),$N$9:$N$201,LEFT($Q36,4)+1,$O$9:$O$201,2)))</f>
        <v>127.52000000000001</v>
      </c>
      <c r="S36" s="1460">
        <f t="shared" ref="S36:S54" ca="1" si="6">IF(Q36="","",IF($R$32="Calendar Year",SUMIF($N$9:$N$201,$Q36,INDIRECT(CONCATENATE($AB$2,"9:",$AB$2,"201"),TRUE)),SUMIFS(INDIRECT(CONCATENATE($AB$2,"9:",$AB$2,"201"),TRUE),$N$9:$N$201,LEFT($Q36,4),$O$9:$O$201,3)+SUMIFS(INDIRECT(CONCATENATE($AB$2,"9:",$AB$2,"201"),TRUE),$N$9:$N$201,LEFT($Q36,4),$O$9:$O$201,4)+SUMIFS(INDIRECT(CONCATENATE($AB$2,"9:",$AB$2,"201"),TRUE),$N$9:$N$201,LEFT($Q36,4)+1,$O$9:$O$201,1)+SUMIFS(INDIRECT(CONCATENATE($AB$2,"9:",$AB$2,"201"),TRUE),$N$9:$N$201,LEFT($Q36,4)+1,$O$9:$O$201,2)))</f>
        <v>39.103266360000006</v>
      </c>
      <c r="T36" s="405"/>
    </row>
    <row r="37" spans="1:20">
      <c r="A37" s="609">
        <v>38777</v>
      </c>
      <c r="B37" s="617">
        <v>22.42</v>
      </c>
      <c r="C37" s="617">
        <v>9.8991357999999998</v>
      </c>
      <c r="D37" s="617">
        <v>1.7069209999999999</v>
      </c>
      <c r="E37" s="617">
        <v>76.768270000000001</v>
      </c>
      <c r="F37" s="617">
        <v>2.6257728199999999</v>
      </c>
      <c r="G37" s="617">
        <v>58.0638668</v>
      </c>
      <c r="H37" s="617">
        <v>5.6266639999999999</v>
      </c>
      <c r="I37" s="617">
        <v>146.639973</v>
      </c>
      <c r="J37" s="617">
        <v>1.377065</v>
      </c>
      <c r="K37" s="617">
        <v>45.229629000000003</v>
      </c>
      <c r="L37" s="617">
        <v>228.24</v>
      </c>
      <c r="M37" s="539">
        <v>2.6912660000000002</v>
      </c>
      <c r="N37" s="950">
        <f t="shared" si="0"/>
        <v>2006</v>
      </c>
      <c r="O37" s="950" t="str">
        <f t="shared" si="1"/>
        <v>1</v>
      </c>
      <c r="P37" s="305"/>
      <c r="Q37" s="1744">
        <f t="shared" si="4"/>
        <v>2006</v>
      </c>
      <c r="R37" s="545">
        <f t="shared" ca="1" si="5"/>
        <v>103.02000000000001</v>
      </c>
      <c r="S37" s="974">
        <f t="shared" ca="1" si="6"/>
        <v>49.870901419999996</v>
      </c>
      <c r="T37" s="405"/>
    </row>
    <row r="38" spans="1:20">
      <c r="A38" s="609">
        <v>38869</v>
      </c>
      <c r="B38" s="1465">
        <v>24.65</v>
      </c>
      <c r="C38" s="1465">
        <v>11.868411</v>
      </c>
      <c r="D38" s="1465">
        <v>1.6514359999999999</v>
      </c>
      <c r="E38" s="1465">
        <v>70.647069000000002</v>
      </c>
      <c r="F38" s="1465">
        <v>2.8747203899999998</v>
      </c>
      <c r="G38" s="1465">
        <v>65.980252629999995</v>
      </c>
      <c r="H38" s="1465">
        <v>4.5871750000000002</v>
      </c>
      <c r="I38" s="1465">
        <v>127.02534799999999</v>
      </c>
      <c r="J38" s="1465">
        <v>1.15002</v>
      </c>
      <c r="K38" s="1465">
        <v>47.843569000000002</v>
      </c>
      <c r="L38" s="1465">
        <v>349.73</v>
      </c>
      <c r="M38" s="1466">
        <v>4.7056250000000004</v>
      </c>
      <c r="N38" s="950">
        <f t="shared" si="0"/>
        <v>2006</v>
      </c>
      <c r="O38" s="950" t="str">
        <f t="shared" si="1"/>
        <v>2</v>
      </c>
      <c r="P38" s="305"/>
      <c r="Q38" s="1744">
        <f t="shared" si="4"/>
        <v>2007</v>
      </c>
      <c r="R38" s="614">
        <f t="shared" ca="1" si="5"/>
        <v>120.33</v>
      </c>
      <c r="S38" s="1460">
        <f t="shared" ca="1" si="6"/>
        <v>63.222478219999999</v>
      </c>
      <c r="T38" s="405"/>
    </row>
    <row r="39" spans="1:20">
      <c r="A39" s="609">
        <v>38961</v>
      </c>
      <c r="B39" s="617">
        <v>36.42</v>
      </c>
      <c r="C39" s="617">
        <v>17.337604290000002</v>
      </c>
      <c r="D39" s="617">
        <v>1.7047909999999999</v>
      </c>
      <c r="E39" s="617">
        <v>73.083579</v>
      </c>
      <c r="F39" s="617">
        <v>2.30997195</v>
      </c>
      <c r="G39" s="617">
        <v>52.865980049999997</v>
      </c>
      <c r="H39" s="617">
        <v>1.761682</v>
      </c>
      <c r="I39" s="617">
        <v>73.637056999999999</v>
      </c>
      <c r="J39" s="617">
        <v>1.1085940000000001</v>
      </c>
      <c r="K39" s="617">
        <v>50.308590000000002</v>
      </c>
      <c r="L39" s="617">
        <v>170.28</v>
      </c>
      <c r="M39" s="539">
        <v>2.322508</v>
      </c>
      <c r="N39" s="950">
        <f t="shared" si="0"/>
        <v>2006</v>
      </c>
      <c r="O39" s="950" t="str">
        <f t="shared" si="1"/>
        <v>3</v>
      </c>
      <c r="P39" s="305"/>
      <c r="Q39" s="1744">
        <f t="shared" si="4"/>
        <v>2008</v>
      </c>
      <c r="R39" s="545">
        <f t="shared" ca="1" si="5"/>
        <v>88.06</v>
      </c>
      <c r="S39" s="974">
        <f t="shared" ca="1" si="6"/>
        <v>51.411615130000001</v>
      </c>
      <c r="T39" s="405"/>
    </row>
    <row r="40" spans="1:20">
      <c r="A40" s="609">
        <v>39052</v>
      </c>
      <c r="B40" s="1465">
        <v>19.53</v>
      </c>
      <c r="C40" s="1465">
        <v>10.765750329999999</v>
      </c>
      <c r="D40" s="1465">
        <v>1.5482750000000001</v>
      </c>
      <c r="E40" s="1465">
        <v>69.227222999999995</v>
      </c>
      <c r="F40" s="1465">
        <v>2.9054620600000001</v>
      </c>
      <c r="G40" s="1465">
        <v>64.732898629999994</v>
      </c>
      <c r="H40" s="1465">
        <v>5.0948669999999998</v>
      </c>
      <c r="I40" s="1465">
        <v>115.15518299999999</v>
      </c>
      <c r="J40" s="1465">
        <v>1.4931460000000001</v>
      </c>
      <c r="K40" s="1465">
        <v>77.043387999999993</v>
      </c>
      <c r="L40" s="1465">
        <v>210.83</v>
      </c>
      <c r="M40" s="1466">
        <v>2.785895</v>
      </c>
      <c r="N40" s="950">
        <f t="shared" si="0"/>
        <v>2006</v>
      </c>
      <c r="O40" s="950" t="str">
        <f t="shared" si="1"/>
        <v>4</v>
      </c>
      <c r="P40" s="305"/>
      <c r="Q40" s="1744">
        <f t="shared" si="4"/>
        <v>2009</v>
      </c>
      <c r="R40" s="614">
        <f t="shared" ca="1" si="5"/>
        <v>124.14</v>
      </c>
      <c r="S40" s="1460">
        <f t="shared" ca="1" si="6"/>
        <v>74.044649460000002</v>
      </c>
      <c r="T40" s="405"/>
    </row>
    <row r="41" spans="1:20">
      <c r="A41" s="609">
        <v>39142</v>
      </c>
      <c r="B41" s="617">
        <v>47.54</v>
      </c>
      <c r="C41" s="617">
        <v>25.048839940000001</v>
      </c>
      <c r="D41" s="617">
        <v>1.5245740000000001</v>
      </c>
      <c r="E41" s="617">
        <v>67.910944000000001</v>
      </c>
      <c r="F41" s="617">
        <v>2.4805410000000001</v>
      </c>
      <c r="G41" s="617">
        <v>56.473620269999998</v>
      </c>
      <c r="H41" s="617">
        <v>6.8600599999999998</v>
      </c>
      <c r="I41" s="617">
        <v>158.19950399999999</v>
      </c>
      <c r="J41" s="617">
        <v>1.122004</v>
      </c>
      <c r="K41" s="617">
        <v>80.026346000000004</v>
      </c>
      <c r="L41" s="617">
        <v>185.07</v>
      </c>
      <c r="M41" s="539">
        <v>2.497878</v>
      </c>
      <c r="N41" s="950">
        <f t="shared" ref="N41:N72" si="7">YEAR(A41)</f>
        <v>2007</v>
      </c>
      <c r="O41" s="950" t="str">
        <f t="shared" ref="O41:O72" si="8">IF(MONTH(A41)=3,"1",IF(MONTH(A41)=6,"2",IF(MONTH(A41)=9,"3","4")))</f>
        <v>1</v>
      </c>
      <c r="P41" s="305"/>
      <c r="Q41" s="1744">
        <f t="shared" si="4"/>
        <v>2010</v>
      </c>
      <c r="R41" s="545">
        <f t="shared" ca="1" si="5"/>
        <v>112.99000000000001</v>
      </c>
      <c r="S41" s="974">
        <f t="shared" ca="1" si="6"/>
        <v>80.654205189999999</v>
      </c>
      <c r="T41" s="405"/>
    </row>
    <row r="42" spans="1:20">
      <c r="A42" s="609">
        <v>39234</v>
      </c>
      <c r="B42" s="1465">
        <v>16.77</v>
      </c>
      <c r="C42" s="1465">
        <v>8.61645854</v>
      </c>
      <c r="D42" s="1465">
        <v>1.239987</v>
      </c>
      <c r="E42" s="1465">
        <v>61.301450000000003</v>
      </c>
      <c r="F42" s="1465">
        <v>2.7276129930000002</v>
      </c>
      <c r="G42" s="1465">
        <v>62.079069779999998</v>
      </c>
      <c r="H42" s="1465">
        <v>4.50671</v>
      </c>
      <c r="I42" s="1465">
        <v>114.932017</v>
      </c>
      <c r="J42" s="1465">
        <v>0.93303400000000003</v>
      </c>
      <c r="K42" s="1465">
        <v>70.114502999999999</v>
      </c>
      <c r="L42" s="1465">
        <v>147.41</v>
      </c>
      <c r="M42" s="1466">
        <v>2.0869070000000001</v>
      </c>
      <c r="N42" s="950">
        <f t="shared" si="7"/>
        <v>2007</v>
      </c>
      <c r="O42" s="950" t="str">
        <f t="shared" si="8"/>
        <v>2</v>
      </c>
      <c r="P42" s="305"/>
      <c r="Q42" s="1744">
        <f t="shared" si="4"/>
        <v>2011</v>
      </c>
      <c r="R42" s="614">
        <f t="shared" ca="1" si="5"/>
        <v>91.47</v>
      </c>
      <c r="S42" s="1460">
        <f t="shared" ca="1" si="6"/>
        <v>96.223977849999997</v>
      </c>
      <c r="T42" s="405"/>
    </row>
    <row r="43" spans="1:20">
      <c r="A43" s="609">
        <v>39326</v>
      </c>
      <c r="B43" s="617">
        <v>18.52</v>
      </c>
      <c r="C43" s="617">
        <v>9.3160715599999993</v>
      </c>
      <c r="D43" s="617">
        <v>1.5507040000000001</v>
      </c>
      <c r="E43" s="617">
        <v>68.732557999999997</v>
      </c>
      <c r="F43" s="617">
        <v>2.4074020159999998</v>
      </c>
      <c r="G43" s="617">
        <v>52.282478830000002</v>
      </c>
      <c r="H43" s="617">
        <v>7.3817740000000001</v>
      </c>
      <c r="I43" s="617">
        <v>178.80596</v>
      </c>
      <c r="J43" s="617">
        <v>1.3634200000000001</v>
      </c>
      <c r="K43" s="617">
        <v>88.325033000000005</v>
      </c>
      <c r="L43" s="617">
        <v>195.93</v>
      </c>
      <c r="M43" s="539">
        <v>2.6050979999999999</v>
      </c>
      <c r="N43" s="950">
        <f t="shared" si="7"/>
        <v>2007</v>
      </c>
      <c r="O43" s="950" t="str">
        <f t="shared" si="8"/>
        <v>3</v>
      </c>
      <c r="P43" s="305"/>
      <c r="Q43" s="1744">
        <f t="shared" si="4"/>
        <v>2012</v>
      </c>
      <c r="R43" s="545">
        <f t="shared" ca="1" si="5"/>
        <v>134.67000000000002</v>
      </c>
      <c r="S43" s="974">
        <f t="shared" ca="1" si="6"/>
        <v>120.73252181000001</v>
      </c>
      <c r="T43" s="405"/>
    </row>
    <row r="44" spans="1:20">
      <c r="A44" s="609">
        <v>39417</v>
      </c>
      <c r="B44" s="1465">
        <v>37.5</v>
      </c>
      <c r="C44" s="1465">
        <v>20.241108180000001</v>
      </c>
      <c r="D44" s="1465">
        <v>1.4948269999999999</v>
      </c>
      <c r="E44" s="1465">
        <v>66.016675000000006</v>
      </c>
      <c r="F44" s="1465">
        <v>2.7701297199999999</v>
      </c>
      <c r="G44" s="1465">
        <v>58.769180030000001</v>
      </c>
      <c r="H44" s="1465">
        <v>4.788233</v>
      </c>
      <c r="I44" s="1465">
        <v>108.79293800000001</v>
      </c>
      <c r="J44" s="1465">
        <v>1.3118879999999999</v>
      </c>
      <c r="K44" s="1465">
        <v>110.52490299999999</v>
      </c>
      <c r="L44" s="1465">
        <v>213.29</v>
      </c>
      <c r="M44" s="1466">
        <v>2.9729890000000001</v>
      </c>
      <c r="N44" s="950">
        <f t="shared" si="7"/>
        <v>2007</v>
      </c>
      <c r="O44" s="950" t="str">
        <f t="shared" si="8"/>
        <v>4</v>
      </c>
      <c r="P44" s="305"/>
      <c r="Q44" s="1744">
        <f t="shared" si="4"/>
        <v>2013</v>
      </c>
      <c r="R44" s="614">
        <f t="shared" ca="1" si="5"/>
        <v>126.34974535751053</v>
      </c>
      <c r="S44" s="1460">
        <f t="shared" ca="1" si="6"/>
        <v>88.37571299999999</v>
      </c>
      <c r="T44" s="405"/>
    </row>
    <row r="45" spans="1:20">
      <c r="A45" s="609">
        <v>39508</v>
      </c>
      <c r="B45" s="617">
        <v>27.14</v>
      </c>
      <c r="C45" s="617">
        <v>19.41808911</v>
      </c>
      <c r="D45" s="617">
        <v>1.770068</v>
      </c>
      <c r="E45" s="617">
        <v>66.554670000000002</v>
      </c>
      <c r="F45" s="617">
        <v>2.6357444330000002</v>
      </c>
      <c r="G45" s="617">
        <v>59.606044660000002</v>
      </c>
      <c r="H45" s="617">
        <v>7.8271360000000003</v>
      </c>
      <c r="I45" s="617">
        <v>165.86742699999999</v>
      </c>
      <c r="J45" s="617">
        <v>1.342203</v>
      </c>
      <c r="K45" s="617">
        <v>142.59106600000001</v>
      </c>
      <c r="L45" s="617">
        <v>268.24</v>
      </c>
      <c r="M45" s="539">
        <v>3.4054549999999999</v>
      </c>
      <c r="N45" s="950">
        <f t="shared" si="7"/>
        <v>2008</v>
      </c>
      <c r="O45" s="950" t="str">
        <f t="shared" si="8"/>
        <v>1</v>
      </c>
      <c r="P45" s="305"/>
      <c r="Q45" s="1744">
        <f t="shared" si="4"/>
        <v>2014</v>
      </c>
      <c r="R45" s="545">
        <f t="shared" ca="1" si="5"/>
        <v>146.42199262624757</v>
      </c>
      <c r="S45" s="974">
        <f t="shared" ca="1" si="6"/>
        <v>94.039155999999991</v>
      </c>
      <c r="T45" s="405"/>
    </row>
    <row r="46" spans="1:20">
      <c r="A46" s="609">
        <v>39600</v>
      </c>
      <c r="B46" s="1465">
        <v>12.21</v>
      </c>
      <c r="C46" s="1465">
        <v>7.2493447</v>
      </c>
      <c r="D46" s="1465">
        <v>1.4158269999999999</v>
      </c>
      <c r="E46" s="1465">
        <v>69.120554999999996</v>
      </c>
      <c r="F46" s="1465">
        <v>2.7758882429999998</v>
      </c>
      <c r="G46" s="1465">
        <v>62.27136514</v>
      </c>
      <c r="H46" s="1465">
        <v>7.970955</v>
      </c>
      <c r="I46" s="1465">
        <v>159.51923300000001</v>
      </c>
      <c r="J46" s="1465">
        <v>1.05532</v>
      </c>
      <c r="K46" s="1465">
        <v>101.614395</v>
      </c>
      <c r="L46" s="1465">
        <v>270.3</v>
      </c>
      <c r="M46" s="1466">
        <v>4.2303030000000001</v>
      </c>
      <c r="N46" s="950">
        <f t="shared" si="7"/>
        <v>2008</v>
      </c>
      <c r="O46" s="950" t="str">
        <f t="shared" si="8"/>
        <v>2</v>
      </c>
      <c r="P46" s="305"/>
      <c r="Q46" s="1744">
        <f t="shared" si="4"/>
        <v>2015</v>
      </c>
      <c r="R46" s="614">
        <f t="shared" ca="1" si="5"/>
        <v>149.89510942500203</v>
      </c>
      <c r="S46" s="1460">
        <f t="shared" ca="1" si="6"/>
        <v>96.075521999999992</v>
      </c>
      <c r="T46" s="405"/>
    </row>
    <row r="47" spans="1:20">
      <c r="A47" s="609">
        <v>39692</v>
      </c>
      <c r="B47" s="617">
        <v>10.3</v>
      </c>
      <c r="C47" s="617">
        <v>4.4101695699999999</v>
      </c>
      <c r="D47" s="617">
        <v>1.7424539999999999</v>
      </c>
      <c r="E47" s="617">
        <v>79.352620999999999</v>
      </c>
      <c r="F47" s="617">
        <v>2.863122529</v>
      </c>
      <c r="G47" s="617">
        <v>66.936909240000006</v>
      </c>
      <c r="H47" s="617">
        <v>3.7200730000000002</v>
      </c>
      <c r="I47" s="617">
        <v>96.447017000000002</v>
      </c>
      <c r="J47" s="617">
        <v>1.0820959999999999</v>
      </c>
      <c r="K47" s="617">
        <v>65.441090000000003</v>
      </c>
      <c r="L47" s="617">
        <v>0</v>
      </c>
      <c r="M47" s="539">
        <v>0</v>
      </c>
      <c r="N47" s="950">
        <f t="shared" si="7"/>
        <v>2008</v>
      </c>
      <c r="O47" s="950" t="str">
        <f t="shared" si="8"/>
        <v>3</v>
      </c>
      <c r="P47" s="305"/>
      <c r="Q47" s="1744">
        <f t="shared" si="4"/>
        <v>2016</v>
      </c>
      <c r="R47" s="545">
        <f t="shared" ca="1" si="5"/>
        <v>158.3754384095254</v>
      </c>
      <c r="S47" s="974">
        <f t="shared" ca="1" si="6"/>
        <v>111.61316399999998</v>
      </c>
      <c r="T47" s="405"/>
    </row>
    <row r="48" spans="1:20">
      <c r="A48" s="609">
        <v>39783</v>
      </c>
      <c r="B48" s="1465">
        <v>38.409999999999997</v>
      </c>
      <c r="C48" s="1465">
        <v>20.334011749999998</v>
      </c>
      <c r="D48" s="1465">
        <v>1.8029170000000001</v>
      </c>
      <c r="E48" s="1465">
        <v>90.471787000000006</v>
      </c>
      <c r="F48" s="1465">
        <v>3.2138775800000001</v>
      </c>
      <c r="G48" s="1465">
        <v>102.13609687</v>
      </c>
      <c r="H48" s="1465">
        <v>15.722381</v>
      </c>
      <c r="I48" s="1465">
        <v>80.908032000000006</v>
      </c>
      <c r="J48" s="1465">
        <v>1.305056</v>
      </c>
      <c r="K48" s="1465">
        <v>68.013240999999994</v>
      </c>
      <c r="L48" s="1465">
        <v>171.21</v>
      </c>
      <c r="M48" s="1466">
        <v>1.1179429999999999</v>
      </c>
      <c r="N48" s="950">
        <f t="shared" si="7"/>
        <v>2008</v>
      </c>
      <c r="O48" s="950" t="str">
        <f t="shared" si="8"/>
        <v>4</v>
      </c>
      <c r="P48" s="305"/>
      <c r="Q48" s="1744">
        <f t="shared" si="4"/>
        <v>2017</v>
      </c>
      <c r="R48" s="614">
        <f t="shared" ca="1" si="5"/>
        <v>138.2463860524181</v>
      </c>
      <c r="S48" s="1460">
        <f t="shared" ca="1" si="6"/>
        <v>92.242777999999987</v>
      </c>
      <c r="T48" s="405"/>
    </row>
    <row r="49" spans="1:20">
      <c r="A49" s="609">
        <v>39873</v>
      </c>
      <c r="B49" s="617">
        <v>62.38</v>
      </c>
      <c r="C49" s="617">
        <v>37.984293219999998</v>
      </c>
      <c r="D49" s="617">
        <v>1.8383700000000001</v>
      </c>
      <c r="E49" s="617">
        <v>86.200013999999996</v>
      </c>
      <c r="F49" s="617">
        <v>2.0130125520000002</v>
      </c>
      <c r="G49" s="617">
        <v>101.59605414000001</v>
      </c>
      <c r="H49" s="617">
        <v>1.3585210000000001</v>
      </c>
      <c r="I49" s="617">
        <v>45.526029999999999</v>
      </c>
      <c r="J49" s="617">
        <v>1.2589349999999999</v>
      </c>
      <c r="K49" s="617">
        <v>43.519669999999998</v>
      </c>
      <c r="L49" s="617">
        <v>304.72000000000003</v>
      </c>
      <c r="M49" s="539">
        <v>2.8010679999999999</v>
      </c>
      <c r="N49" s="950">
        <f t="shared" si="7"/>
        <v>2009</v>
      </c>
      <c r="O49" s="950" t="str">
        <f t="shared" si="8"/>
        <v>1</v>
      </c>
      <c r="P49" s="305"/>
      <c r="Q49" s="1744">
        <f t="shared" si="4"/>
        <v>2018</v>
      </c>
      <c r="R49" s="545">
        <f t="shared" ca="1" si="5"/>
        <v>143.84184143682091</v>
      </c>
      <c r="S49" s="974">
        <f t="shared" ca="1" si="6"/>
        <v>94.14244298108926</v>
      </c>
      <c r="T49" s="405"/>
    </row>
    <row r="50" spans="1:20">
      <c r="A50" s="609">
        <v>39965</v>
      </c>
      <c r="B50" s="1465">
        <v>25.98</v>
      </c>
      <c r="C50" s="1465">
        <v>14.67079275</v>
      </c>
      <c r="D50" s="1465">
        <v>1.5954680000000001</v>
      </c>
      <c r="E50" s="1465">
        <v>76.548077000000006</v>
      </c>
      <c r="F50" s="1465">
        <v>2.4294787229999999</v>
      </c>
      <c r="G50" s="1465">
        <v>115.58531923</v>
      </c>
      <c r="H50" s="1465">
        <v>2.3868670000000001</v>
      </c>
      <c r="I50" s="1465">
        <v>49.811923999999998</v>
      </c>
      <c r="J50" s="1465">
        <v>1.0288809999999999</v>
      </c>
      <c r="K50" s="1465">
        <v>42.097343000000002</v>
      </c>
      <c r="L50" s="1465">
        <v>166.26</v>
      </c>
      <c r="M50" s="1466">
        <v>1.5335909999999999</v>
      </c>
      <c r="N50" s="950">
        <f t="shared" si="7"/>
        <v>2009</v>
      </c>
      <c r="O50" s="950" t="str">
        <f t="shared" si="8"/>
        <v>2</v>
      </c>
      <c r="P50" s="305"/>
      <c r="Q50" s="1744">
        <f t="shared" si="4"/>
        <v>2019</v>
      </c>
      <c r="R50" s="614">
        <f t="shared" ca="1" si="5"/>
        <v>130.58794712707569</v>
      </c>
      <c r="S50" s="1460">
        <f t="shared" ca="1" si="6"/>
        <v>96.195312999999985</v>
      </c>
      <c r="T50" s="405"/>
    </row>
    <row r="51" spans="1:20">
      <c r="A51" s="609">
        <v>40057</v>
      </c>
      <c r="B51" s="617">
        <v>9.17</v>
      </c>
      <c r="C51" s="617">
        <v>5.1613192699999999</v>
      </c>
      <c r="D51" s="617">
        <v>1.484505</v>
      </c>
      <c r="E51" s="617">
        <v>70.118567999999996</v>
      </c>
      <c r="F51" s="617">
        <v>2.4854636719999998</v>
      </c>
      <c r="G51" s="617">
        <v>105.69789523999999</v>
      </c>
      <c r="H51" s="617">
        <v>4.6985549999999998</v>
      </c>
      <c r="I51" s="617">
        <v>73.393354000000002</v>
      </c>
      <c r="J51" s="617">
        <v>1.229719</v>
      </c>
      <c r="K51" s="617">
        <v>52.648847000000004</v>
      </c>
      <c r="L51" s="617">
        <v>329.54</v>
      </c>
      <c r="M51" s="539">
        <v>3.1176499999999998</v>
      </c>
      <c r="N51" s="950">
        <f t="shared" si="7"/>
        <v>2009</v>
      </c>
      <c r="O51" s="950" t="str">
        <f t="shared" si="8"/>
        <v>3</v>
      </c>
      <c r="P51" s="305"/>
      <c r="Q51" s="1744">
        <f t="shared" si="4"/>
        <v>2020</v>
      </c>
      <c r="R51" s="545">
        <f t="shared" ca="1" si="5"/>
        <v>127.41857493792818</v>
      </c>
      <c r="S51" s="974">
        <f t="shared" ca="1" si="6"/>
        <v>123.66181400000001</v>
      </c>
      <c r="T51" s="405"/>
    </row>
    <row r="52" spans="1:20">
      <c r="A52" s="609">
        <v>40148</v>
      </c>
      <c r="B52" s="1465">
        <v>26.61</v>
      </c>
      <c r="C52" s="1465">
        <v>16.228244220000001</v>
      </c>
      <c r="D52" s="1465">
        <v>1.640514</v>
      </c>
      <c r="E52" s="1465">
        <v>75.290215000000003</v>
      </c>
      <c r="F52" s="1465">
        <v>3.135597985</v>
      </c>
      <c r="G52" s="1465">
        <v>124.71293206999999</v>
      </c>
      <c r="H52" s="1465">
        <v>3.45566</v>
      </c>
      <c r="I52" s="1465">
        <v>62.770829999999997</v>
      </c>
      <c r="J52" s="1465">
        <v>1.1528529999999999</v>
      </c>
      <c r="K52" s="1465">
        <v>45.606217000000001</v>
      </c>
      <c r="L52" s="1465">
        <v>233.53</v>
      </c>
      <c r="M52" s="1466">
        <v>2.5488360000000001</v>
      </c>
      <c r="N52" s="950">
        <f t="shared" si="7"/>
        <v>2009</v>
      </c>
      <c r="O52" s="950" t="str">
        <f t="shared" si="8"/>
        <v>4</v>
      </c>
      <c r="P52" s="305"/>
      <c r="Q52" s="1744">
        <f t="shared" si="4"/>
        <v>2021</v>
      </c>
      <c r="R52" s="614">
        <f t="shared" ca="1" si="5"/>
        <v>155.38480416745773</v>
      </c>
      <c r="S52" s="1460">
        <f t="shared" ca="1" si="6"/>
        <v>161.068904</v>
      </c>
      <c r="T52" s="405"/>
    </row>
    <row r="53" spans="1:20">
      <c r="A53" s="609">
        <v>40238</v>
      </c>
      <c r="B53" s="617">
        <v>37.049999999999997</v>
      </c>
      <c r="C53" s="617">
        <v>23.140494889999999</v>
      </c>
      <c r="D53" s="617">
        <v>1.9090879999999999</v>
      </c>
      <c r="E53" s="617">
        <v>87.708416</v>
      </c>
      <c r="F53" s="617">
        <v>2.56266522</v>
      </c>
      <c r="G53" s="617">
        <v>92.637926379999996</v>
      </c>
      <c r="H53" s="617">
        <v>4.8594660000000003</v>
      </c>
      <c r="I53" s="617">
        <v>90.533727999999996</v>
      </c>
      <c r="J53" s="617">
        <v>1.04125</v>
      </c>
      <c r="K53" s="617">
        <v>50.073636999999998</v>
      </c>
      <c r="L53" s="617">
        <v>278.91000000000003</v>
      </c>
      <c r="M53" s="539">
        <v>3.0311279999999998</v>
      </c>
      <c r="N53" s="950">
        <f t="shared" si="7"/>
        <v>2010</v>
      </c>
      <c r="O53" s="950" t="str">
        <f t="shared" si="8"/>
        <v>1</v>
      </c>
      <c r="P53" s="305"/>
      <c r="Q53" s="1744">
        <f>IF($R$32="Calendar Year", Q54-1, LEFT(Q54,4)-1 &amp; "-" &amp; MID(Q54,3,2))</f>
        <v>2022</v>
      </c>
      <c r="R53" s="545">
        <f t="shared" ca="1" si="5"/>
        <v>129.62139722336917</v>
      </c>
      <c r="S53" s="974">
        <f t="shared" ca="1" si="6"/>
        <v>129.97799199999997</v>
      </c>
      <c r="T53" s="405"/>
    </row>
    <row r="54" spans="1:20" ht="15.75" thickBot="1">
      <c r="A54" s="609">
        <v>40330</v>
      </c>
      <c r="B54" s="1465">
        <v>27.2</v>
      </c>
      <c r="C54" s="1465">
        <v>19.315009280000002</v>
      </c>
      <c r="D54" s="1465">
        <v>1.6779120000000001</v>
      </c>
      <c r="E54" s="1465">
        <v>92.738175999999996</v>
      </c>
      <c r="F54" s="1465">
        <v>2.7857517700000001</v>
      </c>
      <c r="G54" s="1465">
        <v>94.411674640000001</v>
      </c>
      <c r="H54" s="1465">
        <v>3.2670759999999999</v>
      </c>
      <c r="I54" s="1465">
        <v>77.634621999999993</v>
      </c>
      <c r="J54" s="1465">
        <v>0.97460999999999998</v>
      </c>
      <c r="K54" s="1465">
        <v>44.997244999999999</v>
      </c>
      <c r="L54" s="1465">
        <v>247.37</v>
      </c>
      <c r="M54" s="1466">
        <v>2.4043049999999999</v>
      </c>
      <c r="N54" s="950">
        <f t="shared" si="7"/>
        <v>2010</v>
      </c>
      <c r="O54" s="950" t="str">
        <f t="shared" si="8"/>
        <v>2</v>
      </c>
      <c r="P54" s="305"/>
      <c r="Q54" s="1745">
        <f>IF($R$32="Calendar Year",
    YEAR(LARGE($A:$A, 4)),
    IF(MONTH(LARGE($A:$A, 4))&gt;6,
        YEAR(LARGE($A:$A, 4)) &amp; "-" &amp; RIGHT(YEAR(LARGE($A:$A, 4))+1),
        YEAR(LARGE($A:$A, 4))-1 &amp; "-" &amp; RIGHT(YEAR(LARGE($A:$A, 4)), 2)
    ))</f>
        <v>2023</v>
      </c>
      <c r="R54" s="1746">
        <f t="shared" ca="1" si="5"/>
        <v>109.60947477464397</v>
      </c>
      <c r="S54" s="1647">
        <f t="shared" ca="1" si="6"/>
        <v>121.147571</v>
      </c>
      <c r="T54" s="405"/>
    </row>
    <row r="55" spans="1:20">
      <c r="A55" s="609">
        <v>40422</v>
      </c>
      <c r="B55" s="617">
        <v>23.34</v>
      </c>
      <c r="C55" s="617">
        <v>17.1025399</v>
      </c>
      <c r="D55" s="617">
        <v>1.701068</v>
      </c>
      <c r="E55" s="617">
        <v>69.848280000000003</v>
      </c>
      <c r="F55" s="617">
        <v>2.60718396</v>
      </c>
      <c r="G55" s="617">
        <v>96.228769650000004</v>
      </c>
      <c r="H55" s="617">
        <v>4.0734579999999996</v>
      </c>
      <c r="I55" s="617">
        <v>98.612891000000005</v>
      </c>
      <c r="J55" s="617">
        <v>1.1013010000000001</v>
      </c>
      <c r="K55" s="617">
        <v>47.525984000000001</v>
      </c>
      <c r="L55" s="617">
        <v>183.61</v>
      </c>
      <c r="M55" s="539">
        <v>1.5646549999999999</v>
      </c>
      <c r="N55" s="950">
        <f t="shared" si="7"/>
        <v>2010</v>
      </c>
      <c r="O55" s="950" t="str">
        <f t="shared" si="8"/>
        <v>3</v>
      </c>
      <c r="P55" s="305"/>
      <c r="Q55"/>
      <c r="R55"/>
      <c r="S55"/>
      <c r="T55" s="405"/>
    </row>
    <row r="56" spans="1:20">
      <c r="A56" s="609">
        <v>40513</v>
      </c>
      <c r="B56" s="1465">
        <v>25.4</v>
      </c>
      <c r="C56" s="1465">
        <v>21.096161120000001</v>
      </c>
      <c r="D56" s="1465">
        <v>1.710453</v>
      </c>
      <c r="E56" s="1465">
        <v>67.973329000000007</v>
      </c>
      <c r="F56" s="1465">
        <v>3.5870354600000001</v>
      </c>
      <c r="G56" s="1465">
        <v>103.39044622999999</v>
      </c>
      <c r="H56" s="1465">
        <v>2.216656</v>
      </c>
      <c r="I56" s="1465">
        <v>78.762479999999996</v>
      </c>
      <c r="J56" s="1465">
        <v>0.825851</v>
      </c>
      <c r="K56" s="1465">
        <v>31.190370000000001</v>
      </c>
      <c r="L56" s="1465">
        <v>71.14</v>
      </c>
      <c r="M56" s="1466">
        <v>1.225393</v>
      </c>
      <c r="N56" s="950">
        <f t="shared" si="7"/>
        <v>2010</v>
      </c>
      <c r="O56" s="950" t="str">
        <f t="shared" si="8"/>
        <v>4</v>
      </c>
      <c r="P56" s="305"/>
      <c r="Q56"/>
      <c r="R56"/>
      <c r="S56"/>
      <c r="T56" s="405"/>
    </row>
    <row r="57" spans="1:20">
      <c r="A57" s="609">
        <v>40603</v>
      </c>
      <c r="B57" s="617">
        <v>21.82</v>
      </c>
      <c r="C57" s="617">
        <v>23.41780352</v>
      </c>
      <c r="D57" s="617">
        <v>2.0381130000000001</v>
      </c>
      <c r="E57" s="617">
        <v>82.415342999999993</v>
      </c>
      <c r="F57" s="617">
        <v>2.9696917300000001</v>
      </c>
      <c r="G57" s="617">
        <v>85.056352700000005</v>
      </c>
      <c r="H57" s="617">
        <v>2.6453880000000001</v>
      </c>
      <c r="I57" s="617">
        <v>76.294087000000005</v>
      </c>
      <c r="J57" s="617">
        <v>0.95</v>
      </c>
      <c r="K57" s="617">
        <v>35.871651</v>
      </c>
      <c r="L57" s="617">
        <v>98.93</v>
      </c>
      <c r="M57" s="539">
        <v>2.3594650000000001</v>
      </c>
      <c r="N57" s="950">
        <f t="shared" si="7"/>
        <v>2011</v>
      </c>
      <c r="O57" s="950" t="str">
        <f t="shared" si="8"/>
        <v>1</v>
      </c>
      <c r="P57" s="305"/>
      <c r="Q57"/>
      <c r="R57"/>
      <c r="S57"/>
      <c r="T57" s="405"/>
    </row>
    <row r="58" spans="1:20">
      <c r="A58" s="609">
        <v>40695</v>
      </c>
      <c r="B58" s="1465">
        <v>12.99</v>
      </c>
      <c r="C58" s="1465">
        <v>14.448582829999999</v>
      </c>
      <c r="D58" s="1465">
        <v>1.784821</v>
      </c>
      <c r="E58" s="1465">
        <v>76.022599</v>
      </c>
      <c r="F58" s="1465">
        <v>3.0825931400000002</v>
      </c>
      <c r="G58" s="1465">
        <v>82.260321869999999</v>
      </c>
      <c r="H58" s="1465">
        <v>1.1860850000000001</v>
      </c>
      <c r="I58" s="1465">
        <v>49.423012999999997</v>
      </c>
      <c r="J58" s="1465">
        <v>0.89</v>
      </c>
      <c r="K58" s="1465">
        <v>31.892309999999998</v>
      </c>
      <c r="L58" s="1465">
        <v>86.55</v>
      </c>
      <c r="M58" s="1466">
        <v>1.886584</v>
      </c>
      <c r="N58" s="950">
        <f t="shared" si="7"/>
        <v>2011</v>
      </c>
      <c r="O58" s="950" t="str">
        <f t="shared" si="8"/>
        <v>2</v>
      </c>
      <c r="P58" s="305"/>
      <c r="Q58"/>
      <c r="R58"/>
      <c r="S58"/>
    </row>
    <row r="59" spans="1:20">
      <c r="A59" s="609">
        <v>40787</v>
      </c>
      <c r="B59" s="617">
        <v>14.88</v>
      </c>
      <c r="C59" s="617">
        <v>15.980396170000001</v>
      </c>
      <c r="D59" s="617">
        <v>1.5109030000000001</v>
      </c>
      <c r="E59" s="617">
        <v>59.122332</v>
      </c>
      <c r="F59" s="617">
        <v>2.7683849500000002</v>
      </c>
      <c r="G59" s="617">
        <v>72.734708470000001</v>
      </c>
      <c r="H59" s="617">
        <v>2.0016669999999999</v>
      </c>
      <c r="I59" s="617">
        <v>80.265319000000005</v>
      </c>
      <c r="J59" s="617">
        <v>0.91</v>
      </c>
      <c r="K59" s="617">
        <v>28.49305</v>
      </c>
      <c r="L59" s="617">
        <v>135.39346800000001</v>
      </c>
      <c r="M59" s="539">
        <v>3.548203</v>
      </c>
      <c r="N59" s="950">
        <f t="shared" si="7"/>
        <v>2011</v>
      </c>
      <c r="O59" s="950" t="str">
        <f t="shared" si="8"/>
        <v>3</v>
      </c>
      <c r="P59" s="305"/>
      <c r="Q59" s="453" t="str">
        <f>IFERROR(IF(YEAR(MAX('Commodity Prices'!$C$9:$C5006))=VALUE(RIGHT(Q58,4)),"",IF($R$32="Calendar Year",Q58+1,CONCATENATE(LEFT(Q58,4)+1,"-",RIGHT(Q58,4)+1))),"")</f>
        <v/>
      </c>
      <c r="R59" s="504" t="str">
        <f ca="1">IF(Q59="","",IF($R$32="Calendar Year",SUMIF($N$9:$N$201,$Q59,INDIRECT(CONCATENATE($AB$1,"9:",$AB$1,"201"),TRUE)),SUMIFS(INDIRECT(CONCATENATE($AB$1,"9:",$AB$1,"201"),TRUE),$N$9:$N$201,LEFT($Q59,4),$O$9:$O$201,3)+SUMIFS(INDIRECT(CONCATENATE($AB$1,"9:",$AB$1,"201"),TRUE),$N$9:$N$201,LEFT($Q59,4),$O$9:$O$201,4)+SUMIFS(INDIRECT(CONCATENATE($AB$1,"9:",$AB$1,"201"),TRUE),$N$9:$N$201,LEFT($Q59,4)+1,$O$9:$O$201,1)+SUMIFS(INDIRECT(CONCATENATE($AB$1,"9:",$AB$1,"201"),TRUE),$N$9:$N$201,LEFT($Q59,4)+1,$O$9:$O$201,2)))</f>
        <v/>
      </c>
      <c r="S59" s="452" t="str">
        <f ca="1">IF(Q59="","",IF($R$32="Calendar Year",SUMIF($N$9:$N$201,$Q59,INDIRECT(CONCATENATE($AB$2,"9:",$AB$2,"201"),TRUE)),SUMIFS(INDIRECT(CONCATENATE($AB$2,"9:",$AB$2,"201"),TRUE),$N$9:$N$201,LEFT($Q59,4),$O$9:$O$201,3)+SUMIFS(INDIRECT(CONCATENATE($AB$2,"9:",$AB$2,"201"),TRUE),$N$9:$N$201,LEFT($Q59,4),$O$9:$O$201,4)+SUMIFS(INDIRECT(CONCATENATE($AB$2,"9:",$AB$2,"201"),TRUE),$N$9:$N$201,LEFT($Q59,4)+1,$O$9:$O$201,1)+SUMIFS(INDIRECT(CONCATENATE($AB$2,"9:",$AB$2,"201"),TRUE),$N$9:$N$201,LEFT($Q59,4)+1,$O$9:$O$201,2)))</f>
        <v/>
      </c>
    </row>
    <row r="60" spans="1:20">
      <c r="A60" s="609">
        <v>40878</v>
      </c>
      <c r="B60" s="1465">
        <v>41.78</v>
      </c>
      <c r="C60" s="1465">
        <v>42.377195329999999</v>
      </c>
      <c r="D60" s="1465">
        <v>1.6480699999999999</v>
      </c>
      <c r="E60" s="1465">
        <v>65.935260999999997</v>
      </c>
      <c r="F60" s="1465">
        <v>3.4319052800000001</v>
      </c>
      <c r="G60" s="1465">
        <v>95.719509610000003</v>
      </c>
      <c r="H60" s="1465">
        <v>1.801585</v>
      </c>
      <c r="I60" s="1465">
        <v>85.195436999999998</v>
      </c>
      <c r="J60" s="1465">
        <v>1.1299999999999999</v>
      </c>
      <c r="K60" s="1465">
        <v>31.738264999999998</v>
      </c>
      <c r="L60" s="1465">
        <v>117.733437</v>
      </c>
      <c r="M60" s="1466">
        <v>2.8119420000000002</v>
      </c>
      <c r="N60" s="950">
        <f t="shared" si="7"/>
        <v>2011</v>
      </c>
      <c r="O60" s="950" t="str">
        <f t="shared" si="8"/>
        <v>4</v>
      </c>
      <c r="P60" s="305"/>
      <c r="Q60" s="453" t="str">
        <f>IFERROR(IF(YEAR(MAX('Commodity Prices'!$C$9:$C5007))=VALUE(RIGHT(Q59,4)),"",IF($R$32="Calendar Year",Q59+1,CONCATENATE(LEFT(Q59,4)+1,"-",RIGHT(Q59,4)+1))),"")</f>
        <v/>
      </c>
      <c r="R60" s="504" t="str">
        <f ca="1">IF(Q60="","",IF($R$32="Calendar Year",SUMIF($N$9:$N$201,$Q60,INDIRECT(CONCATENATE($AB$1,"9:",$AB$1,"201"),TRUE)),SUMIFS(INDIRECT(CONCATENATE($AB$1,"9:",$AB$1,"201"),TRUE),$N$9:$N$201,LEFT($Q60,4),$O$9:$O$201,3)+SUMIFS(INDIRECT(CONCATENATE($AB$1,"9:",$AB$1,"201"),TRUE),$N$9:$N$201,LEFT($Q60,4),$O$9:$O$201,4)+SUMIFS(INDIRECT(CONCATENATE($AB$1,"9:",$AB$1,"201"),TRUE),$N$9:$N$201,LEFT($Q60,4)+1,$O$9:$O$201,1)+SUMIFS(INDIRECT(CONCATENATE($AB$1,"9:",$AB$1,"201"),TRUE),$N$9:$N$201,LEFT($Q60,4)+1,$O$9:$O$201,2)))</f>
        <v/>
      </c>
      <c r="S60" s="452" t="str">
        <f ca="1">IF(Q60="","",IF($R$32="Calendar Year",SUMIF($N$9:$N$201,$Q60,INDIRECT(CONCATENATE($AB$2,"9:",$AB$2,"201"),TRUE)),SUMIFS(INDIRECT(CONCATENATE($AB$2,"9:",$AB$2,"201"),TRUE),$N$9:$N$201,LEFT($Q60,4),$O$9:$O$201,3)+SUMIFS(INDIRECT(CONCATENATE($AB$2,"9:",$AB$2,"201"),TRUE),$N$9:$N$201,LEFT($Q60,4),$O$9:$O$201,4)+SUMIFS(INDIRECT(CONCATENATE($AB$2,"9:",$AB$2,"201"),TRUE),$N$9:$N$201,LEFT($Q60,4)+1,$O$9:$O$201,1)+SUMIFS(INDIRECT(CONCATENATE($AB$2,"9:",$AB$2,"201"),TRUE),$N$9:$N$201,LEFT($Q60,4)+1,$O$9:$O$201,2)))</f>
        <v/>
      </c>
    </row>
    <row r="61" spans="1:20">
      <c r="A61" s="609">
        <v>40969</v>
      </c>
      <c r="B61" s="617">
        <v>27.45</v>
      </c>
      <c r="C61" s="617">
        <v>26.347134390000001</v>
      </c>
      <c r="D61" s="617">
        <v>2.0367510000000002</v>
      </c>
      <c r="E61" s="617">
        <v>85.819766999999999</v>
      </c>
      <c r="F61" s="617">
        <v>3.3678653700000001</v>
      </c>
      <c r="G61" s="617">
        <v>91.287571049999997</v>
      </c>
      <c r="H61" s="617">
        <v>2.9122300000000001</v>
      </c>
      <c r="I61" s="617">
        <v>93.107989000000003</v>
      </c>
      <c r="J61" s="617">
        <v>1.34</v>
      </c>
      <c r="K61" s="617">
        <v>38.508535999999999</v>
      </c>
      <c r="L61" s="617">
        <v>174.24354588</v>
      </c>
      <c r="M61" s="539">
        <v>4.0192905300000001</v>
      </c>
      <c r="N61" s="950">
        <f t="shared" si="7"/>
        <v>2012</v>
      </c>
      <c r="O61" s="950" t="str">
        <f t="shared" si="8"/>
        <v>1</v>
      </c>
      <c r="P61" s="305"/>
    </row>
    <row r="62" spans="1:20">
      <c r="A62" s="609">
        <v>41061</v>
      </c>
      <c r="B62" s="1465">
        <v>35.97</v>
      </c>
      <c r="C62" s="1465">
        <v>31.000170000000001</v>
      </c>
      <c r="D62" s="1465">
        <v>1.7907090000000001</v>
      </c>
      <c r="E62" s="1465">
        <v>78.751891999999998</v>
      </c>
      <c r="F62" s="1465">
        <v>3.2393057500000002</v>
      </c>
      <c r="G62" s="1465">
        <v>94.034657839999994</v>
      </c>
      <c r="H62" s="1465">
        <v>1.974019</v>
      </c>
      <c r="I62" s="1465">
        <v>84.724648999999999</v>
      </c>
      <c r="J62" s="1465">
        <v>1.57</v>
      </c>
      <c r="K62" s="1465">
        <v>44.887745000000002</v>
      </c>
      <c r="L62" s="1465">
        <v>198.71228615999999</v>
      </c>
      <c r="M62" s="1466">
        <v>4.5300076300000001</v>
      </c>
      <c r="N62" s="950">
        <f t="shared" si="7"/>
        <v>2012</v>
      </c>
      <c r="O62" s="950" t="str">
        <f t="shared" si="8"/>
        <v>2</v>
      </c>
      <c r="P62" s="305"/>
    </row>
    <row r="63" spans="1:20">
      <c r="A63" s="609">
        <v>41153</v>
      </c>
      <c r="B63" s="617">
        <v>29.33</v>
      </c>
      <c r="C63" s="617">
        <v>25.6647666</v>
      </c>
      <c r="D63" s="617">
        <v>1.801199</v>
      </c>
      <c r="E63" s="617">
        <v>75.452189000000004</v>
      </c>
      <c r="F63" s="617">
        <v>2.9870367999999998</v>
      </c>
      <c r="G63" s="617">
        <v>91.389328610000007</v>
      </c>
      <c r="H63" s="617">
        <v>1.6756359999999999</v>
      </c>
      <c r="I63" s="617">
        <v>65.373769999999993</v>
      </c>
      <c r="J63" s="617">
        <v>1.44</v>
      </c>
      <c r="K63" s="617">
        <v>36.547936999999997</v>
      </c>
      <c r="L63" s="617">
        <v>206.58351500000001</v>
      </c>
      <c r="M63" s="539">
        <v>4.3636460000000001</v>
      </c>
      <c r="N63" s="950">
        <f t="shared" si="7"/>
        <v>2012</v>
      </c>
      <c r="O63" s="950" t="str">
        <f t="shared" si="8"/>
        <v>3</v>
      </c>
      <c r="P63" s="305"/>
    </row>
    <row r="64" spans="1:20">
      <c r="A64" s="609">
        <v>41244</v>
      </c>
      <c r="B64" s="1465">
        <v>41.92</v>
      </c>
      <c r="C64" s="1465">
        <v>37.720450820000003</v>
      </c>
      <c r="D64" s="1465">
        <v>1.8295969999999999</v>
      </c>
      <c r="E64" s="1465">
        <v>75.062442000000004</v>
      </c>
      <c r="F64" s="1465">
        <v>2.9106186200000002</v>
      </c>
      <c r="G64" s="1465">
        <v>87.797827339999998</v>
      </c>
      <c r="H64" s="1465">
        <v>3.3162400000000001</v>
      </c>
      <c r="I64" s="1465">
        <v>107.196268</v>
      </c>
      <c r="J64" s="1465">
        <v>1.56</v>
      </c>
      <c r="K64" s="1465">
        <v>35.505099999999999</v>
      </c>
      <c r="L64" s="1465">
        <v>126.793468</v>
      </c>
      <c r="M64" s="1466">
        <v>2.7670539999999999</v>
      </c>
      <c r="N64" s="950">
        <f t="shared" si="7"/>
        <v>2012</v>
      </c>
      <c r="O64" s="950" t="str">
        <f t="shared" si="8"/>
        <v>4</v>
      </c>
      <c r="P64" s="305"/>
    </row>
    <row r="65" spans="1:16">
      <c r="A65" s="609">
        <v>41334</v>
      </c>
      <c r="B65" s="617">
        <v>27.32991260792042</v>
      </c>
      <c r="C65" s="617">
        <v>21.169591999999998</v>
      </c>
      <c r="D65" s="617">
        <v>1.78598601</v>
      </c>
      <c r="E65" s="617">
        <v>73.053190000000001</v>
      </c>
      <c r="F65" s="617">
        <v>3.4895649259999999</v>
      </c>
      <c r="G65" s="617">
        <v>104.78751</v>
      </c>
      <c r="H65" s="617">
        <v>1.7367958799999998</v>
      </c>
      <c r="I65" s="617">
        <v>80.414827000000002</v>
      </c>
      <c r="J65" s="617">
        <v>1.459028</v>
      </c>
      <c r="K65" s="617">
        <v>40.403044000000001</v>
      </c>
      <c r="L65" s="617">
        <v>146.04357600148802</v>
      </c>
      <c r="M65" s="539">
        <v>3.6246429999999998</v>
      </c>
      <c r="N65" s="950">
        <f t="shared" si="7"/>
        <v>2013</v>
      </c>
      <c r="O65" s="950" t="str">
        <f t="shared" si="8"/>
        <v>1</v>
      </c>
      <c r="P65" s="305"/>
    </row>
    <row r="66" spans="1:16">
      <c r="A66" s="609">
        <v>41426</v>
      </c>
      <c r="B66" s="1465">
        <v>25.162540044696811</v>
      </c>
      <c r="C66" s="1465">
        <v>16.005869999999998</v>
      </c>
      <c r="D66" s="1465">
        <v>2.08946853</v>
      </c>
      <c r="E66" s="1465">
        <v>87.513813999999996</v>
      </c>
      <c r="F66" s="1465">
        <v>3.002422336</v>
      </c>
      <c r="G66" s="1465">
        <v>97.678223000000003</v>
      </c>
      <c r="H66" s="1465">
        <v>2.88001255</v>
      </c>
      <c r="I66" s="1465">
        <v>101.48938099999999</v>
      </c>
      <c r="J66" s="1465">
        <v>1.7442010000000001</v>
      </c>
      <c r="K66" s="1465">
        <v>46.691724000000001</v>
      </c>
      <c r="L66" s="1465">
        <v>178.31001179904001</v>
      </c>
      <c r="M66" s="1466">
        <v>2.3138190000000001</v>
      </c>
      <c r="N66" s="950">
        <f t="shared" si="7"/>
        <v>2013</v>
      </c>
      <c r="O66" s="950" t="str">
        <f t="shared" si="8"/>
        <v>2</v>
      </c>
      <c r="P66" s="305"/>
    </row>
    <row r="67" spans="1:16">
      <c r="A67" s="609">
        <v>41518</v>
      </c>
      <c r="B67" s="617">
        <v>43.247082211047271</v>
      </c>
      <c r="C67" s="617">
        <v>30.699013999999998</v>
      </c>
      <c r="D67" s="617">
        <v>1.6358574299999999</v>
      </c>
      <c r="E67" s="617">
        <v>69.008971000000003</v>
      </c>
      <c r="F67" s="617">
        <v>3.1063484999999993</v>
      </c>
      <c r="G67" s="617">
        <v>100.59023107685624</v>
      </c>
      <c r="H67" s="617">
        <v>2.6419771300000003</v>
      </c>
      <c r="I67" s="617">
        <v>93.623330999999993</v>
      </c>
      <c r="J67" s="617">
        <v>1.6525340000000002</v>
      </c>
      <c r="K67" s="617">
        <v>44.131679999999996</v>
      </c>
      <c r="L67" s="617">
        <v>228.28987763419201</v>
      </c>
      <c r="M67" s="539">
        <v>3.0196229999999997</v>
      </c>
      <c r="N67" s="950">
        <f t="shared" si="7"/>
        <v>2013</v>
      </c>
      <c r="O67" s="950" t="str">
        <f t="shared" si="8"/>
        <v>3</v>
      </c>
      <c r="P67" s="305"/>
    </row>
    <row r="68" spans="1:16">
      <c r="A68" s="609">
        <v>41609</v>
      </c>
      <c r="B68" s="1465">
        <v>30.610210493846022</v>
      </c>
      <c r="C68" s="1465">
        <v>20.501237</v>
      </c>
      <c r="D68" s="1465">
        <v>1.5989654999999996</v>
      </c>
      <c r="E68" s="1465">
        <v>67.551316</v>
      </c>
      <c r="F68" s="1465">
        <v>3.3018478500000001</v>
      </c>
      <c r="G68" s="1465">
        <v>110.55089599999999</v>
      </c>
      <c r="H68" s="1465">
        <v>3.4355797099999998</v>
      </c>
      <c r="I68" s="1465">
        <v>114.12297199999999</v>
      </c>
      <c r="J68" s="1465">
        <v>1.5491159999999999</v>
      </c>
      <c r="K68" s="1465">
        <v>40.523434999999999</v>
      </c>
      <c r="L68" s="1465">
        <v>233.52770312731201</v>
      </c>
      <c r="M68" s="1466">
        <v>3.7031079999999998</v>
      </c>
      <c r="N68" s="950">
        <f t="shared" si="7"/>
        <v>2013</v>
      </c>
      <c r="O68" s="950" t="str">
        <f t="shared" si="8"/>
        <v>4</v>
      </c>
      <c r="P68" s="305"/>
    </row>
    <row r="69" spans="1:16">
      <c r="A69" s="609">
        <v>41699</v>
      </c>
      <c r="B69" s="617">
        <v>28.932178822486847</v>
      </c>
      <c r="C69" s="617">
        <v>19.760438000000001</v>
      </c>
      <c r="D69" s="617">
        <v>1.4758260599999999</v>
      </c>
      <c r="E69" s="617">
        <v>60.254691999999999</v>
      </c>
      <c r="F69" s="617">
        <v>3.7093536500000002</v>
      </c>
      <c r="G69" s="617">
        <v>119.5505384471135</v>
      </c>
      <c r="H69" s="617">
        <v>3.6040654600000002</v>
      </c>
      <c r="I69" s="617">
        <v>116.37214299999999</v>
      </c>
      <c r="J69" s="617">
        <v>1.5272220000000001</v>
      </c>
      <c r="K69" s="617">
        <v>46.557541000000001</v>
      </c>
      <c r="L69" s="617">
        <v>264.22123610308802</v>
      </c>
      <c r="M69" s="539">
        <v>3.0281029999999998</v>
      </c>
      <c r="N69" s="950">
        <f t="shared" si="7"/>
        <v>2014</v>
      </c>
      <c r="O69" s="950" t="str">
        <f t="shared" si="8"/>
        <v>1</v>
      </c>
      <c r="P69" s="305"/>
    </row>
    <row r="70" spans="1:16">
      <c r="A70" s="609">
        <v>41791</v>
      </c>
      <c r="B70" s="1465">
        <v>34.015088628365547</v>
      </c>
      <c r="C70" s="1465">
        <v>22.239303</v>
      </c>
      <c r="D70" s="1465">
        <v>1.5888354499999997</v>
      </c>
      <c r="E70" s="1465">
        <v>67.444104999999993</v>
      </c>
      <c r="F70" s="1465">
        <v>2.8744915499999997</v>
      </c>
      <c r="G70" s="1465">
        <v>81.649990000000003</v>
      </c>
      <c r="H70" s="1465">
        <v>1.9290085299999999</v>
      </c>
      <c r="I70" s="1465">
        <v>76.137878999999998</v>
      </c>
      <c r="J70" s="1465">
        <v>1.5086619999999999</v>
      </c>
      <c r="K70" s="1465">
        <v>43.90513</v>
      </c>
      <c r="L70" s="1465">
        <v>288.98178087926402</v>
      </c>
      <c r="M70" s="1466">
        <v>3.3002639999999999</v>
      </c>
      <c r="N70" s="950">
        <f t="shared" si="7"/>
        <v>2014</v>
      </c>
      <c r="O70" s="950" t="str">
        <f t="shared" si="8"/>
        <v>2</v>
      </c>
      <c r="P70" s="305"/>
    </row>
    <row r="71" spans="1:16">
      <c r="A71" s="609">
        <v>41883</v>
      </c>
      <c r="B71" s="617">
        <v>31.212910806220965</v>
      </c>
      <c r="C71" s="617">
        <v>19.682471</v>
      </c>
      <c r="D71" s="617">
        <v>1.5412323499999998</v>
      </c>
      <c r="E71" s="617">
        <v>64.168176000000003</v>
      </c>
      <c r="F71" s="617">
        <v>3.1389231900000003</v>
      </c>
      <c r="G71" s="617">
        <v>102.10412799999999</v>
      </c>
      <c r="H71" s="617">
        <v>2.97988937</v>
      </c>
      <c r="I71" s="617">
        <v>91.957121999999998</v>
      </c>
      <c r="J71" s="617">
        <v>1.5784659999999999</v>
      </c>
      <c r="K71" s="617">
        <v>52.481674999999996</v>
      </c>
      <c r="L71" s="617">
        <v>86.258961174671995</v>
      </c>
      <c r="M71" s="539">
        <v>2.4103119999999998</v>
      </c>
      <c r="N71" s="950">
        <f t="shared" si="7"/>
        <v>2014</v>
      </c>
      <c r="O71" s="950" t="str">
        <f t="shared" si="8"/>
        <v>3</v>
      </c>
      <c r="P71" s="305"/>
    </row>
    <row r="72" spans="1:16">
      <c r="A72" s="609">
        <v>41974</v>
      </c>
      <c r="B72" s="1465">
        <v>52.261814369174225</v>
      </c>
      <c r="C72" s="1465">
        <v>32.356943999999999</v>
      </c>
      <c r="D72" s="1465">
        <v>1.63283584</v>
      </c>
      <c r="E72" s="1465">
        <v>75.66082999999999</v>
      </c>
      <c r="F72" s="1465">
        <v>3.2751842099999999</v>
      </c>
      <c r="G72" s="1465">
        <v>104.173846</v>
      </c>
      <c r="H72" s="1465">
        <v>2.11641842</v>
      </c>
      <c r="I72" s="1465">
        <v>86.153610999999998</v>
      </c>
      <c r="J72" s="1465">
        <v>1.5869059999999999</v>
      </c>
      <c r="K72" s="1465">
        <v>54.631795999999994</v>
      </c>
      <c r="L72" s="1465">
        <v>126.04155214094401</v>
      </c>
      <c r="M72" s="1466">
        <v>3.4722389999999996</v>
      </c>
      <c r="N72" s="950">
        <f t="shared" si="7"/>
        <v>2014</v>
      </c>
      <c r="O72" s="950" t="str">
        <f t="shared" si="8"/>
        <v>4</v>
      </c>
      <c r="P72" s="305"/>
    </row>
    <row r="73" spans="1:16">
      <c r="A73" s="609">
        <v>42064</v>
      </c>
      <c r="B73" s="617">
        <v>20.220822729957007</v>
      </c>
      <c r="C73" s="617">
        <v>13.192782999999999</v>
      </c>
      <c r="D73" s="617">
        <v>1.73593022</v>
      </c>
      <c r="E73" s="617">
        <v>85.775346999999996</v>
      </c>
      <c r="F73" s="617">
        <v>2.7974106699999997</v>
      </c>
      <c r="G73" s="617">
        <v>94.308602999999991</v>
      </c>
      <c r="H73" s="617">
        <v>2.3001332400000001</v>
      </c>
      <c r="I73" s="617">
        <v>80.105302999999992</v>
      </c>
      <c r="J73" s="617">
        <v>1.1466620000000001</v>
      </c>
      <c r="K73" s="617">
        <v>41.786538999999998</v>
      </c>
      <c r="L73" s="617">
        <v>118.11887453044801</v>
      </c>
      <c r="M73" s="539">
        <v>3.5442749999999998</v>
      </c>
      <c r="N73" s="950">
        <f t="shared" ref="N73:N136" si="9">YEAR(A73)</f>
        <v>2015</v>
      </c>
      <c r="O73" s="950" t="str">
        <f t="shared" ref="O73:O136" si="10">IF(MONTH(A73)=3,"1",IF(MONTH(A73)=6,"2",IF(MONTH(A73)=9,"3","4")))</f>
        <v>1</v>
      </c>
      <c r="P73" s="305"/>
    </row>
    <row r="74" spans="1:16">
      <c r="A74" s="609">
        <v>42156</v>
      </c>
      <c r="B74" s="1465">
        <v>46.344352060984995</v>
      </c>
      <c r="C74" s="1465">
        <v>30.384001999999999</v>
      </c>
      <c r="D74" s="1465">
        <v>1.6576670299999998</v>
      </c>
      <c r="E74" s="1465">
        <v>81.469047000000003</v>
      </c>
      <c r="F74" s="1465">
        <v>2.5150882299999999</v>
      </c>
      <c r="G74" s="1465">
        <v>74.035737999999995</v>
      </c>
      <c r="H74" s="1465">
        <v>2.9914851900000001</v>
      </c>
      <c r="I74" s="1465">
        <v>84.097628</v>
      </c>
      <c r="J74" s="1465">
        <v>1.7243069999999998</v>
      </c>
      <c r="K74" s="1465">
        <v>61.667501999999999</v>
      </c>
      <c r="L74" s="1465">
        <v>133.167358675824</v>
      </c>
      <c r="M74" s="1466">
        <v>3.9539039999999996</v>
      </c>
      <c r="N74" s="950">
        <f t="shared" si="9"/>
        <v>2015</v>
      </c>
      <c r="O74" s="950" t="str">
        <f t="shared" si="10"/>
        <v>2</v>
      </c>
      <c r="P74" s="305"/>
    </row>
    <row r="75" spans="1:16">
      <c r="A75" s="609">
        <v>42248</v>
      </c>
      <c r="B75" s="617">
        <v>46.272672263594252</v>
      </c>
      <c r="C75" s="617">
        <v>29.063519999999997</v>
      </c>
      <c r="D75" s="617">
        <v>1.7817292199999999</v>
      </c>
      <c r="E75" s="617">
        <v>87.926783999999998</v>
      </c>
      <c r="F75" s="617">
        <v>2.8467047499999998</v>
      </c>
      <c r="G75" s="617">
        <v>88.280248999999998</v>
      </c>
      <c r="H75" s="617">
        <v>3.71488218</v>
      </c>
      <c r="I75" s="617">
        <v>89.720455999999999</v>
      </c>
      <c r="J75" s="617">
        <v>1.3063420000000001</v>
      </c>
      <c r="K75" s="617">
        <v>49.770592000000001</v>
      </c>
      <c r="L75" s="617">
        <v>161.00901386380804</v>
      </c>
      <c r="M75" s="539">
        <v>4.2429069999999998</v>
      </c>
      <c r="N75" s="950">
        <f t="shared" si="9"/>
        <v>2015</v>
      </c>
      <c r="O75" s="950" t="str">
        <f t="shared" si="10"/>
        <v>3</v>
      </c>
      <c r="P75" s="305"/>
    </row>
    <row r="76" spans="1:16">
      <c r="A76" s="609">
        <v>42339</v>
      </c>
      <c r="B76" s="1465">
        <v>37.057262370465786</v>
      </c>
      <c r="C76" s="1465">
        <v>23.435216999999998</v>
      </c>
      <c r="D76" s="1465">
        <v>1.7704526699999998</v>
      </c>
      <c r="E76" s="1465">
        <v>86.281213999999991</v>
      </c>
      <c r="F76" s="1465">
        <v>3.2308495499999998</v>
      </c>
      <c r="G76" s="1465">
        <v>98.521816000000001</v>
      </c>
      <c r="H76" s="1465">
        <v>3.6368174600000001</v>
      </c>
      <c r="I76" s="1465">
        <v>96.563993999999994</v>
      </c>
      <c r="J76" s="1465">
        <v>1.543371</v>
      </c>
      <c r="K76" s="1465">
        <v>46.247318</v>
      </c>
      <c r="L76" s="1465">
        <v>120.89921432160001</v>
      </c>
      <c r="M76" s="1466">
        <v>2.9649739999999998</v>
      </c>
      <c r="N76" s="950">
        <f t="shared" si="9"/>
        <v>2015</v>
      </c>
      <c r="O76" s="950" t="str">
        <f t="shared" si="10"/>
        <v>4</v>
      </c>
      <c r="P76" s="305"/>
    </row>
    <row r="77" spans="1:16">
      <c r="A77" s="609">
        <v>42430</v>
      </c>
      <c r="B77" s="617">
        <v>32.460492535447109</v>
      </c>
      <c r="C77" s="617">
        <v>22.150397999999999</v>
      </c>
      <c r="D77" s="617">
        <v>1.7477521699999998</v>
      </c>
      <c r="E77" s="617">
        <v>84.967208999999997</v>
      </c>
      <c r="F77" s="617">
        <v>2.7306515</v>
      </c>
      <c r="G77" s="617">
        <v>86.755505999999997</v>
      </c>
      <c r="H77" s="617">
        <v>4.0032909400000003</v>
      </c>
      <c r="I77" s="617">
        <v>95.502229999999997</v>
      </c>
      <c r="J77" s="617">
        <v>1.3560669999999999</v>
      </c>
      <c r="K77" s="617">
        <v>40.263104999999996</v>
      </c>
      <c r="L77" s="617">
        <v>167.73296347843203</v>
      </c>
      <c r="M77" s="539">
        <v>3.5041919999999998</v>
      </c>
      <c r="N77" s="950">
        <f t="shared" si="9"/>
        <v>2016</v>
      </c>
      <c r="O77" s="950" t="str">
        <f t="shared" si="10"/>
        <v>1</v>
      </c>
      <c r="P77" s="305"/>
    </row>
    <row r="78" spans="1:16">
      <c r="A78" s="609">
        <v>42522</v>
      </c>
      <c r="B78" s="1465">
        <v>39.829370439861826</v>
      </c>
      <c r="C78" s="1465">
        <v>30.137411</v>
      </c>
      <c r="D78" s="1465">
        <v>1.5910167000000002</v>
      </c>
      <c r="E78" s="1465">
        <v>77.291618</v>
      </c>
      <c r="F78" s="1465">
        <v>2.1665156900000002</v>
      </c>
      <c r="G78" s="1465">
        <v>63.713469152236442</v>
      </c>
      <c r="H78" s="1465">
        <v>2.5145565200000002</v>
      </c>
      <c r="I78" s="1465">
        <v>72.260983999999993</v>
      </c>
      <c r="J78" s="1465">
        <v>1.2730859999999999</v>
      </c>
      <c r="K78" s="1465">
        <v>38.565810999999997</v>
      </c>
      <c r="L78" s="1465">
        <v>237.27256173403202</v>
      </c>
      <c r="M78" s="1466">
        <v>5.9443679999999999</v>
      </c>
      <c r="N78" s="950">
        <f t="shared" si="9"/>
        <v>2016</v>
      </c>
      <c r="O78" s="950" t="str">
        <f t="shared" si="10"/>
        <v>2</v>
      </c>
      <c r="P78" s="305"/>
    </row>
    <row r="79" spans="1:16">
      <c r="A79" s="609">
        <v>42614</v>
      </c>
      <c r="B79" s="617">
        <v>36.425656632892824</v>
      </c>
      <c r="C79" s="617">
        <v>26.293773999999999</v>
      </c>
      <c r="D79" s="617">
        <v>1.6530690309999998</v>
      </c>
      <c r="E79" s="617">
        <v>81.075592999999998</v>
      </c>
      <c r="F79" s="617">
        <v>2.7557906299999999</v>
      </c>
      <c r="G79" s="617">
        <v>81.550015000000002</v>
      </c>
      <c r="H79" s="617">
        <v>1.56046624</v>
      </c>
      <c r="I79" s="617">
        <v>50.855892999999995</v>
      </c>
      <c r="J79" s="617">
        <v>1.25075</v>
      </c>
      <c r="K79" s="617">
        <v>41.809353000000002</v>
      </c>
      <c r="L79" s="617">
        <v>159.83532416676002</v>
      </c>
      <c r="M79" s="539">
        <v>4.2244070000000002</v>
      </c>
      <c r="N79" s="950">
        <f t="shared" si="9"/>
        <v>2016</v>
      </c>
      <c r="O79" s="950" t="str">
        <f t="shared" si="10"/>
        <v>3</v>
      </c>
      <c r="P79" s="305"/>
    </row>
    <row r="80" spans="1:16">
      <c r="A80" s="609">
        <v>42705</v>
      </c>
      <c r="B80" s="1465">
        <v>49.659918801323649</v>
      </c>
      <c r="C80" s="1465">
        <v>33.031580999999996</v>
      </c>
      <c r="D80" s="1465">
        <v>1.7466794999999999</v>
      </c>
      <c r="E80" s="1465">
        <v>86.068100999999999</v>
      </c>
      <c r="F80" s="1465">
        <v>2.7572323500000002</v>
      </c>
      <c r="G80" s="1465">
        <v>81.741233999999992</v>
      </c>
      <c r="H80" s="1465">
        <v>1.9179383300000001</v>
      </c>
      <c r="I80" s="1465">
        <v>58.440087999999996</v>
      </c>
      <c r="J80" s="1465">
        <v>1.259846</v>
      </c>
      <c r="K80" s="1465">
        <v>48.740401999999996</v>
      </c>
      <c r="L80" s="1465">
        <v>197.37072003770882</v>
      </c>
      <c r="M80" s="1466">
        <v>4.572336</v>
      </c>
      <c r="N80" s="950">
        <f t="shared" si="9"/>
        <v>2016</v>
      </c>
      <c r="O80" s="950" t="str">
        <f t="shared" si="10"/>
        <v>4</v>
      </c>
      <c r="P80" s="305"/>
    </row>
    <row r="81" spans="1:16">
      <c r="A81" s="609">
        <v>42795</v>
      </c>
      <c r="B81" s="617">
        <v>26.809393093256034</v>
      </c>
      <c r="C81" s="617">
        <v>18.715737000000001</v>
      </c>
      <c r="D81" s="617">
        <v>1.7377971400000001</v>
      </c>
      <c r="E81" s="617">
        <v>87.505555000000001</v>
      </c>
      <c r="F81" s="617">
        <v>2.5023846199999999</v>
      </c>
      <c r="G81" s="617">
        <v>64.982561000000004</v>
      </c>
      <c r="H81" s="617">
        <v>5.18799075</v>
      </c>
      <c r="I81" s="617">
        <v>87.443330000000003</v>
      </c>
      <c r="J81" s="617">
        <v>1.013927</v>
      </c>
      <c r="K81" s="617">
        <v>57.565624</v>
      </c>
      <c r="L81" s="617">
        <v>159.4990022721216</v>
      </c>
      <c r="M81" s="539">
        <v>4.4570039999999995</v>
      </c>
      <c r="N81" s="950">
        <f t="shared" si="9"/>
        <v>2017</v>
      </c>
      <c r="O81" s="950" t="str">
        <f t="shared" si="10"/>
        <v>1</v>
      </c>
      <c r="P81" s="305"/>
    </row>
    <row r="82" spans="1:16">
      <c r="A82" s="609">
        <v>42887</v>
      </c>
      <c r="B82" s="1465">
        <v>29.030403695531682</v>
      </c>
      <c r="C82" s="1465">
        <v>20.424388</v>
      </c>
      <c r="D82" s="1465">
        <v>1.6688435500000001</v>
      </c>
      <c r="E82" s="1465">
        <v>83.785795999999991</v>
      </c>
      <c r="F82" s="1465">
        <v>2.8588712200000002</v>
      </c>
      <c r="G82" s="1465">
        <v>64.944693585667338</v>
      </c>
      <c r="H82" s="1465">
        <v>3.9406371200000003</v>
      </c>
      <c r="I82" s="1465">
        <v>71.643782999999999</v>
      </c>
      <c r="J82" s="1465">
        <v>1.234326</v>
      </c>
      <c r="K82" s="1465">
        <v>91.52455599999999</v>
      </c>
      <c r="L82" s="1465">
        <v>266.37512076801124</v>
      </c>
      <c r="M82" s="1466">
        <v>8.5546340000000001</v>
      </c>
      <c r="N82" s="950">
        <f t="shared" si="9"/>
        <v>2017</v>
      </c>
      <c r="O82" s="950" t="str">
        <f t="shared" si="10"/>
        <v>2</v>
      </c>
      <c r="P82" s="305"/>
    </row>
    <row r="83" spans="1:16">
      <c r="A83" s="609">
        <v>42979</v>
      </c>
      <c r="B83" s="617">
        <v>36.046640737445763</v>
      </c>
      <c r="C83" s="617">
        <v>25.170453999999999</v>
      </c>
      <c r="D83" s="617">
        <v>1.74735079</v>
      </c>
      <c r="E83" s="617">
        <v>84.514028999999994</v>
      </c>
      <c r="F83" s="617">
        <v>2.9615462299999997</v>
      </c>
      <c r="G83" s="617">
        <v>66.401518999999993</v>
      </c>
      <c r="H83" s="617">
        <v>2.2960930499999996</v>
      </c>
      <c r="I83" s="617">
        <v>43.130328999999996</v>
      </c>
      <c r="J83" s="617">
        <v>1.4377779999999998</v>
      </c>
      <c r="K83" s="617">
        <v>112.477273</v>
      </c>
      <c r="L83" s="617">
        <v>168.03892837971361</v>
      </c>
      <c r="M83" s="539">
        <v>5.9075479999999994</v>
      </c>
      <c r="N83" s="950">
        <f t="shared" si="9"/>
        <v>2017</v>
      </c>
      <c r="O83" s="950" t="str">
        <f t="shared" si="10"/>
        <v>3</v>
      </c>
      <c r="P83" s="305"/>
    </row>
    <row r="84" spans="1:16">
      <c r="A84" s="609">
        <v>43070</v>
      </c>
      <c r="B84" s="1465">
        <v>46.359948526184631</v>
      </c>
      <c r="C84" s="1465">
        <v>27.932198999999997</v>
      </c>
      <c r="D84" s="1465">
        <v>1.6606736999999998</v>
      </c>
      <c r="E84" s="1465">
        <v>83.14025199999999</v>
      </c>
      <c r="F84" s="1465">
        <v>3.3521844499999998</v>
      </c>
      <c r="G84" s="1465">
        <v>78.665258999999992</v>
      </c>
      <c r="H84" s="1465">
        <v>4.0531889699999999</v>
      </c>
      <c r="I84" s="1465">
        <v>64.845235000000002</v>
      </c>
      <c r="J84" s="1465">
        <v>1.3477970000000001</v>
      </c>
      <c r="K84" s="1465">
        <v>121.121916</v>
      </c>
      <c r="L84" s="1465">
        <v>171.2367390364752</v>
      </c>
      <c r="M84" s="1466">
        <v>6.5911859999999995</v>
      </c>
      <c r="N84" s="950">
        <f t="shared" si="9"/>
        <v>2017</v>
      </c>
      <c r="O84" s="950" t="str">
        <f t="shared" si="10"/>
        <v>4</v>
      </c>
      <c r="P84" s="305"/>
    </row>
    <row r="85" spans="1:16">
      <c r="A85" s="609">
        <v>43160</v>
      </c>
      <c r="B85" s="617">
        <v>26.355213935430552</v>
      </c>
      <c r="C85" s="617">
        <v>17.711662</v>
      </c>
      <c r="D85" s="617">
        <v>1.7157082399999999</v>
      </c>
      <c r="E85" s="617">
        <v>86.83162999999999</v>
      </c>
      <c r="F85" s="617">
        <v>3.08730708</v>
      </c>
      <c r="G85" s="617">
        <v>71.361187515012915</v>
      </c>
      <c r="H85" s="617">
        <v>4.40610166</v>
      </c>
      <c r="I85" s="617">
        <v>74.533694999999994</v>
      </c>
      <c r="J85" s="617">
        <v>1.0993470000000001</v>
      </c>
      <c r="K85" s="617">
        <v>123.55183699999999</v>
      </c>
      <c r="L85" s="617">
        <v>156.47919681308639</v>
      </c>
      <c r="M85" s="539">
        <v>8.2516499999999997</v>
      </c>
      <c r="N85" s="950">
        <f t="shared" si="9"/>
        <v>2018</v>
      </c>
      <c r="O85" s="950" t="str">
        <f t="shared" si="10"/>
        <v>1</v>
      </c>
      <c r="P85" s="305"/>
    </row>
    <row r="86" spans="1:16">
      <c r="A86" s="609">
        <v>43252</v>
      </c>
      <c r="B86" s="1465">
        <v>42.788790955864492</v>
      </c>
      <c r="C86" s="1465">
        <v>28.279785981089251</v>
      </c>
      <c r="D86" s="1465">
        <v>1.5562021099999999</v>
      </c>
      <c r="E86" s="1465">
        <v>77.473710999999994</v>
      </c>
      <c r="F86" s="1465">
        <v>3.56273989</v>
      </c>
      <c r="G86" s="1465">
        <v>86.517061999999996</v>
      </c>
      <c r="H86" s="1465">
        <v>4.5259190499999997</v>
      </c>
      <c r="I86" s="1465">
        <v>67.250491999999994</v>
      </c>
      <c r="J86" s="1465">
        <v>1.315563</v>
      </c>
      <c r="K86" s="1465">
        <v>154.56547899999998</v>
      </c>
      <c r="L86" s="1465">
        <v>149.71832737150081</v>
      </c>
      <c r="M86" s="1466">
        <v>5.4695239999999998</v>
      </c>
      <c r="N86" s="950">
        <f t="shared" si="9"/>
        <v>2018</v>
      </c>
      <c r="O86" s="950" t="str">
        <f t="shared" si="10"/>
        <v>2</v>
      </c>
      <c r="P86" s="305"/>
    </row>
    <row r="87" spans="1:16">
      <c r="A87" s="609">
        <v>43344</v>
      </c>
      <c r="B87" s="617">
        <v>31.811328263150994</v>
      </c>
      <c r="C87" s="617">
        <v>20.453320999999999</v>
      </c>
      <c r="D87" s="617">
        <v>1.62737708</v>
      </c>
      <c r="E87" s="617">
        <v>82.302030999999999</v>
      </c>
      <c r="F87" s="617">
        <v>2.8697717200000001</v>
      </c>
      <c r="G87" s="617">
        <v>64.291879965490693</v>
      </c>
      <c r="H87" s="617">
        <v>2.30330105</v>
      </c>
      <c r="I87" s="617">
        <v>42.755680999999996</v>
      </c>
      <c r="J87" s="617">
        <v>1.2339010000000001</v>
      </c>
      <c r="K87" s="617">
        <v>119.26661899999999</v>
      </c>
      <c r="L87" s="617">
        <v>110.3981828982912</v>
      </c>
      <c r="M87" s="539">
        <v>4.2562609999999994</v>
      </c>
      <c r="N87" s="950">
        <f t="shared" si="9"/>
        <v>2018</v>
      </c>
      <c r="O87" s="950" t="str">
        <f t="shared" si="10"/>
        <v>3</v>
      </c>
      <c r="P87" s="305"/>
    </row>
    <row r="88" spans="1:16">
      <c r="A88" s="609">
        <v>43435</v>
      </c>
      <c r="B88" s="1465">
        <v>42.886508282374876</v>
      </c>
      <c r="C88" s="1465">
        <v>27.697673999999999</v>
      </c>
      <c r="D88" s="1465">
        <v>1.5663788399999998</v>
      </c>
      <c r="E88" s="1465">
        <v>80.768991999999997</v>
      </c>
      <c r="F88" s="1465">
        <v>3.3746347999999995</v>
      </c>
      <c r="G88" s="1465">
        <v>81.504491000000002</v>
      </c>
      <c r="H88" s="1465">
        <v>4.7420326199999998</v>
      </c>
      <c r="I88" s="1465">
        <v>74.245384000000001</v>
      </c>
      <c r="J88" s="1465">
        <v>1.229287</v>
      </c>
      <c r="K88" s="1465">
        <v>105.83277299999999</v>
      </c>
      <c r="L88" s="1465">
        <v>124.16728773245279</v>
      </c>
      <c r="M88" s="1466">
        <v>5.8479939999999999</v>
      </c>
      <c r="N88" s="950">
        <f t="shared" si="9"/>
        <v>2018</v>
      </c>
      <c r="O88" s="950" t="str">
        <f t="shared" si="10"/>
        <v>4</v>
      </c>
      <c r="P88" s="305"/>
    </row>
    <row r="89" spans="1:16">
      <c r="A89" s="609">
        <v>43525</v>
      </c>
      <c r="B89" s="617">
        <v>32.162695376069721</v>
      </c>
      <c r="C89" s="617">
        <v>21.278261000000001</v>
      </c>
      <c r="D89" s="617">
        <v>1.5415049599999999</v>
      </c>
      <c r="E89" s="617">
        <v>78.712603000000001</v>
      </c>
      <c r="F89" s="617">
        <v>2.5285080199999999</v>
      </c>
      <c r="G89" s="617">
        <v>72.185452999999995</v>
      </c>
      <c r="H89" s="617">
        <v>1.98630818</v>
      </c>
      <c r="I89" s="617">
        <v>55.170575999999997</v>
      </c>
      <c r="J89" s="617">
        <v>1.3442499999999999</v>
      </c>
      <c r="K89" s="617">
        <v>51.695200999999997</v>
      </c>
      <c r="L89" s="617">
        <v>129.42716559062399</v>
      </c>
      <c r="M89" s="539">
        <v>7.7773759999999994</v>
      </c>
      <c r="N89" s="950">
        <f t="shared" si="9"/>
        <v>2019</v>
      </c>
      <c r="O89" s="950" t="str">
        <f t="shared" si="10"/>
        <v>1</v>
      </c>
      <c r="P89" s="305"/>
    </row>
    <row r="90" spans="1:16">
      <c r="A90" s="609">
        <v>43617</v>
      </c>
      <c r="B90" s="1465">
        <v>22.551060718057244</v>
      </c>
      <c r="C90" s="1465">
        <v>15.411465999999999</v>
      </c>
      <c r="D90" s="1465">
        <v>1.5399295799999999</v>
      </c>
      <c r="E90" s="1465">
        <v>77.586529999999996</v>
      </c>
      <c r="F90" s="1465">
        <v>2.9565678400000004</v>
      </c>
      <c r="G90" s="1465">
        <v>85.336044999999999</v>
      </c>
      <c r="H90" s="1465">
        <v>2.1182530000000002</v>
      </c>
      <c r="I90" s="1465">
        <v>47.049543</v>
      </c>
      <c r="J90" s="1465">
        <v>1.41947</v>
      </c>
      <c r="K90" s="1465">
        <v>55.857832999999999</v>
      </c>
      <c r="L90" s="1465">
        <v>148.37913607440001</v>
      </c>
      <c r="M90" s="1466">
        <v>10.194182</v>
      </c>
      <c r="N90" s="950">
        <f t="shared" si="9"/>
        <v>2019</v>
      </c>
      <c r="O90" s="950" t="str">
        <f t="shared" si="10"/>
        <v>2</v>
      </c>
      <c r="P90" s="305"/>
    </row>
    <row r="91" spans="1:16">
      <c r="A91" s="609">
        <v>43709</v>
      </c>
      <c r="B91" s="617">
        <v>41.834602009286975</v>
      </c>
      <c r="C91" s="617">
        <v>31.539327</v>
      </c>
      <c r="D91" s="617">
        <v>1.5846551469999999</v>
      </c>
      <c r="E91" s="617">
        <v>82.282777999999993</v>
      </c>
      <c r="F91" s="617">
        <v>2.8121460319999994</v>
      </c>
      <c r="G91" s="617">
        <v>78.885829000000001</v>
      </c>
      <c r="H91" s="617">
        <v>5.7299032199999997</v>
      </c>
      <c r="I91" s="617">
        <v>76.779437999999999</v>
      </c>
      <c r="J91" s="617">
        <v>1.44539</v>
      </c>
      <c r="K91" s="617">
        <v>70.839694999999992</v>
      </c>
      <c r="L91" s="617">
        <v>139.03285233076801</v>
      </c>
      <c r="M91" s="539">
        <v>8.4347909999999988</v>
      </c>
      <c r="N91" s="950">
        <f t="shared" si="9"/>
        <v>2019</v>
      </c>
      <c r="O91" s="950" t="str">
        <f t="shared" si="10"/>
        <v>3</v>
      </c>
      <c r="P91" s="305"/>
    </row>
    <row r="92" spans="1:16">
      <c r="A92" s="609">
        <v>43800</v>
      </c>
      <c r="B92" s="1465">
        <v>34.039589023661762</v>
      </c>
      <c r="C92" s="1465">
        <v>27.966258999999997</v>
      </c>
      <c r="D92" s="1465">
        <v>1.57316126</v>
      </c>
      <c r="E92" s="1465">
        <v>84.787373000000002</v>
      </c>
      <c r="F92" s="1465">
        <v>3.1765463109999996</v>
      </c>
      <c r="G92" s="1465">
        <v>96.980530000000002</v>
      </c>
      <c r="H92" s="1465">
        <v>5.9292972099999997</v>
      </c>
      <c r="I92" s="1465">
        <v>125.27854599999999</v>
      </c>
      <c r="J92" s="1465">
        <v>1.5366070000000001</v>
      </c>
      <c r="K92" s="1465">
        <v>82.655339999999995</v>
      </c>
      <c r="L92" s="1465">
        <v>66.386327777616003</v>
      </c>
      <c r="M92" s="1466">
        <v>6.2005219999999994</v>
      </c>
      <c r="N92" s="950">
        <f t="shared" si="9"/>
        <v>2019</v>
      </c>
      <c r="O92" s="950" t="str">
        <f t="shared" si="10"/>
        <v>4</v>
      </c>
      <c r="P92" s="305"/>
    </row>
    <row r="93" spans="1:16">
      <c r="A93" s="609">
        <v>43891</v>
      </c>
      <c r="B93" s="617">
        <v>31.615520057373811</v>
      </c>
      <c r="C93" s="617">
        <v>24.779443000000001</v>
      </c>
      <c r="D93" s="617">
        <v>1.5964380499999997</v>
      </c>
      <c r="E93" s="617">
        <v>84.167677999999995</v>
      </c>
      <c r="F93" s="617">
        <v>2.5249831170000001</v>
      </c>
      <c r="G93" s="617">
        <v>94.675094000000001</v>
      </c>
      <c r="H93" s="617">
        <v>2.91525246</v>
      </c>
      <c r="I93" s="617">
        <v>43.605328999999998</v>
      </c>
      <c r="J93" s="617">
        <v>1.221112</v>
      </c>
      <c r="K93" s="617">
        <v>63.596278999999996</v>
      </c>
      <c r="L93" s="617">
        <v>110.18935415505601</v>
      </c>
      <c r="M93" s="539">
        <v>10.764702999999999</v>
      </c>
      <c r="N93" s="950">
        <f t="shared" si="9"/>
        <v>2020</v>
      </c>
      <c r="O93" s="950" t="str">
        <f t="shared" si="10"/>
        <v>1</v>
      </c>
      <c r="P93" s="305"/>
    </row>
    <row r="94" spans="1:16">
      <c r="A94" s="609">
        <v>43983</v>
      </c>
      <c r="B94" s="1465">
        <v>29.312220478408573</v>
      </c>
      <c r="C94" s="1465">
        <v>24.937386</v>
      </c>
      <c r="D94" s="1465">
        <v>1.4413593</v>
      </c>
      <c r="E94" s="1465">
        <v>75.743397000000002</v>
      </c>
      <c r="F94" s="1465">
        <v>2.7527097600000001</v>
      </c>
      <c r="G94" s="1465">
        <v>104.58248599999999</v>
      </c>
      <c r="H94" s="1465">
        <v>2.91546707</v>
      </c>
      <c r="I94" s="1465">
        <v>35.602719999999998</v>
      </c>
      <c r="J94" s="1465">
        <v>1.5930059999999999</v>
      </c>
      <c r="K94" s="1465">
        <v>78.072977999999992</v>
      </c>
      <c r="L94" s="1465">
        <v>166.29816009364799</v>
      </c>
      <c r="M94" s="1466">
        <v>14.218786</v>
      </c>
      <c r="N94" s="950">
        <f t="shared" si="9"/>
        <v>2020</v>
      </c>
      <c r="O94" s="950" t="str">
        <f t="shared" si="10"/>
        <v>2</v>
      </c>
      <c r="P94" s="305"/>
    </row>
    <row r="95" spans="1:16">
      <c r="A95" s="609">
        <v>44075</v>
      </c>
      <c r="B95" s="617">
        <v>41.691413017075753</v>
      </c>
      <c r="C95" s="617">
        <v>46.856549999999999</v>
      </c>
      <c r="D95" s="617">
        <v>1.41177917</v>
      </c>
      <c r="E95" s="617">
        <v>81.802660000000003</v>
      </c>
      <c r="F95" s="617">
        <v>2.5471324769999999</v>
      </c>
      <c r="G95" s="617">
        <v>87.410006999999993</v>
      </c>
      <c r="H95" s="617">
        <v>3.6299270699999999</v>
      </c>
      <c r="I95" s="617">
        <v>43.648039999999995</v>
      </c>
      <c r="J95" s="617">
        <v>1.507558</v>
      </c>
      <c r="K95" s="617">
        <v>70.955322999999993</v>
      </c>
      <c r="L95" s="617">
        <v>118.833010357776</v>
      </c>
      <c r="M95" s="539">
        <v>9.2489889999999999</v>
      </c>
      <c r="N95" s="950">
        <f t="shared" si="9"/>
        <v>2020</v>
      </c>
      <c r="O95" s="950" t="str">
        <f t="shared" si="10"/>
        <v>3</v>
      </c>
      <c r="P95" s="305"/>
    </row>
    <row r="96" spans="1:16">
      <c r="A96" s="609">
        <v>44166</v>
      </c>
      <c r="B96" s="1571">
        <v>24.799421385070048</v>
      </c>
      <c r="C96" s="1571">
        <v>27.088435</v>
      </c>
      <c r="D96" s="1571">
        <v>1.1699307399999999</v>
      </c>
      <c r="E96" s="1571">
        <v>67.683903999999998</v>
      </c>
      <c r="F96" s="1571">
        <v>3.717483359</v>
      </c>
      <c r="G96" s="1571">
        <v>144.018429</v>
      </c>
      <c r="H96" s="1571">
        <v>4.4506945700000005</v>
      </c>
      <c r="I96" s="1571">
        <v>67.525081999999998</v>
      </c>
      <c r="J96" s="1571">
        <v>1.309472</v>
      </c>
      <c r="K96" s="1571">
        <v>68.535090999999994</v>
      </c>
      <c r="L96" s="1571">
        <v>126.33081447518401</v>
      </c>
      <c r="M96" s="1572">
        <v>11.077496999999999</v>
      </c>
      <c r="N96" s="950">
        <f t="shared" si="9"/>
        <v>2020</v>
      </c>
      <c r="O96" s="950" t="str">
        <f t="shared" si="10"/>
        <v>4</v>
      </c>
      <c r="P96" s="305"/>
    </row>
    <row r="97" spans="1:16">
      <c r="A97" s="609">
        <v>44256</v>
      </c>
      <c r="B97" s="617">
        <v>32.090865411092977</v>
      </c>
      <c r="C97" s="617">
        <v>34.563525999999996</v>
      </c>
      <c r="D97" s="617">
        <v>1.3174095299999999</v>
      </c>
      <c r="E97" s="617">
        <v>76.591329999999999</v>
      </c>
      <c r="F97" s="617">
        <v>3.0874519250000003</v>
      </c>
      <c r="G97" s="617">
        <v>190.24223999999998</v>
      </c>
      <c r="H97" s="617">
        <v>2.4338899999999997E-2</v>
      </c>
      <c r="I97" s="617">
        <v>0.92711299999999996</v>
      </c>
      <c r="J97" s="617">
        <v>1.1753330000000002</v>
      </c>
      <c r="K97" s="617">
        <v>72.859732999999991</v>
      </c>
      <c r="L97" s="617">
        <v>108.27773447092801</v>
      </c>
      <c r="M97" s="539">
        <v>8.9768489999999996</v>
      </c>
      <c r="N97" s="950">
        <f t="shared" si="9"/>
        <v>2021</v>
      </c>
      <c r="O97" s="950" t="str">
        <f t="shared" si="10"/>
        <v>1</v>
      </c>
      <c r="P97" s="305"/>
    </row>
    <row r="98" spans="1:16">
      <c r="A98" s="609">
        <v>44348</v>
      </c>
      <c r="B98" s="1571">
        <v>38.573647095651992</v>
      </c>
      <c r="C98" s="1571">
        <v>40.414541999999997</v>
      </c>
      <c r="D98" s="1571">
        <v>1.3733146000000001</v>
      </c>
      <c r="E98" s="1571">
        <v>79.985511000000002</v>
      </c>
      <c r="F98" s="1571">
        <v>3.1465455839999996</v>
      </c>
      <c r="G98" s="1571">
        <v>131.689211</v>
      </c>
      <c r="H98" s="1571">
        <v>0</v>
      </c>
      <c r="I98" s="1571">
        <v>0</v>
      </c>
      <c r="J98" s="1571">
        <v>1.3800859999999997</v>
      </c>
      <c r="K98" s="1571">
        <v>87.277779999999993</v>
      </c>
      <c r="L98" s="1571">
        <v>116.89059823161601</v>
      </c>
      <c r="M98" s="1572">
        <v>10.982543</v>
      </c>
      <c r="N98" s="950">
        <f t="shared" si="9"/>
        <v>2021</v>
      </c>
      <c r="O98" s="950" t="str">
        <f t="shared" si="10"/>
        <v>2</v>
      </c>
      <c r="P98" s="305"/>
    </row>
    <row r="99" spans="1:16">
      <c r="A99" s="609">
        <v>44440</v>
      </c>
      <c r="B99" s="617">
        <v>38.404541038086762</v>
      </c>
      <c r="C99" s="617">
        <v>39.663637999999999</v>
      </c>
      <c r="D99" s="617">
        <v>1.3325048799999999</v>
      </c>
      <c r="E99" s="617">
        <v>84.332038999999995</v>
      </c>
      <c r="F99" s="617">
        <v>2.7480873290000001</v>
      </c>
      <c r="G99" s="617">
        <v>122.471008</v>
      </c>
      <c r="H99" s="617">
        <v>4.3072920000000001E-2</v>
      </c>
      <c r="I99" s="617">
        <v>1.195627</v>
      </c>
      <c r="J99" s="617">
        <v>1.2264710000000001</v>
      </c>
      <c r="K99" s="617">
        <v>91.269767999999999</v>
      </c>
      <c r="L99" s="617">
        <v>104.12293203998401</v>
      </c>
      <c r="M99" s="539">
        <v>10.599755999999999</v>
      </c>
      <c r="N99" s="950">
        <f t="shared" si="9"/>
        <v>2021</v>
      </c>
      <c r="O99" s="950" t="str">
        <f t="shared" si="10"/>
        <v>3</v>
      </c>
      <c r="P99" s="305"/>
    </row>
    <row r="100" spans="1:16">
      <c r="A100" s="609">
        <v>44531</v>
      </c>
      <c r="B100" s="1571">
        <v>46.315750622626005</v>
      </c>
      <c r="C100" s="1571">
        <v>46.427197999999997</v>
      </c>
      <c r="D100" s="1571">
        <v>1.2499509499999999</v>
      </c>
      <c r="E100" s="1571">
        <v>77.157381999999998</v>
      </c>
      <c r="F100" s="1571">
        <v>3.2319503960000007</v>
      </c>
      <c r="G100" s="1571">
        <v>155.51976299999998</v>
      </c>
      <c r="H100" s="1571">
        <v>0</v>
      </c>
      <c r="I100" s="1571">
        <v>0</v>
      </c>
      <c r="J100" s="1571">
        <v>1.450277</v>
      </c>
      <c r="K100" s="1571">
        <v>137.27249399999999</v>
      </c>
      <c r="L100" s="1571">
        <v>141.05675556614403</v>
      </c>
      <c r="M100" s="1572">
        <v>11.077971</v>
      </c>
      <c r="N100" s="950">
        <f t="shared" si="9"/>
        <v>2021</v>
      </c>
      <c r="O100" s="950" t="str">
        <f t="shared" si="10"/>
        <v>4</v>
      </c>
      <c r="P100" s="305"/>
    </row>
    <row r="101" spans="1:16">
      <c r="A101" s="609">
        <v>44621</v>
      </c>
      <c r="B101" s="617">
        <v>38.749103270144204</v>
      </c>
      <c r="C101" s="617">
        <v>41.464129</v>
      </c>
      <c r="D101" s="617">
        <v>1.4480187499999999</v>
      </c>
      <c r="E101" s="617">
        <v>90.865843999999996</v>
      </c>
      <c r="F101" s="617">
        <v>2.9468742069999991</v>
      </c>
      <c r="G101" s="617">
        <v>144.05978199999998</v>
      </c>
      <c r="H101" s="617">
        <v>0</v>
      </c>
      <c r="I101" s="617">
        <v>0</v>
      </c>
      <c r="J101" s="617">
        <v>1.3600490000000001</v>
      </c>
      <c r="K101" s="617">
        <v>150.58101199999999</v>
      </c>
      <c r="L101" s="617">
        <v>134.416163269344</v>
      </c>
      <c r="M101" s="539">
        <v>10.415823999999999</v>
      </c>
      <c r="N101" s="950">
        <f t="shared" si="9"/>
        <v>2022</v>
      </c>
      <c r="O101" s="950" t="str">
        <f t="shared" si="10"/>
        <v>1</v>
      </c>
      <c r="P101" s="305"/>
    </row>
    <row r="102" spans="1:16">
      <c r="A102" s="609">
        <v>44713</v>
      </c>
      <c r="B102" s="1571">
        <v>32.893021558383367</v>
      </c>
      <c r="C102" s="1571">
        <v>30.408784999999998</v>
      </c>
      <c r="D102" s="1571">
        <v>1.16391814</v>
      </c>
      <c r="E102" s="1571">
        <v>72.292997</v>
      </c>
      <c r="F102" s="1571">
        <v>2.7199882369999999</v>
      </c>
      <c r="G102" s="1571">
        <v>135.494846</v>
      </c>
      <c r="H102" s="1571">
        <v>0</v>
      </c>
      <c r="I102" s="1571">
        <v>0</v>
      </c>
      <c r="J102" s="1571">
        <v>1.274403</v>
      </c>
      <c r="K102" s="1571">
        <v>134.742538</v>
      </c>
      <c r="L102" s="1571">
        <v>79.315109979072005</v>
      </c>
      <c r="M102" s="1572">
        <v>6.8922840000000001</v>
      </c>
      <c r="N102" s="950">
        <f t="shared" si="9"/>
        <v>2022</v>
      </c>
      <c r="O102" s="950" t="str">
        <f t="shared" si="10"/>
        <v>2</v>
      </c>
      <c r="P102" s="305"/>
    </row>
    <row r="103" spans="1:16">
      <c r="A103" s="609">
        <v>44805</v>
      </c>
      <c r="B103" s="617">
        <v>27.698218456580072</v>
      </c>
      <c r="C103" s="617">
        <v>25.890908</v>
      </c>
      <c r="D103" s="617">
        <v>1.0285277799999999</v>
      </c>
      <c r="E103" s="617">
        <v>66.986105999999992</v>
      </c>
      <c r="F103" s="617">
        <v>2.8528641799999996</v>
      </c>
      <c r="G103" s="617">
        <v>155.28125199999999</v>
      </c>
      <c r="H103" s="617">
        <v>0</v>
      </c>
      <c r="I103" s="617">
        <v>0</v>
      </c>
      <c r="J103" s="617">
        <v>1.580816</v>
      </c>
      <c r="K103" s="617">
        <v>126.176153</v>
      </c>
      <c r="L103" s="617">
        <v>172.21777379822402</v>
      </c>
      <c r="M103" s="539">
        <v>14.151306</v>
      </c>
      <c r="N103" s="950">
        <f t="shared" si="9"/>
        <v>2022</v>
      </c>
      <c r="O103" s="950" t="str">
        <f t="shared" si="10"/>
        <v>3</v>
      </c>
      <c r="P103" s="305"/>
    </row>
    <row r="104" spans="1:16">
      <c r="A104" s="609">
        <v>44896</v>
      </c>
      <c r="B104" s="1571">
        <v>30.281053938261522</v>
      </c>
      <c r="C104" s="1571">
        <v>32.214169999999996</v>
      </c>
      <c r="D104" s="1571">
        <v>1.14889679</v>
      </c>
      <c r="E104" s="1571">
        <v>83.778390999999999</v>
      </c>
      <c r="F104" s="1571">
        <v>3.1612564719999998</v>
      </c>
      <c r="G104" s="1571">
        <v>190.66559599999999</v>
      </c>
      <c r="H104" s="1571">
        <v>0</v>
      </c>
      <c r="I104" s="1571">
        <v>0</v>
      </c>
      <c r="J104" s="1571">
        <v>1.578087</v>
      </c>
      <c r="K104" s="1571">
        <v>107.636888</v>
      </c>
      <c r="L104" s="1571">
        <v>105.62180858697602</v>
      </c>
      <c r="M104" s="1572">
        <v>8.543080999999999</v>
      </c>
      <c r="N104" s="950">
        <f t="shared" si="9"/>
        <v>2022</v>
      </c>
      <c r="O104" s="950" t="str">
        <f t="shared" si="10"/>
        <v>4</v>
      </c>
      <c r="P104" s="305"/>
    </row>
    <row r="105" spans="1:16">
      <c r="A105" s="609">
        <v>44986</v>
      </c>
      <c r="B105" s="617">
        <v>24.687312231016456</v>
      </c>
      <c r="C105" s="617">
        <v>26.304580999999999</v>
      </c>
      <c r="D105" s="617">
        <v>1.3415252199999999</v>
      </c>
      <c r="E105" s="617">
        <v>116.32028299999999</v>
      </c>
      <c r="F105" s="617">
        <v>2.6300811700000004</v>
      </c>
      <c r="G105" s="617">
        <v>169.82831199999998</v>
      </c>
      <c r="H105" s="617">
        <v>0</v>
      </c>
      <c r="I105" s="617">
        <v>0</v>
      </c>
      <c r="J105" s="617">
        <v>1.4697260000000001</v>
      </c>
      <c r="K105" s="617">
        <v>75.627849999999995</v>
      </c>
      <c r="L105" s="617">
        <v>150.00335963289604</v>
      </c>
      <c r="M105" s="539">
        <v>9.9598870000000002</v>
      </c>
      <c r="N105" s="950">
        <f t="shared" si="9"/>
        <v>2023</v>
      </c>
      <c r="O105" s="950" t="str">
        <f t="shared" si="10"/>
        <v>1</v>
      </c>
      <c r="P105" s="305"/>
    </row>
    <row r="106" spans="1:16">
      <c r="A106" s="609">
        <v>45078</v>
      </c>
      <c r="B106" s="1571">
        <v>32.832366015102671</v>
      </c>
      <c r="C106" s="1571">
        <v>36.123833999999995</v>
      </c>
      <c r="D106" s="1571">
        <v>1.25394377</v>
      </c>
      <c r="E106" s="1571">
        <v>108.742921</v>
      </c>
      <c r="F106" s="1571">
        <v>2.9479818179999997</v>
      </c>
      <c r="G106" s="1571">
        <v>198.37846199999998</v>
      </c>
      <c r="H106" s="1571">
        <v>0</v>
      </c>
      <c r="I106" s="1571">
        <v>0</v>
      </c>
      <c r="J106" s="1571">
        <v>1.2338640000000001</v>
      </c>
      <c r="K106" s="1571">
        <v>58.979527999999995</v>
      </c>
      <c r="L106" s="1571">
        <v>140.49907022712</v>
      </c>
      <c r="M106" s="1572">
        <v>8.6669099999999997</v>
      </c>
      <c r="N106" s="950">
        <f t="shared" si="9"/>
        <v>2023</v>
      </c>
      <c r="O106" s="950" t="str">
        <f t="shared" si="10"/>
        <v>2</v>
      </c>
      <c r="P106" s="305"/>
    </row>
    <row r="107" spans="1:16">
      <c r="A107" s="609">
        <v>45170</v>
      </c>
      <c r="B107" s="617">
        <v>31.147456276401329</v>
      </c>
      <c r="C107" s="617">
        <v>35.056601000000001</v>
      </c>
      <c r="D107" s="617">
        <v>1.22165641</v>
      </c>
      <c r="E107" s="617">
        <v>103.83120699999999</v>
      </c>
      <c r="F107" s="617">
        <v>2.7970711839999995</v>
      </c>
      <c r="G107" s="617">
        <v>185.94564800000001</v>
      </c>
      <c r="H107" s="617">
        <v>0</v>
      </c>
      <c r="I107" s="617">
        <v>0</v>
      </c>
      <c r="J107" s="617">
        <v>1.226089</v>
      </c>
      <c r="K107" s="617">
        <v>61.153369999999995</v>
      </c>
      <c r="L107" s="617">
        <v>114.88877846476802</v>
      </c>
      <c r="M107" s="539">
        <v>6.4273229999999995</v>
      </c>
      <c r="N107" s="950">
        <f t="shared" si="9"/>
        <v>2023</v>
      </c>
      <c r="O107" s="950" t="str">
        <f t="shared" si="10"/>
        <v>3</v>
      </c>
      <c r="P107" s="305"/>
    </row>
    <row r="108" spans="1:16" ht="15.75" thickBot="1">
      <c r="A108" s="429">
        <v>45261</v>
      </c>
      <c r="B108" s="1656">
        <v>20.942340252123518</v>
      </c>
      <c r="C108" s="1656">
        <v>23.662554999999998</v>
      </c>
      <c r="D108" s="1656">
        <v>1.4430569899999999</v>
      </c>
      <c r="E108" s="1656">
        <v>127.27826499999999</v>
      </c>
      <c r="F108" s="1656">
        <v>3.2434521869999999</v>
      </c>
      <c r="G108" s="1656">
        <v>236.057692</v>
      </c>
      <c r="H108" s="1656">
        <v>0</v>
      </c>
      <c r="I108" s="1656">
        <v>0</v>
      </c>
      <c r="J108" s="1656">
        <v>1.2923820000000001</v>
      </c>
      <c r="K108" s="1656">
        <v>62.551634</v>
      </c>
      <c r="L108" s="1656">
        <v>106.71043027497601</v>
      </c>
      <c r="M108" s="1657">
        <v>5.2564060000000001</v>
      </c>
      <c r="N108" s="950">
        <f t="shared" si="9"/>
        <v>2023</v>
      </c>
      <c r="O108" s="950" t="str">
        <f t="shared" si="10"/>
        <v>4</v>
      </c>
      <c r="P108" s="305"/>
    </row>
    <row r="109" spans="1:16">
      <c r="C109" s="14"/>
      <c r="N109" s="950">
        <f t="shared" si="9"/>
        <v>1900</v>
      </c>
      <c r="O109" s="950" t="str">
        <f t="shared" si="10"/>
        <v>4</v>
      </c>
      <c r="P109" s="305"/>
    </row>
    <row r="110" spans="1:16">
      <c r="C110" s="14"/>
      <c r="N110" s="950">
        <f t="shared" si="9"/>
        <v>1900</v>
      </c>
      <c r="O110" s="950" t="str">
        <f t="shared" si="10"/>
        <v>4</v>
      </c>
      <c r="P110" s="305"/>
    </row>
    <row r="111" spans="1:16">
      <c r="C111" s="14"/>
      <c r="N111" s="950">
        <f t="shared" si="9"/>
        <v>1900</v>
      </c>
      <c r="O111" s="950" t="str">
        <f t="shared" si="10"/>
        <v>4</v>
      </c>
      <c r="P111" s="305"/>
    </row>
    <row r="112" spans="1:16">
      <c r="C112" s="14"/>
      <c r="N112" s="950">
        <f t="shared" si="9"/>
        <v>1900</v>
      </c>
      <c r="O112" s="950" t="str">
        <f t="shared" si="10"/>
        <v>4</v>
      </c>
      <c r="P112" s="305"/>
    </row>
    <row r="113" spans="3:16">
      <c r="C113" s="14"/>
      <c r="N113" s="950">
        <f t="shared" si="9"/>
        <v>1900</v>
      </c>
      <c r="O113" s="950" t="str">
        <f t="shared" si="10"/>
        <v>4</v>
      </c>
      <c r="P113" s="305"/>
    </row>
    <row r="114" spans="3:16">
      <c r="C114" s="14"/>
      <c r="N114" s="950">
        <f t="shared" si="9"/>
        <v>1900</v>
      </c>
      <c r="O114" s="950" t="str">
        <f t="shared" si="10"/>
        <v>4</v>
      </c>
      <c r="P114" s="305"/>
    </row>
    <row r="115" spans="3:16">
      <c r="C115" s="14"/>
      <c r="N115" s="950">
        <f t="shared" si="9"/>
        <v>1900</v>
      </c>
      <c r="O115" s="950" t="str">
        <f t="shared" si="10"/>
        <v>4</v>
      </c>
      <c r="P115" s="305"/>
    </row>
    <row r="116" spans="3:16">
      <c r="C116" s="14"/>
      <c r="N116" s="950">
        <f t="shared" si="9"/>
        <v>1900</v>
      </c>
      <c r="O116" s="950" t="str">
        <f t="shared" si="10"/>
        <v>4</v>
      </c>
      <c r="P116" s="305"/>
    </row>
    <row r="117" spans="3:16">
      <c r="C117" s="14"/>
      <c r="N117" s="950">
        <f t="shared" si="9"/>
        <v>1900</v>
      </c>
      <c r="O117" s="950" t="str">
        <f t="shared" si="10"/>
        <v>4</v>
      </c>
      <c r="P117" s="305"/>
    </row>
    <row r="118" spans="3:16">
      <c r="C118" s="14"/>
      <c r="N118" s="950">
        <f t="shared" si="9"/>
        <v>1900</v>
      </c>
      <c r="O118" s="950" t="str">
        <f t="shared" si="10"/>
        <v>4</v>
      </c>
      <c r="P118" s="305"/>
    </row>
    <row r="119" spans="3:16">
      <c r="C119" s="14"/>
      <c r="N119" s="950">
        <f t="shared" si="9"/>
        <v>1900</v>
      </c>
      <c r="O119" s="950" t="str">
        <f t="shared" si="10"/>
        <v>4</v>
      </c>
      <c r="P119" s="305"/>
    </row>
    <row r="120" spans="3:16">
      <c r="C120" s="14"/>
      <c r="N120" s="950">
        <f t="shared" si="9"/>
        <v>1900</v>
      </c>
      <c r="O120" s="950" t="str">
        <f t="shared" si="10"/>
        <v>4</v>
      </c>
      <c r="P120" s="305"/>
    </row>
    <row r="121" spans="3:16">
      <c r="C121" s="14"/>
      <c r="N121" s="950">
        <f t="shared" si="9"/>
        <v>1900</v>
      </c>
      <c r="O121" s="950" t="str">
        <f t="shared" si="10"/>
        <v>4</v>
      </c>
      <c r="P121" s="305"/>
    </row>
    <row r="122" spans="3:16">
      <c r="C122" s="14"/>
      <c r="N122" s="950">
        <f t="shared" si="9"/>
        <v>1900</v>
      </c>
      <c r="O122" s="950" t="str">
        <f t="shared" si="10"/>
        <v>4</v>
      </c>
      <c r="P122" s="305"/>
    </row>
    <row r="123" spans="3:16">
      <c r="C123" s="14"/>
      <c r="N123" s="950">
        <f t="shared" si="9"/>
        <v>1900</v>
      </c>
      <c r="O123" s="950" t="str">
        <f t="shared" si="10"/>
        <v>4</v>
      </c>
      <c r="P123" s="305"/>
    </row>
    <row r="124" spans="3:16">
      <c r="C124" s="14"/>
      <c r="N124" s="950">
        <f t="shared" si="9"/>
        <v>1900</v>
      </c>
      <c r="O124" s="950" t="str">
        <f t="shared" si="10"/>
        <v>4</v>
      </c>
      <c r="P124" s="305"/>
    </row>
    <row r="125" spans="3:16">
      <c r="C125" s="14"/>
      <c r="N125" s="950">
        <f t="shared" si="9"/>
        <v>1900</v>
      </c>
      <c r="O125" s="950" t="str">
        <f t="shared" si="10"/>
        <v>4</v>
      </c>
      <c r="P125" s="305"/>
    </row>
    <row r="126" spans="3:16">
      <c r="C126" s="14"/>
      <c r="N126" s="950">
        <f t="shared" si="9"/>
        <v>1900</v>
      </c>
      <c r="O126" s="950" t="str">
        <f t="shared" si="10"/>
        <v>4</v>
      </c>
      <c r="P126" s="305"/>
    </row>
    <row r="127" spans="3:16">
      <c r="C127" s="14"/>
      <c r="N127" s="950">
        <f t="shared" si="9"/>
        <v>1900</v>
      </c>
      <c r="O127" s="950" t="str">
        <f t="shared" si="10"/>
        <v>4</v>
      </c>
      <c r="P127" s="305"/>
    </row>
    <row r="128" spans="3:16">
      <c r="C128" s="14"/>
      <c r="N128" s="950">
        <f t="shared" si="9"/>
        <v>1900</v>
      </c>
      <c r="O128" s="950" t="str">
        <f t="shared" si="10"/>
        <v>4</v>
      </c>
      <c r="P128" s="305"/>
    </row>
    <row r="129" spans="3:16">
      <c r="C129" s="14"/>
      <c r="N129" s="950">
        <f t="shared" si="9"/>
        <v>1900</v>
      </c>
      <c r="O129" s="950" t="str">
        <f t="shared" si="10"/>
        <v>4</v>
      </c>
      <c r="P129" s="305"/>
    </row>
    <row r="130" spans="3:16">
      <c r="C130" s="14"/>
      <c r="N130" s="950">
        <f t="shared" si="9"/>
        <v>1900</v>
      </c>
      <c r="O130" s="950" t="str">
        <f t="shared" si="10"/>
        <v>4</v>
      </c>
      <c r="P130" s="305"/>
    </row>
    <row r="131" spans="3:16">
      <c r="C131" s="14"/>
      <c r="N131" s="950">
        <f t="shared" si="9"/>
        <v>1900</v>
      </c>
      <c r="O131" s="950" t="str">
        <f t="shared" si="10"/>
        <v>4</v>
      </c>
      <c r="P131" s="305"/>
    </row>
    <row r="132" spans="3:16">
      <c r="C132" s="14"/>
      <c r="N132" s="950">
        <f t="shared" si="9"/>
        <v>1900</v>
      </c>
      <c r="O132" s="950" t="str">
        <f t="shared" si="10"/>
        <v>4</v>
      </c>
      <c r="P132" s="305"/>
    </row>
    <row r="133" spans="3:16">
      <c r="C133" s="14"/>
      <c r="N133" s="950">
        <f t="shared" si="9"/>
        <v>1900</v>
      </c>
      <c r="O133" s="950" t="str">
        <f t="shared" si="10"/>
        <v>4</v>
      </c>
      <c r="P133" s="305"/>
    </row>
    <row r="134" spans="3:16">
      <c r="C134" s="14"/>
      <c r="N134" s="950">
        <f t="shared" si="9"/>
        <v>1900</v>
      </c>
      <c r="O134" s="950" t="str">
        <f t="shared" si="10"/>
        <v>4</v>
      </c>
      <c r="P134" s="305"/>
    </row>
    <row r="135" spans="3:16">
      <c r="C135" s="14"/>
      <c r="N135" s="950">
        <f t="shared" si="9"/>
        <v>1900</v>
      </c>
      <c r="O135" s="950" t="str">
        <f t="shared" si="10"/>
        <v>4</v>
      </c>
      <c r="P135" s="305"/>
    </row>
    <row r="136" spans="3:16">
      <c r="C136" s="14"/>
      <c r="N136" s="950">
        <f t="shared" si="9"/>
        <v>1900</v>
      </c>
      <c r="O136" s="950" t="str">
        <f t="shared" si="10"/>
        <v>4</v>
      </c>
      <c r="P136" s="305"/>
    </row>
    <row r="137" spans="3:16">
      <c r="C137" s="14"/>
      <c r="N137" s="950">
        <f t="shared" ref="N137:N200" si="11">YEAR(A137)</f>
        <v>1900</v>
      </c>
      <c r="O137" s="950" t="str">
        <f t="shared" ref="O137:O200" si="12">IF(MONTH(A137)=3,"1",IF(MONTH(A137)=6,"2",IF(MONTH(A137)=9,"3","4")))</f>
        <v>4</v>
      </c>
      <c r="P137" s="305"/>
    </row>
    <row r="138" spans="3:16">
      <c r="C138" s="14"/>
      <c r="N138" s="950">
        <f t="shared" si="11"/>
        <v>1900</v>
      </c>
      <c r="O138" s="950" t="str">
        <f t="shared" si="12"/>
        <v>4</v>
      </c>
      <c r="P138" s="305"/>
    </row>
    <row r="139" spans="3:16">
      <c r="C139" s="14"/>
      <c r="N139" s="950">
        <f t="shared" si="11"/>
        <v>1900</v>
      </c>
      <c r="O139" s="950" t="str">
        <f t="shared" si="12"/>
        <v>4</v>
      </c>
      <c r="P139" s="305"/>
    </row>
    <row r="140" spans="3:16">
      <c r="C140" s="14"/>
      <c r="N140" s="950">
        <f t="shared" si="11"/>
        <v>1900</v>
      </c>
      <c r="O140" s="950" t="str">
        <f t="shared" si="12"/>
        <v>4</v>
      </c>
      <c r="P140" s="305"/>
    </row>
    <row r="141" spans="3:16">
      <c r="C141" s="14"/>
      <c r="N141" s="950">
        <f t="shared" si="11"/>
        <v>1900</v>
      </c>
      <c r="O141" s="950" t="str">
        <f t="shared" si="12"/>
        <v>4</v>
      </c>
      <c r="P141" s="305"/>
    </row>
    <row r="142" spans="3:16">
      <c r="C142" s="14"/>
      <c r="N142" s="950">
        <f t="shared" si="11"/>
        <v>1900</v>
      </c>
      <c r="O142" s="950" t="str">
        <f t="shared" si="12"/>
        <v>4</v>
      </c>
      <c r="P142" s="305"/>
    </row>
    <row r="143" spans="3:16">
      <c r="C143" s="14"/>
      <c r="N143" s="950">
        <f t="shared" si="11"/>
        <v>1900</v>
      </c>
      <c r="O143" s="950" t="str">
        <f t="shared" si="12"/>
        <v>4</v>
      </c>
      <c r="P143" s="305"/>
    </row>
    <row r="144" spans="3:16">
      <c r="C144" s="14"/>
      <c r="N144" s="950">
        <f t="shared" si="11"/>
        <v>1900</v>
      </c>
      <c r="O144" s="950" t="str">
        <f t="shared" si="12"/>
        <v>4</v>
      </c>
      <c r="P144" s="305"/>
    </row>
    <row r="145" spans="3:16">
      <c r="C145" s="14"/>
      <c r="N145" s="950">
        <f t="shared" si="11"/>
        <v>1900</v>
      </c>
      <c r="O145" s="950" t="str">
        <f t="shared" si="12"/>
        <v>4</v>
      </c>
      <c r="P145" s="305"/>
    </row>
    <row r="146" spans="3:16">
      <c r="C146" s="14"/>
      <c r="N146" s="950">
        <f t="shared" si="11"/>
        <v>1900</v>
      </c>
      <c r="O146" s="950" t="str">
        <f t="shared" si="12"/>
        <v>4</v>
      </c>
      <c r="P146" s="305"/>
    </row>
    <row r="147" spans="3:16">
      <c r="C147" s="14"/>
      <c r="N147" s="950">
        <f t="shared" si="11"/>
        <v>1900</v>
      </c>
      <c r="O147" s="950" t="str">
        <f t="shared" si="12"/>
        <v>4</v>
      </c>
      <c r="P147" s="305"/>
    </row>
    <row r="148" spans="3:16">
      <c r="C148" s="14"/>
      <c r="N148" s="950">
        <f t="shared" si="11"/>
        <v>1900</v>
      </c>
      <c r="O148" s="950" t="str">
        <f t="shared" si="12"/>
        <v>4</v>
      </c>
      <c r="P148" s="305"/>
    </row>
    <row r="149" spans="3:16">
      <c r="C149" s="14"/>
      <c r="N149" s="950">
        <f t="shared" si="11"/>
        <v>1900</v>
      </c>
      <c r="O149" s="950" t="str">
        <f t="shared" si="12"/>
        <v>4</v>
      </c>
      <c r="P149" s="305"/>
    </row>
    <row r="150" spans="3:16">
      <c r="C150" s="14"/>
      <c r="N150" s="950">
        <f t="shared" si="11"/>
        <v>1900</v>
      </c>
      <c r="O150" s="950" t="str">
        <f t="shared" si="12"/>
        <v>4</v>
      </c>
      <c r="P150" s="305"/>
    </row>
    <row r="151" spans="3:16">
      <c r="C151" s="14"/>
      <c r="N151" s="950">
        <f t="shared" si="11"/>
        <v>1900</v>
      </c>
      <c r="O151" s="950" t="str">
        <f t="shared" si="12"/>
        <v>4</v>
      </c>
      <c r="P151" s="305"/>
    </row>
    <row r="152" spans="3:16">
      <c r="C152" s="14"/>
      <c r="N152" s="950">
        <f t="shared" si="11"/>
        <v>1900</v>
      </c>
      <c r="O152" s="950" t="str">
        <f t="shared" si="12"/>
        <v>4</v>
      </c>
      <c r="P152" s="305"/>
    </row>
    <row r="153" spans="3:16">
      <c r="C153" s="14"/>
      <c r="N153" s="950">
        <f t="shared" si="11"/>
        <v>1900</v>
      </c>
      <c r="O153" s="950" t="str">
        <f t="shared" si="12"/>
        <v>4</v>
      </c>
      <c r="P153" s="305"/>
    </row>
    <row r="154" spans="3:16">
      <c r="C154" s="14"/>
      <c r="N154" s="950">
        <f t="shared" si="11"/>
        <v>1900</v>
      </c>
      <c r="O154" s="950" t="str">
        <f t="shared" si="12"/>
        <v>4</v>
      </c>
      <c r="P154" s="305"/>
    </row>
    <row r="155" spans="3:16">
      <c r="C155" s="14"/>
      <c r="N155" s="950">
        <f t="shared" si="11"/>
        <v>1900</v>
      </c>
      <c r="O155" s="950" t="str">
        <f t="shared" si="12"/>
        <v>4</v>
      </c>
      <c r="P155" s="305"/>
    </row>
    <row r="156" spans="3:16">
      <c r="C156" s="14"/>
      <c r="N156" s="950">
        <f t="shared" si="11"/>
        <v>1900</v>
      </c>
      <c r="O156" s="950" t="str">
        <f t="shared" si="12"/>
        <v>4</v>
      </c>
      <c r="P156" s="305"/>
    </row>
    <row r="157" spans="3:16">
      <c r="C157" s="14"/>
      <c r="N157" s="950">
        <f t="shared" si="11"/>
        <v>1900</v>
      </c>
      <c r="O157" s="950" t="str">
        <f t="shared" si="12"/>
        <v>4</v>
      </c>
      <c r="P157" s="305"/>
    </row>
    <row r="158" spans="3:16">
      <c r="C158" s="14"/>
      <c r="N158" s="950">
        <f t="shared" si="11"/>
        <v>1900</v>
      </c>
      <c r="O158" s="950" t="str">
        <f t="shared" si="12"/>
        <v>4</v>
      </c>
      <c r="P158" s="305"/>
    </row>
    <row r="159" spans="3:16">
      <c r="C159" s="14"/>
      <c r="N159" s="950">
        <f t="shared" si="11"/>
        <v>1900</v>
      </c>
      <c r="O159" s="950" t="str">
        <f t="shared" si="12"/>
        <v>4</v>
      </c>
      <c r="P159" s="305"/>
    </row>
    <row r="160" spans="3:16">
      <c r="C160" s="14"/>
      <c r="N160" s="950">
        <f t="shared" si="11"/>
        <v>1900</v>
      </c>
      <c r="O160" s="950" t="str">
        <f t="shared" si="12"/>
        <v>4</v>
      </c>
      <c r="P160" s="305"/>
    </row>
    <row r="161" spans="3:16">
      <c r="C161" s="14"/>
      <c r="N161" s="950">
        <f t="shared" si="11"/>
        <v>1900</v>
      </c>
      <c r="O161" s="950" t="str">
        <f t="shared" si="12"/>
        <v>4</v>
      </c>
      <c r="P161" s="305"/>
    </row>
    <row r="162" spans="3:16">
      <c r="C162" s="14"/>
      <c r="N162" s="950">
        <f t="shared" si="11"/>
        <v>1900</v>
      </c>
      <c r="O162" s="950" t="str">
        <f t="shared" si="12"/>
        <v>4</v>
      </c>
      <c r="P162" s="305"/>
    </row>
    <row r="163" spans="3:16">
      <c r="C163" s="14"/>
      <c r="N163" s="950">
        <f t="shared" si="11"/>
        <v>1900</v>
      </c>
      <c r="O163" s="950" t="str">
        <f t="shared" si="12"/>
        <v>4</v>
      </c>
      <c r="P163" s="305"/>
    </row>
    <row r="164" spans="3:16">
      <c r="C164" s="14"/>
      <c r="N164" s="950">
        <f t="shared" si="11"/>
        <v>1900</v>
      </c>
      <c r="O164" s="950" t="str">
        <f t="shared" si="12"/>
        <v>4</v>
      </c>
      <c r="P164" s="305"/>
    </row>
    <row r="165" spans="3:16">
      <c r="C165" s="14"/>
      <c r="N165" s="950">
        <f t="shared" si="11"/>
        <v>1900</v>
      </c>
      <c r="O165" s="950" t="str">
        <f t="shared" si="12"/>
        <v>4</v>
      </c>
      <c r="P165" s="305"/>
    </row>
    <row r="166" spans="3:16">
      <c r="C166" s="14"/>
      <c r="N166" s="950">
        <f t="shared" si="11"/>
        <v>1900</v>
      </c>
      <c r="O166" s="950" t="str">
        <f t="shared" si="12"/>
        <v>4</v>
      </c>
      <c r="P166" s="305"/>
    </row>
    <row r="167" spans="3:16">
      <c r="C167" s="14"/>
      <c r="N167" s="950">
        <f t="shared" si="11"/>
        <v>1900</v>
      </c>
      <c r="O167" s="950" t="str">
        <f t="shared" si="12"/>
        <v>4</v>
      </c>
      <c r="P167" s="305"/>
    </row>
    <row r="168" spans="3:16">
      <c r="C168" s="14"/>
      <c r="N168" s="950">
        <f t="shared" si="11"/>
        <v>1900</v>
      </c>
      <c r="O168" s="950" t="str">
        <f t="shared" si="12"/>
        <v>4</v>
      </c>
      <c r="P168" s="305"/>
    </row>
    <row r="169" spans="3:16">
      <c r="C169" s="14"/>
      <c r="N169" s="950">
        <f t="shared" si="11"/>
        <v>1900</v>
      </c>
      <c r="O169" s="950" t="str">
        <f t="shared" si="12"/>
        <v>4</v>
      </c>
      <c r="P169" s="305"/>
    </row>
    <row r="170" spans="3:16">
      <c r="C170" s="14"/>
      <c r="N170" s="950">
        <f t="shared" si="11"/>
        <v>1900</v>
      </c>
      <c r="O170" s="950" t="str">
        <f t="shared" si="12"/>
        <v>4</v>
      </c>
      <c r="P170" s="305"/>
    </row>
    <row r="171" spans="3:16">
      <c r="C171" s="14"/>
      <c r="N171" s="950">
        <f t="shared" si="11"/>
        <v>1900</v>
      </c>
      <c r="O171" s="950" t="str">
        <f t="shared" si="12"/>
        <v>4</v>
      </c>
      <c r="P171" s="305"/>
    </row>
    <row r="172" spans="3:16">
      <c r="C172" s="14"/>
      <c r="N172" s="950">
        <f t="shared" si="11"/>
        <v>1900</v>
      </c>
      <c r="O172" s="950" t="str">
        <f t="shared" si="12"/>
        <v>4</v>
      </c>
      <c r="P172" s="305"/>
    </row>
    <row r="173" spans="3:16">
      <c r="C173" s="14"/>
      <c r="N173" s="950">
        <f t="shared" si="11"/>
        <v>1900</v>
      </c>
      <c r="O173" s="950" t="str">
        <f t="shared" si="12"/>
        <v>4</v>
      </c>
      <c r="P173" s="305"/>
    </row>
    <row r="174" spans="3:16">
      <c r="C174" s="14"/>
      <c r="N174" s="950">
        <f t="shared" si="11"/>
        <v>1900</v>
      </c>
      <c r="O174" s="950" t="str">
        <f t="shared" si="12"/>
        <v>4</v>
      </c>
      <c r="P174" s="305"/>
    </row>
    <row r="175" spans="3:16">
      <c r="C175" s="14"/>
      <c r="N175" s="950">
        <f t="shared" si="11"/>
        <v>1900</v>
      </c>
      <c r="O175" s="950" t="str">
        <f t="shared" si="12"/>
        <v>4</v>
      </c>
      <c r="P175" s="305"/>
    </row>
    <row r="176" spans="3:16">
      <c r="C176" s="14"/>
      <c r="N176" s="950">
        <f t="shared" si="11"/>
        <v>1900</v>
      </c>
      <c r="O176" s="950" t="str">
        <f t="shared" si="12"/>
        <v>4</v>
      </c>
      <c r="P176" s="305"/>
    </row>
    <row r="177" spans="3:16">
      <c r="C177" s="14"/>
      <c r="N177" s="950">
        <f t="shared" si="11"/>
        <v>1900</v>
      </c>
      <c r="O177" s="950" t="str">
        <f t="shared" si="12"/>
        <v>4</v>
      </c>
      <c r="P177" s="305"/>
    </row>
    <row r="178" spans="3:16">
      <c r="C178" s="14"/>
      <c r="N178" s="950">
        <f t="shared" si="11"/>
        <v>1900</v>
      </c>
      <c r="O178" s="950" t="str">
        <f t="shared" si="12"/>
        <v>4</v>
      </c>
      <c r="P178" s="305"/>
    </row>
    <row r="179" spans="3:16">
      <c r="C179" s="14"/>
      <c r="N179" s="950">
        <f t="shared" si="11"/>
        <v>1900</v>
      </c>
      <c r="O179" s="950" t="str">
        <f t="shared" si="12"/>
        <v>4</v>
      </c>
      <c r="P179" s="305"/>
    </row>
    <row r="180" spans="3:16">
      <c r="C180" s="14"/>
      <c r="N180" s="950">
        <f t="shared" si="11"/>
        <v>1900</v>
      </c>
      <c r="O180" s="950" t="str">
        <f t="shared" si="12"/>
        <v>4</v>
      </c>
      <c r="P180" s="305"/>
    </row>
    <row r="181" spans="3:16">
      <c r="C181" s="14"/>
      <c r="N181" s="950">
        <f t="shared" si="11"/>
        <v>1900</v>
      </c>
      <c r="O181" s="950" t="str">
        <f t="shared" si="12"/>
        <v>4</v>
      </c>
      <c r="P181" s="305"/>
    </row>
    <row r="182" spans="3:16">
      <c r="C182" s="14"/>
      <c r="N182" s="950">
        <f t="shared" si="11"/>
        <v>1900</v>
      </c>
      <c r="O182" s="950" t="str">
        <f t="shared" si="12"/>
        <v>4</v>
      </c>
      <c r="P182" s="305"/>
    </row>
    <row r="183" spans="3:16">
      <c r="C183" s="14"/>
      <c r="N183" s="950">
        <f t="shared" si="11"/>
        <v>1900</v>
      </c>
      <c r="O183" s="950" t="str">
        <f t="shared" si="12"/>
        <v>4</v>
      </c>
      <c r="P183" s="305"/>
    </row>
    <row r="184" spans="3:16">
      <c r="C184" s="14"/>
      <c r="N184" s="950">
        <f t="shared" si="11"/>
        <v>1900</v>
      </c>
      <c r="O184" s="950" t="str">
        <f t="shared" si="12"/>
        <v>4</v>
      </c>
      <c r="P184" s="305"/>
    </row>
    <row r="185" spans="3:16">
      <c r="C185" s="14"/>
      <c r="N185" s="950">
        <f t="shared" si="11"/>
        <v>1900</v>
      </c>
      <c r="O185" s="950" t="str">
        <f t="shared" si="12"/>
        <v>4</v>
      </c>
      <c r="P185" s="305"/>
    </row>
    <row r="186" spans="3:16">
      <c r="C186" s="14"/>
      <c r="N186" s="950">
        <f t="shared" si="11"/>
        <v>1900</v>
      </c>
      <c r="O186" s="950" t="str">
        <f t="shared" si="12"/>
        <v>4</v>
      </c>
      <c r="P186" s="305"/>
    </row>
    <row r="187" spans="3:16">
      <c r="C187" s="14"/>
      <c r="N187" s="950">
        <f t="shared" si="11"/>
        <v>1900</v>
      </c>
      <c r="O187" s="950" t="str">
        <f t="shared" si="12"/>
        <v>4</v>
      </c>
      <c r="P187" s="305"/>
    </row>
    <row r="188" spans="3:16">
      <c r="C188" s="14"/>
      <c r="N188" s="950">
        <f t="shared" si="11"/>
        <v>1900</v>
      </c>
      <c r="O188" s="950" t="str">
        <f t="shared" si="12"/>
        <v>4</v>
      </c>
      <c r="P188" s="305"/>
    </row>
    <row r="189" spans="3:16">
      <c r="C189" s="14"/>
      <c r="N189" s="950">
        <f t="shared" si="11"/>
        <v>1900</v>
      </c>
      <c r="O189" s="950" t="str">
        <f t="shared" si="12"/>
        <v>4</v>
      </c>
      <c r="P189" s="305"/>
    </row>
    <row r="190" spans="3:16">
      <c r="C190" s="14"/>
      <c r="N190" s="950">
        <f t="shared" si="11"/>
        <v>1900</v>
      </c>
      <c r="O190" s="950" t="str">
        <f t="shared" si="12"/>
        <v>4</v>
      </c>
      <c r="P190" s="305"/>
    </row>
    <row r="191" spans="3:16">
      <c r="C191" s="14"/>
      <c r="N191" s="950">
        <f t="shared" si="11"/>
        <v>1900</v>
      </c>
      <c r="O191" s="950" t="str">
        <f t="shared" si="12"/>
        <v>4</v>
      </c>
      <c r="P191" s="305"/>
    </row>
    <row r="192" spans="3:16">
      <c r="C192" s="14"/>
      <c r="N192" s="950">
        <f t="shared" si="11"/>
        <v>1900</v>
      </c>
      <c r="O192" s="950" t="str">
        <f t="shared" si="12"/>
        <v>4</v>
      </c>
      <c r="P192" s="305"/>
    </row>
    <row r="193" spans="3:16">
      <c r="C193" s="14"/>
      <c r="N193" s="950">
        <f t="shared" si="11"/>
        <v>1900</v>
      </c>
      <c r="O193" s="950" t="str">
        <f t="shared" si="12"/>
        <v>4</v>
      </c>
      <c r="P193" s="305"/>
    </row>
    <row r="194" spans="3:16">
      <c r="C194" s="14"/>
      <c r="N194" s="950">
        <f t="shared" si="11"/>
        <v>1900</v>
      </c>
      <c r="O194" s="950" t="str">
        <f t="shared" si="12"/>
        <v>4</v>
      </c>
      <c r="P194" s="305"/>
    </row>
    <row r="195" spans="3:16">
      <c r="C195" s="14"/>
      <c r="N195" s="950">
        <f t="shared" si="11"/>
        <v>1900</v>
      </c>
      <c r="O195" s="950" t="str">
        <f t="shared" si="12"/>
        <v>4</v>
      </c>
      <c r="P195" s="305"/>
    </row>
    <row r="196" spans="3:16">
      <c r="C196" s="14"/>
      <c r="N196" s="950">
        <f t="shared" si="11"/>
        <v>1900</v>
      </c>
      <c r="O196" s="950" t="str">
        <f t="shared" si="12"/>
        <v>4</v>
      </c>
      <c r="P196" s="305"/>
    </row>
    <row r="197" spans="3:16">
      <c r="C197" s="14"/>
      <c r="N197" s="950">
        <f t="shared" si="11"/>
        <v>1900</v>
      </c>
      <c r="O197" s="950" t="str">
        <f t="shared" si="12"/>
        <v>4</v>
      </c>
      <c r="P197" s="305"/>
    </row>
    <row r="198" spans="3:16">
      <c r="C198" s="14"/>
      <c r="N198" s="950">
        <f t="shared" si="11"/>
        <v>1900</v>
      </c>
      <c r="O198" s="950" t="str">
        <f t="shared" si="12"/>
        <v>4</v>
      </c>
      <c r="P198" s="305"/>
    </row>
    <row r="199" spans="3:16">
      <c r="C199" s="14"/>
      <c r="N199" s="950">
        <f t="shared" si="11"/>
        <v>1900</v>
      </c>
      <c r="O199" s="950" t="str">
        <f t="shared" si="12"/>
        <v>4</v>
      </c>
      <c r="P199" s="305"/>
    </row>
    <row r="200" spans="3:16">
      <c r="C200" s="14"/>
      <c r="N200" s="950">
        <f t="shared" si="11"/>
        <v>1900</v>
      </c>
      <c r="O200" s="950" t="str">
        <f t="shared" si="12"/>
        <v>4</v>
      </c>
      <c r="P200" s="305"/>
    </row>
    <row r="201" spans="3:16">
      <c r="C201" s="14"/>
      <c r="N201" s="950">
        <f t="shared" ref="N201:N251" si="13">YEAR(A201)</f>
        <v>1900</v>
      </c>
      <c r="O201" s="950" t="str">
        <f t="shared" ref="O201:O251" si="14">IF(MONTH(A201)=3,"1",IF(MONTH(A201)=6,"2",IF(MONTH(A201)=9,"3","4")))</f>
        <v>4</v>
      </c>
      <c r="P201" s="305"/>
    </row>
    <row r="202" spans="3:16">
      <c r="C202" s="14"/>
      <c r="N202" s="950">
        <f t="shared" si="13"/>
        <v>1900</v>
      </c>
      <c r="O202" s="950" t="str">
        <f t="shared" si="14"/>
        <v>4</v>
      </c>
      <c r="P202" s="305"/>
    </row>
    <row r="203" spans="3:16">
      <c r="C203" s="14"/>
      <c r="N203" s="950">
        <f t="shared" si="13"/>
        <v>1900</v>
      </c>
      <c r="O203" s="950" t="str">
        <f t="shared" si="14"/>
        <v>4</v>
      </c>
      <c r="P203" s="305"/>
    </row>
    <row r="204" spans="3:16">
      <c r="C204" s="14"/>
      <c r="N204" s="950">
        <f t="shared" si="13"/>
        <v>1900</v>
      </c>
      <c r="O204" s="950" t="str">
        <f t="shared" si="14"/>
        <v>4</v>
      </c>
      <c r="P204" s="305"/>
    </row>
    <row r="205" spans="3:16">
      <c r="C205" s="14"/>
      <c r="N205" s="950">
        <f t="shared" si="13"/>
        <v>1900</v>
      </c>
      <c r="O205" s="950" t="str">
        <f t="shared" si="14"/>
        <v>4</v>
      </c>
      <c r="P205" s="305"/>
    </row>
    <row r="206" spans="3:16">
      <c r="C206" s="14"/>
      <c r="N206" s="950">
        <f t="shared" si="13"/>
        <v>1900</v>
      </c>
      <c r="O206" s="950" t="str">
        <f t="shared" si="14"/>
        <v>4</v>
      </c>
      <c r="P206" s="305"/>
    </row>
    <row r="207" spans="3:16">
      <c r="C207" s="14"/>
      <c r="N207" s="950">
        <f t="shared" si="13"/>
        <v>1900</v>
      </c>
      <c r="O207" s="950" t="str">
        <f t="shared" si="14"/>
        <v>4</v>
      </c>
      <c r="P207" s="305"/>
    </row>
    <row r="208" spans="3:16">
      <c r="C208" s="14"/>
      <c r="N208" s="950">
        <f t="shared" si="13"/>
        <v>1900</v>
      </c>
      <c r="O208" s="950" t="str">
        <f t="shared" si="14"/>
        <v>4</v>
      </c>
      <c r="P208" s="305"/>
    </row>
    <row r="209" spans="3:16">
      <c r="C209" s="14"/>
      <c r="N209" s="950">
        <f t="shared" si="13"/>
        <v>1900</v>
      </c>
      <c r="O209" s="950" t="str">
        <f t="shared" si="14"/>
        <v>4</v>
      </c>
      <c r="P209" s="305"/>
    </row>
    <row r="210" spans="3:16">
      <c r="C210" s="14"/>
      <c r="N210" s="950">
        <f t="shared" si="13"/>
        <v>1900</v>
      </c>
      <c r="O210" s="950" t="str">
        <f t="shared" si="14"/>
        <v>4</v>
      </c>
      <c r="P210" s="305"/>
    </row>
    <row r="211" spans="3:16">
      <c r="C211" s="14"/>
      <c r="N211" s="950">
        <f t="shared" si="13"/>
        <v>1900</v>
      </c>
      <c r="O211" s="950" t="str">
        <f t="shared" si="14"/>
        <v>4</v>
      </c>
      <c r="P211" s="305"/>
    </row>
    <row r="212" spans="3:16">
      <c r="C212" s="14"/>
      <c r="N212" s="950">
        <f t="shared" si="13"/>
        <v>1900</v>
      </c>
      <c r="O212" s="950" t="str">
        <f t="shared" si="14"/>
        <v>4</v>
      </c>
      <c r="P212" s="305"/>
    </row>
    <row r="213" spans="3:16">
      <c r="C213" s="14"/>
      <c r="N213" s="950">
        <f t="shared" si="13"/>
        <v>1900</v>
      </c>
      <c r="O213" s="950" t="str">
        <f t="shared" si="14"/>
        <v>4</v>
      </c>
      <c r="P213" s="305"/>
    </row>
    <row r="214" spans="3:16">
      <c r="C214" s="14"/>
      <c r="N214" s="950">
        <f t="shared" si="13"/>
        <v>1900</v>
      </c>
      <c r="O214" s="950" t="str">
        <f t="shared" si="14"/>
        <v>4</v>
      </c>
      <c r="P214" s="305"/>
    </row>
    <row r="215" spans="3:16">
      <c r="C215" s="14"/>
      <c r="N215" s="950">
        <f t="shared" si="13"/>
        <v>1900</v>
      </c>
      <c r="O215" s="950" t="str">
        <f t="shared" si="14"/>
        <v>4</v>
      </c>
      <c r="P215" s="305"/>
    </row>
    <row r="216" spans="3:16">
      <c r="C216" s="14"/>
      <c r="N216" s="950">
        <f t="shared" si="13"/>
        <v>1900</v>
      </c>
      <c r="O216" s="950" t="str">
        <f t="shared" si="14"/>
        <v>4</v>
      </c>
      <c r="P216" s="305"/>
    </row>
    <row r="217" spans="3:16">
      <c r="C217" s="14"/>
      <c r="N217" s="950">
        <f t="shared" si="13"/>
        <v>1900</v>
      </c>
      <c r="O217" s="950" t="str">
        <f t="shared" si="14"/>
        <v>4</v>
      </c>
      <c r="P217" s="305"/>
    </row>
    <row r="218" spans="3:16">
      <c r="C218" s="14"/>
      <c r="N218" s="950">
        <f t="shared" si="13"/>
        <v>1900</v>
      </c>
      <c r="O218" s="950" t="str">
        <f t="shared" si="14"/>
        <v>4</v>
      </c>
      <c r="P218" s="305"/>
    </row>
    <row r="219" spans="3:16">
      <c r="C219" s="14"/>
      <c r="N219" s="950">
        <f t="shared" si="13"/>
        <v>1900</v>
      </c>
      <c r="O219" s="950" t="str">
        <f t="shared" si="14"/>
        <v>4</v>
      </c>
      <c r="P219" s="305"/>
    </row>
    <row r="220" spans="3:16">
      <c r="C220" s="14"/>
      <c r="N220" s="950">
        <f t="shared" si="13"/>
        <v>1900</v>
      </c>
      <c r="O220" s="950" t="str">
        <f t="shared" si="14"/>
        <v>4</v>
      </c>
      <c r="P220" s="305"/>
    </row>
    <row r="221" spans="3:16">
      <c r="C221" s="14"/>
      <c r="N221" s="950">
        <f t="shared" si="13"/>
        <v>1900</v>
      </c>
      <c r="O221" s="950" t="str">
        <f t="shared" si="14"/>
        <v>4</v>
      </c>
      <c r="P221" s="305"/>
    </row>
    <row r="222" spans="3:16">
      <c r="C222" s="14"/>
      <c r="N222" s="950">
        <f t="shared" si="13"/>
        <v>1900</v>
      </c>
      <c r="O222" s="950" t="str">
        <f t="shared" si="14"/>
        <v>4</v>
      </c>
      <c r="P222" s="305"/>
    </row>
    <row r="223" spans="3:16">
      <c r="C223" s="14"/>
      <c r="N223" s="950">
        <f t="shared" si="13"/>
        <v>1900</v>
      </c>
      <c r="O223" s="950" t="str">
        <f t="shared" si="14"/>
        <v>4</v>
      </c>
      <c r="P223" s="305"/>
    </row>
    <row r="224" spans="3:16">
      <c r="C224" s="14"/>
      <c r="N224" s="950">
        <f t="shared" si="13"/>
        <v>1900</v>
      </c>
      <c r="O224" s="950" t="str">
        <f t="shared" si="14"/>
        <v>4</v>
      </c>
      <c r="P224" s="305"/>
    </row>
    <row r="225" spans="3:16">
      <c r="C225" s="14"/>
      <c r="N225" s="950">
        <f t="shared" si="13"/>
        <v>1900</v>
      </c>
      <c r="O225" s="950" t="str">
        <f t="shared" si="14"/>
        <v>4</v>
      </c>
      <c r="P225" s="305"/>
    </row>
    <row r="226" spans="3:16">
      <c r="C226" s="14"/>
      <c r="N226" s="950">
        <f t="shared" si="13"/>
        <v>1900</v>
      </c>
      <c r="O226" s="950" t="str">
        <f t="shared" si="14"/>
        <v>4</v>
      </c>
      <c r="P226" s="305"/>
    </row>
    <row r="227" spans="3:16">
      <c r="C227" s="14"/>
      <c r="N227" s="950">
        <f t="shared" si="13"/>
        <v>1900</v>
      </c>
      <c r="O227" s="950" t="str">
        <f t="shared" si="14"/>
        <v>4</v>
      </c>
      <c r="P227" s="305"/>
    </row>
    <row r="228" spans="3:16">
      <c r="C228" s="14"/>
      <c r="N228" s="950">
        <f t="shared" si="13"/>
        <v>1900</v>
      </c>
      <c r="O228" s="950" t="str">
        <f t="shared" si="14"/>
        <v>4</v>
      </c>
      <c r="P228" s="305"/>
    </row>
    <row r="229" spans="3:16">
      <c r="C229" s="14"/>
      <c r="N229" s="950">
        <f t="shared" si="13"/>
        <v>1900</v>
      </c>
      <c r="O229" s="950" t="str">
        <f t="shared" si="14"/>
        <v>4</v>
      </c>
      <c r="P229" s="305"/>
    </row>
    <row r="230" spans="3:16">
      <c r="C230" s="14"/>
      <c r="N230" s="950">
        <f t="shared" si="13"/>
        <v>1900</v>
      </c>
      <c r="O230" s="950" t="str">
        <f t="shared" si="14"/>
        <v>4</v>
      </c>
      <c r="P230" s="305"/>
    </row>
    <row r="231" spans="3:16">
      <c r="C231" s="14"/>
      <c r="N231" s="950">
        <f t="shared" si="13"/>
        <v>1900</v>
      </c>
      <c r="O231" s="950" t="str">
        <f t="shared" si="14"/>
        <v>4</v>
      </c>
      <c r="P231" s="305"/>
    </row>
    <row r="232" spans="3:16">
      <c r="C232" s="14"/>
      <c r="N232" s="950">
        <f t="shared" si="13"/>
        <v>1900</v>
      </c>
      <c r="O232" s="950" t="str">
        <f t="shared" si="14"/>
        <v>4</v>
      </c>
      <c r="P232" s="305"/>
    </row>
    <row r="233" spans="3:16">
      <c r="C233" s="14"/>
      <c r="N233" s="950">
        <f t="shared" si="13"/>
        <v>1900</v>
      </c>
      <c r="O233" s="950" t="str">
        <f t="shared" si="14"/>
        <v>4</v>
      </c>
      <c r="P233" s="305"/>
    </row>
    <row r="234" spans="3:16">
      <c r="C234" s="14"/>
      <c r="N234" s="950">
        <f t="shared" si="13"/>
        <v>1900</v>
      </c>
      <c r="O234" s="950" t="str">
        <f t="shared" si="14"/>
        <v>4</v>
      </c>
      <c r="P234" s="305"/>
    </row>
    <row r="235" spans="3:16">
      <c r="C235" s="14"/>
      <c r="N235" s="950">
        <f t="shared" si="13"/>
        <v>1900</v>
      </c>
      <c r="O235" s="950" t="str">
        <f t="shared" si="14"/>
        <v>4</v>
      </c>
      <c r="P235" s="305"/>
    </row>
    <row r="236" spans="3:16">
      <c r="C236" s="14"/>
      <c r="N236" s="950">
        <f t="shared" si="13"/>
        <v>1900</v>
      </c>
      <c r="O236" s="950" t="str">
        <f t="shared" si="14"/>
        <v>4</v>
      </c>
      <c r="P236" s="305"/>
    </row>
    <row r="237" spans="3:16">
      <c r="C237" s="14"/>
      <c r="N237" s="950">
        <f t="shared" si="13"/>
        <v>1900</v>
      </c>
      <c r="O237" s="950" t="str">
        <f t="shared" si="14"/>
        <v>4</v>
      </c>
      <c r="P237" s="305"/>
    </row>
    <row r="238" spans="3:16">
      <c r="C238" s="14"/>
      <c r="N238" s="950">
        <f t="shared" si="13"/>
        <v>1900</v>
      </c>
      <c r="O238" s="950" t="str">
        <f t="shared" si="14"/>
        <v>4</v>
      </c>
      <c r="P238" s="305"/>
    </row>
    <row r="239" spans="3:16">
      <c r="C239" s="14"/>
      <c r="N239" s="950">
        <f t="shared" si="13"/>
        <v>1900</v>
      </c>
      <c r="O239" s="950" t="str">
        <f t="shared" si="14"/>
        <v>4</v>
      </c>
      <c r="P239" s="305"/>
    </row>
    <row r="240" spans="3:16">
      <c r="C240" s="14"/>
      <c r="N240" s="950">
        <f t="shared" si="13"/>
        <v>1900</v>
      </c>
      <c r="O240" s="950" t="str">
        <f t="shared" si="14"/>
        <v>4</v>
      </c>
      <c r="P240" s="305"/>
    </row>
    <row r="241" spans="3:16">
      <c r="C241" s="14"/>
      <c r="N241" s="950">
        <f t="shared" si="13"/>
        <v>1900</v>
      </c>
      <c r="O241" s="950" t="str">
        <f t="shared" si="14"/>
        <v>4</v>
      </c>
      <c r="P241" s="305"/>
    </row>
    <row r="242" spans="3:16">
      <c r="C242" s="14"/>
      <c r="N242" s="950">
        <f t="shared" si="13"/>
        <v>1900</v>
      </c>
      <c r="O242" s="950" t="str">
        <f t="shared" si="14"/>
        <v>4</v>
      </c>
      <c r="P242" s="305"/>
    </row>
    <row r="243" spans="3:16">
      <c r="C243" s="14"/>
      <c r="N243" s="950">
        <f t="shared" si="13"/>
        <v>1900</v>
      </c>
      <c r="O243" s="950" t="str">
        <f t="shared" si="14"/>
        <v>4</v>
      </c>
      <c r="P243" s="305"/>
    </row>
    <row r="244" spans="3:16">
      <c r="C244" s="14"/>
      <c r="N244" s="950">
        <f t="shared" si="13"/>
        <v>1900</v>
      </c>
      <c r="O244" s="950" t="str">
        <f t="shared" si="14"/>
        <v>4</v>
      </c>
      <c r="P244" s="305"/>
    </row>
    <row r="245" spans="3:16">
      <c r="C245" s="14"/>
      <c r="N245" s="950">
        <f t="shared" si="13"/>
        <v>1900</v>
      </c>
      <c r="O245" s="950" t="str">
        <f t="shared" si="14"/>
        <v>4</v>
      </c>
      <c r="P245" s="305"/>
    </row>
    <row r="246" spans="3:16">
      <c r="C246" s="14"/>
      <c r="N246" s="950">
        <f t="shared" si="13"/>
        <v>1900</v>
      </c>
      <c r="O246" s="950" t="str">
        <f t="shared" si="14"/>
        <v>4</v>
      </c>
      <c r="P246" s="305"/>
    </row>
    <row r="247" spans="3:16">
      <c r="C247" s="14"/>
      <c r="N247" s="950">
        <f t="shared" si="13"/>
        <v>1900</v>
      </c>
      <c r="O247" s="950" t="str">
        <f t="shared" si="14"/>
        <v>4</v>
      </c>
      <c r="P247" s="305"/>
    </row>
    <row r="248" spans="3:16">
      <c r="C248" s="14"/>
      <c r="N248" s="950">
        <f t="shared" si="13"/>
        <v>1900</v>
      </c>
      <c r="O248" s="950" t="str">
        <f t="shared" si="14"/>
        <v>4</v>
      </c>
      <c r="P248" s="305"/>
    </row>
    <row r="249" spans="3:16">
      <c r="C249" s="14"/>
      <c r="N249" s="950">
        <f t="shared" si="13"/>
        <v>1900</v>
      </c>
      <c r="O249" s="950" t="str">
        <f t="shared" si="14"/>
        <v>4</v>
      </c>
      <c r="P249" s="305"/>
    </row>
    <row r="250" spans="3:16">
      <c r="C250" s="14"/>
      <c r="N250" s="950">
        <f t="shared" si="13"/>
        <v>1900</v>
      </c>
      <c r="O250" s="950" t="str">
        <f t="shared" si="14"/>
        <v>4</v>
      </c>
      <c r="P250" s="305"/>
    </row>
    <row r="251" spans="3:16">
      <c r="C251" s="14"/>
      <c r="N251" s="950">
        <f t="shared" si="13"/>
        <v>1900</v>
      </c>
      <c r="O251" s="950" t="str">
        <f t="shared" si="14"/>
        <v>4</v>
      </c>
      <c r="P251" s="305"/>
    </row>
    <row r="252" spans="3:16">
      <c r="C252" s="14"/>
      <c r="N252" s="952"/>
      <c r="O252" s="952"/>
    </row>
    <row r="253" spans="3:16">
      <c r="C253" s="14"/>
      <c r="N253" s="952"/>
      <c r="O253" s="952"/>
    </row>
    <row r="254" spans="3:16">
      <c r="C254" s="14"/>
      <c r="N254" s="952"/>
      <c r="O254" s="952"/>
    </row>
    <row r="255" spans="3:16">
      <c r="C255" s="14"/>
      <c r="N255" s="952"/>
      <c r="O255" s="952"/>
    </row>
    <row r="256" spans="3:16">
      <c r="C256" s="14"/>
      <c r="N256" s="952"/>
      <c r="O256" s="952"/>
    </row>
    <row r="257" spans="3:15">
      <c r="C257" s="14"/>
      <c r="N257" s="952"/>
      <c r="O257" s="952"/>
    </row>
    <row r="258" spans="3:15">
      <c r="C258" s="14"/>
      <c r="N258" s="952"/>
      <c r="O258" s="952"/>
    </row>
    <row r="259" spans="3:15">
      <c r="C259" s="14"/>
      <c r="N259" s="952"/>
      <c r="O259" s="952"/>
    </row>
    <row r="260" spans="3:15">
      <c r="C260" s="14"/>
      <c r="N260" s="952"/>
      <c r="O260" s="952"/>
    </row>
    <row r="261" spans="3:15">
      <c r="C261" s="14"/>
      <c r="N261" s="952"/>
      <c r="O261" s="952"/>
    </row>
    <row r="262" spans="3:15">
      <c r="C262" s="14"/>
      <c r="N262" s="952"/>
      <c r="O262" s="952"/>
    </row>
    <row r="263" spans="3:15">
      <c r="C263" s="14"/>
      <c r="N263" s="952"/>
      <c r="O263" s="952"/>
    </row>
    <row r="264" spans="3:15">
      <c r="C264" s="14"/>
      <c r="N264" s="952"/>
      <c r="O264" s="952"/>
    </row>
    <row r="265" spans="3:15">
      <c r="C265" s="14"/>
      <c r="N265" s="952"/>
      <c r="O265" s="952"/>
    </row>
    <row r="266" spans="3:15">
      <c r="C266" s="14"/>
      <c r="N266" s="952"/>
      <c r="O266" s="952"/>
    </row>
    <row r="267" spans="3:15">
      <c r="C267" s="14"/>
      <c r="N267" s="952"/>
      <c r="O267" s="952"/>
    </row>
    <row r="268" spans="3:15">
      <c r="C268" s="14"/>
      <c r="N268" s="952"/>
      <c r="O268" s="952"/>
    </row>
    <row r="269" spans="3:15">
      <c r="C269" s="14"/>
      <c r="N269" s="952"/>
      <c r="O269" s="952"/>
    </row>
    <row r="270" spans="3:15">
      <c r="C270" s="14"/>
      <c r="N270" s="952"/>
      <c r="O270" s="952"/>
    </row>
    <row r="271" spans="3:15">
      <c r="C271" s="14"/>
      <c r="N271" s="952"/>
      <c r="O271" s="952"/>
    </row>
    <row r="272" spans="3:15">
      <c r="C272" s="14"/>
      <c r="N272" s="952"/>
      <c r="O272" s="952"/>
    </row>
    <row r="273" spans="3:15">
      <c r="C273" s="14"/>
      <c r="N273" s="952"/>
      <c r="O273" s="952"/>
    </row>
    <row r="274" spans="3:15">
      <c r="C274" s="14"/>
      <c r="N274" s="952"/>
      <c r="O274" s="952"/>
    </row>
    <row r="275" spans="3:15">
      <c r="C275" s="14"/>
      <c r="N275" s="952"/>
      <c r="O275" s="952"/>
    </row>
    <row r="276" spans="3:15">
      <c r="C276" s="14"/>
      <c r="N276" s="952"/>
      <c r="O276" s="952"/>
    </row>
    <row r="277" spans="3:15">
      <c r="C277" s="14"/>
      <c r="N277" s="952"/>
      <c r="O277" s="952"/>
    </row>
    <row r="278" spans="3:15">
      <c r="C278" s="14"/>
      <c r="N278" s="952"/>
      <c r="O278" s="952"/>
    </row>
    <row r="279" spans="3:15">
      <c r="C279" s="14"/>
      <c r="N279" s="952"/>
      <c r="O279" s="952"/>
    </row>
    <row r="280" spans="3:15">
      <c r="C280" s="14"/>
      <c r="N280" s="952"/>
      <c r="O280" s="952"/>
    </row>
    <row r="281" spans="3:15">
      <c r="C281" s="14"/>
      <c r="N281" s="952"/>
      <c r="O281" s="952"/>
    </row>
    <row r="282" spans="3:15">
      <c r="C282" s="14"/>
      <c r="N282" s="952"/>
      <c r="O282" s="952"/>
    </row>
    <row r="283" spans="3:15">
      <c r="C283" s="14"/>
      <c r="N283" s="952"/>
      <c r="O283" s="952"/>
    </row>
    <row r="284" spans="3:15">
      <c r="C284" s="14"/>
      <c r="N284" s="952"/>
      <c r="O284" s="952"/>
    </row>
    <row r="285" spans="3:15">
      <c r="C285" s="14"/>
      <c r="N285" s="952"/>
      <c r="O285" s="952"/>
    </row>
    <row r="286" spans="3:15">
      <c r="C286" s="14"/>
      <c r="N286" s="952"/>
      <c r="O286" s="952"/>
    </row>
    <row r="287" spans="3:15">
      <c r="C287" s="14"/>
      <c r="N287" s="952"/>
      <c r="O287" s="952"/>
    </row>
    <row r="288" spans="3:15">
      <c r="C288" s="14"/>
      <c r="N288" s="952"/>
      <c r="O288" s="952"/>
    </row>
    <row r="289" spans="3:15">
      <c r="C289" s="14"/>
      <c r="N289" s="952"/>
      <c r="O289" s="952"/>
    </row>
    <row r="290" spans="3:15">
      <c r="C290" s="14"/>
      <c r="N290" s="952"/>
      <c r="O290" s="952"/>
    </row>
    <row r="291" spans="3:15">
      <c r="C291" s="14"/>
      <c r="N291" s="952"/>
      <c r="O291" s="952"/>
    </row>
    <row r="292" spans="3:15">
      <c r="C292" s="14"/>
      <c r="N292" s="952"/>
      <c r="O292" s="952"/>
    </row>
    <row r="293" spans="3:15">
      <c r="C293" s="14"/>
      <c r="N293" s="952"/>
      <c r="O293" s="952"/>
    </row>
    <row r="294" spans="3:15">
      <c r="C294" s="14"/>
      <c r="N294" s="952"/>
      <c r="O294" s="952"/>
    </row>
    <row r="295" spans="3:15">
      <c r="C295" s="14"/>
      <c r="N295" s="952"/>
      <c r="O295" s="952"/>
    </row>
    <row r="296" spans="3:15">
      <c r="C296" s="14"/>
      <c r="N296" s="952"/>
      <c r="O296" s="952"/>
    </row>
    <row r="297" spans="3:15">
      <c r="C297" s="14"/>
      <c r="N297" s="952"/>
      <c r="O297" s="952"/>
    </row>
    <row r="298" spans="3:15">
      <c r="C298" s="14"/>
      <c r="N298" s="952"/>
      <c r="O298" s="952"/>
    </row>
    <row r="299" spans="3:15">
      <c r="C299" s="14"/>
      <c r="N299" s="952"/>
      <c r="O299" s="952"/>
    </row>
    <row r="300" spans="3:15">
      <c r="C300" s="14"/>
      <c r="N300" s="952"/>
      <c r="O300" s="952"/>
    </row>
    <row r="301" spans="3:15">
      <c r="C301" s="14"/>
      <c r="N301" s="952"/>
      <c r="O301" s="952"/>
    </row>
    <row r="302" spans="3:15">
      <c r="C302" s="14"/>
      <c r="N302" s="952"/>
      <c r="O302" s="952"/>
    </row>
    <row r="303" spans="3:15">
      <c r="C303" s="14"/>
      <c r="N303" s="952"/>
      <c r="O303" s="952"/>
    </row>
    <row r="304" spans="3:15">
      <c r="C304" s="14"/>
      <c r="N304" s="952"/>
      <c r="O304" s="952"/>
    </row>
    <row r="305" spans="3:15">
      <c r="C305" s="14"/>
      <c r="N305" s="952"/>
      <c r="O305" s="952"/>
    </row>
    <row r="306" spans="3:15">
      <c r="C306" s="14"/>
      <c r="N306" s="952"/>
      <c r="O306" s="952"/>
    </row>
    <row r="307" spans="3:15">
      <c r="C307" s="14"/>
      <c r="N307" s="952"/>
      <c r="O307" s="952"/>
    </row>
    <row r="308" spans="3:15">
      <c r="C308" s="14"/>
      <c r="N308" s="952"/>
      <c r="O308" s="952"/>
    </row>
    <row r="309" spans="3:15">
      <c r="C309" s="14"/>
      <c r="N309" s="952"/>
      <c r="O309" s="952"/>
    </row>
    <row r="310" spans="3:15">
      <c r="C310" s="14"/>
      <c r="N310" s="952"/>
      <c r="O310" s="952"/>
    </row>
    <row r="311" spans="3:15">
      <c r="C311" s="14"/>
      <c r="N311" s="952"/>
      <c r="O311" s="952"/>
    </row>
    <row r="312" spans="3:15">
      <c r="C312" s="14"/>
      <c r="N312" s="952"/>
      <c r="O312" s="952"/>
    </row>
    <row r="313" spans="3:15">
      <c r="C313" s="14"/>
      <c r="N313" s="952"/>
      <c r="O313" s="952"/>
    </row>
    <row r="314" spans="3:15">
      <c r="C314" s="14"/>
      <c r="N314" s="952"/>
      <c r="O314" s="952"/>
    </row>
    <row r="315" spans="3:15">
      <c r="C315" s="14"/>
      <c r="N315" s="952"/>
      <c r="O315" s="952"/>
    </row>
    <row r="316" spans="3:15">
      <c r="C316" s="14"/>
      <c r="N316" s="952"/>
      <c r="O316" s="952"/>
    </row>
    <row r="317" spans="3:15">
      <c r="C317" s="14"/>
      <c r="N317" s="952"/>
      <c r="O317" s="952"/>
    </row>
    <row r="318" spans="3:15">
      <c r="C318" s="14"/>
      <c r="N318" s="952"/>
      <c r="O318" s="952"/>
    </row>
    <row r="319" spans="3:15">
      <c r="C319" s="14"/>
      <c r="N319" s="952"/>
      <c r="O319" s="952"/>
    </row>
    <row r="320" spans="3:15">
      <c r="C320" s="14"/>
      <c r="N320" s="952"/>
      <c r="O320" s="952"/>
    </row>
    <row r="321" spans="3:15">
      <c r="C321" s="14"/>
      <c r="N321" s="952"/>
      <c r="O321" s="952"/>
    </row>
    <row r="322" spans="3:15">
      <c r="C322" s="14"/>
      <c r="N322" s="952"/>
      <c r="O322" s="952"/>
    </row>
    <row r="323" spans="3:15">
      <c r="C323" s="14"/>
      <c r="N323" s="952"/>
      <c r="O323" s="952"/>
    </row>
    <row r="324" spans="3:15">
      <c r="C324" s="14"/>
      <c r="N324" s="952"/>
      <c r="O324" s="952"/>
    </row>
    <row r="325" spans="3:15">
      <c r="C325" s="14"/>
      <c r="N325" s="952"/>
      <c r="O325" s="952"/>
    </row>
    <row r="326" spans="3:15">
      <c r="C326" s="14"/>
      <c r="N326" s="952"/>
      <c r="O326" s="952"/>
    </row>
    <row r="327" spans="3:15">
      <c r="C327" s="14"/>
      <c r="N327" s="952"/>
      <c r="O327" s="952"/>
    </row>
    <row r="328" spans="3:15">
      <c r="C328" s="14"/>
      <c r="N328" s="952"/>
      <c r="O328" s="952"/>
    </row>
    <row r="329" spans="3:15">
      <c r="C329" s="14"/>
      <c r="N329" s="952"/>
      <c r="O329" s="952"/>
    </row>
    <row r="330" spans="3:15">
      <c r="C330" s="14"/>
      <c r="N330" s="952"/>
      <c r="O330" s="952"/>
    </row>
    <row r="331" spans="3:15">
      <c r="C331" s="14"/>
      <c r="N331" s="952"/>
      <c r="O331" s="952"/>
    </row>
    <row r="332" spans="3:15">
      <c r="C332" s="14"/>
      <c r="N332" s="952"/>
      <c r="O332" s="952"/>
    </row>
    <row r="333" spans="3:15">
      <c r="C333" s="14"/>
      <c r="N333" s="952"/>
      <c r="O333" s="952"/>
    </row>
    <row r="334" spans="3:15">
      <c r="C334" s="14"/>
      <c r="N334" s="952"/>
      <c r="O334" s="952"/>
    </row>
    <row r="335" spans="3:15">
      <c r="C335" s="14"/>
      <c r="N335" s="952"/>
      <c r="O335" s="952"/>
    </row>
    <row r="336" spans="3:15">
      <c r="C336" s="14"/>
      <c r="N336" s="952"/>
      <c r="O336" s="952"/>
    </row>
    <row r="337" spans="3:15">
      <c r="C337" s="14"/>
      <c r="N337" s="952"/>
      <c r="O337" s="952"/>
    </row>
    <row r="338" spans="3:15">
      <c r="C338" s="14"/>
      <c r="N338" s="952"/>
      <c r="O338" s="952"/>
    </row>
    <row r="339" spans="3:15">
      <c r="C339" s="14"/>
      <c r="N339" s="952"/>
      <c r="O339" s="952"/>
    </row>
    <row r="340" spans="3:15">
      <c r="C340" s="14"/>
      <c r="N340" s="952"/>
      <c r="O340" s="952"/>
    </row>
    <row r="341" spans="3:15">
      <c r="C341" s="14"/>
      <c r="N341" s="952"/>
      <c r="O341" s="952"/>
    </row>
    <row r="342" spans="3:15">
      <c r="C342" s="14"/>
      <c r="N342" s="952"/>
      <c r="O342" s="952"/>
    </row>
    <row r="343" spans="3:15">
      <c r="C343" s="14"/>
      <c r="N343" s="952"/>
      <c r="O343" s="952"/>
    </row>
    <row r="344" spans="3:15">
      <c r="C344" s="14"/>
      <c r="N344" s="952"/>
      <c r="O344" s="952"/>
    </row>
    <row r="345" spans="3:15">
      <c r="C345" s="14"/>
      <c r="N345" s="952"/>
      <c r="O345" s="952"/>
    </row>
    <row r="346" spans="3:15">
      <c r="C346" s="14"/>
      <c r="N346" s="952"/>
      <c r="O346" s="952"/>
    </row>
    <row r="347" spans="3:15">
      <c r="C347" s="14"/>
      <c r="N347" s="952"/>
      <c r="O347" s="952"/>
    </row>
    <row r="348" spans="3:15">
      <c r="C348" s="14"/>
      <c r="N348" s="952"/>
      <c r="O348" s="952"/>
    </row>
    <row r="349" spans="3:15">
      <c r="C349" s="14"/>
      <c r="N349" s="952"/>
      <c r="O349" s="952"/>
    </row>
    <row r="350" spans="3:15">
      <c r="C350" s="14"/>
      <c r="N350" s="952"/>
      <c r="O350" s="952"/>
    </row>
    <row r="351" spans="3:15">
      <c r="C351" s="14"/>
      <c r="N351" s="952"/>
      <c r="O351" s="952"/>
    </row>
    <row r="352" spans="3:15">
      <c r="C352" s="14"/>
      <c r="N352" s="952"/>
      <c r="O352" s="952"/>
    </row>
    <row r="353" spans="3:15">
      <c r="C353" s="14"/>
      <c r="N353" s="952"/>
      <c r="O353" s="952"/>
    </row>
    <row r="354" spans="3:15">
      <c r="C354" s="14"/>
      <c r="N354" s="952"/>
      <c r="O354" s="952"/>
    </row>
    <row r="355" spans="3:15">
      <c r="C355" s="14"/>
      <c r="N355" s="952"/>
      <c r="O355" s="952"/>
    </row>
    <row r="356" spans="3:15">
      <c r="C356" s="14"/>
      <c r="N356" s="952"/>
      <c r="O356" s="952"/>
    </row>
    <row r="357" spans="3:15">
      <c r="C357" s="14"/>
      <c r="N357" s="952"/>
      <c r="O357" s="952"/>
    </row>
    <row r="358" spans="3:15">
      <c r="C358" s="14"/>
      <c r="N358" s="952"/>
      <c r="O358" s="952"/>
    </row>
    <row r="359" spans="3:15">
      <c r="C359" s="14"/>
      <c r="N359" s="952"/>
      <c r="O359" s="952"/>
    </row>
    <row r="360" spans="3:15">
      <c r="C360" s="14"/>
      <c r="N360" s="952"/>
      <c r="O360" s="952"/>
    </row>
    <row r="361" spans="3:15">
      <c r="C361" s="14"/>
      <c r="N361" s="952"/>
      <c r="O361" s="952"/>
    </row>
    <row r="362" spans="3:15">
      <c r="C362" s="14"/>
      <c r="N362" s="952"/>
      <c r="O362" s="952"/>
    </row>
    <row r="363" spans="3:15">
      <c r="C363" s="14"/>
      <c r="N363" s="952"/>
      <c r="O363" s="952"/>
    </row>
    <row r="364" spans="3:15">
      <c r="C364" s="14"/>
    </row>
    <row r="365" spans="3:15">
      <c r="C365" s="14"/>
    </row>
  </sheetData>
  <mergeCells count="13">
    <mergeCell ref="Q8:S8"/>
    <mergeCell ref="Q33:S33"/>
    <mergeCell ref="R31:S31"/>
    <mergeCell ref="R32:S32"/>
    <mergeCell ref="L7:M7"/>
    <mergeCell ref="Q7:S7"/>
    <mergeCell ref="A5:M5"/>
    <mergeCell ref="A6:M6"/>
    <mergeCell ref="B7:C7"/>
    <mergeCell ref="D7:E7"/>
    <mergeCell ref="F7:G7"/>
    <mergeCell ref="H7:I7"/>
    <mergeCell ref="J7:K7"/>
  </mergeCells>
  <dataValidations count="2">
    <dataValidation type="list" allowBlank="1" showInputMessage="1" showErrorMessage="1" promptTitle="Select a Period:" prompt="Select Financial or Calendar years." sqref="R32:S32" xr:uid="{00000000-0002-0000-2600-000000000000}">
      <formula1>A1:A2</formula1>
    </dataValidation>
    <dataValidation type="list" allowBlank="1" showInputMessage="1" showErrorMessage="1" promptTitle="Select a Commodity:" prompt="Select a Commodity for graphical display." sqref="R31:S31" xr:uid="{00000000-0002-0000-2600-000001000000}">
      <formula1>$AC$1:$AC$6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42"/>
  <sheetViews>
    <sheetView showGridLines="0" workbookViewId="0"/>
  </sheetViews>
  <sheetFormatPr defaultColWidth="9.140625" defaultRowHeight="12.75"/>
  <cols>
    <col min="1" max="1" width="28.5703125" style="1007" bestFit="1" customWidth="1"/>
    <col min="2" max="2" width="7.140625" style="1007" bestFit="1" customWidth="1"/>
    <col min="3" max="6" width="14.7109375" style="1007" customWidth="1"/>
    <col min="7" max="8" width="12.7109375" style="1007" customWidth="1"/>
    <col min="9" max="9" width="9.140625" style="1007" customWidth="1"/>
    <col min="10" max="10" width="24.140625" style="1007" bestFit="1" customWidth="1"/>
    <col min="11" max="11" width="9.140625" style="1007"/>
    <col min="12" max="12" width="9.140625" style="1007" customWidth="1"/>
    <col min="13" max="17" width="9.140625" style="1007"/>
    <col min="18" max="18" width="7" style="1007" bestFit="1" customWidth="1"/>
    <col min="19" max="22" width="9.140625" style="1007"/>
    <col min="23" max="23" width="9.140625" style="1007" customWidth="1"/>
    <col min="24" max="16384" width="9.140625" style="1007"/>
  </cols>
  <sheetData>
    <row r="1" spans="1:27" ht="15">
      <c r="H1" s="1036"/>
      <c r="I1" s="1032"/>
      <c r="J1" s="1035"/>
      <c r="K1" s="1035"/>
      <c r="L1" s="452"/>
      <c r="M1" s="381"/>
      <c r="N1" s="381"/>
      <c r="O1" s="381"/>
      <c r="P1" s="381"/>
      <c r="Q1" s="381"/>
      <c r="R1" s="381"/>
      <c r="S1" s="1034"/>
      <c r="T1" s="1033" t="str">
        <f>RIGHT(K1,3)</f>
        <v/>
      </c>
      <c r="U1" s="1033" t="str">
        <f>LEFT(T1,1)</f>
        <v/>
      </c>
      <c r="V1" s="1033"/>
      <c r="W1" s="381"/>
    </row>
    <row r="2" spans="1:27" ht="15">
      <c r="I2" s="1032"/>
      <c r="J2" s="1035"/>
      <c r="K2" s="1035"/>
      <c r="L2" s="452"/>
      <c r="M2" s="381"/>
      <c r="N2" s="381"/>
      <c r="O2" s="381"/>
      <c r="P2" s="381"/>
      <c r="Q2" s="381"/>
      <c r="R2" s="381"/>
      <c r="S2" s="1034"/>
      <c r="T2" s="1033" t="str">
        <f>RIGHT(K2,3)</f>
        <v/>
      </c>
      <c r="U2" s="1033" t="str">
        <f>LEFT(T2,1)</f>
        <v/>
      </c>
      <c r="V2" s="1033"/>
      <c r="W2" s="381"/>
    </row>
    <row r="3" spans="1:27">
      <c r="I3" s="1032"/>
      <c r="J3" s="1032"/>
      <c r="K3" s="1032"/>
      <c r="L3" s="1032"/>
      <c r="S3" s="1029"/>
      <c r="T3" s="1031" t="str">
        <f>CONCATENATE("Comparison ", K1, " and ",K2)</f>
        <v xml:space="preserve">Comparison  and </v>
      </c>
      <c r="U3" s="1029"/>
      <c r="V3" s="1029"/>
    </row>
    <row r="4" spans="1:27" ht="22.5" customHeight="1">
      <c r="S4" s="1029"/>
      <c r="T4" s="1029"/>
      <c r="U4" s="1029"/>
      <c r="V4" s="1029"/>
    </row>
    <row r="5" spans="1:27" ht="22.5" customHeight="1">
      <c r="S5" s="1029"/>
      <c r="T5" s="1029"/>
      <c r="U5" s="1029"/>
      <c r="V5" s="1029"/>
    </row>
    <row r="6" spans="1:27" ht="14.25" customHeight="1">
      <c r="A6" s="1920" t="str">
        <f>$C$8 &amp; " versus " &amp; $D$8 &amp; " Exchange Rate and Commodity Prices"</f>
        <v>2022 versus 2023 Exchange Rate and Commodity Prices</v>
      </c>
      <c r="B6" s="1921"/>
      <c r="C6" s="1921"/>
      <c r="D6" s="1921"/>
      <c r="E6" s="1921"/>
      <c r="F6" s="1921"/>
      <c r="G6" s="1921"/>
      <c r="H6" s="1921"/>
      <c r="I6" s="381"/>
      <c r="J6" s="381"/>
      <c r="K6" s="381"/>
      <c r="L6" s="381"/>
      <c r="S6" s="1029"/>
      <c r="T6" s="1029"/>
      <c r="U6" s="1029"/>
      <c r="V6" s="1029"/>
    </row>
    <row r="7" spans="1:27" ht="14.25" customHeight="1">
      <c r="A7" s="1030"/>
      <c r="B7" s="381"/>
      <c r="C7" s="381"/>
      <c r="D7" s="381"/>
      <c r="E7" s="381"/>
      <c r="F7" s="381"/>
      <c r="G7" s="381"/>
      <c r="H7" s="381"/>
      <c r="I7" s="381"/>
      <c r="J7" s="381"/>
      <c r="K7" s="381"/>
      <c r="L7" s="381"/>
      <c r="S7" s="1029"/>
      <c r="T7" s="1029"/>
      <c r="U7" s="1029"/>
      <c r="V7" s="1029"/>
    </row>
    <row r="8" spans="1:27" ht="14.25" customHeight="1">
      <c r="A8" s="381"/>
      <c r="B8" s="381"/>
      <c r="C8" s="1028">
        <v>2022</v>
      </c>
      <c r="D8" s="1028">
        <f>C8+1</f>
        <v>2023</v>
      </c>
      <c r="E8" s="1025" t="s">
        <v>455</v>
      </c>
      <c r="F8" s="381"/>
      <c r="G8" s="381"/>
      <c r="H8" s="381"/>
      <c r="I8" s="381"/>
      <c r="J8" s="381"/>
      <c r="K8" s="381"/>
      <c r="L8" s="381"/>
    </row>
    <row r="9" spans="1:27" ht="14.25" customHeight="1">
      <c r="A9" s="4" t="s">
        <v>584</v>
      </c>
      <c r="B9" s="4"/>
      <c r="C9" s="1688">
        <f>AVERAGEIFS('Commodity Prices'!$D:$D, 'Commodity Prices'!$A:$A, C$8)</f>
        <v>0.69495528858377831</v>
      </c>
      <c r="D9" s="1688">
        <f>AVERAGEIFS('Commodity Prices'!$D:$D, 'Commodity Prices'!$A:$A, D$8)</f>
        <v>0.66482709229479198</v>
      </c>
      <c r="E9" s="1689">
        <f>D9/C9-1</f>
        <v>-4.335271172679811E-2</v>
      </c>
      <c r="F9" s="381"/>
      <c r="G9" s="381"/>
      <c r="H9" s="381"/>
      <c r="I9" s="381"/>
      <c r="J9" s="381"/>
      <c r="K9" s="381"/>
      <c r="L9" s="381"/>
      <c r="Q9" s="1014"/>
      <c r="R9" s="1013"/>
      <c r="S9" s="1013"/>
      <c r="AA9" s="1010" t="str">
        <f>CONCATENATE("Average price change of selected commodities "&amp;CHAR(10)&amp;'Commodity Prices Comparison'!$C$11&amp;" to "&amp;'Commodity Prices Comparison'!$E$11)</f>
        <v>Average price change of selected commodities 
2022 to 2023</v>
      </c>
    </row>
    <row r="10" spans="1:27" ht="14.25" customHeight="1" thickBot="1">
      <c r="A10" s="4"/>
      <c r="B10" s="4"/>
      <c r="C10" s="1688"/>
      <c r="D10" s="1688"/>
      <c r="E10" s="1689"/>
      <c r="F10" s="381"/>
      <c r="G10" s="381"/>
      <c r="H10" s="381"/>
      <c r="I10" s="381"/>
      <c r="J10" s="381"/>
      <c r="K10" s="381"/>
      <c r="L10" s="381"/>
      <c r="Q10" s="1014"/>
      <c r="R10" s="1013"/>
      <c r="S10" s="1013"/>
      <c r="AA10" s="1010"/>
    </row>
    <row r="11" spans="1:27" ht="14.25" customHeight="1">
      <c r="A11" s="1027"/>
      <c r="B11" s="1026"/>
      <c r="C11" s="1925">
        <f>$C$8</f>
        <v>2022</v>
      </c>
      <c r="D11" s="1926"/>
      <c r="E11" s="1925">
        <f>$D$8</f>
        <v>2023</v>
      </c>
      <c r="F11" s="1926"/>
      <c r="G11" s="1923" t="s">
        <v>454</v>
      </c>
      <c r="H11" s="1924"/>
      <c r="I11" s="1025"/>
      <c r="J11" s="1922"/>
      <c r="K11" s="1919"/>
      <c r="L11" s="1919"/>
      <c r="P11" s="1024"/>
      <c r="Q11" s="1024"/>
      <c r="R11" s="1013"/>
      <c r="S11" s="1013"/>
    </row>
    <row r="12" spans="1:27" ht="14.25" customHeight="1">
      <c r="A12" s="1329"/>
      <c r="B12" s="1330" t="s">
        <v>453</v>
      </c>
      <c r="C12" s="1529" t="s">
        <v>452</v>
      </c>
      <c r="D12" s="1530" t="s">
        <v>451</v>
      </c>
      <c r="E12" s="1529" t="s">
        <v>452</v>
      </c>
      <c r="F12" s="1530" t="s">
        <v>451</v>
      </c>
      <c r="G12" s="1531" t="s">
        <v>452</v>
      </c>
      <c r="H12" s="1532" t="s">
        <v>451</v>
      </c>
      <c r="I12" s="381"/>
      <c r="J12" s="1922"/>
      <c r="K12" s="1021"/>
      <c r="L12" s="1021"/>
      <c r="Q12" s="1014"/>
      <c r="R12" s="1013"/>
      <c r="S12" s="1013"/>
    </row>
    <row r="13" spans="1:27" ht="14.25" customHeight="1">
      <c r="A13" s="1023" t="s">
        <v>0</v>
      </c>
      <c r="B13" s="1022" t="s">
        <v>67</v>
      </c>
      <c r="C13" s="1714">
        <f>AVERAGEIFS('Commodity Prices'!$E:$E, 'Commodity Prices'!$A:$A, C$11)</f>
        <v>364.15583069674693</v>
      </c>
      <c r="D13" s="1715">
        <f>AVERAGEIFS('Commodity Prices'!$F:$F, 'Commodity Prices'!$A:$A, C$11)</f>
        <v>522.92946461415875</v>
      </c>
      <c r="E13" s="1716">
        <f>AVERAGEIFS('Commodity Prices'!$E:$E, 'Commodity Prices'!$A:$A, E$11)</f>
        <v>341.23877737903467</v>
      </c>
      <c r="F13" s="1715">
        <f>AVERAGEIFS('Commodity Prices'!$F:$F, 'Commodity Prices'!$A:$A, E$11)</f>
        <v>513.63069788225937</v>
      </c>
      <c r="G13" s="1316">
        <f>IFERROR(E13/C13-1, "n/a")</f>
        <v>-6.2931996101406873E-2</v>
      </c>
      <c r="H13" s="1628">
        <f t="shared" ref="H13:H23" si="0">IFERROR(F13/D13-1, "n/a")</f>
        <v>-1.7782066915583816E-2</v>
      </c>
      <c r="I13" s="53"/>
      <c r="J13" s="1016"/>
      <c r="K13" s="1015"/>
      <c r="L13" s="1015"/>
      <c r="M13" s="1011"/>
      <c r="Q13" s="1019"/>
      <c r="R13" s="1013"/>
      <c r="S13" s="1013"/>
    </row>
    <row r="14" spans="1:27" ht="14.25" customHeight="1">
      <c r="A14" s="1023" t="s">
        <v>517</v>
      </c>
      <c r="B14" s="1022" t="s">
        <v>450</v>
      </c>
      <c r="C14" s="1717">
        <f>AVERAGEIFS('Commodity Prices'!$AK:$AK, 'Commodity Prices'!$A:$A, C$11)</f>
        <v>99.82416666666667</v>
      </c>
      <c r="D14" s="1718">
        <f>AVERAGEIFS('Commodity Prices'!$AL:$AL, 'Commodity Prices'!$A:$A, C$11)</f>
        <v>143.55401133179168</v>
      </c>
      <c r="E14" s="1719">
        <f>AVERAGEIFS('Commodity Prices'!$AK:$AK, 'Commodity Prices'!$A:$A, E$11)</f>
        <v>82.61666666666666</v>
      </c>
      <c r="F14" s="1718">
        <f>AVERAGEIFS('Commodity Prices'!$AL:$AL, 'Commodity Prices'!$A:$A, E$11)</f>
        <v>124.4807399623531</v>
      </c>
      <c r="G14" s="1018">
        <f t="shared" ref="G14:G23" si="1">IFERROR(E14/C14-1, "n/a")</f>
        <v>-0.17237809815592431</v>
      </c>
      <c r="H14" s="1017">
        <f t="shared" si="0"/>
        <v>-0.13286477467602875</v>
      </c>
      <c r="I14" s="381"/>
      <c r="J14" s="31"/>
      <c r="K14" s="1020"/>
      <c r="L14" s="1020"/>
      <c r="Q14" s="1014"/>
      <c r="R14" s="1013"/>
      <c r="S14" s="1013"/>
    </row>
    <row r="15" spans="1:27" ht="14.25" customHeight="1">
      <c r="A15" s="1023" t="s">
        <v>243</v>
      </c>
      <c r="B15" s="1022" t="s">
        <v>67</v>
      </c>
      <c r="C15" s="1714">
        <f>AVERAGEIFS('Commodity Prices'!$O:$O, 'Commodity Prices'!$A:$A, C$11)</f>
        <v>8813.8875000000025</v>
      </c>
      <c r="D15" s="1715">
        <f>AVERAGEIFS('Commodity Prices'!$P:$P, 'Commodity Prices'!$A:$A, C$11)</f>
        <v>12651.219906704488</v>
      </c>
      <c r="E15" s="1716">
        <f>AVERAGEIFS('Commodity Prices'!$O:$O, 'Commodity Prices'!$A:$A, E$11)</f>
        <v>8482.7666666666664</v>
      </c>
      <c r="F15" s="1715">
        <f>AVERAGEIFS('Commodity Prices'!$P:$P, 'Commodity Prices'!$A:$A, E$11)</f>
        <v>12757.339827821988</v>
      </c>
      <c r="G15" s="1316">
        <f t="shared" si="1"/>
        <v>-3.7568080297523232E-2</v>
      </c>
      <c r="H15" s="1628">
        <f t="shared" si="0"/>
        <v>8.3881176598046281E-3</v>
      </c>
      <c r="I15" s="381"/>
    </row>
    <row r="16" spans="1:27" ht="14.25" customHeight="1">
      <c r="A16" s="1023" t="s">
        <v>500</v>
      </c>
      <c r="B16" s="1022" t="s">
        <v>585</v>
      </c>
      <c r="C16" s="1825" t="s">
        <v>165</v>
      </c>
      <c r="D16" s="1826">
        <f>AVERAGE('Petroleum - Dom. Gas - Prices'!C46:C49)</f>
        <v>5.4622129831435808</v>
      </c>
      <c r="E16" s="1827" t="s">
        <v>165</v>
      </c>
      <c r="F16" s="1718">
        <f>AVERAGE('Petroleum - Dom. Gas - Prices'!C50:C53)</f>
        <v>7.0165124183216587</v>
      </c>
      <c r="G16" s="1018" t="str">
        <f t="shared" si="1"/>
        <v>n/a</v>
      </c>
      <c r="H16" s="1017">
        <f t="shared" si="0"/>
        <v>0.28455489377193</v>
      </c>
      <c r="I16" s="381"/>
    </row>
    <row r="17" spans="1:19" ht="14.25" customHeight="1">
      <c r="A17" s="1023" t="s">
        <v>1</v>
      </c>
      <c r="B17" s="1022" t="s">
        <v>71</v>
      </c>
      <c r="C17" s="1714">
        <f>AVERAGEIFS('Commodity Prices'!$I:$I, 'Commodity Prices'!$A:$A, C$11)</f>
        <v>1800.7952499999999</v>
      </c>
      <c r="D17" s="1715">
        <f>AVERAGEIFS('Commodity Prices'!$J:$J, 'Commodity Prices'!$A:$A, C$11)</f>
        <v>2594.8344265415394</v>
      </c>
      <c r="E17" s="1716">
        <f>AVERAGEIFS('Commodity Prices'!$I:$I, 'Commodity Prices'!$A:$A, E$11)</f>
        <v>1942.7394999999999</v>
      </c>
      <c r="F17" s="1715">
        <f>AVERAGEIFS('Commodity Prices'!$J:$J, 'Commodity Prices'!$A:$A, E$11)</f>
        <v>2926.8317733365329</v>
      </c>
      <c r="G17" s="1316">
        <f t="shared" si="1"/>
        <v>7.8823092186632637E-2</v>
      </c>
      <c r="H17" s="1628">
        <f t="shared" si="0"/>
        <v>0.12794548407371331</v>
      </c>
      <c r="I17" s="381"/>
      <c r="J17" s="1016"/>
      <c r="K17" s="1015"/>
      <c r="L17" s="1015"/>
      <c r="Q17" s="1014"/>
      <c r="R17" s="1013"/>
      <c r="S17" s="1013"/>
    </row>
    <row r="18" spans="1:19" ht="14.25" customHeight="1">
      <c r="A18" s="1023" t="s">
        <v>586</v>
      </c>
      <c r="B18" s="1022" t="s">
        <v>67</v>
      </c>
      <c r="C18" s="1717">
        <f>AVERAGEIFS('Commodity Prices'!$K:$K, 'Commodity Prices'!$A:$A, C$11)</f>
        <v>120.40749999999998</v>
      </c>
      <c r="D18" s="1718">
        <f>AVERAGEIFS('Commodity Prices'!$L:$L, 'Commodity Prices'!$A:$A, C$11)</f>
        <v>172.36656467958414</v>
      </c>
      <c r="E18" s="1719">
        <f>AVERAGEIFS('Commodity Prices'!$K:$K, 'Commodity Prices'!$A:$A, E$11)</f>
        <v>119.73416666666667</v>
      </c>
      <c r="F18" s="1718">
        <f>AVERAGEIFS('Commodity Prices'!$L:$L, 'Commodity Prices'!$A:$A, E$11)</f>
        <v>180.18389635046742</v>
      </c>
      <c r="G18" s="1018">
        <f t="shared" si="1"/>
        <v>-5.5921211995375586E-3</v>
      </c>
      <c r="H18" s="1017">
        <f t="shared" si="0"/>
        <v>4.5352946990705911E-2</v>
      </c>
      <c r="I18" s="381"/>
      <c r="J18" s="1016"/>
      <c r="K18" s="1015"/>
      <c r="L18" s="1015"/>
      <c r="Q18" s="1014"/>
      <c r="R18" s="1013"/>
      <c r="S18" s="1013"/>
    </row>
    <row r="19" spans="1:19" ht="14.25" customHeight="1">
      <c r="A19" s="1023" t="s">
        <v>626</v>
      </c>
      <c r="B19" s="1022" t="s">
        <v>587</v>
      </c>
      <c r="C19" s="1714">
        <f>AVERAGEIFS('Commodity Prices'!$AO:$AO, 'Commodity Prices'!$A:$A, C$11)</f>
        <v>14.786892727440922</v>
      </c>
      <c r="D19" s="1715">
        <f>AVERAGEIFS('Commodity Prices'!$AP:$AP, 'Commodity Prices'!$A:$A, C$11)</f>
        <v>21.416163746219258</v>
      </c>
      <c r="E19" s="1716">
        <f>AVERAGEIFS('Commodity Prices'!$AO:$AO, 'Commodity Prices'!$A:$A, E$11)</f>
        <v>11.832748894402663</v>
      </c>
      <c r="F19" s="1715">
        <f>AVERAGEIFS('Commodity Prices'!$AP:$AP, 'Commodity Prices'!$A:$A, E$11)</f>
        <v>17.761583230844987</v>
      </c>
      <c r="G19" s="1316">
        <f t="shared" si="1"/>
        <v>-0.19978124461240443</v>
      </c>
      <c r="H19" s="1628">
        <f t="shared" si="0"/>
        <v>-0.1706458989892361</v>
      </c>
      <c r="I19" s="381"/>
      <c r="J19" s="1016"/>
      <c r="K19" s="1015"/>
      <c r="L19" s="1015"/>
      <c r="Q19" s="1014"/>
      <c r="R19" s="1013"/>
      <c r="S19" s="1013"/>
    </row>
    <row r="20" spans="1:19" ht="14.25" customHeight="1">
      <c r="A20" s="1023" t="s">
        <v>3</v>
      </c>
      <c r="B20" s="1022" t="s">
        <v>67</v>
      </c>
      <c r="C20" s="1717">
        <f>AVERAGEIFS('Commodity Prices'!$M:$M, 'Commodity Prices'!$A:$A, C$11)</f>
        <v>25655.938333333335</v>
      </c>
      <c r="D20" s="1718">
        <f>AVERAGEIFS('Commodity Prices'!$N:$N, 'Commodity Prices'!$A:$A, C$11)</f>
        <v>36828.121415381298</v>
      </c>
      <c r="E20" s="1719">
        <f>AVERAGEIFS('Commodity Prices'!$M:$M, 'Commodity Prices'!$A:$A, E$11)</f>
        <v>21495.22416666667</v>
      </c>
      <c r="F20" s="1718">
        <f>AVERAGEIFS('Commodity Prices'!$N:$N, 'Commodity Prices'!$A:$A, E$11)</f>
        <v>32250.206308655805</v>
      </c>
      <c r="G20" s="1018">
        <f t="shared" si="1"/>
        <v>-0.16217353318396777</v>
      </c>
      <c r="H20" s="1017">
        <f t="shared" si="0"/>
        <v>-0.12430487710984695</v>
      </c>
      <c r="I20" s="381"/>
      <c r="J20" s="1016"/>
      <c r="K20" s="1015"/>
      <c r="L20" s="1015"/>
      <c r="Q20" s="1014"/>
      <c r="R20" s="1013"/>
      <c r="S20" s="1013"/>
    </row>
    <row r="21" spans="1:19" ht="14.25" customHeight="1">
      <c r="A21" s="1023" t="s">
        <v>345</v>
      </c>
      <c r="B21" s="1022" t="s">
        <v>67</v>
      </c>
      <c r="C21" s="1714">
        <f>AVERAGEIFS('Commodity Prices'!$AA:$AA, 'Commodity Prices'!$A:$A, C$11)</f>
        <v>4364.1641666666665</v>
      </c>
      <c r="D21" s="1715">
        <f>AVERAGEIFS('Commodity Prices'!$AB:$AB, 'Commodity Prices'!$A:$A, C$11)</f>
        <v>6361.5047295008289</v>
      </c>
      <c r="E21" s="1716">
        <f>AVERAGEIFS('Commodity Prices'!$AA:$AA, 'Commodity Prices'!$A:$A, E$11)</f>
        <v>3729.6916666666671</v>
      </c>
      <c r="F21" s="1715">
        <f>AVERAGEIFS('Commodity Prices'!$AB:$AB, 'Commodity Prices'!$A:$A, E$11)</f>
        <v>5568.7256793504785</v>
      </c>
      <c r="G21" s="1316">
        <f t="shared" si="1"/>
        <v>-0.14538236321311604</v>
      </c>
      <c r="H21" s="1628">
        <f t="shared" si="0"/>
        <v>-0.12462130955808592</v>
      </c>
      <c r="I21" s="53"/>
      <c r="J21" s="1016"/>
      <c r="K21" s="1015"/>
      <c r="L21" s="1015"/>
      <c r="Q21" s="1014"/>
      <c r="R21" s="1013"/>
      <c r="S21" s="1013"/>
    </row>
    <row r="22" spans="1:19" ht="14.25" customHeight="1">
      <c r="A22" s="1023" t="s">
        <v>589</v>
      </c>
      <c r="B22" s="1022" t="s">
        <v>67</v>
      </c>
      <c r="C22" s="1717">
        <f>AVERAGEIFS('Commodity Prices'!$W:$W, 'Commodity Prices'!$A:$A, C$11)</f>
        <v>3296.6346985159894</v>
      </c>
      <c r="D22" s="1718">
        <f>AVERAGEIFS('Commodity Prices'!$X:$X, 'Commodity Prices'!$A:$A, C$11)</f>
        <v>4751.2042605590004</v>
      </c>
      <c r="E22" s="1719">
        <f>AVERAGEIFS('Commodity Prices'!$W:$W, 'Commodity Prices'!$A:$A, E$11)</f>
        <v>3292.8997379867928</v>
      </c>
      <c r="F22" s="1718">
        <f>AVERAGEIFS('Commodity Prices'!$X:$X, 'Commodity Prices'!$A:$A, E$11)</f>
        <v>4954.0141440339212</v>
      </c>
      <c r="G22" s="1018">
        <f t="shared" si="1"/>
        <v>-1.1329616019869482E-3</v>
      </c>
      <c r="H22" s="1017">
        <f t="shared" si="0"/>
        <v>4.2685995455615133E-2</v>
      </c>
      <c r="I22" s="381"/>
      <c r="J22" s="1016"/>
      <c r="K22" s="1015"/>
      <c r="L22" s="1015"/>
      <c r="Q22" s="1019"/>
      <c r="R22" s="1013"/>
      <c r="S22" s="1013"/>
    </row>
    <row r="23" spans="1:19" ht="14.25" customHeight="1" thickBot="1">
      <c r="A23" s="1327" t="s">
        <v>223</v>
      </c>
      <c r="B23" s="1328" t="s">
        <v>67</v>
      </c>
      <c r="C23" s="1714">
        <f>AVERAGEIFS('Commodity Prices'!$U:$U, 'Commodity Prices'!$A:$A, C$11)</f>
        <v>1996.5986110111714</v>
      </c>
      <c r="D23" s="1715">
        <f>AVERAGEIFS('Commodity Prices'!$V:$V, 'Commodity Prices'!$A:$A, C$11)</f>
        <v>2883.1567834500033</v>
      </c>
      <c r="E23" s="1716">
        <f>AVERAGEIFS('Commodity Prices'!$U:$U, 'Commodity Prices'!$A:$A, E$11)</f>
        <v>2097.434415456672</v>
      </c>
      <c r="F23" s="1715">
        <f>AVERAGEIFS('Commodity Prices'!$V:$V, 'Commodity Prices'!$A:$A, E$11)</f>
        <v>3153.5086183160179</v>
      </c>
      <c r="G23" s="1316">
        <f t="shared" si="1"/>
        <v>5.0503793746722314E-2</v>
      </c>
      <c r="H23" s="1628">
        <f t="shared" si="0"/>
        <v>9.3769383759460201E-2</v>
      </c>
      <c r="I23" s="381"/>
      <c r="J23" s="1016"/>
      <c r="K23" s="1015"/>
      <c r="L23" s="1015"/>
      <c r="Q23" s="1014"/>
      <c r="R23" s="1013"/>
      <c r="S23" s="1013"/>
    </row>
    <row r="24" spans="1:19" ht="14.25" customHeight="1">
      <c r="A24" s="1311"/>
      <c r="B24" s="1312"/>
      <c r="C24" s="1313"/>
      <c r="D24" s="1313"/>
      <c r="E24" s="1313"/>
      <c r="F24" s="1313"/>
      <c r="G24" s="1314"/>
      <c r="H24" s="1314"/>
      <c r="I24" s="381"/>
      <c r="J24" s="1016"/>
      <c r="K24" s="1015"/>
      <c r="L24" s="1015"/>
      <c r="Q24" s="1014"/>
      <c r="R24" s="1013"/>
      <c r="S24" s="1013"/>
    </row>
    <row r="25" spans="1:19" ht="14.25" customHeight="1">
      <c r="A25" s="1016"/>
      <c r="B25" s="1310"/>
      <c r="C25" s="1315"/>
      <c r="D25" s="1315"/>
      <c r="E25" s="1315"/>
      <c r="F25" s="1315"/>
      <c r="G25" s="1316"/>
      <c r="H25" s="1316"/>
      <c r="I25" s="381"/>
      <c r="J25" s="1016"/>
      <c r="K25" s="1015"/>
      <c r="L25" s="1015"/>
      <c r="Q25" s="1014"/>
      <c r="R25" s="1013"/>
      <c r="S25" s="1013"/>
    </row>
    <row r="26" spans="1:19" ht="14.25" customHeight="1">
      <c r="A26" s="1016"/>
      <c r="B26" s="1310"/>
      <c r="C26" s="1315"/>
      <c r="D26" s="1315"/>
      <c r="E26" s="1315"/>
      <c r="F26" s="1315"/>
      <c r="G26" s="1316"/>
      <c r="H26" s="1316"/>
      <c r="I26" s="405"/>
      <c r="J26" s="1016"/>
      <c r="K26" s="1015"/>
      <c r="L26" s="1015"/>
      <c r="Q26" s="1014"/>
      <c r="R26" s="1013"/>
      <c r="S26" s="1013"/>
    </row>
    <row r="27" spans="1:19" ht="14.25" customHeight="1">
      <c r="I27" s="381"/>
    </row>
    <row r="28" spans="1:19" ht="14.25" customHeight="1">
      <c r="A28" s="1012"/>
    </row>
    <row r="29" spans="1:19" ht="14.25" customHeight="1">
      <c r="A29" s="1008"/>
    </row>
    <row r="30" spans="1:19">
      <c r="A30" s="1008"/>
      <c r="B30" s="1011"/>
      <c r="C30" s="1011"/>
      <c r="D30" s="1011"/>
      <c r="E30" s="1011"/>
      <c r="F30" s="1011"/>
      <c r="G30" s="1011"/>
    </row>
    <row r="31" spans="1:19">
      <c r="A31" s="1012"/>
      <c r="B31" s="1011"/>
      <c r="C31" s="1011"/>
      <c r="D31" s="1011"/>
      <c r="E31" s="1011"/>
      <c r="F31" s="1011"/>
      <c r="G31" s="1011"/>
    </row>
    <row r="34" spans="1:14">
      <c r="A34" s="1008"/>
    </row>
    <row r="35" spans="1:14">
      <c r="A35" s="1008"/>
    </row>
    <row r="38" spans="1:14">
      <c r="N38" s="1010" t="str">
        <f>"Average Price Change of Selected Commodities"&amp;CHAR(10)&amp;C11&amp;" to "&amp;E11</f>
        <v>Average Price Change of Selected Commodities
2022 to 2023</v>
      </c>
    </row>
    <row r="40" spans="1:14">
      <c r="J40" s="1009"/>
    </row>
    <row r="42" spans="1:14">
      <c r="H42" s="1008"/>
    </row>
  </sheetData>
  <mergeCells count="6">
    <mergeCell ref="K11:L11"/>
    <mergeCell ref="A6:H6"/>
    <mergeCell ref="J11:J12"/>
    <mergeCell ref="G11:H11"/>
    <mergeCell ref="C11:D11"/>
    <mergeCell ref="E11:F11"/>
  </mergeCells>
  <conditionalFormatting sqref="R14:S14 G25:H25 R23:S25 R17:S21">
    <cfRule type="containsText" dxfId="7" priority="12" operator="containsText" text="Data Missing">
      <formula>NOT(ISERROR(SEARCH("Data Missing",G14)))</formula>
    </cfRule>
  </conditionalFormatting>
  <conditionalFormatting sqref="R9:S10 R12:S13">
    <cfRule type="containsText" dxfId="6" priority="11" operator="containsText" text="Data Missing">
      <formula>NOT(ISERROR(SEARCH("Data Missing",R9)))</formula>
    </cfRule>
  </conditionalFormatting>
  <conditionalFormatting sqref="R22:S22">
    <cfRule type="containsText" dxfId="5" priority="10" operator="containsText" text="Data Missing">
      <formula>NOT(ISERROR(SEARCH("Data Missing",R22)))</formula>
    </cfRule>
  </conditionalFormatting>
  <conditionalFormatting sqref="R26:S26">
    <cfRule type="containsText" dxfId="4" priority="9" operator="containsText" text="Data Missing">
      <formula>NOT(ISERROR(SEARCH("Data Missing",R26)))</formula>
    </cfRule>
  </conditionalFormatting>
  <conditionalFormatting sqref="R11:S11">
    <cfRule type="containsText" dxfId="3" priority="8" operator="containsText" text="Data Missing">
      <formula>NOT(ISERROR(SEARCH("Data Missing",R11)))</formula>
    </cfRule>
  </conditionalFormatting>
  <pageMargins left="0.35433070866141736" right="0.39370078740157483" top="0.55118110236220474" bottom="0.35433070866141736" header="0.51181102362204722" footer="0.51181102362204722"/>
  <pageSetup paperSize="9" scale="47"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theme="8" tint="0.39997558519241921"/>
  </sheetPr>
  <dimension ref="A1:DB69"/>
  <sheetViews>
    <sheetView showGridLines="0" workbookViewId="0"/>
  </sheetViews>
  <sheetFormatPr defaultColWidth="9.140625" defaultRowHeight="15"/>
  <cols>
    <col min="1" max="1" width="9.140625" style="26"/>
    <col min="2" max="2" width="20.5703125" style="26" customWidth="1"/>
    <col min="3" max="3" width="20.5703125" style="381" customWidth="1"/>
    <col min="4" max="4" width="9.140625" style="26"/>
    <col min="5" max="6" width="5.5703125" style="228" hidden="1" customWidth="1"/>
    <col min="7" max="7" width="10.5703125" style="26" bestFit="1" customWidth="1"/>
    <col min="8" max="8" width="20.5703125" style="26" customWidth="1"/>
    <col min="9" max="9" width="19.85546875" style="381" customWidth="1"/>
    <col min="10" max="11" width="12" style="26" hidden="1" customWidth="1"/>
    <col min="12" max="28" width="9.140625" style="26"/>
    <col min="29" max="106" width="9.140625" style="95"/>
    <col min="107" max="16384" width="9.140625" style="26"/>
  </cols>
  <sheetData>
    <row r="1" spans="1:106">
      <c r="AA1" s="237" t="s">
        <v>282</v>
      </c>
    </row>
    <row r="2" spans="1:106">
      <c r="AA2" s="237" t="s">
        <v>283</v>
      </c>
    </row>
    <row r="3" spans="1:106">
      <c r="H3" s="308"/>
    </row>
    <row r="4" spans="1:106">
      <c r="G4" s="238"/>
    </row>
    <row r="5" spans="1:106">
      <c r="A5" s="1948" t="s">
        <v>495</v>
      </c>
      <c r="B5" s="1948"/>
      <c r="C5" s="1921"/>
      <c r="D5" s="8"/>
      <c r="E5" s="70"/>
      <c r="F5" s="70"/>
      <c r="G5" s="1948" t="s">
        <v>620</v>
      </c>
      <c r="H5" s="1948"/>
      <c r="I5" s="1921"/>
    </row>
    <row r="6" spans="1:106" ht="15.75" thickBot="1">
      <c r="A6" s="1950" t="s">
        <v>36</v>
      </c>
      <c r="B6" s="1950"/>
      <c r="C6" s="1951"/>
      <c r="D6" s="8"/>
      <c r="E6" s="70"/>
      <c r="F6" s="70"/>
      <c r="G6" s="1950" t="str">
        <f>G43</f>
        <v>Historic Calendar Year</v>
      </c>
      <c r="H6" s="1950"/>
      <c r="I6" s="1951"/>
    </row>
    <row r="7" spans="1:106" s="381" customFormat="1">
      <c r="A7" s="1115"/>
      <c r="B7" s="1210" t="s">
        <v>576</v>
      </c>
      <c r="C7" s="1114" t="s">
        <v>574</v>
      </c>
      <c r="D7" s="268"/>
      <c r="E7" s="268"/>
      <c r="F7" s="268"/>
      <c r="G7" s="1115"/>
      <c r="H7" s="1210" t="s">
        <v>576</v>
      </c>
      <c r="I7" s="1317" t="s">
        <v>574</v>
      </c>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row>
    <row r="8" spans="1:106">
      <c r="A8" s="1211" t="s">
        <v>401</v>
      </c>
      <c r="B8" s="1212" t="s">
        <v>415</v>
      </c>
      <c r="C8" s="1272" t="s">
        <v>415</v>
      </c>
      <c r="D8" s="8"/>
      <c r="E8" s="70"/>
      <c r="F8" s="70"/>
      <c r="G8" s="1271" t="s">
        <v>34</v>
      </c>
      <c r="H8" s="1212" t="s">
        <v>415</v>
      </c>
      <c r="I8" s="1472" t="s">
        <v>415</v>
      </c>
    </row>
    <row r="9" spans="1:106">
      <c r="A9" s="646">
        <f>LARGE('Commodity Prices'!C$159:C$902,61)</f>
        <v>43435</v>
      </c>
      <c r="B9" s="565">
        <f>SUMIF('Commodity Prices'!C$252:C$902,A9,'Commodity Prices'!AK$252:AK$902)</f>
        <v>56.46</v>
      </c>
      <c r="C9" s="489">
        <f>SUMIF('Commodity Prices'!C$252:C$902,A9,'Commodity Prices'!AM$252:AM$902)</f>
        <v>58.9</v>
      </c>
      <c r="D9" s="8"/>
      <c r="E9" s="70">
        <v>1992</v>
      </c>
      <c r="F9" s="70">
        <v>1993</v>
      </c>
      <c r="G9" s="652">
        <f>IF($G$6="Historic Calendar Year",1992,CONCATENATE(E9,"-",RIGHT(F9,4)))</f>
        <v>1992</v>
      </c>
      <c r="H9" s="565">
        <f t="array" ref="H9">IF($G$6="Historic Calendar Year",IFERROR(AVERAGE(IF($G9=YEAR('Commodity Prices'!C$100:C$1000),'Commodity Prices'!AK$100:AK$1000)),"n/a"),IFERROR(IF(J9=0,"n/a",J9),"n/a"))</f>
        <v>19.414383829249527</v>
      </c>
      <c r="I9" s="548">
        <f t="array" ref="I9">IF($G$6="Historic Calendar Year",IFERROR(AVERAGE(IF($G9=YEAR('Commodity Prices'!C$100:C$1000),'Commodity Prices'!AM$100:AM$1000)),"n/a"),IFERROR(IF(K9=0,"n/a",K9),"n/a"))</f>
        <v>20.770549220968217</v>
      </c>
      <c r="J9" s="228">
        <f>(SUMIFS('Commodity Prices'!$AK$9:$AK$2500,'Commodity Prices'!$A$9:$A$2500,'Petroleum - Oil - Prices'!E9,'Commodity Prices'!$B$9:$B$2500,3)+
SUMIFS('Commodity Prices'!$AK$9:$AK$2500,'Commodity Prices'!$A$9:$A$2500,'Petroleum - Oil - Prices'!E9,'Commodity Prices'!$B$9:$B$2500,4)+
SUMIFS('Commodity Prices'!$AK$9:$AK$2500,'Commodity Prices'!$A$9:$A$2500,'Petroleum - Oil - Prices'!F9,'Commodity Prices'!$B$9:$B$2500,1)+
SUMIFS('Commodity Prices'!$AK$9:$AK$2500,'Commodity Prices'!$A$9:$A$2500,'Petroleum - Oil - Prices'!F9,'Commodity Prices'!$B$9:$B$2500,2))
/(COUNTIFS('Commodity Prices'!$A$9:$A$2500,'Petroleum - Oil - Prices'!E9,'Commodity Prices'!$B$9:$B$2500,3)+
COUNTIFS('Commodity Prices'!$A$9:$A$2500,'Petroleum - Oil - Prices'!E9,'Commodity Prices'!$B$9:$B$2500,4)+
COUNTIFS('Commodity Prices'!$A$9:$A$2500,'Petroleum - Oil - Prices'!F9,'Commodity Prices'!$B$9:$B$2500,1)+
COUNTIFS('Commodity Prices'!$A$9:$A$2500,'Petroleum - Oil - Prices'!F9,'Commodity Prices'!$B$9:$B$2500,2))</f>
        <v>18.941443880822387</v>
      </c>
      <c r="K9" s="381">
        <f>(SUMIFS('Commodity Prices'!$AM$9:$AM$2500,'Commodity Prices'!$A$9:$A$2500,'Petroleum - Oil - Prices'!E9,'Commodity Prices'!$B$9:$B$2500,3)+
SUMIFS('Commodity Prices'!$AM$9:$AM$2500,'Commodity Prices'!$A$9:$A$2500,'Petroleum - Oil - Prices'!E9,'Commodity Prices'!$B$9:$B$2500,4)+
SUMIFS('Commodity Prices'!$AM$9:$AM$2500,'Commodity Prices'!$A$9:$A$2500,'Petroleum - Oil - Prices'!F9,'Commodity Prices'!$B$9:$B$2500,1)+
SUMIFS('Commodity Prices'!$AM$9:$AM$2500,'Commodity Prices'!$A$9:$A$2500,'Petroleum - Oil - Prices'!F9,'Commodity Prices'!$B$9:$B$2500,2))
/(COUNTIFS('Commodity Prices'!$A$9:$A$2500,'Petroleum - Oil - Prices'!E9,'Commodity Prices'!$B$9:$B$2500,3)+
COUNTIFS('Commodity Prices'!$A$9:$A$2500,'Petroleum - Oil - Prices'!E9,'Commodity Prices'!$B$9:$B$2500,4)+
COUNTIFS('Commodity Prices'!$A$9:$A$2500,'Petroleum - Oil - Prices'!F9,'Commodity Prices'!$B$9:$B$2500,1)+
COUNTIFS('Commodity Prices'!$A$9:$A$2500,'Petroleum - Oil - Prices'!F9,'Commodity Prices'!$B$9:$B$2500,2))</f>
        <v>20.760591182413169</v>
      </c>
    </row>
    <row r="10" spans="1:106">
      <c r="A10" s="645">
        <f>LARGE('Commodity Prices'!C$159:C$902,60)</f>
        <v>43466</v>
      </c>
      <c r="B10" s="1258">
        <f>SUMIF('Commodity Prices'!C$252:C$902,A10,'Commodity Prices'!AK$252:AK$902)</f>
        <v>59.27</v>
      </c>
      <c r="C10" s="651">
        <f>SUMIF('Commodity Prices'!C$252:C$902,A10,'Commodity Prices'!AM$252:AM$902)</f>
        <v>60.95</v>
      </c>
      <c r="D10" s="8"/>
      <c r="E10" s="70">
        <f t="shared" ref="E10:F24" si="0">E9+1</f>
        <v>1993</v>
      </c>
      <c r="F10" s="70">
        <f t="shared" si="0"/>
        <v>1994</v>
      </c>
      <c r="G10" s="653">
        <f t="shared" ref="G10:G37" si="1">IF($G$6="Historic Calendar Year",G9+1,CONCATENATE(E10,"-",RIGHT(F10,4)))</f>
        <v>1993</v>
      </c>
      <c r="H10" s="1258">
        <f t="array" ref="H10">IF($G$6="Historic Calendar Year",IFERROR(AVERAGE(IF($G10=YEAR('Commodity Prices'!C$100:C$1000),'Commodity Prices'!AK$100:AK$1000)),"n/a"),IFERROR(IF(J10=0,"n/a",J10),"n/a"))</f>
        <v>16.998026110494862</v>
      </c>
      <c r="I10" s="1473">
        <f t="array" ref="I10">IF($G$6="Historic Calendar Year",IFERROR(AVERAGE(IF($G10=YEAR('Commodity Prices'!C$100:C$1000),'Commodity Prices'!AM$100:AM$1000)),"n/a"),IFERROR(IF(K10=0,"n/a",K10),"n/a"))</f>
        <v>18.889847345760234</v>
      </c>
      <c r="J10" s="228">
        <f>(SUMIFS('Commodity Prices'!$AK$9:$AK$2500,'Commodity Prices'!$A$9:$A$2500,'Petroleum - Oil - Prices'!E10,'Commodity Prices'!$B$9:$B$2500,3)+
SUMIFS('Commodity Prices'!$AK$9:$AK$2500,'Commodity Prices'!$A$9:$A$2500,'Petroleum - Oil - Prices'!E10,'Commodity Prices'!$B$9:$B$2500,4)+
SUMIFS('Commodity Prices'!$AK$9:$AK$2500,'Commodity Prices'!$A$9:$A$2500,'Petroleum - Oil - Prices'!F10,'Commodity Prices'!$B$9:$B$2500,1)+
SUMIFS('Commodity Prices'!$AK$9:$AK$2500,'Commodity Prices'!$A$9:$A$2500,'Petroleum - Oil - Prices'!F10,'Commodity Prices'!$B$9:$B$2500,2))
/(COUNTIFS('Commodity Prices'!$A$9:$A$2500,'Petroleum - Oil - Prices'!E10,'Commodity Prices'!$B$9:$B$2500,3)+
COUNTIFS('Commodity Prices'!$A$9:$A$2500,'Petroleum - Oil - Prices'!E10,'Commodity Prices'!$B$9:$B$2500,4)+
COUNTIFS('Commodity Prices'!$A$9:$A$2500,'Petroleum - Oil - Prices'!F10,'Commodity Prices'!$B$9:$B$2500,1)+
COUNTIFS('Commodity Prices'!$A$9:$A$2500,'Petroleum - Oil - Prices'!F10,'Commodity Prices'!$B$9:$B$2500,2))</f>
        <v>15.388722342075104</v>
      </c>
      <c r="K10" s="381">
        <f>(SUMIFS('Commodity Prices'!$AM$9:$AM$2500,'Commodity Prices'!$A$9:$A$2500,'Petroleum - Oil - Prices'!E10,'Commodity Prices'!$B$9:$B$2500,3)+
SUMIFS('Commodity Prices'!$AM$9:$AM$2500,'Commodity Prices'!$A$9:$A$2500,'Petroleum - Oil - Prices'!E10,'Commodity Prices'!$B$9:$B$2500,4)+
SUMIFS('Commodity Prices'!$AM$9:$AM$2500,'Commodity Prices'!$A$9:$A$2500,'Petroleum - Oil - Prices'!F10,'Commodity Prices'!$B$9:$B$2500,1)+
SUMIFS('Commodity Prices'!$AM$9:$AM$2500,'Commodity Prices'!$A$9:$A$2500,'Petroleum - Oil - Prices'!F10,'Commodity Prices'!$B$9:$B$2500,2))
/(COUNTIFS('Commodity Prices'!$A$9:$A$2500,'Petroleum - Oil - Prices'!E10,'Commodity Prices'!$B$9:$B$2500,3)+
COUNTIFS('Commodity Prices'!$A$9:$A$2500,'Petroleum - Oil - Prices'!E10,'Commodity Prices'!$B$9:$B$2500,4)+
COUNTIFS('Commodity Prices'!$A$9:$A$2500,'Petroleum - Oil - Prices'!F10,'Commodity Prices'!$B$9:$B$2500,1)+
COUNTIFS('Commodity Prices'!$A$9:$A$2500,'Petroleum - Oil - Prices'!F10,'Commodity Prices'!$B$9:$B$2500,2))</f>
        <v>17.185475865974677</v>
      </c>
    </row>
    <row r="11" spans="1:106">
      <c r="A11" s="646">
        <f>LARGE('Commodity Prices'!C$159:C$902,59)</f>
        <v>43497</v>
      </c>
      <c r="B11" s="565">
        <f>SUMIF('Commodity Prices'!C$252:C$902,A11,'Commodity Prices'!AK$252:AK$902)</f>
        <v>64.13</v>
      </c>
      <c r="C11" s="489">
        <f>SUMIF('Commodity Prices'!C$252:C$902,A11,'Commodity Prices'!AM$252:AM$902)</f>
        <v>65.84</v>
      </c>
      <c r="D11" s="8"/>
      <c r="E11" s="70">
        <f t="shared" si="0"/>
        <v>1994</v>
      </c>
      <c r="F11" s="70">
        <f t="shared" si="0"/>
        <v>1995</v>
      </c>
      <c r="G11" s="653">
        <f t="shared" si="1"/>
        <v>1994</v>
      </c>
      <c r="H11" s="565">
        <f t="array" ref="H11">IF($G$6="Historic Calendar Year",IFERROR(AVERAGE(IF($G11=YEAR('Commodity Prices'!C$100:C$1000),'Commodity Prices'!AK$100:AK$1000)),"n/a"),IFERROR(IF(J11=0,"n/a",J11),"n/a"))</f>
        <v>15.826028083369067</v>
      </c>
      <c r="I11" s="548">
        <f t="array" ref="I11">IF($G$6="Historic Calendar Year",IFERROR(AVERAGE(IF($G11=YEAR('Commodity Prices'!C$100:C$1000),'Commodity Prices'!AM$100:AM$1000)),"n/a"),IFERROR(IF(K11=0,"n/a",K11),"n/a"))</f>
        <v>17.168807246061672</v>
      </c>
      <c r="J11" s="228">
        <f>(SUMIFS('Commodity Prices'!$AK$9:$AK$2500,'Commodity Prices'!$A$9:$A$2500,'Petroleum - Oil - Prices'!E11,'Commodity Prices'!$B$9:$B$2500,3)+
SUMIFS('Commodity Prices'!$AK$9:$AK$2500,'Commodity Prices'!$A$9:$A$2500,'Petroleum - Oil - Prices'!E11,'Commodity Prices'!$B$9:$B$2500,4)+
SUMIFS('Commodity Prices'!$AK$9:$AK$2500,'Commodity Prices'!$A$9:$A$2500,'Petroleum - Oil - Prices'!F11,'Commodity Prices'!$B$9:$B$2500,1)+
SUMIFS('Commodity Prices'!$AK$9:$AK$2500,'Commodity Prices'!$A$9:$A$2500,'Petroleum - Oil - Prices'!F11,'Commodity Prices'!$B$9:$B$2500,2))
/(COUNTIFS('Commodity Prices'!$A$9:$A$2500,'Petroleum - Oil - Prices'!E11,'Commodity Prices'!$B$9:$B$2500,3)+
COUNTIFS('Commodity Prices'!$A$9:$A$2500,'Petroleum - Oil - Prices'!E11,'Commodity Prices'!$B$9:$B$2500,4)+
COUNTIFS('Commodity Prices'!$A$9:$A$2500,'Petroleum - Oil - Prices'!F11,'Commodity Prices'!$B$9:$B$2500,1)+
COUNTIFS('Commodity Prices'!$A$9:$A$2500,'Petroleum - Oil - Prices'!F11,'Commodity Prices'!$B$9:$B$2500,2))</f>
        <v>17.085140091942048</v>
      </c>
      <c r="K11" s="381">
        <f>(SUMIFS('Commodity Prices'!$AM$9:$AM$2500,'Commodity Prices'!$A$9:$A$2500,'Petroleum - Oil - Prices'!E11,'Commodity Prices'!$B$9:$B$2500,3)+
SUMIFS('Commodity Prices'!$AM$9:$AM$2500,'Commodity Prices'!$A$9:$A$2500,'Petroleum - Oil - Prices'!E11,'Commodity Prices'!$B$9:$B$2500,4)+
SUMIFS('Commodity Prices'!$AM$9:$AM$2500,'Commodity Prices'!$A$9:$A$2500,'Petroleum - Oil - Prices'!F11,'Commodity Prices'!$B$9:$B$2500,1)+
SUMIFS('Commodity Prices'!$AM$9:$AM$2500,'Commodity Prices'!$A$9:$A$2500,'Petroleum - Oil - Prices'!F11,'Commodity Prices'!$B$9:$B$2500,2))
/(COUNTIFS('Commodity Prices'!$A$9:$A$2500,'Petroleum - Oil - Prices'!E11,'Commodity Prices'!$B$9:$B$2500,3)+
COUNTIFS('Commodity Prices'!$A$9:$A$2500,'Petroleum - Oil - Prices'!E11,'Commodity Prices'!$B$9:$B$2500,4)+
COUNTIFS('Commodity Prices'!$A$9:$A$2500,'Petroleum - Oil - Prices'!F11,'Commodity Prices'!$B$9:$B$2500,1)+
COUNTIFS('Commodity Prices'!$A$9:$A$2500,'Petroleum - Oil - Prices'!F11,'Commodity Prices'!$B$9:$B$2500,2))</f>
        <v>18.294527824206604</v>
      </c>
    </row>
    <row r="12" spans="1:106">
      <c r="A12" s="645">
        <f>LARGE('Commodity Prices'!C$159:C$902,58)</f>
        <v>43525</v>
      </c>
      <c r="B12" s="1258">
        <f>SUMIF('Commodity Prices'!C$252:C$902,A12,'Commodity Prices'!AK$252:AK$902)</f>
        <v>66.41</v>
      </c>
      <c r="C12" s="651">
        <f>SUMIF('Commodity Prices'!C$252:C$902,A12,'Commodity Prices'!AM$252:AM$902)</f>
        <v>68.11</v>
      </c>
      <c r="D12" s="8"/>
      <c r="E12" s="70">
        <f t="shared" si="0"/>
        <v>1995</v>
      </c>
      <c r="F12" s="70">
        <f t="shared" si="0"/>
        <v>1996</v>
      </c>
      <c r="G12" s="653">
        <f t="shared" si="1"/>
        <v>1995</v>
      </c>
      <c r="H12" s="1258">
        <f t="array" ref="H12">IF($G$6="Historic Calendar Year",IFERROR(AVERAGE(IF($G12=YEAR('Commodity Prices'!C$100:C$1000),'Commodity Prices'!AK$100:AK$1000)),"n/a"),IFERROR(IF(J12=0,"n/a",J12),"n/a"))</f>
        <v>17.05438198947342</v>
      </c>
      <c r="I12" s="1473">
        <f t="array" ref="I12">IF($G$6="Historic Calendar Year",IFERROR(AVERAGE(IF($G12=YEAR('Commodity Prices'!C$100:C$1000),'Commodity Prices'!AM$100:AM$1000)),"n/a"),IFERROR(IF(K12=0,"n/a",K12),"n/a"))</f>
        <v>18.319675263796611</v>
      </c>
      <c r="J12" s="228">
        <f>(SUMIFS('Commodity Prices'!$AK$9:$AK$2500,'Commodity Prices'!$A$9:$A$2500,'Petroleum - Oil - Prices'!E12,'Commodity Prices'!$B$9:$B$2500,3)+
SUMIFS('Commodity Prices'!$AK$9:$AK$2500,'Commodity Prices'!$A$9:$A$2500,'Petroleum - Oil - Prices'!E12,'Commodity Prices'!$B$9:$B$2500,4)+
SUMIFS('Commodity Prices'!$AK$9:$AK$2500,'Commodity Prices'!$A$9:$A$2500,'Petroleum - Oil - Prices'!F12,'Commodity Prices'!$B$9:$B$2500,1)+
SUMIFS('Commodity Prices'!$AK$9:$AK$2500,'Commodity Prices'!$A$9:$A$2500,'Petroleum - Oil - Prices'!F12,'Commodity Prices'!$B$9:$B$2500,2))
/(COUNTIFS('Commodity Prices'!$A$9:$A$2500,'Petroleum - Oil - Prices'!E12,'Commodity Prices'!$B$9:$B$2500,3)+
COUNTIFS('Commodity Prices'!$A$9:$A$2500,'Petroleum - Oil - Prices'!E12,'Commodity Prices'!$B$9:$B$2500,4)+
COUNTIFS('Commodity Prices'!$A$9:$A$2500,'Petroleum - Oil - Prices'!F12,'Commodity Prices'!$B$9:$B$2500,1)+
COUNTIFS('Commodity Prices'!$A$9:$A$2500,'Petroleum - Oil - Prices'!F12,'Commodity Prices'!$B$9:$B$2500,2))</f>
        <v>17.822943172851826</v>
      </c>
      <c r="K12" s="381">
        <f>(SUMIFS('Commodity Prices'!$AM$9:$AM$2500,'Commodity Prices'!$A$9:$A$2500,'Petroleum - Oil - Prices'!E12,'Commodity Prices'!$B$9:$B$2500,3)+
SUMIFS('Commodity Prices'!$AM$9:$AM$2500,'Commodity Prices'!$A$9:$A$2500,'Petroleum - Oil - Prices'!E12,'Commodity Prices'!$B$9:$B$2500,4)+
SUMIFS('Commodity Prices'!$AM$9:$AM$2500,'Commodity Prices'!$A$9:$A$2500,'Petroleum - Oil - Prices'!F12,'Commodity Prices'!$B$9:$B$2500,1)+
SUMIFS('Commodity Prices'!$AM$9:$AM$2500,'Commodity Prices'!$A$9:$A$2500,'Petroleum - Oil - Prices'!F12,'Commodity Prices'!$B$9:$B$2500,2))
/(COUNTIFS('Commodity Prices'!$A$9:$A$2500,'Petroleum - Oil - Prices'!E12,'Commodity Prices'!$B$9:$B$2500,3)+
COUNTIFS('Commodity Prices'!$A$9:$A$2500,'Petroleum - Oil - Prices'!E12,'Commodity Prices'!$B$9:$B$2500,4)+
COUNTIFS('Commodity Prices'!$A$9:$A$2500,'Petroleum - Oil - Prices'!F12,'Commodity Prices'!$B$9:$B$2500,1)+
COUNTIFS('Commodity Prices'!$A$9:$A$2500,'Petroleum - Oil - Prices'!F12,'Commodity Prices'!$B$9:$B$2500,2))</f>
        <v>19.191535910835185</v>
      </c>
    </row>
    <row r="13" spans="1:106">
      <c r="A13" s="646">
        <f>LARGE('Commodity Prices'!C$159:C$902,57)</f>
        <v>43556</v>
      </c>
      <c r="B13" s="565">
        <f>SUMIF('Commodity Prices'!C$252:C$902,A13,'Commodity Prices'!AK$252:AK$902)</f>
        <v>71.2</v>
      </c>
      <c r="C13" s="489">
        <f>SUMIF('Commodity Prices'!C$252:C$902,A13,'Commodity Prices'!AM$252:AM$902)</f>
        <v>72.77</v>
      </c>
      <c r="D13" s="8"/>
      <c r="E13" s="70">
        <f t="shared" si="0"/>
        <v>1996</v>
      </c>
      <c r="F13" s="70">
        <f t="shared" si="0"/>
        <v>1997</v>
      </c>
      <c r="G13" s="653">
        <f t="shared" si="1"/>
        <v>1996</v>
      </c>
      <c r="H13" s="565">
        <f t="array" ref="H13">IF($G$6="Historic Calendar Year",IFERROR(AVERAGE(IF($G13=YEAR('Commodity Prices'!C$100:C$1000),'Commodity Prices'!AK$100:AK$1000)),"n/a"),IFERROR(IF(J13=0,"n/a",J13),"n/a"))</f>
        <v>20.452974563455992</v>
      </c>
      <c r="I13" s="548">
        <f t="array" ref="I13">IF($G$6="Historic Calendar Year",IFERROR(AVERAGE(IF($G13=YEAR('Commodity Prices'!C$100:C$1000),'Commodity Prices'!AM$100:AM$1000)),"n/a"),IFERROR(IF(K13=0,"n/a",K13),"n/a"))</f>
        <v>21.976414468303531</v>
      </c>
      <c r="J13" s="228">
        <f>(SUMIFS('Commodity Prices'!$AK$9:$AK$2500,'Commodity Prices'!$A$9:$A$2500,'Petroleum - Oil - Prices'!E13,'Commodity Prices'!$B$9:$B$2500,3)+
SUMIFS('Commodity Prices'!$AK$9:$AK$2500,'Commodity Prices'!$A$9:$A$2500,'Petroleum - Oil - Prices'!E13,'Commodity Prices'!$B$9:$B$2500,4)+
SUMIFS('Commodity Prices'!$AK$9:$AK$2500,'Commodity Prices'!$A$9:$A$2500,'Petroleum - Oil - Prices'!F13,'Commodity Prices'!$B$9:$B$2500,1)+
SUMIFS('Commodity Prices'!$AK$9:$AK$2500,'Commodity Prices'!$A$9:$A$2500,'Petroleum - Oil - Prices'!F13,'Commodity Prices'!$B$9:$B$2500,2))
/(COUNTIFS('Commodity Prices'!$A$9:$A$2500,'Petroleum - Oil - Prices'!E13,'Commodity Prices'!$B$9:$B$2500,3)+
COUNTIFS('Commodity Prices'!$A$9:$A$2500,'Petroleum - Oil - Prices'!E13,'Commodity Prices'!$B$9:$B$2500,4)+
COUNTIFS('Commodity Prices'!$A$9:$A$2500,'Petroleum - Oil - Prices'!F13,'Commodity Prices'!$B$9:$B$2500,1)+
COUNTIFS('Commodity Prices'!$A$9:$A$2500,'Petroleum - Oil - Prices'!F13,'Commodity Prices'!$B$9:$B$2500,2))</f>
        <v>20.802416817824525</v>
      </c>
      <c r="K13" s="381">
        <f>(SUMIFS('Commodity Prices'!$AM$9:$AM$2500,'Commodity Prices'!$A$9:$A$2500,'Petroleum - Oil - Prices'!E13,'Commodity Prices'!$B$9:$B$2500,3)+
SUMIFS('Commodity Prices'!$AM$9:$AM$2500,'Commodity Prices'!$A$9:$A$2500,'Petroleum - Oil - Prices'!E13,'Commodity Prices'!$B$9:$B$2500,4)+
SUMIFS('Commodity Prices'!$AM$9:$AM$2500,'Commodity Prices'!$A$9:$A$2500,'Petroleum - Oil - Prices'!F13,'Commodity Prices'!$B$9:$B$2500,1)+
SUMIFS('Commodity Prices'!$AM$9:$AM$2500,'Commodity Prices'!$A$9:$A$2500,'Petroleum - Oil - Prices'!F13,'Commodity Prices'!$B$9:$B$2500,2))
/(COUNTIFS('Commodity Prices'!$A$9:$A$2500,'Petroleum - Oil - Prices'!E13,'Commodity Prices'!$B$9:$B$2500,3)+
COUNTIFS('Commodity Prices'!$A$9:$A$2500,'Petroleum - Oil - Prices'!E13,'Commodity Prices'!$B$9:$B$2500,4)+
COUNTIFS('Commodity Prices'!$A$9:$A$2500,'Petroleum - Oil - Prices'!F13,'Commodity Prices'!$B$9:$B$2500,1)+
COUNTIFS('Commodity Prices'!$A$9:$A$2500,'Petroleum - Oil - Prices'!F13,'Commodity Prices'!$B$9:$B$2500,2))</f>
        <v>22.93652899446495</v>
      </c>
    </row>
    <row r="14" spans="1:106">
      <c r="A14" s="645">
        <f>LARGE('Commodity Prices'!C$159:C$902,56)</f>
        <v>43586</v>
      </c>
      <c r="B14" s="1258">
        <f>SUMIF('Commodity Prices'!C$252:C$902,A14,'Commodity Prices'!AK$252:AK$902)</f>
        <v>70.53</v>
      </c>
      <c r="C14" s="651">
        <f>SUMIF('Commodity Prices'!C$252:C$902,A14,'Commodity Prices'!AM$252:AM$902)</f>
        <v>72.239999999999995</v>
      </c>
      <c r="D14" s="8"/>
      <c r="E14" s="70">
        <f t="shared" si="0"/>
        <v>1997</v>
      </c>
      <c r="F14" s="70">
        <f t="shared" si="0"/>
        <v>1998</v>
      </c>
      <c r="G14" s="653">
        <f t="shared" si="1"/>
        <v>1997</v>
      </c>
      <c r="H14" s="1258">
        <f t="array" ref="H14">IF($G$6="Historic Calendar Year",IFERROR(AVERAGE(IF($G14=YEAR('Commodity Prices'!C$100:C$1000),'Commodity Prices'!AK$100:AK$1000)),"n/a"),IFERROR(IF(J14=0,"n/a",J14),"n/a"))</f>
        <v>19.18839520260504</v>
      </c>
      <c r="I14" s="1473">
        <f t="array" ref="I14">IF($G$6="Historic Calendar Year",IFERROR(AVERAGE(IF($G14=YEAR('Commodity Prices'!C$100:C$1000),'Commodity Prices'!AM$100:AM$1000)),"n/a"),IFERROR(IF(K14=0,"n/a",K14),"n/a"))</f>
        <v>21.110842413998334</v>
      </c>
      <c r="J14" s="228">
        <f>(SUMIFS('Commodity Prices'!$AK$9:$AK$2500,'Commodity Prices'!$A$9:$A$2500,'Petroleum - Oil - Prices'!E14,'Commodity Prices'!$B$9:$B$2500,3)+
SUMIFS('Commodity Prices'!$AK$9:$AK$2500,'Commodity Prices'!$A$9:$A$2500,'Petroleum - Oil - Prices'!E14,'Commodity Prices'!$B$9:$B$2500,4)+
SUMIFS('Commodity Prices'!$AK$9:$AK$2500,'Commodity Prices'!$A$9:$A$2500,'Petroleum - Oil - Prices'!F14,'Commodity Prices'!$B$9:$B$2500,1)+
SUMIFS('Commodity Prices'!$AK$9:$AK$2500,'Commodity Prices'!$A$9:$A$2500,'Petroleum - Oil - Prices'!F14,'Commodity Prices'!$B$9:$B$2500,2))
/(COUNTIFS('Commodity Prices'!$A$9:$A$2500,'Petroleum - Oil - Prices'!E14,'Commodity Prices'!$B$9:$B$2500,3)+
COUNTIFS('Commodity Prices'!$A$9:$A$2500,'Petroleum - Oil - Prices'!E14,'Commodity Prices'!$B$9:$B$2500,4)+
COUNTIFS('Commodity Prices'!$A$9:$A$2500,'Petroleum - Oil - Prices'!F14,'Commodity Prices'!$B$9:$B$2500,1)+
COUNTIFS('Commodity Prices'!$A$9:$A$2500,'Petroleum - Oil - Prices'!F14,'Commodity Prices'!$B$9:$B$2500,2))</f>
        <v>16.149321621501226</v>
      </c>
      <c r="K14" s="381">
        <f>(SUMIFS('Commodity Prices'!$AM$9:$AM$2500,'Commodity Prices'!$A$9:$A$2500,'Petroleum - Oil - Prices'!E14,'Commodity Prices'!$B$9:$B$2500,3)+
SUMIFS('Commodity Prices'!$AM$9:$AM$2500,'Commodity Prices'!$A$9:$A$2500,'Petroleum - Oil - Prices'!E14,'Commodity Prices'!$B$9:$B$2500,4)+
SUMIFS('Commodity Prices'!$AM$9:$AM$2500,'Commodity Prices'!$A$9:$A$2500,'Petroleum - Oil - Prices'!F14,'Commodity Prices'!$B$9:$B$2500,1)+
SUMIFS('Commodity Prices'!$AM$9:$AM$2500,'Commodity Prices'!$A$9:$A$2500,'Petroleum - Oil - Prices'!F14,'Commodity Prices'!$B$9:$B$2500,2))
/(COUNTIFS('Commodity Prices'!$A$9:$A$2500,'Petroleum - Oil - Prices'!E14,'Commodity Prices'!$B$9:$B$2500,3)+
COUNTIFS('Commodity Prices'!$A$9:$A$2500,'Petroleum - Oil - Prices'!E14,'Commodity Prices'!$B$9:$B$2500,4)+
COUNTIFS('Commodity Prices'!$A$9:$A$2500,'Petroleum - Oil - Prices'!F14,'Commodity Prices'!$B$9:$B$2500,1)+
COUNTIFS('Commodity Prices'!$A$9:$A$2500,'Petroleum - Oil - Prices'!F14,'Commodity Prices'!$B$9:$B$2500,2))</f>
        <v>17.177483320488253</v>
      </c>
    </row>
    <row r="15" spans="1:106">
      <c r="A15" s="646">
        <f>LARGE('Commodity Prices'!C$159:C$902,56)</f>
        <v>43586</v>
      </c>
      <c r="B15" s="565">
        <f>SUMIF('Commodity Prices'!C$252:C$902,A15,'Commodity Prices'!AK$252:AK$902)</f>
        <v>70.53</v>
      </c>
      <c r="C15" s="489">
        <f>SUMIF('Commodity Prices'!C$252:C$902,A15,'Commodity Prices'!AM$252:AM$902)</f>
        <v>72.239999999999995</v>
      </c>
      <c r="D15" s="8"/>
      <c r="E15" s="70">
        <f t="shared" si="0"/>
        <v>1998</v>
      </c>
      <c r="F15" s="70">
        <f t="shared" si="0"/>
        <v>1999</v>
      </c>
      <c r="G15" s="653">
        <f t="shared" si="1"/>
        <v>1998</v>
      </c>
      <c r="H15" s="565">
        <f t="array" ref="H15">IF($G$6="Historic Calendar Year",IFERROR(AVERAGE(IF($G15=YEAR('Commodity Prices'!C$100:C$1000),'Commodity Prices'!AK$100:AK$1000)),"n/a"),IFERROR(IF(J15=0,"n/a",J15),"n/a"))</f>
        <v>12.71672321013371</v>
      </c>
      <c r="I15" s="548">
        <f t="array" ref="I15">IF($G$6="Historic Calendar Year",IFERROR(AVERAGE(IF($G15=YEAR('Commodity Prices'!C$100:C$1000),'Commodity Prices'!AM$100:AM$1000)),"n/a"),IFERROR(IF(K15=0,"n/a",K15),"n/a"))</f>
        <v>13.869728142884306</v>
      </c>
      <c r="J15" s="228">
        <f>(SUMIFS('Commodity Prices'!$AK$9:$AK$2500,'Commodity Prices'!$A$9:$A$2500,'Petroleum - Oil - Prices'!E15,'Commodity Prices'!$B$9:$B$2500,3)+
SUMIFS('Commodity Prices'!$AK$9:$AK$2500,'Commodity Prices'!$A$9:$A$2500,'Petroleum - Oil - Prices'!E15,'Commodity Prices'!$B$9:$B$2500,4)+
SUMIFS('Commodity Prices'!$AK$9:$AK$2500,'Commodity Prices'!$A$9:$A$2500,'Petroleum - Oil - Prices'!F15,'Commodity Prices'!$B$9:$B$2500,1)+
SUMIFS('Commodity Prices'!$AK$9:$AK$2500,'Commodity Prices'!$A$9:$A$2500,'Petroleum - Oil - Prices'!F15,'Commodity Prices'!$B$9:$B$2500,2))
/(COUNTIFS('Commodity Prices'!$A$9:$A$2500,'Petroleum - Oil - Prices'!E15,'Commodity Prices'!$B$9:$B$2500,3)+
COUNTIFS('Commodity Prices'!$A$9:$A$2500,'Petroleum - Oil - Prices'!E15,'Commodity Prices'!$B$9:$B$2500,4)+
COUNTIFS('Commodity Prices'!$A$9:$A$2500,'Petroleum - Oil - Prices'!F15,'Commodity Prices'!$B$9:$B$2500,1)+
COUNTIFS('Commodity Prices'!$A$9:$A$2500,'Petroleum - Oil - Prices'!F15,'Commodity Prices'!$B$9:$B$2500,2))</f>
        <v>12.542407192254695</v>
      </c>
      <c r="K15" s="381">
        <f>(SUMIFS('Commodity Prices'!$AM$9:$AM$2500,'Commodity Prices'!$A$9:$A$2500,'Petroleum - Oil - Prices'!E15,'Commodity Prices'!$B$9:$B$2500,3)+
SUMIFS('Commodity Prices'!$AM$9:$AM$2500,'Commodity Prices'!$A$9:$A$2500,'Petroleum - Oil - Prices'!E15,'Commodity Prices'!$B$9:$B$2500,4)+
SUMIFS('Commodity Prices'!$AM$9:$AM$2500,'Commodity Prices'!$A$9:$A$2500,'Petroleum - Oil - Prices'!F15,'Commodity Prices'!$B$9:$B$2500,1)+
SUMIFS('Commodity Prices'!$AM$9:$AM$2500,'Commodity Prices'!$A$9:$A$2500,'Petroleum - Oil - Prices'!F15,'Commodity Prices'!$B$9:$B$2500,2))
/(COUNTIFS('Commodity Prices'!$A$9:$A$2500,'Petroleum - Oil - Prices'!E15,'Commodity Prices'!$B$9:$B$2500,3)+
COUNTIFS('Commodity Prices'!$A$9:$A$2500,'Petroleum - Oil - Prices'!E15,'Commodity Prices'!$B$9:$B$2500,4)+
COUNTIFS('Commodity Prices'!$A$9:$A$2500,'Petroleum - Oil - Prices'!F15,'Commodity Prices'!$B$9:$B$2500,1)+
COUNTIFS('Commodity Prices'!$A$9:$A$2500,'Petroleum - Oil - Prices'!F15,'Commodity Prices'!$B$9:$B$2500,2))</f>
        <v>13.875024089981395</v>
      </c>
    </row>
    <row r="16" spans="1:106">
      <c r="A16" s="645">
        <f>LARGE('Commodity Prices'!C$159:C$902,54)</f>
        <v>43647</v>
      </c>
      <c r="B16" s="1258">
        <f>SUMIF('Commodity Prices'!C$252:C$902,A16,'Commodity Prices'!AK$252:AK$902)</f>
        <v>64</v>
      </c>
      <c r="C16" s="651">
        <f>SUMIF('Commodity Prices'!C$252:C$902,A16,'Commodity Prices'!AM$252:AM$902)</f>
        <v>66.09</v>
      </c>
      <c r="D16" s="8"/>
      <c r="E16" s="70">
        <f t="shared" si="0"/>
        <v>1999</v>
      </c>
      <c r="F16" s="70">
        <f t="shared" si="0"/>
        <v>2000</v>
      </c>
      <c r="G16" s="653">
        <f t="shared" si="1"/>
        <v>1999</v>
      </c>
      <c r="H16" s="1258">
        <f t="array" ref="H16">IF($G$6="Historic Calendar Year",IFERROR(AVERAGE(IF($G16=YEAR('Commodity Prices'!C$100:C$1000),'Commodity Prices'!AK$100:AK$1000)),"n/a"),IFERROR(IF(J16=0,"n/a",J16),"n/a"))</f>
        <v>17.810450577587815</v>
      </c>
      <c r="I16" s="1473">
        <f t="array" ref="I16">IF($G$6="Historic Calendar Year",IFERROR(AVERAGE(IF($G16=YEAR('Commodity Prices'!C$100:C$1000),'Commodity Prices'!AM$100:AM$1000)),"n/a"),IFERROR(IF(K16=0,"n/a",K16),"n/a"))</f>
        <v>18.856916540694453</v>
      </c>
      <c r="J16" s="228">
        <f>(SUMIFS('Commodity Prices'!$AK$9:$AK$2500,'Commodity Prices'!$A$9:$A$2500,'Petroleum - Oil - Prices'!E16,'Commodity Prices'!$B$9:$B$2500,3)+
SUMIFS('Commodity Prices'!$AK$9:$AK$2500,'Commodity Prices'!$A$9:$A$2500,'Petroleum - Oil - Prices'!E16,'Commodity Prices'!$B$9:$B$2500,4)+
SUMIFS('Commodity Prices'!$AK$9:$AK$2500,'Commodity Prices'!$A$9:$A$2500,'Petroleum - Oil - Prices'!F16,'Commodity Prices'!$B$9:$B$2500,1)+
SUMIFS('Commodity Prices'!$AK$9:$AK$2500,'Commodity Prices'!$A$9:$A$2500,'Petroleum - Oil - Prices'!F16,'Commodity Prices'!$B$9:$B$2500,2))
/(COUNTIFS('Commodity Prices'!$A$9:$A$2500,'Petroleum - Oil - Prices'!E16,'Commodity Prices'!$B$9:$B$2500,3)+
COUNTIFS('Commodity Prices'!$A$9:$A$2500,'Petroleum - Oil - Prices'!E16,'Commodity Prices'!$B$9:$B$2500,4)+
COUNTIFS('Commodity Prices'!$A$9:$A$2500,'Petroleum - Oil - Prices'!F16,'Commodity Prices'!$B$9:$B$2500,1)+
COUNTIFS('Commodity Prices'!$A$9:$A$2500,'Petroleum - Oil - Prices'!F16,'Commodity Prices'!$B$9:$B$2500,2))</f>
        <v>24.479166666666668</v>
      </c>
      <c r="K16" s="381">
        <f>(SUMIFS('Commodity Prices'!$AM$9:$AM$2500,'Commodity Prices'!$A$9:$A$2500,'Petroleum - Oil - Prices'!E16,'Commodity Prices'!$B$9:$B$2500,3)+
SUMIFS('Commodity Prices'!$AM$9:$AM$2500,'Commodity Prices'!$A$9:$A$2500,'Petroleum - Oil - Prices'!E16,'Commodity Prices'!$B$9:$B$2500,4)+
SUMIFS('Commodity Prices'!$AM$9:$AM$2500,'Commodity Prices'!$A$9:$A$2500,'Petroleum - Oil - Prices'!F16,'Commodity Prices'!$B$9:$B$2500,1)+
SUMIFS('Commodity Prices'!$AM$9:$AM$2500,'Commodity Prices'!$A$9:$A$2500,'Petroleum - Oil - Prices'!F16,'Commodity Prices'!$B$9:$B$2500,2))
/(COUNTIFS('Commodity Prices'!$A$9:$A$2500,'Petroleum - Oil - Prices'!E16,'Commodity Prices'!$B$9:$B$2500,3)+
COUNTIFS('Commodity Prices'!$A$9:$A$2500,'Petroleum - Oil - Prices'!E16,'Commodity Prices'!$B$9:$B$2500,4)+
COUNTIFS('Commodity Prices'!$A$9:$A$2500,'Petroleum - Oil - Prices'!F16,'Commodity Prices'!$B$9:$B$2500,1)+
COUNTIFS('Commodity Prices'!$A$9:$A$2500,'Petroleum - Oil - Prices'!F16,'Commodity Prices'!$B$9:$B$2500,2))</f>
        <v>25.590000000000003</v>
      </c>
    </row>
    <row r="17" spans="1:11">
      <c r="A17" s="646">
        <f>LARGE('Commodity Prices'!C$159:C$902,53)</f>
        <v>43678</v>
      </c>
      <c r="B17" s="565">
        <f>SUMIF('Commodity Prices'!C$252:C$902,A17,'Commodity Prices'!AK$252:AK$902)</f>
        <v>59.25</v>
      </c>
      <c r="C17" s="489">
        <f>SUMIF('Commodity Prices'!C$252:C$902,A17,'Commodity Prices'!AM$252:AM$902)</f>
        <v>61.46</v>
      </c>
      <c r="D17" s="8"/>
      <c r="E17" s="70">
        <f t="shared" si="0"/>
        <v>2000</v>
      </c>
      <c r="F17" s="70">
        <f t="shared" si="0"/>
        <v>2001</v>
      </c>
      <c r="G17" s="653">
        <f t="shared" si="1"/>
        <v>2000</v>
      </c>
      <c r="H17" s="565">
        <f t="array" ref="H17">IF($G$6="Historic Calendar Year",IFERROR(AVERAGE(IF($G17=YEAR('Commodity Prices'!C$100:C$1000),'Commodity Prices'!AK$100:AK$1000)),"n/a"),IFERROR(IF(J17=0,"n/a",J17),"n/a"))</f>
        <v>28.323333333333334</v>
      </c>
      <c r="I17" s="548">
        <f t="array" ref="I17">IF($G$6="Historic Calendar Year",IFERROR(AVERAGE(IF($G17=YEAR('Commodity Prices'!C$100:C$1000),'Commodity Prices'!AM$100:AM$1000)),"n/a"),IFERROR(IF(K17=0,"n/a",K17),"n/a"))</f>
        <v>29.802499999999998</v>
      </c>
      <c r="J17" s="228">
        <f>(SUMIFS('Commodity Prices'!$AK$9:$AK$2500,'Commodity Prices'!$A$9:$A$2500,'Petroleum - Oil - Prices'!E17,'Commodity Prices'!$B$9:$B$2500,3)+
SUMIFS('Commodity Prices'!$AK$9:$AK$2500,'Commodity Prices'!$A$9:$A$2500,'Petroleum - Oil - Prices'!E17,'Commodity Prices'!$B$9:$B$2500,4)+
SUMIFS('Commodity Prices'!$AK$9:$AK$2500,'Commodity Prices'!$A$9:$A$2500,'Petroleum - Oil - Prices'!F17,'Commodity Prices'!$B$9:$B$2500,1)+
SUMIFS('Commodity Prices'!$AK$9:$AK$2500,'Commodity Prices'!$A$9:$A$2500,'Petroleum - Oil - Prices'!F17,'Commodity Prices'!$B$9:$B$2500,2))
/(COUNTIFS('Commodity Prices'!$A$9:$A$2500,'Petroleum - Oil - Prices'!E17,'Commodity Prices'!$B$9:$B$2500,3)+
COUNTIFS('Commodity Prices'!$A$9:$A$2500,'Petroleum - Oil - Prices'!E17,'Commodity Prices'!$B$9:$B$2500,4)+
COUNTIFS('Commodity Prices'!$A$9:$A$2500,'Petroleum - Oil - Prices'!F17,'Commodity Prices'!$B$9:$B$2500,1)+
COUNTIFS('Commodity Prices'!$A$9:$A$2500,'Petroleum - Oil - Prices'!F17,'Commodity Prices'!$B$9:$B$2500,2))</f>
        <v>27.821666666666669</v>
      </c>
      <c r="K17" s="381">
        <f>(SUMIFS('Commodity Prices'!$AM$9:$AM$2500,'Commodity Prices'!$A$9:$A$2500,'Petroleum - Oil - Prices'!E17,'Commodity Prices'!$B$9:$B$2500,3)+
SUMIFS('Commodity Prices'!$AM$9:$AM$2500,'Commodity Prices'!$A$9:$A$2500,'Petroleum - Oil - Prices'!E17,'Commodity Prices'!$B$9:$B$2500,4)+
SUMIFS('Commodity Prices'!$AM$9:$AM$2500,'Commodity Prices'!$A$9:$A$2500,'Petroleum - Oil - Prices'!F17,'Commodity Prices'!$B$9:$B$2500,1)+
SUMIFS('Commodity Prices'!$AM$9:$AM$2500,'Commodity Prices'!$A$9:$A$2500,'Petroleum - Oil - Prices'!F17,'Commodity Prices'!$B$9:$B$2500,2))
/(COUNTIFS('Commodity Prices'!$A$9:$A$2500,'Petroleum - Oil - Prices'!E17,'Commodity Prices'!$B$9:$B$2500,3)+
COUNTIFS('Commodity Prices'!$A$9:$A$2500,'Petroleum - Oil - Prices'!E17,'Commodity Prices'!$B$9:$B$2500,4)+
COUNTIFS('Commodity Prices'!$A$9:$A$2500,'Petroleum - Oil - Prices'!F17,'Commodity Prices'!$B$9:$B$2500,1)+
COUNTIFS('Commodity Prices'!$A$9:$A$2500,'Petroleum - Oil - Prices'!F17,'Commodity Prices'!$B$9:$B$2500,2))</f>
        <v>29.580833333333334</v>
      </c>
    </row>
    <row r="18" spans="1:11">
      <c r="A18" s="645">
        <f>LARGE('Commodity Prices'!C$159:C$902,52)</f>
        <v>43709</v>
      </c>
      <c r="B18" s="1258">
        <f>SUMIF('Commodity Prices'!C$252:C$902,A18,'Commodity Prices'!AK$252:AK$902)</f>
        <v>62.33</v>
      </c>
      <c r="C18" s="651">
        <f>SUMIF('Commodity Prices'!C$252:C$902,A18,'Commodity Prices'!AM$252:AM$902)</f>
        <v>64.05</v>
      </c>
      <c r="D18" s="8"/>
      <c r="E18" s="70">
        <f t="shared" si="0"/>
        <v>2001</v>
      </c>
      <c r="F18" s="70">
        <f t="shared" si="0"/>
        <v>2002</v>
      </c>
      <c r="G18" s="653">
        <f t="shared" si="1"/>
        <v>2001</v>
      </c>
      <c r="H18" s="1258">
        <f t="array" ref="H18">IF($G$6="Historic Calendar Year",IFERROR(AVERAGE(IF($G18=YEAR('Commodity Prices'!C$100:C$1000),'Commodity Prices'!AK$100:AK$1000)),"n/a"),IFERROR(IF(J18=0,"n/a",J18),"n/a"))</f>
        <v>23.98</v>
      </c>
      <c r="I18" s="1473">
        <f t="array" ref="I18">IF($G$6="Historic Calendar Year",IFERROR(AVERAGE(IF($G18=YEAR('Commodity Prices'!C$100:C$1000),'Commodity Prices'!AM$100:AM$1000)),"n/a"),IFERROR(IF(K18=0,"n/a",K18),"n/a"))</f>
        <v>25.319166666666664</v>
      </c>
      <c r="J18" s="228">
        <f>(SUMIFS('Commodity Prices'!$AK$9:$AK$2500,'Commodity Prices'!$A$9:$A$2500,'Petroleum - Oil - Prices'!E18,'Commodity Prices'!$B$9:$B$2500,3)+
SUMIFS('Commodity Prices'!$AK$9:$AK$2500,'Commodity Prices'!$A$9:$A$2500,'Petroleum - Oil - Prices'!E18,'Commodity Prices'!$B$9:$B$2500,4)+
SUMIFS('Commodity Prices'!$AK$9:$AK$2500,'Commodity Prices'!$A$9:$A$2500,'Petroleum - Oil - Prices'!F18,'Commodity Prices'!$B$9:$B$2500,1)+
SUMIFS('Commodity Prices'!$AK$9:$AK$2500,'Commodity Prices'!$A$9:$A$2500,'Petroleum - Oil - Prices'!F18,'Commodity Prices'!$B$9:$B$2500,2))
/(COUNTIFS('Commodity Prices'!$A$9:$A$2500,'Petroleum - Oil - Prices'!E18,'Commodity Prices'!$B$9:$B$2500,3)+
COUNTIFS('Commodity Prices'!$A$9:$A$2500,'Petroleum - Oil - Prices'!E18,'Commodity Prices'!$B$9:$B$2500,4)+
COUNTIFS('Commodity Prices'!$A$9:$A$2500,'Petroleum - Oil - Prices'!F18,'Commodity Prices'!$B$9:$B$2500,1)+
COUNTIFS('Commodity Prices'!$A$9:$A$2500,'Petroleum - Oil - Prices'!F18,'Commodity Prices'!$B$9:$B$2500,2))</f>
        <v>22.704999999999998</v>
      </c>
      <c r="K18" s="381">
        <f>(SUMIFS('Commodity Prices'!$AM$9:$AM$2500,'Commodity Prices'!$A$9:$A$2500,'Petroleum - Oil - Prices'!E18,'Commodity Prices'!$B$9:$B$2500,3)+
SUMIFS('Commodity Prices'!$AM$9:$AM$2500,'Commodity Prices'!$A$9:$A$2500,'Petroleum - Oil - Prices'!E18,'Commodity Prices'!$B$9:$B$2500,4)+
SUMIFS('Commodity Prices'!$AM$9:$AM$2500,'Commodity Prices'!$A$9:$A$2500,'Petroleum - Oil - Prices'!F18,'Commodity Prices'!$B$9:$B$2500,1)+
SUMIFS('Commodity Prices'!$AM$9:$AM$2500,'Commodity Prices'!$A$9:$A$2500,'Petroleum - Oil - Prices'!F18,'Commodity Prices'!$B$9:$B$2500,2))
/(COUNTIFS('Commodity Prices'!$A$9:$A$2500,'Petroleum - Oil - Prices'!E18,'Commodity Prices'!$B$9:$B$2500,3)+
COUNTIFS('Commodity Prices'!$A$9:$A$2500,'Petroleum - Oil - Prices'!E18,'Commodity Prices'!$B$9:$B$2500,4)+
COUNTIFS('Commodity Prices'!$A$9:$A$2500,'Petroleum - Oil - Prices'!F18,'Commodity Prices'!$B$9:$B$2500,1)+
COUNTIFS('Commodity Prices'!$A$9:$A$2500,'Petroleum - Oil - Prices'!F18,'Commodity Prices'!$B$9:$B$2500,2))</f>
        <v>23.283333333333331</v>
      </c>
    </row>
    <row r="19" spans="1:11">
      <c r="A19" s="646">
        <f>LARGE('Commodity Prices'!C$159:C$902,51)</f>
        <v>43739</v>
      </c>
      <c r="B19" s="565">
        <f>SUMIF('Commodity Prices'!C$252:C$902,A19,'Commodity Prices'!AK$252:AK$902)</f>
        <v>59.37</v>
      </c>
      <c r="C19" s="489">
        <f>SUMIF('Commodity Prices'!C$252:C$902,A19,'Commodity Prices'!AM$252:AM$902)</f>
        <v>60.86</v>
      </c>
      <c r="D19" s="8"/>
      <c r="E19" s="70">
        <f t="shared" si="0"/>
        <v>2002</v>
      </c>
      <c r="F19" s="70">
        <f t="shared" si="0"/>
        <v>2003</v>
      </c>
      <c r="G19" s="653">
        <f t="shared" si="1"/>
        <v>2002</v>
      </c>
      <c r="H19" s="565">
        <f t="array" ref="H19">IF($G$6="Historic Calendar Year",IFERROR(AVERAGE(IF($G19=YEAR('Commodity Prices'!C$100:C$1000),'Commodity Prices'!AK$100:AK$1000)),"n/a"),IFERROR(IF(J19=0,"n/a",J19),"n/a"))</f>
        <v>24.974166666666665</v>
      </c>
      <c r="I19" s="548">
        <f t="array" ref="I19">IF($G$6="Historic Calendar Year",IFERROR(AVERAGE(IF($G19=YEAR('Commodity Prices'!C$100:C$1000),'Commodity Prices'!AM$100:AM$1000)),"n/a"),IFERROR(IF(K19=0,"n/a",K19),"n/a"))</f>
        <v>25.678333333333331</v>
      </c>
      <c r="J19" s="228">
        <f>(SUMIFS('Commodity Prices'!$AK$9:$AK$2500,'Commodity Prices'!$A$9:$A$2500,'Petroleum - Oil - Prices'!E19,'Commodity Prices'!$B$9:$B$2500,3)+
SUMIFS('Commodity Prices'!$AK$9:$AK$2500,'Commodity Prices'!$A$9:$A$2500,'Petroleum - Oil - Prices'!E19,'Commodity Prices'!$B$9:$B$2500,4)+
SUMIFS('Commodity Prices'!$AK$9:$AK$2500,'Commodity Prices'!$A$9:$A$2500,'Petroleum - Oil - Prices'!F19,'Commodity Prices'!$B$9:$B$2500,1)+
SUMIFS('Commodity Prices'!$AK$9:$AK$2500,'Commodity Prices'!$A$9:$A$2500,'Petroleum - Oil - Prices'!F19,'Commodity Prices'!$B$9:$B$2500,2))
/(COUNTIFS('Commodity Prices'!$A$9:$A$2500,'Petroleum - Oil - Prices'!E19,'Commodity Prices'!$B$9:$B$2500,3)+
COUNTIFS('Commodity Prices'!$A$9:$A$2500,'Petroleum - Oil - Prices'!E19,'Commodity Prices'!$B$9:$B$2500,4)+
COUNTIFS('Commodity Prices'!$A$9:$A$2500,'Petroleum - Oil - Prices'!F19,'Commodity Prices'!$B$9:$B$2500,1)+
COUNTIFS('Commodity Prices'!$A$9:$A$2500,'Petroleum - Oil - Prices'!F19,'Commodity Prices'!$B$9:$B$2500,2))</f>
        <v>27.806666666666661</v>
      </c>
      <c r="K19" s="381">
        <f>(SUMIFS('Commodity Prices'!$AM$9:$AM$2500,'Commodity Prices'!$A$9:$A$2500,'Petroleum - Oil - Prices'!E19,'Commodity Prices'!$B$9:$B$2500,3)+
SUMIFS('Commodity Prices'!$AM$9:$AM$2500,'Commodity Prices'!$A$9:$A$2500,'Petroleum - Oil - Prices'!E19,'Commodity Prices'!$B$9:$B$2500,4)+
SUMIFS('Commodity Prices'!$AM$9:$AM$2500,'Commodity Prices'!$A$9:$A$2500,'Petroleum - Oil - Prices'!F19,'Commodity Prices'!$B$9:$B$2500,1)+
SUMIFS('Commodity Prices'!$AM$9:$AM$2500,'Commodity Prices'!$A$9:$A$2500,'Petroleum - Oil - Prices'!F19,'Commodity Prices'!$B$9:$B$2500,2))
/(COUNTIFS('Commodity Prices'!$A$9:$A$2500,'Petroleum - Oil - Prices'!E19,'Commodity Prices'!$B$9:$B$2500,3)+
COUNTIFS('Commodity Prices'!$A$9:$A$2500,'Petroleum - Oil - Prices'!E19,'Commodity Prices'!$B$9:$B$2500,4)+
COUNTIFS('Commodity Prices'!$A$9:$A$2500,'Petroleum - Oil - Prices'!F19,'Commodity Prices'!$B$9:$B$2500,1)+
COUNTIFS('Commodity Prices'!$A$9:$A$2500,'Petroleum - Oil - Prices'!F19,'Commodity Prices'!$B$9:$B$2500,2))</f>
        <v>28.802499999999998</v>
      </c>
    </row>
    <row r="20" spans="1:11">
      <c r="A20" s="645">
        <f>LARGE('Commodity Prices'!C$159:C$902,50)</f>
        <v>43770</v>
      </c>
      <c r="B20" s="1258">
        <f>SUMIF('Commodity Prices'!C$252:C$902,A20,'Commodity Prices'!AK$252:AK$902)</f>
        <v>62.74</v>
      </c>
      <c r="C20" s="651">
        <f>SUMIF('Commodity Prices'!C$252:C$902,A20,'Commodity Prices'!AM$252:AM$902)</f>
        <v>64.239999999999995</v>
      </c>
      <c r="D20" s="8"/>
      <c r="E20" s="70">
        <f t="shared" si="0"/>
        <v>2003</v>
      </c>
      <c r="F20" s="70">
        <f t="shared" si="0"/>
        <v>2004</v>
      </c>
      <c r="G20" s="653">
        <f t="shared" si="1"/>
        <v>2003</v>
      </c>
      <c r="H20" s="1258">
        <f t="array" ref="H20">IF($G$6="Historic Calendar Year",IFERROR(AVERAGE(IF($G20=YEAR('Commodity Prices'!C$100:C$1000),'Commodity Prices'!AK$100:AK$1000)),"n/a"),IFERROR(IF(J20=0,"n/a",J20),"n/a"))</f>
        <v>28.852499999999996</v>
      </c>
      <c r="I20" s="1473">
        <f t="array" ref="I20">IF($G$6="Historic Calendar Year",IFERROR(AVERAGE(IF($G20=YEAR('Commodity Prices'!C$100:C$1000),'Commodity Prices'!AM$100:AM$1000)),"n/a"),IFERROR(IF(K20=0,"n/a",K20),"n/a"))</f>
        <v>30.077499999999997</v>
      </c>
      <c r="J20" s="228">
        <f>(SUMIFS('Commodity Prices'!$AK$9:$AK$2500,'Commodity Prices'!$A$9:$A$2500,'Petroleum - Oil - Prices'!E20,'Commodity Prices'!$B$9:$B$2500,3)+
SUMIFS('Commodity Prices'!$AK$9:$AK$2500,'Commodity Prices'!$A$9:$A$2500,'Petroleum - Oil - Prices'!E20,'Commodity Prices'!$B$9:$B$2500,4)+
SUMIFS('Commodity Prices'!$AK$9:$AK$2500,'Commodity Prices'!$A$9:$A$2500,'Petroleum - Oil - Prices'!F20,'Commodity Prices'!$B$9:$B$2500,1)+
SUMIFS('Commodity Prices'!$AK$9:$AK$2500,'Commodity Prices'!$A$9:$A$2500,'Petroleum - Oil - Prices'!F20,'Commodity Prices'!$B$9:$B$2500,2))
/(COUNTIFS('Commodity Prices'!$A$9:$A$2500,'Petroleum - Oil - Prices'!E20,'Commodity Prices'!$B$9:$B$2500,3)+
COUNTIFS('Commodity Prices'!$A$9:$A$2500,'Petroleum - Oil - Prices'!E20,'Commodity Prices'!$B$9:$B$2500,4)+
COUNTIFS('Commodity Prices'!$A$9:$A$2500,'Petroleum - Oil - Prices'!F20,'Commodity Prices'!$B$9:$B$2500,1)+
COUNTIFS('Commodity Prices'!$A$9:$A$2500,'Petroleum - Oil - Prices'!F20,'Commodity Prices'!$B$9:$B$2500,2))</f>
        <v>31.336666666666662</v>
      </c>
      <c r="K20" s="381">
        <f>(SUMIFS('Commodity Prices'!$AM$9:$AM$2500,'Commodity Prices'!$A$9:$A$2500,'Petroleum - Oil - Prices'!E20,'Commodity Prices'!$B$9:$B$2500,3)+
SUMIFS('Commodity Prices'!$AM$9:$AM$2500,'Commodity Prices'!$A$9:$A$2500,'Petroleum - Oil - Prices'!E20,'Commodity Prices'!$B$9:$B$2500,4)+
SUMIFS('Commodity Prices'!$AM$9:$AM$2500,'Commodity Prices'!$A$9:$A$2500,'Petroleum - Oil - Prices'!F20,'Commodity Prices'!$B$9:$B$2500,1)+
SUMIFS('Commodity Prices'!$AM$9:$AM$2500,'Commodity Prices'!$A$9:$A$2500,'Petroleum - Oil - Prices'!F20,'Commodity Prices'!$B$9:$B$2500,2))
/(COUNTIFS('Commodity Prices'!$A$9:$A$2500,'Petroleum - Oil - Prices'!E20,'Commodity Prices'!$B$9:$B$2500,3)+
COUNTIFS('Commodity Prices'!$A$9:$A$2500,'Petroleum - Oil - Prices'!E20,'Commodity Prices'!$B$9:$B$2500,4)+
COUNTIFS('Commodity Prices'!$A$9:$A$2500,'Petroleum - Oil - Prices'!F20,'Commodity Prices'!$B$9:$B$2500,1)+
COUNTIFS('Commodity Prices'!$A$9:$A$2500,'Petroleum - Oil - Prices'!F20,'Commodity Prices'!$B$9:$B$2500,2))</f>
        <v>33.245833333333337</v>
      </c>
    </row>
    <row r="21" spans="1:11">
      <c r="A21" s="646">
        <f>LARGE('Commodity Prices'!C$159:C$902,49)</f>
        <v>43800</v>
      </c>
      <c r="B21" s="565">
        <f>SUMIF('Commodity Prices'!C$252:C$902,A21,'Commodity Prices'!AK$252:AK$902)</f>
        <v>65.849999999999994</v>
      </c>
      <c r="C21" s="489">
        <f>SUMIF('Commodity Prices'!C$252:C$902,A21,'Commodity Prices'!AM$252:AM$902)</f>
        <v>75.52</v>
      </c>
      <c r="D21" s="8"/>
      <c r="E21" s="70">
        <f t="shared" si="0"/>
        <v>2004</v>
      </c>
      <c r="F21" s="70">
        <f t="shared" si="0"/>
        <v>2005</v>
      </c>
      <c r="G21" s="653">
        <f t="shared" si="1"/>
        <v>2004</v>
      </c>
      <c r="H21" s="565">
        <f t="array" ref="H21">IF($G$6="Historic Calendar Year",IFERROR(AVERAGE(IF($G21=YEAR('Commodity Prices'!C$100:C$1000),'Commodity Prices'!AK$100:AK$1000)),"n/a"),IFERROR(IF(J21=0,"n/a",J21),"n/a"))</f>
        <v>39.348333333333336</v>
      </c>
      <c r="I21" s="548">
        <f t="array" ref="I21">IF($G$6="Historic Calendar Year",IFERROR(AVERAGE(IF($G21=YEAR('Commodity Prices'!C$100:C$1000),'Commodity Prices'!AM$100:AM$1000)),"n/a"),IFERROR(IF(K21=0,"n/a",K21),"n/a"))</f>
        <v>40.995000000000005</v>
      </c>
      <c r="J21" s="228">
        <f>(SUMIFS('Commodity Prices'!$AK$9:$AK$2500,'Commodity Prices'!$A$9:$A$2500,'Petroleum - Oil - Prices'!E21,'Commodity Prices'!$B$9:$B$2500,3)+
SUMIFS('Commodity Prices'!$AK$9:$AK$2500,'Commodity Prices'!$A$9:$A$2500,'Petroleum - Oil - Prices'!E21,'Commodity Prices'!$B$9:$B$2500,4)+
SUMIFS('Commodity Prices'!$AK$9:$AK$2500,'Commodity Prices'!$A$9:$A$2500,'Petroleum - Oil - Prices'!F21,'Commodity Prices'!$B$9:$B$2500,1)+
SUMIFS('Commodity Prices'!$AK$9:$AK$2500,'Commodity Prices'!$A$9:$A$2500,'Petroleum - Oil - Prices'!F21,'Commodity Prices'!$B$9:$B$2500,2))
/(COUNTIFS('Commodity Prices'!$A$9:$A$2500,'Petroleum - Oil - Prices'!E21,'Commodity Prices'!$B$9:$B$2500,3)+
COUNTIFS('Commodity Prices'!$A$9:$A$2500,'Petroleum - Oil - Prices'!E21,'Commodity Prices'!$B$9:$B$2500,4)+
COUNTIFS('Commodity Prices'!$A$9:$A$2500,'Petroleum - Oil - Prices'!F21,'Commodity Prices'!$B$9:$B$2500,1)+
COUNTIFS('Commodity Prices'!$A$9:$A$2500,'Petroleum - Oil - Prices'!F21,'Commodity Prices'!$B$9:$B$2500,2))</f>
        <v>47.289166666666667</v>
      </c>
      <c r="K21" s="381">
        <f>(SUMIFS('Commodity Prices'!$AM$9:$AM$2500,'Commodity Prices'!$A$9:$A$2500,'Petroleum - Oil - Prices'!E21,'Commodity Prices'!$B$9:$B$2500,3)+
SUMIFS('Commodity Prices'!$AM$9:$AM$2500,'Commodity Prices'!$A$9:$A$2500,'Petroleum - Oil - Prices'!E21,'Commodity Prices'!$B$9:$B$2500,4)+
SUMIFS('Commodity Prices'!$AM$9:$AM$2500,'Commodity Prices'!$A$9:$A$2500,'Petroleum - Oil - Prices'!F21,'Commodity Prices'!$B$9:$B$2500,1)+
SUMIFS('Commodity Prices'!$AM$9:$AM$2500,'Commodity Prices'!$A$9:$A$2500,'Petroleum - Oil - Prices'!F21,'Commodity Prices'!$B$9:$B$2500,2))
/(COUNTIFS('Commodity Prices'!$A$9:$A$2500,'Petroleum - Oil - Prices'!E21,'Commodity Prices'!$B$9:$B$2500,3)+
COUNTIFS('Commodity Prices'!$A$9:$A$2500,'Petroleum - Oil - Prices'!E21,'Commodity Prices'!$B$9:$B$2500,4)+
COUNTIFS('Commodity Prices'!$A$9:$A$2500,'Petroleum - Oil - Prices'!F21,'Commodity Prices'!$B$9:$B$2500,1)+
COUNTIFS('Commodity Prices'!$A$9:$A$2500,'Petroleum - Oil - Prices'!F21,'Commodity Prices'!$B$9:$B$2500,2))</f>
        <v>49.409166666666671</v>
      </c>
    </row>
    <row r="22" spans="1:11">
      <c r="A22" s="645">
        <f>LARGE('Commodity Prices'!C$159:C$902,48)</f>
        <v>43831</v>
      </c>
      <c r="B22" s="1258">
        <f>SUMIF('Commodity Prices'!C$252:C$902,A22,'Commodity Prices'!AK$252:AK$902)</f>
        <v>63.6</v>
      </c>
      <c r="C22" s="651">
        <f>SUMIF('Commodity Prices'!C$252:C$902,A22,'Commodity Prices'!AM$252:AM$902)</f>
        <v>71.59</v>
      </c>
      <c r="D22" s="8"/>
      <c r="E22" s="70">
        <f t="shared" si="0"/>
        <v>2005</v>
      </c>
      <c r="F22" s="70">
        <f t="shared" si="0"/>
        <v>2006</v>
      </c>
      <c r="G22" s="653">
        <f t="shared" si="1"/>
        <v>2005</v>
      </c>
      <c r="H22" s="1258">
        <f t="array" ref="H22">IF($G$6="Historic Calendar Year",IFERROR(AVERAGE(IF($G22=YEAR('Commodity Prices'!C$100:C$1000),'Commodity Prices'!AK$100:AK$1000)),"n/a"),IFERROR(IF(J22=0,"n/a",J22),"n/a"))</f>
        <v>54.434999999999995</v>
      </c>
      <c r="I22" s="1473">
        <f t="array" ref="I22">IF($G$6="Historic Calendar Year",IFERROR(AVERAGE(IF($G22=YEAR('Commodity Prices'!C$100:C$1000),'Commodity Prices'!AM$100:AM$1000)),"n/a"),IFERROR(IF(K22=0,"n/a",K22),"n/a"))</f>
        <v>57.789166666666667</v>
      </c>
      <c r="J22" s="228">
        <f>(SUMIFS('Commodity Prices'!$AK$9:$AK$2500,'Commodity Prices'!$A$9:$A$2500,'Petroleum - Oil - Prices'!E22,'Commodity Prices'!$B$9:$B$2500,3)+
SUMIFS('Commodity Prices'!$AK$9:$AK$2500,'Commodity Prices'!$A$9:$A$2500,'Petroleum - Oil - Prices'!E22,'Commodity Prices'!$B$9:$B$2500,4)+
SUMIFS('Commodity Prices'!$AK$9:$AK$2500,'Commodity Prices'!$A$9:$A$2500,'Petroleum - Oil - Prices'!F22,'Commodity Prices'!$B$9:$B$2500,1)+
SUMIFS('Commodity Prices'!$AK$9:$AK$2500,'Commodity Prices'!$A$9:$A$2500,'Petroleum - Oil - Prices'!F22,'Commodity Prices'!$B$9:$B$2500,2))
/(COUNTIFS('Commodity Prices'!$A$9:$A$2500,'Petroleum - Oil - Prices'!E22,'Commodity Prices'!$B$9:$B$2500,3)+
COUNTIFS('Commodity Prices'!$A$9:$A$2500,'Petroleum - Oil - Prices'!E22,'Commodity Prices'!$B$9:$B$2500,4)+
COUNTIFS('Commodity Prices'!$A$9:$A$2500,'Petroleum - Oil - Prices'!F22,'Commodity Prices'!$B$9:$B$2500,1)+
COUNTIFS('Commodity Prices'!$A$9:$A$2500,'Petroleum - Oil - Prices'!F22,'Commodity Prices'!$B$9:$B$2500,2))</f>
        <v>62.557500000000005</v>
      </c>
      <c r="K22" s="381">
        <f>(SUMIFS('Commodity Prices'!$AM$9:$AM$2500,'Commodity Prices'!$A$9:$A$2500,'Petroleum - Oil - Prices'!E22,'Commodity Prices'!$B$9:$B$2500,3)+
SUMIFS('Commodity Prices'!$AM$9:$AM$2500,'Commodity Prices'!$A$9:$A$2500,'Petroleum - Oil - Prices'!E22,'Commodity Prices'!$B$9:$B$2500,4)+
SUMIFS('Commodity Prices'!$AM$9:$AM$2500,'Commodity Prices'!$A$9:$A$2500,'Petroleum - Oil - Prices'!F22,'Commodity Prices'!$B$9:$B$2500,1)+
SUMIFS('Commodity Prices'!$AM$9:$AM$2500,'Commodity Prices'!$A$9:$A$2500,'Petroleum - Oil - Prices'!F22,'Commodity Prices'!$B$9:$B$2500,2))
/(COUNTIFS('Commodity Prices'!$A$9:$A$2500,'Petroleum - Oil - Prices'!E22,'Commodity Prices'!$B$9:$B$2500,3)+
COUNTIFS('Commodity Prices'!$A$9:$A$2500,'Petroleum - Oil - Prices'!E22,'Commodity Prices'!$B$9:$B$2500,4)+
COUNTIFS('Commodity Prices'!$A$9:$A$2500,'Petroleum - Oil - Prices'!F22,'Commodity Prices'!$B$9:$B$2500,1)+
COUNTIFS('Commodity Prices'!$A$9:$A$2500,'Petroleum - Oil - Prices'!F22,'Commodity Prices'!$B$9:$B$2500,2))</f>
        <v>66.512500000000003</v>
      </c>
    </row>
    <row r="23" spans="1:11">
      <c r="A23" s="646">
        <f>LARGE('Commodity Prices'!C$159:C$902,47)</f>
        <v>43862</v>
      </c>
      <c r="B23" s="565">
        <f>SUMIF('Commodity Prices'!C$252:C$902,A23,'Commodity Prices'!AK$252:AK$902)</f>
        <v>55</v>
      </c>
      <c r="C23" s="489">
        <f>SUMIF('Commodity Prices'!C$252:C$902,A23,'Commodity Prices'!AM$252:AM$902)</f>
        <v>62.95</v>
      </c>
      <c r="D23" s="8"/>
      <c r="E23" s="70">
        <f t="shared" si="0"/>
        <v>2006</v>
      </c>
      <c r="F23" s="70">
        <f t="shared" si="0"/>
        <v>2007</v>
      </c>
      <c r="G23" s="653">
        <f t="shared" si="1"/>
        <v>2006</v>
      </c>
      <c r="H23" s="565">
        <f t="array" ref="H23">IF($G$6="Historic Calendar Year",IFERROR(AVERAGE(IF($G23=YEAR('Commodity Prices'!C$100:C$1000),'Commodity Prices'!AK$100:AK$1000)),"n/a"),IFERROR(IF(J23=0,"n/a",J23),"n/a"))</f>
        <v>65.370833333333337</v>
      </c>
      <c r="I23" s="548">
        <f t="array" ref="I23">IF($G$6="Historic Calendar Year",IFERROR(AVERAGE(IF($G23=YEAR('Commodity Prices'!C$100:C$1000),'Commodity Prices'!AM$100:AM$1000)),"n/a"),IFERROR(IF(K23=0,"n/a",K23),"n/a"))</f>
        <v>69.603333333333339</v>
      </c>
      <c r="J23" s="228">
        <f>(SUMIFS('Commodity Prices'!$AK$9:$AK$2500,'Commodity Prices'!$A$9:$A$2500,'Petroleum - Oil - Prices'!E23,'Commodity Prices'!$B$9:$B$2500,3)+
SUMIFS('Commodity Prices'!$AK$9:$AK$2500,'Commodity Prices'!$A$9:$A$2500,'Petroleum - Oil - Prices'!E23,'Commodity Prices'!$B$9:$B$2500,4)+
SUMIFS('Commodity Prices'!$AK$9:$AK$2500,'Commodity Prices'!$A$9:$A$2500,'Petroleum - Oil - Prices'!F23,'Commodity Prices'!$B$9:$B$2500,1)+
SUMIFS('Commodity Prices'!$AK$9:$AK$2500,'Commodity Prices'!$A$9:$A$2500,'Petroleum - Oil - Prices'!F23,'Commodity Prices'!$B$9:$B$2500,2))
/(COUNTIFS('Commodity Prices'!$A$9:$A$2500,'Petroleum - Oil - Prices'!E23,'Commodity Prices'!$B$9:$B$2500,3)+
COUNTIFS('Commodity Prices'!$A$9:$A$2500,'Petroleum - Oil - Prices'!E23,'Commodity Prices'!$B$9:$B$2500,4)+
COUNTIFS('Commodity Prices'!$A$9:$A$2500,'Petroleum - Oil - Prices'!F23,'Commodity Prices'!$B$9:$B$2500,1)+
COUNTIFS('Commodity Prices'!$A$9:$A$2500,'Petroleum - Oil - Prices'!F23,'Commodity Prices'!$B$9:$B$2500,2))</f>
        <v>64.135000000000005</v>
      </c>
      <c r="K23" s="381">
        <f>(SUMIFS('Commodity Prices'!$AM$9:$AM$2500,'Commodity Prices'!$A$9:$A$2500,'Petroleum - Oil - Prices'!E23,'Commodity Prices'!$B$9:$B$2500,3)+
SUMIFS('Commodity Prices'!$AM$9:$AM$2500,'Commodity Prices'!$A$9:$A$2500,'Petroleum - Oil - Prices'!E23,'Commodity Prices'!$B$9:$B$2500,4)+
SUMIFS('Commodity Prices'!$AM$9:$AM$2500,'Commodity Prices'!$A$9:$A$2500,'Petroleum - Oil - Prices'!F23,'Commodity Prices'!$B$9:$B$2500,1)+
SUMIFS('Commodity Prices'!$AM$9:$AM$2500,'Commodity Prices'!$A$9:$A$2500,'Petroleum - Oil - Prices'!F23,'Commodity Prices'!$B$9:$B$2500,2))
/(COUNTIFS('Commodity Prices'!$A$9:$A$2500,'Petroleum - Oil - Prices'!E23,'Commodity Prices'!$B$9:$B$2500,3)+
COUNTIFS('Commodity Prices'!$A$9:$A$2500,'Petroleum - Oil - Prices'!E23,'Commodity Prices'!$B$9:$B$2500,4)+
COUNTIFS('Commodity Prices'!$A$9:$A$2500,'Petroleum - Oil - Prices'!F23,'Commodity Prices'!$B$9:$B$2500,1)+
COUNTIFS('Commodity Prices'!$A$9:$A$2500,'Petroleum - Oil - Prices'!F23,'Commodity Prices'!$B$9:$B$2500,2))</f>
        <v>69.087500000000006</v>
      </c>
    </row>
    <row r="24" spans="1:11">
      <c r="A24" s="645">
        <f>LARGE('Commodity Prices'!C$159:C$902,46)</f>
        <v>43891</v>
      </c>
      <c r="B24" s="1258">
        <f>SUMIF('Commodity Prices'!C$252:C$902,A24,'Commodity Prices'!AK$252:AK$902)</f>
        <v>32.979999999999997</v>
      </c>
      <c r="C24" s="651">
        <f>SUMIF('Commodity Prices'!C$252:C$902,A24,'Commodity Prices'!AM$252:AM$902)</f>
        <v>41.32</v>
      </c>
      <c r="D24" s="8"/>
      <c r="E24" s="70">
        <f t="shared" si="0"/>
        <v>2007</v>
      </c>
      <c r="F24" s="70">
        <f t="shared" si="0"/>
        <v>2008</v>
      </c>
      <c r="G24" s="653">
        <f t="shared" si="1"/>
        <v>2007</v>
      </c>
      <c r="H24" s="1258">
        <f t="array" ref="H24">IF($G$6="Historic Calendar Year",IFERROR(AVERAGE(IF($G24=YEAR('Commodity Prices'!C$100:C$1000),'Commodity Prices'!AK$100:AK$1000)),"n/a"),IFERROR(IF(J24=0,"n/a",J24),"n/a"))</f>
        <v>72.697500000000005</v>
      </c>
      <c r="I24" s="1473">
        <f t="array" ref="I24">IF($G$6="Historic Calendar Year",IFERROR(AVERAGE(IF($G24=YEAR('Commodity Prices'!C$100:C$1000),'Commodity Prices'!AM$100:AM$1000)),"n/a"),IFERROR(IF(K24=0,"n/a",K24),"n/a"))</f>
        <v>78.184999999999988</v>
      </c>
      <c r="J24" s="228">
        <f>(SUMIFS('Commodity Prices'!$AK$9:$AK$2500,'Commodity Prices'!$A$9:$A$2500,'Petroleum - Oil - Prices'!E24,'Commodity Prices'!$B$9:$B$2500,3)+
SUMIFS('Commodity Prices'!$AK$9:$AK$2500,'Commodity Prices'!$A$9:$A$2500,'Petroleum - Oil - Prices'!E24,'Commodity Prices'!$B$9:$B$2500,4)+
SUMIFS('Commodity Prices'!$AK$9:$AK$2500,'Commodity Prices'!$A$9:$A$2500,'Petroleum - Oil - Prices'!F24,'Commodity Prices'!$B$9:$B$2500,1)+
SUMIFS('Commodity Prices'!$AK$9:$AK$2500,'Commodity Prices'!$A$9:$A$2500,'Petroleum - Oil - Prices'!F24,'Commodity Prices'!$B$9:$B$2500,2))
/(COUNTIFS('Commodity Prices'!$A$9:$A$2500,'Petroleum - Oil - Prices'!E24,'Commodity Prices'!$B$9:$B$2500,3)+
COUNTIFS('Commodity Prices'!$A$9:$A$2500,'Petroleum - Oil - Prices'!E24,'Commodity Prices'!$B$9:$B$2500,4)+
COUNTIFS('Commodity Prices'!$A$9:$A$2500,'Petroleum - Oil - Prices'!F24,'Commodity Prices'!$B$9:$B$2500,1)+
COUNTIFS('Commodity Prices'!$A$9:$A$2500,'Petroleum - Oil - Prices'!F24,'Commodity Prices'!$B$9:$B$2500,2))</f>
        <v>95.764166666666668</v>
      </c>
      <c r="K24" s="381">
        <f>(SUMIFS('Commodity Prices'!$AM$9:$AM$2500,'Commodity Prices'!$A$9:$A$2500,'Petroleum - Oil - Prices'!E24,'Commodity Prices'!$B$9:$B$2500,3)+
SUMIFS('Commodity Prices'!$AM$9:$AM$2500,'Commodity Prices'!$A$9:$A$2500,'Petroleum - Oil - Prices'!E24,'Commodity Prices'!$B$9:$B$2500,4)+
SUMIFS('Commodity Prices'!$AM$9:$AM$2500,'Commodity Prices'!$A$9:$A$2500,'Petroleum - Oil - Prices'!F24,'Commodity Prices'!$B$9:$B$2500,1)+
SUMIFS('Commodity Prices'!$AM$9:$AM$2500,'Commodity Prices'!$A$9:$A$2500,'Petroleum - Oil - Prices'!F24,'Commodity Prices'!$B$9:$B$2500,2))
/(COUNTIFS('Commodity Prices'!$A$9:$A$2500,'Petroleum - Oil - Prices'!E24,'Commodity Prices'!$B$9:$B$2500,3)+
COUNTIFS('Commodity Prices'!$A$9:$A$2500,'Petroleum - Oil - Prices'!E24,'Commodity Prices'!$B$9:$B$2500,4)+
COUNTIFS('Commodity Prices'!$A$9:$A$2500,'Petroleum - Oil - Prices'!F24,'Commodity Prices'!$B$9:$B$2500,1)+
COUNTIFS('Commodity Prices'!$A$9:$A$2500,'Petroleum - Oil - Prices'!F24,'Commodity Prices'!$B$9:$B$2500,2))</f>
        <v>101.46083333333335</v>
      </c>
    </row>
    <row r="25" spans="1:11">
      <c r="A25" s="646">
        <f>LARGE('Commodity Prices'!C$159:C$902,45)</f>
        <v>43922</v>
      </c>
      <c r="B25" s="565">
        <f>SUMIF('Commodity Prices'!C$252:C$902,A25,'Commodity Prices'!AK$252:AK$902)</f>
        <v>23.34</v>
      </c>
      <c r="C25" s="489">
        <f>SUMIF('Commodity Prices'!C$252:C$902,A25,'Commodity Prices'!AM$252:AM$902)</f>
        <v>27.08</v>
      </c>
      <c r="D25" s="8"/>
      <c r="E25" s="70">
        <f t="shared" ref="E25:F40" si="2">E24+1</f>
        <v>2008</v>
      </c>
      <c r="F25" s="70">
        <f t="shared" si="2"/>
        <v>2009</v>
      </c>
      <c r="G25" s="653">
        <f t="shared" si="1"/>
        <v>2008</v>
      </c>
      <c r="H25" s="565">
        <f t="array" ref="H25">IF($G$6="Historic Calendar Year",IFERROR(AVERAGE(IF($G25=YEAR('Commodity Prices'!C$100:C$1000),'Commodity Prices'!AK$100:AK$1000)),"n/a"),IFERROR(IF(J25=0,"n/a",J25),"n/a"))</f>
        <v>97.639166666666654</v>
      </c>
      <c r="I25" s="548">
        <f t="array" ref="I25">IF($G$6="Historic Calendar Year",IFERROR(AVERAGE(IF($G25=YEAR('Commodity Prices'!C$100:C$1000),'Commodity Prices'!AM$100:AM$1000)),"n/a"),IFERROR(IF(K25=0,"n/a",K25),"n/a"))</f>
        <v>103.00583333333334</v>
      </c>
      <c r="J25" s="228">
        <f>(SUMIFS('Commodity Prices'!$AK$9:$AK$2500,'Commodity Prices'!$A$9:$A$2500,'Petroleum - Oil - Prices'!E25,'Commodity Prices'!$B$9:$B$2500,3)+
SUMIFS('Commodity Prices'!$AK$9:$AK$2500,'Commodity Prices'!$A$9:$A$2500,'Petroleum - Oil - Prices'!E25,'Commodity Prices'!$B$9:$B$2500,4)+
SUMIFS('Commodity Prices'!$AK$9:$AK$2500,'Commodity Prices'!$A$9:$A$2500,'Petroleum - Oil - Prices'!F25,'Commodity Prices'!$B$9:$B$2500,1)+
SUMIFS('Commodity Prices'!$AK$9:$AK$2500,'Commodity Prices'!$A$9:$A$2500,'Petroleum - Oil - Prices'!F25,'Commodity Prices'!$B$9:$B$2500,2))
/(COUNTIFS('Commodity Prices'!$A$9:$A$2500,'Petroleum - Oil - Prices'!E25,'Commodity Prices'!$B$9:$B$2500,3)+
COUNTIFS('Commodity Prices'!$A$9:$A$2500,'Petroleum - Oil - Prices'!E25,'Commodity Prices'!$B$9:$B$2500,4)+
COUNTIFS('Commodity Prices'!$A$9:$A$2500,'Petroleum - Oil - Prices'!F25,'Commodity Prices'!$B$9:$B$2500,1)+
COUNTIFS('Commodity Prices'!$A$9:$A$2500,'Petroleum - Oil - Prices'!F25,'Commodity Prices'!$B$9:$B$2500,2))</f>
        <v>68.911666666666662</v>
      </c>
      <c r="K25" s="381">
        <f>(SUMIFS('Commodity Prices'!$AM$9:$AM$2500,'Commodity Prices'!$A$9:$A$2500,'Petroleum - Oil - Prices'!E25,'Commodity Prices'!$B$9:$B$2500,3)+
SUMIFS('Commodity Prices'!$AM$9:$AM$2500,'Commodity Prices'!$A$9:$A$2500,'Petroleum - Oil - Prices'!E25,'Commodity Prices'!$B$9:$B$2500,4)+
SUMIFS('Commodity Prices'!$AM$9:$AM$2500,'Commodity Prices'!$A$9:$A$2500,'Petroleum - Oil - Prices'!F25,'Commodity Prices'!$B$9:$B$2500,1)+
SUMIFS('Commodity Prices'!$AM$9:$AM$2500,'Commodity Prices'!$A$9:$A$2500,'Petroleum - Oil - Prices'!F25,'Commodity Prices'!$B$9:$B$2500,2))
/(COUNTIFS('Commodity Prices'!$A$9:$A$2500,'Petroleum - Oil - Prices'!E25,'Commodity Prices'!$B$9:$B$2500,3)+
COUNTIFS('Commodity Prices'!$A$9:$A$2500,'Petroleum - Oil - Prices'!E25,'Commodity Prices'!$B$9:$B$2500,4)+
COUNTIFS('Commodity Prices'!$A$9:$A$2500,'Petroleum - Oil - Prices'!F25,'Commodity Prices'!$B$9:$B$2500,1)+
COUNTIFS('Commodity Prices'!$A$9:$A$2500,'Petroleum - Oil - Prices'!F25,'Commodity Prices'!$B$9:$B$2500,2))</f>
        <v>72.328333333333333</v>
      </c>
    </row>
    <row r="26" spans="1:11">
      <c r="A26" s="645">
        <f>LARGE('Commodity Prices'!C$159:C$902,44)</f>
        <v>43952</v>
      </c>
      <c r="B26" s="1258">
        <f>SUMIF('Commodity Prices'!C$252:C$902,A26,'Commodity Prices'!AK$252:AK$902)</f>
        <v>31.02</v>
      </c>
      <c r="C26" s="651">
        <f>SUMIF('Commodity Prices'!C$252:C$902,A26,'Commodity Prices'!AM$252:AM$902)</f>
        <v>31.49</v>
      </c>
      <c r="D26" s="8"/>
      <c r="E26" s="70">
        <f t="shared" si="2"/>
        <v>2009</v>
      </c>
      <c r="F26" s="70">
        <f t="shared" si="2"/>
        <v>2010</v>
      </c>
      <c r="G26" s="653">
        <f t="shared" si="1"/>
        <v>2009</v>
      </c>
      <c r="H26" s="1258">
        <f t="array" ref="H26">IF($G$6="Historic Calendar Year",IFERROR(AVERAGE(IF($G26=YEAR('Commodity Prices'!C$100:C$1000),'Commodity Prices'!AK$100:AK$1000)),"n/a"),IFERROR(IF(J26=0,"n/a",J26),"n/a"))</f>
        <v>61.872499999999995</v>
      </c>
      <c r="I26" s="1473">
        <f t="array" ref="I26">IF($G$6="Historic Calendar Year",IFERROR(AVERAGE(IF($G26=YEAR('Commodity Prices'!C$100:C$1000),'Commodity Prices'!AM$100:AM$1000)),"n/a"),IFERROR(IF(K26=0,"n/a",K26),"n/a"))</f>
        <v>65.173333333333332</v>
      </c>
      <c r="J26" s="228">
        <f>(SUMIFS('Commodity Prices'!$AK$9:$AK$2500,'Commodity Prices'!$A$9:$A$2500,'Petroleum - Oil - Prices'!E26,'Commodity Prices'!$B$9:$B$2500,3)+
SUMIFS('Commodity Prices'!$AK$9:$AK$2500,'Commodity Prices'!$A$9:$A$2500,'Petroleum - Oil - Prices'!E26,'Commodity Prices'!$B$9:$B$2500,4)+
SUMIFS('Commodity Prices'!$AK$9:$AK$2500,'Commodity Prices'!$A$9:$A$2500,'Petroleum - Oil - Prices'!F26,'Commodity Prices'!$B$9:$B$2500,1)+
SUMIFS('Commodity Prices'!$AK$9:$AK$2500,'Commodity Prices'!$A$9:$A$2500,'Petroleum - Oil - Prices'!F26,'Commodity Prices'!$B$9:$B$2500,2))
/(COUNTIFS('Commodity Prices'!$A$9:$A$2500,'Petroleum - Oil - Prices'!E26,'Commodity Prices'!$B$9:$B$2500,3)+
COUNTIFS('Commodity Prices'!$A$9:$A$2500,'Petroleum - Oil - Prices'!E26,'Commodity Prices'!$B$9:$B$2500,4)+
COUNTIFS('Commodity Prices'!$A$9:$A$2500,'Petroleum - Oil - Prices'!F26,'Commodity Prices'!$B$9:$B$2500,1)+
COUNTIFS('Commodity Prices'!$A$9:$A$2500,'Petroleum - Oil - Prices'!F26,'Commodity Prices'!$B$9:$B$2500,2))</f>
        <v>74.418333333333337</v>
      </c>
      <c r="K26" s="381">
        <f>(SUMIFS('Commodity Prices'!$AM$9:$AM$2500,'Commodity Prices'!$A$9:$A$2500,'Petroleum - Oil - Prices'!E26,'Commodity Prices'!$B$9:$B$2500,3)+
SUMIFS('Commodity Prices'!$AM$9:$AM$2500,'Commodity Prices'!$A$9:$A$2500,'Petroleum - Oil - Prices'!E26,'Commodity Prices'!$B$9:$B$2500,4)+
SUMIFS('Commodity Prices'!$AM$9:$AM$2500,'Commodity Prices'!$A$9:$A$2500,'Petroleum - Oil - Prices'!F26,'Commodity Prices'!$B$9:$B$2500,1)+
SUMIFS('Commodity Prices'!$AM$9:$AM$2500,'Commodity Prices'!$A$9:$A$2500,'Petroleum - Oil - Prices'!F26,'Commodity Prices'!$B$9:$B$2500,2))
/(COUNTIFS('Commodity Prices'!$A$9:$A$2500,'Petroleum - Oil - Prices'!E26,'Commodity Prices'!$B$9:$B$2500,3)+
COUNTIFS('Commodity Prices'!$A$9:$A$2500,'Petroleum - Oil - Prices'!E26,'Commodity Prices'!$B$9:$B$2500,4)+
COUNTIFS('Commodity Prices'!$A$9:$A$2500,'Petroleum - Oil - Prices'!F26,'Commodity Prices'!$B$9:$B$2500,1)+
COUNTIFS('Commodity Prices'!$A$9:$A$2500,'Petroleum - Oil - Prices'!F26,'Commodity Prices'!$B$9:$B$2500,2))</f>
        <v>78.571666666666673</v>
      </c>
    </row>
    <row r="27" spans="1:11">
      <c r="A27" s="646">
        <f>LARGE('Commodity Prices'!C$159:C$902,43)</f>
        <v>43983</v>
      </c>
      <c r="B27" s="565">
        <f>SUMIF('Commodity Prices'!C$252:C$902,A27,'Commodity Prices'!AK$252:AK$902)</f>
        <v>39.93</v>
      </c>
      <c r="C27" s="489">
        <f>SUMIF('Commodity Prices'!C$252:C$902,A27,'Commodity Prices'!AM$252:AM$902)</f>
        <v>34.57</v>
      </c>
      <c r="D27" s="8"/>
      <c r="E27" s="70">
        <f t="shared" si="2"/>
        <v>2010</v>
      </c>
      <c r="F27" s="70">
        <f t="shared" si="2"/>
        <v>2011</v>
      </c>
      <c r="G27" s="653">
        <f t="shared" si="1"/>
        <v>2010</v>
      </c>
      <c r="H27" s="565">
        <f t="array" ref="H27">IF($G$6="Historic Calendar Year",IFERROR(AVERAGE(IF($G27=YEAR('Commodity Prices'!C$100:C$1000),'Commodity Prices'!AK$100:AK$1000)),"n/a"),IFERROR(IF(J27=0,"n/a",J27),"n/a"))</f>
        <v>79.385833333333323</v>
      </c>
      <c r="I27" s="548">
        <f t="array" ref="I27">IF($G$6="Historic Calendar Year",IFERROR(AVERAGE(IF($G27=YEAR('Commodity Prices'!C$100:C$1000),'Commodity Prices'!AM$100:AM$1000)),"n/a"),IFERROR(IF(K27=0,"n/a",K27),"n/a"))</f>
        <v>84.006666666666675</v>
      </c>
      <c r="J27" s="228">
        <f>(SUMIFS('Commodity Prices'!$AK$9:$AK$2500,'Commodity Prices'!$A$9:$A$2500,'Petroleum - Oil - Prices'!E27,'Commodity Prices'!$B$9:$B$2500,3)+
SUMIFS('Commodity Prices'!$AK$9:$AK$2500,'Commodity Prices'!$A$9:$A$2500,'Petroleum - Oil - Prices'!E27,'Commodity Prices'!$B$9:$B$2500,4)+
SUMIFS('Commodity Prices'!$AK$9:$AK$2500,'Commodity Prices'!$A$9:$A$2500,'Petroleum - Oil - Prices'!F27,'Commodity Prices'!$B$9:$B$2500,1)+
SUMIFS('Commodity Prices'!$AK$9:$AK$2500,'Commodity Prices'!$A$9:$A$2500,'Petroleum - Oil - Prices'!F27,'Commodity Prices'!$B$9:$B$2500,2))
/(COUNTIFS('Commodity Prices'!$A$9:$A$2500,'Petroleum - Oil - Prices'!E27,'Commodity Prices'!$B$9:$B$2500,3)+
COUNTIFS('Commodity Prices'!$A$9:$A$2500,'Petroleum - Oil - Prices'!E27,'Commodity Prices'!$B$9:$B$2500,4)+
COUNTIFS('Commodity Prices'!$A$9:$A$2500,'Petroleum - Oil - Prices'!F27,'Commodity Prices'!$B$9:$B$2500,1)+
COUNTIFS('Commodity Prices'!$A$9:$A$2500,'Petroleum - Oil - Prices'!F27,'Commodity Prices'!$B$9:$B$2500,2))</f>
        <v>95.94</v>
      </c>
      <c r="K27" s="381">
        <f>(SUMIFS('Commodity Prices'!$AM$9:$AM$2500,'Commodity Prices'!$A$9:$A$2500,'Petroleum - Oil - Prices'!E27,'Commodity Prices'!$B$9:$B$2500,3)+
SUMIFS('Commodity Prices'!$AM$9:$AM$2500,'Commodity Prices'!$A$9:$A$2500,'Petroleum - Oil - Prices'!E27,'Commodity Prices'!$B$9:$B$2500,4)+
SUMIFS('Commodity Prices'!$AM$9:$AM$2500,'Commodity Prices'!$A$9:$A$2500,'Petroleum - Oil - Prices'!F27,'Commodity Prices'!$B$9:$B$2500,1)+
SUMIFS('Commodity Prices'!$AM$9:$AM$2500,'Commodity Prices'!$A$9:$A$2500,'Petroleum - Oil - Prices'!F27,'Commodity Prices'!$B$9:$B$2500,2))
/(COUNTIFS('Commodity Prices'!$A$9:$A$2500,'Petroleum - Oil - Prices'!E27,'Commodity Prices'!$B$9:$B$2500,3)+
COUNTIFS('Commodity Prices'!$A$9:$A$2500,'Petroleum - Oil - Prices'!E27,'Commodity Prices'!$B$9:$B$2500,4)+
COUNTIFS('Commodity Prices'!$A$9:$A$2500,'Petroleum - Oil - Prices'!F27,'Commodity Prices'!$B$9:$B$2500,1)+
COUNTIFS('Commodity Prices'!$A$9:$A$2500,'Petroleum - Oil - Prices'!F27,'Commodity Prices'!$B$9:$B$2500,2))</f>
        <v>101.2975</v>
      </c>
    </row>
    <row r="28" spans="1:11">
      <c r="A28" s="645">
        <f>LARGE('Commodity Prices'!C$159:C$902,42)</f>
        <v>44013</v>
      </c>
      <c r="B28" s="1258">
        <f>SUMIF('Commodity Prices'!C$252:C$902,A28,'Commodity Prices'!AK$252:AK$902)</f>
        <v>42.81</v>
      </c>
      <c r="C28" s="651">
        <f>SUMIF('Commodity Prices'!C$252:C$902,A28,'Commodity Prices'!AM$252:AM$902)</f>
        <v>43.8</v>
      </c>
      <c r="D28" s="8"/>
      <c r="E28" s="70">
        <f t="shared" si="2"/>
        <v>2011</v>
      </c>
      <c r="F28" s="70">
        <f t="shared" si="2"/>
        <v>2012</v>
      </c>
      <c r="G28" s="653">
        <f t="shared" si="1"/>
        <v>2011</v>
      </c>
      <c r="H28" s="1258">
        <f t="array" ref="H28">IF($G$6="Historic Calendar Year",IFERROR(AVERAGE(IF($G28=YEAR('Commodity Prices'!C$100:C$1000),'Commodity Prices'!AK$100:AK$1000)),"n/a"),IFERROR(IF(J28=0,"n/a",J28),"n/a"))</f>
        <v>110.57833333333333</v>
      </c>
      <c r="I28" s="1473">
        <f t="array" ref="I28">IF($G$6="Historic Calendar Year",IFERROR(AVERAGE(IF($G28=YEAR('Commodity Prices'!C$100:C$1000),'Commodity Prices'!AM$100:AM$1000)),"n/a"),IFERROR(IF(K28=0,"n/a",K28),"n/a"))</f>
        <v>117.91666666666667</v>
      </c>
      <c r="J28" s="228">
        <f>(SUMIFS('Commodity Prices'!$AK$9:$AK$2500,'Commodity Prices'!$A$9:$A$2500,'Petroleum - Oil - Prices'!E28,'Commodity Prices'!$B$9:$B$2500,3)+
SUMIFS('Commodity Prices'!$AK$9:$AK$2500,'Commodity Prices'!$A$9:$A$2500,'Petroleum - Oil - Prices'!E28,'Commodity Prices'!$B$9:$B$2500,4)+
SUMIFS('Commodity Prices'!$AK$9:$AK$2500,'Commodity Prices'!$A$9:$A$2500,'Petroleum - Oil - Prices'!F28,'Commodity Prices'!$B$9:$B$2500,1)+
SUMIFS('Commodity Prices'!$AK$9:$AK$2500,'Commodity Prices'!$A$9:$A$2500,'Petroleum - Oil - Prices'!F28,'Commodity Prices'!$B$9:$B$2500,2))
/(COUNTIFS('Commodity Prices'!$A$9:$A$2500,'Petroleum - Oil - Prices'!E28,'Commodity Prices'!$B$9:$B$2500,3)+
COUNTIFS('Commodity Prices'!$A$9:$A$2500,'Petroleum - Oil - Prices'!E28,'Commodity Prices'!$B$9:$B$2500,4)+
COUNTIFS('Commodity Prices'!$A$9:$A$2500,'Petroleum - Oil - Prices'!F28,'Commodity Prices'!$B$9:$B$2500,1)+
COUNTIFS('Commodity Prices'!$A$9:$A$2500,'Petroleum - Oil - Prices'!F28,'Commodity Prices'!$B$9:$B$2500,2))</f>
        <v>112.27166666666666</v>
      </c>
      <c r="K28" s="381">
        <f>(SUMIFS('Commodity Prices'!$AM$9:$AM$2500,'Commodity Prices'!$A$9:$A$2500,'Petroleum - Oil - Prices'!E28,'Commodity Prices'!$B$9:$B$2500,3)+
SUMIFS('Commodity Prices'!$AM$9:$AM$2500,'Commodity Prices'!$A$9:$A$2500,'Petroleum - Oil - Prices'!E28,'Commodity Prices'!$B$9:$B$2500,4)+
SUMIFS('Commodity Prices'!$AM$9:$AM$2500,'Commodity Prices'!$A$9:$A$2500,'Petroleum - Oil - Prices'!F28,'Commodity Prices'!$B$9:$B$2500,1)+
SUMIFS('Commodity Prices'!$AM$9:$AM$2500,'Commodity Prices'!$A$9:$A$2500,'Petroleum - Oil - Prices'!F28,'Commodity Prices'!$B$9:$B$2500,2))
/(COUNTIFS('Commodity Prices'!$A$9:$A$2500,'Petroleum - Oil - Prices'!E28,'Commodity Prices'!$B$9:$B$2500,3)+
COUNTIFS('Commodity Prices'!$A$9:$A$2500,'Petroleum - Oil - Prices'!E28,'Commodity Prices'!$B$9:$B$2500,4)+
COUNTIFS('Commodity Prices'!$A$9:$A$2500,'Petroleum - Oil - Prices'!F28,'Commodity Prices'!$B$9:$B$2500,1)+
COUNTIFS('Commodity Prices'!$A$9:$A$2500,'Petroleum - Oil - Prices'!F28,'Commodity Prices'!$B$9:$B$2500,2))</f>
        <v>120.74833333333333</v>
      </c>
    </row>
    <row r="29" spans="1:11">
      <c r="A29" s="646">
        <f>LARGE('Commodity Prices'!C$159:C$902,41)</f>
        <v>44044</v>
      </c>
      <c r="B29" s="565">
        <f>SUMIF('Commodity Prices'!C$252:C$902,A29,'Commodity Prices'!AK$252:AK$902)</f>
        <v>44.26</v>
      </c>
      <c r="C29" s="489">
        <f>SUMIF('Commodity Prices'!C$252:C$902,A29,'Commodity Prices'!AM$252:AM$902)</f>
        <v>46.35</v>
      </c>
      <c r="D29" s="8"/>
      <c r="E29" s="70">
        <f t="shared" si="2"/>
        <v>2012</v>
      </c>
      <c r="F29" s="70">
        <f t="shared" si="2"/>
        <v>2013</v>
      </c>
      <c r="G29" s="653">
        <f t="shared" si="1"/>
        <v>2012</v>
      </c>
      <c r="H29" s="565">
        <f t="array" ref="H29">IF($G$6="Historic Calendar Year",IFERROR(AVERAGE(IF($G29=YEAR('Commodity Prices'!C$100:C$1000),'Commodity Prices'!AK$100:AK$1000)),"n/a"),IFERROR(IF(J29=0,"n/a",J29),"n/a"))</f>
        <v>111.93083333333334</v>
      </c>
      <c r="I29" s="548">
        <f t="array" ref="I29">IF($G$6="Historic Calendar Year",IFERROR(AVERAGE(IF($G29=YEAR('Commodity Prices'!C$100:C$1000),'Commodity Prices'!AM$100:AM$1000)),"n/a"),IFERROR(IF(K29=0,"n/a",K29),"n/a"))</f>
        <v>118.13499999999999</v>
      </c>
      <c r="J29" s="228">
        <f>(SUMIFS('Commodity Prices'!$AK$9:$AK$2500,'Commodity Prices'!$A$9:$A$2500,'Petroleum - Oil - Prices'!E29,'Commodity Prices'!$B$9:$B$2500,3)+
SUMIFS('Commodity Prices'!$AK$9:$AK$2500,'Commodity Prices'!$A$9:$A$2500,'Petroleum - Oil - Prices'!E29,'Commodity Prices'!$B$9:$B$2500,4)+
SUMIFS('Commodity Prices'!$AK$9:$AK$2500,'Commodity Prices'!$A$9:$A$2500,'Petroleum - Oil - Prices'!F29,'Commodity Prices'!$B$9:$B$2500,1)+
SUMIFS('Commodity Prices'!$AK$9:$AK$2500,'Commodity Prices'!$A$9:$A$2500,'Petroleum - Oil - Prices'!F29,'Commodity Prices'!$B$9:$B$2500,2))
/(COUNTIFS('Commodity Prices'!$A$9:$A$2500,'Petroleum - Oil - Prices'!E29,'Commodity Prices'!$B$9:$B$2500,3)+
COUNTIFS('Commodity Prices'!$A$9:$A$2500,'Petroleum - Oil - Prices'!E29,'Commodity Prices'!$B$9:$B$2500,4)+
COUNTIFS('Commodity Prices'!$A$9:$A$2500,'Petroleum - Oil - Prices'!F29,'Commodity Prices'!$B$9:$B$2500,1)+
COUNTIFS('Commodity Prices'!$A$9:$A$2500,'Petroleum - Oil - Prices'!F29,'Commodity Prices'!$B$9:$B$2500,2))</f>
        <v>109.07083333333334</v>
      </c>
      <c r="K29" s="381">
        <f>(SUMIFS('Commodity Prices'!$AM$9:$AM$2500,'Commodity Prices'!$A$9:$A$2500,'Petroleum - Oil - Prices'!E29,'Commodity Prices'!$B$9:$B$2500,3)+
SUMIFS('Commodity Prices'!$AM$9:$AM$2500,'Commodity Prices'!$A$9:$A$2500,'Petroleum - Oil - Prices'!E29,'Commodity Prices'!$B$9:$B$2500,4)+
SUMIFS('Commodity Prices'!$AM$9:$AM$2500,'Commodity Prices'!$A$9:$A$2500,'Petroleum - Oil - Prices'!F29,'Commodity Prices'!$B$9:$B$2500,1)+
SUMIFS('Commodity Prices'!$AM$9:$AM$2500,'Commodity Prices'!$A$9:$A$2500,'Petroleum - Oil - Prices'!F29,'Commodity Prices'!$B$9:$B$2500,2))
/(COUNTIFS('Commodity Prices'!$A$9:$A$2500,'Petroleum - Oil - Prices'!E29,'Commodity Prices'!$B$9:$B$2500,3)+
COUNTIFS('Commodity Prices'!$A$9:$A$2500,'Petroleum - Oil - Prices'!E29,'Commodity Prices'!$B$9:$B$2500,4)+
COUNTIFS('Commodity Prices'!$A$9:$A$2500,'Petroleum - Oil - Prices'!F29,'Commodity Prices'!$B$9:$B$2500,1)+
COUNTIFS('Commodity Prices'!$A$9:$A$2500,'Petroleum - Oil - Prices'!F29,'Commodity Prices'!$B$9:$B$2500,2))</f>
        <v>114.19500000000001</v>
      </c>
    </row>
    <row r="30" spans="1:11">
      <c r="A30" s="645">
        <f>LARGE('Commodity Prices'!C$159:C$902,40)</f>
        <v>44075</v>
      </c>
      <c r="B30" s="1258">
        <f>SUMIF('Commodity Prices'!C$252:C$902,A30,'Commodity Prices'!AK$252:AK$902)</f>
        <v>41.09</v>
      </c>
      <c r="C30" s="651">
        <f>SUMIF('Commodity Prices'!C$252:C$902,A30,'Commodity Prices'!AM$252:AM$902)</f>
        <v>42.38</v>
      </c>
      <c r="D30" s="8"/>
      <c r="E30" s="70">
        <f t="shared" si="2"/>
        <v>2013</v>
      </c>
      <c r="F30" s="70">
        <f t="shared" si="2"/>
        <v>2014</v>
      </c>
      <c r="G30" s="653">
        <f t="shared" si="1"/>
        <v>2013</v>
      </c>
      <c r="H30" s="1258">
        <f t="array" ref="H30">IF($G$6="Historic Calendar Year",IFERROR(AVERAGE(IF($G30=YEAR('Commodity Prices'!C$100:C$1000),'Commodity Prices'!AK$100:AK$1000)),"n/a"),IFERROR(IF(J30=0,"n/a",J30),"n/a"))</f>
        <v>108.85083333333334</v>
      </c>
      <c r="I30" s="1473">
        <f t="array" ref="I30">IF($G$6="Historic Calendar Year",IFERROR(AVERAGE(IF($G30=YEAR('Commodity Prices'!C$100:C$1000),'Commodity Prices'!AM$100:AM$1000)),"n/a"),IFERROR(IF(K30=0,"n/a",K30),"n/a"))</f>
        <v>115.15666666666665</v>
      </c>
      <c r="J30" s="228">
        <f>(SUMIFS('Commodity Prices'!$AK$9:$AK$2500,'Commodity Prices'!$A$9:$A$2500,'Petroleum - Oil - Prices'!E30,'Commodity Prices'!$B$9:$B$2500,3)+
SUMIFS('Commodity Prices'!$AK$9:$AK$2500,'Commodity Prices'!$A$9:$A$2500,'Petroleum - Oil - Prices'!E30,'Commodity Prices'!$B$9:$B$2500,4)+
SUMIFS('Commodity Prices'!$AK$9:$AK$2500,'Commodity Prices'!$A$9:$A$2500,'Petroleum - Oil - Prices'!F30,'Commodity Prices'!$B$9:$B$2500,1)+
SUMIFS('Commodity Prices'!$AK$9:$AK$2500,'Commodity Prices'!$A$9:$A$2500,'Petroleum - Oil - Prices'!F30,'Commodity Prices'!$B$9:$B$2500,2))
/(COUNTIFS('Commodity Prices'!$A$9:$A$2500,'Petroleum - Oil - Prices'!E30,'Commodity Prices'!$B$9:$B$2500,3)+
COUNTIFS('Commodity Prices'!$A$9:$A$2500,'Petroleum - Oil - Prices'!E30,'Commodity Prices'!$B$9:$B$2500,4)+
COUNTIFS('Commodity Prices'!$A$9:$A$2500,'Petroleum - Oil - Prices'!F30,'Commodity Prices'!$B$9:$B$2500,1)+
COUNTIFS('Commodity Prices'!$A$9:$A$2500,'Petroleum - Oil - Prices'!F30,'Commodity Prices'!$B$9:$B$2500,2))</f>
        <v>109.295</v>
      </c>
      <c r="K30" s="381">
        <f>(SUMIFS('Commodity Prices'!$AM$9:$AM$2500,'Commodity Prices'!$A$9:$A$2500,'Petroleum - Oil - Prices'!E30,'Commodity Prices'!$B$9:$B$2500,3)+
SUMIFS('Commodity Prices'!$AM$9:$AM$2500,'Commodity Prices'!$A$9:$A$2500,'Petroleum - Oil - Prices'!E30,'Commodity Prices'!$B$9:$B$2500,4)+
SUMIFS('Commodity Prices'!$AM$9:$AM$2500,'Commodity Prices'!$A$9:$A$2500,'Petroleum - Oil - Prices'!F30,'Commodity Prices'!$B$9:$B$2500,1)+
SUMIFS('Commodity Prices'!$AM$9:$AM$2500,'Commodity Prices'!$A$9:$A$2500,'Petroleum - Oil - Prices'!F30,'Commodity Prices'!$B$9:$B$2500,2))
/(COUNTIFS('Commodity Prices'!$A$9:$A$2500,'Petroleum - Oil - Prices'!E30,'Commodity Prices'!$B$9:$B$2500,3)+
COUNTIFS('Commodity Prices'!$A$9:$A$2500,'Petroleum - Oil - Prices'!E30,'Commodity Prices'!$B$9:$B$2500,4)+
COUNTIFS('Commodity Prices'!$A$9:$A$2500,'Petroleum - Oil - Prices'!F30,'Commodity Prices'!$B$9:$B$2500,1)+
COUNTIFS('Commodity Prices'!$A$9:$A$2500,'Petroleum - Oil - Prices'!F30,'Commodity Prices'!$B$9:$B$2500,2))</f>
        <v>115.62166666666667</v>
      </c>
    </row>
    <row r="31" spans="1:11">
      <c r="A31" s="646">
        <f>LARGE('Commodity Prices'!C$159:C$902,39)</f>
        <v>44105</v>
      </c>
      <c r="B31" s="565">
        <f>SUMIF('Commodity Prices'!C$252:C$902,A31,'Commodity Prices'!AK$252:AK$902)</f>
        <v>40.47</v>
      </c>
      <c r="C31" s="489">
        <f>SUMIF('Commodity Prices'!C$252:C$902,A31,'Commodity Prices'!AM$252:AM$902)</f>
        <v>39.450000000000003</v>
      </c>
      <c r="D31" s="8"/>
      <c r="E31" s="70">
        <f t="shared" si="2"/>
        <v>2014</v>
      </c>
      <c r="F31" s="70">
        <f t="shared" si="2"/>
        <v>2015</v>
      </c>
      <c r="G31" s="653">
        <f t="shared" si="1"/>
        <v>2014</v>
      </c>
      <c r="H31" s="565">
        <f t="array" ref="H31">IF($G$6="Historic Calendar Year",IFERROR(AVERAGE(IF($G31=YEAR('Commodity Prices'!C$100:C$1000),'Commodity Prices'!AK$100:AK$1000)),"n/a"),IFERROR(IF(J31=0,"n/a",J31),"n/a"))</f>
        <v>98.958333333333329</v>
      </c>
      <c r="I31" s="548">
        <f t="array" ref="I31">IF($G$6="Historic Calendar Year",IFERROR(AVERAGE(IF($G31=YEAR('Commodity Prices'!C$100:C$1000),'Commodity Prices'!AM$100:AM$1000)),"n/a"),IFERROR(IF(K31=0,"n/a",K31),"n/a"))</f>
        <v>103.81749999999998</v>
      </c>
      <c r="J31" s="228">
        <f>(SUMIFS('Commodity Prices'!$AK$9:$AK$2500,'Commodity Prices'!$A$9:$A$2500,'Petroleum - Oil - Prices'!E31,'Commodity Prices'!$B$9:$B$2500,3)+
SUMIFS('Commodity Prices'!$AK$9:$AK$2500,'Commodity Prices'!$A$9:$A$2500,'Petroleum - Oil - Prices'!E31,'Commodity Prices'!$B$9:$B$2500,4)+
SUMIFS('Commodity Prices'!$AK$9:$AK$2500,'Commodity Prices'!$A$9:$A$2500,'Petroleum - Oil - Prices'!F31,'Commodity Prices'!$B$9:$B$2500,1)+
SUMIFS('Commodity Prices'!$AK$9:$AK$2500,'Commodity Prices'!$A$9:$A$2500,'Petroleum - Oil - Prices'!F31,'Commodity Prices'!$B$9:$B$2500,2))
/(COUNTIFS('Commodity Prices'!$A$9:$A$2500,'Petroleum - Oil - Prices'!E31,'Commodity Prices'!$B$9:$B$2500,3)+
COUNTIFS('Commodity Prices'!$A$9:$A$2500,'Petroleum - Oil - Prices'!E31,'Commodity Prices'!$B$9:$B$2500,4)+
COUNTIFS('Commodity Prices'!$A$9:$A$2500,'Petroleum - Oil - Prices'!F31,'Commodity Prices'!$B$9:$B$2500,1)+
COUNTIFS('Commodity Prices'!$A$9:$A$2500,'Petroleum - Oil - Prices'!F31,'Commodity Prices'!$B$9:$B$2500,2))</f>
        <v>73.548333333333332</v>
      </c>
      <c r="K31" s="381">
        <f>(SUMIFS('Commodity Prices'!$AM$9:$AM$2500,'Commodity Prices'!$A$9:$A$2500,'Petroleum - Oil - Prices'!E31,'Commodity Prices'!$B$9:$B$2500,3)+
SUMIFS('Commodity Prices'!$AM$9:$AM$2500,'Commodity Prices'!$A$9:$A$2500,'Petroleum - Oil - Prices'!E31,'Commodity Prices'!$B$9:$B$2500,4)+
SUMIFS('Commodity Prices'!$AM$9:$AM$2500,'Commodity Prices'!$A$9:$A$2500,'Petroleum - Oil - Prices'!F31,'Commodity Prices'!$B$9:$B$2500,1)+
SUMIFS('Commodity Prices'!$AM$9:$AM$2500,'Commodity Prices'!$A$9:$A$2500,'Petroleum - Oil - Prices'!F31,'Commodity Prices'!$B$9:$B$2500,2))
/(COUNTIFS('Commodity Prices'!$A$9:$A$2500,'Petroleum - Oil - Prices'!E31,'Commodity Prices'!$B$9:$B$2500,3)+
COUNTIFS('Commodity Prices'!$A$9:$A$2500,'Petroleum - Oil - Prices'!E31,'Commodity Prices'!$B$9:$B$2500,4)+
COUNTIFS('Commodity Prices'!$A$9:$A$2500,'Petroleum - Oil - Prices'!F31,'Commodity Prices'!$B$9:$B$2500,1)+
COUNTIFS('Commodity Prices'!$A$9:$A$2500,'Petroleum - Oil - Prices'!F31,'Commodity Prices'!$B$9:$B$2500,2))</f>
        <v>76.696666666666673</v>
      </c>
    </row>
    <row r="32" spans="1:11">
      <c r="A32" s="645">
        <f>LARGE('Commodity Prices'!C$159:C$902,38)</f>
        <v>44136</v>
      </c>
      <c r="B32" s="1258">
        <f>SUMIF('Commodity Prices'!C$252:C$902,A32,'Commodity Prices'!AK$252:AK$902)</f>
        <v>43.22</v>
      </c>
      <c r="C32" s="651">
        <f>SUMIF('Commodity Prices'!C$252:C$902,A32,'Commodity Prices'!AM$252:AM$902)</f>
        <v>41.24</v>
      </c>
      <c r="D32" s="8"/>
      <c r="E32" s="70">
        <f t="shared" si="2"/>
        <v>2015</v>
      </c>
      <c r="F32" s="70">
        <f t="shared" si="2"/>
        <v>2016</v>
      </c>
      <c r="G32" s="653">
        <f t="shared" si="1"/>
        <v>2015</v>
      </c>
      <c r="H32" s="1258">
        <f t="array" ref="H32">IF($G$6="Historic Calendar Year",IFERROR(AVERAGE(IF($G32=YEAR('Commodity Prices'!C$100:C$1000),'Commodity Prices'!AK$100:AK$1000)),"n/a"),IFERROR(IF(J32=0,"n/a",J32),"n/a"))</f>
        <v>52.381666666666682</v>
      </c>
      <c r="I32" s="1473">
        <f t="array" ref="I32">IF($G$6="Historic Calendar Year",IFERROR(AVERAGE(IF($G32=YEAR('Commodity Prices'!C$100:C$1000),'Commodity Prices'!AM$100:AM$1000)),"n/a"),IFERROR(IF(K32=0,"n/a",K32),"n/a"))</f>
        <v>54.357500000000009</v>
      </c>
      <c r="J32" s="228">
        <f>(SUMIFS('Commodity Prices'!$AK$9:$AK$2500,'Commodity Prices'!$A$9:$A$2500,'Petroleum - Oil - Prices'!E32,'Commodity Prices'!$B$9:$B$2500,3)+
SUMIFS('Commodity Prices'!$AK$9:$AK$2500,'Commodity Prices'!$A$9:$A$2500,'Petroleum - Oil - Prices'!E32,'Commodity Prices'!$B$9:$B$2500,4)+
SUMIFS('Commodity Prices'!$AK$9:$AK$2500,'Commodity Prices'!$A$9:$A$2500,'Petroleum - Oil - Prices'!F32,'Commodity Prices'!$B$9:$B$2500,1)+
SUMIFS('Commodity Prices'!$AK$9:$AK$2500,'Commodity Prices'!$A$9:$A$2500,'Petroleum - Oil - Prices'!F32,'Commodity Prices'!$B$9:$B$2500,2))
/(COUNTIFS('Commodity Prices'!$A$9:$A$2500,'Petroleum - Oil - Prices'!E32,'Commodity Prices'!$B$9:$B$2500,3)+
COUNTIFS('Commodity Prices'!$A$9:$A$2500,'Petroleum - Oil - Prices'!E32,'Commodity Prices'!$B$9:$B$2500,4)+
COUNTIFS('Commodity Prices'!$A$9:$A$2500,'Petroleum - Oil - Prices'!F32,'Commodity Prices'!$B$9:$B$2500,1)+
COUNTIFS('Commodity Prices'!$A$9:$A$2500,'Petroleum - Oil - Prices'!F32,'Commodity Prices'!$B$9:$B$2500,2))</f>
        <v>43.469166666666666</v>
      </c>
      <c r="K32" s="381">
        <f>(SUMIFS('Commodity Prices'!$AM$9:$AM$2500,'Commodity Prices'!$A$9:$A$2500,'Petroleum - Oil - Prices'!E32,'Commodity Prices'!$B$9:$B$2500,3)+
SUMIFS('Commodity Prices'!$AM$9:$AM$2500,'Commodity Prices'!$A$9:$A$2500,'Petroleum - Oil - Prices'!E32,'Commodity Prices'!$B$9:$B$2500,4)+
SUMIFS('Commodity Prices'!$AM$9:$AM$2500,'Commodity Prices'!$A$9:$A$2500,'Petroleum - Oil - Prices'!F32,'Commodity Prices'!$B$9:$B$2500,1)+
SUMIFS('Commodity Prices'!$AM$9:$AM$2500,'Commodity Prices'!$A$9:$A$2500,'Petroleum - Oil - Prices'!F32,'Commodity Prices'!$B$9:$B$2500,2))
/(COUNTIFS('Commodity Prices'!$A$9:$A$2500,'Petroleum - Oil - Prices'!E32,'Commodity Prices'!$B$9:$B$2500,3)+
COUNTIFS('Commodity Prices'!$A$9:$A$2500,'Petroleum - Oil - Prices'!E32,'Commodity Prices'!$B$9:$B$2500,4)+
COUNTIFS('Commodity Prices'!$A$9:$A$2500,'Petroleum - Oil - Prices'!F32,'Commodity Prices'!$B$9:$B$2500,1)+
COUNTIFS('Commodity Prices'!$A$9:$A$2500,'Petroleum - Oil - Prices'!F32,'Commodity Prices'!$B$9:$B$2500,2))</f>
        <v>45.047500000000007</v>
      </c>
    </row>
    <row r="33" spans="1:11">
      <c r="A33" s="646">
        <f>LARGE('Commodity Prices'!C$159:C$902,37)</f>
        <v>44166</v>
      </c>
      <c r="B33" s="565">
        <f>SUMIF('Commodity Prices'!C$252:C$902,A33,'Commodity Prices'!AK$252:AK$902)</f>
        <v>49.87</v>
      </c>
      <c r="C33" s="489">
        <f>SUMIF('Commodity Prices'!C$252:C$902,A33,'Commodity Prices'!AM$252:AM$902)</f>
        <v>49.55</v>
      </c>
      <c r="D33" s="8"/>
      <c r="E33" s="70">
        <f t="shared" si="2"/>
        <v>2016</v>
      </c>
      <c r="F33" s="70">
        <f t="shared" si="2"/>
        <v>2017</v>
      </c>
      <c r="G33" s="653">
        <f t="shared" si="1"/>
        <v>2016</v>
      </c>
      <c r="H33" s="565">
        <f t="array" ref="H33">IF($G$6="Historic Calendar Year",IFERROR(AVERAGE(IF($G33=YEAR('Commodity Prices'!C$100:C$1000),'Commodity Prices'!AK$100:AK$1000)),"n/a"),IFERROR(IF(J33=0,"n/a",J33),"n/a"))</f>
        <v>44.064166666666665</v>
      </c>
      <c r="I33" s="548">
        <f t="array" ref="I33">IF($G$6="Historic Calendar Year",IFERROR(AVERAGE(IF($G33=YEAR('Commodity Prices'!C$100:C$1000),'Commodity Prices'!AM$100:AM$1000)),"n/a"),IFERROR(IF(K33=0,"n/a",K33),"n/a"))</f>
        <v>45.410833333333329</v>
      </c>
      <c r="J33" s="228">
        <f>(SUMIFS('Commodity Prices'!$AK$9:$AK$2500,'Commodity Prices'!$A$9:$A$2500,'Petroleum - Oil - Prices'!E33,'Commodity Prices'!$B$9:$B$2500,3)+
SUMIFS('Commodity Prices'!$AK$9:$AK$2500,'Commodity Prices'!$A$9:$A$2500,'Petroleum - Oil - Prices'!E33,'Commodity Prices'!$B$9:$B$2500,4)+
SUMIFS('Commodity Prices'!$AK$9:$AK$2500,'Commodity Prices'!$A$9:$A$2500,'Petroleum - Oil - Prices'!F33,'Commodity Prices'!$B$9:$B$2500,1)+
SUMIFS('Commodity Prices'!$AK$9:$AK$2500,'Commodity Prices'!$A$9:$A$2500,'Petroleum - Oil - Prices'!F33,'Commodity Prices'!$B$9:$B$2500,2))
/(COUNTIFS('Commodity Prices'!$A$9:$A$2500,'Petroleum - Oil - Prices'!E33,'Commodity Prices'!$B$9:$B$2500,3)+
COUNTIFS('Commodity Prices'!$A$9:$A$2500,'Petroleum - Oil - Prices'!E33,'Commodity Prices'!$B$9:$B$2500,4)+
COUNTIFS('Commodity Prices'!$A$9:$A$2500,'Petroleum - Oil - Prices'!F33,'Commodity Prices'!$B$9:$B$2500,1)+
COUNTIFS('Commodity Prices'!$A$9:$A$2500,'Petroleum - Oil - Prices'!F33,'Commodity Prices'!$B$9:$B$2500,2))</f>
        <v>50.060833333333335</v>
      </c>
      <c r="K33" s="381">
        <f>(SUMIFS('Commodity Prices'!$AM$9:$AM$2500,'Commodity Prices'!$A$9:$A$2500,'Petroleum - Oil - Prices'!E33,'Commodity Prices'!$B$9:$B$2500,3)+
SUMIFS('Commodity Prices'!$AM$9:$AM$2500,'Commodity Prices'!$A$9:$A$2500,'Petroleum - Oil - Prices'!E33,'Commodity Prices'!$B$9:$B$2500,4)+
SUMIFS('Commodity Prices'!$AM$9:$AM$2500,'Commodity Prices'!$A$9:$A$2500,'Petroleum - Oil - Prices'!F33,'Commodity Prices'!$B$9:$B$2500,1)+
SUMIFS('Commodity Prices'!$AM$9:$AM$2500,'Commodity Prices'!$A$9:$A$2500,'Petroleum - Oil - Prices'!F33,'Commodity Prices'!$B$9:$B$2500,2))
/(COUNTIFS('Commodity Prices'!$A$9:$A$2500,'Petroleum - Oil - Prices'!E33,'Commodity Prices'!$B$9:$B$2500,3)+
COUNTIFS('Commodity Prices'!$A$9:$A$2500,'Petroleum - Oil - Prices'!E33,'Commodity Prices'!$B$9:$B$2500,4)+
COUNTIFS('Commodity Prices'!$A$9:$A$2500,'Petroleum - Oil - Prices'!F33,'Commodity Prices'!$B$9:$B$2500,1)+
COUNTIFS('Commodity Prices'!$A$9:$A$2500,'Petroleum - Oil - Prices'!F33,'Commodity Prices'!$B$9:$B$2500,2))</f>
        <v>51.377499999999998</v>
      </c>
    </row>
    <row r="34" spans="1:11">
      <c r="A34" s="645">
        <f>LARGE('Commodity Prices'!C$159:C$902,36)</f>
        <v>44197</v>
      </c>
      <c r="B34" s="1258">
        <f>SUMIF('Commodity Prices'!C$252:C$902,A34,'Commodity Prices'!AK$252:AK$902)</f>
        <v>54.55</v>
      </c>
      <c r="C34" s="651">
        <f>SUMIF('Commodity Prices'!C$252:C$902,A34,'Commodity Prices'!AM$252:AM$902)</f>
        <v>55.49</v>
      </c>
      <c r="D34" s="8"/>
      <c r="E34" s="70">
        <f t="shared" si="2"/>
        <v>2017</v>
      </c>
      <c r="F34" s="70">
        <f t="shared" si="2"/>
        <v>2018</v>
      </c>
      <c r="G34" s="653">
        <f t="shared" si="1"/>
        <v>2017</v>
      </c>
      <c r="H34" s="1258">
        <f t="array" ref="H34">IF($G$6="Historic Calendar Year",IFERROR(AVERAGE(IF($G34=YEAR('Commodity Prices'!C$100:C$1000),'Commodity Prices'!AK$100:AK$1000)),"n/a"),IFERROR(IF(J34=0,"n/a",J34),"n/a"))</f>
        <v>54.392500000000005</v>
      </c>
      <c r="I34" s="1473">
        <f t="array" ref="I34">IF($G$6="Historic Calendar Year",IFERROR(AVERAGE(IF($G34=YEAR('Commodity Prices'!C$100:C$1000),'Commodity Prices'!AM$100:AM$1000)),"n/a"),IFERROR(IF(K34=0,"n/a",K34),"n/a"))</f>
        <v>55.634166666666665</v>
      </c>
      <c r="J34" s="228">
        <f>(SUMIFS('Commodity Prices'!$AK$9:$AK$2500,'Commodity Prices'!$A$9:$A$2500,'Petroleum - Oil - Prices'!E34,'Commodity Prices'!$B$9:$B$2500,3)+
SUMIFS('Commodity Prices'!$AK$9:$AK$2500,'Commodity Prices'!$A$9:$A$2500,'Petroleum - Oil - Prices'!E34,'Commodity Prices'!$B$9:$B$2500,4)+
SUMIFS('Commodity Prices'!$AK$9:$AK$2500,'Commodity Prices'!$A$9:$A$2500,'Petroleum - Oil - Prices'!F34,'Commodity Prices'!$B$9:$B$2500,1)+
SUMIFS('Commodity Prices'!$AK$9:$AK$2500,'Commodity Prices'!$A$9:$A$2500,'Petroleum - Oil - Prices'!F34,'Commodity Prices'!$B$9:$B$2500,2))
/(COUNTIFS('Commodity Prices'!$A$9:$A$2500,'Petroleum - Oil - Prices'!E34,'Commodity Prices'!$B$9:$B$2500,3)+
COUNTIFS('Commodity Prices'!$A$9:$A$2500,'Petroleum - Oil - Prices'!E34,'Commodity Prices'!$B$9:$B$2500,4)+
COUNTIFS('Commodity Prices'!$A$9:$A$2500,'Petroleum - Oil - Prices'!F34,'Commodity Prices'!$B$9:$B$2500,1)+
COUNTIFS('Commodity Prices'!$A$9:$A$2500,'Petroleum - Oil - Prices'!F34,'Commodity Prices'!$B$9:$B$2500,2))</f>
        <v>63.670833333333327</v>
      </c>
      <c r="K34" s="381">
        <f>(SUMIFS('Commodity Prices'!$AM$9:$AM$2500,'Commodity Prices'!$A$9:$A$2500,'Petroleum - Oil - Prices'!E34,'Commodity Prices'!$B$9:$B$2500,3)+
SUMIFS('Commodity Prices'!$AM$9:$AM$2500,'Commodity Prices'!$A$9:$A$2500,'Petroleum - Oil - Prices'!E34,'Commodity Prices'!$B$9:$B$2500,4)+
SUMIFS('Commodity Prices'!$AM$9:$AM$2500,'Commodity Prices'!$A$9:$A$2500,'Petroleum - Oil - Prices'!F34,'Commodity Prices'!$B$9:$B$2500,1)+
SUMIFS('Commodity Prices'!$AM$9:$AM$2500,'Commodity Prices'!$A$9:$A$2500,'Petroleum - Oil - Prices'!F34,'Commodity Prices'!$B$9:$B$2500,2))
/(COUNTIFS('Commodity Prices'!$A$9:$A$2500,'Petroleum - Oil - Prices'!E34,'Commodity Prices'!$B$9:$B$2500,3)+
COUNTIFS('Commodity Prices'!$A$9:$A$2500,'Petroleum - Oil - Prices'!E34,'Commodity Prices'!$B$9:$B$2500,4)+
COUNTIFS('Commodity Prices'!$A$9:$A$2500,'Petroleum - Oil - Prices'!F34,'Commodity Prices'!$B$9:$B$2500,1)+
COUNTIFS('Commodity Prices'!$A$9:$A$2500,'Petroleum - Oil - Prices'!F34,'Commodity Prices'!$B$9:$B$2500,2))</f>
        <v>64.426666666666662</v>
      </c>
    </row>
    <row r="35" spans="1:11">
      <c r="A35" s="646">
        <f>LARGE('Commodity Prices'!C$159:C$902,35)</f>
        <v>44228</v>
      </c>
      <c r="B35" s="565">
        <f>SUMIF('Commodity Prices'!C$252:C$902,A35,'Commodity Prices'!AK$252:AK$902)</f>
        <v>61.96</v>
      </c>
      <c r="C35" s="489">
        <f>SUMIF('Commodity Prices'!C$252:C$902,A35,'Commodity Prices'!AM$252:AM$902)</f>
        <v>63.02</v>
      </c>
      <c r="D35" s="8"/>
      <c r="E35" s="70">
        <f t="shared" si="2"/>
        <v>2018</v>
      </c>
      <c r="F35" s="70">
        <f t="shared" si="2"/>
        <v>2019</v>
      </c>
      <c r="G35" s="653">
        <f t="shared" si="1"/>
        <v>2018</v>
      </c>
      <c r="H35" s="565">
        <f t="array" ref="H35">IF($G$6="Historic Calendar Year",IFERROR(AVERAGE(IF($G35=YEAR('Commodity Prices'!C$100:C$1000),'Commodity Prices'!AK$100:AK$1000)),"n/a"),IFERROR(IF(J35=0,"n/a",J35),"n/a"))</f>
        <v>71.08</v>
      </c>
      <c r="I35" s="548">
        <f t="array" ref="I35">IF($G$6="Historic Calendar Year",IFERROR(AVERAGE(IF($G35=YEAR('Commodity Prices'!C$100:C$1000),'Commodity Prices'!AM$100:AM$1000)),"n/a"),IFERROR(IF(K35=0,"n/a",K35),"n/a"))</f>
        <v>72.339999999999989</v>
      </c>
      <c r="J35" s="228">
        <f>(SUMIFS('Commodity Prices'!$AK$9:$AK$2500,'Commodity Prices'!$A$9:$A$2500,'Petroleum - Oil - Prices'!E35,'Commodity Prices'!$B$9:$B$2500,3)+
SUMIFS('Commodity Prices'!$AK$9:$AK$2500,'Commodity Prices'!$A$9:$A$2500,'Petroleum - Oil - Prices'!E35,'Commodity Prices'!$B$9:$B$2500,4)+
SUMIFS('Commodity Prices'!$AK$9:$AK$2500,'Commodity Prices'!$A$9:$A$2500,'Petroleum - Oil - Prices'!F35,'Commodity Prices'!$B$9:$B$2500,1)+
SUMIFS('Commodity Prices'!$AK$9:$AK$2500,'Commodity Prices'!$A$9:$A$2500,'Petroleum - Oil - Prices'!F35,'Commodity Prices'!$B$9:$B$2500,2))
/(COUNTIFS('Commodity Prices'!$A$9:$A$2500,'Petroleum - Oil - Prices'!E35,'Commodity Prices'!$B$9:$B$2500,3)+
COUNTIFS('Commodity Prices'!$A$9:$A$2500,'Petroleum - Oil - Prices'!E35,'Commodity Prices'!$B$9:$B$2500,4)+
COUNTIFS('Commodity Prices'!$A$9:$A$2500,'Petroleum - Oil - Prices'!F35,'Commodity Prices'!$B$9:$B$2500,1)+
COUNTIFS('Commodity Prices'!$A$9:$A$2500,'Petroleum - Oil - Prices'!F35,'Commodity Prices'!$B$9:$B$2500,2))</f>
        <v>68.614166666666662</v>
      </c>
      <c r="K35" s="381">
        <f>(SUMIFS('Commodity Prices'!$AM$9:$AM$2500,'Commodity Prices'!$A$9:$A$2500,'Petroleum - Oil - Prices'!E35,'Commodity Prices'!$B$9:$B$2500,3)+
SUMIFS('Commodity Prices'!$AM$9:$AM$2500,'Commodity Prices'!$A$9:$A$2500,'Petroleum - Oil - Prices'!E35,'Commodity Prices'!$B$9:$B$2500,4)+
SUMIFS('Commodity Prices'!$AM$9:$AM$2500,'Commodity Prices'!$A$9:$A$2500,'Petroleum - Oil - Prices'!F35,'Commodity Prices'!$B$9:$B$2500,1)+
SUMIFS('Commodity Prices'!$AM$9:$AM$2500,'Commodity Prices'!$A$9:$A$2500,'Petroleum - Oil - Prices'!F35,'Commodity Prices'!$B$9:$B$2500,2))
/(COUNTIFS('Commodity Prices'!$A$9:$A$2500,'Petroleum - Oil - Prices'!E35,'Commodity Prices'!$B$9:$B$2500,3)+
COUNTIFS('Commodity Prices'!$A$9:$A$2500,'Petroleum - Oil - Prices'!E35,'Commodity Prices'!$B$9:$B$2500,4)+
COUNTIFS('Commodity Prices'!$A$9:$A$2500,'Petroleum - Oil - Prices'!F35,'Commodity Prices'!$B$9:$B$2500,1)+
COUNTIFS('Commodity Prices'!$A$9:$A$2500,'Petroleum - Oil - Prices'!F35,'Commodity Prices'!$B$9:$B$2500,2))</f>
        <v>70.435000000000002</v>
      </c>
    </row>
    <row r="36" spans="1:11">
      <c r="A36" s="645">
        <f>LARGE('Commodity Prices'!C$159:C$902,34)</f>
        <v>44256</v>
      </c>
      <c r="B36" s="1258">
        <f>SUMIF('Commodity Prices'!C$252:C$902,A36,'Commodity Prices'!AK$252:AK$902)</f>
        <v>65.19</v>
      </c>
      <c r="C36" s="651">
        <f>SUMIF('Commodity Prices'!C$252:C$902,A36,'Commodity Prices'!AM$252:AM$902)</f>
        <v>66.459999999999994</v>
      </c>
      <c r="D36" s="8"/>
      <c r="E36" s="70">
        <f t="shared" si="2"/>
        <v>2019</v>
      </c>
      <c r="F36" s="70">
        <f t="shared" si="2"/>
        <v>2020</v>
      </c>
      <c r="G36" s="653">
        <f t="shared" si="1"/>
        <v>2019</v>
      </c>
      <c r="H36" s="1258">
        <f t="array" ref="H36">IF($G$6="Historic Calendar Year",IFERROR(AVERAGE(IF($G36=YEAR('Commodity Prices'!C$100:C$1000),'Commodity Prices'!AK$100:AK$1000)),"n/a"),IFERROR(IF(J36=0,"n/a",J36),"n/a"))</f>
        <v>64.031666666666666</v>
      </c>
      <c r="I36" s="1473">
        <f t="array" ref="I36">IF($G$6="Historic Calendar Year",IFERROR(AVERAGE(IF($G36=YEAR('Commodity Prices'!C$100:C$1000),'Commodity Prices'!AM$100:AM$1000)),"n/a"),IFERROR(IF(K36=0,"n/a",K36),"n/a"))</f>
        <v>66.423333333333332</v>
      </c>
      <c r="J36" s="228">
        <f>(SUMIFS('Commodity Prices'!$AK$9:$AK$2500,'Commodity Prices'!$A$9:$A$2500,'Petroleum - Oil - Prices'!E36,'Commodity Prices'!$B$9:$B$2500,3)+
SUMIFS('Commodity Prices'!$AK$9:$AK$2500,'Commodity Prices'!$A$9:$A$2500,'Petroleum - Oil - Prices'!E36,'Commodity Prices'!$B$9:$B$2500,4)+
SUMIFS('Commodity Prices'!$AK$9:$AK$2500,'Commodity Prices'!$A$9:$A$2500,'Petroleum - Oil - Prices'!F36,'Commodity Prices'!$B$9:$B$2500,1)+
SUMIFS('Commodity Prices'!$AK$9:$AK$2500,'Commodity Prices'!$A$9:$A$2500,'Petroleum - Oil - Prices'!F36,'Commodity Prices'!$B$9:$B$2500,2))
/(COUNTIFS('Commodity Prices'!$A$9:$A$2500,'Petroleum - Oil - Prices'!E36,'Commodity Prices'!$B$9:$B$2500,3)+
COUNTIFS('Commodity Prices'!$A$9:$A$2500,'Petroleum - Oil - Prices'!E36,'Commodity Prices'!$B$9:$B$2500,4)+
COUNTIFS('Commodity Prices'!$A$9:$A$2500,'Petroleum - Oil - Prices'!F36,'Commodity Prices'!$B$9:$B$2500,1)+
COUNTIFS('Commodity Prices'!$A$9:$A$2500,'Petroleum - Oil - Prices'!F36,'Commodity Prices'!$B$9:$B$2500,2))</f>
        <v>51.617499999999986</v>
      </c>
      <c r="K36" s="381">
        <f>(SUMIFS('Commodity Prices'!$AM$9:$AM$2500,'Commodity Prices'!$A$9:$A$2500,'Petroleum - Oil - Prices'!E36,'Commodity Prices'!$B$9:$B$2500,3)+
SUMIFS('Commodity Prices'!$AM$9:$AM$2500,'Commodity Prices'!$A$9:$A$2500,'Petroleum - Oil - Prices'!E36,'Commodity Prices'!$B$9:$B$2500,4)+
SUMIFS('Commodity Prices'!$AM$9:$AM$2500,'Commodity Prices'!$A$9:$A$2500,'Petroleum - Oil - Prices'!F36,'Commodity Prices'!$B$9:$B$2500,1)+
SUMIFS('Commodity Prices'!$AM$9:$AM$2500,'Commodity Prices'!$A$9:$A$2500,'Petroleum - Oil - Prices'!F36,'Commodity Prices'!$B$9:$B$2500,2))
/(COUNTIFS('Commodity Prices'!$A$9:$A$2500,'Petroleum - Oil - Prices'!E36,'Commodity Prices'!$B$9:$B$2500,3)+
COUNTIFS('Commodity Prices'!$A$9:$A$2500,'Petroleum - Oil - Prices'!E36,'Commodity Prices'!$B$9:$B$2500,4)+
COUNTIFS('Commodity Prices'!$A$9:$A$2500,'Petroleum - Oil - Prices'!F36,'Commodity Prices'!$B$9:$B$2500,1)+
COUNTIFS('Commodity Prices'!$A$9:$A$2500,'Petroleum - Oil - Prices'!F36,'Commodity Prices'!$B$9:$B$2500,2))</f>
        <v>55.101666666666667</v>
      </c>
    </row>
    <row r="37" spans="1:11">
      <c r="A37" s="646">
        <f>LARGE('Commodity Prices'!C$159:C$902,33)</f>
        <v>44287</v>
      </c>
      <c r="B37" s="565">
        <f>SUMIF('Commodity Prices'!C$252:C$902,A37,'Commodity Prices'!AK$252:AK$902)</f>
        <v>64.77</v>
      </c>
      <c r="C37" s="489">
        <f>SUMIF('Commodity Prices'!C$252:C$902,A37,'Commodity Prices'!AM$252:AM$902)</f>
        <v>64.650000000000006</v>
      </c>
      <c r="D37" s="8"/>
      <c r="E37" s="70">
        <f t="shared" si="2"/>
        <v>2020</v>
      </c>
      <c r="F37" s="70">
        <f t="shared" si="2"/>
        <v>2021</v>
      </c>
      <c r="G37" s="653">
        <f t="shared" si="1"/>
        <v>2020</v>
      </c>
      <c r="H37" s="1475">
        <f t="array" ref="H37">IF($G$6="Historic Calendar Year",IFERROR(AVERAGE(IF($G37=YEAR('Commodity Prices'!C$100:C$1000),'Commodity Prices'!AK$100:AK$1000)),"n/a"),IFERROR(IF(J37=0,"n/a",J37),"n/a"))</f>
        <v>42.299166666666672</v>
      </c>
      <c r="I37" s="1474">
        <f t="array" ref="I37">IF($G$6="Historic Calendar Year",IFERROR(AVERAGE(IF($G37=YEAR('Commodity Prices'!C$100:C$1000),'Commodity Prices'!AM$100:AM$1000)),"n/a"),IFERROR(IF(K37=0,"n/a",K37),"n/a"))</f>
        <v>44.314166666666665</v>
      </c>
      <c r="J37" s="228">
        <f>(SUMIFS('Commodity Prices'!$AK$9:$AK$2500,'Commodity Prices'!$A$9:$A$2500,'Petroleum - Oil - Prices'!E37,'Commodity Prices'!$B$9:$B$2500,3)+
SUMIFS('Commodity Prices'!$AK$9:$AK$2500,'Commodity Prices'!$A$9:$A$2500,'Petroleum - Oil - Prices'!E37,'Commodity Prices'!$B$9:$B$2500,4)+
SUMIFS('Commodity Prices'!$AK$9:$AK$2500,'Commodity Prices'!$A$9:$A$2500,'Petroleum - Oil - Prices'!F37,'Commodity Prices'!$B$9:$B$2500,1)+
SUMIFS('Commodity Prices'!$AK$9:$AK$2500,'Commodity Prices'!$A$9:$A$2500,'Petroleum - Oil - Prices'!F37,'Commodity Prices'!$B$9:$B$2500,2))
/(COUNTIFS('Commodity Prices'!$A$9:$A$2500,'Petroleum - Oil - Prices'!E37,'Commodity Prices'!$B$9:$B$2500,3)+
COUNTIFS('Commodity Prices'!$A$9:$A$2500,'Petroleum - Oil - Prices'!E37,'Commodity Prices'!$B$9:$B$2500,4)+
COUNTIFS('Commodity Prices'!$A$9:$A$2500,'Petroleum - Oil - Prices'!F37,'Commodity Prices'!$B$9:$B$2500,1)+
COUNTIFS('Commodity Prices'!$A$9:$A$2500,'Petroleum - Oil - Prices'!F37,'Commodity Prices'!$B$9:$B$2500,2))</f>
        <v>54.108333333333327</v>
      </c>
      <c r="K37" s="381">
        <f>(SUMIFS('Commodity Prices'!$AM$9:$AM$2500,'Commodity Prices'!$A$9:$A$2500,'Petroleum - Oil - Prices'!E37,'Commodity Prices'!$B$9:$B$2500,3)+
SUMIFS('Commodity Prices'!$AM$9:$AM$2500,'Commodity Prices'!$A$9:$A$2500,'Petroleum - Oil - Prices'!E37,'Commodity Prices'!$B$9:$B$2500,4)+
SUMIFS('Commodity Prices'!$AM$9:$AM$2500,'Commodity Prices'!$A$9:$A$2500,'Petroleum - Oil - Prices'!F37,'Commodity Prices'!$B$9:$B$2500,1)+
SUMIFS('Commodity Prices'!$AM$9:$AM$2500,'Commodity Prices'!$A$9:$A$2500,'Petroleum - Oil - Prices'!F37,'Commodity Prices'!$B$9:$B$2500,2))
/(COUNTIFS('Commodity Prices'!$A$9:$A$2500,'Petroleum - Oil - Prices'!E37,'Commodity Prices'!$B$9:$B$2500,3)+
COUNTIFS('Commodity Prices'!$A$9:$A$2500,'Petroleum - Oil - Prices'!E37,'Commodity Prices'!$B$9:$B$2500,4)+
COUNTIFS('Commodity Prices'!$A$9:$A$2500,'Petroleum - Oil - Prices'!F37,'Commodity Prices'!$B$9:$B$2500,1)+
COUNTIFS('Commodity Prices'!$A$9:$A$2500,'Petroleum - Oil - Prices'!F37,'Commodity Prices'!$B$9:$B$2500,2))</f>
        <v>54.590833333333336</v>
      </c>
    </row>
    <row r="38" spans="1:11">
      <c r="A38" s="645">
        <f>LARGE('Commodity Prices'!C$159:C$902,32)</f>
        <v>44317</v>
      </c>
      <c r="B38" s="1258">
        <f>SUMIF('Commodity Prices'!C$252:C$902,A38,'Commodity Prices'!AK$252:AK$902)</f>
        <v>68.040000000000006</v>
      </c>
      <c r="C38" s="651">
        <f>SUMIF('Commodity Prices'!C$252:C$902,A38,'Commodity Prices'!AM$252:AM$902)</f>
        <v>68.94</v>
      </c>
      <c r="D38" s="8"/>
      <c r="E38" s="268">
        <f t="shared" si="2"/>
        <v>2021</v>
      </c>
      <c r="F38" s="268">
        <f t="shared" si="2"/>
        <v>2022</v>
      </c>
      <c r="G38" s="653">
        <f>IF($G$6="Historic Calendar Year",G37+1,CONCATENATE(E38,"-",RIGHT(F38,4)))</f>
        <v>2021</v>
      </c>
      <c r="H38" s="1258">
        <f t="array" ref="H38">IF($G$6="Historic Calendar Year",IFERROR(AVERAGE(IF($G38=YEAR('Commodity Prices'!C$100:C$1000),'Commodity Prices'!AK$100:AK$1000)),"n/a"),IFERROR(IF(J38=0,"n/a",J38),"n/a"))</f>
        <v>70.443333333333328</v>
      </c>
      <c r="I38" s="1473">
        <f t="array" ref="I38">IF($G$6="Historic Calendar Year",IFERROR(AVERAGE(IF($G38=YEAR('Commodity Prices'!C$100:C$1000),'Commodity Prices'!AM$100:AM$1000)),"n/a"),IFERROR(IF(K38=0,"n/a",K38),"n/a"))</f>
        <v>71.752499999999998</v>
      </c>
      <c r="J38" s="381">
        <f>(SUMIFS('Commodity Prices'!$AK$9:$AK$2500,'Commodity Prices'!$A$9:$A$2500,'Petroleum - Oil - Prices'!E38,'Commodity Prices'!$B$9:$B$2500,3)+
SUMIFS('Commodity Prices'!$AK$9:$AK$2500,'Commodity Prices'!$A$9:$A$2500,'Petroleum - Oil - Prices'!E38,'Commodity Prices'!$B$9:$B$2500,4)+
SUMIFS('Commodity Prices'!$AK$9:$AK$2500,'Commodity Prices'!$A$9:$A$2500,'Petroleum - Oil - Prices'!F38,'Commodity Prices'!$B$9:$B$2500,1)+
SUMIFS('Commodity Prices'!$AK$9:$AK$2500,'Commodity Prices'!$A$9:$A$2500,'Petroleum - Oil - Prices'!F38,'Commodity Prices'!$B$9:$B$2500,2))
/(COUNTIFS('Commodity Prices'!$A$9:$A$2500,'Petroleum - Oil - Prices'!E38,'Commodity Prices'!$B$9:$B$2500,3)+
COUNTIFS('Commodity Prices'!$A$9:$A$2500,'Petroleum - Oil - Prices'!E38,'Commodity Prices'!$B$9:$B$2500,4)+
COUNTIFS('Commodity Prices'!$A$9:$A$2500,'Petroleum - Oil - Prices'!F38,'Commodity Prices'!$B$9:$B$2500,1)+
COUNTIFS('Commodity Prices'!$A$9:$A$2500,'Petroleum - Oil - Prices'!F38,'Commodity Prices'!$B$9:$B$2500,2))</f>
        <v>91.070833333333326</v>
      </c>
      <c r="K38" s="381">
        <f>(SUMIFS('Commodity Prices'!$AM$9:$AM$2500,'Commodity Prices'!$A$9:$A$2500,'Petroleum - Oil - Prices'!E38,'Commodity Prices'!$B$9:$B$2500,3)+
SUMIFS('Commodity Prices'!$AM$9:$AM$2500,'Commodity Prices'!$A$9:$A$2500,'Petroleum - Oil - Prices'!E38,'Commodity Prices'!$B$9:$B$2500,4)+
SUMIFS('Commodity Prices'!$AM$9:$AM$2500,'Commodity Prices'!$A$9:$A$2500,'Petroleum - Oil - Prices'!F38,'Commodity Prices'!$B$9:$B$2500,1)+
SUMIFS('Commodity Prices'!$AM$9:$AM$2500,'Commodity Prices'!$A$9:$A$2500,'Petroleum - Oil - Prices'!F38,'Commodity Prices'!$B$9:$B$2500,2))
/(COUNTIFS('Commodity Prices'!$A$9:$A$2500,'Petroleum - Oil - Prices'!E38,'Commodity Prices'!$B$9:$B$2500,3)+
COUNTIFS('Commodity Prices'!$A$9:$A$2500,'Petroleum - Oil - Prices'!E38,'Commodity Prices'!$B$9:$B$2500,4)+
COUNTIFS('Commodity Prices'!$A$9:$A$2500,'Petroleum - Oil - Prices'!F38,'Commodity Prices'!$B$9:$B$2500,1)+
COUNTIFS('Commodity Prices'!$A$9:$A$2500,'Petroleum - Oil - Prices'!F38,'Commodity Prices'!$B$9:$B$2500,2))</f>
        <v>94.652499999999989</v>
      </c>
    </row>
    <row r="39" spans="1:11">
      <c r="A39" s="646">
        <f>LARGE('Commodity Prices'!C$159:C$902,31)</f>
        <v>44348</v>
      </c>
      <c r="B39" s="565">
        <f>SUMIF('Commodity Prices'!C$252:C$902,A39,'Commodity Prices'!AK$252:AK$902)</f>
        <v>73.069999999999993</v>
      </c>
      <c r="C39" s="489">
        <f>SUMIF('Commodity Prices'!C$252:C$902,A39,'Commodity Prices'!AM$252:AM$902)</f>
        <v>73.760000000000005</v>
      </c>
      <c r="D39" s="8"/>
      <c r="E39" s="268">
        <f t="shared" si="2"/>
        <v>2022</v>
      </c>
      <c r="F39" s="268">
        <f t="shared" si="2"/>
        <v>2023</v>
      </c>
      <c r="G39" s="653">
        <f>IF($G$6="Historic Calendar Year",G38+1,CONCATENATE(E39,"-",RIGHT(F39,4)))</f>
        <v>2022</v>
      </c>
      <c r="H39" s="565">
        <f t="array" ref="H39">IF($G$6="Historic Calendar Year",IFERROR(AVERAGE(IF($G39=YEAR('Commodity Prices'!C$100:C$1000),'Commodity Prices'!AK$100:AK$1000)),"n/a"),IFERROR(IF(J39=0,"n/a",J39),"n/a"))</f>
        <v>99.82416666666667</v>
      </c>
      <c r="I39" s="548">
        <f t="array" ref="I39">IF($G$6="Historic Calendar Year",IFERROR(AVERAGE(IF($G39=YEAR('Commodity Prices'!C$100:C$1000),'Commodity Prices'!AM$100:AM$1000)),"n/a"),IFERROR(IF(K39=0,"n/a",K39),"n/a"))</f>
        <v>107.45166666666665</v>
      </c>
      <c r="J39" s="381">
        <f>(SUMIFS('Commodity Prices'!$AK$9:$AK$2500,'Commodity Prices'!$A$9:$A$2500,'Petroleum - Oil - Prices'!E39,'Commodity Prices'!$B$9:$B$2500,3)+
SUMIFS('Commodity Prices'!$AK$9:$AK$2500,'Commodity Prices'!$A$9:$A$2500,'Petroleum - Oil - Prices'!E39,'Commodity Prices'!$B$9:$B$2500,4)+
SUMIFS('Commodity Prices'!$AK$9:$AK$2500,'Commodity Prices'!$A$9:$A$2500,'Petroleum - Oil - Prices'!F39,'Commodity Prices'!$B$9:$B$2500,1)+
SUMIFS('Commodity Prices'!$AK$9:$AK$2500,'Commodity Prices'!$A$9:$A$2500,'Petroleum - Oil - Prices'!F39,'Commodity Prices'!$B$9:$B$2500,2))
/(COUNTIFS('Commodity Prices'!$A$9:$A$2500,'Petroleum - Oil - Prices'!E39,'Commodity Prices'!$B$9:$B$2500,3)+
COUNTIFS('Commodity Prices'!$A$9:$A$2500,'Petroleum - Oil - Prices'!E39,'Commodity Prices'!$B$9:$B$2500,4)+
COUNTIFS('Commodity Prices'!$A$9:$A$2500,'Petroleum - Oil - Prices'!F39,'Commodity Prices'!$B$9:$B$2500,1)+
COUNTIFS('Commodity Prices'!$A$9:$A$2500,'Petroleum - Oil - Prices'!F39,'Commodity Prices'!$B$9:$B$2500,2))</f>
        <v>84.809090909090912</v>
      </c>
      <c r="K39" s="381">
        <f>(SUMIFS('Commodity Prices'!$AM$9:$AM$2500,'Commodity Prices'!$A$9:$A$2500,'Petroleum - Oil - Prices'!E39,'Commodity Prices'!$B$9:$B$2500,3)+
SUMIFS('Commodity Prices'!$AM$9:$AM$2500,'Commodity Prices'!$A$9:$A$2500,'Petroleum - Oil - Prices'!E39,'Commodity Prices'!$B$9:$B$2500,4)+
SUMIFS('Commodity Prices'!$AM$9:$AM$2500,'Commodity Prices'!$A$9:$A$2500,'Petroleum - Oil - Prices'!F39,'Commodity Prices'!$B$9:$B$2500,1)+
SUMIFS('Commodity Prices'!$AM$9:$AM$2500,'Commodity Prices'!$A$9:$A$2500,'Petroleum - Oil - Prices'!F39,'Commodity Prices'!$B$9:$B$2500,2))
/(COUNTIFS('Commodity Prices'!$A$9:$A$2500,'Petroleum - Oil - Prices'!E39,'Commodity Prices'!$B$9:$B$2500,3)+
COUNTIFS('Commodity Prices'!$A$9:$A$2500,'Petroleum - Oil - Prices'!E39,'Commodity Prices'!$B$9:$B$2500,4)+
COUNTIFS('Commodity Prices'!$A$9:$A$2500,'Petroleum - Oil - Prices'!F39,'Commodity Prices'!$B$9:$B$2500,1)+
COUNTIFS('Commodity Prices'!$A$9:$A$2500,'Petroleum - Oil - Prices'!F39,'Commodity Prices'!$B$9:$B$2500,2))</f>
        <v>91.616363636363644</v>
      </c>
    </row>
    <row r="40" spans="1:11" ht="15.75" thickBot="1">
      <c r="A40" s="645">
        <f>LARGE('Commodity Prices'!C$159:C$902,30)</f>
        <v>44378</v>
      </c>
      <c r="B40" s="1258">
        <f>SUMIF('Commodity Prices'!C$252:C$902,A40,'Commodity Prices'!AK$252:AK$902)</f>
        <v>74.39</v>
      </c>
      <c r="C40" s="651">
        <f>SUMIF('Commodity Prices'!C$252:C$902,A40,'Commodity Prices'!AM$252:AM$902)</f>
        <v>75.459999999999994</v>
      </c>
      <c r="D40" s="8"/>
      <c r="E40" s="70">
        <f t="shared" si="2"/>
        <v>2023</v>
      </c>
      <c r="F40" s="70">
        <f t="shared" si="2"/>
        <v>2024</v>
      </c>
      <c r="G40" s="1615">
        <f>IF($G$6="Historic Calendar Year",G39+1,CONCATENATE(E40,"-",RIGHT(F40,4)))</f>
        <v>2023</v>
      </c>
      <c r="H40" s="1309">
        <f t="array" ref="H40">IF($G$6="Historic Calendar Year",IFERROR(AVERAGE(IF($G40=YEAR('Commodity Prices'!C$100:C$1000),'Commodity Prices'!AK$100:AK$1000)),"n/a"),IFERROR(IF(J40=0,"n/a",J40),"n/a"))</f>
        <v>82.61666666666666</v>
      </c>
      <c r="I40" s="1651">
        <f t="array" ref="I40">IF($G$6="Historic Calendar Year",IFERROR(AVERAGE(IF($G40=YEAR('Commodity Prices'!C$100:C$1000),'Commodity Prices'!AM$100:AM$1000)),"n/a"),IFERROR(IF(K40=0,"n/a",K40),"n/a"))</f>
        <v>86.558333333333337</v>
      </c>
      <c r="J40" s="228"/>
    </row>
    <row r="41" spans="1:11" ht="15.75" thickBot="1">
      <c r="A41" s="646">
        <f>LARGE('Commodity Prices'!C$159:C$902,29)</f>
        <v>44409</v>
      </c>
      <c r="B41" s="565">
        <f>SUMIF('Commodity Prices'!C$252:C$902,A41,'Commodity Prices'!AK$252:AK$902)</f>
        <v>70.02</v>
      </c>
      <c r="C41" s="489">
        <f>SUMIF('Commodity Prices'!C$252:C$902,A41,'Commodity Prices'!AM$252:AM$902)</f>
        <v>70.959999999999994</v>
      </c>
      <c r="D41" s="8"/>
      <c r="E41" s="70"/>
      <c r="F41" s="70"/>
      <c r="G41" s="8"/>
      <c r="H41" s="8"/>
      <c r="I41" s="268"/>
      <c r="J41" s="228"/>
    </row>
    <row r="42" spans="1:11">
      <c r="A42" s="645">
        <f>LARGE('Commodity Prices'!C$159:C$902,28)</f>
        <v>44440</v>
      </c>
      <c r="B42" s="1258">
        <f>SUMIF('Commodity Prices'!C$252:C$902,A42,'Commodity Prices'!AK$252:AK$902)</f>
        <v>74.599999999999994</v>
      </c>
      <c r="C42" s="651">
        <f>SUMIF('Commodity Prices'!C$252:C$902,A42,'Commodity Prices'!AM$252:AM$902)</f>
        <v>76.290000000000006</v>
      </c>
      <c r="D42" s="8"/>
      <c r="E42" s="70"/>
      <c r="F42" s="70"/>
      <c r="G42" s="2066" t="s">
        <v>321</v>
      </c>
      <c r="H42" s="2067"/>
      <c r="I42" s="2068"/>
      <c r="J42" s="228"/>
    </row>
    <row r="43" spans="1:11" ht="15.75" thickBot="1">
      <c r="A43" s="646">
        <f>LARGE('Commodity Prices'!C$159:C$902,27)</f>
        <v>44470</v>
      </c>
      <c r="B43" s="565">
        <f>SUMIF('Commodity Prices'!C$252:C$902,A43,'Commodity Prices'!AK$252:AK$902)</f>
        <v>83.65</v>
      </c>
      <c r="C43" s="489">
        <f>SUMIF('Commodity Prices'!C$252:C$902,A43,'Commodity Prices'!AM$252:AM$902)</f>
        <v>85.17</v>
      </c>
      <c r="D43" s="8"/>
      <c r="E43" s="70"/>
      <c r="F43" s="70"/>
      <c r="G43" s="1955" t="s">
        <v>282</v>
      </c>
      <c r="H43" s="1950"/>
      <c r="I43" s="1956"/>
      <c r="J43" s="228"/>
    </row>
    <row r="44" spans="1:11">
      <c r="A44" s="645">
        <f>LARGE('Commodity Prices'!C$159:C$902,26)</f>
        <v>44501</v>
      </c>
      <c r="B44" s="1258">
        <f>SUMIF('Commodity Prices'!C$252:C$902,A44,'Commodity Prices'!AK$252:AK$902)</f>
        <v>80.77</v>
      </c>
      <c r="C44" s="651">
        <f>SUMIF('Commodity Prices'!C$252:C$902,A44,'Commodity Prices'!AM$252:AM$902)</f>
        <v>83.59</v>
      </c>
      <c r="D44" s="8"/>
      <c r="E44" s="70"/>
      <c r="F44" s="70"/>
      <c r="G44" s="1949" t="s">
        <v>322</v>
      </c>
      <c r="H44" s="1949"/>
      <c r="I44" s="1949"/>
      <c r="J44" s="228"/>
    </row>
    <row r="45" spans="1:11">
      <c r="A45" s="646">
        <f>LARGE('Commodity Prices'!C$159:C$902,25)</f>
        <v>44531</v>
      </c>
      <c r="B45" s="565">
        <f>SUMIF('Commodity Prices'!C$252:C$902,A45,'Commodity Prices'!AK$252:AK$902)</f>
        <v>74.31</v>
      </c>
      <c r="C45" s="489">
        <f>SUMIF('Commodity Prices'!C$252:C$902,A45,'Commodity Prices'!AM$252:AM$902)</f>
        <v>77.239999999999995</v>
      </c>
      <c r="D45" s="8"/>
      <c r="E45" s="70"/>
      <c r="F45" s="70"/>
      <c r="G45" s="8"/>
      <c r="H45" s="8"/>
      <c r="I45" s="268"/>
    </row>
    <row r="46" spans="1:11">
      <c r="A46" s="645">
        <f>LARGE('Commodity Prices'!C$159:C$902,24)</f>
        <v>44562</v>
      </c>
      <c r="B46" s="1258">
        <f>SUMIF('Commodity Prices'!C$252:C$902,A46,'Commodity Prices'!AK$252:AK$902)</f>
        <v>85.53</v>
      </c>
      <c r="C46" s="651">
        <f>SUMIF('Commodity Prices'!C$252:C$902,A46,'Commodity Prices'!AM$252:AM$902)</f>
        <v>89.75</v>
      </c>
      <c r="D46" s="8"/>
      <c r="E46" s="70"/>
      <c r="F46" s="70"/>
      <c r="G46" s="2015"/>
      <c r="H46" s="2015"/>
      <c r="I46" s="1101"/>
    </row>
    <row r="47" spans="1:11">
      <c r="A47" s="646">
        <f>LARGE('Commodity Prices'!C$159:C$902,23)</f>
        <v>44593</v>
      </c>
      <c r="B47" s="565">
        <f>SUMIF('Commodity Prices'!C$252:C$902,A47,'Commodity Prices'!AK$252:AK$902)</f>
        <v>95.76</v>
      </c>
      <c r="C47" s="489">
        <f>SUMIF('Commodity Prices'!C$252:C$902,A47,'Commodity Prices'!AM$252:AM$902)</f>
        <v>99.98</v>
      </c>
      <c r="D47" s="8"/>
      <c r="E47" s="70"/>
      <c r="F47" s="70"/>
      <c r="G47" s="2015"/>
      <c r="H47" s="2015"/>
      <c r="I47" s="1101"/>
    </row>
    <row r="48" spans="1:11">
      <c r="A48" s="645">
        <f>LARGE('Commodity Prices'!C$159:C$902,22)</f>
        <v>44621</v>
      </c>
      <c r="B48" s="1258">
        <f>SUMIF('Commodity Prices'!C$252:C$902,A48,'Commodity Prices'!AK$252:AK$902)</f>
        <v>115.59</v>
      </c>
      <c r="C48" s="651">
        <f>SUMIF('Commodity Prices'!C$252:C$902,A48,'Commodity Prices'!AM$252:AM$902)</f>
        <v>121.43</v>
      </c>
      <c r="D48" s="8"/>
      <c r="E48" s="70"/>
      <c r="F48" s="70"/>
      <c r="G48" s="2015"/>
      <c r="H48" s="2015"/>
      <c r="I48" s="1101"/>
    </row>
    <row r="49" spans="1:9">
      <c r="A49" s="646">
        <f>LARGE('Commodity Prices'!C$159:C$902,21)</f>
        <v>44652</v>
      </c>
      <c r="B49" s="565">
        <f>SUMIF('Commodity Prices'!C$252:C$902,A49,'Commodity Prices'!AK$252:AK$902)</f>
        <v>105.78</v>
      </c>
      <c r="C49" s="489">
        <f>SUMIF('Commodity Prices'!C$252:C$902,A49,'Commodity Prices'!AM$252:AM$902)</f>
        <v>111.16</v>
      </c>
      <c r="D49" s="8"/>
      <c r="E49" s="70"/>
      <c r="F49" s="70"/>
      <c r="G49" s="8"/>
      <c r="H49" s="8"/>
      <c r="I49" s="268"/>
    </row>
    <row r="50" spans="1:9">
      <c r="A50" s="645">
        <f>LARGE('Commodity Prices'!C$159:C$902,20)</f>
        <v>44682</v>
      </c>
      <c r="B50" s="1258">
        <f>SUMIF('Commodity Prices'!C$252:C$902,A50,'Commodity Prices'!AK$252:AK$902)</f>
        <v>112.37</v>
      </c>
      <c r="C50" s="651">
        <f>SUMIF('Commodity Prices'!C$252:C$902,A50,'Commodity Prices'!AM$252:AM$902)</f>
        <v>118.62</v>
      </c>
      <c r="D50" s="8"/>
      <c r="E50" s="70"/>
      <c r="F50" s="70"/>
      <c r="G50" s="8"/>
      <c r="H50" s="8"/>
      <c r="I50" s="268"/>
    </row>
    <row r="51" spans="1:9">
      <c r="A51" s="646">
        <f>LARGE('Commodity Prices'!C$159:C$902,19)</f>
        <v>44713</v>
      </c>
      <c r="B51" s="565">
        <f>SUMIF('Commodity Prices'!C$252:C$902,A51,'Commodity Prices'!AK$252:AK$902)</f>
        <v>120.08</v>
      </c>
      <c r="C51" s="489">
        <f>SUMIF('Commodity Prices'!C$252:C$902,A51,'Commodity Prices'!AM$252:AM$902)</f>
        <v>126.18</v>
      </c>
      <c r="D51" s="8"/>
      <c r="E51" s="70"/>
      <c r="F51" s="70"/>
      <c r="G51" s="8"/>
      <c r="H51" s="8"/>
      <c r="I51" s="268"/>
    </row>
    <row r="52" spans="1:9">
      <c r="A52" s="645">
        <f>LARGE('Commodity Prices'!C$159:C$902,18)</f>
        <v>44743</v>
      </c>
      <c r="B52" s="1258">
        <f>SUMIF('Commodity Prices'!C$252:C$902,A52,'Commodity Prices'!AK$252:AK$902)</f>
        <v>108.92</v>
      </c>
      <c r="C52" s="651">
        <f>SUMIF('Commodity Prices'!C$252:C$902,A52,'Commodity Prices'!AM$252:AM$902)</f>
        <v>114.82</v>
      </c>
      <c r="D52" s="8"/>
      <c r="E52" s="70"/>
      <c r="F52" s="70"/>
      <c r="G52" s="8"/>
      <c r="H52" s="8"/>
      <c r="I52" s="268"/>
    </row>
    <row r="53" spans="1:9">
      <c r="A53" s="646">
        <f>LARGE('Commodity Prices'!C$159:C$902,17)</f>
        <v>44774</v>
      </c>
      <c r="B53" s="565">
        <f>SUMIF('Commodity Prices'!C$252:C$902,A53,'Commodity Prices'!AK$252:AK$902)</f>
        <v>98.6</v>
      </c>
      <c r="C53" s="489">
        <f>SUMIF('Commodity Prices'!C$252:C$902,A53,'Commodity Prices'!AM$252:AM$902)</f>
        <v>112.4</v>
      </c>
      <c r="D53" s="8"/>
      <c r="E53" s="70"/>
      <c r="F53" s="70"/>
      <c r="G53" s="8"/>
      <c r="H53" s="8"/>
      <c r="I53" s="268"/>
    </row>
    <row r="54" spans="1:9">
      <c r="A54" s="645">
        <f>LARGE('Commodity Prices'!C$159:C$902,16)</f>
        <v>44805</v>
      </c>
      <c r="B54" s="1258">
        <f>SUMIF('Commodity Prices'!C$252:C$902,A54,'Commodity Prices'!AK$252:AK$902)</f>
        <v>90.16</v>
      </c>
      <c r="C54" s="651">
        <f>SUMIF('Commodity Prices'!C$252:C$902,A54,'Commodity Prices'!AM$252:AM$902)</f>
        <v>103.14</v>
      </c>
      <c r="D54" s="8"/>
      <c r="E54" s="70"/>
      <c r="F54" s="70"/>
      <c r="G54" s="8"/>
      <c r="H54" s="8"/>
      <c r="I54" s="268"/>
    </row>
    <row r="55" spans="1:9">
      <c r="A55" s="646">
        <f>LARGE('Commodity Prices'!C$159:C$902,15)</f>
        <v>44835</v>
      </c>
      <c r="B55" s="565">
        <f>SUMIF('Commodity Prices'!C$252:C$902,A55,'Commodity Prices'!AK$252:AK$902)</f>
        <v>93.13</v>
      </c>
      <c r="C55" s="489">
        <f>SUMIF('Commodity Prices'!C$252:C$902,A55,'Commodity Prices'!AM$252:AM$902)</f>
        <v>105.45</v>
      </c>
      <c r="D55" s="8"/>
      <c r="E55" s="70"/>
      <c r="F55" s="70"/>
      <c r="G55" s="8"/>
      <c r="H55" s="8"/>
      <c r="I55" s="268"/>
    </row>
    <row r="56" spans="1:9">
      <c r="A56" s="645">
        <f>LARGE('Commodity Prices'!C$159:C$902,14)</f>
        <v>44866</v>
      </c>
      <c r="B56" s="1258">
        <f>SUMIF('Commodity Prices'!C$252:C$902,A56,'Commodity Prices'!AK$252:AK$902)</f>
        <v>91.07</v>
      </c>
      <c r="C56" s="651">
        <f>SUMIF('Commodity Prices'!C$252:C$902,A56,'Commodity Prices'!AM$252:AM$902)</f>
        <v>98.38</v>
      </c>
      <c r="D56" s="8"/>
      <c r="E56" s="70"/>
      <c r="F56" s="70"/>
      <c r="G56" s="8"/>
      <c r="H56" s="8"/>
      <c r="I56" s="268"/>
    </row>
    <row r="57" spans="1:9">
      <c r="A57" s="646">
        <f>LARGE('Commodity Prices'!C$159:C$902,13)</f>
        <v>44896</v>
      </c>
      <c r="B57" s="565">
        <f>SUMIF('Commodity Prices'!C$252:C$902,A57,'Commodity Prices'!AK$252:AK$902)</f>
        <v>80.900000000000006</v>
      </c>
      <c r="C57" s="489">
        <f>SUMIF('Commodity Prices'!C$252:C$902,A57,'Commodity Prices'!AM$252:AM$902)</f>
        <v>88.11</v>
      </c>
      <c r="D57" s="8"/>
      <c r="E57" s="70"/>
      <c r="F57" s="70"/>
      <c r="G57" s="8"/>
      <c r="H57" s="8"/>
      <c r="I57" s="268"/>
    </row>
    <row r="58" spans="1:9">
      <c r="A58" s="645">
        <f>LARGE('Commodity Prices'!C$159:C$902,12)</f>
        <v>44927</v>
      </c>
      <c r="B58" s="1258">
        <f>SUMIF('Commodity Prices'!C$252:C$902,A58,'Commodity Prices'!AK$252:AK$902)</f>
        <v>83.09</v>
      </c>
      <c r="C58" s="651">
        <f>SUMIF('Commodity Prices'!C$252:C$902,A58,'Commodity Prices'!AM$252:AM$902)</f>
        <v>88.05</v>
      </c>
      <c r="D58" s="8"/>
      <c r="E58" s="70"/>
      <c r="F58" s="70"/>
      <c r="G58" s="8"/>
      <c r="H58" s="8"/>
      <c r="I58" s="268"/>
    </row>
    <row r="59" spans="1:9">
      <c r="A59" s="646">
        <f>LARGE('Commodity Prices'!C$159:C$902,11)</f>
        <v>44958</v>
      </c>
      <c r="B59" s="565">
        <f>SUMIF('Commodity Prices'!C$252:C$902,A59,'Commodity Prices'!AK$252:AK$902)</f>
        <v>82.72</v>
      </c>
      <c r="C59" s="489">
        <f>SUMIF('Commodity Prices'!C$252:C$902,A59,'Commodity Prices'!AM$252:AM$902)</f>
        <v>86.63</v>
      </c>
      <c r="D59" s="8"/>
      <c r="E59" s="70"/>
      <c r="F59" s="70"/>
      <c r="G59" s="8"/>
      <c r="H59" s="8"/>
      <c r="I59" s="268"/>
    </row>
    <row r="60" spans="1:9">
      <c r="A60" s="645">
        <f>LARGE('Commodity Prices'!C$159:C$902,10)</f>
        <v>44986</v>
      </c>
      <c r="B60" s="1258">
        <f>SUMIF('Commodity Prices'!C$252:C$902,A60,'Commodity Prices'!AK$252:AK$902)</f>
        <v>78.53</v>
      </c>
      <c r="C60" s="651">
        <f>SUMIF('Commodity Prices'!C$252:C$902,A60,'Commodity Prices'!AM$252:AM$902)</f>
        <v>82.73</v>
      </c>
      <c r="D60" s="8"/>
      <c r="E60" s="70"/>
      <c r="F60" s="70"/>
      <c r="G60" s="8"/>
      <c r="H60" s="8"/>
      <c r="I60" s="268"/>
    </row>
    <row r="61" spans="1:9">
      <c r="A61" s="646">
        <f>LARGE('Commodity Prices'!C$159:C$902,9)</f>
        <v>45017</v>
      </c>
      <c r="B61" s="565">
        <f>SUMIF('Commodity Prices'!C$252:C$902,A61,'Commodity Prices'!AK$252:AK$902)</f>
        <v>84.11</v>
      </c>
      <c r="C61" s="489">
        <f>SUMIF('Commodity Prices'!C$252:C$902,A61,'Commodity Prices'!AM$252:AM$902)</f>
        <v>86.05</v>
      </c>
      <c r="D61" s="8"/>
      <c r="E61" s="70"/>
      <c r="F61" s="70"/>
      <c r="G61" s="8"/>
      <c r="H61" s="8"/>
      <c r="I61" s="268"/>
    </row>
    <row r="62" spans="1:9">
      <c r="A62" s="645">
        <f>LARGE('Commodity Prices'!C$159:C$902,8)</f>
        <v>45047</v>
      </c>
      <c r="B62" s="1258">
        <f>SUMIF('Commodity Prices'!C$252:C$902,A62,'Commodity Prices'!AK$252:AK$902)</f>
        <v>75.7</v>
      </c>
      <c r="C62" s="651">
        <f>SUMIF('Commodity Prices'!C$252:C$902,A62,'Commodity Prices'!AM$252:AM$902)</f>
        <v>79.62</v>
      </c>
      <c r="D62" s="8"/>
      <c r="E62" s="70"/>
      <c r="F62" s="70"/>
      <c r="G62" s="8"/>
      <c r="H62" s="8"/>
      <c r="I62" s="268"/>
    </row>
    <row r="63" spans="1:9">
      <c r="A63" s="645">
        <f>LARGE('Commodity Prices'!C$159:C$902,7)</f>
        <v>45078</v>
      </c>
      <c r="B63" s="565">
        <f>SUMIF('Commodity Prices'!C$252:C$902,A63,'Commodity Prices'!AK$252:AK$902)</f>
        <v>74.89</v>
      </c>
      <c r="C63" s="489">
        <f>SUMIF('Commodity Prices'!C$252:C$902,A63,'Commodity Prices'!AM$252:AM$902)</f>
        <v>77.22</v>
      </c>
      <c r="D63" s="8"/>
      <c r="E63" s="70"/>
      <c r="F63" s="70"/>
      <c r="G63" s="8"/>
      <c r="H63" s="8"/>
      <c r="I63" s="268"/>
    </row>
    <row r="64" spans="1:9">
      <c r="A64" s="645">
        <f>LARGE('Commodity Prices'!C$159:C$902,6)</f>
        <v>45108</v>
      </c>
      <c r="B64" s="1258">
        <f>SUMIF('Commodity Prices'!C$252:C$902,A64,'Commodity Prices'!AK$252:AK$902)</f>
        <v>80.099999999999994</v>
      </c>
      <c r="C64" s="651">
        <f>SUMIF('Commodity Prices'!C$252:C$902,A64,'Commodity Prices'!AM$252:AM$902)</f>
        <v>83.03</v>
      </c>
      <c r="D64" s="8"/>
      <c r="E64" s="70"/>
      <c r="F64" s="70"/>
      <c r="G64" s="8"/>
      <c r="H64" s="8"/>
      <c r="I64" s="268"/>
    </row>
    <row r="65" spans="1:9">
      <c r="A65" s="645">
        <f>LARGE('Commodity Prices'!C$159:C$902,5)</f>
        <v>45139</v>
      </c>
      <c r="B65" s="565">
        <f>SUMIF('Commodity Prices'!C$252:C$902,A65,'Commodity Prices'!AK$252:AK$902)</f>
        <v>86.16</v>
      </c>
      <c r="C65" s="489">
        <f>SUMIF('Commodity Prices'!C$252:C$902,A65,'Commodity Prices'!AM$252:AM$902)</f>
        <v>89.84</v>
      </c>
      <c r="D65" s="8"/>
      <c r="E65" s="70"/>
      <c r="F65" s="70"/>
      <c r="G65" s="8"/>
      <c r="H65" s="8"/>
      <c r="I65" s="268"/>
    </row>
    <row r="66" spans="1:9">
      <c r="A66" s="645">
        <f>LARGE('Commodity Prices'!C$159:C$902,4)</f>
        <v>45170</v>
      </c>
      <c r="B66" s="1258">
        <f>SUMIF('Commodity Prices'!C$252:C$902,A66,'Commodity Prices'!AK$252:AK$902)</f>
        <v>94</v>
      </c>
      <c r="C66" s="651">
        <f>SUMIF('Commodity Prices'!C$252:C$902,A66,'Commodity Prices'!AM$252:AM$902)</f>
        <v>98.4</v>
      </c>
      <c r="D66" s="8"/>
      <c r="E66" s="70"/>
      <c r="F66" s="70"/>
    </row>
    <row r="67" spans="1:9">
      <c r="A67" s="645">
        <f>LARGE('Commodity Prices'!C$159:C$902,3)</f>
        <v>45200</v>
      </c>
      <c r="B67" s="565">
        <f>SUMIF('Commodity Prices'!C$252:C$902,A67,'Commodity Prices'!AK$252:AK$902)</f>
        <v>91.06</v>
      </c>
      <c r="C67" s="489">
        <f>SUMIF('Commodity Prices'!C$252:C$902,A67,'Commodity Prices'!AM$252:AM$902)</f>
        <v>95.93</v>
      </c>
      <c r="D67" s="8"/>
      <c r="E67" s="70"/>
      <c r="F67" s="70"/>
    </row>
    <row r="68" spans="1:9">
      <c r="A68" s="645">
        <f>LARGE('Commodity Prices'!C$159:C$902,2)</f>
        <v>45231</v>
      </c>
      <c r="B68" s="1258">
        <f>SUMIF('Commodity Prices'!C$252:C$902,A68,'Commodity Prices'!AK$252:AK$902)</f>
        <v>83.18</v>
      </c>
      <c r="C68" s="651">
        <f>SUMIF('Commodity Prices'!C$252:C$902,A68,'Commodity Prices'!AM$252:AM$902)</f>
        <v>87.89</v>
      </c>
      <c r="D68" s="8"/>
      <c r="E68" s="70"/>
      <c r="F68" s="70"/>
    </row>
    <row r="69" spans="1:9" ht="15.75" thickBot="1">
      <c r="A69" s="647">
        <f>LARGE('Commodity Prices'!C$159:C$902,1)</f>
        <v>45261</v>
      </c>
      <c r="B69" s="566">
        <f>SUMIF('Commodity Prices'!C$252:C$902,A69,'Commodity Prices'!AK$252:AK$902)</f>
        <v>77.86</v>
      </c>
      <c r="C69" s="490">
        <f>SUMIF('Commodity Prices'!C$252:C$902,A69,'Commodity Prices'!AM$252:AM$902)</f>
        <v>83.31</v>
      </c>
      <c r="F69" s="70"/>
    </row>
  </sheetData>
  <mergeCells count="8">
    <mergeCell ref="G46:H48"/>
    <mergeCell ref="A5:C5"/>
    <mergeCell ref="A6:C6"/>
    <mergeCell ref="G6:I6"/>
    <mergeCell ref="G5:I5"/>
    <mergeCell ref="G42:I42"/>
    <mergeCell ref="G43:I43"/>
    <mergeCell ref="G44:I44"/>
  </mergeCells>
  <dataValidations xWindow="579" yWindow="944" count="1">
    <dataValidation type="list" allowBlank="1" showInputMessage="1" showErrorMessage="1" promptTitle="Select a Period:" prompt="Select Financial or Calendar years." sqref="G43" xr:uid="{00000000-0002-0000-2700-000000000000}">
      <formula1>$AA$1:$AA$2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39997558519241921"/>
  </sheetPr>
  <dimension ref="A1:DC69"/>
  <sheetViews>
    <sheetView showGridLines="0" workbookViewId="0"/>
  </sheetViews>
  <sheetFormatPr defaultColWidth="9.140625" defaultRowHeight="15"/>
  <cols>
    <col min="1" max="1" width="9.5703125" style="381" bestFit="1" customWidth="1"/>
    <col min="2" max="3" width="20.5703125" style="381" customWidth="1"/>
    <col min="4" max="4" width="10.42578125" style="381" customWidth="1"/>
    <col min="5" max="5" width="5.5703125" style="381" hidden="1" customWidth="1"/>
    <col min="6" max="6" width="6.42578125" style="381" hidden="1" customWidth="1"/>
    <col min="7" max="7" width="12.42578125" style="381" customWidth="1"/>
    <col min="8" max="9" width="20.5703125" style="381" customWidth="1"/>
    <col min="10" max="11" width="12" style="381" hidden="1" customWidth="1"/>
    <col min="12" max="29" width="9.140625" style="381"/>
    <col min="30" max="107" width="9.140625" style="95"/>
    <col min="108" max="16384" width="9.140625" style="381"/>
  </cols>
  <sheetData>
    <row r="1" spans="1:107">
      <c r="AB1" s="237" t="s">
        <v>282</v>
      </c>
    </row>
    <row r="2" spans="1:107">
      <c r="I2" s="1158"/>
      <c r="J2" s="1142"/>
      <c r="K2" s="1142"/>
      <c r="L2" s="1142"/>
      <c r="M2" s="1142"/>
      <c r="N2" s="405"/>
      <c r="O2" s="405"/>
      <c r="P2" s="405"/>
      <c r="Q2" s="405"/>
      <c r="R2" s="405"/>
      <c r="AB2" s="237" t="s">
        <v>283</v>
      </c>
    </row>
    <row r="3" spans="1:107">
      <c r="I3" s="98"/>
      <c r="J3" s="405"/>
      <c r="K3" s="308"/>
      <c r="L3" s="308"/>
      <c r="M3" s="308"/>
      <c r="N3" s="405"/>
      <c r="O3" s="405"/>
      <c r="P3" s="405"/>
      <c r="Q3" s="405"/>
      <c r="R3" s="405"/>
    </row>
    <row r="4" spans="1:107" ht="16.5" customHeight="1">
      <c r="G4" s="238"/>
      <c r="K4" s="904"/>
      <c r="L4" s="308"/>
      <c r="M4" s="308"/>
      <c r="N4" s="405"/>
      <c r="O4" s="405"/>
      <c r="P4" s="405"/>
      <c r="Q4" s="405"/>
      <c r="R4" s="405"/>
    </row>
    <row r="5" spans="1:107" s="54" customFormat="1">
      <c r="A5" s="2070" t="s">
        <v>495</v>
      </c>
      <c r="B5" s="2070"/>
      <c r="C5" s="2071"/>
      <c r="D5" s="1139"/>
      <c r="E5" s="1139"/>
      <c r="F5" s="1139"/>
      <c r="G5" s="1948" t="s">
        <v>620</v>
      </c>
      <c r="H5" s="1948"/>
      <c r="I5" s="1921"/>
      <c r="K5" s="613"/>
      <c r="L5" s="1142"/>
      <c r="M5" s="1142"/>
      <c r="N5" s="613"/>
      <c r="AD5" s="1140"/>
      <c r="AE5" s="1140"/>
      <c r="AF5" s="1140"/>
      <c r="AG5" s="1140"/>
      <c r="AH5" s="1140"/>
      <c r="AI5" s="1140"/>
      <c r="AJ5" s="1140"/>
      <c r="AK5" s="1140"/>
      <c r="AL5" s="1140"/>
      <c r="AM5" s="1140"/>
      <c r="AN5" s="1140"/>
      <c r="AO5" s="1140"/>
      <c r="AP5" s="1140"/>
      <c r="AQ5" s="1140"/>
      <c r="AR5" s="1140"/>
      <c r="AS5" s="1140"/>
      <c r="AT5" s="1140"/>
      <c r="AU5" s="1140"/>
      <c r="AV5" s="1140"/>
      <c r="AW5" s="1140"/>
      <c r="AX5" s="1140"/>
      <c r="AY5" s="1140"/>
      <c r="AZ5" s="1140"/>
      <c r="BA5" s="1140"/>
      <c r="BB5" s="1140"/>
      <c r="BC5" s="1140"/>
      <c r="BD5" s="1140"/>
      <c r="BE5" s="1140"/>
      <c r="BF5" s="1140"/>
      <c r="BG5" s="1140"/>
      <c r="BH5" s="1140"/>
      <c r="BI5" s="1140"/>
      <c r="BJ5" s="1140"/>
      <c r="BK5" s="1140"/>
      <c r="BL5" s="1140"/>
      <c r="BM5" s="1140"/>
      <c r="BN5" s="1140"/>
      <c r="BO5" s="1140"/>
      <c r="BP5" s="1140"/>
      <c r="BQ5" s="1140"/>
      <c r="BR5" s="1140"/>
      <c r="BS5" s="1140"/>
      <c r="BT5" s="1140"/>
      <c r="BU5" s="1140"/>
      <c r="BV5" s="1140"/>
      <c r="BW5" s="1140"/>
      <c r="BX5" s="1140"/>
      <c r="BY5" s="1140"/>
      <c r="BZ5" s="1140"/>
      <c r="CA5" s="1140"/>
      <c r="CB5" s="1140"/>
      <c r="CC5" s="1140"/>
      <c r="CD5" s="1140"/>
      <c r="CE5" s="1140"/>
      <c r="CF5" s="1140"/>
      <c r="CG5" s="1140"/>
      <c r="CH5" s="1140"/>
      <c r="CI5" s="1140"/>
      <c r="CJ5" s="1140"/>
      <c r="CK5" s="1140"/>
      <c r="CL5" s="1140"/>
      <c r="CM5" s="1140"/>
      <c r="CN5" s="1140"/>
      <c r="CO5" s="1140"/>
      <c r="CP5" s="1140"/>
      <c r="CQ5" s="1140"/>
      <c r="CR5" s="1140"/>
      <c r="CS5" s="1140"/>
      <c r="CT5" s="1140"/>
      <c r="CU5" s="1140"/>
      <c r="CV5" s="1140"/>
      <c r="CW5" s="1140"/>
      <c r="CX5" s="1140"/>
      <c r="CY5" s="1140"/>
      <c r="CZ5" s="1140"/>
      <c r="DA5" s="1140"/>
      <c r="DB5" s="1140"/>
      <c r="DC5" s="1140"/>
    </row>
    <row r="6" spans="1:107" s="54" customFormat="1" ht="15.75" thickBot="1">
      <c r="A6" s="1977" t="s">
        <v>36</v>
      </c>
      <c r="B6" s="1977"/>
      <c r="C6" s="2069"/>
      <c r="D6" s="1139"/>
      <c r="E6" s="1139"/>
      <c r="F6" s="1139"/>
      <c r="G6" s="1977" t="str">
        <f>G19</f>
        <v>Historic Calendar Year</v>
      </c>
      <c r="H6" s="1977"/>
      <c r="I6" s="2069"/>
      <c r="L6" s="1141"/>
      <c r="M6" s="1141"/>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40"/>
      <c r="AZ6" s="1140"/>
      <c r="BA6" s="1140"/>
      <c r="BB6" s="1140"/>
      <c r="BC6" s="1140"/>
      <c r="BD6" s="1140"/>
      <c r="BE6" s="1140"/>
      <c r="BF6" s="1140"/>
      <c r="BG6" s="1140"/>
      <c r="BH6" s="1140"/>
      <c r="BI6" s="1140"/>
      <c r="BJ6" s="1140"/>
      <c r="BK6" s="1140"/>
      <c r="BL6" s="1140"/>
      <c r="BM6" s="1140"/>
      <c r="BN6" s="1140"/>
      <c r="BO6" s="1140"/>
      <c r="BP6" s="1140"/>
      <c r="BQ6" s="1140"/>
      <c r="BR6" s="1140"/>
      <c r="BS6" s="1140"/>
      <c r="BT6" s="1140"/>
      <c r="BU6" s="1140"/>
      <c r="BV6" s="1140"/>
      <c r="BW6" s="1140"/>
      <c r="BX6" s="1140"/>
      <c r="BY6" s="1140"/>
      <c r="BZ6" s="1140"/>
      <c r="CA6" s="1140"/>
      <c r="CB6" s="1140"/>
      <c r="CC6" s="1140"/>
      <c r="CD6" s="1140"/>
      <c r="CE6" s="1140"/>
      <c r="CF6" s="1140"/>
      <c r="CG6" s="1140"/>
      <c r="CH6" s="1140"/>
      <c r="CI6" s="1140"/>
      <c r="CJ6" s="1140"/>
      <c r="CK6" s="1140"/>
      <c r="CL6" s="1140"/>
      <c r="CM6" s="1140"/>
      <c r="CN6" s="1140"/>
      <c r="CO6" s="1140"/>
      <c r="CP6" s="1140"/>
      <c r="CQ6" s="1140"/>
      <c r="CR6" s="1140"/>
      <c r="CS6" s="1140"/>
      <c r="CT6" s="1140"/>
      <c r="CU6" s="1140"/>
      <c r="CV6" s="1140"/>
      <c r="CW6" s="1140"/>
      <c r="CX6" s="1140"/>
      <c r="CY6" s="1140"/>
      <c r="CZ6" s="1140"/>
      <c r="DA6" s="1140"/>
      <c r="DB6" s="1140"/>
      <c r="DC6" s="1140"/>
    </row>
    <row r="7" spans="1:107">
      <c r="A7" s="1115"/>
      <c r="B7" s="1210" t="s">
        <v>224</v>
      </c>
      <c r="C7" s="1215" t="s">
        <v>224</v>
      </c>
      <c r="D7" s="268"/>
      <c r="E7" s="268"/>
      <c r="F7" s="268"/>
      <c r="G7" s="1115"/>
      <c r="H7" s="1210" t="s">
        <v>224</v>
      </c>
      <c r="I7" s="1114" t="s">
        <v>224</v>
      </c>
    </row>
    <row r="8" spans="1:107">
      <c r="A8" s="1211" t="s">
        <v>401</v>
      </c>
      <c r="B8" s="1213" t="s">
        <v>518</v>
      </c>
      <c r="C8" s="1214" t="s">
        <v>519</v>
      </c>
      <c r="D8" s="268"/>
      <c r="E8" s="268"/>
      <c r="F8" s="268"/>
      <c r="G8" s="1211" t="s">
        <v>34</v>
      </c>
      <c r="H8" s="1212" t="s">
        <v>518</v>
      </c>
      <c r="I8" s="1214" t="s">
        <v>519</v>
      </c>
    </row>
    <row r="9" spans="1:107">
      <c r="A9" s="430">
        <f>LARGE('Commodity Prices'!C$159:C$902,61)</f>
        <v>43435</v>
      </c>
      <c r="B9" s="922">
        <f>SUMIF('Commodity Prices'!C$252:C$902,A9,'Commodity Prices'!AO$252:AO$902)</f>
        <v>9.7972417539311145</v>
      </c>
      <c r="C9" s="1200">
        <f>SUMIF('Commodity Prices'!C$252:C$902,A9,'Commodity Prices'!AP$252:AP$902)</f>
        <v>13.633291098125165</v>
      </c>
      <c r="D9" s="268"/>
      <c r="E9" s="268">
        <v>2016</v>
      </c>
      <c r="F9" s="268">
        <f>E9+1</f>
        <v>2017</v>
      </c>
      <c r="G9" s="652">
        <f>IF($G$6="Historic Calendar Year",2016,CONCATENATE(E9,"-",RIGHT(F9,4)))</f>
        <v>2016</v>
      </c>
      <c r="H9" s="922">
        <f t="array" ref="H9">IF($G$6="Historic Calendar Year",IFERROR(AVERAGE(IF($G9=YEAR('Commodity Prices'!C$100:C$1000),'Commodity Prices'!AO$100:AO$1000)),"NA"),IFERROR(IF(J9=0,"NA",J9),"NA"))</f>
        <v>3.3611641331246234</v>
      </c>
      <c r="I9" s="1200">
        <f t="array" ref="I9">IF($G$6="Historic Calendar Year",IFERROR(AVERAGE(IF($G9=YEAR('Commodity Prices'!C$100:C$1000),'Commodity Prices'!AP$100:AP$1000)),"NA"),IFERROR(IF(K9=0,"NA",K9),"NA"))</f>
        <v>4.4679814932053707</v>
      </c>
      <c r="J9" s="98">
        <f>(SUMIFS('Commodity Prices'!$AO$9:$AO$2500,'Commodity Prices'!$A$9:$A$2500,'Petroleum - LNG - Prices'!E9,'Commodity Prices'!$B$9:$B$2500,3)+
SUMIFS('Commodity Prices'!$AO$9:$AO$2500,'Commodity Prices'!$A$9:$A$2500,'Petroleum - LNG - Prices'!E9,'Commodity Prices'!$B$9:$B$2500,4)+
SUMIFS('Commodity Prices'!$AO$9:$AO$2500,'Commodity Prices'!$A$9:$A$2500,'Petroleum - LNG - Prices'!F9,'Commodity Prices'!$B$9:$B$2500,1)+
SUMIFS('Commodity Prices'!$AO$9:$AO$2500,'Commodity Prices'!$A$9:$A$2500,'Petroleum - LNG - Prices'!F9,'Commodity Prices'!$B$9:$B$2500,2))
/(COUNTIFS('Commodity Prices'!$A$9:$A$2500,'Petroleum - LNG - Prices'!E9,'Commodity Prices'!$B$9:$B$2500,3)+
COUNTIFS('Commodity Prices'!$A$9:$A$2500,'Petroleum - LNG - Prices'!E9,'Commodity Prices'!$B$9:$B$2500,4)+
COUNTIFS('Commodity Prices'!$A$9:$A$2500,'Petroleum - LNG - Prices'!F9,'Commodity Prices'!$B$9:$B$2500,1)+
COUNTIFS('Commodity Prices'!$A$9:$A$2500,'Petroleum - LNG - Prices'!F9,'Commodity Prices'!$B$9:$B$2500,2))</f>
        <v>6.3152303453000727</v>
      </c>
      <c r="K9" s="72">
        <f>(SUMIFS('Commodity Prices'!$AP$9:$AP$2500,'Commodity Prices'!$A$9:$A$2500,'Petroleum - LNG - Prices'!E9,'Commodity Prices'!$B$9:$B$2500,3)+
SUMIFS('Commodity Prices'!$AP$9:$AP$2500,'Commodity Prices'!$A$9:$A$2500,'Petroleum - LNG - Prices'!E9,'Commodity Prices'!$B$9:$B$2500,4)+
SUMIFS('Commodity Prices'!$AP$9:$AP$2500,'Commodity Prices'!$A$9:$A$2500,'Petroleum - LNG - Prices'!F9,'Commodity Prices'!$B$9:$B$2500,1)+
SUMIFS('Commodity Prices'!$AP$9:$AP$2500,'Commodity Prices'!$A$9:$A$2500,'Petroleum - LNG - Prices'!F9,'Commodity Prices'!$B$9:$B$2500,2))
/(COUNTIFS('Commodity Prices'!$A$9:$A$2500,'Petroleum - LNG - Prices'!E9,'Commodity Prices'!$B$9:$B$2500,3)+
COUNTIFS('Commodity Prices'!$A$9:$A$2500,'Petroleum - LNG - Prices'!E9,'Commodity Prices'!$B$9:$B$2500,4)+
COUNTIFS('Commodity Prices'!$A$9:$A$2500,'Petroleum - LNG - Prices'!F9,'Commodity Prices'!$B$9:$B$2500,1)+
COUNTIFS('Commodity Prices'!$A$9:$A$2500,'Petroleum - LNG - Prices'!F9,'Commodity Prices'!$B$9:$B$2500,2))</f>
        <v>8.3726779821339203</v>
      </c>
    </row>
    <row r="10" spans="1:107">
      <c r="A10" s="431">
        <f>LARGE('Commodity Prices'!C$159:C$902,60)</f>
        <v>43466</v>
      </c>
      <c r="B10" s="1216">
        <f>SUMIF('Commodity Prices'!C$252:C$902,A10,'Commodity Prices'!AO$252:AO$902)</f>
        <v>10.116269882054182</v>
      </c>
      <c r="C10" s="651">
        <f>SUMIF('Commodity Prices'!C$252:C$902,A10,'Commodity Prices'!AP$252:AP$902)</f>
        <v>14.160323378823525</v>
      </c>
      <c r="D10" s="268"/>
      <c r="E10" s="268">
        <f t="shared" ref="E10:F10" si="0">E9+1</f>
        <v>2017</v>
      </c>
      <c r="F10" s="268">
        <f t="shared" si="0"/>
        <v>2018</v>
      </c>
      <c r="G10" s="653">
        <f t="shared" ref="G10:G13" si="1">IF($G$6="Historic Calendar Year",G9+1,CONCATENATE(E10,"-",RIGHT(F10,4)))</f>
        <v>2017</v>
      </c>
      <c r="H10" s="1216">
        <f t="array" ref="H10">IF($G$6="Historic Calendar Year",IFERROR(AVERAGE(IF($G10=YEAR('Commodity Prices'!C$100:C$1000),'Commodity Prices'!AO$100:AO$1000)),"NA"),IFERROR(IF(J10=0,"NA",J10),"NA"))</f>
        <v>6.6720324253436099</v>
      </c>
      <c r="I10" s="651">
        <f t="array" ref="I10">IF($G$6="Historic Calendar Year",IFERROR(AVERAGE(IF($G10=YEAR('Commodity Prices'!C$100:C$1000),'Commodity Prices'!AP$100:AP$1000)),"NA"),IFERROR(IF(K10=0,"NA",K10),"NA"))</f>
        <v>8.7051037932943931</v>
      </c>
      <c r="J10" s="98">
        <f>(SUMIFS('Commodity Prices'!$AO$9:$AO$2500,'Commodity Prices'!$A$9:$A$2500,'Petroleum - LNG - Prices'!E10,'Commodity Prices'!$B$9:$B$2500,3)+
SUMIFS('Commodity Prices'!$AO$9:$AO$2500,'Commodity Prices'!$A$9:$A$2500,'Petroleum - LNG - Prices'!E10,'Commodity Prices'!$B$9:$B$2500,4)+
SUMIFS('Commodity Prices'!$AO$9:$AO$2500,'Commodity Prices'!$A$9:$A$2500,'Petroleum - LNG - Prices'!F10,'Commodity Prices'!$B$9:$B$2500,1)+
SUMIFS('Commodity Prices'!$AO$9:$AO$2500,'Commodity Prices'!$A$9:$A$2500,'Petroleum - LNG - Prices'!F10,'Commodity Prices'!$B$9:$B$2500,2))
/(COUNTIFS('Commodity Prices'!$A$9:$A$2500,'Petroleum - LNG - Prices'!E10,'Commodity Prices'!$B$9:$B$2500,3)+
COUNTIFS('Commodity Prices'!$A$9:$A$2500,'Petroleum - LNG - Prices'!E10,'Commodity Prices'!$B$9:$B$2500,4)+
COUNTIFS('Commodity Prices'!$A$9:$A$2500,'Petroleum - LNG - Prices'!F10,'Commodity Prices'!$B$9:$B$2500,1)+
COUNTIFS('Commodity Prices'!$A$9:$A$2500,'Petroleum - LNG - Prices'!F10,'Commodity Prices'!$B$9:$B$2500,2))</f>
        <v>7.4849226999072513</v>
      </c>
      <c r="K10" s="72">
        <f>(SUMIFS('Commodity Prices'!$AP$9:$AP$2500,'Commodity Prices'!$A$9:$A$2500,'Petroleum - LNG - Prices'!E10,'Commodity Prices'!$B$9:$B$2500,3)+
SUMIFS('Commodity Prices'!$AP$9:$AP$2500,'Commodity Prices'!$A$9:$A$2500,'Petroleum - LNG - Prices'!E10,'Commodity Prices'!$B$9:$B$2500,4)+
SUMIFS('Commodity Prices'!$AP$9:$AP$2500,'Commodity Prices'!$A$9:$A$2500,'Petroleum - LNG - Prices'!F10,'Commodity Prices'!$B$9:$B$2500,1)+
SUMIFS('Commodity Prices'!$AP$9:$AP$2500,'Commodity Prices'!$A$9:$A$2500,'Petroleum - LNG - Prices'!F10,'Commodity Prices'!$B$9:$B$2500,2))
/(COUNTIFS('Commodity Prices'!$A$9:$A$2500,'Petroleum - LNG - Prices'!E10,'Commodity Prices'!$B$9:$B$2500,3)+
COUNTIFS('Commodity Prices'!$A$9:$A$2500,'Petroleum - LNG - Prices'!E10,'Commodity Prices'!$B$9:$B$2500,4)+
COUNTIFS('Commodity Prices'!$A$9:$A$2500,'Petroleum - LNG - Prices'!F10,'Commodity Prices'!$B$9:$B$2500,1)+
COUNTIFS('Commodity Prices'!$A$9:$A$2500,'Petroleum - LNG - Prices'!F10,'Commodity Prices'!$B$9:$B$2500,2))</f>
        <v>9.6653126469022919</v>
      </c>
    </row>
    <row r="11" spans="1:107">
      <c r="A11" s="430">
        <f>LARGE('Commodity Prices'!C$159:C$902,59)</f>
        <v>43497</v>
      </c>
      <c r="B11" s="922">
        <f>SUMIF('Commodity Prices'!C$252:C$902,A11,'Commodity Prices'!AO$252:AO$902)</f>
        <v>10.186909482547609</v>
      </c>
      <c r="C11" s="489">
        <f>SUMIF('Commodity Prices'!C$252:C$902,A11,'Commodity Prices'!AP$252:AP$902)</f>
        <v>14.25939177288299</v>
      </c>
      <c r="D11" s="268"/>
      <c r="E11" s="268">
        <f t="shared" ref="E11:F11" si="2">E10+1</f>
        <v>2018</v>
      </c>
      <c r="F11" s="268">
        <f t="shared" si="2"/>
        <v>2019</v>
      </c>
      <c r="G11" s="652">
        <f t="shared" si="1"/>
        <v>2018</v>
      </c>
      <c r="H11" s="922">
        <f t="array" ref="H11">IF($G$6="Historic Calendar Year",IFERROR(AVERAGE(IF($G11=YEAR('Commodity Prices'!C$100:C$1000),'Commodity Prices'!AO$100:AO$1000)),"NA"),IFERROR(IF(J11=0,"NA",J11),"NA"))</f>
        <v>8.9423851091638245</v>
      </c>
      <c r="I11" s="489">
        <f t="array" ref="I11">IF($G$6="Historic Calendar Year",IFERROR(AVERAGE(IF($G11=YEAR('Commodity Prices'!C$100:C$1000),'Commodity Prices'!AP$100:AP$1000)),"NA"),IFERROR(IF(K11=0,"NA",K11),"NA"))</f>
        <v>12.00070072082684</v>
      </c>
      <c r="J11" s="98">
        <f>(SUMIFS('Commodity Prices'!$AO$9:$AO$2500,'Commodity Prices'!$A$9:$A$2500,'Petroleum - LNG - Prices'!E11,'Commodity Prices'!$B$9:$B$2500,3)+
SUMIFS('Commodity Prices'!$AO$9:$AO$2500,'Commodity Prices'!$A$9:$A$2500,'Petroleum - LNG - Prices'!E11,'Commodity Prices'!$B$9:$B$2500,4)+
SUMIFS('Commodity Prices'!$AO$9:$AO$2500,'Commodity Prices'!$A$9:$A$2500,'Petroleum - LNG - Prices'!F11,'Commodity Prices'!$B$9:$B$2500,1)+
SUMIFS('Commodity Prices'!$AO$9:$AO$2500,'Commodity Prices'!$A$9:$A$2500,'Petroleum - LNG - Prices'!F11,'Commodity Prices'!$B$9:$B$2500,2))
/(COUNTIFS('Commodity Prices'!$A$9:$A$2500,'Petroleum - LNG - Prices'!E11,'Commodity Prices'!$B$9:$B$2500,3)+
COUNTIFS('Commodity Prices'!$A$9:$A$2500,'Petroleum - LNG - Prices'!E11,'Commodity Prices'!$B$9:$B$2500,4)+
COUNTIFS('Commodity Prices'!$A$9:$A$2500,'Petroleum - LNG - Prices'!F11,'Commodity Prices'!$B$9:$B$2500,1)+
COUNTIFS('Commodity Prices'!$A$9:$A$2500,'Petroleum - LNG - Prices'!F11,'Commodity Prices'!$B$9:$B$2500,2))</f>
        <v>9.1690186469851422</v>
      </c>
      <c r="K11" s="72">
        <f>(SUMIFS('Commodity Prices'!$AP$9:$AP$2500,'Commodity Prices'!$A$9:$A$2500,'Petroleum - LNG - Prices'!E11,'Commodity Prices'!$B$9:$B$2500,3)+
SUMIFS('Commodity Prices'!$AP$9:$AP$2500,'Commodity Prices'!$A$9:$A$2500,'Petroleum - LNG - Prices'!E11,'Commodity Prices'!$B$9:$B$2500,4)+
SUMIFS('Commodity Prices'!$AP$9:$AP$2500,'Commodity Prices'!$A$9:$A$2500,'Petroleum - LNG - Prices'!F11,'Commodity Prices'!$B$9:$B$2500,1)+
SUMIFS('Commodity Prices'!$AP$9:$AP$2500,'Commodity Prices'!$A$9:$A$2500,'Petroleum - LNG - Prices'!F11,'Commodity Prices'!$B$9:$B$2500,2))
/(COUNTIFS('Commodity Prices'!$A$9:$A$2500,'Petroleum - LNG - Prices'!E11,'Commodity Prices'!$B$9:$B$2500,3)+
COUNTIFS('Commodity Prices'!$A$9:$A$2500,'Petroleum - LNG - Prices'!E11,'Commodity Prices'!$B$9:$B$2500,4)+
COUNTIFS('Commodity Prices'!$A$9:$A$2500,'Petroleum - LNG - Prices'!F11,'Commodity Prices'!$B$9:$B$2500,1)+
COUNTIFS('Commodity Prices'!$A$9:$A$2500,'Petroleum - LNG - Prices'!F11,'Commodity Prices'!$B$9:$B$2500,2))</f>
        <v>12.810608457057349</v>
      </c>
    </row>
    <row r="12" spans="1:107">
      <c r="A12" s="431">
        <f>LARGE('Commodity Prices'!C$159:C$902,58)</f>
        <v>43525</v>
      </c>
      <c r="B12" s="1216">
        <f>SUMIF('Commodity Prices'!C$252:C$902,A12,'Commodity Prices'!AO$252:AO$902)</f>
        <v>9.2861401893699629</v>
      </c>
      <c r="C12" s="651">
        <f>SUMIF('Commodity Prices'!C$252:C$902,A12,'Commodity Prices'!AP$252:AP$902)</f>
        <v>13.114517708949693</v>
      </c>
      <c r="D12" s="268"/>
      <c r="E12" s="268">
        <f t="shared" ref="E12:F12" si="3">E11+1</f>
        <v>2019</v>
      </c>
      <c r="F12" s="268">
        <f t="shared" si="3"/>
        <v>2020</v>
      </c>
      <c r="G12" s="652">
        <f t="shared" si="1"/>
        <v>2019</v>
      </c>
      <c r="H12" s="1216">
        <f t="array" ref="H12">IF($G$6="Historic Calendar Year",IFERROR(AVERAGE(IF($G12=YEAR('Commodity Prices'!C$100:C$1000),'Commodity Prices'!AO$100:AO$1000)),"NA"),IFERROR(IF(J12=0,"NA",J12),"NA"))</f>
        <v>8.4728673074040159</v>
      </c>
      <c r="I12" s="651">
        <f t="array" ref="I12">IF($G$6="Historic Calendar Year",IFERROR(AVERAGE(IF($G12=YEAR('Commodity Prices'!C$100:C$1000),'Commodity Prices'!AP$100:AP$1000)),"NA"),IFERROR(IF(K12=0,"NA",K12),"NA"))</f>
        <v>12.175813641412661</v>
      </c>
      <c r="J12" s="98">
        <f>(SUMIFS('Commodity Prices'!$AO$9:$AO$2500,'Commodity Prices'!$A$9:$A$2500,'Petroleum - LNG - Prices'!E12,'Commodity Prices'!$B$9:$B$2500,3)+
SUMIFS('Commodity Prices'!$AO$9:$AO$2500,'Commodity Prices'!$A$9:$A$2500,'Petroleum - LNG - Prices'!E12,'Commodity Prices'!$B$9:$B$2500,4)+
SUMIFS('Commodity Prices'!$AO$9:$AO$2500,'Commodity Prices'!$A$9:$A$2500,'Petroleum - LNG - Prices'!F12,'Commodity Prices'!$B$9:$B$2500,1)+
SUMIFS('Commodity Prices'!$AO$9:$AO$2500,'Commodity Prices'!$A$9:$A$2500,'Petroleum - LNG - Prices'!F12,'Commodity Prices'!$B$9:$B$2500,2))
/(COUNTIFS('Commodity Prices'!$A$9:$A$2500,'Petroleum - LNG - Prices'!E12,'Commodity Prices'!$B$9:$B$2500,3)+
COUNTIFS('Commodity Prices'!$A$9:$A$2500,'Petroleum - LNG - Prices'!E12,'Commodity Prices'!$B$9:$B$2500,4)+
COUNTIFS('Commodity Prices'!$A$9:$A$2500,'Petroleum - LNG - Prices'!F12,'Commodity Prices'!$B$9:$B$2500,1)+
COUNTIFS('Commodity Prices'!$A$9:$A$2500,'Petroleum - LNG - Prices'!F12,'Commodity Prices'!$B$9:$B$2500,2))</f>
        <v>7.7541739152535856</v>
      </c>
      <c r="K12" s="72">
        <f>(SUMIFS('Commodity Prices'!$AP$9:$AP$2500,'Commodity Prices'!$A$9:$A$2500,'Petroleum - LNG - Prices'!E12,'Commodity Prices'!$B$9:$B$2500,3)+
SUMIFS('Commodity Prices'!$AP$9:$AP$2500,'Commodity Prices'!$A$9:$A$2500,'Petroleum - LNG - Prices'!E12,'Commodity Prices'!$B$9:$B$2500,4)+
SUMIFS('Commodity Prices'!$AP$9:$AP$2500,'Commodity Prices'!$A$9:$A$2500,'Petroleum - LNG - Prices'!F12,'Commodity Prices'!$B$9:$B$2500,1)+
SUMIFS('Commodity Prices'!$AP$9:$AP$2500,'Commodity Prices'!$A$9:$A$2500,'Petroleum - LNG - Prices'!F12,'Commodity Prices'!$B$9:$B$2500,2))
/(COUNTIFS('Commodity Prices'!$A$9:$A$2500,'Petroleum - LNG - Prices'!E12,'Commodity Prices'!$B$9:$B$2500,3)+
COUNTIFS('Commodity Prices'!$A$9:$A$2500,'Petroleum - LNG - Prices'!E12,'Commodity Prices'!$B$9:$B$2500,4)+
COUNTIFS('Commodity Prices'!$A$9:$A$2500,'Petroleum - LNG - Prices'!F12,'Commodity Prices'!$B$9:$B$2500,1)+
COUNTIFS('Commodity Prices'!$A$9:$A$2500,'Petroleum - LNG - Prices'!F12,'Commodity Prices'!$B$9:$B$2500,2))</f>
        <v>11.561211066563409</v>
      </c>
    </row>
    <row r="13" spans="1:107">
      <c r="A13" s="430">
        <f>LARGE('Commodity Prices'!C$159:C$902,57)</f>
        <v>43556</v>
      </c>
      <c r="B13" s="922">
        <f>SUMIF('Commodity Prices'!C$252:C$902,A13,'Commodity Prices'!AO$252:AO$902)</f>
        <v>7.7997008543488171</v>
      </c>
      <c r="C13" s="489">
        <f>SUMIF('Commodity Prices'!C$252:C$902,A13,'Commodity Prices'!AP$252:AP$902)</f>
        <v>10.961928858098048</v>
      </c>
      <c r="D13" s="268"/>
      <c r="E13" s="268">
        <f t="shared" ref="E13:F13" si="4">E12+1</f>
        <v>2020</v>
      </c>
      <c r="F13" s="268">
        <f t="shared" si="4"/>
        <v>2021</v>
      </c>
      <c r="G13" s="653">
        <f t="shared" si="1"/>
        <v>2020</v>
      </c>
      <c r="H13" s="922">
        <f t="array" ref="H13">IF($G$6="Historic Calendar Year",IFERROR(AVERAGE(IF($G13=YEAR('Commodity Prices'!C$100:C$1000),'Commodity Prices'!AO$100:AO$1000)),"NA"),IFERROR(IF(J13=0,"NA",J13),"NA"))</f>
        <v>6.1057907700901959</v>
      </c>
      <c r="I13" s="489">
        <f t="array" ref="I13">IF($G$6="Historic Calendar Year",IFERROR(AVERAGE(IF($G13=YEAR('Commodity Prices'!C$100:C$1000),'Commodity Prices'!AP$100:AP$1000)),"NA"),IFERROR(IF(K13=0,"NA",K13),"NA"))</f>
        <v>8.9582728666300753</v>
      </c>
      <c r="J13" s="98">
        <f>(SUMIFS('Commodity Prices'!$AO$9:$AO$2500,'Commodity Prices'!$A$9:$A$2500,'Petroleum - LNG - Prices'!E13,'Commodity Prices'!$B$9:$B$2500,3)+
SUMIFS('Commodity Prices'!$AO$9:$AO$2500,'Commodity Prices'!$A$9:$A$2500,'Petroleum - LNG - Prices'!E13,'Commodity Prices'!$B$9:$B$2500,4)+
SUMIFS('Commodity Prices'!$AO$9:$AO$2500,'Commodity Prices'!$A$9:$A$2500,'Petroleum - LNG - Prices'!F13,'Commodity Prices'!$B$9:$B$2500,1)+
SUMIFS('Commodity Prices'!$AO$9:$AO$2500,'Commodity Prices'!$A$9:$A$2500,'Petroleum - LNG - Prices'!F13,'Commodity Prices'!$B$9:$B$2500,2))
/(COUNTIFS('Commodity Prices'!$A$9:$A$2500,'Petroleum - LNG - Prices'!E13,'Commodity Prices'!$B$9:$B$2500,3)+
COUNTIFS('Commodity Prices'!$A$9:$A$2500,'Petroleum - LNG - Prices'!E13,'Commodity Prices'!$B$9:$B$2500,4)+
COUNTIFS('Commodity Prices'!$A$9:$A$2500,'Petroleum - LNG - Prices'!F13,'Commodity Prices'!$B$9:$B$2500,1)+
COUNTIFS('Commodity Prices'!$A$9:$A$2500,'Petroleum - LNG - Prices'!F13,'Commodity Prices'!$B$9:$B$2500,2))</f>
        <v>5.7389802915181924</v>
      </c>
      <c r="K13" s="72">
        <f>(SUMIFS('Commodity Prices'!$AP$9:$AP$2500,'Commodity Prices'!$A$9:$A$2500,'Petroleum - LNG - Prices'!E13,'Commodity Prices'!$B$9:$B$2500,3)+
SUMIFS('Commodity Prices'!$AP$9:$AP$2500,'Commodity Prices'!$A$9:$A$2500,'Petroleum - LNG - Prices'!E13,'Commodity Prices'!$B$9:$B$2500,4)+
SUMIFS('Commodity Prices'!$AP$9:$AP$2500,'Commodity Prices'!$A$9:$A$2500,'Petroleum - LNG - Prices'!F13,'Commodity Prices'!$B$9:$B$2500,1)+
SUMIFS('Commodity Prices'!$AP$9:$AP$2500,'Commodity Prices'!$A$9:$A$2500,'Petroleum - LNG - Prices'!F13,'Commodity Prices'!$B$9:$B$2500,2))
/(COUNTIFS('Commodity Prices'!$A$9:$A$2500,'Petroleum - LNG - Prices'!E13,'Commodity Prices'!$B$9:$B$2500,3)+
COUNTIFS('Commodity Prices'!$A$9:$A$2500,'Petroleum - LNG - Prices'!E13,'Commodity Prices'!$B$9:$B$2500,4)+
COUNTIFS('Commodity Prices'!$A$9:$A$2500,'Petroleum - LNG - Prices'!F13,'Commodity Prices'!$B$9:$B$2500,1)+
COUNTIFS('Commodity Prices'!$A$9:$A$2500,'Petroleum - LNG - Prices'!F13,'Commodity Prices'!$B$9:$B$2500,2))</f>
        <v>7.6448325583869705</v>
      </c>
    </row>
    <row r="14" spans="1:107">
      <c r="A14" s="431">
        <f>LARGE('Commodity Prices'!C$159:C$902,56)</f>
        <v>43586</v>
      </c>
      <c r="B14" s="1216">
        <f>SUMIF('Commodity Prices'!C$252:C$902,A14,'Commodity Prices'!AO$252:AO$902)</f>
        <v>7.9786469943395515</v>
      </c>
      <c r="C14" s="651">
        <f>SUMIF('Commodity Prices'!C$252:C$902,A14,'Commodity Prices'!AP$252:AP$902)</f>
        <v>11.481863342393851</v>
      </c>
      <c r="D14" s="268"/>
      <c r="E14" s="268">
        <f t="shared" ref="E14:F16" si="5">E13+1</f>
        <v>2021</v>
      </c>
      <c r="F14" s="268">
        <f t="shared" si="5"/>
        <v>2022</v>
      </c>
      <c r="G14" s="653">
        <f>IF($G$6="Historic Calendar Year",G13+1,CONCATENATE(E14,"-",RIGHT(F14,4)))</f>
        <v>2021</v>
      </c>
      <c r="H14" s="1614">
        <f t="array" ref="H14">IF($G$6="Historic Calendar Year",IFERROR(AVERAGE(IF($G14=YEAR('Commodity Prices'!C$100:C$1000),'Commodity Prices'!AO$100:AO$1000)),"n/a"),IFERROR(IF(J14=0,"n/a",J14),"n/a"))</f>
        <v>8.7439781104230629</v>
      </c>
      <c r="I14" s="1209">
        <f t="array" ref="I14">IF($G$6="Historic Calendar Year",IFERROR(AVERAGE(IF($G14=YEAR('Commodity Prices'!C$100:C$1000),'Commodity Prices'!AP$100:AP$1000)),"n/a"),IFERROR(IF(K14=0,"n/a",K14),"n/a"))</f>
        <v>11.722067627866762</v>
      </c>
      <c r="J14" s="98">
        <f>(SUMIFS('Commodity Prices'!$AO$9:$AO$2500,'Commodity Prices'!$A$9:$A$2500,'Petroleum - LNG - Prices'!E14,'Commodity Prices'!$B$9:$B$2500,3)+
SUMIFS('Commodity Prices'!$AO$9:$AO$2500,'Commodity Prices'!$A$9:$A$2500,'Petroleum - LNG - Prices'!E14,'Commodity Prices'!$B$9:$B$2500,4)+
SUMIFS('Commodity Prices'!$AO$9:$AO$2500,'Commodity Prices'!$A$9:$A$2500,'Petroleum - LNG - Prices'!F14,'Commodity Prices'!$B$9:$B$2500,1)+
SUMIFS('Commodity Prices'!$AO$9:$AO$2500,'Commodity Prices'!$A$9:$A$2500,'Petroleum - LNG - Prices'!F14,'Commodity Prices'!$B$9:$B$2500,2))
/(COUNTIFS('Commodity Prices'!$A$9:$A$2500,'Petroleum - LNG - Prices'!E14,'Commodity Prices'!$B$9:$B$2500,3)+
COUNTIFS('Commodity Prices'!$A$9:$A$2500,'Petroleum - LNG - Prices'!E14,'Commodity Prices'!$B$9:$B$2500,4)+
COUNTIFS('Commodity Prices'!$A$9:$A$2500,'Petroleum - LNG - Prices'!F14,'Commodity Prices'!$B$9:$B$2500,1)+
COUNTIFS('Commodity Prices'!$A$9:$A$2500,'Petroleum - LNG - Prices'!F14,'Commodity Prices'!$B$9:$B$2500,2))</f>
        <v>11.912194610421237</v>
      </c>
      <c r="K14" s="72">
        <f>(SUMIFS('Commodity Prices'!$AP$9:$AP$2500,'Commodity Prices'!$A$9:$A$2500,'Petroleum - LNG - Prices'!E14,'Commodity Prices'!$B$9:$B$2500,3)+
SUMIFS('Commodity Prices'!$AP$9:$AP$2500,'Commodity Prices'!$A$9:$A$2500,'Petroleum - LNG - Prices'!E14,'Commodity Prices'!$B$9:$B$2500,4)+
SUMIFS('Commodity Prices'!$AP$9:$AP$2500,'Commodity Prices'!$A$9:$A$2500,'Petroleum - LNG - Prices'!F14,'Commodity Prices'!$B$9:$B$2500,1)+
SUMIFS('Commodity Prices'!$AP$9:$AP$2500,'Commodity Prices'!$A$9:$A$2500,'Petroleum - LNG - Prices'!F14,'Commodity Prices'!$B$9:$B$2500,2))
/(COUNTIFS('Commodity Prices'!$A$9:$A$2500,'Petroleum - LNG - Prices'!E14,'Commodity Prices'!$B$9:$B$2500,3)+
COUNTIFS('Commodity Prices'!$A$9:$A$2500,'Petroleum - LNG - Prices'!E14,'Commodity Prices'!$B$9:$B$2500,4)+
COUNTIFS('Commodity Prices'!$A$9:$A$2500,'Petroleum - LNG - Prices'!F14,'Commodity Prices'!$B$9:$B$2500,1)+
COUNTIFS('Commodity Prices'!$A$9:$A$2500,'Petroleum - LNG - Prices'!F14,'Commodity Prices'!$B$9:$B$2500,2))</f>
        <v>16.433791126965541</v>
      </c>
    </row>
    <row r="15" spans="1:107">
      <c r="A15" s="430">
        <f>LARGE('Commodity Prices'!C$159:C$902,56)</f>
        <v>43586</v>
      </c>
      <c r="B15" s="922">
        <f>SUMIF('Commodity Prices'!C$252:C$902,A15,'Commodity Prices'!AO$252:AO$902)</f>
        <v>7.9786469943395515</v>
      </c>
      <c r="C15" s="489">
        <f>SUMIF('Commodity Prices'!C$252:C$902,A15,'Commodity Prices'!AP$252:AP$902)</f>
        <v>11.481863342393851</v>
      </c>
      <c r="D15" s="268"/>
      <c r="E15" s="268">
        <f t="shared" si="5"/>
        <v>2022</v>
      </c>
      <c r="F15" s="268">
        <f t="shared" si="5"/>
        <v>2023</v>
      </c>
      <c r="G15" s="653">
        <f>IF($G$6="Historic Calendar Year",G14+1,CONCATENATE(E15,"-",RIGHT(F15,4)))</f>
        <v>2022</v>
      </c>
      <c r="H15" s="922">
        <f t="array" ref="H15">IF($G$6="Historic Calendar Year",IFERROR(AVERAGE(IF($G15=YEAR('Commodity Prices'!C$100:C$1000),'Commodity Prices'!AO$100:AO$1000)),"n/a"),IFERROR(IF(J15=0,"n/a",J15),"n/a"))</f>
        <v>14.786892727440922</v>
      </c>
      <c r="I15" s="489">
        <f t="array" ref="I15">IF($G$6="Historic Calendar Year",IFERROR(AVERAGE(IF($G15=YEAR('Commodity Prices'!C$100:C$1000),'Commodity Prices'!AP$100:AP$1000)),"n/a"),IFERROR(IF(K15=0,"n/a",K15),"n/a"))</f>
        <v>21.416163746219258</v>
      </c>
      <c r="J15" s="98">
        <f>(SUMIFS('Commodity Prices'!$AO$9:$AO$2500,'Commodity Prices'!$A$9:$A$2500,'Petroleum - LNG - Prices'!E15,'Commodity Prices'!$B$9:$B$2500,3)+
SUMIFS('Commodity Prices'!$AO$9:$AO$2500,'Commodity Prices'!$A$9:$A$2500,'Petroleum - LNG - Prices'!E15,'Commodity Prices'!$B$9:$B$2500,4)+
SUMIFS('Commodity Prices'!$AO$9:$AO$2500,'Commodity Prices'!$A$9:$A$2500,'Petroleum - LNG - Prices'!F15,'Commodity Prices'!$B$9:$B$2500,1)+
SUMIFS('Commodity Prices'!$AO$9:$AO$2500,'Commodity Prices'!$A$9:$A$2500,'Petroleum - LNG - Prices'!F15,'Commodity Prices'!$B$9:$B$2500,2))
/(COUNTIFS('Commodity Prices'!$A$9:$A$2500,'Petroleum - LNG - Prices'!E15,'Commodity Prices'!$B$9:$B$2500,3)+
COUNTIFS('Commodity Prices'!$A$9:$A$2500,'Petroleum - LNG - Prices'!E15,'Commodity Prices'!$B$9:$B$2500,4)+
COUNTIFS('Commodity Prices'!$A$9:$A$2500,'Petroleum - LNG - Prices'!F15,'Commodity Prices'!$B$9:$B$2500,1)+
COUNTIFS('Commodity Prices'!$A$9:$A$2500,'Petroleum - LNG - Prices'!F15,'Commodity Prices'!$B$9:$B$2500,2))</f>
        <v>14.633193210176046</v>
      </c>
      <c r="K15" s="72">
        <f>(SUMIFS('Commodity Prices'!$AP$9:$AP$2500,'Commodity Prices'!$A$9:$A$2500,'Petroleum - LNG - Prices'!E15,'Commodity Prices'!$B$9:$B$2500,3)+
SUMIFS('Commodity Prices'!$AP$9:$AP$2500,'Commodity Prices'!$A$9:$A$2500,'Petroleum - LNG - Prices'!E15,'Commodity Prices'!$B$9:$B$2500,4)+
SUMIFS('Commodity Prices'!$AP$9:$AP$2500,'Commodity Prices'!$A$9:$A$2500,'Petroleum - LNG - Prices'!F15,'Commodity Prices'!$B$9:$B$2500,1)+
SUMIFS('Commodity Prices'!$AP$9:$AP$2500,'Commodity Prices'!$A$9:$A$2500,'Petroleum - LNG - Prices'!F15,'Commodity Prices'!$B$9:$B$2500,2))
/(COUNTIFS('Commodity Prices'!$A$9:$A$2500,'Petroleum - LNG - Prices'!E15,'Commodity Prices'!$B$9:$B$2500,3)+
COUNTIFS('Commodity Prices'!$A$9:$A$2500,'Petroleum - LNG - Prices'!E15,'Commodity Prices'!$B$9:$B$2500,4)+
COUNTIFS('Commodity Prices'!$A$9:$A$2500,'Petroleum - LNG - Prices'!F15,'Commodity Prices'!$B$9:$B$2500,1)+
COUNTIFS('Commodity Prices'!$A$9:$A$2500,'Petroleum - LNG - Prices'!F15,'Commodity Prices'!$B$9:$B$2500,2))</f>
        <v>21.77838894158555</v>
      </c>
    </row>
    <row r="16" spans="1:107" ht="15.75" thickBot="1">
      <c r="A16" s="431">
        <f>LARGE('Commodity Prices'!C$159:C$902,54)</f>
        <v>43647</v>
      </c>
      <c r="B16" s="1216">
        <f>SUMIF('Commodity Prices'!C$252:C$902,A16,'Commodity Prices'!AO$252:AO$902)</f>
        <v>7.8985617080481791</v>
      </c>
      <c r="C16" s="651">
        <f>SUMIF('Commodity Prices'!C$252:C$902,A16,'Commodity Prices'!AP$252:AP$902)</f>
        <v>11.304583594797085</v>
      </c>
      <c r="D16" s="268"/>
      <c r="E16" s="268">
        <f t="shared" si="5"/>
        <v>2023</v>
      </c>
      <c r="F16" s="268">
        <f t="shared" si="5"/>
        <v>2024</v>
      </c>
      <c r="G16" s="1136">
        <f>IF($G$6="Historic Calendar Year",G15+1,CONCATENATE(E16,"-",RIGHT(F16,4)))</f>
        <v>2023</v>
      </c>
      <c r="H16" s="1761">
        <f t="array" ref="H16">IF($G$6="Historic Calendar Year",IFERROR(AVERAGE(IF($G16=YEAR('Commodity Prices'!C$100:C$1000),'Commodity Prices'!AO$100:AO$1000)),"n/a"),IFERROR(IF(J16=0,"n/a",J16),"n/a"))</f>
        <v>11.832748894402663</v>
      </c>
      <c r="I16" s="1217">
        <f t="array" ref="I16">IF($G$6="Historic Calendar Year",IFERROR(AVERAGE(IF($G16=YEAR('Commodity Prices'!C$100:C$1000),'Commodity Prices'!AP$100:AP$1000)),"n/a"),IFERROR(IF(K16=0,"n/a",K16),"n/a"))</f>
        <v>17.761583230844987</v>
      </c>
    </row>
    <row r="17" spans="1:9" ht="15.75" thickBot="1">
      <c r="A17" s="430">
        <f>LARGE('Commodity Prices'!C$159:C$902,53)</f>
        <v>43678</v>
      </c>
      <c r="B17" s="922">
        <f>SUMIF('Commodity Prices'!C$252:C$902,A17,'Commodity Prices'!AO$252:AO$902)</f>
        <v>8.5188517682927927</v>
      </c>
      <c r="C17" s="489">
        <f>SUMIF('Commodity Prices'!C$252:C$902,A17,'Commodity Prices'!AP$252:AP$902)</f>
        <v>12.579963513339614</v>
      </c>
      <c r="D17" s="268"/>
      <c r="E17" s="268"/>
      <c r="F17" s="268"/>
    </row>
    <row r="18" spans="1:9">
      <c r="A18" s="431">
        <f>LARGE('Commodity Prices'!C$159:C$902,52)</f>
        <v>43709</v>
      </c>
      <c r="B18" s="1216">
        <f>SUMIF('Commodity Prices'!C$252:C$902,A18,'Commodity Prices'!AO$252:AO$902)</f>
        <v>8.7177515263380041</v>
      </c>
      <c r="C18" s="651">
        <f>SUMIF('Commodity Prices'!C$252:C$902,A18,'Commodity Prices'!AP$252:AP$902)</f>
        <v>12.805068375179101</v>
      </c>
      <c r="D18" s="268"/>
      <c r="E18" s="268"/>
      <c r="F18" s="268"/>
      <c r="G18" s="2066" t="s">
        <v>321</v>
      </c>
      <c r="H18" s="2067"/>
      <c r="I18" s="2068"/>
    </row>
    <row r="19" spans="1:9" ht="15.75" thickBot="1">
      <c r="A19" s="430">
        <f>LARGE('Commodity Prices'!C$159:C$902,51)</f>
        <v>43739</v>
      </c>
      <c r="B19" s="922">
        <f>SUMIF('Commodity Prices'!C$252:C$902,A19,'Commodity Prices'!AO$252:AO$902)</f>
        <v>7.7317693382592205</v>
      </c>
      <c r="C19" s="489">
        <f>SUMIF('Commodity Prices'!C$252:C$902,A19,'Commodity Prices'!AP$252:AP$902)</f>
        <v>11.377169631373553</v>
      </c>
      <c r="D19" s="268"/>
      <c r="E19" s="268"/>
      <c r="F19" s="268"/>
      <c r="G19" s="1955" t="s">
        <v>282</v>
      </c>
      <c r="H19" s="1950"/>
      <c r="I19" s="1956"/>
    </row>
    <row r="20" spans="1:9">
      <c r="A20" s="431">
        <f>LARGE('Commodity Prices'!C$159:C$902,50)</f>
        <v>43770</v>
      </c>
      <c r="B20" s="1216">
        <f>SUMIF('Commodity Prices'!C$252:C$902,A20,'Commodity Prices'!AO$252:AO$902)</f>
        <v>8.1448768656888149</v>
      </c>
      <c r="C20" s="651">
        <f>SUMIF('Commodity Prices'!C$252:C$902,A20,'Commodity Prices'!AP$252:AP$902)</f>
        <v>11.926396414563687</v>
      </c>
      <c r="D20" s="268"/>
      <c r="E20" s="268"/>
      <c r="F20" s="268"/>
      <c r="G20" s="1949" t="s">
        <v>322</v>
      </c>
      <c r="H20" s="1949"/>
      <c r="I20" s="1949"/>
    </row>
    <row r="21" spans="1:9">
      <c r="A21" s="430">
        <f>LARGE('Commodity Prices'!C$159:C$902,49)</f>
        <v>43800</v>
      </c>
      <c r="B21" s="922">
        <f>SUMIF('Commodity Prices'!C$252:C$902,A21,'Commodity Prices'!AO$252:AO$902)</f>
        <v>7.7808546462508454</v>
      </c>
      <c r="C21" s="489">
        <f>SUMIF('Commodity Prices'!C$252:C$902,A21,'Commodity Prices'!AP$252:AP$902)</f>
        <v>11.314479847388862</v>
      </c>
      <c r="D21" s="268"/>
      <c r="E21" s="268"/>
      <c r="F21" s="268"/>
      <c r="G21" s="268"/>
      <c r="H21" s="268"/>
      <c r="I21" s="268"/>
    </row>
    <row r="22" spans="1:9">
      <c r="A22" s="431">
        <f>LARGE('Commodity Prices'!C$159:C$902,48)</f>
        <v>43831</v>
      </c>
      <c r="B22" s="1216">
        <f>SUMIF('Commodity Prices'!C$252:C$902,A22,'Commodity Prices'!AO$252:AO$902)</f>
        <v>8.189460592619179</v>
      </c>
      <c r="C22" s="651">
        <f>SUMIF('Commodity Prices'!C$252:C$902,A22,'Commodity Prices'!AP$252:AP$902)</f>
        <v>11.920033854668644</v>
      </c>
      <c r="D22" s="268"/>
      <c r="E22" s="268"/>
      <c r="F22" s="268"/>
      <c r="G22" s="268"/>
      <c r="H22" s="268"/>
      <c r="I22" s="268"/>
    </row>
    <row r="23" spans="1:9">
      <c r="A23" s="430">
        <f>LARGE('Commodity Prices'!C$159:C$902,47)</f>
        <v>43862</v>
      </c>
      <c r="B23" s="922">
        <f>SUMIF('Commodity Prices'!C$252:C$902,A23,'Commodity Prices'!AO$252:AO$902)</f>
        <v>8.1649024816039919</v>
      </c>
      <c r="C23" s="489">
        <f>SUMIF('Commodity Prices'!C$252:C$902,A23,'Commodity Prices'!AP$252:AP$902)</f>
        <v>12.234721372588792</v>
      </c>
      <c r="D23" s="268"/>
      <c r="E23" s="268"/>
      <c r="F23" s="268"/>
      <c r="G23" s="268"/>
      <c r="H23" s="268"/>
      <c r="I23" s="268"/>
    </row>
    <row r="24" spans="1:9">
      <c r="A24" s="431">
        <f>LARGE('Commodity Prices'!C$159:C$902,46)</f>
        <v>43891</v>
      </c>
      <c r="B24" s="1216">
        <f>SUMIF('Commodity Prices'!C$252:C$902,A24,'Commodity Prices'!AO$252:AO$902)</f>
        <v>7.8028112451555369</v>
      </c>
      <c r="C24" s="651">
        <f>SUMIF('Commodity Prices'!C$252:C$902,A24,'Commodity Prices'!AP$252:AP$902)</f>
        <v>12.526130294390942</v>
      </c>
      <c r="D24" s="268"/>
      <c r="E24" s="268"/>
      <c r="F24" s="268"/>
      <c r="G24" s="268"/>
      <c r="H24" s="268"/>
      <c r="I24" s="268"/>
    </row>
    <row r="25" spans="1:9">
      <c r="A25" s="430">
        <f>LARGE('Commodity Prices'!C$159:C$902,45)</f>
        <v>43922</v>
      </c>
      <c r="B25" s="922">
        <f>SUMIF('Commodity Prices'!C$252:C$902,A25,'Commodity Prices'!AO$252:AO$902)</f>
        <v>7.3015255510840031</v>
      </c>
      <c r="C25" s="489">
        <f>SUMIF('Commodity Prices'!C$252:C$902,A25,'Commodity Prices'!AP$252:AP$902)</f>
        <v>11.593679670179512</v>
      </c>
      <c r="D25" s="268"/>
      <c r="E25" s="268"/>
      <c r="F25" s="268"/>
      <c r="G25" s="268"/>
      <c r="H25" s="268"/>
      <c r="I25" s="268"/>
    </row>
    <row r="26" spans="1:9">
      <c r="A26" s="431">
        <f>LARGE('Commodity Prices'!C$159:C$902,44)</f>
        <v>43952</v>
      </c>
      <c r="B26" s="1216">
        <f>SUMIF('Commodity Prices'!C$252:C$902,A26,'Commodity Prices'!AO$252:AO$902)</f>
        <v>6.8272107230842511</v>
      </c>
      <c r="C26" s="651">
        <f>SUMIF('Commodity Prices'!C$252:C$902,A26,'Commodity Prices'!AP$252:AP$902)</f>
        <v>10.487957307171802</v>
      </c>
      <c r="D26" s="268"/>
      <c r="E26" s="268"/>
      <c r="F26" s="268"/>
      <c r="G26" s="268"/>
      <c r="H26" s="268"/>
      <c r="I26" s="268"/>
    </row>
    <row r="27" spans="1:9">
      <c r="A27" s="430">
        <f>LARGE('Commodity Prices'!C$159:C$902,43)</f>
        <v>43983</v>
      </c>
      <c r="B27" s="922">
        <f>SUMIF('Commodity Prices'!C$252:C$902,A27,'Commodity Prices'!AO$252:AO$902)</f>
        <v>5.9715105366182248</v>
      </c>
      <c r="C27" s="489">
        <f>SUMIF('Commodity Prices'!C$252:C$902,A27,'Commodity Prices'!AP$252:AP$902)</f>
        <v>8.6643489231193112</v>
      </c>
      <c r="D27" s="268"/>
      <c r="E27" s="268"/>
      <c r="F27" s="268"/>
      <c r="G27" s="268"/>
      <c r="H27" s="268"/>
      <c r="I27" s="268"/>
    </row>
    <row r="28" spans="1:9">
      <c r="A28" s="431">
        <f>LARGE('Commodity Prices'!C$159:C$902,42)</f>
        <v>44013</v>
      </c>
      <c r="B28" s="1216">
        <f>SUMIF('Commodity Prices'!C$252:C$902,A28,'Commodity Prices'!AO$252:AO$902)</f>
        <v>5.4080822107416315</v>
      </c>
      <c r="C28" s="651">
        <f>SUMIF('Commodity Prices'!C$252:C$902,A28,'Commodity Prices'!AP$252:AP$902)</f>
        <v>7.6945279049245308</v>
      </c>
      <c r="D28" s="268"/>
      <c r="E28" s="268"/>
      <c r="F28" s="268"/>
      <c r="G28" s="268"/>
      <c r="H28" s="268"/>
      <c r="I28" s="268"/>
    </row>
    <row r="29" spans="1:9">
      <c r="A29" s="430">
        <f>LARGE('Commodity Prices'!C$159:C$902,41)</f>
        <v>44044</v>
      </c>
      <c r="B29" s="922">
        <f>SUMIF('Commodity Prices'!C$252:C$902,A29,'Commodity Prices'!AO$252:AO$902)</f>
        <v>4.1211636242199274</v>
      </c>
      <c r="C29" s="489">
        <f>SUMIF('Commodity Prices'!C$252:C$902,A29,'Commodity Prices'!AP$252:AP$902)</f>
        <v>5.7244744196854196</v>
      </c>
      <c r="D29" s="268"/>
      <c r="E29" s="268"/>
      <c r="F29" s="268"/>
      <c r="G29" s="268"/>
      <c r="H29" s="268"/>
      <c r="I29" s="268"/>
    </row>
    <row r="30" spans="1:9">
      <c r="A30" s="431">
        <f>LARGE('Commodity Prices'!C$159:C$902,40)</f>
        <v>44075</v>
      </c>
      <c r="B30" s="1216">
        <f>SUMIF('Commodity Prices'!C$252:C$902,A30,'Commodity Prices'!AO$252:AO$902)</f>
        <v>3.9786467304081907</v>
      </c>
      <c r="C30" s="651">
        <f>SUMIF('Commodity Prices'!C$252:C$902,A30,'Commodity Prices'!AP$252:AP$902)</f>
        <v>5.4969904522919375</v>
      </c>
      <c r="D30" s="268"/>
      <c r="E30" s="268"/>
      <c r="F30" s="268"/>
      <c r="G30" s="268"/>
      <c r="H30" s="268"/>
      <c r="I30" s="268"/>
    </row>
    <row r="31" spans="1:9">
      <c r="A31" s="430">
        <f>LARGE('Commodity Prices'!C$159:C$902,39)</f>
        <v>44105</v>
      </c>
      <c r="B31" s="922">
        <f>SUMIF('Commodity Prices'!C$252:C$902,A31,'Commodity Prices'!AO$252:AO$902)</f>
        <v>4.5275857658208922</v>
      </c>
      <c r="C31" s="489">
        <f>SUMIF('Commodity Prices'!C$252:C$902,A31,'Commodity Prices'!AP$252:AP$902)</f>
        <v>6.3523835698839974</v>
      </c>
      <c r="D31" s="268"/>
      <c r="E31" s="268"/>
      <c r="F31" s="268"/>
      <c r="G31" s="268"/>
      <c r="H31" s="268"/>
      <c r="I31" s="268"/>
    </row>
    <row r="32" spans="1:9">
      <c r="A32" s="431">
        <f>LARGE('Commodity Prices'!C$159:C$902,38)</f>
        <v>44136</v>
      </c>
      <c r="B32" s="1216">
        <f>SUMIF('Commodity Prices'!C$252:C$902,A32,'Commodity Prices'!AO$252:AO$902)</f>
        <v>5.1965459791884152</v>
      </c>
      <c r="C32" s="651">
        <f>SUMIF('Commodity Prices'!C$252:C$902,A32,'Commodity Prices'!AP$252:AP$902)</f>
        <v>7.1361521274216084</v>
      </c>
      <c r="D32" s="268"/>
      <c r="E32" s="268"/>
      <c r="F32" s="268"/>
      <c r="G32" s="268"/>
      <c r="H32" s="268"/>
      <c r="I32" s="268"/>
    </row>
    <row r="33" spans="1:9">
      <c r="A33" s="430">
        <f>LARGE('Commodity Prices'!C$159:C$902,37)</f>
        <v>44166</v>
      </c>
      <c r="B33" s="922">
        <f>SUMIF('Commodity Prices'!C$252:C$902,A33,'Commodity Prices'!AO$252:AO$902)</f>
        <v>5.7800438005380972</v>
      </c>
      <c r="C33" s="489">
        <f>SUMIF('Commodity Prices'!C$252:C$902,A33,'Commodity Prices'!AP$252:AP$902)</f>
        <v>7.6678745032344082</v>
      </c>
      <c r="D33" s="268"/>
      <c r="E33" s="268"/>
      <c r="F33" s="268"/>
      <c r="G33" s="268"/>
      <c r="H33" s="268"/>
      <c r="I33" s="268"/>
    </row>
    <row r="34" spans="1:9">
      <c r="A34" s="431">
        <f>LARGE('Commodity Prices'!C$159:C$902,36)</f>
        <v>44197</v>
      </c>
      <c r="B34" s="1216">
        <f>SUMIF('Commodity Prices'!C$252:C$902,A34,'Commodity Prices'!AO$252:AO$902)</f>
        <v>6.3589640738110358</v>
      </c>
      <c r="C34" s="651">
        <f>SUMIF('Commodity Prices'!C$252:C$902,A34,'Commodity Prices'!AP$252:AP$902)</f>
        <v>8.2307714643547403</v>
      </c>
      <c r="D34" s="268"/>
      <c r="E34" s="268"/>
      <c r="F34" s="268"/>
      <c r="G34" s="268"/>
      <c r="H34" s="268"/>
      <c r="I34" s="268"/>
    </row>
    <row r="35" spans="1:9">
      <c r="A35" s="430">
        <f>LARGE('Commodity Prices'!C$159:C$902,35)</f>
        <v>44228</v>
      </c>
      <c r="B35" s="922">
        <f>SUMIF('Commodity Prices'!C$252:C$902,A35,'Commodity Prices'!AO$252:AO$902)</f>
        <v>6.3349208445330447</v>
      </c>
      <c r="C35" s="489">
        <f>SUMIF('Commodity Prices'!C$252:C$902,A35,'Commodity Prices'!AP$252:AP$902)</f>
        <v>8.1692952454146859</v>
      </c>
      <c r="D35" s="268"/>
      <c r="E35" s="268"/>
      <c r="F35" s="268"/>
      <c r="G35" s="268"/>
      <c r="H35" s="268"/>
      <c r="I35" s="268"/>
    </row>
    <row r="36" spans="1:9">
      <c r="A36" s="431">
        <f>LARGE('Commodity Prices'!C$159:C$902,34)</f>
        <v>44256</v>
      </c>
      <c r="B36" s="1216">
        <f>SUMIF('Commodity Prices'!C$252:C$902,A36,'Commodity Prices'!AO$252:AO$902)</f>
        <v>6.0511350846434482</v>
      </c>
      <c r="C36" s="651">
        <f>SUMIF('Commodity Prices'!C$252:C$902,A36,'Commodity Prices'!AP$252:AP$902)</f>
        <v>7.8475834059847713</v>
      </c>
      <c r="D36" s="268"/>
      <c r="E36" s="268"/>
      <c r="F36" s="268"/>
      <c r="G36" s="268"/>
      <c r="H36" s="268"/>
      <c r="I36" s="268"/>
    </row>
    <row r="37" spans="1:9">
      <c r="A37" s="430">
        <f>LARGE('Commodity Prices'!C$159:C$902,33)</f>
        <v>44287</v>
      </c>
      <c r="B37" s="922">
        <f>SUMIF('Commodity Prices'!C$252:C$902,A37,'Commodity Prices'!AO$252:AO$902)</f>
        <v>6.4718349055047524</v>
      </c>
      <c r="C37" s="489">
        <f>SUMIF('Commodity Prices'!C$252:C$902,A37,'Commodity Prices'!AP$252:AP$902)</f>
        <v>8.4013798054142406</v>
      </c>
      <c r="D37" s="268"/>
      <c r="E37" s="268"/>
      <c r="F37" s="268"/>
      <c r="G37" s="268"/>
      <c r="H37" s="268"/>
      <c r="I37" s="268"/>
    </row>
    <row r="38" spans="1:9">
      <c r="A38" s="431">
        <f>LARGE('Commodity Prices'!C$159:C$902,32)</f>
        <v>44317</v>
      </c>
      <c r="B38" s="1216">
        <f>SUMIF('Commodity Prices'!C$252:C$902,A38,'Commodity Prices'!AO$252:AO$902)</f>
        <v>6.8173623456454919</v>
      </c>
      <c r="C38" s="651">
        <f>SUMIF('Commodity Prices'!C$252:C$902,A38,'Commodity Prices'!AP$252:AP$902)</f>
        <v>8.785907728757353</v>
      </c>
      <c r="D38" s="268"/>
      <c r="E38" s="268"/>
      <c r="F38" s="268"/>
    </row>
    <row r="39" spans="1:9">
      <c r="A39" s="430">
        <f>LARGE('Commodity Prices'!C$159:C$902,31)</f>
        <v>44348</v>
      </c>
      <c r="B39" s="922">
        <f>SUMIF('Commodity Prices'!C$252:C$902,A39,'Commodity Prices'!AO$252:AO$902)</f>
        <v>7.8214781331633798</v>
      </c>
      <c r="C39" s="489">
        <f>SUMIF('Commodity Prices'!C$252:C$902,A39,'Commodity Prices'!AP$252:AP$902)</f>
        <v>10.230650073275966</v>
      </c>
      <c r="D39" s="268"/>
      <c r="E39" s="268"/>
      <c r="F39" s="268"/>
    </row>
    <row r="40" spans="1:9">
      <c r="A40" s="431">
        <f>LARGE('Commodity Prices'!C$159:C$902,30)</f>
        <v>44378</v>
      </c>
      <c r="B40" s="1216">
        <f>SUMIF('Commodity Prices'!C$252:C$902,A40,'Commodity Prices'!AO$252:AO$902)</f>
        <v>8.8219028970097142</v>
      </c>
      <c r="C40" s="651">
        <f>SUMIF('Commodity Prices'!C$252:C$902,A40,'Commodity Prices'!AP$252:AP$902)</f>
        <v>11.881714391883053</v>
      </c>
      <c r="D40" s="268"/>
      <c r="E40" s="268"/>
      <c r="F40" s="268"/>
    </row>
    <row r="41" spans="1:9">
      <c r="A41" s="430">
        <f>LARGE('Commodity Prices'!C$159:C$902,29)</f>
        <v>44409</v>
      </c>
      <c r="B41" s="922">
        <f>SUMIF('Commodity Prices'!C$252:C$902,A41,'Commodity Prices'!AO$252:AO$902)</f>
        <v>9.3371696268255722</v>
      </c>
      <c r="C41" s="489">
        <f>SUMIF('Commodity Prices'!C$252:C$902,A41,'Commodity Prices'!AP$252:AP$902)</f>
        <v>12.789058248706098</v>
      </c>
      <c r="D41" s="268"/>
      <c r="E41" s="268"/>
      <c r="F41" s="268"/>
    </row>
    <row r="42" spans="1:9">
      <c r="A42" s="431">
        <f>LARGE('Commodity Prices'!C$159:C$902,28)</f>
        <v>44440</v>
      </c>
      <c r="B42" s="1216">
        <f>SUMIF('Commodity Prices'!C$252:C$902,A42,'Commodity Prices'!AO$252:AO$902)</f>
        <v>10.253990117520583</v>
      </c>
      <c r="C42" s="651">
        <f>SUMIF('Commodity Prices'!C$252:C$902,A42,'Commodity Prices'!AP$252:AP$902)</f>
        <v>14.004269955952005</v>
      </c>
      <c r="D42" s="268"/>
    </row>
    <row r="43" spans="1:9">
      <c r="A43" s="430">
        <f>LARGE('Commodity Prices'!C$159:C$902,27)</f>
        <v>44470</v>
      </c>
      <c r="B43" s="922">
        <f>SUMIF('Commodity Prices'!C$252:C$902,A43,'Commodity Prices'!AO$252:AO$902)</f>
        <v>11.418899064697863</v>
      </c>
      <c r="C43" s="489">
        <f>SUMIF('Commodity Prices'!C$252:C$902,A43,'Commodity Prices'!AP$252:AP$902)</f>
        <v>15.42479560809929</v>
      </c>
      <c r="D43" s="268"/>
    </row>
    <row r="44" spans="1:9">
      <c r="A44" s="431">
        <f>LARGE('Commodity Prices'!C$159:C$902,26)</f>
        <v>44501</v>
      </c>
      <c r="B44" s="1216">
        <f>SUMIF('Commodity Prices'!C$252:C$902,A44,'Commodity Prices'!AO$252:AO$902)</f>
        <v>12.818625212223122</v>
      </c>
      <c r="C44" s="651">
        <f>SUMIF('Commodity Prices'!C$252:C$902,A44,'Commodity Prices'!AP$252:AP$902)</f>
        <v>17.52810955739379</v>
      </c>
      <c r="D44" s="268"/>
    </row>
    <row r="45" spans="1:9">
      <c r="A45" s="430">
        <f>LARGE('Commodity Prices'!C$159:C$902,25)</f>
        <v>44531</v>
      </c>
      <c r="B45" s="922">
        <f>SUMIF('Commodity Prices'!C$252:C$902,A45,'Commodity Prices'!AO$252:AO$902)</f>
        <v>12.421455019498751</v>
      </c>
      <c r="C45" s="489">
        <f>SUMIF('Commodity Prices'!C$252:C$902,A45,'Commodity Prices'!AP$252:AP$902)</f>
        <v>17.371276049165154</v>
      </c>
      <c r="D45" s="268"/>
    </row>
    <row r="46" spans="1:9">
      <c r="A46" s="431">
        <f>LARGE('Commodity Prices'!C$159:C$902,24)</f>
        <v>44562</v>
      </c>
      <c r="B46" s="1216">
        <f>SUMIF('Commodity Prices'!C$252:C$902,A46,'Commodity Prices'!AO$252:AO$902)</f>
        <v>12.805328196950629</v>
      </c>
      <c r="C46" s="651">
        <f>SUMIF('Commodity Prices'!C$252:C$902,A46,'Commodity Prices'!AP$252:AP$902)</f>
        <v>17.836418639957035</v>
      </c>
      <c r="D46" s="268"/>
    </row>
    <row r="47" spans="1:9">
      <c r="A47" s="430">
        <f>LARGE('Commodity Prices'!C$159:C$902,23)</f>
        <v>44593</v>
      </c>
      <c r="B47" s="922">
        <f>SUMIF('Commodity Prices'!C$252:C$902,A47,'Commodity Prices'!AO$252:AO$902)</f>
        <v>12.337731353979118</v>
      </c>
      <c r="C47" s="489">
        <f>SUMIF('Commodity Prices'!C$252:C$902,A47,'Commodity Prices'!AP$252:AP$902)</f>
        <v>17.237125808022352</v>
      </c>
      <c r="D47" s="268"/>
    </row>
    <row r="48" spans="1:9">
      <c r="A48" s="431">
        <f>LARGE('Commodity Prices'!C$159:C$902,22)</f>
        <v>44621</v>
      </c>
      <c r="B48" s="1216">
        <f>SUMIF('Commodity Prices'!C$252:C$902,A48,'Commodity Prices'!AO$252:AO$902)</f>
        <v>12.888328608494382</v>
      </c>
      <c r="C48" s="651">
        <f>SUMIF('Commodity Prices'!C$252:C$902,A48,'Commodity Prices'!AP$252:AP$902)</f>
        <v>17.490754488483574</v>
      </c>
      <c r="D48" s="268"/>
    </row>
    <row r="49" spans="1:4">
      <c r="A49" s="430">
        <f>LARGE('Commodity Prices'!C$159:C$902,21)</f>
        <v>44652</v>
      </c>
      <c r="B49" s="922">
        <f>SUMIF('Commodity Prices'!C$252:C$902,A49,'Commodity Prices'!AO$252:AO$902)</f>
        <v>13.80613581202075</v>
      </c>
      <c r="C49" s="489">
        <f>SUMIF('Commodity Prices'!C$252:C$902,A49,'Commodity Prices'!AP$252:AP$902)</f>
        <v>18.663245437000004</v>
      </c>
      <c r="D49" s="268"/>
    </row>
    <row r="50" spans="1:4">
      <c r="A50" s="431">
        <f>LARGE('Commodity Prices'!C$159:C$902,20)</f>
        <v>44682</v>
      </c>
      <c r="B50" s="1216">
        <f>SUMIF('Commodity Prices'!C$252:C$902,A50,'Commodity Prices'!AO$252:AO$902)</f>
        <v>12.854020542703786</v>
      </c>
      <c r="C50" s="651">
        <f>SUMIF('Commodity Prices'!C$252:C$902,A50,'Commodity Prices'!AP$252:AP$902)</f>
        <v>18.227482335087615</v>
      </c>
      <c r="D50" s="268"/>
    </row>
    <row r="51" spans="1:4">
      <c r="A51" s="430">
        <f>LARGE('Commodity Prices'!C$159:C$902,19)</f>
        <v>44713</v>
      </c>
      <c r="B51" s="922">
        <f>SUMIF('Commodity Prices'!C$252:C$902,A51,'Commodity Prices'!AO$252:AO$902)</f>
        <v>13.182748873130544</v>
      </c>
      <c r="C51" s="489">
        <f>SUMIF('Commodity Prices'!C$252:C$902,A51,'Commodity Prices'!AP$252:AP$902)</f>
        <v>18.751243003836535</v>
      </c>
      <c r="D51" s="268"/>
    </row>
    <row r="52" spans="1:4">
      <c r="A52" s="431">
        <f>LARGE('Commodity Prices'!C$159:C$902,18)</f>
        <v>44743</v>
      </c>
      <c r="B52" s="1216">
        <f>SUMIF('Commodity Prices'!C$252:C$902,A52,'Commodity Prices'!AO$252:AO$902)</f>
        <v>15.253926414988785</v>
      </c>
      <c r="C52" s="651">
        <f>SUMIF('Commodity Prices'!C$252:C$902,A52,'Commodity Prices'!AP$252:AP$902)</f>
        <v>22.252726930835586</v>
      </c>
      <c r="D52" s="268"/>
    </row>
    <row r="53" spans="1:4">
      <c r="A53" s="430">
        <f>LARGE('Commodity Prices'!C$159:C$902,17)</f>
        <v>44774</v>
      </c>
      <c r="B53" s="922">
        <f>SUMIF('Commodity Prices'!C$252:C$902,A53,'Commodity Prices'!AO$252:AO$902)</f>
        <v>16.719651337147202</v>
      </c>
      <c r="C53" s="489">
        <f>SUMIF('Commodity Prices'!C$252:C$902,A53,'Commodity Prices'!AP$252:AP$902)</f>
        <v>24.022330667722805</v>
      </c>
      <c r="D53" s="268"/>
    </row>
    <row r="54" spans="1:4">
      <c r="A54" s="431">
        <f>LARGE('Commodity Prices'!C$159:C$902,16)</f>
        <v>44805</v>
      </c>
      <c r="B54" s="1216">
        <f>SUMIF('Commodity Prices'!C$252:C$902,A54,'Commodity Prices'!AO$252:AO$902)</f>
        <v>18.880296803952341</v>
      </c>
      <c r="C54" s="651">
        <f>SUMIF('Commodity Prices'!C$252:C$902,A54,'Commodity Prices'!AP$252:AP$902)</f>
        <v>28.232320035531881</v>
      </c>
      <c r="D54" s="268"/>
    </row>
    <row r="55" spans="1:4">
      <c r="A55" s="430">
        <f>LARGE('Commodity Prices'!C$159:C$902,15)</f>
        <v>44835</v>
      </c>
      <c r="B55" s="922">
        <f>SUMIF('Commodity Prices'!C$252:C$902,A55,'Commodity Prices'!AO$252:AO$902)</f>
        <v>17.409252017929251</v>
      </c>
      <c r="C55" s="489">
        <f>SUMIF('Commodity Prices'!C$252:C$902,A55,'Commodity Prices'!AP$252:AP$902)</f>
        <v>27.369164769025222</v>
      </c>
      <c r="D55" s="268"/>
    </row>
    <row r="56" spans="1:4">
      <c r="A56" s="431">
        <f>LARGE('Commodity Prices'!C$159:C$902,14)</f>
        <v>44866</v>
      </c>
      <c r="B56" s="1216">
        <f>SUMIF('Commodity Prices'!C$252:C$902,A56,'Commodity Prices'!AO$252:AO$902)</f>
        <v>15.39536833135919</v>
      </c>
      <c r="C56" s="651">
        <f>SUMIF('Commodity Prices'!C$252:C$902,A56,'Commodity Prices'!AP$252:AP$902)</f>
        <v>23.347701633721115</v>
      </c>
      <c r="D56" s="268"/>
    </row>
    <row r="57" spans="1:4">
      <c r="A57" s="430">
        <f>LARGE('Commodity Prices'!C$159:C$902,13)</f>
        <v>44896</v>
      </c>
      <c r="B57" s="922">
        <f>SUMIF('Commodity Prices'!C$252:C$902,A57,'Commodity Prices'!AO$252:AO$902)</f>
        <v>15.909924436635091</v>
      </c>
      <c r="C57" s="489">
        <f>SUMIF('Commodity Prices'!C$252:C$902,A57,'Commodity Prices'!AP$252:AP$902)</f>
        <v>23.563451205407461</v>
      </c>
      <c r="D57" s="268"/>
    </row>
    <row r="58" spans="1:4">
      <c r="A58" s="431">
        <f>LARGE('Commodity Prices'!C$159:C$902,12)</f>
        <v>44927</v>
      </c>
      <c r="B58" s="1216">
        <f>SUMIF('Commodity Prices'!C$252:C$902,A58,'Commodity Prices'!AO$252:AO$902)</f>
        <v>16.269229450429968</v>
      </c>
      <c r="C58" s="651">
        <f>SUMIF('Commodity Prices'!C$252:C$902,A58,'Commodity Prices'!AP$252:AP$902)</f>
        <v>23.413342712205111</v>
      </c>
      <c r="D58" s="268"/>
    </row>
    <row r="59" spans="1:4">
      <c r="A59" s="430">
        <f>LARGE('Commodity Prices'!C$159:C$902,11)</f>
        <v>44958</v>
      </c>
      <c r="B59" s="922">
        <f>SUMIF('Commodity Prices'!C$252:C$902,A59,'Commodity Prices'!AO$252:AO$902)</f>
        <v>14.293998024101132</v>
      </c>
      <c r="C59" s="489">
        <f>SUMIF('Commodity Prices'!C$252:C$902,A59,'Commodity Prices'!AP$252:AP$902)</f>
        <v>20.672197992799482</v>
      </c>
      <c r="D59" s="268"/>
    </row>
    <row r="60" spans="1:4">
      <c r="A60" s="431">
        <f>LARGE('Commodity Prices'!C$159:C$902,10)</f>
        <v>44986</v>
      </c>
      <c r="B60" s="1216">
        <f>SUMIF('Commodity Prices'!C$252:C$902,A60,'Commodity Prices'!AO$252:AO$902)</f>
        <v>12.852979986537187</v>
      </c>
      <c r="C60" s="651">
        <f>SUMIF('Commodity Prices'!C$252:C$902,A60,'Commodity Prices'!AP$252:AP$902)</f>
        <v>19.220471489061097</v>
      </c>
      <c r="D60" s="268"/>
    </row>
    <row r="61" spans="1:4">
      <c r="A61" s="430">
        <f>LARGE('Commodity Prices'!C$159:C$902,9)</f>
        <v>45017</v>
      </c>
      <c r="B61" s="922">
        <f>SUMIF('Commodity Prices'!C$252:C$902,A61,'Commodity Prices'!AO$252:AO$902)</f>
        <v>11.585918207688394</v>
      </c>
      <c r="C61" s="489">
        <f>SUMIF('Commodity Prices'!C$252:C$902,A61,'Commodity Prices'!AP$252:AP$902)</f>
        <v>17.306089933283783</v>
      </c>
      <c r="D61" s="268"/>
    </row>
    <row r="62" spans="1:4">
      <c r="A62" s="431">
        <f>LARGE('Commodity Prices'!C$159:C$902,8)</f>
        <v>45047</v>
      </c>
      <c r="B62" s="1216">
        <f>SUMIF('Commodity Prices'!C$252:C$902,A62,'Commodity Prices'!AO$252:AO$902)</f>
        <v>11.16550881990536</v>
      </c>
      <c r="C62" s="651">
        <f>SUMIF('Commodity Prices'!C$252:C$902,A62,'Commodity Prices'!AP$252:AP$902)</f>
        <v>16.787824102307827</v>
      </c>
      <c r="D62" s="268"/>
    </row>
    <row r="63" spans="1:4">
      <c r="A63" s="431">
        <f>LARGE('Commodity Prices'!C$159:C$902,7)</f>
        <v>45078</v>
      </c>
      <c r="B63" s="922">
        <f>SUMIF('Commodity Prices'!C$252:C$902,A63,'Commodity Prices'!AO$252:AO$902)</f>
        <v>10.482997896251357</v>
      </c>
      <c r="C63" s="489">
        <f>SUMIF('Commodity Prices'!C$252:C$902,A63,'Commodity Prices'!AP$252:AP$902)</f>
        <v>15.62738381637527</v>
      </c>
      <c r="D63" s="268"/>
    </row>
    <row r="64" spans="1:4">
      <c r="A64" s="431">
        <f>LARGE('Commodity Prices'!C$159:C$902,6)</f>
        <v>45108</v>
      </c>
      <c r="B64" s="1216">
        <f>SUMIF('Commodity Prices'!C$252:C$902,A64,'Commodity Prices'!AO$252:AO$902)</f>
        <v>10.697541931866301</v>
      </c>
      <c r="C64" s="651">
        <f>SUMIF('Commodity Prices'!C$252:C$902,A64,'Commodity Prices'!AP$252:AP$902)</f>
        <v>15.877444929937473</v>
      </c>
      <c r="D64" s="268"/>
    </row>
    <row r="65" spans="1:4">
      <c r="A65" s="431">
        <f>LARGE('Commodity Prices'!C$159:C$902,5)</f>
        <v>45139</v>
      </c>
      <c r="B65" s="922">
        <f>SUMIF('Commodity Prices'!C$252:C$902,A65,'Commodity Prices'!AO$252:AO$902)</f>
        <v>10.794511553812832</v>
      </c>
      <c r="C65" s="489">
        <f>SUMIF('Commodity Prices'!C$252:C$902,A65,'Commodity Prices'!AP$252:AP$902)</f>
        <v>16.637190288908663</v>
      </c>
      <c r="D65" s="268"/>
    </row>
    <row r="66" spans="1:4">
      <c r="A66" s="431">
        <f>LARGE('Commodity Prices'!C$159:C$902,4)</f>
        <v>45170</v>
      </c>
      <c r="B66" s="1216">
        <f>SUMIF('Commodity Prices'!C$252:C$902,A66,'Commodity Prices'!AO$252:AO$902)</f>
        <v>10.819773989555088</v>
      </c>
      <c r="C66" s="651">
        <f>SUMIF('Commodity Prices'!C$252:C$902,A66,'Commodity Prices'!AP$252:AP$902)</f>
        <v>16.841113705512043</v>
      </c>
      <c r="D66" s="268"/>
    </row>
    <row r="67" spans="1:4">
      <c r="A67" s="431">
        <f>LARGE('Commodity Prices'!C$159:C$902,3)</f>
        <v>45200</v>
      </c>
      <c r="B67" s="524">
        <f>SUMIF('Commodity Prices'!C$252:C$902,A67,'Commodity Prices'!AO$252:AO$902)</f>
        <v>10.699036314987945</v>
      </c>
      <c r="C67" s="489">
        <f>SUMIF('Commodity Prices'!C$252:C$902,A67,'Commodity Prices'!AP$252:AP$902)</f>
        <v>16.8484970427922</v>
      </c>
      <c r="D67" s="268"/>
    </row>
    <row r="68" spans="1:4">
      <c r="A68" s="645">
        <f>LARGE('Commodity Prices'!C$159:C$902,2)</f>
        <v>45231</v>
      </c>
      <c r="B68" s="1626">
        <f>SUMIF('Commodity Prices'!C$252:C$902,A68,'Commodity Prices'!AO$252:AO$902)</f>
        <v>11.151420335970423</v>
      </c>
      <c r="C68" s="651">
        <f>SUMIF('Commodity Prices'!C$252:C$902,A68,'Commodity Prices'!AP$252:AP$902)</f>
        <v>17.177533233302476</v>
      </c>
      <c r="D68" s="268"/>
    </row>
    <row r="69" spans="1:4" ht="15.75" thickBot="1">
      <c r="A69" s="647">
        <f>LARGE('Commodity Prices'!C$159:C$902,1)</f>
        <v>45261</v>
      </c>
      <c r="B69" s="1220">
        <f>SUMIF('Commodity Prices'!C$252:C$902,A69,'Commodity Prices'!AO$252:AO$902)</f>
        <v>11.180070221725945</v>
      </c>
      <c r="C69" s="490">
        <f>SUMIF('Commodity Prices'!C$252:C$902,A69,'Commodity Prices'!AP$252:AP$902)</f>
        <v>16.729909523654452</v>
      </c>
    </row>
  </sheetData>
  <mergeCells count="7">
    <mergeCell ref="G19:I19"/>
    <mergeCell ref="G20:I20"/>
    <mergeCell ref="A6:C6"/>
    <mergeCell ref="A5:C5"/>
    <mergeCell ref="G5:I5"/>
    <mergeCell ref="G6:I6"/>
    <mergeCell ref="G18:I18"/>
  </mergeCells>
  <dataValidations count="1">
    <dataValidation type="list" allowBlank="1" showInputMessage="1" showErrorMessage="1" promptTitle="Select a Period:" prompt="Select Financial or Calendar years." sqref="G19" xr:uid="{00000000-0002-0000-2800-000000000000}">
      <formula1>$AB$1:$AB$2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39997558519241921"/>
  </sheetPr>
  <dimension ref="A1:AF262"/>
  <sheetViews>
    <sheetView showGridLines="0" workbookViewId="0"/>
  </sheetViews>
  <sheetFormatPr defaultColWidth="9.140625" defaultRowHeight="15"/>
  <cols>
    <col min="1" max="1" width="7.85546875" style="239" bestFit="1" customWidth="1"/>
    <col min="2" max="2" width="16.42578125" style="154" bestFit="1" customWidth="1"/>
    <col min="3" max="3" width="21.5703125" style="239" customWidth="1"/>
    <col min="4" max="4" width="19.28515625" style="239" customWidth="1"/>
    <col min="5" max="6" width="5" style="239" hidden="1" customWidth="1"/>
    <col min="7" max="7" width="15.28515625" style="239" customWidth="1"/>
    <col min="8" max="8" width="22.28515625" style="239" customWidth="1"/>
    <col min="9" max="9" width="10.85546875" style="239" customWidth="1"/>
    <col min="10" max="10" width="10.28515625" style="239" customWidth="1"/>
    <col min="11" max="11" width="18.28515625" style="978" customWidth="1"/>
    <col min="12" max="12" width="10.28515625" style="239" customWidth="1"/>
    <col min="13" max="17" width="9.140625" style="154"/>
    <col min="18" max="18" width="9.140625" style="154" customWidth="1"/>
    <col min="19" max="22" width="9.140625" style="225"/>
    <col min="23" max="24" width="9.140625" style="154"/>
    <col min="25" max="25" width="4.140625" style="154" bestFit="1" customWidth="1"/>
    <col min="26" max="26" width="12" style="225" bestFit="1" customWidth="1"/>
    <col min="27" max="28" width="7.42578125" style="225" bestFit="1" customWidth="1"/>
    <col min="29" max="29" width="4.85546875" style="225" bestFit="1" customWidth="1"/>
    <col min="30" max="30" width="11.85546875" style="225" bestFit="1" customWidth="1"/>
    <col min="31" max="32" width="9.140625" style="98"/>
    <col min="33" max="16384" width="9.140625" style="154"/>
  </cols>
  <sheetData>
    <row r="1" spans="1:32" s="95" customFormat="1">
      <c r="A1" s="978"/>
      <c r="C1" s="978"/>
      <c r="D1" s="978"/>
      <c r="E1" s="978"/>
      <c r="F1" s="978"/>
      <c r="G1" s="978"/>
      <c r="H1" s="978"/>
      <c r="I1" s="978"/>
      <c r="J1" s="978"/>
      <c r="K1" s="978"/>
      <c r="L1" s="978"/>
      <c r="S1" s="1224"/>
      <c r="T1" s="1224"/>
      <c r="U1" s="1224"/>
      <c r="V1" s="1224"/>
      <c r="Z1" s="1224"/>
      <c r="AA1" s="1224"/>
      <c r="AB1" s="1224"/>
      <c r="AC1" s="1224"/>
      <c r="AD1" s="1224"/>
      <c r="AE1" s="308"/>
      <c r="AF1" s="308"/>
    </row>
    <row r="2" spans="1:32" s="95" customFormat="1">
      <c r="A2" s="978"/>
      <c r="C2" s="978"/>
      <c r="D2" s="978"/>
      <c r="E2" s="978"/>
      <c r="F2" s="978"/>
      <c r="G2" s="978"/>
      <c r="H2" s="978"/>
      <c r="I2" s="978"/>
      <c r="J2" s="978"/>
      <c r="K2" s="978"/>
      <c r="L2" s="978"/>
      <c r="S2" s="1224"/>
      <c r="T2" s="1224"/>
      <c r="U2" s="1224"/>
      <c r="V2" s="1224"/>
      <c r="Z2" s="1224"/>
      <c r="AA2" s="1224"/>
      <c r="AB2" s="1224"/>
      <c r="AC2" s="1224"/>
      <c r="AD2" s="1224"/>
      <c r="AE2" s="308"/>
      <c r="AF2" s="308"/>
    </row>
    <row r="3" spans="1:32" s="95" customFormat="1">
      <c r="A3" s="978"/>
      <c r="C3" s="978"/>
      <c r="D3" s="978"/>
      <c r="E3" s="978"/>
      <c r="F3" s="978"/>
      <c r="G3" s="978"/>
      <c r="H3" s="978"/>
      <c r="I3" s="978"/>
      <c r="J3" s="978"/>
      <c r="K3" s="978"/>
      <c r="L3" s="978"/>
      <c r="S3" s="1224"/>
      <c r="T3" s="1224"/>
      <c r="U3" s="1224"/>
      <c r="V3" s="1224"/>
      <c r="Y3" s="294" t="s">
        <v>283</v>
      </c>
      <c r="Z3" s="452"/>
      <c r="AA3" s="1224"/>
      <c r="AB3" s="1224"/>
      <c r="AC3" s="1224"/>
      <c r="AD3" s="1224"/>
      <c r="AE3" s="308"/>
      <c r="AF3" s="308"/>
    </row>
    <row r="4" spans="1:32" s="95" customFormat="1">
      <c r="A4" s="978"/>
      <c r="C4" s="978"/>
      <c r="D4" s="1534"/>
      <c r="E4" s="978"/>
      <c r="F4" s="978"/>
      <c r="G4" s="978"/>
      <c r="H4" s="978"/>
      <c r="I4" s="978"/>
      <c r="J4" s="978"/>
      <c r="K4" s="978"/>
      <c r="L4" s="978"/>
      <c r="S4" s="1224"/>
      <c r="T4" s="1224"/>
      <c r="U4" s="1224"/>
      <c r="V4" s="1224"/>
      <c r="Y4" s="294" t="s">
        <v>282</v>
      </c>
      <c r="Z4" s="452" t="s">
        <v>282</v>
      </c>
      <c r="AA4" s="1224"/>
      <c r="AB4" s="1224"/>
      <c r="AC4" s="1224"/>
      <c r="AD4" s="1224"/>
      <c r="AE4" s="308"/>
      <c r="AF4" s="308"/>
    </row>
    <row r="5" spans="1:32" s="95" customFormat="1">
      <c r="A5" s="1948" t="s">
        <v>499</v>
      </c>
      <c r="B5" s="1948"/>
      <c r="C5" s="1948"/>
      <c r="D5" s="1129"/>
      <c r="E5" s="1100"/>
      <c r="F5" s="1100"/>
      <c r="G5" s="1948" t="s">
        <v>623</v>
      </c>
      <c r="H5" s="1948"/>
      <c r="I5" s="1140"/>
      <c r="J5" s="1100"/>
      <c r="K5" s="1100"/>
      <c r="L5" s="1100"/>
      <c r="S5" s="1224"/>
      <c r="T5" s="1224"/>
      <c r="U5" s="1224"/>
      <c r="V5" s="1224"/>
      <c r="Z5" s="1224"/>
      <c r="AA5" s="1224"/>
      <c r="AB5" s="1224"/>
      <c r="AC5" s="1224"/>
      <c r="AD5" s="1224"/>
      <c r="AE5" s="308"/>
      <c r="AF5" s="308"/>
    </row>
    <row r="6" spans="1:32" s="95" customFormat="1" ht="16.5" thickBot="1">
      <c r="A6" s="1950" t="s">
        <v>411</v>
      </c>
      <c r="B6" s="1950"/>
      <c r="C6" s="1950"/>
      <c r="D6" s="1125"/>
      <c r="E6" s="1222"/>
      <c r="F6" s="1129"/>
      <c r="G6" s="2072" t="str">
        <f>G45</f>
        <v>Historic Calendar Year</v>
      </c>
      <c r="H6" s="2072"/>
      <c r="I6" s="1222"/>
      <c r="J6" s="1129"/>
      <c r="K6" s="1100"/>
      <c r="L6" s="1100"/>
      <c r="O6" s="1224"/>
      <c r="P6" s="1224"/>
      <c r="Q6" s="1224"/>
      <c r="R6" s="1224"/>
      <c r="S6" s="1224"/>
      <c r="T6" s="1224"/>
      <c r="U6" s="1224"/>
      <c r="V6" s="1224"/>
      <c r="Z6" s="1224"/>
      <c r="AA6" s="1224"/>
      <c r="AB6" s="1224"/>
      <c r="AC6" s="1224"/>
      <c r="AD6" s="1224"/>
      <c r="AE6" s="308"/>
      <c r="AF6" s="308"/>
    </row>
    <row r="7" spans="1:32">
      <c r="A7" s="1323"/>
      <c r="B7" s="1221"/>
      <c r="C7" s="1163" t="s">
        <v>500</v>
      </c>
      <c r="D7" s="1128"/>
      <c r="E7" s="154"/>
      <c r="F7" s="154"/>
      <c r="G7" s="1318"/>
      <c r="H7" s="1243" t="s">
        <v>500</v>
      </c>
      <c r="I7" s="98"/>
      <c r="J7" s="670"/>
      <c r="K7" s="925"/>
      <c r="L7" s="925"/>
      <c r="O7" s="225"/>
      <c r="P7" s="1124"/>
      <c r="Q7" s="46"/>
      <c r="R7" s="1125"/>
    </row>
    <row r="8" spans="1:32">
      <c r="A8" s="1324" t="s">
        <v>5</v>
      </c>
      <c r="B8" s="1241" t="s">
        <v>34</v>
      </c>
      <c r="C8" s="1242" t="s">
        <v>413</v>
      </c>
      <c r="D8" s="1128"/>
      <c r="E8" s="154"/>
      <c r="F8" s="154"/>
      <c r="G8" s="1319" t="s">
        <v>34</v>
      </c>
      <c r="H8" s="1244" t="s">
        <v>413</v>
      </c>
      <c r="I8" s="98"/>
      <c r="J8" s="670"/>
      <c r="K8" s="925"/>
      <c r="L8" s="925"/>
      <c r="O8" s="225"/>
      <c r="P8" s="1124"/>
      <c r="Q8" s="46"/>
      <c r="R8" s="1125"/>
    </row>
    <row r="9" spans="1:32">
      <c r="A9" s="1692">
        <f t="shared" ref="A9:A51" si="0">_xlfn.FLOOR.MATH(MONTH(B9)/3)</f>
        <v>4</v>
      </c>
      <c r="B9" s="1694">
        <f t="shared" ref="B9:B51" si="1">EOMONTH(B10, -4)+1</f>
        <v>41244</v>
      </c>
      <c r="C9" s="489">
        <f>VLOOKUP('Petroleum - Dom. Gas - Prices'!B9,'Petroleum - Q&amp;V 2'!$B$9:$N$250,13,FALSE)</f>
        <v>4.3297610724778695</v>
      </c>
      <c r="D9" s="1128"/>
      <c r="E9" s="154">
        <v>1990</v>
      </c>
      <c r="F9" s="292">
        <f>E9+1</f>
        <v>1991</v>
      </c>
      <c r="G9" s="1320">
        <f>IF($G$45=$Z$4,E9,CONCATENATE(E9,"-",RIGHT(F9,2)))</f>
        <v>1990</v>
      </c>
      <c r="H9" s="1200">
        <f>IF($G$45="Historic Calendar Year",HLOOKUP(CONCATENATE('Petroleum - Dom. Gas - Prices'!E9," Value $"),'Q&amp;V CY 1886 to 2003'!$Y$8:$AR$183,172,FALSE),HLOOKUP(CONCATENATE('Petroleum - Dom. Gas - Prices'!G9," Value $"),'Q&amp;V FY 1984-85 to 2002-03'!$M$8:$AH$141,130,FALSE))/(IF($G$45="Historic Calendar Year",HLOOKUP(CONCATENATE('Petroleum - Dom. Gas - Prices'!E9," Quantity"),'Q&amp;V CY 1886 to 2003'!$Y$8:$AR$183,172,FALSE)*1000/26.3,HLOOKUP(CONCATENATE('Petroleum - Dom. Gas - Prices'!G9," Quantity"),'Q&amp;V FY 1984-85 to 2002-03'!$M$8:$AH$141,130,FALSE)*1000/26.3))</f>
        <v>2.6054035998824498</v>
      </c>
      <c r="I9" s="98"/>
      <c r="J9" s="670"/>
      <c r="K9" s="925"/>
      <c r="L9" s="925"/>
      <c r="O9" s="225"/>
      <c r="P9" s="1124"/>
      <c r="Q9" s="46"/>
      <c r="R9" s="1126"/>
      <c r="Z9" s="1224"/>
      <c r="AA9" s="1224"/>
      <c r="AB9" s="1224"/>
      <c r="AC9" s="1224"/>
      <c r="AD9" s="1224"/>
    </row>
    <row r="10" spans="1:32" ht="14.45" customHeight="1">
      <c r="A10" s="1692">
        <f t="shared" si="0"/>
        <v>1</v>
      </c>
      <c r="B10" s="1694">
        <f t="shared" si="1"/>
        <v>41334</v>
      </c>
      <c r="C10" s="1209">
        <f>VLOOKUP('Petroleum - Dom. Gas - Prices'!B10,'Petroleum - Q&amp;V 2'!$B$9:$N$250,13,FALSE)</f>
        <v>4.2212398386308392</v>
      </c>
      <c r="D10" s="1123"/>
      <c r="E10" s="154">
        <f>E9+1</f>
        <v>1991</v>
      </c>
      <c r="F10" s="292">
        <f>E10+1</f>
        <v>1992</v>
      </c>
      <c r="G10" s="1321">
        <f>IF($G$45=$Z$4,E10,CONCATENATE(E10,"-",RIGHT(F10,2)))</f>
        <v>1991</v>
      </c>
      <c r="H10" s="651">
        <f>IF($G$45="Historic Calendar Year",HLOOKUP(CONCATENATE('Petroleum - Dom. Gas - Prices'!E10," Value $"),'Q&amp;V CY 1886 to 2003'!$Y$8:$AR$183,172,FALSE),HLOOKUP(CONCATENATE('Petroleum - Dom. Gas - Prices'!G10," Value $"),'Q&amp;V FY 1984-85 to 2002-03'!$M$8:$AH$141,130,FALSE))/(IF($G$45="Historic Calendar Year",HLOOKUP(CONCATENATE('Petroleum - Dom. Gas - Prices'!E10," Quantity"),'Q&amp;V CY 1886 to 2003'!$Y$8:$AR$183,172,FALSE)*1000/26.3,HLOOKUP(CONCATENATE('Petroleum - Dom. Gas - Prices'!G10," Quantity"),'Q&amp;V FY 1984-85 to 2002-03'!$M$8:$AH$141,130,FALSE)*1000/26.3))</f>
        <v>2.6184466159951105</v>
      </c>
      <c r="I10" s="98"/>
      <c r="J10" s="670"/>
      <c r="K10" s="925"/>
      <c r="L10" s="925"/>
      <c r="O10" s="225"/>
      <c r="P10" s="404"/>
      <c r="Q10" s="547"/>
      <c r="R10" s="1123"/>
      <c r="Z10" s="1224"/>
      <c r="AA10" s="1224"/>
      <c r="AB10" s="1138"/>
      <c r="AC10" s="1138"/>
      <c r="AD10" s="1225"/>
      <c r="AE10" s="1137"/>
    </row>
    <row r="11" spans="1:32">
      <c r="A11" s="1692">
        <f t="shared" si="0"/>
        <v>2</v>
      </c>
      <c r="B11" s="1694">
        <f t="shared" si="1"/>
        <v>41426</v>
      </c>
      <c r="C11" s="489">
        <f>VLOOKUP('Petroleum - Dom. Gas - Prices'!B11,'Petroleum - Q&amp;V 2'!$B$9:$N$250,13,FALSE)</f>
        <v>4.409489820673107</v>
      </c>
      <c r="D11" s="1123"/>
      <c r="E11" s="154">
        <f t="shared" ref="E11:E42" si="2">E10+1</f>
        <v>1992</v>
      </c>
      <c r="F11" s="292">
        <f t="shared" ref="F11:F42" si="3">E11+1</f>
        <v>1993</v>
      </c>
      <c r="G11" s="1321">
        <f>IF($G$45=$Z$4,E11,CONCATENATE(E11,"-",RIGHT(F11,2)))</f>
        <v>1992</v>
      </c>
      <c r="H11" s="489">
        <f>IF($G$45="Historic Calendar Year",HLOOKUP(CONCATENATE('Petroleum - Dom. Gas - Prices'!E11," Value $"),'Q&amp;V CY 1886 to 2003'!$Y$8:$AR$183,172,FALSE),HLOOKUP(CONCATENATE('Petroleum - Dom. Gas - Prices'!G11," Value $"),'Q&amp;V FY 1984-85 to 2002-03'!$M$8:$AH$141,130,FALSE))/(IF($G$45="Historic Calendar Year",HLOOKUP(CONCATENATE('Petroleum - Dom. Gas - Prices'!E11," Quantity"),'Q&amp;V CY 1886 to 2003'!$Y$8:$AR$183,172,FALSE)*1000/26.3,HLOOKUP(CONCATENATE('Petroleum - Dom. Gas - Prices'!G11," Quantity"),'Q&amp;V FY 1984-85 to 2002-03'!$M$8:$AH$141,130,FALSE)*1000/26.3))</f>
        <v>2.5697449572942013</v>
      </c>
      <c r="I11" s="98"/>
      <c r="J11" s="670"/>
      <c r="K11" s="925"/>
      <c r="L11" s="925"/>
      <c r="O11" s="225"/>
      <c r="P11" s="404"/>
      <c r="Q11" s="547"/>
      <c r="R11" s="1123"/>
      <c r="Z11" s="1226"/>
      <c r="AA11" s="1224"/>
      <c r="AB11" s="1138"/>
      <c r="AC11" s="1138"/>
      <c r="AD11" s="1227"/>
      <c r="AE11" s="1127"/>
    </row>
    <row r="12" spans="1:32">
      <c r="A12" s="1692">
        <f t="shared" si="0"/>
        <v>3</v>
      </c>
      <c r="B12" s="1694">
        <f t="shared" si="1"/>
        <v>41518</v>
      </c>
      <c r="C12" s="1209">
        <f>VLOOKUP('Petroleum - Dom. Gas - Prices'!B12,'Petroleum - Q&amp;V 2'!$B$9:$N$250,13,FALSE)</f>
        <v>4.3123824115462766</v>
      </c>
      <c r="D12" s="1123"/>
      <c r="E12" s="154">
        <f t="shared" si="2"/>
        <v>1993</v>
      </c>
      <c r="F12" s="292">
        <f t="shared" si="3"/>
        <v>1994</v>
      </c>
      <c r="G12" s="1321">
        <f>IF($G$45=$Z$4,E12,CONCATENATE(E12,"-",RIGHT(F12,2)))</f>
        <v>1993</v>
      </c>
      <c r="H12" s="651">
        <f>IF($G$45="Historic Calendar Year",HLOOKUP(CONCATENATE('Petroleum - Dom. Gas - Prices'!E12," Value $"),'Q&amp;V CY 1886 to 2003'!$Y$8:$AR$183,172,FALSE),HLOOKUP(CONCATENATE('Petroleum - Dom. Gas - Prices'!G12," Value $"),'Q&amp;V FY 1984-85 to 2002-03'!$M$8:$AH$141,130,FALSE))/(IF($G$45="Historic Calendar Year",HLOOKUP(CONCATENATE('Petroleum - Dom. Gas - Prices'!E12," Quantity"),'Q&amp;V CY 1886 to 2003'!$Y$8:$AR$183,172,FALSE)*1000/26.3,HLOOKUP(CONCATENATE('Petroleum - Dom. Gas - Prices'!G12," Quantity"),'Q&amp;V FY 1984-85 to 2002-03'!$M$8:$AH$141,130,FALSE)*1000/26.3))</f>
        <v>2.6417071217872983</v>
      </c>
      <c r="I12" s="98"/>
      <c r="J12" s="670"/>
      <c r="K12" s="925"/>
      <c r="L12" s="925"/>
      <c r="O12" s="225"/>
      <c r="P12" s="404"/>
      <c r="Q12" s="547"/>
      <c r="R12" s="1123"/>
      <c r="Z12" s="1226"/>
      <c r="AA12" s="1224"/>
      <c r="AB12" s="1138"/>
      <c r="AC12" s="1138"/>
      <c r="AD12" s="1227"/>
      <c r="AE12" s="1127"/>
    </row>
    <row r="13" spans="1:32">
      <c r="A13" s="1692">
        <f t="shared" si="0"/>
        <v>4</v>
      </c>
      <c r="B13" s="1694">
        <f t="shared" si="1"/>
        <v>41609</v>
      </c>
      <c r="C13" s="489">
        <f>VLOOKUP('Petroleum - Dom. Gas - Prices'!B13,'Petroleum - Q&amp;V 2'!$B$9:$N$250,13,FALSE)</f>
        <v>4.6786472839104709</v>
      </c>
      <c r="D13" s="1123"/>
      <c r="E13" s="154">
        <f t="shared" si="2"/>
        <v>1994</v>
      </c>
      <c r="F13" s="292">
        <f t="shared" si="3"/>
        <v>1995</v>
      </c>
      <c r="G13" s="1321">
        <f t="shared" ref="G13" si="4">IF($G$45=$Z$4,E13,CONCATENATE(E13,"-",RIGHT(F13,2)))</f>
        <v>1994</v>
      </c>
      <c r="H13" s="489">
        <f>IF($G$45="Historic Calendar Year",HLOOKUP(CONCATENATE('Petroleum - Dom. Gas - Prices'!E13," Value $"),'Q&amp;V CY 1886 to 2003'!$Y$8:$AR$183,172,FALSE),HLOOKUP(CONCATENATE('Petroleum - Dom. Gas - Prices'!G13," Value $"),'Q&amp;V FY 1984-85 to 2002-03'!$M$8:$AH$141,130,FALSE))/(IF($G$45="Historic Calendar Year",HLOOKUP(CONCATENATE('Petroleum - Dom. Gas - Prices'!E13," Quantity"),'Q&amp;V CY 1886 to 2003'!$Y$8:$AR$183,172,FALSE)*1000/26.3,HLOOKUP(CONCATENATE('Petroleum - Dom. Gas - Prices'!G13," Quantity"),'Q&amp;V FY 1984-85 to 2002-03'!$M$8:$AH$141,130,FALSE)*1000/26.3))</f>
        <v>2.364788092795775</v>
      </c>
      <c r="I13" s="154"/>
      <c r="J13" s="925"/>
      <c r="K13" s="925"/>
      <c r="L13" s="925"/>
      <c r="O13" s="225"/>
      <c r="P13" s="404"/>
      <c r="Q13" s="547"/>
      <c r="R13" s="1123"/>
      <c r="Z13" s="1226"/>
      <c r="AA13" s="1224"/>
      <c r="AB13" s="1138"/>
      <c r="AC13" s="1138"/>
      <c r="AD13" s="1227"/>
      <c r="AE13" s="1127"/>
    </row>
    <row r="14" spans="1:32">
      <c r="A14" s="1692">
        <f t="shared" si="0"/>
        <v>1</v>
      </c>
      <c r="B14" s="1694">
        <f t="shared" si="1"/>
        <v>41699</v>
      </c>
      <c r="C14" s="1209">
        <f>VLOOKUP('Petroleum - Dom. Gas - Prices'!B14,'Petroleum - Q&amp;V 2'!$B$9:$N$250,13,FALSE)</f>
        <v>4.7392504448316117</v>
      </c>
      <c r="D14" s="1123"/>
      <c r="E14" s="154">
        <f t="shared" si="2"/>
        <v>1995</v>
      </c>
      <c r="F14" s="292">
        <f t="shared" si="3"/>
        <v>1996</v>
      </c>
      <c r="G14" s="1321">
        <f t="shared" ref="G14:G41" si="5">IF($G$45=$Z$4,E14,CONCATENATE(E14,"-",RIGHT(F14,2)))</f>
        <v>1995</v>
      </c>
      <c r="H14" s="651">
        <f>IF($G$45="Historic Calendar Year",HLOOKUP(CONCATENATE('Petroleum - Dom. Gas - Prices'!E14," Value $"),'Q&amp;V CY 1886 to 2003'!$Y$8:$AR$183,172,FALSE),HLOOKUP(CONCATENATE('Petroleum - Dom. Gas - Prices'!G14," Value $"),'Q&amp;V FY 1984-85 to 2002-03'!$M$8:$AH$141,130,FALSE))/(IF($G$45="Historic Calendar Year",HLOOKUP(CONCATENATE('Petroleum - Dom. Gas - Prices'!E14," Quantity"),'Q&amp;V CY 1886 to 2003'!$Y$8:$AR$183,172,FALSE)*1000/26.3,HLOOKUP(CONCATENATE('Petroleum - Dom. Gas - Prices'!G14," Quantity"),'Q&amp;V FY 1984-85 to 2002-03'!$M$8:$AH$141,130,FALSE)*1000/26.3))</f>
        <v>1.9042007438978499</v>
      </c>
      <c r="I14" s="154"/>
      <c r="J14" s="925"/>
      <c r="K14" s="925"/>
      <c r="L14" s="925"/>
      <c r="O14" s="225"/>
      <c r="P14" s="404"/>
      <c r="Q14" s="547"/>
      <c r="R14" s="1123"/>
      <c r="Z14" s="1226"/>
      <c r="AA14" s="1224"/>
      <c r="AB14" s="1138"/>
      <c r="AC14" s="1138"/>
      <c r="AD14" s="1227"/>
      <c r="AE14" s="1127"/>
    </row>
    <row r="15" spans="1:32">
      <c r="A15" s="1692">
        <f t="shared" si="0"/>
        <v>2</v>
      </c>
      <c r="B15" s="1694">
        <f t="shared" si="1"/>
        <v>41791</v>
      </c>
      <c r="C15" s="489">
        <f>VLOOKUP('Petroleum - Dom. Gas - Prices'!B15,'Petroleum - Q&amp;V 2'!$B$9:$N$250,13,FALSE)</f>
        <v>5.0433378308814776</v>
      </c>
      <c r="D15" s="1123"/>
      <c r="E15" s="154">
        <f t="shared" si="2"/>
        <v>1996</v>
      </c>
      <c r="F15" s="292">
        <f t="shared" si="3"/>
        <v>1997</v>
      </c>
      <c r="G15" s="1321">
        <f t="shared" si="5"/>
        <v>1996</v>
      </c>
      <c r="H15" s="489">
        <f>IF($G$45="Historic Calendar Year",HLOOKUP(CONCATENATE('Petroleum - Dom. Gas - Prices'!E15," Value $"),'Q&amp;V CY 1886 to 2003'!$Y$8:$AR$183,172,FALSE),HLOOKUP(CONCATENATE('Petroleum - Dom. Gas - Prices'!G15," Value $"),'Q&amp;V FY 1984-85 to 2002-03'!$M$8:$AH$141,130,FALSE))/(IF($G$45="Historic Calendar Year",HLOOKUP(CONCATENATE('Petroleum - Dom. Gas - Prices'!E15," Quantity"),'Q&amp;V CY 1886 to 2003'!$Y$8:$AR$183,172,FALSE)*1000/26.3,HLOOKUP(CONCATENATE('Petroleum - Dom. Gas - Prices'!G15," Quantity"),'Q&amp;V FY 1984-85 to 2002-03'!$M$8:$AH$141,130,FALSE)*1000/26.3))</f>
        <v>1.9639369401661406</v>
      </c>
      <c r="I15" s="154"/>
      <c r="J15" s="925"/>
      <c r="K15" s="925"/>
      <c r="L15" s="925"/>
      <c r="O15" s="225"/>
      <c r="P15" s="404"/>
      <c r="Q15" s="547"/>
      <c r="R15" s="1123"/>
      <c r="Z15" s="1226"/>
      <c r="AA15" s="1224"/>
      <c r="AB15" s="1138"/>
      <c r="AC15" s="1138"/>
      <c r="AD15" s="1227"/>
      <c r="AE15" s="1127"/>
    </row>
    <row r="16" spans="1:32">
      <c r="A16" s="1692">
        <f t="shared" si="0"/>
        <v>3</v>
      </c>
      <c r="B16" s="1694">
        <f t="shared" si="1"/>
        <v>41883</v>
      </c>
      <c r="C16" s="1209">
        <f>VLOOKUP('Petroleum - Dom. Gas - Prices'!B16,'Petroleum - Q&amp;V 2'!$B$9:$N$250,13,FALSE)</f>
        <v>4.8887781628142477</v>
      </c>
      <c r="D16" s="1123"/>
      <c r="E16" s="154">
        <f t="shared" si="2"/>
        <v>1997</v>
      </c>
      <c r="F16" s="292">
        <f t="shared" si="3"/>
        <v>1998</v>
      </c>
      <c r="G16" s="1321">
        <f t="shared" si="5"/>
        <v>1997</v>
      </c>
      <c r="H16" s="651">
        <f>IF($G$45="Historic Calendar Year",HLOOKUP(CONCATENATE('Petroleum - Dom. Gas - Prices'!E16," Value $"),'Q&amp;V CY 1886 to 2003'!$Y$8:$AR$183,172,FALSE),HLOOKUP(CONCATENATE('Petroleum - Dom. Gas - Prices'!G16," Value $"),'Q&amp;V FY 1984-85 to 2002-03'!$M$8:$AH$141,130,FALSE))/(IF($G$45="Historic Calendar Year",HLOOKUP(CONCATENATE('Petroleum - Dom. Gas - Prices'!E16," Quantity"),'Q&amp;V CY 1886 to 2003'!$Y$8:$AR$183,172,FALSE)*1000/26.3,HLOOKUP(CONCATENATE('Petroleum - Dom. Gas - Prices'!G16," Quantity"),'Q&amp;V FY 1984-85 to 2002-03'!$M$8:$AH$141,130,FALSE)*1000/26.3))</f>
        <v>2.0500927565258129</v>
      </c>
      <c r="I16" s="154"/>
      <c r="J16" s="925"/>
      <c r="K16" s="925"/>
      <c r="L16" s="925"/>
      <c r="O16" s="225"/>
      <c r="P16" s="404"/>
      <c r="Q16" s="547"/>
      <c r="R16" s="1123"/>
      <c r="Z16" s="1226"/>
      <c r="AA16" s="1224"/>
      <c r="AB16" s="1138"/>
      <c r="AC16" s="1138"/>
      <c r="AD16" s="1227"/>
      <c r="AE16" s="1127"/>
    </row>
    <row r="17" spans="1:31">
      <c r="A17" s="1692">
        <f t="shared" si="0"/>
        <v>4</v>
      </c>
      <c r="B17" s="1694">
        <f t="shared" si="1"/>
        <v>41974</v>
      </c>
      <c r="C17" s="489">
        <f>VLOOKUP('Petroleum - Dom. Gas - Prices'!B17,'Petroleum - Q&amp;V 2'!$B$9:$N$250,13,FALSE)</f>
        <v>4.8480040103555151</v>
      </c>
      <c r="D17" s="1123"/>
      <c r="E17" s="154">
        <f t="shared" si="2"/>
        <v>1998</v>
      </c>
      <c r="F17" s="292">
        <f t="shared" si="3"/>
        <v>1999</v>
      </c>
      <c r="G17" s="1321">
        <f t="shared" si="5"/>
        <v>1998</v>
      </c>
      <c r="H17" s="489">
        <f>IF($G$45="Historic Calendar Year",HLOOKUP(CONCATENATE('Petroleum - Dom. Gas - Prices'!E17," Value $"),'Q&amp;V CY 1886 to 2003'!$Y$8:$AR$183,172,FALSE),HLOOKUP(CONCATENATE('Petroleum - Dom. Gas - Prices'!G17," Value $"),'Q&amp;V FY 1984-85 to 2002-03'!$M$8:$AH$141,130,FALSE))/(IF($G$45="Historic Calendar Year",HLOOKUP(CONCATENATE('Petroleum - Dom. Gas - Prices'!E17," Quantity"),'Q&amp;V CY 1886 to 2003'!$Y$8:$AR$183,172,FALSE)*1000/26.3,HLOOKUP(CONCATENATE('Petroleum - Dom. Gas - Prices'!G17," Quantity"),'Q&amp;V FY 1984-85 to 2002-03'!$M$8:$AH$141,130,FALSE)*1000/26.3))</f>
        <v>2.1942259317253829</v>
      </c>
      <c r="I17" s="154"/>
      <c r="J17" s="925"/>
      <c r="K17" s="925"/>
      <c r="L17" s="925"/>
      <c r="O17" s="225"/>
      <c r="P17" s="404"/>
      <c r="Q17" s="547"/>
      <c r="R17" s="1123"/>
      <c r="Z17" s="1226"/>
      <c r="AA17" s="1224"/>
      <c r="AB17" s="1138"/>
      <c r="AC17" s="1138"/>
      <c r="AD17" s="1227"/>
      <c r="AE17" s="1127"/>
    </row>
    <row r="18" spans="1:31">
      <c r="A18" s="1692">
        <f t="shared" si="0"/>
        <v>1</v>
      </c>
      <c r="B18" s="1694">
        <f t="shared" si="1"/>
        <v>42064</v>
      </c>
      <c r="C18" s="1209">
        <f>VLOOKUP('Petroleum - Dom. Gas - Prices'!B18,'Petroleum - Q&amp;V 2'!$B$9:$N$250,13,FALSE)</f>
        <v>4.8461122505566507</v>
      </c>
      <c r="D18" s="1123"/>
      <c r="E18" s="154">
        <f t="shared" si="2"/>
        <v>1999</v>
      </c>
      <c r="F18" s="292">
        <f t="shared" si="3"/>
        <v>2000</v>
      </c>
      <c r="G18" s="1321">
        <f t="shared" si="5"/>
        <v>1999</v>
      </c>
      <c r="H18" s="651">
        <f>IF(G18&lt;&gt;"",IF($G$45=$Z$4,SUMIF('Petroleum - Q&amp;V 2'!$L$9:$L$130,'Petroleum - Dom. Gas - Prices'!E18,'Petroleum - Q&amp;V 2'!$K$9:$K$130),
(SUMIFS('Petroleum - Q&amp;V 2'!$K$9:$K$250,'Petroleum - Q&amp;V 2'!$L$9:$L$250,E18,'Petroleum - Q&amp;V 2'!$M$9:$M$250,3)+
SUMIFS('Petroleum - Q&amp;V 2'!$K$9:$K$250,'Petroleum - Q&amp;V 2'!$L$9:$L$250,E18,'Petroleum - Q&amp;V 2'!$M$9:$M$250,4)+
SUMIFS('Petroleum - Q&amp;V 2'!$K$9:$K$250,'Petroleum - Q&amp;V 2'!$L$9:$L$250,F18,'Petroleum - Q&amp;V 2'!$M$9:$M$250,1)+
SUMIFS('Petroleum - Q&amp;V 2'!$K$9:$K$250,'Petroleum - Q&amp;V 2'!$L$9:$L$250,F18,'Petroleum - Q&amp;V 2'!$M$9:$M$250,2))),"")/
IF(G18&lt;&gt;"",IF($G$45=$Z$4,SUMIF('Petroleum - Q&amp;V 2'!$L$9:$L$130,'Petroleum - Dom. Gas - Prices'!E18,'Petroleum - Q&amp;V 2'!$J$9:$J$130),
(SUMIFS('Petroleum - Q&amp;V 2'!$J$9:$J$250,'Petroleum - Q&amp;V 2'!$L$9:$L$250,E18,'Petroleum - Q&amp;V 2'!$M$9:$M$250,3)+
SUMIFS('Petroleum - Q&amp;V 2'!$J$9:$J$250,'Petroleum - Q&amp;V 2'!$L$9:$L$250,E18,'Petroleum - Q&amp;V 2'!$M$9:$M$250,4)+
SUMIFS('Petroleum - Q&amp;V 2'!$J$9:$J$250,'Petroleum - Q&amp;V 2'!$L$9:$L$250,F18,'Petroleum - Q&amp;V 2'!$M$9:$M$250,1)+
SUMIFS('Petroleum - Q&amp;V 2'!$J$9:$J$250,'Petroleum - Q&amp;V 2'!$L$9:$L$250,F18,'Petroleum - Q&amp;V 2'!$M$9:$M$250,2))),"")</f>
        <v>2.2633589129644966</v>
      </c>
      <c r="I18" s="154"/>
      <c r="J18" s="925"/>
      <c r="K18" s="925"/>
      <c r="L18" s="925"/>
      <c r="O18" s="225"/>
      <c r="P18" s="404"/>
      <c r="Q18" s="547"/>
      <c r="R18" s="1123"/>
      <c r="Z18" s="1226"/>
      <c r="AA18" s="1224"/>
      <c r="AB18" s="1138"/>
      <c r="AC18" s="1138"/>
      <c r="AD18" s="1227"/>
      <c r="AE18" s="1127"/>
    </row>
    <row r="19" spans="1:31">
      <c r="A19" s="1692">
        <f t="shared" si="0"/>
        <v>2</v>
      </c>
      <c r="B19" s="1694">
        <f t="shared" si="1"/>
        <v>42156</v>
      </c>
      <c r="C19" s="489">
        <f>VLOOKUP('Petroleum - Dom. Gas - Prices'!B19,'Petroleum - Q&amp;V 2'!$B$9:$N$250,13,FALSE)</f>
        <v>4.8089078565611905</v>
      </c>
      <c r="D19" s="1123"/>
      <c r="E19" s="154">
        <f t="shared" si="2"/>
        <v>2000</v>
      </c>
      <c r="F19" s="292">
        <f t="shared" si="3"/>
        <v>2001</v>
      </c>
      <c r="G19" s="1321">
        <f t="shared" si="5"/>
        <v>2000</v>
      </c>
      <c r="H19" s="489">
        <f>IF(G19&lt;&gt;"",IF($G$45=$Z$4,SUMIF('Petroleum - Q&amp;V 2'!$L$9:$L$130,'Petroleum - Dom. Gas - Prices'!E19,'Petroleum - Q&amp;V 2'!$K$9:$K$130),
(SUMIFS('Petroleum - Q&amp;V 2'!$K$9:$K$250,'Petroleum - Q&amp;V 2'!$L$9:$L$250,E19,'Petroleum - Q&amp;V 2'!$M$9:$M$250,3)+
SUMIFS('Petroleum - Q&amp;V 2'!$K$9:$K$250,'Petroleum - Q&amp;V 2'!$L$9:$L$250,E19,'Petroleum - Q&amp;V 2'!$M$9:$M$250,4)+
SUMIFS('Petroleum - Q&amp;V 2'!$K$9:$K$250,'Petroleum - Q&amp;V 2'!$L$9:$L$250,F19,'Petroleum - Q&amp;V 2'!$M$9:$M$250,1)+
SUMIFS('Petroleum - Q&amp;V 2'!$K$9:$K$250,'Petroleum - Q&amp;V 2'!$L$9:$L$250,F19,'Petroleum - Q&amp;V 2'!$M$9:$M$250,2))),"")/
IF(G19&lt;&gt;"",IF($G$45=$Z$4,SUMIF('Petroleum - Q&amp;V 2'!$L$9:$L$130,'Petroleum - Dom. Gas - Prices'!E19,'Petroleum - Q&amp;V 2'!$J$9:$J$130),
(SUMIFS('Petroleum - Q&amp;V 2'!$J$9:$J$250,'Petroleum - Q&amp;V 2'!$L$9:$L$250,E19,'Petroleum - Q&amp;V 2'!$M$9:$M$250,3)+
SUMIFS('Petroleum - Q&amp;V 2'!$J$9:$J$250,'Petroleum - Q&amp;V 2'!$L$9:$L$250,E19,'Petroleum - Q&amp;V 2'!$M$9:$M$250,4)+
SUMIFS('Petroleum - Q&amp;V 2'!$J$9:$J$250,'Petroleum - Q&amp;V 2'!$L$9:$L$250,F19,'Petroleum - Q&amp;V 2'!$M$9:$M$250,1)+
SUMIFS('Petroleum - Q&amp;V 2'!$J$9:$J$250,'Petroleum - Q&amp;V 2'!$L$9:$L$250,F19,'Petroleum - Q&amp;V 2'!$M$9:$M$250,2))),"")</f>
        <v>2.3069294702897185</v>
      </c>
      <c r="I19" s="154"/>
      <c r="J19" s="925"/>
      <c r="K19" s="925"/>
      <c r="L19" s="925"/>
      <c r="O19" s="225"/>
      <c r="P19" s="404"/>
      <c r="Q19" s="547"/>
      <c r="R19" s="1123"/>
      <c r="Z19" s="1226"/>
      <c r="AA19" s="1224"/>
      <c r="AB19" s="1138"/>
      <c r="AC19" s="1138"/>
      <c r="AD19" s="1227"/>
      <c r="AE19" s="1127"/>
    </row>
    <row r="20" spans="1:31">
      <c r="A20" s="1692">
        <f t="shared" si="0"/>
        <v>3</v>
      </c>
      <c r="B20" s="1694">
        <f t="shared" si="1"/>
        <v>42248</v>
      </c>
      <c r="C20" s="1209">
        <f>VLOOKUP('Petroleum - Dom. Gas - Prices'!B20,'Petroleum - Q&amp;V 2'!$B$9:$N$250,13,FALSE)</f>
        <v>4.9058702326383257</v>
      </c>
      <c r="D20" s="1123"/>
      <c r="E20" s="154">
        <f t="shared" si="2"/>
        <v>2001</v>
      </c>
      <c r="F20" s="292">
        <f t="shared" si="3"/>
        <v>2002</v>
      </c>
      <c r="G20" s="1321">
        <f t="shared" si="5"/>
        <v>2001</v>
      </c>
      <c r="H20" s="651">
        <f>IF(G20&lt;&gt;"",IF($G$45=$Z$4,SUMIF('Petroleum - Q&amp;V 2'!$L$9:$L$130,'Petroleum - Dom. Gas - Prices'!E20,'Petroleum - Q&amp;V 2'!$K$9:$K$130),
(SUMIFS('Petroleum - Q&amp;V 2'!$K$9:$K$250,'Petroleum - Q&amp;V 2'!$L$9:$L$250,E20,'Petroleum - Q&amp;V 2'!$M$9:$M$250,3)+
SUMIFS('Petroleum - Q&amp;V 2'!$K$9:$K$250,'Petroleum - Q&amp;V 2'!$L$9:$L$250,E20,'Petroleum - Q&amp;V 2'!$M$9:$M$250,4)+
SUMIFS('Petroleum - Q&amp;V 2'!$K$9:$K$250,'Petroleum - Q&amp;V 2'!$L$9:$L$250,F20,'Petroleum - Q&amp;V 2'!$M$9:$M$250,1)+
SUMIFS('Petroleum - Q&amp;V 2'!$K$9:$K$250,'Petroleum - Q&amp;V 2'!$L$9:$L$250,F20,'Petroleum - Q&amp;V 2'!$M$9:$M$250,2))),"")/
IF(G20&lt;&gt;"",IF($G$45=$Z$4,SUMIF('Petroleum - Q&amp;V 2'!$L$9:$L$130,'Petroleum - Dom. Gas - Prices'!E20,'Petroleum - Q&amp;V 2'!$J$9:$J$130),
(SUMIFS('Petroleum - Q&amp;V 2'!$J$9:$J$250,'Petroleum - Q&amp;V 2'!$L$9:$L$250,E20,'Petroleum - Q&amp;V 2'!$M$9:$M$250,3)+
SUMIFS('Petroleum - Q&amp;V 2'!$J$9:$J$250,'Petroleum - Q&amp;V 2'!$L$9:$L$250,E20,'Petroleum - Q&amp;V 2'!$M$9:$M$250,4)+
SUMIFS('Petroleum - Q&amp;V 2'!$J$9:$J$250,'Petroleum - Q&amp;V 2'!$L$9:$L$250,F20,'Petroleum - Q&amp;V 2'!$M$9:$M$250,1)+
SUMIFS('Petroleum - Q&amp;V 2'!$J$9:$J$250,'Petroleum - Q&amp;V 2'!$L$9:$L$250,F20,'Petroleum - Q&amp;V 2'!$M$9:$M$250,2))),"")</f>
        <v>2.202921023279484</v>
      </c>
      <c r="I20" s="154"/>
      <c r="J20" s="925"/>
      <c r="K20" s="925"/>
      <c r="L20" s="925"/>
      <c r="O20" s="225"/>
      <c r="P20" s="225"/>
      <c r="Q20" s="225"/>
      <c r="R20" s="225"/>
      <c r="Z20" s="1226"/>
      <c r="AA20" s="1224"/>
      <c r="AB20" s="1138"/>
      <c r="AC20" s="1138"/>
      <c r="AD20" s="1227"/>
      <c r="AE20" s="1127"/>
    </row>
    <row r="21" spans="1:31">
      <c r="A21" s="1692">
        <f t="shared" si="0"/>
        <v>4</v>
      </c>
      <c r="B21" s="1694">
        <f t="shared" si="1"/>
        <v>42339</v>
      </c>
      <c r="C21" s="489">
        <f>VLOOKUP('Petroleum - Dom. Gas - Prices'!B21,'Petroleum - Q&amp;V 2'!$B$9:$N$250,13,FALSE)</f>
        <v>4.9922471050309447</v>
      </c>
      <c r="D21" s="1123"/>
      <c r="E21" s="154">
        <f t="shared" si="2"/>
        <v>2002</v>
      </c>
      <c r="F21" s="292">
        <f t="shared" si="3"/>
        <v>2003</v>
      </c>
      <c r="G21" s="1321">
        <f t="shared" si="5"/>
        <v>2002</v>
      </c>
      <c r="H21" s="489">
        <f>IF(G21&lt;&gt;"",IF($G$45=$Z$4,SUMIF('Petroleum - Q&amp;V 2'!$L$9:$L$130,'Petroleum - Dom. Gas - Prices'!E21,'Petroleum - Q&amp;V 2'!$K$9:$K$130),
(SUMIFS('Petroleum - Q&amp;V 2'!$K$9:$K$250,'Petroleum - Q&amp;V 2'!$L$9:$L$250,E21,'Petroleum - Q&amp;V 2'!$M$9:$M$250,3)+
SUMIFS('Petroleum - Q&amp;V 2'!$K$9:$K$250,'Petroleum - Q&amp;V 2'!$L$9:$L$250,E21,'Petroleum - Q&amp;V 2'!$M$9:$M$250,4)+
SUMIFS('Petroleum - Q&amp;V 2'!$K$9:$K$250,'Petroleum - Q&amp;V 2'!$L$9:$L$250,F21,'Petroleum - Q&amp;V 2'!$M$9:$M$250,1)+
SUMIFS('Petroleum - Q&amp;V 2'!$K$9:$K$250,'Petroleum - Q&amp;V 2'!$L$9:$L$250,F21,'Petroleum - Q&amp;V 2'!$M$9:$M$250,2))),"")/
IF(G21&lt;&gt;"",IF($G$45=$Z$4,SUMIF('Petroleum - Q&amp;V 2'!$L$9:$L$130,'Petroleum - Dom. Gas - Prices'!E21,'Petroleum - Q&amp;V 2'!$J$9:$J$130),
(SUMIFS('Petroleum - Q&amp;V 2'!$J$9:$J$250,'Petroleum - Q&amp;V 2'!$L$9:$L$250,E21,'Petroleum - Q&amp;V 2'!$M$9:$M$250,3)+
SUMIFS('Petroleum - Q&amp;V 2'!$J$9:$J$250,'Petroleum - Q&amp;V 2'!$L$9:$L$250,E21,'Petroleum - Q&amp;V 2'!$M$9:$M$250,4)+
SUMIFS('Petroleum - Q&amp;V 2'!$J$9:$J$250,'Petroleum - Q&amp;V 2'!$L$9:$L$250,F21,'Petroleum - Q&amp;V 2'!$M$9:$M$250,1)+
SUMIFS('Petroleum - Q&amp;V 2'!$J$9:$J$250,'Petroleum - Q&amp;V 2'!$L$9:$L$250,F21,'Petroleum - Q&amp;V 2'!$M$9:$M$250,2))),"")</f>
        <v>2.2066114058189088</v>
      </c>
      <c r="I21" s="154"/>
      <c r="J21" s="925"/>
      <c r="K21" s="925"/>
      <c r="L21" s="925"/>
      <c r="O21" s="225"/>
      <c r="P21" s="225"/>
      <c r="Q21" s="225"/>
      <c r="R21" s="225"/>
      <c r="Z21" s="1226"/>
      <c r="AA21" s="1224"/>
      <c r="AB21" s="1138"/>
      <c r="AC21" s="1138"/>
      <c r="AD21" s="1227"/>
      <c r="AE21" s="1127"/>
    </row>
    <row r="22" spans="1:31">
      <c r="A22" s="1692">
        <f t="shared" si="0"/>
        <v>1</v>
      </c>
      <c r="B22" s="1694">
        <f t="shared" si="1"/>
        <v>42430</v>
      </c>
      <c r="C22" s="1209">
        <f>VLOOKUP('Petroleum - Dom. Gas - Prices'!B22,'Petroleum - Q&amp;V 2'!$B$9:$N$250,13,FALSE)</f>
        <v>4.7962849976450572</v>
      </c>
      <c r="D22" s="1123"/>
      <c r="E22" s="154">
        <f t="shared" si="2"/>
        <v>2003</v>
      </c>
      <c r="F22" s="292">
        <f t="shared" si="3"/>
        <v>2004</v>
      </c>
      <c r="G22" s="1321">
        <f t="shared" si="5"/>
        <v>2003</v>
      </c>
      <c r="H22" s="651">
        <f>IF(G22&lt;&gt;"",IF($G$45=$Z$4,SUMIF('Petroleum - Q&amp;V 2'!$L$9:$L$130,'Petroleum - Dom. Gas - Prices'!E22,'Petroleum - Q&amp;V 2'!$K$9:$K$130),
(SUMIFS('Petroleum - Q&amp;V 2'!$K$9:$K$250,'Petroleum - Q&amp;V 2'!$L$9:$L$250,E22,'Petroleum - Q&amp;V 2'!$M$9:$M$250,3)+
SUMIFS('Petroleum - Q&amp;V 2'!$K$9:$K$250,'Petroleum - Q&amp;V 2'!$L$9:$L$250,E22,'Petroleum - Q&amp;V 2'!$M$9:$M$250,4)+
SUMIFS('Petroleum - Q&amp;V 2'!$K$9:$K$250,'Petroleum - Q&amp;V 2'!$L$9:$L$250,F22,'Petroleum - Q&amp;V 2'!$M$9:$M$250,1)+
SUMIFS('Petroleum - Q&amp;V 2'!$K$9:$K$250,'Petroleum - Q&amp;V 2'!$L$9:$L$250,F22,'Petroleum - Q&amp;V 2'!$M$9:$M$250,2))),"")/
IF(G22&lt;&gt;"",IF($G$45=$Z$4,SUMIF('Petroleum - Q&amp;V 2'!$L$9:$L$130,'Petroleum - Dom. Gas - Prices'!E22,'Petroleum - Q&amp;V 2'!$J$9:$J$130),
(SUMIFS('Petroleum - Q&amp;V 2'!$J$9:$J$250,'Petroleum - Q&amp;V 2'!$L$9:$L$250,E22,'Petroleum - Q&amp;V 2'!$M$9:$M$250,3)+
SUMIFS('Petroleum - Q&amp;V 2'!$J$9:$J$250,'Petroleum - Q&amp;V 2'!$L$9:$L$250,E22,'Petroleum - Q&amp;V 2'!$M$9:$M$250,4)+
SUMIFS('Petroleum - Q&amp;V 2'!$J$9:$J$250,'Petroleum - Q&amp;V 2'!$L$9:$L$250,F22,'Petroleum - Q&amp;V 2'!$M$9:$M$250,1)+
SUMIFS('Petroleum - Q&amp;V 2'!$J$9:$J$250,'Petroleum - Q&amp;V 2'!$L$9:$L$250,F22,'Petroleum - Q&amp;V 2'!$M$9:$M$250,2))),"")</f>
        <v>2.2383607503595937</v>
      </c>
      <c r="I22" s="154"/>
      <c r="J22" s="925"/>
      <c r="K22" s="925"/>
      <c r="L22" s="925"/>
      <c r="O22" s="225"/>
      <c r="P22" s="225"/>
      <c r="Q22" s="225"/>
      <c r="R22" s="225"/>
      <c r="Z22" s="1226"/>
      <c r="AA22" s="1224"/>
      <c r="AB22" s="1138"/>
      <c r="AC22" s="1138"/>
      <c r="AD22" s="1227"/>
      <c r="AE22" s="1127"/>
    </row>
    <row r="23" spans="1:31">
      <c r="A23" s="1692">
        <f t="shared" si="0"/>
        <v>2</v>
      </c>
      <c r="B23" s="1694">
        <f t="shared" si="1"/>
        <v>42522</v>
      </c>
      <c r="C23" s="489">
        <f>VLOOKUP('Petroleum - Dom. Gas - Prices'!B23,'Petroleum - Q&amp;V 2'!$B$9:$N$250,13,FALSE)</f>
        <v>4.9882530946104087</v>
      </c>
      <c r="D23" s="1123"/>
      <c r="E23" s="154">
        <f t="shared" si="2"/>
        <v>2004</v>
      </c>
      <c r="F23" s="292">
        <f t="shared" si="3"/>
        <v>2005</v>
      </c>
      <c r="G23" s="1321">
        <f t="shared" si="5"/>
        <v>2004</v>
      </c>
      <c r="H23" s="489">
        <f>IF(G23&lt;&gt;"",IF($G$45=$Z$4,SUMIF('Petroleum - Q&amp;V 2'!$L$9:$L$130,'Petroleum - Dom. Gas - Prices'!E23,'Petroleum - Q&amp;V 2'!$K$9:$K$130),
(SUMIFS('Petroleum - Q&amp;V 2'!$K$9:$K$250,'Petroleum - Q&amp;V 2'!$L$9:$L$250,E23,'Petroleum - Q&amp;V 2'!$M$9:$M$250,3)+
SUMIFS('Petroleum - Q&amp;V 2'!$K$9:$K$250,'Petroleum - Q&amp;V 2'!$L$9:$L$250,E23,'Petroleum - Q&amp;V 2'!$M$9:$M$250,4)+
SUMIFS('Petroleum - Q&amp;V 2'!$K$9:$K$250,'Petroleum - Q&amp;V 2'!$L$9:$L$250,F23,'Petroleum - Q&amp;V 2'!$M$9:$M$250,1)+
SUMIFS('Petroleum - Q&amp;V 2'!$K$9:$K$250,'Petroleum - Q&amp;V 2'!$L$9:$L$250,F23,'Petroleum - Q&amp;V 2'!$M$9:$M$250,2))),"")/
IF(G23&lt;&gt;"",IF($G$45=$Z$4,SUMIF('Petroleum - Q&amp;V 2'!$L$9:$L$130,'Petroleum - Dom. Gas - Prices'!E23,'Petroleum - Q&amp;V 2'!$J$9:$J$130),
(SUMIFS('Petroleum - Q&amp;V 2'!$J$9:$J$250,'Petroleum - Q&amp;V 2'!$L$9:$L$250,E23,'Petroleum - Q&amp;V 2'!$M$9:$M$250,3)+
SUMIFS('Petroleum - Q&amp;V 2'!$J$9:$J$250,'Petroleum - Q&amp;V 2'!$L$9:$L$250,E23,'Petroleum - Q&amp;V 2'!$M$9:$M$250,4)+
SUMIFS('Petroleum - Q&amp;V 2'!$J$9:$J$250,'Petroleum - Q&amp;V 2'!$L$9:$L$250,F23,'Petroleum - Q&amp;V 2'!$M$9:$M$250,1)+
SUMIFS('Petroleum - Q&amp;V 2'!$J$9:$J$250,'Petroleum - Q&amp;V 2'!$L$9:$L$250,F23,'Petroleum - Q&amp;V 2'!$M$9:$M$250,2))),"")</f>
        <v>2.234799332978207</v>
      </c>
      <c r="I23" s="154"/>
      <c r="J23" s="925"/>
      <c r="K23" s="925"/>
      <c r="L23" s="925"/>
      <c r="O23" s="225"/>
      <c r="P23" s="225"/>
      <c r="Q23" s="225"/>
      <c r="R23" s="225"/>
      <c r="Z23" s="1226"/>
      <c r="AA23" s="1224"/>
      <c r="AB23" s="1138"/>
      <c r="AC23" s="1138"/>
      <c r="AD23" s="1227"/>
      <c r="AE23" s="1127"/>
    </row>
    <row r="24" spans="1:31">
      <c r="A24" s="1692">
        <f t="shared" si="0"/>
        <v>3</v>
      </c>
      <c r="B24" s="1694">
        <f t="shared" si="1"/>
        <v>42614</v>
      </c>
      <c r="C24" s="1209">
        <f>VLOOKUP('Petroleum - Dom. Gas - Prices'!B24,'Petroleum - Q&amp;V 2'!$B$9:$N$250,13,FALSE)</f>
        <v>5.1201845581818892</v>
      </c>
      <c r="D24" s="1123"/>
      <c r="E24" s="154">
        <f t="shared" si="2"/>
        <v>2005</v>
      </c>
      <c r="F24" s="292">
        <f t="shared" si="3"/>
        <v>2006</v>
      </c>
      <c r="G24" s="1321">
        <f t="shared" si="5"/>
        <v>2005</v>
      </c>
      <c r="H24" s="651">
        <f>IF(G24&lt;&gt;"",IF($G$45=$Z$4,SUMIF('Petroleum - Q&amp;V 2'!$L$9:$L$130,'Petroleum - Dom. Gas - Prices'!E24,'Petroleum - Q&amp;V 2'!$K$9:$K$130),
(SUMIFS('Petroleum - Q&amp;V 2'!$K$9:$K$250,'Petroleum - Q&amp;V 2'!$L$9:$L$250,E24,'Petroleum - Q&amp;V 2'!$M$9:$M$250,3)+
SUMIFS('Petroleum - Q&amp;V 2'!$K$9:$K$250,'Petroleum - Q&amp;V 2'!$L$9:$L$250,E24,'Petroleum - Q&amp;V 2'!$M$9:$M$250,4)+
SUMIFS('Petroleum - Q&amp;V 2'!$K$9:$K$250,'Petroleum - Q&amp;V 2'!$L$9:$L$250,F24,'Petroleum - Q&amp;V 2'!$M$9:$M$250,1)+
SUMIFS('Petroleum - Q&amp;V 2'!$K$9:$K$250,'Petroleum - Q&amp;V 2'!$L$9:$L$250,F24,'Petroleum - Q&amp;V 2'!$M$9:$M$250,2))),"")/
IF(G24&lt;&gt;"",IF($G$45=$Z$4,SUMIF('Petroleum - Q&amp;V 2'!$L$9:$L$130,'Petroleum - Dom. Gas - Prices'!E24,'Petroleum - Q&amp;V 2'!$J$9:$J$130),
(SUMIFS('Petroleum - Q&amp;V 2'!$J$9:$J$250,'Petroleum - Q&amp;V 2'!$L$9:$L$250,E24,'Petroleum - Q&amp;V 2'!$M$9:$M$250,3)+
SUMIFS('Petroleum - Q&amp;V 2'!$J$9:$J$250,'Petroleum - Q&amp;V 2'!$L$9:$L$250,E24,'Petroleum - Q&amp;V 2'!$M$9:$M$250,4)+
SUMIFS('Petroleum - Q&amp;V 2'!$J$9:$J$250,'Petroleum - Q&amp;V 2'!$L$9:$L$250,F24,'Petroleum - Q&amp;V 2'!$M$9:$M$250,1)+
SUMIFS('Petroleum - Q&amp;V 2'!$J$9:$J$250,'Petroleum - Q&amp;V 2'!$L$9:$L$250,F24,'Petroleum - Q&amp;V 2'!$M$9:$M$250,2))),"")</f>
        <v>2.3494160120460439</v>
      </c>
      <c r="I24" s="154"/>
      <c r="J24" s="925"/>
      <c r="K24" s="925"/>
      <c r="L24" s="925"/>
      <c r="O24" s="225"/>
      <c r="P24" s="225"/>
      <c r="Q24" s="225"/>
      <c r="R24" s="225"/>
      <c r="Z24" s="1226"/>
      <c r="AA24" s="1224"/>
      <c r="AB24" s="1138"/>
      <c r="AC24" s="1138"/>
      <c r="AD24" s="1227"/>
      <c r="AE24" s="1127"/>
    </row>
    <row r="25" spans="1:31">
      <c r="A25" s="1692">
        <f t="shared" si="0"/>
        <v>4</v>
      </c>
      <c r="B25" s="1694">
        <f t="shared" si="1"/>
        <v>42705</v>
      </c>
      <c r="C25" s="489">
        <f>VLOOKUP('Petroleum - Dom. Gas - Prices'!B25,'Petroleum - Q&amp;V 2'!$B$9:$N$250,13,FALSE)</f>
        <v>5.0110003721964036</v>
      </c>
      <c r="D25" s="1123"/>
      <c r="E25" s="154">
        <f t="shared" si="2"/>
        <v>2006</v>
      </c>
      <c r="F25" s="292">
        <f t="shared" si="3"/>
        <v>2007</v>
      </c>
      <c r="G25" s="1321">
        <f t="shared" si="5"/>
        <v>2006</v>
      </c>
      <c r="H25" s="489">
        <f>IF(G25&lt;&gt;"",IF($G$45=$Z$4,SUMIF('Petroleum - Q&amp;V 2'!$L$9:$L$130,'Petroleum - Dom. Gas - Prices'!E25,'Petroleum - Q&amp;V 2'!$K$9:$K$130),
(SUMIFS('Petroleum - Q&amp;V 2'!$K$9:$K$250,'Petroleum - Q&amp;V 2'!$L$9:$L$250,E25,'Petroleum - Q&amp;V 2'!$M$9:$M$250,3)+
SUMIFS('Petroleum - Q&amp;V 2'!$K$9:$K$250,'Petroleum - Q&amp;V 2'!$L$9:$L$250,E25,'Petroleum - Q&amp;V 2'!$M$9:$M$250,4)+
SUMIFS('Petroleum - Q&amp;V 2'!$K$9:$K$250,'Petroleum - Q&amp;V 2'!$L$9:$L$250,F25,'Petroleum - Q&amp;V 2'!$M$9:$M$250,1)+
SUMIFS('Petroleum - Q&amp;V 2'!$K$9:$K$250,'Petroleum - Q&amp;V 2'!$L$9:$L$250,F25,'Petroleum - Q&amp;V 2'!$M$9:$M$250,2))),"")/
IF(G25&lt;&gt;"",IF($G$45=$Z$4,SUMIF('Petroleum - Q&amp;V 2'!$L$9:$L$130,'Petroleum - Dom. Gas - Prices'!E25,'Petroleum - Q&amp;V 2'!$J$9:$J$130),
(SUMIFS('Petroleum - Q&amp;V 2'!$J$9:$J$250,'Petroleum - Q&amp;V 2'!$L$9:$L$250,E25,'Petroleum - Q&amp;V 2'!$M$9:$M$250,3)+
SUMIFS('Petroleum - Q&amp;V 2'!$J$9:$J$250,'Petroleum - Q&amp;V 2'!$L$9:$L$250,E25,'Petroleum - Q&amp;V 2'!$M$9:$M$250,4)+
SUMIFS('Petroleum - Q&amp;V 2'!$J$9:$J$250,'Petroleum - Q&amp;V 2'!$L$9:$L$250,F25,'Petroleum - Q&amp;V 2'!$M$9:$M$250,1)+
SUMIFS('Petroleum - Q&amp;V 2'!$J$9:$J$250,'Petroleum - Q&amp;V 2'!$L$9:$L$250,F25,'Petroleum - Q&amp;V 2'!$M$9:$M$250,2))),"")</f>
        <v>2.5678282663284739</v>
      </c>
      <c r="I25" s="154"/>
      <c r="J25" s="925"/>
      <c r="K25" s="925"/>
      <c r="L25" s="925"/>
      <c r="O25" s="225"/>
      <c r="P25" s="225"/>
      <c r="Q25" s="225"/>
      <c r="R25" s="225"/>
      <c r="Z25" s="1226"/>
      <c r="AA25" s="1224"/>
      <c r="AB25" s="1138"/>
      <c r="AC25" s="1138"/>
      <c r="AD25" s="1227"/>
      <c r="AE25" s="1127"/>
    </row>
    <row r="26" spans="1:31">
      <c r="A26" s="1692">
        <f t="shared" si="0"/>
        <v>1</v>
      </c>
      <c r="B26" s="1694">
        <f t="shared" si="1"/>
        <v>42795</v>
      </c>
      <c r="C26" s="1209">
        <f>VLOOKUP('Petroleum - Dom. Gas - Prices'!B26,'Petroleum - Q&amp;V 2'!$B$9:$N$250,13,FALSE)</f>
        <v>4.881795587208539</v>
      </c>
      <c r="D26" s="1123"/>
      <c r="E26" s="154">
        <f t="shared" si="2"/>
        <v>2007</v>
      </c>
      <c r="F26" s="292">
        <f t="shared" si="3"/>
        <v>2008</v>
      </c>
      <c r="G26" s="1321">
        <f t="shared" si="5"/>
        <v>2007</v>
      </c>
      <c r="H26" s="651">
        <f>IF(G26&lt;&gt;"",IF($G$45=$Z$4,SUMIF('Petroleum - Q&amp;V 2'!$L$9:$L$130,'Petroleum - Dom. Gas - Prices'!E26,'Petroleum - Q&amp;V 2'!$K$9:$K$130),
(SUMIFS('Petroleum - Q&amp;V 2'!$K$9:$K$250,'Petroleum - Q&amp;V 2'!$L$9:$L$250,E26,'Petroleum - Q&amp;V 2'!$M$9:$M$250,3)+
SUMIFS('Petroleum - Q&amp;V 2'!$K$9:$K$250,'Petroleum - Q&amp;V 2'!$L$9:$L$250,E26,'Petroleum - Q&amp;V 2'!$M$9:$M$250,4)+
SUMIFS('Petroleum - Q&amp;V 2'!$K$9:$K$250,'Petroleum - Q&amp;V 2'!$L$9:$L$250,F26,'Petroleum - Q&amp;V 2'!$M$9:$M$250,1)+
SUMIFS('Petroleum - Q&amp;V 2'!$K$9:$K$250,'Petroleum - Q&amp;V 2'!$L$9:$L$250,F26,'Petroleum - Q&amp;V 2'!$M$9:$M$250,2))),"")/
IF(G26&lt;&gt;"",IF($G$45=$Z$4,SUMIF('Petroleum - Q&amp;V 2'!$L$9:$L$130,'Petroleum - Dom. Gas - Prices'!E26,'Petroleum - Q&amp;V 2'!$J$9:$J$130),
(SUMIFS('Petroleum - Q&amp;V 2'!$J$9:$J$250,'Petroleum - Q&amp;V 2'!$L$9:$L$250,E26,'Petroleum - Q&amp;V 2'!$M$9:$M$250,3)+
SUMIFS('Petroleum - Q&amp;V 2'!$J$9:$J$250,'Petroleum - Q&amp;V 2'!$L$9:$L$250,E26,'Petroleum - Q&amp;V 2'!$M$9:$M$250,4)+
SUMIFS('Petroleum - Q&amp;V 2'!$J$9:$J$250,'Petroleum - Q&amp;V 2'!$L$9:$L$250,F26,'Petroleum - Q&amp;V 2'!$M$9:$M$250,1)+
SUMIFS('Petroleum - Q&amp;V 2'!$J$9:$J$250,'Petroleum - Q&amp;V 2'!$L$9:$L$250,F26,'Petroleum - Q&amp;V 2'!$M$9:$M$250,2))),"")</f>
        <v>2.8738427244008005</v>
      </c>
      <c r="I26" s="154"/>
      <c r="J26" s="925"/>
      <c r="K26" s="925"/>
      <c r="L26" s="925"/>
      <c r="Z26" s="1226"/>
      <c r="AA26" s="1224"/>
      <c r="AB26" s="1138"/>
      <c r="AC26" s="1138"/>
      <c r="AD26" s="1227"/>
      <c r="AE26" s="1127"/>
    </row>
    <row r="27" spans="1:31">
      <c r="A27" s="1692">
        <f t="shared" si="0"/>
        <v>2</v>
      </c>
      <c r="B27" s="1694">
        <f t="shared" si="1"/>
        <v>42887</v>
      </c>
      <c r="C27" s="489">
        <f>VLOOKUP('Petroleum - Dom. Gas - Prices'!B27,'Petroleum - Q&amp;V 2'!$B$9:$N$250,13,FALSE)</f>
        <v>4.8539386926407211</v>
      </c>
      <c r="D27" s="1123"/>
      <c r="E27" s="154">
        <f t="shared" si="2"/>
        <v>2008</v>
      </c>
      <c r="F27" s="292">
        <f t="shared" si="3"/>
        <v>2009</v>
      </c>
      <c r="G27" s="1321">
        <f t="shared" si="5"/>
        <v>2008</v>
      </c>
      <c r="H27" s="489">
        <f>IF(G27&lt;&gt;"",IF($G$45=$Z$4,SUMIF('Petroleum - Q&amp;V 2'!$L$9:$L$130,'Petroleum - Dom. Gas - Prices'!E27,'Petroleum - Q&amp;V 2'!$K$9:$K$130),
(SUMIFS('Petroleum - Q&amp;V 2'!$K$9:$K$250,'Petroleum - Q&amp;V 2'!$L$9:$L$250,E27,'Petroleum - Q&amp;V 2'!$M$9:$M$250,3)+
SUMIFS('Petroleum - Q&amp;V 2'!$K$9:$K$250,'Petroleum - Q&amp;V 2'!$L$9:$L$250,E27,'Petroleum - Q&amp;V 2'!$M$9:$M$250,4)+
SUMIFS('Petroleum - Q&amp;V 2'!$K$9:$K$250,'Petroleum - Q&amp;V 2'!$L$9:$L$250,F27,'Petroleum - Q&amp;V 2'!$M$9:$M$250,1)+
SUMIFS('Petroleum - Q&amp;V 2'!$K$9:$K$250,'Petroleum - Q&amp;V 2'!$L$9:$L$250,F27,'Petroleum - Q&amp;V 2'!$M$9:$M$250,2))),"")/
IF(G27&lt;&gt;"",IF($G$45=$Z$4,SUMIF('Petroleum - Q&amp;V 2'!$L$9:$L$130,'Petroleum - Dom. Gas - Prices'!E27,'Petroleum - Q&amp;V 2'!$J$9:$J$130),
(SUMIFS('Petroleum - Q&amp;V 2'!$J$9:$J$250,'Petroleum - Q&amp;V 2'!$L$9:$L$250,E27,'Petroleum - Q&amp;V 2'!$M$9:$M$250,3)+
SUMIFS('Petroleum - Q&amp;V 2'!$J$9:$J$250,'Petroleum - Q&amp;V 2'!$L$9:$L$250,E27,'Petroleum - Q&amp;V 2'!$M$9:$M$250,4)+
SUMIFS('Petroleum - Q&amp;V 2'!$J$9:$J$250,'Petroleum - Q&amp;V 2'!$L$9:$L$250,F27,'Petroleum - Q&amp;V 2'!$M$9:$M$250,1)+
SUMIFS('Petroleum - Q&amp;V 2'!$J$9:$J$250,'Petroleum - Q&amp;V 2'!$L$9:$L$250,F27,'Petroleum - Q&amp;V 2'!$M$9:$M$250,2))),"")</f>
        <v>3.6853500631162328</v>
      </c>
      <c r="I27" s="154"/>
      <c r="J27" s="925"/>
      <c r="K27" s="925"/>
      <c r="L27" s="925"/>
      <c r="Z27" s="1226"/>
      <c r="AA27" s="1224"/>
      <c r="AB27" s="1138"/>
      <c r="AC27" s="1138"/>
      <c r="AD27" s="1227"/>
      <c r="AE27" s="1127"/>
    </row>
    <row r="28" spans="1:31">
      <c r="A28" s="1692">
        <f t="shared" si="0"/>
        <v>3</v>
      </c>
      <c r="B28" s="1694">
        <f t="shared" si="1"/>
        <v>42979</v>
      </c>
      <c r="C28" s="1209">
        <f>VLOOKUP('Petroleum - Dom. Gas - Prices'!B28,'Petroleum - Q&amp;V 2'!$B$9:$N$250,13,FALSE)</f>
        <v>4.7743778602867373</v>
      </c>
      <c r="D28" s="1123"/>
      <c r="E28" s="154">
        <f t="shared" si="2"/>
        <v>2009</v>
      </c>
      <c r="F28" s="292">
        <f t="shared" si="3"/>
        <v>2010</v>
      </c>
      <c r="G28" s="1321">
        <f t="shared" si="5"/>
        <v>2009</v>
      </c>
      <c r="H28" s="651">
        <f>IF(G28&lt;&gt;"",IF($G$45=$Z$4,SUMIF('Petroleum - Q&amp;V 2'!$L$9:$L$130,'Petroleum - Dom. Gas - Prices'!E28,'Petroleum - Q&amp;V 2'!$K$9:$K$130),
(SUMIFS('Petroleum - Q&amp;V 2'!$K$9:$K$250,'Petroleum - Q&amp;V 2'!$L$9:$L$250,E28,'Petroleum - Q&amp;V 2'!$M$9:$M$250,3)+
SUMIFS('Petroleum - Q&amp;V 2'!$K$9:$K$250,'Petroleum - Q&amp;V 2'!$L$9:$L$250,E28,'Petroleum - Q&amp;V 2'!$M$9:$M$250,4)+
SUMIFS('Petroleum - Q&amp;V 2'!$K$9:$K$250,'Petroleum - Q&amp;V 2'!$L$9:$L$250,F28,'Petroleum - Q&amp;V 2'!$M$9:$M$250,1)+
SUMIFS('Petroleum - Q&amp;V 2'!$K$9:$K$250,'Petroleum - Q&amp;V 2'!$L$9:$L$250,F28,'Petroleum - Q&amp;V 2'!$M$9:$M$250,2))),"")/
IF(G28&lt;&gt;"",IF($G$45=$Z$4,SUMIF('Petroleum - Q&amp;V 2'!$L$9:$L$130,'Petroleum - Dom. Gas - Prices'!E28,'Petroleum - Q&amp;V 2'!$J$9:$J$130),
(SUMIFS('Petroleum - Q&amp;V 2'!$J$9:$J$250,'Petroleum - Q&amp;V 2'!$L$9:$L$250,E28,'Petroleum - Q&amp;V 2'!$M$9:$M$250,3)+
SUMIFS('Petroleum - Q&amp;V 2'!$J$9:$J$250,'Petroleum - Q&amp;V 2'!$L$9:$L$250,E28,'Petroleum - Q&amp;V 2'!$M$9:$M$250,4)+
SUMIFS('Petroleum - Q&amp;V 2'!$J$9:$J$250,'Petroleum - Q&amp;V 2'!$L$9:$L$250,F28,'Petroleum - Q&amp;V 2'!$M$9:$M$250,1)+
SUMIFS('Petroleum - Q&amp;V 2'!$J$9:$J$250,'Petroleum - Q&amp;V 2'!$L$9:$L$250,F28,'Petroleum - Q&amp;V 2'!$M$9:$M$250,2))),"")</f>
        <v>3.2654246502760023</v>
      </c>
      <c r="I28" s="154"/>
      <c r="J28" s="925"/>
      <c r="K28" s="925"/>
      <c r="L28" s="925"/>
      <c r="Z28" s="1226"/>
      <c r="AA28" s="1224"/>
      <c r="AB28" s="1138"/>
      <c r="AC28" s="1138"/>
      <c r="AD28" s="1227"/>
      <c r="AE28" s="1127"/>
    </row>
    <row r="29" spans="1:31">
      <c r="A29" s="1692">
        <f t="shared" si="0"/>
        <v>4</v>
      </c>
      <c r="B29" s="1694">
        <f t="shared" si="1"/>
        <v>43070</v>
      </c>
      <c r="C29" s="489">
        <f>VLOOKUP('Petroleum - Dom. Gas - Prices'!B29,'Petroleum - Q&amp;V 2'!$B$9:$N$250,13,FALSE)</f>
        <v>4.1318142396629609</v>
      </c>
      <c r="D29" s="1123"/>
      <c r="E29" s="154">
        <f t="shared" si="2"/>
        <v>2010</v>
      </c>
      <c r="F29" s="292">
        <f t="shared" si="3"/>
        <v>2011</v>
      </c>
      <c r="G29" s="1321">
        <f t="shared" si="5"/>
        <v>2010</v>
      </c>
      <c r="H29" s="489">
        <f>IF(G29&lt;&gt;"",IF($G$45=$Z$4,SUMIF('Petroleum - Q&amp;V 2'!$L$9:$L$130,'Petroleum - Dom. Gas - Prices'!E29,'Petroleum - Q&amp;V 2'!$K$9:$K$130),
(SUMIFS('Petroleum - Q&amp;V 2'!$K$9:$K$250,'Petroleum - Q&amp;V 2'!$L$9:$L$250,E29,'Petroleum - Q&amp;V 2'!$M$9:$M$250,3)+
SUMIFS('Petroleum - Q&amp;V 2'!$K$9:$K$250,'Petroleum - Q&amp;V 2'!$L$9:$L$250,E29,'Petroleum - Q&amp;V 2'!$M$9:$M$250,4)+
SUMIFS('Petroleum - Q&amp;V 2'!$K$9:$K$250,'Petroleum - Q&amp;V 2'!$L$9:$L$250,F29,'Petroleum - Q&amp;V 2'!$M$9:$M$250,1)+
SUMIFS('Petroleum - Q&amp;V 2'!$K$9:$K$250,'Petroleum - Q&amp;V 2'!$L$9:$L$250,F29,'Petroleum - Q&amp;V 2'!$M$9:$M$250,2))),"")/
IF(G29&lt;&gt;"",IF($G$45=$Z$4,SUMIF('Petroleum - Q&amp;V 2'!$L$9:$L$130,'Petroleum - Dom. Gas - Prices'!E29,'Petroleum - Q&amp;V 2'!$J$9:$J$130),
(SUMIFS('Petroleum - Q&amp;V 2'!$J$9:$J$250,'Petroleum - Q&amp;V 2'!$L$9:$L$250,E29,'Petroleum - Q&amp;V 2'!$M$9:$M$250,3)+
SUMIFS('Petroleum - Q&amp;V 2'!$J$9:$J$250,'Petroleum - Q&amp;V 2'!$L$9:$L$250,E29,'Petroleum - Q&amp;V 2'!$M$9:$M$250,4)+
SUMIFS('Petroleum - Q&amp;V 2'!$J$9:$J$250,'Petroleum - Q&amp;V 2'!$L$9:$L$250,F29,'Petroleum - Q&amp;V 2'!$M$9:$M$250,1)+
SUMIFS('Petroleum - Q&amp;V 2'!$J$9:$J$250,'Petroleum - Q&amp;V 2'!$L$9:$L$250,F29,'Petroleum - Q&amp;V 2'!$M$9:$M$250,2))),"")</f>
        <v>3.9656553201993727</v>
      </c>
      <c r="I29" s="154"/>
      <c r="J29" s="925"/>
      <c r="K29" s="925"/>
      <c r="L29" s="925"/>
      <c r="Z29" s="1226"/>
      <c r="AA29" s="1224"/>
      <c r="AB29" s="1138"/>
      <c r="AC29" s="1138"/>
      <c r="AD29" s="1227"/>
      <c r="AE29" s="1127"/>
    </row>
    <row r="30" spans="1:31">
      <c r="A30" s="1692">
        <f t="shared" si="0"/>
        <v>1</v>
      </c>
      <c r="B30" s="1694">
        <f t="shared" si="1"/>
        <v>43160</v>
      </c>
      <c r="C30" s="1209">
        <f>VLOOKUP('Petroleum - Dom. Gas - Prices'!B30,'Petroleum - Q&amp;V 2'!$B$9:$N$250,13,FALSE)</f>
        <v>4.1019880939561659</v>
      </c>
      <c r="D30" s="1123"/>
      <c r="E30" s="154">
        <f t="shared" si="2"/>
        <v>2011</v>
      </c>
      <c r="F30" s="292">
        <f t="shared" si="3"/>
        <v>2012</v>
      </c>
      <c r="G30" s="1321">
        <f t="shared" si="5"/>
        <v>2011</v>
      </c>
      <c r="H30" s="651">
        <f>IF(G30&lt;&gt;"",IF($G$45=$Z$4,SUMIF('Petroleum - Q&amp;V 2'!$L$9:$L$130,'Petroleum - Dom. Gas - Prices'!E30,'Petroleum - Q&amp;V 2'!$K$9:$K$130),
(SUMIFS('Petroleum - Q&amp;V 2'!$K$9:$K$250,'Petroleum - Q&amp;V 2'!$L$9:$L$250,E30,'Petroleum - Q&amp;V 2'!$M$9:$M$250,3)+
SUMIFS('Petroleum - Q&amp;V 2'!$K$9:$K$250,'Petroleum - Q&amp;V 2'!$L$9:$L$250,E30,'Petroleum - Q&amp;V 2'!$M$9:$M$250,4)+
SUMIFS('Petroleum - Q&amp;V 2'!$K$9:$K$250,'Petroleum - Q&amp;V 2'!$L$9:$L$250,F30,'Petroleum - Q&amp;V 2'!$M$9:$M$250,1)+
SUMIFS('Petroleum - Q&amp;V 2'!$K$9:$K$250,'Petroleum - Q&amp;V 2'!$L$9:$L$250,F30,'Petroleum - Q&amp;V 2'!$M$9:$M$250,2))),"")/
IF(G30&lt;&gt;"",IF($G$45=$Z$4,SUMIF('Petroleum - Q&amp;V 2'!$L$9:$L$130,'Petroleum - Dom. Gas - Prices'!E30,'Petroleum - Q&amp;V 2'!$J$9:$J$130),
(SUMIFS('Petroleum - Q&amp;V 2'!$J$9:$J$250,'Petroleum - Q&amp;V 2'!$L$9:$L$250,E30,'Petroleum - Q&amp;V 2'!$M$9:$M$250,3)+
SUMIFS('Petroleum - Q&amp;V 2'!$J$9:$J$250,'Petroleum - Q&amp;V 2'!$L$9:$L$250,E30,'Petroleum - Q&amp;V 2'!$M$9:$M$250,4)+
SUMIFS('Petroleum - Q&amp;V 2'!$J$9:$J$250,'Petroleum - Q&amp;V 2'!$L$9:$L$250,F30,'Petroleum - Q&amp;V 2'!$M$9:$M$250,1)+
SUMIFS('Petroleum - Q&amp;V 2'!$J$9:$J$250,'Petroleum - Q&amp;V 2'!$L$9:$L$250,F30,'Petroleum - Q&amp;V 2'!$M$9:$M$250,2))),"")</f>
        <v>4.2139898759703716</v>
      </c>
      <c r="I30" s="154"/>
      <c r="J30" s="925"/>
      <c r="K30" s="925"/>
      <c r="L30" s="925"/>
      <c r="Z30" s="1226"/>
      <c r="AA30" s="1224"/>
      <c r="AB30" s="1138"/>
      <c r="AC30" s="1138"/>
      <c r="AD30" s="1227"/>
      <c r="AE30" s="1127"/>
    </row>
    <row r="31" spans="1:31">
      <c r="A31" s="1692">
        <f t="shared" si="0"/>
        <v>2</v>
      </c>
      <c r="B31" s="1694">
        <f t="shared" si="1"/>
        <v>43252</v>
      </c>
      <c r="C31" s="489">
        <f>VLOOKUP('Petroleum - Dom. Gas - Prices'!B31,'Petroleum - Q&amp;V 2'!$B$9:$N$250,13,FALSE)</f>
        <v>4.1110339992410294</v>
      </c>
      <c r="D31" s="1123"/>
      <c r="E31" s="154">
        <f t="shared" si="2"/>
        <v>2012</v>
      </c>
      <c r="F31" s="292">
        <f t="shared" si="3"/>
        <v>2013</v>
      </c>
      <c r="G31" s="1321">
        <f t="shared" si="5"/>
        <v>2012</v>
      </c>
      <c r="H31" s="489">
        <f>IF(G31&lt;&gt;"",IF($G$45=$Z$4,SUMIF('Petroleum - Q&amp;V 2'!$L$9:$L$130,'Petroleum - Dom. Gas - Prices'!E31,'Petroleum - Q&amp;V 2'!$K$9:$K$130),
(SUMIFS('Petroleum - Q&amp;V 2'!$K$9:$K$250,'Petroleum - Q&amp;V 2'!$L$9:$L$250,E31,'Petroleum - Q&amp;V 2'!$M$9:$M$250,3)+
SUMIFS('Petroleum - Q&amp;V 2'!$K$9:$K$250,'Petroleum - Q&amp;V 2'!$L$9:$L$250,E31,'Petroleum - Q&amp;V 2'!$M$9:$M$250,4)+
SUMIFS('Petroleum - Q&amp;V 2'!$K$9:$K$250,'Petroleum - Q&amp;V 2'!$L$9:$L$250,F31,'Petroleum - Q&amp;V 2'!$M$9:$M$250,1)+
SUMIFS('Petroleum - Q&amp;V 2'!$K$9:$K$250,'Petroleum - Q&amp;V 2'!$L$9:$L$250,F31,'Petroleum - Q&amp;V 2'!$M$9:$M$250,2))),"")/
IF(G31&lt;&gt;"",IF($G$45=$Z$4,SUMIF('Petroleum - Q&amp;V 2'!$L$9:$L$130,'Petroleum - Dom. Gas - Prices'!E31,'Petroleum - Q&amp;V 2'!$J$9:$J$130),
(SUMIFS('Petroleum - Q&amp;V 2'!$J$9:$J$250,'Petroleum - Q&amp;V 2'!$L$9:$L$250,E31,'Petroleum - Q&amp;V 2'!$M$9:$M$250,3)+
SUMIFS('Petroleum - Q&amp;V 2'!$J$9:$J$250,'Petroleum - Q&amp;V 2'!$L$9:$L$250,E31,'Petroleum - Q&amp;V 2'!$M$9:$M$250,4)+
SUMIFS('Petroleum - Q&amp;V 2'!$J$9:$J$250,'Petroleum - Q&amp;V 2'!$L$9:$L$250,F31,'Petroleum - Q&amp;V 2'!$M$9:$M$250,1)+
SUMIFS('Petroleum - Q&amp;V 2'!$J$9:$J$250,'Petroleum - Q&amp;V 2'!$L$9:$L$250,F31,'Petroleum - Q&amp;V 2'!$M$9:$M$250,2))),"")</f>
        <v>4.2928576627648445</v>
      </c>
      <c r="I31" s="154"/>
      <c r="J31" s="925"/>
      <c r="K31" s="925"/>
      <c r="L31" s="925"/>
      <c r="Z31" s="1226"/>
      <c r="AA31" s="1224"/>
      <c r="AB31" s="1138"/>
      <c r="AC31" s="1138"/>
      <c r="AD31" s="1227"/>
      <c r="AE31" s="1127"/>
    </row>
    <row r="32" spans="1:31">
      <c r="A32" s="1692">
        <f t="shared" si="0"/>
        <v>3</v>
      </c>
      <c r="B32" s="1694">
        <f t="shared" si="1"/>
        <v>43344</v>
      </c>
      <c r="C32" s="1209">
        <f>VLOOKUP('Petroleum - Dom. Gas - Prices'!B32,'Petroleum - Q&amp;V 2'!$B$9:$N$250,13,FALSE)</f>
        <v>4.202881094872188</v>
      </c>
      <c r="D32" s="1123"/>
      <c r="E32" s="154">
        <f t="shared" si="2"/>
        <v>2013</v>
      </c>
      <c r="F32" s="292">
        <f t="shared" si="3"/>
        <v>2014</v>
      </c>
      <c r="G32" s="1321">
        <f t="shared" si="5"/>
        <v>2013</v>
      </c>
      <c r="H32" s="651">
        <f>IF(G32&lt;&gt;"",IF($G$45=$Z$4,SUMIF('Petroleum - Q&amp;V 2'!$L$9:$L$130,'Petroleum - Dom. Gas - Prices'!E32,'Petroleum - Q&amp;V 2'!$K$9:$K$130),
(SUMIFS('Petroleum - Q&amp;V 2'!$K$9:$K$250,'Petroleum - Q&amp;V 2'!$L$9:$L$250,E32,'Petroleum - Q&amp;V 2'!$M$9:$M$250,3)+
SUMIFS('Petroleum - Q&amp;V 2'!$K$9:$K$250,'Petroleum - Q&amp;V 2'!$L$9:$L$250,E32,'Petroleum - Q&amp;V 2'!$M$9:$M$250,4)+
SUMIFS('Petroleum - Q&amp;V 2'!$K$9:$K$250,'Petroleum - Q&amp;V 2'!$L$9:$L$250,F32,'Petroleum - Q&amp;V 2'!$M$9:$M$250,1)+
SUMIFS('Petroleum - Q&amp;V 2'!$K$9:$K$250,'Petroleum - Q&amp;V 2'!$L$9:$L$250,F32,'Petroleum - Q&amp;V 2'!$M$9:$M$250,2))),"")/
IF(G32&lt;&gt;"",IF($G$45=$Z$4,SUMIF('Petroleum - Q&amp;V 2'!$L$9:$L$130,'Petroleum - Dom. Gas - Prices'!E32,'Petroleum - Q&amp;V 2'!$J$9:$J$130),
(SUMIFS('Petroleum - Q&amp;V 2'!$J$9:$J$250,'Petroleum - Q&amp;V 2'!$L$9:$L$250,E32,'Petroleum - Q&amp;V 2'!$M$9:$M$250,3)+
SUMIFS('Petroleum - Q&amp;V 2'!$J$9:$J$250,'Petroleum - Q&amp;V 2'!$L$9:$L$250,E32,'Petroleum - Q&amp;V 2'!$M$9:$M$250,4)+
SUMIFS('Petroleum - Q&amp;V 2'!$J$9:$J$250,'Petroleum - Q&amp;V 2'!$L$9:$L$250,F32,'Petroleum - Q&amp;V 2'!$M$9:$M$250,1)+
SUMIFS('Petroleum - Q&amp;V 2'!$J$9:$J$250,'Petroleum - Q&amp;V 2'!$L$9:$L$250,F32,'Petroleum - Q&amp;V 2'!$M$9:$M$250,2))),"")</f>
        <v>4.4111820179191188</v>
      </c>
      <c r="I32" s="154"/>
      <c r="J32" s="925"/>
      <c r="K32" s="925"/>
      <c r="L32" s="925"/>
      <c r="Z32" s="1226"/>
      <c r="AA32" s="1224"/>
      <c r="AB32" s="1138"/>
      <c r="AC32" s="1138"/>
      <c r="AD32" s="1227"/>
      <c r="AE32" s="1127"/>
    </row>
    <row r="33" spans="1:31">
      <c r="A33" s="1692">
        <f t="shared" si="0"/>
        <v>4</v>
      </c>
      <c r="B33" s="1694">
        <f t="shared" si="1"/>
        <v>43435</v>
      </c>
      <c r="C33" s="489">
        <f>VLOOKUP('Petroleum - Dom. Gas - Prices'!B33,'Petroleum - Q&amp;V 2'!$B$9:$N$250,13,FALSE)</f>
        <v>3.484938028399605</v>
      </c>
      <c r="D33" s="1123"/>
      <c r="E33" s="154">
        <f t="shared" si="2"/>
        <v>2014</v>
      </c>
      <c r="F33" s="292">
        <f t="shared" si="3"/>
        <v>2015</v>
      </c>
      <c r="G33" s="1321">
        <f t="shared" si="5"/>
        <v>2014</v>
      </c>
      <c r="H33" s="489">
        <f>IF(G33&lt;&gt;"",IF($G$45=$Z$4,SUMIF('Petroleum - Q&amp;V 2'!$L$9:$L$130,'Petroleum - Dom. Gas - Prices'!E33,'Petroleum - Q&amp;V 2'!$K$9:$K$130),
(SUMIFS('Petroleum - Q&amp;V 2'!$K$9:$K$250,'Petroleum - Q&amp;V 2'!$L$9:$L$250,E33,'Petroleum - Q&amp;V 2'!$M$9:$M$250,3)+
SUMIFS('Petroleum - Q&amp;V 2'!$K$9:$K$250,'Petroleum - Q&amp;V 2'!$L$9:$L$250,E33,'Petroleum - Q&amp;V 2'!$M$9:$M$250,4)+
SUMIFS('Petroleum - Q&amp;V 2'!$K$9:$K$250,'Petroleum - Q&amp;V 2'!$L$9:$L$250,F33,'Petroleum - Q&amp;V 2'!$M$9:$M$250,1)+
SUMIFS('Petroleum - Q&amp;V 2'!$K$9:$K$250,'Petroleum - Q&amp;V 2'!$L$9:$L$250,F33,'Petroleum - Q&amp;V 2'!$M$9:$M$250,2))),"")/
IF(G33&lt;&gt;"",IF($G$45=$Z$4,SUMIF('Petroleum - Q&amp;V 2'!$L$9:$L$130,'Petroleum - Dom. Gas - Prices'!E33,'Petroleum - Q&amp;V 2'!$J$9:$J$130),
(SUMIFS('Petroleum - Q&amp;V 2'!$J$9:$J$250,'Petroleum - Q&amp;V 2'!$L$9:$L$250,E33,'Petroleum - Q&amp;V 2'!$M$9:$M$250,3)+
SUMIFS('Petroleum - Q&amp;V 2'!$J$9:$J$250,'Petroleum - Q&amp;V 2'!$L$9:$L$250,E33,'Petroleum - Q&amp;V 2'!$M$9:$M$250,4)+
SUMIFS('Petroleum - Q&amp;V 2'!$J$9:$J$250,'Petroleum - Q&amp;V 2'!$L$9:$L$250,F33,'Petroleum - Q&amp;V 2'!$M$9:$M$250,1)+
SUMIFS('Petroleum - Q&amp;V 2'!$J$9:$J$250,'Petroleum - Q&amp;V 2'!$L$9:$L$250,F33,'Petroleum - Q&amp;V 2'!$M$9:$M$250,2))),"")</f>
        <v>4.8794980107689527</v>
      </c>
      <c r="I33" s="154"/>
      <c r="J33" s="925"/>
      <c r="K33" s="925"/>
      <c r="L33" s="925"/>
      <c r="Z33" s="1226"/>
      <c r="AA33" s="1224"/>
      <c r="AB33" s="1138"/>
      <c r="AC33" s="1138"/>
      <c r="AD33" s="1227"/>
      <c r="AE33" s="1127"/>
    </row>
    <row r="34" spans="1:31">
      <c r="A34" s="1692">
        <f t="shared" si="0"/>
        <v>1</v>
      </c>
      <c r="B34" s="1694">
        <f t="shared" si="1"/>
        <v>43525</v>
      </c>
      <c r="C34" s="1209">
        <f>VLOOKUP('Petroleum - Dom. Gas - Prices'!B34,'Petroleum - Q&amp;V 2'!$B$9:$N$250,13,FALSE)</f>
        <v>3.4614741875607757</v>
      </c>
      <c r="D34" s="1123"/>
      <c r="E34" s="154">
        <f t="shared" si="2"/>
        <v>2015</v>
      </c>
      <c r="F34" s="292">
        <f t="shared" si="3"/>
        <v>2016</v>
      </c>
      <c r="G34" s="1321">
        <f t="shared" si="5"/>
        <v>2015</v>
      </c>
      <c r="H34" s="651">
        <f>IF(G34&lt;&gt;"",IF($G$45=$Z$4,SUMIF('Petroleum - Q&amp;V 2'!$L$9:$L$130,'Petroleum - Dom. Gas - Prices'!E34,'Petroleum - Q&amp;V 2'!$K$9:$K$130),
(SUMIFS('Petroleum - Q&amp;V 2'!$K$9:$K$250,'Petroleum - Q&amp;V 2'!$L$9:$L$250,E34,'Petroleum - Q&amp;V 2'!$M$9:$M$250,3)+
SUMIFS('Petroleum - Q&amp;V 2'!$K$9:$K$250,'Petroleum - Q&amp;V 2'!$L$9:$L$250,E34,'Petroleum - Q&amp;V 2'!$M$9:$M$250,4)+
SUMIFS('Petroleum - Q&amp;V 2'!$K$9:$K$250,'Petroleum - Q&amp;V 2'!$L$9:$L$250,F34,'Petroleum - Q&amp;V 2'!$M$9:$M$250,1)+
SUMIFS('Petroleum - Q&amp;V 2'!$K$9:$K$250,'Petroleum - Q&amp;V 2'!$L$9:$L$250,F34,'Petroleum - Q&amp;V 2'!$M$9:$M$250,2))),"")/
IF(G34&lt;&gt;"",IF($G$45=$Z$4,SUMIF('Petroleum - Q&amp;V 2'!$L$9:$L$130,'Petroleum - Dom. Gas - Prices'!E34,'Petroleum - Q&amp;V 2'!$J$9:$J$130),
(SUMIFS('Petroleum - Q&amp;V 2'!$J$9:$J$250,'Petroleum - Q&amp;V 2'!$L$9:$L$250,E34,'Petroleum - Q&amp;V 2'!$M$9:$M$250,3)+
SUMIFS('Petroleum - Q&amp;V 2'!$J$9:$J$250,'Petroleum - Q&amp;V 2'!$L$9:$L$250,E34,'Petroleum - Q&amp;V 2'!$M$9:$M$250,4)+
SUMIFS('Petroleum - Q&amp;V 2'!$J$9:$J$250,'Petroleum - Q&amp;V 2'!$L$9:$L$250,F34,'Petroleum - Q&amp;V 2'!$M$9:$M$250,1)+
SUMIFS('Petroleum - Q&amp;V 2'!$J$9:$J$250,'Petroleum - Q&amp;V 2'!$L$9:$L$250,F34,'Petroleum - Q&amp;V 2'!$M$9:$M$250,2))),"")</f>
        <v>4.8876529546940883</v>
      </c>
      <c r="I34" s="154"/>
      <c r="J34" s="925"/>
      <c r="K34" s="925"/>
      <c r="L34" s="925"/>
      <c r="Z34" s="1226"/>
      <c r="AA34" s="1224"/>
      <c r="AB34" s="1138"/>
      <c r="AC34" s="1138"/>
      <c r="AD34" s="1227"/>
      <c r="AE34" s="1127"/>
    </row>
    <row r="35" spans="1:31">
      <c r="A35" s="1692">
        <f t="shared" si="0"/>
        <v>2</v>
      </c>
      <c r="B35" s="1694">
        <f t="shared" si="1"/>
        <v>43617</v>
      </c>
      <c r="C35" s="489">
        <f>VLOOKUP('Petroleum - Dom. Gas - Prices'!B35,'Petroleum - Q&amp;V 2'!$B$9:$N$250,13,FALSE)</f>
        <v>3.3878284935284961</v>
      </c>
      <c r="D35" s="1123"/>
      <c r="E35" s="154">
        <f t="shared" si="2"/>
        <v>2016</v>
      </c>
      <c r="F35" s="292">
        <f t="shared" si="3"/>
        <v>2017</v>
      </c>
      <c r="G35" s="1321">
        <f t="shared" si="5"/>
        <v>2016</v>
      </c>
      <c r="H35" s="489">
        <f>IF(G35&lt;&gt;"",IF($G$45=$Z$4,SUMIF('Petroleum - Q&amp;V 2'!$L$9:$L$130,'Petroleum - Dom. Gas - Prices'!E35,'Petroleum - Q&amp;V 2'!$K$9:$K$130),
(SUMIFS('Petroleum - Q&amp;V 2'!$K$9:$K$250,'Petroleum - Q&amp;V 2'!$L$9:$L$250,E35,'Petroleum - Q&amp;V 2'!$M$9:$M$250,3)+
SUMIFS('Petroleum - Q&amp;V 2'!$K$9:$K$250,'Petroleum - Q&amp;V 2'!$L$9:$L$250,E35,'Petroleum - Q&amp;V 2'!$M$9:$M$250,4)+
SUMIFS('Petroleum - Q&amp;V 2'!$K$9:$K$250,'Petroleum - Q&amp;V 2'!$L$9:$L$250,F35,'Petroleum - Q&amp;V 2'!$M$9:$M$250,1)+
SUMIFS('Petroleum - Q&amp;V 2'!$K$9:$K$250,'Petroleum - Q&amp;V 2'!$L$9:$L$250,F35,'Petroleum - Q&amp;V 2'!$M$9:$M$250,2))),"")/
IF(G35&lt;&gt;"",IF($G$45=$Z$4,SUMIF('Petroleum - Q&amp;V 2'!$L$9:$L$130,'Petroleum - Dom. Gas - Prices'!E35,'Petroleum - Q&amp;V 2'!$J$9:$J$130),
(SUMIFS('Petroleum - Q&amp;V 2'!$J$9:$J$250,'Petroleum - Q&amp;V 2'!$L$9:$L$250,E35,'Petroleum - Q&amp;V 2'!$M$9:$M$250,3)+
SUMIFS('Petroleum - Q&amp;V 2'!$J$9:$J$250,'Petroleum - Q&amp;V 2'!$L$9:$L$250,E35,'Petroleum - Q&amp;V 2'!$M$9:$M$250,4)+
SUMIFS('Petroleum - Q&amp;V 2'!$J$9:$J$250,'Petroleum - Q&amp;V 2'!$L$9:$L$250,F35,'Petroleum - Q&amp;V 2'!$M$9:$M$250,1)+
SUMIFS('Petroleum - Q&amp;V 2'!$J$9:$J$250,'Petroleum - Q&amp;V 2'!$L$9:$L$250,F35,'Petroleum - Q&amp;V 2'!$M$9:$M$250,2))),"")</f>
        <v>4.9791240182979104</v>
      </c>
      <c r="I35" s="154"/>
      <c r="J35" s="925"/>
      <c r="K35" s="925"/>
      <c r="L35" s="925"/>
      <c r="Z35" s="1226"/>
      <c r="AA35" s="1224"/>
      <c r="AB35" s="1138"/>
      <c r="AC35" s="1138"/>
      <c r="AD35" s="1227"/>
      <c r="AE35" s="1127"/>
    </row>
    <row r="36" spans="1:31">
      <c r="A36" s="1692">
        <f t="shared" si="0"/>
        <v>3</v>
      </c>
      <c r="B36" s="1694">
        <f t="shared" si="1"/>
        <v>43709</v>
      </c>
      <c r="C36" s="1209">
        <f>VLOOKUP('Petroleum - Dom. Gas - Prices'!B36,'Petroleum - Q&amp;V 2'!$B$9:$N$250,13,FALSE)</f>
        <v>3.6244242673681462</v>
      </c>
      <c r="D36" s="1123"/>
      <c r="E36" s="154">
        <f t="shared" si="2"/>
        <v>2017</v>
      </c>
      <c r="F36" s="292">
        <f t="shared" si="3"/>
        <v>2018</v>
      </c>
      <c r="G36" s="1321">
        <f t="shared" si="5"/>
        <v>2017</v>
      </c>
      <c r="H36" s="651">
        <f>IF(G36&lt;&gt;"",IF($G$45=$Z$4,SUMIF('Petroleum - Q&amp;V 2'!$L$9:$L$130,'Petroleum - Dom. Gas - Prices'!E36,'Petroleum - Q&amp;V 2'!$K$9:$K$130),
(SUMIFS('Petroleum - Q&amp;V 2'!$K$9:$K$250,'Petroleum - Q&amp;V 2'!$L$9:$L$250,E36,'Petroleum - Q&amp;V 2'!$M$9:$M$250,3)+
SUMIFS('Petroleum - Q&amp;V 2'!$K$9:$K$250,'Petroleum - Q&amp;V 2'!$L$9:$L$250,E36,'Petroleum - Q&amp;V 2'!$M$9:$M$250,4)+
SUMIFS('Petroleum - Q&amp;V 2'!$K$9:$K$250,'Petroleum - Q&amp;V 2'!$L$9:$L$250,F36,'Petroleum - Q&amp;V 2'!$M$9:$M$250,1)+
SUMIFS('Petroleum - Q&amp;V 2'!$K$9:$K$250,'Petroleum - Q&amp;V 2'!$L$9:$L$250,F36,'Petroleum - Q&amp;V 2'!$M$9:$M$250,2))),"")/
IF(G36&lt;&gt;"",IF($G$45=$Z$4,SUMIF('Petroleum - Q&amp;V 2'!$L$9:$L$130,'Petroleum - Dom. Gas - Prices'!E36,'Petroleum - Q&amp;V 2'!$J$9:$J$130),
(SUMIFS('Petroleum - Q&amp;V 2'!$J$9:$J$250,'Petroleum - Q&amp;V 2'!$L$9:$L$250,E36,'Petroleum - Q&amp;V 2'!$M$9:$M$250,3)+
SUMIFS('Petroleum - Q&amp;V 2'!$J$9:$J$250,'Petroleum - Q&amp;V 2'!$L$9:$L$250,E36,'Petroleum - Q&amp;V 2'!$M$9:$M$250,4)+
SUMIFS('Petroleum - Q&amp;V 2'!$J$9:$J$250,'Petroleum - Q&amp;V 2'!$L$9:$L$250,F36,'Petroleum - Q&amp;V 2'!$M$9:$M$250,1)+
SUMIFS('Petroleum - Q&amp;V 2'!$J$9:$J$250,'Petroleum - Q&amp;V 2'!$L$9:$L$250,F36,'Petroleum - Q&amp;V 2'!$M$9:$M$250,2))),"")</f>
        <v>4.6554259451039872</v>
      </c>
      <c r="I36" s="154"/>
      <c r="J36" s="925"/>
      <c r="K36" s="925"/>
      <c r="L36" s="925"/>
      <c r="Z36" s="1226"/>
      <c r="AA36" s="1224"/>
      <c r="AB36" s="1138"/>
      <c r="AC36" s="1138"/>
      <c r="AD36" s="1227"/>
      <c r="AE36" s="1127"/>
    </row>
    <row r="37" spans="1:31">
      <c r="A37" s="1692">
        <f t="shared" si="0"/>
        <v>4</v>
      </c>
      <c r="B37" s="1694">
        <f t="shared" si="1"/>
        <v>43800</v>
      </c>
      <c r="C37" s="489">
        <f>VLOOKUP('Petroleum - Dom. Gas - Prices'!B37,'Petroleum - Q&amp;V 2'!$B$9:$N$250,13,FALSE)</f>
        <v>3.5179169411148616</v>
      </c>
      <c r="D37" s="1123"/>
      <c r="E37" s="154">
        <f t="shared" si="2"/>
        <v>2018</v>
      </c>
      <c r="F37" s="292">
        <f t="shared" si="3"/>
        <v>2019</v>
      </c>
      <c r="G37" s="1321">
        <f t="shared" si="5"/>
        <v>2018</v>
      </c>
      <c r="H37" s="489">
        <f>IF(G37&lt;&gt;"",IF($G$45=$Z$4,SUMIF('Petroleum - Q&amp;V 2'!$L$9:$L$130,'Petroleum - Dom. Gas - Prices'!E37,'Petroleum - Q&amp;V 2'!$K$9:$K$130),
(SUMIFS('Petroleum - Q&amp;V 2'!$K$9:$K$250,'Petroleum - Q&amp;V 2'!$L$9:$L$250,E37,'Petroleum - Q&amp;V 2'!$M$9:$M$250,3)+
SUMIFS('Petroleum - Q&amp;V 2'!$K$9:$K$250,'Petroleum - Q&amp;V 2'!$L$9:$L$250,E37,'Petroleum - Q&amp;V 2'!$M$9:$M$250,4)+
SUMIFS('Petroleum - Q&amp;V 2'!$K$9:$K$250,'Petroleum - Q&amp;V 2'!$L$9:$L$250,F37,'Petroleum - Q&amp;V 2'!$M$9:$M$250,1)+
SUMIFS('Petroleum - Q&amp;V 2'!$K$9:$K$250,'Petroleum - Q&amp;V 2'!$L$9:$L$250,F37,'Petroleum - Q&amp;V 2'!$M$9:$M$250,2))),"")/
IF(G37&lt;&gt;"",IF($G$45=$Z$4,SUMIF('Petroleum - Q&amp;V 2'!$L$9:$L$130,'Petroleum - Dom. Gas - Prices'!E37,'Petroleum - Q&amp;V 2'!$J$9:$J$130),
(SUMIFS('Petroleum - Q&amp;V 2'!$J$9:$J$250,'Petroleum - Q&amp;V 2'!$L$9:$L$250,E37,'Petroleum - Q&amp;V 2'!$M$9:$M$250,3)+
SUMIFS('Petroleum - Q&amp;V 2'!$J$9:$J$250,'Petroleum - Q&amp;V 2'!$L$9:$L$250,E37,'Petroleum - Q&amp;V 2'!$M$9:$M$250,4)+
SUMIFS('Petroleum - Q&amp;V 2'!$J$9:$J$250,'Petroleum - Q&amp;V 2'!$L$9:$L$250,F37,'Petroleum - Q&amp;V 2'!$M$9:$M$250,1)+
SUMIFS('Petroleum - Q&amp;V 2'!$J$9:$J$250,'Petroleum - Q&amp;V 2'!$L$9:$L$250,F37,'Petroleum - Q&amp;V 2'!$M$9:$M$250,2))),"")</f>
        <v>3.969901898372231</v>
      </c>
      <c r="I37" s="154"/>
      <c r="J37" s="925"/>
      <c r="K37" s="925"/>
      <c r="L37" s="925"/>
      <c r="Z37" s="1226"/>
      <c r="AA37" s="1224"/>
      <c r="AB37" s="1138"/>
      <c r="AC37" s="1138"/>
      <c r="AD37" s="1227"/>
      <c r="AE37" s="1127"/>
    </row>
    <row r="38" spans="1:31">
      <c r="A38" s="1692">
        <f t="shared" si="0"/>
        <v>1</v>
      </c>
      <c r="B38" s="1694">
        <f t="shared" si="1"/>
        <v>43891</v>
      </c>
      <c r="C38" s="1209">
        <f>VLOOKUP('Petroleum - Dom. Gas - Prices'!B38,'Petroleum - Q&amp;V 2'!$B$9:$N$250,13,FALSE)</f>
        <v>3.6234776881109747</v>
      </c>
      <c r="D38" s="1123"/>
      <c r="E38" s="154">
        <f t="shared" si="2"/>
        <v>2019</v>
      </c>
      <c r="F38" s="292">
        <f t="shared" si="3"/>
        <v>2020</v>
      </c>
      <c r="G38" s="1321">
        <f t="shared" si="5"/>
        <v>2019</v>
      </c>
      <c r="H38" s="651">
        <f>IF(G38&lt;&gt;"",IF($G$45=$Z$4,SUMIF('Petroleum - Q&amp;V 2'!$L$9:$L$130,'Petroleum - Dom. Gas - Prices'!E38,'Petroleum - Q&amp;V 2'!$K$9:$K$130),
(SUMIFS('Petroleum - Q&amp;V 2'!$K$9:$K$250,'Petroleum - Q&amp;V 2'!$L$9:$L$250,E38,'Petroleum - Q&amp;V 2'!$M$9:$M$250,3)+
SUMIFS('Petroleum - Q&amp;V 2'!$K$9:$K$250,'Petroleum - Q&amp;V 2'!$L$9:$L$250,E38,'Petroleum - Q&amp;V 2'!$M$9:$M$250,4)+
SUMIFS('Petroleum - Q&amp;V 2'!$K$9:$K$250,'Petroleum - Q&amp;V 2'!$L$9:$L$250,F38,'Petroleum - Q&amp;V 2'!$M$9:$M$250,1)+
SUMIFS('Petroleum - Q&amp;V 2'!$K$9:$K$250,'Petroleum - Q&amp;V 2'!$L$9:$L$250,F38,'Petroleum - Q&amp;V 2'!$M$9:$M$250,2))),"")/
IF(G38&lt;&gt;"",IF($G$45=$Z$4,SUMIF('Petroleum - Q&amp;V 2'!$L$9:$L$130,'Petroleum - Dom. Gas - Prices'!E38,'Petroleum - Q&amp;V 2'!$J$9:$J$130),
(SUMIFS('Petroleum - Q&amp;V 2'!$J$9:$J$250,'Petroleum - Q&amp;V 2'!$L$9:$L$250,E38,'Petroleum - Q&amp;V 2'!$M$9:$M$250,3)+
SUMIFS('Petroleum - Q&amp;V 2'!$J$9:$J$250,'Petroleum - Q&amp;V 2'!$L$9:$L$250,E38,'Petroleum - Q&amp;V 2'!$M$9:$M$250,4)+
SUMIFS('Petroleum - Q&amp;V 2'!$J$9:$J$250,'Petroleum - Q&amp;V 2'!$L$9:$L$250,F38,'Petroleum - Q&amp;V 2'!$M$9:$M$250,1)+
SUMIFS('Petroleum - Q&amp;V 2'!$J$9:$J$250,'Petroleum - Q&amp;V 2'!$L$9:$L$250,F38,'Petroleum - Q&amp;V 2'!$M$9:$M$250,2))),"")</f>
        <v>3.4993429977490873</v>
      </c>
      <c r="I38" s="154"/>
      <c r="J38" s="925"/>
      <c r="K38" s="925"/>
      <c r="L38" s="925"/>
      <c r="Z38" s="1226"/>
      <c r="AA38" s="1224"/>
      <c r="AB38" s="1138"/>
      <c r="AC38" s="1138"/>
      <c r="AD38" s="1227"/>
      <c r="AE38" s="1127"/>
    </row>
    <row r="39" spans="1:31">
      <c r="A39" s="1692">
        <f t="shared" si="0"/>
        <v>2</v>
      </c>
      <c r="B39" s="1694">
        <f t="shared" si="1"/>
        <v>43983</v>
      </c>
      <c r="C39" s="489">
        <f>VLOOKUP('Petroleum - Dom. Gas - Prices'!B39,'Petroleum - Q&amp;V 2'!$B$9:$N$250,13,FALSE)</f>
        <v>3.5588079664023371</v>
      </c>
      <c r="D39" s="1123"/>
      <c r="E39" s="154">
        <f t="shared" si="2"/>
        <v>2020</v>
      </c>
      <c r="F39" s="292">
        <f t="shared" si="3"/>
        <v>2021</v>
      </c>
      <c r="G39" s="1321">
        <f t="shared" si="5"/>
        <v>2020</v>
      </c>
      <c r="H39" s="489">
        <f>IF(G39&lt;&gt;"",IF($G$45=$Z$4,SUMIF('Petroleum - Q&amp;V 2'!$L$9:$L$130,'Petroleum - Dom. Gas - Prices'!E39,'Petroleum - Q&amp;V 2'!$K$9:$K$130),
(SUMIFS('Petroleum - Q&amp;V 2'!$K$9:$K$250,'Petroleum - Q&amp;V 2'!$L$9:$L$250,E39,'Petroleum - Q&amp;V 2'!$M$9:$M$250,3)+
SUMIFS('Petroleum - Q&amp;V 2'!$K$9:$K$250,'Petroleum - Q&amp;V 2'!$L$9:$L$250,E39,'Petroleum - Q&amp;V 2'!$M$9:$M$250,4)+
SUMIFS('Petroleum - Q&amp;V 2'!$K$9:$K$250,'Petroleum - Q&amp;V 2'!$L$9:$L$250,F39,'Petroleum - Q&amp;V 2'!$M$9:$M$250,1)+
SUMIFS('Petroleum - Q&amp;V 2'!$K$9:$K$250,'Petroleum - Q&amp;V 2'!$L$9:$L$250,F39,'Petroleum - Q&amp;V 2'!$M$9:$M$250,2))),"")/
IF(G39&lt;&gt;"",IF($G$45=$Z$4,SUMIF('Petroleum - Q&amp;V 2'!$L$9:$L$130,'Petroleum - Dom. Gas - Prices'!E39,'Petroleum - Q&amp;V 2'!$J$9:$J$130),
(SUMIFS('Petroleum - Q&amp;V 2'!$J$9:$J$250,'Petroleum - Q&amp;V 2'!$L$9:$L$250,E39,'Petroleum - Q&amp;V 2'!$M$9:$M$250,3)+
SUMIFS('Petroleum - Q&amp;V 2'!$J$9:$J$250,'Petroleum - Q&amp;V 2'!$L$9:$L$250,E39,'Petroleum - Q&amp;V 2'!$M$9:$M$250,4)+
SUMIFS('Petroleum - Q&amp;V 2'!$J$9:$J$250,'Petroleum - Q&amp;V 2'!$L$9:$L$250,F39,'Petroleum - Q&amp;V 2'!$M$9:$M$250,1)+
SUMIFS('Petroleum - Q&amp;V 2'!$J$9:$J$250,'Petroleum - Q&amp;V 2'!$L$9:$L$250,F39,'Petroleum - Q&amp;V 2'!$M$9:$M$250,2))),"")</f>
        <v>3.5942861050548029</v>
      </c>
      <c r="I39" s="154"/>
      <c r="J39" s="925"/>
      <c r="K39" s="925"/>
      <c r="L39" s="925"/>
      <c r="Z39" s="1226"/>
      <c r="AA39" s="1224"/>
      <c r="AB39" s="1138"/>
      <c r="AC39" s="1138"/>
      <c r="AD39" s="1227"/>
      <c r="AE39" s="1127"/>
    </row>
    <row r="40" spans="1:31">
      <c r="A40" s="1692">
        <f t="shared" si="0"/>
        <v>3</v>
      </c>
      <c r="B40" s="1694">
        <f t="shared" si="1"/>
        <v>44075</v>
      </c>
      <c r="C40" s="1209">
        <f>VLOOKUP('Petroleum - Dom. Gas - Prices'!B40,'Petroleum - Q&amp;V 2'!$B$9:$N$250,13,FALSE)</f>
        <v>2.8655108097006736</v>
      </c>
      <c r="D40" s="1123"/>
      <c r="E40" s="154">
        <f t="shared" si="2"/>
        <v>2021</v>
      </c>
      <c r="F40" s="292">
        <f t="shared" si="3"/>
        <v>2022</v>
      </c>
      <c r="G40" s="1321">
        <f t="shared" si="5"/>
        <v>2021</v>
      </c>
      <c r="H40" s="651">
        <f>IF(G40&lt;&gt;"",IF($G$45=$Z$4,SUMIF('Petroleum - Q&amp;V 2'!$L$9:$L$130,'Petroleum - Dom. Gas - Prices'!E40,'Petroleum - Q&amp;V 2'!$K$9:$K$130),
(SUMIFS('Petroleum - Q&amp;V 2'!$K$9:$K$250,'Petroleum - Q&amp;V 2'!$L$9:$L$250,E40,'Petroleum - Q&amp;V 2'!$M$9:$M$250,3)+
SUMIFS('Petroleum - Q&amp;V 2'!$K$9:$K$250,'Petroleum - Q&amp;V 2'!$L$9:$L$250,E40,'Petroleum - Q&amp;V 2'!$M$9:$M$250,4)+
SUMIFS('Petroleum - Q&amp;V 2'!$K$9:$K$250,'Petroleum - Q&amp;V 2'!$L$9:$L$250,F40,'Petroleum - Q&amp;V 2'!$M$9:$M$250,1)+
SUMIFS('Petroleum - Q&amp;V 2'!$K$9:$K$250,'Petroleum - Q&amp;V 2'!$L$9:$L$250,F40,'Petroleum - Q&amp;V 2'!$M$9:$M$250,2))),"")/
IF(G40&lt;&gt;"",IF($G$45=$Z$4,SUMIF('Petroleum - Q&amp;V 2'!$L$9:$L$130,'Petroleum - Dom. Gas - Prices'!E40,'Petroleum - Q&amp;V 2'!$J$9:$J$130),
(SUMIFS('Petroleum - Q&amp;V 2'!$J$9:$J$250,'Petroleum - Q&amp;V 2'!$L$9:$L$250,E40,'Petroleum - Q&amp;V 2'!$M$9:$M$250,3)+
SUMIFS('Petroleum - Q&amp;V 2'!$J$9:$J$250,'Petroleum - Q&amp;V 2'!$L$9:$L$250,E40,'Petroleum - Q&amp;V 2'!$M$9:$M$250,4)+
SUMIFS('Petroleum - Q&amp;V 2'!$J$9:$J$250,'Petroleum - Q&amp;V 2'!$L$9:$L$250,F40,'Petroleum - Q&amp;V 2'!$M$9:$M$250,1)+
SUMIFS('Petroleum - Q&amp;V 2'!$J$9:$J$250,'Petroleum - Q&amp;V 2'!$L$9:$L$250,F40,'Petroleum - Q&amp;V 2'!$M$9:$M$250,2))),"")</f>
        <v>5.1291493372916337</v>
      </c>
      <c r="I40" s="154"/>
      <c r="J40" s="925"/>
      <c r="K40" s="925"/>
      <c r="L40" s="925"/>
      <c r="Z40" s="1226"/>
      <c r="AA40" s="1224"/>
      <c r="AB40" s="1138"/>
      <c r="AC40" s="1138"/>
      <c r="AD40" s="1227"/>
      <c r="AE40" s="1127"/>
    </row>
    <row r="41" spans="1:31">
      <c r="A41" s="1692">
        <f t="shared" si="0"/>
        <v>4</v>
      </c>
      <c r="B41" s="1694">
        <f t="shared" si="1"/>
        <v>44166</v>
      </c>
      <c r="C41" s="489">
        <f>VLOOKUP('Petroleum - Dom. Gas - Prices'!B41,'Petroleum - Q&amp;V 2'!$B$9:$N$250,13,FALSE)</f>
        <v>4.3576531747173632</v>
      </c>
      <c r="D41" s="1123"/>
      <c r="E41" s="154">
        <f t="shared" si="2"/>
        <v>2022</v>
      </c>
      <c r="F41" s="292">
        <f t="shared" si="3"/>
        <v>2023</v>
      </c>
      <c r="G41" s="1321">
        <f t="shared" si="5"/>
        <v>2022</v>
      </c>
      <c r="H41" s="489">
        <f>IF(G41&lt;&gt;"",IF($G$45=$Z$4,SUMIF('Petroleum - Q&amp;V 2'!$L$9:$L$130,'Petroleum - Dom. Gas - Prices'!E41,'Petroleum - Q&amp;V 2'!$K$9:$K$130),
(SUMIFS('Petroleum - Q&amp;V 2'!$K$9:$K$250,'Petroleum - Q&amp;V 2'!$L$9:$L$250,E41,'Petroleum - Q&amp;V 2'!$M$9:$M$250,3)+
SUMIFS('Petroleum - Q&amp;V 2'!$K$9:$K$250,'Petroleum - Q&amp;V 2'!$L$9:$L$250,E41,'Petroleum - Q&amp;V 2'!$M$9:$M$250,4)+
SUMIFS('Petroleum - Q&amp;V 2'!$K$9:$K$250,'Petroleum - Q&amp;V 2'!$L$9:$L$250,F41,'Petroleum - Q&amp;V 2'!$M$9:$M$250,1)+
SUMIFS('Petroleum - Q&amp;V 2'!$K$9:$K$250,'Petroleum - Q&amp;V 2'!$L$9:$L$250,F41,'Petroleum - Q&amp;V 2'!$M$9:$M$250,2))),"")/
IF(G41&lt;&gt;"",IF($G$45=$Z$4,SUMIF('Petroleum - Q&amp;V 2'!$L$9:$L$130,'Petroleum - Dom. Gas - Prices'!E41,'Petroleum - Q&amp;V 2'!$J$9:$J$130),
(SUMIFS('Petroleum - Q&amp;V 2'!$J$9:$J$250,'Petroleum - Q&amp;V 2'!$L$9:$L$250,E41,'Petroleum - Q&amp;V 2'!$M$9:$M$250,3)+
SUMIFS('Petroleum - Q&amp;V 2'!$J$9:$J$250,'Petroleum - Q&amp;V 2'!$L$9:$L$250,E41,'Petroleum - Q&amp;V 2'!$M$9:$M$250,4)+
SUMIFS('Petroleum - Q&amp;V 2'!$J$9:$J$250,'Petroleum - Q&amp;V 2'!$L$9:$L$250,F41,'Petroleum - Q&amp;V 2'!$M$9:$M$250,1)+
SUMIFS('Petroleum - Q&amp;V 2'!$J$9:$J$250,'Petroleum - Q&amp;V 2'!$L$9:$L$250,F41,'Petroleum - Q&amp;V 2'!$M$9:$M$250,2))),"")</f>
        <v>5.4638857223891613</v>
      </c>
      <c r="I41" s="1293"/>
      <c r="J41" s="446"/>
      <c r="K41" s="1122"/>
      <c r="L41" s="446"/>
      <c r="Z41" s="1226"/>
      <c r="AA41" s="1224"/>
      <c r="AB41" s="1138"/>
      <c r="AC41" s="1138"/>
      <c r="AD41" s="1227"/>
      <c r="AE41" s="1127"/>
    </row>
    <row r="42" spans="1:31" ht="15.75" thickBot="1">
      <c r="A42" s="1692">
        <f t="shared" si="0"/>
        <v>1</v>
      </c>
      <c r="B42" s="1694">
        <f t="shared" si="1"/>
        <v>44256</v>
      </c>
      <c r="C42" s="1209">
        <f>VLOOKUP('Petroleum - Dom. Gas - Prices'!B42,'Petroleum - Q&amp;V 2'!$B$9:$N$250,13,FALSE)</f>
        <v>4.7188855471186812</v>
      </c>
      <c r="D42" s="1123"/>
      <c r="E42" s="154">
        <f t="shared" si="2"/>
        <v>2023</v>
      </c>
      <c r="F42" s="292">
        <f t="shared" si="3"/>
        <v>2024</v>
      </c>
      <c r="G42" s="1322">
        <f t="shared" ref="G42" si="6">IF($G$45=$Z$4,E42,CONCATENATE(E42,"-",RIGHT(F42,2)))</f>
        <v>2023</v>
      </c>
      <c r="H42" s="1217">
        <f>IF(G42&lt;&gt;"",IF($G$45=$Z$4,SUMIF('Petroleum - Q&amp;V 2'!$L$9:$L$130,'Petroleum - Dom. Gas - Prices'!E42,'Petroleum - Q&amp;V 2'!$K$9:$K$130),
(SUMIFS('Petroleum - Q&amp;V 2'!$K$9:$K$250,'Petroleum - Q&amp;V 2'!$L$9:$L$250,E42,'Petroleum - Q&amp;V 2'!$M$9:$M$250,3)+
SUMIFS('Petroleum - Q&amp;V 2'!$K$9:$K$250,'Petroleum - Q&amp;V 2'!$L$9:$L$250,E42,'Petroleum - Q&amp;V 2'!$M$9:$M$250,4)+
SUMIFS('Petroleum - Q&amp;V 2'!$K$9:$K$250,'Petroleum - Q&amp;V 2'!$L$9:$L$250,F42,'Petroleum - Q&amp;V 2'!$M$9:$M$250,1)+
SUMIFS('Petroleum - Q&amp;V 2'!$K$9:$K$250,'Petroleum - Q&amp;V 2'!$L$9:$L$250,F42,'Petroleum - Q&amp;V 2'!$M$9:$M$250,2))),"")/
IF(G42&lt;&gt;"",IF($G$45=$Z$4,SUMIF('Petroleum - Q&amp;V 2'!$L$9:$L$130,'Petroleum - Dom. Gas - Prices'!E42,'Petroleum - Q&amp;V 2'!$J$9:$J$130),
(SUMIFS('Petroleum - Q&amp;V 2'!$J$9:$J$250,'Petroleum - Q&amp;V 2'!$L$9:$L$250,E42,'Petroleum - Q&amp;V 2'!$M$9:$M$250,3)+
SUMIFS('Petroleum - Q&amp;V 2'!$J$9:$J$250,'Petroleum - Q&amp;V 2'!$L$9:$L$250,E42,'Petroleum - Q&amp;V 2'!$M$9:$M$250,4)+
SUMIFS('Petroleum - Q&amp;V 2'!$J$9:$J$250,'Petroleum - Q&amp;V 2'!$L$9:$L$250,F42,'Petroleum - Q&amp;V 2'!$M$9:$M$250,1)+
SUMIFS('Petroleum - Q&amp;V 2'!$J$9:$J$250,'Petroleum - Q&amp;V 2'!$L$9:$L$250,F42,'Petroleum - Q&amp;V 2'!$M$9:$M$250,2))),"")</f>
        <v>7.0128805159710268</v>
      </c>
      <c r="I42" s="1132"/>
      <c r="J42" s="980"/>
      <c r="Z42" s="1226"/>
      <c r="AA42" s="1224"/>
      <c r="AB42" s="1138"/>
      <c r="AC42" s="1138"/>
      <c r="AD42" s="1227"/>
      <c r="AE42" s="1127"/>
    </row>
    <row r="43" spans="1:31" ht="15.75" thickBot="1">
      <c r="A43" s="1692">
        <f t="shared" si="0"/>
        <v>2</v>
      </c>
      <c r="B43" s="1694">
        <f t="shared" si="1"/>
        <v>44348</v>
      </c>
      <c r="C43" s="489">
        <f>VLOOKUP('Petroleum - Dom. Gas - Prices'!B43,'Petroleum - Q&amp;V 2'!$B$9:$N$250,13,FALSE)</f>
        <v>4.9788487741406451</v>
      </c>
      <c r="E43" s="154"/>
      <c r="F43" s="292"/>
      <c r="G43" s="1627"/>
      <c r="H43" s="449"/>
      <c r="I43" s="1132"/>
      <c r="J43" s="612"/>
      <c r="Z43" s="1226"/>
      <c r="AA43" s="1224"/>
      <c r="AB43" s="1138"/>
      <c r="AC43" s="1138"/>
      <c r="AD43" s="1227"/>
      <c r="AE43" s="1127"/>
    </row>
    <row r="44" spans="1:31">
      <c r="A44" s="1692">
        <f t="shared" si="0"/>
        <v>3</v>
      </c>
      <c r="B44" s="1694">
        <f t="shared" si="1"/>
        <v>44440</v>
      </c>
      <c r="C44" s="1209">
        <f>VLOOKUP('Petroleum - Dom. Gas - Prices'!B44,'Petroleum - Q&amp;V 2'!$B$9:$N$250,13,FALSE)</f>
        <v>5.4408106794633451</v>
      </c>
      <c r="E44" s="154"/>
      <c r="F44" s="154"/>
      <c r="G44" s="2066" t="s">
        <v>321</v>
      </c>
      <c r="H44" s="2068"/>
      <c r="I44" s="1294"/>
      <c r="J44" s="1223"/>
      <c r="Z44" s="1226"/>
      <c r="AA44" s="1224"/>
      <c r="AB44" s="1138"/>
      <c r="AC44" s="1138"/>
      <c r="AD44" s="1227"/>
      <c r="AE44" s="1127"/>
    </row>
    <row r="45" spans="1:31" ht="15.75" thickBot="1">
      <c r="A45" s="1692">
        <f t="shared" si="0"/>
        <v>4</v>
      </c>
      <c r="B45" s="1694">
        <f t="shared" si="1"/>
        <v>44531</v>
      </c>
      <c r="C45" s="489">
        <f>VLOOKUP('Petroleum - Dom. Gas - Prices'!B45,'Petroleum - Q&amp;V 2'!$B$9:$N$250,13,FALSE)</f>
        <v>5.3548558853034658</v>
      </c>
      <c r="E45" s="154"/>
      <c r="F45" s="154"/>
      <c r="G45" s="1955" t="s">
        <v>282</v>
      </c>
      <c r="H45" s="1956"/>
      <c r="Z45" s="1226"/>
      <c r="AA45" s="1224"/>
      <c r="AB45" s="1138"/>
      <c r="AC45" s="1138"/>
      <c r="AD45" s="1227"/>
      <c r="AE45" s="1127"/>
    </row>
    <row r="46" spans="1:31">
      <c r="A46" s="1692">
        <f t="shared" si="0"/>
        <v>1</v>
      </c>
      <c r="B46" s="1694">
        <f t="shared" si="1"/>
        <v>44621</v>
      </c>
      <c r="C46" s="1209">
        <f>VLOOKUP('Petroleum - Dom. Gas - Prices'!B46,'Petroleum - Q&amp;V 2'!$B$9:$N$250,13,FALSE)</f>
        <v>5.4454401060064015</v>
      </c>
      <c r="E46" s="154"/>
      <c r="F46" s="154"/>
      <c r="G46" s="1978" t="s">
        <v>322</v>
      </c>
      <c r="H46" s="1978"/>
      <c r="Z46" s="1226"/>
      <c r="AA46" s="1224"/>
      <c r="AB46" s="1138"/>
      <c r="AC46" s="1138"/>
      <c r="AD46" s="1227"/>
      <c r="AE46" s="1127"/>
    </row>
    <row r="47" spans="1:31">
      <c r="A47" s="1692">
        <f t="shared" si="0"/>
        <v>2</v>
      </c>
      <c r="B47" s="1694">
        <f t="shared" si="1"/>
        <v>44713</v>
      </c>
      <c r="C47" s="489">
        <f>VLOOKUP('Petroleum - Dom. Gas - Prices'!B47,'Petroleum - Q&amp;V 2'!$B$9:$N$250,13,FALSE)</f>
        <v>5.2529156182545051</v>
      </c>
      <c r="Z47" s="1226"/>
      <c r="AA47" s="1224"/>
      <c r="AB47" s="1138"/>
      <c r="AC47" s="1138"/>
      <c r="AD47" s="1227"/>
      <c r="AE47" s="1127"/>
    </row>
    <row r="48" spans="1:31">
      <c r="A48" s="1692">
        <f t="shared" si="0"/>
        <v>3</v>
      </c>
      <c r="B48" s="1694">
        <f t="shared" si="1"/>
        <v>44805</v>
      </c>
      <c r="C48" s="1209">
        <f>VLOOKUP('Petroleum - Dom. Gas - Prices'!B48,'Petroleum - Q&amp;V 2'!$B$9:$N$250,13,FALSE)</f>
        <v>5.0816854993569267</v>
      </c>
      <c r="D48" s="978"/>
      <c r="E48" s="1134"/>
      <c r="F48" s="1134"/>
      <c r="Z48" s="1226"/>
      <c r="AA48" s="1224"/>
      <c r="AB48" s="1138"/>
      <c r="AC48" s="1138"/>
      <c r="AD48" s="1227"/>
      <c r="AE48" s="1127"/>
    </row>
    <row r="49" spans="1:32">
      <c r="A49" s="1692">
        <f t="shared" si="0"/>
        <v>4</v>
      </c>
      <c r="B49" s="1694">
        <f t="shared" si="1"/>
        <v>44896</v>
      </c>
      <c r="C49" s="489">
        <f>VLOOKUP('Petroleum - Dom. Gas - Prices'!B49,'Petroleum - Q&amp;V 2'!$B$9:$N$250,13,FALSE)</f>
        <v>6.0688107089564918</v>
      </c>
      <c r="D49" s="978"/>
      <c r="E49" s="1134"/>
      <c r="F49" s="1134"/>
      <c r="I49" s="154"/>
      <c r="J49" s="154"/>
      <c r="K49" s="154"/>
      <c r="L49" s="154"/>
      <c r="N49" s="225"/>
      <c r="O49" s="225"/>
      <c r="P49" s="225"/>
      <c r="Q49" s="225"/>
      <c r="S49" s="154"/>
      <c r="T49" s="154"/>
      <c r="U49" s="1226"/>
      <c r="V49" s="1224"/>
      <c r="W49" s="1138"/>
      <c r="X49" s="1138"/>
      <c r="Y49" s="1227"/>
      <c r="Z49" s="1127"/>
      <c r="AA49" s="98"/>
      <c r="AB49" s="154"/>
      <c r="AC49" s="154"/>
      <c r="AD49" s="154"/>
      <c r="AE49" s="154"/>
      <c r="AF49" s="154"/>
    </row>
    <row r="50" spans="1:32">
      <c r="A50" s="1692">
        <f t="shared" si="0"/>
        <v>1</v>
      </c>
      <c r="B50" s="1694">
        <f t="shared" si="1"/>
        <v>44986</v>
      </c>
      <c r="C50" s="1209">
        <f>VLOOKUP('Petroleum - Dom. Gas - Prices'!B50,'Petroleum - Q&amp;V 2'!$B$9:$N$250,13,FALSE)</f>
        <v>7.3466723482366065</v>
      </c>
      <c r="D50" s="978"/>
      <c r="E50" s="1134"/>
      <c r="F50" s="1134"/>
      <c r="I50" s="154"/>
      <c r="J50" s="154"/>
      <c r="K50" s="154"/>
      <c r="L50" s="154"/>
      <c r="N50" s="225"/>
      <c r="O50" s="225"/>
      <c r="P50" s="225"/>
      <c r="Q50" s="225"/>
      <c r="S50" s="154"/>
      <c r="T50" s="154"/>
      <c r="U50" s="1226"/>
      <c r="V50" s="1224"/>
      <c r="W50" s="1138"/>
      <c r="X50" s="1138"/>
      <c r="Y50" s="1227"/>
      <c r="Z50" s="1127"/>
      <c r="AA50" s="98"/>
      <c r="AB50" s="154"/>
      <c r="AC50" s="154"/>
      <c r="AD50" s="154"/>
      <c r="AE50" s="154"/>
      <c r="AF50" s="154"/>
    </row>
    <row r="51" spans="1:32">
      <c r="A51" s="1692">
        <f t="shared" si="0"/>
        <v>2</v>
      </c>
      <c r="B51" s="1694">
        <f t="shared" si="1"/>
        <v>45078</v>
      </c>
      <c r="C51" s="489">
        <f>VLOOKUP('Petroleum - Dom. Gas - Prices'!B51,'Petroleum - Q&amp;V 2'!$B$9:$N$250,13,FALSE)</f>
        <v>6.6462925609521823</v>
      </c>
      <c r="D51" s="286"/>
      <c r="F51" s="978"/>
      <c r="H51" s="154"/>
    </row>
    <row r="52" spans="1:32">
      <c r="A52" s="1692">
        <f>_xlfn.FLOOR.MATH(MONTH(B52)/3)</f>
        <v>3</v>
      </c>
      <c r="B52" s="1694">
        <f>EOMONTH(B53, -4)+1</f>
        <v>45170</v>
      </c>
      <c r="C52" s="1209">
        <f>VLOOKUP('Petroleum - Dom. Gas - Prices'!B52,'Petroleum - Q&amp;V 2'!$B$9:$N$250,13,FALSE)</f>
        <v>6.6630125072022075</v>
      </c>
      <c r="D52" s="1133"/>
      <c r="F52" s="978"/>
      <c r="H52" s="154"/>
    </row>
    <row r="53" spans="1:32" ht="15.75" thickBot="1">
      <c r="A53" s="1693">
        <f>_xlfn.FLOOR.MATH(MONTH(B53)/3)</f>
        <v>4</v>
      </c>
      <c r="B53" s="1695">
        <f>LARGE('Petroleum - Q&amp;V 2'!B:B, 1)</f>
        <v>45261</v>
      </c>
      <c r="C53" s="490">
        <f>VLOOKUP('Petroleum - Dom. Gas - Prices'!B53,'Petroleum - Q&amp;V 2'!$B$9:$N$250,13,FALSE)</f>
        <v>7.4100722568956368</v>
      </c>
      <c r="D53" s="1133"/>
      <c r="E53" s="1132"/>
    </row>
    <row r="54" spans="1:32">
      <c r="A54" s="1219"/>
      <c r="B54" s="1123"/>
      <c r="C54" s="1123"/>
      <c r="D54" s="1133"/>
      <c r="E54" s="1135"/>
    </row>
    <row r="55" spans="1:32">
      <c r="A55" s="1219"/>
      <c r="B55" s="1123"/>
      <c r="C55" s="1123"/>
      <c r="D55" s="1133"/>
      <c r="E55" s="1127"/>
    </row>
    <row r="56" spans="1:32">
      <c r="A56" s="1219"/>
      <c r="B56" s="1123"/>
      <c r="C56" s="1123"/>
      <c r="D56" s="1133"/>
      <c r="E56" s="1127"/>
    </row>
    <row r="57" spans="1:32">
      <c r="A57" s="1219"/>
      <c r="B57" s="1123"/>
      <c r="C57" s="1123"/>
      <c r="D57" s="1133"/>
      <c r="E57" s="1127"/>
    </row>
    <row r="58" spans="1:32">
      <c r="A58" s="1219"/>
      <c r="B58" s="1123"/>
      <c r="C58" s="1123"/>
      <c r="D58" s="1133"/>
      <c r="E58" s="1127"/>
    </row>
    <row r="59" spans="1:32">
      <c r="A59" s="1219"/>
      <c r="B59" s="1123"/>
      <c r="C59" s="1123"/>
      <c r="D59" s="1133"/>
      <c r="E59" s="1127"/>
    </row>
    <row r="60" spans="1:32">
      <c r="A60" s="1219"/>
      <c r="B60" s="1123"/>
      <c r="C60" s="1123"/>
      <c r="D60" s="1133"/>
      <c r="E60" s="1127"/>
    </row>
    <row r="61" spans="1:32">
      <c r="A61" s="1219"/>
      <c r="B61" s="1123"/>
      <c r="C61" s="1123"/>
      <c r="D61" s="1133"/>
      <c r="E61" s="1127"/>
    </row>
    <row r="62" spans="1:32">
      <c r="A62" s="1219"/>
      <c r="B62" s="1123"/>
      <c r="C62" s="1123"/>
      <c r="D62" s="1133"/>
      <c r="E62" s="1127"/>
    </row>
    <row r="63" spans="1:32">
      <c r="A63" s="1219"/>
      <c r="B63" s="1123"/>
      <c r="C63" s="1123"/>
      <c r="D63" s="1133"/>
      <c r="E63" s="1127"/>
    </row>
    <row r="64" spans="1:32">
      <c r="A64" s="1219"/>
      <c r="B64" s="1123"/>
      <c r="C64" s="1123"/>
      <c r="D64" s="1133"/>
      <c r="E64" s="1127"/>
    </row>
    <row r="65" spans="1:6">
      <c r="A65" s="1219"/>
      <c r="B65" s="1123"/>
      <c r="C65" s="1123"/>
      <c r="D65" s="1133"/>
      <c r="E65" s="1127"/>
    </row>
    <row r="66" spans="1:6">
      <c r="A66" s="1219"/>
      <c r="B66" s="1123"/>
      <c r="C66" s="1123"/>
      <c r="D66" s="1133"/>
      <c r="E66" s="1127"/>
    </row>
    <row r="67" spans="1:6">
      <c r="A67" s="1219"/>
      <c r="B67" s="1123"/>
      <c r="C67" s="1123"/>
      <c r="D67" s="1133"/>
      <c r="E67" s="1127"/>
    </row>
    <row r="68" spans="1:6">
      <c r="A68" s="1219"/>
      <c r="B68" s="1123"/>
      <c r="C68" s="1123"/>
      <c r="D68" s="1133"/>
      <c r="E68" s="1127"/>
    </row>
    <row r="69" spans="1:6">
      <c r="A69" s="1219"/>
      <c r="B69" s="1123"/>
      <c r="C69" s="1123"/>
      <c r="D69" s="1133"/>
      <c r="E69" s="1127"/>
      <c r="F69" s="938"/>
    </row>
    <row r="70" spans="1:6">
      <c r="A70" s="161"/>
      <c r="B70" s="1123"/>
      <c r="C70" s="1123"/>
      <c r="D70" s="1133"/>
      <c r="E70" s="1127"/>
      <c r="F70" s="938"/>
    </row>
    <row r="71" spans="1:6">
      <c r="A71" s="161"/>
      <c r="B71" s="1123"/>
      <c r="C71" s="1123"/>
      <c r="D71" s="1133"/>
      <c r="E71" s="1127"/>
      <c r="F71" s="938"/>
    </row>
    <row r="72" spans="1:6">
      <c r="A72" s="161"/>
      <c r="B72" s="1123"/>
      <c r="C72" s="1123"/>
      <c r="D72" s="1133"/>
      <c r="E72" s="1127"/>
      <c r="F72" s="938"/>
    </row>
    <row r="73" spans="1:6">
      <c r="A73" s="161"/>
      <c r="B73" s="1123"/>
      <c r="C73" s="1123"/>
      <c r="D73" s="1133"/>
      <c r="E73" s="1127"/>
      <c r="F73" s="938"/>
    </row>
    <row r="74" spans="1:6">
      <c r="A74" s="161"/>
      <c r="B74" s="1123"/>
      <c r="C74" s="1123"/>
      <c r="D74" s="1133"/>
      <c r="E74" s="1127"/>
      <c r="F74" s="938"/>
    </row>
    <row r="75" spans="1:6">
      <c r="A75" s="161"/>
      <c r="B75" s="1133"/>
      <c r="C75" s="1133"/>
      <c r="D75" s="1133"/>
      <c r="E75" s="1127"/>
      <c r="F75" s="938"/>
    </row>
    <row r="76" spans="1:6">
      <c r="A76" s="161"/>
      <c r="B76" s="1133"/>
      <c r="C76" s="1133"/>
      <c r="D76" s="1133"/>
      <c r="E76" s="1127"/>
      <c r="F76" s="938"/>
    </row>
    <row r="77" spans="1:6">
      <c r="A77" s="161"/>
      <c r="B77" s="1133"/>
      <c r="C77" s="1133"/>
      <c r="D77" s="1133"/>
      <c r="E77" s="1127"/>
      <c r="F77" s="938"/>
    </row>
    <row r="78" spans="1:6">
      <c r="A78" s="161"/>
      <c r="B78" s="1133"/>
      <c r="C78" s="1133"/>
      <c r="D78" s="1133"/>
      <c r="E78" s="1127"/>
      <c r="F78" s="938"/>
    </row>
    <row r="79" spans="1:6">
      <c r="A79" s="161"/>
      <c r="B79" s="1133"/>
      <c r="C79" s="1133"/>
      <c r="D79" s="1133"/>
      <c r="E79" s="1127"/>
      <c r="F79" s="938"/>
    </row>
    <row r="80" spans="1:6">
      <c r="A80" s="161"/>
      <c r="B80" s="1133"/>
      <c r="C80" s="1133"/>
      <c r="D80" s="1133"/>
      <c r="E80" s="1127"/>
      <c r="F80" s="938"/>
    </row>
    <row r="81" spans="1:6">
      <c r="A81" s="161"/>
      <c r="B81" s="1133"/>
      <c r="C81" s="1133"/>
      <c r="D81" s="1133"/>
      <c r="E81" s="1127"/>
      <c r="F81" s="938"/>
    </row>
    <row r="82" spans="1:6">
      <c r="A82" s="161"/>
      <c r="B82" s="1133"/>
      <c r="C82" s="1133"/>
      <c r="D82" s="1133"/>
      <c r="E82" s="1127"/>
      <c r="F82" s="938"/>
    </row>
    <row r="83" spans="1:6">
      <c r="A83" s="161"/>
      <c r="B83" s="1133"/>
      <c r="C83" s="1133"/>
      <c r="D83" s="1133"/>
      <c r="E83" s="1127"/>
    </row>
    <row r="84" spans="1:6">
      <c r="A84" s="161"/>
      <c r="B84" s="1133"/>
      <c r="C84" s="1133"/>
      <c r="D84" s="1133"/>
      <c r="E84" s="1127"/>
    </row>
    <row r="85" spans="1:6">
      <c r="A85" s="161"/>
      <c r="B85" s="1133"/>
      <c r="C85" s="1133"/>
      <c r="D85" s="1133"/>
      <c r="E85" s="1127"/>
    </row>
    <row r="86" spans="1:6">
      <c r="A86" s="161"/>
      <c r="B86" s="1133"/>
      <c r="C86" s="1133"/>
      <c r="D86" s="1133"/>
      <c r="E86" s="1127"/>
    </row>
    <row r="87" spans="1:6">
      <c r="A87" s="161"/>
      <c r="B87" s="1133"/>
      <c r="C87" s="1133"/>
      <c r="D87" s="1133"/>
      <c r="E87" s="1127"/>
    </row>
    <row r="88" spans="1:6">
      <c r="A88" s="161"/>
      <c r="B88" s="1133"/>
      <c r="C88" s="1133"/>
      <c r="D88" s="1133"/>
      <c r="E88" s="1127"/>
    </row>
    <row r="89" spans="1:6">
      <c r="A89" s="161"/>
      <c r="B89" s="1133"/>
      <c r="C89" s="1133"/>
      <c r="D89" s="1133"/>
      <c r="E89" s="1127"/>
    </row>
    <row r="90" spans="1:6">
      <c r="A90" s="161"/>
      <c r="B90" s="1133"/>
      <c r="C90" s="1133"/>
      <c r="D90" s="1133"/>
      <c r="E90" s="1127"/>
    </row>
    <row r="91" spans="1:6">
      <c r="A91" s="161"/>
      <c r="B91" s="1133"/>
      <c r="C91" s="1133"/>
      <c r="D91" s="1133"/>
      <c r="E91" s="1127"/>
    </row>
    <row r="92" spans="1:6">
      <c r="A92" s="161"/>
      <c r="B92" s="1133"/>
      <c r="C92" s="1133"/>
      <c r="D92" s="1133"/>
      <c r="E92" s="1127"/>
    </row>
    <row r="93" spans="1:6">
      <c r="A93" s="46"/>
      <c r="B93" s="980"/>
      <c r="C93" s="450"/>
      <c r="D93" s="450"/>
      <c r="E93" s="1127"/>
    </row>
    <row r="94" spans="1:6">
      <c r="A94" s="46"/>
      <c r="B94" s="980"/>
      <c r="C94" s="450"/>
      <c r="D94" s="450"/>
      <c r="E94" s="1127"/>
    </row>
    <row r="95" spans="1:6">
      <c r="A95" s="46"/>
      <c r="B95" s="980"/>
      <c r="C95" s="450"/>
      <c r="D95" s="450"/>
      <c r="E95" s="939"/>
    </row>
    <row r="96" spans="1:6">
      <c r="A96" s="46"/>
      <c r="B96" s="980"/>
      <c r="C96" s="450"/>
      <c r="D96" s="450"/>
      <c r="E96" s="450"/>
    </row>
    <row r="97" spans="1:5">
      <c r="A97" s="161"/>
      <c r="B97" s="1133"/>
      <c r="C97" s="161"/>
      <c r="D97" s="161"/>
      <c r="E97" s="450"/>
    </row>
    <row r="98" spans="1:5">
      <c r="A98" s="161"/>
      <c r="B98" s="1133"/>
      <c r="C98" s="161"/>
      <c r="D98" s="161"/>
      <c r="E98" s="450"/>
    </row>
    <row r="99" spans="1:5">
      <c r="A99" s="161"/>
      <c r="B99" s="1133"/>
      <c r="C99" s="161"/>
      <c r="D99" s="161"/>
      <c r="E99" s="161"/>
    </row>
    <row r="100" spans="1:5">
      <c r="A100" s="161"/>
      <c r="B100" s="1133"/>
      <c r="C100" s="161"/>
      <c r="D100" s="161"/>
      <c r="E100" s="161"/>
    </row>
    <row r="101" spans="1:5">
      <c r="A101" s="161"/>
      <c r="B101" s="1133"/>
      <c r="C101" s="161"/>
      <c r="D101" s="161"/>
      <c r="E101" s="161"/>
    </row>
    <row r="102" spans="1:5">
      <c r="A102" s="161"/>
      <c r="B102" s="1133"/>
      <c r="C102" s="161"/>
      <c r="D102" s="161"/>
      <c r="E102" s="161"/>
    </row>
    <row r="103" spans="1:5">
      <c r="A103" s="161"/>
      <c r="B103" s="1133"/>
      <c r="C103" s="161"/>
      <c r="D103" s="161"/>
      <c r="E103" s="161"/>
    </row>
    <row r="104" spans="1:5">
      <c r="A104" s="161"/>
      <c r="B104" s="1133"/>
      <c r="C104" s="161"/>
      <c r="D104" s="161"/>
      <c r="E104" s="161"/>
    </row>
    <row r="105" spans="1:5">
      <c r="A105" s="161"/>
      <c r="B105" s="1133"/>
      <c r="C105" s="161"/>
      <c r="D105" s="161"/>
      <c r="E105" s="161"/>
    </row>
    <row r="106" spans="1:5">
      <c r="A106" s="161"/>
      <c r="B106" s="1133"/>
      <c r="C106" s="161"/>
      <c r="D106" s="161"/>
      <c r="E106" s="161"/>
    </row>
    <row r="107" spans="1:5">
      <c r="A107" s="161"/>
      <c r="B107" s="1133"/>
      <c r="C107" s="161"/>
      <c r="D107" s="161"/>
      <c r="E107" s="161"/>
    </row>
    <row r="108" spans="1:5">
      <c r="A108" s="161"/>
      <c r="B108" s="1133"/>
      <c r="C108" s="161"/>
      <c r="D108" s="161"/>
      <c r="E108" s="161"/>
    </row>
    <row r="109" spans="1:5">
      <c r="A109" s="161"/>
      <c r="B109" s="1133"/>
      <c r="C109" s="161"/>
      <c r="D109" s="161"/>
      <c r="E109" s="161"/>
    </row>
    <row r="110" spans="1:5">
      <c r="A110" s="161"/>
      <c r="B110" s="1133"/>
      <c r="C110" s="161"/>
      <c r="D110" s="161"/>
      <c r="E110" s="161"/>
    </row>
    <row r="111" spans="1:5">
      <c r="A111" s="161"/>
      <c r="B111" s="1133"/>
      <c r="C111" s="161"/>
      <c r="D111" s="161"/>
      <c r="E111" s="161"/>
    </row>
    <row r="112" spans="1:5">
      <c r="A112" s="161"/>
      <c r="B112" s="1133"/>
      <c r="C112" s="161"/>
      <c r="D112" s="161"/>
      <c r="E112" s="161"/>
    </row>
    <row r="113" spans="1:5">
      <c r="A113" s="161"/>
      <c r="B113" s="1133"/>
      <c r="C113" s="161"/>
      <c r="D113" s="161"/>
      <c r="E113" s="161"/>
    </row>
    <row r="114" spans="1:5">
      <c r="A114" s="161"/>
      <c r="B114" s="1133"/>
      <c r="C114" s="161"/>
      <c r="D114" s="161"/>
      <c r="E114" s="161"/>
    </row>
    <row r="115" spans="1:5">
      <c r="A115" s="161"/>
      <c r="B115" s="1133"/>
      <c r="C115" s="161"/>
      <c r="D115" s="161"/>
      <c r="E115" s="161"/>
    </row>
    <row r="116" spans="1:5">
      <c r="A116" s="161"/>
      <c r="B116" s="1133"/>
      <c r="C116" s="161"/>
      <c r="D116" s="161"/>
      <c r="E116" s="161"/>
    </row>
    <row r="117" spans="1:5">
      <c r="A117" s="161"/>
      <c r="B117" s="1133"/>
      <c r="C117" s="161"/>
      <c r="D117" s="161"/>
      <c r="E117" s="161"/>
    </row>
    <row r="118" spans="1:5">
      <c r="A118" s="161"/>
      <c r="B118" s="1133"/>
      <c r="C118" s="161"/>
      <c r="D118" s="161"/>
      <c r="E118" s="161"/>
    </row>
    <row r="119" spans="1:5">
      <c r="A119" s="161"/>
      <c r="B119" s="1133"/>
      <c r="C119" s="161"/>
      <c r="D119" s="161"/>
      <c r="E119" s="161"/>
    </row>
    <row r="120" spans="1:5">
      <c r="A120" s="161"/>
      <c r="B120" s="1133"/>
      <c r="C120" s="161"/>
      <c r="D120" s="161"/>
      <c r="E120" s="161"/>
    </row>
    <row r="121" spans="1:5">
      <c r="A121" s="161"/>
      <c r="B121" s="1133"/>
      <c r="C121" s="161"/>
      <c r="D121" s="161"/>
      <c r="E121" s="161"/>
    </row>
    <row r="122" spans="1:5">
      <c r="A122" s="161"/>
      <c r="B122" s="1133"/>
      <c r="C122" s="161"/>
      <c r="D122" s="161"/>
      <c r="E122" s="161"/>
    </row>
    <row r="123" spans="1:5">
      <c r="A123" s="161"/>
      <c r="B123" s="1133"/>
      <c r="C123" s="161"/>
      <c r="D123" s="161"/>
      <c r="E123" s="161"/>
    </row>
    <row r="124" spans="1:5">
      <c r="A124" s="161"/>
      <c r="B124" s="1133"/>
      <c r="C124" s="161"/>
      <c r="D124" s="161"/>
      <c r="E124" s="161"/>
    </row>
    <row r="125" spans="1:5">
      <c r="A125" s="161"/>
      <c r="B125" s="1133"/>
      <c r="C125" s="161"/>
      <c r="D125" s="161"/>
      <c r="E125" s="161"/>
    </row>
    <row r="126" spans="1:5">
      <c r="A126" s="161"/>
      <c r="B126" s="1133"/>
      <c r="C126" s="161"/>
      <c r="D126" s="161"/>
      <c r="E126" s="161"/>
    </row>
    <row r="127" spans="1:5">
      <c r="A127" s="161"/>
      <c r="B127" s="1133"/>
      <c r="C127" s="161"/>
      <c r="D127" s="161"/>
      <c r="E127" s="161"/>
    </row>
    <row r="128" spans="1:5">
      <c r="A128" s="161"/>
      <c r="B128" s="1133"/>
      <c r="C128" s="161"/>
      <c r="D128" s="161"/>
      <c r="E128" s="161"/>
    </row>
    <row r="129" spans="1:5">
      <c r="A129" s="161"/>
      <c r="B129" s="1133"/>
      <c r="C129" s="161"/>
      <c r="D129" s="161"/>
      <c r="E129" s="161"/>
    </row>
    <row r="130" spans="1:5">
      <c r="A130" s="161"/>
      <c r="B130" s="1133"/>
      <c r="C130" s="161"/>
      <c r="D130" s="161"/>
      <c r="E130" s="161"/>
    </row>
    <row r="131" spans="1:5">
      <c r="A131" s="161"/>
      <c r="B131" s="1133"/>
      <c r="C131" s="161"/>
      <c r="D131" s="161"/>
      <c r="E131" s="161"/>
    </row>
    <row r="132" spans="1:5">
      <c r="A132" s="161"/>
      <c r="B132" s="1133"/>
      <c r="C132" s="161"/>
      <c r="D132" s="161"/>
      <c r="E132" s="161"/>
    </row>
    <row r="133" spans="1:5">
      <c r="A133" s="161"/>
      <c r="B133" s="1133"/>
      <c r="C133" s="161"/>
      <c r="D133" s="161"/>
      <c r="E133" s="161"/>
    </row>
    <row r="134" spans="1:5">
      <c r="A134" s="161"/>
      <c r="B134" s="1133"/>
      <c r="C134" s="161"/>
      <c r="D134" s="161"/>
      <c r="E134" s="161"/>
    </row>
    <row r="135" spans="1:5">
      <c r="A135" s="161"/>
      <c r="B135" s="1133"/>
      <c r="C135" s="161"/>
      <c r="D135" s="161"/>
      <c r="E135" s="161"/>
    </row>
    <row r="136" spans="1:5">
      <c r="A136" s="161"/>
      <c r="B136" s="1133"/>
      <c r="C136" s="161"/>
      <c r="D136" s="161"/>
      <c r="E136" s="161"/>
    </row>
    <row r="137" spans="1:5">
      <c r="A137" s="161"/>
      <c r="B137" s="1133"/>
      <c r="C137" s="161"/>
      <c r="D137" s="161"/>
      <c r="E137" s="161"/>
    </row>
    <row r="138" spans="1:5">
      <c r="A138" s="161"/>
      <c r="B138" s="1133"/>
      <c r="C138" s="161"/>
      <c r="D138" s="161"/>
      <c r="E138" s="161"/>
    </row>
    <row r="139" spans="1:5">
      <c r="A139" s="161"/>
      <c r="B139" s="1133"/>
      <c r="C139" s="161"/>
      <c r="D139" s="161"/>
      <c r="E139" s="161"/>
    </row>
    <row r="140" spans="1:5">
      <c r="A140" s="161"/>
      <c r="B140" s="1133"/>
      <c r="C140" s="161"/>
      <c r="D140" s="161"/>
      <c r="E140" s="161"/>
    </row>
    <row r="141" spans="1:5">
      <c r="A141" s="161"/>
      <c r="B141" s="1133"/>
      <c r="C141" s="161"/>
      <c r="D141" s="161"/>
      <c r="E141" s="161"/>
    </row>
    <row r="142" spans="1:5">
      <c r="A142" s="161"/>
      <c r="B142" s="1133"/>
      <c r="C142" s="161"/>
      <c r="D142" s="161"/>
      <c r="E142" s="161"/>
    </row>
    <row r="143" spans="1:5">
      <c r="A143" s="161"/>
      <c r="B143" s="1133"/>
      <c r="C143" s="161"/>
      <c r="D143" s="161"/>
      <c r="E143" s="161"/>
    </row>
    <row r="144" spans="1:5">
      <c r="A144" s="161"/>
      <c r="B144" s="1133"/>
      <c r="C144" s="161"/>
      <c r="D144" s="161"/>
      <c r="E144" s="161"/>
    </row>
    <row r="145" spans="1:5">
      <c r="A145" s="161"/>
      <c r="B145" s="1133"/>
      <c r="C145" s="161"/>
      <c r="D145" s="161"/>
      <c r="E145" s="161"/>
    </row>
    <row r="146" spans="1:5">
      <c r="A146" s="161"/>
      <c r="B146" s="1133"/>
      <c r="C146" s="161"/>
      <c r="D146" s="161"/>
      <c r="E146" s="161"/>
    </row>
    <row r="147" spans="1:5">
      <c r="A147" s="161"/>
      <c r="B147" s="1133"/>
      <c r="C147" s="161"/>
      <c r="D147" s="161"/>
      <c r="E147" s="161"/>
    </row>
    <row r="148" spans="1:5">
      <c r="A148" s="161"/>
      <c r="B148" s="1133"/>
      <c r="C148" s="161"/>
      <c r="D148" s="161"/>
      <c r="E148" s="161"/>
    </row>
    <row r="149" spans="1:5">
      <c r="A149" s="161"/>
      <c r="B149" s="1133"/>
      <c r="C149" s="161"/>
      <c r="D149" s="161"/>
      <c r="E149" s="161"/>
    </row>
    <row r="150" spans="1:5">
      <c r="A150" s="161"/>
      <c r="B150" s="1133"/>
      <c r="C150" s="161"/>
      <c r="D150" s="161"/>
      <c r="E150" s="161"/>
    </row>
    <row r="151" spans="1:5">
      <c r="A151" s="161"/>
      <c r="B151" s="1133"/>
      <c r="C151" s="161"/>
      <c r="D151" s="161"/>
      <c r="E151" s="161"/>
    </row>
    <row r="152" spans="1:5">
      <c r="A152" s="161"/>
      <c r="B152" s="1133"/>
      <c r="C152" s="161"/>
      <c r="D152" s="161"/>
      <c r="E152" s="161"/>
    </row>
    <row r="153" spans="1:5">
      <c r="A153" s="161"/>
      <c r="B153" s="1133"/>
      <c r="C153" s="161"/>
      <c r="D153" s="161"/>
      <c r="E153" s="161"/>
    </row>
    <row r="154" spans="1:5">
      <c r="A154" s="161"/>
      <c r="B154" s="1133"/>
      <c r="C154" s="161"/>
      <c r="D154" s="161"/>
      <c r="E154" s="161"/>
    </row>
    <row r="155" spans="1:5">
      <c r="A155" s="161"/>
      <c r="B155" s="1133"/>
      <c r="C155" s="161"/>
      <c r="D155" s="161"/>
      <c r="E155" s="161"/>
    </row>
    <row r="156" spans="1:5">
      <c r="A156" s="161"/>
      <c r="B156" s="1133"/>
      <c r="C156" s="161"/>
      <c r="D156" s="161"/>
      <c r="E156" s="161"/>
    </row>
    <row r="157" spans="1:5">
      <c r="A157" s="161"/>
      <c r="B157" s="1133"/>
      <c r="C157" s="161"/>
      <c r="D157" s="161"/>
      <c r="E157" s="161"/>
    </row>
    <row r="158" spans="1:5">
      <c r="A158" s="161"/>
      <c r="B158" s="1133"/>
      <c r="C158" s="161"/>
      <c r="D158" s="161"/>
      <c r="E158" s="161"/>
    </row>
    <row r="159" spans="1:5">
      <c r="A159" s="161"/>
      <c r="B159" s="1133"/>
      <c r="C159" s="161"/>
      <c r="D159" s="161"/>
      <c r="E159" s="161"/>
    </row>
    <row r="160" spans="1:5">
      <c r="A160" s="161"/>
      <c r="B160" s="1133"/>
      <c r="C160" s="161"/>
      <c r="D160" s="161"/>
      <c r="E160" s="161"/>
    </row>
    <row r="161" spans="1:5">
      <c r="A161" s="161"/>
      <c r="B161" s="1133"/>
      <c r="C161" s="161"/>
      <c r="D161" s="161"/>
      <c r="E161" s="161"/>
    </row>
    <row r="162" spans="1:5">
      <c r="A162" s="161"/>
      <c r="B162" s="1133"/>
      <c r="C162" s="161"/>
      <c r="D162" s="161"/>
      <c r="E162" s="161"/>
    </row>
    <row r="163" spans="1:5">
      <c r="A163" s="161"/>
      <c r="B163" s="1133"/>
      <c r="C163" s="161"/>
      <c r="D163" s="161"/>
      <c r="E163" s="161"/>
    </row>
    <row r="164" spans="1:5">
      <c r="A164" s="161"/>
      <c r="B164" s="1133"/>
      <c r="C164" s="161"/>
      <c r="D164" s="161"/>
      <c r="E164" s="161"/>
    </row>
    <row r="165" spans="1:5">
      <c r="A165" s="161"/>
      <c r="B165" s="1133"/>
      <c r="C165" s="161"/>
      <c r="D165" s="161"/>
      <c r="E165" s="161"/>
    </row>
    <row r="166" spans="1:5">
      <c r="A166" s="161"/>
      <c r="B166" s="1133"/>
      <c r="C166" s="161"/>
      <c r="D166" s="161"/>
      <c r="E166" s="161"/>
    </row>
    <row r="167" spans="1:5">
      <c r="A167" s="161"/>
      <c r="B167" s="1133"/>
      <c r="C167" s="161"/>
      <c r="D167" s="161"/>
      <c r="E167" s="161"/>
    </row>
    <row r="168" spans="1:5">
      <c r="A168" s="161"/>
      <c r="B168" s="1133"/>
      <c r="C168" s="161"/>
      <c r="D168" s="161"/>
      <c r="E168" s="161"/>
    </row>
    <row r="169" spans="1:5">
      <c r="A169" s="161"/>
      <c r="B169" s="1133"/>
      <c r="C169" s="161"/>
      <c r="D169" s="161"/>
      <c r="E169" s="161"/>
    </row>
    <row r="170" spans="1:5">
      <c r="A170" s="161"/>
      <c r="B170" s="1133"/>
      <c r="C170" s="161"/>
      <c r="D170" s="161"/>
      <c r="E170" s="161"/>
    </row>
    <row r="171" spans="1:5">
      <c r="A171" s="161"/>
      <c r="B171" s="1133"/>
      <c r="C171" s="161"/>
      <c r="D171" s="161"/>
      <c r="E171" s="161"/>
    </row>
    <row r="172" spans="1:5">
      <c r="A172" s="161"/>
      <c r="B172" s="1133"/>
      <c r="C172" s="161"/>
      <c r="D172" s="161"/>
      <c r="E172" s="161"/>
    </row>
    <row r="173" spans="1:5">
      <c r="A173" s="161"/>
      <c r="B173" s="1133"/>
      <c r="C173" s="161"/>
      <c r="D173" s="161"/>
      <c r="E173" s="161"/>
    </row>
    <row r="174" spans="1:5">
      <c r="A174" s="161"/>
      <c r="B174" s="1133"/>
      <c r="C174" s="161"/>
      <c r="D174" s="161"/>
      <c r="E174" s="161"/>
    </row>
    <row r="175" spans="1:5">
      <c r="A175" s="161"/>
      <c r="B175" s="1133"/>
      <c r="C175" s="161"/>
      <c r="D175" s="161"/>
      <c r="E175" s="161"/>
    </row>
    <row r="176" spans="1:5">
      <c r="A176" s="161"/>
      <c r="B176" s="1133"/>
      <c r="C176" s="161"/>
      <c r="D176" s="161"/>
      <c r="E176" s="161"/>
    </row>
    <row r="177" spans="1:5">
      <c r="A177" s="161"/>
      <c r="B177" s="1133"/>
      <c r="C177" s="161"/>
      <c r="D177" s="161"/>
      <c r="E177" s="161"/>
    </row>
    <row r="178" spans="1:5">
      <c r="A178" s="161"/>
      <c r="B178" s="1133"/>
      <c r="C178" s="161"/>
      <c r="D178" s="161"/>
      <c r="E178" s="161"/>
    </row>
    <row r="179" spans="1:5">
      <c r="A179" s="161"/>
      <c r="B179" s="1133"/>
      <c r="C179" s="161"/>
      <c r="D179" s="161"/>
      <c r="E179" s="161"/>
    </row>
    <row r="180" spans="1:5">
      <c r="A180" s="161"/>
      <c r="B180" s="1133"/>
      <c r="C180" s="161"/>
      <c r="D180" s="161"/>
      <c r="E180" s="161"/>
    </row>
    <row r="181" spans="1:5">
      <c r="A181" s="161"/>
      <c r="B181" s="1133"/>
      <c r="C181" s="161"/>
      <c r="D181" s="161"/>
      <c r="E181" s="161"/>
    </row>
    <row r="182" spans="1:5">
      <c r="A182" s="161"/>
      <c r="B182" s="1133"/>
      <c r="C182" s="161"/>
      <c r="D182" s="161"/>
      <c r="E182" s="161"/>
    </row>
    <row r="183" spans="1:5">
      <c r="A183" s="161"/>
      <c r="B183" s="1133"/>
      <c r="C183" s="161"/>
      <c r="D183" s="161"/>
      <c r="E183" s="161"/>
    </row>
    <row r="184" spans="1:5">
      <c r="A184" s="161"/>
      <c r="B184" s="1133"/>
      <c r="C184" s="161"/>
      <c r="D184" s="161"/>
      <c r="E184" s="161"/>
    </row>
    <row r="185" spans="1:5">
      <c r="A185" s="161"/>
      <c r="B185" s="1133"/>
      <c r="C185" s="161"/>
      <c r="D185" s="161"/>
      <c r="E185" s="161"/>
    </row>
    <row r="186" spans="1:5">
      <c r="A186" s="161"/>
      <c r="B186" s="1133"/>
      <c r="C186" s="161"/>
      <c r="D186" s="161"/>
      <c r="E186" s="161"/>
    </row>
    <row r="187" spans="1:5">
      <c r="A187" s="161"/>
      <c r="B187" s="225"/>
      <c r="C187" s="161"/>
      <c r="D187" s="161"/>
      <c r="E187" s="161"/>
    </row>
    <row r="188" spans="1:5">
      <c r="A188" s="161"/>
      <c r="B188" s="225"/>
      <c r="C188" s="161"/>
      <c r="D188" s="161"/>
      <c r="E188" s="161"/>
    </row>
    <row r="189" spans="1:5">
      <c r="A189" s="161"/>
      <c r="B189" s="225"/>
      <c r="C189" s="161"/>
      <c r="D189" s="161"/>
      <c r="E189" s="161"/>
    </row>
    <row r="190" spans="1:5">
      <c r="A190" s="161"/>
      <c r="B190" s="225"/>
      <c r="C190" s="161"/>
      <c r="D190" s="161"/>
      <c r="E190" s="161"/>
    </row>
    <row r="191" spans="1:5">
      <c r="A191" s="161"/>
      <c r="B191" s="225"/>
      <c r="C191" s="161"/>
      <c r="D191" s="161"/>
      <c r="E191" s="161"/>
    </row>
    <row r="192" spans="1:5">
      <c r="A192" s="161"/>
      <c r="B192" s="225"/>
      <c r="C192" s="161"/>
      <c r="D192" s="161"/>
      <c r="E192" s="161"/>
    </row>
    <row r="193" spans="1:5">
      <c r="A193" s="161"/>
      <c r="B193" s="225"/>
      <c r="C193" s="161"/>
      <c r="D193" s="161"/>
      <c r="E193" s="161"/>
    </row>
    <row r="194" spans="1:5">
      <c r="A194" s="161"/>
      <c r="B194" s="225"/>
      <c r="C194" s="161"/>
      <c r="D194" s="161"/>
      <c r="E194" s="161"/>
    </row>
    <row r="195" spans="1:5">
      <c r="A195" s="161"/>
      <c r="B195" s="225"/>
      <c r="C195" s="161"/>
      <c r="D195" s="161"/>
      <c r="E195" s="161"/>
    </row>
    <row r="196" spans="1:5">
      <c r="A196" s="161"/>
      <c r="B196" s="225"/>
      <c r="C196" s="161"/>
      <c r="D196" s="161"/>
      <c r="E196" s="161"/>
    </row>
    <row r="197" spans="1:5">
      <c r="A197" s="161"/>
      <c r="B197" s="225"/>
      <c r="C197" s="161"/>
      <c r="D197" s="161"/>
      <c r="E197" s="161"/>
    </row>
    <row r="198" spans="1:5">
      <c r="A198" s="161"/>
      <c r="B198" s="225"/>
      <c r="C198" s="161"/>
      <c r="D198" s="161"/>
      <c r="E198" s="161"/>
    </row>
    <row r="199" spans="1:5">
      <c r="A199" s="161"/>
      <c r="B199" s="225"/>
      <c r="C199" s="161"/>
      <c r="D199" s="161"/>
      <c r="E199" s="161"/>
    </row>
    <row r="200" spans="1:5">
      <c r="A200" s="161"/>
      <c r="B200" s="225"/>
      <c r="C200" s="161"/>
      <c r="D200" s="161"/>
      <c r="E200" s="161"/>
    </row>
    <row r="201" spans="1:5">
      <c r="A201" s="161"/>
      <c r="B201" s="225"/>
      <c r="C201" s="161"/>
      <c r="D201" s="161"/>
      <c r="E201" s="161"/>
    </row>
    <row r="202" spans="1:5">
      <c r="A202" s="161"/>
      <c r="B202" s="225"/>
      <c r="C202" s="161"/>
      <c r="D202" s="161"/>
      <c r="E202" s="161"/>
    </row>
    <row r="203" spans="1:5">
      <c r="A203" s="161"/>
      <c r="B203" s="225"/>
      <c r="C203" s="161"/>
      <c r="D203" s="161"/>
      <c r="E203" s="161"/>
    </row>
    <row r="204" spans="1:5">
      <c r="A204" s="161"/>
      <c r="B204" s="225"/>
      <c r="C204" s="161"/>
      <c r="D204" s="161"/>
      <c r="E204" s="161"/>
    </row>
    <row r="205" spans="1:5">
      <c r="A205" s="161"/>
      <c r="B205" s="225"/>
      <c r="C205" s="161"/>
      <c r="D205" s="161"/>
      <c r="E205" s="161"/>
    </row>
    <row r="206" spans="1:5">
      <c r="A206" s="161"/>
      <c r="B206" s="225"/>
      <c r="C206" s="161"/>
      <c r="D206" s="161"/>
      <c r="E206" s="161"/>
    </row>
    <row r="207" spans="1:5">
      <c r="A207" s="161"/>
      <c r="B207" s="225"/>
      <c r="C207" s="161"/>
      <c r="D207" s="161"/>
      <c r="E207" s="161"/>
    </row>
    <row r="208" spans="1:5">
      <c r="A208" s="161"/>
      <c r="B208" s="225"/>
      <c r="C208" s="161"/>
      <c r="D208" s="161"/>
      <c r="E208" s="161"/>
    </row>
    <row r="209" spans="1:5">
      <c r="A209" s="161"/>
      <c r="B209" s="225"/>
      <c r="C209" s="161"/>
      <c r="D209" s="161"/>
      <c r="E209" s="161"/>
    </row>
    <row r="210" spans="1:5">
      <c r="A210" s="161"/>
      <c r="B210" s="225"/>
      <c r="C210" s="161"/>
      <c r="D210" s="161"/>
      <c r="E210" s="161"/>
    </row>
    <row r="211" spans="1:5">
      <c r="A211" s="161"/>
      <c r="B211" s="225"/>
      <c r="C211" s="161"/>
      <c r="D211" s="161"/>
      <c r="E211" s="161"/>
    </row>
    <row r="212" spans="1:5">
      <c r="A212" s="161"/>
      <c r="B212" s="225"/>
      <c r="C212" s="161"/>
      <c r="D212" s="161"/>
      <c r="E212" s="161"/>
    </row>
    <row r="213" spans="1:5">
      <c r="A213" s="161"/>
      <c r="B213" s="225"/>
      <c r="C213" s="161"/>
      <c r="D213" s="161"/>
      <c r="E213" s="161"/>
    </row>
    <row r="214" spans="1:5">
      <c r="A214" s="161"/>
      <c r="B214" s="225"/>
      <c r="C214" s="161"/>
      <c r="D214" s="161"/>
      <c r="E214" s="161"/>
    </row>
    <row r="215" spans="1:5">
      <c r="A215" s="161"/>
      <c r="B215" s="225"/>
      <c r="C215" s="161"/>
      <c r="D215" s="161"/>
      <c r="E215" s="161"/>
    </row>
    <row r="216" spans="1:5">
      <c r="A216" s="161"/>
      <c r="B216" s="225"/>
      <c r="C216" s="161"/>
      <c r="D216" s="161"/>
      <c r="E216" s="161"/>
    </row>
    <row r="217" spans="1:5">
      <c r="A217" s="161"/>
      <c r="B217" s="225"/>
      <c r="C217" s="161"/>
      <c r="D217" s="161"/>
      <c r="E217" s="161"/>
    </row>
    <row r="218" spans="1:5">
      <c r="A218" s="161"/>
      <c r="B218" s="225"/>
      <c r="C218" s="161"/>
      <c r="D218" s="161"/>
      <c r="E218" s="161"/>
    </row>
    <row r="219" spans="1:5">
      <c r="A219" s="161"/>
      <c r="B219" s="225"/>
      <c r="C219" s="161"/>
      <c r="D219" s="161"/>
      <c r="E219" s="161"/>
    </row>
    <row r="220" spans="1:5">
      <c r="A220" s="161"/>
      <c r="B220" s="225"/>
      <c r="C220" s="161"/>
      <c r="D220" s="161"/>
      <c r="E220" s="161"/>
    </row>
    <row r="221" spans="1:5">
      <c r="A221" s="161"/>
      <c r="B221" s="225"/>
      <c r="C221" s="161"/>
      <c r="D221" s="161"/>
      <c r="E221" s="161"/>
    </row>
    <row r="222" spans="1:5">
      <c r="A222" s="161"/>
      <c r="B222" s="225"/>
      <c r="C222" s="161"/>
      <c r="D222" s="161"/>
      <c r="E222" s="161"/>
    </row>
    <row r="223" spans="1:5">
      <c r="A223" s="161"/>
      <c r="B223" s="225"/>
      <c r="C223" s="161"/>
      <c r="D223" s="161"/>
      <c r="E223" s="161"/>
    </row>
    <row r="224" spans="1:5">
      <c r="A224" s="161"/>
      <c r="B224" s="225"/>
      <c r="C224" s="161"/>
      <c r="D224" s="161"/>
      <c r="E224" s="161"/>
    </row>
    <row r="225" spans="1:5">
      <c r="A225" s="161"/>
      <c r="B225" s="225"/>
      <c r="C225" s="161"/>
      <c r="D225" s="161"/>
      <c r="E225" s="161"/>
    </row>
    <row r="226" spans="1:5">
      <c r="A226" s="161"/>
      <c r="B226" s="225"/>
      <c r="C226" s="161"/>
      <c r="D226" s="161"/>
      <c r="E226" s="161"/>
    </row>
    <row r="227" spans="1:5">
      <c r="A227" s="161"/>
      <c r="B227" s="225"/>
      <c r="C227" s="161"/>
      <c r="D227" s="161"/>
      <c r="E227" s="161"/>
    </row>
    <row r="228" spans="1:5">
      <c r="A228" s="161"/>
      <c r="B228" s="225"/>
      <c r="C228" s="161"/>
      <c r="D228" s="161"/>
      <c r="E228" s="161"/>
    </row>
    <row r="229" spans="1:5">
      <c r="A229" s="161"/>
      <c r="B229" s="225"/>
      <c r="C229" s="161"/>
      <c r="D229" s="161"/>
      <c r="E229" s="161"/>
    </row>
    <row r="230" spans="1:5">
      <c r="A230" s="161"/>
      <c r="B230" s="225"/>
      <c r="C230" s="161"/>
      <c r="D230" s="161"/>
      <c r="E230" s="161"/>
    </row>
    <row r="231" spans="1:5">
      <c r="A231" s="161"/>
      <c r="B231" s="225"/>
      <c r="C231" s="161"/>
      <c r="D231" s="161"/>
      <c r="E231" s="161"/>
    </row>
    <row r="232" spans="1:5">
      <c r="A232" s="161"/>
      <c r="B232" s="225"/>
      <c r="C232" s="161"/>
      <c r="D232" s="161"/>
      <c r="E232" s="161"/>
    </row>
    <row r="233" spans="1:5">
      <c r="A233" s="161"/>
      <c r="B233" s="225"/>
      <c r="C233" s="161"/>
      <c r="D233" s="161"/>
      <c r="E233" s="161"/>
    </row>
    <row r="234" spans="1:5">
      <c r="A234" s="161"/>
      <c r="B234" s="225"/>
      <c r="C234" s="161"/>
      <c r="D234" s="161"/>
      <c r="E234" s="161"/>
    </row>
    <row r="235" spans="1:5">
      <c r="A235" s="161"/>
      <c r="B235" s="225"/>
      <c r="C235" s="161"/>
      <c r="D235" s="161"/>
      <c r="E235" s="161"/>
    </row>
    <row r="236" spans="1:5">
      <c r="A236" s="161"/>
      <c r="B236" s="225"/>
      <c r="C236" s="161"/>
      <c r="D236" s="161"/>
      <c r="E236" s="161"/>
    </row>
    <row r="237" spans="1:5">
      <c r="A237" s="161"/>
      <c r="B237" s="225"/>
      <c r="C237" s="161"/>
      <c r="D237" s="161"/>
      <c r="E237" s="161"/>
    </row>
    <row r="238" spans="1:5">
      <c r="A238" s="161"/>
      <c r="B238" s="225"/>
      <c r="C238" s="161"/>
      <c r="D238" s="161"/>
      <c r="E238" s="161"/>
    </row>
    <row r="239" spans="1:5">
      <c r="A239" s="161"/>
      <c r="B239" s="225"/>
      <c r="C239" s="161"/>
      <c r="D239" s="161"/>
      <c r="E239" s="161"/>
    </row>
    <row r="240" spans="1:5">
      <c r="A240" s="161"/>
      <c r="B240" s="225"/>
      <c r="C240" s="161"/>
      <c r="D240" s="161"/>
      <c r="E240" s="161"/>
    </row>
    <row r="241" spans="1:5">
      <c r="A241" s="161"/>
      <c r="B241" s="225"/>
      <c r="C241" s="161"/>
      <c r="D241" s="161"/>
      <c r="E241" s="161"/>
    </row>
    <row r="242" spans="1:5">
      <c r="A242" s="161"/>
      <c r="B242" s="225"/>
      <c r="C242" s="161"/>
      <c r="D242" s="161"/>
      <c r="E242" s="161"/>
    </row>
    <row r="243" spans="1:5">
      <c r="A243" s="161"/>
      <c r="B243" s="225"/>
      <c r="C243" s="161"/>
      <c r="D243" s="161"/>
      <c r="E243" s="161"/>
    </row>
    <row r="244" spans="1:5">
      <c r="A244" s="161"/>
      <c r="B244" s="225"/>
      <c r="C244" s="161"/>
      <c r="D244" s="161"/>
      <c r="E244" s="161"/>
    </row>
    <row r="245" spans="1:5">
      <c r="A245" s="161"/>
      <c r="B245" s="225"/>
      <c r="C245" s="161"/>
      <c r="D245" s="161"/>
      <c r="E245" s="161"/>
    </row>
    <row r="246" spans="1:5">
      <c r="A246" s="161"/>
      <c r="B246" s="225"/>
      <c r="C246" s="161"/>
      <c r="D246" s="161"/>
      <c r="E246" s="161"/>
    </row>
    <row r="247" spans="1:5">
      <c r="A247" s="161"/>
      <c r="B247" s="225"/>
      <c r="C247" s="161"/>
      <c r="D247" s="161"/>
      <c r="E247" s="161"/>
    </row>
    <row r="248" spans="1:5">
      <c r="A248" s="161"/>
      <c r="B248" s="225"/>
      <c r="C248" s="161"/>
      <c r="D248" s="161"/>
      <c r="E248" s="161"/>
    </row>
    <row r="249" spans="1:5">
      <c r="A249" s="161"/>
      <c r="B249" s="225"/>
      <c r="C249" s="161"/>
      <c r="D249" s="161"/>
      <c r="E249" s="161"/>
    </row>
    <row r="250" spans="1:5">
      <c r="A250" s="161"/>
      <c r="B250" s="225"/>
      <c r="C250" s="161"/>
      <c r="D250" s="161"/>
      <c r="E250" s="161"/>
    </row>
    <row r="251" spans="1:5">
      <c r="A251" s="161"/>
      <c r="B251" s="225"/>
      <c r="C251" s="161"/>
      <c r="D251" s="161"/>
      <c r="E251" s="161"/>
    </row>
    <row r="252" spans="1:5">
      <c r="A252" s="161"/>
      <c r="B252" s="225"/>
      <c r="C252" s="161"/>
      <c r="D252" s="161"/>
      <c r="E252" s="161"/>
    </row>
    <row r="253" spans="1:5">
      <c r="A253" s="161"/>
      <c r="B253" s="225"/>
      <c r="C253" s="161"/>
      <c r="D253" s="161"/>
      <c r="E253" s="161"/>
    </row>
    <row r="254" spans="1:5">
      <c r="A254" s="161"/>
      <c r="B254" s="225"/>
      <c r="C254" s="161"/>
      <c r="D254" s="161"/>
      <c r="E254" s="161"/>
    </row>
    <row r="255" spans="1:5">
      <c r="A255" s="161"/>
      <c r="B255" s="225"/>
      <c r="C255" s="161"/>
      <c r="D255" s="161"/>
      <c r="E255" s="161"/>
    </row>
    <row r="256" spans="1:5">
      <c r="A256" s="161"/>
      <c r="B256" s="225"/>
      <c r="C256" s="161"/>
      <c r="D256" s="161"/>
      <c r="E256" s="161"/>
    </row>
    <row r="257" spans="1:5">
      <c r="A257" s="161"/>
      <c r="B257" s="225"/>
      <c r="C257" s="161"/>
      <c r="D257" s="161"/>
      <c r="E257" s="161"/>
    </row>
    <row r="258" spans="1:5">
      <c r="A258" s="161"/>
      <c r="B258" s="225"/>
      <c r="C258" s="161"/>
      <c r="D258" s="161"/>
      <c r="E258" s="161"/>
    </row>
    <row r="259" spans="1:5">
      <c r="A259" s="161"/>
      <c r="B259" s="225"/>
      <c r="C259" s="161"/>
      <c r="D259" s="161"/>
      <c r="E259" s="161"/>
    </row>
    <row r="260" spans="1:5">
      <c r="A260" s="161"/>
      <c r="B260" s="225"/>
      <c r="C260" s="161"/>
      <c r="D260" s="161"/>
      <c r="E260" s="161"/>
    </row>
    <row r="261" spans="1:5">
      <c r="E261" s="161"/>
    </row>
    <row r="262" spans="1:5">
      <c r="E262" s="161"/>
    </row>
  </sheetData>
  <mergeCells count="7">
    <mergeCell ref="G46:H46"/>
    <mergeCell ref="G5:H5"/>
    <mergeCell ref="G6:H6"/>
    <mergeCell ref="A5:C5"/>
    <mergeCell ref="A6:C6"/>
    <mergeCell ref="G44:H44"/>
    <mergeCell ref="G45:H45"/>
  </mergeCells>
  <dataValidations count="1">
    <dataValidation type="list" allowBlank="1" showInputMessage="1" showErrorMessage="1" promptTitle="Select a Period:" prompt="Select Financial or Calendar years." sqref="I43 G45:H45" xr:uid="{00000000-0002-0000-2900-000000000000}">
      <formula1>$Y$3:$Y$4</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theme="8" tint="0.39997558519241921"/>
    <pageSetUpPr autoPageBreaks="0"/>
  </sheetPr>
  <dimension ref="A1:Z363"/>
  <sheetViews>
    <sheetView showGridLines="0" workbookViewId="0"/>
  </sheetViews>
  <sheetFormatPr defaultColWidth="9.140625" defaultRowHeight="15"/>
  <cols>
    <col min="1" max="1" width="13.28515625" style="17" bestFit="1" customWidth="1"/>
    <col min="2" max="2" width="17" style="17" bestFit="1" customWidth="1"/>
    <col min="3" max="3" width="20.42578125" style="17" bestFit="1" customWidth="1"/>
    <col min="4" max="4" width="17" style="17" bestFit="1" customWidth="1"/>
    <col min="5" max="5" width="20.42578125" style="17" bestFit="1" customWidth="1"/>
    <col min="6" max="6" width="17" style="17" bestFit="1" customWidth="1"/>
    <col min="7" max="7" width="20.42578125" style="17" bestFit="1" customWidth="1"/>
    <col min="8" max="8" width="14" style="19" hidden="1" customWidth="1"/>
    <col min="9" max="9" width="1.85546875" style="17" hidden="1" customWidth="1"/>
    <col min="10" max="18" width="9.140625" style="17"/>
    <col min="19" max="19" width="20" style="17" customWidth="1"/>
    <col min="20" max="20" width="13" style="17" customWidth="1"/>
    <col min="21" max="26" width="19.85546875" style="17" customWidth="1"/>
    <col min="27" max="16384" width="9.140625" style="17"/>
  </cols>
  <sheetData>
    <row r="1" spans="1:22">
      <c r="A1" s="66" t="s">
        <v>240</v>
      </c>
    </row>
    <row r="2" spans="1:22">
      <c r="A2" s="66" t="s">
        <v>246</v>
      </c>
    </row>
    <row r="5" spans="1:22">
      <c r="A5" s="1972" t="s">
        <v>427</v>
      </c>
      <c r="B5" s="1972"/>
      <c r="C5" s="1972"/>
      <c r="D5" s="1972"/>
      <c r="E5" s="1972"/>
      <c r="F5" s="1972"/>
      <c r="G5" s="1972"/>
      <c r="H5" s="51"/>
    </row>
    <row r="6" spans="1:22" ht="15.75" thickBot="1">
      <c r="A6" s="2004" t="s">
        <v>423</v>
      </c>
      <c r="B6" s="2004"/>
      <c r="C6" s="2004"/>
      <c r="D6" s="2004"/>
      <c r="E6" s="2004"/>
      <c r="F6" s="2004"/>
      <c r="G6" s="2004"/>
      <c r="H6" s="52"/>
    </row>
    <row r="7" spans="1:22" s="25" customFormat="1">
      <c r="A7" s="643"/>
      <c r="B7" s="2080" t="s">
        <v>61</v>
      </c>
      <c r="C7" s="2081"/>
      <c r="D7" s="2080" t="s">
        <v>62</v>
      </c>
      <c r="E7" s="2082"/>
      <c r="F7" s="2081" t="s">
        <v>63</v>
      </c>
      <c r="G7" s="2083"/>
      <c r="H7" s="46"/>
    </row>
    <row r="8" spans="1:22">
      <c r="A8" s="644" t="s">
        <v>5</v>
      </c>
      <c r="B8" s="1269" t="s">
        <v>64</v>
      </c>
      <c r="C8" s="1270" t="s">
        <v>382</v>
      </c>
      <c r="D8" s="1269" t="s">
        <v>64</v>
      </c>
      <c r="E8" s="1477" t="s">
        <v>382</v>
      </c>
      <c r="F8" s="1270" t="s">
        <v>64</v>
      </c>
      <c r="G8" s="1262" t="s">
        <v>382</v>
      </c>
      <c r="H8" s="45"/>
      <c r="T8" s="1973" t="s">
        <v>428</v>
      </c>
      <c r="U8" s="1973"/>
      <c r="V8" s="1973"/>
    </row>
    <row r="9" spans="1:22" ht="15.75" thickBot="1">
      <c r="A9" s="641">
        <v>36220</v>
      </c>
      <c r="B9" s="484">
        <v>1.7620640000000001</v>
      </c>
      <c r="C9" s="577">
        <v>200.01295300000001</v>
      </c>
      <c r="D9" s="617">
        <v>1.245798</v>
      </c>
      <c r="E9" s="484">
        <v>148.50315900000001</v>
      </c>
      <c r="F9" s="484">
        <f>D9+B9</f>
        <v>3.0078620000000003</v>
      </c>
      <c r="G9" s="483">
        <f>E9+C9</f>
        <v>348.51611200000002</v>
      </c>
      <c r="H9" s="48">
        <f>YEAR(A9)</f>
        <v>1999</v>
      </c>
      <c r="I9" s="49" t="str">
        <f>IF(MONTH(A9)=3,"1",IF(MONTH(A9)=6,"2",IF(MONTH(A9)=9,"3","4")))</f>
        <v>1</v>
      </c>
      <c r="T9" s="1977" t="s">
        <v>580</v>
      </c>
      <c r="U9" s="1977"/>
      <c r="V9" s="1977"/>
    </row>
    <row r="10" spans="1:22">
      <c r="A10" s="641">
        <v>36312</v>
      </c>
      <c r="B10" s="639">
        <v>1.4574940000000001</v>
      </c>
      <c r="C10" s="1476">
        <v>207.42253199999999</v>
      </c>
      <c r="D10" s="1250">
        <v>1.2554799999999999</v>
      </c>
      <c r="E10" s="639">
        <v>193.994733</v>
      </c>
      <c r="F10" s="639">
        <f t="shared" ref="F10:F68" si="0">D10+B10</f>
        <v>2.712974</v>
      </c>
      <c r="G10" s="640">
        <f t="shared" ref="G10:G68" si="1">E10+C10</f>
        <v>401.41726499999999</v>
      </c>
      <c r="H10" s="48">
        <f t="shared" ref="H10:H73" si="2">YEAR(A10)</f>
        <v>1999</v>
      </c>
      <c r="I10" s="49" t="str">
        <f>IF(MONTH(A10)=3,"1",IF(MONTH(A10)=6,"2",IF(MONTH(A10)=9,"3","4")))</f>
        <v>2</v>
      </c>
      <c r="T10" s="1245" t="s">
        <v>5</v>
      </c>
      <c r="U10" s="774" t="s">
        <v>64</v>
      </c>
      <c r="V10" s="775" t="s">
        <v>382</v>
      </c>
    </row>
    <row r="11" spans="1:22">
      <c r="A11" s="641">
        <v>36404</v>
      </c>
      <c r="B11" s="484">
        <v>2.2850799999999998</v>
      </c>
      <c r="C11" s="577">
        <v>475.87644</v>
      </c>
      <c r="D11" s="617">
        <v>1.5781829999999999</v>
      </c>
      <c r="E11" s="484">
        <v>318.31437699999998</v>
      </c>
      <c r="F11" s="484">
        <f t="shared" si="0"/>
        <v>3.8632629999999999</v>
      </c>
      <c r="G11" s="483">
        <f t="shared" si="1"/>
        <v>794.19081699999992</v>
      </c>
      <c r="H11" s="48">
        <f t="shared" si="2"/>
        <v>1999</v>
      </c>
      <c r="I11" s="49" t="str">
        <f t="shared" ref="I11:I74" si="3">IF(MONTH(A11)=3,"1",IF(MONTH(A11)=6,"2",IF(MONTH(A11)=9,"3","4")))</f>
        <v>3</v>
      </c>
      <c r="T11" s="641">
        <f>LARGE(A$9:A$739,9)</f>
        <v>44531</v>
      </c>
      <c r="U11" s="499">
        <f t="shared" ref="U11:U19" si="4">SUMIF($A$9:$A$739,$T11,F$9:F$739)</f>
        <v>4.4865944554438428</v>
      </c>
      <c r="V11" s="974">
        <f t="shared" ref="V11:V19" si="5">SUMIF($A$9:$A$739,$T11,G$9:G$739)</f>
        <v>3018.637112227671</v>
      </c>
    </row>
    <row r="12" spans="1:22">
      <c r="A12" s="641">
        <v>36495</v>
      </c>
      <c r="B12" s="639">
        <v>2.9858009999999999</v>
      </c>
      <c r="C12" s="1476">
        <v>675.97909800000002</v>
      </c>
      <c r="D12" s="1250">
        <v>1.485668</v>
      </c>
      <c r="E12" s="639">
        <v>352.48540500000001</v>
      </c>
      <c r="F12" s="639">
        <f t="shared" si="0"/>
        <v>4.4714689999999999</v>
      </c>
      <c r="G12" s="640">
        <f t="shared" si="1"/>
        <v>1028.4645030000001</v>
      </c>
      <c r="H12" s="48">
        <f t="shared" si="2"/>
        <v>1999</v>
      </c>
      <c r="I12" s="49" t="str">
        <f t="shared" si="3"/>
        <v>4</v>
      </c>
      <c r="T12" s="641">
        <f>LARGE(A$9:A$739,8)</f>
        <v>44621</v>
      </c>
      <c r="U12" s="686">
        <f t="shared" si="4"/>
        <v>3.5838576354271714</v>
      </c>
      <c r="V12" s="651">
        <f t="shared" si="5"/>
        <v>2488.9210138370249</v>
      </c>
    </row>
    <row r="13" spans="1:22">
      <c r="A13" s="641">
        <v>36586</v>
      </c>
      <c r="B13" s="484">
        <v>3.5222440000000002</v>
      </c>
      <c r="C13" s="577">
        <v>988.31516999999997</v>
      </c>
      <c r="D13" s="617">
        <v>1.7186859999999999</v>
      </c>
      <c r="E13" s="484">
        <v>477.41885100000002</v>
      </c>
      <c r="F13" s="484">
        <f t="shared" si="0"/>
        <v>5.2409300000000005</v>
      </c>
      <c r="G13" s="483">
        <f t="shared" si="1"/>
        <v>1465.734021</v>
      </c>
      <c r="H13" s="48">
        <f t="shared" si="2"/>
        <v>2000</v>
      </c>
      <c r="I13" s="49" t="str">
        <f t="shared" si="3"/>
        <v>1</v>
      </c>
      <c r="T13" s="641">
        <f>LARGE(A$9:A$739,7)</f>
        <v>44713</v>
      </c>
      <c r="U13" s="499">
        <f t="shared" si="4"/>
        <v>4.1837981571468115</v>
      </c>
      <c r="V13" s="974">
        <f t="shared" si="5"/>
        <v>3980.1710086472349</v>
      </c>
    </row>
    <row r="14" spans="1:22">
      <c r="A14" s="641">
        <v>36678</v>
      </c>
      <c r="B14" s="639">
        <v>3.260481</v>
      </c>
      <c r="C14" s="1476">
        <v>1004.59593</v>
      </c>
      <c r="D14" s="1250">
        <v>1.5651109999999999</v>
      </c>
      <c r="E14" s="639">
        <v>435.71981599999998</v>
      </c>
      <c r="F14" s="639">
        <f t="shared" si="0"/>
        <v>4.8255920000000003</v>
      </c>
      <c r="G14" s="640">
        <f t="shared" si="1"/>
        <v>1440.315746</v>
      </c>
      <c r="H14" s="48">
        <f t="shared" si="2"/>
        <v>2000</v>
      </c>
      <c r="I14" s="49" t="str">
        <f t="shared" si="3"/>
        <v>2</v>
      </c>
      <c r="T14" s="641">
        <f>LARGE(A$9:A$739,6)</f>
        <v>44805</v>
      </c>
      <c r="U14" s="686">
        <f t="shared" si="4"/>
        <v>3.7327536329659532</v>
      </c>
      <c r="V14" s="651">
        <f t="shared" si="5"/>
        <v>3393.7447184650405</v>
      </c>
    </row>
    <row r="15" spans="1:22">
      <c r="A15" s="641">
        <v>36770</v>
      </c>
      <c r="B15" s="484">
        <v>3.5014810000000001</v>
      </c>
      <c r="C15" s="577">
        <v>1287.8987099999999</v>
      </c>
      <c r="D15" s="617">
        <v>1.521156</v>
      </c>
      <c r="E15" s="484">
        <v>524.73260700000003</v>
      </c>
      <c r="F15" s="484">
        <f t="shared" si="0"/>
        <v>5.0226369999999996</v>
      </c>
      <c r="G15" s="483">
        <f t="shared" si="1"/>
        <v>1812.6313169999999</v>
      </c>
      <c r="H15" s="48">
        <f t="shared" si="2"/>
        <v>2000</v>
      </c>
      <c r="I15" s="49" t="str">
        <f t="shared" si="3"/>
        <v>3</v>
      </c>
      <c r="T15" s="641">
        <f>LARGE(A$9:A$739,5)</f>
        <v>44896</v>
      </c>
      <c r="U15" s="499">
        <f t="shared" si="4"/>
        <v>4.0499971037976366</v>
      </c>
      <c r="V15" s="974">
        <f t="shared" si="5"/>
        <v>3220.5615844755812</v>
      </c>
    </row>
    <row r="16" spans="1:22">
      <c r="A16" s="641">
        <v>36861</v>
      </c>
      <c r="B16" s="639">
        <v>3.459209</v>
      </c>
      <c r="C16" s="1476">
        <v>1191.6063360000001</v>
      </c>
      <c r="D16" s="1250">
        <v>1.391394</v>
      </c>
      <c r="E16" s="639">
        <v>508.49971399999998</v>
      </c>
      <c r="F16" s="639">
        <f t="shared" si="0"/>
        <v>4.8506029999999996</v>
      </c>
      <c r="G16" s="640">
        <f t="shared" si="1"/>
        <v>1700.1060500000001</v>
      </c>
      <c r="H16" s="48">
        <f t="shared" si="2"/>
        <v>2000</v>
      </c>
      <c r="I16" s="49" t="str">
        <f t="shared" si="3"/>
        <v>4</v>
      </c>
      <c r="T16" s="641">
        <f>LARGE(A$9:A$739,4)</f>
        <v>44986</v>
      </c>
      <c r="U16" s="686">
        <f t="shared" si="4"/>
        <v>3.7763522700048782</v>
      </c>
      <c r="V16" s="651">
        <f t="shared" si="5"/>
        <v>2645.6836179367842</v>
      </c>
    </row>
    <row r="17" spans="1:26">
      <c r="A17" s="641">
        <v>36951</v>
      </c>
      <c r="B17" s="484">
        <v>3.7562519999999999</v>
      </c>
      <c r="C17" s="577">
        <v>1238.314519</v>
      </c>
      <c r="D17" s="617">
        <v>1.461999</v>
      </c>
      <c r="E17" s="484">
        <v>472.85967299999999</v>
      </c>
      <c r="F17" s="484">
        <f t="shared" si="0"/>
        <v>5.2182510000000004</v>
      </c>
      <c r="G17" s="483">
        <f t="shared" si="1"/>
        <v>1711.1741919999999</v>
      </c>
      <c r="H17" s="48">
        <f t="shared" si="2"/>
        <v>2001</v>
      </c>
      <c r="I17" s="49" t="str">
        <f t="shared" si="3"/>
        <v>1</v>
      </c>
      <c r="T17" s="641">
        <f>LARGE(A$9:A$739,3)</f>
        <v>45078</v>
      </c>
      <c r="U17" s="499">
        <f t="shared" si="4"/>
        <v>3.5727639356190291</v>
      </c>
      <c r="V17" s="974">
        <f t="shared" si="5"/>
        <v>2478.0316288848817</v>
      </c>
    </row>
    <row r="18" spans="1:26">
      <c r="A18" s="641">
        <v>37043</v>
      </c>
      <c r="B18" s="639">
        <v>3.240332</v>
      </c>
      <c r="C18" s="1476">
        <v>1074.2325169999999</v>
      </c>
      <c r="D18" s="1250">
        <v>1.434911</v>
      </c>
      <c r="E18" s="639">
        <v>478.43494600000002</v>
      </c>
      <c r="F18" s="639">
        <f t="shared" si="0"/>
        <v>4.675243</v>
      </c>
      <c r="G18" s="640">
        <f t="shared" si="1"/>
        <v>1552.667463</v>
      </c>
      <c r="H18" s="48">
        <f t="shared" si="2"/>
        <v>2001</v>
      </c>
      <c r="I18" s="49" t="str">
        <f t="shared" si="3"/>
        <v>2</v>
      </c>
      <c r="T18" s="641">
        <f>LARGE(A$9:A$739,2)</f>
        <v>45170</v>
      </c>
      <c r="U18" s="686">
        <f t="shared" si="4"/>
        <v>3.6146695062510728</v>
      </c>
      <c r="V18" s="651">
        <f t="shared" si="5"/>
        <v>2625.6988614874617</v>
      </c>
    </row>
    <row r="19" spans="1:26" ht="15.75" thickBot="1">
      <c r="A19" s="641">
        <v>37135</v>
      </c>
      <c r="B19" s="484">
        <v>3.5867040000000001</v>
      </c>
      <c r="C19" s="577">
        <v>1115.118109</v>
      </c>
      <c r="D19" s="617">
        <v>1.6060540000000001</v>
      </c>
      <c r="E19" s="484">
        <v>481.962243</v>
      </c>
      <c r="F19" s="484">
        <f t="shared" si="0"/>
        <v>5.1927580000000004</v>
      </c>
      <c r="G19" s="483">
        <f t="shared" si="1"/>
        <v>1597.0803519999999</v>
      </c>
      <c r="H19" s="48">
        <f t="shared" si="2"/>
        <v>2001</v>
      </c>
      <c r="I19" s="49" t="str">
        <f t="shared" si="3"/>
        <v>3</v>
      </c>
      <c r="T19" s="642">
        <f>LARGE(A$9:A$739,1)</f>
        <v>45261</v>
      </c>
      <c r="U19" s="502">
        <f t="shared" si="4"/>
        <v>3.4518815912733034</v>
      </c>
      <c r="V19" s="975">
        <f t="shared" si="5"/>
        <v>2508.9987775526138</v>
      </c>
    </row>
    <row r="20" spans="1:26">
      <c r="A20" s="641">
        <v>37226</v>
      </c>
      <c r="B20" s="639">
        <v>3.477967</v>
      </c>
      <c r="C20" s="1476">
        <v>818.91795400000001</v>
      </c>
      <c r="D20" s="1250">
        <v>1.5121039999999999</v>
      </c>
      <c r="E20" s="639">
        <v>354.651475</v>
      </c>
      <c r="F20" s="639">
        <f t="shared" si="0"/>
        <v>4.9900710000000004</v>
      </c>
      <c r="G20" s="640">
        <f t="shared" si="1"/>
        <v>1173.5694290000001</v>
      </c>
      <c r="H20" s="48">
        <f t="shared" si="2"/>
        <v>2001</v>
      </c>
      <c r="I20" s="49" t="str">
        <f t="shared" si="3"/>
        <v>4</v>
      </c>
      <c r="T20" s="1"/>
    </row>
    <row r="21" spans="1:26">
      <c r="A21" s="641">
        <v>37316</v>
      </c>
      <c r="B21" s="484">
        <v>4.0860620000000001</v>
      </c>
      <c r="C21" s="577">
        <v>1117.3454730000001</v>
      </c>
      <c r="D21" s="617">
        <v>1.5268969999999999</v>
      </c>
      <c r="E21" s="484">
        <v>371.24079799999998</v>
      </c>
      <c r="F21" s="484">
        <f t="shared" si="0"/>
        <v>5.612959</v>
      </c>
      <c r="G21" s="483">
        <f t="shared" si="1"/>
        <v>1488.5862710000001</v>
      </c>
      <c r="H21" s="48">
        <f t="shared" si="2"/>
        <v>2002</v>
      </c>
      <c r="I21" s="49" t="str">
        <f t="shared" si="3"/>
        <v>1</v>
      </c>
      <c r="T21" s="1"/>
    </row>
    <row r="22" spans="1:26">
      <c r="A22" s="641">
        <v>37408</v>
      </c>
      <c r="B22" s="639">
        <v>3.937119</v>
      </c>
      <c r="C22" s="1476">
        <v>1147.3291750000001</v>
      </c>
      <c r="D22" s="1250">
        <v>1.6809480000000001</v>
      </c>
      <c r="E22" s="639">
        <v>472.17899</v>
      </c>
      <c r="F22" s="639">
        <f t="shared" si="0"/>
        <v>5.6180669999999999</v>
      </c>
      <c r="G22" s="640">
        <f t="shared" si="1"/>
        <v>1619.5081650000002</v>
      </c>
      <c r="H22" s="48">
        <f t="shared" si="2"/>
        <v>2002</v>
      </c>
      <c r="I22" s="49" t="str">
        <f t="shared" si="3"/>
        <v>2</v>
      </c>
      <c r="T22" s="1"/>
    </row>
    <row r="23" spans="1:26">
      <c r="A23" s="641">
        <v>37500</v>
      </c>
      <c r="B23" s="484">
        <v>3.7312120000000002</v>
      </c>
      <c r="C23" s="577">
        <v>1198.2107100000001</v>
      </c>
      <c r="D23" s="617">
        <v>1.897149</v>
      </c>
      <c r="E23" s="484">
        <v>573.09577100000001</v>
      </c>
      <c r="F23" s="484">
        <f t="shared" si="0"/>
        <v>5.6283609999999999</v>
      </c>
      <c r="G23" s="483">
        <f t="shared" si="1"/>
        <v>1771.3064810000001</v>
      </c>
      <c r="H23" s="48">
        <f t="shared" si="2"/>
        <v>2002</v>
      </c>
      <c r="I23" s="49" t="str">
        <f t="shared" si="3"/>
        <v>3</v>
      </c>
      <c r="T23" s="1"/>
    </row>
    <row r="24" spans="1:26">
      <c r="A24" s="641">
        <v>37591</v>
      </c>
      <c r="B24" s="639">
        <v>3.5340229999999999</v>
      </c>
      <c r="C24" s="1476">
        <v>1039.8336999999999</v>
      </c>
      <c r="D24" s="1250">
        <v>1.7735669999999999</v>
      </c>
      <c r="E24" s="639">
        <v>512.06028600000002</v>
      </c>
      <c r="F24" s="639">
        <f t="shared" si="0"/>
        <v>5.3075899999999994</v>
      </c>
      <c r="G24" s="640">
        <f t="shared" si="1"/>
        <v>1551.893986</v>
      </c>
      <c r="H24" s="48">
        <f t="shared" si="2"/>
        <v>2002</v>
      </c>
      <c r="I24" s="49" t="str">
        <f t="shared" si="3"/>
        <v>4</v>
      </c>
      <c r="T24" s="1"/>
    </row>
    <row r="25" spans="1:26">
      <c r="A25" s="641">
        <v>37681</v>
      </c>
      <c r="B25" s="484">
        <v>3.1149810000000002</v>
      </c>
      <c r="C25" s="577">
        <v>1059.5078820000001</v>
      </c>
      <c r="D25" s="617">
        <v>1.767471</v>
      </c>
      <c r="E25" s="484">
        <v>585.91432899999995</v>
      </c>
      <c r="F25" s="484">
        <f t="shared" si="0"/>
        <v>4.8824520000000007</v>
      </c>
      <c r="G25" s="483">
        <f t="shared" si="1"/>
        <v>1645.4222110000001</v>
      </c>
      <c r="H25" s="48">
        <f t="shared" si="2"/>
        <v>2003</v>
      </c>
      <c r="I25" s="49" t="str">
        <f t="shared" si="3"/>
        <v>1</v>
      </c>
      <c r="T25" s="1"/>
    </row>
    <row r="26" spans="1:26">
      <c r="A26" s="641">
        <v>37773</v>
      </c>
      <c r="B26" s="639">
        <v>3.6240830000000002</v>
      </c>
      <c r="C26" s="1476">
        <v>960.57250499999998</v>
      </c>
      <c r="D26" s="1250">
        <v>1.4959690000000001</v>
      </c>
      <c r="E26" s="639">
        <v>375.29238700000002</v>
      </c>
      <c r="F26" s="639">
        <f t="shared" si="0"/>
        <v>5.1200520000000003</v>
      </c>
      <c r="G26" s="640">
        <f t="shared" si="1"/>
        <v>1335.8648920000001</v>
      </c>
      <c r="H26" s="48">
        <f t="shared" si="2"/>
        <v>2003</v>
      </c>
      <c r="I26" s="49" t="str">
        <f t="shared" si="3"/>
        <v>2</v>
      </c>
      <c r="T26" s="1"/>
    </row>
    <row r="27" spans="1:26">
      <c r="A27" s="641">
        <v>37865</v>
      </c>
      <c r="B27" s="484">
        <v>3.9139629999999999</v>
      </c>
      <c r="C27" s="577">
        <v>1060.1358299999999</v>
      </c>
      <c r="D27" s="617">
        <v>1.8340510000000001</v>
      </c>
      <c r="E27" s="484">
        <v>480.41519099999999</v>
      </c>
      <c r="F27" s="484">
        <f t="shared" si="0"/>
        <v>5.7480139999999995</v>
      </c>
      <c r="G27" s="483">
        <f t="shared" si="1"/>
        <v>1540.551021</v>
      </c>
      <c r="H27" s="48">
        <f t="shared" si="2"/>
        <v>2003</v>
      </c>
      <c r="I27" s="49" t="str">
        <f t="shared" si="3"/>
        <v>3</v>
      </c>
      <c r="X27" s="378"/>
    </row>
    <row r="28" spans="1:26">
      <c r="A28" s="641">
        <v>37956</v>
      </c>
      <c r="B28" s="639">
        <v>3.466307</v>
      </c>
      <c r="C28" s="1476">
        <v>946.84622999999999</v>
      </c>
      <c r="D28" s="1250">
        <v>1.2962530000000001</v>
      </c>
      <c r="E28" s="639">
        <v>333.37376</v>
      </c>
      <c r="F28" s="639">
        <f t="shared" si="0"/>
        <v>4.7625600000000006</v>
      </c>
      <c r="G28" s="640">
        <f t="shared" si="1"/>
        <v>1280.2199900000001</v>
      </c>
      <c r="H28" s="48">
        <f t="shared" si="2"/>
        <v>2003</v>
      </c>
      <c r="I28" s="49" t="str">
        <f t="shared" si="3"/>
        <v>4</v>
      </c>
    </row>
    <row r="29" spans="1:26">
      <c r="A29" s="641">
        <v>38047</v>
      </c>
      <c r="B29" s="484">
        <v>3.2103959999999998</v>
      </c>
      <c r="C29" s="577">
        <v>909.28289800000005</v>
      </c>
      <c r="D29" s="617">
        <v>1.595933</v>
      </c>
      <c r="E29" s="484">
        <v>450.41567700000002</v>
      </c>
      <c r="F29" s="484">
        <f t="shared" si="0"/>
        <v>4.8063289999999999</v>
      </c>
      <c r="G29" s="483">
        <f t="shared" si="1"/>
        <v>1359.6985750000001</v>
      </c>
      <c r="H29" s="48">
        <f t="shared" si="2"/>
        <v>2004</v>
      </c>
      <c r="I29" s="49" t="str">
        <f t="shared" si="3"/>
        <v>1</v>
      </c>
    </row>
    <row r="30" spans="1:26">
      <c r="A30" s="641">
        <v>38139</v>
      </c>
      <c r="B30" s="639">
        <v>2.63245</v>
      </c>
      <c r="C30" s="1476">
        <v>857.37622999999996</v>
      </c>
      <c r="D30" s="1250">
        <v>1.455247</v>
      </c>
      <c r="E30" s="639">
        <v>483.30196100000001</v>
      </c>
      <c r="F30" s="639">
        <f t="shared" si="0"/>
        <v>4.0876970000000004</v>
      </c>
      <c r="G30" s="640">
        <f t="shared" si="1"/>
        <v>1340.678191</v>
      </c>
      <c r="H30" s="48">
        <f t="shared" si="2"/>
        <v>2004</v>
      </c>
      <c r="I30" s="49" t="str">
        <f t="shared" si="3"/>
        <v>2</v>
      </c>
    </row>
    <row r="31" spans="1:26" ht="15.75" thickBot="1">
      <c r="A31" s="641">
        <v>38231</v>
      </c>
      <c r="B31" s="484">
        <v>3.3540009999999998</v>
      </c>
      <c r="C31" s="577">
        <v>1316.4309470000001</v>
      </c>
      <c r="D31" s="617">
        <v>1.0507740000000001</v>
      </c>
      <c r="E31" s="484">
        <v>585.40628300000003</v>
      </c>
      <c r="F31" s="484">
        <f t="shared" si="0"/>
        <v>4.4047749999999999</v>
      </c>
      <c r="G31" s="483">
        <f t="shared" si="1"/>
        <v>1901.8372300000001</v>
      </c>
      <c r="H31" s="48">
        <f t="shared" si="2"/>
        <v>2004</v>
      </c>
      <c r="I31" s="49" t="str">
        <f t="shared" si="3"/>
        <v>3</v>
      </c>
    </row>
    <row r="32" spans="1:26">
      <c r="A32" s="641">
        <v>38322</v>
      </c>
      <c r="B32" s="639">
        <v>3.0219999999999998</v>
      </c>
      <c r="C32" s="1476">
        <v>1126.22</v>
      </c>
      <c r="D32" s="1250">
        <v>1.381448</v>
      </c>
      <c r="E32" s="639">
        <v>503.84818999999999</v>
      </c>
      <c r="F32" s="639">
        <f t="shared" si="0"/>
        <v>4.403448</v>
      </c>
      <c r="G32" s="640">
        <f t="shared" si="1"/>
        <v>1630.06819</v>
      </c>
      <c r="H32" s="48">
        <f t="shared" si="2"/>
        <v>2004</v>
      </c>
      <c r="I32" s="49" t="str">
        <f t="shared" si="3"/>
        <v>4</v>
      </c>
      <c r="T32" s="1266" t="s">
        <v>247</v>
      </c>
      <c r="U32" s="2084" t="s">
        <v>240</v>
      </c>
      <c r="V32" s="2084"/>
      <c r="W32" s="2084"/>
      <c r="X32" s="2084"/>
      <c r="Y32" s="2084"/>
      <c r="Z32" s="2085"/>
    </row>
    <row r="33" spans="1:26">
      <c r="A33" s="641">
        <v>38412</v>
      </c>
      <c r="B33" s="484">
        <v>2.9159229999999998</v>
      </c>
      <c r="C33" s="577">
        <v>1152.8327589999999</v>
      </c>
      <c r="D33" s="617">
        <v>1.4509399999999999</v>
      </c>
      <c r="E33" s="484">
        <v>557.82519400000001</v>
      </c>
      <c r="F33" s="484">
        <f t="shared" si="0"/>
        <v>4.3668629999999995</v>
      </c>
      <c r="G33" s="483">
        <f t="shared" si="1"/>
        <v>1710.6579529999999</v>
      </c>
      <c r="H33" s="48">
        <f t="shared" si="2"/>
        <v>2005</v>
      </c>
      <c r="I33" s="49" t="str">
        <f t="shared" si="3"/>
        <v>1</v>
      </c>
      <c r="L33" s="55"/>
      <c r="M33" s="55"/>
      <c r="N33" s="55"/>
      <c r="T33" s="2073" t="str">
        <f>CONCATENATE(A5," Quantity And Value By ",U32)</f>
        <v>Crude Oil And Condensate Quantity And Value By Calendar Year</v>
      </c>
      <c r="U33" s="2074"/>
      <c r="V33" s="2074"/>
      <c r="W33" s="2074"/>
      <c r="X33" s="2074"/>
      <c r="Y33" s="2074"/>
      <c r="Z33" s="2075"/>
    </row>
    <row r="34" spans="1:26">
      <c r="A34" s="641">
        <v>38504</v>
      </c>
      <c r="B34" s="639">
        <v>3.4811040000000002</v>
      </c>
      <c r="C34" s="1476">
        <v>1581.3614889999999</v>
      </c>
      <c r="D34" s="1250">
        <v>1.290584</v>
      </c>
      <c r="E34" s="639">
        <v>556.04359999999997</v>
      </c>
      <c r="F34" s="639">
        <f t="shared" si="0"/>
        <v>4.7716880000000002</v>
      </c>
      <c r="G34" s="640">
        <f t="shared" si="1"/>
        <v>2137.4050889999999</v>
      </c>
      <c r="H34" s="48">
        <f t="shared" si="2"/>
        <v>2005</v>
      </c>
      <c r="I34" s="49" t="str">
        <f t="shared" si="3"/>
        <v>2</v>
      </c>
      <c r="L34" s="55"/>
      <c r="M34" s="55"/>
      <c r="N34" s="55"/>
      <c r="T34" s="1486"/>
      <c r="U34" s="2076" t="str">
        <f>B7</f>
        <v>Crude Oil</v>
      </c>
      <c r="V34" s="2077"/>
      <c r="W34" s="2076" t="str">
        <f>D7</f>
        <v>Condensate</v>
      </c>
      <c r="X34" s="2077"/>
      <c r="Y34" s="2078" t="str">
        <f>F7</f>
        <v>Combined Total</v>
      </c>
      <c r="Z34" s="2079"/>
    </row>
    <row r="35" spans="1:26">
      <c r="A35" s="641">
        <v>38596</v>
      </c>
      <c r="B35" s="484">
        <v>3.6096870000000001</v>
      </c>
      <c r="C35" s="577">
        <v>1873.904747</v>
      </c>
      <c r="D35" s="617">
        <v>1.567458</v>
      </c>
      <c r="E35" s="484">
        <v>759.64761499999997</v>
      </c>
      <c r="F35" s="484">
        <f t="shared" si="0"/>
        <v>5.1771450000000003</v>
      </c>
      <c r="G35" s="483">
        <f t="shared" si="1"/>
        <v>2633.5523619999999</v>
      </c>
      <c r="H35" s="48">
        <f t="shared" si="2"/>
        <v>2005</v>
      </c>
      <c r="I35" s="49" t="str">
        <f t="shared" si="3"/>
        <v>3</v>
      </c>
      <c r="L35" s="55"/>
      <c r="M35" s="55"/>
      <c r="N35" s="55"/>
      <c r="T35" s="1481" t="s">
        <v>34</v>
      </c>
      <c r="U35" s="1482" t="str">
        <f>B8</f>
        <v>Quantity (GL)</v>
      </c>
      <c r="V35" s="1483" t="str">
        <f>C8</f>
        <v>Value ($ Million)</v>
      </c>
      <c r="W35" s="1482" t="str">
        <f>D8</f>
        <v>Quantity (GL)</v>
      </c>
      <c r="X35" s="1483" t="str">
        <f>E8</f>
        <v>Value ($ Million)</v>
      </c>
      <c r="Y35" s="1484" t="str">
        <f>F8</f>
        <v>Quantity (GL)</v>
      </c>
      <c r="Z35" s="1485" t="str">
        <f>G8</f>
        <v>Value ($ Million)</v>
      </c>
    </row>
    <row r="36" spans="1:26">
      <c r="A36" s="641">
        <v>38687</v>
      </c>
      <c r="B36" s="639">
        <v>3.1671830000000001</v>
      </c>
      <c r="C36" s="1476">
        <v>1554.1713749999999</v>
      </c>
      <c r="D36" s="1250">
        <v>1.575518</v>
      </c>
      <c r="E36" s="639">
        <v>703.38319000000001</v>
      </c>
      <c r="F36" s="639">
        <f t="shared" si="0"/>
        <v>4.7427010000000003</v>
      </c>
      <c r="G36" s="640">
        <f t="shared" si="1"/>
        <v>2257.5545649999999</v>
      </c>
      <c r="H36" s="48">
        <f t="shared" si="2"/>
        <v>2005</v>
      </c>
      <c r="I36" s="49" t="str">
        <f t="shared" si="3"/>
        <v>4</v>
      </c>
      <c r="L36" s="55"/>
      <c r="M36" s="55"/>
      <c r="N36" s="55"/>
      <c r="T36" s="1748">
        <f t="shared" ref="T36:T53" si="6">IF($U$32="Calendar Year", T37-1, LEFT(T37,4)-1 &amp; "-" &amp; MID(T37,3,2))</f>
        <v>2004</v>
      </c>
      <c r="U36" s="545">
        <f>IF($U$32="Calendar Year",SUMIF($H$9:$H$201,$T36,$B$9:$B$201),SUMIFS($B$9:$B$201,$H$9:$H$201,LEFT($T36,4),$I$9:$I$201,3)+SUMIFS($B$9:$B$201,$H$9:$H$201,LEFT($T36,4),$I$9:$I$201,4)+SUMIFS($B$9:$B$201,$H$9:$H$201,LEFT($T36,4)+1,$I$9:$I$201,1)+SUMIFS($B$9:$B$201,$H$9:$H$201,LEFT($T36,4)+1,$I$9:$I$201,2))</f>
        <v>12.218847</v>
      </c>
      <c r="V36" s="1490">
        <f>IF($U$32="Calendar Year",SUMIF($H$9:$H$201,$T36,$C$9:$C$201),SUMIFS($C$9:$C$201,$H$9:$H$201,LEFT($T36,4),$I$9:$I$201,3)+SUMIFS($C$9:$C$201,$H$9:$H$201,LEFT($T36,4),$I$9:$I$201,4)+SUMIFS($C$9:$C$201,$H$9:$H$201,LEFT($T36,4)+1,$I$9:$I$201,1)+SUMIFS($C$9:$C$201,$H$9:$H$201,LEFT($T36,4)+1,$I$9:$I$201,2))</f>
        <v>4209.3100750000003</v>
      </c>
      <c r="W36" s="1479">
        <f>IF($U$32="Calendar Year",SUMIF($H$9:$H$201,$T36,$D$9:$D$201),SUMIFS($D$9:$D$201,$H$9:$H$201,LEFT($T36,4),$I$9:$I$201,3)+SUMIFS($D$9:$D$201,$H$9:$H$201,LEFT($T36,4),$I$9:$I$201,4)+SUMIFS($D$9:$D$201,$H$9:$H$201,LEFT($T36,4)+1,$I$9:$I$201,1)+SUMIFS($D$9:$D$201,$H$9:$H$201,LEFT($T36,4)+1,$I$9:$I$201,2))</f>
        <v>5.4834019999999999</v>
      </c>
      <c r="X36" s="1490">
        <f>IF($U$32="Calendar Year",SUMIF($H$9:$H$201,$T36,$E$9:$E$201),SUMIFS($E$9:$E$201,$H$9:$H$201,LEFT($T36,4),$I$9:$I$201,3)+SUMIFS($E$9:$E$201,$H$9:$H$201,LEFT($T36,4),$I$9:$I$201,4)+SUMIFS($E$9:$E$201,$H$9:$H$201,LEFT($T36,4)+1,$I$9:$I$201,1)+SUMIFS($E$9:$E$201,$H$9:$H$201,LEFT($T36,4)+1,$I$9:$I$201,2))</f>
        <v>2022.972111</v>
      </c>
      <c r="Y36" s="545">
        <f>IF($U$32="Calendar Year",SUMIF($H$9:$H$201,$T36,$F$9:$F$201),SUMIFS($F$9:$F$201,$H$9:$H$201,LEFT($T36,4),$I$9:$I$201,3)+SUMIFS($F$9:$F$201,$H$9:$H$201,LEFT($T36,4),$I$9:$I$201,4)+SUMIFS($F$9:$F$201,$H$9:$H$201,LEFT($T36,4)+1,$I$9:$I$201,1)+SUMIFS($F$9:$F$201,$H$9:$H$201,LEFT($T36,4)+1,$I$9:$I$201,2))</f>
        <v>17.702249000000002</v>
      </c>
      <c r="Z36" s="1491">
        <f>IF($U$32="Calendar Year",SUMIF($H$9:$H$201,$T36,$G$9:$G$201),SUMIFS($G$9:$G$201,$H$9:$H$201,LEFT($T36,4),$I$9:$I$201,3)+SUMIFS($G$9:$G$201,$H$9:$H$201,LEFT($T36,4),$I$9:$I$201,4)+SUMIFS($G$9:$G$201,$H$9:$H$201,LEFT($T36,4)+1,$I$9:$I$201,1)+SUMIFS($G$9:$G$201,$H$9:$H$201,LEFT($T36,4)+1,$I$9:$I$201,2))</f>
        <v>6232.2821860000004</v>
      </c>
    </row>
    <row r="37" spans="1:26">
      <c r="A37" s="641">
        <v>38777</v>
      </c>
      <c r="B37" s="484">
        <v>2.1416059999999999</v>
      </c>
      <c r="C37" s="577">
        <v>1170.1441870000001</v>
      </c>
      <c r="D37" s="617">
        <v>1.3033360000000001</v>
      </c>
      <c r="E37" s="484">
        <v>673.69742699999995</v>
      </c>
      <c r="F37" s="484">
        <f t="shared" si="0"/>
        <v>3.4449420000000002</v>
      </c>
      <c r="G37" s="483">
        <f t="shared" si="1"/>
        <v>1843.8416139999999</v>
      </c>
      <c r="H37" s="48">
        <f t="shared" si="2"/>
        <v>2006</v>
      </c>
      <c r="I37" s="49" t="str">
        <f t="shared" si="3"/>
        <v>1</v>
      </c>
      <c r="L37" s="55"/>
      <c r="M37" s="55"/>
      <c r="N37" s="55"/>
      <c r="T37" s="1748">
        <f t="shared" si="6"/>
        <v>2005</v>
      </c>
      <c r="U37" s="648">
        <f t="shared" ref="U37:U61" si="7">IF(T37="","",IF($U$32="Calendar Year",SUMIF($H$9:$H$201,$T37,$B$9:$B$201),SUMIFS($B$9:$B$201,$H$9:$H$201,LEFT($T37,4),$I$9:$I$201,3)+SUMIFS($B$9:$B$201,$H$9:$H$201,LEFT($T37,4),$I$9:$I$201,4)+SUMIFS($B$9:$B$201,$H$9:$H$201,LEFT($T37,4)+1,$I$9:$I$201,1)+SUMIFS($B$9:$B$201,$H$9:$H$201,LEFT($T37,4)+1,$I$9:$I$201,2)))</f>
        <v>13.173896999999998</v>
      </c>
      <c r="V37" s="1255">
        <f t="shared" ref="V37:V61" si="8">IF(T37="","",IF($U$32="Calendar Year",SUMIF($H$9:$H$201,$T37,$C$9:$C$201),SUMIFS($C$9:$C$201,$H$9:$H$201,LEFT($T37,4),$I$9:$I$201,3)+SUMIFS($C$9:$C$201,$H$9:$H$201,LEFT($T37,4),$I$9:$I$201,4)+SUMIFS($C$9:$C$201,$H$9:$H$201,LEFT($T37,4)+1,$I$9:$I$201,1)+SUMIFS($C$9:$C$201,$H$9:$H$201,LEFT($T37,4)+1,$I$9:$I$201,2)))</f>
        <v>6162.2703700000002</v>
      </c>
      <c r="W37" s="1478">
        <f t="shared" ref="W37:W61" si="9">IF(T37="","",IF($U$32="Calendar Year",SUMIF($H$9:$H$201,$T37,$D$9:$D$201),SUMIFS($D$9:$D$201,$H$9:$H$201,LEFT($T37,4),$I$9:$I$201,3)+SUMIFS($D$9:$D$201,$H$9:$H$201,LEFT($T37,4),$I$9:$I$201,4)+SUMIFS($D$9:$D$201,$H$9:$H$201,LEFT($T37,4)+1,$I$9:$I$201,1)+SUMIFS($D$9:$D$201,$H$9:$H$201,LEFT($T37,4)+1,$I$9:$I$201,2)))</f>
        <v>5.8845000000000001</v>
      </c>
      <c r="X37" s="1255">
        <f t="shared" ref="X37:X61" si="10">IF(T37="","",IF($U$32="Calendar Year",SUMIF($H$9:$H$201,$T37,$E$9:$E$201),SUMIFS($E$9:$E$201,$H$9:$H$201,LEFT($T37,4),$I$9:$I$201,3)+SUMIFS($E$9:$E$201,$H$9:$H$201,LEFT($T37,4),$I$9:$I$201,4)+SUMIFS($E$9:$E$201,$H$9:$H$201,LEFT($T37,4)+1,$I$9:$I$201,1)+SUMIFS($E$9:$E$201,$H$9:$H$201,LEFT($T37,4)+1,$I$9:$I$201,2)))</f>
        <v>2576.8995989999999</v>
      </c>
      <c r="Y37" s="648">
        <f t="shared" ref="Y37:Y61" si="11">IF(T37="","",IF($U$32="Calendar Year",SUMIF($H$9:$H$201,$T37,$F$9:$F$201),SUMIFS($F$9:$F$201,$H$9:$H$201,LEFT($T37,4),$I$9:$I$201,3)+SUMIFS($F$9:$F$201,$H$9:$H$201,LEFT($T37,4),$I$9:$I$201,4)+SUMIFS($F$9:$F$201,$H$9:$H$201,LEFT($T37,4)+1,$I$9:$I$201,1)+SUMIFS($F$9:$F$201,$H$9:$H$201,LEFT($T37,4)+1,$I$9:$I$201,2)))</f>
        <v>19.058396999999999</v>
      </c>
      <c r="Z37" s="1209">
        <f t="shared" ref="Z37:Z61" si="12">IF(T37="","",IF($U$32="Calendar Year",SUMIF($H$9:$H$201,$T37,$G$9:$G$201),SUMIFS($G$9:$G$201,$H$9:$H$201,LEFT($T37,4),$I$9:$I$201,3)+SUMIFS($G$9:$G$201,$H$9:$H$201,LEFT($T37,4),$I$9:$I$201,4)+SUMIFS($G$9:$G$201,$H$9:$H$201,LEFT($T37,4)+1,$I$9:$I$201,1)+SUMIFS($G$9:$G$201,$H$9:$H$201,LEFT($T37,4)+1,$I$9:$I$201,2)))</f>
        <v>8739.1699690000005</v>
      </c>
    </row>
    <row r="38" spans="1:26">
      <c r="A38" s="641">
        <v>38869</v>
      </c>
      <c r="B38" s="639">
        <v>2.2245020000000002</v>
      </c>
      <c r="C38" s="1476">
        <v>1303.0710779999999</v>
      </c>
      <c r="D38" s="1250">
        <v>1.179875</v>
      </c>
      <c r="E38" s="639">
        <v>654.89832699999999</v>
      </c>
      <c r="F38" s="639">
        <f t="shared" si="0"/>
        <v>3.4043770000000002</v>
      </c>
      <c r="G38" s="640">
        <f t="shared" si="1"/>
        <v>1957.9694049999998</v>
      </c>
      <c r="H38" s="48">
        <f t="shared" si="2"/>
        <v>2006</v>
      </c>
      <c r="I38" s="49" t="str">
        <f t="shared" si="3"/>
        <v>2</v>
      </c>
      <c r="L38" s="55"/>
      <c r="M38" s="55"/>
      <c r="N38" s="55"/>
      <c r="T38" s="1748">
        <f t="shared" si="6"/>
        <v>2006</v>
      </c>
      <c r="U38" s="545">
        <f t="shared" si="7"/>
        <v>11.953792</v>
      </c>
      <c r="V38" s="556">
        <f t="shared" si="8"/>
        <v>6602.8006539999997</v>
      </c>
      <c r="W38" s="1479">
        <f t="shared" si="9"/>
        <v>5.6091509999999998</v>
      </c>
      <c r="X38" s="556">
        <f t="shared" si="10"/>
        <v>2940.1860790000001</v>
      </c>
      <c r="Y38" s="545">
        <f t="shared" si="11"/>
        <v>17.562943000000001</v>
      </c>
      <c r="Z38" s="974">
        <f t="shared" si="12"/>
        <v>9542.9867329999997</v>
      </c>
    </row>
    <row r="39" spans="1:26">
      <c r="A39" s="641">
        <v>38961</v>
      </c>
      <c r="B39" s="484">
        <v>3.8089599999999999</v>
      </c>
      <c r="C39" s="577">
        <v>2275.9902149999998</v>
      </c>
      <c r="D39" s="617">
        <v>1.4312910000000001</v>
      </c>
      <c r="E39" s="484">
        <v>805.00033199999996</v>
      </c>
      <c r="F39" s="484">
        <f t="shared" si="0"/>
        <v>5.2402509999999998</v>
      </c>
      <c r="G39" s="483">
        <f t="shared" si="1"/>
        <v>3080.9905469999999</v>
      </c>
      <c r="H39" s="48">
        <f t="shared" si="2"/>
        <v>2006</v>
      </c>
      <c r="I39" s="49" t="str">
        <f t="shared" si="3"/>
        <v>3</v>
      </c>
      <c r="L39" s="55"/>
      <c r="M39" s="55"/>
      <c r="N39" s="55"/>
      <c r="T39" s="1748">
        <f t="shared" si="6"/>
        <v>2007</v>
      </c>
      <c r="U39" s="648">
        <f t="shared" si="7"/>
        <v>13.195792000000001</v>
      </c>
      <c r="V39" s="1255">
        <f t="shared" si="8"/>
        <v>7384.2922500000004</v>
      </c>
      <c r="W39" s="1478">
        <f t="shared" si="9"/>
        <v>5.8556540000000004</v>
      </c>
      <c r="X39" s="1255">
        <f t="shared" si="10"/>
        <v>3236.7550179999998</v>
      </c>
      <c r="Y39" s="648">
        <f t="shared" si="11"/>
        <v>19.051446000000002</v>
      </c>
      <c r="Z39" s="1209">
        <f t="shared" si="12"/>
        <v>10621.047267999998</v>
      </c>
    </row>
    <row r="40" spans="1:26">
      <c r="A40" s="641">
        <v>39052</v>
      </c>
      <c r="B40" s="639">
        <v>3.778724</v>
      </c>
      <c r="C40" s="1476">
        <v>1853.595174</v>
      </c>
      <c r="D40" s="1250">
        <v>1.6946490000000001</v>
      </c>
      <c r="E40" s="639">
        <v>806.58999300000005</v>
      </c>
      <c r="F40" s="639">
        <f t="shared" si="0"/>
        <v>5.4733730000000005</v>
      </c>
      <c r="G40" s="640">
        <f t="shared" si="1"/>
        <v>2660.1851670000001</v>
      </c>
      <c r="H40" s="48">
        <f t="shared" si="2"/>
        <v>2006</v>
      </c>
      <c r="I40" s="49" t="str">
        <f t="shared" si="3"/>
        <v>4</v>
      </c>
      <c r="L40" s="55"/>
      <c r="M40" s="55"/>
      <c r="N40" s="55"/>
      <c r="T40" s="1748">
        <f t="shared" si="6"/>
        <v>2008</v>
      </c>
      <c r="U40" s="545">
        <f t="shared" si="7"/>
        <v>13.324422</v>
      </c>
      <c r="V40" s="556">
        <f t="shared" si="8"/>
        <v>9737.62032</v>
      </c>
      <c r="W40" s="1479">
        <f t="shared" si="9"/>
        <v>5.7250130000000006</v>
      </c>
      <c r="X40" s="556">
        <f t="shared" si="10"/>
        <v>3512.4169039999997</v>
      </c>
      <c r="Y40" s="545">
        <f t="shared" si="11"/>
        <v>19.049435000000003</v>
      </c>
      <c r="Z40" s="974">
        <f t="shared" si="12"/>
        <v>13250.037224</v>
      </c>
    </row>
    <row r="41" spans="1:26">
      <c r="A41" s="641">
        <v>39142</v>
      </c>
      <c r="B41" s="484">
        <v>3.3568169999999999</v>
      </c>
      <c r="C41" s="577">
        <v>1615.211877</v>
      </c>
      <c r="D41" s="617">
        <v>1.523692</v>
      </c>
      <c r="E41" s="484">
        <v>709.92148099999997</v>
      </c>
      <c r="F41" s="484">
        <f t="shared" si="0"/>
        <v>4.880509</v>
      </c>
      <c r="G41" s="483">
        <f t="shared" si="1"/>
        <v>2325.133358</v>
      </c>
      <c r="H41" s="48">
        <f t="shared" si="2"/>
        <v>2007</v>
      </c>
      <c r="I41" s="49" t="str">
        <f t="shared" si="3"/>
        <v>1</v>
      </c>
      <c r="L41" s="55"/>
      <c r="M41" s="55"/>
      <c r="N41" s="55"/>
      <c r="T41" s="1748">
        <f t="shared" si="6"/>
        <v>2009</v>
      </c>
      <c r="U41" s="648">
        <f t="shared" si="7"/>
        <v>11.246917</v>
      </c>
      <c r="V41" s="1255">
        <f t="shared" si="8"/>
        <v>5505.448018000001</v>
      </c>
      <c r="W41" s="1478">
        <f t="shared" si="9"/>
        <v>7.4925439999999996</v>
      </c>
      <c r="X41" s="1255">
        <f t="shared" si="10"/>
        <v>3121.9567379999999</v>
      </c>
      <c r="Y41" s="648">
        <f t="shared" si="11"/>
        <v>18.739460999999999</v>
      </c>
      <c r="Z41" s="1209">
        <f t="shared" si="12"/>
        <v>8627.4047559999999</v>
      </c>
    </row>
    <row r="42" spans="1:26">
      <c r="A42" s="641">
        <v>39234</v>
      </c>
      <c r="B42" s="639">
        <v>3.3110430000000002</v>
      </c>
      <c r="C42" s="1476">
        <v>1784.7970760000001</v>
      </c>
      <c r="D42" s="1250">
        <v>1.21044</v>
      </c>
      <c r="E42" s="639">
        <v>650.89629300000001</v>
      </c>
      <c r="F42" s="639">
        <f t="shared" si="0"/>
        <v>4.5214829999999999</v>
      </c>
      <c r="G42" s="640">
        <f t="shared" si="1"/>
        <v>2435.6933690000001</v>
      </c>
      <c r="H42" s="48">
        <f t="shared" si="2"/>
        <v>2007</v>
      </c>
      <c r="I42" s="49" t="str">
        <f t="shared" si="3"/>
        <v>2</v>
      </c>
      <c r="L42" s="55"/>
      <c r="M42" s="55"/>
      <c r="N42" s="55"/>
      <c r="T42" s="1748">
        <f t="shared" si="6"/>
        <v>2010</v>
      </c>
      <c r="U42" s="545">
        <f t="shared" si="7"/>
        <v>14.705</v>
      </c>
      <c r="V42" s="556">
        <f t="shared" si="8"/>
        <v>8247.3096310000001</v>
      </c>
      <c r="W42" s="1479">
        <f t="shared" si="9"/>
        <v>7.2155889999999996</v>
      </c>
      <c r="X42" s="556">
        <f t="shared" si="10"/>
        <v>3705.4334779999999</v>
      </c>
      <c r="Y42" s="545">
        <f t="shared" si="11"/>
        <v>21.920589</v>
      </c>
      <c r="Z42" s="974">
        <f t="shared" si="12"/>
        <v>11952.743108999999</v>
      </c>
    </row>
    <row r="43" spans="1:26">
      <c r="A43" s="641">
        <v>39326</v>
      </c>
      <c r="B43" s="484">
        <v>2.9606650000000001</v>
      </c>
      <c r="C43" s="577">
        <v>1682.4630400000001</v>
      </c>
      <c r="D43" s="617">
        <v>1.6522810000000001</v>
      </c>
      <c r="E43" s="484">
        <v>931.52293999999995</v>
      </c>
      <c r="F43" s="484">
        <f t="shared" si="0"/>
        <v>4.612946</v>
      </c>
      <c r="G43" s="483">
        <f t="shared" si="1"/>
        <v>2613.9859799999999</v>
      </c>
      <c r="H43" s="48">
        <f t="shared" si="2"/>
        <v>2007</v>
      </c>
      <c r="I43" s="49" t="str">
        <f t="shared" si="3"/>
        <v>3</v>
      </c>
      <c r="L43" s="55"/>
      <c r="M43" s="55"/>
      <c r="N43" s="55"/>
      <c r="T43" s="1748">
        <f t="shared" si="6"/>
        <v>2011</v>
      </c>
      <c r="U43" s="648">
        <f t="shared" si="7"/>
        <v>12.053493</v>
      </c>
      <c r="V43" s="1255">
        <f t="shared" si="8"/>
        <v>8030.943573999999</v>
      </c>
      <c r="W43" s="1478">
        <f t="shared" si="9"/>
        <v>6.2822269999999998</v>
      </c>
      <c r="X43" s="1255">
        <f t="shared" si="10"/>
        <v>4088.3975260000002</v>
      </c>
      <c r="Y43" s="648">
        <f t="shared" si="11"/>
        <v>18.335720000000002</v>
      </c>
      <c r="Z43" s="1209">
        <f t="shared" si="12"/>
        <v>12119.3411</v>
      </c>
    </row>
    <row r="44" spans="1:26">
      <c r="A44" s="641">
        <v>39417</v>
      </c>
      <c r="B44" s="639">
        <v>3.5672670000000002</v>
      </c>
      <c r="C44" s="1476">
        <v>2301.8202569999999</v>
      </c>
      <c r="D44" s="1250">
        <v>1.469241</v>
      </c>
      <c r="E44" s="639">
        <v>944.41430400000002</v>
      </c>
      <c r="F44" s="639">
        <f t="shared" si="0"/>
        <v>5.0365080000000004</v>
      </c>
      <c r="G44" s="640">
        <f t="shared" si="1"/>
        <v>3246.2345609999998</v>
      </c>
      <c r="H44" s="48">
        <f t="shared" si="2"/>
        <v>2007</v>
      </c>
      <c r="I44" s="49" t="str">
        <f t="shared" si="3"/>
        <v>4</v>
      </c>
      <c r="L44" s="55"/>
      <c r="M44" s="55"/>
      <c r="N44" s="55"/>
      <c r="T44" s="1748">
        <f t="shared" si="6"/>
        <v>2012</v>
      </c>
      <c r="U44" s="545">
        <f t="shared" si="7"/>
        <v>9.9916809999999998</v>
      </c>
      <c r="V44" s="556">
        <f t="shared" si="8"/>
        <v>7099.5935350000009</v>
      </c>
      <c r="W44" s="1479">
        <f t="shared" si="9"/>
        <v>5.9995099999999999</v>
      </c>
      <c r="X44" s="556">
        <f t="shared" si="10"/>
        <v>3862.3011149999998</v>
      </c>
      <c r="Y44" s="545">
        <f t="shared" si="11"/>
        <v>15.991191000000001</v>
      </c>
      <c r="Z44" s="974">
        <f t="shared" si="12"/>
        <v>10961.89465</v>
      </c>
    </row>
    <row r="45" spans="1:26">
      <c r="A45" s="641">
        <v>39508</v>
      </c>
      <c r="B45" s="484">
        <v>2.8385500000000001</v>
      </c>
      <c r="C45" s="577">
        <v>1925.871791</v>
      </c>
      <c r="D45" s="617">
        <v>1.378117</v>
      </c>
      <c r="E45" s="484">
        <v>859.90919799999995</v>
      </c>
      <c r="F45" s="484">
        <f t="shared" si="0"/>
        <v>4.2166670000000002</v>
      </c>
      <c r="G45" s="483">
        <f t="shared" si="1"/>
        <v>2785.7809889999999</v>
      </c>
      <c r="H45" s="48">
        <f t="shared" si="2"/>
        <v>2008</v>
      </c>
      <c r="I45" s="49" t="str">
        <f t="shared" si="3"/>
        <v>1</v>
      </c>
      <c r="L45" s="55"/>
      <c r="M45" s="55"/>
      <c r="N45" s="55"/>
      <c r="T45" s="1748">
        <f t="shared" si="6"/>
        <v>2013</v>
      </c>
      <c r="U45" s="648">
        <f t="shared" si="7"/>
        <v>6.8709769999999999</v>
      </c>
      <c r="V45" s="1255">
        <f t="shared" si="8"/>
        <v>5111.0926730000001</v>
      </c>
      <c r="W45" s="1478">
        <f t="shared" si="9"/>
        <v>5.9572710000000004</v>
      </c>
      <c r="X45" s="1255">
        <f t="shared" si="10"/>
        <v>4116.9220370000003</v>
      </c>
      <c r="Y45" s="648">
        <f t="shared" si="11"/>
        <v>12.828248</v>
      </c>
      <c r="Z45" s="1209">
        <f t="shared" si="12"/>
        <v>9228.0147099999995</v>
      </c>
    </row>
    <row r="46" spans="1:26">
      <c r="A46" s="641">
        <v>39600</v>
      </c>
      <c r="B46" s="639">
        <v>3.2810440000000001</v>
      </c>
      <c r="C46" s="1476">
        <v>2756.0621999999998</v>
      </c>
      <c r="D46" s="1250">
        <v>1.2641169999999999</v>
      </c>
      <c r="E46" s="639">
        <v>958.82342800000004</v>
      </c>
      <c r="F46" s="639">
        <f t="shared" si="0"/>
        <v>4.5451610000000002</v>
      </c>
      <c r="G46" s="640">
        <f t="shared" si="1"/>
        <v>3714.885628</v>
      </c>
      <c r="H46" s="48">
        <f t="shared" si="2"/>
        <v>2008</v>
      </c>
      <c r="I46" s="49" t="str">
        <f t="shared" si="3"/>
        <v>2</v>
      </c>
      <c r="L46" s="55"/>
      <c r="M46" s="55"/>
      <c r="N46" s="55"/>
      <c r="T46" s="1748">
        <f t="shared" si="6"/>
        <v>2014</v>
      </c>
      <c r="U46" s="545">
        <f t="shared" si="7"/>
        <v>7.6083033370000006</v>
      </c>
      <c r="V46" s="556">
        <f t="shared" si="8"/>
        <v>5376.6826141111678</v>
      </c>
      <c r="W46" s="1479">
        <f t="shared" si="9"/>
        <v>4.9160209720000001</v>
      </c>
      <c r="X46" s="556">
        <f t="shared" si="10"/>
        <v>3197.1917031127391</v>
      </c>
      <c r="Y46" s="545">
        <f t="shared" si="11"/>
        <v>12.524324309000001</v>
      </c>
      <c r="Z46" s="974">
        <f t="shared" si="12"/>
        <v>8573.8743172239065</v>
      </c>
    </row>
    <row r="47" spans="1:26">
      <c r="A47" s="641">
        <v>39692</v>
      </c>
      <c r="B47" s="484">
        <v>3.5198800000000001</v>
      </c>
      <c r="C47" s="577">
        <v>3103.9276570000002</v>
      </c>
      <c r="D47" s="617">
        <v>1.433894</v>
      </c>
      <c r="E47" s="484">
        <v>1136.3378419999999</v>
      </c>
      <c r="F47" s="484">
        <f t="shared" si="0"/>
        <v>4.9537740000000001</v>
      </c>
      <c r="G47" s="483">
        <f t="shared" si="1"/>
        <v>4240.2654990000001</v>
      </c>
      <c r="H47" s="48">
        <f t="shared" si="2"/>
        <v>2008</v>
      </c>
      <c r="I47" s="49" t="str">
        <f t="shared" si="3"/>
        <v>3</v>
      </c>
      <c r="L47" s="55"/>
      <c r="M47" s="55"/>
      <c r="N47" s="55"/>
      <c r="T47" s="1748">
        <f t="shared" si="6"/>
        <v>2015</v>
      </c>
      <c r="U47" s="648">
        <f t="shared" si="7"/>
        <v>8.3434177189999996</v>
      </c>
      <c r="V47" s="1255">
        <f t="shared" si="8"/>
        <v>3775.532080309898</v>
      </c>
      <c r="W47" s="1478">
        <f t="shared" si="9"/>
        <v>6.6301182650000001</v>
      </c>
      <c r="X47" s="1255">
        <f t="shared" si="10"/>
        <v>2461.7492792567773</v>
      </c>
      <c r="Y47" s="648">
        <f t="shared" si="11"/>
        <v>14.973535984</v>
      </c>
      <c r="Z47" s="1209">
        <f t="shared" si="12"/>
        <v>6237.2813595666739</v>
      </c>
    </row>
    <row r="48" spans="1:26">
      <c r="A48" s="641">
        <v>39783</v>
      </c>
      <c r="B48" s="639">
        <v>3.6849479999999999</v>
      </c>
      <c r="C48" s="1476">
        <v>1951.7586719999999</v>
      </c>
      <c r="D48" s="1250">
        <v>1.6488849999999999</v>
      </c>
      <c r="E48" s="639">
        <v>557.34643600000004</v>
      </c>
      <c r="F48" s="639">
        <f t="shared" si="0"/>
        <v>5.3338330000000003</v>
      </c>
      <c r="G48" s="640">
        <f t="shared" si="1"/>
        <v>2509.1051079999997</v>
      </c>
      <c r="H48" s="48">
        <f t="shared" si="2"/>
        <v>2008</v>
      </c>
      <c r="I48" s="49" t="str">
        <f t="shared" si="3"/>
        <v>4</v>
      </c>
      <c r="L48" s="55"/>
      <c r="M48" s="55"/>
      <c r="N48" s="55"/>
      <c r="T48" s="1748">
        <f t="shared" si="6"/>
        <v>2016</v>
      </c>
      <c r="U48" s="545">
        <f t="shared" si="7"/>
        <v>5.8139477664729293</v>
      </c>
      <c r="V48" s="556">
        <f t="shared" si="8"/>
        <v>2141.1908967671175</v>
      </c>
      <c r="W48" s="1479">
        <f t="shared" si="9"/>
        <v>6.4569410225498691</v>
      </c>
      <c r="X48" s="556">
        <f t="shared" si="10"/>
        <v>2155.8767689303104</v>
      </c>
      <c r="Y48" s="545">
        <f t="shared" si="11"/>
        <v>12.270888789022798</v>
      </c>
      <c r="Z48" s="974">
        <f t="shared" si="12"/>
        <v>4297.0676656974283</v>
      </c>
    </row>
    <row r="49" spans="1:26">
      <c r="A49" s="641">
        <v>39873</v>
      </c>
      <c r="B49" s="484">
        <v>3.1028630000000001</v>
      </c>
      <c r="C49" s="577">
        <v>1323.92037</v>
      </c>
      <c r="D49" s="617">
        <v>1.8248139999999999</v>
      </c>
      <c r="E49" s="484">
        <v>724.52265999999997</v>
      </c>
      <c r="F49" s="484">
        <f t="shared" si="0"/>
        <v>4.9276770000000001</v>
      </c>
      <c r="G49" s="483">
        <f t="shared" si="1"/>
        <v>2048.4430299999999</v>
      </c>
      <c r="H49" s="48">
        <f t="shared" si="2"/>
        <v>2009</v>
      </c>
      <c r="I49" s="49" t="str">
        <f t="shared" si="3"/>
        <v>1</v>
      </c>
      <c r="L49" s="55"/>
      <c r="M49" s="55"/>
      <c r="N49" s="55"/>
      <c r="T49" s="1748">
        <f t="shared" si="6"/>
        <v>2017</v>
      </c>
      <c r="U49" s="648">
        <f t="shared" si="7"/>
        <v>5.2808384997993141</v>
      </c>
      <c r="V49" s="1255">
        <f t="shared" si="8"/>
        <v>2195.1027535703079</v>
      </c>
      <c r="W49" s="1478">
        <f t="shared" si="9"/>
        <v>6.2651657466368764</v>
      </c>
      <c r="X49" s="1255">
        <f t="shared" si="10"/>
        <v>2554.5251317507627</v>
      </c>
      <c r="Y49" s="648">
        <f t="shared" si="11"/>
        <v>11.54600424643619</v>
      </c>
      <c r="Z49" s="1209">
        <f t="shared" si="12"/>
        <v>4749.6278853210706</v>
      </c>
    </row>
    <row r="50" spans="1:26">
      <c r="A50" s="641">
        <v>39965</v>
      </c>
      <c r="B50" s="639">
        <v>2.7292420000000002</v>
      </c>
      <c r="C50" s="1476">
        <v>1330.8899980000001</v>
      </c>
      <c r="D50" s="1250">
        <v>1.7495080000000001</v>
      </c>
      <c r="E50" s="639">
        <v>690.58035400000006</v>
      </c>
      <c r="F50" s="639">
        <f t="shared" si="0"/>
        <v>4.4787499999999998</v>
      </c>
      <c r="G50" s="640">
        <f t="shared" si="1"/>
        <v>2021.4703520000003</v>
      </c>
      <c r="H50" s="48">
        <f t="shared" si="2"/>
        <v>2009</v>
      </c>
      <c r="I50" s="49" t="str">
        <f t="shared" si="3"/>
        <v>2</v>
      </c>
      <c r="L50" s="55"/>
      <c r="M50" s="55"/>
      <c r="N50" s="55"/>
      <c r="T50" s="1748">
        <f t="shared" si="6"/>
        <v>2018</v>
      </c>
      <c r="U50" s="545">
        <f t="shared" si="7"/>
        <v>3.6381359035488847</v>
      </c>
      <c r="V50" s="556">
        <f t="shared" si="8"/>
        <v>2054.6229974472644</v>
      </c>
      <c r="W50" s="1479">
        <f t="shared" si="9"/>
        <v>8.7816039429353356</v>
      </c>
      <c r="X50" s="556">
        <f t="shared" si="10"/>
        <v>4741.9925009907802</v>
      </c>
      <c r="Y50" s="545">
        <f t="shared" si="11"/>
        <v>12.419739846484219</v>
      </c>
      <c r="Z50" s="974">
        <f t="shared" si="12"/>
        <v>6796.6154984380446</v>
      </c>
    </row>
    <row r="51" spans="1:26">
      <c r="A51" s="641">
        <v>40057</v>
      </c>
      <c r="B51" s="484">
        <v>2.6091690000000001</v>
      </c>
      <c r="C51" s="577">
        <v>1363.1734309999999</v>
      </c>
      <c r="D51" s="617">
        <v>1.9320889999999999</v>
      </c>
      <c r="E51" s="484">
        <v>875.69228799999996</v>
      </c>
      <c r="F51" s="484">
        <f t="shared" si="0"/>
        <v>4.541258</v>
      </c>
      <c r="G51" s="483">
        <f t="shared" si="1"/>
        <v>2238.8657189999999</v>
      </c>
      <c r="H51" s="48">
        <f t="shared" si="2"/>
        <v>2009</v>
      </c>
      <c r="I51" s="49" t="str">
        <f t="shared" si="3"/>
        <v>3</v>
      </c>
      <c r="L51" s="55"/>
      <c r="M51" s="55"/>
      <c r="N51" s="55"/>
      <c r="T51" s="1748">
        <f t="shared" si="6"/>
        <v>2019</v>
      </c>
      <c r="U51" s="648">
        <f t="shared" si="7"/>
        <v>4.4491874086461678</v>
      </c>
      <c r="V51" s="1255">
        <f t="shared" si="8"/>
        <v>2601.3479181443699</v>
      </c>
      <c r="W51" s="1478">
        <f t="shared" si="9"/>
        <v>12.585088887795024</v>
      </c>
      <c r="X51" s="1255">
        <f t="shared" si="10"/>
        <v>6778.9403066019495</v>
      </c>
      <c r="Y51" s="648">
        <f t="shared" si="11"/>
        <v>17.034276296441195</v>
      </c>
      <c r="Z51" s="1209">
        <f t="shared" si="12"/>
        <v>9380.2882247463185</v>
      </c>
    </row>
    <row r="52" spans="1:26">
      <c r="A52" s="641">
        <v>40148</v>
      </c>
      <c r="B52" s="639">
        <v>2.8056429999999999</v>
      </c>
      <c r="C52" s="1476">
        <v>1487.464219</v>
      </c>
      <c r="D52" s="1250">
        <v>1.9861329999999999</v>
      </c>
      <c r="E52" s="639">
        <v>831.16143599999998</v>
      </c>
      <c r="F52" s="639">
        <f t="shared" si="0"/>
        <v>4.7917759999999996</v>
      </c>
      <c r="G52" s="640">
        <f t="shared" si="1"/>
        <v>2318.6256549999998</v>
      </c>
      <c r="H52" s="48">
        <f t="shared" si="2"/>
        <v>2009</v>
      </c>
      <c r="I52" s="49" t="str">
        <f t="shared" si="3"/>
        <v>4</v>
      </c>
      <c r="L52" s="55"/>
      <c r="M52" s="55"/>
      <c r="N52" s="55"/>
      <c r="T52" s="1748">
        <f t="shared" si="6"/>
        <v>2020</v>
      </c>
      <c r="U52" s="545">
        <f t="shared" si="7"/>
        <v>4.579099166592103</v>
      </c>
      <c r="V52" s="556">
        <f t="shared" si="8"/>
        <v>1808.3226180084507</v>
      </c>
      <c r="W52" s="1479">
        <f t="shared" si="9"/>
        <v>11.368146719501418</v>
      </c>
      <c r="X52" s="556">
        <f t="shared" si="10"/>
        <v>3561.4022840852422</v>
      </c>
      <c r="Y52" s="545">
        <f t="shared" si="11"/>
        <v>15.947245886093519</v>
      </c>
      <c r="Z52" s="974">
        <f t="shared" si="12"/>
        <v>5369.7249020936933</v>
      </c>
    </row>
    <row r="53" spans="1:26">
      <c r="A53" s="641">
        <v>40238</v>
      </c>
      <c r="B53" s="484">
        <v>2.347594</v>
      </c>
      <c r="C53" s="577">
        <v>1241.589283</v>
      </c>
      <c r="D53" s="617">
        <v>1.688388</v>
      </c>
      <c r="E53" s="484">
        <v>878.40317000000005</v>
      </c>
      <c r="F53" s="484">
        <f t="shared" si="0"/>
        <v>4.0359819999999997</v>
      </c>
      <c r="G53" s="483">
        <f t="shared" si="1"/>
        <v>2119.9924529999998</v>
      </c>
      <c r="H53" s="48">
        <f t="shared" si="2"/>
        <v>2010</v>
      </c>
      <c r="I53" s="49" t="str">
        <f t="shared" si="3"/>
        <v>1</v>
      </c>
      <c r="L53" s="55"/>
      <c r="M53" s="55"/>
      <c r="N53" s="55"/>
      <c r="T53" s="1748">
        <f t="shared" si="6"/>
        <v>2021</v>
      </c>
      <c r="U53" s="648">
        <f t="shared" si="7"/>
        <v>4.5363177180155692</v>
      </c>
      <c r="V53" s="1255">
        <f t="shared" si="8"/>
        <v>2506.0144250300209</v>
      </c>
      <c r="W53" s="1478">
        <f t="shared" si="9"/>
        <v>12.207822654744978</v>
      </c>
      <c r="X53" s="1255">
        <f t="shared" si="10"/>
        <v>6776.4183667921834</v>
      </c>
      <c r="Y53" s="648">
        <f t="shared" si="11"/>
        <v>16.744140372760548</v>
      </c>
      <c r="Z53" s="1209">
        <f t="shared" si="12"/>
        <v>9282.4327918222043</v>
      </c>
    </row>
    <row r="54" spans="1:26">
      <c r="A54" s="641">
        <v>40330</v>
      </c>
      <c r="B54" s="639">
        <v>4.079669</v>
      </c>
      <c r="C54" s="1476">
        <v>2292.8449110000001</v>
      </c>
      <c r="D54" s="1250">
        <v>1.811402</v>
      </c>
      <c r="E54" s="639">
        <v>915.92936099999997</v>
      </c>
      <c r="F54" s="639">
        <f t="shared" si="0"/>
        <v>5.8910710000000002</v>
      </c>
      <c r="G54" s="640">
        <f t="shared" si="1"/>
        <v>3208.7742720000001</v>
      </c>
      <c r="H54" s="48">
        <f t="shared" si="2"/>
        <v>2010</v>
      </c>
      <c r="I54" s="49" t="str">
        <f t="shared" si="3"/>
        <v>2</v>
      </c>
      <c r="L54" s="55"/>
      <c r="M54" s="55"/>
      <c r="N54" s="55"/>
      <c r="T54" s="1748">
        <f>IF($U$32="Calendar Year", T55-1, LEFT(T55,4)-1 &amp; "-" &amp; MID(T55,3,2))</f>
        <v>2022</v>
      </c>
      <c r="U54" s="545">
        <f t="shared" si="7"/>
        <v>4.4296091064187735</v>
      </c>
      <c r="V54" s="556">
        <f t="shared" si="8"/>
        <v>4062.2428518730471</v>
      </c>
      <c r="W54" s="1479">
        <f t="shared" si="9"/>
        <v>11.120797422918798</v>
      </c>
      <c r="X54" s="556">
        <f t="shared" si="10"/>
        <v>9021.1554735518348</v>
      </c>
      <c r="Y54" s="545">
        <f t="shared" si="11"/>
        <v>15.550406529337572</v>
      </c>
      <c r="Z54" s="974">
        <f t="shared" si="12"/>
        <v>13083.398325424881</v>
      </c>
    </row>
    <row r="55" spans="1:26" ht="15.75" thickBot="1">
      <c r="A55" s="641">
        <v>40422</v>
      </c>
      <c r="B55" s="484">
        <v>4.3708419999999997</v>
      </c>
      <c r="C55" s="577">
        <v>2437.6289529999999</v>
      </c>
      <c r="D55" s="617">
        <v>1.901114</v>
      </c>
      <c r="E55" s="484">
        <v>942.45362899999998</v>
      </c>
      <c r="F55" s="484">
        <f t="shared" si="0"/>
        <v>6.2719559999999994</v>
      </c>
      <c r="G55" s="483">
        <f t="shared" si="1"/>
        <v>3380.082582</v>
      </c>
      <c r="H55" s="48">
        <f t="shared" si="2"/>
        <v>2010</v>
      </c>
      <c r="I55" s="49" t="str">
        <f t="shared" si="3"/>
        <v>3</v>
      </c>
      <c r="L55" s="55"/>
      <c r="M55" s="55"/>
      <c r="N55" s="55"/>
      <c r="T55" s="1749">
        <f>IF($U$32="Calendar Year",
    YEAR(LARGE($A:$A, 4)),
    IF(MONTH(LARGE($A:$A, 4))&gt;6,
        YEAR(LARGE($A:$A, 4)) &amp; "-" &amp; RIGHT(YEAR(LARGE($A:$A, 4))+1),
        YEAR(LARGE($A:$A, 4))-1 &amp; "-" &amp; RIGHT(YEAR(LARGE($A:$A, 4)), 2)
    ))</f>
        <v>2023</v>
      </c>
      <c r="U55" s="1747">
        <f t="shared" si="7"/>
        <v>3.1719679410921118</v>
      </c>
      <c r="V55" s="1309">
        <f t="shared" si="8"/>
        <v>2474.0485476072663</v>
      </c>
      <c r="W55" s="1649">
        <f t="shared" si="9"/>
        <v>11.243699362056173</v>
      </c>
      <c r="X55" s="1309">
        <f t="shared" si="10"/>
        <v>7784.3643382544751</v>
      </c>
      <c r="Y55" s="1747">
        <f t="shared" si="11"/>
        <v>14.415667303148282</v>
      </c>
      <c r="Z55" s="1217">
        <f t="shared" si="12"/>
        <v>10258.412885861742</v>
      </c>
    </row>
    <row r="56" spans="1:26">
      <c r="A56" s="641">
        <v>40513</v>
      </c>
      <c r="B56" s="639">
        <v>3.906895</v>
      </c>
      <c r="C56" s="1476">
        <v>2275.2464839999998</v>
      </c>
      <c r="D56" s="1250">
        <v>1.8146850000000001</v>
      </c>
      <c r="E56" s="639">
        <v>968.64731800000004</v>
      </c>
      <c r="F56" s="639">
        <f t="shared" si="0"/>
        <v>5.7215800000000003</v>
      </c>
      <c r="G56" s="640">
        <f t="shared" si="1"/>
        <v>3243.8938019999996</v>
      </c>
      <c r="H56" s="48">
        <f t="shared" si="2"/>
        <v>2010</v>
      </c>
      <c r="I56" s="49" t="str">
        <f t="shared" si="3"/>
        <v>4</v>
      </c>
      <c r="L56" s="55"/>
      <c r="M56" s="55"/>
      <c r="N56" s="55"/>
      <c r="T56"/>
      <c r="U56"/>
      <c r="V56"/>
      <c r="W56"/>
      <c r="X56"/>
      <c r="Y56"/>
      <c r="Z56"/>
    </row>
    <row r="57" spans="1:26">
      <c r="A57" s="641">
        <v>40603</v>
      </c>
      <c r="B57" s="484">
        <v>2.6924429999999999</v>
      </c>
      <c r="C57" s="577">
        <v>1813.2272929999999</v>
      </c>
      <c r="D57" s="617">
        <v>1.6744270000000001</v>
      </c>
      <c r="E57" s="484">
        <v>1075.0738120000001</v>
      </c>
      <c r="F57" s="484">
        <f t="shared" si="0"/>
        <v>4.3668700000000005</v>
      </c>
      <c r="G57" s="483">
        <f t="shared" si="1"/>
        <v>2888.301105</v>
      </c>
      <c r="H57" s="48">
        <f t="shared" si="2"/>
        <v>2011</v>
      </c>
      <c r="I57" s="49" t="str">
        <f t="shared" si="3"/>
        <v>1</v>
      </c>
      <c r="L57" s="55"/>
      <c r="M57" s="55"/>
      <c r="N57" s="55"/>
      <c r="T57"/>
      <c r="U57"/>
      <c r="V57"/>
      <c r="W57"/>
      <c r="X57"/>
      <c r="Y57"/>
      <c r="Z57"/>
    </row>
    <row r="58" spans="1:26">
      <c r="A58" s="641">
        <v>40695</v>
      </c>
      <c r="B58" s="639">
        <v>2.9546670000000002</v>
      </c>
      <c r="C58" s="1476">
        <v>2002.759791</v>
      </c>
      <c r="D58" s="1250">
        <v>1.491565</v>
      </c>
      <c r="E58" s="639">
        <v>1002.349577</v>
      </c>
      <c r="F58" s="639">
        <f t="shared" si="0"/>
        <v>4.4462320000000002</v>
      </c>
      <c r="G58" s="640">
        <f t="shared" si="1"/>
        <v>3005.1093679999999</v>
      </c>
      <c r="H58" s="48">
        <f t="shared" si="2"/>
        <v>2011</v>
      </c>
      <c r="I58" s="49" t="str">
        <f t="shared" si="3"/>
        <v>2</v>
      </c>
      <c r="L58" s="55"/>
      <c r="M58" s="55"/>
      <c r="N58" s="55"/>
      <c r="T58"/>
      <c r="U58"/>
      <c r="V58"/>
      <c r="W58"/>
      <c r="X58"/>
      <c r="Y58"/>
      <c r="Z58"/>
    </row>
    <row r="59" spans="1:26">
      <c r="A59" s="641">
        <v>40787</v>
      </c>
      <c r="B59" s="484">
        <v>3.020804</v>
      </c>
      <c r="C59" s="577">
        <v>1952.9530339999999</v>
      </c>
      <c r="D59" s="617">
        <v>1.4885489999999999</v>
      </c>
      <c r="E59" s="484">
        <v>986.18390999999997</v>
      </c>
      <c r="F59" s="484">
        <f t="shared" si="0"/>
        <v>4.5093529999999999</v>
      </c>
      <c r="G59" s="483">
        <f t="shared" si="1"/>
        <v>2939.1369439999999</v>
      </c>
      <c r="H59" s="48">
        <f t="shared" si="2"/>
        <v>2011</v>
      </c>
      <c r="I59" s="49" t="str">
        <f t="shared" si="3"/>
        <v>3</v>
      </c>
      <c r="L59" s="55"/>
      <c r="M59" s="55"/>
      <c r="N59" s="55"/>
      <c r="T59"/>
      <c r="U59"/>
      <c r="V59"/>
      <c r="W59"/>
      <c r="X59"/>
      <c r="Y59"/>
      <c r="Z59"/>
    </row>
    <row r="60" spans="1:26">
      <c r="A60" s="641">
        <v>40878</v>
      </c>
      <c r="B60" s="639">
        <v>3.3855789999999999</v>
      </c>
      <c r="C60" s="1476">
        <v>2262.0034559999999</v>
      </c>
      <c r="D60" s="1250">
        <v>1.627686</v>
      </c>
      <c r="E60" s="639">
        <v>1024.790227</v>
      </c>
      <c r="F60" s="639">
        <f t="shared" si="0"/>
        <v>5.0132649999999996</v>
      </c>
      <c r="G60" s="640">
        <f t="shared" si="1"/>
        <v>3286.7936829999999</v>
      </c>
      <c r="H60" s="48">
        <f t="shared" si="2"/>
        <v>2011</v>
      </c>
      <c r="I60" s="49" t="str">
        <f t="shared" si="3"/>
        <v>4</v>
      </c>
      <c r="L60" s="55"/>
      <c r="M60" s="55"/>
      <c r="N60" s="55"/>
      <c r="T60" s="453" t="str">
        <f>IFERROR(IF(YEAR(MAX('Commodity Prices'!$C$9:$C5006))=VALUE(RIGHT(T59,4)),"",IF($U$32="Calendar Year",T59+1,CONCATENATE(LEFT(T59,4)+1,"-",RIGHT(T59,4)+1))),"")</f>
        <v/>
      </c>
      <c r="U60" s="590" t="str">
        <f t="shared" si="7"/>
        <v/>
      </c>
      <c r="V60" s="452" t="str">
        <f t="shared" si="8"/>
        <v/>
      </c>
      <c r="W60" s="590" t="str">
        <f t="shared" si="9"/>
        <v/>
      </c>
      <c r="X60" s="452" t="str">
        <f t="shared" si="10"/>
        <v/>
      </c>
      <c r="Y60" s="590" t="str">
        <f t="shared" si="11"/>
        <v/>
      </c>
      <c r="Z60" s="452" t="str">
        <f t="shared" si="12"/>
        <v/>
      </c>
    </row>
    <row r="61" spans="1:26">
      <c r="A61" s="641">
        <v>40969</v>
      </c>
      <c r="B61" s="484">
        <v>2.409443</v>
      </c>
      <c r="C61" s="577">
        <v>1822.344396</v>
      </c>
      <c r="D61" s="617">
        <v>1.5950839999999999</v>
      </c>
      <c r="E61" s="484">
        <v>1063.177745</v>
      </c>
      <c r="F61" s="484">
        <f t="shared" si="0"/>
        <v>4.0045269999999995</v>
      </c>
      <c r="G61" s="483">
        <f t="shared" si="1"/>
        <v>2885.5221409999999</v>
      </c>
      <c r="H61" s="48">
        <f t="shared" si="2"/>
        <v>2012</v>
      </c>
      <c r="I61" s="49" t="str">
        <f t="shared" si="3"/>
        <v>1</v>
      </c>
      <c r="L61" s="55"/>
      <c r="M61" s="55"/>
      <c r="N61" s="55"/>
      <c r="T61" s="453" t="str">
        <f>IFERROR(IF(YEAR(MAX('Commodity Prices'!$C$9:$C5007))=VALUE(RIGHT(T60,4)),"",IF($U$32="Calendar Year",T60+1,CONCATENATE(LEFT(T60,4)+1,"-",RIGHT(T60,4)+1))),"")</f>
        <v/>
      </c>
      <c r="U61" s="590" t="str">
        <f t="shared" si="7"/>
        <v/>
      </c>
      <c r="V61" s="452" t="str">
        <f t="shared" si="8"/>
        <v/>
      </c>
      <c r="W61" s="590" t="str">
        <f t="shared" si="9"/>
        <v/>
      </c>
      <c r="X61" s="452" t="str">
        <f t="shared" si="10"/>
        <v/>
      </c>
      <c r="Y61" s="590" t="str">
        <f t="shared" si="11"/>
        <v/>
      </c>
      <c r="Z61" s="452" t="str">
        <f t="shared" si="12"/>
        <v/>
      </c>
    </row>
    <row r="62" spans="1:26">
      <c r="A62" s="641">
        <v>41061</v>
      </c>
      <c r="B62" s="639">
        <v>2.30579</v>
      </c>
      <c r="C62" s="1476">
        <v>1639.3325729999999</v>
      </c>
      <c r="D62" s="1250">
        <v>1.177289</v>
      </c>
      <c r="E62" s="639">
        <v>767.95968900000003</v>
      </c>
      <c r="F62" s="639">
        <f t="shared" si="0"/>
        <v>3.483079</v>
      </c>
      <c r="G62" s="640">
        <f t="shared" si="1"/>
        <v>2407.2922619999999</v>
      </c>
      <c r="H62" s="48">
        <f t="shared" si="2"/>
        <v>2012</v>
      </c>
      <c r="I62" s="49" t="str">
        <f t="shared" si="3"/>
        <v>2</v>
      </c>
    </row>
    <row r="63" spans="1:26">
      <c r="A63" s="641">
        <v>41153</v>
      </c>
      <c r="B63" s="484">
        <v>2.6893250000000002</v>
      </c>
      <c r="C63" s="577">
        <v>1878.8416990000001</v>
      </c>
      <c r="D63" s="617">
        <v>1.6682189999999999</v>
      </c>
      <c r="E63" s="484">
        <v>1042.7887109999999</v>
      </c>
      <c r="F63" s="484">
        <f t="shared" si="0"/>
        <v>4.3575439999999999</v>
      </c>
      <c r="G63" s="483">
        <f t="shared" si="1"/>
        <v>2921.6304099999998</v>
      </c>
      <c r="H63" s="48">
        <f t="shared" si="2"/>
        <v>2012</v>
      </c>
      <c r="I63" s="49" t="str">
        <f t="shared" si="3"/>
        <v>3</v>
      </c>
    </row>
    <row r="64" spans="1:26">
      <c r="A64" s="641">
        <v>41244</v>
      </c>
      <c r="B64" s="639">
        <v>2.5871230000000001</v>
      </c>
      <c r="C64" s="1476">
        <v>1759.074867</v>
      </c>
      <c r="D64" s="1250">
        <v>1.558918</v>
      </c>
      <c r="E64" s="639">
        <v>988.37496999999996</v>
      </c>
      <c r="F64" s="639">
        <f t="shared" si="0"/>
        <v>4.1460410000000003</v>
      </c>
      <c r="G64" s="640">
        <f t="shared" si="1"/>
        <v>2747.4498370000001</v>
      </c>
      <c r="H64" s="48">
        <f t="shared" si="2"/>
        <v>2012</v>
      </c>
      <c r="I64" s="49" t="str">
        <f t="shared" si="3"/>
        <v>4</v>
      </c>
    </row>
    <row r="65" spans="1:13">
      <c r="A65" s="641">
        <v>41334</v>
      </c>
      <c r="B65" s="484">
        <v>1.5366310000000001</v>
      </c>
      <c r="C65" s="577">
        <v>1095.996523</v>
      </c>
      <c r="D65" s="617">
        <v>1.429154</v>
      </c>
      <c r="E65" s="484">
        <v>948.41882899999996</v>
      </c>
      <c r="F65" s="484">
        <f t="shared" si="0"/>
        <v>2.9657850000000003</v>
      </c>
      <c r="G65" s="483">
        <f t="shared" si="1"/>
        <v>2044.415352</v>
      </c>
      <c r="H65" s="48">
        <f t="shared" si="2"/>
        <v>2013</v>
      </c>
      <c r="I65" s="49" t="str">
        <f t="shared" si="3"/>
        <v>1</v>
      </c>
    </row>
    <row r="66" spans="1:13">
      <c r="A66" s="641">
        <v>41426</v>
      </c>
      <c r="B66" s="639">
        <v>1.796346</v>
      </c>
      <c r="C66" s="1476">
        <v>1238.145111</v>
      </c>
      <c r="D66" s="1250">
        <v>1.460677</v>
      </c>
      <c r="E66" s="639">
        <v>942.45001400000001</v>
      </c>
      <c r="F66" s="639">
        <f t="shared" si="0"/>
        <v>3.2570230000000002</v>
      </c>
      <c r="G66" s="640">
        <f t="shared" si="1"/>
        <v>2180.5951249999998</v>
      </c>
      <c r="H66" s="48">
        <f t="shared" si="2"/>
        <v>2013</v>
      </c>
      <c r="I66" s="49" t="str">
        <f t="shared" si="3"/>
        <v>2</v>
      </c>
    </row>
    <row r="67" spans="1:13">
      <c r="A67" s="641">
        <v>41518</v>
      </c>
      <c r="B67" s="484">
        <v>1.85368</v>
      </c>
      <c r="C67" s="577">
        <v>1453.3608859999999</v>
      </c>
      <c r="D67" s="617">
        <v>1.6749639999999999</v>
      </c>
      <c r="E67" s="484">
        <v>1203.7449919999999</v>
      </c>
      <c r="F67" s="484">
        <f t="shared" si="0"/>
        <v>3.5286439999999999</v>
      </c>
      <c r="G67" s="483">
        <f t="shared" si="1"/>
        <v>2657.1058779999998</v>
      </c>
      <c r="H67" s="48">
        <f t="shared" si="2"/>
        <v>2013</v>
      </c>
      <c r="I67" s="49" t="str">
        <f t="shared" si="3"/>
        <v>3</v>
      </c>
    </row>
    <row r="68" spans="1:13">
      <c r="A68" s="641">
        <v>41609</v>
      </c>
      <c r="B68" s="639">
        <v>1.68432</v>
      </c>
      <c r="C68" s="1476">
        <v>1323.5901530000001</v>
      </c>
      <c r="D68" s="1250">
        <v>1.392476</v>
      </c>
      <c r="E68" s="639">
        <v>1022.3082020000001</v>
      </c>
      <c r="F68" s="639">
        <f t="shared" si="0"/>
        <v>3.0767959999999999</v>
      </c>
      <c r="G68" s="640">
        <f t="shared" si="1"/>
        <v>2345.8983550000003</v>
      </c>
      <c r="H68" s="48">
        <f t="shared" si="2"/>
        <v>2013</v>
      </c>
      <c r="I68" s="49" t="str">
        <f t="shared" si="3"/>
        <v>4</v>
      </c>
    </row>
    <row r="69" spans="1:13">
      <c r="A69" s="641">
        <v>41699</v>
      </c>
      <c r="B69" s="484">
        <v>1.7543310000000001</v>
      </c>
      <c r="C69" s="577">
        <v>1407.2485658013093</v>
      </c>
      <c r="D69" s="617">
        <v>0.106236</v>
      </c>
      <c r="E69" s="484">
        <v>79.995091938622977</v>
      </c>
      <c r="F69" s="484">
        <v>1.8605670000000001</v>
      </c>
      <c r="G69" s="483">
        <v>1487.2436577399321</v>
      </c>
      <c r="H69" s="48">
        <f t="shared" si="2"/>
        <v>2014</v>
      </c>
      <c r="I69" s="49" t="str">
        <f t="shared" si="3"/>
        <v>1</v>
      </c>
    </row>
    <row r="70" spans="1:13">
      <c r="A70" s="641">
        <v>41791</v>
      </c>
      <c r="B70" s="639">
        <v>1.5749711770000001</v>
      </c>
      <c r="C70" s="1476">
        <v>1201.3203590651353</v>
      </c>
      <c r="D70" s="1250">
        <v>1.225587207</v>
      </c>
      <c r="E70" s="639">
        <v>893.83111607218905</v>
      </c>
      <c r="F70" s="639">
        <v>2.8005583840000003</v>
      </c>
      <c r="G70" s="640">
        <v>2095.1514751373243</v>
      </c>
      <c r="H70" s="48">
        <f t="shared" si="2"/>
        <v>2014</v>
      </c>
      <c r="I70" s="49" t="str">
        <f t="shared" si="3"/>
        <v>2</v>
      </c>
    </row>
    <row r="71" spans="1:13">
      <c r="A71" s="641">
        <v>41883</v>
      </c>
      <c r="B71" s="484">
        <v>1.9036463259999998</v>
      </c>
      <c r="C71" s="577">
        <v>1358.4648318863947</v>
      </c>
      <c r="D71" s="617">
        <v>1.8797281810000002</v>
      </c>
      <c r="E71" s="484">
        <v>1242.6869138642155</v>
      </c>
      <c r="F71" s="484">
        <v>3.783374507</v>
      </c>
      <c r="G71" s="483">
        <v>2601.1517457506102</v>
      </c>
      <c r="H71" s="48">
        <f t="shared" si="2"/>
        <v>2014</v>
      </c>
      <c r="I71" s="49" t="str">
        <f t="shared" si="3"/>
        <v>3</v>
      </c>
    </row>
    <row r="72" spans="1:13">
      <c r="A72" s="641">
        <v>41974</v>
      </c>
      <c r="B72" s="639">
        <v>2.3753548340000004</v>
      </c>
      <c r="C72" s="1476">
        <v>1409.6488573583283</v>
      </c>
      <c r="D72" s="1250">
        <v>1.7044695839999999</v>
      </c>
      <c r="E72" s="639">
        <v>980.67858123771146</v>
      </c>
      <c r="F72" s="639">
        <v>4.0798244180000003</v>
      </c>
      <c r="G72" s="640">
        <v>2390.3274385960399</v>
      </c>
      <c r="H72" s="48">
        <f t="shared" si="2"/>
        <v>2014</v>
      </c>
      <c r="I72" s="49" t="str">
        <f t="shared" si="3"/>
        <v>4</v>
      </c>
    </row>
    <row r="73" spans="1:13">
      <c r="A73" s="641">
        <v>42064</v>
      </c>
      <c r="B73" s="484">
        <v>1.9190555039999999</v>
      </c>
      <c r="C73" s="577">
        <v>885.96239547430002</v>
      </c>
      <c r="D73" s="617">
        <v>1.6808532540000001</v>
      </c>
      <c r="E73" s="484">
        <v>628.76823893000005</v>
      </c>
      <c r="F73" s="484">
        <v>3.5999087580000002</v>
      </c>
      <c r="G73" s="483">
        <v>1514.7306344043</v>
      </c>
      <c r="H73" s="48">
        <f t="shared" si="2"/>
        <v>2015</v>
      </c>
      <c r="I73" s="49" t="str">
        <f t="shared" si="3"/>
        <v>1</v>
      </c>
    </row>
    <row r="74" spans="1:13">
      <c r="A74" s="641">
        <v>42156</v>
      </c>
      <c r="B74" s="639">
        <v>1.754421252</v>
      </c>
      <c r="C74" s="1476">
        <v>913.56207599089998</v>
      </c>
      <c r="D74" s="1250">
        <v>1.48816243</v>
      </c>
      <c r="E74" s="639">
        <v>676.69249649000005</v>
      </c>
      <c r="F74" s="639">
        <v>3.2425836819999998</v>
      </c>
      <c r="G74" s="640">
        <v>1590.2545724808999</v>
      </c>
      <c r="H74" s="48">
        <f>YEAR(A74)</f>
        <v>2015</v>
      </c>
      <c r="I74" s="49" t="str">
        <f t="shared" si="3"/>
        <v>2</v>
      </c>
    </row>
    <row r="75" spans="1:13">
      <c r="A75" s="641">
        <v>42248</v>
      </c>
      <c r="B75" s="484">
        <v>2.632189881</v>
      </c>
      <c r="C75" s="577">
        <v>1183.07002341</v>
      </c>
      <c r="D75" s="617">
        <v>1.6907829999999999</v>
      </c>
      <c r="E75" s="484">
        <v>617.12525978999997</v>
      </c>
      <c r="F75" s="484">
        <v>4.3229728810000001</v>
      </c>
      <c r="G75" s="483">
        <v>1800.1952831999999</v>
      </c>
      <c r="H75" s="48">
        <f>YEAR(A75)</f>
        <v>2015</v>
      </c>
      <c r="I75" s="49" t="str">
        <f>IF(MONTH(A75)=3,"1",IF(MONTH(A75)=6,"2",IF(MONTH(A75)=9,"3","4")))</f>
        <v>3</v>
      </c>
      <c r="M75" s="68"/>
    </row>
    <row r="76" spans="1:13">
      <c r="A76" s="641">
        <v>42339</v>
      </c>
      <c r="B76" s="639">
        <v>2.0377510819999998</v>
      </c>
      <c r="C76" s="1476">
        <v>792.93758543469812</v>
      </c>
      <c r="D76" s="1250">
        <v>1.7703195810000003</v>
      </c>
      <c r="E76" s="639">
        <v>539.16328404677688</v>
      </c>
      <c r="F76" s="639">
        <v>3.8080706630000001</v>
      </c>
      <c r="G76" s="640">
        <v>1332.100869481475</v>
      </c>
      <c r="H76" s="48">
        <f>YEAR(A76)</f>
        <v>2015</v>
      </c>
      <c r="I76" s="49" t="str">
        <f>IF(MONTH(A76)=3,"1",IF(MONTH(A76)=6,"2",IF(MONTH(A76)=9,"3","4")))</f>
        <v>4</v>
      </c>
      <c r="M76" s="68"/>
    </row>
    <row r="77" spans="1:13">
      <c r="A77" s="641">
        <v>42430</v>
      </c>
      <c r="B77" s="484">
        <v>1.6235729555160001</v>
      </c>
      <c r="C77" s="577">
        <v>485.56609615765666</v>
      </c>
      <c r="D77" s="617">
        <v>1.6963439478560001</v>
      </c>
      <c r="E77" s="484">
        <v>508.22006655734356</v>
      </c>
      <c r="F77" s="484">
        <v>3.3199169033720004</v>
      </c>
      <c r="G77" s="483">
        <v>993.78616271500027</v>
      </c>
      <c r="H77" s="49">
        <f t="shared" ref="H77:H126" si="13">YEAR(A77)</f>
        <v>2016</v>
      </c>
      <c r="I77" s="49" t="str">
        <f t="shared" ref="I77:I126" si="14">IF(MONTH(A77)=3,"1",IF(MONTH(A77)=6,"2",IF(MONTH(A77)=9,"3","4")))</f>
        <v>1</v>
      </c>
      <c r="M77" s="68"/>
    </row>
    <row r="78" spans="1:13">
      <c r="A78" s="641">
        <v>42522</v>
      </c>
      <c r="B78" s="639">
        <v>1.3924080700000001</v>
      </c>
      <c r="C78" s="1476">
        <v>582.95899121498041</v>
      </c>
      <c r="D78" s="1250">
        <v>1.6176950826500001</v>
      </c>
      <c r="E78" s="639">
        <v>549.73098896861916</v>
      </c>
      <c r="F78" s="639">
        <v>3.0101031526500002</v>
      </c>
      <c r="G78" s="640">
        <v>1132.6899801835996</v>
      </c>
      <c r="H78" s="49">
        <f t="shared" si="13"/>
        <v>2016</v>
      </c>
      <c r="I78" s="49" t="str">
        <f t="shared" si="14"/>
        <v>2</v>
      </c>
      <c r="M78" s="68"/>
    </row>
    <row r="79" spans="1:13">
      <c r="A79" s="641">
        <v>42614</v>
      </c>
      <c r="B79" s="484">
        <v>1.4007175309569293</v>
      </c>
      <c r="C79" s="577">
        <v>499.02558391892438</v>
      </c>
      <c r="D79" s="617">
        <v>1.5939928130438696</v>
      </c>
      <c r="E79" s="484">
        <v>497.4058869341963</v>
      </c>
      <c r="F79" s="484">
        <v>2.9947103440007989</v>
      </c>
      <c r="G79" s="483">
        <v>996.43147085312069</v>
      </c>
      <c r="H79" s="49">
        <f t="shared" si="13"/>
        <v>2016</v>
      </c>
      <c r="I79" s="49" t="str">
        <f t="shared" si="14"/>
        <v>3</v>
      </c>
    </row>
    <row r="80" spans="1:13">
      <c r="A80" s="641">
        <v>42705</v>
      </c>
      <c r="B80" s="639">
        <v>1.39724921</v>
      </c>
      <c r="C80" s="1476">
        <v>573.64022547555601</v>
      </c>
      <c r="D80" s="1250">
        <v>1.548909179</v>
      </c>
      <c r="E80" s="639">
        <v>600.51982647015154</v>
      </c>
      <c r="F80" s="639">
        <v>2.9461583889999998</v>
      </c>
      <c r="G80" s="640">
        <v>1174.1600519457074</v>
      </c>
      <c r="H80" s="49">
        <f t="shared" si="13"/>
        <v>2016</v>
      </c>
      <c r="I80" s="49" t="str">
        <f t="shared" si="14"/>
        <v>4</v>
      </c>
    </row>
    <row r="81" spans="1:9">
      <c r="A81" s="641">
        <v>42795</v>
      </c>
      <c r="B81" s="484">
        <v>1.2477125822608752</v>
      </c>
      <c r="C81" s="577">
        <v>526.67458358748729</v>
      </c>
      <c r="D81" s="617">
        <v>1.4171939958479354</v>
      </c>
      <c r="E81" s="484">
        <v>585.0665542913265</v>
      </c>
      <c r="F81" s="484">
        <v>2.6649065781088108</v>
      </c>
      <c r="G81" s="483">
        <v>1111.7411378788138</v>
      </c>
      <c r="H81" s="49">
        <f t="shared" si="13"/>
        <v>2017</v>
      </c>
      <c r="I81" s="49" t="str">
        <f t="shared" si="14"/>
        <v>1</v>
      </c>
    </row>
    <row r="82" spans="1:9">
      <c r="A82" s="641">
        <v>42887</v>
      </c>
      <c r="B82" s="639">
        <v>1.3586148576943344</v>
      </c>
      <c r="C82" s="1476">
        <v>528.89454245634249</v>
      </c>
      <c r="D82" s="1250">
        <v>1.4775072660383499</v>
      </c>
      <c r="E82" s="639">
        <v>546.5878885836313</v>
      </c>
      <c r="F82" s="639">
        <v>2.8361221237326841</v>
      </c>
      <c r="G82" s="640">
        <v>1075.4824310399738</v>
      </c>
      <c r="H82" s="49">
        <f t="shared" si="13"/>
        <v>2017</v>
      </c>
      <c r="I82" s="49" t="str">
        <f t="shared" si="14"/>
        <v>2</v>
      </c>
    </row>
    <row r="83" spans="1:9">
      <c r="A83" s="641">
        <v>42979</v>
      </c>
      <c r="B83" s="484">
        <v>1.3921877598441044</v>
      </c>
      <c r="C83" s="577">
        <v>506.9114783529775</v>
      </c>
      <c r="D83" s="617">
        <v>1.6648071947505914</v>
      </c>
      <c r="E83" s="484">
        <v>636.71262850889229</v>
      </c>
      <c r="F83" s="484">
        <v>3.0569949545946957</v>
      </c>
      <c r="G83" s="483">
        <v>1143.6241068618697</v>
      </c>
      <c r="H83" s="49">
        <f t="shared" si="13"/>
        <v>2017</v>
      </c>
      <c r="I83" s="49" t="str">
        <f t="shared" si="14"/>
        <v>3</v>
      </c>
    </row>
    <row r="84" spans="1:9">
      <c r="A84" s="641">
        <v>43070</v>
      </c>
      <c r="B84" s="659">
        <v>1.2823233000000001</v>
      </c>
      <c r="C84" s="648">
        <v>632.6221491735007</v>
      </c>
      <c r="D84" s="1255">
        <v>1.70565729</v>
      </c>
      <c r="E84" s="659">
        <v>786.15806036691288</v>
      </c>
      <c r="F84" s="659">
        <v>2.9879805900000003</v>
      </c>
      <c r="G84" s="649">
        <v>1418.7802095404136</v>
      </c>
      <c r="H84" s="49">
        <f t="shared" si="13"/>
        <v>2017</v>
      </c>
      <c r="I84" s="49" t="str">
        <f t="shared" si="14"/>
        <v>4</v>
      </c>
    </row>
    <row r="85" spans="1:9">
      <c r="A85" s="641">
        <v>43160</v>
      </c>
      <c r="B85" s="585">
        <v>1.2871270533178567</v>
      </c>
      <c r="C85" s="547">
        <v>648.75302970104542</v>
      </c>
      <c r="D85" s="565">
        <v>1.8437004932619911</v>
      </c>
      <c r="E85" s="585">
        <v>837.49113341345833</v>
      </c>
      <c r="F85" s="585">
        <v>3.1308275465798481</v>
      </c>
      <c r="G85" s="548">
        <v>1486.2441631145039</v>
      </c>
      <c r="H85" s="49">
        <f t="shared" si="13"/>
        <v>2018</v>
      </c>
      <c r="I85" s="49" t="str">
        <f t="shared" si="14"/>
        <v>1</v>
      </c>
    </row>
    <row r="86" spans="1:9">
      <c r="A86" s="641">
        <v>43252</v>
      </c>
      <c r="B86" s="659">
        <v>0.91577308126753398</v>
      </c>
      <c r="C86" s="648">
        <v>534.13893120498051</v>
      </c>
      <c r="D86" s="1255">
        <v>1.8986285042582385</v>
      </c>
      <c r="E86" s="659">
        <v>1040.5909760239833</v>
      </c>
      <c r="F86" s="659">
        <v>2.8144015855257725</v>
      </c>
      <c r="G86" s="649">
        <v>1574.7299072289638</v>
      </c>
      <c r="H86" s="49">
        <f t="shared" si="13"/>
        <v>2018</v>
      </c>
      <c r="I86" s="49" t="str">
        <f t="shared" si="14"/>
        <v>2</v>
      </c>
    </row>
    <row r="87" spans="1:9">
      <c r="A87" s="641">
        <v>43344</v>
      </c>
      <c r="B87" s="585">
        <v>0.63538361652746322</v>
      </c>
      <c r="C87" s="547">
        <v>380.5316104664991</v>
      </c>
      <c r="D87" s="565">
        <v>2.3432807112617002</v>
      </c>
      <c r="E87" s="585">
        <v>1519.4288573760846</v>
      </c>
      <c r="F87" s="585">
        <v>2.9786643277891636</v>
      </c>
      <c r="G87" s="548">
        <v>1899.9604678425837</v>
      </c>
      <c r="H87" s="49">
        <f t="shared" si="13"/>
        <v>2018</v>
      </c>
      <c r="I87" s="49" t="str">
        <f t="shared" si="14"/>
        <v>3</v>
      </c>
    </row>
    <row r="88" spans="1:9">
      <c r="A88" s="641">
        <v>43435</v>
      </c>
      <c r="B88" s="659">
        <v>0.79985215243603103</v>
      </c>
      <c r="C88" s="648">
        <v>491.19942607473945</v>
      </c>
      <c r="D88" s="1255">
        <v>2.6959942341534053</v>
      </c>
      <c r="E88" s="659">
        <v>1344.4815341772542</v>
      </c>
      <c r="F88" s="659">
        <v>3.4958463865894362</v>
      </c>
      <c r="G88" s="649">
        <v>1835.6809602519936</v>
      </c>
      <c r="H88" s="49">
        <f t="shared" si="13"/>
        <v>2018</v>
      </c>
      <c r="I88" s="49" t="str">
        <f t="shared" si="14"/>
        <v>4</v>
      </c>
    </row>
    <row r="89" spans="1:9">
      <c r="A89" s="641">
        <v>43525</v>
      </c>
      <c r="B89" s="585">
        <v>0.81325478214387048</v>
      </c>
      <c r="C89" s="547">
        <v>426.15133176893903</v>
      </c>
      <c r="D89" s="565">
        <v>2.736246515615131</v>
      </c>
      <c r="E89" s="585">
        <v>1402.1670854807301</v>
      </c>
      <c r="F89" s="585">
        <v>3.5495012977590017</v>
      </c>
      <c r="G89" s="548">
        <v>1828.318417249669</v>
      </c>
      <c r="H89" s="49">
        <f t="shared" si="13"/>
        <v>2019</v>
      </c>
      <c r="I89" s="49" t="str">
        <f t="shared" si="14"/>
        <v>1</v>
      </c>
    </row>
    <row r="90" spans="1:9">
      <c r="A90" s="771">
        <v>43617</v>
      </c>
      <c r="B90" s="659">
        <v>0.84803135904232207</v>
      </c>
      <c r="C90" s="648">
        <v>542.18310941305901</v>
      </c>
      <c r="D90" s="1255">
        <v>3.3717461001322881</v>
      </c>
      <c r="E90" s="659">
        <v>1897.1890088466639</v>
      </c>
      <c r="F90" s="659">
        <v>4.21977745917461</v>
      </c>
      <c r="G90" s="649">
        <v>2439.3721182597228</v>
      </c>
      <c r="H90" s="49">
        <f t="shared" si="13"/>
        <v>2019</v>
      </c>
      <c r="I90" s="49" t="str">
        <f t="shared" si="14"/>
        <v>2</v>
      </c>
    </row>
    <row r="91" spans="1:9">
      <c r="A91" s="641">
        <v>43709</v>
      </c>
      <c r="B91" s="484">
        <v>1.3054871725512838</v>
      </c>
      <c r="C91" s="577">
        <v>776.2901131169383</v>
      </c>
      <c r="D91" s="617">
        <v>3.3218945465194172</v>
      </c>
      <c r="E91" s="484">
        <v>1741.8421281777153</v>
      </c>
      <c r="F91" s="484">
        <v>4.6273817190707014</v>
      </c>
      <c r="G91" s="483">
        <v>2518.1322412946538</v>
      </c>
      <c r="H91" s="49">
        <f t="shared" si="13"/>
        <v>2019</v>
      </c>
      <c r="I91" s="49" t="str">
        <f t="shared" si="14"/>
        <v>3</v>
      </c>
    </row>
    <row r="92" spans="1:9">
      <c r="A92" s="641">
        <v>43800</v>
      </c>
      <c r="B92" s="639">
        <v>1.4824140949086919</v>
      </c>
      <c r="C92" s="1476">
        <v>856.72336384543371</v>
      </c>
      <c r="D92" s="1250">
        <v>3.1552017255281894</v>
      </c>
      <c r="E92" s="639">
        <v>1737.74208409684</v>
      </c>
      <c r="F92" s="639">
        <v>4.6376158204368814</v>
      </c>
      <c r="G92" s="640">
        <v>2594.4654479422738</v>
      </c>
      <c r="H92" s="49">
        <f t="shared" si="13"/>
        <v>2019</v>
      </c>
      <c r="I92" s="49" t="str">
        <f t="shared" si="14"/>
        <v>4</v>
      </c>
    </row>
    <row r="93" spans="1:9">
      <c r="A93" s="641">
        <v>43891</v>
      </c>
      <c r="B93" s="484">
        <v>1.0675025409046148</v>
      </c>
      <c r="C93" s="577">
        <v>559.33879266544216</v>
      </c>
      <c r="D93" s="617">
        <v>3.0495191078140804</v>
      </c>
      <c r="E93" s="484">
        <v>1407.7398582619549</v>
      </c>
      <c r="F93" s="484">
        <v>4.117021648718695</v>
      </c>
      <c r="G93" s="483">
        <v>1967.0786509273971</v>
      </c>
      <c r="H93" s="49">
        <f t="shared" si="13"/>
        <v>2020</v>
      </c>
      <c r="I93" s="49" t="str">
        <f t="shared" si="14"/>
        <v>1</v>
      </c>
    </row>
    <row r="94" spans="1:9">
      <c r="A94" s="771">
        <v>43983</v>
      </c>
      <c r="B94" s="639">
        <v>1.1506700122763129</v>
      </c>
      <c r="C94" s="1476">
        <v>488.29668991576563</v>
      </c>
      <c r="D94" s="1250">
        <v>2.8143107336357214</v>
      </c>
      <c r="E94" s="639">
        <v>514.54031979087335</v>
      </c>
      <c r="F94" s="639">
        <v>3.9649807459120341</v>
      </c>
      <c r="G94" s="640">
        <v>1002.837009706639</v>
      </c>
      <c r="H94" s="49">
        <f t="shared" si="13"/>
        <v>2020</v>
      </c>
      <c r="I94" s="49" t="str">
        <f t="shared" si="14"/>
        <v>2</v>
      </c>
    </row>
    <row r="95" spans="1:9">
      <c r="A95" s="641">
        <v>44075</v>
      </c>
      <c r="B95" s="484">
        <v>1.1438170922635846</v>
      </c>
      <c r="C95" s="577">
        <v>360.60262378823865</v>
      </c>
      <c r="D95" s="617">
        <v>2.6878528138535964</v>
      </c>
      <c r="E95" s="484">
        <v>797.57481710181094</v>
      </c>
      <c r="F95" s="484">
        <v>3.8316699061171811</v>
      </c>
      <c r="G95" s="483">
        <v>1158.1774408900496</v>
      </c>
      <c r="H95" s="49">
        <f t="shared" si="13"/>
        <v>2020</v>
      </c>
      <c r="I95" s="49" t="str">
        <f t="shared" si="14"/>
        <v>3</v>
      </c>
    </row>
    <row r="96" spans="1:9">
      <c r="A96" s="771">
        <v>44166</v>
      </c>
      <c r="B96" s="639">
        <v>1.2171095211475911</v>
      </c>
      <c r="C96" s="1476">
        <v>400.08451163900446</v>
      </c>
      <c r="D96" s="1250">
        <v>2.8164640641980183</v>
      </c>
      <c r="E96" s="639">
        <v>841.54728893060292</v>
      </c>
      <c r="F96" s="639">
        <v>4.0335735853456089</v>
      </c>
      <c r="G96" s="640">
        <v>1241.6318005696073</v>
      </c>
      <c r="H96" s="49">
        <f t="shared" si="13"/>
        <v>2020</v>
      </c>
      <c r="I96" s="49" t="str">
        <f t="shared" si="14"/>
        <v>4</v>
      </c>
    </row>
    <row r="97" spans="1:9">
      <c r="A97" s="771">
        <v>44256</v>
      </c>
      <c r="B97" s="484">
        <v>1.0029685289131258</v>
      </c>
      <c r="C97" s="577">
        <v>380.89306856127445</v>
      </c>
      <c r="D97" s="617">
        <v>2.9967493091275856</v>
      </c>
      <c r="E97" s="484">
        <v>1288.6065632295674</v>
      </c>
      <c r="F97" s="484">
        <v>3.9997178380407115</v>
      </c>
      <c r="G97" s="483">
        <v>1669.4996317908419</v>
      </c>
      <c r="H97" s="49">
        <f t="shared" si="13"/>
        <v>2021</v>
      </c>
      <c r="I97" s="49" t="str">
        <f t="shared" si="14"/>
        <v>1</v>
      </c>
    </row>
    <row r="98" spans="1:9">
      <c r="A98" s="771">
        <v>44348</v>
      </c>
      <c r="B98" s="639">
        <v>0.97991450160249194</v>
      </c>
      <c r="C98" s="1476">
        <v>533.27065960052209</v>
      </c>
      <c r="D98" s="1250">
        <v>2.61583155540393</v>
      </c>
      <c r="E98" s="639">
        <v>1350.2523579002216</v>
      </c>
      <c r="F98" s="639">
        <v>3.5957460570064219</v>
      </c>
      <c r="G98" s="640">
        <v>1883.5230175007437</v>
      </c>
      <c r="H98" s="49">
        <f t="shared" si="13"/>
        <v>2021</v>
      </c>
      <c r="I98" s="49" t="str">
        <f t="shared" si="14"/>
        <v>2</v>
      </c>
    </row>
    <row r="99" spans="1:9">
      <c r="A99" s="771">
        <v>44440</v>
      </c>
      <c r="B99" s="617">
        <v>1.2370354187667409</v>
      </c>
      <c r="C99" s="577">
        <v>756.84884231990213</v>
      </c>
      <c r="D99" s="617">
        <v>3.42504660350283</v>
      </c>
      <c r="E99" s="484">
        <v>1953.9241879830454</v>
      </c>
      <c r="F99" s="484">
        <v>4.6620820222695709</v>
      </c>
      <c r="G99" s="483">
        <v>2710.7730303029475</v>
      </c>
      <c r="H99" s="49">
        <f t="shared" si="13"/>
        <v>2021</v>
      </c>
      <c r="I99" s="49" t="str">
        <f t="shared" si="14"/>
        <v>3</v>
      </c>
    </row>
    <row r="100" spans="1:9">
      <c r="A100" s="771">
        <v>44531</v>
      </c>
      <c r="B100" s="639">
        <v>1.31639926873321</v>
      </c>
      <c r="C100" s="1476">
        <v>835.00185454832229</v>
      </c>
      <c r="D100" s="1250">
        <v>3.1701951867106324</v>
      </c>
      <c r="E100" s="639">
        <v>2183.6352576793488</v>
      </c>
      <c r="F100" s="639">
        <v>4.4865944554438428</v>
      </c>
      <c r="G100" s="640">
        <v>3018.637112227671</v>
      </c>
      <c r="H100" s="49">
        <f t="shared" si="13"/>
        <v>2021</v>
      </c>
      <c r="I100" s="49" t="str">
        <f t="shared" si="14"/>
        <v>4</v>
      </c>
    </row>
    <row r="101" spans="1:9">
      <c r="A101" s="771">
        <v>44621</v>
      </c>
      <c r="B101" s="617">
        <v>1.0780555805669334</v>
      </c>
      <c r="C101" s="577">
        <v>815.95293072739048</v>
      </c>
      <c r="D101" s="617">
        <v>2.5058020548602378</v>
      </c>
      <c r="E101" s="484">
        <v>1672.9680831096343</v>
      </c>
      <c r="F101" s="484">
        <v>3.5838576354271714</v>
      </c>
      <c r="G101" s="483">
        <v>2488.9210138370249</v>
      </c>
      <c r="H101" s="49">
        <f t="shared" si="13"/>
        <v>2022</v>
      </c>
      <c r="I101" s="49" t="str">
        <f t="shared" si="14"/>
        <v>1</v>
      </c>
    </row>
    <row r="102" spans="1:9">
      <c r="A102" s="771">
        <v>44713</v>
      </c>
      <c r="B102" s="639">
        <v>1.2068792455549742</v>
      </c>
      <c r="C102" s="1476">
        <v>1173.2957507571414</v>
      </c>
      <c r="D102" s="1250">
        <v>2.9769189115918375</v>
      </c>
      <c r="E102" s="639">
        <v>2806.8752578900935</v>
      </c>
      <c r="F102" s="639">
        <v>4.1837981571468115</v>
      </c>
      <c r="G102" s="640">
        <v>3980.1710086472349</v>
      </c>
      <c r="H102" s="49">
        <f t="shared" si="13"/>
        <v>2022</v>
      </c>
      <c r="I102" s="49" t="str">
        <f t="shared" si="14"/>
        <v>2</v>
      </c>
    </row>
    <row r="103" spans="1:9">
      <c r="A103" s="771">
        <v>44805</v>
      </c>
      <c r="B103" s="617">
        <v>1.0171298919970737</v>
      </c>
      <c r="C103" s="577">
        <v>1022.9681907976797</v>
      </c>
      <c r="D103" s="617">
        <v>2.7156237409688795</v>
      </c>
      <c r="E103" s="484">
        <v>2370.7765276673608</v>
      </c>
      <c r="F103" s="484">
        <v>3.7327536329659532</v>
      </c>
      <c r="G103" s="483">
        <v>3393.7447184650405</v>
      </c>
      <c r="H103" s="49">
        <f t="shared" si="13"/>
        <v>2022</v>
      </c>
      <c r="I103" s="49" t="str">
        <f t="shared" si="14"/>
        <v>3</v>
      </c>
    </row>
    <row r="104" spans="1:9">
      <c r="A104" s="771">
        <v>44896</v>
      </c>
      <c r="B104" s="639">
        <v>1.1275443882997926</v>
      </c>
      <c r="C104" s="1476">
        <v>1050.0259795908355</v>
      </c>
      <c r="D104" s="1250">
        <v>2.9224527154978435</v>
      </c>
      <c r="E104" s="639">
        <v>2170.5356048847457</v>
      </c>
      <c r="F104" s="639">
        <v>4.0499971037976366</v>
      </c>
      <c r="G104" s="640">
        <v>3220.5615844755812</v>
      </c>
      <c r="H104" s="49">
        <f>YEAR(A104)</f>
        <v>2022</v>
      </c>
      <c r="I104" s="49" t="str">
        <f>IF(MONTH(A104)=3,"1",IF(MONTH(A104)=6,"2",IF(MONTH(A104)=9,"3","4")))</f>
        <v>4</v>
      </c>
    </row>
    <row r="105" spans="1:9">
      <c r="A105" s="771">
        <v>44986</v>
      </c>
      <c r="B105" s="617">
        <v>0.73160378899454714</v>
      </c>
      <c r="C105" s="577">
        <v>590.05322288589434</v>
      </c>
      <c r="D105" s="617">
        <v>3.0447484810103309</v>
      </c>
      <c r="E105" s="484">
        <v>2055.63039505089</v>
      </c>
      <c r="F105" s="484">
        <v>3.7763522700048782</v>
      </c>
      <c r="G105" s="483">
        <v>2645.6836179367842</v>
      </c>
      <c r="H105" s="49">
        <f t="shared" si="13"/>
        <v>2023</v>
      </c>
      <c r="I105" s="49" t="str">
        <f t="shared" si="14"/>
        <v>1</v>
      </c>
    </row>
    <row r="106" spans="1:9">
      <c r="A106" s="771">
        <v>45078</v>
      </c>
      <c r="B106" s="639">
        <v>0.57199437223051242</v>
      </c>
      <c r="C106" s="1476">
        <v>433.89579663762203</v>
      </c>
      <c r="D106" s="1250">
        <v>3.0007695633885167</v>
      </c>
      <c r="E106" s="639">
        <v>2044.1358322472597</v>
      </c>
      <c r="F106" s="639">
        <v>3.5727639356190291</v>
      </c>
      <c r="G106" s="640">
        <v>2478.0316288848817</v>
      </c>
      <c r="H106" s="49">
        <f t="shared" si="13"/>
        <v>2023</v>
      </c>
      <c r="I106" s="49" t="str">
        <f t="shared" si="14"/>
        <v>2</v>
      </c>
    </row>
    <row r="107" spans="1:9">
      <c r="A107" s="771">
        <v>45170</v>
      </c>
      <c r="B107" s="617">
        <v>0.91254752385021298</v>
      </c>
      <c r="C107" s="577">
        <v>721.7746446902147</v>
      </c>
      <c r="D107" s="617">
        <v>2.7021219824008598</v>
      </c>
      <c r="E107" s="484">
        <v>1903.9242167972468</v>
      </c>
      <c r="F107" s="484">
        <v>3.6146695062510728</v>
      </c>
      <c r="G107" s="483">
        <v>2625.6988614874617</v>
      </c>
      <c r="H107" s="49">
        <f t="shared" si="13"/>
        <v>2023</v>
      </c>
      <c r="I107" s="49" t="str">
        <f t="shared" si="14"/>
        <v>3</v>
      </c>
    </row>
    <row r="108" spans="1:9" ht="15.75" thickBot="1">
      <c r="A108" s="1679">
        <v>45261</v>
      </c>
      <c r="B108" s="1652">
        <v>0.95582225601683934</v>
      </c>
      <c r="C108" s="1653">
        <v>728.32488339353529</v>
      </c>
      <c r="D108" s="1654">
        <v>2.4960593352564642</v>
      </c>
      <c r="E108" s="1652">
        <v>1780.6738941590786</v>
      </c>
      <c r="F108" s="1652">
        <v>3.4518815912733034</v>
      </c>
      <c r="G108" s="1655">
        <v>2508.9987775526138</v>
      </c>
      <c r="H108" s="49">
        <f t="shared" si="13"/>
        <v>2023</v>
      </c>
      <c r="I108" s="49" t="str">
        <f t="shared" si="14"/>
        <v>4</v>
      </c>
    </row>
    <row r="109" spans="1:9">
      <c r="G109" s="14"/>
      <c r="H109" s="49">
        <f t="shared" si="13"/>
        <v>1900</v>
      </c>
      <c r="I109" s="49" t="str">
        <f t="shared" si="14"/>
        <v>4</v>
      </c>
    </row>
    <row r="110" spans="1:9">
      <c r="G110" s="14"/>
      <c r="H110" s="49">
        <f t="shared" si="13"/>
        <v>1900</v>
      </c>
      <c r="I110" s="49" t="str">
        <f t="shared" si="14"/>
        <v>4</v>
      </c>
    </row>
    <row r="111" spans="1:9">
      <c r="G111" s="14"/>
      <c r="H111" s="49">
        <f t="shared" si="13"/>
        <v>1900</v>
      </c>
      <c r="I111" s="49" t="str">
        <f t="shared" si="14"/>
        <v>4</v>
      </c>
    </row>
    <row r="112" spans="1:9">
      <c r="G112" s="14"/>
      <c r="H112" s="49">
        <f t="shared" si="13"/>
        <v>1900</v>
      </c>
      <c r="I112" s="49" t="str">
        <f t="shared" si="14"/>
        <v>4</v>
      </c>
    </row>
    <row r="113" spans="7:9">
      <c r="G113" s="14"/>
      <c r="H113" s="49">
        <f t="shared" si="13"/>
        <v>1900</v>
      </c>
      <c r="I113" s="49" t="str">
        <f t="shared" si="14"/>
        <v>4</v>
      </c>
    </row>
    <row r="114" spans="7:9">
      <c r="G114" s="14"/>
      <c r="H114" s="49">
        <f t="shared" si="13"/>
        <v>1900</v>
      </c>
      <c r="I114" s="49" t="str">
        <f t="shared" si="14"/>
        <v>4</v>
      </c>
    </row>
    <row r="115" spans="7:9">
      <c r="G115" s="14"/>
      <c r="H115" s="49">
        <f t="shared" si="13"/>
        <v>1900</v>
      </c>
      <c r="I115" s="49" t="str">
        <f t="shared" si="14"/>
        <v>4</v>
      </c>
    </row>
    <row r="116" spans="7:9">
      <c r="G116" s="14"/>
      <c r="H116" s="49">
        <f t="shared" si="13"/>
        <v>1900</v>
      </c>
      <c r="I116" s="49" t="str">
        <f t="shared" si="14"/>
        <v>4</v>
      </c>
    </row>
    <row r="117" spans="7:9">
      <c r="G117" s="14"/>
      <c r="H117" s="49">
        <f t="shared" si="13"/>
        <v>1900</v>
      </c>
      <c r="I117" s="49" t="str">
        <f t="shared" si="14"/>
        <v>4</v>
      </c>
    </row>
    <row r="118" spans="7:9">
      <c r="G118" s="14"/>
      <c r="H118" s="49">
        <f t="shared" si="13"/>
        <v>1900</v>
      </c>
      <c r="I118" s="49" t="str">
        <f t="shared" si="14"/>
        <v>4</v>
      </c>
    </row>
    <row r="119" spans="7:9">
      <c r="G119" s="14"/>
      <c r="H119" s="49">
        <f t="shared" si="13"/>
        <v>1900</v>
      </c>
      <c r="I119" s="49" t="str">
        <f t="shared" si="14"/>
        <v>4</v>
      </c>
    </row>
    <row r="120" spans="7:9">
      <c r="G120" s="14"/>
      <c r="H120" s="49">
        <f t="shared" si="13"/>
        <v>1900</v>
      </c>
      <c r="I120" s="49" t="str">
        <f t="shared" si="14"/>
        <v>4</v>
      </c>
    </row>
    <row r="121" spans="7:9">
      <c r="G121" s="14"/>
      <c r="H121" s="49">
        <f t="shared" si="13"/>
        <v>1900</v>
      </c>
      <c r="I121" s="49" t="str">
        <f t="shared" si="14"/>
        <v>4</v>
      </c>
    </row>
    <row r="122" spans="7:9">
      <c r="G122" s="14"/>
      <c r="H122" s="49">
        <f t="shared" si="13"/>
        <v>1900</v>
      </c>
      <c r="I122" s="49" t="str">
        <f t="shared" si="14"/>
        <v>4</v>
      </c>
    </row>
    <row r="123" spans="7:9">
      <c r="G123" s="14"/>
      <c r="H123" s="49">
        <f t="shared" si="13"/>
        <v>1900</v>
      </c>
      <c r="I123" s="49" t="str">
        <f t="shared" si="14"/>
        <v>4</v>
      </c>
    </row>
    <row r="124" spans="7:9">
      <c r="G124" s="14"/>
      <c r="H124" s="49">
        <f t="shared" si="13"/>
        <v>1900</v>
      </c>
      <c r="I124" s="49" t="str">
        <f t="shared" si="14"/>
        <v>4</v>
      </c>
    </row>
    <row r="125" spans="7:9">
      <c r="G125" s="14"/>
      <c r="H125" s="49">
        <f t="shared" si="13"/>
        <v>1900</v>
      </c>
      <c r="I125" s="49" t="str">
        <f t="shared" si="14"/>
        <v>4</v>
      </c>
    </row>
    <row r="126" spans="7:9">
      <c r="G126" s="14"/>
      <c r="H126" s="49">
        <f t="shared" si="13"/>
        <v>1900</v>
      </c>
      <c r="I126" s="49" t="str">
        <f t="shared" si="14"/>
        <v>4</v>
      </c>
    </row>
    <row r="127" spans="7:9">
      <c r="G127" s="14"/>
      <c r="H127" s="50"/>
    </row>
    <row r="128" spans="7:9">
      <c r="G128" s="14"/>
      <c r="H128" s="50"/>
    </row>
    <row r="129" spans="7:8">
      <c r="G129" s="14"/>
      <c r="H129" s="50"/>
    </row>
    <row r="130" spans="7:8">
      <c r="G130" s="14"/>
      <c r="H130" s="50"/>
    </row>
    <row r="131" spans="7:8">
      <c r="G131" s="14"/>
      <c r="H131" s="50"/>
    </row>
    <row r="132" spans="7:8">
      <c r="G132" s="14"/>
      <c r="H132" s="50"/>
    </row>
    <row r="133" spans="7:8">
      <c r="G133" s="14"/>
      <c r="H133" s="50"/>
    </row>
    <row r="134" spans="7:8">
      <c r="G134" s="14"/>
      <c r="H134" s="50"/>
    </row>
    <row r="135" spans="7:8">
      <c r="G135" s="14"/>
      <c r="H135" s="50"/>
    </row>
    <row r="136" spans="7:8">
      <c r="G136" s="14"/>
      <c r="H136" s="50"/>
    </row>
    <row r="137" spans="7:8">
      <c r="G137" s="14"/>
      <c r="H137" s="50"/>
    </row>
    <row r="138" spans="7:8">
      <c r="G138" s="14"/>
      <c r="H138" s="50"/>
    </row>
    <row r="139" spans="7:8">
      <c r="G139" s="14"/>
      <c r="H139" s="50"/>
    </row>
    <row r="140" spans="7:8">
      <c r="G140" s="14"/>
      <c r="H140" s="50"/>
    </row>
    <row r="141" spans="7:8">
      <c r="G141" s="14"/>
      <c r="H141" s="50"/>
    </row>
    <row r="142" spans="7:8">
      <c r="G142" s="14"/>
      <c r="H142" s="50"/>
    </row>
    <row r="143" spans="7:8">
      <c r="G143" s="14"/>
      <c r="H143" s="50"/>
    </row>
    <row r="144" spans="7:8">
      <c r="G144" s="14"/>
      <c r="H144" s="50"/>
    </row>
    <row r="145" spans="7:8">
      <c r="G145" s="14"/>
      <c r="H145" s="50"/>
    </row>
    <row r="146" spans="7:8">
      <c r="G146" s="14"/>
      <c r="H146" s="50"/>
    </row>
    <row r="147" spans="7:8">
      <c r="G147" s="14"/>
      <c r="H147" s="50"/>
    </row>
    <row r="148" spans="7:8">
      <c r="G148" s="14"/>
      <c r="H148" s="50"/>
    </row>
    <row r="149" spans="7:8">
      <c r="G149" s="14"/>
      <c r="H149" s="50"/>
    </row>
    <row r="150" spans="7:8">
      <c r="G150" s="14"/>
      <c r="H150" s="50"/>
    </row>
    <row r="151" spans="7:8">
      <c r="G151" s="14"/>
      <c r="H151" s="50"/>
    </row>
    <row r="152" spans="7:8">
      <c r="G152" s="14"/>
      <c r="H152" s="50"/>
    </row>
    <row r="153" spans="7:8">
      <c r="G153" s="14"/>
      <c r="H153" s="50"/>
    </row>
    <row r="154" spans="7:8">
      <c r="G154" s="14"/>
      <c r="H154" s="50"/>
    </row>
    <row r="155" spans="7:8">
      <c r="G155" s="14"/>
      <c r="H155" s="50"/>
    </row>
    <row r="156" spans="7:8">
      <c r="G156" s="14"/>
      <c r="H156" s="50"/>
    </row>
    <row r="157" spans="7:8">
      <c r="G157" s="14"/>
      <c r="H157" s="50"/>
    </row>
    <row r="158" spans="7:8">
      <c r="G158" s="14"/>
      <c r="H158" s="50"/>
    </row>
    <row r="159" spans="7:8">
      <c r="G159" s="14"/>
      <c r="H159" s="50"/>
    </row>
    <row r="160" spans="7:8">
      <c r="G160" s="14"/>
      <c r="H160" s="50"/>
    </row>
    <row r="161" spans="7:8">
      <c r="G161" s="14"/>
      <c r="H161" s="50"/>
    </row>
    <row r="162" spans="7:8">
      <c r="G162" s="14"/>
      <c r="H162" s="50"/>
    </row>
    <row r="163" spans="7:8">
      <c r="G163" s="14"/>
      <c r="H163" s="50"/>
    </row>
    <row r="164" spans="7:8">
      <c r="G164" s="14"/>
      <c r="H164" s="50"/>
    </row>
    <row r="165" spans="7:8">
      <c r="G165" s="14"/>
      <c r="H165" s="50"/>
    </row>
    <row r="166" spans="7:8">
      <c r="G166" s="14"/>
      <c r="H166" s="50"/>
    </row>
    <row r="167" spans="7:8">
      <c r="G167" s="14"/>
      <c r="H167" s="50"/>
    </row>
    <row r="168" spans="7:8">
      <c r="G168" s="14"/>
      <c r="H168" s="50"/>
    </row>
    <row r="169" spans="7:8">
      <c r="G169" s="14"/>
      <c r="H169" s="50"/>
    </row>
    <row r="170" spans="7:8">
      <c r="G170" s="14"/>
      <c r="H170" s="50"/>
    </row>
    <row r="171" spans="7:8">
      <c r="G171" s="14"/>
      <c r="H171" s="50"/>
    </row>
    <row r="172" spans="7:8">
      <c r="G172" s="14"/>
      <c r="H172" s="50"/>
    </row>
    <row r="173" spans="7:8">
      <c r="G173" s="14"/>
      <c r="H173" s="50"/>
    </row>
    <row r="174" spans="7:8">
      <c r="G174" s="14"/>
      <c r="H174" s="50"/>
    </row>
    <row r="175" spans="7:8">
      <c r="G175" s="14"/>
      <c r="H175" s="50"/>
    </row>
    <row r="176" spans="7:8">
      <c r="G176" s="14"/>
      <c r="H176" s="50"/>
    </row>
    <row r="177" spans="7:8">
      <c r="G177" s="14"/>
      <c r="H177" s="50"/>
    </row>
    <row r="178" spans="7:8">
      <c r="G178" s="14"/>
      <c r="H178" s="50"/>
    </row>
    <row r="179" spans="7:8">
      <c r="G179" s="14"/>
      <c r="H179" s="50"/>
    </row>
    <row r="180" spans="7:8">
      <c r="G180" s="14"/>
      <c r="H180" s="50"/>
    </row>
    <row r="181" spans="7:8">
      <c r="G181" s="14"/>
      <c r="H181" s="50"/>
    </row>
    <row r="182" spans="7:8">
      <c r="G182" s="14"/>
      <c r="H182" s="50"/>
    </row>
    <row r="183" spans="7:8">
      <c r="G183" s="14"/>
      <c r="H183" s="50"/>
    </row>
    <row r="184" spans="7:8">
      <c r="G184" s="14"/>
      <c r="H184" s="50"/>
    </row>
    <row r="185" spans="7:8">
      <c r="G185" s="14"/>
      <c r="H185" s="50"/>
    </row>
    <row r="186" spans="7:8">
      <c r="G186" s="14"/>
      <c r="H186" s="50"/>
    </row>
    <row r="187" spans="7:8">
      <c r="G187" s="14"/>
      <c r="H187" s="50"/>
    </row>
    <row r="188" spans="7:8">
      <c r="G188" s="14"/>
      <c r="H188" s="50"/>
    </row>
    <row r="189" spans="7:8">
      <c r="G189" s="14"/>
      <c r="H189" s="50"/>
    </row>
    <row r="190" spans="7:8">
      <c r="G190" s="14"/>
      <c r="H190" s="50"/>
    </row>
    <row r="191" spans="7:8">
      <c r="G191" s="14"/>
      <c r="H191" s="50"/>
    </row>
    <row r="192" spans="7:8">
      <c r="G192" s="14"/>
      <c r="H192" s="50"/>
    </row>
    <row r="193" spans="7:8">
      <c r="G193" s="14"/>
      <c r="H193" s="50"/>
    </row>
    <row r="194" spans="7:8">
      <c r="G194" s="14"/>
      <c r="H194" s="50"/>
    </row>
    <row r="195" spans="7:8">
      <c r="G195" s="14"/>
      <c r="H195" s="50"/>
    </row>
    <row r="196" spans="7:8">
      <c r="G196" s="14"/>
      <c r="H196" s="50"/>
    </row>
    <row r="197" spans="7:8">
      <c r="G197" s="14"/>
      <c r="H197" s="50"/>
    </row>
    <row r="198" spans="7:8">
      <c r="G198" s="14"/>
      <c r="H198" s="50"/>
    </row>
    <row r="199" spans="7:8">
      <c r="G199" s="14"/>
      <c r="H199" s="50"/>
    </row>
    <row r="200" spans="7:8">
      <c r="G200" s="14"/>
      <c r="H200" s="50"/>
    </row>
    <row r="201" spans="7:8">
      <c r="G201" s="14"/>
      <c r="H201" s="50"/>
    </row>
    <row r="202" spans="7:8">
      <c r="G202" s="14"/>
      <c r="H202" s="50"/>
    </row>
    <row r="203" spans="7:8">
      <c r="G203" s="14"/>
      <c r="H203" s="50"/>
    </row>
    <row r="204" spans="7:8">
      <c r="G204" s="14"/>
      <c r="H204" s="50"/>
    </row>
    <row r="205" spans="7:8">
      <c r="G205" s="14"/>
      <c r="H205" s="50"/>
    </row>
    <row r="206" spans="7:8">
      <c r="G206" s="14"/>
      <c r="H206" s="50"/>
    </row>
    <row r="207" spans="7:8">
      <c r="G207" s="14"/>
      <c r="H207" s="50"/>
    </row>
    <row r="208" spans="7:8">
      <c r="G208" s="14"/>
      <c r="H208" s="50"/>
    </row>
    <row r="209" spans="7:8">
      <c r="G209" s="14"/>
      <c r="H209" s="50"/>
    </row>
    <row r="210" spans="7:8">
      <c r="G210" s="14"/>
      <c r="H210" s="50"/>
    </row>
    <row r="211" spans="7:8">
      <c r="G211" s="14"/>
      <c r="H211" s="50"/>
    </row>
    <row r="212" spans="7:8">
      <c r="G212" s="14"/>
      <c r="H212" s="50"/>
    </row>
    <row r="213" spans="7:8">
      <c r="G213" s="14"/>
      <c r="H213" s="50"/>
    </row>
    <row r="214" spans="7:8">
      <c r="G214" s="14"/>
      <c r="H214" s="50"/>
    </row>
    <row r="215" spans="7:8">
      <c r="G215" s="14"/>
      <c r="H215" s="50"/>
    </row>
    <row r="216" spans="7:8">
      <c r="G216" s="14"/>
      <c r="H216" s="50"/>
    </row>
    <row r="217" spans="7:8">
      <c r="G217" s="14"/>
      <c r="H217" s="50"/>
    </row>
    <row r="218" spans="7:8">
      <c r="G218" s="14"/>
      <c r="H218" s="50"/>
    </row>
    <row r="219" spans="7:8">
      <c r="G219" s="14"/>
      <c r="H219" s="50"/>
    </row>
    <row r="220" spans="7:8">
      <c r="G220" s="14"/>
      <c r="H220" s="50"/>
    </row>
    <row r="221" spans="7:8">
      <c r="G221" s="14"/>
      <c r="H221" s="50"/>
    </row>
    <row r="222" spans="7:8">
      <c r="G222" s="14"/>
      <c r="H222" s="50"/>
    </row>
    <row r="223" spans="7:8">
      <c r="G223" s="14"/>
      <c r="H223" s="50"/>
    </row>
    <row r="224" spans="7:8">
      <c r="G224" s="14"/>
      <c r="H224" s="50"/>
    </row>
    <row r="225" spans="7:8">
      <c r="G225" s="14"/>
      <c r="H225" s="50"/>
    </row>
    <row r="226" spans="7:8">
      <c r="G226" s="14"/>
      <c r="H226" s="50"/>
    </row>
    <row r="227" spans="7:8">
      <c r="G227" s="14"/>
      <c r="H227" s="50"/>
    </row>
    <row r="228" spans="7:8">
      <c r="G228" s="14"/>
      <c r="H228" s="50"/>
    </row>
    <row r="229" spans="7:8">
      <c r="G229" s="14"/>
      <c r="H229" s="50"/>
    </row>
    <row r="230" spans="7:8">
      <c r="G230" s="14"/>
      <c r="H230" s="50"/>
    </row>
    <row r="231" spans="7:8">
      <c r="G231" s="14"/>
      <c r="H231" s="50"/>
    </row>
    <row r="232" spans="7:8">
      <c r="G232" s="14"/>
      <c r="H232" s="50"/>
    </row>
    <row r="233" spans="7:8">
      <c r="G233" s="14"/>
      <c r="H233" s="50"/>
    </row>
    <row r="234" spans="7:8">
      <c r="G234" s="14"/>
      <c r="H234" s="50"/>
    </row>
    <row r="235" spans="7:8">
      <c r="G235" s="14"/>
      <c r="H235" s="50"/>
    </row>
    <row r="236" spans="7:8">
      <c r="G236" s="14"/>
      <c r="H236" s="50"/>
    </row>
    <row r="237" spans="7:8">
      <c r="G237" s="14"/>
      <c r="H237" s="50"/>
    </row>
    <row r="238" spans="7:8">
      <c r="G238" s="14"/>
      <c r="H238" s="50"/>
    </row>
    <row r="239" spans="7:8">
      <c r="G239" s="14"/>
      <c r="H239" s="50"/>
    </row>
    <row r="240" spans="7:8">
      <c r="G240" s="14"/>
      <c r="H240" s="50"/>
    </row>
    <row r="241" spans="7:8">
      <c r="G241" s="14"/>
      <c r="H241" s="50"/>
    </row>
    <row r="242" spans="7:8">
      <c r="G242" s="14"/>
      <c r="H242" s="50"/>
    </row>
    <row r="243" spans="7:8">
      <c r="G243" s="14"/>
      <c r="H243" s="50"/>
    </row>
    <row r="244" spans="7:8">
      <c r="G244" s="14"/>
      <c r="H244" s="50"/>
    </row>
    <row r="245" spans="7:8">
      <c r="G245" s="14"/>
      <c r="H245" s="50"/>
    </row>
    <row r="246" spans="7:8">
      <c r="G246" s="14"/>
      <c r="H246" s="50"/>
    </row>
    <row r="247" spans="7:8">
      <c r="G247" s="14"/>
      <c r="H247" s="50"/>
    </row>
    <row r="248" spans="7:8">
      <c r="G248" s="14"/>
      <c r="H248" s="50"/>
    </row>
    <row r="249" spans="7:8">
      <c r="G249" s="14"/>
      <c r="H249" s="50"/>
    </row>
    <row r="250" spans="7:8">
      <c r="G250" s="14"/>
      <c r="H250" s="50"/>
    </row>
    <row r="251" spans="7:8">
      <c r="G251" s="14"/>
      <c r="H251" s="50"/>
    </row>
    <row r="252" spans="7:8">
      <c r="G252" s="14"/>
      <c r="H252" s="50"/>
    </row>
    <row r="253" spans="7:8">
      <c r="G253" s="14"/>
      <c r="H253" s="50"/>
    </row>
    <row r="254" spans="7:8">
      <c r="G254" s="14"/>
      <c r="H254" s="50"/>
    </row>
    <row r="255" spans="7:8">
      <c r="G255" s="14"/>
      <c r="H255" s="50"/>
    </row>
    <row r="256" spans="7:8">
      <c r="G256" s="14"/>
      <c r="H256" s="50"/>
    </row>
    <row r="257" spans="7:8">
      <c r="G257" s="14"/>
      <c r="H257" s="50"/>
    </row>
    <row r="258" spans="7:8">
      <c r="G258" s="14"/>
      <c r="H258" s="50"/>
    </row>
    <row r="259" spans="7:8">
      <c r="G259" s="14"/>
      <c r="H259" s="50"/>
    </row>
    <row r="260" spans="7:8">
      <c r="G260" s="14"/>
      <c r="H260" s="50"/>
    </row>
    <row r="261" spans="7:8">
      <c r="G261" s="14"/>
      <c r="H261" s="50"/>
    </row>
    <row r="262" spans="7:8">
      <c r="G262" s="14"/>
      <c r="H262" s="50"/>
    </row>
    <row r="263" spans="7:8">
      <c r="G263" s="14"/>
      <c r="H263" s="50"/>
    </row>
    <row r="264" spans="7:8">
      <c r="G264" s="14"/>
      <c r="H264" s="50"/>
    </row>
    <row r="265" spans="7:8">
      <c r="G265" s="14"/>
      <c r="H265" s="50"/>
    </row>
    <row r="266" spans="7:8">
      <c r="G266" s="14"/>
      <c r="H266" s="50"/>
    </row>
    <row r="267" spans="7:8">
      <c r="G267" s="14"/>
      <c r="H267" s="50"/>
    </row>
    <row r="268" spans="7:8">
      <c r="G268" s="14"/>
      <c r="H268" s="50"/>
    </row>
    <row r="269" spans="7:8">
      <c r="G269" s="14"/>
      <c r="H269" s="50"/>
    </row>
    <row r="270" spans="7:8">
      <c r="G270" s="14"/>
      <c r="H270" s="50"/>
    </row>
    <row r="271" spans="7:8">
      <c r="G271" s="14"/>
      <c r="H271" s="50"/>
    </row>
    <row r="272" spans="7:8">
      <c r="G272" s="14"/>
      <c r="H272" s="50"/>
    </row>
    <row r="273" spans="7:8">
      <c r="G273" s="14"/>
      <c r="H273" s="50"/>
    </row>
    <row r="274" spans="7:8">
      <c r="G274" s="14"/>
      <c r="H274" s="50"/>
    </row>
    <row r="275" spans="7:8">
      <c r="G275" s="14"/>
      <c r="H275" s="50"/>
    </row>
    <row r="276" spans="7:8">
      <c r="G276" s="14"/>
      <c r="H276" s="50"/>
    </row>
    <row r="277" spans="7:8">
      <c r="G277" s="14"/>
      <c r="H277" s="50"/>
    </row>
    <row r="278" spans="7:8">
      <c r="G278" s="14"/>
      <c r="H278" s="50"/>
    </row>
    <row r="279" spans="7:8">
      <c r="G279" s="14"/>
      <c r="H279" s="50"/>
    </row>
    <row r="280" spans="7:8">
      <c r="G280" s="14"/>
      <c r="H280" s="50"/>
    </row>
    <row r="281" spans="7:8">
      <c r="G281" s="14"/>
      <c r="H281" s="50"/>
    </row>
    <row r="282" spans="7:8">
      <c r="G282" s="14"/>
      <c r="H282" s="50"/>
    </row>
    <row r="283" spans="7:8">
      <c r="G283" s="14"/>
      <c r="H283" s="50"/>
    </row>
    <row r="284" spans="7:8">
      <c r="G284" s="14"/>
      <c r="H284" s="50"/>
    </row>
    <row r="285" spans="7:8">
      <c r="G285" s="14"/>
      <c r="H285" s="50"/>
    </row>
    <row r="286" spans="7:8">
      <c r="G286" s="14"/>
      <c r="H286" s="50"/>
    </row>
    <row r="287" spans="7:8">
      <c r="G287" s="14"/>
      <c r="H287" s="50"/>
    </row>
    <row r="288" spans="7:8">
      <c r="G288" s="14"/>
      <c r="H288" s="50"/>
    </row>
    <row r="289" spans="7:8">
      <c r="G289" s="14"/>
      <c r="H289" s="50"/>
    </row>
    <row r="290" spans="7:8">
      <c r="G290" s="14"/>
      <c r="H290" s="50"/>
    </row>
    <row r="291" spans="7:8">
      <c r="G291" s="14"/>
      <c r="H291" s="50"/>
    </row>
    <row r="292" spans="7:8">
      <c r="G292" s="14"/>
      <c r="H292" s="50"/>
    </row>
    <row r="293" spans="7:8">
      <c r="G293" s="14"/>
      <c r="H293" s="50"/>
    </row>
    <row r="294" spans="7:8">
      <c r="G294" s="14"/>
      <c r="H294" s="50"/>
    </row>
    <row r="295" spans="7:8">
      <c r="G295" s="14"/>
      <c r="H295" s="50"/>
    </row>
    <row r="296" spans="7:8">
      <c r="G296" s="14"/>
      <c r="H296" s="50"/>
    </row>
    <row r="297" spans="7:8">
      <c r="G297" s="14"/>
      <c r="H297" s="50"/>
    </row>
    <row r="298" spans="7:8">
      <c r="G298" s="14"/>
      <c r="H298" s="50"/>
    </row>
    <row r="299" spans="7:8">
      <c r="G299" s="14"/>
      <c r="H299" s="50"/>
    </row>
    <row r="300" spans="7:8">
      <c r="G300" s="14"/>
      <c r="H300" s="50"/>
    </row>
    <row r="301" spans="7:8">
      <c r="G301" s="14"/>
      <c r="H301" s="50"/>
    </row>
    <row r="302" spans="7:8">
      <c r="G302" s="14"/>
      <c r="H302" s="50"/>
    </row>
    <row r="303" spans="7:8">
      <c r="G303" s="14"/>
      <c r="H303" s="50"/>
    </row>
    <row r="304" spans="7:8">
      <c r="G304" s="14"/>
      <c r="H304" s="50"/>
    </row>
    <row r="305" spans="7:8">
      <c r="G305" s="14"/>
      <c r="H305" s="50"/>
    </row>
    <row r="306" spans="7:8">
      <c r="G306" s="14"/>
      <c r="H306" s="50"/>
    </row>
    <row r="307" spans="7:8">
      <c r="G307" s="14"/>
      <c r="H307" s="50"/>
    </row>
    <row r="308" spans="7:8">
      <c r="G308" s="14"/>
      <c r="H308" s="50"/>
    </row>
    <row r="309" spans="7:8">
      <c r="G309" s="14"/>
      <c r="H309" s="50"/>
    </row>
    <row r="310" spans="7:8">
      <c r="G310" s="14"/>
      <c r="H310" s="50"/>
    </row>
    <row r="311" spans="7:8">
      <c r="G311" s="14"/>
      <c r="H311" s="50"/>
    </row>
    <row r="312" spans="7:8">
      <c r="G312" s="14"/>
      <c r="H312" s="50"/>
    </row>
    <row r="313" spans="7:8">
      <c r="G313" s="14"/>
      <c r="H313" s="50"/>
    </row>
    <row r="314" spans="7:8">
      <c r="G314" s="14"/>
      <c r="H314" s="50"/>
    </row>
    <row r="315" spans="7:8">
      <c r="G315" s="14"/>
      <c r="H315" s="50"/>
    </row>
    <row r="316" spans="7:8">
      <c r="G316" s="14"/>
      <c r="H316" s="50"/>
    </row>
    <row r="317" spans="7:8">
      <c r="G317" s="14"/>
      <c r="H317" s="50"/>
    </row>
    <row r="318" spans="7:8">
      <c r="G318" s="14"/>
      <c r="H318" s="50"/>
    </row>
    <row r="319" spans="7:8">
      <c r="G319" s="14"/>
      <c r="H319" s="50"/>
    </row>
    <row r="320" spans="7:8">
      <c r="G320" s="14"/>
      <c r="H320" s="50"/>
    </row>
    <row r="321" spans="7:8">
      <c r="G321" s="14"/>
      <c r="H321" s="50"/>
    </row>
    <row r="322" spans="7:8">
      <c r="G322" s="14"/>
      <c r="H322" s="50"/>
    </row>
    <row r="323" spans="7:8">
      <c r="G323" s="14"/>
      <c r="H323" s="50"/>
    </row>
    <row r="324" spans="7:8">
      <c r="G324" s="14"/>
      <c r="H324" s="50"/>
    </row>
    <row r="325" spans="7:8">
      <c r="G325" s="14"/>
      <c r="H325" s="50"/>
    </row>
    <row r="326" spans="7:8">
      <c r="G326" s="14"/>
      <c r="H326" s="50"/>
    </row>
    <row r="327" spans="7:8">
      <c r="G327" s="14"/>
      <c r="H327" s="50"/>
    </row>
    <row r="328" spans="7:8">
      <c r="G328" s="14"/>
      <c r="H328" s="50"/>
    </row>
    <row r="329" spans="7:8">
      <c r="G329" s="14"/>
      <c r="H329" s="50"/>
    </row>
    <row r="330" spans="7:8">
      <c r="G330" s="14"/>
      <c r="H330" s="50"/>
    </row>
    <row r="331" spans="7:8">
      <c r="G331" s="14"/>
      <c r="H331" s="50"/>
    </row>
    <row r="332" spans="7:8">
      <c r="G332" s="14"/>
      <c r="H332" s="50"/>
    </row>
    <row r="333" spans="7:8">
      <c r="G333" s="14"/>
      <c r="H333" s="50"/>
    </row>
    <row r="334" spans="7:8">
      <c r="G334" s="14"/>
      <c r="H334" s="50"/>
    </row>
    <row r="335" spans="7:8">
      <c r="G335" s="14"/>
      <c r="H335" s="50"/>
    </row>
    <row r="336" spans="7:8">
      <c r="G336" s="14"/>
      <c r="H336" s="50"/>
    </row>
    <row r="337" spans="7:8">
      <c r="G337" s="14"/>
      <c r="H337" s="50"/>
    </row>
    <row r="338" spans="7:8">
      <c r="G338" s="14"/>
      <c r="H338" s="50"/>
    </row>
    <row r="339" spans="7:8">
      <c r="G339" s="14"/>
      <c r="H339" s="50"/>
    </row>
    <row r="340" spans="7:8">
      <c r="G340" s="14"/>
      <c r="H340" s="50"/>
    </row>
    <row r="341" spans="7:8">
      <c r="G341" s="14"/>
      <c r="H341" s="50"/>
    </row>
    <row r="342" spans="7:8">
      <c r="G342" s="14"/>
      <c r="H342" s="50"/>
    </row>
    <row r="343" spans="7:8">
      <c r="G343" s="14"/>
      <c r="H343" s="50"/>
    </row>
    <row r="344" spans="7:8">
      <c r="G344" s="14"/>
      <c r="H344" s="50"/>
    </row>
    <row r="345" spans="7:8">
      <c r="G345" s="14"/>
      <c r="H345" s="50"/>
    </row>
    <row r="346" spans="7:8">
      <c r="G346" s="14"/>
      <c r="H346" s="50"/>
    </row>
    <row r="347" spans="7:8">
      <c r="G347" s="14"/>
      <c r="H347" s="50"/>
    </row>
    <row r="348" spans="7:8">
      <c r="G348" s="14"/>
      <c r="H348" s="50"/>
    </row>
    <row r="349" spans="7:8">
      <c r="G349" s="14"/>
      <c r="H349" s="50"/>
    </row>
    <row r="350" spans="7:8">
      <c r="G350" s="14"/>
      <c r="H350" s="50"/>
    </row>
    <row r="351" spans="7:8">
      <c r="G351" s="14"/>
      <c r="H351" s="50"/>
    </row>
    <row r="352" spans="7:8">
      <c r="G352" s="14"/>
      <c r="H352" s="50"/>
    </row>
    <row r="353" spans="7:8">
      <c r="G353" s="14"/>
      <c r="H353" s="50"/>
    </row>
    <row r="354" spans="7:8">
      <c r="G354" s="14"/>
      <c r="H354" s="50"/>
    </row>
    <row r="355" spans="7:8">
      <c r="G355" s="14"/>
      <c r="H355" s="50"/>
    </row>
    <row r="356" spans="7:8">
      <c r="G356" s="14"/>
      <c r="H356" s="50"/>
    </row>
    <row r="357" spans="7:8">
      <c r="G357" s="14"/>
      <c r="H357" s="50"/>
    </row>
    <row r="358" spans="7:8">
      <c r="G358" s="14"/>
      <c r="H358" s="50"/>
    </row>
    <row r="359" spans="7:8">
      <c r="G359" s="14"/>
      <c r="H359" s="50"/>
    </row>
    <row r="360" spans="7:8">
      <c r="G360" s="14"/>
      <c r="H360" s="50"/>
    </row>
    <row r="361" spans="7:8">
      <c r="G361" s="14"/>
      <c r="H361" s="50"/>
    </row>
    <row r="362" spans="7:8">
      <c r="G362" s="14"/>
      <c r="H362" s="50"/>
    </row>
    <row r="363" spans="7:8">
      <c r="G363" s="14"/>
      <c r="H363" s="50"/>
    </row>
  </sheetData>
  <mergeCells count="12">
    <mergeCell ref="T33:Z33"/>
    <mergeCell ref="U34:V34"/>
    <mergeCell ref="W34:X34"/>
    <mergeCell ref="Y34:Z34"/>
    <mergeCell ref="A5:G5"/>
    <mergeCell ref="A6:G6"/>
    <mergeCell ref="T8:V8"/>
    <mergeCell ref="T9:V9"/>
    <mergeCell ref="B7:C7"/>
    <mergeCell ref="D7:E7"/>
    <mergeCell ref="F7:G7"/>
    <mergeCell ref="U32:Z32"/>
  </mergeCells>
  <dataValidations count="1">
    <dataValidation type="list" allowBlank="1" showInputMessage="1" showErrorMessage="1" promptTitle="Select a Period:" prompt="Select Financial or Calendar years." sqref="U32:Z32" xr:uid="{00000000-0002-0000-2A00-000000000000}">
      <formula1>$A$1:$A$2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theme="8" tint="0.39997558519241921"/>
  </sheetPr>
  <dimension ref="A1:AY363"/>
  <sheetViews>
    <sheetView showGridLines="0" topLeftCell="B1" workbookViewId="0">
      <selection activeCell="B1" sqref="B1"/>
    </sheetView>
  </sheetViews>
  <sheetFormatPr defaultColWidth="9.140625" defaultRowHeight="15"/>
  <cols>
    <col min="1" max="1" width="7" style="278" hidden="1" customWidth="1"/>
    <col min="2" max="2" width="10.7109375" style="27" customWidth="1"/>
    <col min="3" max="3" width="16.5703125" style="27" customWidth="1"/>
    <col min="4" max="4" width="12.42578125" style="27" bestFit="1" customWidth="1"/>
    <col min="5" max="5" width="16" style="27" bestFit="1" customWidth="1"/>
    <col min="6" max="6" width="18.42578125" style="27" customWidth="1"/>
    <col min="7" max="7" width="13.7109375" style="27" customWidth="1"/>
    <col min="8" max="8" width="18.5703125" style="27" customWidth="1"/>
    <col min="9" max="9" width="24.5703125" style="27" customWidth="1"/>
    <col min="10" max="10" width="15.140625" style="27" customWidth="1"/>
    <col min="11" max="11" width="16.140625" style="27" bestFit="1" customWidth="1"/>
    <col min="12" max="12" width="5.85546875" style="1224" hidden="1" customWidth="1"/>
    <col min="13" max="13" width="2.42578125" style="308" hidden="1" customWidth="1"/>
    <col min="14" max="14" width="17.85546875" style="279" hidden="1" customWidth="1"/>
    <col min="15" max="15" width="5.5703125" style="27" customWidth="1"/>
    <col min="16" max="16" width="9.140625" style="27"/>
    <col min="17" max="17" width="9.140625" style="80"/>
    <col min="18" max="21" width="9.140625" style="27"/>
    <col min="22" max="22" width="10" style="27" bestFit="1" customWidth="1"/>
    <col min="23" max="25" width="9.140625" style="27"/>
    <col min="26" max="26" width="11" style="27" customWidth="1"/>
    <col min="27" max="27" width="26.42578125" style="27" customWidth="1"/>
    <col min="28" max="28" width="20.28515625" style="27" customWidth="1"/>
    <col min="29" max="29" width="9.140625" style="27"/>
    <col min="30" max="30" width="13.42578125" style="27" bestFit="1" customWidth="1"/>
    <col min="31" max="31" width="14.42578125" style="27" bestFit="1" customWidth="1"/>
    <col min="32" max="32" width="12.42578125" style="55" bestFit="1" customWidth="1"/>
    <col min="33" max="33" width="15.28515625" style="27" bestFit="1" customWidth="1"/>
    <col min="34" max="34" width="14.28515625" style="27" customWidth="1"/>
    <col min="35" max="35" width="12.7109375" style="55" bestFit="1" customWidth="1"/>
    <col min="36" max="36" width="16.140625" style="27" bestFit="1" customWidth="1"/>
    <col min="37" max="37" width="24.7109375" style="27" customWidth="1"/>
    <col min="38" max="38" width="12.5703125" style="55" bestFit="1" customWidth="1"/>
    <col min="39" max="39" width="16.140625" style="27" bestFit="1" customWidth="1"/>
    <col min="40" max="16384" width="9.140625" style="27"/>
  </cols>
  <sheetData>
    <row r="1" spans="1:51">
      <c r="B1" s="66" t="s">
        <v>240</v>
      </c>
    </row>
    <row r="2" spans="1:51">
      <c r="B2" s="66" t="s">
        <v>246</v>
      </c>
    </row>
    <row r="5" spans="1:51">
      <c r="B5" s="1972" t="s">
        <v>502</v>
      </c>
      <c r="C5" s="1972"/>
      <c r="D5" s="1972"/>
      <c r="E5" s="1972"/>
      <c r="F5" s="1972"/>
      <c r="G5" s="1972"/>
      <c r="H5" s="1972"/>
      <c r="I5" s="1972"/>
      <c r="J5" s="1972"/>
      <c r="K5" s="1972"/>
      <c r="L5" s="1125"/>
      <c r="M5" s="1129"/>
      <c r="N5" s="287"/>
    </row>
    <row r="6" spans="1:51" ht="15.75" thickBot="1">
      <c r="B6" s="2004" t="s">
        <v>423</v>
      </c>
      <c r="C6" s="2004"/>
      <c r="D6" s="2004"/>
      <c r="E6" s="2004"/>
      <c r="F6" s="2004"/>
      <c r="G6" s="2004"/>
      <c r="H6" s="2004"/>
      <c r="I6" s="2004"/>
      <c r="J6" s="2004"/>
      <c r="K6" s="2004"/>
      <c r="L6" s="1125"/>
      <c r="M6" s="1125"/>
      <c r="N6" s="286"/>
    </row>
    <row r="7" spans="1:51" ht="15.75" thickBot="1">
      <c r="B7" s="643"/>
      <c r="C7" s="2080" t="s">
        <v>224</v>
      </c>
      <c r="D7" s="2081"/>
      <c r="E7" s="2081"/>
      <c r="F7" s="2080" t="s">
        <v>429</v>
      </c>
      <c r="G7" s="2081"/>
      <c r="H7" s="2082"/>
      <c r="I7" s="2081" t="s">
        <v>500</v>
      </c>
      <c r="J7" s="2081"/>
      <c r="K7" s="2083"/>
      <c r="L7" s="1228"/>
      <c r="M7" s="1228"/>
      <c r="N7" s="1229" t="s">
        <v>72</v>
      </c>
      <c r="O7" s="278"/>
      <c r="P7" s="278"/>
    </row>
    <row r="8" spans="1:51" ht="15.75" thickBot="1">
      <c r="B8" s="644" t="s">
        <v>5</v>
      </c>
      <c r="C8" s="1269" t="s">
        <v>234</v>
      </c>
      <c r="D8" s="1270" t="s">
        <v>235</v>
      </c>
      <c r="E8" s="1270" t="s">
        <v>382</v>
      </c>
      <c r="F8" s="1269" t="s">
        <v>234</v>
      </c>
      <c r="G8" s="1270" t="s">
        <v>235</v>
      </c>
      <c r="H8" s="1477" t="s">
        <v>382</v>
      </c>
      <c r="I8" s="1270" t="s">
        <v>385</v>
      </c>
      <c r="J8" s="1270" t="s">
        <v>235</v>
      </c>
      <c r="K8" s="1262" t="s">
        <v>382</v>
      </c>
      <c r="L8" s="1230"/>
      <c r="M8" s="1230"/>
      <c r="N8" s="1231" t="s">
        <v>324</v>
      </c>
      <c r="Z8" s="1973" t="s">
        <v>412</v>
      </c>
      <c r="AA8" s="1973"/>
      <c r="AB8" s="1973"/>
      <c r="AY8" s="294" t="s">
        <v>346</v>
      </c>
    </row>
    <row r="9" spans="1:51" ht="15.75" thickBot="1">
      <c r="A9" s="293">
        <f>L9*10+M9</f>
        <v>19991</v>
      </c>
      <c r="B9" s="772">
        <v>36220</v>
      </c>
      <c r="C9" s="484">
        <v>1958763.1998843055</v>
      </c>
      <c r="D9" s="484">
        <f>C9*0.00005160678</f>
        <v>101.08546152852539</v>
      </c>
      <c r="E9" s="577">
        <v>356.46952299999998</v>
      </c>
      <c r="F9" s="617">
        <v>153243</v>
      </c>
      <c r="G9" s="484">
        <f>F9*49.32194/1000000</f>
        <v>7.5582420514199997</v>
      </c>
      <c r="H9" s="484">
        <v>33.472211000000001</v>
      </c>
      <c r="I9" s="484">
        <v>1507746</v>
      </c>
      <c r="J9" s="484">
        <f>I9/26300</f>
        <v>57.328745247148291</v>
      </c>
      <c r="K9" s="483">
        <v>119.96062225999999</v>
      </c>
      <c r="L9" s="1232">
        <f>YEAR(B9)</f>
        <v>1999</v>
      </c>
      <c r="M9" s="1232" t="str">
        <f>IF(MONTH(B9)=3,"1",IF(MONTH(B9)=6,"2",IF(MONTH(B9)=9,"3","4")))</f>
        <v>1</v>
      </c>
      <c r="N9" s="1233">
        <f>K9/J9</f>
        <v>2.0925038868867833</v>
      </c>
      <c r="O9" s="14"/>
      <c r="Z9" s="1977" t="s">
        <v>580</v>
      </c>
      <c r="AA9" s="1977"/>
      <c r="AB9" s="1977"/>
    </row>
    <row r="10" spans="1:51">
      <c r="A10" s="293">
        <f t="shared" ref="A10:A73" si="0">L10*10+M10</f>
        <v>19992</v>
      </c>
      <c r="B10" s="641">
        <v>36312</v>
      </c>
      <c r="C10" s="639">
        <v>1849570.946425338</v>
      </c>
      <c r="D10" s="639">
        <f t="shared" ref="D10:D68" si="1">C10*0.00005160678</f>
        <v>95.450400926564214</v>
      </c>
      <c r="E10" s="1476">
        <v>306.81904800000001</v>
      </c>
      <c r="F10" s="1250">
        <v>150734</v>
      </c>
      <c r="G10" s="639">
        <f t="shared" ref="G10:G68" si="2">F10*49.32194/1000000</f>
        <v>7.4344933039599992</v>
      </c>
      <c r="H10" s="639">
        <v>29.206621759999997</v>
      </c>
      <c r="I10" s="639">
        <v>1579152.59</v>
      </c>
      <c r="J10" s="639">
        <f t="shared" ref="J10:J73" si="3">I10/26300</f>
        <v>60.043824714828901</v>
      </c>
      <c r="K10" s="640">
        <v>154.37989433999999</v>
      </c>
      <c r="L10" s="1232">
        <f t="shared" ref="L10:L73" si="4">YEAR(B10)</f>
        <v>1999</v>
      </c>
      <c r="M10" s="1232" t="str">
        <f t="shared" ref="M10:M73" si="5">IF(MONTH(B10)=3,"1",IF(MONTH(B10)=6,"2",IF(MONTH(B10)=9,"3","4")))</f>
        <v>2</v>
      </c>
      <c r="N10" s="1233">
        <f t="shared" ref="N10:N73" si="6">K10/J10</f>
        <v>2.5711202621286899</v>
      </c>
      <c r="O10" s="14"/>
      <c r="Z10" s="1246" t="s">
        <v>5</v>
      </c>
      <c r="AA10" s="774" t="str">
        <f>C8</f>
        <v>Quantity (t)</v>
      </c>
      <c r="AB10" s="775" t="str">
        <f>E8</f>
        <v>Value ($ Million)</v>
      </c>
    </row>
    <row r="11" spans="1:51">
      <c r="A11" s="293">
        <f t="shared" si="0"/>
        <v>19993</v>
      </c>
      <c r="B11" s="641">
        <v>36404</v>
      </c>
      <c r="C11" s="484">
        <v>2084706.9189070782</v>
      </c>
      <c r="D11" s="484">
        <f t="shared" si="1"/>
        <v>107.58501132851542</v>
      </c>
      <c r="E11" s="577">
        <v>386.41965900000002</v>
      </c>
      <c r="F11" s="617">
        <v>190605</v>
      </c>
      <c r="G11" s="484">
        <f t="shared" si="2"/>
        <v>9.4010083736999999</v>
      </c>
      <c r="H11" s="484">
        <v>75.648521000000002</v>
      </c>
      <c r="I11" s="484">
        <v>1724018.8900000001</v>
      </c>
      <c r="J11" s="484">
        <f t="shared" si="3"/>
        <v>65.552049049429669</v>
      </c>
      <c r="K11" s="483">
        <v>145.599974</v>
      </c>
      <c r="L11" s="1232">
        <f t="shared" si="4"/>
        <v>1999</v>
      </c>
      <c r="M11" s="1232" t="str">
        <f t="shared" si="5"/>
        <v>3</v>
      </c>
      <c r="N11" s="1233">
        <f t="shared" si="6"/>
        <v>2.2211353590215008</v>
      </c>
      <c r="O11" s="14"/>
      <c r="Z11" s="645">
        <f>LARGE(B$9:B$739,9)</f>
        <v>44531</v>
      </c>
      <c r="AA11" s="484">
        <f t="shared" ref="AA11:AA19" si="7">SUMIF($B$9:$B$739,$Z11,C$9:C$739)</f>
        <v>11598459.790714249</v>
      </c>
      <c r="AB11" s="483">
        <f t="shared" ref="AB11:AB19" si="8">SUMIF($B$9:$B$739,$Z11,E$9:E$739)</f>
        <v>9704.0743569737333</v>
      </c>
    </row>
    <row r="12" spans="1:51">
      <c r="A12" s="293">
        <f t="shared" si="0"/>
        <v>19994</v>
      </c>
      <c r="B12" s="641">
        <v>36495</v>
      </c>
      <c r="C12" s="639">
        <v>1971267.1436505031</v>
      </c>
      <c r="D12" s="639">
        <f t="shared" si="1"/>
        <v>101.73074980359991</v>
      </c>
      <c r="E12" s="1476">
        <v>436.61461000000003</v>
      </c>
      <c r="F12" s="1250">
        <v>155936</v>
      </c>
      <c r="G12" s="639">
        <f t="shared" si="2"/>
        <v>7.6910660358399996</v>
      </c>
      <c r="H12" s="639">
        <v>59.992863999999997</v>
      </c>
      <c r="I12" s="639">
        <v>1650392</v>
      </c>
      <c r="J12" s="639">
        <f t="shared" si="3"/>
        <v>62.752547528517113</v>
      </c>
      <c r="K12" s="640">
        <v>136.11511400000001</v>
      </c>
      <c r="L12" s="1232">
        <f t="shared" si="4"/>
        <v>1999</v>
      </c>
      <c r="M12" s="1232" t="str">
        <f t="shared" si="5"/>
        <v>4</v>
      </c>
      <c r="N12" s="1233">
        <f t="shared" si="6"/>
        <v>2.169077103015526</v>
      </c>
      <c r="O12" s="14"/>
      <c r="Z12" s="646">
        <f>LARGE(B$9:B$739,8)</f>
        <v>44621</v>
      </c>
      <c r="AA12" s="639">
        <f t="shared" si="7"/>
        <v>10878213.079375001</v>
      </c>
      <c r="AB12" s="640">
        <f t="shared" si="8"/>
        <v>9037.3576033689023</v>
      </c>
    </row>
    <row r="13" spans="1:51">
      <c r="A13" s="293">
        <f t="shared" si="0"/>
        <v>20001</v>
      </c>
      <c r="B13" s="641">
        <v>36586</v>
      </c>
      <c r="C13" s="484">
        <v>2097435.7809139923</v>
      </c>
      <c r="D13" s="484">
        <f t="shared" si="1"/>
        <v>108.24190690975661</v>
      </c>
      <c r="E13" s="577">
        <v>577.53799300000003</v>
      </c>
      <c r="F13" s="617">
        <v>227598</v>
      </c>
      <c r="G13" s="484">
        <f t="shared" si="2"/>
        <v>11.22557490012</v>
      </c>
      <c r="H13" s="484">
        <v>107.01597599999999</v>
      </c>
      <c r="I13" s="484">
        <v>1450035</v>
      </c>
      <c r="J13" s="484">
        <f t="shared" si="3"/>
        <v>55.134410646387835</v>
      </c>
      <c r="K13" s="483">
        <v>133.13102900000001</v>
      </c>
      <c r="L13" s="1232">
        <f t="shared" si="4"/>
        <v>2000</v>
      </c>
      <c r="M13" s="1232" t="str">
        <f t="shared" si="5"/>
        <v>1</v>
      </c>
      <c r="N13" s="1233">
        <f t="shared" si="6"/>
        <v>2.4146631375794381</v>
      </c>
      <c r="O13" s="14"/>
      <c r="Z13" s="645">
        <f>LARGE(B$9:B$739,7)</f>
        <v>44713</v>
      </c>
      <c r="AA13" s="484">
        <f t="shared" si="7"/>
        <v>12119728.164180029</v>
      </c>
      <c r="AB13" s="483">
        <f t="shared" si="8"/>
        <v>11807.630692729128</v>
      </c>
    </row>
    <row r="14" spans="1:51">
      <c r="A14" s="293">
        <f t="shared" si="0"/>
        <v>20002</v>
      </c>
      <c r="B14" s="641">
        <v>36678</v>
      </c>
      <c r="C14" s="639">
        <v>1837452.6869932078</v>
      </c>
      <c r="D14" s="639">
        <f t="shared" si="1"/>
        <v>94.825016578067334</v>
      </c>
      <c r="E14" s="1476">
        <v>570.48816299999999</v>
      </c>
      <c r="F14" s="1250">
        <v>204010</v>
      </c>
      <c r="G14" s="639">
        <f t="shared" si="2"/>
        <v>10.062168979399999</v>
      </c>
      <c r="H14" s="639">
        <v>94.180988999999997</v>
      </c>
      <c r="I14" s="639">
        <v>1622694</v>
      </c>
      <c r="J14" s="639">
        <f t="shared" si="3"/>
        <v>61.699391634980991</v>
      </c>
      <c r="K14" s="640">
        <v>154.53788299999999</v>
      </c>
      <c r="L14" s="1232">
        <f t="shared" si="4"/>
        <v>2000</v>
      </c>
      <c r="M14" s="1232" t="str">
        <f t="shared" si="5"/>
        <v>2</v>
      </c>
      <c r="N14" s="1233">
        <f t="shared" si="6"/>
        <v>2.5046905472627614</v>
      </c>
      <c r="O14" s="14"/>
      <c r="Z14" s="646">
        <f>LARGE(B$9:B$739,6)</f>
        <v>44805</v>
      </c>
      <c r="AA14" s="639">
        <f t="shared" si="7"/>
        <v>12954593.198018212</v>
      </c>
      <c r="AB14" s="640">
        <f t="shared" si="8"/>
        <v>17041.314085829305</v>
      </c>
    </row>
    <row r="15" spans="1:51">
      <c r="A15" s="293">
        <f t="shared" si="0"/>
        <v>20003</v>
      </c>
      <c r="B15" s="641">
        <v>36770</v>
      </c>
      <c r="C15" s="484">
        <v>2005254.4437920377</v>
      </c>
      <c r="D15" s="484">
        <f t="shared" si="1"/>
        <v>103.48472492479806</v>
      </c>
      <c r="E15" s="577">
        <v>650.62348799999995</v>
      </c>
      <c r="F15" s="617">
        <v>187206</v>
      </c>
      <c r="G15" s="484">
        <f t="shared" si="2"/>
        <v>9.2333630996399982</v>
      </c>
      <c r="H15" s="484">
        <v>102.37838499999999</v>
      </c>
      <c r="I15" s="484">
        <v>1860774</v>
      </c>
      <c r="J15" s="484">
        <f t="shared" si="3"/>
        <v>70.751863117870727</v>
      </c>
      <c r="K15" s="483">
        <v>154.509299</v>
      </c>
      <c r="L15" s="1232">
        <f t="shared" si="4"/>
        <v>2000</v>
      </c>
      <c r="M15" s="1232" t="str">
        <f t="shared" si="5"/>
        <v>3</v>
      </c>
      <c r="N15" s="1233">
        <f t="shared" si="6"/>
        <v>2.1838195093547093</v>
      </c>
      <c r="O15" s="14"/>
      <c r="Z15" s="645">
        <f>LARGE(B$9:B$739,5)</f>
        <v>44896</v>
      </c>
      <c r="AA15" s="484">
        <f t="shared" si="7"/>
        <v>12655932.5730309</v>
      </c>
      <c r="AB15" s="483">
        <f t="shared" si="8"/>
        <v>16625.547943448921</v>
      </c>
    </row>
    <row r="16" spans="1:51">
      <c r="A16" s="293">
        <f t="shared" si="0"/>
        <v>20004</v>
      </c>
      <c r="B16" s="641">
        <v>36861</v>
      </c>
      <c r="C16" s="639">
        <v>1868494.2057932222</v>
      </c>
      <c r="D16" s="639">
        <f t="shared" si="1"/>
        <v>96.426969409645537</v>
      </c>
      <c r="E16" s="1476">
        <v>726.18060110999988</v>
      </c>
      <c r="F16" s="1250">
        <v>196290</v>
      </c>
      <c r="G16" s="639">
        <f t="shared" si="2"/>
        <v>9.6814036025999997</v>
      </c>
      <c r="H16" s="639">
        <v>105.14746</v>
      </c>
      <c r="I16" s="639">
        <v>1940481</v>
      </c>
      <c r="J16" s="639">
        <f t="shared" si="3"/>
        <v>73.782547528517114</v>
      </c>
      <c r="K16" s="640">
        <v>160.779822</v>
      </c>
      <c r="L16" s="1232">
        <f t="shared" si="4"/>
        <v>2000</v>
      </c>
      <c r="M16" s="1232" t="str">
        <f t="shared" si="5"/>
        <v>4</v>
      </c>
      <c r="N16" s="1233">
        <f t="shared" si="6"/>
        <v>2.1791036957331711</v>
      </c>
      <c r="O16" s="14"/>
      <c r="Z16" s="646">
        <f>LARGE(B$9:B$739,4)</f>
        <v>44986</v>
      </c>
      <c r="AA16" s="639">
        <f t="shared" si="7"/>
        <v>12646608.24524851</v>
      </c>
      <c r="AB16" s="640">
        <f t="shared" si="8"/>
        <v>13650.253218463109</v>
      </c>
    </row>
    <row r="17" spans="1:28">
      <c r="A17" s="293">
        <f t="shared" si="0"/>
        <v>20011</v>
      </c>
      <c r="B17" s="641">
        <v>36951</v>
      </c>
      <c r="C17" s="484">
        <v>1910664.5478073962</v>
      </c>
      <c r="D17" s="484">
        <f t="shared" si="1"/>
        <v>98.603244972495773</v>
      </c>
      <c r="E17" s="577">
        <v>841.42728009753</v>
      </c>
      <c r="F17" s="617">
        <v>208659</v>
      </c>
      <c r="G17" s="484">
        <f t="shared" si="2"/>
        <v>10.291466678460001</v>
      </c>
      <c r="H17" s="484">
        <v>107.916927</v>
      </c>
      <c r="I17" s="484">
        <v>1854412</v>
      </c>
      <c r="J17" s="484">
        <f t="shared" si="3"/>
        <v>70.509961977186308</v>
      </c>
      <c r="K17" s="483">
        <v>148.41992200000001</v>
      </c>
      <c r="L17" s="1232">
        <f t="shared" si="4"/>
        <v>2001</v>
      </c>
      <c r="M17" s="1232" t="str">
        <f t="shared" si="5"/>
        <v>1</v>
      </c>
      <c r="N17" s="1233">
        <f t="shared" si="6"/>
        <v>2.104949681408447</v>
      </c>
      <c r="O17" s="14"/>
      <c r="Z17" s="645">
        <f>LARGE(B$9:B$739,3)</f>
        <v>45078</v>
      </c>
      <c r="AA17" s="484">
        <f t="shared" si="7"/>
        <v>12084039.884629671</v>
      </c>
      <c r="AB17" s="483">
        <f t="shared" si="8"/>
        <v>9798.6655385620397</v>
      </c>
    </row>
    <row r="18" spans="1:28">
      <c r="A18" s="293">
        <f t="shared" si="0"/>
        <v>20012</v>
      </c>
      <c r="B18" s="641">
        <v>37043</v>
      </c>
      <c r="C18" s="639">
        <v>1803422.4795584281</v>
      </c>
      <c r="D18" s="639">
        <f t="shared" si="1"/>
        <v>93.068827149626301</v>
      </c>
      <c r="E18" s="1476">
        <v>794.19952266501014</v>
      </c>
      <c r="F18" s="1250">
        <v>204417</v>
      </c>
      <c r="G18" s="639">
        <f t="shared" si="2"/>
        <v>10.082243008980001</v>
      </c>
      <c r="H18" s="639">
        <v>94.066592</v>
      </c>
      <c r="I18" s="639">
        <v>1904422</v>
      </c>
      <c r="J18" s="639">
        <f t="shared" si="3"/>
        <v>72.411482889733847</v>
      </c>
      <c r="K18" s="640">
        <v>162.46897921454945</v>
      </c>
      <c r="L18" s="1232">
        <f t="shared" si="4"/>
        <v>2001</v>
      </c>
      <c r="M18" s="1232" t="str">
        <f t="shared" si="5"/>
        <v>2</v>
      </c>
      <c r="N18" s="1233">
        <f t="shared" si="6"/>
        <v>2.2436908171312084</v>
      </c>
      <c r="O18" s="14"/>
      <c r="Z18" s="646">
        <f>LARGE(B$9:B$739,2)</f>
        <v>45170</v>
      </c>
      <c r="AA18" s="639">
        <f t="shared" si="7"/>
        <v>11534540.1622125</v>
      </c>
      <c r="AB18" s="640">
        <f t="shared" si="8"/>
        <v>9091.4576090437131</v>
      </c>
    </row>
    <row r="19" spans="1:28" ht="15.75" thickBot="1">
      <c r="A19" s="293">
        <f t="shared" si="0"/>
        <v>20013</v>
      </c>
      <c r="B19" s="641">
        <v>37135</v>
      </c>
      <c r="C19" s="484">
        <v>2096353.0817614915</v>
      </c>
      <c r="D19" s="484">
        <f t="shared" si="1"/>
        <v>108.1860322927873</v>
      </c>
      <c r="E19" s="577">
        <v>923.20165448972296</v>
      </c>
      <c r="F19" s="617">
        <v>261719</v>
      </c>
      <c r="G19" s="484">
        <f t="shared" si="2"/>
        <v>12.90848881486</v>
      </c>
      <c r="H19" s="484">
        <v>117.05665999999999</v>
      </c>
      <c r="I19" s="484">
        <v>1960449</v>
      </c>
      <c r="J19" s="484">
        <f t="shared" si="3"/>
        <v>74.541787072243352</v>
      </c>
      <c r="K19" s="483">
        <v>164.66447600000001</v>
      </c>
      <c r="L19" s="1232">
        <f t="shared" si="4"/>
        <v>2001</v>
      </c>
      <c r="M19" s="1232" t="str">
        <f t="shared" si="5"/>
        <v>3</v>
      </c>
      <c r="N19" s="1233">
        <f t="shared" si="6"/>
        <v>2.209022381505461</v>
      </c>
      <c r="O19" s="14"/>
      <c r="Z19" s="647">
        <f>LARGE(B$9:B$739,1)</f>
        <v>45261</v>
      </c>
      <c r="AA19" s="604">
        <f t="shared" si="7"/>
        <v>11763031.099801024</v>
      </c>
      <c r="AB19" s="1188">
        <f t="shared" si="8"/>
        <v>9759.7429481689906</v>
      </c>
    </row>
    <row r="20" spans="1:28">
      <c r="A20" s="293">
        <f t="shared" si="0"/>
        <v>20014</v>
      </c>
      <c r="B20" s="641">
        <v>37226</v>
      </c>
      <c r="C20" s="639">
        <v>2098266.9888792098</v>
      </c>
      <c r="D20" s="639">
        <f t="shared" si="1"/>
        <v>108.28480287635183</v>
      </c>
      <c r="E20" s="1476">
        <v>924.04450974773681</v>
      </c>
      <c r="F20" s="1250">
        <v>186285</v>
      </c>
      <c r="G20" s="639">
        <f t="shared" si="2"/>
        <v>9.1879375929000009</v>
      </c>
      <c r="H20" s="639">
        <v>83.581271999999998</v>
      </c>
      <c r="I20" s="639">
        <v>1946250</v>
      </c>
      <c r="J20" s="639">
        <f t="shared" si="3"/>
        <v>74.00190114068441</v>
      </c>
      <c r="K20" s="640">
        <v>166.52129199999999</v>
      </c>
      <c r="L20" s="1232">
        <f t="shared" si="4"/>
        <v>2001</v>
      </c>
      <c r="M20" s="1232" t="str">
        <f t="shared" si="5"/>
        <v>4</v>
      </c>
      <c r="N20" s="1233">
        <f t="shared" si="6"/>
        <v>2.2502299188696209</v>
      </c>
      <c r="O20" s="14"/>
      <c r="Z20" s="1"/>
    </row>
    <row r="21" spans="1:28">
      <c r="A21" s="293">
        <f t="shared" si="0"/>
        <v>20021</v>
      </c>
      <c r="B21" s="641">
        <v>37316</v>
      </c>
      <c r="C21" s="484">
        <v>1914514.0532256914</v>
      </c>
      <c r="D21" s="484">
        <f t="shared" si="1"/>
        <v>98.801905551726549</v>
      </c>
      <c r="E21" s="577">
        <v>551.07352300000002</v>
      </c>
      <c r="F21" s="617">
        <v>217388</v>
      </c>
      <c r="G21" s="484">
        <f t="shared" si="2"/>
        <v>10.721997892719999</v>
      </c>
      <c r="H21" s="484">
        <v>85.772964999999999</v>
      </c>
      <c r="I21" s="484">
        <v>1852945</v>
      </c>
      <c r="J21" s="484">
        <f t="shared" si="3"/>
        <v>70.454182509505699</v>
      </c>
      <c r="K21" s="483">
        <v>150.462389</v>
      </c>
      <c r="L21" s="1232">
        <f t="shared" si="4"/>
        <v>2002</v>
      </c>
      <c r="M21" s="1232" t="str">
        <f t="shared" si="5"/>
        <v>1</v>
      </c>
      <c r="N21" s="1233">
        <f t="shared" si="6"/>
        <v>2.1356062002379996</v>
      </c>
      <c r="O21" s="14"/>
      <c r="Z21" s="1"/>
    </row>
    <row r="22" spans="1:28">
      <c r="A22" s="293">
        <f t="shared" si="0"/>
        <v>20022</v>
      </c>
      <c r="B22" s="641">
        <v>37408</v>
      </c>
      <c r="C22" s="639">
        <v>1953455.4217422921</v>
      </c>
      <c r="D22" s="639">
        <f t="shared" si="1"/>
        <v>100.81154418966169</v>
      </c>
      <c r="E22" s="1476">
        <v>608.07784800000013</v>
      </c>
      <c r="F22" s="1250">
        <v>191130</v>
      </c>
      <c r="G22" s="639">
        <f t="shared" si="2"/>
        <v>9.4269023921999988</v>
      </c>
      <c r="H22" s="639">
        <v>75.167028000000002</v>
      </c>
      <c r="I22" s="639">
        <v>1697095</v>
      </c>
      <c r="J22" s="639">
        <f t="shared" si="3"/>
        <v>64.52832699619772</v>
      </c>
      <c r="K22" s="640">
        <v>157.231076</v>
      </c>
      <c r="L22" s="1232">
        <f t="shared" si="4"/>
        <v>2002</v>
      </c>
      <c r="M22" s="1232" t="str">
        <f t="shared" si="5"/>
        <v>2</v>
      </c>
      <c r="N22" s="1233">
        <f t="shared" si="6"/>
        <v>2.4366209898679805</v>
      </c>
      <c r="O22" s="14"/>
      <c r="Z22" s="1"/>
    </row>
    <row r="23" spans="1:28">
      <c r="A23" s="293">
        <f t="shared" si="0"/>
        <v>20023</v>
      </c>
      <c r="B23" s="641">
        <v>37500</v>
      </c>
      <c r="C23" s="484">
        <v>2152154.5174200633</v>
      </c>
      <c r="D23" s="484">
        <f t="shared" si="1"/>
        <v>111.06576470650337</v>
      </c>
      <c r="E23" s="577">
        <v>850.14068999999995</v>
      </c>
      <c r="F23" s="617">
        <v>222884</v>
      </c>
      <c r="G23" s="484">
        <f t="shared" si="2"/>
        <v>10.99307127496</v>
      </c>
      <c r="H23" s="484">
        <v>96.977897999999996</v>
      </c>
      <c r="I23" s="484">
        <v>2172461</v>
      </c>
      <c r="J23" s="484">
        <f t="shared" si="3"/>
        <v>82.603079847908745</v>
      </c>
      <c r="K23" s="483">
        <v>171.79498599999999</v>
      </c>
      <c r="L23" s="1232">
        <f t="shared" si="4"/>
        <v>2002</v>
      </c>
      <c r="M23" s="1232" t="str">
        <f t="shared" si="5"/>
        <v>3</v>
      </c>
      <c r="N23" s="1233">
        <f t="shared" si="6"/>
        <v>2.0797648987945005</v>
      </c>
      <c r="O23" s="14"/>
      <c r="Z23" s="1"/>
    </row>
    <row r="24" spans="1:28">
      <c r="A24" s="293">
        <f t="shared" si="0"/>
        <v>20024</v>
      </c>
      <c r="B24" s="641">
        <v>37591</v>
      </c>
      <c r="C24" s="639">
        <v>1980869.1366087762</v>
      </c>
      <c r="D24" s="639">
        <f t="shared" si="1"/>
        <v>102.22627774175906</v>
      </c>
      <c r="E24" s="1476">
        <v>781.92438900000002</v>
      </c>
      <c r="F24" s="1250">
        <v>184164</v>
      </c>
      <c r="G24" s="639">
        <f t="shared" si="2"/>
        <v>9.0833257581599991</v>
      </c>
      <c r="H24" s="639">
        <v>105.525927</v>
      </c>
      <c r="I24" s="639">
        <v>2027096</v>
      </c>
      <c r="J24" s="639">
        <f t="shared" si="3"/>
        <v>77.075893536121669</v>
      </c>
      <c r="K24" s="640">
        <v>170.71493799999999</v>
      </c>
      <c r="L24" s="1232">
        <f t="shared" si="4"/>
        <v>2002</v>
      </c>
      <c r="M24" s="1232" t="str">
        <f t="shared" si="5"/>
        <v>4</v>
      </c>
      <c r="N24" s="1233">
        <f t="shared" si="6"/>
        <v>2.2148940501091214</v>
      </c>
      <c r="O24" s="14"/>
      <c r="Z24" s="1"/>
    </row>
    <row r="25" spans="1:28">
      <c r="A25" s="293">
        <f t="shared" si="0"/>
        <v>20031</v>
      </c>
      <c r="B25" s="641">
        <v>37681</v>
      </c>
      <c r="C25" s="484">
        <v>2047023.6024221559</v>
      </c>
      <c r="D25" s="484">
        <f t="shared" si="1"/>
        <v>105.64029670500767</v>
      </c>
      <c r="E25" s="577">
        <v>772.56395799999996</v>
      </c>
      <c r="F25" s="617">
        <v>167903</v>
      </c>
      <c r="G25" s="484">
        <f t="shared" si="2"/>
        <v>8.2813016918199995</v>
      </c>
      <c r="H25" s="484">
        <v>99.681422999999995</v>
      </c>
      <c r="I25" s="484">
        <v>1958098</v>
      </c>
      <c r="J25" s="484">
        <f t="shared" si="3"/>
        <v>74.452395437262354</v>
      </c>
      <c r="K25" s="483">
        <v>159.82396399999999</v>
      </c>
      <c r="L25" s="1232">
        <f t="shared" si="4"/>
        <v>2003</v>
      </c>
      <c r="M25" s="1232" t="str">
        <f t="shared" si="5"/>
        <v>1</v>
      </c>
      <c r="N25" s="1233">
        <f t="shared" si="6"/>
        <v>2.1466597959856961</v>
      </c>
      <c r="O25" s="14"/>
      <c r="Z25" s="1"/>
    </row>
    <row r="26" spans="1:28">
      <c r="A26" s="293">
        <f t="shared" si="0"/>
        <v>20032</v>
      </c>
      <c r="B26" s="641">
        <v>37773</v>
      </c>
      <c r="C26" s="639">
        <v>2018138.4484287524</v>
      </c>
      <c r="D26" s="639">
        <f t="shared" si="1"/>
        <v>104.14962691760397</v>
      </c>
      <c r="E26" s="1476">
        <v>726.19900600000017</v>
      </c>
      <c r="F26" s="1250">
        <v>232112</v>
      </c>
      <c r="G26" s="639">
        <f t="shared" si="2"/>
        <v>11.448214137280001</v>
      </c>
      <c r="H26" s="639">
        <v>91.677954999999997</v>
      </c>
      <c r="I26" s="639">
        <v>1962450</v>
      </c>
      <c r="J26" s="639">
        <f t="shared" si="3"/>
        <v>74.617870722433466</v>
      </c>
      <c r="K26" s="640">
        <v>159.586656</v>
      </c>
      <c r="L26" s="1232">
        <f t="shared" si="4"/>
        <v>2003</v>
      </c>
      <c r="M26" s="1232" t="str">
        <f t="shared" si="5"/>
        <v>2</v>
      </c>
      <c r="N26" s="1233">
        <f t="shared" si="6"/>
        <v>2.1387189751586027</v>
      </c>
      <c r="O26" s="14"/>
      <c r="Z26" s="1"/>
    </row>
    <row r="27" spans="1:28">
      <c r="A27" s="293">
        <f t="shared" si="0"/>
        <v>20033</v>
      </c>
      <c r="B27" s="641">
        <v>37865</v>
      </c>
      <c r="C27" s="484">
        <v>2219445.4507048135</v>
      </c>
      <c r="D27" s="484">
        <f t="shared" si="1"/>
        <v>114.53843309652416</v>
      </c>
      <c r="E27" s="577">
        <v>752.43159899999989</v>
      </c>
      <c r="F27" s="617">
        <v>170079</v>
      </c>
      <c r="G27" s="484">
        <f t="shared" si="2"/>
        <v>8.3886262332600001</v>
      </c>
      <c r="H27" s="484">
        <v>67.386379000000005</v>
      </c>
      <c r="I27" s="484">
        <v>2110943</v>
      </c>
      <c r="J27" s="484">
        <f t="shared" si="3"/>
        <v>80.263992395437256</v>
      </c>
      <c r="K27" s="483">
        <v>188.401556</v>
      </c>
      <c r="L27" s="1232">
        <f t="shared" si="4"/>
        <v>2003</v>
      </c>
      <c r="M27" s="1232" t="str">
        <f t="shared" si="5"/>
        <v>3</v>
      </c>
      <c r="N27" s="1233">
        <f t="shared" si="6"/>
        <v>2.3472736700138279</v>
      </c>
      <c r="O27" s="14"/>
    </row>
    <row r="28" spans="1:28">
      <c r="A28" s="293">
        <f t="shared" si="0"/>
        <v>20034</v>
      </c>
      <c r="B28" s="641">
        <v>37956</v>
      </c>
      <c r="C28" s="639">
        <v>2003850.0192975404</v>
      </c>
      <c r="D28" s="639">
        <f t="shared" si="1"/>
        <v>103.41224709888392</v>
      </c>
      <c r="E28" s="1476">
        <v>623.41959999999995</v>
      </c>
      <c r="F28" s="1250">
        <v>175075</v>
      </c>
      <c r="G28" s="639">
        <f t="shared" si="2"/>
        <v>8.6350386454999981</v>
      </c>
      <c r="H28" s="639">
        <v>66.801114999999996</v>
      </c>
      <c r="I28" s="639">
        <v>2081126</v>
      </c>
      <c r="J28" s="639">
        <f t="shared" si="3"/>
        <v>79.130266159695822</v>
      </c>
      <c r="K28" s="640">
        <v>182.642709</v>
      </c>
      <c r="L28" s="1232">
        <f t="shared" si="4"/>
        <v>2003</v>
      </c>
      <c r="M28" s="1232" t="str">
        <f t="shared" si="5"/>
        <v>4</v>
      </c>
      <c r="N28" s="1233">
        <f t="shared" si="6"/>
        <v>2.308127065204125</v>
      </c>
      <c r="O28" s="14"/>
    </row>
    <row r="29" spans="1:28">
      <c r="A29" s="293">
        <f t="shared" si="0"/>
        <v>20041</v>
      </c>
      <c r="B29" s="641">
        <v>38047</v>
      </c>
      <c r="C29" s="484">
        <v>1980160.9456250088</v>
      </c>
      <c r="D29" s="484">
        <f t="shared" si="1"/>
        <v>102.18973028546179</v>
      </c>
      <c r="E29" s="577">
        <v>696.88724400000001</v>
      </c>
      <c r="F29" s="617">
        <v>189587</v>
      </c>
      <c r="G29" s="484">
        <f t="shared" si="2"/>
        <v>9.3507986387799988</v>
      </c>
      <c r="H29" s="484">
        <v>76.295843000000005</v>
      </c>
      <c r="I29" s="484">
        <v>1958982</v>
      </c>
      <c r="J29" s="484">
        <f t="shared" si="3"/>
        <v>74.486007604562744</v>
      </c>
      <c r="K29" s="483">
        <v>151.96587700000001</v>
      </c>
      <c r="L29" s="1232">
        <f t="shared" si="4"/>
        <v>2004</v>
      </c>
      <c r="M29" s="1232" t="str">
        <f t="shared" si="5"/>
        <v>1</v>
      </c>
      <c r="N29" s="1233">
        <f t="shared" si="6"/>
        <v>2.0401936133665344</v>
      </c>
      <c r="O29" s="14"/>
    </row>
    <row r="30" spans="1:28">
      <c r="A30" s="293">
        <f t="shared" si="0"/>
        <v>20042</v>
      </c>
      <c r="B30" s="641">
        <v>38139</v>
      </c>
      <c r="C30" s="639">
        <v>2017308.1044479285</v>
      </c>
      <c r="D30" s="639">
        <f t="shared" si="1"/>
        <v>104.10677553846126</v>
      </c>
      <c r="E30" s="1476">
        <v>703.14304900000002</v>
      </c>
      <c r="F30" s="1250">
        <v>160521</v>
      </c>
      <c r="G30" s="639">
        <f t="shared" si="2"/>
        <v>7.9172071307399996</v>
      </c>
      <c r="H30" s="639">
        <v>71.667344999999997</v>
      </c>
      <c r="I30" s="639">
        <v>1909759</v>
      </c>
      <c r="J30" s="639">
        <f t="shared" si="3"/>
        <v>72.614410646387839</v>
      </c>
      <c r="K30" s="640">
        <v>158.03351499999999</v>
      </c>
      <c r="L30" s="1232">
        <f t="shared" si="4"/>
        <v>2004</v>
      </c>
      <c r="M30" s="1232" t="str">
        <f t="shared" si="5"/>
        <v>2</v>
      </c>
      <c r="N30" s="1233">
        <f t="shared" si="6"/>
        <v>2.1763381895307208</v>
      </c>
      <c r="O30" s="14"/>
    </row>
    <row r="31" spans="1:28">
      <c r="A31" s="293">
        <f t="shared" si="0"/>
        <v>20043</v>
      </c>
      <c r="B31" s="641">
        <v>38231</v>
      </c>
      <c r="C31" s="484">
        <v>2434155.8057928775</v>
      </c>
      <c r="D31" s="484">
        <f t="shared" si="1"/>
        <v>125.61894315527576</v>
      </c>
      <c r="E31" s="577">
        <v>814.84290999999996</v>
      </c>
      <c r="F31" s="617">
        <v>229492</v>
      </c>
      <c r="G31" s="484">
        <f t="shared" si="2"/>
        <v>11.318990654479999</v>
      </c>
      <c r="H31" s="484">
        <v>111.539199</v>
      </c>
      <c r="I31" s="484">
        <v>1843652</v>
      </c>
      <c r="J31" s="484">
        <f t="shared" si="3"/>
        <v>70.100836501901142</v>
      </c>
      <c r="K31" s="483">
        <v>169.58207899999999</v>
      </c>
      <c r="L31" s="1232">
        <f t="shared" si="4"/>
        <v>2004</v>
      </c>
      <c r="M31" s="1232" t="str">
        <f t="shared" si="5"/>
        <v>3</v>
      </c>
      <c r="N31" s="1233">
        <f t="shared" si="6"/>
        <v>2.4191163395803543</v>
      </c>
      <c r="O31" s="14"/>
    </row>
    <row r="32" spans="1:28" ht="15.75" thickBot="1">
      <c r="A32" s="293">
        <f t="shared" si="0"/>
        <v>20044</v>
      </c>
      <c r="B32" s="641">
        <v>38322</v>
      </c>
      <c r="C32" s="639">
        <v>2787683.4293645131</v>
      </c>
      <c r="D32" s="639">
        <f t="shared" si="1"/>
        <v>143.86336544885998</v>
      </c>
      <c r="E32" s="1476">
        <v>935.93642699999998</v>
      </c>
      <c r="F32" s="1250">
        <v>142088</v>
      </c>
      <c r="G32" s="639">
        <f t="shared" si="2"/>
        <v>7.0080558107199993</v>
      </c>
      <c r="H32" s="639">
        <v>80.915570000000002</v>
      </c>
      <c r="I32" s="639">
        <v>2001298</v>
      </c>
      <c r="J32" s="639">
        <f t="shared" si="3"/>
        <v>76.09498098859315</v>
      </c>
      <c r="K32" s="640">
        <v>175.87676099999999</v>
      </c>
      <c r="L32" s="1232">
        <f t="shared" si="4"/>
        <v>2004</v>
      </c>
      <c r="M32" s="1232" t="str">
        <f t="shared" si="5"/>
        <v>4</v>
      </c>
      <c r="N32" s="1233">
        <f t="shared" si="6"/>
        <v>2.3112793868279486</v>
      </c>
      <c r="O32" s="14"/>
      <c r="Z32" s="1973" t="s">
        <v>577</v>
      </c>
      <c r="AA32" s="1973"/>
      <c r="AB32" s="1973"/>
    </row>
    <row r="33" spans="1:39" ht="15.75" thickBot="1">
      <c r="A33" s="293">
        <f t="shared" si="0"/>
        <v>20051</v>
      </c>
      <c r="B33" s="641">
        <v>38412</v>
      </c>
      <c r="C33" s="484">
        <v>2765700</v>
      </c>
      <c r="D33" s="484">
        <f t="shared" si="1"/>
        <v>142.728871446</v>
      </c>
      <c r="E33" s="577">
        <v>990.53453766112727</v>
      </c>
      <c r="F33" s="617">
        <v>193680</v>
      </c>
      <c r="G33" s="484">
        <f t="shared" si="2"/>
        <v>9.5526733392000001</v>
      </c>
      <c r="H33" s="484">
        <v>114.8085584005612</v>
      </c>
      <c r="I33" s="484">
        <v>1864648</v>
      </c>
      <c r="J33" s="484">
        <f t="shared" si="3"/>
        <v>70.899163498098858</v>
      </c>
      <c r="K33" s="483">
        <v>166.87281999999999</v>
      </c>
      <c r="L33" s="1232">
        <f t="shared" si="4"/>
        <v>2005</v>
      </c>
      <c r="M33" s="1232" t="str">
        <f t="shared" si="5"/>
        <v>1</v>
      </c>
      <c r="N33" s="1233">
        <f t="shared" si="6"/>
        <v>2.3536641585972258</v>
      </c>
      <c r="O33" s="44"/>
      <c r="Q33" s="325"/>
      <c r="R33" s="278"/>
      <c r="Z33" s="1977" t="s">
        <v>580</v>
      </c>
      <c r="AA33" s="1977"/>
      <c r="AB33" s="1977"/>
      <c r="AD33" s="1487" t="s">
        <v>247</v>
      </c>
      <c r="AE33" s="2086" t="s">
        <v>240</v>
      </c>
      <c r="AF33" s="2086"/>
      <c r="AG33" s="2086"/>
      <c r="AH33" s="2086"/>
      <c r="AI33" s="2086"/>
      <c r="AJ33" s="2086"/>
      <c r="AK33" s="2086"/>
      <c r="AL33" s="2086"/>
      <c r="AM33" s="2087"/>
    </row>
    <row r="34" spans="1:39">
      <c r="A34" s="293">
        <f t="shared" si="0"/>
        <v>20052</v>
      </c>
      <c r="B34" s="641">
        <v>38504</v>
      </c>
      <c r="C34" s="639">
        <v>2941484</v>
      </c>
      <c r="D34" s="639">
        <f t="shared" si="1"/>
        <v>151.80051766151999</v>
      </c>
      <c r="E34" s="1476">
        <v>1053.4915189563594</v>
      </c>
      <c r="F34" s="1250">
        <v>198926</v>
      </c>
      <c r="G34" s="639">
        <f t="shared" si="2"/>
        <v>9.8114162364399995</v>
      </c>
      <c r="H34" s="639">
        <v>96.238425912268809</v>
      </c>
      <c r="I34" s="639">
        <v>1933203</v>
      </c>
      <c r="J34" s="639">
        <f t="shared" si="3"/>
        <v>73.505817490494294</v>
      </c>
      <c r="K34" s="640">
        <v>166.391311</v>
      </c>
      <c r="L34" s="1232">
        <f t="shared" si="4"/>
        <v>2005</v>
      </c>
      <c r="M34" s="1232" t="str">
        <f t="shared" si="5"/>
        <v>2</v>
      </c>
      <c r="N34" s="1233">
        <f t="shared" si="6"/>
        <v>2.2636481938523789</v>
      </c>
      <c r="O34" s="14"/>
      <c r="Q34" s="325"/>
      <c r="R34" s="278"/>
      <c r="Z34" s="1245" t="s">
        <v>5</v>
      </c>
      <c r="AA34" s="774" t="str">
        <f>F8</f>
        <v>Quantity (t)</v>
      </c>
      <c r="AB34" s="775" t="str">
        <f>H8</f>
        <v>Value ($ Million)</v>
      </c>
      <c r="AD34" s="1961" t="str">
        <f>CONCATENATE(J5," Quantity And Value By ",AE33)</f>
        <v xml:space="preserve"> Quantity And Value By Calendar Year</v>
      </c>
      <c r="AE34" s="1962"/>
      <c r="AF34" s="1962"/>
      <c r="AG34" s="1962"/>
      <c r="AH34" s="1962"/>
      <c r="AI34" s="1962"/>
      <c r="AJ34" s="1962"/>
      <c r="AK34" s="1962"/>
      <c r="AL34" s="1962"/>
      <c r="AM34" s="1963"/>
    </row>
    <row r="35" spans="1:39">
      <c r="A35" s="293">
        <f t="shared" si="0"/>
        <v>20053</v>
      </c>
      <c r="B35" s="641">
        <v>38596</v>
      </c>
      <c r="C35" s="484">
        <v>2816304</v>
      </c>
      <c r="D35" s="484">
        <f t="shared" si="1"/>
        <v>145.34038094112</v>
      </c>
      <c r="E35" s="577">
        <v>1109.5212301645097</v>
      </c>
      <c r="F35" s="617">
        <v>237820</v>
      </c>
      <c r="G35" s="484">
        <f t="shared" si="2"/>
        <v>11.729743770800001</v>
      </c>
      <c r="H35" s="484">
        <v>132.4409622798909</v>
      </c>
      <c r="I35" s="484">
        <v>1969628</v>
      </c>
      <c r="J35" s="484">
        <f t="shared" si="3"/>
        <v>74.890798479087451</v>
      </c>
      <c r="K35" s="483">
        <v>175.05570499999999</v>
      </c>
      <c r="L35" s="1232">
        <f t="shared" si="4"/>
        <v>2005</v>
      </c>
      <c r="M35" s="1232" t="str">
        <f t="shared" si="5"/>
        <v>3</v>
      </c>
      <c r="N35" s="1233">
        <f t="shared" si="6"/>
        <v>2.3374794841970159</v>
      </c>
      <c r="O35" s="14"/>
      <c r="Q35" s="325"/>
      <c r="R35" s="278"/>
      <c r="Z35" s="645">
        <f>LARGE(B$9:B$739,9)</f>
        <v>44531</v>
      </c>
      <c r="AA35" s="484">
        <f t="shared" ref="AA35:AA43" si="9">SUMIF($B$9:$B$739,$Z35,F$9:F$739)</f>
        <v>153458.40963855421</v>
      </c>
      <c r="AB35" s="483">
        <f t="shared" ref="AB35:AB43" si="10">SUMIF($B$9:$B$739,$Z35,H$9:H$739)</f>
        <v>163.95221711451811</v>
      </c>
      <c r="AD35" s="1488"/>
      <c r="AE35" s="2076" t="str">
        <f>C7</f>
        <v>LNG</v>
      </c>
      <c r="AF35" s="2078"/>
      <c r="AG35" s="2077"/>
      <c r="AH35" s="2076" t="str">
        <f>F7</f>
        <v>LPG - Butane And Propane</v>
      </c>
      <c r="AI35" s="2078"/>
      <c r="AJ35" s="2077"/>
      <c r="AK35" s="2078" t="str">
        <f>I7</f>
        <v>Domestic Gas</v>
      </c>
      <c r="AL35" s="2078"/>
      <c r="AM35" s="2079"/>
    </row>
    <row r="36" spans="1:39">
      <c r="A36" s="293">
        <f t="shared" si="0"/>
        <v>20054</v>
      </c>
      <c r="B36" s="641">
        <v>38687</v>
      </c>
      <c r="C36" s="639">
        <v>3077124</v>
      </c>
      <c r="D36" s="639">
        <f t="shared" si="1"/>
        <v>158.80046130072</v>
      </c>
      <c r="E36" s="1476">
        <v>1292.7891994264205</v>
      </c>
      <c r="F36" s="1250">
        <v>240304</v>
      </c>
      <c r="G36" s="639">
        <f t="shared" si="2"/>
        <v>11.852259469759998</v>
      </c>
      <c r="H36" s="639">
        <v>200.73407476360785</v>
      </c>
      <c r="I36" s="639">
        <v>1638770</v>
      </c>
      <c r="J36" s="639">
        <f t="shared" si="3"/>
        <v>62.310646387832698</v>
      </c>
      <c r="K36" s="640">
        <v>153.29080999999999</v>
      </c>
      <c r="L36" s="1232">
        <f t="shared" si="4"/>
        <v>2005</v>
      </c>
      <c r="M36" s="1232" t="str">
        <f t="shared" si="5"/>
        <v>4</v>
      </c>
      <c r="N36" s="1233">
        <f t="shared" si="6"/>
        <v>2.4601062400458882</v>
      </c>
      <c r="O36" s="14"/>
      <c r="Q36" s="325"/>
      <c r="R36" s="278"/>
      <c r="Z36" s="646">
        <f>LARGE(B$9:B$739,8)</f>
        <v>44621</v>
      </c>
      <c r="AA36" s="639">
        <f t="shared" si="9"/>
        <v>98880</v>
      </c>
      <c r="AB36" s="640">
        <f t="shared" si="10"/>
        <v>113.1349998826515</v>
      </c>
      <c r="AD36" s="1489" t="s">
        <v>34</v>
      </c>
      <c r="AE36" s="1482" t="str">
        <f>C8</f>
        <v>Quantity (t)</v>
      </c>
      <c r="AF36" s="1484" t="str">
        <f>D8</f>
        <v>Quantity (PJ)</v>
      </c>
      <c r="AG36" s="1483" t="str">
        <f>E8</f>
        <v>Value ($ Million)</v>
      </c>
      <c r="AH36" s="1482" t="str">
        <f>F8</f>
        <v>Quantity (t)</v>
      </c>
      <c r="AI36" s="1484" t="str">
        <f>G8</f>
        <v>Quantity (PJ)</v>
      </c>
      <c r="AJ36" s="1483" t="str">
        <f>H8</f>
        <v>Value ($ Million)</v>
      </c>
      <c r="AK36" s="1484" t="str">
        <f>I8</f>
        <v>Quantity (000 cubic metres)</v>
      </c>
      <c r="AL36" s="1484" t="str">
        <f>J8</f>
        <v>Quantity (PJ)</v>
      </c>
      <c r="AM36" s="1485" t="str">
        <f>K8</f>
        <v>Value ($ Million)</v>
      </c>
    </row>
    <row r="37" spans="1:39">
      <c r="A37" s="293">
        <f t="shared" si="0"/>
        <v>20061</v>
      </c>
      <c r="B37" s="641">
        <v>38777</v>
      </c>
      <c r="C37" s="484">
        <v>2809980</v>
      </c>
      <c r="D37" s="484">
        <f t="shared" si="1"/>
        <v>145.0140196644</v>
      </c>
      <c r="E37" s="577">
        <v>1136.0294052345751</v>
      </c>
      <c r="F37" s="617">
        <v>211950</v>
      </c>
      <c r="G37" s="484">
        <f t="shared" si="2"/>
        <v>10.453785183000001</v>
      </c>
      <c r="H37" s="484">
        <v>200.41766147273182</v>
      </c>
      <c r="I37" s="484">
        <v>1971203</v>
      </c>
      <c r="J37" s="484">
        <f t="shared" si="3"/>
        <v>74.950684410646389</v>
      </c>
      <c r="K37" s="483">
        <v>179.124033</v>
      </c>
      <c r="L37" s="1232">
        <f t="shared" si="4"/>
        <v>2006</v>
      </c>
      <c r="M37" s="1232" t="str">
        <f t="shared" si="5"/>
        <v>1</v>
      </c>
      <c r="N37" s="1233">
        <f t="shared" si="6"/>
        <v>2.3898918923621766</v>
      </c>
      <c r="O37" s="14"/>
      <c r="Q37" s="325"/>
      <c r="R37" s="278"/>
      <c r="Z37" s="645">
        <f>LARGE(B$9:B$739,7)</f>
        <v>44713</v>
      </c>
      <c r="AA37" s="484">
        <f t="shared" si="9"/>
        <v>239649.94492906437</v>
      </c>
      <c r="AB37" s="483">
        <f t="shared" si="10"/>
        <v>270.13152416446644</v>
      </c>
      <c r="AD37" s="1750">
        <f t="shared" ref="AD37:AD54" si="11">IF($AE$33="Calendar Year", AD38-1, LEFT(AD38,4)-1 &amp; "-" &amp; MID(AD38,3,2))</f>
        <v>2004</v>
      </c>
      <c r="AE37" s="1479">
        <f>IF($AE$33="Calendar Year",SUMIF($L$9:$L$201,$AD37,$C$9:$C$201),SUMIFS($C$9:$C$201,$L$9:$L$201,LEFT($AD37,4),$M$9:$M$201,3)+SUMIFS($C$9:$C$201,$L$9:$L$201,LEFT($AD37,4),$M$9:$M$201,4)+SUMIFS($C$9:$C$201,$L$9:$L$201,LEFT($AD37,4)+1,$M$9:$M$201,1)+SUMIFS($C$9:$C$201,$L$9:$L$201,LEFT($AD37,4)+1,$M$9:$M$201,2))</f>
        <v>9219308.2852303274</v>
      </c>
      <c r="AF37" s="1490">
        <f>IF($AE$33="Calendar Year",SUMIF($L$9:$L$201,$AD37,$D$9:$D$201),SUMIFS($D$9:$D$201,$L$9:$L$201,LEFT($AD37,4),$M$9:$M$201,3)+SUMIFS($D$9:$D$201,$L$9:$L$201,LEFT($AD37,4),$M$9:$M$201,4)+SUMIFS($D$9:$D$201,$L$9:$L$201,LEFT($AD37,4)+1,$M$9:$M$201,1)+SUMIFS($D$9:$D$201,$L$9:$L$201,LEFT($AD37,4)+1,$M$9:$M$201,2))</f>
        <v>475.77881442805881</v>
      </c>
      <c r="AG37" s="1480">
        <f>IF($AE$33="Calendar Year",SUMIF($L$9:$L$201,$AD37,$E$9:$E$201),SUMIFS($E$9:$E$201,$L$9:$L$201,LEFT($AD37,4),$M$9:$M$201,3)+SUMIFS($E$9:$E$201,$L$9:$L$201,LEFT($AD37,4),$M$9:$M$201,4)+SUMIFS($E$9:$E$201,$L$9:$L$201,LEFT($AD37,4)+1,$M$9:$M$201,1)+SUMIFS($E$9:$E$201,$L$9:$L$201,LEFT($AD37,4)+1,$M$9:$M$201,2))</f>
        <v>3150.8096300000002</v>
      </c>
      <c r="AH37" s="1479">
        <f>IF($AE$33="Calendar Year",SUMIF($L$9:$L$201,$AD37,$F$9:$F$201),SUMIFS($F$9:$F$201,$L$9:$L$201,LEFT($AD37,4),$M$9:$M$201,3)+SUMIFS($F$9:$F$201,$L$9:$L$201,LEFT($AD37,4),$M$9:$M$201,4)+SUMIFS($F$9:$F$201,$L$9:$L$201,LEFT($AD37,4)+1,$M$9:$M$201,1)+SUMIFS($F$9:$F$201,$L$9:$L$201,LEFT($AD37,4)+1,$M$9:$M$201,2))</f>
        <v>721688</v>
      </c>
      <c r="AI37" s="1490">
        <f>IF($AE$33="Calendar Year",SUMIF($L$9:$L$201,$AD37,$G$9:$G$201),SUMIFS($G$9:$G$201,$L$9:$L$201,LEFT($AD37,4),$M$9:$M$201,3)+SUMIFS($G$9:$G$201,$L$9:$L$201,LEFT($AD37,4),$M$9:$M$201,4)+SUMIFS($G$9:$G$201,$L$9:$L$201,LEFT($AD37,4)+1,$M$9:$M$201,1)+SUMIFS($G$9:$G$201,$L$9:$L$201,LEFT($AD37,4)+1,$M$9:$M$201,2))</f>
        <v>35.595052234720001</v>
      </c>
      <c r="AJ37" s="1480">
        <f>IF($AE$33="Calendar Year",SUMIF($L$9:$L$201,$AD37,$H$9:$H$201),SUMIFS($H$9:$H$201,$L$9:$L$201,LEFT($AD37,4),$M$9:$M$201,3)+SUMIFS($H$9:$H$201,$L$9:$L$201,LEFT($AD37,4),$M$9:$M$201,4)+SUMIFS($H$9:$H$201,$L$9:$L$201,LEFT($AD37,4)+1,$M$9:$M$201,1)+SUMIFS($H$9:$H$201,$L$9:$L$201,LEFT($AD37,4)+1,$M$9:$M$201,2))</f>
        <v>340.417957</v>
      </c>
      <c r="AK37" s="545">
        <f>IF($AE$33="Calendar Year",SUMIF($L$9:$L$201,$AD37,$I$9:$I$201),SUMIFS($I$9:$I$201,$L$9:$L$201,LEFT($AD37,4),$M$9:$M$201,3)+SUMIFS($I$9:$I$201,$L$9:$L$201,LEFT($AD37,4),$M$9:$M$201,4)+SUMIFS($I$9:$I$201,$L$9:$L$201,LEFT($AD37,4)+1,$M$9:$M$201,1)+SUMIFS($I$9:$I$201,$L$9:$L$201,LEFT($AD37,4)+1,$M$9:$M$201,2))</f>
        <v>7713691</v>
      </c>
      <c r="AL37" s="1490">
        <f>IF($AE$33="Calendar Year",SUMIF($L$9:$L$201,$AD37,$J$9:$J$201),SUMIFS($J$9:$J$201,$L$9:$L$201,LEFT($AD37,4),$M$9:$M$201,3)+SUMIFS($J$9:$J$201,$L$9:$L$201,LEFT($AD37,4),$M$9:$M$201,4)+SUMIFS($J$9:$J$201,$L$9:$L$201,LEFT($AD37,4)+1,$M$9:$M$201,1)+SUMIFS($J$9:$J$201,$L$9:$L$201,LEFT($AD37,4)+1,$M$9:$M$201,2))</f>
        <v>293.29623574144489</v>
      </c>
      <c r="AM37" s="546">
        <f>IF($AE$33="Calendar Year",SUMIF($L$9:$L$201,$AD37,$K$9:$K$201),SUMIFS($K$9:$K$201,$L$9:$L$201,LEFT($AD37,4),$M$9:$M$201,3)+SUMIFS($K$9:$K$201,$L$9:$L$201,LEFT($AD37,4),$M$9:$M$201,4)+SUMIFS($K$9:$K$201,$L$9:$L$201,LEFT($AD37,4)+1,$M$9:$M$201,1)+SUMIFS($K$9:$K$201,$L$9:$L$201,LEFT($AD37,4)+1,$M$9:$M$201,2))</f>
        <v>655.45823199999995</v>
      </c>
    </row>
    <row r="38" spans="1:39">
      <c r="A38" s="293">
        <f t="shared" si="0"/>
        <v>20062</v>
      </c>
      <c r="B38" s="641">
        <v>38869</v>
      </c>
      <c r="C38" s="639">
        <v>2976428</v>
      </c>
      <c r="D38" s="639">
        <f t="shared" si="1"/>
        <v>153.60386498183999</v>
      </c>
      <c r="E38" s="1476">
        <v>1110.6196977902448</v>
      </c>
      <c r="F38" s="1250">
        <v>181909</v>
      </c>
      <c r="G38" s="639">
        <f t="shared" si="2"/>
        <v>8.9721047834600007</v>
      </c>
      <c r="H38" s="639">
        <v>120.83113587726857</v>
      </c>
      <c r="I38" s="639">
        <v>2133813</v>
      </c>
      <c r="J38" s="639">
        <f t="shared" si="3"/>
        <v>81.133574144486687</v>
      </c>
      <c r="K38" s="640">
        <v>193.51226299999999</v>
      </c>
      <c r="L38" s="1232">
        <f t="shared" si="4"/>
        <v>2006</v>
      </c>
      <c r="M38" s="1232" t="str">
        <f t="shared" si="5"/>
        <v>2</v>
      </c>
      <c r="N38" s="1233">
        <f t="shared" si="6"/>
        <v>2.3851070908744112</v>
      </c>
      <c r="O38" s="14"/>
      <c r="Q38" s="325"/>
      <c r="R38" s="278"/>
      <c r="Z38" s="646">
        <f>LARGE(B$9:B$739,6)</f>
        <v>44805</v>
      </c>
      <c r="AA38" s="639">
        <f t="shared" si="9"/>
        <v>189836.80506776812</v>
      </c>
      <c r="AB38" s="640">
        <f t="shared" si="10"/>
        <v>195.8859334891165</v>
      </c>
      <c r="AD38" s="1750">
        <f t="shared" si="11"/>
        <v>2005</v>
      </c>
      <c r="AE38" s="1478">
        <f t="shared" ref="AE38:AE62" si="12">IF($AD38="","",IF($AE$33="Calendar Year",SUMIF($L$9:$L$201,$AD38,$C$9:$C$201),SUMIFS($C$9:$C$201,$L$9:$L$201,LEFT($AD38,4),$M$9:$M$201,3)+SUMIFS($C$9:$C$201,$L$9:$L$201,LEFT($AD38,4),$M$9:$M$201,4)+SUMIFS($C$9:$C$201,$L$9:$L$201,LEFT($AD38,4)+1,$M$9:$M$201,1)+SUMIFS($C$9:$C$201,$L$9:$L$201,LEFT($AD38,4)+1,$M$9:$M$201,2)))</f>
        <v>11600612</v>
      </c>
      <c r="AF38" s="1255">
        <f t="shared" ref="AF38:AF62" si="13">IF($AD38="","",IF($AE$33="Calendar Year",SUMIF($L$9:$L$201,$AD38,$D$9:$D$201),SUMIFS($D$9:$D$201,$L$9:$L$201,LEFT($AD38,4),$M$9:$M$201,3)+SUMIFS($D$9:$D$201,$L$9:$L$201,LEFT($AD38,4),$M$9:$M$201,4)+SUMIFS($D$9:$D$201,$L$9:$L$201,LEFT($AD38,4)+1,$M$9:$M$201,1)+SUMIFS($D$9:$D$201,$L$9:$L$201,LEFT($AD38,4)+1,$M$9:$M$201,2)))</f>
        <v>598.67023134936005</v>
      </c>
      <c r="AG38" s="659">
        <f t="shared" ref="AG38:AG62" si="14">IF($AD38="","",IF($AE$33="Calendar Year",SUMIF($L$9:$L$201,$AD38,$E$9:$E$201),SUMIFS($E$9:$E$201,$L$9:$L$201,LEFT($AD38,4),$M$9:$M$201,3)+SUMIFS($E$9:$E$201,$L$9:$L$201,LEFT($AD38,4),$M$9:$M$201,4)+SUMIFS($E$9:$E$201,$L$9:$L$201,LEFT($AD38,4)+1,$M$9:$M$201,1)+SUMIFS($E$9:$E$201,$L$9:$L$201,LEFT($AD38,4)+1,$M$9:$M$201,2)))</f>
        <v>4446.3364862084163</v>
      </c>
      <c r="AH38" s="1478">
        <f t="shared" ref="AH38:AH62" si="15">IF($AD38="","",IF($AE$33="Calendar Year",SUMIF($L$9:$L$201,$AD38,$F$9:$F$201),SUMIFS($F$9:$F$201,$L$9:$L$201,LEFT($AD38,4),$M$9:$M$201,3)+SUMIFS($F$9:$F$201,$L$9:$L$201,LEFT($AD38,4),$M$9:$M$201,4)+SUMIFS($F$9:$F$201,$L$9:$L$201,LEFT($AD38,4)+1,$M$9:$M$201,1)+SUMIFS($F$9:$F$201,$L$9:$L$201,LEFT($AD38,4)+1,$M$9:$M$201,2)))</f>
        <v>870730</v>
      </c>
      <c r="AI38" s="1255">
        <f t="shared" ref="AI38:AI62" si="16">IF($AD38="","",IF($AE$33="Calendar Year",SUMIF($L$9:$L$201,$AD38,$G$9:$G$201),SUMIFS($G$9:$G$201,$L$9:$L$201,LEFT($AD38,4),$M$9:$M$201,3)+SUMIFS($G$9:$G$201,$L$9:$L$201,LEFT($AD38,4),$M$9:$M$201,4)+SUMIFS($G$9:$G$201,$L$9:$L$201,LEFT($AD38,4)+1,$M$9:$M$201,1)+SUMIFS($G$9:$G$201,$L$9:$L$201,LEFT($AD38,4)+1,$M$9:$M$201,2)))</f>
        <v>42.9460928162</v>
      </c>
      <c r="AJ38" s="659">
        <f t="shared" ref="AJ38:AJ62" si="17">IF($AD38="","",IF($AE$33="Calendar Year",SUMIF($L$9:$L$201,$AD38,$H$9:$H$201),SUMIFS($H$9:$H$201,$L$9:$L$201,LEFT($AD38,4),$M$9:$M$201,3)+SUMIFS($H$9:$H$201,$L$9:$L$201,LEFT($AD38,4),$M$9:$M$201,4)+SUMIFS($H$9:$H$201,$L$9:$L$201,LEFT($AD38,4)+1,$M$9:$M$201,1)+SUMIFS($H$9:$H$201,$L$9:$L$201,LEFT($AD38,4)+1,$M$9:$M$201,2)))</f>
        <v>544.2220213563287</v>
      </c>
      <c r="AK38" s="648">
        <f t="shared" ref="AK38:AK62" si="18">IF($AD38="","",IF($AE$33="Calendar Year",SUMIF($L$9:$L$201,$AD38,$I$9:$I$201),SUMIFS($I$9:$I$201,$L$9:$L$201,LEFT($AD38,4),$M$9:$M$201,3)+SUMIFS($I$9:$I$201,$L$9:$L$201,LEFT($AD38,4),$M$9:$M$201,4)+SUMIFS($I$9:$I$201,$L$9:$L$201,LEFT($AD38,4)+1,$M$9:$M$201,1)+SUMIFS($I$9:$I$201,$L$9:$L$201,LEFT($AD38,4)+1,$M$9:$M$201,2)))</f>
        <v>7406249</v>
      </c>
      <c r="AL38" s="1255">
        <f t="shared" ref="AL38:AL62" si="19">IF($AD38="","",IF($AE$33="Calendar Year",SUMIF($L$9:$L$201,$AD38,$J$9:$J$201),SUMIFS($J$9:$J$201,$L$9:$L$201,LEFT($AD38,4),$M$9:$M$201,3)+SUMIFS($J$9:$J$201,$L$9:$L$201,LEFT($AD38,4),$M$9:$M$201,4)+SUMIFS($J$9:$J$201,$L$9:$L$201,LEFT($AD38,4)+1,$M$9:$M$201,1)+SUMIFS($J$9:$J$201,$L$9:$L$201,LEFT($AD38,4)+1,$M$9:$M$201,2)))</f>
        <v>281.60642585551329</v>
      </c>
      <c r="AM38" s="649">
        <f t="shared" ref="AM38:AM62" si="20">IF($AD38="","",IF($AE$33="Calendar Year",SUMIF($L$9:$L$201,$AD38,$K$9:$K$201),SUMIFS($K$9:$K$201,$L$9:$L$201,LEFT($AD38,4),$M$9:$M$201,3)+SUMIFS($K$9:$K$201,$L$9:$L$201,LEFT($AD38,4),$M$9:$M$201,4)+SUMIFS($K$9:$K$201,$L$9:$L$201,LEFT($AD38,4)+1,$M$9:$M$201,1)+SUMIFS($K$9:$K$201,$L$9:$L$201,LEFT($AD38,4)+1,$M$9:$M$201,2)))</f>
        <v>661.61064599999997</v>
      </c>
    </row>
    <row r="39" spans="1:39">
      <c r="A39" s="293">
        <f t="shared" si="0"/>
        <v>20063</v>
      </c>
      <c r="B39" s="641">
        <v>38961</v>
      </c>
      <c r="C39" s="484">
        <v>2907016</v>
      </c>
      <c r="D39" s="484">
        <f t="shared" si="1"/>
        <v>150.02173516848001</v>
      </c>
      <c r="E39" s="577">
        <v>1154.3685845124028</v>
      </c>
      <c r="F39" s="617">
        <v>231472</v>
      </c>
      <c r="G39" s="484">
        <f t="shared" si="2"/>
        <v>11.416648095679999</v>
      </c>
      <c r="H39" s="484">
        <v>138.79321319144731</v>
      </c>
      <c r="I39" s="484">
        <v>2111195</v>
      </c>
      <c r="J39" s="484">
        <f t="shared" si="3"/>
        <v>80.273574144486687</v>
      </c>
      <c r="K39" s="483">
        <v>219.081705</v>
      </c>
      <c r="L39" s="1232">
        <f t="shared" si="4"/>
        <v>2006</v>
      </c>
      <c r="M39" s="1232" t="str">
        <f t="shared" si="5"/>
        <v>3</v>
      </c>
      <c r="N39" s="1233">
        <f t="shared" si="6"/>
        <v>2.7291883703305477</v>
      </c>
      <c r="O39" s="14"/>
      <c r="Q39" s="325"/>
      <c r="R39" s="278"/>
      <c r="Z39" s="645">
        <f>LARGE(B$9:B$739,5)</f>
        <v>44896</v>
      </c>
      <c r="AA39" s="484">
        <f t="shared" si="9"/>
        <v>178479.40356300442</v>
      </c>
      <c r="AB39" s="483">
        <f t="shared" si="10"/>
        <v>160.43874285011321</v>
      </c>
      <c r="AD39" s="1750">
        <f t="shared" si="11"/>
        <v>2006</v>
      </c>
      <c r="AE39" s="1479">
        <f t="shared" si="12"/>
        <v>11958780</v>
      </c>
      <c r="AF39" s="556">
        <f t="shared" si="13"/>
        <v>617.15412852839995</v>
      </c>
      <c r="AG39" s="1480">
        <f t="shared" si="14"/>
        <v>4550.7623777269846</v>
      </c>
      <c r="AH39" s="1479">
        <f t="shared" si="15"/>
        <v>862231</v>
      </c>
      <c r="AI39" s="556">
        <f t="shared" si="16"/>
        <v>42.526905648140001</v>
      </c>
      <c r="AJ39" s="1480">
        <f t="shared" si="17"/>
        <v>613.83007330998862</v>
      </c>
      <c r="AK39" s="545">
        <f t="shared" si="18"/>
        <v>8364468</v>
      </c>
      <c r="AL39" s="556">
        <f t="shared" si="19"/>
        <v>318.04060836501901</v>
      </c>
      <c r="AM39" s="546">
        <f t="shared" si="20"/>
        <v>816.67366399999992</v>
      </c>
    </row>
    <row r="40" spans="1:39">
      <c r="A40" s="293">
        <f t="shared" si="0"/>
        <v>20064</v>
      </c>
      <c r="B40" s="641">
        <v>39052</v>
      </c>
      <c r="C40" s="639">
        <v>3265356</v>
      </c>
      <c r="D40" s="639">
        <f t="shared" si="1"/>
        <v>168.51450871368002</v>
      </c>
      <c r="E40" s="1476">
        <v>1149.744690189762</v>
      </c>
      <c r="F40" s="1250">
        <v>236900</v>
      </c>
      <c r="G40" s="639">
        <f t="shared" si="2"/>
        <v>11.684367585999999</v>
      </c>
      <c r="H40" s="639">
        <v>153.78806276854101</v>
      </c>
      <c r="I40" s="639">
        <v>2148257</v>
      </c>
      <c r="J40" s="639">
        <f t="shared" si="3"/>
        <v>81.682775665399234</v>
      </c>
      <c r="K40" s="640">
        <v>224.95566299999999</v>
      </c>
      <c r="L40" s="1232">
        <f t="shared" si="4"/>
        <v>2006</v>
      </c>
      <c r="M40" s="1232" t="str">
        <f t="shared" si="5"/>
        <v>4</v>
      </c>
      <c r="N40" s="1233">
        <f t="shared" si="6"/>
        <v>2.7540159007511673</v>
      </c>
      <c r="O40" s="14"/>
      <c r="Q40" s="325"/>
      <c r="R40" s="278"/>
      <c r="Z40" s="646">
        <f>LARGE(B$9:B$739,4)</f>
        <v>44986</v>
      </c>
      <c r="AA40" s="639">
        <f t="shared" si="9"/>
        <v>160653.75075949126</v>
      </c>
      <c r="AB40" s="640">
        <f t="shared" si="10"/>
        <v>158.25636183111624</v>
      </c>
      <c r="AD40" s="1750">
        <f t="shared" si="11"/>
        <v>2007</v>
      </c>
      <c r="AE40" s="1478">
        <f t="shared" si="12"/>
        <v>12375731</v>
      </c>
      <c r="AF40" s="1255">
        <f t="shared" si="13"/>
        <v>638.67162705618</v>
      </c>
      <c r="AG40" s="659">
        <f t="shared" si="14"/>
        <v>4448.5751194258501</v>
      </c>
      <c r="AH40" s="1478">
        <f t="shared" si="15"/>
        <v>893914</v>
      </c>
      <c r="AI40" s="1255">
        <f t="shared" si="16"/>
        <v>44.089572673159999</v>
      </c>
      <c r="AJ40" s="659">
        <f t="shared" si="17"/>
        <v>686.63688681833992</v>
      </c>
      <c r="AK40" s="648">
        <f t="shared" si="18"/>
        <v>9174076</v>
      </c>
      <c r="AL40" s="1255">
        <f t="shared" si="19"/>
        <v>348.8241825095057</v>
      </c>
      <c r="AM40" s="649">
        <f t="shared" si="20"/>
        <v>1002.465839</v>
      </c>
    </row>
    <row r="41" spans="1:39">
      <c r="A41" s="293">
        <f t="shared" si="0"/>
        <v>20071</v>
      </c>
      <c r="B41" s="641">
        <v>39142</v>
      </c>
      <c r="C41" s="484">
        <v>3029400</v>
      </c>
      <c r="D41" s="484">
        <f t="shared" si="1"/>
        <v>156.33757933199999</v>
      </c>
      <c r="E41" s="577">
        <v>1124.2681843924527</v>
      </c>
      <c r="F41" s="617">
        <v>230580</v>
      </c>
      <c r="G41" s="484">
        <f t="shared" si="2"/>
        <v>11.372652925200001</v>
      </c>
      <c r="H41" s="484">
        <v>168.17121464226287</v>
      </c>
      <c r="I41" s="484">
        <v>2217246</v>
      </c>
      <c r="J41" s="484">
        <f t="shared" si="3"/>
        <v>84.305931558935356</v>
      </c>
      <c r="K41" s="483">
        <v>236.06044</v>
      </c>
      <c r="L41" s="1232">
        <f t="shared" si="4"/>
        <v>2007</v>
      </c>
      <c r="M41" s="1232" t="str">
        <f t="shared" si="5"/>
        <v>1</v>
      </c>
      <c r="N41" s="1233">
        <f t="shared" si="6"/>
        <v>2.8000454491743363</v>
      </c>
      <c r="O41" s="14"/>
      <c r="Q41" s="325"/>
      <c r="R41" s="278"/>
      <c r="Z41" s="645">
        <f>LARGE(B$9:B$739,3)</f>
        <v>45078</v>
      </c>
      <c r="AA41" s="484">
        <f t="shared" si="9"/>
        <v>227363.78519581803</v>
      </c>
      <c r="AB41" s="483">
        <f t="shared" si="10"/>
        <v>205.93797500519329</v>
      </c>
      <c r="AD41" s="1750">
        <f t="shared" si="11"/>
        <v>2008</v>
      </c>
      <c r="AE41" s="1479">
        <f t="shared" si="12"/>
        <v>12381004</v>
      </c>
      <c r="AF41" s="556">
        <f t="shared" si="13"/>
        <v>638.94374960712003</v>
      </c>
      <c r="AG41" s="1480">
        <f t="shared" si="14"/>
        <v>8157.4775156968399</v>
      </c>
      <c r="AH41" s="1479">
        <f t="shared" si="15"/>
        <v>764668</v>
      </c>
      <c r="AI41" s="556">
        <f t="shared" si="16"/>
        <v>37.714909215920002</v>
      </c>
      <c r="AJ41" s="1480">
        <f t="shared" si="17"/>
        <v>754.34074919629415</v>
      </c>
      <c r="AK41" s="545">
        <f t="shared" si="18"/>
        <v>8502567</v>
      </c>
      <c r="AL41" s="556">
        <f t="shared" si="19"/>
        <v>323.29152091254753</v>
      </c>
      <c r="AM41" s="546">
        <f t="shared" si="20"/>
        <v>1191.442427</v>
      </c>
    </row>
    <row r="42" spans="1:39">
      <c r="A42" s="293">
        <f t="shared" si="0"/>
        <v>20072</v>
      </c>
      <c r="B42" s="641">
        <v>39234</v>
      </c>
      <c r="C42" s="639">
        <v>3009279</v>
      </c>
      <c r="D42" s="639">
        <f t="shared" si="1"/>
        <v>155.29919931162001</v>
      </c>
      <c r="E42" s="1476">
        <v>1005.9778949852993</v>
      </c>
      <c r="F42" s="1250">
        <v>199654</v>
      </c>
      <c r="G42" s="639">
        <f t="shared" si="2"/>
        <v>9.847322608759999</v>
      </c>
      <c r="H42" s="639">
        <v>144.33223682367117</v>
      </c>
      <c r="I42" s="639">
        <v>2238213</v>
      </c>
      <c r="J42" s="639">
        <f t="shared" si="3"/>
        <v>85.103155893536126</v>
      </c>
      <c r="K42" s="640">
        <v>237.924226</v>
      </c>
      <c r="L42" s="1232">
        <f t="shared" si="4"/>
        <v>2007</v>
      </c>
      <c r="M42" s="1232" t="str">
        <f t="shared" si="5"/>
        <v>2</v>
      </c>
      <c r="N42" s="1233">
        <f t="shared" si="6"/>
        <v>2.7957156641481395</v>
      </c>
      <c r="O42" s="14"/>
      <c r="Q42" s="325"/>
      <c r="R42" s="278"/>
      <c r="Z42" s="646">
        <f>LARGE(B$9:B$739,2)</f>
        <v>45170</v>
      </c>
      <c r="AA42" s="639">
        <f t="shared" si="9"/>
        <v>167496.53502270006</v>
      </c>
      <c r="AB42" s="640">
        <f t="shared" si="10"/>
        <v>131.56748137414556</v>
      </c>
      <c r="AD42" s="1750">
        <f t="shared" si="11"/>
        <v>2009</v>
      </c>
      <c r="AE42" s="1478">
        <f t="shared" si="12"/>
        <v>15252516</v>
      </c>
      <c r="AF42" s="1255">
        <f t="shared" si="13"/>
        <v>787.13323765847997</v>
      </c>
      <c r="AG42" s="659">
        <f t="shared" si="14"/>
        <v>6320.7449907749478</v>
      </c>
      <c r="AH42" s="1478">
        <f t="shared" si="15"/>
        <v>950524</v>
      </c>
      <c r="AI42" s="1255">
        <f t="shared" si="16"/>
        <v>46.88168769656</v>
      </c>
      <c r="AJ42" s="659">
        <f t="shared" si="17"/>
        <v>612.77696613916544</v>
      </c>
      <c r="AK42" s="648">
        <f t="shared" si="18"/>
        <v>9312415</v>
      </c>
      <c r="AL42" s="1255">
        <f t="shared" si="19"/>
        <v>354.08422053231942</v>
      </c>
      <c r="AM42" s="649">
        <f t="shared" si="20"/>
        <v>1156.2353419999999</v>
      </c>
    </row>
    <row r="43" spans="1:39" ht="15.75" thickBot="1">
      <c r="A43" s="293">
        <f t="shared" si="0"/>
        <v>20073</v>
      </c>
      <c r="B43" s="641">
        <v>39326</v>
      </c>
      <c r="C43" s="484">
        <v>3100492</v>
      </c>
      <c r="D43" s="484">
        <f t="shared" si="1"/>
        <v>160.00640853575999</v>
      </c>
      <c r="E43" s="577">
        <v>1044.8234946183363</v>
      </c>
      <c r="F43" s="617">
        <v>234784</v>
      </c>
      <c r="G43" s="484">
        <f t="shared" si="2"/>
        <v>11.58000236096</v>
      </c>
      <c r="H43" s="484">
        <v>162.74337660861909</v>
      </c>
      <c r="I43" s="484">
        <v>2346730</v>
      </c>
      <c r="J43" s="484">
        <f t="shared" si="3"/>
        <v>89.22927756653992</v>
      </c>
      <c r="K43" s="483">
        <v>261.01907199999999</v>
      </c>
      <c r="L43" s="1232">
        <f t="shared" si="4"/>
        <v>2007</v>
      </c>
      <c r="M43" s="1232" t="str">
        <f t="shared" si="5"/>
        <v>3</v>
      </c>
      <c r="N43" s="1233">
        <f t="shared" si="6"/>
        <v>2.925262639332177</v>
      </c>
      <c r="O43" s="14"/>
      <c r="Q43" s="325"/>
      <c r="R43" s="278"/>
      <c r="Z43" s="647">
        <f>LARGE(B$9:B$739,1)</f>
        <v>45261</v>
      </c>
      <c r="AA43" s="898">
        <f t="shared" si="9"/>
        <v>117268.65834860383</v>
      </c>
      <c r="AB43" s="1188">
        <f t="shared" si="10"/>
        <v>94.878573084950787</v>
      </c>
      <c r="AD43" s="1750">
        <f t="shared" si="11"/>
        <v>2010</v>
      </c>
      <c r="AE43" s="1479">
        <f t="shared" si="12"/>
        <v>16527193</v>
      </c>
      <c r="AF43" s="556">
        <f t="shared" si="13"/>
        <v>852.91521316854005</v>
      </c>
      <c r="AG43" s="1480">
        <f t="shared" si="14"/>
        <v>8754.6824736822309</v>
      </c>
      <c r="AH43" s="1479">
        <f t="shared" si="15"/>
        <v>988724</v>
      </c>
      <c r="AI43" s="556">
        <f t="shared" si="16"/>
        <v>48.765785804560004</v>
      </c>
      <c r="AJ43" s="1480">
        <f t="shared" si="17"/>
        <v>763.32843501571767</v>
      </c>
      <c r="AK43" s="545">
        <f t="shared" si="18"/>
        <v>9226158</v>
      </c>
      <c r="AL43" s="556">
        <f t="shared" si="19"/>
        <v>350.80448669201519</v>
      </c>
      <c r="AM43" s="546">
        <f t="shared" si="20"/>
        <v>1391.1696790000001</v>
      </c>
    </row>
    <row r="44" spans="1:39">
      <c r="A44" s="293">
        <f t="shared" si="0"/>
        <v>20074</v>
      </c>
      <c r="B44" s="641">
        <v>39417</v>
      </c>
      <c r="C44" s="639">
        <v>3236560</v>
      </c>
      <c r="D44" s="639">
        <f t="shared" si="1"/>
        <v>167.02843987680001</v>
      </c>
      <c r="E44" s="1476">
        <v>1273.5055454297612</v>
      </c>
      <c r="F44" s="1250">
        <v>228896</v>
      </c>
      <c r="G44" s="639">
        <f t="shared" si="2"/>
        <v>11.28959477824</v>
      </c>
      <c r="H44" s="639">
        <v>211.39005874378671</v>
      </c>
      <c r="I44" s="639">
        <v>2371887</v>
      </c>
      <c r="J44" s="639">
        <f t="shared" si="3"/>
        <v>90.185817490494301</v>
      </c>
      <c r="K44" s="640">
        <v>267.46210100000002</v>
      </c>
      <c r="L44" s="1232">
        <f t="shared" si="4"/>
        <v>2007</v>
      </c>
      <c r="M44" s="1232" t="str">
        <f t="shared" si="5"/>
        <v>4</v>
      </c>
      <c r="N44" s="1233">
        <f t="shared" si="6"/>
        <v>2.9656780682637915</v>
      </c>
      <c r="O44" s="14"/>
      <c r="Q44" s="325"/>
      <c r="R44" s="278"/>
      <c r="AD44" s="1750">
        <f t="shared" si="11"/>
        <v>2011</v>
      </c>
      <c r="AE44" s="1478">
        <f t="shared" si="12"/>
        <v>16554099.919233976</v>
      </c>
      <c r="AF44" s="1255">
        <f t="shared" si="13"/>
        <v>854.30379262992551</v>
      </c>
      <c r="AG44" s="659">
        <f t="shared" si="14"/>
        <v>8552.0712839999997</v>
      </c>
      <c r="AH44" s="1478">
        <f t="shared" si="15"/>
        <v>861480</v>
      </c>
      <c r="AI44" s="1255">
        <f t="shared" si="16"/>
        <v>42.489864871199998</v>
      </c>
      <c r="AJ44" s="659">
        <f t="shared" si="17"/>
        <v>745.87995994549283</v>
      </c>
      <c r="AK44" s="648">
        <f t="shared" si="18"/>
        <v>8869413</v>
      </c>
      <c r="AL44" s="1255">
        <f t="shared" si="19"/>
        <v>337.24003802281368</v>
      </c>
      <c r="AM44" s="649">
        <f t="shared" si="20"/>
        <v>1421.1261059999999</v>
      </c>
    </row>
    <row r="45" spans="1:39">
      <c r="A45" s="293">
        <f t="shared" si="0"/>
        <v>20081</v>
      </c>
      <c r="B45" s="641">
        <v>39508</v>
      </c>
      <c r="C45" s="484">
        <v>2840040</v>
      </c>
      <c r="D45" s="484">
        <f t="shared" si="1"/>
        <v>146.56531947120001</v>
      </c>
      <c r="E45" s="577">
        <v>1358.0934923032426</v>
      </c>
      <c r="F45" s="617">
        <v>164520</v>
      </c>
      <c r="G45" s="484">
        <f t="shared" si="2"/>
        <v>8.114445568799999</v>
      </c>
      <c r="H45" s="484">
        <v>141.442818386764</v>
      </c>
      <c r="I45" s="484">
        <v>2273911</v>
      </c>
      <c r="J45" s="484">
        <f t="shared" si="3"/>
        <v>86.460494296577949</v>
      </c>
      <c r="K45" s="483">
        <v>249.61325500000001</v>
      </c>
      <c r="L45" s="1232">
        <f t="shared" si="4"/>
        <v>2008</v>
      </c>
      <c r="M45" s="1232" t="str">
        <f t="shared" si="5"/>
        <v>1</v>
      </c>
      <c r="N45" s="1233">
        <f t="shared" si="6"/>
        <v>2.8870209108887726</v>
      </c>
      <c r="O45" s="14"/>
      <c r="Q45" s="325"/>
      <c r="R45" s="278"/>
      <c r="AD45" s="1750">
        <f t="shared" si="11"/>
        <v>2012</v>
      </c>
      <c r="AE45" s="1479">
        <f t="shared" si="12"/>
        <v>18260551</v>
      </c>
      <c r="AF45" s="556">
        <f t="shared" si="13"/>
        <v>942.36823813578008</v>
      </c>
      <c r="AG45" s="1480">
        <f t="shared" si="14"/>
        <v>11271.620675400678</v>
      </c>
      <c r="AH45" s="1479">
        <f t="shared" si="15"/>
        <v>809878</v>
      </c>
      <c r="AI45" s="556">
        <f t="shared" si="16"/>
        <v>39.944754123319996</v>
      </c>
      <c r="AJ45" s="1480">
        <f t="shared" si="17"/>
        <v>729.15576319075694</v>
      </c>
      <c r="AK45" s="545">
        <f t="shared" si="18"/>
        <v>9009209</v>
      </c>
      <c r="AL45" s="556">
        <f t="shared" si="19"/>
        <v>342.5554752851711</v>
      </c>
      <c r="AM45" s="546">
        <f t="shared" si="20"/>
        <v>1470.5418970000001</v>
      </c>
    </row>
    <row r="46" spans="1:39">
      <c r="A46" s="293">
        <f t="shared" si="0"/>
        <v>20082</v>
      </c>
      <c r="B46" s="641">
        <v>39600</v>
      </c>
      <c r="C46" s="639">
        <v>2970968</v>
      </c>
      <c r="D46" s="639">
        <f t="shared" si="1"/>
        <v>153.32209196304001</v>
      </c>
      <c r="E46" s="1476">
        <v>1543.2622323577853</v>
      </c>
      <c r="F46" s="1250">
        <v>190190</v>
      </c>
      <c r="G46" s="639">
        <f t="shared" si="2"/>
        <v>9.3805397686000003</v>
      </c>
      <c r="H46" s="639">
        <v>167.77596325593262</v>
      </c>
      <c r="I46" s="639">
        <v>2166545</v>
      </c>
      <c r="J46" s="639">
        <f t="shared" si="3"/>
        <v>82.378136882129283</v>
      </c>
      <c r="K46" s="640">
        <v>275.92380000000003</v>
      </c>
      <c r="L46" s="1232">
        <f t="shared" si="4"/>
        <v>2008</v>
      </c>
      <c r="M46" s="1232" t="str">
        <f t="shared" si="5"/>
        <v>2</v>
      </c>
      <c r="N46" s="1233">
        <f t="shared" si="6"/>
        <v>3.3494785199476587</v>
      </c>
      <c r="O46" s="14"/>
      <c r="Q46" s="325"/>
      <c r="R46" s="278"/>
      <c r="AD46" s="1750">
        <f t="shared" si="11"/>
        <v>2013</v>
      </c>
      <c r="AE46" s="1478">
        <f t="shared" si="12"/>
        <v>19220443</v>
      </c>
      <c r="AF46" s="1255">
        <f t="shared" si="13"/>
        <v>991.90517340354006</v>
      </c>
      <c r="AG46" s="659">
        <f t="shared" si="14"/>
        <v>13287.960818379126</v>
      </c>
      <c r="AH46" s="1478">
        <f t="shared" si="15"/>
        <v>685934</v>
      </c>
      <c r="AI46" s="1255">
        <f t="shared" si="16"/>
        <v>33.831595591959996</v>
      </c>
      <c r="AJ46" s="659">
        <f t="shared" si="17"/>
        <v>600.13530129233538</v>
      </c>
      <c r="AK46" s="648">
        <f t="shared" si="18"/>
        <v>9297667</v>
      </c>
      <c r="AL46" s="1255">
        <f t="shared" si="19"/>
        <v>353.52346007604564</v>
      </c>
      <c r="AM46" s="649">
        <f t="shared" si="20"/>
        <v>1559.45633</v>
      </c>
    </row>
    <row r="47" spans="1:39">
      <c r="A47" s="293">
        <f t="shared" si="0"/>
        <v>20083</v>
      </c>
      <c r="B47" s="641">
        <v>39692</v>
      </c>
      <c r="C47" s="484">
        <v>2939308</v>
      </c>
      <c r="D47" s="484">
        <f t="shared" si="1"/>
        <v>151.68822130824</v>
      </c>
      <c r="E47" s="577">
        <v>1770.7536942865688</v>
      </c>
      <c r="F47" s="617">
        <v>189704</v>
      </c>
      <c r="G47" s="484">
        <f t="shared" si="2"/>
        <v>9.3565693057600008</v>
      </c>
      <c r="H47" s="484">
        <v>190.61439712057589</v>
      </c>
      <c r="I47" s="484">
        <v>1959122</v>
      </c>
      <c r="J47" s="484">
        <f t="shared" si="3"/>
        <v>74.491330798479083</v>
      </c>
      <c r="K47" s="483">
        <v>370.36701599999998</v>
      </c>
      <c r="L47" s="1232">
        <f t="shared" si="4"/>
        <v>2008</v>
      </c>
      <c r="M47" s="1232" t="str">
        <f t="shared" si="5"/>
        <v>3</v>
      </c>
      <c r="N47" s="1233">
        <f t="shared" si="6"/>
        <v>4.9719479036017153</v>
      </c>
      <c r="O47" s="14"/>
      <c r="Q47" s="325"/>
      <c r="R47" s="278"/>
      <c r="AD47" s="1750">
        <f t="shared" si="11"/>
        <v>2014</v>
      </c>
      <c r="AE47" s="1479">
        <f t="shared" si="12"/>
        <v>20852601</v>
      </c>
      <c r="AF47" s="556">
        <f t="shared" si="13"/>
        <v>1076.13559223478</v>
      </c>
      <c r="AG47" s="1480">
        <f t="shared" si="14"/>
        <v>15487.317250651384</v>
      </c>
      <c r="AH47" s="1479">
        <f t="shared" si="15"/>
        <v>357609</v>
      </c>
      <c r="AI47" s="556">
        <f t="shared" si="16"/>
        <v>17.63796964146</v>
      </c>
      <c r="AJ47" s="1480">
        <f t="shared" si="17"/>
        <v>309.00702295666264</v>
      </c>
      <c r="AK47" s="545">
        <f t="shared" si="18"/>
        <v>9590165.3870000001</v>
      </c>
      <c r="AL47" s="556">
        <f t="shared" si="19"/>
        <v>364.64507174904941</v>
      </c>
      <c r="AM47" s="546">
        <f t="shared" si="20"/>
        <v>1779.2849022361886</v>
      </c>
    </row>
    <row r="48" spans="1:39">
      <c r="A48" s="293">
        <f t="shared" si="0"/>
        <v>20084</v>
      </c>
      <c r="B48" s="641">
        <v>39783</v>
      </c>
      <c r="C48" s="639">
        <v>3630688</v>
      </c>
      <c r="D48" s="639">
        <f t="shared" si="1"/>
        <v>187.36811686464</v>
      </c>
      <c r="E48" s="1476">
        <v>3485.3680967492428</v>
      </c>
      <c r="F48" s="1250">
        <v>220254</v>
      </c>
      <c r="G48" s="639">
        <f t="shared" si="2"/>
        <v>10.863354572759999</v>
      </c>
      <c r="H48" s="639">
        <v>254.50757043302164</v>
      </c>
      <c r="I48" s="639">
        <v>2102989</v>
      </c>
      <c r="J48" s="639">
        <f t="shared" si="3"/>
        <v>79.961558935361211</v>
      </c>
      <c r="K48" s="640">
        <v>295.53835600000002</v>
      </c>
      <c r="L48" s="1232">
        <f t="shared" si="4"/>
        <v>2008</v>
      </c>
      <c r="M48" s="1232" t="str">
        <f t="shared" si="5"/>
        <v>4</v>
      </c>
      <c r="N48" s="1233">
        <f t="shared" si="6"/>
        <v>3.6960054297954015</v>
      </c>
      <c r="O48" s="14"/>
      <c r="Q48" s="325"/>
      <c r="R48" s="278"/>
      <c r="AD48" s="1750">
        <f t="shared" si="11"/>
        <v>2015</v>
      </c>
      <c r="AE48" s="1478">
        <f t="shared" si="12"/>
        <v>20385653</v>
      </c>
      <c r="AF48" s="1255">
        <f t="shared" si="13"/>
        <v>1052.038</v>
      </c>
      <c r="AG48" s="659">
        <f t="shared" si="14"/>
        <v>11554.349752904898</v>
      </c>
      <c r="AH48" s="1478">
        <f t="shared" si="15"/>
        <v>501903</v>
      </c>
      <c r="AI48" s="1255">
        <f t="shared" si="16"/>
        <v>24.75482965182</v>
      </c>
      <c r="AJ48" s="659">
        <f t="shared" si="17"/>
        <v>254.10829640322834</v>
      </c>
      <c r="AK48" s="648">
        <f t="shared" si="18"/>
        <v>10016682.171999998</v>
      </c>
      <c r="AL48" s="1255">
        <f t="shared" si="19"/>
        <v>380.86243999999999</v>
      </c>
      <c r="AM48" s="649">
        <f t="shared" si="20"/>
        <v>1861.5234301979999</v>
      </c>
    </row>
    <row r="49" spans="1:39">
      <c r="A49" s="293">
        <f t="shared" si="0"/>
        <v>20091</v>
      </c>
      <c r="B49" s="641">
        <v>39873</v>
      </c>
      <c r="C49" s="484">
        <v>3538260</v>
      </c>
      <c r="D49" s="484">
        <f t="shared" si="1"/>
        <v>182.59820540280001</v>
      </c>
      <c r="E49" s="577">
        <v>1930.1242373667289</v>
      </c>
      <c r="F49" s="617">
        <v>218520</v>
      </c>
      <c r="G49" s="484">
        <f t="shared" si="2"/>
        <v>10.7778303288</v>
      </c>
      <c r="H49" s="484">
        <v>149.23570283270979</v>
      </c>
      <c r="I49" s="484">
        <v>2234020</v>
      </c>
      <c r="J49" s="484">
        <f t="shared" si="3"/>
        <v>84.943726235741451</v>
      </c>
      <c r="K49" s="483">
        <v>289.40481799999998</v>
      </c>
      <c r="L49" s="1232">
        <f t="shared" si="4"/>
        <v>2009</v>
      </c>
      <c r="M49" s="1232" t="str">
        <f t="shared" si="5"/>
        <v>1</v>
      </c>
      <c r="N49" s="1233">
        <f t="shared" si="6"/>
        <v>3.4070181616100119</v>
      </c>
      <c r="O49" s="14"/>
      <c r="Q49" s="325"/>
      <c r="R49" s="278"/>
      <c r="AD49" s="1750">
        <f t="shared" si="11"/>
        <v>2016</v>
      </c>
      <c r="AE49" s="1479">
        <f t="shared" si="12"/>
        <v>23774656.646750003</v>
      </c>
      <c r="AF49" s="556">
        <f t="shared" si="13"/>
        <v>1226.9334751443648</v>
      </c>
      <c r="AG49" s="1480">
        <f t="shared" si="14"/>
        <v>10620.614121943232</v>
      </c>
      <c r="AH49" s="1479">
        <f t="shared" si="15"/>
        <v>575755</v>
      </c>
      <c r="AI49" s="556">
        <f t="shared" si="16"/>
        <v>28.397353564699998</v>
      </c>
      <c r="AJ49" s="1480">
        <f t="shared" si="17"/>
        <v>288.14071602423235</v>
      </c>
      <c r="AK49" s="545">
        <f t="shared" si="18"/>
        <v>10044024.695659999</v>
      </c>
      <c r="AL49" s="556">
        <f t="shared" si="19"/>
        <v>381.90207968289002</v>
      </c>
      <c r="AM49" s="546">
        <f t="shared" si="20"/>
        <v>1901.5378175870001</v>
      </c>
    </row>
    <row r="50" spans="1:39">
      <c r="A50" s="293">
        <f t="shared" si="0"/>
        <v>20092</v>
      </c>
      <c r="B50" s="641">
        <v>39965</v>
      </c>
      <c r="C50" s="639">
        <v>3835468</v>
      </c>
      <c r="D50" s="639">
        <f t="shared" si="1"/>
        <v>197.93615327303999</v>
      </c>
      <c r="E50" s="1476">
        <v>1331.2578457442125</v>
      </c>
      <c r="F50" s="1250">
        <v>238056</v>
      </c>
      <c r="G50" s="639">
        <f t="shared" si="2"/>
        <v>11.741383748639999</v>
      </c>
      <c r="H50" s="639">
        <v>156.46767543030072</v>
      </c>
      <c r="I50" s="639">
        <v>2301904</v>
      </c>
      <c r="J50" s="639">
        <f t="shared" si="3"/>
        <v>87.524866920152093</v>
      </c>
      <c r="K50" s="640">
        <v>276.898798</v>
      </c>
      <c r="L50" s="1232">
        <f t="shared" si="4"/>
        <v>2009</v>
      </c>
      <c r="M50" s="1232" t="str">
        <f t="shared" si="5"/>
        <v>2</v>
      </c>
      <c r="N50" s="1233">
        <f t="shared" si="6"/>
        <v>3.1636586006193133</v>
      </c>
      <c r="O50" s="14"/>
      <c r="Q50" s="325"/>
      <c r="R50" s="278"/>
      <c r="AD50" s="1750">
        <f t="shared" si="11"/>
        <v>2017</v>
      </c>
      <c r="AE50" s="1478">
        <f t="shared" si="12"/>
        <v>32729696.569625001</v>
      </c>
      <c r="AF50" s="1255">
        <f t="shared" si="13"/>
        <v>1689.074250335392</v>
      </c>
      <c r="AG50" s="659">
        <f t="shared" si="14"/>
        <v>14989.360185607753</v>
      </c>
      <c r="AH50" s="1478">
        <f t="shared" si="15"/>
        <v>456275</v>
      </c>
      <c r="AI50" s="1255">
        <f t="shared" si="16"/>
        <v>22.504368173499998</v>
      </c>
      <c r="AJ50" s="659">
        <f t="shared" si="17"/>
        <v>288.49812577110589</v>
      </c>
      <c r="AK50" s="648">
        <f t="shared" si="18"/>
        <v>10148197.224273</v>
      </c>
      <c r="AL50" s="1255">
        <f t="shared" si="19"/>
        <v>385.863012329772</v>
      </c>
      <c r="AM50" s="649">
        <f t="shared" si="20"/>
        <v>1796.3566788560001</v>
      </c>
    </row>
    <row r="51" spans="1:39">
      <c r="A51" s="293">
        <f t="shared" si="0"/>
        <v>20093</v>
      </c>
      <c r="B51" s="641">
        <v>40057</v>
      </c>
      <c r="C51" s="484">
        <v>3816160</v>
      </c>
      <c r="D51" s="484">
        <f t="shared" si="1"/>
        <v>196.93972956479999</v>
      </c>
      <c r="E51" s="577">
        <v>1403.95057207019</v>
      </c>
      <c r="F51" s="617">
        <v>240488</v>
      </c>
      <c r="G51" s="484">
        <f t="shared" si="2"/>
        <v>11.861334706720001</v>
      </c>
      <c r="H51" s="484">
        <v>148.21523542469916</v>
      </c>
      <c r="I51" s="484">
        <v>2462220</v>
      </c>
      <c r="J51" s="484">
        <f t="shared" si="3"/>
        <v>93.620532319391629</v>
      </c>
      <c r="K51" s="483">
        <v>297.41039699999999</v>
      </c>
      <c r="L51" s="1232">
        <f t="shared" si="4"/>
        <v>2009</v>
      </c>
      <c r="M51" s="1232" t="str">
        <f t="shared" si="5"/>
        <v>3</v>
      </c>
      <c r="N51" s="1233">
        <f t="shared" si="6"/>
        <v>3.1767646437361408</v>
      </c>
      <c r="O51" s="14"/>
      <c r="Q51" s="325"/>
      <c r="R51" s="278"/>
      <c r="AD51" s="1750">
        <f t="shared" si="11"/>
        <v>2018</v>
      </c>
      <c r="AE51" s="1479">
        <f t="shared" si="12"/>
        <v>44542484.37063162</v>
      </c>
      <c r="AF51" s="556">
        <f t="shared" si="13"/>
        <v>2298.6941915686248</v>
      </c>
      <c r="AG51" s="1480">
        <f t="shared" si="14"/>
        <v>27586.900679211456</v>
      </c>
      <c r="AH51" s="1479">
        <f t="shared" si="15"/>
        <v>463110</v>
      </c>
      <c r="AI51" s="556">
        <f t="shared" si="16"/>
        <v>22.841483633399999</v>
      </c>
      <c r="AJ51" s="1480">
        <f t="shared" si="17"/>
        <v>348.82439421846777</v>
      </c>
      <c r="AK51" s="545">
        <f t="shared" si="18"/>
        <v>10222884.855462998</v>
      </c>
      <c r="AL51" s="556">
        <f t="shared" si="19"/>
        <v>388.70284621532301</v>
      </c>
      <c r="AM51" s="546">
        <f t="shared" si="20"/>
        <v>1543.1121670929001</v>
      </c>
    </row>
    <row r="52" spans="1:39">
      <c r="A52" s="293">
        <f t="shared" si="0"/>
        <v>20094</v>
      </c>
      <c r="B52" s="641">
        <v>40148</v>
      </c>
      <c r="C52" s="639">
        <v>4062628</v>
      </c>
      <c r="D52" s="639">
        <f t="shared" si="1"/>
        <v>209.65914941784001</v>
      </c>
      <c r="E52" s="1476">
        <v>1655.4123355938166</v>
      </c>
      <c r="F52" s="1250">
        <v>253460</v>
      </c>
      <c r="G52" s="639">
        <f t="shared" si="2"/>
        <v>12.5011389124</v>
      </c>
      <c r="H52" s="639">
        <v>158.85835245145574</v>
      </c>
      <c r="I52" s="639">
        <v>2314271</v>
      </c>
      <c r="J52" s="639">
        <f t="shared" si="3"/>
        <v>87.99509505703422</v>
      </c>
      <c r="K52" s="640">
        <v>292.52132899999998</v>
      </c>
      <c r="L52" s="1232">
        <f t="shared" si="4"/>
        <v>2009</v>
      </c>
      <c r="M52" s="1232" t="str">
        <f t="shared" si="5"/>
        <v>4</v>
      </c>
      <c r="N52" s="1233">
        <f t="shared" si="6"/>
        <v>3.3242913006730843</v>
      </c>
      <c r="O52" s="14"/>
      <c r="Q52" s="325"/>
      <c r="R52" s="278"/>
      <c r="AD52" s="1750">
        <f t="shared" si="11"/>
        <v>2019</v>
      </c>
      <c r="AE52" s="1478">
        <f t="shared" si="12"/>
        <v>44630925.049404502</v>
      </c>
      <c r="AF52" s="1255">
        <f t="shared" si="13"/>
        <v>2303.2583302211069</v>
      </c>
      <c r="AG52" s="659">
        <f t="shared" si="14"/>
        <v>27579.623167230715</v>
      </c>
      <c r="AH52" s="1478">
        <f t="shared" si="15"/>
        <v>519453.82000000007</v>
      </c>
      <c r="AI52" s="1255">
        <f t="shared" si="16"/>
        <v>25.620470142810799</v>
      </c>
      <c r="AJ52" s="659">
        <f t="shared" si="17"/>
        <v>337.36048056236109</v>
      </c>
      <c r="AK52" s="648">
        <f t="shared" si="18"/>
        <v>10885167.816430001</v>
      </c>
      <c r="AL52" s="1255">
        <f t="shared" si="19"/>
        <v>413.88470784905002</v>
      </c>
      <c r="AM52" s="649">
        <f t="shared" si="20"/>
        <v>1448.324554287</v>
      </c>
    </row>
    <row r="53" spans="1:39">
      <c r="A53" s="293">
        <f t="shared" si="0"/>
        <v>20101</v>
      </c>
      <c r="B53" s="641">
        <v>40238</v>
      </c>
      <c r="C53" s="484">
        <v>4122450</v>
      </c>
      <c r="D53" s="484">
        <f t="shared" si="1"/>
        <v>212.746370211</v>
      </c>
      <c r="E53" s="577">
        <v>1980.7299442502526</v>
      </c>
      <c r="F53" s="617">
        <v>240488</v>
      </c>
      <c r="G53" s="484">
        <f t="shared" si="2"/>
        <v>11.861334706720001</v>
      </c>
      <c r="H53" s="484">
        <v>193.55883149789358</v>
      </c>
      <c r="I53" s="484">
        <v>2306420</v>
      </c>
      <c r="J53" s="484">
        <f t="shared" si="3"/>
        <v>87.696577946768059</v>
      </c>
      <c r="K53" s="483">
        <v>408.50648100000001</v>
      </c>
      <c r="L53" s="1232">
        <f t="shared" si="4"/>
        <v>2010</v>
      </c>
      <c r="M53" s="1232" t="str">
        <f t="shared" si="5"/>
        <v>1</v>
      </c>
      <c r="N53" s="1233">
        <f t="shared" si="6"/>
        <v>4.6581804052600999</v>
      </c>
      <c r="O53" s="14"/>
      <c r="P53" s="278"/>
      <c r="Q53" s="325"/>
      <c r="R53" s="278"/>
      <c r="AD53" s="1750">
        <f t="shared" si="11"/>
        <v>2020</v>
      </c>
      <c r="AE53" s="1479">
        <f t="shared" si="12"/>
        <v>44063943.755874999</v>
      </c>
      <c r="AF53" s="556">
        <f t="shared" si="13"/>
        <v>2273.9982513418145</v>
      </c>
      <c r="AG53" s="1480">
        <f t="shared" si="14"/>
        <v>19242.128119010322</v>
      </c>
      <c r="AH53" s="1479">
        <f t="shared" si="15"/>
        <v>453184.41000000003</v>
      </c>
      <c r="AI53" s="556">
        <f t="shared" si="16"/>
        <v>22.351934278955397</v>
      </c>
      <c r="AJ53" s="1480">
        <f t="shared" si="17"/>
        <v>218.93062664962801</v>
      </c>
      <c r="AK53" s="545">
        <f t="shared" si="18"/>
        <v>10773908.378070001</v>
      </c>
      <c r="AL53" s="556">
        <f t="shared" si="19"/>
        <v>409.65431095323163</v>
      </c>
      <c r="AM53" s="546">
        <f t="shared" si="20"/>
        <v>1472.4147977350001</v>
      </c>
    </row>
    <row r="54" spans="1:39">
      <c r="A54" s="293">
        <f t="shared" si="0"/>
        <v>20102</v>
      </c>
      <c r="B54" s="641">
        <v>40330</v>
      </c>
      <c r="C54" s="639">
        <v>3715803</v>
      </c>
      <c r="D54" s="639">
        <f t="shared" si="1"/>
        <v>191.76062794434</v>
      </c>
      <c r="E54" s="1476">
        <v>2454.155468455072</v>
      </c>
      <c r="F54" s="1250">
        <v>253460</v>
      </c>
      <c r="G54" s="639">
        <f t="shared" si="2"/>
        <v>12.5011389124</v>
      </c>
      <c r="H54" s="639">
        <v>196.26957282149678</v>
      </c>
      <c r="I54" s="639">
        <v>2274115</v>
      </c>
      <c r="J54" s="639">
        <f t="shared" si="3"/>
        <v>86.468250950570336</v>
      </c>
      <c r="K54" s="640">
        <v>322.36356999999998</v>
      </c>
      <c r="L54" s="1232">
        <f t="shared" si="4"/>
        <v>2010</v>
      </c>
      <c r="M54" s="1232" t="str">
        <f t="shared" si="5"/>
        <v>2</v>
      </c>
      <c r="N54" s="1233">
        <f t="shared" si="6"/>
        <v>3.7281148451155723</v>
      </c>
      <c r="O54" s="14"/>
      <c r="P54" s="14"/>
      <c r="Q54" s="325"/>
      <c r="R54" s="290"/>
      <c r="AD54" s="1750">
        <f t="shared" si="11"/>
        <v>2021</v>
      </c>
      <c r="AE54" s="1478">
        <f t="shared" si="12"/>
        <v>45658665.37390922</v>
      </c>
      <c r="AF54" s="1255">
        <f t="shared" si="13"/>
        <v>2356.2966990449509</v>
      </c>
      <c r="AG54" s="659">
        <f t="shared" si="14"/>
        <v>27052.422056361509</v>
      </c>
      <c r="AH54" s="1478">
        <f t="shared" si="15"/>
        <v>645819.22963855416</v>
      </c>
      <c r="AI54" s="1255">
        <f t="shared" si="16"/>
        <v>31.85305729507899</v>
      </c>
      <c r="AJ54" s="659">
        <f t="shared" si="17"/>
        <v>527.81230746306744</v>
      </c>
      <c r="AK54" s="648">
        <f t="shared" si="18"/>
        <v>9966280.1051700003</v>
      </c>
      <c r="AL54" s="1255">
        <f t="shared" si="19"/>
        <v>378.94601160342205</v>
      </c>
      <c r="AM54" s="649">
        <f t="shared" si="20"/>
        <v>1943.6706842849999</v>
      </c>
    </row>
    <row r="55" spans="1:39">
      <c r="A55" s="293">
        <f t="shared" si="0"/>
        <v>20103</v>
      </c>
      <c r="B55" s="641">
        <v>40422</v>
      </c>
      <c r="C55" s="484">
        <v>4293548</v>
      </c>
      <c r="D55" s="484">
        <f t="shared" si="1"/>
        <v>221.57618705544002</v>
      </c>
      <c r="E55" s="577">
        <v>2230.0945024886864</v>
      </c>
      <c r="F55" s="617">
        <v>255760</v>
      </c>
      <c r="G55" s="484">
        <f t="shared" si="2"/>
        <v>12.6145793744</v>
      </c>
      <c r="H55" s="484">
        <v>179.52403018763414</v>
      </c>
      <c r="I55" s="484">
        <v>2356434</v>
      </c>
      <c r="J55" s="484">
        <f t="shared" si="3"/>
        <v>89.598250950570346</v>
      </c>
      <c r="K55" s="483">
        <v>337.33160199999998</v>
      </c>
      <c r="L55" s="1232">
        <f t="shared" si="4"/>
        <v>2010</v>
      </c>
      <c r="M55" s="1232" t="str">
        <f t="shared" si="5"/>
        <v>3</v>
      </c>
      <c r="N55" s="1233">
        <f t="shared" si="6"/>
        <v>3.764935123411052</v>
      </c>
      <c r="O55" s="14"/>
      <c r="P55" s="14"/>
      <c r="Q55" s="325"/>
      <c r="R55" s="290"/>
      <c r="AD55" s="1750">
        <f>IF($AE$33="Calendar Year", AD56-1, LEFT(AD56,4)-1 &amp; "-" &amp; MID(AD56,3,2))</f>
        <v>2022</v>
      </c>
      <c r="AE55" s="1479">
        <f t="shared" si="12"/>
        <v>48608467.014604151</v>
      </c>
      <c r="AF55" s="556">
        <f t="shared" si="13"/>
        <v>2508.5264633599327</v>
      </c>
      <c r="AG55" s="1480">
        <f t="shared" si="14"/>
        <v>54511.850325376261</v>
      </c>
      <c r="AH55" s="1479">
        <f t="shared" si="15"/>
        <v>706846.15355983691</v>
      </c>
      <c r="AI55" s="556">
        <f t="shared" si="16"/>
        <v>34.863023575109061</v>
      </c>
      <c r="AJ55" s="1480">
        <f t="shared" si="17"/>
        <v>739.59120038634774</v>
      </c>
      <c r="AK55" s="545">
        <f t="shared" si="18"/>
        <v>10427155.549738221</v>
      </c>
      <c r="AL55" s="556">
        <f t="shared" si="19"/>
        <v>396.46979276571182</v>
      </c>
      <c r="AM55" s="546">
        <f t="shared" si="20"/>
        <v>2166.2656400511623</v>
      </c>
    </row>
    <row r="56" spans="1:39" ht="15.75" thickBot="1">
      <c r="A56" s="293">
        <f t="shared" si="0"/>
        <v>20104</v>
      </c>
      <c r="B56" s="641">
        <v>40513</v>
      </c>
      <c r="C56" s="639">
        <v>4395392</v>
      </c>
      <c r="D56" s="639">
        <f t="shared" si="1"/>
        <v>226.83202795776</v>
      </c>
      <c r="E56" s="1476">
        <v>2089.7025584882199</v>
      </c>
      <c r="F56" s="1250">
        <v>239016</v>
      </c>
      <c r="G56" s="639">
        <f t="shared" si="2"/>
        <v>11.788732811039999</v>
      </c>
      <c r="H56" s="639">
        <v>193.97600050869315</v>
      </c>
      <c r="I56" s="639">
        <v>2289189</v>
      </c>
      <c r="J56" s="639">
        <f>I56/26300</f>
        <v>87.041406844106461</v>
      </c>
      <c r="K56" s="640">
        <v>322.96802600000001</v>
      </c>
      <c r="L56" s="1232">
        <f t="shared" si="4"/>
        <v>2010</v>
      </c>
      <c r="M56" s="1232" t="str">
        <f t="shared" si="5"/>
        <v>4</v>
      </c>
      <c r="N56" s="1233">
        <f t="shared" si="6"/>
        <v>3.7105101779713254</v>
      </c>
      <c r="O56" s="14"/>
      <c r="P56" s="14"/>
      <c r="Q56" s="325"/>
      <c r="R56" s="290"/>
      <c r="Z56" s="1973" t="s">
        <v>501</v>
      </c>
      <c r="AA56" s="1973"/>
      <c r="AB56" s="1973"/>
      <c r="AD56" s="1751">
        <f>IF($AE$33="Calendar Year",
    YEAR(LARGE($B:$B, 4)),
    IF(MONTH(LARGE($B:$B, 4))&gt;6,
        YEAR(LARGE($B:$B, 4)) &amp; "-" &amp; RIGHT(YEAR(LARGE($B:$B, 4))+1),
        YEAR(LARGE($B:$B, 4))-1 &amp; "-" &amp; RIGHT(YEAR(LARGE($B:$B, 4)), 2)
    ))</f>
        <v>2023</v>
      </c>
      <c r="AE56" s="1649">
        <f t="shared" si="12"/>
        <v>48028219.391891703</v>
      </c>
      <c r="AF56" s="1309">
        <f t="shared" si="13"/>
        <v>2478.5817519490893</v>
      </c>
      <c r="AG56" s="1650">
        <f t="shared" si="14"/>
        <v>42300.119314237854</v>
      </c>
      <c r="AH56" s="1649">
        <f t="shared" si="15"/>
        <v>672782.72932661325</v>
      </c>
      <c r="AI56" s="1309">
        <f t="shared" si="16"/>
        <v>33.182949408883452</v>
      </c>
      <c r="AJ56" s="1650">
        <f t="shared" si="17"/>
        <v>590.64039129540583</v>
      </c>
      <c r="AK56" s="1648">
        <f t="shared" si="18"/>
        <v>10327638.965968587</v>
      </c>
      <c r="AL56" s="1309">
        <f t="shared" si="19"/>
        <v>392.68589224215157</v>
      </c>
      <c r="AM56" s="1651">
        <f t="shared" si="20"/>
        <v>2753.859242601683</v>
      </c>
    </row>
    <row r="57" spans="1:39" ht="15.75" thickBot="1">
      <c r="A57" s="293">
        <f t="shared" si="0"/>
        <v>20111</v>
      </c>
      <c r="B57" s="641">
        <v>40603</v>
      </c>
      <c r="C57" s="484">
        <v>4212461.8979238467</v>
      </c>
      <c r="D57" s="484">
        <f t="shared" si="1"/>
        <v>217.39159442453843</v>
      </c>
      <c r="E57" s="577">
        <v>1909.710272</v>
      </c>
      <c r="F57" s="617">
        <v>228150</v>
      </c>
      <c r="G57" s="484">
        <f t="shared" si="2"/>
        <v>11.252800611</v>
      </c>
      <c r="H57" s="484">
        <v>208.8153857492498</v>
      </c>
      <c r="I57" s="484">
        <v>2179351</v>
      </c>
      <c r="J57" s="484">
        <f t="shared" si="3"/>
        <v>82.865057034220527</v>
      </c>
      <c r="K57" s="483">
        <v>356.78536600000001</v>
      </c>
      <c r="L57" s="1232">
        <f t="shared" si="4"/>
        <v>2011</v>
      </c>
      <c r="M57" s="1232" t="str">
        <f t="shared" si="5"/>
        <v>1</v>
      </c>
      <c r="N57" s="1233">
        <f t="shared" si="6"/>
        <v>4.3056190241039651</v>
      </c>
      <c r="O57" s="14"/>
      <c r="P57" s="14"/>
      <c r="Q57" s="325"/>
      <c r="R57" s="290"/>
      <c r="Z57" s="1977" t="s">
        <v>580</v>
      </c>
      <c r="AA57" s="1977"/>
      <c r="AB57" s="1977"/>
      <c r="AD57"/>
      <c r="AE57"/>
      <c r="AF57"/>
      <c r="AG57"/>
      <c r="AH57"/>
      <c r="AI57"/>
      <c r="AJ57"/>
      <c r="AK57"/>
      <c r="AL57"/>
      <c r="AM57"/>
    </row>
    <row r="58" spans="1:39">
      <c r="A58" s="293">
        <f t="shared" si="0"/>
        <v>20112</v>
      </c>
      <c r="B58" s="641">
        <v>40695</v>
      </c>
      <c r="C58" s="639">
        <v>4388803.3003013609</v>
      </c>
      <c r="D58" s="639">
        <f t="shared" si="1"/>
        <v>226.49200638192627</v>
      </c>
      <c r="E58" s="1476">
        <v>2099.211785</v>
      </c>
      <c r="F58" s="1250">
        <v>200837</v>
      </c>
      <c r="G58" s="639">
        <f t="shared" si="2"/>
        <v>9.9056704637799982</v>
      </c>
      <c r="H58" s="639">
        <v>191.88204256440841</v>
      </c>
      <c r="I58" s="639">
        <v>2156521</v>
      </c>
      <c r="J58" s="639">
        <f t="shared" si="3"/>
        <v>81.99699619771863</v>
      </c>
      <c r="K58" s="640">
        <v>347.50407300000001</v>
      </c>
      <c r="L58" s="1232">
        <f t="shared" si="4"/>
        <v>2011</v>
      </c>
      <c r="M58" s="1232" t="str">
        <f t="shared" si="5"/>
        <v>2</v>
      </c>
      <c r="N58" s="1233">
        <f t="shared" si="6"/>
        <v>4.2380097944327924</v>
      </c>
      <c r="O58" s="14"/>
      <c r="P58" s="14"/>
      <c r="Q58" s="325"/>
      <c r="R58" s="290"/>
      <c r="Z58" s="1245" t="s">
        <v>5</v>
      </c>
      <c r="AA58" s="1247" t="str">
        <f>I8</f>
        <v>Quantity (000 cubic metres)</v>
      </c>
      <c r="AB58" s="1248" t="str">
        <f>K8</f>
        <v>Value ($ Million)</v>
      </c>
      <c r="AD58"/>
      <c r="AE58"/>
      <c r="AF58"/>
      <c r="AG58"/>
      <c r="AH58"/>
      <c r="AI58"/>
      <c r="AJ58"/>
      <c r="AK58"/>
      <c r="AL58"/>
      <c r="AM58"/>
    </row>
    <row r="59" spans="1:39">
      <c r="A59" s="293">
        <f t="shared" si="0"/>
        <v>20113</v>
      </c>
      <c r="B59" s="641">
        <v>40787</v>
      </c>
      <c r="C59" s="484">
        <v>4004613.5082542924</v>
      </c>
      <c r="D59" s="484">
        <f t="shared" si="1"/>
        <v>206.66520830550746</v>
      </c>
      <c r="E59" s="577">
        <v>2259.712493</v>
      </c>
      <c r="F59" s="617">
        <v>231656</v>
      </c>
      <c r="G59" s="484">
        <f t="shared" si="2"/>
        <v>11.425723332640001</v>
      </c>
      <c r="H59" s="484">
        <v>184.7865875884506</v>
      </c>
      <c r="I59" s="484">
        <v>2315170</v>
      </c>
      <c r="J59" s="484">
        <f t="shared" si="3"/>
        <v>88.029277566539918</v>
      </c>
      <c r="K59" s="483">
        <v>366.92107600000003</v>
      </c>
      <c r="L59" s="1232">
        <f t="shared" si="4"/>
        <v>2011</v>
      </c>
      <c r="M59" s="1232" t="str">
        <f t="shared" si="5"/>
        <v>3</v>
      </c>
      <c r="N59" s="1233">
        <f t="shared" si="6"/>
        <v>4.1681709329336512</v>
      </c>
      <c r="O59" s="14"/>
      <c r="P59" s="14"/>
      <c r="Q59" s="325"/>
      <c r="R59" s="290"/>
      <c r="Z59" s="431">
        <f>LARGE(B$9:B$739,9)</f>
        <v>44531</v>
      </c>
      <c r="AA59" s="1249">
        <f t="shared" ref="AA59:AA67" si="21">SUMIF($B$9:$B$739,$Z59,I$9:I$739)</f>
        <v>2496049.7385200001</v>
      </c>
      <c r="AB59" s="483">
        <f t="shared" ref="AB59:AB67" si="22">SUMIF($B$9:$B$739,$Z59,K$9:K$739)</f>
        <v>508.21241947999999</v>
      </c>
      <c r="AD59"/>
      <c r="AE59"/>
      <c r="AF59"/>
      <c r="AG59"/>
      <c r="AH59"/>
      <c r="AI59"/>
      <c r="AJ59"/>
      <c r="AK59"/>
      <c r="AL59"/>
      <c r="AM59"/>
    </row>
    <row r="60" spans="1:39">
      <c r="A60" s="293">
        <f t="shared" si="0"/>
        <v>20114</v>
      </c>
      <c r="B60" s="641">
        <v>40878</v>
      </c>
      <c r="C60" s="639">
        <v>3948221.2127544754</v>
      </c>
      <c r="D60" s="639">
        <f t="shared" si="1"/>
        <v>203.75498351795341</v>
      </c>
      <c r="E60" s="1476">
        <v>2283.4367339999999</v>
      </c>
      <c r="F60" s="1250">
        <v>200837</v>
      </c>
      <c r="G60" s="639">
        <f t="shared" si="2"/>
        <v>9.9056704637799982</v>
      </c>
      <c r="H60" s="639">
        <v>160.39594404338405</v>
      </c>
      <c r="I60" s="639">
        <v>2218371</v>
      </c>
      <c r="J60" s="639">
        <f t="shared" si="3"/>
        <v>84.348707224334603</v>
      </c>
      <c r="K60" s="640">
        <v>349.91559100000001</v>
      </c>
      <c r="L60" s="1232">
        <f t="shared" si="4"/>
        <v>2011</v>
      </c>
      <c r="M60" s="1232" t="str">
        <f t="shared" si="5"/>
        <v>4</v>
      </c>
      <c r="N60" s="1233">
        <f t="shared" si="6"/>
        <v>4.1484404742488969</v>
      </c>
      <c r="O60" s="14"/>
      <c r="P60" s="14"/>
      <c r="Q60" s="325"/>
      <c r="R60" s="290"/>
      <c r="Z60" s="430">
        <f>LARGE(B$9:B$739,8)</f>
        <v>44621</v>
      </c>
      <c r="AA60" s="1250">
        <f t="shared" si="21"/>
        <v>2417324.6073298426</v>
      </c>
      <c r="AB60" s="640">
        <f t="shared" si="22"/>
        <v>500.50936752814073</v>
      </c>
      <c r="AD60"/>
      <c r="AE60"/>
      <c r="AF60"/>
      <c r="AG60"/>
      <c r="AH60"/>
      <c r="AI60"/>
      <c r="AJ60"/>
      <c r="AK60"/>
      <c r="AL60"/>
      <c r="AM60"/>
    </row>
    <row r="61" spans="1:39">
      <c r="A61" s="293">
        <f t="shared" si="0"/>
        <v>20121</v>
      </c>
      <c r="B61" s="641">
        <v>40969</v>
      </c>
      <c r="C61" s="484">
        <v>3482190</v>
      </c>
      <c r="D61" s="484">
        <f t="shared" si="1"/>
        <v>179.70461324819999</v>
      </c>
      <c r="E61" s="577">
        <v>2203.7846126964223</v>
      </c>
      <c r="F61" s="617">
        <v>220050</v>
      </c>
      <c r="G61" s="484">
        <f t="shared" si="2"/>
        <v>10.853292896999999</v>
      </c>
      <c r="H61" s="484">
        <v>228.20920569408236</v>
      </c>
      <c r="I61" s="484">
        <v>2312801</v>
      </c>
      <c r="J61" s="484">
        <f t="shared" si="3"/>
        <v>87.939201520912547</v>
      </c>
      <c r="K61" s="483">
        <v>373.44706400000001</v>
      </c>
      <c r="L61" s="1232">
        <f t="shared" si="4"/>
        <v>2012</v>
      </c>
      <c r="M61" s="1232" t="str">
        <f t="shared" si="5"/>
        <v>1</v>
      </c>
      <c r="N61" s="1233">
        <f t="shared" si="6"/>
        <v>4.2466506124824406</v>
      </c>
      <c r="O61" s="14"/>
      <c r="P61" s="14"/>
      <c r="Q61" s="325"/>
      <c r="R61" s="290"/>
      <c r="Z61" s="431">
        <f>LARGE(B$9:B$739,7)</f>
        <v>44713</v>
      </c>
      <c r="AA61" s="617">
        <f t="shared" si="21"/>
        <v>2472004.4371727752</v>
      </c>
      <c r="AB61" s="483">
        <f t="shared" si="22"/>
        <v>493.73500822887098</v>
      </c>
      <c r="AD61" s="453" t="str">
        <f>IFERROR(IF(YEAR(MAX('Commodity Prices'!$C$9:$C5006))=VALUE(RIGHT(AD60,4)),"",IF($AE$33="Calendar Year",AD60+1,CONCATENATE(LEFT(AD60,4)+1,"-",RIGHT(AD60,4)+1))),"")</f>
        <v/>
      </c>
      <c r="AE61" s="650" t="str">
        <f t="shared" si="12"/>
        <v/>
      </c>
      <c r="AF61" s="650" t="str">
        <f t="shared" si="13"/>
        <v/>
      </c>
      <c r="AG61" s="452" t="str">
        <f t="shared" si="14"/>
        <v/>
      </c>
      <c r="AH61" s="650" t="str">
        <f t="shared" si="15"/>
        <v/>
      </c>
      <c r="AI61" s="650" t="str">
        <f t="shared" si="16"/>
        <v/>
      </c>
      <c r="AJ61" s="452" t="str">
        <f t="shared" si="17"/>
        <v/>
      </c>
      <c r="AK61" s="650" t="str">
        <f t="shared" si="18"/>
        <v/>
      </c>
      <c r="AL61" s="650" t="str">
        <f t="shared" si="19"/>
        <v/>
      </c>
      <c r="AM61" s="452" t="str">
        <f t="shared" si="20"/>
        <v/>
      </c>
    </row>
    <row r="62" spans="1:39">
      <c r="A62" s="293">
        <f t="shared" si="0"/>
        <v>20122</v>
      </c>
      <c r="B62" s="641">
        <v>41061</v>
      </c>
      <c r="C62" s="639">
        <v>4175545</v>
      </c>
      <c r="D62" s="639">
        <f t="shared" si="1"/>
        <v>215.48643219510001</v>
      </c>
      <c r="E62" s="1476">
        <v>2748.6092927351433</v>
      </c>
      <c r="F62" s="1250">
        <v>182728</v>
      </c>
      <c r="G62" s="639">
        <f t="shared" si="2"/>
        <v>9.0124994523200002</v>
      </c>
      <c r="H62" s="639">
        <v>161.09291595506599</v>
      </c>
      <c r="I62" s="639">
        <v>2234313</v>
      </c>
      <c r="J62" s="639">
        <f t="shared" si="3"/>
        <v>84.954866920152085</v>
      </c>
      <c r="K62" s="640">
        <v>359.526498</v>
      </c>
      <c r="L62" s="1232">
        <f t="shared" si="4"/>
        <v>2012</v>
      </c>
      <c r="M62" s="1232" t="str">
        <f t="shared" si="5"/>
        <v>2</v>
      </c>
      <c r="N62" s="1233">
        <f t="shared" si="6"/>
        <v>4.231970586663552</v>
      </c>
      <c r="O62" s="14"/>
      <c r="P62" s="14"/>
      <c r="Q62" s="325"/>
      <c r="R62" s="290"/>
      <c r="Z62" s="430">
        <f>LARGE(B$9:B$739,6)</f>
        <v>44805</v>
      </c>
      <c r="AA62" s="1250">
        <f t="shared" si="21"/>
        <v>2820170.654450262</v>
      </c>
      <c r="AB62" s="640">
        <f t="shared" si="22"/>
        <v>544.91332016851061</v>
      </c>
      <c r="AD62" s="453" t="str">
        <f>IFERROR(IF(YEAR(MAX('Commodity Prices'!$C$9:$C5007))=VALUE(RIGHT(AD61,4)),"",IF($AE$33="Calendar Year",AD61+1,CONCATENATE(LEFT(AD61,4)+1,"-",RIGHT(AD61,4)+1))),"")</f>
        <v/>
      </c>
      <c r="AE62" s="650" t="str">
        <f t="shared" si="12"/>
        <v/>
      </c>
      <c r="AF62" s="650" t="str">
        <f t="shared" si="13"/>
        <v/>
      </c>
      <c r="AG62" s="452" t="str">
        <f t="shared" si="14"/>
        <v/>
      </c>
      <c r="AH62" s="650" t="str">
        <f t="shared" si="15"/>
        <v/>
      </c>
      <c r="AI62" s="650" t="str">
        <f t="shared" si="16"/>
        <v/>
      </c>
      <c r="AJ62" s="452" t="str">
        <f t="shared" si="17"/>
        <v/>
      </c>
      <c r="AK62" s="650" t="str">
        <f t="shared" si="18"/>
        <v/>
      </c>
      <c r="AL62" s="650" t="str">
        <f t="shared" si="19"/>
        <v/>
      </c>
      <c r="AM62" s="452" t="str">
        <f t="shared" si="20"/>
        <v/>
      </c>
    </row>
    <row r="63" spans="1:39">
      <c r="A63" s="293">
        <f t="shared" si="0"/>
        <v>20123</v>
      </c>
      <c r="B63" s="641">
        <v>41153</v>
      </c>
      <c r="C63" s="484">
        <v>5371788</v>
      </c>
      <c r="D63" s="484">
        <f t="shared" si="1"/>
        <v>277.22068152264001</v>
      </c>
      <c r="E63" s="577">
        <v>3200.1858504462862</v>
      </c>
      <c r="F63" s="617">
        <v>215188</v>
      </c>
      <c r="G63" s="484">
        <f t="shared" si="2"/>
        <v>10.61348962472</v>
      </c>
      <c r="H63" s="484">
        <v>152.63031786087535</v>
      </c>
      <c r="I63" s="484">
        <v>2250413</v>
      </c>
      <c r="J63" s="484">
        <f t="shared" si="3"/>
        <v>85.567034220532321</v>
      </c>
      <c r="K63" s="483">
        <v>373.45979399999999</v>
      </c>
      <c r="L63" s="1232">
        <f t="shared" si="4"/>
        <v>2012</v>
      </c>
      <c r="M63" s="1232" t="str">
        <f t="shared" si="5"/>
        <v>3</v>
      </c>
      <c r="N63" s="1233">
        <f t="shared" si="6"/>
        <v>4.3645289030058034</v>
      </c>
      <c r="O63" s="14"/>
      <c r="P63" s="14"/>
      <c r="Q63" s="325"/>
      <c r="R63" s="290"/>
      <c r="Z63" s="431">
        <f>LARGE(B$9:B$739,5)</f>
        <v>44896</v>
      </c>
      <c r="AA63" s="617">
        <f t="shared" si="21"/>
        <v>2717655.8507853402</v>
      </c>
      <c r="AB63" s="483">
        <f t="shared" si="22"/>
        <v>627.10794412564019</v>
      </c>
    </row>
    <row r="64" spans="1:39">
      <c r="A64" s="293">
        <f t="shared" si="0"/>
        <v>20124</v>
      </c>
      <c r="B64" s="641">
        <v>41244</v>
      </c>
      <c r="C64" s="639">
        <v>5231028</v>
      </c>
      <c r="D64" s="639">
        <f t="shared" si="1"/>
        <v>269.95651116983998</v>
      </c>
      <c r="E64" s="1476">
        <v>3119.0409195228258</v>
      </c>
      <c r="F64" s="1250">
        <v>191912</v>
      </c>
      <c r="G64" s="639">
        <f t="shared" si="2"/>
        <v>9.46547214928</v>
      </c>
      <c r="H64" s="639">
        <v>187.22332368073322</v>
      </c>
      <c r="I64" s="639">
        <v>2211682</v>
      </c>
      <c r="J64" s="639">
        <f t="shared" si="3"/>
        <v>84.094372623574145</v>
      </c>
      <c r="K64" s="640">
        <v>364.108541</v>
      </c>
      <c r="L64" s="1232">
        <f t="shared" si="4"/>
        <v>2012</v>
      </c>
      <c r="M64" s="1232" t="str">
        <f t="shared" si="5"/>
        <v>4</v>
      </c>
      <c r="N64" s="1233">
        <f t="shared" si="6"/>
        <v>4.3297610724778695</v>
      </c>
      <c r="O64" s="14"/>
      <c r="P64" s="14"/>
      <c r="Q64" s="325"/>
      <c r="R64" s="290"/>
      <c r="Z64" s="430">
        <f>LARGE(B$9:B$739,4)</f>
        <v>44986</v>
      </c>
      <c r="AA64" s="1250">
        <f t="shared" si="21"/>
        <v>2328739.1623036652</v>
      </c>
      <c r="AB64" s="640">
        <f t="shared" si="22"/>
        <v>650.51268478905001</v>
      </c>
    </row>
    <row r="65" spans="1:33">
      <c r="A65" s="293">
        <f t="shared" si="0"/>
        <v>20131</v>
      </c>
      <c r="B65" s="641">
        <v>41334</v>
      </c>
      <c r="C65" s="484">
        <v>4865670</v>
      </c>
      <c r="D65" s="484">
        <f t="shared" si="1"/>
        <v>251.10156124260001</v>
      </c>
      <c r="E65" s="577">
        <v>2966.8551408577659</v>
      </c>
      <c r="F65" s="617">
        <v>171090</v>
      </c>
      <c r="G65" s="484">
        <f t="shared" si="2"/>
        <v>8.4384907146000003</v>
      </c>
      <c r="H65" s="484">
        <v>161.17027358210854</v>
      </c>
      <c r="I65" s="484">
        <v>2219755</v>
      </c>
      <c r="J65" s="484">
        <f t="shared" si="3"/>
        <v>84.401330798479094</v>
      </c>
      <c r="K65" s="483">
        <v>356.27825999999999</v>
      </c>
      <c r="L65" s="1232">
        <f t="shared" si="4"/>
        <v>2013</v>
      </c>
      <c r="M65" s="1232" t="str">
        <f t="shared" si="5"/>
        <v>1</v>
      </c>
      <c r="N65" s="1233">
        <f t="shared" si="6"/>
        <v>4.2212398386308392</v>
      </c>
      <c r="O65" s="14"/>
      <c r="P65" s="14"/>
      <c r="Q65" s="325"/>
      <c r="R65" s="290"/>
      <c r="Z65" s="431">
        <f>LARGE(B$9:B$739,3)</f>
        <v>45078</v>
      </c>
      <c r="AA65" s="617">
        <f t="shared" si="21"/>
        <v>2609810.2486910997</v>
      </c>
      <c r="AB65" s="483">
        <f t="shared" si="22"/>
        <v>659.52708902556731</v>
      </c>
    </row>
    <row r="66" spans="1:33">
      <c r="A66" s="293">
        <f t="shared" si="0"/>
        <v>20132</v>
      </c>
      <c r="B66" s="641">
        <v>41426</v>
      </c>
      <c r="C66" s="639">
        <v>4336433</v>
      </c>
      <c r="D66" s="639">
        <f t="shared" si="1"/>
        <v>223.78934381574001</v>
      </c>
      <c r="E66" s="1476">
        <v>2861.1324864049229</v>
      </c>
      <c r="F66" s="1250">
        <v>174720</v>
      </c>
      <c r="G66" s="639">
        <f t="shared" si="2"/>
        <v>8.6175293567999987</v>
      </c>
      <c r="H66" s="639">
        <v>133.02871979584953</v>
      </c>
      <c r="I66" s="639">
        <v>2032099</v>
      </c>
      <c r="J66" s="639">
        <f t="shared" si="3"/>
        <v>77.266121673003809</v>
      </c>
      <c r="K66" s="640">
        <v>340.70417700000002</v>
      </c>
      <c r="L66" s="1232">
        <f t="shared" si="4"/>
        <v>2013</v>
      </c>
      <c r="M66" s="1232" t="str">
        <f t="shared" si="5"/>
        <v>2</v>
      </c>
      <c r="N66" s="1233">
        <f t="shared" si="6"/>
        <v>4.409489820673107</v>
      </c>
      <c r="O66" s="14"/>
      <c r="P66" s="14"/>
      <c r="Q66" s="325"/>
      <c r="R66" s="290"/>
      <c r="S66" s="14"/>
      <c r="Z66" s="430">
        <f>LARGE(B$9:B$739,2)</f>
        <v>45170</v>
      </c>
      <c r="AA66" s="1250">
        <f t="shared" si="21"/>
        <v>2625079.1492146598</v>
      </c>
      <c r="AB66" s="640">
        <f t="shared" si="22"/>
        <v>665.05457047958203</v>
      </c>
    </row>
    <row r="67" spans="1:33" ht="15.75" thickBot="1">
      <c r="A67" s="293">
        <f t="shared" si="0"/>
        <v>20133</v>
      </c>
      <c r="B67" s="641">
        <v>41518</v>
      </c>
      <c r="C67" s="484">
        <v>4969932</v>
      </c>
      <c r="D67" s="484">
        <f t="shared" si="1"/>
        <v>256.48218733895999</v>
      </c>
      <c r="E67" s="577">
        <v>3454.8150984037952</v>
      </c>
      <c r="F67" s="617">
        <v>203872</v>
      </c>
      <c r="G67" s="484">
        <f t="shared" si="2"/>
        <v>10.05536255168</v>
      </c>
      <c r="H67" s="484">
        <v>189.00954320584475</v>
      </c>
      <c r="I67" s="484">
        <v>2524173</v>
      </c>
      <c r="J67" s="484">
        <f t="shared" si="3"/>
        <v>95.976159695817486</v>
      </c>
      <c r="K67" s="483">
        <v>413.88590299999998</v>
      </c>
      <c r="L67" s="1232">
        <f t="shared" si="4"/>
        <v>2013</v>
      </c>
      <c r="M67" s="1232" t="str">
        <f t="shared" si="5"/>
        <v>3</v>
      </c>
      <c r="N67" s="1233">
        <f t="shared" si="6"/>
        <v>4.3123824115462766</v>
      </c>
      <c r="O67" s="14"/>
      <c r="P67" s="14"/>
      <c r="Q67" s="325"/>
      <c r="R67" s="290"/>
      <c r="Z67" s="1218">
        <f>LARGE(B$9:B$739,1)</f>
        <v>45261</v>
      </c>
      <c r="AA67" s="898">
        <f t="shared" si="21"/>
        <v>2764010.4057591623</v>
      </c>
      <c r="AB67" s="1188">
        <f t="shared" si="22"/>
        <v>778.76489830748358</v>
      </c>
      <c r="AE67" s="280"/>
      <c r="AF67" s="280"/>
      <c r="AG67" s="280"/>
    </row>
    <row r="68" spans="1:33">
      <c r="A68" s="293">
        <f t="shared" si="0"/>
        <v>20134</v>
      </c>
      <c r="B68" s="641">
        <v>41609</v>
      </c>
      <c r="C68" s="639">
        <v>5048408</v>
      </c>
      <c r="D68" s="639">
        <f t="shared" si="1"/>
        <v>260.53208100623999</v>
      </c>
      <c r="E68" s="1476">
        <v>4005.1580927126415</v>
      </c>
      <c r="F68" s="1250">
        <v>136252</v>
      </c>
      <c r="G68" s="639">
        <f t="shared" si="2"/>
        <v>6.7202129688799994</v>
      </c>
      <c r="H68" s="639">
        <v>116.92676470853257</v>
      </c>
      <c r="I68" s="639">
        <v>2521640</v>
      </c>
      <c r="J68" s="639">
        <f t="shared" si="3"/>
        <v>95.879847908745248</v>
      </c>
      <c r="K68" s="640">
        <v>448.58798999999999</v>
      </c>
      <c r="L68" s="1232">
        <f t="shared" si="4"/>
        <v>2013</v>
      </c>
      <c r="M68" s="1232" t="str">
        <f t="shared" si="5"/>
        <v>4</v>
      </c>
      <c r="N68" s="1233">
        <f t="shared" si="6"/>
        <v>4.6786472839104709</v>
      </c>
      <c r="O68" s="14"/>
      <c r="P68" s="14"/>
      <c r="Q68" s="325"/>
      <c r="R68" s="290"/>
    </row>
    <row r="69" spans="1:33">
      <c r="A69" s="293">
        <f t="shared" si="0"/>
        <v>20141</v>
      </c>
      <c r="B69" s="641">
        <v>41699</v>
      </c>
      <c r="C69" s="484">
        <v>4863240</v>
      </c>
      <c r="D69" s="484">
        <v>250.9761567672</v>
      </c>
      <c r="E69" s="577">
        <v>3609.712857637357</v>
      </c>
      <c r="F69" s="617">
        <v>24930</v>
      </c>
      <c r="G69" s="484">
        <v>1.2295959642000001</v>
      </c>
      <c r="H69" s="484">
        <v>24.843911468531239</v>
      </c>
      <c r="I69" s="484">
        <v>2341223</v>
      </c>
      <c r="J69" s="484">
        <f t="shared" si="3"/>
        <v>89.019885931558932</v>
      </c>
      <c r="K69" s="483">
        <v>421.88753400000002</v>
      </c>
      <c r="L69" s="1232">
        <f t="shared" si="4"/>
        <v>2014</v>
      </c>
      <c r="M69" s="1232" t="str">
        <f t="shared" si="5"/>
        <v>1</v>
      </c>
      <c r="N69" s="1233">
        <f t="shared" si="6"/>
        <v>4.7392504448316117</v>
      </c>
      <c r="O69" s="14"/>
      <c r="P69" s="14"/>
      <c r="Q69" s="325"/>
      <c r="R69" s="290"/>
    </row>
    <row r="70" spans="1:33">
      <c r="A70" s="293">
        <f t="shared" si="0"/>
        <v>20142</v>
      </c>
      <c r="B70" s="641">
        <v>41791</v>
      </c>
      <c r="C70" s="639">
        <v>4944485</v>
      </c>
      <c r="D70" s="639">
        <v>255.16894960830001</v>
      </c>
      <c r="E70" s="1476">
        <v>3581.8367247574915</v>
      </c>
      <c r="F70" s="1250">
        <v>24479</v>
      </c>
      <c r="G70" s="639">
        <v>1.20735176926</v>
      </c>
      <c r="H70" s="639">
        <v>22.761114376250173</v>
      </c>
      <c r="I70" s="639">
        <v>2349784</v>
      </c>
      <c r="J70" s="639">
        <f t="shared" si="3"/>
        <v>89.345399239543724</v>
      </c>
      <c r="K70" s="640">
        <v>450.59903200000002</v>
      </c>
      <c r="L70" s="1232">
        <f t="shared" si="4"/>
        <v>2014</v>
      </c>
      <c r="M70" s="1232" t="str">
        <f t="shared" si="5"/>
        <v>2</v>
      </c>
      <c r="N70" s="1233">
        <f t="shared" si="6"/>
        <v>5.0433378308814776</v>
      </c>
      <c r="O70" s="14"/>
      <c r="P70" s="14"/>
      <c r="Q70" s="325"/>
      <c r="R70" s="290"/>
      <c r="S70" s="14"/>
      <c r="T70" s="278"/>
    </row>
    <row r="71" spans="1:33">
      <c r="A71" s="293">
        <f t="shared" si="0"/>
        <v>20143</v>
      </c>
      <c r="B71" s="641">
        <v>41883</v>
      </c>
      <c r="C71" s="484">
        <v>5835100</v>
      </c>
      <c r="D71" s="484">
        <v>301.130721978</v>
      </c>
      <c r="E71" s="577">
        <v>4338.3672567656658</v>
      </c>
      <c r="F71" s="617">
        <v>159620</v>
      </c>
      <c r="G71" s="484">
        <v>7.8727680627999996</v>
      </c>
      <c r="H71" s="484">
        <v>138.86373114397765</v>
      </c>
      <c r="I71" s="484">
        <v>2395064.7549999999</v>
      </c>
      <c r="J71" s="484">
        <f t="shared" si="3"/>
        <v>91.067100950570335</v>
      </c>
      <c r="K71" s="483">
        <v>445.20685447794887</v>
      </c>
      <c r="L71" s="1232">
        <f t="shared" si="4"/>
        <v>2014</v>
      </c>
      <c r="M71" s="1232" t="str">
        <f t="shared" si="5"/>
        <v>3</v>
      </c>
      <c r="N71" s="1233">
        <f t="shared" si="6"/>
        <v>4.8887781628142477</v>
      </c>
      <c r="O71" s="14"/>
      <c r="P71" s="14"/>
      <c r="Q71" s="325"/>
      <c r="R71" s="290"/>
    </row>
    <row r="72" spans="1:33">
      <c r="A72" s="293">
        <f t="shared" si="0"/>
        <v>20144</v>
      </c>
      <c r="B72" s="641">
        <v>41974</v>
      </c>
      <c r="C72" s="639">
        <v>5209776</v>
      </c>
      <c r="D72" s="639">
        <v>268.85976388128</v>
      </c>
      <c r="E72" s="1476">
        <v>3957.4004114908698</v>
      </c>
      <c r="F72" s="1250">
        <v>148580</v>
      </c>
      <c r="G72" s="639">
        <v>7.328253845199999</v>
      </c>
      <c r="H72" s="639">
        <v>122.53826596790357</v>
      </c>
      <c r="I72" s="639">
        <v>2504093.6320000002</v>
      </c>
      <c r="J72" s="639">
        <f t="shared" si="3"/>
        <v>95.21268562737643</v>
      </c>
      <c r="K72" s="640">
        <v>461.59148175823981</v>
      </c>
      <c r="L72" s="1232">
        <f t="shared" si="4"/>
        <v>2014</v>
      </c>
      <c r="M72" s="1232" t="str">
        <f t="shared" si="5"/>
        <v>4</v>
      </c>
      <c r="N72" s="1233">
        <f t="shared" si="6"/>
        <v>4.8480040103555151</v>
      </c>
      <c r="O72" s="14"/>
      <c r="P72" s="14"/>
      <c r="Q72" s="325"/>
      <c r="R72" s="290"/>
    </row>
    <row r="73" spans="1:33">
      <c r="A73" s="293">
        <f t="shared" si="0"/>
        <v>20151</v>
      </c>
      <c r="B73" s="641">
        <v>42064</v>
      </c>
      <c r="C73" s="484">
        <v>5058720</v>
      </c>
      <c r="D73" s="484">
        <v>261.0643</v>
      </c>
      <c r="E73" s="577">
        <v>3466.8432032243586</v>
      </c>
      <c r="F73" s="617">
        <v>141570</v>
      </c>
      <c r="G73" s="484">
        <v>6.9825070457999994</v>
      </c>
      <c r="H73" s="484">
        <v>82.497857403522531</v>
      </c>
      <c r="I73" s="484">
        <v>2483406.8170000003</v>
      </c>
      <c r="J73" s="484">
        <f t="shared" si="3"/>
        <v>94.426114714828913</v>
      </c>
      <c r="K73" s="483">
        <v>457.599551292</v>
      </c>
      <c r="L73" s="1232">
        <f t="shared" si="4"/>
        <v>2015</v>
      </c>
      <c r="M73" s="1232" t="str">
        <f t="shared" si="5"/>
        <v>1</v>
      </c>
      <c r="N73" s="1233">
        <f t="shared" si="6"/>
        <v>4.8461122505566507</v>
      </c>
      <c r="O73" s="14"/>
      <c r="P73" s="14"/>
      <c r="Q73" s="325"/>
      <c r="R73" s="290"/>
    </row>
    <row r="74" spans="1:33">
      <c r="A74" s="293">
        <f t="shared" ref="A74:A137" si="23">L74*10+M74</f>
        <v>20152</v>
      </c>
      <c r="B74" s="641">
        <v>42156</v>
      </c>
      <c r="C74" s="639">
        <v>4344249</v>
      </c>
      <c r="D74" s="639">
        <v>224.1927</v>
      </c>
      <c r="E74" s="1476">
        <v>2054.4316153610985</v>
      </c>
      <c r="F74" s="1250">
        <v>103285</v>
      </c>
      <c r="G74" s="639">
        <v>5.0942165728999997</v>
      </c>
      <c r="H74" s="639">
        <v>61.665661356598967</v>
      </c>
      <c r="I74" s="639">
        <v>2492773.5079999999</v>
      </c>
      <c r="J74" s="639">
        <f t="shared" ref="J74:J76" si="24">I74/26300</f>
        <v>94.78226266159696</v>
      </c>
      <c r="K74" s="640">
        <v>455.799167576</v>
      </c>
      <c r="L74" s="1232">
        <f t="shared" ref="L74:L137" si="25">YEAR(B74)</f>
        <v>2015</v>
      </c>
      <c r="M74" s="1232" t="str">
        <f t="shared" ref="M74:M137" si="26">IF(MONTH(B74)=3,"1",IF(MONTH(B74)=6,"2",IF(MONTH(B74)=9,"3","4")))</f>
        <v>2</v>
      </c>
      <c r="N74" s="1233">
        <f t="shared" ref="N74:N137" si="27">K74/J74</f>
        <v>4.8089078565611905</v>
      </c>
      <c r="O74" s="14"/>
      <c r="P74" s="14"/>
      <c r="Q74" s="325"/>
      <c r="R74" s="290"/>
      <c r="S74" s="14"/>
      <c r="T74" s="278"/>
    </row>
    <row r="75" spans="1:33">
      <c r="A75" s="293">
        <f t="shared" si="23"/>
        <v>20153</v>
      </c>
      <c r="B75" s="641">
        <v>42248</v>
      </c>
      <c r="C75" s="484">
        <v>5451644</v>
      </c>
      <c r="D75" s="484">
        <v>281.34179999999998</v>
      </c>
      <c r="E75" s="577">
        <v>2973.1531033352376</v>
      </c>
      <c r="F75" s="617">
        <v>123464</v>
      </c>
      <c r="G75" s="484">
        <v>6.0894840001599997</v>
      </c>
      <c r="H75" s="484">
        <v>53.953957081642599</v>
      </c>
      <c r="I75" s="484">
        <v>2636710.9539999994</v>
      </c>
      <c r="J75" s="484">
        <f t="shared" si="24"/>
        <v>100.25516935361215</v>
      </c>
      <c r="K75" s="483">
        <v>491.83885099999998</v>
      </c>
      <c r="L75" s="1232">
        <f t="shared" si="25"/>
        <v>2015</v>
      </c>
      <c r="M75" s="1232" t="str">
        <f t="shared" si="26"/>
        <v>3</v>
      </c>
      <c r="N75" s="1233">
        <f t="shared" si="27"/>
        <v>4.9058702326383257</v>
      </c>
      <c r="O75" s="14"/>
      <c r="P75" s="14"/>
      <c r="Q75" s="325"/>
      <c r="R75" s="290"/>
      <c r="S75" s="291"/>
    </row>
    <row r="76" spans="1:33">
      <c r="A76" s="293">
        <f t="shared" si="23"/>
        <v>20154</v>
      </c>
      <c r="B76" s="641">
        <v>42339</v>
      </c>
      <c r="C76" s="639">
        <v>5531040</v>
      </c>
      <c r="D76" s="639">
        <v>285.43920000000003</v>
      </c>
      <c r="E76" s="1476">
        <v>3059.9218309842045</v>
      </c>
      <c r="F76" s="1250">
        <v>133584</v>
      </c>
      <c r="G76" s="639">
        <v>6.5886220329599992</v>
      </c>
      <c r="H76" s="639">
        <v>55.990820561464247</v>
      </c>
      <c r="I76" s="639">
        <v>2403790.8930000002</v>
      </c>
      <c r="J76" s="639">
        <f t="shared" si="24"/>
        <v>91.398893269961988</v>
      </c>
      <c r="K76" s="640">
        <v>456.28586032999999</v>
      </c>
      <c r="L76" s="1232">
        <f t="shared" si="25"/>
        <v>2015</v>
      </c>
      <c r="M76" s="1232" t="str">
        <f t="shared" si="26"/>
        <v>4</v>
      </c>
      <c r="N76" s="1233">
        <f t="shared" si="27"/>
        <v>4.9922471050309447</v>
      </c>
      <c r="O76" s="14"/>
      <c r="P76" s="14"/>
      <c r="Q76" s="325"/>
      <c r="R76" s="290"/>
      <c r="S76" s="291"/>
    </row>
    <row r="77" spans="1:33">
      <c r="A77" s="293">
        <f t="shared" si="23"/>
        <v>20161</v>
      </c>
      <c r="B77" s="641">
        <v>42430</v>
      </c>
      <c r="C77" s="484">
        <v>5323767</v>
      </c>
      <c r="D77" s="484">
        <v>274.74247234026001</v>
      </c>
      <c r="E77" s="577">
        <v>2713.6890704221591</v>
      </c>
      <c r="F77" s="617">
        <v>139321</v>
      </c>
      <c r="G77" s="484">
        <v>6.8715820027399994</v>
      </c>
      <c r="H77" s="484">
        <v>64.980488740447953</v>
      </c>
      <c r="I77" s="484">
        <v>2502839.2610499999</v>
      </c>
      <c r="J77" s="484">
        <v>95.164990914449007</v>
      </c>
      <c r="K77" s="483">
        <v>456.43841822399997</v>
      </c>
      <c r="L77" s="1232">
        <f t="shared" si="25"/>
        <v>2016</v>
      </c>
      <c r="M77" s="1232" t="str">
        <f t="shared" si="26"/>
        <v>1</v>
      </c>
      <c r="N77" s="1233">
        <f t="shared" si="27"/>
        <v>4.7962849976450572</v>
      </c>
      <c r="O77" s="14"/>
      <c r="P77" s="14"/>
      <c r="Q77" s="325"/>
      <c r="R77" s="280"/>
    </row>
    <row r="78" spans="1:33">
      <c r="A78" s="293">
        <f t="shared" si="23"/>
        <v>20162</v>
      </c>
      <c r="B78" s="641">
        <v>42522</v>
      </c>
      <c r="C78" s="639">
        <v>4649190</v>
      </c>
      <c r="D78" s="639">
        <v>239.92972550819999</v>
      </c>
      <c r="E78" s="1476">
        <v>2017.7813481911735</v>
      </c>
      <c r="F78" s="1250">
        <v>135226</v>
      </c>
      <c r="G78" s="639">
        <v>6.6696086584399996</v>
      </c>
      <c r="H78" s="639">
        <v>74.133806139989474</v>
      </c>
      <c r="I78" s="639">
        <v>2514418.1465699999</v>
      </c>
      <c r="J78" s="639">
        <v>95.605252721292999</v>
      </c>
      <c r="K78" s="640">
        <v>476.90319774800003</v>
      </c>
      <c r="L78" s="1232">
        <f t="shared" si="25"/>
        <v>2016</v>
      </c>
      <c r="M78" s="1232" t="str">
        <f t="shared" si="26"/>
        <v>2</v>
      </c>
      <c r="N78" s="1233">
        <f t="shared" si="27"/>
        <v>4.9882530946104087</v>
      </c>
      <c r="O78" s="14"/>
      <c r="P78" s="14"/>
      <c r="Q78" s="325"/>
      <c r="R78" s="280"/>
      <c r="S78" s="14"/>
      <c r="T78" s="278"/>
    </row>
    <row r="79" spans="1:33">
      <c r="A79" s="293">
        <f t="shared" si="23"/>
        <v>20163</v>
      </c>
      <c r="B79" s="641">
        <v>42614</v>
      </c>
      <c r="C79" s="484">
        <v>6803067.7071249997</v>
      </c>
      <c r="D79" s="484">
        <v>351.08441848670429</v>
      </c>
      <c r="E79" s="577">
        <v>2712.9153543355424</v>
      </c>
      <c r="F79" s="617">
        <v>157964</v>
      </c>
      <c r="G79" s="484">
        <v>7.7910909301600002</v>
      </c>
      <c r="H79" s="484">
        <v>67.829171529252321</v>
      </c>
      <c r="I79" s="484">
        <v>2513434.9693999998</v>
      </c>
      <c r="J79" s="484">
        <v>95.567869558935001</v>
      </c>
      <c r="K79" s="483">
        <v>489.32512997399999</v>
      </c>
      <c r="L79" s="1232">
        <f t="shared" ref="L79:L100" si="28">YEAR(B79)</f>
        <v>2016</v>
      </c>
      <c r="M79" s="1232" t="str">
        <f t="shared" ref="M79:M100" si="29">IF(MONTH(B79)=3,"1",IF(MONTH(B79)=6,"2",IF(MONTH(B79)=9,"3","4")))</f>
        <v>3</v>
      </c>
      <c r="N79" s="1233">
        <f t="shared" si="27"/>
        <v>5.1201845581818892</v>
      </c>
      <c r="O79" s="14"/>
    </row>
    <row r="80" spans="1:33">
      <c r="A80" s="293">
        <f t="shared" si="23"/>
        <v>20164</v>
      </c>
      <c r="B80" s="641">
        <v>42705</v>
      </c>
      <c r="C80" s="639">
        <v>6998631.9396250006</v>
      </c>
      <c r="D80" s="639">
        <v>361.17685880920067</v>
      </c>
      <c r="E80" s="1476">
        <v>3176.2283489943566</v>
      </c>
      <c r="F80" s="1250">
        <v>143244</v>
      </c>
      <c r="G80" s="639">
        <v>7.0650719733599994</v>
      </c>
      <c r="H80" s="639">
        <v>81.197249614542599</v>
      </c>
      <c r="I80" s="639">
        <v>2513332.3186400002</v>
      </c>
      <c r="J80" s="639">
        <v>95.563966488212998</v>
      </c>
      <c r="K80" s="640">
        <v>478.87107164100001</v>
      </c>
      <c r="L80" s="1232">
        <f t="shared" si="28"/>
        <v>2016</v>
      </c>
      <c r="M80" s="1232" t="str">
        <f t="shared" si="29"/>
        <v>4</v>
      </c>
      <c r="N80" s="1233">
        <f t="shared" si="27"/>
        <v>5.0110003721964036</v>
      </c>
      <c r="O80" s="289"/>
      <c r="P80" s="295"/>
    </row>
    <row r="81" spans="1:16">
      <c r="A81" s="293">
        <f t="shared" si="23"/>
        <v>20171</v>
      </c>
      <c r="B81" s="641">
        <v>42795</v>
      </c>
      <c r="C81" s="484">
        <v>6972485.1932500005</v>
      </c>
      <c r="D81" s="484">
        <v>359.82750942131025</v>
      </c>
      <c r="E81" s="577">
        <v>3126.8409743271582</v>
      </c>
      <c r="F81" s="617">
        <v>110340</v>
      </c>
      <c r="G81" s="484">
        <v>5.4421828595999999</v>
      </c>
      <c r="H81" s="484">
        <v>77.866747796917679</v>
      </c>
      <c r="I81" s="484">
        <v>2377804.69777</v>
      </c>
      <c r="J81" s="484">
        <v>90.410825010265995</v>
      </c>
      <c r="K81" s="483">
        <v>441.36716657099998</v>
      </c>
      <c r="L81" s="1232">
        <f t="shared" si="28"/>
        <v>2017</v>
      </c>
      <c r="M81" s="1232" t="str">
        <f t="shared" si="29"/>
        <v>1</v>
      </c>
      <c r="N81" s="1233">
        <f t="shared" si="27"/>
        <v>4.881795587208539</v>
      </c>
      <c r="O81" s="289"/>
      <c r="P81" s="295"/>
    </row>
    <row r="82" spans="1:16">
      <c r="A82" s="293">
        <f t="shared" si="23"/>
        <v>20172</v>
      </c>
      <c r="B82" s="641">
        <v>42887</v>
      </c>
      <c r="C82" s="639">
        <v>7911291.8422500007</v>
      </c>
      <c r="D82" s="639">
        <v>408.27629761879052</v>
      </c>
      <c r="E82" s="1476">
        <v>3712.3253604128122</v>
      </c>
      <c r="F82" s="1250">
        <v>115843</v>
      </c>
      <c r="G82" s="639">
        <v>5.7136014954199998</v>
      </c>
      <c r="H82" s="639">
        <v>46.204139266223834</v>
      </c>
      <c r="I82" s="639">
        <v>2525282.7222000002</v>
      </c>
      <c r="J82" s="639">
        <v>96.018354456273997</v>
      </c>
      <c r="K82" s="640">
        <v>466.06720589899999</v>
      </c>
      <c r="L82" s="1232">
        <f t="shared" si="28"/>
        <v>2017</v>
      </c>
      <c r="M82" s="1232" t="str">
        <f t="shared" si="29"/>
        <v>2</v>
      </c>
      <c r="N82" s="1233">
        <f t="shared" si="27"/>
        <v>4.8539386926407211</v>
      </c>
      <c r="O82" s="289"/>
      <c r="P82" s="295"/>
    </row>
    <row r="83" spans="1:16">
      <c r="A83" s="293">
        <f t="shared" si="23"/>
        <v>20173</v>
      </c>
      <c r="B83" s="641">
        <v>42979</v>
      </c>
      <c r="C83" s="484">
        <v>8806567.7899999991</v>
      </c>
      <c r="D83" s="484">
        <v>454.47860649361616</v>
      </c>
      <c r="E83" s="577">
        <v>3831.2571748245896</v>
      </c>
      <c r="F83" s="617">
        <v>117208</v>
      </c>
      <c r="G83" s="484">
        <v>5.7809259435199998</v>
      </c>
      <c r="H83" s="484">
        <v>67.451136598380842</v>
      </c>
      <c r="I83" s="484">
        <v>2656293.0504529998</v>
      </c>
      <c r="J83" s="484">
        <v>100.999735758669</v>
      </c>
      <c r="K83" s="483">
        <v>482.21090230099998</v>
      </c>
      <c r="L83" s="1232">
        <f t="shared" si="28"/>
        <v>2017</v>
      </c>
      <c r="M83" s="1232" t="str">
        <f t="shared" si="29"/>
        <v>3</v>
      </c>
      <c r="N83" s="1233">
        <f t="shared" si="27"/>
        <v>4.7743778602867373</v>
      </c>
      <c r="O83" s="289"/>
      <c r="P83" s="295"/>
    </row>
    <row r="84" spans="1:16" ht="15.75" thickBot="1">
      <c r="A84" s="293">
        <f t="shared" si="23"/>
        <v>20174</v>
      </c>
      <c r="B84" s="641">
        <v>43070</v>
      </c>
      <c r="C84" s="659">
        <v>9039351.7441250011</v>
      </c>
      <c r="D84" s="659">
        <v>466.49183680167522</v>
      </c>
      <c r="E84" s="648">
        <v>4318.9366760431931</v>
      </c>
      <c r="F84" s="1255">
        <v>112884</v>
      </c>
      <c r="G84" s="659">
        <v>5.5676578749600001</v>
      </c>
      <c r="H84" s="659">
        <v>96.97610210958355</v>
      </c>
      <c r="I84" s="659">
        <v>2588816.75385</v>
      </c>
      <c r="J84" s="659">
        <v>98.434097104562994</v>
      </c>
      <c r="K84" s="649">
        <v>406.71140408500003</v>
      </c>
      <c r="L84" s="1232">
        <f t="shared" si="28"/>
        <v>2017</v>
      </c>
      <c r="M84" s="1232" t="str">
        <f t="shared" si="29"/>
        <v>4</v>
      </c>
      <c r="N84" s="1234">
        <f t="shared" si="27"/>
        <v>4.1318142396629609</v>
      </c>
      <c r="O84" s="289"/>
      <c r="P84" s="295"/>
    </row>
    <row r="85" spans="1:16">
      <c r="A85" s="293">
        <f t="shared" si="23"/>
        <v>20181</v>
      </c>
      <c r="B85" s="641">
        <v>43160</v>
      </c>
      <c r="C85" s="585">
        <v>10062182.32725</v>
      </c>
      <c r="D85" s="585">
        <v>519.27682968227873</v>
      </c>
      <c r="E85" s="547">
        <v>5344.7501164823307</v>
      </c>
      <c r="F85" s="565">
        <v>112860</v>
      </c>
      <c r="G85" s="585">
        <v>5.5664741483999993</v>
      </c>
      <c r="H85" s="585">
        <v>85.801210917674538</v>
      </c>
      <c r="I85" s="585">
        <v>2482222.5129399998</v>
      </c>
      <c r="J85" s="585">
        <v>94.381084142204998</v>
      </c>
      <c r="K85" s="548">
        <v>387.150083446</v>
      </c>
      <c r="L85" s="1232">
        <f t="shared" si="28"/>
        <v>2018</v>
      </c>
      <c r="M85" s="1232" t="str">
        <f t="shared" si="29"/>
        <v>1</v>
      </c>
      <c r="N85" s="15">
        <f t="shared" si="27"/>
        <v>4.1019880939561659</v>
      </c>
    </row>
    <row r="86" spans="1:16">
      <c r="A86" s="293">
        <f t="shared" si="23"/>
        <v>20182</v>
      </c>
      <c r="B86" s="641">
        <v>43252</v>
      </c>
      <c r="C86" s="659">
        <v>10074876.71525</v>
      </c>
      <c r="D86" s="659">
        <v>519.93194617102938</v>
      </c>
      <c r="E86" s="648">
        <v>5463.5292588997572</v>
      </c>
      <c r="F86" s="1255">
        <v>108290</v>
      </c>
      <c r="G86" s="659">
        <v>5.3410728825999998</v>
      </c>
      <c r="H86" s="659">
        <v>81.042960637905693</v>
      </c>
      <c r="I86" s="659">
        <v>2552825.3883099998</v>
      </c>
      <c r="J86" s="659">
        <v>97.065604118251002</v>
      </c>
      <c r="K86" s="649">
        <v>399.03999868699998</v>
      </c>
      <c r="L86" s="1232">
        <f t="shared" si="28"/>
        <v>2018</v>
      </c>
      <c r="M86" s="1232" t="str">
        <f t="shared" si="29"/>
        <v>2</v>
      </c>
      <c r="N86" s="15">
        <f t="shared" si="27"/>
        <v>4.1110339992410294</v>
      </c>
    </row>
    <row r="87" spans="1:16">
      <c r="A87" s="293">
        <f t="shared" si="23"/>
        <v>20183</v>
      </c>
      <c r="B87" s="641">
        <v>43344</v>
      </c>
      <c r="C87" s="585">
        <v>12027865.142000001</v>
      </c>
      <c r="D87" s="585">
        <v>620.71939025286281</v>
      </c>
      <c r="E87" s="547">
        <v>7938.5600138310774</v>
      </c>
      <c r="F87" s="565">
        <v>128248</v>
      </c>
      <c r="G87" s="585">
        <v>6.3254401611199995</v>
      </c>
      <c r="H87" s="585">
        <v>98.743038662887543</v>
      </c>
      <c r="I87" s="585">
        <v>2545829.3741199998</v>
      </c>
      <c r="J87" s="585">
        <v>96.799595974145006</v>
      </c>
      <c r="K87" s="548">
        <v>406.83719191099999</v>
      </c>
      <c r="L87" s="1232">
        <f t="shared" si="28"/>
        <v>2018</v>
      </c>
      <c r="M87" s="1232" t="str">
        <f t="shared" si="29"/>
        <v>3</v>
      </c>
      <c r="N87" s="15">
        <f t="shared" si="27"/>
        <v>4.202881094872188</v>
      </c>
    </row>
    <row r="88" spans="1:16">
      <c r="A88" s="293">
        <f t="shared" si="23"/>
        <v>20184</v>
      </c>
      <c r="B88" s="641">
        <v>43435</v>
      </c>
      <c r="C88" s="659">
        <v>12377560.186131621</v>
      </c>
      <c r="D88" s="659">
        <v>638.76602546245363</v>
      </c>
      <c r="E88" s="648">
        <v>8840.0612899982916</v>
      </c>
      <c r="F88" s="1255">
        <v>113712</v>
      </c>
      <c r="G88" s="659">
        <v>5.6084964412799998</v>
      </c>
      <c r="H88" s="659">
        <v>83.237183999999999</v>
      </c>
      <c r="I88" s="659">
        <v>2642007.5800930001</v>
      </c>
      <c r="J88" s="659">
        <v>100.456561980722</v>
      </c>
      <c r="K88" s="649">
        <v>350.08489304890003</v>
      </c>
      <c r="L88" s="1232">
        <f t="shared" si="28"/>
        <v>2018</v>
      </c>
      <c r="M88" s="1232" t="str">
        <f t="shared" si="29"/>
        <v>4</v>
      </c>
      <c r="N88" s="15">
        <f t="shared" si="27"/>
        <v>3.484938028399605</v>
      </c>
    </row>
    <row r="89" spans="1:16">
      <c r="A89" s="293">
        <f t="shared" si="23"/>
        <v>20191</v>
      </c>
      <c r="B89" s="641">
        <v>43525</v>
      </c>
      <c r="C89" s="585">
        <v>10063827.196374999</v>
      </c>
      <c r="D89" s="585">
        <v>519.36171608134134</v>
      </c>
      <c r="E89" s="547">
        <v>7349.3684149789487</v>
      </c>
      <c r="F89" s="565">
        <v>92520</v>
      </c>
      <c r="G89" s="585">
        <v>4.5632658888000002</v>
      </c>
      <c r="H89" s="585">
        <v>65.49929301295073</v>
      </c>
      <c r="I89" s="585">
        <v>2539018.48104</v>
      </c>
      <c r="J89" s="585">
        <v>96.540626655512995</v>
      </c>
      <c r="K89" s="548">
        <v>334.17288721900002</v>
      </c>
      <c r="L89" s="1232">
        <f t="shared" si="28"/>
        <v>2019</v>
      </c>
      <c r="M89" s="1232" t="str">
        <f t="shared" si="29"/>
        <v>1</v>
      </c>
      <c r="N89" s="15">
        <f t="shared" si="27"/>
        <v>3.4614741875607757</v>
      </c>
    </row>
    <row r="90" spans="1:16">
      <c r="A90" s="293">
        <f t="shared" si="23"/>
        <v>20192</v>
      </c>
      <c r="B90" s="641">
        <v>43617</v>
      </c>
      <c r="C90" s="659">
        <v>11460658.766325001</v>
      </c>
      <c r="D90" s="659">
        <v>591.4476956088057</v>
      </c>
      <c r="E90" s="648">
        <v>6334.718209111079</v>
      </c>
      <c r="F90" s="1255">
        <v>112749</v>
      </c>
      <c r="G90" s="659">
        <v>5.5609994130600002</v>
      </c>
      <c r="H90" s="659">
        <v>80.156224617098388</v>
      </c>
      <c r="I90" s="659">
        <v>2778633.4078600002</v>
      </c>
      <c r="J90" s="659">
        <v>105.651460374905</v>
      </c>
      <c r="K90" s="649">
        <v>357.92902784099999</v>
      </c>
      <c r="L90" s="1232">
        <f t="shared" si="28"/>
        <v>2019</v>
      </c>
      <c r="M90" s="1232" t="str">
        <f t="shared" si="29"/>
        <v>2</v>
      </c>
      <c r="N90" s="15">
        <f t="shared" si="27"/>
        <v>3.3878284935284961</v>
      </c>
    </row>
    <row r="91" spans="1:16">
      <c r="A91" s="293">
        <f t="shared" si="23"/>
        <v>20193</v>
      </c>
      <c r="B91" s="641">
        <v>43709</v>
      </c>
      <c r="C91" s="585">
        <v>11823636.748281501</v>
      </c>
      <c r="D91" s="585">
        <v>610.17982046847885</v>
      </c>
      <c r="E91" s="547">
        <v>7095.557317048625</v>
      </c>
      <c r="F91" s="565">
        <v>154470.41</v>
      </c>
      <c r="G91" s="585">
        <v>7.6187802937954006</v>
      </c>
      <c r="H91" s="585">
        <v>86.393215309700992</v>
      </c>
      <c r="I91" s="585">
        <v>2841089.16194</v>
      </c>
      <c r="J91" s="585">
        <v>108.026203876046</v>
      </c>
      <c r="K91" s="548">
        <v>391.53279484000001</v>
      </c>
      <c r="L91" s="1232">
        <f t="shared" si="28"/>
        <v>2019</v>
      </c>
      <c r="M91" s="1232" t="str">
        <f t="shared" si="29"/>
        <v>3</v>
      </c>
      <c r="N91" s="15">
        <f t="shared" si="27"/>
        <v>3.6244242673681462</v>
      </c>
    </row>
    <row r="92" spans="1:16">
      <c r="A92" s="293">
        <f t="shared" si="23"/>
        <v>20194</v>
      </c>
      <c r="B92" s="641">
        <v>43800</v>
      </c>
      <c r="C92" s="639">
        <v>11282802.338422999</v>
      </c>
      <c r="D92" s="639">
        <v>582.26909806248125</v>
      </c>
      <c r="E92" s="1476">
        <v>6799.9792260920613</v>
      </c>
      <c r="F92" s="1250">
        <v>159714.41</v>
      </c>
      <c r="G92" s="639">
        <v>7.8774245471553996</v>
      </c>
      <c r="H92" s="639">
        <v>105.31174762261095</v>
      </c>
      <c r="I92" s="639">
        <v>2726426.76559</v>
      </c>
      <c r="J92" s="639">
        <v>103.666416942586</v>
      </c>
      <c r="K92" s="640">
        <v>364.68984438699999</v>
      </c>
      <c r="L92" s="1232">
        <f t="shared" si="28"/>
        <v>2019</v>
      </c>
      <c r="M92" s="1232" t="str">
        <f t="shared" si="29"/>
        <v>4</v>
      </c>
      <c r="N92" s="15">
        <f t="shared" si="27"/>
        <v>3.5179169411148616</v>
      </c>
    </row>
    <row r="93" spans="1:16">
      <c r="A93" s="293">
        <f t="shared" ref="A93:A94" si="30">L93*10+M93</f>
        <v>20201</v>
      </c>
      <c r="B93" s="641">
        <v>43891</v>
      </c>
      <c r="C93" s="484">
        <v>11481693.445875</v>
      </c>
      <c r="D93" s="484">
        <v>592.53322768871305</v>
      </c>
      <c r="E93" s="577">
        <v>7438.6243678834408</v>
      </c>
      <c r="F93" s="617">
        <v>154888.41</v>
      </c>
      <c r="G93" s="484">
        <v>7.6393968647154002</v>
      </c>
      <c r="H93" s="484">
        <v>76.001915240028012</v>
      </c>
      <c r="I93" s="484">
        <v>2626832.4608700001</v>
      </c>
      <c r="J93" s="484">
        <v>99.879561249809996</v>
      </c>
      <c r="K93" s="483">
        <v>361.91136168700001</v>
      </c>
      <c r="L93" s="1232">
        <f t="shared" si="28"/>
        <v>2020</v>
      </c>
      <c r="M93" s="1232" t="str">
        <f t="shared" si="29"/>
        <v>1</v>
      </c>
      <c r="N93" s="15">
        <f t="shared" si="27"/>
        <v>3.6234776881109747</v>
      </c>
    </row>
    <row r="94" spans="1:16">
      <c r="A94" s="293">
        <f t="shared" si="30"/>
        <v>20202</v>
      </c>
      <c r="B94" s="641">
        <v>43983</v>
      </c>
      <c r="C94" s="639">
        <v>11365238.973999999</v>
      </c>
      <c r="D94" s="639">
        <v>586.52338737864375</v>
      </c>
      <c r="E94" s="1476">
        <v>4989.8485620728243</v>
      </c>
      <c r="F94" s="1250">
        <v>114296</v>
      </c>
      <c r="G94" s="639">
        <v>5.63730045424</v>
      </c>
      <c r="H94" s="639">
        <v>42.115230029599999</v>
      </c>
      <c r="I94" s="639">
        <v>2900162.30418</v>
      </c>
      <c r="J94" s="639">
        <v>110.272330957414</v>
      </c>
      <c r="K94" s="640">
        <v>392.438049885</v>
      </c>
      <c r="L94" s="1232">
        <f t="shared" si="28"/>
        <v>2020</v>
      </c>
      <c r="M94" s="1232" t="str">
        <f t="shared" si="29"/>
        <v>2</v>
      </c>
      <c r="N94" s="15">
        <f t="shared" si="27"/>
        <v>3.5588079664023371</v>
      </c>
    </row>
    <row r="95" spans="1:16">
      <c r="A95" s="293">
        <f t="shared" si="23"/>
        <v>20203</v>
      </c>
      <c r="B95" s="641">
        <v>44075</v>
      </c>
      <c r="C95" s="484">
        <v>10462284.36475</v>
      </c>
      <c r="D95" s="484">
        <v>539.92480750909294</v>
      </c>
      <c r="E95" s="577">
        <v>3058.6096641199406</v>
      </c>
      <c r="F95" s="617">
        <v>87860</v>
      </c>
      <c r="G95" s="484">
        <v>4.3334256483999996</v>
      </c>
      <c r="H95" s="484">
        <v>45.151593999999996</v>
      </c>
      <c r="I95" s="484">
        <v>2666709.4242799999</v>
      </c>
      <c r="J95" s="484">
        <v>101.3957956</v>
      </c>
      <c r="K95" s="483">
        <v>290.55074834999999</v>
      </c>
      <c r="L95" s="1232">
        <f t="shared" si="28"/>
        <v>2020</v>
      </c>
      <c r="M95" s="1232" t="str">
        <f t="shared" si="29"/>
        <v>3</v>
      </c>
      <c r="N95" s="15">
        <f t="shared" si="27"/>
        <v>2.8655108097006736</v>
      </c>
    </row>
    <row r="96" spans="1:16">
      <c r="A96" s="293">
        <f t="shared" si="23"/>
        <v>20204</v>
      </c>
      <c r="B96" s="641">
        <v>44166</v>
      </c>
      <c r="C96" s="639">
        <v>10754726.971249999</v>
      </c>
      <c r="D96" s="639">
        <v>555.01682876536506</v>
      </c>
      <c r="E96" s="1476">
        <v>3755.0455249341189</v>
      </c>
      <c r="F96" s="1250">
        <v>96140</v>
      </c>
      <c r="G96" s="639">
        <v>4.7418113115999994</v>
      </c>
      <c r="H96" s="639">
        <v>55.661887379999996</v>
      </c>
      <c r="I96" s="639">
        <v>2580204.1887400001</v>
      </c>
      <c r="J96" s="639">
        <v>98.106623146007607</v>
      </c>
      <c r="K96" s="640">
        <v>427.51463781300004</v>
      </c>
      <c r="L96" s="1232">
        <f t="shared" si="28"/>
        <v>2020</v>
      </c>
      <c r="M96" s="1232" t="str">
        <f t="shared" si="29"/>
        <v>4</v>
      </c>
      <c r="N96" s="15">
        <f t="shared" si="27"/>
        <v>4.3576531747173632</v>
      </c>
    </row>
    <row r="97" spans="1:14">
      <c r="A97" s="293">
        <f t="shared" si="23"/>
        <v>20211</v>
      </c>
      <c r="B97" s="641">
        <v>44256</v>
      </c>
      <c r="C97" s="484">
        <v>11236367.393502001</v>
      </c>
      <c r="D97" s="484">
        <v>579.87274007563121</v>
      </c>
      <c r="E97" s="577">
        <v>4965.6453717135892</v>
      </c>
      <c r="F97" s="617">
        <v>148792.41</v>
      </c>
      <c r="G97" s="484">
        <v>7.3387303184753998</v>
      </c>
      <c r="H97" s="484">
        <v>94.182397901319689</v>
      </c>
      <c r="I97" s="484">
        <v>2410112.56593</v>
      </c>
      <c r="J97" s="484">
        <v>91.639261061977194</v>
      </c>
      <c r="K97" s="483">
        <v>432.43518457399995</v>
      </c>
      <c r="L97" s="1232">
        <f t="shared" si="28"/>
        <v>2021</v>
      </c>
      <c r="M97" s="1232" t="str">
        <f t="shared" si="29"/>
        <v>1</v>
      </c>
      <c r="N97" s="15">
        <f t="shared" si="27"/>
        <v>4.7188855471186812</v>
      </c>
    </row>
    <row r="98" spans="1:14">
      <c r="A98" s="293">
        <f t="shared" si="23"/>
        <v>20212</v>
      </c>
      <c r="B98" s="641">
        <v>44348</v>
      </c>
      <c r="C98" s="639">
        <v>10815705.780224221</v>
      </c>
      <c r="D98" s="639">
        <v>558.16374874475969</v>
      </c>
      <c r="E98" s="1476">
        <v>4534.9736915457543</v>
      </c>
      <c r="F98" s="1250">
        <v>148063.41</v>
      </c>
      <c r="G98" s="639">
        <v>7.3027746242153997</v>
      </c>
      <c r="H98" s="639">
        <v>99.631594231209007</v>
      </c>
      <c r="I98" s="639">
        <v>2492924.0834699995</v>
      </c>
      <c r="J98" s="639">
        <v>94.787987964638759</v>
      </c>
      <c r="K98" s="640">
        <v>471.93505768099993</v>
      </c>
      <c r="L98" s="1232">
        <f t="shared" si="28"/>
        <v>2021</v>
      </c>
      <c r="M98" s="1232" t="str">
        <f t="shared" si="29"/>
        <v>2</v>
      </c>
      <c r="N98" s="15">
        <f t="shared" si="27"/>
        <v>4.9788487741406451</v>
      </c>
    </row>
    <row r="99" spans="1:14">
      <c r="A99" s="293">
        <f t="shared" si="23"/>
        <v>20213</v>
      </c>
      <c r="B99" s="641">
        <v>44440</v>
      </c>
      <c r="C99" s="617">
        <v>12008132.409468751</v>
      </c>
      <c r="D99" s="484">
        <v>619.70104746632376</v>
      </c>
      <c r="E99" s="577">
        <v>7847.7286361284332</v>
      </c>
      <c r="F99" s="617">
        <v>195505</v>
      </c>
      <c r="G99" s="484">
        <v>9.6426858797000001</v>
      </c>
      <c r="H99" s="484">
        <v>170.04609821602065</v>
      </c>
      <c r="I99" s="484">
        <v>2567193.7172499998</v>
      </c>
      <c r="J99" s="484">
        <v>97.611928412547513</v>
      </c>
      <c r="K99" s="483">
        <v>531.08802255000001</v>
      </c>
      <c r="L99" s="1232">
        <f t="shared" si="28"/>
        <v>2021</v>
      </c>
      <c r="M99" s="1232" t="str">
        <f t="shared" si="29"/>
        <v>3</v>
      </c>
      <c r="N99" s="15">
        <f t="shared" si="27"/>
        <v>5.4408106794633451</v>
      </c>
    </row>
    <row r="100" spans="1:14">
      <c r="A100" s="293">
        <f t="shared" si="23"/>
        <v>20214</v>
      </c>
      <c r="B100" s="641">
        <v>44531</v>
      </c>
      <c r="C100" s="639">
        <v>11598459.790714249</v>
      </c>
      <c r="D100" s="639">
        <v>598.55916275823631</v>
      </c>
      <c r="E100" s="1476">
        <v>9704.0743569737333</v>
      </c>
      <c r="F100" s="1250">
        <v>153458.40963855421</v>
      </c>
      <c r="G100" s="639">
        <v>7.5688664726881916</v>
      </c>
      <c r="H100" s="639">
        <v>163.95221711451811</v>
      </c>
      <c r="I100" s="639">
        <v>2496049.7385200001</v>
      </c>
      <c r="J100" s="639">
        <v>94.906834164258555</v>
      </c>
      <c r="K100" s="640">
        <v>508.21241947999999</v>
      </c>
      <c r="L100" s="1232">
        <f t="shared" si="28"/>
        <v>2021</v>
      </c>
      <c r="M100" s="1232" t="str">
        <f t="shared" si="29"/>
        <v>4</v>
      </c>
      <c r="N100" s="15">
        <f t="shared" si="27"/>
        <v>5.3548558853034658</v>
      </c>
    </row>
    <row r="101" spans="1:14">
      <c r="A101" s="293">
        <f t="shared" si="23"/>
        <v>20221</v>
      </c>
      <c r="B101" s="641">
        <v>44621</v>
      </c>
      <c r="C101" s="617">
        <v>10878213.079375001</v>
      </c>
      <c r="D101" s="484">
        <v>561.38954918042816</v>
      </c>
      <c r="E101" s="577">
        <v>9037.3576033689023</v>
      </c>
      <c r="F101" s="617">
        <v>98880</v>
      </c>
      <c r="G101" s="484">
        <v>4.8769534272000001</v>
      </c>
      <c r="H101" s="484">
        <v>113.1349998826515</v>
      </c>
      <c r="I101" s="484">
        <v>2417324.6073298426</v>
      </c>
      <c r="J101" s="484">
        <v>91.913483168435079</v>
      </c>
      <c r="K101" s="483">
        <v>500.50936752814073</v>
      </c>
      <c r="L101" s="1232">
        <f t="shared" si="25"/>
        <v>2022</v>
      </c>
      <c r="M101" s="1232" t="str">
        <f t="shared" si="26"/>
        <v>1</v>
      </c>
      <c r="N101" s="15">
        <f t="shared" si="27"/>
        <v>5.4454401060064015</v>
      </c>
    </row>
    <row r="102" spans="1:14">
      <c r="A102" s="293">
        <f t="shared" si="23"/>
        <v>20222</v>
      </c>
      <c r="B102" s="641">
        <v>44713</v>
      </c>
      <c r="C102" s="639">
        <v>12119728.164180029</v>
      </c>
      <c r="D102" s="639">
        <v>625.46014502864261</v>
      </c>
      <c r="E102" s="1476">
        <v>11807.630692729128</v>
      </c>
      <c r="F102" s="1250">
        <v>239649.94492906437</v>
      </c>
      <c r="G102" s="639">
        <v>11.820000204794617</v>
      </c>
      <c r="H102" s="639">
        <v>270.13152416446644</v>
      </c>
      <c r="I102" s="639">
        <v>2472004.4371727752</v>
      </c>
      <c r="J102" s="639">
        <v>93.992564151056087</v>
      </c>
      <c r="K102" s="640">
        <v>493.73500822887098</v>
      </c>
      <c r="L102" s="1232">
        <f t="shared" si="25"/>
        <v>2022</v>
      </c>
      <c r="M102" s="1232" t="str">
        <f t="shared" si="26"/>
        <v>2</v>
      </c>
      <c r="N102" s="15">
        <f t="shared" si="27"/>
        <v>5.2529156182545051</v>
      </c>
    </row>
    <row r="103" spans="1:14">
      <c r="A103" s="293">
        <f t="shared" ref="A103:A104" si="31">L103*10+M103</f>
        <v>20223</v>
      </c>
      <c r="B103" s="641">
        <v>44805</v>
      </c>
      <c r="C103" s="617">
        <v>12954593.198018212</v>
      </c>
      <c r="D103" s="484">
        <v>668.54484115962225</v>
      </c>
      <c r="E103" s="577">
        <v>17041.314085829305</v>
      </c>
      <c r="F103" s="617">
        <v>189836.80506776812</v>
      </c>
      <c r="G103" s="484">
        <v>9.3631195093441555</v>
      </c>
      <c r="H103" s="484">
        <v>195.8859334891165</v>
      </c>
      <c r="I103" s="484">
        <v>2820170.654450262</v>
      </c>
      <c r="J103" s="484">
        <v>107.23082336312783</v>
      </c>
      <c r="K103" s="483">
        <v>544.91332016851061</v>
      </c>
      <c r="L103" s="1232">
        <f t="shared" si="25"/>
        <v>2022</v>
      </c>
      <c r="M103" s="1232" t="str">
        <f t="shared" si="26"/>
        <v>3</v>
      </c>
      <c r="N103" s="15">
        <f t="shared" si="27"/>
        <v>5.0816854993569267</v>
      </c>
    </row>
    <row r="104" spans="1:14">
      <c r="A104" s="293">
        <f t="shared" si="31"/>
        <v>20224</v>
      </c>
      <c r="B104" s="641">
        <v>44896</v>
      </c>
      <c r="C104" s="639">
        <v>12655932.5730309</v>
      </c>
      <c r="D104" s="639">
        <v>653.13192799123965</v>
      </c>
      <c r="E104" s="1476">
        <v>16625.547943448921</v>
      </c>
      <c r="F104" s="1250">
        <v>178479.40356300442</v>
      </c>
      <c r="G104" s="639">
        <v>8.80295043377029</v>
      </c>
      <c r="H104" s="639">
        <v>160.43874285011321</v>
      </c>
      <c r="I104" s="639">
        <v>2717655.8507853402</v>
      </c>
      <c r="J104" s="639">
        <v>103.33292208309278</v>
      </c>
      <c r="K104" s="640">
        <v>627.10794412564019</v>
      </c>
      <c r="L104" s="1232">
        <f t="shared" si="25"/>
        <v>2022</v>
      </c>
      <c r="M104" s="1232" t="str">
        <f t="shared" si="26"/>
        <v>4</v>
      </c>
      <c r="N104" s="15">
        <f t="shared" si="27"/>
        <v>6.0688107089564918</v>
      </c>
    </row>
    <row r="105" spans="1:14">
      <c r="A105" s="293">
        <f t="shared" si="23"/>
        <v>20231</v>
      </c>
      <c r="B105" s="641">
        <v>44986</v>
      </c>
      <c r="C105" s="617">
        <v>12646608.24524851</v>
      </c>
      <c r="D105" s="484">
        <v>652.65072945872589</v>
      </c>
      <c r="E105" s="577">
        <v>13650.253218463109</v>
      </c>
      <c r="F105" s="617">
        <v>160653.75075949126</v>
      </c>
      <c r="G105" s="484">
        <v>7.9237546557345819</v>
      </c>
      <c r="H105" s="484">
        <v>158.25636183111624</v>
      </c>
      <c r="I105" s="484">
        <v>2328739.1623036652</v>
      </c>
      <c r="J105" s="484">
        <v>88.545215296717302</v>
      </c>
      <c r="K105" s="483">
        <v>650.51268478905001</v>
      </c>
      <c r="L105" s="1232">
        <f t="shared" si="25"/>
        <v>2023</v>
      </c>
      <c r="M105" s="1232" t="str">
        <f t="shared" si="26"/>
        <v>1</v>
      </c>
      <c r="N105" s="15">
        <f t="shared" si="27"/>
        <v>7.3466723482366065</v>
      </c>
    </row>
    <row r="106" spans="1:14">
      <c r="A106" s="293">
        <f t="shared" si="23"/>
        <v>20232</v>
      </c>
      <c r="B106" s="641">
        <v>45078</v>
      </c>
      <c r="C106" s="639">
        <v>12084039.884629671</v>
      </c>
      <c r="D106" s="639">
        <v>623.61838783730877</v>
      </c>
      <c r="E106" s="1476">
        <v>9798.6655385620397</v>
      </c>
      <c r="F106" s="1250">
        <v>227363.78519581803</v>
      </c>
      <c r="G106" s="639">
        <v>11.214022971601024</v>
      </c>
      <c r="H106" s="639">
        <v>205.93797500519329</v>
      </c>
      <c r="I106" s="639">
        <v>2609810.2486910997</v>
      </c>
      <c r="J106" s="639">
        <v>99.232328847570329</v>
      </c>
      <c r="K106" s="640">
        <v>659.52708902556731</v>
      </c>
      <c r="L106" s="1232">
        <f t="shared" si="25"/>
        <v>2023</v>
      </c>
      <c r="M106" s="1232" t="str">
        <f t="shared" si="26"/>
        <v>2</v>
      </c>
      <c r="N106" s="15">
        <f t="shared" si="27"/>
        <v>6.6462925609521823</v>
      </c>
    </row>
    <row r="107" spans="1:14">
      <c r="A107" s="293">
        <f t="shared" si="23"/>
        <v>20233</v>
      </c>
      <c r="B107" s="641">
        <v>45170</v>
      </c>
      <c r="C107" s="617">
        <v>11534540.1622125</v>
      </c>
      <c r="D107" s="484">
        <v>595.26047655246487</v>
      </c>
      <c r="E107" s="577">
        <v>9091.4576090437131</v>
      </c>
      <c r="F107" s="617">
        <v>167496.53502270006</v>
      </c>
      <c r="G107" s="484">
        <v>8.2612540505975112</v>
      </c>
      <c r="H107" s="484">
        <v>131.56748137414556</v>
      </c>
      <c r="I107" s="484">
        <v>2625079.1492146598</v>
      </c>
      <c r="J107" s="484">
        <v>99.812895407401513</v>
      </c>
      <c r="K107" s="483">
        <v>665.05457047958203</v>
      </c>
      <c r="L107" s="1232">
        <f t="shared" si="25"/>
        <v>2023</v>
      </c>
      <c r="M107" s="1232" t="str">
        <f t="shared" si="26"/>
        <v>3</v>
      </c>
      <c r="N107" s="15">
        <f t="shared" si="27"/>
        <v>6.6630125072022075</v>
      </c>
    </row>
    <row r="108" spans="1:14" ht="15.75" thickBot="1">
      <c r="A108" s="293">
        <f t="shared" si="23"/>
        <v>20234</v>
      </c>
      <c r="B108" s="642">
        <v>45261</v>
      </c>
      <c r="C108" s="1652">
        <v>11763031.099801024</v>
      </c>
      <c r="D108" s="1652">
        <v>607.05215810058951</v>
      </c>
      <c r="E108" s="1653">
        <v>9759.7429481689906</v>
      </c>
      <c r="F108" s="1654">
        <v>117268.65834860383</v>
      </c>
      <c r="G108" s="1652">
        <v>5.7839177309503373</v>
      </c>
      <c r="H108" s="1652">
        <v>94.878573084950787</v>
      </c>
      <c r="I108" s="1652">
        <v>2764010.4057591623</v>
      </c>
      <c r="J108" s="1652">
        <v>105.09545269046244</v>
      </c>
      <c r="K108" s="1655">
        <v>778.76489830748358</v>
      </c>
      <c r="L108" s="1232">
        <f t="shared" si="25"/>
        <v>2023</v>
      </c>
      <c r="M108" s="1232" t="str">
        <f t="shared" si="26"/>
        <v>4</v>
      </c>
      <c r="N108" s="15">
        <f t="shared" si="27"/>
        <v>7.4100722568956368</v>
      </c>
    </row>
    <row r="109" spans="1:14">
      <c r="A109" s="293">
        <f t="shared" si="23"/>
        <v>19004</v>
      </c>
      <c r="B109" s="6"/>
      <c r="C109" s="227"/>
      <c r="D109" s="228"/>
      <c r="E109" s="94"/>
      <c r="H109" s="14"/>
      <c r="I109" s="14"/>
      <c r="J109" s="14"/>
      <c r="K109" s="14"/>
      <c r="L109" s="1232">
        <f t="shared" si="25"/>
        <v>1900</v>
      </c>
      <c r="M109" s="1232" t="str">
        <f t="shared" si="26"/>
        <v>4</v>
      </c>
      <c r="N109" s="15" t="e">
        <f t="shared" si="27"/>
        <v>#DIV/0!</v>
      </c>
    </row>
    <row r="110" spans="1:14">
      <c r="A110" s="293">
        <f t="shared" si="23"/>
        <v>19004</v>
      </c>
      <c r="B110" s="6"/>
      <c r="C110" s="227"/>
      <c r="D110" s="228"/>
      <c r="E110" s="94"/>
      <c r="H110" s="14"/>
      <c r="I110" s="14"/>
      <c r="J110" s="14"/>
      <c r="K110" s="14"/>
      <c r="L110" s="1232">
        <f t="shared" si="25"/>
        <v>1900</v>
      </c>
      <c r="M110" s="1232" t="str">
        <f t="shared" si="26"/>
        <v>4</v>
      </c>
      <c r="N110" s="15" t="e">
        <f t="shared" si="27"/>
        <v>#DIV/0!</v>
      </c>
    </row>
    <row r="111" spans="1:14">
      <c r="A111" s="293">
        <f t="shared" si="23"/>
        <v>19004</v>
      </c>
      <c r="B111" s="6"/>
      <c r="C111" s="227"/>
      <c r="D111" s="228"/>
      <c r="E111" s="94"/>
      <c r="H111" s="14"/>
      <c r="I111" s="14"/>
      <c r="J111" s="14"/>
      <c r="K111" s="14"/>
      <c r="L111" s="1232">
        <f t="shared" si="25"/>
        <v>1900</v>
      </c>
      <c r="M111" s="1232" t="str">
        <f t="shared" si="26"/>
        <v>4</v>
      </c>
      <c r="N111" s="15" t="e">
        <f t="shared" si="27"/>
        <v>#DIV/0!</v>
      </c>
    </row>
    <row r="112" spans="1:14">
      <c r="A112" s="293">
        <f t="shared" si="23"/>
        <v>19004</v>
      </c>
      <c r="B112" s="6"/>
      <c r="C112" s="227"/>
      <c r="D112" s="228"/>
      <c r="E112" s="94"/>
      <c r="H112" s="14"/>
      <c r="I112" s="14"/>
      <c r="J112" s="14"/>
      <c r="K112" s="14"/>
      <c r="L112" s="1232">
        <f t="shared" si="25"/>
        <v>1900</v>
      </c>
      <c r="M112" s="1232" t="str">
        <f t="shared" si="26"/>
        <v>4</v>
      </c>
      <c r="N112" s="15" t="e">
        <f t="shared" si="27"/>
        <v>#DIV/0!</v>
      </c>
    </row>
    <row r="113" spans="1:14">
      <c r="A113" s="293">
        <f t="shared" si="23"/>
        <v>19004</v>
      </c>
      <c r="B113" s="6"/>
      <c r="C113" s="227"/>
      <c r="D113" s="228"/>
      <c r="E113" s="94"/>
      <c r="H113" s="14"/>
      <c r="I113" s="14"/>
      <c r="J113" s="14"/>
      <c r="K113" s="14"/>
      <c r="L113" s="1232">
        <f t="shared" si="25"/>
        <v>1900</v>
      </c>
      <c r="M113" s="1232" t="str">
        <f t="shared" si="26"/>
        <v>4</v>
      </c>
      <c r="N113" s="15" t="e">
        <f t="shared" si="27"/>
        <v>#DIV/0!</v>
      </c>
    </row>
    <row r="114" spans="1:14">
      <c r="A114" s="293">
        <f t="shared" si="23"/>
        <v>19004</v>
      </c>
      <c r="B114" s="6"/>
      <c r="C114" s="227"/>
      <c r="D114" s="228"/>
      <c r="E114" s="94"/>
      <c r="H114" s="14"/>
      <c r="I114" s="14"/>
      <c r="J114" s="14"/>
      <c r="K114" s="14"/>
      <c r="L114" s="1232">
        <f t="shared" si="25"/>
        <v>1900</v>
      </c>
      <c r="M114" s="1232" t="str">
        <f t="shared" si="26"/>
        <v>4</v>
      </c>
      <c r="N114" s="15" t="e">
        <f t="shared" si="27"/>
        <v>#DIV/0!</v>
      </c>
    </row>
    <row r="115" spans="1:14">
      <c r="A115" s="293">
        <f t="shared" si="23"/>
        <v>19004</v>
      </c>
      <c r="B115" s="6"/>
      <c r="C115" s="227"/>
      <c r="D115" s="228"/>
      <c r="E115" s="94"/>
      <c r="H115" s="14"/>
      <c r="I115" s="14"/>
      <c r="J115" s="14"/>
      <c r="K115" s="14"/>
      <c r="L115" s="1232">
        <f t="shared" si="25"/>
        <v>1900</v>
      </c>
      <c r="M115" s="1232" t="str">
        <f t="shared" si="26"/>
        <v>4</v>
      </c>
      <c r="N115" s="15" t="e">
        <f t="shared" si="27"/>
        <v>#DIV/0!</v>
      </c>
    </row>
    <row r="116" spans="1:14">
      <c r="A116" s="293">
        <f t="shared" si="23"/>
        <v>19004</v>
      </c>
      <c r="B116" s="6"/>
      <c r="C116" s="227"/>
      <c r="D116" s="228"/>
      <c r="E116" s="94"/>
      <c r="H116" s="14"/>
      <c r="I116" s="14"/>
      <c r="J116" s="14"/>
      <c r="K116" s="14"/>
      <c r="L116" s="1232">
        <f t="shared" si="25"/>
        <v>1900</v>
      </c>
      <c r="M116" s="1232" t="str">
        <f t="shared" si="26"/>
        <v>4</v>
      </c>
      <c r="N116" s="15" t="e">
        <f t="shared" si="27"/>
        <v>#DIV/0!</v>
      </c>
    </row>
    <row r="117" spans="1:14">
      <c r="A117" s="293">
        <f t="shared" si="23"/>
        <v>19004</v>
      </c>
      <c r="B117" s="6"/>
      <c r="C117" s="227"/>
      <c r="D117" s="228"/>
      <c r="E117" s="94"/>
      <c r="H117" s="14"/>
      <c r="I117" s="14"/>
      <c r="J117" s="14"/>
      <c r="K117" s="14"/>
      <c r="L117" s="1232">
        <f t="shared" si="25"/>
        <v>1900</v>
      </c>
      <c r="M117" s="1232" t="str">
        <f t="shared" si="26"/>
        <v>4</v>
      </c>
      <c r="N117" s="15" t="e">
        <f t="shared" si="27"/>
        <v>#DIV/0!</v>
      </c>
    </row>
    <row r="118" spans="1:14">
      <c r="A118" s="293">
        <f t="shared" si="23"/>
        <v>19004</v>
      </c>
      <c r="B118" s="6"/>
      <c r="C118" s="227"/>
      <c r="D118" s="228"/>
      <c r="E118" s="94"/>
      <c r="H118" s="14"/>
      <c r="I118" s="14"/>
      <c r="J118" s="14"/>
      <c r="K118" s="14"/>
      <c r="L118" s="1232">
        <f t="shared" si="25"/>
        <v>1900</v>
      </c>
      <c r="M118" s="1232" t="str">
        <f t="shared" si="26"/>
        <v>4</v>
      </c>
      <c r="N118" s="15" t="e">
        <f t="shared" si="27"/>
        <v>#DIV/0!</v>
      </c>
    </row>
    <row r="119" spans="1:14">
      <c r="A119" s="293">
        <f t="shared" si="23"/>
        <v>19004</v>
      </c>
      <c r="B119" s="6"/>
      <c r="C119" s="227"/>
      <c r="D119" s="228"/>
      <c r="E119" s="94"/>
      <c r="H119" s="14"/>
      <c r="I119" s="14"/>
      <c r="J119" s="14"/>
      <c r="K119" s="14"/>
      <c r="L119" s="1232">
        <f t="shared" si="25"/>
        <v>1900</v>
      </c>
      <c r="M119" s="1232" t="str">
        <f t="shared" si="26"/>
        <v>4</v>
      </c>
      <c r="N119" s="15" t="e">
        <f t="shared" si="27"/>
        <v>#DIV/0!</v>
      </c>
    </row>
    <row r="120" spans="1:14">
      <c r="A120" s="293">
        <f t="shared" si="23"/>
        <v>19004</v>
      </c>
      <c r="B120" s="6"/>
      <c r="C120" s="227"/>
      <c r="D120" s="228"/>
      <c r="E120" s="94"/>
      <c r="H120" s="14"/>
      <c r="I120" s="14"/>
      <c r="J120" s="14"/>
      <c r="K120" s="14"/>
      <c r="L120" s="1232">
        <f t="shared" si="25"/>
        <v>1900</v>
      </c>
      <c r="M120" s="1232" t="str">
        <f t="shared" si="26"/>
        <v>4</v>
      </c>
      <c r="N120" s="15" t="e">
        <f t="shared" si="27"/>
        <v>#DIV/0!</v>
      </c>
    </row>
    <row r="121" spans="1:14">
      <c r="A121" s="293">
        <f t="shared" si="23"/>
        <v>19004</v>
      </c>
      <c r="B121" s="6"/>
      <c r="C121" s="227"/>
      <c r="D121" s="228"/>
      <c r="E121" s="94"/>
      <c r="H121" s="14"/>
      <c r="I121" s="14"/>
      <c r="J121" s="14"/>
      <c r="K121" s="14"/>
      <c r="L121" s="1232">
        <f t="shared" si="25"/>
        <v>1900</v>
      </c>
      <c r="M121" s="1232" t="str">
        <f t="shared" si="26"/>
        <v>4</v>
      </c>
      <c r="N121" s="15" t="e">
        <f t="shared" si="27"/>
        <v>#DIV/0!</v>
      </c>
    </row>
    <row r="122" spans="1:14">
      <c r="A122" s="293">
        <f t="shared" si="23"/>
        <v>19004</v>
      </c>
      <c r="B122" s="6"/>
      <c r="C122" s="227"/>
      <c r="D122" s="228"/>
      <c r="E122" s="94"/>
      <c r="H122" s="14"/>
      <c r="I122" s="14"/>
      <c r="J122" s="14"/>
      <c r="K122" s="14"/>
      <c r="L122" s="1232">
        <f t="shared" si="25"/>
        <v>1900</v>
      </c>
      <c r="M122" s="1232" t="str">
        <f t="shared" si="26"/>
        <v>4</v>
      </c>
      <c r="N122" s="15" t="e">
        <f t="shared" si="27"/>
        <v>#DIV/0!</v>
      </c>
    </row>
    <row r="123" spans="1:14">
      <c r="A123" s="293">
        <f t="shared" si="23"/>
        <v>19004</v>
      </c>
      <c r="B123" s="6"/>
      <c r="C123" s="227"/>
      <c r="D123" s="228"/>
      <c r="E123" s="94"/>
      <c r="H123" s="14"/>
      <c r="I123" s="14"/>
      <c r="J123" s="14"/>
      <c r="K123" s="14"/>
      <c r="L123" s="1232">
        <f t="shared" si="25"/>
        <v>1900</v>
      </c>
      <c r="M123" s="1232" t="str">
        <f t="shared" si="26"/>
        <v>4</v>
      </c>
      <c r="N123" s="15" t="e">
        <f t="shared" si="27"/>
        <v>#DIV/0!</v>
      </c>
    </row>
    <row r="124" spans="1:14">
      <c r="A124" s="293">
        <f t="shared" si="23"/>
        <v>19004</v>
      </c>
      <c r="B124" s="6"/>
      <c r="C124" s="227"/>
      <c r="D124" s="228"/>
      <c r="E124" s="94"/>
      <c r="H124" s="14"/>
      <c r="I124" s="14"/>
      <c r="J124" s="14"/>
      <c r="K124" s="14"/>
      <c r="L124" s="1232">
        <f t="shared" si="25"/>
        <v>1900</v>
      </c>
      <c r="M124" s="1232" t="str">
        <f t="shared" si="26"/>
        <v>4</v>
      </c>
      <c r="N124" s="15" t="e">
        <f t="shared" si="27"/>
        <v>#DIV/0!</v>
      </c>
    </row>
    <row r="125" spans="1:14">
      <c r="A125" s="293">
        <f t="shared" si="23"/>
        <v>19004</v>
      </c>
      <c r="B125" s="6"/>
      <c r="C125" s="227"/>
      <c r="D125" s="228"/>
      <c r="E125" s="94"/>
      <c r="H125" s="14"/>
      <c r="I125" s="14"/>
      <c r="J125" s="14"/>
      <c r="K125" s="14"/>
      <c r="L125" s="1232">
        <f t="shared" si="25"/>
        <v>1900</v>
      </c>
      <c r="M125" s="1232" t="str">
        <f t="shared" si="26"/>
        <v>4</v>
      </c>
      <c r="N125" s="15" t="e">
        <f t="shared" si="27"/>
        <v>#DIV/0!</v>
      </c>
    </row>
    <row r="126" spans="1:14">
      <c r="A126" s="293">
        <f t="shared" si="23"/>
        <v>19004</v>
      </c>
      <c r="B126" s="6"/>
      <c r="C126" s="227"/>
      <c r="D126" s="228"/>
      <c r="E126" s="94"/>
      <c r="H126" s="14"/>
      <c r="I126" s="14"/>
      <c r="J126" s="14"/>
      <c r="K126" s="14"/>
      <c r="L126" s="1232">
        <f t="shared" si="25"/>
        <v>1900</v>
      </c>
      <c r="M126" s="1232" t="str">
        <f t="shared" si="26"/>
        <v>4</v>
      </c>
      <c r="N126" s="15" t="e">
        <f t="shared" si="27"/>
        <v>#DIV/0!</v>
      </c>
    </row>
    <row r="127" spans="1:14">
      <c r="A127" s="293">
        <f t="shared" si="23"/>
        <v>19004</v>
      </c>
      <c r="B127" s="6"/>
      <c r="C127" s="227"/>
      <c r="D127" s="228"/>
      <c r="E127" s="94"/>
      <c r="H127" s="14"/>
      <c r="I127" s="14"/>
      <c r="J127" s="14"/>
      <c r="K127" s="14"/>
      <c r="L127" s="1232">
        <f t="shared" si="25"/>
        <v>1900</v>
      </c>
      <c r="M127" s="1232" t="str">
        <f t="shared" si="26"/>
        <v>4</v>
      </c>
      <c r="N127" s="15" t="e">
        <f t="shared" si="27"/>
        <v>#DIV/0!</v>
      </c>
    </row>
    <row r="128" spans="1:14">
      <c r="A128" s="293">
        <f t="shared" si="23"/>
        <v>19004</v>
      </c>
      <c r="B128" s="6"/>
      <c r="C128" s="227"/>
      <c r="D128" s="228"/>
      <c r="E128" s="94"/>
      <c r="H128" s="14"/>
      <c r="I128" s="14"/>
      <c r="J128" s="14"/>
      <c r="K128" s="14"/>
      <c r="L128" s="1232">
        <f t="shared" si="25"/>
        <v>1900</v>
      </c>
      <c r="M128" s="1232" t="str">
        <f t="shared" si="26"/>
        <v>4</v>
      </c>
      <c r="N128" s="15" t="e">
        <f t="shared" si="27"/>
        <v>#DIV/0!</v>
      </c>
    </row>
    <row r="129" spans="1:14">
      <c r="A129" s="293">
        <f t="shared" si="23"/>
        <v>19004</v>
      </c>
      <c r="B129" s="6"/>
      <c r="C129" s="227"/>
      <c r="D129" s="228"/>
      <c r="E129" s="94"/>
      <c r="H129" s="14"/>
      <c r="I129" s="14"/>
      <c r="J129" s="14"/>
      <c r="K129" s="14"/>
      <c r="L129" s="1232">
        <f t="shared" si="25"/>
        <v>1900</v>
      </c>
      <c r="M129" s="1232" t="str">
        <f t="shared" si="26"/>
        <v>4</v>
      </c>
      <c r="N129" s="15" t="e">
        <f t="shared" si="27"/>
        <v>#DIV/0!</v>
      </c>
    </row>
    <row r="130" spans="1:14">
      <c r="A130" s="293">
        <f t="shared" si="23"/>
        <v>19004</v>
      </c>
      <c r="B130" s="6"/>
      <c r="C130" s="227"/>
      <c r="D130" s="228"/>
      <c r="E130" s="94"/>
      <c r="H130" s="14"/>
      <c r="I130" s="14"/>
      <c r="J130" s="14"/>
      <c r="K130" s="14"/>
      <c r="L130" s="1232">
        <f t="shared" si="25"/>
        <v>1900</v>
      </c>
      <c r="M130" s="1232" t="str">
        <f t="shared" si="26"/>
        <v>4</v>
      </c>
      <c r="N130" s="15" t="e">
        <f t="shared" si="27"/>
        <v>#DIV/0!</v>
      </c>
    </row>
    <row r="131" spans="1:14">
      <c r="A131" s="293">
        <f t="shared" si="23"/>
        <v>19004</v>
      </c>
      <c r="B131" s="6"/>
      <c r="C131" s="227"/>
      <c r="D131" s="228"/>
      <c r="E131" s="94"/>
      <c r="H131" s="14"/>
      <c r="I131" s="14"/>
      <c r="J131" s="14"/>
      <c r="K131" s="14"/>
      <c r="L131" s="1232">
        <f t="shared" si="25"/>
        <v>1900</v>
      </c>
      <c r="M131" s="1232" t="str">
        <f t="shared" si="26"/>
        <v>4</v>
      </c>
      <c r="N131" s="15" t="e">
        <f t="shared" si="27"/>
        <v>#DIV/0!</v>
      </c>
    </row>
    <row r="132" spans="1:14">
      <c r="A132" s="293">
        <f t="shared" si="23"/>
        <v>19004</v>
      </c>
      <c r="B132" s="6"/>
      <c r="C132" s="227"/>
      <c r="D132" s="228"/>
      <c r="E132" s="94"/>
      <c r="H132" s="14"/>
      <c r="I132" s="14"/>
      <c r="J132" s="14"/>
      <c r="K132" s="14"/>
      <c r="L132" s="1232">
        <f t="shared" si="25"/>
        <v>1900</v>
      </c>
      <c r="M132" s="1232" t="str">
        <f t="shared" si="26"/>
        <v>4</v>
      </c>
      <c r="N132" s="15" t="e">
        <f t="shared" si="27"/>
        <v>#DIV/0!</v>
      </c>
    </row>
    <row r="133" spans="1:14">
      <c r="A133" s="293">
        <f t="shared" si="23"/>
        <v>19004</v>
      </c>
      <c r="B133" s="6"/>
      <c r="C133" s="227"/>
      <c r="D133" s="228"/>
      <c r="E133" s="94"/>
      <c r="H133" s="14"/>
      <c r="I133" s="14"/>
      <c r="J133" s="14"/>
      <c r="K133" s="14"/>
      <c r="L133" s="1232">
        <f t="shared" si="25"/>
        <v>1900</v>
      </c>
      <c r="M133" s="1232" t="str">
        <f t="shared" si="26"/>
        <v>4</v>
      </c>
      <c r="N133" s="15" t="e">
        <f t="shared" si="27"/>
        <v>#DIV/0!</v>
      </c>
    </row>
    <row r="134" spans="1:14">
      <c r="A134" s="293">
        <f t="shared" si="23"/>
        <v>19004</v>
      </c>
      <c r="B134" s="6"/>
      <c r="C134" s="227"/>
      <c r="D134" s="228"/>
      <c r="E134" s="94"/>
      <c r="H134" s="14"/>
      <c r="I134" s="14"/>
      <c r="J134" s="14"/>
      <c r="K134" s="14"/>
      <c r="L134" s="1232">
        <f t="shared" si="25"/>
        <v>1900</v>
      </c>
      <c r="M134" s="1232" t="str">
        <f t="shared" si="26"/>
        <v>4</v>
      </c>
      <c r="N134" s="15" t="e">
        <f t="shared" si="27"/>
        <v>#DIV/0!</v>
      </c>
    </row>
    <row r="135" spans="1:14">
      <c r="A135" s="293">
        <f t="shared" si="23"/>
        <v>19004</v>
      </c>
      <c r="B135" s="6"/>
      <c r="C135" s="227"/>
      <c r="D135" s="228"/>
      <c r="E135" s="94"/>
      <c r="H135" s="14"/>
      <c r="I135" s="14"/>
      <c r="J135" s="14"/>
      <c r="K135" s="14"/>
      <c r="L135" s="1232">
        <f t="shared" si="25"/>
        <v>1900</v>
      </c>
      <c r="M135" s="1232" t="str">
        <f t="shared" si="26"/>
        <v>4</v>
      </c>
      <c r="N135" s="15" t="e">
        <f t="shared" si="27"/>
        <v>#DIV/0!</v>
      </c>
    </row>
    <row r="136" spans="1:14">
      <c r="A136" s="293">
        <f t="shared" si="23"/>
        <v>19004</v>
      </c>
      <c r="B136" s="6"/>
      <c r="C136" s="227"/>
      <c r="D136" s="228"/>
      <c r="E136" s="94"/>
      <c r="H136" s="14"/>
      <c r="I136" s="14"/>
      <c r="J136" s="14"/>
      <c r="K136" s="14"/>
      <c r="L136" s="1232">
        <f t="shared" si="25"/>
        <v>1900</v>
      </c>
      <c r="M136" s="1232" t="str">
        <f t="shared" si="26"/>
        <v>4</v>
      </c>
      <c r="N136" s="15" t="e">
        <f t="shared" si="27"/>
        <v>#DIV/0!</v>
      </c>
    </row>
    <row r="137" spans="1:14">
      <c r="A137" s="293">
        <f t="shared" si="23"/>
        <v>19004</v>
      </c>
      <c r="B137" s="6"/>
      <c r="C137" s="227"/>
      <c r="D137" s="228"/>
      <c r="E137" s="94"/>
      <c r="H137" s="14"/>
      <c r="I137" s="14"/>
      <c r="J137" s="14"/>
      <c r="K137" s="14"/>
      <c r="L137" s="1232">
        <f t="shared" si="25"/>
        <v>1900</v>
      </c>
      <c r="M137" s="1232" t="str">
        <f t="shared" si="26"/>
        <v>4</v>
      </c>
      <c r="N137" s="15" t="e">
        <f t="shared" si="27"/>
        <v>#DIV/0!</v>
      </c>
    </row>
    <row r="138" spans="1:14">
      <c r="A138" s="293">
        <f t="shared" ref="A138:A201" si="32">L138*10+M138</f>
        <v>19004</v>
      </c>
      <c r="B138" s="6"/>
      <c r="C138" s="227"/>
      <c r="D138" s="228"/>
      <c r="E138" s="94"/>
      <c r="H138" s="14"/>
      <c r="I138" s="14"/>
      <c r="J138" s="14"/>
      <c r="K138" s="14"/>
      <c r="L138" s="1232">
        <f t="shared" ref="L138:L201" si="33">YEAR(B138)</f>
        <v>1900</v>
      </c>
      <c r="M138" s="1232" t="str">
        <f t="shared" ref="M138:M201" si="34">IF(MONTH(B138)=3,"1",IF(MONTH(B138)=6,"2",IF(MONTH(B138)=9,"3","4")))</f>
        <v>4</v>
      </c>
      <c r="N138" s="15" t="e">
        <f t="shared" ref="N138:N201" si="35">K138/J138</f>
        <v>#DIV/0!</v>
      </c>
    </row>
    <row r="139" spans="1:14">
      <c r="A139" s="293">
        <f t="shared" si="32"/>
        <v>19004</v>
      </c>
      <c r="B139" s="6"/>
      <c r="C139" s="227"/>
      <c r="D139" s="228"/>
      <c r="E139" s="94"/>
      <c r="H139" s="14"/>
      <c r="I139" s="14"/>
      <c r="J139" s="14"/>
      <c r="K139" s="14"/>
      <c r="L139" s="1232">
        <f t="shared" si="33"/>
        <v>1900</v>
      </c>
      <c r="M139" s="1232" t="str">
        <f t="shared" si="34"/>
        <v>4</v>
      </c>
      <c r="N139" s="15" t="e">
        <f t="shared" si="35"/>
        <v>#DIV/0!</v>
      </c>
    </row>
    <row r="140" spans="1:14">
      <c r="A140" s="293">
        <f t="shared" si="32"/>
        <v>19004</v>
      </c>
      <c r="B140" s="6"/>
      <c r="C140" s="227"/>
      <c r="D140" s="228"/>
      <c r="E140" s="94"/>
      <c r="H140" s="14"/>
      <c r="I140" s="14"/>
      <c r="J140" s="14"/>
      <c r="K140" s="14"/>
      <c r="L140" s="1232">
        <f t="shared" si="33"/>
        <v>1900</v>
      </c>
      <c r="M140" s="1232" t="str">
        <f t="shared" si="34"/>
        <v>4</v>
      </c>
      <c r="N140" s="15" t="e">
        <f t="shared" si="35"/>
        <v>#DIV/0!</v>
      </c>
    </row>
    <row r="141" spans="1:14">
      <c r="A141" s="293">
        <f t="shared" si="32"/>
        <v>19004</v>
      </c>
      <c r="B141" s="6"/>
      <c r="C141" s="227"/>
      <c r="D141" s="228"/>
      <c r="E141" s="94"/>
      <c r="H141" s="14"/>
      <c r="I141" s="14"/>
      <c r="J141" s="14"/>
      <c r="K141" s="14"/>
      <c r="L141" s="1232">
        <f t="shared" si="33"/>
        <v>1900</v>
      </c>
      <c r="M141" s="1232" t="str">
        <f t="shared" si="34"/>
        <v>4</v>
      </c>
      <c r="N141" s="15" t="e">
        <f t="shared" si="35"/>
        <v>#DIV/0!</v>
      </c>
    </row>
    <row r="142" spans="1:14">
      <c r="A142" s="293">
        <f t="shared" si="32"/>
        <v>19004</v>
      </c>
      <c r="B142" s="6"/>
      <c r="C142" s="227"/>
      <c r="D142" s="228"/>
      <c r="E142" s="94"/>
      <c r="H142" s="14"/>
      <c r="I142" s="14"/>
      <c r="J142" s="14"/>
      <c r="K142" s="14"/>
      <c r="L142" s="1232">
        <f t="shared" si="33"/>
        <v>1900</v>
      </c>
      <c r="M142" s="1232" t="str">
        <f t="shared" si="34"/>
        <v>4</v>
      </c>
      <c r="N142" s="15" t="e">
        <f t="shared" si="35"/>
        <v>#DIV/0!</v>
      </c>
    </row>
    <row r="143" spans="1:14">
      <c r="A143" s="293">
        <f t="shared" si="32"/>
        <v>19004</v>
      </c>
      <c r="B143" s="6"/>
      <c r="C143" s="227"/>
      <c r="D143" s="228"/>
      <c r="E143" s="94"/>
      <c r="H143" s="14"/>
      <c r="I143" s="14"/>
      <c r="J143" s="14"/>
      <c r="K143" s="14"/>
      <c r="L143" s="1232">
        <f t="shared" si="33"/>
        <v>1900</v>
      </c>
      <c r="M143" s="1232" t="str">
        <f t="shared" si="34"/>
        <v>4</v>
      </c>
      <c r="N143" s="15" t="e">
        <f t="shared" si="35"/>
        <v>#DIV/0!</v>
      </c>
    </row>
    <row r="144" spans="1:14">
      <c r="A144" s="293">
        <f t="shared" si="32"/>
        <v>19004</v>
      </c>
      <c r="B144" s="6"/>
      <c r="C144" s="227"/>
      <c r="D144" s="228"/>
      <c r="E144" s="94"/>
      <c r="H144" s="14"/>
      <c r="I144" s="14"/>
      <c r="J144" s="14"/>
      <c r="K144" s="14"/>
      <c r="L144" s="1232">
        <f t="shared" si="33"/>
        <v>1900</v>
      </c>
      <c r="M144" s="1232" t="str">
        <f t="shared" si="34"/>
        <v>4</v>
      </c>
      <c r="N144" s="15" t="e">
        <f t="shared" si="35"/>
        <v>#DIV/0!</v>
      </c>
    </row>
    <row r="145" spans="1:14">
      <c r="A145" s="293">
        <f t="shared" si="32"/>
        <v>19004</v>
      </c>
      <c r="B145" s="6"/>
      <c r="C145" s="227"/>
      <c r="D145" s="228"/>
      <c r="E145" s="94"/>
      <c r="H145" s="14"/>
      <c r="I145" s="14"/>
      <c r="J145" s="14"/>
      <c r="K145" s="14"/>
      <c r="L145" s="1232">
        <f t="shared" si="33"/>
        <v>1900</v>
      </c>
      <c r="M145" s="1232" t="str">
        <f t="shared" si="34"/>
        <v>4</v>
      </c>
      <c r="N145" s="15" t="e">
        <f t="shared" si="35"/>
        <v>#DIV/0!</v>
      </c>
    </row>
    <row r="146" spans="1:14">
      <c r="A146" s="293">
        <f t="shared" si="32"/>
        <v>19004</v>
      </c>
      <c r="B146" s="6"/>
      <c r="H146" s="14"/>
      <c r="I146" s="14"/>
      <c r="J146" s="14"/>
      <c r="K146" s="14"/>
      <c r="L146" s="1232">
        <f t="shared" si="33"/>
        <v>1900</v>
      </c>
      <c r="M146" s="1232" t="str">
        <f t="shared" si="34"/>
        <v>4</v>
      </c>
      <c r="N146" s="15" t="e">
        <f t="shared" si="35"/>
        <v>#DIV/0!</v>
      </c>
    </row>
    <row r="147" spans="1:14">
      <c r="A147" s="293">
        <f t="shared" si="32"/>
        <v>19004</v>
      </c>
      <c r="B147" s="6"/>
      <c r="H147" s="14"/>
      <c r="I147" s="14"/>
      <c r="J147" s="14"/>
      <c r="K147" s="14"/>
      <c r="L147" s="1232">
        <f t="shared" si="33"/>
        <v>1900</v>
      </c>
      <c r="M147" s="1232" t="str">
        <f t="shared" si="34"/>
        <v>4</v>
      </c>
      <c r="N147" s="15" t="e">
        <f t="shared" si="35"/>
        <v>#DIV/0!</v>
      </c>
    </row>
    <row r="148" spans="1:14">
      <c r="A148" s="293">
        <f t="shared" si="32"/>
        <v>19004</v>
      </c>
      <c r="B148" s="6"/>
      <c r="H148" s="14"/>
      <c r="I148" s="14"/>
      <c r="J148" s="14"/>
      <c r="K148" s="14"/>
      <c r="L148" s="1232">
        <f t="shared" si="33"/>
        <v>1900</v>
      </c>
      <c r="M148" s="1232" t="str">
        <f t="shared" si="34"/>
        <v>4</v>
      </c>
      <c r="N148" s="15" t="e">
        <f t="shared" si="35"/>
        <v>#DIV/0!</v>
      </c>
    </row>
    <row r="149" spans="1:14">
      <c r="A149" s="293">
        <f t="shared" si="32"/>
        <v>19004</v>
      </c>
      <c r="B149" s="6"/>
      <c r="H149" s="14"/>
      <c r="I149" s="14"/>
      <c r="J149" s="14"/>
      <c r="K149" s="14"/>
      <c r="L149" s="1232">
        <f t="shared" si="33"/>
        <v>1900</v>
      </c>
      <c r="M149" s="1232" t="str">
        <f t="shared" si="34"/>
        <v>4</v>
      </c>
      <c r="N149" s="15" t="e">
        <f t="shared" si="35"/>
        <v>#DIV/0!</v>
      </c>
    </row>
    <row r="150" spans="1:14">
      <c r="A150" s="293">
        <f t="shared" si="32"/>
        <v>19004</v>
      </c>
      <c r="B150" s="6"/>
      <c r="H150" s="14"/>
      <c r="I150" s="14"/>
      <c r="J150" s="14"/>
      <c r="K150" s="14"/>
      <c r="L150" s="1232">
        <f t="shared" si="33"/>
        <v>1900</v>
      </c>
      <c r="M150" s="1232" t="str">
        <f t="shared" si="34"/>
        <v>4</v>
      </c>
      <c r="N150" s="15" t="e">
        <f t="shared" si="35"/>
        <v>#DIV/0!</v>
      </c>
    </row>
    <row r="151" spans="1:14">
      <c r="A151" s="293">
        <f t="shared" si="32"/>
        <v>19004</v>
      </c>
      <c r="B151" s="6"/>
      <c r="H151" s="14"/>
      <c r="I151" s="14"/>
      <c r="J151" s="14"/>
      <c r="K151" s="14"/>
      <c r="L151" s="1232">
        <f t="shared" si="33"/>
        <v>1900</v>
      </c>
      <c r="M151" s="1232" t="str">
        <f t="shared" si="34"/>
        <v>4</v>
      </c>
      <c r="N151" s="15" t="e">
        <f t="shared" si="35"/>
        <v>#DIV/0!</v>
      </c>
    </row>
    <row r="152" spans="1:14">
      <c r="A152" s="293">
        <f t="shared" si="32"/>
        <v>19004</v>
      </c>
      <c r="B152" s="6"/>
      <c r="H152" s="14"/>
      <c r="I152" s="14"/>
      <c r="J152" s="14"/>
      <c r="K152" s="14"/>
      <c r="L152" s="1232">
        <f t="shared" si="33"/>
        <v>1900</v>
      </c>
      <c r="M152" s="1232" t="str">
        <f t="shared" si="34"/>
        <v>4</v>
      </c>
      <c r="N152" s="15" t="e">
        <f t="shared" si="35"/>
        <v>#DIV/0!</v>
      </c>
    </row>
    <row r="153" spans="1:14">
      <c r="A153" s="293">
        <f t="shared" si="32"/>
        <v>19004</v>
      </c>
      <c r="B153" s="6"/>
      <c r="H153" s="14"/>
      <c r="I153" s="14"/>
      <c r="J153" s="14"/>
      <c r="K153" s="14"/>
      <c r="L153" s="1232">
        <f t="shared" si="33"/>
        <v>1900</v>
      </c>
      <c r="M153" s="1232" t="str">
        <f t="shared" si="34"/>
        <v>4</v>
      </c>
      <c r="N153" s="15" t="e">
        <f t="shared" si="35"/>
        <v>#DIV/0!</v>
      </c>
    </row>
    <row r="154" spans="1:14">
      <c r="A154" s="293">
        <f t="shared" si="32"/>
        <v>19004</v>
      </c>
      <c r="B154" s="6"/>
      <c r="H154" s="14"/>
      <c r="I154" s="14"/>
      <c r="J154" s="14"/>
      <c r="K154" s="14"/>
      <c r="L154" s="1232">
        <f t="shared" si="33"/>
        <v>1900</v>
      </c>
      <c r="M154" s="1232" t="str">
        <f t="shared" si="34"/>
        <v>4</v>
      </c>
      <c r="N154" s="15" t="e">
        <f t="shared" si="35"/>
        <v>#DIV/0!</v>
      </c>
    </row>
    <row r="155" spans="1:14">
      <c r="A155" s="293">
        <f t="shared" si="32"/>
        <v>19004</v>
      </c>
      <c r="B155" s="6"/>
      <c r="H155" s="14"/>
      <c r="I155" s="14"/>
      <c r="J155" s="14"/>
      <c r="K155" s="14"/>
      <c r="L155" s="1232">
        <f t="shared" si="33"/>
        <v>1900</v>
      </c>
      <c r="M155" s="1232" t="str">
        <f t="shared" si="34"/>
        <v>4</v>
      </c>
      <c r="N155" s="15" t="e">
        <f t="shared" si="35"/>
        <v>#DIV/0!</v>
      </c>
    </row>
    <row r="156" spans="1:14">
      <c r="A156" s="293">
        <f t="shared" si="32"/>
        <v>19004</v>
      </c>
      <c r="B156" s="6"/>
      <c r="H156" s="14"/>
      <c r="I156" s="14"/>
      <c r="J156" s="14"/>
      <c r="K156" s="14"/>
      <c r="L156" s="1232">
        <f t="shared" si="33"/>
        <v>1900</v>
      </c>
      <c r="M156" s="1232" t="str">
        <f t="shared" si="34"/>
        <v>4</v>
      </c>
      <c r="N156" s="15" t="e">
        <f t="shared" si="35"/>
        <v>#DIV/0!</v>
      </c>
    </row>
    <row r="157" spans="1:14">
      <c r="A157" s="293">
        <f t="shared" si="32"/>
        <v>19004</v>
      </c>
      <c r="B157" s="6"/>
      <c r="H157" s="14"/>
      <c r="I157" s="14"/>
      <c r="J157" s="14"/>
      <c r="K157" s="14"/>
      <c r="L157" s="1232">
        <f t="shared" si="33"/>
        <v>1900</v>
      </c>
      <c r="M157" s="1232" t="str">
        <f t="shared" si="34"/>
        <v>4</v>
      </c>
      <c r="N157" s="15" t="e">
        <f t="shared" si="35"/>
        <v>#DIV/0!</v>
      </c>
    </row>
    <row r="158" spans="1:14">
      <c r="A158" s="293">
        <f t="shared" si="32"/>
        <v>19004</v>
      </c>
      <c r="B158" s="6"/>
      <c r="H158" s="14"/>
      <c r="I158" s="14"/>
      <c r="J158" s="14"/>
      <c r="K158" s="14"/>
      <c r="L158" s="1232">
        <f t="shared" si="33"/>
        <v>1900</v>
      </c>
      <c r="M158" s="1232" t="str">
        <f t="shared" si="34"/>
        <v>4</v>
      </c>
      <c r="N158" s="15" t="e">
        <f t="shared" si="35"/>
        <v>#DIV/0!</v>
      </c>
    </row>
    <row r="159" spans="1:14">
      <c r="A159" s="293">
        <f t="shared" si="32"/>
        <v>19004</v>
      </c>
      <c r="B159" s="6"/>
      <c r="H159" s="14"/>
      <c r="I159" s="14"/>
      <c r="J159" s="14"/>
      <c r="K159" s="14"/>
      <c r="L159" s="1232">
        <f t="shared" si="33"/>
        <v>1900</v>
      </c>
      <c r="M159" s="1232" t="str">
        <f t="shared" si="34"/>
        <v>4</v>
      </c>
      <c r="N159" s="15" t="e">
        <f t="shared" si="35"/>
        <v>#DIV/0!</v>
      </c>
    </row>
    <row r="160" spans="1:14">
      <c r="A160" s="293">
        <f t="shared" si="32"/>
        <v>19004</v>
      </c>
      <c r="B160" s="6"/>
      <c r="H160" s="14"/>
      <c r="I160" s="14"/>
      <c r="J160" s="14"/>
      <c r="K160" s="14"/>
      <c r="L160" s="1232">
        <f t="shared" si="33"/>
        <v>1900</v>
      </c>
      <c r="M160" s="1232" t="str">
        <f t="shared" si="34"/>
        <v>4</v>
      </c>
      <c r="N160" s="15" t="e">
        <f t="shared" si="35"/>
        <v>#DIV/0!</v>
      </c>
    </row>
    <row r="161" spans="1:14">
      <c r="A161" s="293">
        <f t="shared" si="32"/>
        <v>19004</v>
      </c>
      <c r="B161" s="6"/>
      <c r="H161" s="14"/>
      <c r="I161" s="14"/>
      <c r="J161" s="14"/>
      <c r="K161" s="14"/>
      <c r="L161" s="1232">
        <f t="shared" si="33"/>
        <v>1900</v>
      </c>
      <c r="M161" s="1232" t="str">
        <f t="shared" si="34"/>
        <v>4</v>
      </c>
      <c r="N161" s="15" t="e">
        <f t="shared" si="35"/>
        <v>#DIV/0!</v>
      </c>
    </row>
    <row r="162" spans="1:14">
      <c r="A162" s="293">
        <f t="shared" si="32"/>
        <v>19004</v>
      </c>
      <c r="B162" s="6"/>
      <c r="H162" s="14"/>
      <c r="I162" s="14"/>
      <c r="J162" s="14"/>
      <c r="K162" s="14"/>
      <c r="L162" s="1232">
        <f t="shared" si="33"/>
        <v>1900</v>
      </c>
      <c r="M162" s="1232" t="str">
        <f t="shared" si="34"/>
        <v>4</v>
      </c>
      <c r="N162" s="15" t="e">
        <f t="shared" si="35"/>
        <v>#DIV/0!</v>
      </c>
    </row>
    <row r="163" spans="1:14">
      <c r="A163" s="293">
        <f t="shared" si="32"/>
        <v>19004</v>
      </c>
      <c r="B163" s="6"/>
      <c r="H163" s="14"/>
      <c r="I163" s="14"/>
      <c r="J163" s="14"/>
      <c r="K163" s="14"/>
      <c r="L163" s="1232">
        <f t="shared" si="33"/>
        <v>1900</v>
      </c>
      <c r="M163" s="1232" t="str">
        <f t="shared" si="34"/>
        <v>4</v>
      </c>
      <c r="N163" s="15" t="e">
        <f t="shared" si="35"/>
        <v>#DIV/0!</v>
      </c>
    </row>
    <row r="164" spans="1:14">
      <c r="A164" s="293">
        <f t="shared" si="32"/>
        <v>19004</v>
      </c>
      <c r="B164" s="6"/>
      <c r="H164" s="14"/>
      <c r="I164" s="14"/>
      <c r="J164" s="14"/>
      <c r="K164" s="14"/>
      <c r="L164" s="1232">
        <f t="shared" si="33"/>
        <v>1900</v>
      </c>
      <c r="M164" s="1232" t="str">
        <f t="shared" si="34"/>
        <v>4</v>
      </c>
      <c r="N164" s="15" t="e">
        <f t="shared" si="35"/>
        <v>#DIV/0!</v>
      </c>
    </row>
    <row r="165" spans="1:14">
      <c r="A165" s="293">
        <f t="shared" si="32"/>
        <v>19004</v>
      </c>
      <c r="B165" s="6"/>
      <c r="H165" s="14"/>
      <c r="I165" s="14"/>
      <c r="J165" s="14"/>
      <c r="K165" s="14"/>
      <c r="L165" s="1232">
        <f t="shared" si="33"/>
        <v>1900</v>
      </c>
      <c r="M165" s="1232" t="str">
        <f t="shared" si="34"/>
        <v>4</v>
      </c>
      <c r="N165" s="15" t="e">
        <f t="shared" si="35"/>
        <v>#DIV/0!</v>
      </c>
    </row>
    <row r="166" spans="1:14">
      <c r="A166" s="293">
        <f t="shared" si="32"/>
        <v>19004</v>
      </c>
      <c r="B166" s="6"/>
      <c r="H166" s="14"/>
      <c r="I166" s="14"/>
      <c r="J166" s="14"/>
      <c r="K166" s="14"/>
      <c r="L166" s="1232">
        <f t="shared" si="33"/>
        <v>1900</v>
      </c>
      <c r="M166" s="1232" t="str">
        <f t="shared" si="34"/>
        <v>4</v>
      </c>
      <c r="N166" s="15" t="e">
        <f t="shared" si="35"/>
        <v>#DIV/0!</v>
      </c>
    </row>
    <row r="167" spans="1:14">
      <c r="A167" s="293">
        <f t="shared" si="32"/>
        <v>19004</v>
      </c>
      <c r="B167" s="6"/>
      <c r="H167" s="14"/>
      <c r="I167" s="14"/>
      <c r="J167" s="14"/>
      <c r="K167" s="14"/>
      <c r="L167" s="1232">
        <f t="shared" si="33"/>
        <v>1900</v>
      </c>
      <c r="M167" s="1232" t="str">
        <f t="shared" si="34"/>
        <v>4</v>
      </c>
      <c r="N167" s="15" t="e">
        <f t="shared" si="35"/>
        <v>#DIV/0!</v>
      </c>
    </row>
    <row r="168" spans="1:14">
      <c r="A168" s="293">
        <f t="shared" si="32"/>
        <v>19004</v>
      </c>
      <c r="B168" s="6"/>
      <c r="H168" s="14"/>
      <c r="I168" s="14"/>
      <c r="J168" s="14"/>
      <c r="K168" s="14"/>
      <c r="L168" s="1232">
        <f t="shared" si="33"/>
        <v>1900</v>
      </c>
      <c r="M168" s="1232" t="str">
        <f t="shared" si="34"/>
        <v>4</v>
      </c>
      <c r="N168" s="15" t="e">
        <f t="shared" si="35"/>
        <v>#DIV/0!</v>
      </c>
    </row>
    <row r="169" spans="1:14">
      <c r="A169" s="293">
        <f t="shared" si="32"/>
        <v>19004</v>
      </c>
      <c r="B169" s="6"/>
      <c r="H169" s="14"/>
      <c r="I169" s="14"/>
      <c r="J169" s="14"/>
      <c r="K169" s="14"/>
      <c r="L169" s="1232">
        <f t="shared" si="33"/>
        <v>1900</v>
      </c>
      <c r="M169" s="1232" t="str">
        <f t="shared" si="34"/>
        <v>4</v>
      </c>
      <c r="N169" s="15" t="e">
        <f t="shared" si="35"/>
        <v>#DIV/0!</v>
      </c>
    </row>
    <row r="170" spans="1:14">
      <c r="A170" s="293">
        <f t="shared" si="32"/>
        <v>19004</v>
      </c>
      <c r="B170" s="6"/>
      <c r="H170" s="14"/>
      <c r="I170" s="14"/>
      <c r="J170" s="14"/>
      <c r="K170" s="14"/>
      <c r="L170" s="1232">
        <f t="shared" si="33"/>
        <v>1900</v>
      </c>
      <c r="M170" s="1232" t="str">
        <f t="shared" si="34"/>
        <v>4</v>
      </c>
      <c r="N170" s="15" t="e">
        <f t="shared" si="35"/>
        <v>#DIV/0!</v>
      </c>
    </row>
    <row r="171" spans="1:14">
      <c r="A171" s="293">
        <f t="shared" si="32"/>
        <v>19004</v>
      </c>
      <c r="B171" s="6"/>
      <c r="H171" s="14"/>
      <c r="I171" s="14"/>
      <c r="J171" s="14"/>
      <c r="K171" s="14"/>
      <c r="L171" s="1232">
        <f t="shared" si="33"/>
        <v>1900</v>
      </c>
      <c r="M171" s="1232" t="str">
        <f t="shared" si="34"/>
        <v>4</v>
      </c>
      <c r="N171" s="15" t="e">
        <f t="shared" si="35"/>
        <v>#DIV/0!</v>
      </c>
    </row>
    <row r="172" spans="1:14">
      <c r="A172" s="293">
        <f t="shared" si="32"/>
        <v>19004</v>
      </c>
      <c r="B172" s="6"/>
      <c r="H172" s="14"/>
      <c r="I172" s="14"/>
      <c r="J172" s="14"/>
      <c r="K172" s="14"/>
      <c r="L172" s="1232">
        <f t="shared" si="33"/>
        <v>1900</v>
      </c>
      <c r="M172" s="1232" t="str">
        <f t="shared" si="34"/>
        <v>4</v>
      </c>
      <c r="N172" s="15" t="e">
        <f t="shared" si="35"/>
        <v>#DIV/0!</v>
      </c>
    </row>
    <row r="173" spans="1:14">
      <c r="A173" s="293">
        <f t="shared" si="32"/>
        <v>19004</v>
      </c>
      <c r="B173" s="6"/>
      <c r="H173" s="14"/>
      <c r="I173" s="14"/>
      <c r="J173" s="14"/>
      <c r="K173" s="14"/>
      <c r="L173" s="1232">
        <f t="shared" si="33"/>
        <v>1900</v>
      </c>
      <c r="M173" s="1232" t="str">
        <f t="shared" si="34"/>
        <v>4</v>
      </c>
      <c r="N173" s="15" t="e">
        <f t="shared" si="35"/>
        <v>#DIV/0!</v>
      </c>
    </row>
    <row r="174" spans="1:14">
      <c r="A174" s="293">
        <f t="shared" si="32"/>
        <v>19004</v>
      </c>
      <c r="B174" s="6"/>
      <c r="H174" s="14"/>
      <c r="I174" s="14"/>
      <c r="J174" s="14"/>
      <c r="K174" s="14"/>
      <c r="L174" s="1232">
        <f t="shared" si="33"/>
        <v>1900</v>
      </c>
      <c r="M174" s="1232" t="str">
        <f t="shared" si="34"/>
        <v>4</v>
      </c>
      <c r="N174" s="15" t="e">
        <f t="shared" si="35"/>
        <v>#DIV/0!</v>
      </c>
    </row>
    <row r="175" spans="1:14">
      <c r="A175" s="293">
        <f t="shared" si="32"/>
        <v>19004</v>
      </c>
      <c r="B175" s="6"/>
      <c r="H175" s="14"/>
      <c r="I175" s="14"/>
      <c r="J175" s="14"/>
      <c r="K175" s="14"/>
      <c r="L175" s="1232">
        <f t="shared" si="33"/>
        <v>1900</v>
      </c>
      <c r="M175" s="1232" t="str">
        <f t="shared" si="34"/>
        <v>4</v>
      </c>
      <c r="N175" s="15" t="e">
        <f t="shared" si="35"/>
        <v>#DIV/0!</v>
      </c>
    </row>
    <row r="176" spans="1:14">
      <c r="A176" s="293">
        <f t="shared" si="32"/>
        <v>19004</v>
      </c>
      <c r="B176" s="6"/>
      <c r="H176" s="14"/>
      <c r="I176" s="14"/>
      <c r="J176" s="14"/>
      <c r="K176" s="14"/>
      <c r="L176" s="1232">
        <f t="shared" si="33"/>
        <v>1900</v>
      </c>
      <c r="M176" s="1232" t="str">
        <f t="shared" si="34"/>
        <v>4</v>
      </c>
      <c r="N176" s="15" t="e">
        <f t="shared" si="35"/>
        <v>#DIV/0!</v>
      </c>
    </row>
    <row r="177" spans="1:14">
      <c r="A177" s="293">
        <f t="shared" si="32"/>
        <v>19004</v>
      </c>
      <c r="B177" s="6"/>
      <c r="H177" s="14"/>
      <c r="I177" s="14"/>
      <c r="J177" s="14"/>
      <c r="K177" s="14"/>
      <c r="L177" s="1232">
        <f t="shared" si="33"/>
        <v>1900</v>
      </c>
      <c r="M177" s="1232" t="str">
        <f t="shared" si="34"/>
        <v>4</v>
      </c>
      <c r="N177" s="15" t="e">
        <f t="shared" si="35"/>
        <v>#DIV/0!</v>
      </c>
    </row>
    <row r="178" spans="1:14">
      <c r="A178" s="293">
        <f t="shared" si="32"/>
        <v>19004</v>
      </c>
      <c r="B178" s="6"/>
      <c r="H178" s="14"/>
      <c r="I178" s="14"/>
      <c r="J178" s="14"/>
      <c r="K178" s="14"/>
      <c r="L178" s="1232">
        <f t="shared" si="33"/>
        <v>1900</v>
      </c>
      <c r="M178" s="1232" t="str">
        <f t="shared" si="34"/>
        <v>4</v>
      </c>
      <c r="N178" s="15" t="e">
        <f t="shared" si="35"/>
        <v>#DIV/0!</v>
      </c>
    </row>
    <row r="179" spans="1:14">
      <c r="A179" s="293">
        <f t="shared" si="32"/>
        <v>19004</v>
      </c>
      <c r="B179" s="6"/>
      <c r="H179" s="14"/>
      <c r="I179" s="14"/>
      <c r="J179" s="14"/>
      <c r="K179" s="14"/>
      <c r="L179" s="1232">
        <f t="shared" si="33"/>
        <v>1900</v>
      </c>
      <c r="M179" s="1232" t="str">
        <f t="shared" si="34"/>
        <v>4</v>
      </c>
      <c r="N179" s="15" t="e">
        <f t="shared" si="35"/>
        <v>#DIV/0!</v>
      </c>
    </row>
    <row r="180" spans="1:14">
      <c r="A180" s="293">
        <f t="shared" si="32"/>
        <v>19004</v>
      </c>
      <c r="B180" s="6"/>
      <c r="H180" s="14"/>
      <c r="I180" s="14"/>
      <c r="J180" s="14"/>
      <c r="K180" s="14"/>
      <c r="L180" s="1232">
        <f t="shared" si="33"/>
        <v>1900</v>
      </c>
      <c r="M180" s="1232" t="str">
        <f t="shared" si="34"/>
        <v>4</v>
      </c>
      <c r="N180" s="15" t="e">
        <f t="shared" si="35"/>
        <v>#DIV/0!</v>
      </c>
    </row>
    <row r="181" spans="1:14">
      <c r="A181" s="293">
        <f t="shared" si="32"/>
        <v>19004</v>
      </c>
      <c r="H181" s="14"/>
      <c r="I181" s="14"/>
      <c r="J181" s="14"/>
      <c r="K181" s="14"/>
      <c r="L181" s="1232">
        <f t="shared" si="33"/>
        <v>1900</v>
      </c>
      <c r="M181" s="1232" t="str">
        <f t="shared" si="34"/>
        <v>4</v>
      </c>
      <c r="N181" s="15" t="e">
        <f t="shared" si="35"/>
        <v>#DIV/0!</v>
      </c>
    </row>
    <row r="182" spans="1:14">
      <c r="A182" s="293">
        <f t="shared" si="32"/>
        <v>19004</v>
      </c>
      <c r="H182" s="14"/>
      <c r="I182" s="14"/>
      <c r="J182" s="14"/>
      <c r="K182" s="14"/>
      <c r="L182" s="1232">
        <f t="shared" si="33"/>
        <v>1900</v>
      </c>
      <c r="M182" s="1232" t="str">
        <f t="shared" si="34"/>
        <v>4</v>
      </c>
      <c r="N182" s="15" t="e">
        <f t="shared" si="35"/>
        <v>#DIV/0!</v>
      </c>
    </row>
    <row r="183" spans="1:14">
      <c r="A183" s="293">
        <f t="shared" si="32"/>
        <v>19004</v>
      </c>
      <c r="H183" s="14"/>
      <c r="I183" s="14"/>
      <c r="J183" s="14"/>
      <c r="K183" s="14"/>
      <c r="L183" s="1232">
        <f t="shared" si="33"/>
        <v>1900</v>
      </c>
      <c r="M183" s="1232" t="str">
        <f t="shared" si="34"/>
        <v>4</v>
      </c>
      <c r="N183" s="15" t="e">
        <f t="shared" si="35"/>
        <v>#DIV/0!</v>
      </c>
    </row>
    <row r="184" spans="1:14">
      <c r="A184" s="293">
        <f t="shared" si="32"/>
        <v>19004</v>
      </c>
      <c r="H184" s="14"/>
      <c r="I184" s="14"/>
      <c r="J184" s="14"/>
      <c r="K184" s="14"/>
      <c r="L184" s="1232">
        <f t="shared" si="33"/>
        <v>1900</v>
      </c>
      <c r="M184" s="1232" t="str">
        <f t="shared" si="34"/>
        <v>4</v>
      </c>
      <c r="N184" s="15" t="e">
        <f t="shared" si="35"/>
        <v>#DIV/0!</v>
      </c>
    </row>
    <row r="185" spans="1:14">
      <c r="A185" s="293">
        <f t="shared" si="32"/>
        <v>19004</v>
      </c>
      <c r="H185" s="14"/>
      <c r="I185" s="14"/>
      <c r="J185" s="14"/>
      <c r="K185" s="14"/>
      <c r="L185" s="1232">
        <f t="shared" si="33"/>
        <v>1900</v>
      </c>
      <c r="M185" s="1232" t="str">
        <f t="shared" si="34"/>
        <v>4</v>
      </c>
      <c r="N185" s="15" t="e">
        <f t="shared" si="35"/>
        <v>#DIV/0!</v>
      </c>
    </row>
    <row r="186" spans="1:14">
      <c r="A186" s="293">
        <f t="shared" si="32"/>
        <v>19004</v>
      </c>
      <c r="H186" s="14"/>
      <c r="I186" s="14"/>
      <c r="J186" s="14"/>
      <c r="K186" s="14"/>
      <c r="L186" s="1232">
        <f t="shared" si="33"/>
        <v>1900</v>
      </c>
      <c r="M186" s="1232" t="str">
        <f t="shared" si="34"/>
        <v>4</v>
      </c>
      <c r="N186" s="15" t="e">
        <f t="shared" si="35"/>
        <v>#DIV/0!</v>
      </c>
    </row>
    <row r="187" spans="1:14">
      <c r="A187" s="293">
        <f t="shared" si="32"/>
        <v>19004</v>
      </c>
      <c r="H187" s="14"/>
      <c r="I187" s="14"/>
      <c r="J187" s="14"/>
      <c r="K187" s="14"/>
      <c r="L187" s="1232">
        <f t="shared" si="33"/>
        <v>1900</v>
      </c>
      <c r="M187" s="1232" t="str">
        <f t="shared" si="34"/>
        <v>4</v>
      </c>
      <c r="N187" s="15" t="e">
        <f t="shared" si="35"/>
        <v>#DIV/0!</v>
      </c>
    </row>
    <row r="188" spans="1:14">
      <c r="A188" s="293">
        <f t="shared" si="32"/>
        <v>19004</v>
      </c>
      <c r="H188" s="14"/>
      <c r="I188" s="14"/>
      <c r="J188" s="14"/>
      <c r="K188" s="14"/>
      <c r="L188" s="1232">
        <f t="shared" si="33"/>
        <v>1900</v>
      </c>
      <c r="M188" s="1232" t="str">
        <f t="shared" si="34"/>
        <v>4</v>
      </c>
      <c r="N188" s="15" t="e">
        <f t="shared" si="35"/>
        <v>#DIV/0!</v>
      </c>
    </row>
    <row r="189" spans="1:14">
      <c r="A189" s="293">
        <f t="shared" si="32"/>
        <v>19004</v>
      </c>
      <c r="H189" s="14"/>
      <c r="I189" s="14"/>
      <c r="J189" s="14"/>
      <c r="K189" s="14"/>
      <c r="L189" s="1232">
        <f t="shared" si="33"/>
        <v>1900</v>
      </c>
      <c r="M189" s="1232" t="str">
        <f t="shared" si="34"/>
        <v>4</v>
      </c>
      <c r="N189" s="15" t="e">
        <f t="shared" si="35"/>
        <v>#DIV/0!</v>
      </c>
    </row>
    <row r="190" spans="1:14">
      <c r="A190" s="293">
        <f t="shared" si="32"/>
        <v>19004</v>
      </c>
      <c r="H190" s="14"/>
      <c r="I190" s="14"/>
      <c r="J190" s="14"/>
      <c r="K190" s="14"/>
      <c r="L190" s="1232">
        <f t="shared" si="33"/>
        <v>1900</v>
      </c>
      <c r="M190" s="1232" t="str">
        <f t="shared" si="34"/>
        <v>4</v>
      </c>
      <c r="N190" s="15" t="e">
        <f t="shared" si="35"/>
        <v>#DIV/0!</v>
      </c>
    </row>
    <row r="191" spans="1:14">
      <c r="A191" s="293">
        <f t="shared" si="32"/>
        <v>19004</v>
      </c>
      <c r="H191" s="14"/>
      <c r="I191" s="14"/>
      <c r="J191" s="14"/>
      <c r="K191" s="14"/>
      <c r="L191" s="1232">
        <f t="shared" si="33"/>
        <v>1900</v>
      </c>
      <c r="M191" s="1232" t="str">
        <f t="shared" si="34"/>
        <v>4</v>
      </c>
      <c r="N191" s="15" t="e">
        <f t="shared" si="35"/>
        <v>#DIV/0!</v>
      </c>
    </row>
    <row r="192" spans="1:14">
      <c r="A192" s="293">
        <f t="shared" si="32"/>
        <v>19004</v>
      </c>
      <c r="H192" s="14"/>
      <c r="I192" s="14"/>
      <c r="J192" s="14"/>
      <c r="K192" s="14"/>
      <c r="L192" s="1232">
        <f t="shared" si="33"/>
        <v>1900</v>
      </c>
      <c r="M192" s="1232" t="str">
        <f t="shared" si="34"/>
        <v>4</v>
      </c>
      <c r="N192" s="15" t="e">
        <f t="shared" si="35"/>
        <v>#DIV/0!</v>
      </c>
    </row>
    <row r="193" spans="1:14">
      <c r="A193" s="293">
        <f t="shared" si="32"/>
        <v>19004</v>
      </c>
      <c r="H193" s="14"/>
      <c r="I193" s="14"/>
      <c r="J193" s="14"/>
      <c r="K193" s="14"/>
      <c r="L193" s="1232">
        <f t="shared" si="33"/>
        <v>1900</v>
      </c>
      <c r="M193" s="1232" t="str">
        <f t="shared" si="34"/>
        <v>4</v>
      </c>
      <c r="N193" s="15" t="e">
        <f t="shared" si="35"/>
        <v>#DIV/0!</v>
      </c>
    </row>
    <row r="194" spans="1:14">
      <c r="A194" s="293">
        <f t="shared" si="32"/>
        <v>19004</v>
      </c>
      <c r="H194" s="14"/>
      <c r="I194" s="14"/>
      <c r="J194" s="14"/>
      <c r="K194" s="14"/>
      <c r="L194" s="1232">
        <f t="shared" si="33"/>
        <v>1900</v>
      </c>
      <c r="M194" s="1232" t="str">
        <f t="shared" si="34"/>
        <v>4</v>
      </c>
      <c r="N194" s="15" t="e">
        <f t="shared" si="35"/>
        <v>#DIV/0!</v>
      </c>
    </row>
    <row r="195" spans="1:14">
      <c r="A195" s="293">
        <f t="shared" si="32"/>
        <v>19004</v>
      </c>
      <c r="H195" s="14"/>
      <c r="I195" s="14"/>
      <c r="J195" s="14"/>
      <c r="K195" s="14"/>
      <c r="L195" s="1232">
        <f t="shared" si="33"/>
        <v>1900</v>
      </c>
      <c r="M195" s="1232" t="str">
        <f t="shared" si="34"/>
        <v>4</v>
      </c>
      <c r="N195" s="15" t="e">
        <f t="shared" si="35"/>
        <v>#DIV/0!</v>
      </c>
    </row>
    <row r="196" spans="1:14">
      <c r="A196" s="293">
        <f t="shared" si="32"/>
        <v>19004</v>
      </c>
      <c r="H196" s="14"/>
      <c r="I196" s="14"/>
      <c r="J196" s="14"/>
      <c r="K196" s="14"/>
      <c r="L196" s="1232">
        <f t="shared" si="33"/>
        <v>1900</v>
      </c>
      <c r="M196" s="1232" t="str">
        <f t="shared" si="34"/>
        <v>4</v>
      </c>
      <c r="N196" s="15" t="e">
        <f t="shared" si="35"/>
        <v>#DIV/0!</v>
      </c>
    </row>
    <row r="197" spans="1:14">
      <c r="A197" s="293">
        <f t="shared" si="32"/>
        <v>19004</v>
      </c>
      <c r="H197" s="14"/>
      <c r="I197" s="14"/>
      <c r="J197" s="14"/>
      <c r="K197" s="14"/>
      <c r="L197" s="1232">
        <f t="shared" si="33"/>
        <v>1900</v>
      </c>
      <c r="M197" s="1232" t="str">
        <f t="shared" si="34"/>
        <v>4</v>
      </c>
      <c r="N197" s="15" t="e">
        <f t="shared" si="35"/>
        <v>#DIV/0!</v>
      </c>
    </row>
    <row r="198" spans="1:14">
      <c r="A198" s="293">
        <f t="shared" si="32"/>
        <v>19004</v>
      </c>
      <c r="H198" s="14"/>
      <c r="I198" s="14"/>
      <c r="J198" s="14"/>
      <c r="K198" s="14"/>
      <c r="L198" s="1232">
        <f t="shared" si="33"/>
        <v>1900</v>
      </c>
      <c r="M198" s="1232" t="str">
        <f t="shared" si="34"/>
        <v>4</v>
      </c>
      <c r="N198" s="15" t="e">
        <f t="shared" si="35"/>
        <v>#DIV/0!</v>
      </c>
    </row>
    <row r="199" spans="1:14">
      <c r="A199" s="293">
        <f t="shared" si="32"/>
        <v>19004</v>
      </c>
      <c r="H199" s="14"/>
      <c r="I199" s="14"/>
      <c r="J199" s="14"/>
      <c r="K199" s="14"/>
      <c r="L199" s="1232">
        <f t="shared" si="33"/>
        <v>1900</v>
      </c>
      <c r="M199" s="1232" t="str">
        <f t="shared" si="34"/>
        <v>4</v>
      </c>
      <c r="N199" s="15" t="e">
        <f t="shared" si="35"/>
        <v>#DIV/0!</v>
      </c>
    </row>
    <row r="200" spans="1:14">
      <c r="A200" s="293">
        <f t="shared" si="32"/>
        <v>19004</v>
      </c>
      <c r="H200" s="14"/>
      <c r="I200" s="14"/>
      <c r="J200" s="14"/>
      <c r="K200" s="14"/>
      <c r="L200" s="1232">
        <f t="shared" si="33"/>
        <v>1900</v>
      </c>
      <c r="M200" s="1232" t="str">
        <f t="shared" si="34"/>
        <v>4</v>
      </c>
      <c r="N200" s="15" t="e">
        <f t="shared" si="35"/>
        <v>#DIV/0!</v>
      </c>
    </row>
    <row r="201" spans="1:14">
      <c r="A201" s="293">
        <f t="shared" si="32"/>
        <v>19004</v>
      </c>
      <c r="H201" s="14"/>
      <c r="I201" s="14"/>
      <c r="J201" s="14"/>
      <c r="K201" s="14"/>
      <c r="L201" s="1232">
        <f t="shared" si="33"/>
        <v>1900</v>
      </c>
      <c r="M201" s="1232" t="str">
        <f t="shared" si="34"/>
        <v>4</v>
      </c>
      <c r="N201" s="15" t="e">
        <f t="shared" si="35"/>
        <v>#DIV/0!</v>
      </c>
    </row>
    <row r="202" spans="1:14">
      <c r="A202" s="293">
        <f t="shared" ref="A202:A250" si="36">L202*10+M202</f>
        <v>19004</v>
      </c>
      <c r="H202" s="14"/>
      <c r="I202" s="14"/>
      <c r="J202" s="14"/>
      <c r="K202" s="14"/>
      <c r="L202" s="1232">
        <f t="shared" ref="L202:L250" si="37">YEAR(B202)</f>
        <v>1900</v>
      </c>
      <c r="M202" s="1232" t="str">
        <f t="shared" ref="M202:M250" si="38">IF(MONTH(B202)=3,"1",IF(MONTH(B202)=6,"2",IF(MONTH(B202)=9,"3","4")))</f>
        <v>4</v>
      </c>
      <c r="N202" s="15" t="e">
        <f t="shared" ref="N202:N250" si="39">K202/J202</f>
        <v>#DIV/0!</v>
      </c>
    </row>
    <row r="203" spans="1:14">
      <c r="A203" s="293">
        <f t="shared" si="36"/>
        <v>19004</v>
      </c>
      <c r="H203" s="14"/>
      <c r="I203" s="14"/>
      <c r="J203" s="14"/>
      <c r="K203" s="14"/>
      <c r="L203" s="1232">
        <f t="shared" si="37"/>
        <v>1900</v>
      </c>
      <c r="M203" s="1232" t="str">
        <f t="shared" si="38"/>
        <v>4</v>
      </c>
      <c r="N203" s="15" t="e">
        <f t="shared" si="39"/>
        <v>#DIV/0!</v>
      </c>
    </row>
    <row r="204" spans="1:14">
      <c r="A204" s="293">
        <f t="shared" si="36"/>
        <v>19004</v>
      </c>
      <c r="H204" s="14"/>
      <c r="I204" s="14"/>
      <c r="J204" s="14"/>
      <c r="K204" s="14"/>
      <c r="L204" s="1232">
        <f t="shared" si="37"/>
        <v>1900</v>
      </c>
      <c r="M204" s="1232" t="str">
        <f t="shared" si="38"/>
        <v>4</v>
      </c>
      <c r="N204" s="15" t="e">
        <f t="shared" si="39"/>
        <v>#DIV/0!</v>
      </c>
    </row>
    <row r="205" spans="1:14">
      <c r="A205" s="293">
        <f t="shared" si="36"/>
        <v>19004</v>
      </c>
      <c r="H205" s="14"/>
      <c r="I205" s="14"/>
      <c r="J205" s="14"/>
      <c r="K205" s="14"/>
      <c r="L205" s="1232">
        <f t="shared" si="37"/>
        <v>1900</v>
      </c>
      <c r="M205" s="1232" t="str">
        <f t="shared" si="38"/>
        <v>4</v>
      </c>
      <c r="N205" s="15" t="e">
        <f t="shared" si="39"/>
        <v>#DIV/0!</v>
      </c>
    </row>
    <row r="206" spans="1:14">
      <c r="A206" s="293">
        <f t="shared" si="36"/>
        <v>19004</v>
      </c>
      <c r="H206" s="14"/>
      <c r="I206" s="14"/>
      <c r="J206" s="14"/>
      <c r="K206" s="14"/>
      <c r="L206" s="1232">
        <f t="shared" si="37"/>
        <v>1900</v>
      </c>
      <c r="M206" s="1232" t="str">
        <f t="shared" si="38"/>
        <v>4</v>
      </c>
      <c r="N206" s="15" t="e">
        <f t="shared" si="39"/>
        <v>#DIV/0!</v>
      </c>
    </row>
    <row r="207" spans="1:14">
      <c r="A207" s="293">
        <f t="shared" si="36"/>
        <v>19004</v>
      </c>
      <c r="H207" s="14"/>
      <c r="I207" s="14"/>
      <c r="J207" s="14"/>
      <c r="K207" s="14"/>
      <c r="L207" s="1232">
        <f t="shared" si="37"/>
        <v>1900</v>
      </c>
      <c r="M207" s="1232" t="str">
        <f t="shared" si="38"/>
        <v>4</v>
      </c>
      <c r="N207" s="15" t="e">
        <f t="shared" si="39"/>
        <v>#DIV/0!</v>
      </c>
    </row>
    <row r="208" spans="1:14">
      <c r="A208" s="293">
        <f t="shared" si="36"/>
        <v>19004</v>
      </c>
      <c r="H208" s="14"/>
      <c r="I208" s="14"/>
      <c r="J208" s="14"/>
      <c r="K208" s="14"/>
      <c r="L208" s="1232">
        <f t="shared" si="37"/>
        <v>1900</v>
      </c>
      <c r="M208" s="1232" t="str">
        <f t="shared" si="38"/>
        <v>4</v>
      </c>
      <c r="N208" s="15" t="e">
        <f t="shared" si="39"/>
        <v>#DIV/0!</v>
      </c>
    </row>
    <row r="209" spans="1:14">
      <c r="A209" s="293">
        <f t="shared" si="36"/>
        <v>19004</v>
      </c>
      <c r="H209" s="14"/>
      <c r="I209" s="14"/>
      <c r="J209" s="14"/>
      <c r="K209" s="14"/>
      <c r="L209" s="1232">
        <f t="shared" si="37"/>
        <v>1900</v>
      </c>
      <c r="M209" s="1232" t="str">
        <f t="shared" si="38"/>
        <v>4</v>
      </c>
      <c r="N209" s="15" t="e">
        <f t="shared" si="39"/>
        <v>#DIV/0!</v>
      </c>
    </row>
    <row r="210" spans="1:14">
      <c r="A210" s="293">
        <f t="shared" si="36"/>
        <v>19004</v>
      </c>
      <c r="H210" s="14"/>
      <c r="I210" s="14"/>
      <c r="J210" s="14"/>
      <c r="K210" s="14"/>
      <c r="L210" s="1232">
        <f t="shared" si="37"/>
        <v>1900</v>
      </c>
      <c r="M210" s="1232" t="str">
        <f t="shared" si="38"/>
        <v>4</v>
      </c>
      <c r="N210" s="15" t="e">
        <f t="shared" si="39"/>
        <v>#DIV/0!</v>
      </c>
    </row>
    <row r="211" spans="1:14">
      <c r="A211" s="293">
        <f t="shared" si="36"/>
        <v>19004</v>
      </c>
      <c r="H211" s="14"/>
      <c r="I211" s="14"/>
      <c r="J211" s="14"/>
      <c r="K211" s="14"/>
      <c r="L211" s="1232">
        <f t="shared" si="37"/>
        <v>1900</v>
      </c>
      <c r="M211" s="1232" t="str">
        <f t="shared" si="38"/>
        <v>4</v>
      </c>
      <c r="N211" s="15" t="e">
        <f t="shared" si="39"/>
        <v>#DIV/0!</v>
      </c>
    </row>
    <row r="212" spans="1:14">
      <c r="A212" s="293">
        <f t="shared" si="36"/>
        <v>19004</v>
      </c>
      <c r="H212" s="14"/>
      <c r="I212" s="14"/>
      <c r="J212" s="14"/>
      <c r="K212" s="14"/>
      <c r="L212" s="1232">
        <f t="shared" si="37"/>
        <v>1900</v>
      </c>
      <c r="M212" s="1232" t="str">
        <f t="shared" si="38"/>
        <v>4</v>
      </c>
      <c r="N212" s="15" t="e">
        <f t="shared" si="39"/>
        <v>#DIV/0!</v>
      </c>
    </row>
    <row r="213" spans="1:14">
      <c r="A213" s="293">
        <f t="shared" si="36"/>
        <v>19004</v>
      </c>
      <c r="H213" s="14"/>
      <c r="I213" s="14"/>
      <c r="J213" s="14"/>
      <c r="K213" s="14"/>
      <c r="L213" s="1232">
        <f t="shared" si="37"/>
        <v>1900</v>
      </c>
      <c r="M213" s="1232" t="str">
        <f t="shared" si="38"/>
        <v>4</v>
      </c>
      <c r="N213" s="15" t="e">
        <f t="shared" si="39"/>
        <v>#DIV/0!</v>
      </c>
    </row>
    <row r="214" spans="1:14">
      <c r="A214" s="293">
        <f t="shared" si="36"/>
        <v>19004</v>
      </c>
      <c r="H214" s="14"/>
      <c r="I214" s="14"/>
      <c r="J214" s="14"/>
      <c r="K214" s="14"/>
      <c r="L214" s="1232">
        <f t="shared" si="37"/>
        <v>1900</v>
      </c>
      <c r="M214" s="1232" t="str">
        <f t="shared" si="38"/>
        <v>4</v>
      </c>
      <c r="N214" s="15" t="e">
        <f t="shared" si="39"/>
        <v>#DIV/0!</v>
      </c>
    </row>
    <row r="215" spans="1:14">
      <c r="A215" s="293">
        <f t="shared" si="36"/>
        <v>19004</v>
      </c>
      <c r="H215" s="14"/>
      <c r="I215" s="14"/>
      <c r="J215" s="14"/>
      <c r="K215" s="14"/>
      <c r="L215" s="1232">
        <f t="shared" si="37"/>
        <v>1900</v>
      </c>
      <c r="M215" s="1232" t="str">
        <f t="shared" si="38"/>
        <v>4</v>
      </c>
      <c r="N215" s="15" t="e">
        <f t="shared" si="39"/>
        <v>#DIV/0!</v>
      </c>
    </row>
    <row r="216" spans="1:14">
      <c r="A216" s="293">
        <f t="shared" si="36"/>
        <v>19004</v>
      </c>
      <c r="H216" s="14"/>
      <c r="I216" s="14"/>
      <c r="J216" s="14"/>
      <c r="K216" s="14"/>
      <c r="L216" s="1232">
        <f t="shared" si="37"/>
        <v>1900</v>
      </c>
      <c r="M216" s="1232" t="str">
        <f t="shared" si="38"/>
        <v>4</v>
      </c>
      <c r="N216" s="15" t="e">
        <f t="shared" si="39"/>
        <v>#DIV/0!</v>
      </c>
    </row>
    <row r="217" spans="1:14">
      <c r="A217" s="293">
        <f t="shared" si="36"/>
        <v>19004</v>
      </c>
      <c r="H217" s="14"/>
      <c r="I217" s="14"/>
      <c r="J217" s="14"/>
      <c r="K217" s="14"/>
      <c r="L217" s="1232">
        <f t="shared" si="37"/>
        <v>1900</v>
      </c>
      <c r="M217" s="1232" t="str">
        <f t="shared" si="38"/>
        <v>4</v>
      </c>
      <c r="N217" s="15" t="e">
        <f t="shared" si="39"/>
        <v>#DIV/0!</v>
      </c>
    </row>
    <row r="218" spans="1:14">
      <c r="A218" s="293">
        <f t="shared" si="36"/>
        <v>19004</v>
      </c>
      <c r="H218" s="14"/>
      <c r="I218" s="14"/>
      <c r="J218" s="14"/>
      <c r="K218" s="14"/>
      <c r="L218" s="1232">
        <f t="shared" si="37"/>
        <v>1900</v>
      </c>
      <c r="M218" s="1232" t="str">
        <f t="shared" si="38"/>
        <v>4</v>
      </c>
      <c r="N218" s="15" t="e">
        <f t="shared" si="39"/>
        <v>#DIV/0!</v>
      </c>
    </row>
    <row r="219" spans="1:14">
      <c r="A219" s="293">
        <f t="shared" si="36"/>
        <v>19004</v>
      </c>
      <c r="H219" s="14"/>
      <c r="I219" s="14"/>
      <c r="J219" s="14"/>
      <c r="K219" s="14"/>
      <c r="L219" s="1232">
        <f t="shared" si="37"/>
        <v>1900</v>
      </c>
      <c r="M219" s="1232" t="str">
        <f t="shared" si="38"/>
        <v>4</v>
      </c>
      <c r="N219" s="15" t="e">
        <f t="shared" si="39"/>
        <v>#DIV/0!</v>
      </c>
    </row>
    <row r="220" spans="1:14">
      <c r="A220" s="293">
        <f t="shared" si="36"/>
        <v>19004</v>
      </c>
      <c r="H220" s="14"/>
      <c r="I220" s="14"/>
      <c r="J220" s="14"/>
      <c r="K220" s="14"/>
      <c r="L220" s="1232">
        <f t="shared" si="37"/>
        <v>1900</v>
      </c>
      <c r="M220" s="1232" t="str">
        <f t="shared" si="38"/>
        <v>4</v>
      </c>
      <c r="N220" s="15" t="e">
        <f t="shared" si="39"/>
        <v>#DIV/0!</v>
      </c>
    </row>
    <row r="221" spans="1:14">
      <c r="A221" s="293">
        <f t="shared" si="36"/>
        <v>19004</v>
      </c>
      <c r="H221" s="14"/>
      <c r="I221" s="14"/>
      <c r="J221" s="14"/>
      <c r="K221" s="14"/>
      <c r="L221" s="1232">
        <f t="shared" si="37"/>
        <v>1900</v>
      </c>
      <c r="M221" s="1232" t="str">
        <f t="shared" si="38"/>
        <v>4</v>
      </c>
      <c r="N221" s="15" t="e">
        <f t="shared" si="39"/>
        <v>#DIV/0!</v>
      </c>
    </row>
    <row r="222" spans="1:14">
      <c r="A222" s="293">
        <f t="shared" si="36"/>
        <v>19004</v>
      </c>
      <c r="H222" s="14"/>
      <c r="I222" s="14"/>
      <c r="J222" s="14"/>
      <c r="K222" s="14"/>
      <c r="L222" s="1232">
        <f t="shared" si="37"/>
        <v>1900</v>
      </c>
      <c r="M222" s="1232" t="str">
        <f t="shared" si="38"/>
        <v>4</v>
      </c>
      <c r="N222" s="15" t="e">
        <f t="shared" si="39"/>
        <v>#DIV/0!</v>
      </c>
    </row>
    <row r="223" spans="1:14">
      <c r="A223" s="293">
        <f t="shared" si="36"/>
        <v>19004</v>
      </c>
      <c r="H223" s="14"/>
      <c r="I223" s="14"/>
      <c r="J223" s="14"/>
      <c r="K223" s="14"/>
      <c r="L223" s="1232">
        <f t="shared" si="37"/>
        <v>1900</v>
      </c>
      <c r="M223" s="1232" t="str">
        <f t="shared" si="38"/>
        <v>4</v>
      </c>
      <c r="N223" s="15" t="e">
        <f t="shared" si="39"/>
        <v>#DIV/0!</v>
      </c>
    </row>
    <row r="224" spans="1:14">
      <c r="A224" s="293">
        <f t="shared" si="36"/>
        <v>19004</v>
      </c>
      <c r="H224" s="14"/>
      <c r="I224" s="14"/>
      <c r="J224" s="14"/>
      <c r="K224" s="14"/>
      <c r="L224" s="1232">
        <f t="shared" si="37"/>
        <v>1900</v>
      </c>
      <c r="M224" s="1232" t="str">
        <f t="shared" si="38"/>
        <v>4</v>
      </c>
      <c r="N224" s="15" t="e">
        <f t="shared" si="39"/>
        <v>#DIV/0!</v>
      </c>
    </row>
    <row r="225" spans="1:14">
      <c r="A225" s="293">
        <f t="shared" si="36"/>
        <v>19004</v>
      </c>
      <c r="H225" s="14"/>
      <c r="I225" s="14"/>
      <c r="J225" s="14"/>
      <c r="K225" s="14"/>
      <c r="L225" s="1232">
        <f t="shared" si="37"/>
        <v>1900</v>
      </c>
      <c r="M225" s="1232" t="str">
        <f t="shared" si="38"/>
        <v>4</v>
      </c>
      <c r="N225" s="15" t="e">
        <f t="shared" si="39"/>
        <v>#DIV/0!</v>
      </c>
    </row>
    <row r="226" spans="1:14">
      <c r="A226" s="293">
        <f t="shared" si="36"/>
        <v>19004</v>
      </c>
      <c r="H226" s="14"/>
      <c r="I226" s="14"/>
      <c r="J226" s="14"/>
      <c r="K226" s="14"/>
      <c r="L226" s="1232">
        <f t="shared" si="37"/>
        <v>1900</v>
      </c>
      <c r="M226" s="1232" t="str">
        <f t="shared" si="38"/>
        <v>4</v>
      </c>
      <c r="N226" s="15" t="e">
        <f t="shared" si="39"/>
        <v>#DIV/0!</v>
      </c>
    </row>
    <row r="227" spans="1:14">
      <c r="A227" s="293">
        <f t="shared" si="36"/>
        <v>19004</v>
      </c>
      <c r="H227" s="14"/>
      <c r="I227" s="14"/>
      <c r="J227" s="14"/>
      <c r="K227" s="14"/>
      <c r="L227" s="1232">
        <f t="shared" si="37"/>
        <v>1900</v>
      </c>
      <c r="M227" s="1232" t="str">
        <f t="shared" si="38"/>
        <v>4</v>
      </c>
      <c r="N227" s="15" t="e">
        <f t="shared" si="39"/>
        <v>#DIV/0!</v>
      </c>
    </row>
    <row r="228" spans="1:14">
      <c r="A228" s="293">
        <f t="shared" si="36"/>
        <v>19004</v>
      </c>
      <c r="H228" s="14"/>
      <c r="I228" s="14"/>
      <c r="J228" s="14"/>
      <c r="K228" s="14"/>
      <c r="L228" s="1232">
        <f t="shared" si="37"/>
        <v>1900</v>
      </c>
      <c r="M228" s="1232" t="str">
        <f t="shared" si="38"/>
        <v>4</v>
      </c>
      <c r="N228" s="15" t="e">
        <f t="shared" si="39"/>
        <v>#DIV/0!</v>
      </c>
    </row>
    <row r="229" spans="1:14">
      <c r="A229" s="293">
        <f t="shared" si="36"/>
        <v>19004</v>
      </c>
      <c r="H229" s="14"/>
      <c r="I229" s="14"/>
      <c r="J229" s="14"/>
      <c r="K229" s="14"/>
      <c r="L229" s="1232">
        <f t="shared" si="37"/>
        <v>1900</v>
      </c>
      <c r="M229" s="1232" t="str">
        <f t="shared" si="38"/>
        <v>4</v>
      </c>
      <c r="N229" s="15" t="e">
        <f t="shared" si="39"/>
        <v>#DIV/0!</v>
      </c>
    </row>
    <row r="230" spans="1:14">
      <c r="A230" s="293">
        <f t="shared" si="36"/>
        <v>19004</v>
      </c>
      <c r="H230" s="14"/>
      <c r="I230" s="14"/>
      <c r="J230" s="14"/>
      <c r="K230" s="14"/>
      <c r="L230" s="1232">
        <f t="shared" si="37"/>
        <v>1900</v>
      </c>
      <c r="M230" s="1232" t="str">
        <f t="shared" si="38"/>
        <v>4</v>
      </c>
      <c r="N230" s="15" t="e">
        <f t="shared" si="39"/>
        <v>#DIV/0!</v>
      </c>
    </row>
    <row r="231" spans="1:14">
      <c r="A231" s="293">
        <f t="shared" si="36"/>
        <v>19004</v>
      </c>
      <c r="H231" s="14"/>
      <c r="I231" s="14"/>
      <c r="J231" s="14"/>
      <c r="K231" s="14"/>
      <c r="L231" s="1232">
        <f t="shared" si="37"/>
        <v>1900</v>
      </c>
      <c r="M231" s="1232" t="str">
        <f t="shared" si="38"/>
        <v>4</v>
      </c>
      <c r="N231" s="15" t="e">
        <f t="shared" si="39"/>
        <v>#DIV/0!</v>
      </c>
    </row>
    <row r="232" spans="1:14">
      <c r="A232" s="293">
        <f t="shared" si="36"/>
        <v>19004</v>
      </c>
      <c r="H232" s="14"/>
      <c r="I232" s="14"/>
      <c r="J232" s="14"/>
      <c r="K232" s="14"/>
      <c r="L232" s="1232">
        <f t="shared" si="37"/>
        <v>1900</v>
      </c>
      <c r="M232" s="1232" t="str">
        <f t="shared" si="38"/>
        <v>4</v>
      </c>
      <c r="N232" s="15" t="e">
        <f t="shared" si="39"/>
        <v>#DIV/0!</v>
      </c>
    </row>
    <row r="233" spans="1:14">
      <c r="A233" s="293">
        <f t="shared" si="36"/>
        <v>19004</v>
      </c>
      <c r="H233" s="14"/>
      <c r="I233" s="14"/>
      <c r="J233" s="14"/>
      <c r="K233" s="14"/>
      <c r="L233" s="1232">
        <f t="shared" si="37"/>
        <v>1900</v>
      </c>
      <c r="M233" s="1232" t="str">
        <f t="shared" si="38"/>
        <v>4</v>
      </c>
      <c r="N233" s="15" t="e">
        <f t="shared" si="39"/>
        <v>#DIV/0!</v>
      </c>
    </row>
    <row r="234" spans="1:14">
      <c r="A234" s="293">
        <f t="shared" si="36"/>
        <v>19004</v>
      </c>
      <c r="H234" s="14"/>
      <c r="I234" s="14"/>
      <c r="J234" s="14"/>
      <c r="K234" s="14"/>
      <c r="L234" s="1232">
        <f t="shared" si="37"/>
        <v>1900</v>
      </c>
      <c r="M234" s="1232" t="str">
        <f t="shared" si="38"/>
        <v>4</v>
      </c>
      <c r="N234" s="15" t="e">
        <f t="shared" si="39"/>
        <v>#DIV/0!</v>
      </c>
    </row>
    <row r="235" spans="1:14">
      <c r="A235" s="293">
        <f t="shared" si="36"/>
        <v>19004</v>
      </c>
      <c r="H235" s="14"/>
      <c r="I235" s="14"/>
      <c r="J235" s="14"/>
      <c r="K235" s="14"/>
      <c r="L235" s="1232">
        <f t="shared" si="37"/>
        <v>1900</v>
      </c>
      <c r="M235" s="1232" t="str">
        <f t="shared" si="38"/>
        <v>4</v>
      </c>
      <c r="N235" s="15" t="e">
        <f t="shared" si="39"/>
        <v>#DIV/0!</v>
      </c>
    </row>
    <row r="236" spans="1:14">
      <c r="A236" s="293">
        <f t="shared" si="36"/>
        <v>19004</v>
      </c>
      <c r="H236" s="14"/>
      <c r="I236" s="14"/>
      <c r="J236" s="14"/>
      <c r="K236" s="14"/>
      <c r="L236" s="1232">
        <f t="shared" si="37"/>
        <v>1900</v>
      </c>
      <c r="M236" s="1232" t="str">
        <f t="shared" si="38"/>
        <v>4</v>
      </c>
      <c r="N236" s="15" t="e">
        <f t="shared" si="39"/>
        <v>#DIV/0!</v>
      </c>
    </row>
    <row r="237" spans="1:14">
      <c r="A237" s="293">
        <f t="shared" si="36"/>
        <v>19004</v>
      </c>
      <c r="H237" s="14"/>
      <c r="I237" s="14"/>
      <c r="J237" s="14"/>
      <c r="K237" s="14"/>
      <c r="L237" s="1232">
        <f t="shared" si="37"/>
        <v>1900</v>
      </c>
      <c r="M237" s="1232" t="str">
        <f t="shared" si="38"/>
        <v>4</v>
      </c>
      <c r="N237" s="15" t="e">
        <f t="shared" si="39"/>
        <v>#DIV/0!</v>
      </c>
    </row>
    <row r="238" spans="1:14">
      <c r="A238" s="293">
        <f t="shared" si="36"/>
        <v>19004</v>
      </c>
      <c r="H238" s="14"/>
      <c r="I238" s="14"/>
      <c r="J238" s="14"/>
      <c r="K238" s="14"/>
      <c r="L238" s="1232">
        <f t="shared" si="37"/>
        <v>1900</v>
      </c>
      <c r="M238" s="1232" t="str">
        <f t="shared" si="38"/>
        <v>4</v>
      </c>
      <c r="N238" s="15" t="e">
        <f t="shared" si="39"/>
        <v>#DIV/0!</v>
      </c>
    </row>
    <row r="239" spans="1:14">
      <c r="A239" s="293">
        <f t="shared" si="36"/>
        <v>19004</v>
      </c>
      <c r="H239" s="14"/>
      <c r="I239" s="14"/>
      <c r="J239" s="14"/>
      <c r="K239" s="14"/>
      <c r="L239" s="1232">
        <f t="shared" si="37"/>
        <v>1900</v>
      </c>
      <c r="M239" s="1232" t="str">
        <f t="shared" si="38"/>
        <v>4</v>
      </c>
      <c r="N239" s="15" t="e">
        <f t="shared" si="39"/>
        <v>#DIV/0!</v>
      </c>
    </row>
    <row r="240" spans="1:14">
      <c r="A240" s="293">
        <f t="shared" si="36"/>
        <v>19004</v>
      </c>
      <c r="H240" s="14"/>
      <c r="I240" s="14"/>
      <c r="J240" s="14"/>
      <c r="K240" s="14"/>
      <c r="L240" s="1232">
        <f t="shared" si="37"/>
        <v>1900</v>
      </c>
      <c r="M240" s="1232" t="str">
        <f t="shared" si="38"/>
        <v>4</v>
      </c>
      <c r="N240" s="15" t="e">
        <f t="shared" si="39"/>
        <v>#DIV/0!</v>
      </c>
    </row>
    <row r="241" spans="1:14">
      <c r="A241" s="293">
        <f t="shared" si="36"/>
        <v>19004</v>
      </c>
      <c r="H241" s="14"/>
      <c r="I241" s="14"/>
      <c r="J241" s="14"/>
      <c r="K241" s="14"/>
      <c r="L241" s="1232">
        <f t="shared" si="37"/>
        <v>1900</v>
      </c>
      <c r="M241" s="1232" t="str">
        <f t="shared" si="38"/>
        <v>4</v>
      </c>
      <c r="N241" s="15" t="e">
        <f t="shared" si="39"/>
        <v>#DIV/0!</v>
      </c>
    </row>
    <row r="242" spans="1:14">
      <c r="A242" s="293">
        <f t="shared" si="36"/>
        <v>19004</v>
      </c>
      <c r="H242" s="14"/>
      <c r="I242" s="14"/>
      <c r="J242" s="14"/>
      <c r="K242" s="14"/>
      <c r="L242" s="1232">
        <f t="shared" si="37"/>
        <v>1900</v>
      </c>
      <c r="M242" s="1232" t="str">
        <f t="shared" si="38"/>
        <v>4</v>
      </c>
      <c r="N242" s="15" t="e">
        <f t="shared" si="39"/>
        <v>#DIV/0!</v>
      </c>
    </row>
    <row r="243" spans="1:14">
      <c r="A243" s="293">
        <f t="shared" si="36"/>
        <v>19004</v>
      </c>
      <c r="H243" s="14"/>
      <c r="I243" s="14"/>
      <c r="J243" s="14"/>
      <c r="K243" s="14"/>
      <c r="L243" s="1232">
        <f t="shared" si="37"/>
        <v>1900</v>
      </c>
      <c r="M243" s="1232" t="str">
        <f t="shared" si="38"/>
        <v>4</v>
      </c>
      <c r="N243" s="15" t="e">
        <f t="shared" si="39"/>
        <v>#DIV/0!</v>
      </c>
    </row>
    <row r="244" spans="1:14">
      <c r="A244" s="293">
        <f t="shared" si="36"/>
        <v>19004</v>
      </c>
      <c r="H244" s="14"/>
      <c r="I244" s="14"/>
      <c r="J244" s="14"/>
      <c r="K244" s="14"/>
      <c r="L244" s="1232">
        <f t="shared" si="37"/>
        <v>1900</v>
      </c>
      <c r="M244" s="1232" t="str">
        <f t="shared" si="38"/>
        <v>4</v>
      </c>
      <c r="N244" s="15" t="e">
        <f t="shared" si="39"/>
        <v>#DIV/0!</v>
      </c>
    </row>
    <row r="245" spans="1:14">
      <c r="A245" s="293">
        <f t="shared" si="36"/>
        <v>19004</v>
      </c>
      <c r="H245" s="14"/>
      <c r="I245" s="14"/>
      <c r="J245" s="14"/>
      <c r="K245" s="14"/>
      <c r="L245" s="1232">
        <f t="shared" si="37"/>
        <v>1900</v>
      </c>
      <c r="M245" s="1232" t="str">
        <f t="shared" si="38"/>
        <v>4</v>
      </c>
      <c r="N245" s="15" t="e">
        <f t="shared" si="39"/>
        <v>#DIV/0!</v>
      </c>
    </row>
    <row r="246" spans="1:14">
      <c r="A246" s="293">
        <f t="shared" si="36"/>
        <v>19004</v>
      </c>
      <c r="H246" s="14"/>
      <c r="I246" s="14"/>
      <c r="J246" s="14"/>
      <c r="K246" s="14"/>
      <c r="L246" s="1232">
        <f t="shared" si="37"/>
        <v>1900</v>
      </c>
      <c r="M246" s="1232" t="str">
        <f t="shared" si="38"/>
        <v>4</v>
      </c>
      <c r="N246" s="15" t="e">
        <f t="shared" si="39"/>
        <v>#DIV/0!</v>
      </c>
    </row>
    <row r="247" spans="1:14">
      <c r="A247" s="293">
        <f t="shared" si="36"/>
        <v>19004</v>
      </c>
      <c r="H247" s="14"/>
      <c r="I247" s="14"/>
      <c r="J247" s="14"/>
      <c r="K247" s="14"/>
      <c r="L247" s="1232">
        <f t="shared" si="37"/>
        <v>1900</v>
      </c>
      <c r="M247" s="1232" t="str">
        <f t="shared" si="38"/>
        <v>4</v>
      </c>
      <c r="N247" s="15" t="e">
        <f t="shared" si="39"/>
        <v>#DIV/0!</v>
      </c>
    </row>
    <row r="248" spans="1:14">
      <c r="A248" s="293">
        <f t="shared" si="36"/>
        <v>19004</v>
      </c>
      <c r="H248" s="14"/>
      <c r="I248" s="14"/>
      <c r="J248" s="14"/>
      <c r="K248" s="14"/>
      <c r="L248" s="1232">
        <f t="shared" si="37"/>
        <v>1900</v>
      </c>
      <c r="M248" s="1232" t="str">
        <f t="shared" si="38"/>
        <v>4</v>
      </c>
      <c r="N248" s="15" t="e">
        <f t="shared" si="39"/>
        <v>#DIV/0!</v>
      </c>
    </row>
    <row r="249" spans="1:14">
      <c r="A249" s="293">
        <f t="shared" si="36"/>
        <v>19004</v>
      </c>
      <c r="H249" s="14"/>
      <c r="I249" s="14"/>
      <c r="J249" s="14"/>
      <c r="K249" s="14"/>
      <c r="L249" s="1232">
        <f t="shared" si="37"/>
        <v>1900</v>
      </c>
      <c r="M249" s="1232" t="str">
        <f t="shared" si="38"/>
        <v>4</v>
      </c>
      <c r="N249" s="15" t="e">
        <f t="shared" si="39"/>
        <v>#DIV/0!</v>
      </c>
    </row>
    <row r="250" spans="1:14">
      <c r="A250" s="293">
        <f t="shared" si="36"/>
        <v>19004</v>
      </c>
      <c r="H250" s="14"/>
      <c r="I250" s="14"/>
      <c r="J250" s="14"/>
      <c r="K250" s="14"/>
      <c r="L250" s="1232">
        <f t="shared" si="37"/>
        <v>1900</v>
      </c>
      <c r="M250" s="1232" t="str">
        <f t="shared" si="38"/>
        <v>4</v>
      </c>
      <c r="N250" s="15" t="e">
        <f t="shared" si="39"/>
        <v>#DIV/0!</v>
      </c>
    </row>
    <row r="251" spans="1:14">
      <c r="H251" s="14"/>
      <c r="I251" s="14"/>
      <c r="J251" s="14"/>
      <c r="K251" s="14"/>
      <c r="L251" s="1130"/>
      <c r="M251" s="1130"/>
      <c r="N251" s="49"/>
    </row>
    <row r="252" spans="1:14">
      <c r="H252" s="14"/>
      <c r="I252" s="14"/>
      <c r="J252" s="14"/>
      <c r="K252" s="14"/>
      <c r="L252" s="1326"/>
      <c r="M252" s="1131"/>
      <c r="N252" s="50"/>
    </row>
    <row r="253" spans="1:14">
      <c r="H253" s="14"/>
      <c r="I253" s="14"/>
      <c r="J253" s="14"/>
      <c r="K253" s="14"/>
      <c r="L253" s="1326"/>
      <c r="M253" s="1131"/>
      <c r="N253" s="50"/>
    </row>
    <row r="254" spans="1:14">
      <c r="H254" s="14"/>
      <c r="I254" s="14"/>
      <c r="J254" s="14"/>
      <c r="K254" s="14"/>
      <c r="L254" s="1326"/>
      <c r="M254" s="1131"/>
      <c r="N254" s="50"/>
    </row>
    <row r="255" spans="1:14">
      <c r="H255" s="14"/>
      <c r="I255" s="14"/>
      <c r="J255" s="14"/>
      <c r="K255" s="14"/>
      <c r="L255" s="1326"/>
      <c r="M255" s="1131"/>
      <c r="N255" s="50"/>
    </row>
    <row r="256" spans="1:14">
      <c r="H256" s="14"/>
      <c r="I256" s="14"/>
      <c r="J256" s="14"/>
      <c r="K256" s="14"/>
      <c r="L256" s="1326"/>
      <c r="M256" s="1131"/>
      <c r="N256" s="50"/>
    </row>
    <row r="257" spans="8:14">
      <c r="H257" s="14"/>
      <c r="I257" s="14"/>
      <c r="J257" s="14"/>
      <c r="K257" s="14"/>
      <c r="L257" s="1326"/>
      <c r="M257" s="1131"/>
      <c r="N257" s="50"/>
    </row>
    <row r="258" spans="8:14">
      <c r="H258" s="14"/>
      <c r="I258" s="14"/>
      <c r="J258" s="14"/>
      <c r="K258" s="14"/>
      <c r="L258" s="1326"/>
      <c r="M258" s="1131"/>
      <c r="N258" s="50"/>
    </row>
    <row r="259" spans="8:14">
      <c r="H259" s="14"/>
      <c r="I259" s="14"/>
      <c r="J259" s="14"/>
      <c r="K259" s="14"/>
      <c r="L259" s="1326"/>
      <c r="M259" s="1131"/>
      <c r="N259" s="50"/>
    </row>
    <row r="260" spans="8:14">
      <c r="H260" s="14"/>
      <c r="I260" s="14"/>
      <c r="J260" s="14"/>
      <c r="K260" s="14"/>
      <c r="L260" s="1326"/>
      <c r="M260" s="1131"/>
      <c r="N260" s="50"/>
    </row>
    <row r="261" spans="8:14">
      <c r="H261" s="14"/>
      <c r="I261" s="14"/>
      <c r="J261" s="14"/>
      <c r="K261" s="14"/>
      <c r="L261" s="1326"/>
      <c r="M261" s="1131"/>
      <c r="N261" s="50"/>
    </row>
    <row r="262" spans="8:14">
      <c r="H262" s="14"/>
      <c r="I262" s="14"/>
      <c r="J262" s="14"/>
      <c r="K262" s="14"/>
      <c r="L262" s="1326"/>
      <c r="M262" s="1131"/>
      <c r="N262" s="50"/>
    </row>
    <row r="263" spans="8:14">
      <c r="H263" s="14"/>
      <c r="I263" s="14"/>
      <c r="J263" s="14"/>
      <c r="K263" s="14"/>
      <c r="L263" s="1326"/>
      <c r="M263" s="1131"/>
      <c r="N263" s="50"/>
    </row>
    <row r="264" spans="8:14">
      <c r="H264" s="14"/>
      <c r="I264" s="14"/>
      <c r="J264" s="14"/>
      <c r="K264" s="14"/>
      <c r="L264" s="1326"/>
      <c r="M264" s="1131"/>
      <c r="N264" s="50"/>
    </row>
    <row r="265" spans="8:14">
      <c r="H265" s="14"/>
      <c r="I265" s="14"/>
      <c r="J265" s="14"/>
      <c r="K265" s="14"/>
      <c r="L265" s="1326"/>
      <c r="M265" s="1131"/>
      <c r="N265" s="50"/>
    </row>
    <row r="266" spans="8:14">
      <c r="H266" s="14"/>
      <c r="I266" s="14"/>
      <c r="J266" s="14"/>
      <c r="K266" s="14"/>
      <c r="L266" s="1326"/>
      <c r="M266" s="1131"/>
      <c r="N266" s="50"/>
    </row>
    <row r="267" spans="8:14">
      <c r="H267" s="14"/>
      <c r="I267" s="14"/>
      <c r="J267" s="14"/>
      <c r="K267" s="14"/>
      <c r="L267" s="1326"/>
      <c r="M267" s="1131"/>
      <c r="N267" s="50"/>
    </row>
    <row r="268" spans="8:14">
      <c r="H268" s="14"/>
      <c r="I268" s="14"/>
      <c r="J268" s="14"/>
      <c r="K268" s="14"/>
      <c r="L268" s="1326"/>
      <c r="M268" s="1131"/>
      <c r="N268" s="50"/>
    </row>
    <row r="269" spans="8:14">
      <c r="H269" s="14"/>
      <c r="I269" s="14"/>
      <c r="J269" s="14"/>
      <c r="K269" s="14"/>
      <c r="L269" s="1326"/>
      <c r="M269" s="1131"/>
      <c r="N269" s="50"/>
    </row>
    <row r="270" spans="8:14">
      <c r="H270" s="14"/>
      <c r="I270" s="14"/>
      <c r="J270" s="14"/>
      <c r="K270" s="14"/>
      <c r="L270" s="1326"/>
      <c r="M270" s="1131"/>
      <c r="N270" s="50"/>
    </row>
    <row r="271" spans="8:14">
      <c r="H271" s="14"/>
      <c r="I271" s="14"/>
      <c r="J271" s="14"/>
      <c r="K271" s="14"/>
      <c r="L271" s="1326"/>
      <c r="M271" s="1131"/>
      <c r="N271" s="50"/>
    </row>
    <row r="272" spans="8:14">
      <c r="H272" s="14"/>
      <c r="I272" s="14"/>
      <c r="J272" s="14"/>
      <c r="K272" s="14"/>
      <c r="L272" s="1326"/>
      <c r="M272" s="1131"/>
      <c r="N272" s="50"/>
    </row>
    <row r="273" spans="8:14">
      <c r="H273" s="14"/>
      <c r="I273" s="14"/>
      <c r="J273" s="14"/>
      <c r="K273" s="14"/>
      <c r="L273" s="1326"/>
      <c r="M273" s="1131"/>
      <c r="N273" s="50"/>
    </row>
    <row r="274" spans="8:14">
      <c r="H274" s="14"/>
      <c r="I274" s="14"/>
      <c r="J274" s="14"/>
      <c r="K274" s="14"/>
      <c r="L274" s="1326"/>
      <c r="M274" s="1131"/>
      <c r="N274" s="50"/>
    </row>
    <row r="275" spans="8:14">
      <c r="H275" s="14"/>
      <c r="I275" s="14"/>
      <c r="J275" s="14"/>
      <c r="K275" s="14"/>
      <c r="L275" s="1326"/>
      <c r="M275" s="1131"/>
      <c r="N275" s="50"/>
    </row>
    <row r="276" spans="8:14">
      <c r="H276" s="14"/>
      <c r="I276" s="14"/>
      <c r="J276" s="14"/>
      <c r="K276" s="14"/>
      <c r="L276" s="1326"/>
      <c r="M276" s="1131"/>
      <c r="N276" s="50"/>
    </row>
    <row r="277" spans="8:14">
      <c r="H277" s="14"/>
      <c r="I277" s="14"/>
      <c r="J277" s="14"/>
      <c r="K277" s="14"/>
      <c r="L277" s="1326"/>
      <c r="M277" s="1131"/>
      <c r="N277" s="50"/>
    </row>
    <row r="278" spans="8:14">
      <c r="H278" s="14"/>
      <c r="I278" s="14"/>
      <c r="J278" s="14"/>
      <c r="K278" s="14"/>
      <c r="L278" s="1326"/>
      <c r="M278" s="1131"/>
      <c r="N278" s="50"/>
    </row>
    <row r="279" spans="8:14">
      <c r="H279" s="14"/>
      <c r="I279" s="14"/>
      <c r="J279" s="14"/>
      <c r="K279" s="14"/>
      <c r="L279" s="1326"/>
      <c r="M279" s="1131"/>
      <c r="N279" s="50"/>
    </row>
    <row r="280" spans="8:14">
      <c r="H280" s="14"/>
      <c r="I280" s="14"/>
      <c r="J280" s="14"/>
      <c r="K280" s="14"/>
      <c r="L280" s="1326"/>
      <c r="M280" s="1131"/>
      <c r="N280" s="50"/>
    </row>
    <row r="281" spans="8:14">
      <c r="H281" s="14"/>
      <c r="I281" s="14"/>
      <c r="J281" s="14"/>
      <c r="K281" s="14"/>
      <c r="L281" s="1326"/>
      <c r="M281" s="1131"/>
      <c r="N281" s="50"/>
    </row>
    <row r="282" spans="8:14">
      <c r="H282" s="14"/>
      <c r="I282" s="14"/>
      <c r="J282" s="14"/>
      <c r="K282" s="14"/>
      <c r="L282" s="1326"/>
      <c r="M282" s="1131"/>
      <c r="N282" s="50"/>
    </row>
    <row r="283" spans="8:14">
      <c r="H283" s="14"/>
      <c r="I283" s="14"/>
      <c r="J283" s="14"/>
      <c r="K283" s="14"/>
      <c r="L283" s="1326"/>
      <c r="M283" s="1131"/>
      <c r="N283" s="50"/>
    </row>
    <row r="284" spans="8:14">
      <c r="H284" s="14"/>
      <c r="I284" s="14"/>
      <c r="J284" s="14"/>
      <c r="K284" s="14"/>
      <c r="L284" s="1326"/>
      <c r="M284" s="1131"/>
      <c r="N284" s="50"/>
    </row>
    <row r="285" spans="8:14">
      <c r="H285" s="14"/>
      <c r="I285" s="14"/>
      <c r="J285" s="14"/>
      <c r="K285" s="14"/>
      <c r="L285" s="1326"/>
      <c r="M285" s="1131"/>
      <c r="N285" s="50"/>
    </row>
    <row r="286" spans="8:14">
      <c r="H286" s="14"/>
      <c r="I286" s="14"/>
      <c r="J286" s="14"/>
      <c r="K286" s="14"/>
      <c r="L286" s="1326"/>
      <c r="M286" s="1131"/>
      <c r="N286" s="50"/>
    </row>
    <row r="287" spans="8:14">
      <c r="H287" s="14"/>
      <c r="I287" s="14"/>
      <c r="J287" s="14"/>
      <c r="K287" s="14"/>
      <c r="L287" s="1326"/>
      <c r="M287" s="1131"/>
      <c r="N287" s="50"/>
    </row>
    <row r="288" spans="8:14">
      <c r="H288" s="14"/>
      <c r="I288" s="14"/>
      <c r="J288" s="14"/>
      <c r="K288" s="14"/>
      <c r="L288" s="1326"/>
      <c r="M288" s="1131"/>
      <c r="N288" s="50"/>
    </row>
    <row r="289" spans="8:14">
      <c r="H289" s="14"/>
      <c r="I289" s="14"/>
      <c r="J289" s="14"/>
      <c r="K289" s="14"/>
      <c r="L289" s="1326"/>
      <c r="M289" s="1131"/>
      <c r="N289" s="50"/>
    </row>
    <row r="290" spans="8:14">
      <c r="H290" s="14"/>
      <c r="I290" s="14"/>
      <c r="J290" s="14"/>
      <c r="K290" s="14"/>
      <c r="L290" s="1326"/>
      <c r="M290" s="1131"/>
      <c r="N290" s="50"/>
    </row>
    <row r="291" spans="8:14">
      <c r="H291" s="14"/>
      <c r="I291" s="14"/>
      <c r="J291" s="14"/>
      <c r="K291" s="14"/>
      <c r="L291" s="1326"/>
      <c r="M291" s="1131"/>
      <c r="N291" s="50"/>
    </row>
    <row r="292" spans="8:14">
      <c r="H292" s="14"/>
      <c r="I292" s="14"/>
      <c r="J292" s="14"/>
      <c r="K292" s="14"/>
      <c r="L292" s="1326"/>
      <c r="M292" s="1131"/>
      <c r="N292" s="50"/>
    </row>
    <row r="293" spans="8:14">
      <c r="H293" s="14"/>
      <c r="I293" s="14"/>
      <c r="J293" s="14"/>
      <c r="K293" s="14"/>
      <c r="L293" s="1326"/>
      <c r="M293" s="1131"/>
      <c r="N293" s="50"/>
    </row>
    <row r="294" spans="8:14">
      <c r="H294" s="14"/>
      <c r="I294" s="14"/>
      <c r="J294" s="14"/>
      <c r="K294" s="14"/>
      <c r="L294" s="1326"/>
      <c r="M294" s="1131"/>
      <c r="N294" s="50"/>
    </row>
    <row r="295" spans="8:14">
      <c r="H295" s="14"/>
      <c r="I295" s="14"/>
      <c r="J295" s="14"/>
      <c r="K295" s="14"/>
      <c r="L295" s="1326"/>
      <c r="M295" s="1131"/>
      <c r="N295" s="50"/>
    </row>
    <row r="296" spans="8:14">
      <c r="H296" s="14"/>
      <c r="I296" s="14"/>
      <c r="J296" s="14"/>
      <c r="K296" s="14"/>
      <c r="L296" s="1326"/>
      <c r="M296" s="1131"/>
      <c r="N296" s="50"/>
    </row>
    <row r="297" spans="8:14">
      <c r="H297" s="14"/>
      <c r="I297" s="14"/>
      <c r="J297" s="14"/>
      <c r="K297" s="14"/>
      <c r="L297" s="1326"/>
      <c r="M297" s="1131"/>
      <c r="N297" s="50"/>
    </row>
    <row r="298" spans="8:14">
      <c r="H298" s="14"/>
      <c r="I298" s="14"/>
      <c r="J298" s="14"/>
      <c r="K298" s="14"/>
      <c r="L298" s="1326"/>
      <c r="M298" s="1131"/>
      <c r="N298" s="50"/>
    </row>
    <row r="299" spans="8:14">
      <c r="H299" s="14"/>
      <c r="I299" s="14"/>
      <c r="J299" s="14"/>
      <c r="K299" s="14"/>
      <c r="L299" s="1326"/>
      <c r="M299" s="1131"/>
      <c r="N299" s="50"/>
    </row>
    <row r="300" spans="8:14">
      <c r="H300" s="14"/>
      <c r="I300" s="14"/>
      <c r="J300" s="14"/>
      <c r="K300" s="14"/>
      <c r="L300" s="1326"/>
      <c r="M300" s="1131"/>
      <c r="N300" s="50"/>
    </row>
    <row r="301" spans="8:14">
      <c r="H301" s="14"/>
      <c r="I301" s="14"/>
      <c r="J301" s="14"/>
      <c r="K301" s="14"/>
      <c r="L301" s="1326"/>
      <c r="M301" s="1131"/>
      <c r="N301" s="50"/>
    </row>
    <row r="302" spans="8:14">
      <c r="H302" s="14"/>
      <c r="I302" s="14"/>
      <c r="J302" s="14"/>
      <c r="K302" s="14"/>
      <c r="L302" s="1326"/>
      <c r="M302" s="1131"/>
      <c r="N302" s="50"/>
    </row>
    <row r="303" spans="8:14">
      <c r="H303" s="14"/>
      <c r="I303" s="14"/>
      <c r="J303" s="14"/>
      <c r="K303" s="14"/>
      <c r="L303" s="1326"/>
      <c r="M303" s="1131"/>
      <c r="N303" s="50"/>
    </row>
    <row r="304" spans="8:14">
      <c r="H304" s="14"/>
      <c r="I304" s="14"/>
      <c r="J304" s="14"/>
      <c r="K304" s="14"/>
      <c r="L304" s="1326"/>
      <c r="M304" s="1131"/>
      <c r="N304" s="50"/>
    </row>
    <row r="305" spans="8:14">
      <c r="H305" s="14"/>
      <c r="I305" s="14"/>
      <c r="J305" s="14"/>
      <c r="K305" s="14"/>
      <c r="L305" s="1326"/>
      <c r="M305" s="1131"/>
      <c r="N305" s="50"/>
    </row>
    <row r="306" spans="8:14">
      <c r="H306" s="14"/>
      <c r="I306" s="14"/>
      <c r="J306" s="14"/>
      <c r="K306" s="14"/>
      <c r="L306" s="1326"/>
      <c r="M306" s="1131"/>
      <c r="N306" s="50"/>
    </row>
    <row r="307" spans="8:14">
      <c r="H307" s="14"/>
      <c r="I307" s="14"/>
      <c r="J307" s="14"/>
      <c r="K307" s="14"/>
      <c r="L307" s="1326"/>
      <c r="M307" s="1131"/>
      <c r="N307" s="50"/>
    </row>
    <row r="308" spans="8:14">
      <c r="H308" s="14"/>
      <c r="I308" s="14"/>
      <c r="J308" s="14"/>
      <c r="K308" s="14"/>
      <c r="L308" s="1326"/>
      <c r="M308" s="1131"/>
      <c r="N308" s="50"/>
    </row>
    <row r="309" spans="8:14">
      <c r="H309" s="14"/>
      <c r="I309" s="14"/>
      <c r="J309" s="14"/>
      <c r="K309" s="14"/>
      <c r="L309" s="1326"/>
      <c r="M309" s="1131"/>
      <c r="N309" s="50"/>
    </row>
    <row r="310" spans="8:14">
      <c r="H310" s="14"/>
      <c r="I310" s="14"/>
      <c r="J310" s="14"/>
      <c r="K310" s="14"/>
      <c r="L310" s="1326"/>
      <c r="M310" s="1131"/>
      <c r="N310" s="50"/>
    </row>
    <row r="311" spans="8:14">
      <c r="H311" s="14"/>
      <c r="I311" s="14"/>
      <c r="J311" s="14"/>
      <c r="K311" s="14"/>
      <c r="L311" s="1326"/>
      <c r="M311" s="1131"/>
      <c r="N311" s="50"/>
    </row>
    <row r="312" spans="8:14">
      <c r="H312" s="14"/>
      <c r="I312" s="14"/>
      <c r="J312" s="14"/>
      <c r="K312" s="14"/>
      <c r="L312" s="1326"/>
      <c r="M312" s="1131"/>
      <c r="N312" s="50"/>
    </row>
    <row r="313" spans="8:14">
      <c r="H313" s="14"/>
      <c r="I313" s="14"/>
      <c r="J313" s="14"/>
      <c r="K313" s="14"/>
      <c r="L313" s="1326"/>
      <c r="M313" s="1131"/>
      <c r="N313" s="50"/>
    </row>
    <row r="314" spans="8:14">
      <c r="H314" s="14"/>
      <c r="I314" s="14"/>
      <c r="J314" s="14"/>
      <c r="K314" s="14"/>
      <c r="L314" s="1326"/>
      <c r="M314" s="1131"/>
      <c r="N314" s="50"/>
    </row>
    <row r="315" spans="8:14">
      <c r="H315" s="14"/>
      <c r="I315" s="14"/>
      <c r="J315" s="14"/>
      <c r="K315" s="14"/>
      <c r="L315" s="1326"/>
      <c r="M315" s="1131"/>
      <c r="N315" s="50"/>
    </row>
    <row r="316" spans="8:14">
      <c r="H316" s="14"/>
      <c r="I316" s="14"/>
      <c r="J316" s="14"/>
      <c r="K316" s="14"/>
      <c r="L316" s="1326"/>
      <c r="M316" s="1131"/>
      <c r="N316" s="50"/>
    </row>
    <row r="317" spans="8:14">
      <c r="H317" s="14"/>
      <c r="I317" s="14"/>
      <c r="J317" s="14"/>
      <c r="K317" s="14"/>
      <c r="L317" s="1326"/>
      <c r="M317" s="1131"/>
      <c r="N317" s="50"/>
    </row>
    <row r="318" spans="8:14">
      <c r="H318" s="14"/>
      <c r="I318" s="14"/>
      <c r="J318" s="14"/>
      <c r="K318" s="14"/>
      <c r="L318" s="1326"/>
      <c r="M318" s="1131"/>
      <c r="N318" s="50"/>
    </row>
    <row r="319" spans="8:14">
      <c r="H319" s="14"/>
      <c r="I319" s="14"/>
      <c r="J319" s="14"/>
      <c r="K319" s="14"/>
      <c r="L319" s="1326"/>
      <c r="M319" s="1131"/>
      <c r="N319" s="50"/>
    </row>
    <row r="320" spans="8:14">
      <c r="H320" s="14"/>
      <c r="I320" s="14"/>
      <c r="J320" s="14"/>
      <c r="K320" s="14"/>
      <c r="L320" s="1326"/>
      <c r="M320" s="1131"/>
      <c r="N320" s="50"/>
    </row>
    <row r="321" spans="8:14">
      <c r="H321" s="14"/>
      <c r="I321" s="14"/>
      <c r="J321" s="14"/>
      <c r="K321" s="14"/>
      <c r="L321" s="1326"/>
      <c r="M321" s="1131"/>
      <c r="N321" s="50"/>
    </row>
    <row r="322" spans="8:14">
      <c r="H322" s="14"/>
      <c r="I322" s="14"/>
      <c r="J322" s="14"/>
      <c r="K322" s="14"/>
      <c r="L322" s="1326"/>
      <c r="M322" s="1131"/>
      <c r="N322" s="50"/>
    </row>
    <row r="323" spans="8:14">
      <c r="H323" s="14"/>
      <c r="I323" s="14"/>
      <c r="J323" s="14"/>
      <c r="K323" s="14"/>
      <c r="L323" s="1326"/>
      <c r="M323" s="1131"/>
      <c r="N323" s="50"/>
    </row>
    <row r="324" spans="8:14">
      <c r="H324" s="14"/>
      <c r="I324" s="14"/>
      <c r="J324" s="14"/>
      <c r="K324" s="14"/>
      <c r="L324" s="1326"/>
      <c r="M324" s="1131"/>
      <c r="N324" s="50"/>
    </row>
    <row r="325" spans="8:14">
      <c r="H325" s="14"/>
      <c r="I325" s="14"/>
      <c r="J325" s="14"/>
      <c r="K325" s="14"/>
      <c r="L325" s="1326"/>
      <c r="M325" s="1131"/>
      <c r="N325" s="50"/>
    </row>
    <row r="326" spans="8:14">
      <c r="H326" s="14"/>
      <c r="I326" s="14"/>
      <c r="J326" s="14"/>
      <c r="K326" s="14"/>
      <c r="L326" s="1326"/>
      <c r="M326" s="1131"/>
      <c r="N326" s="50"/>
    </row>
    <row r="327" spans="8:14">
      <c r="H327" s="14"/>
      <c r="I327" s="14"/>
      <c r="J327" s="14"/>
      <c r="K327" s="14"/>
      <c r="L327" s="1326"/>
      <c r="M327" s="1131"/>
      <c r="N327" s="50"/>
    </row>
    <row r="328" spans="8:14">
      <c r="H328" s="14"/>
      <c r="I328" s="14"/>
      <c r="J328" s="14"/>
      <c r="K328" s="14"/>
      <c r="L328" s="1326"/>
      <c r="M328" s="1131"/>
      <c r="N328" s="50"/>
    </row>
    <row r="329" spans="8:14">
      <c r="H329" s="14"/>
      <c r="I329" s="14"/>
      <c r="J329" s="14"/>
      <c r="K329" s="14"/>
      <c r="L329" s="1326"/>
      <c r="M329" s="1131"/>
      <c r="N329" s="50"/>
    </row>
    <row r="330" spans="8:14">
      <c r="H330" s="14"/>
      <c r="I330" s="14"/>
      <c r="J330" s="14"/>
      <c r="K330" s="14"/>
      <c r="L330" s="1326"/>
      <c r="M330" s="1131"/>
      <c r="N330" s="50"/>
    </row>
    <row r="331" spans="8:14">
      <c r="H331" s="14"/>
      <c r="I331" s="14"/>
      <c r="J331" s="14"/>
      <c r="K331" s="14"/>
      <c r="L331" s="1326"/>
      <c r="M331" s="1131"/>
      <c r="N331" s="50"/>
    </row>
    <row r="332" spans="8:14">
      <c r="H332" s="14"/>
      <c r="I332" s="14"/>
      <c r="J332" s="14"/>
      <c r="K332" s="14"/>
      <c r="L332" s="1326"/>
      <c r="M332" s="1131"/>
      <c r="N332" s="50"/>
    </row>
    <row r="333" spans="8:14">
      <c r="H333" s="14"/>
      <c r="I333" s="14"/>
      <c r="J333" s="14"/>
      <c r="K333" s="14"/>
      <c r="L333" s="1326"/>
      <c r="M333" s="1131"/>
      <c r="N333" s="50"/>
    </row>
    <row r="334" spans="8:14">
      <c r="H334" s="14"/>
      <c r="I334" s="14"/>
      <c r="J334" s="14"/>
      <c r="K334" s="14"/>
      <c r="L334" s="1326"/>
      <c r="M334" s="1131"/>
      <c r="N334" s="50"/>
    </row>
    <row r="335" spans="8:14">
      <c r="H335" s="14"/>
      <c r="I335" s="14"/>
      <c r="J335" s="14"/>
      <c r="K335" s="14"/>
      <c r="L335" s="1326"/>
      <c r="M335" s="1131"/>
      <c r="N335" s="50"/>
    </row>
    <row r="336" spans="8:14">
      <c r="H336" s="14"/>
      <c r="I336" s="14"/>
      <c r="J336" s="14"/>
      <c r="K336" s="14"/>
      <c r="L336" s="1326"/>
      <c r="M336" s="1131"/>
      <c r="N336" s="50"/>
    </row>
    <row r="337" spans="8:14">
      <c r="H337" s="14"/>
      <c r="I337" s="14"/>
      <c r="J337" s="14"/>
      <c r="K337" s="14"/>
      <c r="L337" s="1326"/>
      <c r="M337" s="1131"/>
      <c r="N337" s="50"/>
    </row>
    <row r="338" spans="8:14">
      <c r="H338" s="14"/>
      <c r="I338" s="14"/>
      <c r="J338" s="14"/>
      <c r="K338" s="14"/>
      <c r="L338" s="1326"/>
      <c r="M338" s="1131"/>
      <c r="N338" s="50"/>
    </row>
    <row r="339" spans="8:14">
      <c r="H339" s="14"/>
      <c r="I339" s="14"/>
      <c r="J339" s="14"/>
      <c r="K339" s="14"/>
      <c r="L339" s="1326"/>
      <c r="M339" s="1131"/>
      <c r="N339" s="50"/>
    </row>
    <row r="340" spans="8:14">
      <c r="H340" s="14"/>
      <c r="I340" s="14"/>
      <c r="J340" s="14"/>
      <c r="K340" s="14"/>
      <c r="L340" s="1326"/>
      <c r="M340" s="1131"/>
      <c r="N340" s="50"/>
    </row>
    <row r="341" spans="8:14">
      <c r="H341" s="14"/>
      <c r="I341" s="14"/>
      <c r="J341" s="14"/>
      <c r="K341" s="14"/>
      <c r="L341" s="1326"/>
      <c r="M341" s="1131"/>
      <c r="N341" s="50"/>
    </row>
    <row r="342" spans="8:14">
      <c r="H342" s="14"/>
      <c r="I342" s="14"/>
      <c r="J342" s="14"/>
      <c r="K342" s="14"/>
      <c r="L342" s="1326"/>
      <c r="M342" s="1131"/>
      <c r="N342" s="50"/>
    </row>
    <row r="343" spans="8:14">
      <c r="H343" s="14"/>
      <c r="I343" s="14"/>
      <c r="J343" s="14"/>
      <c r="K343" s="14"/>
      <c r="L343" s="1326"/>
      <c r="M343" s="1131"/>
      <c r="N343" s="50"/>
    </row>
    <row r="344" spans="8:14">
      <c r="H344" s="14"/>
      <c r="I344" s="14"/>
      <c r="J344" s="14"/>
      <c r="K344" s="14"/>
      <c r="L344" s="1326"/>
      <c r="M344" s="1131"/>
      <c r="N344" s="50"/>
    </row>
    <row r="345" spans="8:14">
      <c r="H345" s="14"/>
      <c r="I345" s="14"/>
      <c r="J345" s="14"/>
      <c r="K345" s="14"/>
      <c r="L345" s="1326"/>
      <c r="M345" s="1131"/>
      <c r="N345" s="50"/>
    </row>
    <row r="346" spans="8:14">
      <c r="H346" s="14"/>
      <c r="I346" s="14"/>
      <c r="J346" s="14"/>
      <c r="K346" s="14"/>
      <c r="L346" s="1326"/>
      <c r="M346" s="1131"/>
      <c r="N346" s="50"/>
    </row>
    <row r="347" spans="8:14">
      <c r="H347" s="14"/>
      <c r="I347" s="14"/>
      <c r="J347" s="14"/>
      <c r="K347" s="14"/>
      <c r="L347" s="1326"/>
      <c r="M347" s="1131"/>
      <c r="N347" s="50"/>
    </row>
    <row r="348" spans="8:14">
      <c r="H348" s="14"/>
      <c r="I348" s="14"/>
      <c r="J348" s="14"/>
      <c r="K348" s="14"/>
      <c r="L348" s="1326"/>
      <c r="M348" s="1131"/>
      <c r="N348" s="50"/>
    </row>
    <row r="349" spans="8:14">
      <c r="H349" s="14"/>
      <c r="I349" s="14"/>
      <c r="J349" s="14"/>
      <c r="K349" s="14"/>
      <c r="L349" s="1326"/>
      <c r="M349" s="1131"/>
      <c r="N349" s="50"/>
    </row>
    <row r="350" spans="8:14">
      <c r="H350" s="14"/>
      <c r="I350" s="14"/>
      <c r="J350" s="14"/>
      <c r="K350" s="14"/>
      <c r="L350" s="1326"/>
      <c r="M350" s="1131"/>
      <c r="N350" s="50"/>
    </row>
    <row r="351" spans="8:14">
      <c r="H351" s="14"/>
      <c r="I351" s="14"/>
      <c r="J351" s="14"/>
      <c r="K351" s="14"/>
      <c r="L351" s="1326"/>
      <c r="M351" s="1131"/>
      <c r="N351" s="50"/>
    </row>
    <row r="352" spans="8:14">
      <c r="H352" s="14"/>
      <c r="I352" s="14"/>
      <c r="J352" s="14"/>
      <c r="K352" s="14"/>
      <c r="L352" s="1326"/>
      <c r="M352" s="1131"/>
      <c r="N352" s="50"/>
    </row>
    <row r="353" spans="8:14">
      <c r="H353" s="14"/>
      <c r="I353" s="14"/>
      <c r="J353" s="14"/>
      <c r="K353" s="14"/>
      <c r="L353" s="1326"/>
      <c r="M353" s="1131"/>
      <c r="N353" s="50"/>
    </row>
    <row r="354" spans="8:14">
      <c r="H354" s="14"/>
      <c r="I354" s="14"/>
      <c r="J354" s="14"/>
      <c r="K354" s="14"/>
      <c r="L354" s="1326"/>
      <c r="M354" s="1131"/>
      <c r="N354" s="50"/>
    </row>
    <row r="355" spans="8:14">
      <c r="H355" s="14"/>
      <c r="I355" s="14"/>
      <c r="J355" s="14"/>
      <c r="K355" s="14"/>
      <c r="L355" s="1326"/>
      <c r="M355" s="1131"/>
      <c r="N355" s="50"/>
    </row>
    <row r="356" spans="8:14">
      <c r="H356" s="14"/>
      <c r="I356" s="14"/>
      <c r="J356" s="14"/>
      <c r="K356" s="14"/>
      <c r="L356" s="1326"/>
      <c r="M356" s="1131"/>
      <c r="N356" s="50"/>
    </row>
    <row r="357" spans="8:14">
      <c r="H357" s="14"/>
      <c r="I357" s="14"/>
      <c r="J357" s="14"/>
      <c r="K357" s="14"/>
      <c r="L357" s="1326"/>
      <c r="M357" s="1131"/>
      <c r="N357" s="50"/>
    </row>
    <row r="358" spans="8:14">
      <c r="H358" s="14"/>
      <c r="I358" s="14"/>
      <c r="J358" s="14"/>
      <c r="K358" s="14"/>
      <c r="L358" s="1326"/>
      <c r="M358" s="1131"/>
      <c r="N358" s="50"/>
    </row>
    <row r="359" spans="8:14">
      <c r="H359" s="14"/>
      <c r="I359" s="14"/>
      <c r="J359" s="14"/>
      <c r="K359" s="14"/>
      <c r="L359" s="1326"/>
      <c r="M359" s="1131"/>
      <c r="N359" s="50"/>
    </row>
    <row r="360" spans="8:14">
      <c r="H360" s="14"/>
      <c r="I360" s="14"/>
      <c r="J360" s="14"/>
      <c r="K360" s="14"/>
      <c r="L360" s="1326"/>
      <c r="M360" s="1131"/>
      <c r="N360" s="50"/>
    </row>
    <row r="361" spans="8:14">
      <c r="H361" s="14"/>
      <c r="I361" s="14"/>
      <c r="J361" s="14"/>
      <c r="K361" s="14"/>
      <c r="L361" s="1326"/>
      <c r="M361" s="1131"/>
      <c r="N361" s="50"/>
    </row>
    <row r="362" spans="8:14">
      <c r="H362" s="14"/>
      <c r="I362" s="14"/>
      <c r="J362" s="14"/>
      <c r="K362" s="14"/>
      <c r="L362" s="1326"/>
      <c r="M362" s="1131"/>
      <c r="N362" s="50"/>
    </row>
    <row r="363" spans="8:14">
      <c r="H363" s="14"/>
      <c r="I363" s="14"/>
      <c r="J363" s="14"/>
      <c r="K363" s="14"/>
      <c r="L363" s="1326"/>
      <c r="M363" s="1131"/>
      <c r="N363" s="50"/>
    </row>
  </sheetData>
  <mergeCells count="16">
    <mergeCell ref="AD34:AM34"/>
    <mergeCell ref="AE35:AG35"/>
    <mergeCell ref="AH35:AJ35"/>
    <mergeCell ref="AK35:AM35"/>
    <mergeCell ref="Z32:AB32"/>
    <mergeCell ref="Z33:AB33"/>
    <mergeCell ref="AE33:AM33"/>
    <mergeCell ref="B5:K5"/>
    <mergeCell ref="B6:K6"/>
    <mergeCell ref="Z56:AB56"/>
    <mergeCell ref="Z57:AB57"/>
    <mergeCell ref="Z9:AB9"/>
    <mergeCell ref="Z8:AB8"/>
    <mergeCell ref="C7:E7"/>
    <mergeCell ref="F7:H7"/>
    <mergeCell ref="I7:K7"/>
  </mergeCells>
  <dataValidations count="1">
    <dataValidation type="list" allowBlank="1" showInputMessage="1" showErrorMessage="1" promptTitle="Selecta Period:" prompt="Select Financial or Calendar years." sqref="AE33:AM33" xr:uid="{00000000-0002-0000-2B00-000000000000}">
      <formula1>$B$1:$B$2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39997558519241921"/>
  </sheetPr>
  <dimension ref="A1:Z81"/>
  <sheetViews>
    <sheetView showGridLines="0" workbookViewId="0"/>
  </sheetViews>
  <sheetFormatPr defaultColWidth="9.140625" defaultRowHeight="15"/>
  <cols>
    <col min="1" max="1" width="24.5703125" style="305" customWidth="1"/>
    <col min="2" max="2" width="5.28515625" style="305" bestFit="1" customWidth="1"/>
    <col min="3" max="3" width="17.28515625" style="305" bestFit="1" customWidth="1"/>
    <col min="4" max="4" width="15.140625" style="305" bestFit="1" customWidth="1"/>
    <col min="5" max="14" width="15.42578125" style="305" customWidth="1"/>
    <col min="15" max="22" width="9.140625" style="305"/>
    <col min="23" max="23" width="17.85546875" style="305" customWidth="1"/>
    <col min="24" max="16384" width="9.140625" style="305"/>
  </cols>
  <sheetData>
    <row r="1" spans="1:26">
      <c r="S1" s="95"/>
      <c r="T1" s="95"/>
      <c r="U1" s="95"/>
      <c r="V1" s="297" t="s">
        <v>4</v>
      </c>
      <c r="W1" s="297" t="str">
        <f>"Petroleum Exports "&amp;B6&amp;CHAR(10)&amp;"Total Value: $"&amp;TEXT(C21,"#,###")</f>
        <v>Petroleum Exports 2023
Total Value: $</v>
      </c>
      <c r="X1" s="297" t="s">
        <v>240</v>
      </c>
      <c r="Y1" s="297">
        <f>IF($B$5="Calendar Year",MAX('Commodity Prices'!$BB$9:$BB$3488),CONCATENATE(MAX('Commodity Prices'!$BN$9:$BN$3487),"-",VALUE(RIGHT(MAX('Commodity Prices'!$BN$9:$BN$3487),2))+1))</f>
        <v>2023</v>
      </c>
      <c r="Z1" s="294">
        <f t="array" ref="Z1">MIN(IF('Commodity Prices'!$BA$9:$BA$3488=V1,'Commodity Prices'!$BB$9:$BB$3488))</f>
        <v>2007</v>
      </c>
    </row>
    <row r="2" spans="1:26">
      <c r="S2" s="95"/>
      <c r="T2" s="95"/>
      <c r="U2" s="95"/>
      <c r="V2" s="297"/>
      <c r="W2" s="297" t="str">
        <f>IF($B$5=X1,IF(RIGHT(LEFT(B6,5),1)="-","Mismatch Error",""),IF(LEN(B6)=4,"Mismatch Error",""))</f>
        <v/>
      </c>
      <c r="X2" s="297" t="s">
        <v>246</v>
      </c>
      <c r="Y2" s="297">
        <f t="shared" ref="Y2:Y4" si="0">IFERROR(IF($B$5=$X$1,IF($Z$1&lt;=(Y1-1),Y1-1,""),IF($Z$1=VALUE(LEFT(Y1,4)),"",CONCATENATE(VALUE(LEFT(Y1,4))-1,"-",RIGHT(LEFT(Y1,4),2)))),"")</f>
        <v>2022</v>
      </c>
      <c r="Z2" s="294"/>
    </row>
    <row r="3" spans="1:26">
      <c r="S3" s="95"/>
      <c r="T3" s="95"/>
      <c r="U3" s="95"/>
      <c r="V3" s="95"/>
      <c r="W3" s="308"/>
      <c r="X3" s="308"/>
      <c r="Y3" s="297">
        <f t="shared" si="0"/>
        <v>2021</v>
      </c>
      <c r="Z3" s="294"/>
    </row>
    <row r="4" spans="1:26" ht="21" customHeight="1" thickBot="1">
      <c r="S4" s="95"/>
      <c r="T4" s="95"/>
      <c r="U4" s="95"/>
      <c r="V4" s="95"/>
      <c r="W4" s="308"/>
      <c r="X4" s="308"/>
      <c r="Y4" s="297">
        <f t="shared" si="0"/>
        <v>2020</v>
      </c>
      <c r="Z4" s="294"/>
    </row>
    <row r="5" spans="1:26">
      <c r="A5" s="1519" t="s">
        <v>247</v>
      </c>
      <c r="B5" s="2088" t="s">
        <v>240</v>
      </c>
      <c r="C5" s="2088"/>
      <c r="D5" s="2089"/>
      <c r="E5" s="296"/>
      <c r="S5" s="95"/>
      <c r="T5" s="95"/>
      <c r="U5" s="95"/>
      <c r="V5" s="95"/>
      <c r="W5" s="308"/>
      <c r="X5" s="308"/>
      <c r="Y5" s="297">
        <f>IFERROR(IF($B$5=$X$1,IF($Z$1&lt;=(Y4-1),Y4-1,""),IF($Z$1=VALUE(LEFT(Y4,4)),"",CONCATENATE(VALUE(LEFT(Y4,4))-1,"-",RIGHT(LEFT(Y4,4),2)))),"")</f>
        <v>2019</v>
      </c>
      <c r="Z5" s="294"/>
    </row>
    <row r="6" spans="1:26" ht="15.75" thickBot="1">
      <c r="A6" s="1520" t="s">
        <v>247</v>
      </c>
      <c r="B6" s="2090">
        <v>2023</v>
      </c>
      <c r="C6" s="2090"/>
      <c r="D6" s="2091"/>
      <c r="E6" s="296"/>
      <c r="S6" s="95"/>
      <c r="T6" s="95"/>
      <c r="U6" s="95"/>
      <c r="V6" s="95"/>
      <c r="W6" s="308"/>
      <c r="X6" s="308"/>
      <c r="Y6" s="297">
        <f t="shared" ref="Y6:Y25" si="1">IFERROR(IF($B$5=$X$1,IF($Z$1&lt;=(Y5-1),Y5-1,""),IF($Z$1=VALUE(LEFT(Y5,4)),"",CONCATENATE(VALUE(LEFT(Y5,4))-1,"-",RIGHT(LEFT(Y5,4),2)))),"")</f>
        <v>2018</v>
      </c>
      <c r="Z6" s="294"/>
    </row>
    <row r="7" spans="1:26">
      <c r="S7" s="95"/>
      <c r="T7" s="95"/>
      <c r="U7" s="95"/>
      <c r="V7" s="95"/>
      <c r="W7" s="308"/>
      <c r="X7" s="308"/>
      <c r="Y7" s="297">
        <f t="shared" si="1"/>
        <v>2017</v>
      </c>
      <c r="Z7" s="294"/>
    </row>
    <row r="8" spans="1:26" ht="15.75" thickBot="1">
      <c r="A8" s="1948" t="str">
        <f>IF($B$6="Click here to select an option","Select a year above for display.",CONCATENATE("Exports ",B6))</f>
        <v>Exports 2023</v>
      </c>
      <c r="B8" s="1948"/>
      <c r="C8" s="1948"/>
      <c r="D8" s="1948"/>
      <c r="S8" s="95"/>
      <c r="T8" s="95"/>
      <c r="U8" s="95"/>
      <c r="V8" s="95"/>
      <c r="W8" s="308"/>
      <c r="X8" s="308"/>
      <c r="Y8" s="297">
        <f t="shared" si="1"/>
        <v>2016</v>
      </c>
      <c r="Z8" s="294"/>
    </row>
    <row r="9" spans="1:26">
      <c r="A9" s="1519" t="s">
        <v>591</v>
      </c>
      <c r="B9" s="1527" t="s">
        <v>31</v>
      </c>
      <c r="C9" s="1267" t="s">
        <v>402</v>
      </c>
      <c r="D9" s="1268" t="s">
        <v>33</v>
      </c>
      <c r="S9" s="95"/>
      <c r="T9" s="95"/>
      <c r="U9" s="95"/>
      <c r="V9" s="95"/>
      <c r="W9" s="308"/>
      <c r="X9" s="308"/>
      <c r="Y9" s="297">
        <f t="shared" si="1"/>
        <v>2015</v>
      </c>
      <c r="Z9" s="294"/>
    </row>
    <row r="10" spans="1:26">
      <c r="A10" s="655" t="str" cm="1">
        <f t="array" ref="A10">IF($W$2="Mismatch Error","Mismatch Error",
IF($B$5=$X$1, INDEX('Commodity Prices'!$BA$9:$BF$3498, MATCH(1, (('Commodity Prices'!$BA$9:$BA$3488)="Petroleum")*(('Commodity Prices'!$BB$9:$BB$3488)=$B$6)*(('Commodity Prices'!$BD$9:$BD$3488)=B10),0),3),INDEX('Commodity Prices'!$BH$9:$BM$3487,MATCH(1,(('Commodity Prices'!$BH$9:$BH$3487)="Petroleum")*(('Commodity Prices'!$BI$9:$BI$3487)=$B$6)*(('Commodity Prices'!$BK$9:$BK$3487)=B10),0),3)))</f>
        <v>Japan</v>
      </c>
      <c r="B10" s="654">
        <v>1</v>
      </c>
      <c r="C10" s="1787" t="str" cm="1">
        <f t="array" ref="C10">IF($W$2="Mismatch Error","",IF($B$5=$X$1,INDEX('Commodity Prices'!$BA$9:$BF$3498,MATCH(1,(('Commodity Prices'!$BA$9:$BA$3488)="Petroleum")*(('Commodity Prices'!$BB$9:$BB$3488)=$B$6)*(('Commodity Prices'!$BD$9:$BD$3488)=B10),0),5),INDEX('Commodity Prices'!$BH$9:$BM$3487,MATCH(1,(('Commodity Prices'!$BH$9:$BH$3487)="Petroleum")*(('Commodity Prices'!$BI$9:$BI$3487)=$B$6)*(('Commodity Prices'!$BK$9:$BK$3487)=B10),0),5)))</f>
        <v>n/a</v>
      </c>
      <c r="D10" s="1629">
        <f t="array" ref="D10">IF($W$2="Mismatch Error","",IF($B$5=$X$1,INDEX('Commodity Prices'!$BA$9:$BF$3498,MATCH(1,(('Commodity Prices'!$BA$9:$BA$3488)="Petroleum")*(('Commodity Prices'!$BB$9:$BB$3488)=$B$6)*(('Commodity Prices'!$BD$9:$BD$3488)=B10),0),6),INDEX('Commodity Prices'!$BH$9:$BM$3487,MATCH(1,(('Commodity Prices'!$BH$9:$BH$3487)="Petroleum")*(('Commodity Prices'!$BI$9:$BI$3487)=$B$6)*(('Commodity Prices'!$BK$9:$BK$3487)=B10),0),6)))</f>
        <v>0.38838311710299356</v>
      </c>
      <c r="S10" s="95"/>
      <c r="T10" s="95"/>
      <c r="U10" s="95"/>
      <c r="V10" s="95"/>
      <c r="W10" s="308"/>
      <c r="X10" s="308"/>
      <c r="Y10" s="297">
        <f t="shared" si="1"/>
        <v>2014</v>
      </c>
      <c r="Z10" s="294"/>
    </row>
    <row r="11" spans="1:26">
      <c r="A11" s="30" t="str">
        <f t="array" ref="A11">IF($W$2="Mismatch Error","",IF($B$5=$X$1,INDEX('Commodity Prices'!$BA$9:$BF$3498,MATCH(1,(('Commodity Prices'!$BA$9:$BA$3488)="Petroleum")*(('Commodity Prices'!$BB$9:$BB$3488)=$B$6)*(('Commodity Prices'!$BD$9:$BD$3488)=B11),0),3),INDEX('Commodity Prices'!$BH$9:$BM$3487,MATCH(1,(('Commodity Prices'!$BH$9:$BH$3487)="Petroleum")*(('Commodity Prices'!$BI$9:$BI$3487)=$B$6)*(('Commodity Prices'!$BK$9:$BK$3487)=B11),0),3)))</f>
        <v>China</v>
      </c>
      <c r="B11" s="554">
        <v>2</v>
      </c>
      <c r="C11" s="1774" t="str">
        <f t="array" ref="C11">IF($W$2="Mismatch Error","",IF($B$5=$X$1,INDEX('Commodity Prices'!$BA$9:$BF$3498,MATCH(1,(('Commodity Prices'!$BA$9:$BA$3488)="Petroleum")*(('Commodity Prices'!$BB$9:$BB$3488)=$B$6)*(('Commodity Prices'!$BD$9:$BD$3488)=B11),0),5),INDEX('Commodity Prices'!$BH$9:$BM$3487,MATCH(1,(('Commodity Prices'!$BH$9:$BH$3487)="Petroleum")*(('Commodity Prices'!$BI$9:$BI$3487)=$B$6)*(('Commodity Prices'!$BK$9:$BK$3487)=B11),0),5)))</f>
        <v>n/a</v>
      </c>
      <c r="D11" s="555">
        <f t="array" ref="D11">IF($W$2="Mismatch Error","",IF($B$5=$X$1,INDEX('Commodity Prices'!$BA$9:$BF$3498,MATCH(1,(('Commodity Prices'!$BA$9:$BA$3488)="Petroleum")*(('Commodity Prices'!$BB$9:$BB$3488)=$B$6)*(('Commodity Prices'!$BD$9:$BD$3488)=B11),0),6),INDEX('Commodity Prices'!$BH$9:$BM$3487,MATCH(1,(('Commodity Prices'!$BH$9:$BH$3487)="Petroleum")*(('Commodity Prices'!$BI$9:$BI$3487)=$B$6)*(('Commodity Prices'!$BK$9:$BK$3487)=B11),0),6)))</f>
        <v>0.13646686644164946</v>
      </c>
      <c r="S11" s="95"/>
      <c r="T11" s="95"/>
      <c r="U11" s="95"/>
      <c r="V11" s="95"/>
      <c r="W11" s="308"/>
      <c r="X11" s="308"/>
      <c r="Y11" s="297">
        <f t="shared" si="1"/>
        <v>2013</v>
      </c>
      <c r="Z11" s="294"/>
    </row>
    <row r="12" spans="1:26">
      <c r="A12" s="655" t="str">
        <f t="array" ref="A12">IF($W$2="Mismatch Error","",IF($B$5=$X$1,INDEX('Commodity Prices'!$BA$9:$BF$3498,MATCH(1,(('Commodity Prices'!$BA$9:$BA$3488)="Petroleum")*(('Commodity Prices'!$BB$9:$BB$3488)=$B$6)*(('Commodity Prices'!$BD$9:$BD$3488)=B12),0),3),INDEX('Commodity Prices'!$BH$9:$BM$3487,MATCH(1,(('Commodity Prices'!$BH$9:$BH$3487)="Petroleum")*(('Commodity Prices'!$BI$9:$BI$3487)=$B$6)*(('Commodity Prices'!$BK$9:$BK$3487)=B12),0),3)))</f>
        <v>Singapore</v>
      </c>
      <c r="B12" s="654">
        <v>3</v>
      </c>
      <c r="C12" s="1787" t="str">
        <f t="array" ref="C12">IF($W$2="Mismatch Error","",IF($B$5=$X$1,INDEX('Commodity Prices'!$BA$9:$BF$3498,MATCH(1,(('Commodity Prices'!$BA$9:$BA$3488)="Petroleum")*(('Commodity Prices'!$BB$9:$BB$3488)=$B$6)*(('Commodity Prices'!$BD$9:$BD$3488)=B12),0),5),INDEX('Commodity Prices'!$BH$9:$BM$3487,MATCH(1,(('Commodity Prices'!$BH$9:$BH$3487)="Petroleum")*(('Commodity Prices'!$BI$9:$BI$3487)=$B$6)*(('Commodity Prices'!$BK$9:$BK$3487)=B12),0),5)))</f>
        <v>n/a</v>
      </c>
      <c r="D12" s="1630">
        <f t="array" ref="D12">IF($W$2="Mismatch Error","",IF($B$5=$X$1,INDEX('Commodity Prices'!$BA$9:$BF$3498,MATCH(1,(('Commodity Prices'!$BA$9:$BA$3488)="Petroleum")*(('Commodity Prices'!$BB$9:$BB$3488)=$B$6)*(('Commodity Prices'!$BD$9:$BD$3488)=B12),0),6),INDEX('Commodity Prices'!$BH$9:$BM$3487,MATCH(1,(('Commodity Prices'!$BH$9:$BH$3487)="Petroleum")*(('Commodity Prices'!$BI$9:$BI$3487)=$B$6)*(('Commodity Prices'!$BK$9:$BK$3487)=B12),0),6)))</f>
        <v>0.12920414970187566</v>
      </c>
      <c r="S12" s="95"/>
      <c r="T12" s="95"/>
      <c r="U12" s="95"/>
      <c r="V12" s="95"/>
      <c r="W12" s="308"/>
      <c r="X12" s="308"/>
      <c r="Y12" s="297">
        <f t="shared" si="1"/>
        <v>2012</v>
      </c>
      <c r="Z12" s="294"/>
    </row>
    <row r="13" spans="1:26">
      <c r="A13" s="30" t="str">
        <f t="array" ref="A13">IF($W$2="Mismatch Error","",IF($B$5=$X$1,INDEX('Commodity Prices'!$BA$9:$BF$3498,MATCH(1,(('Commodity Prices'!$BA$9:$BA$3488)="Petroleum")*(('Commodity Prices'!$BB$9:$BB$3488)=$B$6)*(('Commodity Prices'!$BD$9:$BD$3488)=B13),0),3),INDEX('Commodity Prices'!$BH$9:$BM$3487,MATCH(1,(('Commodity Prices'!$BH$9:$BH$3487)="Petroleum")*(('Commodity Prices'!$BI$9:$BI$3487)=$B$6)*(('Commodity Prices'!$BK$9:$BK$3487)=B13),0),3)))</f>
        <v>Korea, Republic Of</v>
      </c>
      <c r="B13" s="554">
        <v>4</v>
      </c>
      <c r="C13" s="1774" t="str">
        <f t="array" ref="C13">IF($W$2="Mismatch Error","",IF($B$5=$X$1,INDEX('Commodity Prices'!$BA$9:$BF$3498,MATCH(1,(('Commodity Prices'!$BA$9:$BA$3488)="Petroleum")*(('Commodity Prices'!$BB$9:$BB$3488)=$B$6)*(('Commodity Prices'!$BD$9:$BD$3488)=B13),0),5),INDEX('Commodity Prices'!$BH$9:$BM$3487,MATCH(1,(('Commodity Prices'!$BH$9:$BH$3487)="Petroleum")*(('Commodity Prices'!$BI$9:$BI$3487)=$B$6)*(('Commodity Prices'!$BK$9:$BK$3487)=B13),0),5)))</f>
        <v>n/a</v>
      </c>
      <c r="D13" s="555">
        <f t="array" ref="D13">IF($W$2="Mismatch Error","",IF($B$5=$X$1,INDEX('Commodity Prices'!$BA$9:$BF$3498,MATCH(1,(('Commodity Prices'!$BA$9:$BA$3488)="Petroleum")*(('Commodity Prices'!$BB$9:$BB$3488)=$B$6)*(('Commodity Prices'!$BD$9:$BD$3488)=B13),0),6),INDEX('Commodity Prices'!$BH$9:$BM$3487,MATCH(1,(('Commodity Prices'!$BH$9:$BH$3487)="Petroleum")*(('Commodity Prices'!$BI$9:$BI$3487)=$B$6)*(('Commodity Prices'!$BK$9:$BK$3487)=B13),0),6)))</f>
        <v>0.11611948976282785</v>
      </c>
      <c r="S13" s="95"/>
      <c r="T13" s="95"/>
      <c r="U13" s="95"/>
      <c r="V13" s="95"/>
      <c r="W13" s="95"/>
      <c r="X13" s="95"/>
      <c r="Y13" s="297">
        <f t="shared" si="1"/>
        <v>2011</v>
      </c>
      <c r="Z13" s="294"/>
    </row>
    <row r="14" spans="1:26">
      <c r="A14" s="655" t="str">
        <f t="array" ref="A14">IF($W$2="Mismatch Error","",IF($B$5=$X$1,INDEX('Commodity Prices'!$BA$9:$BF$3498,MATCH(1,(('Commodity Prices'!$BA$9:$BA$3488)="Petroleum")*(('Commodity Prices'!$BB$9:$BB$3488)=$B$6)*(('Commodity Prices'!$BD$9:$BD$3488)=B14),0),3),INDEX('Commodity Prices'!$BH$9:$BM$3487,MATCH(1,(('Commodity Prices'!$BH$9:$BH$3487)="Petroleum")*(('Commodity Prices'!$BI$9:$BI$3487)=$B$6)*(('Commodity Prices'!$BK$9:$BK$3487)=B14),0),3)))</f>
        <v>Taiwan, Province Of China</v>
      </c>
      <c r="B14" s="654">
        <v>5</v>
      </c>
      <c r="C14" s="1787" t="str">
        <f t="array" ref="C14">IF($W$2="Mismatch Error","",IF($B$5=$X$1,INDEX('Commodity Prices'!$BA$9:$BF$3498,MATCH(1,(('Commodity Prices'!$BA$9:$BA$3488)="Petroleum")*(('Commodity Prices'!$BB$9:$BB$3488)=$B$6)*(('Commodity Prices'!$BD$9:$BD$3488)=B14),0),5),INDEX('Commodity Prices'!$BH$9:$BM$3487,MATCH(1,(('Commodity Prices'!$BH$9:$BH$3487)="Petroleum")*(('Commodity Prices'!$BI$9:$BI$3487)=$B$6)*(('Commodity Prices'!$BK$9:$BK$3487)=B14),0),5)))</f>
        <v>n/a</v>
      </c>
      <c r="D14" s="1630">
        <f t="array" ref="D14">IF($W$2="Mismatch Error","",IF($B$5=$X$1,INDEX('Commodity Prices'!$BA$9:$BF$3498,MATCH(1,(('Commodity Prices'!$BA$9:$BA$3488)="Petroleum")*(('Commodity Prices'!$BB$9:$BB$3488)=$B$6)*(('Commodity Prices'!$BD$9:$BD$3488)=B14),0),6),INDEX('Commodity Prices'!$BH$9:$BM$3487,MATCH(1,(('Commodity Prices'!$BH$9:$BH$3487)="Petroleum")*(('Commodity Prices'!$BI$9:$BI$3487)=$B$6)*(('Commodity Prices'!$BK$9:$BK$3487)=B14),0),6)))</f>
        <v>9.94513504667002E-2</v>
      </c>
      <c r="S14" s="95"/>
      <c r="T14" s="95"/>
      <c r="U14" s="95"/>
      <c r="V14" s="95"/>
      <c r="W14" s="95"/>
      <c r="X14" s="95"/>
      <c r="Y14" s="297">
        <f t="shared" si="1"/>
        <v>2010</v>
      </c>
      <c r="Z14" s="294"/>
    </row>
    <row r="15" spans="1:26">
      <c r="A15" s="30" t="str">
        <f t="array" ref="A15">IF($W$2="Mismatch Error","",IF($B$5=$X$1,INDEX('Commodity Prices'!$BA$9:$BF$3498,MATCH(1,(('Commodity Prices'!$BA$9:$BA$3488)="Petroleum")*(('Commodity Prices'!$BB$9:$BB$3488)=$B$6)*(('Commodity Prices'!$BD$9:$BD$3488)=B15),0),3),INDEX('Commodity Prices'!$BH$9:$BM$3487,MATCH(1,(('Commodity Prices'!$BH$9:$BH$3487)="Petroleum")*(('Commodity Prices'!$BI$9:$BI$3487)=$B$6)*(('Commodity Prices'!$BK$9:$BK$3487)=B15),0),3)))</f>
        <v>Thailand</v>
      </c>
      <c r="B15" s="554">
        <v>6</v>
      </c>
      <c r="C15" s="1774" t="str">
        <f t="array" ref="C15">IF($W$2="Mismatch Error","",IF($B$5=$X$1,INDEX('Commodity Prices'!$BA$9:$BF$3498,MATCH(1,(('Commodity Prices'!$BA$9:$BA$3488)="Petroleum")*(('Commodity Prices'!$BB$9:$BB$3488)=$B$6)*(('Commodity Prices'!$BD$9:$BD$3488)=B15),0),5),INDEX('Commodity Prices'!$BH$9:$BM$3487,MATCH(1,(('Commodity Prices'!$BH$9:$BH$3487)="Petroleum")*(('Commodity Prices'!$BI$9:$BI$3487)=$B$6)*(('Commodity Prices'!$BK$9:$BK$3487)=B15),0),5)))</f>
        <v>n/a</v>
      </c>
      <c r="D15" s="555">
        <f t="array" ref="D15">IF($W$2="Mismatch Error","",IF($B$5=$X$1,INDEX('Commodity Prices'!$BA$9:$BF$3498,MATCH(1,(('Commodity Prices'!$BA$9:$BA$3488)="Petroleum")*(('Commodity Prices'!$BB$9:$BB$3488)=$B$6)*(('Commodity Prices'!$BD$9:$BD$3488)=B15),0),6),INDEX('Commodity Prices'!$BH$9:$BM$3487,MATCH(1,(('Commodity Prices'!$BH$9:$BH$3487)="Petroleum")*(('Commodity Prices'!$BI$9:$BI$3487)=$B$6)*(('Commodity Prices'!$BK$9:$BK$3487)=B15),0),6)))</f>
        <v>5.9475147885704328E-2</v>
      </c>
      <c r="S15" s="95"/>
      <c r="T15" s="95"/>
      <c r="U15" s="95"/>
      <c r="V15" s="95"/>
      <c r="W15" s="95"/>
      <c r="X15" s="95"/>
      <c r="Y15" s="297">
        <f t="shared" si="1"/>
        <v>2009</v>
      </c>
      <c r="Z15" s="294"/>
    </row>
    <row r="16" spans="1:26">
      <c r="A16" s="655" t="str">
        <f t="array" ref="A16">IF($W$2="Mismatch Error","",IF($B$5=$X$1,INDEX('Commodity Prices'!$BA$9:$BF$3498,MATCH(1,(('Commodity Prices'!$BA$9:$BA$3488)="Petroleum")*(('Commodity Prices'!$BB$9:$BB$3488)=$B$6)*(('Commodity Prices'!$BD$9:$BD$3488)=B16),0),3),INDEX('Commodity Prices'!$BH$9:$BM$3487,MATCH(1,(('Commodity Prices'!$BH$9:$BH$3487)="Petroleum")*(('Commodity Prices'!$BI$9:$BI$3487)=$B$6)*(('Commodity Prices'!$BK$9:$BK$3487)=B16),0),3)))</f>
        <v>Malaysia</v>
      </c>
      <c r="B16" s="654">
        <v>7</v>
      </c>
      <c r="C16" s="1787" t="str">
        <f t="array" ref="C16">IF($W$2="Mismatch Error","",IF($B$5=$X$1,INDEX('Commodity Prices'!$BA$9:$BF$3498,MATCH(1,(('Commodity Prices'!$BA$9:$BA$3488)="Petroleum")*(('Commodity Prices'!$BB$9:$BB$3488)=$B$6)*(('Commodity Prices'!$BD$9:$BD$3488)=B16),0),5),INDEX('Commodity Prices'!$BH$9:$BM$3487,MATCH(1,(('Commodity Prices'!$BH$9:$BH$3487)="Petroleum")*(('Commodity Prices'!$BI$9:$BI$3487)=$B$6)*(('Commodity Prices'!$BK$9:$BK$3487)=B16),0),5)))</f>
        <v>n/a</v>
      </c>
      <c r="D16" s="1630">
        <f t="array" ref="D16">IF($W$2="Mismatch Error","",IF($B$5=$X$1,INDEX('Commodity Prices'!$BA$9:$BF$3498,MATCH(1,(('Commodity Prices'!$BA$9:$BA$3488)="Petroleum")*(('Commodity Prices'!$BB$9:$BB$3488)=$B$6)*(('Commodity Prices'!$BD$9:$BD$3488)=B16),0),6),INDEX('Commodity Prices'!$BH$9:$BM$3487,MATCH(1,(('Commodity Prices'!$BH$9:$BH$3487)="Petroleum")*(('Commodity Prices'!$BI$9:$BI$3487)=$B$6)*(('Commodity Prices'!$BK$9:$BK$3487)=B16),0),6)))</f>
        <v>2.7288636594375231E-2</v>
      </c>
      <c r="S16" s="95"/>
      <c r="T16" s="95"/>
      <c r="U16" s="95"/>
      <c r="V16" s="95"/>
      <c r="W16" s="95"/>
      <c r="X16" s="95"/>
      <c r="Y16" s="297">
        <f t="shared" si="1"/>
        <v>2008</v>
      </c>
      <c r="Z16" s="294"/>
    </row>
    <row r="17" spans="1:26">
      <c r="A17" s="30" t="str">
        <f t="array" ref="A17">IF($W$2="Mismatch Error","",IF($B$5=$X$1,INDEX('Commodity Prices'!$BA$9:$BF$3498,MATCH(1,(('Commodity Prices'!$BA$9:$BA$3488)="Petroleum")*(('Commodity Prices'!$BB$9:$BB$3488)=$B$6)*(('Commodity Prices'!$BD$9:$BD$3488)=B17),0),3),INDEX('Commodity Prices'!$BH$9:$BM$3487,MATCH(1,(('Commodity Prices'!$BH$9:$BH$3487)="Petroleum")*(('Commodity Prices'!$BI$9:$BI$3487)=$B$6)*(('Commodity Prices'!$BK$9:$BK$3487)=B17),0),3)))</f>
        <v>Indonesia</v>
      </c>
      <c r="B17" s="554">
        <v>8</v>
      </c>
      <c r="C17" s="1774" t="str">
        <f t="array" ref="C17">IF($W$2="Mismatch Error","",IF($B$5=$X$1,INDEX('Commodity Prices'!$BA$9:$BF$3498,MATCH(1,(('Commodity Prices'!$BA$9:$BA$3488)="Petroleum")*(('Commodity Prices'!$BB$9:$BB$3488)=$B$6)*(('Commodity Prices'!$BD$9:$BD$3488)=B17),0),5),INDEX('Commodity Prices'!$BH$9:$BM$3487,MATCH(1,(('Commodity Prices'!$BH$9:$BH$3487)="Petroleum")*(('Commodity Prices'!$BI$9:$BI$3487)=$B$6)*(('Commodity Prices'!$BK$9:$BK$3487)=B17),0),5)))</f>
        <v>n/a</v>
      </c>
      <c r="D17" s="555">
        <f t="array" ref="D17">IF($W$2="Mismatch Error","",IF($B$5=$X$1,INDEX('Commodity Prices'!$BA$9:$BF$3498,MATCH(1,(('Commodity Prices'!$BA$9:$BA$3488)="Petroleum")*(('Commodity Prices'!$BB$9:$BB$3488)=$B$6)*(('Commodity Prices'!$BD$9:$BD$3488)=B17),0),6),INDEX('Commodity Prices'!$BH$9:$BM$3487,MATCH(1,(('Commodity Prices'!$BH$9:$BH$3487)="Petroleum")*(('Commodity Prices'!$BI$9:$BI$3487)=$B$6)*(('Commodity Prices'!$BK$9:$BK$3487)=B17),0),6)))</f>
        <v>2.166938502390971E-2</v>
      </c>
      <c r="S17" s="95"/>
      <c r="T17" s="95"/>
      <c r="U17" s="95"/>
      <c r="V17" s="95"/>
      <c r="W17" s="95"/>
      <c r="X17" s="95"/>
      <c r="Y17" s="297">
        <f t="shared" si="1"/>
        <v>2007</v>
      </c>
      <c r="Z17" s="294"/>
    </row>
    <row r="18" spans="1:26">
      <c r="A18" s="655" t="str">
        <f t="array" ref="A18">IF($W$2="Mismatch Error","",IF($B$5=$X$1,INDEX('Commodity Prices'!$BA$9:$BF$3498,MATCH(1,(('Commodity Prices'!$BA$9:$BA$3488)="Petroleum")*(('Commodity Prices'!$BB$9:$BB$3488)=$B$6)*(('Commodity Prices'!$BD$9:$BD$3488)=B18),0),3),INDEX('Commodity Prices'!$BH$9:$BM$3487,MATCH(1,(('Commodity Prices'!$BH$9:$BH$3487)="Petroleum")*(('Commodity Prices'!$BI$9:$BI$3487)=$B$6)*(('Commodity Prices'!$BK$9:$BK$3487)=B18),0),3)))</f>
        <v>Brunei Darussalam</v>
      </c>
      <c r="B18" s="654">
        <v>9</v>
      </c>
      <c r="C18" s="1787" t="str">
        <f t="array" ref="C18">IF($W$2="Mismatch Error","",IF($B$5=$X$1,INDEX('Commodity Prices'!$BA$9:$BF$3498,MATCH(1,(('Commodity Prices'!$BA$9:$BA$3488)="Petroleum")*(('Commodity Prices'!$BB$9:$BB$3488)=$B$6)*(('Commodity Prices'!$BD$9:$BD$3488)=B18),0),5),INDEX('Commodity Prices'!$BH$9:$BM$3487,MATCH(1,(('Commodity Prices'!$BH$9:$BH$3487)="Petroleum")*(('Commodity Prices'!$BI$9:$BI$3487)=$B$6)*(('Commodity Prices'!$BK$9:$BK$3487)=B18),0),5)))</f>
        <v>n/a</v>
      </c>
      <c r="D18" s="1630">
        <f t="array" ref="D18">IF($W$2="Mismatch Error","",IF($B$5=$X$1,INDEX('Commodity Prices'!$BA$9:$BF$3498,MATCH(1,(('Commodity Prices'!$BA$9:$BA$3488)="Petroleum")*(('Commodity Prices'!$BB$9:$BB$3488)=$B$6)*(('Commodity Prices'!$BD$9:$BD$3488)=B18),0),6),INDEX('Commodity Prices'!$BH$9:$BM$3487,MATCH(1,(('Commodity Prices'!$BH$9:$BH$3487)="Petroleum")*(('Commodity Prices'!$BI$9:$BI$3487)=$B$6)*(('Commodity Prices'!$BK$9:$BK$3487)=B18),0),6)))</f>
        <v>1.0560995345139381E-2</v>
      </c>
      <c r="S18" s="95"/>
      <c r="T18" s="95"/>
      <c r="U18" s="95"/>
      <c r="V18" s="95"/>
      <c r="W18" s="95"/>
      <c r="X18" s="95"/>
      <c r="Y18" s="297" t="str">
        <f t="shared" si="1"/>
        <v/>
      </c>
      <c r="Z18" s="294"/>
    </row>
    <row r="19" spans="1:26">
      <c r="A19" s="30" t="str">
        <f t="array" ref="A19">IF($W$2="Mismatch Error","",IF($B$5=$X$1,INDEX('Commodity Prices'!$BA$9:$BF$3498,MATCH(1,(('Commodity Prices'!$BA$9:$BA$3488)="Petroleum")*(('Commodity Prices'!$BB$9:$BB$3488)=$B$6)*(('Commodity Prices'!$BD$9:$BD$3488)=B19),0),3),INDEX('Commodity Prices'!$BH$9:$BM$3487,MATCH(1,(('Commodity Prices'!$BH$9:$BH$3487)="Petroleum")*(('Commodity Prices'!$BI$9:$BI$3487)=$B$6)*(('Commodity Prices'!$BK$9:$BK$3487)=B19),0),3)))</f>
        <v>India</v>
      </c>
      <c r="B19" s="554">
        <v>10</v>
      </c>
      <c r="C19" s="1774" t="str">
        <f t="array" ref="C19">IF($W$2="Mismatch Error","",IF($B$5=$X$1,INDEX('Commodity Prices'!$BA$9:$BF$3498,MATCH(1,(('Commodity Prices'!$BA$9:$BA$3488)="Petroleum")*(('Commodity Prices'!$BB$9:$BB$3488)=$B$6)*(('Commodity Prices'!$BD$9:$BD$3488)=B19),0),5),INDEX('Commodity Prices'!$BH$9:$BM$3487,MATCH(1,(('Commodity Prices'!$BH$9:$BH$3487)="Petroleum")*(('Commodity Prices'!$BI$9:$BI$3487)=$B$6)*(('Commodity Prices'!$BK$9:$BK$3487)=B19),0),5)))</f>
        <v>n/a</v>
      </c>
      <c r="D19" s="555">
        <f t="array" ref="D19">IF($W$2="Mismatch Error","",IF($B$5=$X$1,INDEX('Commodity Prices'!$BA$9:$BF$3498,MATCH(1,(('Commodity Prices'!$BA$9:$BA$3488)="Petroleum")*(('Commodity Prices'!$BB$9:$BB$3488)=$B$6)*(('Commodity Prices'!$BD$9:$BD$3488)=B19),0),6),INDEX('Commodity Prices'!$BH$9:$BM$3487,MATCH(1,(('Commodity Prices'!$BH$9:$BH$3487)="Petroleum")*(('Commodity Prices'!$BI$9:$BI$3487)=$B$6)*(('Commodity Prices'!$BK$9:$BK$3487)=B19),0),6)))</f>
        <v>3.6705741683558707E-3</v>
      </c>
      <c r="S19" s="95"/>
      <c r="T19" s="95"/>
      <c r="U19" s="95"/>
      <c r="V19" s="95"/>
      <c r="W19" s="95"/>
      <c r="X19" s="95"/>
      <c r="Y19" s="297" t="str">
        <f t="shared" si="1"/>
        <v/>
      </c>
      <c r="Z19" s="294"/>
    </row>
    <row r="20" spans="1:26">
      <c r="A20" s="655" t="str">
        <f>IF($W$2="Mismatch Error","","Other")</f>
        <v>Other</v>
      </c>
      <c r="B20" s="654"/>
      <c r="C20" s="1787" t="str">
        <f t="array" ref="C20">IF($W$2="Mismatch Error","",IF($B$5=$X$1,INDEX('Commodity Prices'!$BA$9:$BF$3498,MATCH(1,(('Commodity Prices'!$BA$9:$BA$3488)="Petroleum")*(('Commodity Prices'!$BB$9:$BB$3488)=$B$6)*(('Commodity Prices'!$BD$9:$BD$3488)=B20),0),5),INDEX('Commodity Prices'!$BH$9:$BM$3487,MATCH(1,(('Commodity Prices'!$BH$9:$BH$3487)="Petroleum")*(('Commodity Prices'!$BI$9:$BI$3487)=$B$6)*(('Commodity Prices'!$BK$9:$BK$3487)=B20),0),5)))</f>
        <v>n/a</v>
      </c>
      <c r="D20" s="1631">
        <f t="array" ref="D20">IF($W$2="Mismatch Error","",IF($B$5=$X$1,INDEX('Commodity Prices'!$BA$9:$BF$3498,MATCH(1,(('Commodity Prices'!$BA$9:$BA$3488)="Petroleum")*(('Commodity Prices'!$BB$9:$BB$3488)=$B$6)*(('Commodity Prices'!$BD$9:$BD$3488)=B20),0),6),INDEX('Commodity Prices'!$BH$9:$BM$3487,MATCH(1,(('Commodity Prices'!$BH$9:$BH$3487)="Petroleum")*(('Commodity Prices'!$BI$9:$BI$3487)=$B$6)*(('Commodity Prices'!$BK$9:$BK$3487)=B20),0),6)))</f>
        <v>7.710287506468903E-3</v>
      </c>
      <c r="E20" s="95"/>
      <c r="S20" s="95"/>
      <c r="T20" s="95"/>
      <c r="U20" s="95"/>
      <c r="V20" s="95"/>
      <c r="W20" s="95"/>
      <c r="X20" s="95"/>
      <c r="Y20" s="297" t="str">
        <f t="shared" si="1"/>
        <v/>
      </c>
      <c r="Z20" s="294"/>
    </row>
    <row r="21" spans="1:26" ht="15.75" thickBot="1">
      <c r="A21" s="1422" t="str">
        <f>IF($W$2="Mismatch Error","","Grand Total")</f>
        <v>Grand Total</v>
      </c>
      <c r="B21" s="1423"/>
      <c r="C21" s="1781">
        <f t="array" ref="C21">IF($W$2="Mismatch Error","",IF($B$5=$X$1,SUMIFS('Commodity Prices'!$BE$9:$BE$3488,'Commodity Prices'!$BA$9:$BA$3488,"Petroleum",'Commodity Prices'!$BB$9:$BB$3488,$B$6,'Commodity Prices'!$BC$9:$BC$3488,"TOTAL"),SUMIFS('Commodity Prices'!$BL$9:$BL$3487,'Commodity Prices'!$BH$9:$BH$3487,"Petroleum",'Commodity Prices'!$BI$9:$BI$3487,$B$6,'Commodity Prices'!$BJ$9:$BJ$3487,"TOTAL")))</f>
        <v>0</v>
      </c>
      <c r="D21" s="1528"/>
      <c r="S21" s="95"/>
      <c r="T21" s="95"/>
      <c r="U21" s="95"/>
      <c r="V21" s="95"/>
      <c r="W21" s="95"/>
      <c r="X21" s="95"/>
      <c r="Y21" s="297" t="str">
        <f t="shared" si="1"/>
        <v/>
      </c>
      <c r="Z21" s="294"/>
    </row>
    <row r="22" spans="1:26">
      <c r="S22" s="95"/>
      <c r="T22" s="95"/>
      <c r="U22" s="95"/>
      <c r="V22" s="95"/>
      <c r="W22" s="95"/>
      <c r="X22" s="95"/>
      <c r="Y22" s="297" t="str">
        <f t="shared" si="1"/>
        <v/>
      </c>
      <c r="Z22" s="294"/>
    </row>
    <row r="23" spans="1:26">
      <c r="A23" s="1762" t="str">
        <f>IF(A10="Mismatch Error","You have selected an incompatible year or year type. Change one or the other to display data.","")</f>
        <v/>
      </c>
      <c r="B23" s="1762"/>
      <c r="C23" s="1762"/>
      <c r="D23" s="1762"/>
      <c r="S23" s="95"/>
      <c r="T23" s="95"/>
      <c r="U23" s="95"/>
      <c r="V23" s="95"/>
      <c r="W23" s="95"/>
      <c r="X23" s="95"/>
      <c r="Y23" s="297" t="str">
        <f t="shared" si="1"/>
        <v/>
      </c>
      <c r="Z23" s="294"/>
    </row>
    <row r="24" spans="1:26">
      <c r="A24" s="1762"/>
      <c r="B24" s="1762"/>
      <c r="C24" s="1762"/>
      <c r="D24" s="1762"/>
      <c r="S24" s="95"/>
      <c r="T24" s="95"/>
      <c r="U24" s="95"/>
      <c r="V24" s="95"/>
      <c r="W24" s="95"/>
      <c r="X24" s="95"/>
      <c r="Y24" s="297" t="str">
        <f t="shared" si="1"/>
        <v/>
      </c>
      <c r="Z24" s="294"/>
    </row>
    <row r="25" spans="1:26" ht="15" customHeight="1">
      <c r="A25" s="1762"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1762"/>
      <c r="C25" s="1762"/>
      <c r="D25" s="1762"/>
      <c r="S25" s="95"/>
      <c r="T25" s="95"/>
      <c r="U25" s="95"/>
      <c r="V25" s="95"/>
      <c r="W25" s="95"/>
      <c r="X25" s="95"/>
      <c r="Y25" s="297" t="str">
        <f t="shared" si="1"/>
        <v/>
      </c>
      <c r="Z25" s="294"/>
    </row>
    <row r="26" spans="1:26">
      <c r="A26" s="1762"/>
      <c r="B26" s="1762"/>
      <c r="C26" s="1762"/>
      <c r="D26" s="1762"/>
      <c r="S26" s="95"/>
      <c r="T26" s="95"/>
      <c r="U26" s="95"/>
      <c r="V26" s="95"/>
      <c r="W26" s="95"/>
      <c r="X26" s="95"/>
      <c r="Y26" s="297"/>
      <c r="Z26" s="294"/>
    </row>
    <row r="27" spans="1:26">
      <c r="A27" s="1762"/>
      <c r="B27" s="1762"/>
      <c r="C27" s="1762"/>
      <c r="D27" s="1762"/>
      <c r="S27" s="95"/>
      <c r="T27" s="95"/>
      <c r="U27" s="95"/>
      <c r="V27" s="95"/>
      <c r="W27" s="95"/>
      <c r="X27" s="95"/>
      <c r="Y27" s="297"/>
      <c r="Z27" s="294"/>
    </row>
    <row r="28" spans="1:26">
      <c r="A28" s="1762"/>
      <c r="B28" s="1762"/>
      <c r="C28" s="1762"/>
      <c r="D28" s="1762"/>
      <c r="S28" s="95"/>
      <c r="T28" s="95"/>
      <c r="U28" s="95"/>
      <c r="V28" s="95"/>
      <c r="W28" s="95"/>
      <c r="X28" s="95"/>
      <c r="Y28" s="297"/>
      <c r="Z28" s="294"/>
    </row>
    <row r="29" spans="1:26">
      <c r="S29" s="95"/>
      <c r="T29" s="95"/>
      <c r="U29" s="95"/>
      <c r="V29" s="95"/>
      <c r="W29" s="95"/>
      <c r="X29" s="95"/>
      <c r="Y29" s="297"/>
      <c r="Z29" s="294"/>
    </row>
    <row r="30" spans="1:26">
      <c r="S30" s="95"/>
      <c r="T30" s="95"/>
      <c r="U30" s="95"/>
      <c r="V30" s="95"/>
      <c r="W30" s="95"/>
      <c r="X30" s="95"/>
      <c r="Y30" s="297"/>
      <c r="Z30" s="294"/>
    </row>
    <row r="31" spans="1:26">
      <c r="S31" s="95"/>
      <c r="T31" s="95"/>
      <c r="U31" s="95"/>
      <c r="V31" s="95"/>
      <c r="W31" s="95"/>
      <c r="X31" s="95"/>
      <c r="Y31" s="308"/>
      <c r="Z31" s="95"/>
    </row>
    <row r="32" spans="1:26">
      <c r="E32" s="301"/>
      <c r="S32" s="95"/>
      <c r="T32" s="95"/>
      <c r="U32" s="95"/>
      <c r="V32" s="95"/>
      <c r="W32" s="95"/>
      <c r="X32" s="95"/>
      <c r="Y32" s="95"/>
      <c r="Z32" s="95"/>
    </row>
    <row r="33" spans="5:26">
      <c r="E33" s="301"/>
      <c r="S33" s="95"/>
      <c r="T33" s="95"/>
      <c r="U33" s="95"/>
      <c r="V33" s="95"/>
      <c r="W33" s="95"/>
      <c r="X33" s="95"/>
      <c r="Y33" s="95"/>
      <c r="Z33" s="95"/>
    </row>
    <row r="34" spans="5:26">
      <c r="E34" s="301"/>
    </row>
    <row r="35" spans="5:26">
      <c r="E35" s="301"/>
    </row>
    <row r="36" spans="5:26">
      <c r="E36" s="301"/>
    </row>
    <row r="37" spans="5:26">
      <c r="E37" s="301"/>
    </row>
    <row r="38" spans="5:26">
      <c r="E38" s="301"/>
    </row>
    <row r="39" spans="5:26">
      <c r="E39" s="301"/>
    </row>
    <row r="40" spans="5:26">
      <c r="E40" s="301"/>
    </row>
    <row r="41" spans="5:26">
      <c r="E41" s="301"/>
    </row>
    <row r="42" spans="5:26">
      <c r="E42" s="301"/>
    </row>
    <row r="43" spans="5:26">
      <c r="E43" s="301"/>
    </row>
    <row r="44" spans="5:26">
      <c r="E44" s="301"/>
    </row>
    <row r="45" spans="5:26">
      <c r="E45" s="301"/>
    </row>
    <row r="46" spans="5:26">
      <c r="E46" s="301"/>
    </row>
    <row r="47" spans="5:26">
      <c r="E47" s="301"/>
    </row>
    <row r="48" spans="5:26">
      <c r="E48" s="301"/>
    </row>
    <row r="49" spans="5:5">
      <c r="E49" s="301"/>
    </row>
    <row r="50" spans="5:5">
      <c r="E50" s="301"/>
    </row>
    <row r="51" spans="5:5">
      <c r="E51" s="301"/>
    </row>
    <row r="52" spans="5:5">
      <c r="E52" s="301"/>
    </row>
    <row r="53" spans="5:5">
      <c r="E53" s="301"/>
    </row>
    <row r="54" spans="5:5">
      <c r="E54" s="301"/>
    </row>
    <row r="55" spans="5:5">
      <c r="E55" s="301"/>
    </row>
    <row r="56" spans="5:5">
      <c r="E56" s="301"/>
    </row>
    <row r="57" spans="5:5">
      <c r="E57" s="301"/>
    </row>
    <row r="58" spans="5:5">
      <c r="E58" s="301"/>
    </row>
    <row r="59" spans="5:5">
      <c r="E59" s="301"/>
    </row>
    <row r="60" spans="5:5">
      <c r="E60" s="301"/>
    </row>
    <row r="61" spans="5:5">
      <c r="E61" s="301"/>
    </row>
    <row r="62" spans="5:5">
      <c r="E62" s="301"/>
    </row>
    <row r="63" spans="5:5">
      <c r="E63" s="301"/>
    </row>
    <row r="64" spans="5:5">
      <c r="E64" s="301"/>
    </row>
    <row r="67" spans="5:5">
      <c r="E67" s="301"/>
    </row>
    <row r="68" spans="5:5">
      <c r="E68" s="301"/>
    </row>
    <row r="69" spans="5:5">
      <c r="E69" s="301"/>
    </row>
    <row r="70" spans="5:5">
      <c r="E70" s="301"/>
    </row>
    <row r="71" spans="5:5">
      <c r="E71" s="301"/>
    </row>
    <row r="72" spans="5:5">
      <c r="E72" s="301"/>
    </row>
    <row r="73" spans="5:5">
      <c r="E73" s="301"/>
    </row>
    <row r="74" spans="5:5">
      <c r="E74" s="301"/>
    </row>
    <row r="75" spans="5:5">
      <c r="E75" s="301"/>
    </row>
    <row r="76" spans="5:5">
      <c r="E76" s="301"/>
    </row>
    <row r="77" spans="5:5">
      <c r="E77" s="301"/>
    </row>
    <row r="78" spans="5:5">
      <c r="E78" s="301"/>
    </row>
    <row r="79" spans="5:5">
      <c r="E79" s="301"/>
    </row>
    <row r="80" spans="5:5">
      <c r="E80" s="301"/>
    </row>
    <row r="81" spans="5:5">
      <c r="E81" s="301"/>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00000000-0002-0000-2C00-000000000000}">
      <formula1>$Y$1:$Y$25</formula1>
    </dataValidation>
    <dataValidation type="list" allowBlank="1" showInputMessage="1" showErrorMessage="1" promptTitle="Select a Display Factor:" prompt="Clicking here will bring up a message describing the selections you can make." sqref="B5:D5" xr:uid="{00000000-0002-0000-2C00-000001000000}">
      <formula1>$X$1:$X$2</formula1>
    </dataValidation>
    <dataValidation allowBlank="1" promptTitle="Select a Display Factor:" prompt="Clicking here will bring up a message describing the selections you can make." sqref="E5:E6" xr:uid="{00000000-0002-0000-2C00-000002000000}"/>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theme="8" tint="0.39997558519241921"/>
  </sheetPr>
  <dimension ref="A1:W89"/>
  <sheetViews>
    <sheetView showGridLines="0" workbookViewId="0"/>
  </sheetViews>
  <sheetFormatPr defaultColWidth="9.140625" defaultRowHeight="15"/>
  <cols>
    <col min="1" max="1" width="15.7109375" style="26" customWidth="1"/>
    <col min="2" max="2" width="27.85546875" style="26" bestFit="1" customWidth="1"/>
    <col min="3" max="3" width="26.42578125" style="26" bestFit="1" customWidth="1"/>
    <col min="4" max="4" width="9.140625" style="26" customWidth="1"/>
    <col min="5" max="5" width="11.28515625" style="26" customWidth="1"/>
    <col min="6" max="6" width="21.5703125" style="26" bestFit="1" customWidth="1"/>
    <col min="7" max="7" width="19.85546875" style="26" bestFit="1" customWidth="1"/>
    <col min="8" max="15" width="9.140625" style="26"/>
    <col min="16" max="16" width="10.28515625" style="26" bestFit="1" customWidth="1"/>
    <col min="17" max="17" width="27.85546875" style="26" bestFit="1" customWidth="1"/>
    <col min="18" max="18" width="26.42578125" style="26" bestFit="1" customWidth="1"/>
    <col min="19" max="19" width="18.7109375" style="26" customWidth="1"/>
    <col min="20" max="21" width="23.28515625" style="26" customWidth="1"/>
    <col min="22" max="22" width="9.140625" style="26"/>
    <col min="23" max="23" width="12.5703125" style="26" bestFit="1" customWidth="1"/>
    <col min="24" max="26" width="12" style="26" bestFit="1" customWidth="1"/>
    <col min="27" max="16384" width="9.140625" style="26"/>
  </cols>
  <sheetData>
    <row r="1" spans="1:23">
      <c r="E1" s="383"/>
      <c r="K1" s="95"/>
      <c r="L1" s="95"/>
      <c r="M1" s="95"/>
      <c r="N1" s="95"/>
      <c r="O1" s="95"/>
      <c r="P1" s="95"/>
      <c r="Q1" s="95"/>
      <c r="R1" s="95"/>
      <c r="W1" s="294" t="str">
        <f>A5&amp;" "&amp;P17&amp;CHAR(10)&amp;"WA vs Rest of Australia"</f>
        <v>Quantity By Year 2023
WA vs Rest of Australia</v>
      </c>
    </row>
    <row r="2" spans="1:23">
      <c r="K2" s="95"/>
      <c r="L2" s="95"/>
      <c r="M2" s="95"/>
      <c r="N2" s="95"/>
      <c r="O2" s="95"/>
      <c r="P2" s="95"/>
      <c r="Q2" s="95"/>
      <c r="R2" s="95"/>
    </row>
    <row r="3" spans="1:23">
      <c r="K3" s="95"/>
      <c r="L3" s="95"/>
      <c r="M3" s="95"/>
      <c r="N3" s="95"/>
      <c r="O3" s="95"/>
      <c r="P3" s="95"/>
      <c r="Q3" s="95"/>
      <c r="R3" s="95"/>
    </row>
    <row r="4" spans="1:23">
      <c r="K4" s="95"/>
      <c r="L4" s="95"/>
      <c r="M4" s="95"/>
      <c r="N4" s="95"/>
      <c r="O4" s="95"/>
      <c r="P4" s="95"/>
      <c r="Q4" s="95"/>
      <c r="R4" s="95"/>
    </row>
    <row r="5" spans="1:23" ht="15.75" thickBot="1">
      <c r="A5" s="1972" t="s">
        <v>578</v>
      </c>
      <c r="B5" s="1972"/>
      <c r="C5" s="1972"/>
      <c r="K5" s="95"/>
      <c r="L5" s="95"/>
      <c r="M5" s="95"/>
      <c r="N5" s="95"/>
      <c r="O5" s="95"/>
      <c r="P5" s="1948" t="s">
        <v>497</v>
      </c>
      <c r="Q5" s="1948"/>
      <c r="R5" s="1948"/>
    </row>
    <row r="6" spans="1:23" ht="15.75" thickBot="1">
      <c r="A6" s="1266" t="s">
        <v>34</v>
      </c>
      <c r="B6" s="1267" t="s">
        <v>65</v>
      </c>
      <c r="C6" s="1268" t="s">
        <v>66</v>
      </c>
      <c r="K6" s="95"/>
      <c r="L6" s="95"/>
      <c r="M6" s="95"/>
      <c r="N6" s="95"/>
      <c r="O6" s="95"/>
      <c r="P6" s="1973" t="s">
        <v>411</v>
      </c>
      <c r="Q6" s="1973"/>
      <c r="R6" s="1973"/>
    </row>
    <row r="7" spans="1:23">
      <c r="A7" s="773">
        <v>1965</v>
      </c>
      <c r="B7" s="484">
        <v>0</v>
      </c>
      <c r="C7" s="483">
        <v>0.41661999999999999</v>
      </c>
      <c r="J7" s="911"/>
      <c r="K7" s="911"/>
      <c r="L7" s="911"/>
      <c r="M7" s="911"/>
      <c r="N7" s="95"/>
      <c r="O7" s="95"/>
      <c r="P7" s="1245" t="s">
        <v>34</v>
      </c>
      <c r="Q7" s="774" t="str">
        <f>B6</f>
        <v>Western Australia (GL)</v>
      </c>
      <c r="R7" s="775" t="str">
        <f>C6</f>
        <v>Rest of Australia (GL)</v>
      </c>
    </row>
    <row r="8" spans="1:23">
      <c r="A8" s="773">
        <v>1966</v>
      </c>
      <c r="B8" s="639">
        <v>0</v>
      </c>
      <c r="C8" s="640">
        <v>0.53867200000000004</v>
      </c>
      <c r="J8" s="911"/>
      <c r="K8" s="911"/>
      <c r="L8" s="911"/>
      <c r="M8" s="911"/>
      <c r="N8" s="95"/>
      <c r="O8" s="95"/>
      <c r="P8" s="657">
        <f>LARGE(A$7:A$69,10)</f>
        <v>2014</v>
      </c>
      <c r="Q8" s="1237">
        <f t="shared" ref="Q8:Q17" ca="1" si="0">SUMIF($A$7:$A$74,$P8,B$7:B$73)</f>
        <v>12.524324309000001</v>
      </c>
      <c r="R8" s="1263">
        <f t="shared" ref="R8:R17" si="1">SUMIF($A$7:$A$74,$P8,C$7:C$74)</f>
        <v>7.9256756909999986</v>
      </c>
    </row>
    <row r="9" spans="1:23">
      <c r="A9" s="773">
        <v>1967</v>
      </c>
      <c r="B9" s="484">
        <v>0.73855690000000007</v>
      </c>
      <c r="C9" s="483">
        <v>0.46932610000000002</v>
      </c>
      <c r="J9" s="911"/>
      <c r="K9" s="911"/>
      <c r="L9" s="911"/>
      <c r="M9" s="911"/>
      <c r="N9" s="95"/>
      <c r="O9" s="95"/>
      <c r="P9" s="656">
        <f>LARGE(A$7:A$69,9)</f>
        <v>2015</v>
      </c>
      <c r="Q9" s="686">
        <f t="shared" ca="1" si="0"/>
        <v>14.973535984</v>
      </c>
      <c r="R9" s="687">
        <f t="shared" si="1"/>
        <v>3.6764640159999988</v>
      </c>
    </row>
    <row r="10" spans="1:23">
      <c r="A10" s="773">
        <v>1968</v>
      </c>
      <c r="B10" s="639">
        <v>1.691354</v>
      </c>
      <c r="C10" s="640">
        <v>0.51414490000000002</v>
      </c>
      <c r="J10" s="911"/>
      <c r="K10" s="911" t="s">
        <v>258</v>
      </c>
      <c r="L10" s="911"/>
      <c r="M10" s="911"/>
      <c r="N10" s="95"/>
      <c r="O10" s="95"/>
      <c r="P10" s="657">
        <f>LARGE(A$7:A$69,8)</f>
        <v>2016</v>
      </c>
      <c r="Q10" s="1237">
        <f t="shared" ca="1" si="0"/>
        <v>12.270888789022798</v>
      </c>
      <c r="R10" s="1263">
        <f t="shared" si="1"/>
        <v>4.7191112109772</v>
      </c>
    </row>
    <row r="11" spans="1:23">
      <c r="A11" s="773">
        <v>1969</v>
      </c>
      <c r="B11" s="484">
        <v>2.0883660000000002</v>
      </c>
      <c r="C11" s="483">
        <v>0.41703750000000001</v>
      </c>
      <c r="J11" s="911"/>
      <c r="K11" s="911" t="s">
        <v>259</v>
      </c>
      <c r="L11" s="911"/>
      <c r="M11" s="911"/>
      <c r="N11" s="95"/>
      <c r="O11" s="95"/>
      <c r="P11" s="656">
        <f>LARGE(A$7:A$69,7)</f>
        <v>2017</v>
      </c>
      <c r="Q11" s="686">
        <f t="shared" ca="1" si="0"/>
        <v>11.54600424643619</v>
      </c>
      <c r="R11" s="687">
        <f t="shared" si="1"/>
        <v>4.941995753563809</v>
      </c>
    </row>
    <row r="12" spans="1:23">
      <c r="A12" s="773">
        <v>1970</v>
      </c>
      <c r="B12" s="639">
        <v>2.6482829999999997</v>
      </c>
      <c r="C12" s="640">
        <v>7.719716</v>
      </c>
      <c r="J12" s="911"/>
      <c r="K12" s="911"/>
      <c r="L12" s="911"/>
      <c r="M12" s="911"/>
      <c r="N12" s="95"/>
      <c r="O12" s="95"/>
      <c r="P12" s="657">
        <f>LARGE(A$7:A$69,6)</f>
        <v>2018</v>
      </c>
      <c r="Q12" s="1237">
        <f t="shared" ca="1" si="0"/>
        <v>12.419739846484219</v>
      </c>
      <c r="R12" s="1263">
        <f t="shared" si="1"/>
        <v>5.0628409999999997</v>
      </c>
    </row>
    <row r="13" spans="1:23">
      <c r="A13" s="773">
        <v>1971</v>
      </c>
      <c r="B13" s="484">
        <v>2.5990139999999999</v>
      </c>
      <c r="C13" s="483">
        <v>15.35299</v>
      </c>
      <c r="J13" s="911"/>
      <c r="K13" s="911"/>
      <c r="L13" s="911"/>
      <c r="M13" s="911"/>
      <c r="N13" s="95"/>
      <c r="O13" s="95"/>
      <c r="P13" s="656">
        <f>LARGE(A$7:A$69,5)</f>
        <v>2019</v>
      </c>
      <c r="Q13" s="686">
        <f t="shared" ca="1" si="0"/>
        <v>17.034276296441195</v>
      </c>
      <c r="R13" s="687">
        <f t="shared" si="1"/>
        <v>6.0302290000000003</v>
      </c>
    </row>
    <row r="14" spans="1:23">
      <c r="A14" s="773">
        <v>1972</v>
      </c>
      <c r="B14" s="639">
        <v>2.454863</v>
      </c>
      <c r="C14" s="640">
        <v>16.546130000000002</v>
      </c>
      <c r="K14" s="95"/>
      <c r="L14" s="95"/>
      <c r="M14" s="95"/>
      <c r="N14" s="95"/>
      <c r="O14" s="95"/>
      <c r="P14" s="657">
        <f>LARGE(A$7:A$69,4)</f>
        <v>2020</v>
      </c>
      <c r="Q14" s="1237">
        <f t="shared" ca="1" si="0"/>
        <v>15.947245886093519</v>
      </c>
      <c r="R14" s="1263">
        <f t="shared" si="1"/>
        <v>5.7037979999999999</v>
      </c>
    </row>
    <row r="15" spans="1:23">
      <c r="A15" s="773">
        <v>1973</v>
      </c>
      <c r="B15" s="484">
        <v>2.3218369999999999</v>
      </c>
      <c r="C15" s="483">
        <v>20.298159999999999</v>
      </c>
      <c r="K15" s="95"/>
      <c r="L15" s="95"/>
      <c r="M15" s="95"/>
      <c r="N15" s="95"/>
      <c r="O15" s="95"/>
      <c r="P15" s="656">
        <f>LARGE(A$7:A$69,3)</f>
        <v>2021</v>
      </c>
      <c r="Q15" s="686">
        <f t="shared" ca="1" si="0"/>
        <v>16.744140372760548</v>
      </c>
      <c r="R15" s="687">
        <f t="shared" si="1"/>
        <v>4.7230239705586303</v>
      </c>
    </row>
    <row r="16" spans="1:23">
      <c r="A16" s="773">
        <v>1974</v>
      </c>
      <c r="B16" s="639">
        <v>2.1989830000000001</v>
      </c>
      <c r="C16" s="640">
        <v>20.20402</v>
      </c>
      <c r="K16" s="95"/>
      <c r="L16" s="95"/>
      <c r="M16" s="95"/>
      <c r="N16" s="95"/>
      <c r="O16" s="95"/>
      <c r="P16" s="657">
        <f>LARGE(A$7:A$69,2)</f>
        <v>2022</v>
      </c>
      <c r="Q16" s="1237">
        <f t="shared" ca="1" si="0"/>
        <v>15.550406529337572</v>
      </c>
      <c r="R16" s="1263">
        <f t="shared" si="1"/>
        <v>4.3304269493691496</v>
      </c>
    </row>
    <row r="17" spans="1:18" ht="15.75" thickBot="1">
      <c r="A17" s="773">
        <v>1975</v>
      </c>
      <c r="B17" s="484">
        <v>2.0499050000000003</v>
      </c>
      <c r="C17" s="483">
        <v>21.78209</v>
      </c>
      <c r="P17" s="658">
        <f>LARGE(A$7:A$69,1)</f>
        <v>2023</v>
      </c>
      <c r="Q17" s="1264">
        <f t="shared" ca="1" si="0"/>
        <v>14.415667303148282</v>
      </c>
      <c r="R17" s="1265">
        <f t="shared" si="1"/>
        <v>4.02621979819489</v>
      </c>
    </row>
    <row r="18" spans="1:18">
      <c r="A18" s="773">
        <v>1976</v>
      </c>
      <c r="B18" s="639">
        <v>1.776065</v>
      </c>
      <c r="C18" s="640">
        <v>22.474930000000001</v>
      </c>
    </row>
    <row r="19" spans="1:18">
      <c r="A19" s="773">
        <v>1977</v>
      </c>
      <c r="B19" s="484">
        <v>1.874762</v>
      </c>
      <c r="C19" s="483">
        <v>23.120240000000003</v>
      </c>
    </row>
    <row r="20" spans="1:18">
      <c r="A20" s="773">
        <v>1978</v>
      </c>
      <c r="B20" s="639">
        <v>1.822473</v>
      </c>
      <c r="C20" s="640">
        <v>23.364529999999998</v>
      </c>
    </row>
    <row r="21" spans="1:18">
      <c r="A21" s="773">
        <v>1979</v>
      </c>
      <c r="B21" s="484">
        <v>1.4239999999999999</v>
      </c>
      <c r="C21" s="483">
        <v>23.943999999999999</v>
      </c>
    </row>
    <row r="22" spans="1:18">
      <c r="A22" s="773">
        <v>1980</v>
      </c>
      <c r="B22" s="639">
        <v>1.6279999999999999</v>
      </c>
      <c r="C22" s="640">
        <v>19.695</v>
      </c>
    </row>
    <row r="23" spans="1:18">
      <c r="A23" s="773">
        <v>1981</v>
      </c>
      <c r="B23" s="484">
        <v>1.4419999999999999</v>
      </c>
      <c r="C23" s="483">
        <v>20.262</v>
      </c>
    </row>
    <row r="24" spans="1:18">
      <c r="A24" s="773">
        <v>1982</v>
      </c>
      <c r="B24" s="639">
        <v>1.2809999999999999</v>
      </c>
      <c r="C24" s="640">
        <v>20.396999999999998</v>
      </c>
    </row>
    <row r="25" spans="1:18">
      <c r="A25" s="773">
        <v>1983</v>
      </c>
      <c r="B25" s="484">
        <v>1.2649999999999999</v>
      </c>
      <c r="C25" s="483">
        <v>23.8</v>
      </c>
    </row>
    <row r="26" spans="1:18">
      <c r="A26" s="773">
        <v>1984</v>
      </c>
      <c r="B26" s="639">
        <v>1.3240000000000001</v>
      </c>
      <c r="C26" s="640">
        <v>27.591000000000001</v>
      </c>
    </row>
    <row r="27" spans="1:18">
      <c r="A27" s="773">
        <v>1985</v>
      </c>
      <c r="B27" s="484">
        <v>1.476</v>
      </c>
      <c r="C27" s="483">
        <v>31.901</v>
      </c>
    </row>
    <row r="28" spans="1:18">
      <c r="A28" s="773">
        <v>1986</v>
      </c>
      <c r="B28" s="639">
        <v>2.0299999999999998</v>
      </c>
      <c r="C28" s="640">
        <v>27.734000000000002</v>
      </c>
    </row>
    <row r="29" spans="1:18">
      <c r="A29" s="773">
        <v>1987</v>
      </c>
      <c r="B29" s="484">
        <v>2.6859999999999999</v>
      </c>
      <c r="C29" s="483">
        <v>29.187999999999999</v>
      </c>
    </row>
    <row r="30" spans="1:18">
      <c r="A30" s="773">
        <v>1988</v>
      </c>
      <c r="B30" s="639">
        <v>3.1869999999999998</v>
      </c>
      <c r="C30" s="640">
        <v>26.952000000000002</v>
      </c>
    </row>
    <row r="31" spans="1:18">
      <c r="A31" s="773">
        <v>1989</v>
      </c>
      <c r="B31" s="484">
        <v>3.867</v>
      </c>
      <c r="C31" s="483">
        <v>24.533999999999999</v>
      </c>
    </row>
    <row r="32" spans="1:18">
      <c r="A32" s="773">
        <v>1990</v>
      </c>
      <c r="B32" s="639">
        <v>6.92</v>
      </c>
      <c r="C32" s="640">
        <v>26.567</v>
      </c>
    </row>
    <row r="33" spans="1:3">
      <c r="A33" s="773">
        <v>1991</v>
      </c>
      <c r="B33" s="484">
        <v>7.0839999999999996</v>
      </c>
      <c r="C33" s="483">
        <v>24.526</v>
      </c>
    </row>
    <row r="34" spans="1:3">
      <c r="A34" s="773">
        <v>1992</v>
      </c>
      <c r="B34" s="639">
        <v>7.1070000000000002</v>
      </c>
      <c r="C34" s="640">
        <v>23.945</v>
      </c>
    </row>
    <row r="35" spans="1:3">
      <c r="A35" s="773">
        <v>1993</v>
      </c>
      <c r="B35" s="484">
        <v>6.1619999999999999</v>
      </c>
      <c r="C35" s="483">
        <v>22.596</v>
      </c>
    </row>
    <row r="36" spans="1:3">
      <c r="A36" s="773">
        <v>1994</v>
      </c>
      <c r="B36" s="639">
        <v>11.09408</v>
      </c>
      <c r="C36" s="640">
        <v>20.153919999999999</v>
      </c>
    </row>
    <row r="37" spans="1:3">
      <c r="A37" s="773">
        <v>1995</v>
      </c>
      <c r="B37" s="484">
        <v>12.51158</v>
      </c>
      <c r="C37" s="483">
        <v>16.872420000000002</v>
      </c>
    </row>
    <row r="38" spans="1:3">
      <c r="A38" s="773">
        <v>1996</v>
      </c>
      <c r="B38" s="639">
        <v>16.224634999999999</v>
      </c>
      <c r="C38" s="640">
        <v>15.353365</v>
      </c>
    </row>
    <row r="39" spans="1:3">
      <c r="A39" s="773">
        <v>1997</v>
      </c>
      <c r="B39" s="484">
        <v>15.976610000000001</v>
      </c>
      <c r="C39" s="483">
        <v>16.927389999999999</v>
      </c>
    </row>
    <row r="40" spans="1:3">
      <c r="A40" s="773">
        <v>1998</v>
      </c>
      <c r="B40" s="639">
        <v>17.382999999999999</v>
      </c>
      <c r="C40" s="640">
        <v>13.651999999999999</v>
      </c>
    </row>
    <row r="41" spans="1:3">
      <c r="A41" s="773">
        <v>1999</v>
      </c>
      <c r="B41" s="484">
        <f>SUMIF('Petroleum - Q&amp;V 1'!H$8:H$508, A41,'Petroleum - Q&amp;V 1'!F$8:F$508)</f>
        <v>14.055568000000001</v>
      </c>
      <c r="C41" s="483">
        <v>16.036999999999999</v>
      </c>
    </row>
    <row r="42" spans="1:3">
      <c r="A42" s="773">
        <v>2000</v>
      </c>
      <c r="B42" s="639">
        <f>SUMIF('Petroleum - Q&amp;V 1'!H$8:H$508, A42,'Petroleum - Q&amp;V 1'!F$8:F$508)</f>
        <v>19.939762000000002</v>
      </c>
      <c r="C42" s="640">
        <v>20.478000000000002</v>
      </c>
    </row>
    <row r="43" spans="1:3">
      <c r="A43" s="773">
        <v>2001</v>
      </c>
      <c r="B43" s="484">
        <f>SUMIF('Petroleum - Q&amp;V 1'!H$8:H$508, A43,'Petroleum - Q&amp;V 1'!F$8:F$508)</f>
        <v>20.076323000000002</v>
      </c>
      <c r="C43" s="483">
        <v>16.702677000000001</v>
      </c>
    </row>
    <row r="44" spans="1:3">
      <c r="A44" s="773">
        <v>2002</v>
      </c>
      <c r="B44" s="639">
        <f>SUMIF('Petroleum - Q&amp;V 1'!H$8:H$508, A44,'Petroleum - Q&amp;V 1'!F$8:F$508)</f>
        <v>22.166976999999996</v>
      </c>
      <c r="C44" s="640">
        <v>13.944922999999999</v>
      </c>
    </row>
    <row r="45" spans="1:3">
      <c r="A45" s="773">
        <v>2003</v>
      </c>
      <c r="B45" s="484">
        <f>SUMIF('Petroleum - Q&amp;V 1'!H$8:H$508, A45,'Petroleum - Q&amp;V 1'!F$8:F$508)</f>
        <v>20.513078</v>
      </c>
      <c r="C45" s="483">
        <v>9.5589230000000001</v>
      </c>
    </row>
    <row r="46" spans="1:3">
      <c r="A46" s="773">
        <v>2004</v>
      </c>
      <c r="B46" s="639">
        <f>SUMIF('Petroleum - Q&amp;V 1'!H$8:H$508, A46,'Petroleum - Q&amp;V 1'!F$8:F$508)</f>
        <v>17.702249000000002</v>
      </c>
      <c r="C46" s="640">
        <v>7.359886000000003</v>
      </c>
    </row>
    <row r="47" spans="1:3">
      <c r="A47" s="773">
        <v>2005</v>
      </c>
      <c r="B47" s="484">
        <f>SUMIF('Petroleum - Q&amp;V 1'!H$8:H$508, A47,'Petroleum - Q&amp;V 1'!F$8:F$508)</f>
        <v>19.058396999999999</v>
      </c>
      <c r="C47" s="483">
        <v>6.7048319999999997</v>
      </c>
    </row>
    <row r="48" spans="1:3">
      <c r="A48" s="773">
        <v>2006</v>
      </c>
      <c r="B48" s="639">
        <f>SUMIF('Petroleum - Q&amp;V 1'!H$8:H$508, A48,'Petroleum - Q&amp;V 1'!F$8:F$508)</f>
        <v>17.562943000000001</v>
      </c>
      <c r="C48" s="640">
        <v>8.4257999999999988</v>
      </c>
    </row>
    <row r="49" spans="1:5">
      <c r="A49" s="773">
        <v>2007</v>
      </c>
      <c r="B49" s="484">
        <f>SUMIF('Petroleum - Q&amp;V 1'!H$8:H$508, A49,'Petroleum - Q&amp;V 1'!F$8:F$508)</f>
        <v>19.051446000000002</v>
      </c>
      <c r="C49" s="483">
        <v>10.921000000000003</v>
      </c>
    </row>
    <row r="50" spans="1:5">
      <c r="A50" s="773">
        <v>2008</v>
      </c>
      <c r="B50" s="639">
        <f>SUMIF('Petroleum - Q&amp;V 1'!H$8:H$508, A50,'Petroleum - Q&amp;V 1'!F$8:F$508)</f>
        <v>19.049435000000003</v>
      </c>
      <c r="C50" s="640">
        <v>7.6799649999999993</v>
      </c>
    </row>
    <row r="51" spans="1:5">
      <c r="A51" s="773">
        <v>2009</v>
      </c>
      <c r="B51" s="484">
        <f>SUMIF('Petroleum - Q&amp;V 1'!H$8:H$508, A51,'Petroleum - Q&amp;V 1'!F$8:F$508)</f>
        <v>18.739460999999999</v>
      </c>
      <c r="C51" s="483">
        <v>5.8065390000000008</v>
      </c>
      <c r="E51" s="68"/>
    </row>
    <row r="52" spans="1:5">
      <c r="A52" s="773">
        <v>2010</v>
      </c>
      <c r="B52" s="639">
        <f>SUMIF('Petroleum - Q&amp;V 1'!H$8:H$508, A52,'Petroleum - Q&amp;V 1'!F$8:F$508)</f>
        <v>21.920589</v>
      </c>
      <c r="C52" s="640">
        <v>5.3974110000000017</v>
      </c>
    </row>
    <row r="53" spans="1:5">
      <c r="A53" s="773">
        <v>2011</v>
      </c>
      <c r="B53" s="484">
        <f>SUMIF('Petroleum - Q&amp;V 1'!H$8:H$508, A53,'Petroleum - Q&amp;V 1'!F$8:F$508)</f>
        <v>18.335720000000002</v>
      </c>
      <c r="C53" s="483">
        <v>5.5312799999999989</v>
      </c>
    </row>
    <row r="54" spans="1:5">
      <c r="A54" s="773">
        <v>2012</v>
      </c>
      <c r="B54" s="639">
        <f>SUMIF('Petroleum - Q&amp;V 1'!H$8:H$508, A54,'Petroleum - Q&amp;V 1'!F$8:F$508)</f>
        <v>15.991191000000001</v>
      </c>
      <c r="C54" s="640">
        <f>21.94-B54</f>
        <v>5.9488090000000007</v>
      </c>
    </row>
    <row r="55" spans="1:5">
      <c r="A55" s="773">
        <v>2013</v>
      </c>
      <c r="B55" s="484">
        <f>SUMIF('Petroleum - Q&amp;V 1'!H$8:H$508, A55,'Petroleum - Q&amp;V 1'!F$8:F$508)</f>
        <v>12.828248</v>
      </c>
      <c r="C55" s="483">
        <f>19.01-B55</f>
        <v>6.1817520000000012</v>
      </c>
    </row>
    <row r="56" spans="1:5">
      <c r="A56" s="773">
        <v>2014</v>
      </c>
      <c r="B56" s="639">
        <f>SUMIF('Petroleum - Q&amp;V 1'!H$8:H$508, A56,'Petroleum - Q&amp;V 1'!F$8:F$508)</f>
        <v>12.524324309000001</v>
      </c>
      <c r="C56" s="640">
        <f>20.45-B56</f>
        <v>7.9256756909999986</v>
      </c>
    </row>
    <row r="57" spans="1:5">
      <c r="A57" s="773">
        <v>2015</v>
      </c>
      <c r="B57" s="484">
        <f>SUMIF('Petroleum - Q&amp;V 1'!H$8:H$508, A57,'Petroleum - Q&amp;V 1'!F$8:F$508)</f>
        <v>14.973535984</v>
      </c>
      <c r="C57" s="483">
        <f>18.65-B57</f>
        <v>3.6764640159999988</v>
      </c>
    </row>
    <row r="58" spans="1:5">
      <c r="A58" s="773">
        <v>2016</v>
      </c>
      <c r="B58" s="639">
        <f>SUMIF('Petroleum - Q&amp;V 1'!H$8:H$508, A58,'Petroleum - Q&amp;V 1'!F$8:F$508)</f>
        <v>12.270888789022798</v>
      </c>
      <c r="C58" s="640">
        <f>16.99-B58</f>
        <v>4.7191112109772</v>
      </c>
    </row>
    <row r="59" spans="1:5">
      <c r="A59" s="773">
        <v>2017</v>
      </c>
      <c r="B59" s="484">
        <f>SUMIF('Petroleum - Q&amp;V 1'!H$8:H$508, A59,'Petroleum - Q&amp;V 1'!F$8:F$508)</f>
        <v>11.54600424643619</v>
      </c>
      <c r="C59" s="483">
        <v>4.941995753563809</v>
      </c>
    </row>
    <row r="60" spans="1:5">
      <c r="A60" s="773">
        <v>2018</v>
      </c>
      <c r="B60" s="639">
        <f>SUMIF('Petroleum - Q&amp;V 1'!H$8:H$508, A60,'Petroleum - Q&amp;V 1'!F$8:F$508)</f>
        <v>12.419739846484219</v>
      </c>
      <c r="C60" s="640">
        <v>5.0628409999999997</v>
      </c>
    </row>
    <row r="61" spans="1:5">
      <c r="A61" s="773">
        <v>2019</v>
      </c>
      <c r="B61" s="484">
        <f>SUMIF('Petroleum - Q&amp;V 1'!H$8:H$508, A61,'Petroleum - Q&amp;V 1'!F$8:F$508)</f>
        <v>17.034276296441195</v>
      </c>
      <c r="C61" s="483">
        <v>6.0302290000000003</v>
      </c>
    </row>
    <row r="62" spans="1:5">
      <c r="A62" s="773">
        <v>2020</v>
      </c>
      <c r="B62" s="1250">
        <f>SUMIF('Petroleum - Q&amp;V 1'!H$8:H$508, A62,'Petroleum - Q&amp;V 1'!F$8:F$508)</f>
        <v>15.947245886093519</v>
      </c>
      <c r="C62" s="640">
        <v>5.7037979999999999</v>
      </c>
    </row>
    <row r="63" spans="1:5">
      <c r="A63" s="773">
        <v>2021</v>
      </c>
      <c r="B63" s="617">
        <f>SUMIF('Petroleum - Q&amp;V 1'!H$8:H$508, A63,'Petroleum - Q&amp;V 1'!F$8:F$508)</f>
        <v>16.744140372760548</v>
      </c>
      <c r="C63" s="483">
        <v>4.7230239705586303</v>
      </c>
    </row>
    <row r="64" spans="1:5">
      <c r="A64" s="773">
        <v>2022</v>
      </c>
      <c r="B64" s="1250">
        <f>SUMIF('Petroleum - Q&amp;V 1'!H$8:H$508, A64,'Petroleum - Q&amp;V 1'!F$8:F$508)</f>
        <v>15.550406529337572</v>
      </c>
      <c r="C64" s="640">
        <v>4.3304269493691496</v>
      </c>
    </row>
    <row r="65" spans="1:20" ht="15.75" thickBot="1">
      <c r="A65" s="905">
        <v>2023</v>
      </c>
      <c r="B65" s="898">
        <f>SUMIF('Petroleum - Q&amp;V 1'!H$8:H$508, A65,'Petroleum - Q&amp;V 1'!F$8:F$508)</f>
        <v>14.415667303148282</v>
      </c>
      <c r="C65" s="1188">
        <v>4.02621979819489</v>
      </c>
      <c r="D65" s="95"/>
      <c r="E65" s="95"/>
      <c r="F65" s="95"/>
      <c r="G65" s="95"/>
      <c r="H65" s="95"/>
      <c r="I65" s="95"/>
      <c r="J65" s="95"/>
      <c r="K65" s="95"/>
      <c r="L65" s="95"/>
      <c r="M65" s="95"/>
      <c r="N65" s="95"/>
      <c r="O65" s="95"/>
      <c r="P65" s="95"/>
      <c r="Q65" s="95"/>
      <c r="R65" s="95"/>
      <c r="S65" s="95"/>
      <c r="T65" s="95"/>
    </row>
    <row r="66" spans="1:20">
      <c r="A66" s="95"/>
      <c r="B66" s="95"/>
      <c r="C66" s="95"/>
      <c r="D66" s="95"/>
      <c r="E66" s="95"/>
      <c r="F66" s="95"/>
      <c r="G66" s="95"/>
      <c r="H66" s="95"/>
      <c r="I66" s="95"/>
      <c r="J66" s="95"/>
      <c r="K66" s="95"/>
      <c r="L66" s="95"/>
      <c r="M66" s="95"/>
      <c r="N66" s="95"/>
      <c r="O66" s="95"/>
      <c r="P66" s="95"/>
      <c r="Q66" s="95"/>
      <c r="R66" s="95"/>
      <c r="S66" s="95"/>
      <c r="T66" s="95"/>
    </row>
    <row r="67" spans="1:20">
      <c r="A67" s="95"/>
      <c r="B67" s="95"/>
      <c r="C67" s="95"/>
      <c r="D67" s="95"/>
      <c r="E67" s="95"/>
      <c r="F67" s="95"/>
      <c r="G67" s="95"/>
      <c r="H67" s="95"/>
      <c r="I67" s="95"/>
      <c r="J67" s="95"/>
      <c r="K67" s="95"/>
      <c r="L67" s="95"/>
      <c r="M67" s="95"/>
      <c r="N67" s="95"/>
      <c r="O67" s="95"/>
      <c r="P67" s="95"/>
      <c r="Q67" s="95"/>
      <c r="R67" s="95"/>
      <c r="S67" s="95"/>
      <c r="T67" s="95"/>
    </row>
    <row r="68" spans="1:20">
      <c r="A68" s="95"/>
      <c r="B68" s="95"/>
      <c r="C68" s="95"/>
      <c r="D68" s="95"/>
      <c r="E68" s="95"/>
      <c r="F68" s="95"/>
      <c r="G68" s="95"/>
      <c r="H68" s="95"/>
      <c r="I68" s="95"/>
      <c r="J68" s="95"/>
      <c r="K68" s="95"/>
      <c r="L68" s="95"/>
      <c r="M68" s="95"/>
      <c r="N68" s="95"/>
      <c r="O68" s="95"/>
      <c r="P68" s="95"/>
      <c r="Q68" s="95"/>
      <c r="R68" s="95"/>
      <c r="S68" s="95"/>
      <c r="T68" s="95"/>
    </row>
    <row r="69" spans="1:20">
      <c r="A69" s="95"/>
      <c r="B69" s="95"/>
      <c r="C69" s="95"/>
      <c r="D69" s="95"/>
      <c r="E69" s="95"/>
      <c r="F69" s="95"/>
      <c r="G69" s="95"/>
      <c r="H69" s="95"/>
      <c r="I69" s="95"/>
      <c r="J69" s="95"/>
      <c r="K69" s="95"/>
      <c r="L69" s="95"/>
      <c r="M69" s="95"/>
      <c r="N69" s="95"/>
      <c r="O69" s="95"/>
      <c r="P69" s="95"/>
      <c r="Q69" s="95"/>
      <c r="R69" s="95"/>
      <c r="S69" s="95"/>
      <c r="T69" s="95"/>
    </row>
    <row r="70" spans="1:20">
      <c r="A70" s="95"/>
      <c r="B70" s="95"/>
      <c r="C70" s="95"/>
      <c r="D70" s="95"/>
      <c r="E70" s="95"/>
      <c r="F70" s="95"/>
      <c r="G70" s="95"/>
      <c r="H70" s="95"/>
      <c r="I70" s="95"/>
      <c r="J70" s="95"/>
      <c r="K70" s="95"/>
      <c r="L70" s="95"/>
      <c r="M70" s="95"/>
      <c r="N70" s="95"/>
      <c r="O70" s="95"/>
      <c r="P70" s="95"/>
      <c r="Q70" s="95"/>
      <c r="R70" s="95"/>
      <c r="S70" s="95"/>
      <c r="T70" s="95"/>
    </row>
    <row r="71" spans="1:20">
      <c r="A71" s="95"/>
      <c r="B71" s="95"/>
      <c r="C71" s="95"/>
      <c r="D71" s="95"/>
      <c r="E71" s="95"/>
      <c r="F71" s="95"/>
      <c r="G71" s="95"/>
      <c r="H71" s="95"/>
      <c r="I71" s="95"/>
      <c r="J71" s="95"/>
      <c r="K71" s="95"/>
      <c r="L71" s="95"/>
      <c r="M71" s="95"/>
      <c r="N71" s="95"/>
      <c r="O71" s="95"/>
      <c r="P71" s="95"/>
      <c r="Q71" s="95"/>
      <c r="R71" s="95"/>
      <c r="S71" s="95"/>
      <c r="T71" s="95"/>
    </row>
    <row r="72" spans="1:20">
      <c r="A72" s="95"/>
      <c r="B72" s="95"/>
      <c r="C72" s="95"/>
      <c r="D72" s="95"/>
      <c r="E72" s="95"/>
      <c r="F72" s="95"/>
      <c r="G72" s="95"/>
      <c r="H72" s="95"/>
      <c r="I72" s="95"/>
      <c r="J72" s="95"/>
      <c r="K72" s="95"/>
      <c r="L72" s="95"/>
      <c r="M72" s="95"/>
      <c r="N72" s="95"/>
      <c r="O72" s="95"/>
      <c r="P72" s="95"/>
      <c r="Q72" s="95"/>
      <c r="R72" s="95"/>
      <c r="S72" s="95"/>
      <c r="T72" s="95"/>
    </row>
    <row r="73" spans="1:20">
      <c r="A73" s="95"/>
      <c r="B73" s="95"/>
      <c r="C73" s="95"/>
      <c r="D73" s="95"/>
      <c r="E73" s="95"/>
      <c r="F73" s="95"/>
      <c r="G73" s="95"/>
      <c r="H73" s="95"/>
      <c r="I73" s="95"/>
      <c r="J73" s="95"/>
      <c r="K73" s="95"/>
      <c r="L73" s="95"/>
      <c r="M73" s="95"/>
      <c r="N73" s="95"/>
      <c r="O73" s="95"/>
      <c r="P73" s="95"/>
      <c r="Q73" s="95"/>
      <c r="R73" s="95"/>
      <c r="S73" s="95"/>
      <c r="T73" s="95"/>
    </row>
    <row r="74" spans="1:20">
      <c r="A74" s="95"/>
      <c r="B74" s="95"/>
      <c r="C74" s="95"/>
      <c r="D74" s="95"/>
      <c r="E74" s="95"/>
      <c r="F74" s="95"/>
      <c r="G74" s="95"/>
      <c r="H74" s="95"/>
      <c r="I74" s="95"/>
      <c r="J74" s="95"/>
      <c r="K74" s="95"/>
      <c r="L74" s="95"/>
      <c r="M74" s="95"/>
      <c r="N74" s="95"/>
      <c r="O74" s="95"/>
      <c r="P74" s="95"/>
      <c r="Q74" s="95"/>
      <c r="R74" s="95"/>
      <c r="S74" s="95"/>
      <c r="T74" s="95"/>
    </row>
    <row r="75" spans="1:20">
      <c r="A75" s="95"/>
      <c r="B75" s="95"/>
      <c r="C75" s="95"/>
      <c r="D75" s="95"/>
      <c r="E75" s="95"/>
      <c r="F75" s="95"/>
      <c r="G75" s="95"/>
      <c r="H75" s="95"/>
      <c r="I75" s="95"/>
      <c r="J75" s="95"/>
      <c r="K75" s="95"/>
      <c r="L75" s="95"/>
      <c r="M75" s="95"/>
      <c r="N75" s="95"/>
      <c r="O75" s="95"/>
      <c r="P75" s="95"/>
      <c r="Q75" s="95"/>
      <c r="R75" s="95"/>
      <c r="S75" s="95"/>
      <c r="T75" s="95"/>
    </row>
    <row r="76" spans="1:20">
      <c r="A76" s="95"/>
      <c r="B76" s="95"/>
      <c r="C76" s="95"/>
      <c r="D76" s="95"/>
      <c r="E76" s="95"/>
      <c r="F76" s="95"/>
      <c r="G76" s="95"/>
      <c r="H76" s="95"/>
      <c r="I76" s="95"/>
      <c r="J76" s="95"/>
      <c r="K76" s="95"/>
      <c r="L76" s="95"/>
      <c r="M76" s="95"/>
      <c r="N76" s="95"/>
      <c r="O76" s="95"/>
      <c r="P76" s="95"/>
      <c r="Q76" s="95"/>
      <c r="R76" s="95"/>
      <c r="S76" s="95"/>
      <c r="T76" s="95"/>
    </row>
    <row r="77" spans="1:20">
      <c r="A77" s="95"/>
      <c r="B77" s="95"/>
      <c r="C77" s="95"/>
      <c r="D77" s="95"/>
      <c r="E77" s="95"/>
      <c r="F77" s="95"/>
      <c r="G77" s="95"/>
      <c r="H77" s="95"/>
      <c r="I77" s="95"/>
      <c r="J77" s="95"/>
      <c r="K77" s="95"/>
      <c r="L77" s="95"/>
      <c r="M77" s="95"/>
      <c r="N77" s="95"/>
      <c r="O77" s="95"/>
      <c r="P77" s="95"/>
      <c r="Q77" s="95"/>
      <c r="R77" s="95"/>
      <c r="S77" s="95"/>
      <c r="T77" s="95"/>
    </row>
    <row r="78" spans="1:20">
      <c r="A78" s="95"/>
      <c r="B78" s="95"/>
      <c r="C78" s="95"/>
      <c r="D78" s="95"/>
      <c r="E78" s="95"/>
      <c r="F78" s="95"/>
      <c r="G78" s="95"/>
      <c r="H78" s="95"/>
      <c r="I78" s="95"/>
      <c r="J78" s="95"/>
      <c r="K78" s="95"/>
      <c r="L78" s="95"/>
      <c r="M78" s="95"/>
      <c r="N78" s="95"/>
      <c r="O78" s="95"/>
      <c r="P78" s="95"/>
      <c r="Q78" s="95"/>
      <c r="R78" s="95"/>
      <c r="S78" s="95"/>
      <c r="T78" s="95"/>
    </row>
    <row r="79" spans="1:20">
      <c r="A79" s="95"/>
      <c r="B79" s="95"/>
      <c r="C79" s="95"/>
      <c r="D79" s="95"/>
      <c r="E79" s="95"/>
      <c r="F79" s="95"/>
      <c r="G79" s="95"/>
      <c r="H79" s="95"/>
      <c r="I79" s="95"/>
      <c r="J79" s="95"/>
      <c r="K79" s="95"/>
      <c r="L79" s="95"/>
      <c r="M79" s="95"/>
      <c r="N79" s="95"/>
      <c r="O79" s="95"/>
      <c r="P79" s="95"/>
      <c r="Q79" s="95"/>
      <c r="R79" s="95"/>
      <c r="S79" s="95"/>
      <c r="T79" s="95"/>
    </row>
    <row r="80" spans="1:20">
      <c r="A80" s="95"/>
      <c r="B80" s="95"/>
      <c r="C80" s="95"/>
      <c r="D80" s="95"/>
      <c r="E80" s="95"/>
      <c r="F80" s="95"/>
      <c r="G80" s="95"/>
      <c r="H80" s="95"/>
      <c r="I80" s="95"/>
      <c r="J80" s="95"/>
      <c r="K80" s="95"/>
      <c r="L80" s="95"/>
      <c r="M80" s="95"/>
      <c r="N80" s="95"/>
      <c r="O80" s="95"/>
      <c r="P80" s="95"/>
      <c r="Q80" s="95"/>
      <c r="R80" s="95"/>
      <c r="S80" s="95"/>
      <c r="T80" s="95"/>
    </row>
    <row r="81" spans="1:20">
      <c r="A81" s="95"/>
      <c r="B81" s="95"/>
      <c r="C81" s="95"/>
      <c r="D81" s="95"/>
      <c r="E81" s="95"/>
      <c r="F81" s="95"/>
      <c r="G81" s="95"/>
      <c r="H81" s="95"/>
      <c r="I81" s="95"/>
      <c r="J81" s="95"/>
      <c r="K81" s="95"/>
      <c r="L81" s="95"/>
      <c r="M81" s="95"/>
      <c r="N81" s="95"/>
      <c r="O81" s="95"/>
      <c r="P81" s="95"/>
      <c r="Q81" s="95"/>
      <c r="R81" s="95"/>
      <c r="S81" s="95"/>
      <c r="T81" s="95"/>
    </row>
    <row r="82" spans="1:20">
      <c r="A82" s="95"/>
      <c r="B82" s="95"/>
      <c r="C82" s="95"/>
      <c r="D82" s="95"/>
      <c r="E82" s="95"/>
      <c r="F82" s="95"/>
      <c r="G82" s="95"/>
      <c r="H82" s="95"/>
      <c r="I82" s="95"/>
      <c r="J82" s="95"/>
      <c r="K82" s="95"/>
      <c r="L82" s="95"/>
      <c r="M82" s="95"/>
      <c r="N82" s="95"/>
      <c r="O82" s="95"/>
      <c r="P82" s="95"/>
      <c r="Q82" s="95"/>
      <c r="R82" s="95"/>
      <c r="S82" s="95"/>
      <c r="T82" s="95"/>
    </row>
    <row r="83" spans="1:20">
      <c r="A83" s="95"/>
      <c r="B83" s="95"/>
      <c r="C83" s="95"/>
      <c r="D83" s="95"/>
      <c r="E83" s="95"/>
      <c r="F83" s="95"/>
      <c r="G83" s="95"/>
      <c r="H83" s="95"/>
      <c r="I83" s="95"/>
      <c r="J83" s="95"/>
      <c r="K83" s="95"/>
      <c r="L83" s="95"/>
      <c r="M83" s="95"/>
      <c r="N83" s="95"/>
      <c r="O83" s="95"/>
      <c r="P83" s="95"/>
      <c r="Q83" s="95"/>
      <c r="R83" s="95"/>
      <c r="S83" s="95"/>
      <c r="T83" s="95"/>
    </row>
    <row r="84" spans="1:20">
      <c r="A84" s="95"/>
      <c r="B84" s="95"/>
      <c r="C84" s="95"/>
      <c r="D84" s="95"/>
      <c r="E84" s="95"/>
      <c r="F84" s="95"/>
      <c r="G84" s="95"/>
      <c r="H84" s="95"/>
      <c r="I84" s="95"/>
      <c r="J84" s="95"/>
      <c r="K84" s="95"/>
      <c r="L84" s="95"/>
      <c r="M84" s="95"/>
      <c r="N84" s="95"/>
      <c r="O84" s="95"/>
      <c r="P84" s="95"/>
      <c r="Q84" s="95"/>
      <c r="R84" s="95"/>
      <c r="S84" s="95"/>
      <c r="T84" s="95"/>
    </row>
    <row r="85" spans="1:20">
      <c r="A85" s="95"/>
      <c r="B85" s="95"/>
      <c r="C85" s="95"/>
      <c r="D85" s="95"/>
      <c r="E85" s="95"/>
      <c r="F85" s="95"/>
      <c r="G85" s="95"/>
      <c r="H85" s="95"/>
      <c r="I85" s="95"/>
      <c r="J85" s="95"/>
      <c r="K85" s="95"/>
      <c r="L85" s="95"/>
      <c r="M85" s="95"/>
      <c r="N85" s="95"/>
      <c r="O85" s="95"/>
      <c r="P85" s="95"/>
      <c r="Q85" s="95"/>
      <c r="R85" s="95"/>
      <c r="S85" s="95"/>
      <c r="T85" s="95"/>
    </row>
    <row r="86" spans="1:20">
      <c r="A86" s="95"/>
      <c r="B86" s="95"/>
      <c r="C86" s="95"/>
      <c r="D86" s="95"/>
      <c r="E86" s="95"/>
      <c r="F86" s="95"/>
      <c r="G86" s="95"/>
      <c r="H86" s="95"/>
      <c r="I86" s="95"/>
      <c r="J86" s="95"/>
      <c r="K86" s="95"/>
      <c r="L86" s="95"/>
      <c r="M86" s="95"/>
      <c r="N86" s="95"/>
      <c r="O86" s="95"/>
      <c r="P86" s="95"/>
      <c r="Q86" s="95"/>
      <c r="R86" s="95"/>
      <c r="S86" s="95"/>
      <c r="T86" s="95"/>
    </row>
    <row r="87" spans="1:20">
      <c r="A87" s="95"/>
      <c r="B87" s="95"/>
      <c r="C87" s="95"/>
      <c r="D87" s="95"/>
      <c r="E87" s="95"/>
      <c r="F87" s="95"/>
      <c r="G87" s="95"/>
      <c r="H87" s="95"/>
      <c r="I87" s="95"/>
      <c r="J87" s="95"/>
      <c r="K87" s="95"/>
      <c r="L87" s="95"/>
      <c r="M87" s="95"/>
      <c r="N87" s="95"/>
      <c r="O87" s="95"/>
      <c r="P87" s="95"/>
      <c r="Q87" s="95"/>
      <c r="R87" s="95"/>
      <c r="S87" s="95"/>
      <c r="T87" s="95"/>
    </row>
    <row r="88" spans="1:20">
      <c r="A88" s="95"/>
      <c r="B88" s="95"/>
      <c r="C88" s="95"/>
      <c r="D88" s="95"/>
      <c r="E88" s="95"/>
      <c r="F88" s="95"/>
      <c r="G88" s="95"/>
      <c r="H88" s="95"/>
      <c r="I88" s="95"/>
      <c r="J88" s="95"/>
      <c r="K88" s="95"/>
      <c r="L88" s="95"/>
      <c r="M88" s="95"/>
      <c r="N88" s="95"/>
      <c r="O88" s="95"/>
      <c r="P88" s="95"/>
      <c r="Q88" s="95"/>
      <c r="R88" s="95"/>
      <c r="S88" s="95"/>
      <c r="T88" s="95"/>
    </row>
    <row r="89" spans="1:20">
      <c r="A89" s="95"/>
      <c r="B89" s="95"/>
      <c r="C89" s="95"/>
      <c r="D89" s="95"/>
      <c r="E89" s="95"/>
      <c r="F89" s="95"/>
      <c r="G89" s="95"/>
      <c r="H89" s="95"/>
      <c r="I89" s="95"/>
      <c r="J89" s="95"/>
      <c r="K89" s="95"/>
      <c r="L89" s="95"/>
      <c r="M89" s="95"/>
      <c r="N89" s="95"/>
      <c r="O89" s="95"/>
      <c r="P89" s="95"/>
      <c r="Q89" s="95"/>
      <c r="R89" s="95"/>
      <c r="S89" s="95"/>
      <c r="T89" s="95"/>
    </row>
  </sheetData>
  <mergeCells count="3">
    <mergeCell ref="A5:C5"/>
    <mergeCell ref="P5:R5"/>
    <mergeCell ref="P6:R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39997558519241921"/>
  </sheetPr>
  <dimension ref="A1:R51"/>
  <sheetViews>
    <sheetView showGridLines="0" workbookViewId="0"/>
  </sheetViews>
  <sheetFormatPr defaultRowHeight="15"/>
  <cols>
    <col min="1" max="1" width="6.5703125" style="381" bestFit="1" customWidth="1"/>
    <col min="2" max="2" width="25.42578125" style="381" bestFit="1" customWidth="1"/>
    <col min="3" max="3" width="23.85546875" style="381" bestFit="1" customWidth="1"/>
    <col min="4" max="4" width="9.140625" style="381" customWidth="1"/>
    <col min="5" max="5" width="9.140625" style="381"/>
    <col min="6" max="6" width="19.85546875" style="381" bestFit="1" customWidth="1"/>
    <col min="7" max="7" width="18.28515625" bestFit="1" customWidth="1"/>
    <col min="10" max="12" width="8.7109375" style="911"/>
    <col min="17" max="17" width="19.85546875" bestFit="1" customWidth="1"/>
    <col min="18" max="18" width="25.42578125" bestFit="1" customWidth="1"/>
    <col min="19" max="19" width="23.85546875" bestFit="1" customWidth="1"/>
    <col min="20" max="20" width="16.5703125" customWidth="1"/>
  </cols>
  <sheetData>
    <row r="1" spans="1:18">
      <c r="E1" s="383"/>
    </row>
    <row r="4" spans="1:18" ht="27.6" customHeight="1"/>
    <row r="5" spans="1:18" ht="16.5" customHeight="1" thickBot="1">
      <c r="A5" s="2092" t="s">
        <v>578</v>
      </c>
      <c r="B5" s="2092"/>
      <c r="C5" s="2092"/>
      <c r="P5" s="1948" t="s">
        <v>497</v>
      </c>
      <c r="Q5" s="1948"/>
      <c r="R5" s="1948"/>
    </row>
    <row r="6" spans="1:18" ht="17.100000000000001" customHeight="1" thickBot="1">
      <c r="A6" s="1251" t="s">
        <v>34</v>
      </c>
      <c r="B6" s="1252" t="s">
        <v>403</v>
      </c>
      <c r="C6" s="1253" t="s">
        <v>404</v>
      </c>
      <c r="P6" s="2065" t="s">
        <v>411</v>
      </c>
      <c r="Q6" s="2065"/>
      <c r="R6" s="2065"/>
    </row>
    <row r="7" spans="1:18">
      <c r="A7" s="1254">
        <v>1989</v>
      </c>
      <c r="B7" s="1788">
        <v>724675</v>
      </c>
      <c r="C7" s="1789">
        <v>0</v>
      </c>
      <c r="P7" s="1245" t="s">
        <v>34</v>
      </c>
      <c r="Q7" s="1260" t="str">
        <f>B6</f>
        <v>Western Australia (t)</v>
      </c>
      <c r="R7" s="1261" t="str">
        <f>C6</f>
        <v>Rest of Australia (t)</v>
      </c>
    </row>
    <row r="8" spans="1:18">
      <c r="A8" s="773">
        <v>1990</v>
      </c>
      <c r="B8" s="1778">
        <v>2945027.3076923075</v>
      </c>
      <c r="C8" s="1790">
        <v>0</v>
      </c>
      <c r="P8" s="1257">
        <f>LARGE(A$17:A$45,10)</f>
        <v>2014</v>
      </c>
      <c r="Q8" s="1793">
        <f t="shared" ref="Q8:Q17" ca="1" si="0">SUMIF($A$17:$A$50,$P8,B$17:B$49)</f>
        <v>20852601</v>
      </c>
      <c r="R8" s="1794">
        <f t="shared" ref="R8:R17" si="1">SUMIF($A$17:$A$50,$P8,C$17:C$50)</f>
        <v>3589960</v>
      </c>
    </row>
    <row r="9" spans="1:18">
      <c r="A9" s="773">
        <v>1991</v>
      </c>
      <c r="B9" s="1791">
        <v>3938443.6153846155</v>
      </c>
      <c r="C9" s="1792">
        <v>0</v>
      </c>
      <c r="P9" s="1256">
        <f>LARGE(A$17:A$45,9)</f>
        <v>2015</v>
      </c>
      <c r="Q9" s="1795">
        <f t="shared" ca="1" si="0"/>
        <v>20385653</v>
      </c>
      <c r="R9" s="1796">
        <f t="shared" si="1"/>
        <v>9810036.7450183667</v>
      </c>
    </row>
    <row r="10" spans="1:18">
      <c r="A10" s="773">
        <v>1992</v>
      </c>
      <c r="B10" s="1778">
        <v>4570048.634615385</v>
      </c>
      <c r="C10" s="1790">
        <v>0</v>
      </c>
      <c r="K10" s="911" t="s">
        <v>258</v>
      </c>
      <c r="P10" s="1257">
        <f>LARGE(A$17:A$45,8)</f>
        <v>2016</v>
      </c>
      <c r="Q10" s="1793">
        <f t="shared" ca="1" si="0"/>
        <v>23774656.646750003</v>
      </c>
      <c r="R10" s="1794">
        <f t="shared" si="1"/>
        <v>21123834.912853334</v>
      </c>
    </row>
    <row r="11" spans="1:18">
      <c r="A11" s="773">
        <v>1993</v>
      </c>
      <c r="B11" s="1791">
        <v>5091341.923076923</v>
      </c>
      <c r="C11" s="1792">
        <v>0</v>
      </c>
      <c r="K11" s="911" t="s">
        <v>259</v>
      </c>
      <c r="P11" s="1256">
        <f>LARGE(A$17:A$45,7)</f>
        <v>2017</v>
      </c>
      <c r="Q11" s="1795">
        <f t="shared" ca="1" si="0"/>
        <v>32729696.569625001</v>
      </c>
      <c r="R11" s="1796">
        <f t="shared" si="1"/>
        <v>23720687.584956668</v>
      </c>
    </row>
    <row r="12" spans="1:18">
      <c r="A12" s="773">
        <v>1994</v>
      </c>
      <c r="B12" s="1778">
        <v>6445317.692307692</v>
      </c>
      <c r="C12" s="1790">
        <v>0</v>
      </c>
      <c r="P12" s="1257">
        <f>LARGE(A$17:A$45,6)</f>
        <v>2018</v>
      </c>
      <c r="Q12" s="1793">
        <f t="shared" ca="1" si="0"/>
        <v>44542484.37063162</v>
      </c>
      <c r="R12" s="1794">
        <f t="shared" si="1"/>
        <v>24660348.820281334</v>
      </c>
    </row>
    <row r="13" spans="1:18">
      <c r="A13" s="773">
        <v>1995</v>
      </c>
      <c r="B13" s="1791">
        <v>7218118.519230769</v>
      </c>
      <c r="C13" s="1792">
        <v>0</v>
      </c>
      <c r="P13" s="1256">
        <f>LARGE(A$17:A$45,5)</f>
        <v>2019</v>
      </c>
      <c r="Q13" s="1795">
        <f t="shared" ca="1" si="0"/>
        <v>44630925.049404502</v>
      </c>
      <c r="R13" s="1796">
        <f t="shared" si="1"/>
        <v>32764694.395784575</v>
      </c>
    </row>
    <row r="14" spans="1:18">
      <c r="A14" s="773">
        <v>1996</v>
      </c>
      <c r="B14" s="1778">
        <v>7265855</v>
      </c>
      <c r="C14" s="1790">
        <v>0</v>
      </c>
      <c r="P14" s="1257">
        <f>LARGE(A$17:A$45,4)</f>
        <v>2020</v>
      </c>
      <c r="Q14" s="1793">
        <f t="shared" ca="1" si="0"/>
        <v>44063943.755874999</v>
      </c>
      <c r="R14" s="1794">
        <f t="shared" si="1"/>
        <v>34173181.687156245</v>
      </c>
    </row>
    <row r="15" spans="1:18">
      <c r="A15" s="773">
        <v>1997</v>
      </c>
      <c r="B15" s="1791">
        <v>7252140</v>
      </c>
      <c r="C15" s="1792">
        <v>0</v>
      </c>
      <c r="P15" s="1256">
        <f>LARGE(A$17:A$45,3)</f>
        <v>2021</v>
      </c>
      <c r="Q15" s="1795">
        <f t="shared" ca="1" si="0"/>
        <v>45658665.37390922</v>
      </c>
      <c r="R15" s="1796">
        <f t="shared" si="1"/>
        <v>34977565.140725397</v>
      </c>
    </row>
    <row r="16" spans="1:18">
      <c r="A16" s="773">
        <v>1998</v>
      </c>
      <c r="B16" s="1778">
        <v>7460694.230769231</v>
      </c>
      <c r="C16" s="1790">
        <v>0</v>
      </c>
      <c r="P16" s="1257">
        <f>LARGE(A$17:A$45,2)</f>
        <v>2022</v>
      </c>
      <c r="Q16" s="1793">
        <f t="shared" ca="1" si="0"/>
        <v>48608467.014604151</v>
      </c>
      <c r="R16" s="1794">
        <f t="shared" si="1"/>
        <v>32634067.539353501</v>
      </c>
    </row>
    <row r="17" spans="1:18" ht="15.75" thickBot="1">
      <c r="A17" s="773">
        <v>1999</v>
      </c>
      <c r="B17" s="1791">
        <f>SUMIF('Petroleum - Q&amp;V 2'!L$8:L$508, A17,'Petroleum - Q&amp;V 2'!C$8:C$508)</f>
        <v>7864308.2088672249</v>
      </c>
      <c r="C17" s="1792">
        <v>0</v>
      </c>
      <c r="P17" s="1259">
        <f>LARGE(A$17:A$45,1)</f>
        <v>2023</v>
      </c>
      <c r="Q17" s="1797">
        <f t="shared" ca="1" si="0"/>
        <v>48028219.391891703</v>
      </c>
      <c r="R17" s="1798">
        <f t="shared" si="1"/>
        <v>32690742.471300501</v>
      </c>
    </row>
    <row r="18" spans="1:18">
      <c r="A18" s="773">
        <v>2000</v>
      </c>
      <c r="B18" s="1778">
        <f>SUMIF('Petroleum - Q&amp;V 2'!L$8:L$508, A18,'Petroleum - Q&amp;V 2'!C$8:C$508)</f>
        <v>7808637.1174924597</v>
      </c>
      <c r="C18" s="1790">
        <v>0</v>
      </c>
    </row>
    <row r="19" spans="1:18">
      <c r="A19" s="773">
        <v>2001</v>
      </c>
      <c r="B19" s="1791">
        <f>SUMIF('Petroleum - Q&amp;V 2'!L$8:L$508, A19,'Petroleum - Q&amp;V 2'!C$8:C$508)</f>
        <v>7908707.098006526</v>
      </c>
      <c r="C19" s="1792">
        <v>0</v>
      </c>
    </row>
    <row r="20" spans="1:18">
      <c r="A20" s="773">
        <v>2002</v>
      </c>
      <c r="B20" s="1778">
        <f>SUMIF('Petroleum - Q&amp;V 2'!L$8:L$508, A20,'Petroleum - Q&amp;V 2'!C$8:C$508)</f>
        <v>8000993.128996823</v>
      </c>
      <c r="C20" s="1790">
        <v>0</v>
      </c>
    </row>
    <row r="21" spans="1:18">
      <c r="A21" s="773">
        <v>2003</v>
      </c>
      <c r="B21" s="1791">
        <f>SUMIF('Petroleum - Q&amp;V 2'!L$8:L$508, A21,'Petroleum - Q&amp;V 2'!C$8:C$508)</f>
        <v>8288457.5208532624</v>
      </c>
      <c r="C21" s="1792">
        <v>0</v>
      </c>
    </row>
    <row r="22" spans="1:18">
      <c r="A22" s="773">
        <v>2004</v>
      </c>
      <c r="B22" s="1778">
        <f>SUMIF('Petroleum - Q&amp;V 2'!L$8:L$508, A22,'Petroleum - Q&amp;V 2'!C$8:C$508)</f>
        <v>9219308.2852303274</v>
      </c>
      <c r="C22" s="1790">
        <v>0</v>
      </c>
    </row>
    <row r="23" spans="1:18">
      <c r="A23" s="773">
        <v>2005</v>
      </c>
      <c r="B23" s="1791">
        <f>SUMIF('Petroleum - Q&amp;V 2'!L$8:L$508, A23,'Petroleum - Q&amp;V 2'!C$8:C$508)</f>
        <v>11600612</v>
      </c>
      <c r="C23" s="1792">
        <v>0</v>
      </c>
    </row>
    <row r="24" spans="1:18">
      <c r="A24" s="773">
        <v>2006</v>
      </c>
      <c r="B24" s="1778">
        <f>SUMIF('Petroleum - Q&amp;V 2'!L$8:L$508, A24,'Petroleum - Q&amp;V 2'!C$8:C$508)</f>
        <v>11958780</v>
      </c>
      <c r="C24" s="1790">
        <v>2410337.7234242707</v>
      </c>
    </row>
    <row r="25" spans="1:18">
      <c r="A25" s="773">
        <v>2007</v>
      </c>
      <c r="B25" s="1791">
        <f>SUMIF('Petroleum - Q&amp;V 2'!L$8:L$508, A25,'Petroleum - Q&amp;V 2'!C$8:C$508)</f>
        <v>12375731</v>
      </c>
      <c r="C25" s="1792">
        <v>3007797</v>
      </c>
    </row>
    <row r="26" spans="1:18">
      <c r="A26" s="773">
        <v>2008</v>
      </c>
      <c r="B26" s="1778">
        <f>SUMIF('Petroleum - Q&amp;V 2'!L$8:L$508, A26,'Petroleum - Q&amp;V 2'!C$8:C$508)</f>
        <v>12381004</v>
      </c>
      <c r="C26" s="1790">
        <v>3433344</v>
      </c>
    </row>
    <row r="27" spans="1:18">
      <c r="A27" s="773">
        <v>2009</v>
      </c>
      <c r="B27" s="1791">
        <f>SUMIF('Petroleum - Q&amp;V 2'!L$8:L$508, A27,'Petroleum - Q&amp;V 2'!C$8:C$508)</f>
        <v>15252516</v>
      </c>
      <c r="C27" s="1792">
        <v>3404654.9999999995</v>
      </c>
    </row>
    <row r="28" spans="1:18">
      <c r="A28" s="773">
        <v>2010</v>
      </c>
      <c r="B28" s="1778">
        <f>SUMIF('Petroleum - Q&amp;V 2'!L$8:L$508, A28,'Petroleum - Q&amp;V 2'!C$8:C$508)</f>
        <v>16527193</v>
      </c>
      <c r="C28" s="1790">
        <v>3289517.0000000005</v>
      </c>
    </row>
    <row r="29" spans="1:18">
      <c r="A29" s="773">
        <v>2011</v>
      </c>
      <c r="B29" s="1791">
        <f>SUMIF('Petroleum - Q&amp;V 2'!L$8:L$508, A29,'Petroleum - Q&amp;V 2'!C$8:C$508)</f>
        <v>16554099.919233976</v>
      </c>
      <c r="C29" s="1792">
        <v>3671140</v>
      </c>
    </row>
    <row r="30" spans="1:18">
      <c r="A30" s="773">
        <v>2012</v>
      </c>
      <c r="B30" s="1778">
        <f>SUMIF('Petroleum - Q&amp;V 2'!L$8:L$508, A30,'Petroleum - Q&amp;V 2'!C$8:C$508)</f>
        <v>18260551</v>
      </c>
      <c r="C30" s="1790">
        <v>3525016</v>
      </c>
    </row>
    <row r="31" spans="1:18">
      <c r="A31" s="773">
        <v>2013</v>
      </c>
      <c r="B31" s="1791">
        <f>SUMIF('Petroleum - Q&amp;V 2'!L$8:L$508, A31,'Petroleum - Q&amp;V 2'!C$8:C$508)</f>
        <v>19220443</v>
      </c>
      <c r="C31" s="1792">
        <v>4001813.2</v>
      </c>
    </row>
    <row r="32" spans="1:18">
      <c r="A32" s="773">
        <v>2014</v>
      </c>
      <c r="B32" s="1778">
        <f>SUMIF('Petroleum - Q&amp;V 2'!L$8:L$508, A32,'Petroleum - Q&amp;V 2'!C$8:C$508)</f>
        <v>20852601</v>
      </c>
      <c r="C32" s="1790">
        <v>3589960</v>
      </c>
    </row>
    <row r="33" spans="1:3">
      <c r="A33" s="773">
        <v>2015</v>
      </c>
      <c r="B33" s="1791">
        <f>SUMIF('Petroleum - Q&amp;V 2'!L$8:L$508, A33,'Petroleum - Q&amp;V 2'!C$8:C$508)</f>
        <v>20385653</v>
      </c>
      <c r="C33" s="1792">
        <v>9810036.7450183667</v>
      </c>
    </row>
    <row r="34" spans="1:3">
      <c r="A34" s="773">
        <v>2016</v>
      </c>
      <c r="B34" s="1778">
        <f>SUMIF('Petroleum - Q&amp;V 2'!L$8:L$508, A34,'Petroleum - Q&amp;V 2'!C$8:C$508)</f>
        <v>23774656.646750003</v>
      </c>
      <c r="C34" s="1790">
        <v>21123834.912853334</v>
      </c>
    </row>
    <row r="35" spans="1:3">
      <c r="A35" s="773">
        <v>2017</v>
      </c>
      <c r="B35" s="1791">
        <f>SUMIF('Petroleum - Q&amp;V 2'!L$8:L$508, A35,'Petroleum - Q&amp;V 2'!C$8:C$508)</f>
        <v>32729696.569625001</v>
      </c>
      <c r="C35" s="1792">
        <v>23720687.584956668</v>
      </c>
    </row>
    <row r="36" spans="1:3">
      <c r="A36" s="773">
        <v>2018</v>
      </c>
      <c r="B36" s="1778">
        <f>SUMIF('Petroleum - Q&amp;V 2'!L$8:L$508, A36,'Petroleum - Q&amp;V 2'!C$8:C$508)</f>
        <v>44542484.37063162</v>
      </c>
      <c r="C36" s="1790">
        <v>24660348.820281334</v>
      </c>
    </row>
    <row r="37" spans="1:3">
      <c r="A37" s="773">
        <v>2019</v>
      </c>
      <c r="B37" s="1791">
        <f>SUMIF('Petroleum - Q&amp;V 2'!L$8:L$508, A37,'Petroleum - Q&amp;V 2'!C$8:C$508)</f>
        <v>44630925.049404502</v>
      </c>
      <c r="C37" s="1792">
        <v>32764694.395784575</v>
      </c>
    </row>
    <row r="38" spans="1:3">
      <c r="A38" s="773">
        <v>2020</v>
      </c>
      <c r="B38" s="1778">
        <f>SUMIF('Petroleum - Q&amp;V 2'!L$8:L$508, A38,'Petroleum - Q&amp;V 2'!C$8:C$508)</f>
        <v>44063943.755874999</v>
      </c>
      <c r="C38" s="1790">
        <v>34173181.687156245</v>
      </c>
    </row>
    <row r="39" spans="1:3">
      <c r="A39" s="773">
        <v>2021</v>
      </c>
      <c r="B39" s="1791">
        <f>SUMIF('Petroleum - Q&amp;V 2'!L$8:L$508, A39,'Petroleum - Q&amp;V 2'!C$8:C$508)</f>
        <v>45658665.37390922</v>
      </c>
      <c r="C39" s="1792">
        <v>34977565.140725397</v>
      </c>
    </row>
    <row r="40" spans="1:3">
      <c r="A40" s="773">
        <v>2022</v>
      </c>
      <c r="B40" s="1778">
        <f>SUMIF('Petroleum - Q&amp;V 2'!L$8:L$508, A40,'Petroleum - Q&amp;V 2'!C$8:C$508)</f>
        <v>48608467.014604151</v>
      </c>
      <c r="C40" s="1790">
        <v>32634067.539353501</v>
      </c>
    </row>
    <row r="41" spans="1:3" ht="15.75" thickBot="1">
      <c r="A41" s="905">
        <v>2023</v>
      </c>
      <c r="B41" s="1905">
        <f>SUMIF('Petroleum - Q&amp;V 2'!L$8:L$508, A41,'Petroleum - Q&amp;V 2'!C$8:C$508)</f>
        <v>48028219.391891703</v>
      </c>
      <c r="C41" s="1906">
        <v>32690742.471300501</v>
      </c>
    </row>
    <row r="51" spans="5:5">
      <c r="E51" s="68"/>
    </row>
  </sheetData>
  <mergeCells count="3">
    <mergeCell ref="A5:C5"/>
    <mergeCell ref="P5:R5"/>
    <mergeCell ref="P6:R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tabColor theme="2" tint="-0.499984740745262"/>
  </sheetPr>
  <dimension ref="A1:AA67"/>
  <sheetViews>
    <sheetView workbookViewId="0"/>
  </sheetViews>
  <sheetFormatPr defaultColWidth="9.140625" defaultRowHeight="15"/>
  <cols>
    <col min="1" max="1" width="9.140625" style="17"/>
    <col min="2" max="2" width="15.85546875" style="17" bestFit="1" customWidth="1"/>
    <col min="3" max="3" width="3" style="17" customWidth="1"/>
    <col min="4" max="5" width="5" style="323" hidden="1" customWidth="1"/>
    <col min="6" max="6" width="11.140625" style="17" customWidth="1"/>
    <col min="7" max="7" width="21.7109375" style="17" customWidth="1"/>
    <col min="8" max="8" width="0" style="17" hidden="1" customWidth="1"/>
    <col min="9" max="16384" width="9.140625" style="17"/>
  </cols>
  <sheetData>
    <row r="1" spans="1:27">
      <c r="AA1" s="237" t="s">
        <v>282</v>
      </c>
    </row>
    <row r="2" spans="1:27">
      <c r="AA2" s="237" t="s">
        <v>283</v>
      </c>
    </row>
    <row r="5" spans="1:27">
      <c r="A5" s="1948" t="s">
        <v>57</v>
      </c>
      <c r="B5" s="1948"/>
      <c r="C5" s="8"/>
      <c r="D5" s="268"/>
      <c r="E5" s="268"/>
      <c r="F5" s="1948" t="s">
        <v>58</v>
      </c>
      <c r="G5" s="1948"/>
      <c r="I5" s="92"/>
    </row>
    <row r="6" spans="1:27" ht="15.75" thickBot="1">
      <c r="A6" s="1977" t="s">
        <v>36</v>
      </c>
      <c r="B6" s="1977"/>
      <c r="C6" s="8"/>
      <c r="D6" s="268"/>
      <c r="E6" s="268"/>
      <c r="F6" s="1948" t="str">
        <f>F45</f>
        <v>Historic Financial Year</v>
      </c>
      <c r="G6" s="1948"/>
    </row>
    <row r="7" spans="1:27" ht="15.75" thickBot="1">
      <c r="A7" s="432" t="s">
        <v>35</v>
      </c>
      <c r="B7" s="21" t="s">
        <v>60</v>
      </c>
      <c r="C7" s="8"/>
      <c r="D7" s="268"/>
      <c r="E7" s="268"/>
      <c r="F7" s="20" t="s">
        <v>34</v>
      </c>
      <c r="G7" s="21" t="s">
        <v>59</v>
      </c>
    </row>
    <row r="8" spans="1:27">
      <c r="A8" s="433">
        <f>LARGE('Commodity Prices'!C$159:C$902,60)</f>
        <v>43466</v>
      </c>
      <c r="B8" s="24" t="e">
        <f>SUMIF('Commodity Prices'!C$62:C$902,A8,'Commodity Prices'!#REF!)</f>
        <v>#REF!</v>
      </c>
      <c r="C8" s="8"/>
      <c r="D8" s="268">
        <v>1986</v>
      </c>
      <c r="E8" s="268">
        <v>1987</v>
      </c>
      <c r="F8" s="436" t="str">
        <f>IF($F$6="Historic Calendar Year",1986,CONCATENATE(D8,"-",RIGHT(E8,2)))</f>
        <v>1986-87</v>
      </c>
      <c r="G8" s="10" t="str">
        <f t="array" ref="G8">IF($F$6="Historic Calendar Year",IFERROR(AVERAGE(IF($F8=YEAR('Commodity Prices'!C$100:C$1000),'Commodity Prices'!#REF!)),"NA"),IFERROR(IF(H8=0,"NA",H8),"NA"))</f>
        <v>NA</v>
      </c>
      <c r="H8" s="17" t="e">
        <f>(SUMIFS('Commodity Prices'!#REF!,'Commodity Prices'!$A$9:$A$2500,'Uranium - Prices'!D8,'Commodity Prices'!$B$9:$B$2500,3)+
SUMIFS('Commodity Prices'!#REF!,'Commodity Prices'!$A$9:$A$2500,'Uranium - Prices'!D8,'Commodity Prices'!$B$9:$B$2500,4)+
SUMIFS('Commodity Prices'!#REF!,'Commodity Prices'!$A$9:$A$2500,'Uranium - Prices'!E8,'Commodity Prices'!$B$9:$B$2500,1)+
SUMIFS('Commodity Prices'!#REF!,'Commodity Prices'!$A$9:$A$2500,'Uranium - Prices'!E8,'Commodity Prices'!$B$9:$B$2500,2))
/(COUNTIFS('Commodity Prices'!$A$9:$A$2500,'Uranium - Prices'!D8,'Commodity Prices'!$B$9:$B$2500,3)+
COUNTIFS('Commodity Prices'!$A$9:$A$2500,'Uranium - Prices'!D8,'Commodity Prices'!$B$9:$B$2500,4)+
COUNTIFS('Commodity Prices'!$A$9:$A$2500,'Uranium - Prices'!E8,'Commodity Prices'!$B$9:$B$2500,1)+
COUNTIFS('Commodity Prices'!$A$9:$A$2500,'Uranium - Prices'!E8,'Commodity Prices'!$B$9:$B$2500,2))</f>
        <v>#REF!</v>
      </c>
    </row>
    <row r="9" spans="1:27">
      <c r="A9" s="434">
        <f>LARGE('Commodity Prices'!C$159:C$902,59)</f>
        <v>43497</v>
      </c>
      <c r="B9" s="10" t="e">
        <f>SUMIF('Commodity Prices'!C$62:C$902,A9,'Commodity Prices'!#REF!)</f>
        <v>#REF!</v>
      </c>
      <c r="C9" s="8"/>
      <c r="D9" s="268">
        <f>D8+1</f>
        <v>1987</v>
      </c>
      <c r="E9" s="268">
        <f>E8+1</f>
        <v>1988</v>
      </c>
      <c r="F9" s="437" t="str">
        <f>IF($F$6="Historic Calendar Year",F8+1,CONCATENATE(D9,"-",RIGHT(E9,2)))</f>
        <v>1987-88</v>
      </c>
      <c r="G9" s="24" t="str">
        <f t="array" ref="G9">IF($F$6="Historic Calendar Year",IFERROR(AVERAGE(IF($F9=YEAR('Commodity Prices'!C$100:C$1000),'Commodity Prices'!#REF!)),"NA"),IFERROR(IF(H9=0,"NA",H9),"NA"))</f>
        <v>NA</v>
      </c>
      <c r="H9" s="323" t="e">
        <f>(SUMIFS('Commodity Prices'!#REF!,'Commodity Prices'!$A$9:$A$2500,'Uranium - Prices'!D9,'Commodity Prices'!$B$9:$B$2500,3)+
SUMIFS('Commodity Prices'!#REF!,'Commodity Prices'!$A$9:$A$2500,'Uranium - Prices'!D9,'Commodity Prices'!$B$9:$B$2500,4)+
SUMIFS('Commodity Prices'!#REF!,'Commodity Prices'!$A$9:$A$2500,'Uranium - Prices'!E9,'Commodity Prices'!$B$9:$B$2500,1)+
SUMIFS('Commodity Prices'!#REF!,'Commodity Prices'!$A$9:$A$2500,'Uranium - Prices'!E9,'Commodity Prices'!$B$9:$B$2500,2))
/(COUNTIFS('Commodity Prices'!$A$9:$A$2500,'Uranium - Prices'!D9,'Commodity Prices'!$B$9:$B$2500,3)+
COUNTIFS('Commodity Prices'!$A$9:$A$2500,'Uranium - Prices'!D9,'Commodity Prices'!$B$9:$B$2500,4)+
COUNTIFS('Commodity Prices'!$A$9:$A$2500,'Uranium - Prices'!E9,'Commodity Prices'!$B$9:$B$2500,1)+
COUNTIFS('Commodity Prices'!$A$9:$A$2500,'Uranium - Prices'!E9,'Commodity Prices'!$B$9:$B$2500,2))</f>
        <v>#REF!</v>
      </c>
    </row>
    <row r="10" spans="1:27">
      <c r="A10" s="433">
        <f>LARGE('Commodity Prices'!C$159:C$902,58)</f>
        <v>43525</v>
      </c>
      <c r="B10" s="24" t="e">
        <f>SUMIF('Commodity Prices'!C$62:C$902,A10,'Commodity Prices'!#REF!)</f>
        <v>#REF!</v>
      </c>
      <c r="C10" s="8"/>
      <c r="D10" s="268">
        <f t="shared" ref="D10:D42" si="0">D9+1</f>
        <v>1988</v>
      </c>
      <c r="E10" s="268">
        <f t="shared" ref="E10:E42" si="1">E9+1</f>
        <v>1989</v>
      </c>
      <c r="F10" s="436" t="str">
        <f t="shared" ref="F10:F42" si="2">IF($F$6="Historic Calendar Year",F9+1,CONCATENATE(D10,"-",RIGHT(E10,2)))</f>
        <v>1988-89</v>
      </c>
      <c r="G10" s="10" t="str">
        <f t="array" ref="G10">IF($F$6="Historic Calendar Year",IFERROR(AVERAGE(IF($F10=YEAR('Commodity Prices'!C$100:C$1000),'Commodity Prices'!#REF!)),"NA"),IFERROR(IF(H10=0,"NA",H10),"NA"))</f>
        <v>NA</v>
      </c>
      <c r="H10" s="323" t="e">
        <f>(SUMIFS('Commodity Prices'!#REF!,'Commodity Prices'!$A$9:$A$2500,'Uranium - Prices'!D10,'Commodity Prices'!$B$9:$B$2500,3)+
SUMIFS('Commodity Prices'!#REF!,'Commodity Prices'!$A$9:$A$2500,'Uranium - Prices'!D10,'Commodity Prices'!$B$9:$B$2500,4)+
SUMIFS('Commodity Prices'!#REF!,'Commodity Prices'!$A$9:$A$2500,'Uranium - Prices'!E10,'Commodity Prices'!$B$9:$B$2500,1)+
SUMIFS('Commodity Prices'!#REF!,'Commodity Prices'!$A$9:$A$2500,'Uranium - Prices'!E10,'Commodity Prices'!$B$9:$B$2500,2))
/(COUNTIFS('Commodity Prices'!$A$9:$A$2500,'Uranium - Prices'!D10,'Commodity Prices'!$B$9:$B$2500,3)+
COUNTIFS('Commodity Prices'!$A$9:$A$2500,'Uranium - Prices'!D10,'Commodity Prices'!$B$9:$B$2500,4)+
COUNTIFS('Commodity Prices'!$A$9:$A$2500,'Uranium - Prices'!E10,'Commodity Prices'!$B$9:$B$2500,1)+
COUNTIFS('Commodity Prices'!$A$9:$A$2500,'Uranium - Prices'!E10,'Commodity Prices'!$B$9:$B$2500,2))</f>
        <v>#REF!</v>
      </c>
    </row>
    <row r="11" spans="1:27">
      <c r="A11" s="434">
        <f>LARGE('Commodity Prices'!C$159:C$902,57)</f>
        <v>43556</v>
      </c>
      <c r="B11" s="10" t="e">
        <f>SUMIF('Commodity Prices'!C$62:C$902,A11,'Commodity Prices'!#REF!)</f>
        <v>#REF!</v>
      </c>
      <c r="C11" s="8"/>
      <c r="D11" s="268">
        <f t="shared" si="0"/>
        <v>1989</v>
      </c>
      <c r="E11" s="268">
        <f t="shared" si="1"/>
        <v>1990</v>
      </c>
      <c r="F11" s="437" t="str">
        <f t="shared" si="2"/>
        <v>1989-90</v>
      </c>
      <c r="G11" s="24" t="str">
        <f t="array" ref="G11">IF($F$6="Historic Calendar Year",IFERROR(AVERAGE(IF($F11=YEAR('Commodity Prices'!C$100:C$1000),'Commodity Prices'!#REF!)),"NA"),IFERROR(IF(H11=0,"NA",H11),"NA"))</f>
        <v>NA</v>
      </c>
      <c r="H11" s="323" t="e">
        <f>(SUMIFS('Commodity Prices'!#REF!,'Commodity Prices'!$A$9:$A$2500,'Uranium - Prices'!D11,'Commodity Prices'!$B$9:$B$2500,3)+
SUMIFS('Commodity Prices'!#REF!,'Commodity Prices'!$A$9:$A$2500,'Uranium - Prices'!D11,'Commodity Prices'!$B$9:$B$2500,4)+
SUMIFS('Commodity Prices'!#REF!,'Commodity Prices'!$A$9:$A$2500,'Uranium - Prices'!E11,'Commodity Prices'!$B$9:$B$2500,1)+
SUMIFS('Commodity Prices'!#REF!,'Commodity Prices'!$A$9:$A$2500,'Uranium - Prices'!E11,'Commodity Prices'!$B$9:$B$2500,2))
/(COUNTIFS('Commodity Prices'!$A$9:$A$2500,'Uranium - Prices'!D11,'Commodity Prices'!$B$9:$B$2500,3)+
COUNTIFS('Commodity Prices'!$A$9:$A$2500,'Uranium - Prices'!D11,'Commodity Prices'!$B$9:$B$2500,4)+
COUNTIFS('Commodity Prices'!$A$9:$A$2500,'Uranium - Prices'!E11,'Commodity Prices'!$B$9:$B$2500,1)+
COUNTIFS('Commodity Prices'!$A$9:$A$2500,'Uranium - Prices'!E11,'Commodity Prices'!$B$9:$B$2500,2))</f>
        <v>#REF!</v>
      </c>
    </row>
    <row r="12" spans="1:27">
      <c r="A12" s="433">
        <f>LARGE('Commodity Prices'!C$159:C$902,56)</f>
        <v>43586</v>
      </c>
      <c r="B12" s="24" t="e">
        <f>SUMIF('Commodity Prices'!C$62:C$902,A12,'Commodity Prices'!#REF!)</f>
        <v>#REF!</v>
      </c>
      <c r="C12" s="8"/>
      <c r="D12" s="268">
        <f t="shared" si="0"/>
        <v>1990</v>
      </c>
      <c r="E12" s="268">
        <f t="shared" si="1"/>
        <v>1991</v>
      </c>
      <c r="F12" s="436" t="str">
        <f t="shared" si="2"/>
        <v>1990-91</v>
      </c>
      <c r="G12" s="10" t="str">
        <f t="array" ref="G12">IF($F$6="Historic Calendar Year",IFERROR(AVERAGE(IF($F12=YEAR('Commodity Prices'!C$100:C$1000),'Commodity Prices'!#REF!)),"NA"),IFERROR(IF(H12=0,"NA",H12),"NA"))</f>
        <v>NA</v>
      </c>
      <c r="H12" s="323" t="e">
        <f>(SUMIFS('Commodity Prices'!#REF!,'Commodity Prices'!$A$9:$A$2500,'Uranium - Prices'!D12,'Commodity Prices'!$B$9:$B$2500,3)+
SUMIFS('Commodity Prices'!#REF!,'Commodity Prices'!$A$9:$A$2500,'Uranium - Prices'!D12,'Commodity Prices'!$B$9:$B$2500,4)+
SUMIFS('Commodity Prices'!#REF!,'Commodity Prices'!$A$9:$A$2500,'Uranium - Prices'!E12,'Commodity Prices'!$B$9:$B$2500,1)+
SUMIFS('Commodity Prices'!#REF!,'Commodity Prices'!$A$9:$A$2500,'Uranium - Prices'!E12,'Commodity Prices'!$B$9:$B$2500,2))
/(COUNTIFS('Commodity Prices'!$A$9:$A$2500,'Uranium - Prices'!D12,'Commodity Prices'!$B$9:$B$2500,3)+
COUNTIFS('Commodity Prices'!$A$9:$A$2500,'Uranium - Prices'!D12,'Commodity Prices'!$B$9:$B$2500,4)+
COUNTIFS('Commodity Prices'!$A$9:$A$2500,'Uranium - Prices'!E12,'Commodity Prices'!$B$9:$B$2500,1)+
COUNTIFS('Commodity Prices'!$A$9:$A$2500,'Uranium - Prices'!E12,'Commodity Prices'!$B$9:$B$2500,2))</f>
        <v>#REF!</v>
      </c>
    </row>
    <row r="13" spans="1:27">
      <c r="A13" s="434">
        <f>LARGE('Commodity Prices'!C$159:C$902,55)</f>
        <v>43617</v>
      </c>
      <c r="B13" s="10" t="e">
        <f>SUMIF('Commodity Prices'!C$62:C$902,A13,'Commodity Prices'!#REF!)</f>
        <v>#REF!</v>
      </c>
      <c r="C13" s="8"/>
      <c r="D13" s="268">
        <f t="shared" si="0"/>
        <v>1991</v>
      </c>
      <c r="E13" s="268">
        <f t="shared" si="1"/>
        <v>1992</v>
      </c>
      <c r="F13" s="437" t="str">
        <f t="shared" si="2"/>
        <v>1991-92</v>
      </c>
      <c r="G13" s="24" t="str">
        <f t="array" ref="G13">IF($F$6="Historic Calendar Year",IFERROR(AVERAGE(IF($F13=YEAR('Commodity Prices'!C$100:C$1000),'Commodity Prices'!#REF!)),"NA"),IFERROR(IF(H13=0,"NA",H13),"NA"))</f>
        <v>NA</v>
      </c>
      <c r="H13" s="323" t="e">
        <f>(SUMIFS('Commodity Prices'!#REF!,'Commodity Prices'!$A$9:$A$2500,'Uranium - Prices'!D13,'Commodity Prices'!$B$9:$B$2500,3)+
SUMIFS('Commodity Prices'!#REF!,'Commodity Prices'!$A$9:$A$2500,'Uranium - Prices'!D13,'Commodity Prices'!$B$9:$B$2500,4)+
SUMIFS('Commodity Prices'!#REF!,'Commodity Prices'!$A$9:$A$2500,'Uranium - Prices'!E13,'Commodity Prices'!$B$9:$B$2500,1)+
SUMIFS('Commodity Prices'!#REF!,'Commodity Prices'!$A$9:$A$2500,'Uranium - Prices'!E13,'Commodity Prices'!$B$9:$B$2500,2))
/(COUNTIFS('Commodity Prices'!$A$9:$A$2500,'Uranium - Prices'!D13,'Commodity Prices'!$B$9:$B$2500,3)+
COUNTIFS('Commodity Prices'!$A$9:$A$2500,'Uranium - Prices'!D13,'Commodity Prices'!$B$9:$B$2500,4)+
COUNTIFS('Commodity Prices'!$A$9:$A$2500,'Uranium - Prices'!E13,'Commodity Prices'!$B$9:$B$2500,1)+
COUNTIFS('Commodity Prices'!$A$9:$A$2500,'Uranium - Prices'!E13,'Commodity Prices'!$B$9:$B$2500,2))</f>
        <v>#REF!</v>
      </c>
    </row>
    <row r="14" spans="1:27">
      <c r="A14" s="433">
        <f>LARGE('Commodity Prices'!C$159:C$902,54)</f>
        <v>43647</v>
      </c>
      <c r="B14" s="24" t="e">
        <f>SUMIF('Commodity Prices'!C$62:C$902,A14,'Commodity Prices'!#REF!)</f>
        <v>#REF!</v>
      </c>
      <c r="C14" s="8"/>
      <c r="D14" s="268">
        <f t="shared" si="0"/>
        <v>1992</v>
      </c>
      <c r="E14" s="268">
        <f t="shared" si="1"/>
        <v>1993</v>
      </c>
      <c r="F14" s="436" t="str">
        <f t="shared" si="2"/>
        <v>1992-93</v>
      </c>
      <c r="G14" s="10" t="str">
        <f t="array" ref="G14">IF($F$6="Historic Calendar Year",IFERROR(AVERAGE(IF($F14=YEAR('Commodity Prices'!C$100:C$1000),'Commodity Prices'!#REF!)),"NA"),IFERROR(IF(H14=0,"NA",H14),"NA"))</f>
        <v>NA</v>
      </c>
      <c r="H14" s="323" t="e">
        <f>(SUMIFS('Commodity Prices'!#REF!,'Commodity Prices'!$A$9:$A$2500,'Uranium - Prices'!D14,'Commodity Prices'!$B$9:$B$2500,3)+
SUMIFS('Commodity Prices'!#REF!,'Commodity Prices'!$A$9:$A$2500,'Uranium - Prices'!D14,'Commodity Prices'!$B$9:$B$2500,4)+
SUMIFS('Commodity Prices'!#REF!,'Commodity Prices'!$A$9:$A$2500,'Uranium - Prices'!E14,'Commodity Prices'!$B$9:$B$2500,1)+
SUMIFS('Commodity Prices'!#REF!,'Commodity Prices'!$A$9:$A$2500,'Uranium - Prices'!E14,'Commodity Prices'!$B$9:$B$2500,2))
/(COUNTIFS('Commodity Prices'!$A$9:$A$2500,'Uranium - Prices'!D14,'Commodity Prices'!$B$9:$B$2500,3)+
COUNTIFS('Commodity Prices'!$A$9:$A$2500,'Uranium - Prices'!D14,'Commodity Prices'!$B$9:$B$2500,4)+
COUNTIFS('Commodity Prices'!$A$9:$A$2500,'Uranium - Prices'!E14,'Commodity Prices'!$B$9:$B$2500,1)+
COUNTIFS('Commodity Prices'!$A$9:$A$2500,'Uranium - Prices'!E14,'Commodity Prices'!$B$9:$B$2500,2))</f>
        <v>#REF!</v>
      </c>
    </row>
    <row r="15" spans="1:27">
      <c r="A15" s="434">
        <f>LARGE('Commodity Prices'!C$159:C$902,53)</f>
        <v>43678</v>
      </c>
      <c r="B15" s="10" t="e">
        <f>SUMIF('Commodity Prices'!C$62:C$902,A15,'Commodity Prices'!#REF!)</f>
        <v>#REF!</v>
      </c>
      <c r="C15" s="8"/>
      <c r="D15" s="268">
        <f t="shared" si="0"/>
        <v>1993</v>
      </c>
      <c r="E15" s="268">
        <f t="shared" si="1"/>
        <v>1994</v>
      </c>
      <c r="F15" s="437" t="str">
        <f t="shared" si="2"/>
        <v>1993-94</v>
      </c>
      <c r="G15" s="24" t="str">
        <f t="array" ref="G15">IF($F$6="Historic Calendar Year",IFERROR(AVERAGE(IF($F15=YEAR('Commodity Prices'!C$100:C$1000),'Commodity Prices'!#REF!)),"NA"),IFERROR(IF(H15=0,"NA",H15),"NA"))</f>
        <v>NA</v>
      </c>
      <c r="H15" s="323" t="e">
        <f>(SUMIFS('Commodity Prices'!#REF!,'Commodity Prices'!$A$9:$A$2500,'Uranium - Prices'!D15,'Commodity Prices'!$B$9:$B$2500,3)+
SUMIFS('Commodity Prices'!#REF!,'Commodity Prices'!$A$9:$A$2500,'Uranium - Prices'!D15,'Commodity Prices'!$B$9:$B$2500,4)+
SUMIFS('Commodity Prices'!#REF!,'Commodity Prices'!$A$9:$A$2500,'Uranium - Prices'!E15,'Commodity Prices'!$B$9:$B$2500,1)+
SUMIFS('Commodity Prices'!#REF!,'Commodity Prices'!$A$9:$A$2500,'Uranium - Prices'!E15,'Commodity Prices'!$B$9:$B$2500,2))
/(COUNTIFS('Commodity Prices'!$A$9:$A$2500,'Uranium - Prices'!D15,'Commodity Prices'!$B$9:$B$2500,3)+
COUNTIFS('Commodity Prices'!$A$9:$A$2500,'Uranium - Prices'!D15,'Commodity Prices'!$B$9:$B$2500,4)+
COUNTIFS('Commodity Prices'!$A$9:$A$2500,'Uranium - Prices'!E15,'Commodity Prices'!$B$9:$B$2500,1)+
COUNTIFS('Commodity Prices'!$A$9:$A$2500,'Uranium - Prices'!E15,'Commodity Prices'!$B$9:$B$2500,2))</f>
        <v>#REF!</v>
      </c>
    </row>
    <row r="16" spans="1:27">
      <c r="A16" s="433">
        <f>LARGE('Commodity Prices'!C$159:C$902,52)</f>
        <v>43709</v>
      </c>
      <c r="B16" s="24" t="e">
        <f>SUMIF('Commodity Prices'!C$62:C$902,A16,'Commodity Prices'!#REF!)</f>
        <v>#REF!</v>
      </c>
      <c r="C16" s="8"/>
      <c r="D16" s="268">
        <f t="shared" si="0"/>
        <v>1994</v>
      </c>
      <c r="E16" s="268">
        <f t="shared" si="1"/>
        <v>1995</v>
      </c>
      <c r="F16" s="436" t="str">
        <f t="shared" si="2"/>
        <v>1994-95</v>
      </c>
      <c r="G16" s="10" t="str">
        <f t="array" ref="G16">IF($F$6="Historic Calendar Year",IFERROR(AVERAGE(IF($F16=YEAR('Commodity Prices'!C$100:C$1000),'Commodity Prices'!#REF!)),"NA"),IFERROR(IF(H16=0,"NA",H16),"NA"))</f>
        <v>NA</v>
      </c>
      <c r="H16" s="323" t="e">
        <f>(SUMIFS('Commodity Prices'!#REF!,'Commodity Prices'!$A$9:$A$2500,'Uranium - Prices'!D16,'Commodity Prices'!$B$9:$B$2500,3)+
SUMIFS('Commodity Prices'!#REF!,'Commodity Prices'!$A$9:$A$2500,'Uranium - Prices'!D16,'Commodity Prices'!$B$9:$B$2500,4)+
SUMIFS('Commodity Prices'!#REF!,'Commodity Prices'!$A$9:$A$2500,'Uranium - Prices'!E16,'Commodity Prices'!$B$9:$B$2500,1)+
SUMIFS('Commodity Prices'!#REF!,'Commodity Prices'!$A$9:$A$2500,'Uranium - Prices'!E16,'Commodity Prices'!$B$9:$B$2500,2))
/(COUNTIFS('Commodity Prices'!$A$9:$A$2500,'Uranium - Prices'!D16,'Commodity Prices'!$B$9:$B$2500,3)+
COUNTIFS('Commodity Prices'!$A$9:$A$2500,'Uranium - Prices'!D16,'Commodity Prices'!$B$9:$B$2500,4)+
COUNTIFS('Commodity Prices'!$A$9:$A$2500,'Uranium - Prices'!E16,'Commodity Prices'!$B$9:$B$2500,1)+
COUNTIFS('Commodity Prices'!$A$9:$A$2500,'Uranium - Prices'!E16,'Commodity Prices'!$B$9:$B$2500,2))</f>
        <v>#REF!</v>
      </c>
    </row>
    <row r="17" spans="1:8">
      <c r="A17" s="434">
        <f>LARGE('Commodity Prices'!C$159:C$902,51)</f>
        <v>43739</v>
      </c>
      <c r="B17" s="10" t="e">
        <f>SUMIF('Commodity Prices'!C$62:C$902,A17,'Commodity Prices'!#REF!)</f>
        <v>#REF!</v>
      </c>
      <c r="C17" s="8"/>
      <c r="D17" s="268">
        <f t="shared" si="0"/>
        <v>1995</v>
      </c>
      <c r="E17" s="268">
        <f t="shared" si="1"/>
        <v>1996</v>
      </c>
      <c r="F17" s="437" t="str">
        <f t="shared" si="2"/>
        <v>1995-96</v>
      </c>
      <c r="G17" s="24" t="str">
        <f t="array" ref="G17">IF($F$6="Historic Calendar Year",IFERROR(AVERAGE(IF($F17=YEAR('Commodity Prices'!C$100:C$1000),'Commodity Prices'!#REF!)),"NA"),IFERROR(IF(H17=0,"NA",H17),"NA"))</f>
        <v>NA</v>
      </c>
      <c r="H17" s="323" t="e">
        <f>(SUMIFS('Commodity Prices'!#REF!,'Commodity Prices'!$A$9:$A$2500,'Uranium - Prices'!D17,'Commodity Prices'!$B$9:$B$2500,3)+
SUMIFS('Commodity Prices'!#REF!,'Commodity Prices'!$A$9:$A$2500,'Uranium - Prices'!D17,'Commodity Prices'!$B$9:$B$2500,4)+
SUMIFS('Commodity Prices'!#REF!,'Commodity Prices'!$A$9:$A$2500,'Uranium - Prices'!E17,'Commodity Prices'!$B$9:$B$2500,1)+
SUMIFS('Commodity Prices'!#REF!,'Commodity Prices'!$A$9:$A$2500,'Uranium - Prices'!E17,'Commodity Prices'!$B$9:$B$2500,2))
/(COUNTIFS('Commodity Prices'!$A$9:$A$2500,'Uranium - Prices'!D17,'Commodity Prices'!$B$9:$B$2500,3)+
COUNTIFS('Commodity Prices'!$A$9:$A$2500,'Uranium - Prices'!D17,'Commodity Prices'!$B$9:$B$2500,4)+
COUNTIFS('Commodity Prices'!$A$9:$A$2500,'Uranium - Prices'!E17,'Commodity Prices'!$B$9:$B$2500,1)+
COUNTIFS('Commodity Prices'!$A$9:$A$2500,'Uranium - Prices'!E17,'Commodity Prices'!$B$9:$B$2500,2))</f>
        <v>#REF!</v>
      </c>
    </row>
    <row r="18" spans="1:8">
      <c r="A18" s="433">
        <f>LARGE('Commodity Prices'!C$159:C$902,50)</f>
        <v>43770</v>
      </c>
      <c r="B18" s="24" t="e">
        <f>SUMIF('Commodity Prices'!C$62:C$902,A18,'Commodity Prices'!#REF!)</f>
        <v>#REF!</v>
      </c>
      <c r="C18" s="8"/>
      <c r="D18" s="268">
        <f t="shared" si="0"/>
        <v>1996</v>
      </c>
      <c r="E18" s="268">
        <f t="shared" si="1"/>
        <v>1997</v>
      </c>
      <c r="F18" s="436" t="str">
        <f t="shared" si="2"/>
        <v>1996-97</v>
      </c>
      <c r="G18" s="10" t="str">
        <f t="array" ref="G18">IF($F$6="Historic Calendar Year",IFERROR(AVERAGE(IF($F18=YEAR('Commodity Prices'!C$100:C$1000),'Commodity Prices'!#REF!)),"NA"),IFERROR(IF(H18=0,"NA",H18),"NA"))</f>
        <v>NA</v>
      </c>
      <c r="H18" s="323" t="e">
        <f>(SUMIFS('Commodity Prices'!#REF!,'Commodity Prices'!$A$9:$A$2500,'Uranium - Prices'!D18,'Commodity Prices'!$B$9:$B$2500,3)+
SUMIFS('Commodity Prices'!#REF!,'Commodity Prices'!$A$9:$A$2500,'Uranium - Prices'!D18,'Commodity Prices'!$B$9:$B$2500,4)+
SUMIFS('Commodity Prices'!#REF!,'Commodity Prices'!$A$9:$A$2500,'Uranium - Prices'!E18,'Commodity Prices'!$B$9:$B$2500,1)+
SUMIFS('Commodity Prices'!#REF!,'Commodity Prices'!$A$9:$A$2500,'Uranium - Prices'!E18,'Commodity Prices'!$B$9:$B$2500,2))
/(COUNTIFS('Commodity Prices'!$A$9:$A$2500,'Uranium - Prices'!D18,'Commodity Prices'!$B$9:$B$2500,3)+
COUNTIFS('Commodity Prices'!$A$9:$A$2500,'Uranium - Prices'!D18,'Commodity Prices'!$B$9:$B$2500,4)+
COUNTIFS('Commodity Prices'!$A$9:$A$2500,'Uranium - Prices'!E18,'Commodity Prices'!$B$9:$B$2500,1)+
COUNTIFS('Commodity Prices'!$A$9:$A$2500,'Uranium - Prices'!E18,'Commodity Prices'!$B$9:$B$2500,2))</f>
        <v>#REF!</v>
      </c>
    </row>
    <row r="19" spans="1:8">
      <c r="A19" s="434">
        <f>LARGE('Commodity Prices'!C$159:C$902,49)</f>
        <v>43800</v>
      </c>
      <c r="B19" s="10" t="e">
        <f>SUMIF('Commodity Prices'!C$62:C$902,A19,'Commodity Prices'!#REF!)</f>
        <v>#REF!</v>
      </c>
      <c r="C19" s="8"/>
      <c r="D19" s="268">
        <f t="shared" si="0"/>
        <v>1997</v>
      </c>
      <c r="E19" s="268">
        <f t="shared" si="1"/>
        <v>1998</v>
      </c>
      <c r="F19" s="437" t="str">
        <f t="shared" si="2"/>
        <v>1997-98</v>
      </c>
      <c r="G19" s="24" t="str">
        <f t="array" ref="G19">IF($F$6="Historic Calendar Year",IFERROR(AVERAGE(IF($F19=YEAR('Commodity Prices'!C$100:C$1000),'Commodity Prices'!#REF!)),"NA"),IFERROR(IF(H19=0,"NA",H19),"NA"))</f>
        <v>NA</v>
      </c>
      <c r="H19" s="323" t="e">
        <f>(SUMIFS('Commodity Prices'!#REF!,'Commodity Prices'!$A$9:$A$2500,'Uranium - Prices'!D19,'Commodity Prices'!$B$9:$B$2500,3)+
SUMIFS('Commodity Prices'!#REF!,'Commodity Prices'!$A$9:$A$2500,'Uranium - Prices'!D19,'Commodity Prices'!$B$9:$B$2500,4)+
SUMIFS('Commodity Prices'!#REF!,'Commodity Prices'!$A$9:$A$2500,'Uranium - Prices'!E19,'Commodity Prices'!$B$9:$B$2500,1)+
SUMIFS('Commodity Prices'!#REF!,'Commodity Prices'!$A$9:$A$2500,'Uranium - Prices'!E19,'Commodity Prices'!$B$9:$B$2500,2))
/(COUNTIFS('Commodity Prices'!$A$9:$A$2500,'Uranium - Prices'!D19,'Commodity Prices'!$B$9:$B$2500,3)+
COUNTIFS('Commodity Prices'!$A$9:$A$2500,'Uranium - Prices'!D19,'Commodity Prices'!$B$9:$B$2500,4)+
COUNTIFS('Commodity Prices'!$A$9:$A$2500,'Uranium - Prices'!E19,'Commodity Prices'!$B$9:$B$2500,1)+
COUNTIFS('Commodity Prices'!$A$9:$A$2500,'Uranium - Prices'!E19,'Commodity Prices'!$B$9:$B$2500,2))</f>
        <v>#REF!</v>
      </c>
    </row>
    <row r="20" spans="1:8">
      <c r="A20" s="433">
        <f>LARGE('Commodity Prices'!C$159:C$902,48)</f>
        <v>43831</v>
      </c>
      <c r="B20" s="24" t="e">
        <f>SUMIF('Commodity Prices'!C$62:C$902,A20,'Commodity Prices'!#REF!)</f>
        <v>#REF!</v>
      </c>
      <c r="C20" s="8"/>
      <c r="D20" s="268">
        <f t="shared" si="0"/>
        <v>1998</v>
      </c>
      <c r="E20" s="268">
        <f t="shared" si="1"/>
        <v>1999</v>
      </c>
      <c r="F20" s="436" t="str">
        <f t="shared" si="2"/>
        <v>1998-99</v>
      </c>
      <c r="G20" s="10" t="str">
        <f t="array" ref="G20">IF($F$6="Historic Calendar Year",IFERROR(AVERAGE(IF($F20=YEAR('Commodity Prices'!C$100:C$1000),'Commodity Prices'!#REF!)),"NA"),IFERROR(IF(H20=0,"NA",H20),"NA"))</f>
        <v>NA</v>
      </c>
      <c r="H20" s="323" t="e">
        <f>(SUMIFS('Commodity Prices'!#REF!,'Commodity Prices'!$A$9:$A$2500,'Uranium - Prices'!D20,'Commodity Prices'!$B$9:$B$2500,3)+
SUMIFS('Commodity Prices'!#REF!,'Commodity Prices'!$A$9:$A$2500,'Uranium - Prices'!D20,'Commodity Prices'!$B$9:$B$2500,4)+
SUMIFS('Commodity Prices'!#REF!,'Commodity Prices'!$A$9:$A$2500,'Uranium - Prices'!E20,'Commodity Prices'!$B$9:$B$2500,1)+
SUMIFS('Commodity Prices'!#REF!,'Commodity Prices'!$A$9:$A$2500,'Uranium - Prices'!E20,'Commodity Prices'!$B$9:$B$2500,2))
/(COUNTIFS('Commodity Prices'!$A$9:$A$2500,'Uranium - Prices'!D20,'Commodity Prices'!$B$9:$B$2500,3)+
COUNTIFS('Commodity Prices'!$A$9:$A$2500,'Uranium - Prices'!D20,'Commodity Prices'!$B$9:$B$2500,4)+
COUNTIFS('Commodity Prices'!$A$9:$A$2500,'Uranium - Prices'!E20,'Commodity Prices'!$B$9:$B$2500,1)+
COUNTIFS('Commodity Prices'!$A$9:$A$2500,'Uranium - Prices'!E20,'Commodity Prices'!$B$9:$B$2500,2))</f>
        <v>#REF!</v>
      </c>
    </row>
    <row r="21" spans="1:8">
      <c r="A21" s="434">
        <f>LARGE('Commodity Prices'!C$159:C$902,47)</f>
        <v>43862</v>
      </c>
      <c r="B21" s="10" t="e">
        <f>SUMIF('Commodity Prices'!C$62:C$902,A21,'Commodity Prices'!#REF!)</f>
        <v>#REF!</v>
      </c>
      <c r="C21" s="8"/>
      <c r="D21" s="268">
        <f t="shared" si="0"/>
        <v>1999</v>
      </c>
      <c r="E21" s="268">
        <f t="shared" si="1"/>
        <v>2000</v>
      </c>
      <c r="F21" s="437" t="str">
        <f t="shared" si="2"/>
        <v>1999-00</v>
      </c>
      <c r="G21" s="24" t="str">
        <f t="array" ref="G21">IF($F$6="Historic Calendar Year",IFERROR(AVERAGE(IF($F21=YEAR('Commodity Prices'!C$100:C$1000),'Commodity Prices'!#REF!)),"NA"),IFERROR(IF(H21=0,"NA",H21),"NA"))</f>
        <v>NA</v>
      </c>
      <c r="H21" s="323" t="e">
        <f>(SUMIFS('Commodity Prices'!#REF!,'Commodity Prices'!$A$9:$A$2500,'Uranium - Prices'!D21,'Commodity Prices'!$B$9:$B$2500,3)+
SUMIFS('Commodity Prices'!#REF!,'Commodity Prices'!$A$9:$A$2500,'Uranium - Prices'!D21,'Commodity Prices'!$B$9:$B$2500,4)+
SUMIFS('Commodity Prices'!#REF!,'Commodity Prices'!$A$9:$A$2500,'Uranium - Prices'!E21,'Commodity Prices'!$B$9:$B$2500,1)+
SUMIFS('Commodity Prices'!#REF!,'Commodity Prices'!$A$9:$A$2500,'Uranium - Prices'!E21,'Commodity Prices'!$B$9:$B$2500,2))
/(COUNTIFS('Commodity Prices'!$A$9:$A$2500,'Uranium - Prices'!D21,'Commodity Prices'!$B$9:$B$2500,3)+
COUNTIFS('Commodity Prices'!$A$9:$A$2500,'Uranium - Prices'!D21,'Commodity Prices'!$B$9:$B$2500,4)+
COUNTIFS('Commodity Prices'!$A$9:$A$2500,'Uranium - Prices'!E21,'Commodity Prices'!$B$9:$B$2500,1)+
COUNTIFS('Commodity Prices'!$A$9:$A$2500,'Uranium - Prices'!E21,'Commodity Prices'!$B$9:$B$2500,2))</f>
        <v>#REF!</v>
      </c>
    </row>
    <row r="22" spans="1:8">
      <c r="A22" s="433">
        <f>LARGE('Commodity Prices'!C$159:C$902,46)</f>
        <v>43891</v>
      </c>
      <c r="B22" s="24" t="e">
        <f>SUMIF('Commodity Prices'!C$62:C$902,A22,'Commodity Prices'!#REF!)</f>
        <v>#REF!</v>
      </c>
      <c r="C22" s="8"/>
      <c r="D22" s="268">
        <f t="shared" si="0"/>
        <v>2000</v>
      </c>
      <c r="E22" s="268">
        <f t="shared" si="1"/>
        <v>2001</v>
      </c>
      <c r="F22" s="436" t="str">
        <f t="shared" si="2"/>
        <v>2000-01</v>
      </c>
      <c r="G22" s="10" t="str">
        <f t="array" ref="G22">IF($F$6="Historic Calendar Year",IFERROR(AVERAGE(IF($F22=YEAR('Commodity Prices'!C$100:C$1000),'Commodity Prices'!#REF!)),"NA"),IFERROR(IF(H22=0,"NA",H22),"NA"))</f>
        <v>NA</v>
      </c>
      <c r="H22" s="323" t="e">
        <f>(SUMIFS('Commodity Prices'!#REF!,'Commodity Prices'!$A$9:$A$2500,'Uranium - Prices'!D22,'Commodity Prices'!$B$9:$B$2500,3)+
SUMIFS('Commodity Prices'!#REF!,'Commodity Prices'!$A$9:$A$2500,'Uranium - Prices'!D22,'Commodity Prices'!$B$9:$B$2500,4)+
SUMIFS('Commodity Prices'!#REF!,'Commodity Prices'!$A$9:$A$2500,'Uranium - Prices'!E22,'Commodity Prices'!$B$9:$B$2500,1)+
SUMIFS('Commodity Prices'!#REF!,'Commodity Prices'!$A$9:$A$2500,'Uranium - Prices'!E22,'Commodity Prices'!$B$9:$B$2500,2))
/(COUNTIFS('Commodity Prices'!$A$9:$A$2500,'Uranium - Prices'!D22,'Commodity Prices'!$B$9:$B$2500,3)+
COUNTIFS('Commodity Prices'!$A$9:$A$2500,'Uranium - Prices'!D22,'Commodity Prices'!$B$9:$B$2500,4)+
COUNTIFS('Commodity Prices'!$A$9:$A$2500,'Uranium - Prices'!E22,'Commodity Prices'!$B$9:$B$2500,1)+
COUNTIFS('Commodity Prices'!$A$9:$A$2500,'Uranium - Prices'!E22,'Commodity Prices'!$B$9:$B$2500,2))</f>
        <v>#REF!</v>
      </c>
    </row>
    <row r="23" spans="1:8">
      <c r="A23" s="434">
        <f>LARGE('Commodity Prices'!C$159:C$902,45)</f>
        <v>43922</v>
      </c>
      <c r="B23" s="10" t="e">
        <f>SUMIF('Commodity Prices'!C$62:C$902,A23,'Commodity Prices'!#REF!)</f>
        <v>#REF!</v>
      </c>
      <c r="C23" s="8"/>
      <c r="D23" s="268">
        <f t="shared" si="0"/>
        <v>2001</v>
      </c>
      <c r="E23" s="268">
        <f t="shared" si="1"/>
        <v>2002</v>
      </c>
      <c r="F23" s="437" t="str">
        <f t="shared" si="2"/>
        <v>2001-02</v>
      </c>
      <c r="G23" s="24" t="str">
        <f t="array" ref="G23">IF($F$6="Historic Calendar Year",IFERROR(AVERAGE(IF($F23=YEAR('Commodity Prices'!C$100:C$1000),'Commodity Prices'!#REF!)),"NA"),IFERROR(IF(H23=0,"NA",H23),"NA"))</f>
        <v>NA</v>
      </c>
      <c r="H23" s="323" t="e">
        <f>(SUMIFS('Commodity Prices'!#REF!,'Commodity Prices'!$A$9:$A$2500,'Uranium - Prices'!D23,'Commodity Prices'!$B$9:$B$2500,3)+
SUMIFS('Commodity Prices'!#REF!,'Commodity Prices'!$A$9:$A$2500,'Uranium - Prices'!D23,'Commodity Prices'!$B$9:$B$2500,4)+
SUMIFS('Commodity Prices'!#REF!,'Commodity Prices'!$A$9:$A$2500,'Uranium - Prices'!E23,'Commodity Prices'!$B$9:$B$2500,1)+
SUMIFS('Commodity Prices'!#REF!,'Commodity Prices'!$A$9:$A$2500,'Uranium - Prices'!E23,'Commodity Prices'!$B$9:$B$2500,2))
/(COUNTIFS('Commodity Prices'!$A$9:$A$2500,'Uranium - Prices'!D23,'Commodity Prices'!$B$9:$B$2500,3)+
COUNTIFS('Commodity Prices'!$A$9:$A$2500,'Uranium - Prices'!D23,'Commodity Prices'!$B$9:$B$2500,4)+
COUNTIFS('Commodity Prices'!$A$9:$A$2500,'Uranium - Prices'!E23,'Commodity Prices'!$B$9:$B$2500,1)+
COUNTIFS('Commodity Prices'!$A$9:$A$2500,'Uranium - Prices'!E23,'Commodity Prices'!$B$9:$B$2500,2))</f>
        <v>#REF!</v>
      </c>
    </row>
    <row r="24" spans="1:8">
      <c r="A24" s="433">
        <f>LARGE('Commodity Prices'!C$159:C$902,44)</f>
        <v>43952</v>
      </c>
      <c r="B24" s="24" t="e">
        <f>SUMIF('Commodity Prices'!C$62:C$902,A24,'Commodity Prices'!#REF!)</f>
        <v>#REF!</v>
      </c>
      <c r="C24" s="8"/>
      <c r="D24" s="268">
        <f t="shared" si="0"/>
        <v>2002</v>
      </c>
      <c r="E24" s="268">
        <f t="shared" si="1"/>
        <v>2003</v>
      </c>
      <c r="F24" s="436" t="str">
        <f t="shared" si="2"/>
        <v>2002-03</v>
      </c>
      <c r="G24" s="10" t="str">
        <f t="array" ref="G24">IF($F$6="Historic Calendar Year",IFERROR(AVERAGE(IF($F24=YEAR('Commodity Prices'!C$100:C$1000),'Commodity Prices'!#REF!)),"NA"),IFERROR(IF(H24=0,"NA",H24),"NA"))</f>
        <v>NA</v>
      </c>
      <c r="H24" s="323" t="e">
        <f>(SUMIFS('Commodity Prices'!#REF!,'Commodity Prices'!$A$9:$A$2500,'Uranium - Prices'!D24,'Commodity Prices'!$B$9:$B$2500,3)+
SUMIFS('Commodity Prices'!#REF!,'Commodity Prices'!$A$9:$A$2500,'Uranium - Prices'!D24,'Commodity Prices'!$B$9:$B$2500,4)+
SUMIFS('Commodity Prices'!#REF!,'Commodity Prices'!$A$9:$A$2500,'Uranium - Prices'!E24,'Commodity Prices'!$B$9:$B$2500,1)+
SUMIFS('Commodity Prices'!#REF!,'Commodity Prices'!$A$9:$A$2500,'Uranium - Prices'!E24,'Commodity Prices'!$B$9:$B$2500,2))
/(COUNTIFS('Commodity Prices'!$A$9:$A$2500,'Uranium - Prices'!D24,'Commodity Prices'!$B$9:$B$2500,3)+
COUNTIFS('Commodity Prices'!$A$9:$A$2500,'Uranium - Prices'!D24,'Commodity Prices'!$B$9:$B$2500,4)+
COUNTIFS('Commodity Prices'!$A$9:$A$2500,'Uranium - Prices'!E24,'Commodity Prices'!$B$9:$B$2500,1)+
COUNTIFS('Commodity Prices'!$A$9:$A$2500,'Uranium - Prices'!E24,'Commodity Prices'!$B$9:$B$2500,2))</f>
        <v>#REF!</v>
      </c>
    </row>
    <row r="25" spans="1:8">
      <c r="A25" s="434">
        <f>LARGE('Commodity Prices'!C$159:C$902,43)</f>
        <v>43983</v>
      </c>
      <c r="B25" s="10" t="e">
        <f>SUMIF('Commodity Prices'!C$62:C$902,A25,'Commodity Prices'!#REF!)</f>
        <v>#REF!</v>
      </c>
      <c r="C25" s="8"/>
      <c r="D25" s="268">
        <f t="shared" si="0"/>
        <v>2003</v>
      </c>
      <c r="E25" s="268">
        <f t="shared" si="1"/>
        <v>2004</v>
      </c>
      <c r="F25" s="437" t="str">
        <f t="shared" si="2"/>
        <v>2003-04</v>
      </c>
      <c r="G25" s="24" t="str">
        <f t="array" ref="G25">IF($F$6="Historic Calendar Year",IFERROR(AVERAGE(IF($F25=YEAR('Commodity Prices'!C$100:C$1000),'Commodity Prices'!#REF!)),"NA"),IFERROR(IF(H25=0,"NA",H25),"NA"))</f>
        <v>NA</v>
      </c>
      <c r="H25" s="323" t="e">
        <f>(SUMIFS('Commodity Prices'!#REF!,'Commodity Prices'!$A$9:$A$2500,'Uranium - Prices'!D25,'Commodity Prices'!$B$9:$B$2500,3)+
SUMIFS('Commodity Prices'!#REF!,'Commodity Prices'!$A$9:$A$2500,'Uranium - Prices'!D25,'Commodity Prices'!$B$9:$B$2500,4)+
SUMIFS('Commodity Prices'!#REF!,'Commodity Prices'!$A$9:$A$2500,'Uranium - Prices'!E25,'Commodity Prices'!$B$9:$B$2500,1)+
SUMIFS('Commodity Prices'!#REF!,'Commodity Prices'!$A$9:$A$2500,'Uranium - Prices'!E25,'Commodity Prices'!$B$9:$B$2500,2))
/(COUNTIFS('Commodity Prices'!$A$9:$A$2500,'Uranium - Prices'!D25,'Commodity Prices'!$B$9:$B$2500,3)+
COUNTIFS('Commodity Prices'!$A$9:$A$2500,'Uranium - Prices'!D25,'Commodity Prices'!$B$9:$B$2500,4)+
COUNTIFS('Commodity Prices'!$A$9:$A$2500,'Uranium - Prices'!E25,'Commodity Prices'!$B$9:$B$2500,1)+
COUNTIFS('Commodity Prices'!$A$9:$A$2500,'Uranium - Prices'!E25,'Commodity Prices'!$B$9:$B$2500,2))</f>
        <v>#REF!</v>
      </c>
    </row>
    <row r="26" spans="1:8">
      <c r="A26" s="433">
        <f>LARGE('Commodity Prices'!C$159:C$902,42)</f>
        <v>44013</v>
      </c>
      <c r="B26" s="24" t="e">
        <f>SUMIF('Commodity Prices'!C$62:C$902,A26,'Commodity Prices'!#REF!)</f>
        <v>#REF!</v>
      </c>
      <c r="C26" s="8"/>
      <c r="D26" s="268">
        <f t="shared" si="0"/>
        <v>2004</v>
      </c>
      <c r="E26" s="268">
        <f t="shared" si="1"/>
        <v>2005</v>
      </c>
      <c r="F26" s="436" t="str">
        <f t="shared" si="2"/>
        <v>2004-05</v>
      </c>
      <c r="G26" s="10" t="str">
        <f t="array" ref="G26">IF($F$6="Historic Calendar Year",IFERROR(AVERAGE(IF($F26=YEAR('Commodity Prices'!C$100:C$1000),'Commodity Prices'!#REF!)),"NA"),IFERROR(IF(H26=0,"NA",H26),"NA"))</f>
        <v>NA</v>
      </c>
      <c r="H26" s="323" t="e">
        <f>(SUMIFS('Commodity Prices'!#REF!,'Commodity Prices'!$A$9:$A$2500,'Uranium - Prices'!D26,'Commodity Prices'!$B$9:$B$2500,3)+
SUMIFS('Commodity Prices'!#REF!,'Commodity Prices'!$A$9:$A$2500,'Uranium - Prices'!D26,'Commodity Prices'!$B$9:$B$2500,4)+
SUMIFS('Commodity Prices'!#REF!,'Commodity Prices'!$A$9:$A$2500,'Uranium - Prices'!E26,'Commodity Prices'!$B$9:$B$2500,1)+
SUMIFS('Commodity Prices'!#REF!,'Commodity Prices'!$A$9:$A$2500,'Uranium - Prices'!E26,'Commodity Prices'!$B$9:$B$2500,2))
/(COUNTIFS('Commodity Prices'!$A$9:$A$2500,'Uranium - Prices'!D26,'Commodity Prices'!$B$9:$B$2500,3)+
COUNTIFS('Commodity Prices'!$A$9:$A$2500,'Uranium - Prices'!D26,'Commodity Prices'!$B$9:$B$2500,4)+
COUNTIFS('Commodity Prices'!$A$9:$A$2500,'Uranium - Prices'!E26,'Commodity Prices'!$B$9:$B$2500,1)+
COUNTIFS('Commodity Prices'!$A$9:$A$2500,'Uranium - Prices'!E26,'Commodity Prices'!$B$9:$B$2500,2))</f>
        <v>#REF!</v>
      </c>
    </row>
    <row r="27" spans="1:8">
      <c r="A27" s="434">
        <f>LARGE('Commodity Prices'!C$159:C$902,41)</f>
        <v>44044</v>
      </c>
      <c r="B27" s="10" t="e">
        <f>SUMIF('Commodity Prices'!C$62:C$902,A27,'Commodity Prices'!#REF!)</f>
        <v>#REF!</v>
      </c>
      <c r="C27" s="8"/>
      <c r="D27" s="268">
        <f t="shared" si="0"/>
        <v>2005</v>
      </c>
      <c r="E27" s="268">
        <f t="shared" si="1"/>
        <v>2006</v>
      </c>
      <c r="F27" s="437" t="str">
        <f t="shared" si="2"/>
        <v>2005-06</v>
      </c>
      <c r="G27" s="24" t="str">
        <f t="array" ref="G27">IF($F$6="Historic Calendar Year",IFERROR(AVERAGE(IF($F27=YEAR('Commodity Prices'!C$100:C$1000),'Commodity Prices'!#REF!)),"NA"),IFERROR(IF(H27=0,"NA",H27),"NA"))</f>
        <v>NA</v>
      </c>
      <c r="H27" s="323" t="e">
        <f>(SUMIFS('Commodity Prices'!#REF!,'Commodity Prices'!$A$9:$A$2500,'Uranium - Prices'!D27,'Commodity Prices'!$B$9:$B$2500,3)+
SUMIFS('Commodity Prices'!#REF!,'Commodity Prices'!$A$9:$A$2500,'Uranium - Prices'!D27,'Commodity Prices'!$B$9:$B$2500,4)+
SUMIFS('Commodity Prices'!#REF!,'Commodity Prices'!$A$9:$A$2500,'Uranium - Prices'!E27,'Commodity Prices'!$B$9:$B$2500,1)+
SUMIFS('Commodity Prices'!#REF!,'Commodity Prices'!$A$9:$A$2500,'Uranium - Prices'!E27,'Commodity Prices'!$B$9:$B$2500,2))
/(COUNTIFS('Commodity Prices'!$A$9:$A$2500,'Uranium - Prices'!D27,'Commodity Prices'!$B$9:$B$2500,3)+
COUNTIFS('Commodity Prices'!$A$9:$A$2500,'Uranium - Prices'!D27,'Commodity Prices'!$B$9:$B$2500,4)+
COUNTIFS('Commodity Prices'!$A$9:$A$2500,'Uranium - Prices'!E27,'Commodity Prices'!$B$9:$B$2500,1)+
COUNTIFS('Commodity Prices'!$A$9:$A$2500,'Uranium - Prices'!E27,'Commodity Prices'!$B$9:$B$2500,2))</f>
        <v>#REF!</v>
      </c>
    </row>
    <row r="28" spans="1:8">
      <c r="A28" s="433">
        <f>LARGE('Commodity Prices'!C$159:C$902,40)</f>
        <v>44075</v>
      </c>
      <c r="B28" s="24" t="e">
        <f>SUMIF('Commodity Prices'!C$62:C$902,A28,'Commodity Prices'!#REF!)</f>
        <v>#REF!</v>
      </c>
      <c r="C28" s="8"/>
      <c r="D28" s="268">
        <f t="shared" si="0"/>
        <v>2006</v>
      </c>
      <c r="E28" s="268">
        <f t="shared" si="1"/>
        <v>2007</v>
      </c>
      <c r="F28" s="436" t="str">
        <f t="shared" si="2"/>
        <v>2006-07</v>
      </c>
      <c r="G28" s="10" t="str">
        <f t="array" ref="G28">IF($F$6="Historic Calendar Year",IFERROR(AVERAGE(IF($F28=YEAR('Commodity Prices'!C$100:C$1000),'Commodity Prices'!#REF!)),"NA"),IFERROR(IF(H28=0,"NA",H28),"NA"))</f>
        <v>NA</v>
      </c>
      <c r="H28" s="323" t="e">
        <f>(SUMIFS('Commodity Prices'!#REF!,'Commodity Prices'!$A$9:$A$2500,'Uranium - Prices'!D28,'Commodity Prices'!$B$9:$B$2500,3)+
SUMIFS('Commodity Prices'!#REF!,'Commodity Prices'!$A$9:$A$2500,'Uranium - Prices'!D28,'Commodity Prices'!$B$9:$B$2500,4)+
SUMIFS('Commodity Prices'!#REF!,'Commodity Prices'!$A$9:$A$2500,'Uranium - Prices'!E28,'Commodity Prices'!$B$9:$B$2500,1)+
SUMIFS('Commodity Prices'!#REF!,'Commodity Prices'!$A$9:$A$2500,'Uranium - Prices'!E28,'Commodity Prices'!$B$9:$B$2500,2))
/(COUNTIFS('Commodity Prices'!$A$9:$A$2500,'Uranium - Prices'!D28,'Commodity Prices'!$B$9:$B$2500,3)+
COUNTIFS('Commodity Prices'!$A$9:$A$2500,'Uranium - Prices'!D28,'Commodity Prices'!$B$9:$B$2500,4)+
COUNTIFS('Commodity Prices'!$A$9:$A$2500,'Uranium - Prices'!E28,'Commodity Prices'!$B$9:$B$2500,1)+
COUNTIFS('Commodity Prices'!$A$9:$A$2500,'Uranium - Prices'!E28,'Commodity Prices'!$B$9:$B$2500,2))</f>
        <v>#REF!</v>
      </c>
    </row>
    <row r="29" spans="1:8">
      <c r="A29" s="434">
        <f>LARGE('Commodity Prices'!C$159:C$902,39)</f>
        <v>44105</v>
      </c>
      <c r="B29" s="10" t="e">
        <f>SUMIF('Commodity Prices'!C$62:C$902,A29,'Commodity Prices'!#REF!)</f>
        <v>#REF!</v>
      </c>
      <c r="C29" s="8"/>
      <c r="D29" s="268">
        <f t="shared" si="0"/>
        <v>2007</v>
      </c>
      <c r="E29" s="268">
        <f t="shared" si="1"/>
        <v>2008</v>
      </c>
      <c r="F29" s="437" t="str">
        <f t="shared" si="2"/>
        <v>2007-08</v>
      </c>
      <c r="G29" s="24" t="str">
        <f t="array" ref="G29">IF($F$6="Historic Calendar Year",IFERROR(AVERAGE(IF($F29=YEAR('Commodity Prices'!C$100:C$1000),'Commodity Prices'!#REF!)),"NA"),IFERROR(IF(H29=0,"NA",H29),"NA"))</f>
        <v>NA</v>
      </c>
      <c r="H29" s="323" t="e">
        <f>(SUMIFS('Commodity Prices'!#REF!,'Commodity Prices'!$A$9:$A$2500,'Uranium - Prices'!D29,'Commodity Prices'!$B$9:$B$2500,3)+
SUMIFS('Commodity Prices'!#REF!,'Commodity Prices'!$A$9:$A$2500,'Uranium - Prices'!D29,'Commodity Prices'!$B$9:$B$2500,4)+
SUMIFS('Commodity Prices'!#REF!,'Commodity Prices'!$A$9:$A$2500,'Uranium - Prices'!E29,'Commodity Prices'!$B$9:$B$2500,1)+
SUMIFS('Commodity Prices'!#REF!,'Commodity Prices'!$A$9:$A$2500,'Uranium - Prices'!E29,'Commodity Prices'!$B$9:$B$2500,2))
/(COUNTIFS('Commodity Prices'!$A$9:$A$2500,'Uranium - Prices'!D29,'Commodity Prices'!$B$9:$B$2500,3)+
COUNTIFS('Commodity Prices'!$A$9:$A$2500,'Uranium - Prices'!D29,'Commodity Prices'!$B$9:$B$2500,4)+
COUNTIFS('Commodity Prices'!$A$9:$A$2500,'Uranium - Prices'!E29,'Commodity Prices'!$B$9:$B$2500,1)+
COUNTIFS('Commodity Prices'!$A$9:$A$2500,'Uranium - Prices'!E29,'Commodity Prices'!$B$9:$B$2500,2))</f>
        <v>#REF!</v>
      </c>
    </row>
    <row r="30" spans="1:8">
      <c r="A30" s="433">
        <f>LARGE('Commodity Prices'!C$159:C$902,38)</f>
        <v>44136</v>
      </c>
      <c r="B30" s="24" t="e">
        <f>SUMIF('Commodity Prices'!C$62:C$902,A30,'Commodity Prices'!#REF!)</f>
        <v>#REF!</v>
      </c>
      <c r="C30" s="8"/>
      <c r="D30" s="268">
        <f t="shared" si="0"/>
        <v>2008</v>
      </c>
      <c r="E30" s="268">
        <f t="shared" si="1"/>
        <v>2009</v>
      </c>
      <c r="F30" s="436" t="str">
        <f t="shared" si="2"/>
        <v>2008-09</v>
      </c>
      <c r="G30" s="10" t="str">
        <f t="array" ref="G30">IF($F$6="Historic Calendar Year",IFERROR(AVERAGE(IF($F30=YEAR('Commodity Prices'!C$100:C$1000),'Commodity Prices'!#REF!)),"NA"),IFERROR(IF(H30=0,"NA",H30),"NA"))</f>
        <v>NA</v>
      </c>
      <c r="H30" s="323" t="e">
        <f>(SUMIFS('Commodity Prices'!#REF!,'Commodity Prices'!$A$9:$A$2500,'Uranium - Prices'!D30,'Commodity Prices'!$B$9:$B$2500,3)+
SUMIFS('Commodity Prices'!#REF!,'Commodity Prices'!$A$9:$A$2500,'Uranium - Prices'!D30,'Commodity Prices'!$B$9:$B$2500,4)+
SUMIFS('Commodity Prices'!#REF!,'Commodity Prices'!$A$9:$A$2500,'Uranium - Prices'!E30,'Commodity Prices'!$B$9:$B$2500,1)+
SUMIFS('Commodity Prices'!#REF!,'Commodity Prices'!$A$9:$A$2500,'Uranium - Prices'!E30,'Commodity Prices'!$B$9:$B$2500,2))
/(COUNTIFS('Commodity Prices'!$A$9:$A$2500,'Uranium - Prices'!D30,'Commodity Prices'!$B$9:$B$2500,3)+
COUNTIFS('Commodity Prices'!$A$9:$A$2500,'Uranium - Prices'!D30,'Commodity Prices'!$B$9:$B$2500,4)+
COUNTIFS('Commodity Prices'!$A$9:$A$2500,'Uranium - Prices'!E30,'Commodity Prices'!$B$9:$B$2500,1)+
COUNTIFS('Commodity Prices'!$A$9:$A$2500,'Uranium - Prices'!E30,'Commodity Prices'!$B$9:$B$2500,2))</f>
        <v>#REF!</v>
      </c>
    </row>
    <row r="31" spans="1:8">
      <c r="A31" s="434">
        <f>LARGE('Commodity Prices'!C$159:C$902,37)</f>
        <v>44166</v>
      </c>
      <c r="B31" s="10" t="e">
        <f>SUMIF('Commodity Prices'!C$62:C$902,A31,'Commodity Prices'!#REF!)</f>
        <v>#REF!</v>
      </c>
      <c r="C31" s="8"/>
      <c r="D31" s="268">
        <f t="shared" si="0"/>
        <v>2009</v>
      </c>
      <c r="E31" s="268">
        <f t="shared" si="1"/>
        <v>2010</v>
      </c>
      <c r="F31" s="437" t="str">
        <f t="shared" si="2"/>
        <v>2009-10</v>
      </c>
      <c r="G31" s="24" t="str">
        <f t="array" ref="G31">IF($F$6="Historic Calendar Year",IFERROR(AVERAGE(IF($F31=YEAR('Commodity Prices'!C$100:C$1000),'Commodity Prices'!#REF!)),"NA"),IFERROR(IF(H31=0,"NA",H31),"NA"))</f>
        <v>NA</v>
      </c>
      <c r="H31" s="323" t="e">
        <f>(SUMIFS('Commodity Prices'!#REF!,'Commodity Prices'!$A$9:$A$2500,'Uranium - Prices'!D31,'Commodity Prices'!$B$9:$B$2500,3)+
SUMIFS('Commodity Prices'!#REF!,'Commodity Prices'!$A$9:$A$2500,'Uranium - Prices'!D31,'Commodity Prices'!$B$9:$B$2500,4)+
SUMIFS('Commodity Prices'!#REF!,'Commodity Prices'!$A$9:$A$2500,'Uranium - Prices'!E31,'Commodity Prices'!$B$9:$B$2500,1)+
SUMIFS('Commodity Prices'!#REF!,'Commodity Prices'!$A$9:$A$2500,'Uranium - Prices'!E31,'Commodity Prices'!$B$9:$B$2500,2))
/(COUNTIFS('Commodity Prices'!$A$9:$A$2500,'Uranium - Prices'!D31,'Commodity Prices'!$B$9:$B$2500,3)+
COUNTIFS('Commodity Prices'!$A$9:$A$2500,'Uranium - Prices'!D31,'Commodity Prices'!$B$9:$B$2500,4)+
COUNTIFS('Commodity Prices'!$A$9:$A$2500,'Uranium - Prices'!E31,'Commodity Prices'!$B$9:$B$2500,1)+
COUNTIFS('Commodity Prices'!$A$9:$A$2500,'Uranium - Prices'!E31,'Commodity Prices'!$B$9:$B$2500,2))</f>
        <v>#REF!</v>
      </c>
    </row>
    <row r="32" spans="1:8">
      <c r="A32" s="433">
        <f>LARGE('Commodity Prices'!C$159:C$902,36)</f>
        <v>44197</v>
      </c>
      <c r="B32" s="24" t="e">
        <f>SUMIF('Commodity Prices'!C$62:C$902,A32,'Commodity Prices'!#REF!)</f>
        <v>#REF!</v>
      </c>
      <c r="C32" s="8"/>
      <c r="D32" s="268">
        <f t="shared" si="0"/>
        <v>2010</v>
      </c>
      <c r="E32" s="268">
        <f t="shared" si="1"/>
        <v>2011</v>
      </c>
      <c r="F32" s="436" t="str">
        <f t="shared" si="2"/>
        <v>2010-11</v>
      </c>
      <c r="G32" s="10" t="str">
        <f t="array" ref="G32">IF($F$6="Historic Calendar Year",IFERROR(AVERAGE(IF($F32=YEAR('Commodity Prices'!C$100:C$1000),'Commodity Prices'!#REF!)),"NA"),IFERROR(IF(H32=0,"NA",H32),"NA"))</f>
        <v>NA</v>
      </c>
      <c r="H32" s="323" t="e">
        <f>(SUMIFS('Commodity Prices'!#REF!,'Commodity Prices'!$A$9:$A$2500,'Uranium - Prices'!D32,'Commodity Prices'!$B$9:$B$2500,3)+
SUMIFS('Commodity Prices'!#REF!,'Commodity Prices'!$A$9:$A$2500,'Uranium - Prices'!D32,'Commodity Prices'!$B$9:$B$2500,4)+
SUMIFS('Commodity Prices'!#REF!,'Commodity Prices'!$A$9:$A$2500,'Uranium - Prices'!E32,'Commodity Prices'!$B$9:$B$2500,1)+
SUMIFS('Commodity Prices'!#REF!,'Commodity Prices'!$A$9:$A$2500,'Uranium - Prices'!E32,'Commodity Prices'!$B$9:$B$2500,2))
/(COUNTIFS('Commodity Prices'!$A$9:$A$2500,'Uranium - Prices'!D32,'Commodity Prices'!$B$9:$B$2500,3)+
COUNTIFS('Commodity Prices'!$A$9:$A$2500,'Uranium - Prices'!D32,'Commodity Prices'!$B$9:$B$2500,4)+
COUNTIFS('Commodity Prices'!$A$9:$A$2500,'Uranium - Prices'!E32,'Commodity Prices'!$B$9:$B$2500,1)+
COUNTIFS('Commodity Prices'!$A$9:$A$2500,'Uranium - Prices'!E32,'Commodity Prices'!$B$9:$B$2500,2))</f>
        <v>#REF!</v>
      </c>
    </row>
    <row r="33" spans="1:8">
      <c r="A33" s="434">
        <f>LARGE('Commodity Prices'!C$159:C$902,35)</f>
        <v>44228</v>
      </c>
      <c r="B33" s="10" t="e">
        <f>SUMIF('Commodity Prices'!C$62:C$902,A33,'Commodity Prices'!#REF!)</f>
        <v>#REF!</v>
      </c>
      <c r="C33" s="8"/>
      <c r="D33" s="268">
        <f t="shared" si="0"/>
        <v>2011</v>
      </c>
      <c r="E33" s="268">
        <f t="shared" si="1"/>
        <v>2012</v>
      </c>
      <c r="F33" s="437" t="str">
        <f t="shared" si="2"/>
        <v>2011-12</v>
      </c>
      <c r="G33" s="24" t="str">
        <f t="array" ref="G33">IF($F$6="Historic Calendar Year",IFERROR(AVERAGE(IF($F33=YEAR('Commodity Prices'!C$100:C$1000),'Commodity Prices'!#REF!)),"NA"),IFERROR(IF(H33=0,"NA",H33),"NA"))</f>
        <v>NA</v>
      </c>
      <c r="H33" s="323" t="e">
        <f>(SUMIFS('Commodity Prices'!#REF!,'Commodity Prices'!$A$9:$A$2500,'Uranium - Prices'!D33,'Commodity Prices'!$B$9:$B$2500,3)+
SUMIFS('Commodity Prices'!#REF!,'Commodity Prices'!$A$9:$A$2500,'Uranium - Prices'!D33,'Commodity Prices'!$B$9:$B$2500,4)+
SUMIFS('Commodity Prices'!#REF!,'Commodity Prices'!$A$9:$A$2500,'Uranium - Prices'!E33,'Commodity Prices'!$B$9:$B$2500,1)+
SUMIFS('Commodity Prices'!#REF!,'Commodity Prices'!$A$9:$A$2500,'Uranium - Prices'!E33,'Commodity Prices'!$B$9:$B$2500,2))
/(COUNTIFS('Commodity Prices'!$A$9:$A$2500,'Uranium - Prices'!D33,'Commodity Prices'!$B$9:$B$2500,3)+
COUNTIFS('Commodity Prices'!$A$9:$A$2500,'Uranium - Prices'!D33,'Commodity Prices'!$B$9:$B$2500,4)+
COUNTIFS('Commodity Prices'!$A$9:$A$2500,'Uranium - Prices'!E33,'Commodity Prices'!$B$9:$B$2500,1)+
COUNTIFS('Commodity Prices'!$A$9:$A$2500,'Uranium - Prices'!E33,'Commodity Prices'!$B$9:$B$2500,2))</f>
        <v>#REF!</v>
      </c>
    </row>
    <row r="34" spans="1:8">
      <c r="A34" s="433">
        <f>LARGE('Commodity Prices'!C$159:C$902,34)</f>
        <v>44256</v>
      </c>
      <c r="B34" s="24" t="e">
        <f>SUMIF('Commodity Prices'!C$62:C$902,A34,'Commodity Prices'!#REF!)</f>
        <v>#REF!</v>
      </c>
      <c r="C34" s="8"/>
      <c r="D34" s="268">
        <f t="shared" si="0"/>
        <v>2012</v>
      </c>
      <c r="E34" s="268">
        <f t="shared" si="1"/>
        <v>2013</v>
      </c>
      <c r="F34" s="436" t="str">
        <f t="shared" si="2"/>
        <v>2012-13</v>
      </c>
      <c r="G34" s="10" t="str">
        <f t="array" ref="G34">IF($F$6="Historic Calendar Year",IFERROR(AVERAGE(IF($F34=YEAR('Commodity Prices'!C$100:C$1000),'Commodity Prices'!#REF!)),"NA"),IFERROR(IF(H34=0,"NA",H34),"NA"))</f>
        <v>NA</v>
      </c>
      <c r="H34" s="323" t="e">
        <f>(SUMIFS('Commodity Prices'!#REF!,'Commodity Prices'!$A$9:$A$2500,'Uranium - Prices'!D34,'Commodity Prices'!$B$9:$B$2500,3)+
SUMIFS('Commodity Prices'!#REF!,'Commodity Prices'!$A$9:$A$2500,'Uranium - Prices'!D34,'Commodity Prices'!$B$9:$B$2500,4)+
SUMIFS('Commodity Prices'!#REF!,'Commodity Prices'!$A$9:$A$2500,'Uranium - Prices'!E34,'Commodity Prices'!$B$9:$B$2500,1)+
SUMIFS('Commodity Prices'!#REF!,'Commodity Prices'!$A$9:$A$2500,'Uranium - Prices'!E34,'Commodity Prices'!$B$9:$B$2500,2))
/(COUNTIFS('Commodity Prices'!$A$9:$A$2500,'Uranium - Prices'!D34,'Commodity Prices'!$B$9:$B$2500,3)+
COUNTIFS('Commodity Prices'!$A$9:$A$2500,'Uranium - Prices'!D34,'Commodity Prices'!$B$9:$B$2500,4)+
COUNTIFS('Commodity Prices'!$A$9:$A$2500,'Uranium - Prices'!E34,'Commodity Prices'!$B$9:$B$2500,1)+
COUNTIFS('Commodity Prices'!$A$9:$A$2500,'Uranium - Prices'!E34,'Commodity Prices'!$B$9:$B$2500,2))</f>
        <v>#REF!</v>
      </c>
    </row>
    <row r="35" spans="1:8">
      <c r="A35" s="434">
        <f>LARGE('Commodity Prices'!C$159:C$902,33)</f>
        <v>44287</v>
      </c>
      <c r="B35" s="10" t="e">
        <f>SUMIF('Commodity Prices'!C$62:C$902,A35,'Commodity Prices'!#REF!)</f>
        <v>#REF!</v>
      </c>
      <c r="C35" s="8"/>
      <c r="D35" s="268">
        <f t="shared" si="0"/>
        <v>2013</v>
      </c>
      <c r="E35" s="268">
        <f t="shared" si="1"/>
        <v>2014</v>
      </c>
      <c r="F35" s="437" t="str">
        <f t="shared" si="2"/>
        <v>2013-14</v>
      </c>
      <c r="G35" s="24" t="str">
        <f t="array" ref="G35">IF($F$6="Historic Calendar Year",IFERROR(AVERAGE(IF($F35=YEAR('Commodity Prices'!C$100:C$1000),'Commodity Prices'!#REF!)),"NA"),IFERROR(IF(H35=0,"NA",H35),"NA"))</f>
        <v>NA</v>
      </c>
      <c r="H35" s="323" t="e">
        <f>(SUMIFS('Commodity Prices'!#REF!,'Commodity Prices'!$A$9:$A$2500,'Uranium - Prices'!D35,'Commodity Prices'!$B$9:$B$2500,3)+
SUMIFS('Commodity Prices'!#REF!,'Commodity Prices'!$A$9:$A$2500,'Uranium - Prices'!D35,'Commodity Prices'!$B$9:$B$2500,4)+
SUMIFS('Commodity Prices'!#REF!,'Commodity Prices'!$A$9:$A$2500,'Uranium - Prices'!E35,'Commodity Prices'!$B$9:$B$2500,1)+
SUMIFS('Commodity Prices'!#REF!,'Commodity Prices'!$A$9:$A$2500,'Uranium - Prices'!E35,'Commodity Prices'!$B$9:$B$2500,2))
/(COUNTIFS('Commodity Prices'!$A$9:$A$2500,'Uranium - Prices'!D35,'Commodity Prices'!$B$9:$B$2500,3)+
COUNTIFS('Commodity Prices'!$A$9:$A$2500,'Uranium - Prices'!D35,'Commodity Prices'!$B$9:$B$2500,4)+
COUNTIFS('Commodity Prices'!$A$9:$A$2500,'Uranium - Prices'!E35,'Commodity Prices'!$B$9:$B$2500,1)+
COUNTIFS('Commodity Prices'!$A$9:$A$2500,'Uranium - Prices'!E35,'Commodity Prices'!$B$9:$B$2500,2))</f>
        <v>#REF!</v>
      </c>
    </row>
    <row r="36" spans="1:8">
      <c r="A36" s="433">
        <f>LARGE('Commodity Prices'!C$159:C$902,32)</f>
        <v>44317</v>
      </c>
      <c r="B36" s="24" t="e">
        <f>SUMIF('Commodity Prices'!C$62:C$902,A36,'Commodity Prices'!#REF!)</f>
        <v>#REF!</v>
      </c>
      <c r="C36" s="8"/>
      <c r="D36" s="268">
        <f t="shared" si="0"/>
        <v>2014</v>
      </c>
      <c r="E36" s="268">
        <f t="shared" si="1"/>
        <v>2015</v>
      </c>
      <c r="F36" s="436" t="str">
        <f t="shared" si="2"/>
        <v>2014-15</v>
      </c>
      <c r="G36" s="10" t="str">
        <f t="array" ref="G36">IF($F$6="Historic Calendar Year",IFERROR(AVERAGE(IF($F36=YEAR('Commodity Prices'!C$100:C$1000),'Commodity Prices'!#REF!)),"NA"),IFERROR(IF(H36=0,"NA",H36),"NA"))</f>
        <v>NA</v>
      </c>
      <c r="H36" s="323" t="e">
        <f>(SUMIFS('Commodity Prices'!#REF!,'Commodity Prices'!$A$9:$A$2500,'Uranium - Prices'!D36,'Commodity Prices'!$B$9:$B$2500,3)+
SUMIFS('Commodity Prices'!#REF!,'Commodity Prices'!$A$9:$A$2500,'Uranium - Prices'!D36,'Commodity Prices'!$B$9:$B$2500,4)+
SUMIFS('Commodity Prices'!#REF!,'Commodity Prices'!$A$9:$A$2500,'Uranium - Prices'!E36,'Commodity Prices'!$B$9:$B$2500,1)+
SUMIFS('Commodity Prices'!#REF!,'Commodity Prices'!$A$9:$A$2500,'Uranium - Prices'!E36,'Commodity Prices'!$B$9:$B$2500,2))
/(COUNTIFS('Commodity Prices'!$A$9:$A$2500,'Uranium - Prices'!D36,'Commodity Prices'!$B$9:$B$2500,3)+
COUNTIFS('Commodity Prices'!$A$9:$A$2500,'Uranium - Prices'!D36,'Commodity Prices'!$B$9:$B$2500,4)+
COUNTIFS('Commodity Prices'!$A$9:$A$2500,'Uranium - Prices'!E36,'Commodity Prices'!$B$9:$B$2500,1)+
COUNTIFS('Commodity Prices'!$A$9:$A$2500,'Uranium - Prices'!E36,'Commodity Prices'!$B$9:$B$2500,2))</f>
        <v>#REF!</v>
      </c>
    </row>
    <row r="37" spans="1:8">
      <c r="A37" s="434">
        <f>LARGE('Commodity Prices'!C$159:C$902,31)</f>
        <v>44348</v>
      </c>
      <c r="B37" s="10" t="e">
        <f>SUMIF('Commodity Prices'!C$62:C$902,A37,'Commodity Prices'!#REF!)</f>
        <v>#REF!</v>
      </c>
      <c r="C37" s="8"/>
      <c r="D37" s="268">
        <f t="shared" si="0"/>
        <v>2015</v>
      </c>
      <c r="E37" s="268">
        <f t="shared" si="1"/>
        <v>2016</v>
      </c>
      <c r="F37" s="437" t="str">
        <f t="shared" si="2"/>
        <v>2015-16</v>
      </c>
      <c r="G37" s="24" t="str">
        <f t="array" ref="G37">IF($F$6="Historic Calendar Year",IFERROR(AVERAGE(IF($F37=YEAR('Commodity Prices'!C$100:C$1000),'Commodity Prices'!#REF!)),"NA"),IFERROR(IF(H37=0,"NA",H37),"NA"))</f>
        <v>NA</v>
      </c>
      <c r="H37" s="323" t="e">
        <f>(SUMIFS('Commodity Prices'!#REF!,'Commodity Prices'!$A$9:$A$2500,'Uranium - Prices'!D37,'Commodity Prices'!$B$9:$B$2500,3)+
SUMIFS('Commodity Prices'!#REF!,'Commodity Prices'!$A$9:$A$2500,'Uranium - Prices'!D37,'Commodity Prices'!$B$9:$B$2500,4)+
SUMIFS('Commodity Prices'!#REF!,'Commodity Prices'!$A$9:$A$2500,'Uranium - Prices'!E37,'Commodity Prices'!$B$9:$B$2500,1)+
SUMIFS('Commodity Prices'!#REF!,'Commodity Prices'!$A$9:$A$2500,'Uranium - Prices'!E37,'Commodity Prices'!$B$9:$B$2500,2))
/(COUNTIFS('Commodity Prices'!$A$9:$A$2500,'Uranium - Prices'!D37,'Commodity Prices'!$B$9:$B$2500,3)+
COUNTIFS('Commodity Prices'!$A$9:$A$2500,'Uranium - Prices'!D37,'Commodity Prices'!$B$9:$B$2500,4)+
COUNTIFS('Commodity Prices'!$A$9:$A$2500,'Uranium - Prices'!E37,'Commodity Prices'!$B$9:$B$2500,1)+
COUNTIFS('Commodity Prices'!$A$9:$A$2500,'Uranium - Prices'!E37,'Commodity Prices'!$B$9:$B$2500,2))</f>
        <v>#REF!</v>
      </c>
    </row>
    <row r="38" spans="1:8">
      <c r="A38" s="433">
        <f>LARGE('Commodity Prices'!C$159:C$902,30)</f>
        <v>44378</v>
      </c>
      <c r="B38" s="24" t="e">
        <f>SUMIF('Commodity Prices'!C$62:C$902,A38,'Commodity Prices'!#REF!)</f>
        <v>#REF!</v>
      </c>
      <c r="C38" s="8"/>
      <c r="D38" s="268">
        <f t="shared" si="0"/>
        <v>2016</v>
      </c>
      <c r="E38" s="268">
        <f t="shared" si="1"/>
        <v>2017</v>
      </c>
      <c r="F38" s="436" t="str">
        <f t="shared" si="2"/>
        <v>2016-17</v>
      </c>
      <c r="G38" s="10" t="str">
        <f t="array" ref="G38">IF($F$6="Historic Calendar Year",IFERROR(AVERAGE(IF($F38=YEAR('Commodity Prices'!C$100:C$1000),'Commodity Prices'!#REF!)),"NA"),IFERROR(IF(H38=0,"NA",H38),"NA"))</f>
        <v>NA</v>
      </c>
      <c r="H38" s="323" t="e">
        <f>(SUMIFS('Commodity Prices'!#REF!,'Commodity Prices'!$A$9:$A$2500,'Uranium - Prices'!D38,'Commodity Prices'!$B$9:$B$2500,3)+
SUMIFS('Commodity Prices'!#REF!,'Commodity Prices'!$A$9:$A$2500,'Uranium - Prices'!D38,'Commodity Prices'!$B$9:$B$2500,4)+
SUMIFS('Commodity Prices'!#REF!,'Commodity Prices'!$A$9:$A$2500,'Uranium - Prices'!E38,'Commodity Prices'!$B$9:$B$2500,1)+
SUMIFS('Commodity Prices'!#REF!,'Commodity Prices'!$A$9:$A$2500,'Uranium - Prices'!E38,'Commodity Prices'!$B$9:$B$2500,2))
/(COUNTIFS('Commodity Prices'!$A$9:$A$2500,'Uranium - Prices'!D38,'Commodity Prices'!$B$9:$B$2500,3)+
COUNTIFS('Commodity Prices'!$A$9:$A$2500,'Uranium - Prices'!D38,'Commodity Prices'!$B$9:$B$2500,4)+
COUNTIFS('Commodity Prices'!$A$9:$A$2500,'Uranium - Prices'!E38,'Commodity Prices'!$B$9:$B$2500,1)+
COUNTIFS('Commodity Prices'!$A$9:$A$2500,'Uranium - Prices'!E38,'Commodity Prices'!$B$9:$B$2500,2))</f>
        <v>#REF!</v>
      </c>
    </row>
    <row r="39" spans="1:8">
      <c r="A39" s="434">
        <f>LARGE('Commodity Prices'!C$159:C$902,29)</f>
        <v>44409</v>
      </c>
      <c r="B39" s="10" t="e">
        <f>SUMIF('Commodity Prices'!C$62:C$902,A39,'Commodity Prices'!#REF!)</f>
        <v>#REF!</v>
      </c>
      <c r="C39" s="8"/>
      <c r="D39" s="268">
        <f t="shared" si="0"/>
        <v>2017</v>
      </c>
      <c r="E39" s="268">
        <f t="shared" si="1"/>
        <v>2018</v>
      </c>
      <c r="F39" s="437" t="str">
        <f t="shared" si="2"/>
        <v>2017-18</v>
      </c>
      <c r="G39" s="24" t="str">
        <f t="array" ref="G39">IF($F$6="Historic Calendar Year",IFERROR(AVERAGE(IF($F39=YEAR('Commodity Prices'!C$100:C$1000),'Commodity Prices'!#REF!)),"NA"),IFERROR(IF(H39=0,"NA",H39),"NA"))</f>
        <v>NA</v>
      </c>
      <c r="H39" s="323" t="e">
        <f>(SUMIFS('Commodity Prices'!#REF!,'Commodity Prices'!$A$9:$A$2500,'Uranium - Prices'!D39,'Commodity Prices'!$B$9:$B$2500,3)+
SUMIFS('Commodity Prices'!#REF!,'Commodity Prices'!$A$9:$A$2500,'Uranium - Prices'!D39,'Commodity Prices'!$B$9:$B$2500,4)+
SUMIFS('Commodity Prices'!#REF!,'Commodity Prices'!$A$9:$A$2500,'Uranium - Prices'!E39,'Commodity Prices'!$B$9:$B$2500,1)+
SUMIFS('Commodity Prices'!#REF!,'Commodity Prices'!$A$9:$A$2500,'Uranium - Prices'!E39,'Commodity Prices'!$B$9:$B$2500,2))
/(COUNTIFS('Commodity Prices'!$A$9:$A$2500,'Uranium - Prices'!D39,'Commodity Prices'!$B$9:$B$2500,3)+
COUNTIFS('Commodity Prices'!$A$9:$A$2500,'Uranium - Prices'!D39,'Commodity Prices'!$B$9:$B$2500,4)+
COUNTIFS('Commodity Prices'!$A$9:$A$2500,'Uranium - Prices'!E39,'Commodity Prices'!$B$9:$B$2500,1)+
COUNTIFS('Commodity Prices'!$A$9:$A$2500,'Uranium - Prices'!E39,'Commodity Prices'!$B$9:$B$2500,2))</f>
        <v>#REF!</v>
      </c>
    </row>
    <row r="40" spans="1:8">
      <c r="A40" s="433">
        <f>LARGE('Commodity Prices'!C$159:C$902,28)</f>
        <v>44440</v>
      </c>
      <c r="B40" s="24" t="e">
        <f>SUMIF('Commodity Prices'!C$62:C$902,A40,'Commodity Prices'!#REF!)</f>
        <v>#REF!</v>
      </c>
      <c r="C40" s="8"/>
      <c r="D40" s="268">
        <f t="shared" si="0"/>
        <v>2018</v>
      </c>
      <c r="E40" s="268">
        <f t="shared" si="1"/>
        <v>2019</v>
      </c>
      <c r="F40" s="436" t="str">
        <f t="shared" si="2"/>
        <v>2018-19</v>
      </c>
      <c r="G40" s="10" t="str">
        <f t="array" ref="G40">IF($F$6="Historic Calendar Year",IFERROR(AVERAGE(IF($F40=YEAR('Commodity Prices'!C$100:C$1000),'Commodity Prices'!#REF!)),"NA"),IFERROR(IF(H40=0,"NA",H40),"NA"))</f>
        <v>NA</v>
      </c>
      <c r="H40" s="323" t="e">
        <f>(SUMIFS('Commodity Prices'!#REF!,'Commodity Prices'!$A$9:$A$2500,'Uranium - Prices'!D40,'Commodity Prices'!$B$9:$B$2500,3)+
SUMIFS('Commodity Prices'!#REF!,'Commodity Prices'!$A$9:$A$2500,'Uranium - Prices'!D40,'Commodity Prices'!$B$9:$B$2500,4)+
SUMIFS('Commodity Prices'!#REF!,'Commodity Prices'!$A$9:$A$2500,'Uranium - Prices'!E40,'Commodity Prices'!$B$9:$B$2500,1)+
SUMIFS('Commodity Prices'!#REF!,'Commodity Prices'!$A$9:$A$2500,'Uranium - Prices'!E40,'Commodity Prices'!$B$9:$B$2500,2))
/(COUNTIFS('Commodity Prices'!$A$9:$A$2500,'Uranium - Prices'!D40,'Commodity Prices'!$B$9:$B$2500,3)+
COUNTIFS('Commodity Prices'!$A$9:$A$2500,'Uranium - Prices'!D40,'Commodity Prices'!$B$9:$B$2500,4)+
COUNTIFS('Commodity Prices'!$A$9:$A$2500,'Uranium - Prices'!E40,'Commodity Prices'!$B$9:$B$2500,1)+
COUNTIFS('Commodity Prices'!$A$9:$A$2500,'Uranium - Prices'!E40,'Commodity Prices'!$B$9:$B$2500,2))</f>
        <v>#REF!</v>
      </c>
    </row>
    <row r="41" spans="1:8">
      <c r="A41" s="434">
        <f>LARGE('Commodity Prices'!C$159:C$902,27)</f>
        <v>44470</v>
      </c>
      <c r="B41" s="10" t="e">
        <f>SUMIF('Commodity Prices'!C$62:C$902,A41,'Commodity Prices'!#REF!)</f>
        <v>#REF!</v>
      </c>
      <c r="C41" s="8"/>
      <c r="D41" s="268">
        <f t="shared" si="0"/>
        <v>2019</v>
      </c>
      <c r="E41" s="268">
        <f t="shared" si="1"/>
        <v>2020</v>
      </c>
      <c r="F41" s="437" t="str">
        <f t="shared" si="2"/>
        <v>2019-20</v>
      </c>
      <c r="G41" s="24" t="str">
        <f t="array" ref="G41">IF($F$6="Historic Calendar Year",IFERROR(AVERAGE(IF($F41=YEAR('Commodity Prices'!C$100:C$1000),'Commodity Prices'!#REF!)),"NA"),IFERROR(IF(H41=0,"NA",H41),"NA"))</f>
        <v>NA</v>
      </c>
      <c r="H41" s="323" t="e">
        <f>(SUMIFS('Commodity Prices'!#REF!,'Commodity Prices'!$A$9:$A$2500,'Uranium - Prices'!D41,'Commodity Prices'!$B$9:$B$2500,3)+
SUMIFS('Commodity Prices'!#REF!,'Commodity Prices'!$A$9:$A$2500,'Uranium - Prices'!D41,'Commodity Prices'!$B$9:$B$2500,4)+
SUMIFS('Commodity Prices'!#REF!,'Commodity Prices'!$A$9:$A$2500,'Uranium - Prices'!E41,'Commodity Prices'!$B$9:$B$2500,1)+
SUMIFS('Commodity Prices'!#REF!,'Commodity Prices'!$A$9:$A$2500,'Uranium - Prices'!E41,'Commodity Prices'!$B$9:$B$2500,2))
/(COUNTIFS('Commodity Prices'!$A$9:$A$2500,'Uranium - Prices'!D41,'Commodity Prices'!$B$9:$B$2500,3)+
COUNTIFS('Commodity Prices'!$A$9:$A$2500,'Uranium - Prices'!D41,'Commodity Prices'!$B$9:$B$2500,4)+
COUNTIFS('Commodity Prices'!$A$9:$A$2500,'Uranium - Prices'!E41,'Commodity Prices'!$B$9:$B$2500,1)+
COUNTIFS('Commodity Prices'!$A$9:$A$2500,'Uranium - Prices'!E41,'Commodity Prices'!$B$9:$B$2500,2))</f>
        <v>#REF!</v>
      </c>
    </row>
    <row r="42" spans="1:8" ht="15.75" thickBot="1">
      <c r="A42" s="433">
        <f>LARGE('Commodity Prices'!C$159:C$902,26)</f>
        <v>44501</v>
      </c>
      <c r="B42" s="24" t="e">
        <f>SUMIF('Commodity Prices'!C$62:C$902,A42,'Commodity Prices'!#REF!)</f>
        <v>#REF!</v>
      </c>
      <c r="C42" s="8"/>
      <c r="D42" s="268">
        <f t="shared" si="0"/>
        <v>2020</v>
      </c>
      <c r="E42" s="268">
        <f t="shared" si="1"/>
        <v>2021</v>
      </c>
      <c r="F42" s="438" t="str">
        <f t="shared" si="2"/>
        <v>2020-21</v>
      </c>
      <c r="G42" s="9" t="str">
        <f t="array" ref="G42">IF($F$6="Historic Calendar Year",IFERROR(AVERAGE(IF($F42=YEAR('Commodity Prices'!C$100:C$1000),'Commodity Prices'!#REF!)),"NA"),IFERROR(IF(H42=0,"NA",H42),"NA"))</f>
        <v>NA</v>
      </c>
      <c r="H42" s="323" t="e">
        <f>(SUMIFS('Commodity Prices'!#REF!,'Commodity Prices'!$A$9:$A$2500,'Uranium - Prices'!D42,'Commodity Prices'!$B$9:$B$2500,3)+
SUMIFS('Commodity Prices'!#REF!,'Commodity Prices'!$A$9:$A$2500,'Uranium - Prices'!D42,'Commodity Prices'!$B$9:$B$2500,4)+
SUMIFS('Commodity Prices'!#REF!,'Commodity Prices'!$A$9:$A$2500,'Uranium - Prices'!E42,'Commodity Prices'!$B$9:$B$2500,1)+
SUMIFS('Commodity Prices'!#REF!,'Commodity Prices'!$A$9:$A$2500,'Uranium - Prices'!E42,'Commodity Prices'!$B$9:$B$2500,2))
/(COUNTIFS('Commodity Prices'!$A$9:$A$2500,'Uranium - Prices'!D42,'Commodity Prices'!$B$9:$B$2500,3)+
COUNTIFS('Commodity Prices'!$A$9:$A$2500,'Uranium - Prices'!D42,'Commodity Prices'!$B$9:$B$2500,4)+
COUNTIFS('Commodity Prices'!$A$9:$A$2500,'Uranium - Prices'!E42,'Commodity Prices'!$B$9:$B$2500,1)+
COUNTIFS('Commodity Prices'!$A$9:$A$2500,'Uranium - Prices'!E42,'Commodity Prices'!$B$9:$B$2500,2))</f>
        <v>#REF!</v>
      </c>
    </row>
    <row r="43" spans="1:8" ht="15.75" thickBot="1">
      <c r="A43" s="434">
        <f>LARGE('Commodity Prices'!C$159:C$902,25)</f>
        <v>44531</v>
      </c>
      <c r="B43" s="10" t="e">
        <f>SUMIF('Commodity Prices'!C$62:C$902,A43,'Commodity Prices'!#REF!)</f>
        <v>#REF!</v>
      </c>
      <c r="C43" s="8"/>
      <c r="D43" s="268"/>
      <c r="E43" s="268"/>
      <c r="F43" s="8"/>
      <c r="G43" s="8"/>
    </row>
    <row r="44" spans="1:8" ht="15.75" thickBot="1">
      <c r="A44" s="433">
        <f>LARGE('Commodity Prices'!C$159:C$902,24)</f>
        <v>44562</v>
      </c>
      <c r="B44" s="24" t="e">
        <f>SUMIF('Commodity Prices'!C$62:C$902,A44,'Commodity Prices'!#REF!)</f>
        <v>#REF!</v>
      </c>
      <c r="C44" s="8"/>
      <c r="D44" s="268"/>
      <c r="E44" s="268"/>
      <c r="F44" s="2094" t="s">
        <v>321</v>
      </c>
      <c r="G44" s="2095"/>
    </row>
    <row r="45" spans="1:8" ht="15.75" thickBot="1">
      <c r="A45" s="434">
        <f>LARGE('Commodity Prices'!C$159:C$902,23)</f>
        <v>44593</v>
      </c>
      <c r="B45" s="10" t="e">
        <f>SUMIF('Commodity Prices'!C$62:C$902,A45,'Commodity Prices'!#REF!)</f>
        <v>#REF!</v>
      </c>
      <c r="C45" s="8"/>
      <c r="D45" s="268"/>
      <c r="E45" s="268"/>
      <c r="F45" s="1955" t="s">
        <v>283</v>
      </c>
      <c r="G45" s="1956"/>
    </row>
    <row r="46" spans="1:8">
      <c r="A46" s="433">
        <f>LARGE('Commodity Prices'!C$159:C$902,22)</f>
        <v>44621</v>
      </c>
      <c r="B46" s="24" t="e">
        <f>SUMIF('Commodity Prices'!C$62:C$902,A46,'Commodity Prices'!#REF!)</f>
        <v>#REF!</v>
      </c>
      <c r="C46" s="8"/>
      <c r="D46" s="268"/>
      <c r="E46" s="268"/>
      <c r="F46" s="2093" t="s">
        <v>328</v>
      </c>
      <c r="G46" s="2093"/>
    </row>
    <row r="47" spans="1:8">
      <c r="A47" s="434">
        <f>LARGE('Commodity Prices'!C$159:C$902,21)</f>
        <v>44652</v>
      </c>
      <c r="B47" s="10" t="e">
        <f>SUMIF('Commodity Prices'!C$62:C$902,A47,'Commodity Prices'!#REF!)</f>
        <v>#REF!</v>
      </c>
      <c r="C47" s="8"/>
      <c r="D47" s="268"/>
      <c r="E47" s="268"/>
      <c r="F47" s="8"/>
      <c r="G47" s="8"/>
    </row>
    <row r="48" spans="1:8">
      <c r="A48" s="433">
        <f>LARGE('Commodity Prices'!C$159:C$902,20)</f>
        <v>44682</v>
      </c>
      <c r="B48" s="24" t="e">
        <f>SUMIF('Commodity Prices'!C$62:C$902,A48,'Commodity Prices'!#REF!)</f>
        <v>#REF!</v>
      </c>
      <c r="C48" s="8"/>
      <c r="D48" s="268"/>
      <c r="E48" s="268"/>
      <c r="F48" s="8"/>
      <c r="G48" s="8"/>
    </row>
    <row r="49" spans="1:7">
      <c r="A49" s="434">
        <f>LARGE('Commodity Prices'!C$159:C$902,19)</f>
        <v>44713</v>
      </c>
      <c r="B49" s="10" t="e">
        <f>SUMIF('Commodity Prices'!C$62:C$902,A49,'Commodity Prices'!#REF!)</f>
        <v>#REF!</v>
      </c>
      <c r="C49" s="8"/>
      <c r="D49" s="268"/>
      <c r="E49" s="268"/>
      <c r="F49" s="8"/>
      <c r="G49" s="8"/>
    </row>
    <row r="50" spans="1:7">
      <c r="A50" s="433">
        <f>LARGE('Commodity Prices'!C$159:C$902,18)</f>
        <v>44743</v>
      </c>
      <c r="B50" s="24" t="e">
        <f>SUMIF('Commodity Prices'!C$62:C$902,A50,'Commodity Prices'!#REF!)</f>
        <v>#REF!</v>
      </c>
      <c r="C50" s="8"/>
      <c r="D50" s="268"/>
      <c r="E50" s="268"/>
      <c r="F50" s="8"/>
      <c r="G50" s="8"/>
    </row>
    <row r="51" spans="1:7">
      <c r="A51" s="434">
        <f>LARGE('Commodity Prices'!C$159:C$902,17)</f>
        <v>44774</v>
      </c>
      <c r="B51" s="10" t="e">
        <f>SUMIF('Commodity Prices'!C$62:C$902,A51,'Commodity Prices'!#REF!)</f>
        <v>#REF!</v>
      </c>
      <c r="C51" s="8"/>
      <c r="D51" s="268"/>
      <c r="E51" s="268"/>
      <c r="F51" s="8"/>
      <c r="G51" s="8"/>
    </row>
    <row r="52" spans="1:7">
      <c r="A52" s="433">
        <f>LARGE('Commodity Prices'!C$159:C$902,16)</f>
        <v>44805</v>
      </c>
      <c r="B52" s="24" t="e">
        <f>SUMIF('Commodity Prices'!C$62:C$902,A52,'Commodity Prices'!#REF!)</f>
        <v>#REF!</v>
      </c>
      <c r="C52" s="8"/>
      <c r="D52" s="268"/>
      <c r="E52" s="268"/>
      <c r="F52" s="8"/>
      <c r="G52" s="8"/>
    </row>
    <row r="53" spans="1:7">
      <c r="A53" s="434">
        <f>LARGE('Commodity Prices'!C$159:C$902,15)</f>
        <v>44835</v>
      </c>
      <c r="B53" s="10" t="e">
        <f>SUMIF('Commodity Prices'!C$62:C$902,A53,'Commodity Prices'!#REF!)</f>
        <v>#REF!</v>
      </c>
      <c r="C53" s="8"/>
      <c r="D53" s="268"/>
      <c r="E53" s="268"/>
      <c r="F53" s="8"/>
      <c r="G53" s="8"/>
    </row>
    <row r="54" spans="1:7">
      <c r="A54" s="433">
        <f>LARGE('Commodity Prices'!C$159:C$902,14)</f>
        <v>44866</v>
      </c>
      <c r="B54" s="24" t="e">
        <f>SUMIF('Commodity Prices'!C$62:C$902,A54,'Commodity Prices'!#REF!)</f>
        <v>#REF!</v>
      </c>
      <c r="C54" s="8"/>
      <c r="D54" s="268"/>
      <c r="E54" s="268"/>
      <c r="F54" s="8"/>
      <c r="G54" s="8"/>
    </row>
    <row r="55" spans="1:7">
      <c r="A55" s="434">
        <f>LARGE('Commodity Prices'!C$159:C$902,13)</f>
        <v>44896</v>
      </c>
      <c r="B55" s="10" t="e">
        <f>SUMIF('Commodity Prices'!C$62:C$902,A55,'Commodity Prices'!#REF!)</f>
        <v>#REF!</v>
      </c>
      <c r="C55" s="8"/>
      <c r="D55" s="268"/>
      <c r="E55" s="268"/>
      <c r="F55" s="8"/>
      <c r="G55" s="8"/>
    </row>
    <row r="56" spans="1:7">
      <c r="A56" s="433">
        <f>LARGE('Commodity Prices'!C$159:C$902,12)</f>
        <v>44927</v>
      </c>
      <c r="B56" s="24" t="e">
        <f>SUMIF('Commodity Prices'!C$62:C$902,A56,'Commodity Prices'!#REF!)</f>
        <v>#REF!</v>
      </c>
      <c r="C56" s="8"/>
      <c r="D56" s="268"/>
      <c r="E56" s="268"/>
      <c r="F56" s="8"/>
      <c r="G56" s="8"/>
    </row>
    <row r="57" spans="1:7">
      <c r="A57" s="434">
        <f>LARGE('Commodity Prices'!C$159:C$902,11)</f>
        <v>44958</v>
      </c>
      <c r="B57" s="10" t="e">
        <f>SUMIF('Commodity Prices'!C$62:C$902,A57,'Commodity Prices'!#REF!)</f>
        <v>#REF!</v>
      </c>
      <c r="C57" s="8"/>
      <c r="D57" s="268"/>
      <c r="E57" s="268"/>
      <c r="F57" s="8"/>
      <c r="G57" s="8"/>
    </row>
    <row r="58" spans="1:7">
      <c r="A58" s="433">
        <f>LARGE('Commodity Prices'!C$159:C$902,10)</f>
        <v>44986</v>
      </c>
      <c r="B58" s="24" t="e">
        <f>SUMIF('Commodity Prices'!C$62:C$902,A58,'Commodity Prices'!#REF!)</f>
        <v>#REF!</v>
      </c>
      <c r="C58" s="8"/>
      <c r="D58" s="268"/>
      <c r="E58" s="268"/>
      <c r="F58" s="8"/>
      <c r="G58" s="8"/>
    </row>
    <row r="59" spans="1:7">
      <c r="A59" s="434">
        <f>LARGE('Commodity Prices'!C$159:C$902,9)</f>
        <v>45017</v>
      </c>
      <c r="B59" s="10" t="e">
        <f>SUMIF('Commodity Prices'!C$62:C$902,A59,'Commodity Prices'!#REF!)</f>
        <v>#REF!</v>
      </c>
      <c r="C59" s="8"/>
      <c r="D59" s="268"/>
      <c r="E59" s="268"/>
      <c r="F59" s="8"/>
      <c r="G59" s="8"/>
    </row>
    <row r="60" spans="1:7">
      <c r="A60" s="433">
        <f>LARGE('Commodity Prices'!C$159:C$902,8)</f>
        <v>45047</v>
      </c>
      <c r="B60" s="24" t="e">
        <f>SUMIF('Commodity Prices'!C$62:C$902,A60,'Commodity Prices'!#REF!)</f>
        <v>#REF!</v>
      </c>
      <c r="C60" s="8"/>
      <c r="D60" s="268"/>
      <c r="E60" s="268"/>
      <c r="F60" s="8"/>
      <c r="G60" s="8"/>
    </row>
    <row r="61" spans="1:7">
      <c r="A61" s="434">
        <f>LARGE('Commodity Prices'!C$159:C$902,7)</f>
        <v>45078</v>
      </c>
      <c r="B61" s="10" t="e">
        <f>SUMIF('Commodity Prices'!C$62:C$902,A61,'Commodity Prices'!#REF!)</f>
        <v>#REF!</v>
      </c>
      <c r="C61" s="8"/>
      <c r="D61" s="268"/>
      <c r="E61" s="268"/>
      <c r="F61" s="8"/>
      <c r="G61" s="8"/>
    </row>
    <row r="62" spans="1:7">
      <c r="A62" s="433">
        <f>LARGE('Commodity Prices'!C$159:C$902,6)</f>
        <v>45108</v>
      </c>
      <c r="B62" s="24" t="e">
        <f>SUMIF('Commodity Prices'!C$62:C$902,A62,'Commodity Prices'!#REF!)</f>
        <v>#REF!</v>
      </c>
      <c r="C62" s="8"/>
      <c r="D62" s="268"/>
      <c r="E62" s="268"/>
      <c r="F62" s="8"/>
      <c r="G62" s="8"/>
    </row>
    <row r="63" spans="1:7">
      <c r="A63" s="434">
        <f>LARGE('Commodity Prices'!C$159:C$902,5)</f>
        <v>45139</v>
      </c>
      <c r="B63" s="10" t="e">
        <f>SUMIF('Commodity Prices'!C$62:C$902,A63,'Commodity Prices'!#REF!)</f>
        <v>#REF!</v>
      </c>
      <c r="C63" s="8"/>
      <c r="D63" s="268"/>
      <c r="E63" s="268"/>
      <c r="F63" s="8"/>
      <c r="G63" s="8"/>
    </row>
    <row r="64" spans="1:7">
      <c r="A64" s="433">
        <f>LARGE('Commodity Prices'!C$159:C$902,4)</f>
        <v>45170</v>
      </c>
      <c r="B64" s="24" t="e">
        <f>SUMIF('Commodity Prices'!C$62:C$902,A64,'Commodity Prices'!#REF!)</f>
        <v>#REF!</v>
      </c>
      <c r="C64" s="8"/>
      <c r="D64" s="268"/>
      <c r="E64" s="268"/>
      <c r="F64" s="8"/>
      <c r="G64" s="8"/>
    </row>
    <row r="65" spans="1:7">
      <c r="A65" s="434">
        <f>LARGE('Commodity Prices'!C$159:C$902,3)</f>
        <v>45200</v>
      </c>
      <c r="B65" s="10" t="e">
        <f>SUMIF('Commodity Prices'!C$62:C$902,A65,'Commodity Prices'!#REF!)</f>
        <v>#REF!</v>
      </c>
      <c r="C65" s="8"/>
      <c r="D65" s="268"/>
      <c r="E65" s="268"/>
      <c r="F65" s="8"/>
      <c r="G65" s="8"/>
    </row>
    <row r="66" spans="1:7">
      <c r="A66" s="433">
        <f>LARGE('Commodity Prices'!C$159:C$902,2)</f>
        <v>45231</v>
      </c>
      <c r="B66" s="24" t="e">
        <f>SUMIF('Commodity Prices'!C$62:C$902,A66,'Commodity Prices'!#REF!)</f>
        <v>#REF!</v>
      </c>
      <c r="C66" s="8"/>
      <c r="D66" s="268"/>
      <c r="E66" s="268"/>
      <c r="F66" s="8"/>
      <c r="G66" s="8"/>
    </row>
    <row r="67" spans="1:7" ht="15.75" thickBot="1">
      <c r="A67" s="435">
        <f>LARGE('Commodity Prices'!C$159:C$902,1)</f>
        <v>45261</v>
      </c>
      <c r="B67" s="9" t="e">
        <f>SUMIF('Commodity Prices'!C$62:C$902,A67,'Commodity Prices'!#REF!)</f>
        <v>#REF!</v>
      </c>
      <c r="C67" s="8"/>
      <c r="D67" s="268"/>
      <c r="E67" s="268"/>
      <c r="F67" s="8"/>
      <c r="G67" s="8"/>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xr:uid="{00000000-0002-0000-2F00-000000000000}">
      <formula1>$AA$1:$AA$2</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M157"/>
  <sheetViews>
    <sheetView showGridLines="0" workbookViewId="0"/>
  </sheetViews>
  <sheetFormatPr defaultColWidth="9.140625" defaultRowHeight="15"/>
  <cols>
    <col min="1" max="1" width="67.7109375" style="31" bestFit="1" customWidth="1"/>
    <col min="2" max="2" width="12.85546875" style="41" bestFit="1" customWidth="1"/>
    <col min="3" max="3" width="15.28515625" style="18" customWidth="1"/>
    <col min="4" max="4" width="2.7109375" style="18" bestFit="1" customWidth="1"/>
    <col min="5" max="5" width="15.42578125" style="18" customWidth="1"/>
    <col min="6" max="6" width="2.7109375" style="31" bestFit="1" customWidth="1"/>
    <col min="7" max="7" width="15.42578125" style="18" customWidth="1"/>
    <col min="8" max="8" width="3.140625" style="18" bestFit="1" customWidth="1"/>
    <col min="9" max="9" width="15.140625" style="18" customWidth="1"/>
    <col min="10" max="10" width="4.7109375" style="323" hidden="1" customWidth="1"/>
    <col min="11" max="11" width="10.7109375" style="32" customWidth="1"/>
    <col min="12" max="12" width="3.42578125" style="18" customWidth="1"/>
    <col min="13" max="13" width="3.28515625" style="18" customWidth="1"/>
    <col min="14" max="14" width="29.28515625" style="18" customWidth="1"/>
    <col min="15" max="15" width="17.85546875" style="18" customWidth="1"/>
    <col min="16" max="16" width="10.42578125" style="18" customWidth="1"/>
    <col min="17" max="17" width="17" style="18" customWidth="1"/>
    <col min="18" max="18" width="11.140625" style="18" customWidth="1"/>
    <col min="19" max="20" width="10.42578125" style="18" customWidth="1"/>
    <col min="21" max="21" width="9.140625" style="18"/>
    <col min="22" max="22" width="26.85546875" style="222" customWidth="1"/>
    <col min="23" max="23" width="14.5703125" style="222" customWidth="1"/>
    <col min="24" max="27" width="9.140625" style="222"/>
    <col min="28" max="16384" width="9.140625" style="18"/>
  </cols>
  <sheetData>
    <row r="1" spans="1:39" ht="15.75">
      <c r="R1" s="1290"/>
      <c r="S1" s="1290"/>
      <c r="T1" s="1290"/>
      <c r="U1" s="1290"/>
      <c r="V1" s="1292">
        <f>IF(B6="Calendar Year",MAX('Q&amp;V CY 2004 to Now'!$C$7:$CG$7),CONCATENATE(MAX('Commodity Prices'!$A$9:$A$1300)-1,"-",RIGHT(MAX('Commodity Prices'!$A$9:$A$1300),2)))</f>
        <v>2023</v>
      </c>
      <c r="W1" s="1292">
        <f>IF(B6="Calendar Year",MATCH('Q&amp;V 2-years'!V1,'Q&amp;V CY 2004 to Now'!$A$7:$GK$7,0),MATCH('Q&amp;V 2-years'!V1,'Q&amp;V FY 2003-04 to Now'!$A$7:$GI$7,0))</f>
        <v>41</v>
      </c>
      <c r="X1" s="1292"/>
      <c r="Y1" s="379"/>
      <c r="AJ1" s="294" t="str">
        <f>CONCATENATE(IF(LEFT(C8,1)="C",RIGHT(O12,4),RIGHT(O12,7))," Mineral and Petroleum Summary")</f>
        <v>2022 Mineral and Petroleum Summary</v>
      </c>
      <c r="AM1" s="294" t="str">
        <f>(Q12)&amp;" Mineral and Petroleum Summary"</f>
        <v>2023 Mineral and Petroleum Summary</v>
      </c>
    </row>
    <row r="2" spans="1:39" ht="15.75">
      <c r="B2" s="908" t="s">
        <v>240</v>
      </c>
      <c r="R2" s="1290"/>
      <c r="S2" s="1290"/>
      <c r="T2" s="1290"/>
      <c r="U2" s="1290"/>
      <c r="V2" s="1292">
        <f>IF(B6="Calendar Year",V1-1,CONCATENATE(MAX('Commodity Prices'!$A$9:$A$1300)-2,"-",RIGHT(MAX('Commodity Prices'!$A$9:$A$1300)-1,2)))</f>
        <v>2022</v>
      </c>
      <c r="W2" s="1292">
        <f>W1-2</f>
        <v>39</v>
      </c>
      <c r="X2" s="1292"/>
      <c r="Y2" s="379"/>
      <c r="AJ2" s="294" t="str">
        <f>CONCATENATE(IF(LEFT(G8,1)="C",RIGHT(Q12,4),RIGHT(Q12,7))," Mineral and Petroleum Summary")</f>
        <v>2023 Mineral and Petroleum Summary</v>
      </c>
      <c r="AM2" s="294" t="str">
        <f>(O12)&amp;" Mineral and Petroleum Summary"</f>
        <v>2022 Mineral and Petroleum Summary</v>
      </c>
    </row>
    <row r="3" spans="1:39" ht="28.5">
      <c r="B3" s="908" t="s">
        <v>246</v>
      </c>
      <c r="N3" s="374"/>
      <c r="R3" s="1290"/>
      <c r="S3" s="1290"/>
      <c r="T3" s="1290"/>
      <c r="U3" s="1290"/>
      <c r="V3" s="1292"/>
      <c r="W3" s="1292"/>
      <c r="X3" s="1292"/>
      <c r="Y3" s="379"/>
      <c r="AJ3" s="294"/>
    </row>
    <row r="4" spans="1:39" ht="15.75">
      <c r="I4" s="349"/>
      <c r="R4" s="1290"/>
      <c r="S4" s="1290"/>
      <c r="T4" s="1290"/>
      <c r="U4" s="1290"/>
      <c r="V4" s="1291"/>
      <c r="W4" s="1291"/>
      <c r="X4" s="1291"/>
      <c r="Y4" s="379"/>
      <c r="AJ4" s="294"/>
    </row>
    <row r="5" spans="1:39" ht="16.5" thickBot="1">
      <c r="A5" s="33" t="s">
        <v>445</v>
      </c>
      <c r="B5" s="39"/>
      <c r="C5" s="32"/>
      <c r="D5" s="32"/>
      <c r="E5" s="32"/>
      <c r="F5" s="34"/>
      <c r="G5" s="32"/>
      <c r="H5" s="32"/>
      <c r="I5" s="32"/>
      <c r="J5" s="302"/>
      <c r="R5" s="1290"/>
      <c r="S5" s="1290"/>
      <c r="T5" s="1290"/>
      <c r="U5" s="1290"/>
      <c r="V5" s="1291"/>
      <c r="W5" s="1291"/>
      <c r="X5" s="1291"/>
      <c r="Y5" s="379"/>
    </row>
    <row r="6" spans="1:39" s="323" customFormat="1" ht="15.75" thickBot="1">
      <c r="A6" s="890" t="s">
        <v>247</v>
      </c>
      <c r="B6" s="1927" t="s">
        <v>240</v>
      </c>
      <c r="C6" s="1928"/>
      <c r="D6" s="1928"/>
      <c r="E6" s="1928"/>
      <c r="F6" s="1929"/>
      <c r="G6" s="302"/>
      <c r="H6" s="302"/>
      <c r="I6" s="302"/>
      <c r="J6" s="302"/>
      <c r="K6" s="302"/>
      <c r="R6" s="1290"/>
      <c r="S6" s="1290"/>
      <c r="T6" s="1290"/>
      <c r="U6" s="1290"/>
      <c r="V6" s="1291"/>
      <c r="W6" s="1291"/>
      <c r="X6" s="1291"/>
      <c r="Y6" s="222"/>
      <c r="Z6" s="222"/>
      <c r="AA6" s="222"/>
    </row>
    <row r="7" spans="1:39" ht="15.75" thickBot="1">
      <c r="A7" s="34"/>
      <c r="B7" s="39"/>
      <c r="C7" s="32"/>
      <c r="D7" s="32"/>
      <c r="E7" s="32"/>
      <c r="F7" s="34"/>
      <c r="G7" s="32"/>
      <c r="H7" s="32"/>
      <c r="I7" s="32"/>
      <c r="J7" s="302"/>
      <c r="R7" s="1290"/>
      <c r="S7" s="1290"/>
      <c r="T7" s="1290"/>
      <c r="U7" s="1290"/>
      <c r="V7" s="1291"/>
      <c r="W7" s="1291"/>
      <c r="X7" s="1291"/>
    </row>
    <row r="8" spans="1:39" ht="15" customHeight="1">
      <c r="A8" s="326"/>
      <c r="B8" s="820"/>
      <c r="C8" s="1934">
        <f>$V$2</f>
        <v>2022</v>
      </c>
      <c r="D8" s="1934"/>
      <c r="E8" s="1934"/>
      <c r="F8" s="476"/>
      <c r="G8" s="1933">
        <f>$V$1</f>
        <v>2023</v>
      </c>
      <c r="H8" s="1934"/>
      <c r="I8" s="1935"/>
      <c r="J8" s="345"/>
      <c r="K8" s="278"/>
      <c r="L8" s="278"/>
    </row>
    <row r="9" spans="1:39">
      <c r="A9" s="327" t="s">
        <v>88</v>
      </c>
      <c r="B9" s="369" t="s">
        <v>89</v>
      </c>
      <c r="C9" s="328" t="s">
        <v>90</v>
      </c>
      <c r="D9" s="346"/>
      <c r="E9" s="346" t="s">
        <v>212</v>
      </c>
      <c r="F9" s="467"/>
      <c r="G9" s="468" t="s">
        <v>90</v>
      </c>
      <c r="H9" s="346"/>
      <c r="I9" s="467" t="s">
        <v>212</v>
      </c>
      <c r="J9" s="328"/>
      <c r="K9" s="278"/>
      <c r="L9" s="278"/>
    </row>
    <row r="10" spans="1:39" ht="15.75" thickBot="1">
      <c r="A10" s="329"/>
      <c r="B10" s="370"/>
      <c r="C10" s="331"/>
      <c r="D10" s="331"/>
      <c r="E10" s="331" t="s">
        <v>400</v>
      </c>
      <c r="F10" s="332"/>
      <c r="G10" s="330"/>
      <c r="H10" s="331"/>
      <c r="I10" s="332" t="s">
        <v>400</v>
      </c>
      <c r="J10" s="346"/>
      <c r="K10" s="278"/>
      <c r="L10" s="278"/>
    </row>
    <row r="11" spans="1:39" ht="15.75" thickBot="1">
      <c r="A11" s="333" t="s">
        <v>287</v>
      </c>
      <c r="B11" s="371"/>
      <c r="C11" s="701"/>
      <c r="D11" s="469"/>
      <c r="E11" s="701"/>
      <c r="F11" s="469"/>
      <c r="G11" s="703"/>
      <c r="H11" s="469"/>
      <c r="I11" s="705"/>
      <c r="J11" s="334"/>
      <c r="K11" s="381"/>
      <c r="L11" s="381"/>
      <c r="M11" s="381"/>
      <c r="N11" s="381"/>
      <c r="O11" s="381"/>
      <c r="P11" s="381"/>
      <c r="Q11" s="381"/>
      <c r="R11" s="381"/>
      <c r="S11" s="381"/>
      <c r="T11" s="381"/>
      <c r="U11" s="381"/>
      <c r="AB11" s="381"/>
      <c r="AC11" s="381"/>
      <c r="AD11" s="381"/>
      <c r="AE11" s="381"/>
      <c r="AF11" s="381"/>
      <c r="AG11" s="381"/>
      <c r="AH11" s="381"/>
      <c r="AI11" s="381"/>
      <c r="AJ11" s="381"/>
      <c r="AK11" s="381"/>
      <c r="AL11" s="381"/>
      <c r="AM11" s="381"/>
    </row>
    <row r="12" spans="1:39">
      <c r="A12" s="1064" t="s">
        <v>0</v>
      </c>
      <c r="B12" s="371" t="s">
        <v>67</v>
      </c>
      <c r="C12" s="701">
        <f>IF($B$6="Calendar Year",
INDEX('Q&amp;V CY 2004 to Now'!$A$1:$KG$236,$J12,'Q&amp;V 2-years'!$W$2),
INDEX('Q&amp;V FY 2003-04 to Now'!$A$1:$KE$232,$J12,'Q&amp;V 2-years'!$W$2))</f>
        <v>13462240.954</v>
      </c>
      <c r="D12" s="469"/>
      <c r="E12" s="701">
        <f>IF($B$6="Calendar Year",
INDEX('Q&amp;V CY 2004 to Now'!$A$1:$KG$236,$J12,'Q&amp;V 2-years'!$W$2+1),
INDEX('Q&amp;V FY 2003-04 to Now'!$A$1:$KE$232,$J12,'Q&amp;V 2-years'!$W$2+1))</f>
        <v>6860912206.999999</v>
      </c>
      <c r="F12" s="469"/>
      <c r="G12" s="703">
        <f>IF($B$6="Calendar Year",
INDEX('Q&amp;V CY 2004 to Now'!$A$1:$KG$236,$J12,'Q&amp;V 2-years'!$W$1),
INDEX('Q&amp;V FY 2003-04 to Now'!$A$1:$KE$232,$J12,'Q&amp;V 2-years'!$W$1))</f>
        <v>12762861.729999999</v>
      </c>
      <c r="H12" s="469"/>
      <c r="I12" s="705">
        <f>IF($B$6="Calendar Year",
INDEX('Q&amp;V CY 2004 to Now'!$A$1:$KG$236,$J12,'Q&amp;V 2-years'!$W$1+1),
INDEX('Q&amp;V FY 2003-04 to Now'!$A$1:$KE$232,$J12,'Q&amp;V 2-years'!$W$1+1))</f>
        <v>6581464855</v>
      </c>
      <c r="J12" s="334">
        <v>12</v>
      </c>
      <c r="K12" s="302"/>
      <c r="L12" s="381"/>
      <c r="M12" s="381"/>
      <c r="N12" s="464"/>
      <c r="O12" s="1931">
        <f>C8</f>
        <v>2022</v>
      </c>
      <c r="P12" s="1932"/>
      <c r="Q12" s="1931">
        <f>G8</f>
        <v>2023</v>
      </c>
      <c r="R12" s="1932"/>
      <c r="S12" s="54"/>
      <c r="T12" s="54"/>
      <c r="U12" s="381"/>
      <c r="AB12" s="381"/>
      <c r="AC12" s="381"/>
      <c r="AD12" s="381"/>
      <c r="AE12" s="381"/>
      <c r="AF12" s="381"/>
      <c r="AG12" s="381"/>
      <c r="AH12" s="381"/>
      <c r="AI12" s="381"/>
      <c r="AJ12" s="381"/>
      <c r="AK12" s="381"/>
      <c r="AL12" s="381"/>
      <c r="AM12" s="381"/>
    </row>
    <row r="13" spans="1:39" ht="15.75" thickBot="1">
      <c r="A13" s="1064" t="s">
        <v>352</v>
      </c>
      <c r="B13" s="371" t="s">
        <v>67</v>
      </c>
      <c r="C13" s="701">
        <f>IF($B$6="Calendar Year",
INDEX('Q&amp;V CY 2004 to Now'!$A$1:$KG$236,$J13,'Q&amp;V 2-years'!$W$2),
INDEX('Q&amp;V FY 2003-04 to Now'!$A$1:$KE$232,$J13,'Q&amp;V 2-years'!$W$2))</f>
        <v>0</v>
      </c>
      <c r="D13" s="469"/>
      <c r="E13" s="701">
        <f>IF($B$6="Calendar Year",
INDEX('Q&amp;V CY 2004 to Now'!$A$1:$KG$236,$J13,'Q&amp;V 2-years'!$W$2+1),
INDEX('Q&amp;V FY 2003-04 to Now'!$A$1:$KE$232,$J13,'Q&amp;V 2-years'!$W$2+1))</f>
        <v>0</v>
      </c>
      <c r="F13" s="469"/>
      <c r="G13" s="703">
        <f>IF($B$6="Calendar Year",
INDEX('Q&amp;V CY 2004 to Now'!$A$1:$KG$236,$J13,'Q&amp;V 2-years'!$W$1),
INDEX('Q&amp;V FY 2003-04 to Now'!$A$1:$KE$232,$J13,'Q&amp;V 2-years'!$W$1))</f>
        <v>0</v>
      </c>
      <c r="H13" s="469"/>
      <c r="I13" s="705">
        <f>IF($B$6="Calendar Year",
INDEX('Q&amp;V CY 2004 to Now'!$A$1:$KG$236,$J13,'Q&amp;V 2-years'!$W$1+1),
INDEX('Q&amp;V FY 2003-04 to Now'!$A$1:$KE$232,$J13,'Q&amp;V 2-years'!$W$1+1))</f>
        <v>0</v>
      </c>
      <c r="J13" s="334">
        <v>13</v>
      </c>
      <c r="K13" s="302"/>
      <c r="L13" s="381"/>
      <c r="M13" s="381"/>
      <c r="N13" s="339"/>
      <c r="O13" s="465" t="s">
        <v>398</v>
      </c>
      <c r="P13" s="466" t="s">
        <v>399</v>
      </c>
      <c r="Q13" s="465" t="s">
        <v>398</v>
      </c>
      <c r="R13" s="466" t="s">
        <v>399</v>
      </c>
      <c r="S13" s="381"/>
      <c r="T13" s="381"/>
      <c r="U13" s="80"/>
      <c r="AB13" s="381"/>
      <c r="AC13" s="381"/>
      <c r="AD13" s="381"/>
      <c r="AE13" s="381"/>
      <c r="AF13" s="381"/>
      <c r="AG13" s="381"/>
      <c r="AH13" s="381"/>
      <c r="AI13" s="381"/>
      <c r="AJ13" s="381"/>
      <c r="AK13" s="381"/>
      <c r="AL13" s="381"/>
      <c r="AM13" s="381"/>
    </row>
    <row r="14" spans="1:39">
      <c r="A14" s="1064" t="s">
        <v>418</v>
      </c>
      <c r="B14" s="371"/>
      <c r="C14" s="701"/>
      <c r="D14" s="469"/>
      <c r="E14" s="701">
        <f>IF($B$6="Calendar Year",
INDEX('Q&amp;V CY 2004 to Now'!$A$1:$KG$236,$J14,'Q&amp;V 2-years'!$W$2+1),
INDEX('Q&amp;V FY 2003-04 to Now'!$A$1:$KE$232,$J14,'Q&amp;V 2-years'!$W$2+1))</f>
        <v>6860912206.999999</v>
      </c>
      <c r="F14" s="469"/>
      <c r="G14" s="703"/>
      <c r="H14" s="469"/>
      <c r="I14" s="705">
        <f>IF($B$6="Calendar Year",
INDEX('Q&amp;V CY 2004 to Now'!$A$1:$KG$236,$J14,'Q&amp;V 2-years'!$W$1+1),
INDEX('Q&amp;V FY 2003-04 to Now'!$A$1:$KE$232,$J14,'Q&amp;V 2-years'!$W$1+1))</f>
        <v>6581464855</v>
      </c>
      <c r="J14" s="334">
        <v>14</v>
      </c>
      <c r="K14" s="302"/>
      <c r="L14" s="381"/>
      <c r="M14" s="381"/>
      <c r="N14" s="53" t="s">
        <v>236</v>
      </c>
      <c r="O14" s="678">
        <f t="shared" ref="O14:O19" si="0">VLOOKUP(N14,$A$11:$I$128,5,FALSE)/1000000</f>
        <v>127522.61195400001</v>
      </c>
      <c r="P14" s="460">
        <f t="shared" ref="P14:P23" ca="1" si="1">O14/$O$26</f>
        <v>0.50610053883435768</v>
      </c>
      <c r="Q14" s="682">
        <f t="shared" ref="Q14:Q19" si="2">VLOOKUP(N14,$A$11:$I$128,9,FALSE)/1000000</f>
        <v>139059.52957499999</v>
      </c>
      <c r="R14" s="460">
        <f t="shared" ref="R14:R23" ca="1" si="3">Q14/$Q$26</f>
        <v>0.56170946419701751</v>
      </c>
      <c r="S14" s="381"/>
      <c r="T14" s="381"/>
      <c r="U14" s="353"/>
      <c r="AB14" s="381"/>
      <c r="AC14" s="381"/>
      <c r="AD14" s="381"/>
      <c r="AE14" s="381"/>
      <c r="AF14" s="381"/>
      <c r="AG14" s="381"/>
      <c r="AH14" s="381"/>
      <c r="AI14" s="381"/>
      <c r="AJ14" s="381"/>
      <c r="AK14" s="381"/>
      <c r="AL14" s="381"/>
      <c r="AM14" s="381"/>
    </row>
    <row r="15" spans="1:39">
      <c r="A15" s="395"/>
      <c r="B15" s="411"/>
      <c r="C15" s="469"/>
      <c r="D15" s="469"/>
      <c r="E15" s="701"/>
      <c r="F15" s="469"/>
      <c r="G15" s="703"/>
      <c r="H15" s="469"/>
      <c r="I15" s="705"/>
      <c r="J15" s="334"/>
      <c r="K15" s="302"/>
      <c r="L15" s="381"/>
      <c r="M15" s="381"/>
      <c r="N15" s="403" t="s">
        <v>224</v>
      </c>
      <c r="O15" s="679">
        <f t="shared" si="0"/>
        <v>54511.850325376261</v>
      </c>
      <c r="P15" s="461">
        <f t="shared" ca="1" si="1"/>
        <v>0.21634184243718677</v>
      </c>
      <c r="Q15" s="683">
        <f t="shared" si="2"/>
        <v>42300.119314237854</v>
      </c>
      <c r="R15" s="461">
        <f t="shared" ca="1" si="3"/>
        <v>0.17086479026707477</v>
      </c>
      <c r="S15" s="381"/>
      <c r="T15" s="381"/>
      <c r="U15" s="353"/>
      <c r="AB15" s="381"/>
      <c r="AC15" s="381"/>
      <c r="AD15" s="381"/>
      <c r="AE15" s="381"/>
      <c r="AF15" s="381"/>
      <c r="AG15" s="381"/>
      <c r="AH15" s="381"/>
      <c r="AI15" s="381"/>
      <c r="AJ15" s="381"/>
      <c r="AK15" s="381"/>
      <c r="AL15" s="381"/>
      <c r="AM15" s="381"/>
    </row>
    <row r="16" spans="1:39">
      <c r="A16" s="283" t="s">
        <v>493</v>
      </c>
      <c r="B16" s="472"/>
      <c r="C16" s="473"/>
      <c r="D16" s="473"/>
      <c r="E16" s="285"/>
      <c r="F16" s="473"/>
      <c r="G16" s="821"/>
      <c r="H16" s="473"/>
      <c r="I16" s="706"/>
      <c r="J16" s="284"/>
      <c r="K16" s="405"/>
      <c r="L16" s="381"/>
      <c r="M16" s="381"/>
      <c r="N16" s="403" t="s">
        <v>345</v>
      </c>
      <c r="O16" s="678">
        <f>VLOOKUP("Spodumene",$A$11:$I$128,5,FALSE)/1000000</f>
        <v>17031.181733999998</v>
      </c>
      <c r="P16" s="461">
        <f t="shared" ca="1" si="1"/>
        <v>6.7591857792816332E-2</v>
      </c>
      <c r="Q16" s="682">
        <f>VLOOKUP("Spodumene",$A$11:$I$128,9,FALSE)/1000000</f>
        <v>15845.152372563396</v>
      </c>
      <c r="R16" s="461">
        <f t="shared" ca="1" si="3"/>
        <v>6.4004042560149632E-2</v>
      </c>
      <c r="S16" s="381"/>
      <c r="T16" s="381"/>
      <c r="U16" s="353"/>
      <c r="AB16" s="381"/>
      <c r="AC16" s="381"/>
      <c r="AD16" s="381"/>
      <c r="AE16" s="381"/>
      <c r="AF16" s="381"/>
      <c r="AG16" s="381"/>
      <c r="AH16" s="381"/>
      <c r="AI16" s="381"/>
      <c r="AJ16" s="381"/>
      <c r="AK16" s="381"/>
      <c r="AL16" s="381"/>
      <c r="AM16" s="381"/>
    </row>
    <row r="17" spans="1:22">
      <c r="A17" s="282" t="s">
        <v>213</v>
      </c>
      <c r="B17" s="372" t="s">
        <v>67</v>
      </c>
      <c r="C17" s="285">
        <f>IF($B$6="Calendar Year",
INDEX('Q&amp;V CY 2004 to Now'!$A$1:$KG$236,$J17,'Q&amp;V 2-years'!$W$2),
INDEX('Q&amp;V FY 2003-04 to Now'!$A$1:$KE$232,$J17,'Q&amp;V 2-years'!$W$2))</f>
        <v>143649.04300000001</v>
      </c>
      <c r="D17" s="473"/>
      <c r="E17" s="285">
        <f>IF($B$6="Calendar Year",
INDEX('Q&amp;V CY 2004 to Now'!$A$1:$KG$236,$J17,'Q&amp;V 2-years'!$W$2+1),
INDEX('Q&amp;V FY 2003-04 to Now'!$A$1:$KE$232,$J17,'Q&amp;V 2-years'!$W$2+1))</f>
        <v>1698756885</v>
      </c>
      <c r="F17" s="473"/>
      <c r="G17" s="821">
        <f>IF($B$6="Calendar Year",
INDEX('Q&amp;V CY 2004 to Now'!$A$1:$KG$236,$J17,'Q&amp;V 2-years'!$W$1),
INDEX('Q&amp;V FY 2003-04 to Now'!$A$1:$KE$232,$J17,'Q&amp;V 2-years'!$W$1))</f>
        <v>103640.789</v>
      </c>
      <c r="H17" s="473"/>
      <c r="I17" s="706">
        <f>IF($B$6="Calendar Year",
INDEX('Q&amp;V CY 2004 to Now'!$A$1:$KG$236,$J17,'Q&amp;V 2-years'!$W$1+1),
INDEX('Q&amp;V FY 2003-04 to Now'!$A$1:$KE$232,$J17,'Q&amp;V 2-years'!$W$1+1))</f>
        <v>1206278425.9999998</v>
      </c>
      <c r="J17" s="284">
        <f>MATCH(A17,'Q&amp;V CY 2004 to Now'!$A$1:$A$101,0)</f>
        <v>17</v>
      </c>
      <c r="K17" s="405"/>
      <c r="L17" s="381"/>
      <c r="M17" s="381"/>
      <c r="N17" s="53" t="s">
        <v>1</v>
      </c>
      <c r="O17" s="678">
        <f t="shared" si="0"/>
        <v>17875.612413999999</v>
      </c>
      <c r="P17" s="460">
        <f t="shared" ca="1" si="1"/>
        <v>7.094316008821179E-2</v>
      </c>
      <c r="Q17" s="682">
        <f t="shared" si="2"/>
        <v>19890.974642000001</v>
      </c>
      <c r="R17" s="460">
        <f t="shared" ca="1" si="3"/>
        <v>8.0346515932144688E-2</v>
      </c>
      <c r="S17" s="381"/>
      <c r="T17" s="381"/>
      <c r="U17" s="353"/>
    </row>
    <row r="18" spans="1:22">
      <c r="A18" s="282" t="s">
        <v>214</v>
      </c>
      <c r="B18" s="372" t="s">
        <v>67</v>
      </c>
      <c r="C18" s="285">
        <f>IF($B$6="Calendar Year",
INDEX('Q&amp;V CY 2004 to Now'!$A$1:$KG$236,$J18,'Q&amp;V 2-years'!$W$2),
INDEX('Q&amp;V FY 2003-04 to Now'!$A$1:$KE$232,$J18,'Q&amp;V 2-years'!$W$2))</f>
        <v>0</v>
      </c>
      <c r="D18" s="473"/>
      <c r="E18" s="285">
        <f>IF($B$6="Calendar Year",
INDEX('Q&amp;V CY 2004 to Now'!$A$1:$KG$236,$J18,'Q&amp;V 2-years'!$W$2+1),
INDEX('Q&amp;V FY 2003-04 to Now'!$A$1:$KE$232,$J18,'Q&amp;V 2-years'!$W$2+1))</f>
        <v>0</v>
      </c>
      <c r="F18" s="473"/>
      <c r="G18" s="821">
        <f>IF($B$6="Calendar Year",
INDEX('Q&amp;V CY 2004 to Now'!$A$1:$KG$236,$J18,'Q&amp;V 2-years'!$W$1),
INDEX('Q&amp;V FY 2003-04 to Now'!$A$1:$KE$232,$J18,'Q&amp;V 2-years'!$W$1))</f>
        <v>37955.645000000004</v>
      </c>
      <c r="H18" s="473"/>
      <c r="I18" s="706">
        <f>IF($B$6="Calendar Year",
INDEX('Q&amp;V CY 2004 to Now'!$A$1:$KG$236,$J18,'Q&amp;V 2-years'!$W$1+1),
INDEX('Q&amp;V FY 2003-04 to Now'!$A$1:$KE$232,$J18,'Q&amp;V 2-years'!$W$1+1))</f>
        <v>122956831.99999999</v>
      </c>
      <c r="J18" s="284">
        <f>MATCH(A18,'Q&amp;V CY 2004 to Now'!$A$1:$A$101,0)</f>
        <v>18</v>
      </c>
      <c r="K18" s="405"/>
      <c r="L18" s="278"/>
      <c r="N18" s="53" t="s">
        <v>62</v>
      </c>
      <c r="O18" s="678">
        <f t="shared" si="0"/>
        <v>9021.1554735518348</v>
      </c>
      <c r="P18" s="460">
        <f t="shared" ca="1" si="1"/>
        <v>3.5802369290553797E-2</v>
      </c>
      <c r="Q18" s="682">
        <f t="shared" si="2"/>
        <v>7784.3643382544742</v>
      </c>
      <c r="R18" s="460">
        <f t="shared" ca="1" si="3"/>
        <v>3.1443735894396301E-2</v>
      </c>
      <c r="U18" s="80"/>
    </row>
    <row r="19" spans="1:22">
      <c r="A19" s="282" t="s">
        <v>215</v>
      </c>
      <c r="B19" s="372" t="s">
        <v>67</v>
      </c>
      <c r="C19" s="285">
        <f>IF($B$6="Calendar Year",
INDEX('Q&amp;V CY 2004 to Now'!$A$1:$KG$236,$J19,'Q&amp;V 2-years'!$W$2),
INDEX('Q&amp;V FY 2003-04 to Now'!$A$1:$KE$232,$J19,'Q&amp;V 2-years'!$W$2))</f>
        <v>70478.444999999992</v>
      </c>
      <c r="D19" s="473"/>
      <c r="E19" s="285">
        <f>IF($B$6="Calendar Year",
INDEX('Q&amp;V CY 2004 to Now'!$A$1:$KG$236,$J19,'Q&amp;V 2-years'!$W$2+1),
INDEX('Q&amp;V FY 2003-04 to Now'!$A$1:$KE$232,$J19,'Q&amp;V 2-years'!$W$2+1))</f>
        <v>336064136</v>
      </c>
      <c r="F19" s="473"/>
      <c r="G19" s="821">
        <f>IF($B$6="Calendar Year",
INDEX('Q&amp;V CY 2004 to Now'!$A$1:$KG$236,$J19,'Q&amp;V 2-years'!$W$1),
INDEX('Q&amp;V FY 2003-04 to Now'!$A$1:$KE$232,$J19,'Q&amp;V 2-years'!$W$1))</f>
        <v>50522.046999999999</v>
      </c>
      <c r="H19" s="473"/>
      <c r="I19" s="706">
        <f>IF($B$6="Calendar Year",
INDEX('Q&amp;V CY 2004 to Now'!$A$1:$KG$236,$J19,'Q&amp;V 2-years'!$W$1+1),
INDEX('Q&amp;V FY 2003-04 to Now'!$A$1:$KE$232,$J19,'Q&amp;V 2-years'!$W$1+1))</f>
        <v>192214639</v>
      </c>
      <c r="J19" s="284">
        <f>MATCH(A19,'Q&amp;V CY 2004 to Now'!$A$1:$A$101,0)</f>
        <v>19</v>
      </c>
      <c r="K19" s="405"/>
      <c r="L19" s="278"/>
      <c r="N19" s="53" t="s">
        <v>0</v>
      </c>
      <c r="O19" s="678">
        <f t="shared" si="0"/>
        <v>6860.9122069999994</v>
      </c>
      <c r="P19" s="460">
        <f t="shared" ca="1" si="1"/>
        <v>2.7228985602258952E-2</v>
      </c>
      <c r="Q19" s="682">
        <f t="shared" si="2"/>
        <v>6581.4648550000002</v>
      </c>
      <c r="R19" s="460">
        <f t="shared" ca="1" si="3"/>
        <v>2.6584809459891716E-2</v>
      </c>
      <c r="U19" s="80"/>
    </row>
    <row r="20" spans="1:22">
      <c r="A20" s="281" t="s">
        <v>494</v>
      </c>
      <c r="B20" s="472"/>
      <c r="C20" s="285"/>
      <c r="D20" s="473"/>
      <c r="E20" s="285">
        <f>SUM(E17:E19)</f>
        <v>2034821021</v>
      </c>
      <c r="F20" s="473"/>
      <c r="G20" s="821"/>
      <c r="H20" s="473"/>
      <c r="I20" s="706">
        <f>SUM(I17:I19)</f>
        <v>1521449896.9999998</v>
      </c>
      <c r="J20" s="284">
        <f>MATCH(A20,'Q&amp;V CY 2004 to Now'!$A$1:$A$101,0)</f>
        <v>20</v>
      </c>
      <c r="K20" s="405"/>
      <c r="L20" s="278"/>
      <c r="N20" s="403" t="s">
        <v>3</v>
      </c>
      <c r="O20" s="679">
        <f>VLOOKUP(N20,$A$11:$I$128,5,FALSE)/1000000</f>
        <v>5766.8162189999994</v>
      </c>
      <c r="P20" s="461">
        <f t="shared" ca="1" si="1"/>
        <v>2.2886833566798388E-2</v>
      </c>
      <c r="Q20" s="683">
        <f>VLOOKUP(N20,$A$11:$I$128,9,FALSE)/1000000</f>
        <v>4697.4154349999999</v>
      </c>
      <c r="R20" s="461">
        <f t="shared" ca="1" si="3"/>
        <v>1.8974483195569589E-2</v>
      </c>
      <c r="U20" s="353"/>
    </row>
    <row r="21" spans="1:22">
      <c r="A21" s="283"/>
      <c r="B21" s="472"/>
      <c r="C21" s="285"/>
      <c r="D21" s="473"/>
      <c r="E21" s="285"/>
      <c r="F21" s="473"/>
      <c r="G21" s="821"/>
      <c r="H21" s="473"/>
      <c r="I21" s="706"/>
      <c r="J21" s="284"/>
      <c r="K21" s="405"/>
      <c r="L21" s="278"/>
      <c r="N21" s="53" t="s">
        <v>61</v>
      </c>
      <c r="O21" s="678">
        <f>VLOOKUP("Crude Oil",$A$11:$I$128,5,FALSE)/1000000</f>
        <v>4062.2428518730471</v>
      </c>
      <c r="P21" s="460">
        <f t="shared" ca="1" si="1"/>
        <v>1.6121872542499152E-2</v>
      </c>
      <c r="Q21" s="682">
        <f>VLOOKUP("Crude Oil",$A$11:$I$128,9,FALSE)/1000000</f>
        <v>2474.0485476072663</v>
      </c>
      <c r="R21" s="460">
        <f t="shared" ca="1" si="3"/>
        <v>9.9935364970753175E-3</v>
      </c>
    </row>
    <row r="22" spans="1:22">
      <c r="A22" s="333" t="s">
        <v>111</v>
      </c>
      <c r="B22" s="411" t="s">
        <v>67</v>
      </c>
      <c r="C22" s="701">
        <f>IF($B$6="Calendar Year",
INDEX('Q&amp;V CY 2004 to Now'!$A$1:$KG$236,$J22,'Q&amp;V 2-years'!$W$2),
INDEX('Q&amp;V FY 2003-04 to Now'!$A$1:$KE$232,$J22,'Q&amp;V 2-years'!$W$2))</f>
        <v>0</v>
      </c>
      <c r="D22" s="469"/>
      <c r="E22" s="701">
        <f>IF($B$6="Calendar Year",
INDEX('Q&amp;V CY 2004 to Now'!$A$1:$KG$236,$J22,'Q&amp;V 2-years'!$W$2+1),
INDEX('Q&amp;V FY 2003-04 to Now'!$A$1:$KE$232,$J22,'Q&amp;V 2-years'!$W$2+1))</f>
        <v>0</v>
      </c>
      <c r="F22" s="469"/>
      <c r="G22" s="703">
        <f>IF($B$6="Calendar Year",
INDEX('Q&amp;V CY 2004 to Now'!$A$1:$KG$236,$J22,'Q&amp;V 2-years'!$W$2),
INDEX('Q&amp;V FY 2003-04 to Now'!$A$1:$KE$232,$J22,'Q&amp;V 2-years'!$W$2))</f>
        <v>0</v>
      </c>
      <c r="H22" s="469"/>
      <c r="I22" s="705">
        <f>IF($B$6="Calendar Year",
INDEX('Q&amp;V CY 2004 to Now'!$A$1:$KG$236,$J22,'Q&amp;V 2-years'!$W$2+1),
INDEX('Q&amp;V FY 2003-04 to Now'!$A$1:$KE$232,$J22,'Q&amp;V 2-years'!$W$2+1))</f>
        <v>0</v>
      </c>
      <c r="J22" s="284">
        <f>MATCH(A22,'Q&amp;V CY 2004 to Now'!$A$1:$A$101,0)</f>
        <v>22</v>
      </c>
      <c r="K22" s="279"/>
      <c r="L22" s="278"/>
      <c r="N22" s="53" t="s">
        <v>500</v>
      </c>
      <c r="O22" s="678">
        <f>VLOOKUP(N22,$A$11:$I$128,5,FALSE)/1000000</f>
        <v>2166.2656400511623</v>
      </c>
      <c r="P22" s="460">
        <f t="shared" ca="1" si="1"/>
        <v>8.59728475514384E-3</v>
      </c>
      <c r="Q22" s="682">
        <f>VLOOKUP(N22,$A$11:$I$128,9,FALSE)/1000000</f>
        <v>2753.859242601683</v>
      </c>
      <c r="R22" s="460">
        <f t="shared" ca="1" si="3"/>
        <v>1.1123788526851816E-2</v>
      </c>
    </row>
    <row r="23" spans="1:22" ht="15.75" thickBot="1">
      <c r="A23" s="333"/>
      <c r="B23" s="411"/>
      <c r="C23" s="701"/>
      <c r="D23" s="469"/>
      <c r="E23" s="701"/>
      <c r="F23" s="469"/>
      <c r="G23" s="703"/>
      <c r="H23" s="469"/>
      <c r="I23" s="705"/>
      <c r="J23" s="284"/>
      <c r="K23" s="279"/>
      <c r="L23" s="278"/>
      <c r="N23" s="53" t="s">
        <v>243</v>
      </c>
      <c r="O23" s="679">
        <f>VLOOKUP("Copper Metal",$A$11:$I$128,5,FALSE)/1000000</f>
        <v>1698.756885</v>
      </c>
      <c r="P23" s="460">
        <f t="shared" ca="1" si="1"/>
        <v>6.7418770810403509E-3</v>
      </c>
      <c r="Q23" s="683">
        <f>VLOOKUP("Copper Metal",$A$11:$I$128,9,FALSE)/1000000</f>
        <v>1206.2784259999999</v>
      </c>
      <c r="R23" s="460">
        <f t="shared" ca="1" si="3"/>
        <v>4.8725751511724943E-3</v>
      </c>
      <c r="V23" s="380"/>
    </row>
    <row r="24" spans="1:22" ht="15.75" thickBot="1">
      <c r="A24" s="283" t="s">
        <v>112</v>
      </c>
      <c r="B24" s="472" t="s">
        <v>67</v>
      </c>
      <c r="C24" s="285">
        <f>IF($B$6="Calendar Year",
INDEX('Q&amp;V CY 2004 to Now'!$A$1:$KG$236,$J24,'Q&amp;V 2-years'!$W$2),
INDEX('Q&amp;V FY 2003-04 to Now'!$A$1:$KE$232,$J24,'Q&amp;V 2-years'!$W$2))</f>
        <v>27855.845000000001</v>
      </c>
      <c r="D24" s="473"/>
      <c r="E24" s="285">
        <f>IF($B$6="Calendar Year",
INDEX('Q&amp;V CY 2004 to Now'!$A$1:$KG$236,$J24,'Q&amp;V 2-years'!$W$2+1),
INDEX('Q&amp;V FY 2003-04 to Now'!$A$1:$KE$232,$J24,'Q&amp;V 2-years'!$W$2+1))</f>
        <v>3127660</v>
      </c>
      <c r="F24" s="1076"/>
      <c r="G24" s="285">
        <f>IF($B$6="Calendar Year",
INDEX('Q&amp;V CY 2004 to Now'!$A$1:$KG$240,$J24,'Q&amp;V 2-years'!$W$1),
INDEX('Q&amp;V FY 2003-04 to Now'!$A$1:$KG$236,$J24,'Q&amp;V 2-years'!$W$1))</f>
        <v>21585.137999999999</v>
      </c>
      <c r="H24" s="473"/>
      <c r="I24" s="706">
        <f>IF($B$6="Calendar Year",
INDEX('Q&amp;V CY 2004 to Now'!$A$1:$KG$240,$J24,'Q&amp;V 2-years'!$W$1+1),
INDEX('Q&amp;V FY 2003-04 to Now'!$A$1:$KG$236,$J24,'Q&amp;V 2-years'!$W$1+1))</f>
        <v>2413659</v>
      </c>
      <c r="J24" s="284">
        <f>MATCH(A24,'Q&amp;V CY 2004 to Now'!$A$1:$A$101,0)</f>
        <v>24</v>
      </c>
      <c r="K24" s="279"/>
      <c r="L24" s="278"/>
      <c r="N24" s="340" t="s">
        <v>397</v>
      </c>
      <c r="O24" s="680">
        <f ca="1">O26-O25</f>
        <v>181469.80180656421</v>
      </c>
      <c r="P24" s="462">
        <f ca="1">O24/O$26</f>
        <v>0.72020140639524777</v>
      </c>
      <c r="Q24" s="684">
        <f ca="1">Q26-Q25</f>
        <v>191661.836551816</v>
      </c>
      <c r="R24" s="462">
        <f ca="1">Q24/Q$26</f>
        <v>0.77418834829635164</v>
      </c>
    </row>
    <row r="25" spans="1:22" ht="15.75" thickBot="1">
      <c r="A25" s="283"/>
      <c r="B25" s="472"/>
      <c r="C25" s="285"/>
      <c r="D25" s="473"/>
      <c r="E25" s="285"/>
      <c r="F25" s="473"/>
      <c r="G25" s="821"/>
      <c r="H25" s="473"/>
      <c r="I25" s="706"/>
      <c r="J25" s="284"/>
      <c r="K25" s="278"/>
      <c r="L25" s="278"/>
      <c r="N25" s="340" t="s">
        <v>237</v>
      </c>
      <c r="O25" s="680">
        <f>VLOOKUP(N25,$A$11:$I$128,5,FALSE)/1000000</f>
        <v>70501.105491238646</v>
      </c>
      <c r="P25" s="462">
        <f ca="1">O25/$O$26</f>
        <v>0.27979859360475223</v>
      </c>
      <c r="Q25" s="684">
        <f>VLOOKUP(N25,$A$11:$I$128,9,FALSE)/1000000</f>
        <v>55903.031833996683</v>
      </c>
      <c r="R25" s="462">
        <f ca="1">Q25/$Q$26</f>
        <v>0.22581165170364839</v>
      </c>
    </row>
    <row r="26" spans="1:22" ht="15.75" thickBot="1">
      <c r="A26" s="333" t="s">
        <v>124</v>
      </c>
      <c r="B26" s="411" t="s">
        <v>67</v>
      </c>
      <c r="C26" s="701">
        <f ca="1">IF($B$6="Calendar Year",
INDEX('Q&amp;V CY 2004 to Now'!$A$1:$KG$236,$J26,'Q&amp;V 2-years'!$W$2),
INDEX('Q&amp;V FY 2003-04 to Now'!$A$1:$KE$232,$J26,'Q&amp;V 2-years'!$W$2))</f>
        <v>4789361.46</v>
      </c>
      <c r="D26" s="469"/>
      <c r="E26" s="701">
        <f ca="1">IF($B$6="Calendar Year",
INDEX('Q&amp;V CY 2004 to Now'!$A$1:$KG$236,$J26,'Q&amp;V 2-years'!$W$2+1),
INDEX('Q&amp;V FY 2003-04 to Now'!$A$1:$KE$232,$J26,'Q&amp;V 2-years'!$W$2+1))</f>
        <v>313923338</v>
      </c>
      <c r="F26" s="469"/>
      <c r="G26" s="703">
        <f ca="1">IF($B$6="Calendar Year",
INDEX('Q&amp;V CY 2004 to Now'!$A$1:$KG$240,$J26,'Q&amp;V 2-years'!$W$1),
INDEX('Q&amp;V FY 2003-04 to Now'!$A$1:$KG$236,$J26,'Q&amp;V 2-years'!$W$1))</f>
        <v>5260182.3899999997</v>
      </c>
      <c r="H26" s="469"/>
      <c r="I26" s="705">
        <f ca="1">IF($B$6="Calendar Year",
INDEX('Q&amp;V CY 2004 to Now'!$A$1:$KG$240,$J26,'Q&amp;V 2-years'!$W$1+1),
INDEX('Q&amp;V FY 2003-04 to Now'!$A$1:$KG$236,$J26,'Q&amp;V 2-years'!$W$1+1))</f>
        <v>456172675.99999994</v>
      </c>
      <c r="J26" s="334">
        <f>MATCH(A26,'Q&amp;V CY 2004 to Now'!$A$1:$A$101,0)</f>
        <v>26</v>
      </c>
      <c r="K26" s="278"/>
      <c r="L26" s="278"/>
      <c r="N26" s="339" t="s">
        <v>438</v>
      </c>
      <c r="O26" s="681">
        <f ca="1">VLOOKUP(N26,$A$11:$I$128,5,FALSE)/1000000</f>
        <v>251970.90729780286</v>
      </c>
      <c r="P26" s="463"/>
      <c r="Q26" s="685">
        <f ca="1">VLOOKUP(N26,$A$11:$I$128,9,FALSE)/1000000</f>
        <v>247564.86838581268</v>
      </c>
      <c r="R26" s="463"/>
    </row>
    <row r="27" spans="1:22">
      <c r="A27" s="335"/>
      <c r="B27" s="411"/>
      <c r="C27" s="701"/>
      <c r="D27" s="469"/>
      <c r="E27" s="701"/>
      <c r="F27" s="469"/>
      <c r="G27" s="703"/>
      <c r="H27" s="469"/>
      <c r="I27" s="705"/>
      <c r="J27" s="334"/>
      <c r="K27" s="278"/>
      <c r="L27" s="278"/>
    </row>
    <row r="28" spans="1:22">
      <c r="A28" s="283" t="s">
        <v>507</v>
      </c>
      <c r="B28" s="472" t="s">
        <v>67</v>
      </c>
      <c r="C28" s="285">
        <f>IF($B$6="Calendar Year",
INDEX('Q&amp;V CY 2004 to Now'!$A$1:$KG$236,$J28,'Q&amp;V 2-years'!$W$2),
INDEX('Q&amp;V FY 2003-04 to Now'!$A$1:$KE$232,$J28,'Q&amp;V 2-years'!$W$2))</f>
        <v>5793.3550000000005</v>
      </c>
      <c r="D28" s="473"/>
      <c r="E28" s="285">
        <f>IF($B$6="Calendar Year",
INDEX('Q&amp;V CY 2004 to Now'!$A$1:$KG$236,$J28,'Q&amp;V 2-years'!$W$2+1),
INDEX('Q&amp;V FY 2003-04 to Now'!$A$1:$KE$232,$J28,'Q&amp;V 2-years'!$W$2+1))</f>
        <v>519136590.99999994</v>
      </c>
      <c r="F28" s="473"/>
      <c r="G28" s="821">
        <f>IF($B$6="Calendar Year",
INDEX('Q&amp;V CY 2004 to Now'!$A$1:$KG$240,$J28,'Q&amp;V 2-years'!$W$1),
INDEX('Q&amp;V FY 2003-04 to Now'!$A$1:$KG$236,$J28,'Q&amp;V 2-years'!$W$1))</f>
        <v>5222.0609999999997</v>
      </c>
      <c r="H28" s="473"/>
      <c r="I28" s="706">
        <f>IF($B$6="Calendar Year",
INDEX('Q&amp;V CY 2004 to Now'!$A$1:$KG$240,$J28,'Q&amp;V 2-years'!$W$1+1),
INDEX('Q&amp;V FY 2003-04 to Now'!$A$1:$KG$236,$J28,'Q&amp;V 2-years'!$W$1+1))</f>
        <v>258312381.99999997</v>
      </c>
      <c r="J28" s="284">
        <f>MATCH(A28,'Q&amp;V CY 2004 to Now'!$A$1:$A$101,0)</f>
        <v>28</v>
      </c>
      <c r="K28" s="278"/>
      <c r="L28" s="278"/>
    </row>
    <row r="29" spans="1:22">
      <c r="A29" s="1074"/>
      <c r="B29" s="472"/>
      <c r="C29" s="285"/>
      <c r="D29" s="473"/>
      <c r="E29" s="473"/>
      <c r="F29" s="473"/>
      <c r="G29" s="821"/>
      <c r="H29" s="473"/>
      <c r="I29" s="706"/>
      <c r="J29" s="284"/>
      <c r="K29" s="278"/>
      <c r="L29" s="278"/>
    </row>
    <row r="30" spans="1:22">
      <c r="A30" s="333" t="s">
        <v>125</v>
      </c>
      <c r="B30" s="411"/>
      <c r="C30" s="701"/>
      <c r="D30" s="469"/>
      <c r="E30" s="469"/>
      <c r="F30" s="469"/>
      <c r="G30" s="703"/>
      <c r="H30" s="469"/>
      <c r="I30" s="705"/>
      <c r="J30" s="334"/>
      <c r="K30" s="278"/>
      <c r="L30" s="278"/>
    </row>
    <row r="31" spans="1:22">
      <c r="A31" s="337" t="s">
        <v>216</v>
      </c>
      <c r="B31" s="371" t="s">
        <v>67</v>
      </c>
      <c r="C31" s="701">
        <f>IF($B$6="Calendar Year",
INDEX('Q&amp;V CY 2004 to Now'!$A$1:$KG$240,$J31,'Q&amp;V 2-years'!$W$2),
INDEX('Q&amp;V FY 2003-04 to Now'!$A$1:$KG$236,$J31,'Q&amp;V 2-years'!$W$2))</f>
        <v>2465322.7949999999</v>
      </c>
      <c r="D31" s="469"/>
      <c r="E31" s="701">
        <f>IF($B$6="Calendar Year",
INDEX('Q&amp;V CY 2004 to Now'!$A$1:$KG$240,$J31,'Q&amp;V 2-years'!$W$2+1),
INDEX('Q&amp;V FY 2003-04 to Now'!$A$1:$KG$236,$J31,'Q&amp;V 2-years'!$W$2+1))</f>
        <v>73847523.706279874</v>
      </c>
      <c r="F31" s="469"/>
      <c r="G31" s="703">
        <f>IF($B$6="Calendar Year",
INDEX('Q&amp;V CY 2004 to Now'!$A$1:$KG$240,$J31,'Q&amp;V 2-years'!$W$1),
INDEX('Q&amp;V FY 2003-04 to Now'!$A$1:$KG$236,$J31,'Q&amp;V 2-years'!$W$1))</f>
        <v>3888524.669999999</v>
      </c>
      <c r="H31" s="469"/>
      <c r="I31" s="705">
        <f>IF($B$6="Calendar Year",
INDEX('Q&amp;V CY 2004 to Now'!$A$1:$KG$240,$J31,'Q&amp;V 2-years'!$W$1+1),
INDEX('Q&amp;V FY 2003-04 to Now'!$A$1:$KG$236,$J31,'Q&amp;V 2-years'!$W$1+1))</f>
        <v>143567078.32451004</v>
      </c>
      <c r="J31" s="334">
        <f>MATCH(A31,'Q&amp;V CY 2004 to Now'!$A$1:$A$101,0)</f>
        <v>31</v>
      </c>
      <c r="K31" s="278"/>
      <c r="L31" s="278"/>
    </row>
    <row r="32" spans="1:22">
      <c r="A32" s="337" t="s">
        <v>217</v>
      </c>
      <c r="B32" s="371" t="s">
        <v>67</v>
      </c>
      <c r="C32" s="701">
        <f>IF($B$6="Calendar Year",
INDEX('Q&amp;V CY 2004 to Now'!$A$1:$KG$240,$J32,'Q&amp;V 2-years'!$W$2),
INDEX('Q&amp;V FY 2003-04 to Now'!$A$1:$KG$236,$J32,'Q&amp;V 2-years'!$W$2))</f>
        <v>361045.51799999998</v>
      </c>
      <c r="D32" s="469"/>
      <c r="E32" s="701">
        <f>IF($B$6="Calendar Year",
INDEX('Q&amp;V CY 2004 to Now'!$A$1:$KG$240,$J32,'Q&amp;V 2-years'!$W$2+1),
INDEX('Q&amp;V FY 2003-04 to Now'!$A$1:$KG$236,$J32,'Q&amp;V 2-years'!$W$2+1))</f>
        <v>5254050.3506710334</v>
      </c>
      <c r="F32" s="469"/>
      <c r="G32" s="703">
        <f>IF($B$6="Calendar Year",
INDEX('Q&amp;V CY 2004 to Now'!$A$1:$KG$240,$J32,'Q&amp;V 2-years'!$W$1),
INDEX('Q&amp;V FY 2003-04 to Now'!$A$1:$KG$236,$J32,'Q&amp;V 2-years'!$W$1))</f>
        <v>295792.39999999967</v>
      </c>
      <c r="H32" s="469"/>
      <c r="I32" s="705">
        <f>IF($B$6="Calendar Year",
INDEX('Q&amp;V CY 2004 to Now'!$A$1:$KG$240,$J32,'Q&amp;V 2-years'!$W$1+1),
INDEX('Q&amp;V FY 2003-04 to Now'!$A$1:$KG$236,$J32,'Q&amp;V 2-years'!$W$1+1))</f>
        <v>2516743.0746334274</v>
      </c>
      <c r="J32" s="334">
        <f>MATCH(A32,'Q&amp;V CY 2004 to Now'!$A$1:$A$101,0)</f>
        <v>32</v>
      </c>
      <c r="K32" s="278"/>
      <c r="L32" s="278"/>
    </row>
    <row r="33" spans="1:27">
      <c r="A33" s="337" t="s">
        <v>218</v>
      </c>
      <c r="B33" s="371" t="s">
        <v>67</v>
      </c>
      <c r="C33" s="701">
        <f>IF($B$6="Calendar Year",
INDEX('Q&amp;V CY 2004 to Now'!$A$1:$KG$240,$J33,'Q&amp;V 2-years'!$W$2),
INDEX('Q&amp;V FY 2003-04 to Now'!$A$1:$KG$236,$J33,'Q&amp;V 2-years'!$W$2))</f>
        <v>945138.48599999992</v>
      </c>
      <c r="D33" s="469"/>
      <c r="E33" s="701">
        <f>IF($B$6="Calendar Year",
INDEX('Q&amp;V CY 2004 to Now'!$A$1:$KG$240,$J33,'Q&amp;V 2-years'!$W$2+1),
INDEX('Q&amp;V FY 2003-04 to Now'!$A$1:$KG$236,$J33,'Q&amp;V 2-years'!$W$2+1))</f>
        <v>14899440.690612493</v>
      </c>
      <c r="F33" s="469"/>
      <c r="G33" s="703">
        <f>IF($B$6="Calendar Year",
INDEX('Q&amp;V CY 2004 to Now'!$A$1:$KG$240,$J33,'Q&amp;V 2-years'!$W$1),
INDEX('Q&amp;V FY 2003-04 to Now'!$A$1:$KG$236,$J33,'Q&amp;V 2-years'!$W$1))</f>
        <v>1740677.3050000002</v>
      </c>
      <c r="H33" s="469"/>
      <c r="I33" s="705">
        <f>IF($B$6="Calendar Year",
INDEX('Q&amp;V CY 2004 to Now'!$A$1:$KG$240,$J33,'Q&amp;V 2-years'!$W$1+1),
INDEX('Q&amp;V FY 2003-04 to Now'!$A$1:$KG$236,$J33,'Q&amp;V 2-years'!$W$1+1))</f>
        <v>37751785.346957147</v>
      </c>
      <c r="J33" s="334">
        <f>MATCH(A33,'Q&amp;V CY 2004 to Now'!$A$1:$A$101,0)</f>
        <v>33</v>
      </c>
      <c r="K33" s="278"/>
      <c r="L33" s="278"/>
    </row>
    <row r="34" spans="1:27">
      <c r="A34" s="337" t="s">
        <v>219</v>
      </c>
      <c r="B34" s="371" t="s">
        <v>67</v>
      </c>
      <c r="C34" s="701">
        <f>IF($B$6="Calendar Year",
INDEX('Q&amp;V CY 2004 to Now'!$A$1:$KG$240,$J34,'Q&amp;V 2-years'!$W$2),
INDEX('Q&amp;V FY 2003-04 to Now'!$A$1:$KG$236,$J34,'Q&amp;V 2-years'!$W$2))</f>
        <v>4085430.0150000006</v>
      </c>
      <c r="D34" s="469"/>
      <c r="E34" s="701">
        <f>IF($B$6="Calendar Year",
INDEX('Q&amp;V CY 2004 to Now'!$A$1:$KG$240,$J34,'Q&amp;V 2-years'!$W$2+1),
INDEX('Q&amp;V FY 2003-04 to Now'!$A$1:$KG$236,$J34,'Q&amp;V 2-years'!$W$2+1))</f>
        <v>39347552.570674762</v>
      </c>
      <c r="F34" s="469"/>
      <c r="G34" s="703">
        <f>IF($B$6="Calendar Year",
INDEX('Q&amp;V CY 2004 to Now'!$A$1:$KG$240,$J34,'Q&amp;V 2-years'!$W$1),
INDEX('Q&amp;V FY 2003-04 to Now'!$A$1:$KG$236,$J34,'Q&amp;V 2-years'!$W$1))</f>
        <v>3505408.5869999989</v>
      </c>
      <c r="H34" s="469"/>
      <c r="I34" s="705">
        <f>IF($B$6="Calendar Year",
INDEX('Q&amp;V CY 2004 to Now'!$A$1:$KG$240,$J34,'Q&amp;V 2-years'!$W$1+1),
INDEX('Q&amp;V FY 2003-04 to Now'!$A$1:$KG$236,$J34,'Q&amp;V 2-years'!$W$1+1))</f>
        <v>38410187.88195961</v>
      </c>
      <c r="J34" s="334">
        <f>MATCH(A34,'Q&amp;V CY 2004 to Now'!$A$1:$A$101,0)</f>
        <v>34</v>
      </c>
      <c r="K34" s="278"/>
      <c r="L34" s="278"/>
    </row>
    <row r="35" spans="1:27">
      <c r="A35" s="337" t="s">
        <v>127</v>
      </c>
      <c r="B35" s="411"/>
      <c r="C35" s="701"/>
      <c r="D35" s="469"/>
      <c r="E35" s="701">
        <f>SUM(E31:E34)</f>
        <v>133348567.31823817</v>
      </c>
      <c r="F35" s="469"/>
      <c r="G35" s="703"/>
      <c r="H35" s="469"/>
      <c r="I35" s="705">
        <f>SUM(I31:I34)</f>
        <v>222245794.62806022</v>
      </c>
      <c r="J35" s="334">
        <f>MATCH(A35,'Q&amp;V CY 2004 to Now'!$A$1:$A$101,0)</f>
        <v>36</v>
      </c>
      <c r="K35" s="278"/>
      <c r="L35" s="278"/>
    </row>
    <row r="36" spans="1:27">
      <c r="A36" s="336"/>
      <c r="B36" s="411"/>
      <c r="C36" s="701"/>
      <c r="D36" s="469"/>
      <c r="E36" s="701"/>
      <c r="F36" s="469"/>
      <c r="G36" s="703"/>
      <c r="H36" s="469"/>
      <c r="I36" s="705"/>
      <c r="J36" s="334"/>
      <c r="K36" s="278"/>
      <c r="L36" s="278"/>
    </row>
    <row r="37" spans="1:27">
      <c r="A37" s="283" t="s">
        <v>128</v>
      </c>
      <c r="B37" s="472" t="s">
        <v>129</v>
      </c>
      <c r="C37" s="285">
        <f ca="1">IF($B$6="Calendar Year",
INDEX('Q&amp;V CY 2004 to Now'!$A$1:$KG$240,$J37,'Q&amp;V 2-years'!$W$2),
INDEX('Q&amp;V FY 2003-04 to Now'!$A$1:$KG$236,$J37,'Q&amp;V 2-years'!$W$2))</f>
        <v>0</v>
      </c>
      <c r="D37" s="473"/>
      <c r="E37" s="285">
        <f ca="1">IF($B$6="Calendar Year",
INDEX('Q&amp;V CY 2004 to Now'!$A$1:$KG$240,$J37,'Q&amp;V 2-years'!$W$2+1),
INDEX('Q&amp;V FY 2003-04 to Now'!$A$1:$KG$236,$J37,'Q&amp;V 2-years'!$W$2+1))</f>
        <v>0</v>
      </c>
      <c r="F37" s="473"/>
      <c r="G37" s="821">
        <f ca="1">IF($B$6="Calendar Year",
INDEX('Q&amp;V CY 2004 to Now'!$A$1:$KG$240,$J37,'Q&amp;V 2-years'!$W$1),
INDEX('Q&amp;V FY 2003-04 to Now'!$A$1:$KG$236,$J37,'Q&amp;V 2-years'!$W$1))</f>
        <v>0</v>
      </c>
      <c r="H37" s="473"/>
      <c r="I37" s="706">
        <f ca="1">IF($B$6="Calendar Year",
INDEX('Q&amp;V CY 2004 to Now'!$A$1:$KG$240,$J37,'Q&amp;V 2-years'!$W$1+1),
INDEX('Q&amp;V FY 2003-04 to Now'!$A$1:$KG$236,$J37,'Q&amp;V 2-years'!$W$1+1))</f>
        <v>0</v>
      </c>
      <c r="J37" s="284">
        <f>MATCH(A37,'Q&amp;V CY 2004 to Now'!$A$1:$A$101,0)</f>
        <v>38</v>
      </c>
      <c r="K37" s="278"/>
      <c r="L37" s="278"/>
    </row>
    <row r="38" spans="1:27">
      <c r="A38" s="1074"/>
      <c r="B38" s="472"/>
      <c r="C38" s="285"/>
      <c r="D38" s="473"/>
      <c r="E38" s="285"/>
      <c r="F38" s="473"/>
      <c r="G38" s="821"/>
      <c r="H38" s="473"/>
      <c r="I38" s="706"/>
      <c r="J38" s="284"/>
      <c r="K38" s="278"/>
      <c r="L38" s="278"/>
    </row>
    <row r="39" spans="1:27">
      <c r="A39" s="333" t="s">
        <v>131</v>
      </c>
      <c r="B39" s="411" t="s">
        <v>67</v>
      </c>
      <c r="C39" s="701">
        <f>IF($B$6="Calendar Year",
INDEX('Q&amp;V CY 2004 to Now'!$A$1:$KG$240,$J39,'Q&amp;V 2-years'!$W$2),
INDEX('Q&amp;V FY 2003-04 to Now'!$A$1:$KG$236,$J39,'Q&amp;V 2-years'!$W$2))</f>
        <v>6721.5659999999998</v>
      </c>
      <c r="D39" s="469"/>
      <c r="E39" s="701">
        <f>IF($B$6="Calendar Year",
INDEX('Q&amp;V CY 2004 to Now'!$A$1:$KG$240,$J39,'Q&amp;V 2-years'!$W$2+1),
INDEX('Q&amp;V FY 2003-04 to Now'!$A$1:$KG$236,$J39,'Q&amp;V 2-years'!$W$2+1))</f>
        <v>2644628.953093145</v>
      </c>
      <c r="F39" s="469"/>
      <c r="G39" s="703">
        <f>IF($B$6="Calendar Year",
INDEX('Q&amp;V CY 2004 to Now'!$A$1:$KG$240,$J39,'Q&amp;V 2-years'!$W$1),
INDEX('Q&amp;V FY 2003-04 to Now'!$A$1:$KG$236,$J39,'Q&amp;V 2-years'!$W$1))</f>
        <v>4479.4179999999997</v>
      </c>
      <c r="H39" s="469"/>
      <c r="I39" s="705">
        <f>IF($B$6="Calendar Year",
INDEX('Q&amp;V CY 2004 to Now'!$A$1:$KG$240,$J39,'Q&amp;V 2-years'!$W$1+1),
INDEX('Q&amp;V FY 2003-04 to Now'!$A$1:$KG$236,$J39,'Q&amp;V 2-years'!$W$1+1))</f>
        <v>2922618.8</v>
      </c>
      <c r="J39" s="334">
        <f>MATCH(A39,'Q&amp;V CY 2004 to Now'!$A$1:$A$101,0)</f>
        <v>40</v>
      </c>
      <c r="K39" s="278"/>
      <c r="L39" s="278"/>
    </row>
    <row r="40" spans="1:27">
      <c r="A40" s="336"/>
      <c r="B40" s="411"/>
      <c r="C40" s="701"/>
      <c r="D40" s="469"/>
      <c r="E40" s="701"/>
      <c r="F40" s="469"/>
      <c r="G40" s="703"/>
      <c r="H40" s="469"/>
      <c r="I40" s="705"/>
      <c r="J40" s="334"/>
      <c r="K40" s="278"/>
      <c r="L40" s="278"/>
    </row>
    <row r="41" spans="1:27">
      <c r="A41" s="283" t="s">
        <v>142</v>
      </c>
      <c r="B41" s="372" t="s">
        <v>93</v>
      </c>
      <c r="C41" s="285">
        <f>IF($B$6="Calendar Year",
INDEX('Q&amp;V CY 2004 to Now'!$A$1:$KG$240,$J41,'Q&amp;V 2-years'!$W$2),
INDEX('Q&amp;V FY 2003-04 to Now'!$A$1:$KG$236,$J41,'Q&amp;V 2-years'!$W$2))</f>
        <v>525519.66</v>
      </c>
      <c r="D41" s="473"/>
      <c r="E41" s="285">
        <f>IF($B$6="Calendar Year",
INDEX('Q&amp;V CY 2004 to Now'!$A$1:$KG$240,$J41,'Q&amp;V 2-years'!$W$2+1),
INDEX('Q&amp;V FY 2003-04 to Now'!$A$1:$KG$236,$J41,'Q&amp;V 2-years'!$W$2+1))</f>
        <v>977379</v>
      </c>
      <c r="F41" s="473"/>
      <c r="G41" s="821">
        <f>IF($B$6="Calendar Year",
INDEX('Q&amp;V CY 2004 to Now'!$A$1:$KG$240,$J41,'Q&amp;V 2-years'!$W$1),
INDEX('Q&amp;V FY 2003-04 to Now'!$A$1:$KG$236,$J41,'Q&amp;V 2-years'!$W$1))</f>
        <v>371816.30800000002</v>
      </c>
      <c r="H41" s="473"/>
      <c r="I41" s="706">
        <f>IF($B$6="Calendar Year",
INDEX('Q&amp;V CY 2004 to Now'!$A$1:$KG$240,$J41,'Q&amp;V 2-years'!$W$1+1),
INDEX('Q&amp;V FY 2003-04 to Now'!$A$1:$KG$236,$J41,'Q&amp;V 2-years'!$W$1+1))</f>
        <v>1012850</v>
      </c>
      <c r="J41" s="284">
        <v>42</v>
      </c>
      <c r="K41" s="278"/>
      <c r="L41" s="278"/>
    </row>
    <row r="42" spans="1:27">
      <c r="A42" s="1074"/>
      <c r="B42" s="472"/>
      <c r="C42" s="285"/>
      <c r="D42" s="473"/>
      <c r="E42" s="285"/>
      <c r="F42" s="473"/>
      <c r="G42" s="821"/>
      <c r="H42" s="473"/>
      <c r="I42" s="706"/>
      <c r="J42" s="284"/>
      <c r="K42" s="278"/>
      <c r="L42" s="278"/>
    </row>
    <row r="43" spans="1:27">
      <c r="A43" s="333" t="s">
        <v>162</v>
      </c>
      <c r="B43" s="371" t="s">
        <v>93</v>
      </c>
      <c r="C43" s="701">
        <f>IF($B$6="Calendar Year",
INDEX('Q&amp;V CY 2004 to Now'!$A$1:$KG$240,$J43,'Q&amp;V 2-years'!$W$2),
INDEX('Q&amp;V FY 2003-04 to Now'!$A$1:$KG$236,$J43,'Q&amp;V 2-years'!$W$2))</f>
        <v>214541.88674208306</v>
      </c>
      <c r="D43" s="469"/>
      <c r="E43" s="701">
        <f>IF($B$6="Calendar Year",
INDEX('Q&amp;V CY 2004 to Now'!$A$1:$KG$240,$J43,'Q&amp;V 2-years'!$W$2+1),
INDEX('Q&amp;V FY 2003-04 to Now'!$A$1:$KG$236,$J43,'Q&amp;V 2-years'!$W$2+1))</f>
        <v>17875612414</v>
      </c>
      <c r="F43" s="469"/>
      <c r="G43" s="703">
        <f>IF($B$6="Calendar Year",
INDEX('Q&amp;V CY 2004 to Now'!$A$1:$KG$240,$J43,'Q&amp;V 2-years'!$W$1),
INDEX('Q&amp;V FY 2003-04 to Now'!$A$1:$KG$236,$J43,'Q&amp;V 2-years'!$W$1))</f>
        <v>211216.41634369656</v>
      </c>
      <c r="H43" s="469"/>
      <c r="I43" s="705">
        <f>IF($B$6="Calendar Year",
INDEX('Q&amp;V CY 2004 to Now'!$A$1:$KG$240,$J43,'Q&amp;V 2-years'!$W$1+1),
INDEX('Q&amp;V FY 2003-04 to Now'!$A$1:$KG$236,$J43,'Q&amp;V 2-years'!$W$1+1))</f>
        <v>19890974642</v>
      </c>
      <c r="J43" s="334">
        <f>MATCH(A43,'Q&amp;V CY 2004 to Now'!$A$1:$A$101,0)</f>
        <v>44</v>
      </c>
      <c r="K43" s="278"/>
      <c r="L43" s="278"/>
    </row>
    <row r="44" spans="1:27">
      <c r="A44" s="335"/>
      <c r="B44" s="371"/>
      <c r="C44" s="701"/>
      <c r="D44" s="469"/>
      <c r="E44" s="701"/>
      <c r="F44" s="469"/>
      <c r="G44" s="822"/>
      <c r="H44" s="474"/>
      <c r="I44" s="707"/>
      <c r="J44" s="334"/>
      <c r="K44" s="278"/>
      <c r="L44" s="278"/>
    </row>
    <row r="45" spans="1:27">
      <c r="A45" s="283" t="s">
        <v>164</v>
      </c>
      <c r="B45" s="372" t="s">
        <v>67</v>
      </c>
      <c r="C45" s="285">
        <f>IF($B$6="Calendar Year",
INDEX('Q&amp;V CY 2004 to Now'!$A$1:$KG$240,$J45,'Q&amp;V 2-years'!$W$2),
INDEX('Q&amp;V FY 2003-04 to Now'!$A$1:$KG$236,$J45,'Q&amp;V 2-years'!$W$2))</f>
        <v>1439376.7299999997</v>
      </c>
      <c r="D45" s="473"/>
      <c r="E45" s="285">
        <f>IF($B$6="Calendar Year",
INDEX('Q&amp;V CY 2004 to Now'!$A$1:$KG$240,$J45,'Q&amp;V 2-years'!$W$2+1),
INDEX('Q&amp;V FY 2003-04 to Now'!$A$1:$KG$236,$J45,'Q&amp;V 2-years'!$W$2+1))</f>
        <v>35387905.471428931</v>
      </c>
      <c r="F45" s="473"/>
      <c r="G45" s="821">
        <f>IF($B$6="Calendar Year",
INDEX('Q&amp;V CY 2004 to Now'!$A$1:$KG$240,$J45,'Q&amp;V 2-years'!$W$1),
INDEX('Q&amp;V FY 2003-04 to Now'!$A$1:$KG$236,$J45,'Q&amp;V 2-years'!$W$1))</f>
        <v>1563476.8900000006</v>
      </c>
      <c r="H45" s="473"/>
      <c r="I45" s="706">
        <f>IF($B$6="Calendar Year",
INDEX('Q&amp;V CY 2004 to Now'!$A$1:$KG$240,$J45,'Q&amp;V 2-years'!$W$1+1),
INDEX('Q&amp;V FY 2003-04 to Now'!$A$1:$KG$236,$J45,'Q&amp;V 2-years'!$W$1+1))</f>
        <v>43628452</v>
      </c>
      <c r="J45" s="284">
        <f>MATCH(A45,'Q&amp;V CY 2004 to Now'!$A$1:$A$101,0)</f>
        <v>46</v>
      </c>
      <c r="K45" s="278"/>
      <c r="L45" s="278"/>
    </row>
    <row r="46" spans="1:27" s="381" customFormat="1">
      <c r="A46" s="283"/>
      <c r="B46" s="372"/>
      <c r="C46" s="285"/>
      <c r="D46" s="473"/>
      <c r="E46" s="285"/>
      <c r="F46" s="473"/>
      <c r="G46" s="821"/>
      <c r="H46" s="473"/>
      <c r="I46" s="706"/>
      <c r="J46" s="284"/>
      <c r="N46" s="18"/>
      <c r="O46" s="18"/>
      <c r="P46" s="18"/>
      <c r="Q46" s="18"/>
      <c r="R46" s="18"/>
      <c r="V46" s="222"/>
      <c r="W46" s="222"/>
      <c r="X46" s="222"/>
      <c r="Y46" s="222"/>
      <c r="Z46" s="222"/>
      <c r="AA46" s="222"/>
    </row>
    <row r="47" spans="1:27">
      <c r="A47" s="333" t="s">
        <v>176</v>
      </c>
      <c r="B47" s="371" t="s">
        <v>67</v>
      </c>
      <c r="C47" s="701">
        <f>IF($B$6="Calendar Year",
INDEX('Q&amp;V CY 2004 to Now'!$A$1:$KG$240,$J47,'Q&amp;V 2-years'!$W$2),
INDEX('Q&amp;V FY 2003-04 to Now'!$A$1:$KG$236,$J47,'Q&amp;V 2-years'!$W$2))</f>
        <v>855845373.84100008</v>
      </c>
      <c r="D47" s="469"/>
      <c r="E47" s="701">
        <f>IF($B$6="Calendar Year",
INDEX('Q&amp;V CY 2004 to Now'!$A$1:$KG$240,$J47,'Q&amp;V 2-years'!$W$2+1),
INDEX('Q&amp;V FY 2003-04 to Now'!$A$1:$KG$236,$J47,'Q&amp;V 2-years'!$W$2+1))</f>
        <v>127522611954</v>
      </c>
      <c r="F47" s="469"/>
      <c r="G47" s="703">
        <f>IF($B$6="Calendar Year",
INDEX('Q&amp;V CY 2004 to Now'!$A$1:$KG$240,$J47,'Q&amp;V 2-years'!$W$1),
INDEX('Q&amp;V FY 2003-04 to Now'!$A$1:$KG$236,$J47,'Q&amp;V 2-years'!$W$1))</f>
        <v>859522556.9519999</v>
      </c>
      <c r="H47" s="469"/>
      <c r="I47" s="705">
        <f>IF($B$6="Calendar Year",
INDEX('Q&amp;V CY 2004 to Now'!$A$1:$KG$240,$J47,'Q&amp;V 2-years'!$W$1+1),
INDEX('Q&amp;V FY 2003-04 to Now'!$A$1:$KG$236,$J47,'Q&amp;V 2-years'!$W$1+1))</f>
        <v>139059529575</v>
      </c>
      <c r="J47" s="334">
        <f>MATCH(A47,'Q&amp;V CY 2004 to Now'!$A$1:$A$101,0)</f>
        <v>48</v>
      </c>
      <c r="K47" s="278"/>
      <c r="L47" s="278"/>
    </row>
    <row r="48" spans="1:27">
      <c r="A48" s="336"/>
      <c r="B48" s="411"/>
      <c r="C48" s="701"/>
      <c r="D48" s="469"/>
      <c r="E48" s="701"/>
      <c r="F48" s="469"/>
      <c r="G48" s="470"/>
      <c r="H48" s="469"/>
      <c r="I48" s="705"/>
      <c r="J48" s="334"/>
      <c r="K48" s="278"/>
      <c r="L48" s="278"/>
      <c r="N48" s="381"/>
      <c r="O48" s="381"/>
      <c r="P48" s="381"/>
      <c r="Q48" s="381"/>
      <c r="R48" s="381"/>
    </row>
    <row r="49" spans="1:27">
      <c r="A49" s="283" t="s">
        <v>182</v>
      </c>
      <c r="B49" s="372" t="s">
        <v>67</v>
      </c>
      <c r="C49" s="285">
        <f>IF($B$6="Calendar Year",
INDEX('Q&amp;V CY 2004 to Now'!$A$1:$KG$240,$J49,'Q&amp;V 2-years'!$W$2),
INDEX('Q&amp;V FY 2003-04 to Now'!$A$1:$KG$236,$J49,'Q&amp;V 2-years'!$W$2))</f>
        <v>5588730.362999998</v>
      </c>
      <c r="D49" s="473"/>
      <c r="E49" s="285">
        <f>IF($B$6="Calendar Year",
INDEX('Q&amp;V CY 2004 to Now'!$A$1:$KG$240,$J49,'Q&amp;V 2-years'!$W$2+1),
INDEX('Q&amp;V FY 2003-04 to Now'!$A$1:$KG$236,$J49,'Q&amp;V 2-years'!$W$2+1))</f>
        <v>58554038.188103035</v>
      </c>
      <c r="F49" s="473"/>
      <c r="G49" s="821">
        <f>IF($B$6="Calendar Year",
INDEX('Q&amp;V CY 2004 to Now'!$A$1:$KG$240,$J49,'Q&amp;V 2-years'!$W$1),
INDEX('Q&amp;V FY 2003-04 to Now'!$A$1:$KG$236,$J49,'Q&amp;V 2-years'!$W$1))</f>
        <v>5604008.504999999</v>
      </c>
      <c r="H49" s="473"/>
      <c r="I49" s="706">
        <f>IF($B$6="Calendar Year",
INDEX('Q&amp;V CY 2004 to Now'!$A$1:$KG$240,$J49,'Q&amp;V 2-years'!$W$1+1),
INDEX('Q&amp;V FY 2003-04 to Now'!$A$1:$KG$236,$J49,'Q&amp;V 2-years'!$W$1+1))</f>
        <v>57257830.27265653</v>
      </c>
      <c r="J49" s="284">
        <f>MATCH(A49,'Q&amp;V CY 2004 to Now'!$A$1:$A$101,0)</f>
        <v>50</v>
      </c>
      <c r="K49" s="381"/>
      <c r="L49" s="278"/>
    </row>
    <row r="50" spans="1:27">
      <c r="A50" s="283"/>
      <c r="B50" s="372"/>
      <c r="C50" s="285"/>
      <c r="D50" s="473"/>
      <c r="E50" s="285"/>
      <c r="F50" s="473"/>
      <c r="G50" s="1075"/>
      <c r="H50" s="473"/>
      <c r="I50" s="706"/>
      <c r="J50" s="284"/>
      <c r="K50" s="278"/>
      <c r="L50" s="278"/>
    </row>
    <row r="51" spans="1:27">
      <c r="A51" s="333" t="s">
        <v>503</v>
      </c>
      <c r="B51" s="411"/>
      <c r="C51" s="701"/>
      <c r="D51" s="469"/>
      <c r="E51" s="701"/>
      <c r="F51" s="469"/>
      <c r="G51" s="703"/>
      <c r="H51" s="469"/>
      <c r="I51" s="705"/>
      <c r="J51" s="334"/>
      <c r="K51" s="278"/>
      <c r="L51" s="278"/>
    </row>
    <row r="52" spans="1:27">
      <c r="A52" s="337" t="s">
        <v>230</v>
      </c>
      <c r="B52" s="411" t="s">
        <v>67</v>
      </c>
      <c r="C52" s="701">
        <f>IF($B$6="Calendar Year",
INDEX('Q&amp;V CY 2004 to Now'!$A$1:$KG$240,$J52,'Q&amp;V 2-years'!$W$2),
INDEX('Q&amp;V FY 2003-04 to Now'!$A$1:$KG$236,$J52,'Q&amp;V 2-years'!$W$2))</f>
        <v>2754726.89</v>
      </c>
      <c r="D52" s="469"/>
      <c r="E52" s="701">
        <f>IF($B$6="Calendar Year",
INDEX('Q&amp;V CY 2004 to Now'!$A$1:$KG$240,$J52,'Q&amp;V 2-years'!$W$2+1),
INDEX('Q&amp;V FY 2003-04 to Now'!$A$1:$KG$236,$J52,'Q&amp;V 2-years'!$W$2+1))</f>
        <v>17031181733.999998</v>
      </c>
      <c r="F52" s="469"/>
      <c r="G52" s="703">
        <f>IF($B$6="Calendar Year",
INDEX('Q&amp;V CY 2004 to Now'!$A$1:$KG$240,$J52,'Q&amp;V 2-years'!$W$1),
INDEX('Q&amp;V FY 2003-04 to Now'!$A$1:$KG$236,$J52,'Q&amp;V 2-years'!$W$1))</f>
        <v>3295040.585</v>
      </c>
      <c r="H52" s="469"/>
      <c r="I52" s="705">
        <f>IF($B$6="Calendar Year",
INDEX('Q&amp;V CY 2004 to Now'!$A$1:$KG$240,$J52,'Q&amp;V 2-years'!$W$1+1),
INDEX('Q&amp;V FY 2003-04 to Now'!$A$1:$KG$236,$J52,'Q&amp;V 2-years'!$W$1+1))</f>
        <v>15845152372.563396</v>
      </c>
      <c r="J52" s="334">
        <f>MATCH(A52,'Q&amp;V CY 2004 to Now'!$A$1:$A$101,0)</f>
        <v>53</v>
      </c>
      <c r="K52" s="278"/>
      <c r="L52" s="278"/>
    </row>
    <row r="53" spans="1:27">
      <c r="A53" s="337" t="s">
        <v>361</v>
      </c>
      <c r="B53" s="411" t="s">
        <v>67</v>
      </c>
      <c r="C53" s="701">
        <f>IF($B$6="Calendar Year",
INDEX('Q&amp;V CY 2004 to Now'!$A$1:$KG$240,$J53,'Q&amp;V 2-years'!$W$2),
INDEX('Q&amp;V FY 2003-04 to Now'!$A$1:$KG$236,$J53,'Q&amp;V 2-years'!$W$2))</f>
        <v>0</v>
      </c>
      <c r="D53" s="469"/>
      <c r="E53" s="701">
        <f>IF($B$6="Calendar Year",
INDEX('Q&amp;V CY 2004 to Now'!$A$1:$KG$240,$J53,'Q&amp;V 2-years'!$W$2+1),
INDEX('Q&amp;V FY 2003-04 to Now'!$A$1:$KG$236,$J53,'Q&amp;V 2-years'!$W$2+1))</f>
        <v>0</v>
      </c>
      <c r="F53" s="469"/>
      <c r="G53" s="703">
        <f>IF($B$6="Calendar Year",
INDEX('Q&amp;V CY 2004 to Now'!$A$1:$KG$240,$J53,'Q&amp;V 2-years'!$W$1),
INDEX('Q&amp;V FY 2003-04 to Now'!$A$1:$KG$236,$J53,'Q&amp;V 2-years'!$W$1))</f>
        <v>0</v>
      </c>
      <c r="H53" s="469"/>
      <c r="I53" s="705">
        <f>IF($B$6="Calendar Year",
INDEX('Q&amp;V CY 2004 to Now'!$A$1:$KG$240,$J53,'Q&amp;V 2-years'!$W$1+1),
INDEX('Q&amp;V FY 2003-04 to Now'!$A$1:$KG$236,$J53,'Q&amp;V 2-years'!$W$1+1))</f>
        <v>0</v>
      </c>
      <c r="J53" s="334">
        <f>MATCH(A53,'Q&amp;V CY 2004 to Now'!$A$1:$A$101,0)</f>
        <v>54</v>
      </c>
      <c r="K53" s="278"/>
      <c r="L53" s="278"/>
    </row>
    <row r="54" spans="1:27">
      <c r="A54" s="337" t="s">
        <v>505</v>
      </c>
      <c r="B54" s="411"/>
      <c r="C54" s="701"/>
      <c r="D54" s="469"/>
      <c r="E54" s="701">
        <f>IF($B$6="Calendar Year",
INDEX('Q&amp;V CY 2004 to Now'!$A$1:$KG$240,$J54,'Q&amp;V 2-years'!$W$2+1),
INDEX('Q&amp;V FY 2003-04 to Now'!$A$1:$KG$236,$J54,'Q&amp;V 2-years'!$W$2+1))</f>
        <v>17031181733.999998</v>
      </c>
      <c r="F54" s="469"/>
      <c r="G54" s="703"/>
      <c r="H54" s="469"/>
      <c r="I54" s="705">
        <f>IF($B$6="Calendar Year",
INDEX('Q&amp;V CY 2004 to Now'!$A$1:$KG$240,$J54,'Q&amp;V 2-years'!$W$1+1),
INDEX('Q&amp;V FY 2003-04 to Now'!$A$1:$KG$236,$J54,'Q&amp;V 2-years'!$W$1+1))</f>
        <v>15845152372.563396</v>
      </c>
      <c r="J54" s="334">
        <f>MATCH(A54,'Q&amp;V CY 2004 to Now'!$A$1:$A$101,0)</f>
        <v>55</v>
      </c>
      <c r="K54" s="278"/>
      <c r="L54" s="278"/>
    </row>
    <row r="55" spans="1:27">
      <c r="A55" s="337"/>
      <c r="B55" s="411"/>
      <c r="C55" s="701"/>
      <c r="D55" s="469"/>
      <c r="E55" s="701"/>
      <c r="F55" s="469"/>
      <c r="G55" s="703"/>
      <c r="H55" s="469"/>
      <c r="I55" s="705"/>
      <c r="J55" s="334"/>
      <c r="K55" s="278"/>
      <c r="L55" s="278"/>
    </row>
    <row r="56" spans="1:27">
      <c r="A56" s="283" t="s">
        <v>506</v>
      </c>
      <c r="B56" s="372" t="s">
        <v>67</v>
      </c>
      <c r="C56" s="285">
        <f>IF($B$6="Calendar Year",
INDEX('Q&amp;V CY 2004 to Now'!$A$1:$KG$240,$J56,'Q&amp;V 2-years'!$W$2),
INDEX('Q&amp;V FY 2003-04 to Now'!$A$1:$KG$236,$J56,'Q&amp;V 2-years'!$W$2))</f>
        <v>484337.45759999997</v>
      </c>
      <c r="D56" s="473"/>
      <c r="E56" s="285">
        <f>IF($B$6="Calendar Year",
INDEX('Q&amp;V CY 2004 to Now'!$A$1:$KG$240,$J56,'Q&amp;V 2-years'!$W$2+1),
INDEX('Q&amp;V FY 2003-04 to Now'!$A$1:$KG$236,$J56,'Q&amp;V 2-years'!$W$2+1))</f>
        <v>273614284</v>
      </c>
      <c r="F56" s="473"/>
      <c r="G56" s="821">
        <f>IF($B$6="Calendar Year",
INDEX('Q&amp;V CY 2004 to Now'!$A$1:$KG$240,$J56,'Q&amp;V 2-years'!$W$1),
INDEX('Q&amp;V FY 2003-04 to Now'!$A$1:$KG$236,$J56,'Q&amp;V 2-years'!$W$1))</f>
        <v>608468.50029999996</v>
      </c>
      <c r="H56" s="473"/>
      <c r="I56" s="706">
        <f>IF($B$6="Calendar Year",
INDEX('Q&amp;V CY 2004 to Now'!$A$1:$KG$240,$J56,'Q&amp;V 2-years'!$W$1+1),
INDEX('Q&amp;V FY 2003-04 to Now'!$A$1:$KG$236,$J56,'Q&amp;V 2-years'!$W$1+1))</f>
        <v>298500371</v>
      </c>
      <c r="J56" s="284">
        <f>MATCH(A56,'Q&amp;V CY 2004 to Now'!$A$1:$A$101,0)</f>
        <v>57</v>
      </c>
      <c r="K56" s="278"/>
      <c r="L56" s="278"/>
    </row>
    <row r="57" spans="1:27">
      <c r="A57" s="283"/>
      <c r="B57" s="372"/>
      <c r="C57" s="285"/>
      <c r="D57" s="473"/>
      <c r="E57" s="285"/>
      <c r="F57" s="473"/>
      <c r="G57" s="821"/>
      <c r="H57" s="473"/>
      <c r="I57" s="706"/>
      <c r="J57" s="284"/>
      <c r="K57" s="278"/>
      <c r="L57" s="278"/>
    </row>
    <row r="58" spans="1:27">
      <c r="A58" s="333" t="s">
        <v>281</v>
      </c>
      <c r="B58" s="411"/>
      <c r="C58" s="701"/>
      <c r="D58" s="469"/>
      <c r="E58" s="701"/>
      <c r="F58" s="469"/>
      <c r="G58" s="703"/>
      <c r="H58" s="469"/>
      <c r="I58" s="705"/>
      <c r="J58" s="334"/>
      <c r="K58" s="278"/>
      <c r="L58" s="278"/>
      <c r="N58" s="381"/>
      <c r="O58" s="381"/>
      <c r="P58" s="381"/>
      <c r="Q58" s="381"/>
      <c r="R58" s="381"/>
    </row>
    <row r="59" spans="1:27" s="381" customFormat="1">
      <c r="A59" s="337" t="s">
        <v>220</v>
      </c>
      <c r="B59" s="371" t="s">
        <v>67</v>
      </c>
      <c r="C59" s="701">
        <f>IF($B$6="Calendar Year",
INDEX('Q&amp;V CY 2004 to Now'!$A$1:$KG$240,$J59,'Q&amp;V 2-years'!$W$2),
INDEX('Q&amp;V FY 2003-04 to Now'!$A$1:$KG$236,$J59,'Q&amp;V 2-years'!$W$2))</f>
        <v>387893.54000000004</v>
      </c>
      <c r="D59" s="469"/>
      <c r="E59" s="701">
        <f>IF($B$6="Calendar Year",
INDEX('Q&amp;V CY 2004 to Now'!$A$1:$KG$240,$J59,'Q&amp;V 2-years'!$W$2+1),
INDEX('Q&amp;V FY 2003-04 to Now'!$A$1:$KG$236,$J59,'Q&amp;V 2-years'!$W$2+1))</f>
        <v>115607042</v>
      </c>
      <c r="F59" s="469"/>
      <c r="G59" s="703">
        <f>IF($B$6="Calendar Year",
INDEX('Q&amp;V CY 2004 to Now'!$A$1:$KG$240,$J59,'Q&amp;V 2-years'!$W$1),
INDEX('Q&amp;V FY 2003-04 to Now'!$A$1:$KG$236,$J59,'Q&amp;V 2-years'!$W$1))</f>
        <v>324764.40000000002</v>
      </c>
      <c r="H59" s="469"/>
      <c r="I59" s="705">
        <f>IF($B$6="Calendar Year",
INDEX('Q&amp;V CY 2004 to Now'!$A$1:$KG$240,$J59,'Q&amp;V 2-years'!$W$1+1),
INDEX('Q&amp;V FY 2003-04 to Now'!$A$1:$KG$236,$J59,'Q&amp;V 2-years'!$W$1+1))</f>
        <v>124284245</v>
      </c>
      <c r="J59" s="334">
        <f>MATCH(A59,'Q&amp;V CY 2004 to Now'!$A$1:$A$101,0)</f>
        <v>60</v>
      </c>
      <c r="K59" s="278"/>
      <c r="N59" s="18"/>
      <c r="O59" s="18"/>
      <c r="P59" s="18"/>
      <c r="Q59" s="18"/>
      <c r="R59" s="18"/>
      <c r="V59" s="222"/>
      <c r="W59" s="222"/>
      <c r="X59" s="222"/>
      <c r="Y59" s="222"/>
      <c r="Z59" s="222"/>
      <c r="AA59" s="222"/>
    </row>
    <row r="60" spans="1:27">
      <c r="A60" s="337" t="s">
        <v>221</v>
      </c>
      <c r="B60" s="371" t="s">
        <v>67</v>
      </c>
      <c r="C60" s="701">
        <f>IF($B$6="Calendar Year",
INDEX('Q&amp;V CY 2004 to Now'!$A$1:$KG$240,$J60,'Q&amp;V 2-years'!$W$2),
INDEX('Q&amp;V FY 2003-04 to Now'!$A$1:$KG$236,$J60,'Q&amp;V 2-years'!$W$2))</f>
        <v>205739.18000000002</v>
      </c>
      <c r="D60" s="469"/>
      <c r="E60" s="701">
        <f>IF($B$6="Calendar Year",
INDEX('Q&amp;V CY 2004 to Now'!$A$1:$KG$240,$J60,'Q&amp;V 2-years'!$W$2+1),
INDEX('Q&amp;V FY 2003-04 to Now'!$A$1:$KG$236,$J60,'Q&amp;V 2-years'!$W$2+1))</f>
        <v>77079372</v>
      </c>
      <c r="F60" s="469"/>
      <c r="G60" s="703">
        <f>IF($B$6="Calendar Year",
INDEX('Q&amp;V CY 2004 to Now'!$A$1:$KG$240,$J60,'Q&amp;V 2-years'!$W$1),
INDEX('Q&amp;V FY 2003-04 to Now'!$A$1:$KG$236,$J60,'Q&amp;V 2-years'!$W$1))</f>
        <v>236283.69999999998</v>
      </c>
      <c r="H60" s="469"/>
      <c r="I60" s="705">
        <f>IF($B$6="Calendar Year",
INDEX('Q&amp;V CY 2004 to Now'!$A$1:$KG$240,$J60,'Q&amp;V 2-years'!$W$1+1),
INDEX('Q&amp;V FY 2003-04 to Now'!$A$1:$KG$236,$J60,'Q&amp;V 2-years'!$W$1+1))</f>
        <v>95143148</v>
      </c>
      <c r="J60" s="334">
        <f>MATCH(A60,'Q&amp;V CY 2004 to Now'!$A$1:$A$101,0)</f>
        <v>61</v>
      </c>
      <c r="K60" s="278"/>
      <c r="L60" s="278"/>
    </row>
    <row r="61" spans="1:27">
      <c r="A61" s="337" t="s">
        <v>222</v>
      </c>
      <c r="B61" s="371" t="s">
        <v>67</v>
      </c>
      <c r="C61" s="701">
        <f>IF($B$6="Calendar Year",
INDEX('Q&amp;V CY 2004 to Now'!$A$1:$KG$240,$J61,'Q&amp;V 2-years'!$W$2),
INDEX('Q&amp;V FY 2003-04 to Now'!$A$1:$KG$236,$J61,'Q&amp;V 2-years'!$W$2))</f>
        <v>19095.490000000002</v>
      </c>
      <c r="D61" s="469"/>
      <c r="E61" s="701">
        <f>IF($B$6="Calendar Year",
INDEX('Q&amp;V CY 2004 to Now'!$A$1:$KG$240,$J61,'Q&amp;V 2-years'!$W$2+1),
INDEX('Q&amp;V FY 2003-04 to Now'!$A$1:$KG$236,$J61,'Q&amp;V 2-years'!$W$2+1))</f>
        <v>22186512</v>
      </c>
      <c r="F61" s="469"/>
      <c r="G61" s="703">
        <f>IF($B$6="Calendar Year",
INDEX('Q&amp;V CY 2004 to Now'!$A$1:$KG$240,$J61,'Q&amp;V 2-years'!$W$1),
INDEX('Q&amp;V FY 2003-04 to Now'!$A$1:$KG$236,$J61,'Q&amp;V 2-years'!$W$1))</f>
        <v>14431.514606827597</v>
      </c>
      <c r="H61" s="469"/>
      <c r="I61" s="705">
        <f>IF($B$6="Calendar Year",
INDEX('Q&amp;V CY 2004 to Now'!$A$1:$KG$240,$J61,'Q&amp;V 2-years'!$W$1+1),
INDEX('Q&amp;V FY 2003-04 to Now'!$A$1:$KG$236,$J61,'Q&amp;V 2-years'!$W$1+1))</f>
        <v>23806028</v>
      </c>
      <c r="J61" s="334">
        <f>MATCH(A61,'Q&amp;V CY 2004 to Now'!$A$1:$A$101,0)</f>
        <v>62</v>
      </c>
      <c r="K61" s="278"/>
      <c r="L61" s="278"/>
    </row>
    <row r="62" spans="1:27">
      <c r="A62" s="337" t="s">
        <v>229</v>
      </c>
      <c r="B62" s="371" t="s">
        <v>67</v>
      </c>
      <c r="C62" s="701">
        <f>IF($B$6="Calendar Year",
INDEX('Q&amp;V CY 2004 to Now'!$A$1:$KG$240,$J62,'Q&amp;V 2-years'!$W$2),
INDEX('Q&amp;V FY 2003-04 to Now'!$A$1:$KG$236,$J62,'Q&amp;V 2-years'!$W$2))</f>
        <v>68668.460000000006</v>
      </c>
      <c r="D62" s="469"/>
      <c r="E62" s="701">
        <f>IF($B$6="Calendar Year",
INDEX('Q&amp;V CY 2004 to Now'!$A$1:$KG$240,$J62,'Q&amp;V 2-years'!$W$2+1),
INDEX('Q&amp;V FY 2003-04 to Now'!$A$1:$KG$236,$J62,'Q&amp;V 2-years'!$W$2+1))</f>
        <v>116069445</v>
      </c>
      <c r="F62" s="469"/>
      <c r="G62" s="703">
        <f>IF($B$6="Calendar Year",
INDEX('Q&amp;V CY 2004 to Now'!$A$1:$KG$240,$J62,'Q&amp;V 2-years'!$W$1),
INDEX('Q&amp;V FY 2003-04 to Now'!$A$1:$KG$236,$J62,'Q&amp;V 2-years'!$W$1))</f>
        <v>107792.18</v>
      </c>
      <c r="H62" s="469"/>
      <c r="I62" s="705">
        <f>IF($B$6="Calendar Year",
INDEX('Q&amp;V CY 2004 to Now'!$A$1:$KG$240,$J62,'Q&amp;V 2-years'!$W$1+1),
INDEX('Q&amp;V FY 2003-04 to Now'!$A$1:$KG$236,$J62,'Q&amp;V 2-years'!$W$1+1))</f>
        <v>137046436</v>
      </c>
      <c r="J62" s="334">
        <f>MATCH(A62,'Q&amp;V CY 2004 to Now'!$A$1:$A$101,0)</f>
        <v>63</v>
      </c>
      <c r="K62" s="278"/>
      <c r="L62" s="278"/>
    </row>
    <row r="63" spans="1:27">
      <c r="A63" s="337" t="s">
        <v>223</v>
      </c>
      <c r="B63" s="371" t="s">
        <v>67</v>
      </c>
      <c r="C63" s="701">
        <f>IF($B$6="Calendar Year",
INDEX('Q&amp;V CY 2004 to Now'!$A$1:$KG$240,$J63,'Q&amp;V 2-years'!$W$2),
INDEX('Q&amp;V FY 2003-04 to Now'!$A$1:$KG$236,$J63,'Q&amp;V 2-years'!$W$2))</f>
        <v>226694.69500000004</v>
      </c>
      <c r="D63" s="469"/>
      <c r="E63" s="701">
        <f>IF($B$6="Calendar Year",
INDEX('Q&amp;V CY 2004 to Now'!$A$1:$KG$240,$J63,'Q&amp;V 2-years'!$W$2+1),
INDEX('Q&amp;V FY 2003-04 to Now'!$A$1:$KG$236,$J63,'Q&amp;V 2-years'!$W$2+1))</f>
        <v>581409440</v>
      </c>
      <c r="F63" s="469"/>
      <c r="G63" s="703">
        <f>IF($B$6="Calendar Year",
INDEX('Q&amp;V CY 2004 to Now'!$A$1:$KG$240,$J63,'Q&amp;V 2-years'!$W$1),
INDEX('Q&amp;V FY 2003-04 to Now'!$A$1:$KG$236,$J63,'Q&amp;V 2-years'!$W$1))</f>
        <v>172938.72999999998</v>
      </c>
      <c r="H63" s="469"/>
      <c r="I63" s="705">
        <f>IF($B$6="Calendar Year",
INDEX('Q&amp;V CY 2004 to Now'!$A$1:$KG$240,$J63,'Q&amp;V 2-years'!$W$1+1),
INDEX('Q&amp;V FY 2003-04 to Now'!$A$1:$KG$236,$J63,'Q&amp;V 2-years'!$W$1+1))</f>
        <v>437233961</v>
      </c>
      <c r="J63" s="334">
        <f>MATCH(A63,'Q&amp;V CY 2004 to Now'!$A$1:$A$101,0)</f>
        <v>64</v>
      </c>
      <c r="K63" s="278"/>
      <c r="L63" s="278"/>
    </row>
    <row r="64" spans="1:27">
      <c r="A64" s="337" t="s">
        <v>392</v>
      </c>
      <c r="B64" s="371" t="s">
        <v>67</v>
      </c>
      <c r="C64" s="701">
        <f>IF($B$6="Calendar Year",
INDEX('Q&amp;V CY 2004 to Now'!$A$1:$KG$240,$J64,'Q&amp;V 2-years'!$W$2),
INDEX('Q&amp;V FY 2003-04 to Now'!$A$1:$KG$236,$J64,'Q&amp;V 2-years'!$W$2))</f>
        <v>243978.42424242425</v>
      </c>
      <c r="D64" s="469"/>
      <c r="E64" s="701">
        <f>IF($B$6="Calendar Year",
INDEX('Q&amp;V CY 2004 to Now'!$A$1:$KG$240,$J64,'Q&amp;V 2-years'!$W$2+1),
INDEX('Q&amp;V FY 2003-04 to Now'!$A$1:$KG$236,$J64,'Q&amp;V 2-years'!$W$2+1))</f>
        <v>430720742.39741266</v>
      </c>
      <c r="F64" s="469"/>
      <c r="G64" s="703">
        <f>IF($B$6="Calendar Year",
INDEX('Q&amp;V CY 2004 to Now'!$A$1:$KG$240,$J64,'Q&amp;V 2-years'!$W$1),
INDEX('Q&amp;V FY 2003-04 to Now'!$A$1:$KG$236,$J64,'Q&amp;V 2-years'!$W$1))</f>
        <v>254354.40727272732</v>
      </c>
      <c r="H64" s="469"/>
      <c r="I64" s="705">
        <f>IF($B$6="Calendar Year",
INDEX('Q&amp;V CY 2004 to Now'!$A$1:$KG$240,$J64,'Q&amp;V 2-years'!$W$1+1),
INDEX('Q&amp;V FY 2003-04 to Now'!$A$1:$KG$236,$J64,'Q&amp;V 2-years'!$W$1+1))</f>
        <v>463619024.76135445</v>
      </c>
      <c r="J64" s="334">
        <f>MATCH(A64,'Q&amp;V CY 2004 to Now'!$A$1:$A$101,0)</f>
        <v>65</v>
      </c>
      <c r="K64" s="278"/>
      <c r="L64" s="278"/>
    </row>
    <row r="65" spans="1:12">
      <c r="A65" s="337" t="s">
        <v>629</v>
      </c>
      <c r="B65" s="411" t="s">
        <v>67</v>
      </c>
      <c r="C65" s="701"/>
      <c r="D65" s="469"/>
      <c r="E65" s="701">
        <f>E66-(SUM(E59:E64))</f>
        <v>635881.99999976158</v>
      </c>
      <c r="F65" s="469"/>
      <c r="G65" s="703"/>
      <c r="H65" s="469"/>
      <c r="I65" s="705">
        <f>I66-(SUM(I59:I64))</f>
        <v>449084</v>
      </c>
      <c r="J65" s="334">
        <v>55</v>
      </c>
      <c r="K65" s="278"/>
      <c r="L65" s="278"/>
    </row>
    <row r="66" spans="1:12">
      <c r="A66" s="337" t="s">
        <v>284</v>
      </c>
      <c r="B66" s="411"/>
      <c r="C66" s="701"/>
      <c r="D66" s="469"/>
      <c r="E66" s="701">
        <f>IF($B$6="Calendar Year",
INDEX('Q&amp;V CY 2004 to Now'!$A$1:$KG$240,$J66,'Q&amp;V 2-years'!$W$2+1),
INDEX('Q&amp;V FY 2003-04 to Now'!$A$1:$KG$236,$J66,'Q&amp;V 2-years'!$W$2+1))</f>
        <v>1343708435.3974125</v>
      </c>
      <c r="F66" s="469"/>
      <c r="G66" s="703"/>
      <c r="H66" s="469"/>
      <c r="I66" s="705">
        <f>IF($B$6="Calendar Year",
INDEX('Q&amp;V CY 2004 to Now'!$A$1:$KG$240,$J66,'Q&amp;V 2-years'!$W$1+1),
INDEX('Q&amp;V FY 2003-04 to Now'!$A$1:$KG$236,$J66,'Q&amp;V 2-years'!$W$1+1))</f>
        <v>1281581926.7613544</v>
      </c>
      <c r="J66" s="334">
        <f>MATCH(A66,'Q&amp;V CY 2004 to Now'!$A$1:$A$101,0)</f>
        <v>67</v>
      </c>
      <c r="K66" s="278"/>
      <c r="L66" s="278"/>
    </row>
    <row r="67" spans="1:12">
      <c r="A67" s="337"/>
      <c r="B67" s="411"/>
      <c r="C67" s="701"/>
      <c r="D67" s="469"/>
      <c r="E67" s="701"/>
      <c r="F67" s="469"/>
      <c r="G67" s="703"/>
      <c r="H67" s="469"/>
      <c r="I67" s="705"/>
      <c r="J67" s="334"/>
      <c r="K67" s="278"/>
      <c r="L67" s="278"/>
    </row>
    <row r="68" spans="1:12">
      <c r="A68" s="283" t="s">
        <v>504</v>
      </c>
      <c r="B68" s="372" t="s">
        <v>67</v>
      </c>
      <c r="C68" s="285">
        <f>IF($B$6="Calendar Year",
INDEX('Q&amp;V CY 2004 to Now'!$A$1:$KG$240,$J68,'Q&amp;V 2-years'!$W$2),
INDEX('Q&amp;V FY 2003-04 to Now'!$A$1:$KG$236,$J68,'Q&amp;V 2-years'!$W$2))</f>
        <v>155270.40677045283</v>
      </c>
      <c r="D68" s="473"/>
      <c r="E68" s="285">
        <f>IF($B$6="Calendar Year",
INDEX('Q&amp;V CY 2004 to Now'!$A$1:$KG$240,$J68,'Q&amp;V 2-years'!$W$2+1),
INDEX('Q&amp;V FY 2003-04 to Now'!$A$1:$KG$236,$J68,'Q&amp;V 2-years'!$W$2+1))</f>
        <v>5766816218.999999</v>
      </c>
      <c r="F68" s="473"/>
      <c r="G68" s="821">
        <f>IF($B$6="Calendar Year",
INDEX('Q&amp;V CY 2004 to Now'!$A$1:$KG$240,$J68,'Q&amp;V 2-years'!$W$1),
INDEX('Q&amp;V FY 2003-04 to Now'!$A$1:$KG$236,$J68,'Q&amp;V 2-years'!$W$1))</f>
        <v>149420.76699999999</v>
      </c>
      <c r="H68" s="473"/>
      <c r="I68" s="706">
        <f>IF($B$6="Calendar Year",
INDEX('Q&amp;V CY 2004 to Now'!$A$1:$KG$240,$J68,'Q&amp;V 2-years'!$W$1+1),
INDEX('Q&amp;V FY 2003-04 to Now'!$A$1:$KG$236,$J68,'Q&amp;V 2-years'!$W$1+1))</f>
        <v>4697415435</v>
      </c>
      <c r="J68" s="284">
        <f>MATCH(A68,'Q&amp;V CY 2004 to Now'!$A$1:$A$101,0)</f>
        <v>69</v>
      </c>
      <c r="K68" s="278"/>
      <c r="L68" s="278"/>
    </row>
    <row r="69" spans="1:12">
      <c r="A69" s="282"/>
      <c r="B69" s="472"/>
      <c r="C69" s="285"/>
      <c r="D69" s="473"/>
      <c r="E69" s="285"/>
      <c r="F69" s="473"/>
      <c r="G69" s="821"/>
      <c r="H69" s="473"/>
      <c r="I69" s="706"/>
      <c r="J69" s="284"/>
      <c r="K69" s="278"/>
      <c r="L69" s="278"/>
    </row>
    <row r="70" spans="1:12">
      <c r="A70" s="333" t="s">
        <v>191</v>
      </c>
      <c r="B70" s="411"/>
      <c r="C70" s="701"/>
      <c r="D70" s="469"/>
      <c r="E70" s="701"/>
      <c r="F70" s="469"/>
      <c r="G70" s="703"/>
      <c r="H70" s="469"/>
      <c r="I70" s="705"/>
      <c r="J70" s="334"/>
      <c r="K70" s="278"/>
      <c r="L70" s="278"/>
    </row>
    <row r="71" spans="1:12">
      <c r="A71" s="337" t="s">
        <v>62</v>
      </c>
      <c r="B71" s="371" t="s">
        <v>192</v>
      </c>
      <c r="C71" s="701">
        <f>IF($B$6="Calendar Year",
INDEX('Q&amp;V CY 2004 to Now'!$A$1:$KG$240,$J71,'Q&amp;V 2-years'!$W$2),
INDEX('Q&amp;V FY 2003-04 to Now'!$A$1:$KG$236,$J71,'Q&amp;V 2-years'!$W$2))</f>
        <v>11120797.422918798</v>
      </c>
      <c r="D71" s="469"/>
      <c r="E71" s="701">
        <f>IF($B$6="Calendar Year",
INDEX('Q&amp;V CY 2004 to Now'!$A$1:$KG$240,$J71,'Q&amp;V 2-years'!$W$2+1),
INDEX('Q&amp;V FY 2003-04 to Now'!$A$1:$KG$236,$J71,'Q&amp;V 2-years'!$W$2+1))</f>
        <v>9021155473.5518341</v>
      </c>
      <c r="F71" s="469"/>
      <c r="G71" s="703">
        <f>IF($B$6="Calendar Year",
INDEX('Q&amp;V CY 2004 to Now'!$A$1:$KG$240,$J71,'Q&amp;V 2-years'!$W$1),
INDEX('Q&amp;V FY 2003-04 to Now'!$A$1:$KG$236,$J71,'Q&amp;V 2-years'!$W$1))</f>
        <v>11243699.362056173</v>
      </c>
      <c r="H71" s="469"/>
      <c r="I71" s="705">
        <f>IF($B$6="Calendar Year",
INDEX('Q&amp;V CY 2004 to Now'!$A$1:$KG$240,$J71,'Q&amp;V 2-years'!$W$1+1),
INDEX('Q&amp;V FY 2003-04 to Now'!$A$1:$KG$236,$J71,'Q&amp;V 2-years'!$W$1+1))</f>
        <v>7784364338.2544746</v>
      </c>
      <c r="J71" s="334">
        <f>MATCH(A71,'Q&amp;V CY 2004 to Now'!$A$1:$A$101,0)</f>
        <v>72</v>
      </c>
      <c r="K71" s="278"/>
      <c r="L71" s="278"/>
    </row>
    <row r="72" spans="1:12">
      <c r="A72" s="337" t="s">
        <v>61</v>
      </c>
      <c r="B72" s="371" t="s">
        <v>192</v>
      </c>
      <c r="C72" s="701">
        <f>IF($B$6="Calendar Year",
INDEX('Q&amp;V CY 2004 to Now'!$A$1:$KG$240,$J72,'Q&amp;V 2-years'!$W$2),
INDEX('Q&amp;V FY 2003-04 to Now'!$A$1:$KG$236,$J72,'Q&amp;V 2-years'!$W$2))</f>
        <v>4429609.1064187735</v>
      </c>
      <c r="D72" s="469"/>
      <c r="E72" s="701">
        <f>IF($B$6="Calendar Year",
INDEX('Q&amp;V CY 2004 to Now'!$A$1:$KG$240,$J72,'Q&amp;V 2-years'!$W$2+1),
INDEX('Q&amp;V FY 2003-04 to Now'!$A$1:$KG$236,$J72,'Q&amp;V 2-years'!$W$2+1))</f>
        <v>4062242851.8730474</v>
      </c>
      <c r="F72" s="469"/>
      <c r="G72" s="703">
        <f>IF($B$6="Calendar Year",
INDEX('Q&amp;V CY 2004 to Now'!$A$1:$KG$240,$J72,'Q&amp;V 2-years'!$W$1),
INDEX('Q&amp;V FY 2003-04 to Now'!$A$1:$KG$236,$J72,'Q&amp;V 2-years'!$W$1))</f>
        <v>3171967.9410921116</v>
      </c>
      <c r="H72" s="469"/>
      <c r="I72" s="705">
        <f>IF($B$6="Calendar Year",
INDEX('Q&amp;V CY 2004 to Now'!$A$1:$KG$240,$J72,'Q&amp;V 2-years'!$W$1+1),
INDEX('Q&amp;V FY 2003-04 to Now'!$A$1:$KG$236,$J72,'Q&amp;V 2-years'!$W$1+1))</f>
        <v>2474048547.6072664</v>
      </c>
      <c r="J72" s="334">
        <f>MATCH(A72,'Q&amp;V CY 2004 to Now'!$A$1:$A$101,0)</f>
        <v>73</v>
      </c>
      <c r="K72" s="278"/>
      <c r="L72" s="278"/>
    </row>
    <row r="73" spans="1:12">
      <c r="A73" s="337" t="s">
        <v>224</v>
      </c>
      <c r="B73" s="371" t="s">
        <v>67</v>
      </c>
      <c r="C73" s="701">
        <f>IF($B$6="Calendar Year",
INDEX('Q&amp;V CY 2004 to Now'!$A$1:$KG$240,$J73,'Q&amp;V 2-years'!$W$2),
INDEX('Q&amp;V FY 2003-04 to Now'!$A$1:$KG$236,$J73,'Q&amp;V 2-years'!$W$2))</f>
        <v>48608467.014604151</v>
      </c>
      <c r="D73" s="469"/>
      <c r="E73" s="701">
        <f>IF($B$6="Calendar Year",
INDEX('Q&amp;V CY 2004 to Now'!$A$1:$KG$240,$J73,'Q&amp;V 2-years'!$W$2+1),
INDEX('Q&amp;V FY 2003-04 to Now'!$A$1:$KG$236,$J73,'Q&amp;V 2-years'!$W$2+1))</f>
        <v>54511850325.376259</v>
      </c>
      <c r="F73" s="469"/>
      <c r="G73" s="703">
        <f>IF($B$6="Calendar Year",
INDEX('Q&amp;V CY 2004 to Now'!$A$1:$KG$240,$J73,'Q&amp;V 2-years'!$W$1),
INDEX('Q&amp;V FY 2003-04 to Now'!$A$1:$KG$236,$J73,'Q&amp;V 2-years'!$W$1))</f>
        <v>48028219.391891703</v>
      </c>
      <c r="H73" s="469"/>
      <c r="I73" s="705">
        <f>IF($B$6="Calendar Year",
INDEX('Q&amp;V CY 2004 to Now'!$A$1:$KG$240,$J73,'Q&amp;V 2-years'!$W$1+1),
INDEX('Q&amp;V FY 2003-04 to Now'!$A$1:$KG$236,$J73,'Q&amp;V 2-years'!$W$1+1))</f>
        <v>42300119314.237854</v>
      </c>
      <c r="J73" s="334">
        <f>MATCH(A73,'Q&amp;V CY 2004 to Now'!$A$1:$A$101,0)</f>
        <v>74</v>
      </c>
      <c r="K73" s="278"/>
      <c r="L73" s="278"/>
    </row>
    <row r="74" spans="1:12">
      <c r="A74" s="337" t="s">
        <v>225</v>
      </c>
      <c r="B74" s="371" t="s">
        <v>67</v>
      </c>
      <c r="C74" s="701">
        <f>IF($B$6="Calendar Year",
INDEX('Q&amp;V CY 2004 to Now'!$A$1:$KG$240,$J74,'Q&amp;V 2-years'!$W$2),
INDEX('Q&amp;V FY 2003-04 to Now'!$A$1:$KG$236,$J74,'Q&amp;V 2-years'!$W$2))</f>
        <v>706846.15355983691</v>
      </c>
      <c r="D74" s="469"/>
      <c r="E74" s="701">
        <f>IF($B$6="Calendar Year",
INDEX('Q&amp;V CY 2004 to Now'!$A$1:$KG$240,$J74,'Q&amp;V 2-years'!$W$2+1),
INDEX('Q&amp;V FY 2003-04 to Now'!$A$1:$KG$236,$J74,'Q&amp;V 2-years'!$W$2+1))</f>
        <v>739591200.38634777</v>
      </c>
      <c r="F74" s="469"/>
      <c r="G74" s="703">
        <f>IF($B$6="Calendar Year",
INDEX('Q&amp;V CY 2004 to Now'!$A$1:$KG$240,$J74,'Q&amp;V 2-years'!$W$1),
INDEX('Q&amp;V FY 2003-04 to Now'!$A$1:$KG$236,$J74,'Q&amp;V 2-years'!$W$1))</f>
        <v>672782.72932661325</v>
      </c>
      <c r="H74" s="469"/>
      <c r="I74" s="705">
        <f>IF($B$6="Calendar Year",
INDEX('Q&amp;V CY 2004 to Now'!$A$1:$KG$240,$J74,'Q&amp;V 2-years'!$W$1+1),
INDEX('Q&amp;V FY 2003-04 to Now'!$A$1:$KG$236,$J74,'Q&amp;V 2-years'!$W$1+1))</f>
        <v>590640391.29540586</v>
      </c>
      <c r="J74" s="334">
        <f>MATCH(A74,'Q&amp;V CY 2004 to Now'!$A$1:$A$101,0)</f>
        <v>75</v>
      </c>
      <c r="K74" s="278"/>
      <c r="L74" s="278"/>
    </row>
    <row r="75" spans="1:12">
      <c r="A75" s="337" t="s">
        <v>500</v>
      </c>
      <c r="B75" s="1092" t="s">
        <v>226</v>
      </c>
      <c r="C75" s="701">
        <f>IF($B$6="Calendar Year",
INDEX('Q&amp;V CY 2004 to Now'!$A$1:$KG$240,$J75,'Q&amp;V 2-years'!$W$2),
INDEX('Q&amp;V FY 2003-04 to Now'!$A$1:$KG$236,$J75,'Q&amp;V 2-years'!$W$2))</f>
        <v>10427155.549738221</v>
      </c>
      <c r="D75" s="469"/>
      <c r="E75" s="701">
        <f>IF($B$6="Calendar Year",
INDEX('Q&amp;V CY 2004 to Now'!$A$1:$KG$240,$J75,'Q&amp;V 2-years'!$W$2+1),
INDEX('Q&amp;V FY 2003-04 to Now'!$A$1:$KG$236,$J75,'Q&amp;V 2-years'!$W$2+1))</f>
        <v>2166265640.0511622</v>
      </c>
      <c r="F75" s="469"/>
      <c r="G75" s="703">
        <f>IF($B$6="Calendar Year",
INDEX('Q&amp;V CY 2004 to Now'!$A$1:$KG$240,$J75,'Q&amp;V 2-years'!$W$1),
INDEX('Q&amp;V FY 2003-04 to Now'!$A$1:$KG$236,$J75,'Q&amp;V 2-years'!$W$1))</f>
        <v>10327638.965968587</v>
      </c>
      <c r="H75" s="469"/>
      <c r="I75" s="705">
        <f>IF($B$6="Calendar Year",
INDEX('Q&amp;V CY 2004 to Now'!$A$1:$KG$240,$J75,'Q&amp;V 2-years'!$W$1+1),
INDEX('Q&amp;V FY 2003-04 to Now'!$A$1:$KG$236,$J75,'Q&amp;V 2-years'!$W$1+1))</f>
        <v>2753859242.6016831</v>
      </c>
      <c r="J75" s="334">
        <f>MATCH(A75,'Q&amp;V CY 2004 to Now'!$A$1:$A$101,0)</f>
        <v>76</v>
      </c>
      <c r="K75" s="278"/>
      <c r="L75" s="278"/>
    </row>
    <row r="76" spans="1:12">
      <c r="A76" s="337" t="s">
        <v>68</v>
      </c>
      <c r="B76" s="411"/>
      <c r="C76" s="701"/>
      <c r="D76" s="469"/>
      <c r="E76" s="701">
        <f>SUM(E71:E75)</f>
        <v>70501105491.238647</v>
      </c>
      <c r="F76" s="469"/>
      <c r="G76" s="703"/>
      <c r="H76" s="469"/>
      <c r="I76" s="705">
        <f>SUM(I71:I75)</f>
        <v>55903031833.996681</v>
      </c>
      <c r="J76" s="334"/>
      <c r="K76" s="278"/>
      <c r="L76" s="278"/>
    </row>
    <row r="77" spans="1:12">
      <c r="A77" s="439"/>
      <c r="B77" s="371"/>
      <c r="C77" s="701"/>
      <c r="D77" s="469"/>
      <c r="E77" s="701"/>
      <c r="F77" s="469"/>
      <c r="G77" s="703"/>
      <c r="H77" s="469"/>
      <c r="I77" s="705"/>
      <c r="J77" s="334"/>
      <c r="K77" s="278"/>
      <c r="L77" s="278"/>
    </row>
    <row r="78" spans="1:12">
      <c r="A78" s="283" t="s">
        <v>514</v>
      </c>
      <c r="B78" s="372" t="s">
        <v>93</v>
      </c>
      <c r="C78" s="285">
        <f>IF($B$6="Calendar Year",
INDEX('Q&amp;V CY 2004 to Now'!$A$1:$KG$240,$J78,'Q&amp;V 2-years'!$W$2),
INDEX('Q&amp;V FY 2003-04 to Now'!$A$1:$KG$236,$J78,'Q&amp;V 2-years'!$W$2))</f>
        <v>491.57085563361602</v>
      </c>
      <c r="D78" s="473"/>
      <c r="E78" s="285">
        <f>IF($B$6="Calendar Year",
INDEX('Q&amp;V CY 2004 to Now'!$A$1:$KG$240,$J78,'Q&amp;V 2-years'!$W$2+1),
INDEX('Q&amp;V FY 2003-04 to Now'!$A$1:$KG$236,$J78,'Q&amp;V 2-years'!$W$2+1))</f>
        <v>40002494.999999993</v>
      </c>
      <c r="F78" s="473"/>
      <c r="G78" s="821">
        <f>IF($B$6="Calendar Year",
INDEX('Q&amp;V CY 2004 to Now'!$A$1:$KG$240,$J78,'Q&amp;V 2-years'!$W$1),
INDEX('Q&amp;V FY 2003-04 to Now'!$A$1:$KG$236,$J78,'Q&amp;V 2-years'!$W$1))</f>
        <v>512.10163859976012</v>
      </c>
      <c r="H78" s="473"/>
      <c r="I78" s="706">
        <f>IF($B$6="Calendar Year",
INDEX('Q&amp;V CY 2004 to Now'!$A$1:$KG$240,$J78,'Q&amp;V 2-years'!$W$1+1),
INDEX('Q&amp;V FY 2003-04 to Now'!$A$1:$KG$236,$J78,'Q&amp;V 2-years'!$W$1+1))</f>
        <v>30310525.999999996</v>
      </c>
      <c r="J78" s="284">
        <v>79</v>
      </c>
      <c r="K78" s="278"/>
      <c r="L78" s="278"/>
    </row>
    <row r="79" spans="1:12">
      <c r="A79" s="1074" t="s">
        <v>190</v>
      </c>
      <c r="B79" s="472"/>
      <c r="C79" s="285"/>
      <c r="D79" s="473"/>
      <c r="E79" s="285"/>
      <c r="F79" s="473"/>
      <c r="G79" s="821"/>
      <c r="H79" s="473"/>
      <c r="I79" s="706"/>
      <c r="J79" s="284"/>
      <c r="K79" s="278"/>
      <c r="L79" s="278"/>
    </row>
    <row r="80" spans="1:12">
      <c r="A80" s="333" t="s">
        <v>511</v>
      </c>
      <c r="B80" s="371"/>
      <c r="C80" s="701">
        <f>IF($B$6="Calendar Year",
INDEX('Q&amp;V CY 2004 to Now'!$A$1:$KG$240,$J80,'Q&amp;V 2-years'!$W$2),
INDEX('Q&amp;V FY 2003-04 to Now'!$A$1:$KG$236,$J80,'Q&amp;V 2-years'!$W$2))</f>
        <v>2418</v>
      </c>
      <c r="D80" s="469"/>
      <c r="E80" s="701" t="str">
        <f>IF($B$6="Calendar Year",
INDEX('Q&amp;V CY 2004 to Now'!$A$1:$KG$240,$J80,'Q&amp;V 2-years'!$W$2+1),
INDEX('Q&amp;V FY 2003-04 to Now'!$A$1:$KG$236,$J80,'Q&amp;V 2-years'!$W$2+1))</f>
        <v>nfp</v>
      </c>
      <c r="F80" s="469"/>
      <c r="G80" s="703">
        <f>IF($B$6="Calendar Year",
INDEX('Q&amp;V CY 2004 to Now'!$A$1:$KG$240,$J80,'Q&amp;V 2-years'!$W$1),
INDEX('Q&amp;V FY 2003-04 to Now'!$A$1:$KG$236,$J80,'Q&amp;V 2-years'!$W$1))</f>
        <v>5503.46</v>
      </c>
      <c r="H80" s="469"/>
      <c r="I80" s="705" t="str">
        <f>IF($B$6="Calendar Year",
INDEX('Q&amp;V CY 2004 to Now'!$A$1:$KG$240,$J80,'Q&amp;V 2-years'!$W$1+1),
INDEX('Q&amp;V FY 2003-04 to Now'!$A$1:$KG$236,$J80,'Q&amp;V 2-years'!$W$1+1))</f>
        <v>nfp</v>
      </c>
      <c r="J80" s="334">
        <f>MATCH(A80,'Q&amp;V CY 2004 to Now'!$A$1:$A$101,0)</f>
        <v>81</v>
      </c>
      <c r="K80" s="278"/>
      <c r="L80" s="278"/>
    </row>
    <row r="81" spans="1:27">
      <c r="A81" s="439"/>
      <c r="B81" s="371"/>
      <c r="C81" s="701"/>
      <c r="D81" s="469"/>
      <c r="E81" s="701"/>
      <c r="F81" s="469"/>
      <c r="G81" s="703"/>
      <c r="H81" s="469"/>
      <c r="I81" s="705"/>
      <c r="J81" s="334"/>
      <c r="K81" s="278"/>
      <c r="L81" s="278"/>
    </row>
    <row r="82" spans="1:27">
      <c r="A82" s="283" t="s">
        <v>394</v>
      </c>
      <c r="B82" s="372" t="s">
        <v>93</v>
      </c>
      <c r="C82" s="285">
        <f>IF($B$6="Calendar Year",
INDEX('Q&amp;V CY 2004 to Now'!$A$1:$KG$240,$J82,'Q&amp;V 2-years'!$W$2),
INDEX('Q&amp;V FY 2003-04 to Now'!$A$1:$KG$236,$J82,'Q&amp;V 2-years'!$W$2))</f>
        <v>30074717</v>
      </c>
      <c r="D82" s="473"/>
      <c r="E82" s="285">
        <f>IF($B$6="Calendar Year",
INDEX('Q&amp;V CY 2004 to Now'!$A$1:$KG$240,$J82,'Q&amp;V 2-years'!$W$2+1),
INDEX('Q&amp;V FY 2003-04 to Now'!$A$1:$KG$236,$J82,'Q&amp;V 2-years'!$W$2+1))</f>
        <v>800747126</v>
      </c>
      <c r="F82" s="473"/>
      <c r="G82" s="821">
        <f>IF($B$6="Calendar Year",
INDEX('Q&amp;V CY 2004 to Now'!$A$1:$KG$240,$J82,'Q&amp;V 2-years'!$W$1),
INDEX('Q&amp;V FY 2003-04 to Now'!$A$1:$KG$236,$J82,'Q&amp;V 2-years'!$W$1))</f>
        <v>28621528</v>
      </c>
      <c r="H82" s="473"/>
      <c r="I82" s="706" t="str">
        <f>IF($B$6="Calendar Year",
INDEX('Q&amp;V CY 2004 to Now'!$A$1:$KG$240,$J82,'Q&amp;V 2-years'!$W$1+1),
INDEX('Q&amp;V FY 2003-04 to Now'!$A$1:$KG$236,$J82,'Q&amp;V 2-years'!$W$1+1))</f>
        <v>nfp</v>
      </c>
      <c r="J82" s="284">
        <f>MATCH(A82,'Q&amp;V CY 2004 to Now'!$A$1:$A$101,0)</f>
        <v>83</v>
      </c>
      <c r="K82" s="278"/>
      <c r="L82" s="278"/>
    </row>
    <row r="83" spans="1:27">
      <c r="A83" s="1077"/>
      <c r="B83" s="372"/>
      <c r="C83" s="285"/>
      <c r="D83" s="473"/>
      <c r="E83" s="285"/>
      <c r="F83" s="473"/>
      <c r="G83" s="821"/>
      <c r="H83" s="473"/>
      <c r="I83" s="706"/>
      <c r="J83" s="284"/>
      <c r="K83" s="278"/>
      <c r="L83" s="278"/>
    </row>
    <row r="84" spans="1:27">
      <c r="A84" s="333" t="s">
        <v>199</v>
      </c>
      <c r="B84" s="371" t="s">
        <v>67</v>
      </c>
      <c r="C84" s="701">
        <f ca="1">IF($B$6="Calendar Year",
INDEX('Q&amp;V CY 2004 to Now'!$A$1:$KG$240,$J84,'Q&amp;V 2-years'!$W$2),
INDEX('Q&amp;V FY 2003-04 to Now'!$A$1:$KG$236,$J84,'Q&amp;V 2-years'!$W$2))</f>
        <v>11680983.095999999</v>
      </c>
      <c r="D84" s="469"/>
      <c r="E84" s="701">
        <f ca="1">IF($B$6="Calendar Year",
INDEX('Q&amp;V CY 2004 to Now'!$A$1:$KG$240,$J84,'Q&amp;V 2-years'!$W$2+1),
INDEX('Q&amp;V FY 2003-04 to Now'!$A$1:$KG$236,$J84,'Q&amp;V 2-years'!$W$2+1))</f>
        <v>625501475.99999988</v>
      </c>
      <c r="F84" s="471"/>
      <c r="G84" s="703">
        <f ca="1">IF($B$6="Calendar Year",
INDEX('Q&amp;V CY 2004 to Now'!$A$1:$KG$240,$J84,'Q&amp;V 2-years'!$W$1),
INDEX('Q&amp;V FY 2003-04 to Now'!$A$1:$KG$236,$J84,'Q&amp;V 2-years'!$W$1))</f>
        <v>11618586.358999997</v>
      </c>
      <c r="H84" s="469"/>
      <c r="I84" s="705">
        <f ca="1">IF($B$6="Calendar Year",
INDEX('Q&amp;V CY 2004 to Now'!$A$1:$KG$240,$J84,'Q&amp;V 2-years'!$W$1+1),
INDEX('Q&amp;V FY 2003-04 to Now'!$A$1:$KG$236,$J84,'Q&amp;V 2-years'!$W$1+1))</f>
        <v>790210114</v>
      </c>
      <c r="J84" s="334">
        <f>MATCH(A84,'Q&amp;V CY 2004 to Now'!$A$1:$A$101,0)</f>
        <v>85</v>
      </c>
      <c r="K84" s="18"/>
    </row>
    <row r="85" spans="1:27">
      <c r="A85" s="333"/>
      <c r="B85" s="371"/>
      <c r="C85" s="701"/>
      <c r="D85" s="469"/>
      <c r="E85" s="701"/>
      <c r="F85" s="471"/>
      <c r="G85" s="703"/>
      <c r="H85" s="469"/>
      <c r="I85" s="705"/>
      <c r="J85" s="334"/>
      <c r="K85" s="18"/>
    </row>
    <row r="86" spans="1:27">
      <c r="A86" s="283" t="s">
        <v>515</v>
      </c>
      <c r="B86" s="472" t="s">
        <v>67</v>
      </c>
      <c r="C86" s="285">
        <f>IF($B$6="Calendar Year",
INDEX('Q&amp;V CY 2004 to Now'!$A$1:$KG$240,$J86,'Q&amp;V 2-years'!$W$2),
INDEX('Q&amp;V FY 2003-04 to Now'!$A$1:$KG$236,$J86,'Q&amp;V 2-years'!$W$2))</f>
        <v>1209553.1010000003</v>
      </c>
      <c r="D86" s="473"/>
      <c r="E86" s="285">
        <f>IF($B$6="Calendar Year",
INDEX('Q&amp;V CY 2004 to Now'!$A$1:$KG$240,$J86,'Q&amp;V 2-years'!$W$2+1),
INDEX('Q&amp;V FY 2003-04 to Now'!$A$1:$KG$236,$J86,'Q&amp;V 2-years'!$W$2+1))</f>
        <v>25390541.30508966</v>
      </c>
      <c r="F86" s="1076"/>
      <c r="G86" s="821">
        <f>IF($B$6="Calendar Year",
INDEX('Q&amp;V CY 2004 to Now'!$A$1:$KG$240,$J86,'Q&amp;V 2-years'!$W$1),
INDEX('Q&amp;V FY 2003-04 to Now'!$A$1:$KG$236,$J86,'Q&amp;V 2-years'!$W$1))</f>
        <v>1150544.058</v>
      </c>
      <c r="H86" s="473"/>
      <c r="I86" s="706">
        <f>IF($B$6="Calendar Year",
INDEX('Q&amp;V CY 2004 to Now'!$A$1:$KG$240,$J86,'Q&amp;V 2-years'!$W$1+1),
INDEX('Q&amp;V FY 2003-04 to Now'!$A$1:$KG$236,$J86,'Q&amp;V 2-years'!$W$1+1))</f>
        <v>24587313.790536907</v>
      </c>
      <c r="J86" s="284">
        <f>MATCH(A86,'Q&amp;V CY 2004 to Now'!$A$1:$A$101,0)</f>
        <v>87</v>
      </c>
      <c r="K86" s="18"/>
    </row>
    <row r="87" spans="1:27">
      <c r="A87" s="1074"/>
      <c r="B87" s="472"/>
      <c r="C87" s="285"/>
      <c r="D87" s="473"/>
      <c r="E87" s="285"/>
      <c r="F87" s="1076"/>
      <c r="G87" s="821"/>
      <c r="H87" s="473"/>
      <c r="I87" s="706"/>
      <c r="J87" s="284"/>
      <c r="K87" s="381"/>
      <c r="N87" s="381"/>
      <c r="O87" s="381"/>
      <c r="P87" s="381"/>
      <c r="Q87" s="381"/>
      <c r="R87" s="381"/>
    </row>
    <row r="88" spans="1:27" s="381" customFormat="1">
      <c r="A88" s="333" t="s">
        <v>201</v>
      </c>
      <c r="B88" s="371" t="s">
        <v>93</v>
      </c>
      <c r="C88" s="701">
        <f>IF($B$6="Calendar Year",
INDEX('Q&amp;V CY 2004 to Now'!$A$1:$KG$240,$J88,'Q&amp;V 2-years'!$W$2),
INDEX('Q&amp;V FY 2003-04 to Now'!$A$1:$KG$236,$J88,'Q&amp;V 2-years'!$W$2))</f>
        <v>129621.39722336917</v>
      </c>
      <c r="D88" s="469"/>
      <c r="E88" s="701">
        <f>IF($B$6="Calendar Year",
INDEX('Q&amp;V CY 2004 to Now'!$A$1:$KG$240,$J88,'Q&amp;V 2-years'!$W$2+1),
INDEX('Q&amp;V FY 2003-04 to Now'!$A$1:$KG$236,$J88,'Q&amp;V 2-years'!$W$2+1))</f>
        <v>129977991.99999997</v>
      </c>
      <c r="F88" s="471"/>
      <c r="G88" s="703">
        <f>IF($B$6="Calendar Year",
INDEX('Q&amp;V CY 2004 to Now'!$A$1:$KG$240,$J88,'Q&amp;V 2-years'!$W$1),
INDEX('Q&amp;V FY 2003-04 to Now'!$A$1:$KG$236,$J88,'Q&amp;V 2-years'!$W$1))</f>
        <v>109609.47477464397</v>
      </c>
      <c r="H88" s="469"/>
      <c r="I88" s="705">
        <f>IF($B$6="Calendar Year",
INDEX('Q&amp;V CY 2004 to Now'!$A$1:$KG$240,$J88,'Q&amp;V 2-years'!$W$1+1),
INDEX('Q&amp;V FY 2003-04 to Now'!$A$1:$KG$236,$J88,'Q&amp;V 2-years'!$W$1+1))</f>
        <v>121147571</v>
      </c>
      <c r="J88" s="334">
        <f>MATCH(A88,'Q&amp;V CY 2004 to Now'!$A$1:$A$101,0)</f>
        <v>89</v>
      </c>
      <c r="N88" s="18"/>
      <c r="O88" s="18"/>
      <c r="P88" s="18"/>
      <c r="Q88" s="18"/>
      <c r="R88" s="18"/>
      <c r="V88" s="222"/>
      <c r="W88" s="222"/>
      <c r="X88" s="222"/>
      <c r="Y88" s="222"/>
      <c r="Z88" s="222"/>
      <c r="AA88" s="222"/>
    </row>
    <row r="89" spans="1:27">
      <c r="A89" s="333"/>
      <c r="B89" s="371"/>
      <c r="C89" s="701"/>
      <c r="D89" s="469"/>
      <c r="E89" s="701"/>
      <c r="F89" s="471"/>
      <c r="G89" s="703"/>
      <c r="H89" s="469"/>
      <c r="I89" s="705"/>
      <c r="J89" s="334"/>
      <c r="K89" s="381"/>
    </row>
    <row r="90" spans="1:27">
      <c r="A90" s="283" t="s">
        <v>510</v>
      </c>
      <c r="B90" s="372"/>
      <c r="C90" s="285"/>
      <c r="D90" s="473"/>
      <c r="E90" s="285"/>
      <c r="F90" s="473"/>
      <c r="G90" s="821"/>
      <c r="H90" s="473"/>
      <c r="I90" s="706"/>
      <c r="J90" s="284"/>
      <c r="K90" s="18"/>
    </row>
    <row r="91" spans="1:27">
      <c r="A91" s="282" t="s">
        <v>628</v>
      </c>
      <c r="B91" s="472" t="s">
        <v>67</v>
      </c>
      <c r="C91" s="285">
        <f>IF($B$6="Calendar Year",
INDEX('Q&amp;V CY 2004 to Now'!$A$1:$KG$240,$J91,'Q&amp;V 2-years'!$W$2),
INDEX('Q&amp;V FY 2003-04 to Now'!$A$1:$KG$236,$J91,'Q&amp;V 2-years'!$W$2))</f>
        <v>183.69899999999998</v>
      </c>
      <c r="D91" s="473"/>
      <c r="E91" s="285" t="str">
        <f>IF($B$6="Calendar Year",
INDEX('Q&amp;V CY 2004 to Now'!$A$1:$KG$240,$J91,'Q&amp;V 2-years'!$W$2+1),
INDEX('Q&amp;V FY 2003-04 to Now'!$A$1:$KG$236,$J91,'Q&amp;V 2-years'!$W$2+1))</f>
        <v>nfp</v>
      </c>
      <c r="F91" s="473"/>
      <c r="G91" s="821">
        <f>IF($B$6="Calendar Year",
INDEX('Q&amp;V CY 2004 to Now'!$A$1:$KG$240,$J91,'Q&amp;V 2-years'!$W$1),
INDEX('Q&amp;V FY 2003-04 to Now'!$A$1:$KG$236,$J91,'Q&amp;V 2-years'!$W$1))</f>
        <v>159.41999999999999</v>
      </c>
      <c r="H91" s="473"/>
      <c r="I91" s="706" t="str">
        <f>IF($B$6="Calendar Year",
INDEX('Q&amp;V CY 2004 to Now'!$A$1:$KG$240,$J91,'Q&amp;V 2-years'!$W$1+1),
INDEX('Q&amp;V FY 2003-04 to Now'!$A$1:$KG$236,$J91,'Q&amp;V 2-years'!$W$1+1))</f>
        <v xml:space="preserve">nfp </v>
      </c>
      <c r="J91" s="284">
        <f>MATCH(A91,'Q&amp;V CY 2004 to Now'!$A$1:$A$101,0)</f>
        <v>92</v>
      </c>
      <c r="K91" s="18"/>
    </row>
    <row r="92" spans="1:27">
      <c r="A92" s="282" t="s">
        <v>232</v>
      </c>
      <c r="B92" s="472" t="s">
        <v>67</v>
      </c>
      <c r="C92" s="285">
        <f>IF($B$6="Calendar Year",
INDEX('Q&amp;V CY 2004 to Now'!$A$1:$KG$240,$J92,'Q&amp;V 2-years'!$W$2),
INDEX('Q&amp;V FY 2003-04 to Now'!$A$1:$KG$236,$J92,'Q&amp;V 2-years'!$W$2))</f>
        <v>106.28</v>
      </c>
      <c r="D92" s="473"/>
      <c r="E92" s="285" t="str">
        <f>IF($B$6="Calendar Year",
INDEX('Q&amp;V CY 2004 to Now'!$A$1:$KG$240,$J92,'Q&amp;V 2-years'!$W$2+1),
INDEX('Q&amp;V FY 2003-04 to Now'!$A$1:$KG$236,$J92,'Q&amp;V 2-years'!$W$2+1))</f>
        <v>nfp</v>
      </c>
      <c r="F92" s="473"/>
      <c r="G92" s="821">
        <f>IF($B$6="Calendar Year",
INDEX('Q&amp;V CY 2004 to Now'!$A$1:$KG$240,$J92,'Q&amp;V 2-years'!$W$1),
INDEX('Q&amp;V FY 2003-04 to Now'!$A$1:$KG$236,$J92,'Q&amp;V 2-years'!$W$1))</f>
        <v>113.73</v>
      </c>
      <c r="H92" s="473"/>
      <c r="I92" s="706" t="str">
        <f>IF($B$6="Calendar Year",
INDEX('Q&amp;V CY 2004 to Now'!$A$1:$KG$240,$J92,'Q&amp;V 2-years'!$W$1+1),
INDEX('Q&amp;V FY 2003-04 to Now'!$A$1:$KG$236,$J92,'Q&amp;V 2-years'!$W$1+1))</f>
        <v xml:space="preserve">nfp </v>
      </c>
      <c r="J92" s="284">
        <f>MATCH(A92,'Q&amp;V CY 2004 to Now'!$A$1:$A$101,0)</f>
        <v>93</v>
      </c>
      <c r="K92" s="18"/>
    </row>
    <row r="93" spans="1:27">
      <c r="A93" s="282" t="s">
        <v>509</v>
      </c>
      <c r="B93" s="472"/>
      <c r="C93" s="285"/>
      <c r="D93" s="473"/>
      <c r="E93" s="285">
        <f>IF($B$6="Calendar Year",
INDEX('Q&amp;V CY 2004 to Now'!$A$1:$KG$240,$J93,'Q&amp;V 2-years'!$W$2+1),
INDEX('Q&amp;V FY 2003-04 to Now'!$A$1:$KG$236,$J93,'Q&amp;V 2-years'!$W$2+1))</f>
        <v>49012090</v>
      </c>
      <c r="F93" s="473"/>
      <c r="G93" s="821"/>
      <c r="H93" s="473"/>
      <c r="I93" s="706">
        <f>IF($B$6="Calendar Year",
INDEX('Q&amp;V CY 2004 to Now'!$A$1:$KG$240,$J93,'Q&amp;V 2-years'!$W$1+1),
INDEX('Q&amp;V FY 2003-04 to Now'!$A$1:$KG$236,$J93,'Q&amp;V 2-years'!$W$1+1))</f>
        <v>40749703</v>
      </c>
      <c r="J93" s="284">
        <v>94</v>
      </c>
      <c r="K93" s="18"/>
    </row>
    <row r="94" spans="1:27">
      <c r="A94" s="282"/>
      <c r="B94" s="472"/>
      <c r="C94" s="285"/>
      <c r="D94" s="473"/>
      <c r="E94" s="285"/>
      <c r="F94" s="473"/>
      <c r="G94" s="821"/>
      <c r="H94" s="473"/>
      <c r="I94" s="706"/>
      <c r="J94" s="284"/>
    </row>
    <row r="95" spans="1:27">
      <c r="A95" s="333" t="s">
        <v>188</v>
      </c>
      <c r="B95" s="371"/>
      <c r="C95" s="469"/>
      <c r="D95" s="469"/>
      <c r="E95" s="701">
        <f>IF($B$6="Calendar Year",
INDEX('Q&amp;V CY 2004 to Now'!$A$1:$KG$240,$J95,'Q&amp;V 2-years'!$W$2+1),
INDEX('Q&amp;V FY 2003-04 to Now'!$A$1:$KG$236,$J95,'Q&amp;V 2-years'!$W$2+1))</f>
        <v>22791709.930842452</v>
      </c>
      <c r="F95" s="471"/>
      <c r="G95" s="703"/>
      <c r="H95" s="469"/>
      <c r="I95" s="705">
        <f>IF($B$6="Calendar Year",
INDEX('Q&amp;V CY 2004 to Now'!$A$1:$KG$240,$J95,'Q&amp;V 2-years'!$W$1+1),
INDEX('Q&amp;V FY 2003-04 to Now'!$A$1:$KG$236,$J95,'Q&amp;V 2-years'!$W$1+1))</f>
        <v>434795987</v>
      </c>
      <c r="J95" s="334">
        <v>96</v>
      </c>
    </row>
    <row r="96" spans="1:27">
      <c r="A96" s="333" t="s">
        <v>393</v>
      </c>
      <c r="B96" s="411"/>
      <c r="C96" s="469"/>
      <c r="D96" s="469"/>
      <c r="E96" s="701"/>
      <c r="F96" s="471"/>
      <c r="G96" s="703"/>
      <c r="H96" s="469"/>
      <c r="I96" s="705"/>
      <c r="J96" s="334"/>
    </row>
    <row r="97" spans="1:10">
      <c r="A97" s="333"/>
      <c r="B97" s="411"/>
      <c r="C97" s="469"/>
      <c r="D97" s="469"/>
      <c r="E97" s="701"/>
      <c r="F97" s="471"/>
      <c r="G97" s="703"/>
      <c r="H97" s="469"/>
      <c r="I97" s="705"/>
      <c r="J97" s="334"/>
    </row>
    <row r="98" spans="1:10">
      <c r="A98" s="338" t="s">
        <v>436</v>
      </c>
      <c r="B98" s="475"/>
      <c r="C98" s="835"/>
      <c r="D98" s="835"/>
      <c r="E98" s="702">
        <f ca="1">E100-E76</f>
        <v>181469801806.56421</v>
      </c>
      <c r="F98" s="836"/>
      <c r="G98" s="704"/>
      <c r="H98" s="835"/>
      <c r="I98" s="837">
        <f ca="1">I100-I76</f>
        <v>191661836551.81601</v>
      </c>
      <c r="J98" s="284">
        <v>99</v>
      </c>
    </row>
    <row r="99" spans="1:10">
      <c r="A99" s="338"/>
      <c r="B99" s="475"/>
      <c r="C99" s="835"/>
      <c r="D99" s="835"/>
      <c r="E99" s="702"/>
      <c r="F99" s="836"/>
      <c r="G99" s="704"/>
      <c r="H99" s="835"/>
      <c r="I99" s="837"/>
      <c r="J99" s="284"/>
    </row>
    <row r="100" spans="1:10" ht="15.75" thickBot="1">
      <c r="A100" s="838" t="s">
        <v>437</v>
      </c>
      <c r="B100" s="839"/>
      <c r="C100" s="840"/>
      <c r="D100" s="840"/>
      <c r="E100" s="841">
        <f ca="1">IF($B$6="Calendar Year",
INDEX('Q&amp;V CY 2004 to Now'!$A$1:$KG$240,$J100,'Q&amp;V 2-years'!$W$2+1),
INDEX('Q&amp;V FY 2003-04 to Now'!$A$1:$KG$236,$J100,'Q&amp;V 2-years'!$W$2+1))</f>
        <v>251970907297.80286</v>
      </c>
      <c r="F100" s="842"/>
      <c r="G100" s="843"/>
      <c r="H100" s="840"/>
      <c r="I100" s="844">
        <f ca="1">IF($B$6="Calendar Year",
INDEX('Q&amp;V CY 2004 to Now'!$A$1:$KG$240,$J100,'Q&amp;V 2-years'!$W$1+1),
INDEX('Q&amp;V FY 2003-04 to Now'!$A$1:$KG$236,$J100,'Q&amp;V 2-years'!$W$1+1))</f>
        <v>247564868385.81268</v>
      </c>
      <c r="J100" s="284">
        <f>MATCH(A100,'Q&amp;V CY 2004 to Now'!$A$1:$A$101,0)</f>
        <v>101</v>
      </c>
    </row>
    <row r="101" spans="1:10">
      <c r="A101" s="1930"/>
      <c r="B101" s="1930"/>
      <c r="C101" s="1930"/>
      <c r="D101" s="1930"/>
      <c r="E101" s="1930"/>
      <c r="F101" s="1930"/>
      <c r="G101" s="1930"/>
      <c r="H101" s="1930"/>
      <c r="I101" s="1930"/>
      <c r="J101" s="314"/>
    </row>
    <row r="102" spans="1:10">
      <c r="A102" s="35"/>
      <c r="B102" s="40"/>
      <c r="C102" s="40"/>
      <c r="D102" s="40"/>
      <c r="E102" s="40"/>
      <c r="F102" s="36"/>
      <c r="G102" s="36"/>
      <c r="H102" s="36"/>
      <c r="I102" s="36"/>
    </row>
    <row r="103" spans="1:10">
      <c r="B103" s="40"/>
      <c r="C103" s="40"/>
      <c r="D103" s="40"/>
      <c r="E103" s="40"/>
      <c r="F103" s="36"/>
      <c r="G103" s="36"/>
      <c r="H103" s="36"/>
      <c r="I103" s="36"/>
    </row>
    <row r="104" spans="1:10">
      <c r="A104" s="32"/>
      <c r="B104" s="18"/>
      <c r="F104" s="18"/>
    </row>
    <row r="105" spans="1:10">
      <c r="A105" s="32"/>
      <c r="B105" s="37"/>
      <c r="F105" s="18"/>
      <c r="G105" s="317"/>
      <c r="I105" s="317"/>
    </row>
    <row r="106" spans="1:10">
      <c r="A106" s="32"/>
      <c r="B106" s="37"/>
      <c r="E106" s="56"/>
      <c r="F106" s="18"/>
      <c r="G106" s="280"/>
      <c r="J106" s="314"/>
    </row>
    <row r="107" spans="1:10">
      <c r="A107" s="32"/>
      <c r="B107" s="18"/>
      <c r="E107" s="280"/>
      <c r="F107" s="18"/>
      <c r="J107" s="314"/>
    </row>
    <row r="108" spans="1:10">
      <c r="G108" s="36"/>
      <c r="H108" s="36"/>
      <c r="I108" s="36"/>
      <c r="J108" s="314"/>
    </row>
    <row r="109" spans="1:10">
      <c r="G109" s="36"/>
      <c r="H109" s="36"/>
      <c r="I109" s="36"/>
      <c r="J109" s="318"/>
    </row>
    <row r="110" spans="1:10">
      <c r="G110" s="36"/>
      <c r="H110" s="36"/>
      <c r="I110" s="36"/>
      <c r="J110" s="65"/>
    </row>
    <row r="111" spans="1:10">
      <c r="G111" s="36"/>
      <c r="H111" s="37"/>
      <c r="I111" s="37"/>
      <c r="J111" s="318"/>
    </row>
    <row r="112" spans="1:10">
      <c r="G112" s="37"/>
      <c r="H112" s="37"/>
      <c r="I112" s="38"/>
      <c r="J112" s="318"/>
    </row>
    <row r="113" spans="7:9">
      <c r="G113" s="37"/>
      <c r="H113" s="37"/>
      <c r="I113" s="37"/>
    </row>
    <row r="114" spans="7:9">
      <c r="G114" s="37"/>
      <c r="H114" s="37"/>
      <c r="I114" s="37"/>
    </row>
    <row r="147" spans="14:17">
      <c r="N147" s="1065"/>
      <c r="O147" s="1065"/>
      <c r="P147" s="1065"/>
    </row>
    <row r="148" spans="14:17">
      <c r="N148" s="1065"/>
      <c r="O148" s="1065"/>
      <c r="P148" s="1065"/>
    </row>
    <row r="149" spans="14:17">
      <c r="N149" s="1065"/>
      <c r="O149" s="1065"/>
      <c r="P149" s="1065"/>
    </row>
    <row r="150" spans="14:17">
      <c r="N150" s="1065"/>
      <c r="O150" s="1065"/>
      <c r="P150" s="1065"/>
      <c r="Q150" s="1066"/>
    </row>
    <row r="151" spans="14:17">
      <c r="N151" s="1065"/>
      <c r="O151" s="1065"/>
      <c r="P151" s="1065"/>
      <c r="Q151" s="1066"/>
    </row>
    <row r="152" spans="14:17">
      <c r="N152" s="1067"/>
      <c r="O152" s="1065"/>
      <c r="P152" s="1065"/>
      <c r="Q152" s="1066"/>
    </row>
    <row r="153" spans="14:17">
      <c r="N153" s="1067"/>
      <c r="O153" s="1065"/>
      <c r="P153" s="1065"/>
      <c r="Q153" s="1066"/>
    </row>
    <row r="154" spans="14:17">
      <c r="N154" s="1065"/>
      <c r="O154" s="1065"/>
      <c r="P154" s="1065"/>
    </row>
    <row r="155" spans="14:17">
      <c r="N155" s="1065"/>
      <c r="O155" s="1065"/>
      <c r="P155" s="1065"/>
    </row>
    <row r="156" spans="14:17">
      <c r="N156" s="1065"/>
      <c r="O156" s="1065"/>
      <c r="P156" s="1065"/>
    </row>
    <row r="157" spans="14:17">
      <c r="N157" s="1065"/>
      <c r="O157" s="1065"/>
      <c r="P157" s="1065"/>
    </row>
  </sheetData>
  <mergeCells count="6">
    <mergeCell ref="B6:F6"/>
    <mergeCell ref="A101:I101"/>
    <mergeCell ref="O12:P12"/>
    <mergeCell ref="Q12:R12"/>
    <mergeCell ref="G8:I8"/>
    <mergeCell ref="C8:E8"/>
  </mergeCells>
  <dataValidations count="1">
    <dataValidation type="list" allowBlank="1" showInputMessage="1" showErrorMessage="1" promptTitle="Select a Period:" prompt="Select Financial or Calendar years." sqref="B6:F6" xr:uid="{00000000-0002-0000-0400-000000000000}">
      <formula1>$B$2:$B$3</formula1>
    </dataValidation>
  </dataValidations>
  <pageMargins left="0.74803149606299213" right="0.35433070866141736" top="0.31496062992125984" bottom="0.27559055118110237" header="0.51181102362204722" footer="0.55118110236220474"/>
  <pageSetup paperSize="9" scale="19" orientation="portrait" horizontalDpi="4294967292" verticalDpi="300" r:id="rId1"/>
  <headerFooter alignWithMargins="0"/>
  <ignoredErrors>
    <ignoredError sqref="P24:Q24 R24 I65 E65 O23 Q23 O21 Q21 O16 Q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GX1476"/>
  <sheetViews>
    <sheetView showGridLines="0" topLeftCell="C1" zoomScaleNormal="100" workbookViewId="0">
      <selection activeCell="C1" sqref="C1"/>
    </sheetView>
  </sheetViews>
  <sheetFormatPr defaultRowHeight="23.25"/>
  <cols>
    <col min="1" max="1" width="5.140625" style="228" hidden="1" customWidth="1"/>
    <col min="2" max="2" width="2.140625" style="228" hidden="1" customWidth="1"/>
    <col min="3" max="3" width="7.5703125" bestFit="1" customWidth="1"/>
    <col min="4" max="4" width="16.7109375" style="442" customWidth="1"/>
    <col min="5" max="5" width="13.7109375" style="381" bestFit="1" customWidth="1"/>
    <col min="6" max="6" width="12.42578125" style="442" bestFit="1" customWidth="1"/>
    <col min="7" max="7" width="13.7109375" style="1078" bestFit="1" customWidth="1"/>
    <col min="8" max="8" width="12.42578125" style="1078" bestFit="1" customWidth="1"/>
    <col min="9" max="9" width="10.28515625" style="442" bestFit="1" customWidth="1"/>
    <col min="10" max="10" width="9.140625" style="442" bestFit="1" customWidth="1"/>
    <col min="11" max="12" width="14.28515625" style="442" bestFit="1" customWidth="1"/>
    <col min="13" max="13" width="13.7109375" style="915" bestFit="1" customWidth="1"/>
    <col min="14" max="14" width="12.42578125" style="915" bestFit="1" customWidth="1"/>
    <col min="15" max="15" width="13.7109375" style="915" bestFit="1" customWidth="1"/>
    <col min="16" max="16" width="12.42578125" style="442" bestFit="1" customWidth="1"/>
    <col min="17" max="17" width="13.7109375" style="1078" bestFit="1" customWidth="1"/>
    <col min="18" max="18" width="12.42578125" style="442" bestFit="1" customWidth="1"/>
    <col min="19" max="19" width="13.7109375" style="1078" bestFit="1" customWidth="1"/>
    <col min="20" max="20" width="12.42578125" style="442" bestFit="1" customWidth="1"/>
    <col min="21" max="21" width="13.7109375" style="1078" bestFit="1" customWidth="1"/>
    <col min="22" max="22" width="12.42578125" style="442" bestFit="1" customWidth="1"/>
    <col min="23" max="23" width="24.42578125" style="1078" bestFit="1" customWidth="1"/>
    <col min="24" max="24" width="24.42578125" style="451" bestFit="1" customWidth="1"/>
    <col min="25" max="25" width="17.5703125" style="1078" bestFit="1" customWidth="1"/>
    <col min="26" max="26" width="17.5703125" style="442" bestFit="1" customWidth="1"/>
    <col min="27" max="27" width="23.42578125" style="1078" bestFit="1" customWidth="1"/>
    <col min="28" max="28" width="23.42578125" style="442" bestFit="1" customWidth="1"/>
    <col min="29" max="29" width="10.28515625" style="1078" bestFit="1" customWidth="1"/>
    <col min="30" max="30" width="9.140625" style="1078" bestFit="1" customWidth="1"/>
    <col min="31" max="31" width="13.7109375" style="1078" bestFit="1" customWidth="1"/>
    <col min="32" max="32" width="12.42578125" style="442" bestFit="1" customWidth="1"/>
    <col min="33" max="33" width="10.28515625" style="1078" bestFit="1" customWidth="1"/>
    <col min="34" max="34" width="9.140625" style="1078" bestFit="1" customWidth="1"/>
    <col min="35" max="35" width="10.28515625" style="1078" bestFit="1" customWidth="1"/>
    <col min="36" max="36" width="9.85546875" style="1078" bestFit="1" customWidth="1"/>
    <col min="37" max="37" width="14.7109375" style="915" bestFit="1" customWidth="1"/>
    <col min="38" max="38" width="14.7109375" style="1103" bestFit="1" customWidth="1"/>
    <col min="39" max="39" width="14.42578125" style="915" bestFit="1" customWidth="1"/>
    <col min="40" max="40" width="14.42578125" style="1102" bestFit="1" customWidth="1"/>
    <col min="41" max="41" width="14.85546875" style="915" bestFit="1" customWidth="1"/>
    <col min="42" max="42" width="13.7109375" style="915" bestFit="1" customWidth="1"/>
    <col min="43" max="43" width="20.140625" customWidth="1"/>
    <col min="44" max="44" width="16.85546875" bestFit="1" customWidth="1"/>
    <col min="45" max="45" width="20.5703125" style="964" customWidth="1"/>
    <col min="46" max="46" width="18.140625" style="964" bestFit="1" customWidth="1"/>
    <col min="47" max="47" width="21.42578125" style="962" customWidth="1"/>
    <col min="48" max="48" width="11.85546875" style="962" customWidth="1"/>
    <col min="49" max="50" width="9.140625" style="983"/>
    <col min="51" max="51" width="15.85546875" style="983" bestFit="1" customWidth="1"/>
    <col min="52" max="52" width="9.140625" style="983"/>
    <col min="53" max="53" width="34.42578125" style="452" bestFit="1" customWidth="1"/>
    <col min="54" max="54" width="7.140625" style="1818" bestFit="1" customWidth="1"/>
    <col min="55" max="55" width="27.140625" style="452" bestFit="1" customWidth="1"/>
    <col min="56" max="56" width="7.42578125" style="452" bestFit="1" customWidth="1"/>
    <col min="57" max="57" width="22.5703125" style="1819" bestFit="1" customWidth="1"/>
    <col min="58" max="58" width="16.7109375" style="1820" bestFit="1" customWidth="1"/>
    <col min="59" max="59" width="9.140625" style="452"/>
    <col min="60" max="60" width="34.42578125" style="452" bestFit="1" customWidth="1"/>
    <col min="61" max="61" width="15.28515625" style="452" bestFit="1" customWidth="1"/>
    <col min="62" max="62" width="27.140625" style="452" bestFit="1" customWidth="1"/>
    <col min="63" max="63" width="10.7109375" style="452" bestFit="1" customWidth="1"/>
    <col min="64" max="64" width="22.5703125" style="1819" bestFit="1" customWidth="1"/>
    <col min="65" max="65" width="16.7109375" style="1820" bestFit="1" customWidth="1"/>
    <col min="66" max="66" width="11.42578125" style="452" bestFit="1" customWidth="1"/>
    <col min="67" max="67" width="13.85546875" style="1683" bestFit="1" customWidth="1"/>
    <col min="68" max="68" width="2.42578125" style="297" bestFit="1" customWidth="1"/>
    <col min="69" max="104" width="9.140625" style="983"/>
    <col min="105" max="138" width="9.140625" style="962"/>
    <col min="139" max="148" width="9.140625" style="913"/>
  </cols>
  <sheetData>
    <row r="1" spans="1:206" s="911" customFormat="1">
      <c r="D1" s="1535"/>
      <c r="F1" s="1535"/>
      <c r="G1" s="1535"/>
      <c r="H1" s="1535"/>
      <c r="I1" s="1535"/>
      <c r="J1" s="1535"/>
      <c r="K1" s="1535"/>
      <c r="L1" s="1535"/>
      <c r="M1" s="1536"/>
      <c r="N1" s="1536"/>
      <c r="O1" s="1536"/>
      <c r="P1" s="1535"/>
      <c r="Q1" s="1535"/>
      <c r="R1" s="1535"/>
      <c r="S1" s="1535"/>
      <c r="T1" s="1535"/>
      <c r="U1" s="1535"/>
      <c r="V1" s="1535"/>
      <c r="W1" s="1535"/>
      <c r="X1" s="1537"/>
      <c r="Y1" s="1535"/>
      <c r="Z1" s="1535"/>
      <c r="AA1" s="1535"/>
      <c r="AB1" s="1535"/>
      <c r="AC1" s="1535"/>
      <c r="AD1" s="1535"/>
      <c r="AE1" s="1535"/>
      <c r="AF1" s="1535"/>
      <c r="AG1" s="1535"/>
      <c r="AH1" s="1535"/>
      <c r="AI1" s="1535"/>
      <c r="AJ1" s="1535"/>
      <c r="AK1" s="1544"/>
      <c r="AL1" s="1544"/>
      <c r="AM1" s="1536"/>
      <c r="AN1" s="1539"/>
      <c r="AO1" s="1536"/>
      <c r="AP1" s="1536"/>
      <c r="AS1" s="1541"/>
      <c r="AT1" s="1541"/>
      <c r="AU1" s="913"/>
      <c r="AV1" s="913"/>
      <c r="AW1" s="983"/>
      <c r="AX1" s="983"/>
      <c r="AY1" s="983"/>
      <c r="AZ1" s="983"/>
      <c r="BA1" s="946"/>
      <c r="BB1" s="1545"/>
      <c r="BC1" s="946"/>
      <c r="BD1" s="946"/>
      <c r="BE1" s="1829"/>
      <c r="BF1" s="1830"/>
      <c r="BG1" s="946"/>
      <c r="BH1" s="946"/>
      <c r="BI1" s="946"/>
      <c r="BJ1" s="946"/>
      <c r="BK1" s="946"/>
      <c r="BL1" s="1829"/>
      <c r="BM1" s="1830"/>
      <c r="BN1" s="946"/>
      <c r="BO1" s="1683"/>
      <c r="BP1" s="297"/>
      <c r="BQ1" s="983"/>
      <c r="BR1" s="983"/>
      <c r="BS1" s="983"/>
      <c r="BT1" s="983"/>
      <c r="BU1" s="983"/>
      <c r="BV1" s="983"/>
      <c r="BW1" s="983"/>
      <c r="BX1" s="983"/>
      <c r="BY1" s="983"/>
      <c r="BZ1" s="983"/>
      <c r="CA1" s="971"/>
      <c r="CB1" s="971"/>
      <c r="CC1" s="971"/>
      <c r="CD1" s="971"/>
      <c r="CE1" s="971"/>
      <c r="CF1" s="971"/>
      <c r="CG1" s="971"/>
      <c r="CH1" s="971"/>
      <c r="CI1" s="971"/>
      <c r="CJ1" s="971"/>
      <c r="CK1" s="971"/>
      <c r="CL1" s="971"/>
      <c r="CM1" s="971"/>
      <c r="CN1" s="971"/>
      <c r="CO1" s="971"/>
      <c r="CP1" s="971"/>
      <c r="CQ1" s="971"/>
      <c r="CR1" s="971"/>
      <c r="CS1" s="971"/>
      <c r="CT1" s="971"/>
      <c r="CU1" s="971"/>
      <c r="CV1" s="971"/>
      <c r="CW1" s="971"/>
      <c r="CX1" s="971"/>
      <c r="CY1" s="971"/>
      <c r="CZ1" s="971"/>
      <c r="DA1" s="913"/>
      <c r="DB1" s="913"/>
      <c r="DC1" s="913"/>
      <c r="DD1" s="913"/>
      <c r="DE1" s="913"/>
      <c r="DF1" s="913"/>
      <c r="DG1" s="913"/>
      <c r="DH1" s="913"/>
      <c r="DI1" s="913"/>
      <c r="DJ1" s="1605"/>
      <c r="DK1" s="1605"/>
      <c r="DL1" s="1605"/>
      <c r="DM1" s="1605"/>
      <c r="DN1" s="1605"/>
      <c r="DO1" s="1605"/>
      <c r="DP1" s="1605"/>
      <c r="DQ1" s="1605"/>
      <c r="DR1" s="1605"/>
      <c r="DS1" s="1605"/>
      <c r="DT1" s="1605"/>
      <c r="DU1" s="1605"/>
      <c r="DV1" s="1605"/>
      <c r="DW1" s="1605"/>
      <c r="DX1" s="1605"/>
      <c r="DY1" s="1605"/>
      <c r="DZ1" s="1605"/>
      <c r="EA1" s="1605"/>
      <c r="EB1" s="1605"/>
      <c r="EC1" s="1605"/>
      <c r="ED1" s="1605"/>
      <c r="EE1" s="1605"/>
      <c r="EF1" s="1605"/>
      <c r="EG1" s="1605"/>
      <c r="EH1" s="1605"/>
      <c r="EI1" s="1605"/>
      <c r="EJ1" s="1605"/>
      <c r="EK1" s="1605"/>
      <c r="EL1" s="1605"/>
      <c r="EM1" s="1605"/>
      <c r="EN1" s="1605"/>
      <c r="EO1" s="1605"/>
      <c r="EP1" s="1605"/>
      <c r="EQ1" s="1605"/>
      <c r="ER1" s="1605"/>
      <c r="ES1" s="1606"/>
      <c r="ET1" s="1606"/>
      <c r="EU1" s="1606"/>
      <c r="EV1" s="1606"/>
      <c r="EW1" s="1606"/>
      <c r="EX1" s="1606"/>
      <c r="EY1" s="1606"/>
      <c r="EZ1" s="1606"/>
      <c r="FA1" s="1606"/>
      <c r="FB1" s="1606"/>
      <c r="FC1" s="1606"/>
      <c r="FD1" s="1606"/>
      <c r="FE1" s="1606"/>
      <c r="FF1" s="1606"/>
      <c r="FG1" s="1606"/>
      <c r="FH1" s="1606"/>
      <c r="FI1" s="1606"/>
      <c r="FJ1" s="1606"/>
      <c r="FK1" s="1606"/>
      <c r="FL1" s="1606"/>
      <c r="FM1" s="1606"/>
      <c r="FN1" s="1606"/>
      <c r="FO1" s="1606"/>
      <c r="FP1" s="1606"/>
      <c r="FQ1" s="1607"/>
      <c r="FR1" s="1606"/>
      <c r="FS1" s="1606"/>
      <c r="FT1" s="1606"/>
      <c r="FU1" s="1606"/>
      <c r="FV1" s="1606"/>
      <c r="FW1" s="1606"/>
      <c r="FX1" s="1606"/>
      <c r="FY1" s="1606"/>
      <c r="FZ1" s="1606"/>
      <c r="GA1" s="1606"/>
      <c r="GB1" s="1606"/>
      <c r="GC1" s="1606"/>
      <c r="GD1" s="1606"/>
      <c r="GE1" s="1606"/>
      <c r="GF1" s="1606"/>
      <c r="GG1" s="1606"/>
      <c r="GH1" s="1606"/>
      <c r="GI1" s="1606"/>
      <c r="GJ1" s="1606"/>
      <c r="GK1" s="1606"/>
      <c r="GL1" s="1606"/>
      <c r="GM1" s="1606"/>
      <c r="GN1" s="1606"/>
      <c r="GO1" s="1606"/>
      <c r="GP1" s="1606"/>
    </row>
    <row r="2" spans="1:206" s="911" customFormat="1">
      <c r="D2" s="1535"/>
      <c r="F2" s="1535"/>
      <c r="G2" s="1535"/>
      <c r="H2" s="1535"/>
      <c r="I2" s="1535"/>
      <c r="J2" s="1535"/>
      <c r="K2" s="1535"/>
      <c r="L2" s="1535"/>
      <c r="M2" s="1536"/>
      <c r="N2" s="1536"/>
      <c r="O2" s="1536"/>
      <c r="P2" s="1535"/>
      <c r="Q2" s="1535"/>
      <c r="R2" s="1535"/>
      <c r="S2" s="1535"/>
      <c r="T2" s="1535"/>
      <c r="U2" s="1535"/>
      <c r="V2" s="1535"/>
      <c r="W2" s="1535"/>
      <c r="X2" s="1537"/>
      <c r="Y2" s="1535"/>
      <c r="Z2" s="1535"/>
      <c r="AA2" s="1535"/>
      <c r="AB2" s="1535"/>
      <c r="AC2" s="1535"/>
      <c r="AD2" s="1535"/>
      <c r="AE2" s="1535"/>
      <c r="AF2" s="1537"/>
      <c r="AG2" s="1537"/>
      <c r="AH2" s="1545"/>
      <c r="AI2" s="1537"/>
      <c r="AJ2" s="1535"/>
      <c r="AK2" s="1536"/>
      <c r="AL2" s="1538"/>
      <c r="AM2" s="1538"/>
      <c r="AN2" s="1546"/>
      <c r="AO2" s="1536"/>
      <c r="AP2" s="1536"/>
      <c r="AS2" s="1541"/>
      <c r="AT2" s="1541"/>
      <c r="AU2" s="913"/>
      <c r="AV2" s="913"/>
      <c r="AW2" s="983"/>
      <c r="AX2" s="983"/>
      <c r="AY2" s="983"/>
      <c r="AZ2" s="983"/>
      <c r="BA2" s="946"/>
      <c r="BB2" s="1545"/>
      <c r="BC2" s="946"/>
      <c r="BD2" s="946"/>
      <c r="BE2" s="1829"/>
      <c r="BF2" s="1830"/>
      <c r="BG2" s="946"/>
      <c r="BH2" s="946"/>
      <c r="BI2" s="946"/>
      <c r="BJ2" s="946"/>
      <c r="BK2" s="946"/>
      <c r="BL2" s="1829"/>
      <c r="BM2" s="1830"/>
      <c r="BN2" s="946"/>
      <c r="BO2" s="1683"/>
      <c r="BP2" s="297"/>
      <c r="BQ2" s="983"/>
      <c r="BR2" s="983"/>
      <c r="BS2" s="983"/>
      <c r="BT2" s="983"/>
      <c r="BU2" s="983"/>
      <c r="BV2" s="983"/>
      <c r="BW2" s="983"/>
      <c r="BX2" s="983"/>
      <c r="BY2" s="983"/>
      <c r="BZ2" s="983"/>
      <c r="CA2" s="971"/>
      <c r="CB2" s="971"/>
      <c r="CC2" s="971"/>
      <c r="CD2" s="971"/>
      <c r="CE2" s="971"/>
      <c r="CF2" s="971"/>
      <c r="CG2" s="971"/>
      <c r="CH2" s="971"/>
      <c r="CI2" s="971"/>
      <c r="CJ2" s="971"/>
      <c r="CK2" s="971"/>
      <c r="CL2" s="971"/>
      <c r="CM2" s="971"/>
      <c r="CN2" s="971"/>
      <c r="CO2" s="971"/>
      <c r="CP2" s="971"/>
      <c r="CQ2" s="971"/>
      <c r="CR2" s="971"/>
      <c r="CS2" s="971"/>
      <c r="CT2" s="971"/>
      <c r="CU2" s="971"/>
      <c r="CV2" s="971"/>
      <c r="CW2" s="971"/>
      <c r="CX2" s="971"/>
      <c r="CY2" s="971"/>
      <c r="CZ2" s="971"/>
      <c r="DA2" s="913"/>
      <c r="DB2" s="913"/>
      <c r="DC2" s="913"/>
      <c r="DD2" s="913"/>
      <c r="DE2" s="913"/>
      <c r="DF2" s="913"/>
      <c r="DG2" s="913"/>
      <c r="DH2" s="913"/>
      <c r="DI2" s="913"/>
      <c r="DJ2" s="1605"/>
      <c r="DK2" s="1605"/>
      <c r="DL2" s="1605"/>
      <c r="DM2" s="1605"/>
      <c r="DN2" s="1605"/>
      <c r="DO2" s="1605"/>
      <c r="DP2" s="1605"/>
      <c r="DQ2" s="1605"/>
      <c r="DR2" s="1605"/>
      <c r="DS2" s="1605"/>
      <c r="DT2" s="1605"/>
      <c r="DU2" s="1605"/>
      <c r="DV2" s="1605"/>
      <c r="DW2" s="1605"/>
      <c r="DX2" s="1605"/>
      <c r="DY2" s="1605"/>
      <c r="DZ2" s="1605"/>
      <c r="EA2" s="1605"/>
      <c r="EB2" s="1605"/>
      <c r="EC2" s="1605"/>
      <c r="ED2" s="1605"/>
      <c r="EE2" s="1605"/>
      <c r="EF2" s="1605"/>
      <c r="EG2" s="1605"/>
      <c r="EH2" s="1605"/>
      <c r="EI2" s="1605"/>
      <c r="EJ2" s="1605"/>
      <c r="EK2" s="1605"/>
      <c r="EL2" s="1605"/>
      <c r="EM2" s="1605"/>
      <c r="EN2" s="1605"/>
      <c r="EO2" s="1605"/>
      <c r="EP2" s="1605"/>
      <c r="EQ2" s="1605"/>
      <c r="ER2" s="1605"/>
      <c r="ES2" s="1606"/>
      <c r="ET2" s="1606"/>
      <c r="EU2" s="1606"/>
      <c r="EV2" s="1606"/>
      <c r="EW2" s="1606"/>
      <c r="EX2" s="1606"/>
      <c r="EY2" s="1606"/>
      <c r="EZ2" s="1606"/>
      <c r="FA2" s="1606"/>
      <c r="FB2" s="1606"/>
      <c r="FC2" s="1606"/>
      <c r="FD2" s="1606"/>
      <c r="FE2" s="1606"/>
      <c r="FF2" s="1606"/>
      <c r="FG2" s="1606"/>
      <c r="FH2" s="1606"/>
      <c r="FI2" s="1606"/>
      <c r="FJ2" s="1606"/>
      <c r="FK2" s="1606"/>
      <c r="FL2" s="1606"/>
      <c r="FM2" s="1606"/>
      <c r="FN2" s="1606"/>
      <c r="FO2" s="1606"/>
      <c r="FP2" s="1606"/>
      <c r="FQ2" s="1606"/>
      <c r="FR2" s="1606"/>
      <c r="FS2" s="1606"/>
      <c r="FT2" s="1606"/>
      <c r="FU2" s="1606"/>
      <c r="FV2" s="1606"/>
      <c r="FW2" s="1606"/>
      <c r="FX2" s="1606"/>
      <c r="FY2" s="1606"/>
      <c r="FZ2" s="1606"/>
      <c r="GA2" s="1606"/>
      <c r="GB2" s="1606"/>
      <c r="GC2" s="1606"/>
      <c r="GD2" s="1606"/>
      <c r="GE2" s="1606"/>
      <c r="GF2" s="1606"/>
      <c r="GG2" s="1606"/>
      <c r="GH2" s="1606"/>
      <c r="GI2" s="1606"/>
      <c r="GJ2" s="1606"/>
      <c r="GK2" s="1606"/>
      <c r="GL2" s="1606"/>
      <c r="GM2" s="1606"/>
      <c r="GN2" s="1606"/>
      <c r="GO2" s="1606"/>
      <c r="GP2" s="1606"/>
    </row>
    <row r="3" spans="1:206" s="911" customFormat="1" ht="20.100000000000001" customHeight="1">
      <c r="D3" s="1535"/>
      <c r="F3" s="1535"/>
      <c r="G3" s="1535"/>
      <c r="H3" s="1535"/>
      <c r="I3" s="1535"/>
      <c r="J3" s="1535"/>
      <c r="K3" s="1535"/>
      <c r="L3" s="1535"/>
      <c r="M3" s="1536"/>
      <c r="N3" s="1536"/>
      <c r="O3" s="1536"/>
      <c r="P3" s="1535"/>
      <c r="Q3" s="1535"/>
      <c r="R3" s="1535"/>
      <c r="S3" s="1535"/>
      <c r="T3" s="1535"/>
      <c r="U3" s="1535"/>
      <c r="V3" s="1535"/>
      <c r="W3" s="1535"/>
      <c r="X3" s="1537"/>
      <c r="Y3" s="1537"/>
      <c r="Z3" s="1537"/>
      <c r="AA3" s="1537"/>
      <c r="AB3" s="1535"/>
      <c r="AC3" s="1535"/>
      <c r="AD3" s="1535"/>
      <c r="AE3" s="1535"/>
      <c r="AF3" s="1535"/>
      <c r="AG3" s="1535"/>
      <c r="AH3" s="1535"/>
      <c r="AI3" s="1535"/>
      <c r="AJ3" s="1535"/>
      <c r="AK3" s="1536"/>
      <c r="AL3" s="1538"/>
      <c r="AM3" s="1536"/>
      <c r="AN3" s="1539"/>
      <c r="AO3" s="1540"/>
      <c r="AP3" s="1540"/>
      <c r="AS3" s="1541"/>
      <c r="AT3" s="1541"/>
      <c r="AU3" s="913"/>
      <c r="AV3" s="913"/>
      <c r="AW3" s="983"/>
      <c r="AX3" s="983"/>
      <c r="AY3" s="983"/>
      <c r="AZ3" s="983"/>
      <c r="BA3" s="946"/>
      <c r="BB3" s="1545"/>
      <c r="BC3" s="946"/>
      <c r="BD3" s="946"/>
      <c r="BE3" s="1829"/>
      <c r="BF3" s="1830"/>
      <c r="BG3" s="946"/>
      <c r="BH3" s="946"/>
      <c r="BI3" s="946"/>
      <c r="BJ3" s="946"/>
      <c r="BK3" s="946"/>
      <c r="BL3" s="1829"/>
      <c r="BM3" s="1830"/>
      <c r="BN3" s="946"/>
      <c r="BO3" s="1683"/>
      <c r="BP3" s="297"/>
      <c r="BQ3" s="983"/>
      <c r="BR3" s="983"/>
      <c r="BS3" s="983"/>
      <c r="BT3" s="983"/>
      <c r="BU3" s="983"/>
      <c r="BV3" s="983"/>
      <c r="BW3" s="983"/>
      <c r="BX3" s="983"/>
      <c r="BY3" s="983"/>
      <c r="BZ3" s="983"/>
      <c r="CA3" s="971"/>
      <c r="CB3" s="971"/>
      <c r="CC3" s="971"/>
      <c r="CD3" s="971"/>
      <c r="CE3" s="971"/>
      <c r="CF3" s="971"/>
      <c r="CG3" s="971"/>
      <c r="CH3" s="971"/>
      <c r="CI3" s="971"/>
      <c r="CJ3" s="971"/>
      <c r="CK3" s="971"/>
      <c r="CL3" s="971"/>
      <c r="CM3" s="971"/>
      <c r="CN3" s="971"/>
      <c r="CO3" s="971"/>
      <c r="CP3" s="971"/>
      <c r="CQ3" s="971"/>
      <c r="CR3" s="971"/>
      <c r="CS3" s="971"/>
      <c r="CT3" s="971"/>
      <c r="CU3" s="971"/>
      <c r="CV3" s="971"/>
      <c r="CW3" s="971"/>
      <c r="CX3" s="971"/>
      <c r="CY3" s="971"/>
      <c r="CZ3" s="971"/>
      <c r="DA3" s="913"/>
      <c r="DB3" s="913"/>
      <c r="DC3" s="913"/>
      <c r="DD3" s="913"/>
      <c r="DE3" s="913"/>
      <c r="DF3" s="913"/>
      <c r="DG3" s="913"/>
      <c r="DH3" s="913"/>
      <c r="DI3" s="913"/>
      <c r="DJ3" s="1605"/>
      <c r="DK3" s="1605"/>
      <c r="DL3" s="1605"/>
      <c r="DM3" s="1605"/>
      <c r="DN3" s="1605"/>
      <c r="DO3" s="1605"/>
      <c r="DP3" s="1605"/>
      <c r="DQ3" s="1605"/>
      <c r="DR3" s="1605"/>
      <c r="DS3" s="1605"/>
      <c r="DT3" s="1605"/>
      <c r="DU3" s="1605"/>
      <c r="DV3" s="1605"/>
      <c r="DW3" s="1605"/>
      <c r="DX3" s="1605"/>
      <c r="DY3" s="1605"/>
      <c r="DZ3" s="1605"/>
      <c r="EA3" s="1605"/>
      <c r="EB3" s="1605"/>
      <c r="EC3" s="1605"/>
      <c r="ED3" s="1605"/>
      <c r="EE3" s="1605"/>
      <c r="EF3" s="1605"/>
      <c r="EG3" s="1605"/>
      <c r="EH3" s="1605"/>
      <c r="EI3" s="1605"/>
      <c r="EJ3" s="1605"/>
      <c r="EK3" s="1605"/>
      <c r="EL3" s="1605"/>
      <c r="EM3" s="1605"/>
      <c r="EN3" s="1605"/>
      <c r="EO3" s="1605"/>
      <c r="EP3" s="1605"/>
      <c r="EQ3" s="1605"/>
      <c r="ER3" s="1605"/>
      <c r="ES3" s="1606"/>
      <c r="ET3" s="1606"/>
      <c r="EU3" s="1606"/>
      <c r="EV3" s="1606"/>
      <c r="EW3" s="1606"/>
      <c r="EX3" s="1606"/>
      <c r="EY3" s="1606"/>
      <c r="EZ3" s="1606"/>
      <c r="FA3" s="1606"/>
      <c r="FB3" s="1606"/>
      <c r="FC3" s="1606"/>
      <c r="FD3" s="1606"/>
      <c r="FE3" s="1606"/>
      <c r="FF3" s="1606"/>
      <c r="FG3" s="1606"/>
      <c r="FH3" s="1606"/>
      <c r="FI3" s="1606"/>
      <c r="FJ3" s="1606"/>
      <c r="FK3" s="1606"/>
      <c r="FL3" s="1606"/>
      <c r="FM3" s="1606"/>
      <c r="FN3" s="1606"/>
      <c r="FO3" s="1606"/>
      <c r="FP3" s="1606"/>
      <c r="FQ3" s="1606"/>
      <c r="FR3" s="1606"/>
      <c r="FS3" s="1606"/>
      <c r="FT3" s="1606"/>
      <c r="FU3" s="1606"/>
      <c r="FV3" s="1606"/>
      <c r="FW3" s="1606"/>
      <c r="FX3" s="1606"/>
      <c r="FY3" s="1606"/>
      <c r="FZ3" s="1606"/>
      <c r="GA3" s="1606"/>
      <c r="GB3" s="1606"/>
      <c r="GC3" s="1606"/>
      <c r="GD3" s="1606"/>
      <c r="GE3" s="1606"/>
      <c r="GF3" s="1606"/>
      <c r="GG3" s="1606"/>
      <c r="GH3" s="1606"/>
      <c r="GI3" s="1606"/>
      <c r="GJ3" s="1606"/>
      <c r="GK3" s="1606"/>
      <c r="GL3" s="1606"/>
      <c r="GM3" s="1606"/>
      <c r="GN3" s="1606"/>
      <c r="GO3" s="1606"/>
      <c r="GP3" s="1606"/>
    </row>
    <row r="4" spans="1:206" s="913" customFormat="1" ht="20.45" customHeight="1">
      <c r="D4" s="1547"/>
      <c r="F4" s="1547"/>
      <c r="G4" s="1547"/>
      <c r="H4" s="1547"/>
      <c r="I4" s="1547"/>
      <c r="J4" s="1547"/>
      <c r="K4" s="1547"/>
      <c r="L4" s="1547"/>
      <c r="M4" s="1548"/>
      <c r="N4" s="1548"/>
      <c r="O4" s="1548"/>
      <c r="P4" s="1547"/>
      <c r="Q4" s="1547"/>
      <c r="R4" s="1547"/>
      <c r="S4" s="1547"/>
      <c r="T4" s="1547"/>
      <c r="U4" s="1547"/>
      <c r="V4" s="1547"/>
      <c r="W4" s="1547"/>
      <c r="X4" s="1549"/>
      <c r="Y4" s="1547"/>
      <c r="Z4" s="1547"/>
      <c r="AA4" s="1547"/>
      <c r="AB4" s="1547"/>
      <c r="AC4" s="1549"/>
      <c r="AD4" s="1549"/>
      <c r="AE4" s="1547"/>
      <c r="AF4" s="1547"/>
      <c r="AG4" s="1547"/>
      <c r="AH4" s="1547"/>
      <c r="AI4" s="1547"/>
      <c r="AJ4" s="1547"/>
      <c r="AK4" s="1548"/>
      <c r="AL4" s="1550"/>
      <c r="AM4" s="1548"/>
      <c r="AN4" s="1551"/>
      <c r="AO4" s="1552"/>
      <c r="AP4" s="1552"/>
      <c r="AW4" s="983"/>
      <c r="AX4" s="983"/>
      <c r="AY4" s="983"/>
      <c r="AZ4" s="983"/>
      <c r="BA4" s="946"/>
      <c r="BB4" s="1545"/>
      <c r="BC4" s="946"/>
      <c r="BD4" s="946"/>
      <c r="BE4" s="1829"/>
      <c r="BF4" s="1830"/>
      <c r="BG4" s="946"/>
      <c r="BH4" s="946"/>
      <c r="BI4" s="946"/>
      <c r="BJ4" s="946"/>
      <c r="BK4" s="946"/>
      <c r="BL4" s="1829"/>
      <c r="BM4" s="1830"/>
      <c r="BN4" s="946"/>
      <c r="BO4" s="1683"/>
      <c r="BP4" s="297"/>
      <c r="BQ4" s="983"/>
      <c r="BR4" s="983"/>
      <c r="BS4" s="983"/>
      <c r="BT4" s="983"/>
      <c r="BU4" s="983"/>
      <c r="BV4" s="983"/>
      <c r="BW4" s="983"/>
      <c r="BX4" s="983"/>
      <c r="BY4" s="983"/>
      <c r="BZ4" s="983"/>
      <c r="DJ4" s="1605"/>
      <c r="DK4" s="1605"/>
      <c r="DL4" s="1605"/>
      <c r="DM4" s="1605"/>
      <c r="DN4" s="1605"/>
      <c r="DO4" s="1605"/>
      <c r="DP4" s="1605"/>
      <c r="DQ4" s="1605"/>
      <c r="DR4" s="1605"/>
      <c r="DS4" s="1605"/>
      <c r="DT4" s="1605"/>
      <c r="DU4" s="1605"/>
      <c r="DV4" s="1605"/>
      <c r="DW4" s="1605"/>
      <c r="DX4" s="1605"/>
      <c r="DY4" s="1605"/>
      <c r="DZ4" s="1605"/>
      <c r="EA4" s="1605"/>
      <c r="EB4" s="1605"/>
      <c r="EC4" s="1605"/>
      <c r="ED4" s="1605"/>
      <c r="EE4" s="1605"/>
      <c r="EF4" s="1605"/>
      <c r="EG4" s="1605"/>
      <c r="EH4" s="1605"/>
      <c r="EI4" s="1605"/>
      <c r="EJ4" s="1605"/>
      <c r="EK4" s="1605"/>
      <c r="EL4" s="1605"/>
      <c r="EM4" s="1605"/>
      <c r="EN4" s="1605"/>
      <c r="EO4" s="1605"/>
      <c r="EP4" s="1605"/>
      <c r="EQ4" s="1605"/>
      <c r="ER4" s="1605"/>
      <c r="ES4" s="1605"/>
      <c r="ET4" s="1605"/>
      <c r="EU4" s="1605"/>
      <c r="EV4" s="1605"/>
      <c r="EW4" s="1605"/>
      <c r="EX4" s="1605"/>
      <c r="EY4" s="1605"/>
      <c r="EZ4" s="1605"/>
      <c r="FA4" s="1605"/>
      <c r="FB4" s="1605"/>
      <c r="FC4" s="1605"/>
      <c r="FD4" s="1605"/>
      <c r="FE4" s="1605"/>
      <c r="FF4" s="1605"/>
      <c r="FG4" s="1605"/>
      <c r="FH4" s="1605"/>
      <c r="FI4" s="1605"/>
      <c r="FJ4" s="1605"/>
      <c r="FK4" s="1605"/>
      <c r="FL4" s="1605"/>
      <c r="FM4" s="1605"/>
      <c r="FN4" s="1605"/>
      <c r="FO4" s="1605"/>
      <c r="FP4" s="1605"/>
      <c r="FQ4" s="1605"/>
      <c r="FR4" s="1605"/>
      <c r="FS4" s="1605"/>
      <c r="FT4" s="1605"/>
      <c r="FU4" s="1605"/>
      <c r="FV4" s="1605"/>
      <c r="FW4" s="1605"/>
      <c r="FX4" s="1605"/>
      <c r="FY4" s="1605"/>
      <c r="FZ4" s="1605"/>
      <c r="GA4" s="1605"/>
      <c r="GB4" s="1605"/>
      <c r="GC4" s="1605"/>
      <c r="GD4" s="1605"/>
      <c r="GE4" s="1605"/>
      <c r="GF4" s="1605"/>
      <c r="GG4" s="1605"/>
      <c r="GH4" s="1605"/>
      <c r="GI4" s="1605"/>
      <c r="GJ4" s="1605"/>
      <c r="GK4" s="1605"/>
      <c r="GL4" s="1605"/>
      <c r="GM4" s="1605"/>
      <c r="GN4" s="1605"/>
      <c r="GO4" s="1605"/>
      <c r="GP4" s="1605"/>
    </row>
    <row r="5" spans="1:206" s="54" customFormat="1">
      <c r="C5" s="1701"/>
      <c r="D5" s="73" t="s">
        <v>260</v>
      </c>
      <c r="E5" s="1699" t="s">
        <v>0</v>
      </c>
      <c r="F5" s="1699" t="s">
        <v>0</v>
      </c>
      <c r="G5" s="1700" t="s">
        <v>352</v>
      </c>
      <c r="H5" s="1699" t="s">
        <v>352</v>
      </c>
      <c r="I5" s="1699" t="s">
        <v>1</v>
      </c>
      <c r="J5" s="1699" t="s">
        <v>1</v>
      </c>
      <c r="K5" s="75" t="s">
        <v>2</v>
      </c>
      <c r="L5" s="75" t="s">
        <v>2</v>
      </c>
      <c r="M5" s="1699" t="s">
        <v>3</v>
      </c>
      <c r="N5" s="1699" t="s">
        <v>3</v>
      </c>
      <c r="O5" s="73" t="s">
        <v>243</v>
      </c>
      <c r="P5" s="73" t="s">
        <v>243</v>
      </c>
      <c r="Q5" s="73" t="s">
        <v>242</v>
      </c>
      <c r="R5" s="73" t="s">
        <v>242</v>
      </c>
      <c r="S5" s="73" t="s">
        <v>244</v>
      </c>
      <c r="T5" s="73" t="s">
        <v>244</v>
      </c>
      <c r="U5" s="73" t="s">
        <v>223</v>
      </c>
      <c r="V5" s="73" t="s">
        <v>223</v>
      </c>
      <c r="W5" s="73" t="s">
        <v>589</v>
      </c>
      <c r="X5" s="73" t="s">
        <v>589</v>
      </c>
      <c r="Y5" s="73" t="s">
        <v>361</v>
      </c>
      <c r="Z5" s="73" t="s">
        <v>361</v>
      </c>
      <c r="AA5" s="1164" t="s">
        <v>345</v>
      </c>
      <c r="AB5" s="1164" t="s">
        <v>345</v>
      </c>
      <c r="AC5" s="1164" t="s">
        <v>274</v>
      </c>
      <c r="AD5" s="1164" t="s">
        <v>274</v>
      </c>
      <c r="AE5" s="1164" t="s">
        <v>277</v>
      </c>
      <c r="AF5" s="1164" t="s">
        <v>277</v>
      </c>
      <c r="AG5" s="1164" t="s">
        <v>513</v>
      </c>
      <c r="AH5" s="1164" t="s">
        <v>513</v>
      </c>
      <c r="AI5" s="1164" t="s">
        <v>512</v>
      </c>
      <c r="AJ5" s="1164" t="s">
        <v>512</v>
      </c>
      <c r="AK5" s="665" t="s">
        <v>4</v>
      </c>
      <c r="AL5" s="1179" t="s">
        <v>4</v>
      </c>
      <c r="AM5" s="665" t="s">
        <v>4</v>
      </c>
      <c r="AN5" s="1102" t="s">
        <v>4</v>
      </c>
      <c r="AO5" s="665" t="s">
        <v>4</v>
      </c>
      <c r="AP5" s="665" t="s">
        <v>4</v>
      </c>
      <c r="AQ5" s="73"/>
      <c r="AR5" s="73"/>
      <c r="AS5" s="1702"/>
      <c r="AT5" s="1702"/>
      <c r="AU5" s="1703"/>
      <c r="AV5" s="1703"/>
      <c r="AW5" s="1704"/>
      <c r="AX5" s="1704"/>
      <c r="AY5" s="1704"/>
      <c r="AZ5" s="1704"/>
      <c r="BA5" s="1936" t="s">
        <v>334</v>
      </c>
      <c r="BB5" s="1936"/>
      <c r="BC5" s="1936"/>
      <c r="BD5" s="1936"/>
      <c r="BE5" s="1937"/>
      <c r="BF5" s="1936"/>
      <c r="BG5" s="1831"/>
      <c r="BH5" s="1936" t="s">
        <v>337</v>
      </c>
      <c r="BI5" s="1936"/>
      <c r="BJ5" s="1936"/>
      <c r="BK5" s="1936"/>
      <c r="BL5" s="1937"/>
      <c r="BM5" s="1936"/>
      <c r="BN5" s="1936"/>
      <c r="BO5" s="1705"/>
      <c r="BP5" s="1706"/>
      <c r="BQ5" s="1704"/>
      <c r="BR5" s="1704"/>
      <c r="BS5" s="1704"/>
      <c r="BT5" s="1704"/>
      <c r="BU5" s="1704"/>
      <c r="BV5" s="1704"/>
      <c r="BW5" s="1704"/>
      <c r="BX5" s="1704"/>
      <c r="BY5" s="1704"/>
      <c r="BZ5" s="1704"/>
      <c r="CA5" s="1704"/>
      <c r="CB5" s="1704"/>
      <c r="CC5" s="1704"/>
      <c r="CD5" s="1704"/>
      <c r="CE5" s="1704"/>
      <c r="CF5" s="1704"/>
      <c r="CG5" s="1704"/>
      <c r="CH5" s="1704"/>
      <c r="CI5" s="1704"/>
      <c r="CJ5" s="1704"/>
      <c r="CK5" s="1704"/>
      <c r="CL5" s="1704"/>
      <c r="CM5" s="1704"/>
      <c r="CN5" s="1704"/>
      <c r="CO5" s="1704"/>
      <c r="CP5" s="1704"/>
      <c r="CQ5" s="1704"/>
      <c r="CR5" s="1704"/>
      <c r="CS5" s="1704"/>
      <c r="CT5" s="1704"/>
      <c r="CU5" s="1704"/>
      <c r="CV5" s="1704"/>
      <c r="CW5" s="1704"/>
      <c r="CX5" s="1704"/>
      <c r="CY5" s="1704"/>
      <c r="CZ5" s="1704"/>
      <c r="DA5" s="1703"/>
      <c r="DB5" s="1703"/>
      <c r="DC5" s="1703"/>
      <c r="DD5" s="1703"/>
      <c r="DE5" s="1703"/>
      <c r="DF5" s="1703"/>
      <c r="DG5" s="1703"/>
      <c r="DH5" s="1703"/>
      <c r="DI5" s="1703"/>
      <c r="DJ5" s="1707"/>
      <c r="DK5" s="1707"/>
      <c r="DL5" s="1707"/>
      <c r="DM5" s="1707"/>
      <c r="DN5" s="1707"/>
      <c r="DO5" s="1707"/>
      <c r="DP5" s="1707"/>
      <c r="DQ5" s="1707"/>
      <c r="DR5" s="1707"/>
      <c r="DS5" s="1707"/>
      <c r="DT5" s="1707"/>
      <c r="DU5" s="1707"/>
      <c r="DV5" s="1707"/>
      <c r="DW5" s="1707"/>
      <c r="DX5" s="1707"/>
      <c r="DY5" s="1707"/>
      <c r="DZ5" s="1707"/>
      <c r="EA5" s="1707"/>
      <c r="EB5" s="1707"/>
      <c r="EC5" s="1707"/>
      <c r="ED5" s="1707"/>
      <c r="EE5" s="1707"/>
      <c r="EF5" s="1707"/>
      <c r="EG5" s="1707"/>
      <c r="EH5" s="1707"/>
      <c r="EI5" s="1707"/>
      <c r="EJ5" s="1707"/>
      <c r="EK5" s="1707"/>
      <c r="EL5" s="1707"/>
      <c r="EM5" s="1707"/>
      <c r="EN5" s="1707"/>
      <c r="EO5" s="1707"/>
      <c r="EP5" s="1707"/>
      <c r="EQ5" s="1707"/>
      <c r="ER5" s="1707"/>
      <c r="ES5" s="1708"/>
      <c r="ET5" s="1708"/>
      <c r="EU5" s="1708"/>
      <c r="EV5" s="1708"/>
      <c r="EW5" s="1708"/>
      <c r="EX5" s="1708"/>
      <c r="EY5" s="1708"/>
      <c r="EZ5" s="1708"/>
      <c r="FA5" s="1708"/>
      <c r="FB5" s="1708"/>
      <c r="FC5" s="1708"/>
      <c r="FD5" s="1708"/>
      <c r="FE5" s="1708"/>
      <c r="FF5" s="1708"/>
      <c r="FG5" s="1708"/>
      <c r="FH5" s="1708"/>
      <c r="FI5" s="1708"/>
      <c r="FJ5" s="1708"/>
      <c r="FK5" s="1708"/>
      <c r="FL5" s="1708"/>
      <c r="FM5" s="1708"/>
      <c r="FN5" s="1708"/>
      <c r="FO5" s="1708"/>
      <c r="FP5" s="1708"/>
      <c r="FQ5" s="1708"/>
      <c r="FR5" s="1708"/>
      <c r="FS5" s="1708"/>
      <c r="FT5" s="1708"/>
      <c r="FU5" s="1708"/>
      <c r="FV5" s="1708"/>
      <c r="FW5" s="1708"/>
      <c r="FX5" s="1708"/>
      <c r="FY5" s="1708"/>
      <c r="FZ5" s="1708"/>
      <c r="GA5" s="1708"/>
      <c r="GB5" s="1708"/>
      <c r="GC5" s="1708"/>
      <c r="GD5" s="1708"/>
      <c r="GE5" s="1708"/>
      <c r="GF5" s="1708"/>
      <c r="GG5" s="1708"/>
      <c r="GH5" s="1708"/>
      <c r="GI5" s="1708"/>
      <c r="GJ5" s="1708"/>
      <c r="GK5" s="1708"/>
      <c r="GL5" s="1708"/>
      <c r="GM5" s="1708"/>
      <c r="GN5" s="1708"/>
      <c r="GO5" s="1708"/>
      <c r="GP5" s="1708"/>
    </row>
    <row r="6" spans="1:206">
      <c r="C6" s="1543"/>
      <c r="D6" s="73" t="s">
        <v>414</v>
      </c>
      <c r="E6" s="665" t="s">
        <v>405</v>
      </c>
      <c r="F6" s="74" t="s">
        <v>406</v>
      </c>
      <c r="G6" s="665" t="s">
        <v>405</v>
      </c>
      <c r="H6" s="665" t="s">
        <v>406</v>
      </c>
      <c r="I6" s="74" t="s">
        <v>408</v>
      </c>
      <c r="J6" s="74" t="s">
        <v>409</v>
      </c>
      <c r="K6" s="441" t="s">
        <v>405</v>
      </c>
      <c r="L6" s="441" t="s">
        <v>406</v>
      </c>
      <c r="M6" s="1160" t="s">
        <v>405</v>
      </c>
      <c r="N6" s="1160" t="s">
        <v>406</v>
      </c>
      <c r="O6" s="1080" t="s">
        <v>405</v>
      </c>
      <c r="P6" s="662" t="s">
        <v>406</v>
      </c>
      <c r="Q6" s="1080" t="s">
        <v>405</v>
      </c>
      <c r="R6" s="662" t="s">
        <v>406</v>
      </c>
      <c r="S6" s="1080" t="s">
        <v>405</v>
      </c>
      <c r="T6" s="662" t="s">
        <v>406</v>
      </c>
      <c r="U6" s="1080" t="s">
        <v>405</v>
      </c>
      <c r="V6" s="662" t="s">
        <v>406</v>
      </c>
      <c r="W6" s="896" t="s">
        <v>405</v>
      </c>
      <c r="X6" s="896" t="s">
        <v>406</v>
      </c>
      <c r="Y6" s="896" t="s">
        <v>405</v>
      </c>
      <c r="Z6" s="896" t="s">
        <v>406</v>
      </c>
      <c r="AA6" s="1159" t="s">
        <v>405</v>
      </c>
      <c r="AB6" s="1159" t="s">
        <v>406</v>
      </c>
      <c r="AC6" s="1162" t="s">
        <v>408</v>
      </c>
      <c r="AD6" s="1162" t="s">
        <v>409</v>
      </c>
      <c r="AE6" s="1159" t="s">
        <v>405</v>
      </c>
      <c r="AF6" s="1159" t="s">
        <v>406</v>
      </c>
      <c r="AG6" s="1162" t="s">
        <v>408</v>
      </c>
      <c r="AH6" s="1162" t="s">
        <v>409</v>
      </c>
      <c r="AI6" s="1162" t="s">
        <v>408</v>
      </c>
      <c r="AJ6" s="1162" t="s">
        <v>409</v>
      </c>
      <c r="AK6" s="665" t="s">
        <v>517</v>
      </c>
      <c r="AL6" s="1179" t="s">
        <v>517</v>
      </c>
      <c r="AM6" s="1179" t="s">
        <v>10</v>
      </c>
      <c r="AN6" s="1107" t="s">
        <v>10</v>
      </c>
      <c r="AO6" s="1179" t="s">
        <v>224</v>
      </c>
      <c r="AP6" s="1179" t="s">
        <v>224</v>
      </c>
      <c r="BA6" s="1832"/>
      <c r="BB6" s="1545"/>
      <c r="BC6" s="946"/>
      <c r="BD6" s="946"/>
      <c r="BE6" s="1829"/>
      <c r="BF6" s="1830"/>
      <c r="BG6" s="946"/>
      <c r="BH6" s="1832"/>
      <c r="BI6" s="946"/>
      <c r="BJ6" s="946"/>
      <c r="BK6" s="946"/>
      <c r="BL6" s="1829"/>
      <c r="BM6" s="1830"/>
      <c r="BN6" s="946"/>
      <c r="DJ6" s="1605"/>
      <c r="DK6" s="1605"/>
      <c r="DL6" s="1605"/>
      <c r="DM6" s="1605"/>
      <c r="DN6" s="1605"/>
      <c r="DO6" s="1605"/>
      <c r="DP6" s="1605"/>
      <c r="DQ6" s="1605"/>
      <c r="DR6" s="1605"/>
      <c r="DS6" s="1605"/>
      <c r="DT6" s="1605"/>
      <c r="DU6" s="1605"/>
      <c r="DV6" s="1605"/>
      <c r="DW6" s="1605"/>
      <c r="DX6" s="1605"/>
      <c r="DY6" s="1605"/>
      <c r="DZ6" s="1605"/>
      <c r="EA6" s="1605"/>
      <c r="EB6" s="1605"/>
      <c r="EC6" s="1605"/>
      <c r="ED6" s="1605"/>
      <c r="EE6" s="1605"/>
      <c r="EF6" s="1605"/>
      <c r="EG6" s="1605"/>
      <c r="EH6" s="1605"/>
      <c r="EI6" s="1605"/>
      <c r="EJ6" s="1605"/>
      <c r="EK6" s="1605"/>
      <c r="EL6" s="1605"/>
      <c r="EM6" s="1605"/>
      <c r="EN6" s="1605"/>
      <c r="EO6" s="1605"/>
      <c r="EP6" s="1605"/>
      <c r="EQ6" s="1605"/>
      <c r="ER6" s="1605"/>
      <c r="ES6" s="1606"/>
      <c r="ET6" s="1606"/>
      <c r="EU6" s="1606"/>
      <c r="EV6" s="1606"/>
      <c r="EW6" s="1606"/>
      <c r="EX6" s="1606"/>
      <c r="EY6" s="1606"/>
      <c r="EZ6" s="1606"/>
      <c r="FA6" s="1606"/>
      <c r="FB6" s="1606"/>
      <c r="FC6" s="1606"/>
      <c r="FD6" s="1606"/>
      <c r="FE6" s="1606"/>
      <c r="FF6" s="1606"/>
      <c r="FG6" s="1606"/>
      <c r="FH6" s="1606"/>
      <c r="FI6" s="1606"/>
      <c r="FJ6" s="1606"/>
      <c r="FK6" s="1606"/>
      <c r="FL6" s="1606"/>
      <c r="FM6" s="1606"/>
      <c r="FN6" s="1606"/>
      <c r="FO6" s="1606"/>
      <c r="FP6" s="1606"/>
      <c r="FQ6" s="1606"/>
      <c r="FR6" s="1606"/>
      <c r="FS6" s="1606"/>
      <c r="FT6" s="1606"/>
      <c r="FU6" s="1606"/>
      <c r="FV6" s="1606"/>
      <c r="FW6" s="1606"/>
      <c r="FX6" s="1606"/>
      <c r="FY6" s="1606"/>
      <c r="FZ6" s="1606"/>
      <c r="GA6" s="1606"/>
      <c r="GB6" s="1606"/>
      <c r="GC6" s="1606"/>
      <c r="GD6" s="1606"/>
      <c r="GE6" s="1606"/>
      <c r="GF6" s="1606"/>
      <c r="GG6" s="1606"/>
      <c r="GH6" s="1606"/>
      <c r="GI6" s="1606"/>
      <c r="GJ6" s="1606"/>
      <c r="GK6" s="1606"/>
      <c r="GL6" s="1606"/>
      <c r="GM6" s="1606"/>
      <c r="GN6" s="1606"/>
      <c r="GO6" s="1606"/>
      <c r="GP6" s="1606"/>
    </row>
    <row r="7" spans="1:206" s="2" customFormat="1">
      <c r="A7" s="228"/>
      <c r="B7" s="228"/>
      <c r="C7" s="1542"/>
      <c r="D7" s="443"/>
      <c r="E7" s="306"/>
      <c r="F7" s="74"/>
      <c r="G7" s="665"/>
      <c r="H7" s="665"/>
      <c r="I7" s="74"/>
      <c r="J7" s="74"/>
      <c r="K7" s="75" t="s">
        <v>8</v>
      </c>
      <c r="L7" s="75" t="s">
        <v>8</v>
      </c>
      <c r="M7" s="665"/>
      <c r="N7" s="665"/>
      <c r="O7" s="665"/>
      <c r="P7" s="74"/>
      <c r="Q7" s="665"/>
      <c r="R7" s="74"/>
      <c r="S7" s="665"/>
      <c r="T7" s="74"/>
      <c r="U7" s="1079"/>
      <c r="V7" s="440"/>
      <c r="W7" s="1079"/>
      <c r="X7" s="895"/>
      <c r="Y7" s="1079"/>
      <c r="Z7" s="440"/>
      <c r="AA7" s="1079"/>
      <c r="AB7" s="440"/>
      <c r="AC7" s="1079"/>
      <c r="AD7" s="1079"/>
      <c r="AE7" s="1079"/>
      <c r="AF7" s="440"/>
      <c r="AG7" s="1079"/>
      <c r="AH7" s="1079"/>
      <c r="AI7" s="1079"/>
      <c r="AJ7" s="1079"/>
      <c r="AK7" s="1179" t="s">
        <v>415</v>
      </c>
      <c r="AL7" s="1179" t="s">
        <v>516</v>
      </c>
      <c r="AM7" s="1179" t="s">
        <v>415</v>
      </c>
      <c r="AN7" s="1107" t="s">
        <v>516</v>
      </c>
      <c r="AO7" s="1179" t="s">
        <v>518</v>
      </c>
      <c r="AP7" s="1179" t="s">
        <v>519</v>
      </c>
      <c r="AS7" s="964"/>
      <c r="AT7" s="964"/>
      <c r="AU7" s="962"/>
      <c r="AV7" s="962"/>
      <c r="AW7" s="983"/>
      <c r="AX7" s="983"/>
      <c r="AY7" s="983"/>
      <c r="AZ7" s="983"/>
      <c r="BA7" s="946"/>
      <c r="BB7" s="1545"/>
      <c r="BC7" s="946"/>
      <c r="BD7" s="946"/>
      <c r="BE7" s="1833" t="s">
        <v>336</v>
      </c>
      <c r="BF7" s="1830"/>
      <c r="BG7" s="946"/>
      <c r="BH7" s="946"/>
      <c r="BI7" s="946"/>
      <c r="BJ7" s="946"/>
      <c r="BK7" s="946"/>
      <c r="BL7" s="1833" t="s">
        <v>336</v>
      </c>
      <c r="BM7" s="1830"/>
      <c r="BN7" s="946"/>
      <c r="BO7" s="1683"/>
      <c r="BP7" s="297"/>
      <c r="BQ7" s="983"/>
      <c r="BR7" s="983"/>
      <c r="BS7" s="983"/>
      <c r="BT7" s="983"/>
      <c r="BU7" s="983"/>
      <c r="BV7" s="983"/>
      <c r="BW7" s="983"/>
      <c r="BX7" s="983"/>
      <c r="BY7" s="983"/>
      <c r="BZ7" s="983"/>
      <c r="CA7" s="983"/>
      <c r="CB7" s="983"/>
      <c r="CC7" s="983"/>
      <c r="CD7" s="983"/>
      <c r="CE7" s="983"/>
      <c r="CF7" s="983"/>
      <c r="CG7" s="983"/>
      <c r="CH7" s="983"/>
      <c r="CI7" s="983"/>
      <c r="CJ7" s="983"/>
      <c r="CK7" s="983"/>
      <c r="CL7" s="983"/>
      <c r="CM7" s="983"/>
      <c r="CN7" s="983"/>
      <c r="CO7" s="983"/>
      <c r="CP7" s="983"/>
      <c r="CQ7" s="983"/>
      <c r="CR7" s="983"/>
      <c r="CS7" s="983"/>
      <c r="CT7" s="983"/>
      <c r="CU7" s="983"/>
      <c r="CV7" s="983"/>
      <c r="CW7" s="983"/>
      <c r="CX7" s="983"/>
      <c r="CY7" s="983"/>
      <c r="CZ7" s="983"/>
      <c r="DA7" s="962"/>
      <c r="DB7" s="962"/>
      <c r="DC7" s="962"/>
      <c r="DD7" s="962"/>
      <c r="DE7" s="962"/>
      <c r="DF7" s="962"/>
      <c r="DG7" s="962"/>
      <c r="DH7" s="962"/>
      <c r="DI7" s="962"/>
      <c r="DJ7" s="1605"/>
      <c r="DK7" s="1605"/>
      <c r="DL7" s="1605"/>
      <c r="DM7" s="1605"/>
      <c r="DN7" s="1605"/>
      <c r="DO7" s="1605"/>
      <c r="DP7" s="1605"/>
      <c r="DQ7" s="1605"/>
      <c r="DR7" s="1605"/>
      <c r="DS7" s="1605"/>
      <c r="DT7" s="1605"/>
      <c r="DU7" s="1605"/>
      <c r="DV7" s="1605"/>
      <c r="DW7" s="1605"/>
      <c r="DX7" s="1605"/>
      <c r="DY7" s="1605"/>
      <c r="DZ7" s="1605"/>
      <c r="EA7" s="1605"/>
      <c r="EB7" s="1605"/>
      <c r="EC7" s="1605"/>
      <c r="ED7" s="1605"/>
      <c r="EE7" s="1605"/>
      <c r="EF7" s="1605"/>
      <c r="EG7" s="1605"/>
      <c r="EH7" s="1605"/>
      <c r="EI7" s="1605"/>
      <c r="EJ7" s="1605"/>
      <c r="EK7" s="1605"/>
      <c r="EL7" s="1605"/>
      <c r="EM7" s="1605"/>
      <c r="EN7" s="1605"/>
      <c r="EO7" s="1605"/>
      <c r="EP7" s="1605"/>
      <c r="EQ7" s="1605"/>
      <c r="ER7" s="1605"/>
      <c r="ES7" s="1606"/>
      <c r="ET7" s="1606"/>
      <c r="EU7" s="1606"/>
      <c r="EV7" s="1606"/>
      <c r="EW7" s="1606"/>
      <c r="EX7" s="1606"/>
      <c r="EY7" s="1606"/>
      <c r="EZ7" s="1606"/>
      <c r="FA7" s="1606"/>
      <c r="FB7" s="1606"/>
      <c r="FC7" s="1606"/>
      <c r="FD7" s="1606"/>
      <c r="FE7" s="1606"/>
      <c r="FF7" s="1606"/>
      <c r="FG7" s="1606"/>
      <c r="FH7" s="1606"/>
      <c r="FI7" s="1606"/>
      <c r="FJ7" s="1606"/>
      <c r="FK7" s="1606"/>
      <c r="FL7" s="1606"/>
      <c r="FM7" s="1606"/>
      <c r="FN7" s="1606"/>
      <c r="FO7" s="1606"/>
      <c r="FP7" s="1606"/>
      <c r="FQ7" s="1606"/>
      <c r="FR7" s="1606"/>
      <c r="FS7" s="1606"/>
      <c r="FT7" s="1606"/>
      <c r="FU7" s="1606"/>
      <c r="FV7" s="1606"/>
      <c r="FW7" s="1606"/>
      <c r="FX7" s="1606"/>
      <c r="FY7" s="1606"/>
      <c r="FZ7" s="1606"/>
      <c r="GA7" s="1606"/>
      <c r="GB7" s="1606"/>
      <c r="GC7" s="1606"/>
      <c r="GD7" s="1606"/>
      <c r="GE7" s="1606"/>
      <c r="GF7" s="1606"/>
      <c r="GG7" s="1606"/>
      <c r="GH7" s="1606"/>
      <c r="GI7" s="1606"/>
      <c r="GJ7" s="1606"/>
      <c r="GK7" s="1606"/>
      <c r="GL7" s="1606"/>
      <c r="GM7" s="1606"/>
      <c r="GN7" s="1606"/>
      <c r="GO7" s="1606"/>
      <c r="GP7" s="1606"/>
    </row>
    <row r="8" spans="1:206" s="2" customFormat="1">
      <c r="A8" s="228"/>
      <c r="B8" s="228"/>
      <c r="C8" s="665" t="s">
        <v>401</v>
      </c>
      <c r="D8" s="443"/>
      <c r="E8" s="665"/>
      <c r="F8" s="74"/>
      <c r="G8" s="665"/>
      <c r="H8" s="665"/>
      <c r="I8" s="74"/>
      <c r="J8" s="74"/>
      <c r="K8" s="75" t="s">
        <v>9</v>
      </c>
      <c r="L8" s="75" t="s">
        <v>9</v>
      </c>
      <c r="M8" s="665"/>
      <c r="N8" s="665"/>
      <c r="O8" s="665"/>
      <c r="P8" s="74"/>
      <c r="Q8" s="665"/>
      <c r="R8" s="74"/>
      <c r="S8" s="665"/>
      <c r="T8" s="74"/>
      <c r="U8" s="1079"/>
      <c r="V8" s="440"/>
      <c r="W8" s="1079"/>
      <c r="X8" s="895"/>
      <c r="Y8" s="1079"/>
      <c r="Z8" s="440"/>
      <c r="AA8" s="1079"/>
      <c r="AB8" s="440"/>
      <c r="AC8" s="1079"/>
      <c r="AD8" s="1079"/>
      <c r="AE8" s="1079"/>
      <c r="AF8" s="440"/>
      <c r="AG8" s="1079"/>
      <c r="AH8" s="1079"/>
      <c r="AI8" s="1079"/>
      <c r="AJ8" s="1079"/>
      <c r="AK8" s="665"/>
      <c r="AL8" s="1103"/>
      <c r="AM8" s="665"/>
      <c r="AN8" s="1102"/>
      <c r="AO8" s="665"/>
      <c r="AP8" s="665"/>
      <c r="AS8" s="964"/>
      <c r="AT8" s="964"/>
      <c r="AU8" s="962"/>
      <c r="AV8" s="962"/>
      <c r="AW8" s="983"/>
      <c r="AX8" s="983"/>
      <c r="AY8" s="983"/>
      <c r="AZ8" s="983"/>
      <c r="BA8" s="1832" t="s">
        <v>248</v>
      </c>
      <c r="BB8" s="1834" t="s">
        <v>34</v>
      </c>
      <c r="BC8" s="1832" t="s">
        <v>30</v>
      </c>
      <c r="BD8" s="1835" t="s">
        <v>31</v>
      </c>
      <c r="BE8" s="1836" t="s">
        <v>335</v>
      </c>
      <c r="BF8" s="1837" t="s">
        <v>33</v>
      </c>
      <c r="BG8" s="1832"/>
      <c r="BH8" s="1832" t="s">
        <v>248</v>
      </c>
      <c r="BI8" s="1832" t="s">
        <v>332</v>
      </c>
      <c r="BJ8" s="1832" t="s">
        <v>30</v>
      </c>
      <c r="BK8" s="1832" t="s">
        <v>31</v>
      </c>
      <c r="BL8" s="1836" t="s">
        <v>335</v>
      </c>
      <c r="BM8" s="1837" t="s">
        <v>33</v>
      </c>
      <c r="BN8" s="1832" t="s">
        <v>333</v>
      </c>
      <c r="BO8" s="1683"/>
      <c r="BP8" s="297"/>
      <c r="BQ8" s="983"/>
      <c r="BR8" s="983"/>
      <c r="BS8" s="983"/>
      <c r="BT8" s="983"/>
      <c r="BU8" s="983"/>
      <c r="BV8" s="983"/>
      <c r="BW8" s="983"/>
      <c r="BX8" s="983"/>
      <c r="BY8" s="983"/>
      <c r="BZ8" s="983"/>
      <c r="CA8" s="983"/>
      <c r="CB8" s="983"/>
      <c r="CC8" s="983"/>
      <c r="CD8" s="983"/>
      <c r="CE8" s="983"/>
      <c r="CF8" s="983"/>
      <c r="CG8" s="983"/>
      <c r="CH8" s="983"/>
      <c r="CI8" s="983"/>
      <c r="CJ8" s="983"/>
      <c r="CK8" s="983"/>
      <c r="CL8" s="983"/>
      <c r="CM8" s="983"/>
      <c r="CN8" s="983"/>
      <c r="CO8" s="983"/>
      <c r="CP8" s="983"/>
      <c r="CQ8" s="983"/>
      <c r="CR8" s="983"/>
      <c r="CS8" s="983"/>
      <c r="CT8" s="983"/>
      <c r="CU8" s="983"/>
      <c r="CV8" s="983"/>
      <c r="CW8" s="983"/>
      <c r="CX8" s="983"/>
      <c r="CY8" s="983"/>
      <c r="CZ8" s="983"/>
      <c r="DA8" s="962"/>
      <c r="DB8" s="962"/>
      <c r="DC8" s="962"/>
      <c r="DD8" s="962"/>
      <c r="DE8" s="962"/>
      <c r="DF8" s="962"/>
      <c r="DG8" s="962"/>
      <c r="DH8" s="962"/>
      <c r="DI8" s="962"/>
      <c r="DJ8" s="1605"/>
      <c r="DK8" s="1605"/>
      <c r="DL8" s="1605"/>
      <c r="DM8" s="1605"/>
      <c r="DN8" s="1605"/>
      <c r="DO8" s="1605"/>
      <c r="DP8" s="1605"/>
      <c r="DQ8" s="1605"/>
      <c r="DR8" s="1605"/>
      <c r="DS8" s="1605"/>
      <c r="DT8" s="1605"/>
      <c r="DU8" s="1605"/>
      <c r="DV8" s="1605"/>
      <c r="DW8" s="1605"/>
      <c r="DX8" s="1605"/>
      <c r="DY8" s="1605"/>
      <c r="DZ8" s="1605"/>
      <c r="EA8" s="1605"/>
      <c r="EB8" s="1605"/>
      <c r="EC8" s="1605"/>
      <c r="ED8" s="1605"/>
      <c r="EE8" s="1605"/>
      <c r="EF8" s="1605"/>
      <c r="EG8" s="1605"/>
      <c r="EH8" s="1605"/>
      <c r="EI8" s="1605"/>
      <c r="EJ8" s="1605"/>
      <c r="EK8" s="1605"/>
      <c r="EL8" s="1605"/>
      <c r="EM8" s="1605"/>
      <c r="EN8" s="1605"/>
      <c r="EO8" s="1605"/>
      <c r="EP8" s="1605"/>
      <c r="EQ8" s="1605"/>
      <c r="ER8" s="1605"/>
      <c r="ES8" s="1608"/>
      <c r="ET8" s="1608"/>
      <c r="EU8" s="1608"/>
      <c r="EV8" s="1608"/>
      <c r="EW8" s="1608"/>
      <c r="EX8" s="1608"/>
      <c r="EY8" s="1608"/>
      <c r="EZ8" s="1608"/>
      <c r="FA8" s="1608"/>
      <c r="FB8" s="1608"/>
      <c r="FC8" s="1608"/>
      <c r="FD8" s="1608"/>
      <c r="FE8" s="1608"/>
      <c r="FF8" s="1608"/>
      <c r="FG8" s="1608"/>
      <c r="FH8" s="1608"/>
      <c r="FI8" s="1608"/>
      <c r="FJ8" s="1608"/>
      <c r="FK8" s="1608"/>
      <c r="FL8" s="1608"/>
      <c r="FM8" s="1608"/>
      <c r="FN8" s="1608"/>
      <c r="FO8" s="1608"/>
      <c r="FP8" s="1608"/>
      <c r="FQ8" s="1608"/>
      <c r="FR8" s="1608"/>
      <c r="FS8" s="1608"/>
      <c r="FT8" s="1608"/>
      <c r="FU8" s="1608"/>
      <c r="FV8" s="1608"/>
      <c r="FW8" s="1608"/>
      <c r="FX8" s="1608"/>
      <c r="FY8" s="1608"/>
      <c r="FZ8" s="1608"/>
      <c r="GA8" s="1608"/>
      <c r="GB8" s="1608"/>
      <c r="GC8" s="1608"/>
      <c r="GD8" s="1608"/>
      <c r="GE8" s="1608"/>
      <c r="GF8" s="1608"/>
      <c r="GG8" s="1608"/>
      <c r="GH8" s="1608"/>
      <c r="GI8" s="1608"/>
      <c r="GJ8" s="1608"/>
      <c r="GK8" s="1608"/>
      <c r="GL8" s="1608"/>
      <c r="GM8" s="1608"/>
      <c r="GN8" s="1608"/>
      <c r="GO8" s="1608"/>
      <c r="GP8" s="1608"/>
      <c r="GQ8" s="945"/>
      <c r="GR8" s="945"/>
      <c r="GS8" s="945"/>
      <c r="GT8" s="945"/>
      <c r="GU8" s="945"/>
      <c r="GV8" s="945"/>
      <c r="GW8" s="945"/>
      <c r="GX8" s="945"/>
    </row>
    <row r="9" spans="1:206" s="607" customFormat="1">
      <c r="A9" s="607">
        <f t="shared" ref="A9:A72" si="0">YEAR(C9)</f>
        <v>1971</v>
      </c>
      <c r="B9" s="607">
        <f t="shared" ref="B9:B72" si="1">IF(OR(MONTH(C9)=1,MONTH(C9)=2,MONTH(C9)=3),1,IF(OR(MONTH(C9)=4,MONTH(C9)=5,MONTH(C9)=6),2,IF(OR(MONTH(C9)=7,MONTH(C9)=8,MONTH(C9)=9),3,4)))</f>
        <v>1</v>
      </c>
      <c r="C9" s="1173">
        <v>25937</v>
      </c>
      <c r="D9" s="1709"/>
      <c r="E9" s="1117"/>
      <c r="F9" s="1117"/>
      <c r="G9" s="1117"/>
      <c r="H9" s="1117"/>
      <c r="I9" s="959">
        <v>33.641190120000005</v>
      </c>
      <c r="J9" s="959">
        <v>37.880000000000003</v>
      </c>
      <c r="K9" s="960"/>
      <c r="L9" s="1121"/>
      <c r="M9" s="916"/>
      <c r="N9" s="916"/>
      <c r="O9" s="1332"/>
      <c r="P9" s="1332"/>
      <c r="Q9" s="1332"/>
      <c r="R9" s="1332"/>
      <c r="S9" s="1332"/>
      <c r="T9" s="1332"/>
      <c r="U9" s="1120"/>
      <c r="V9" s="1120"/>
      <c r="W9" s="1120"/>
      <c r="X9" s="1120"/>
      <c r="Y9" s="1119"/>
      <c r="Z9" s="1119"/>
      <c r="AA9" s="1119"/>
      <c r="AB9" s="1119"/>
      <c r="AC9" s="1178"/>
      <c r="AD9" s="1178"/>
      <c r="AE9" s="1178"/>
      <c r="AF9" s="1178"/>
      <c r="AG9" s="1178"/>
      <c r="AH9" s="1178"/>
      <c r="AI9" s="1178"/>
      <c r="AJ9" s="1178"/>
      <c r="AK9" s="919"/>
      <c r="AL9" s="1104"/>
      <c r="AM9" s="919"/>
      <c r="AN9" s="1710"/>
      <c r="AO9" s="919"/>
      <c r="AP9" s="919"/>
      <c r="AS9" s="1167"/>
      <c r="AT9" s="1167"/>
      <c r="AU9" s="1168"/>
      <c r="AV9" s="1168"/>
      <c r="AW9" s="1169"/>
      <c r="AX9" s="1169"/>
      <c r="AY9" s="1169"/>
      <c r="AZ9" s="1169"/>
      <c r="BA9" s="1838" t="s">
        <v>0</v>
      </c>
      <c r="BB9" s="1839">
        <v>2015</v>
      </c>
      <c r="BC9" s="1799" t="s">
        <v>29</v>
      </c>
      <c r="BD9" s="1799">
        <v>1</v>
      </c>
      <c r="BE9" s="1800">
        <v>932036163</v>
      </c>
      <c r="BF9" s="1801">
        <v>0.20100000000000001</v>
      </c>
      <c r="BG9" s="1799"/>
      <c r="BH9" s="1799" t="s">
        <v>0</v>
      </c>
      <c r="BI9" s="1799" t="s">
        <v>320</v>
      </c>
      <c r="BJ9" s="1799" t="s">
        <v>29</v>
      </c>
      <c r="BK9" s="1799">
        <v>1</v>
      </c>
      <c r="BL9" s="1800">
        <v>976703108.16999996</v>
      </c>
      <c r="BM9" s="1801">
        <v>0.2186958337475437</v>
      </c>
      <c r="BN9" s="1799">
        <v>2015</v>
      </c>
      <c r="BO9" s="1685"/>
      <c r="BP9" s="1696"/>
      <c r="BQ9" s="1169"/>
      <c r="BR9" s="1169"/>
      <c r="BS9" s="1169"/>
      <c r="BT9" s="1169"/>
      <c r="BU9" s="1169"/>
      <c r="BV9" s="1169"/>
      <c r="BW9" s="1169"/>
      <c r="BX9" s="1169"/>
      <c r="BY9" s="1169"/>
      <c r="BZ9" s="1169"/>
      <c r="CA9" s="1169"/>
      <c r="CB9" s="1169"/>
      <c r="CC9" s="1169"/>
      <c r="CD9" s="1169"/>
      <c r="CE9" s="1169"/>
      <c r="CF9" s="1169"/>
      <c r="CG9" s="1169"/>
      <c r="CH9" s="1169"/>
      <c r="CI9" s="1169"/>
      <c r="CJ9" s="1169"/>
      <c r="CK9" s="1169"/>
      <c r="CL9" s="1169"/>
      <c r="CM9" s="1169"/>
      <c r="CN9" s="1169"/>
      <c r="CO9" s="1169"/>
      <c r="CP9" s="1169"/>
      <c r="CQ9" s="1169"/>
      <c r="CR9" s="1169"/>
      <c r="CS9" s="1169"/>
      <c r="CT9" s="1169"/>
      <c r="CU9" s="1169"/>
      <c r="CV9" s="1169"/>
      <c r="CW9" s="1169"/>
      <c r="CX9" s="1169"/>
      <c r="CY9" s="1169"/>
      <c r="CZ9" s="1169"/>
      <c r="DA9" s="1168"/>
      <c r="DB9" s="1168"/>
      <c r="DC9" s="1168"/>
      <c r="DD9" s="1168"/>
      <c r="DE9" s="1168"/>
      <c r="DF9" s="1168"/>
      <c r="DG9" s="1168"/>
      <c r="DH9" s="1168"/>
      <c r="DI9" s="1168"/>
      <c r="DJ9" s="1609"/>
      <c r="DK9" s="1609"/>
      <c r="DL9" s="1609"/>
      <c r="DM9" s="1609"/>
      <c r="DN9" s="1609"/>
      <c r="DO9" s="1609"/>
      <c r="DP9" s="1609"/>
      <c r="DQ9" s="1609"/>
      <c r="DR9" s="1609"/>
      <c r="DS9" s="1609"/>
      <c r="DT9" s="1609"/>
      <c r="DU9" s="1609"/>
      <c r="DV9" s="1609"/>
      <c r="DW9" s="1609"/>
      <c r="DX9" s="1609"/>
      <c r="DY9" s="1609"/>
      <c r="DZ9" s="1609"/>
      <c r="EA9" s="1609"/>
      <c r="EB9" s="1609"/>
      <c r="EC9" s="1609"/>
      <c r="ED9" s="1609"/>
      <c r="EE9" s="1609"/>
      <c r="EF9" s="1609"/>
      <c r="EG9" s="1609"/>
      <c r="EH9" s="1609"/>
      <c r="EI9" s="1609"/>
      <c r="EJ9" s="1609"/>
      <c r="EK9" s="1609"/>
      <c r="EL9" s="1609"/>
      <c r="EM9" s="1609"/>
      <c r="EN9" s="1609"/>
      <c r="EO9" s="1609"/>
      <c r="EP9" s="1609"/>
      <c r="EQ9" s="1609"/>
      <c r="ER9" s="1609"/>
      <c r="ES9" s="1610"/>
      <c r="ET9" s="1610"/>
      <c r="EU9" s="1610"/>
      <c r="EV9" s="1610"/>
      <c r="EW9" s="1610"/>
      <c r="EX9" s="1610"/>
      <c r="EY9" s="1610"/>
      <c r="EZ9" s="1610"/>
      <c r="FA9" s="1610"/>
      <c r="FB9" s="1610"/>
      <c r="FC9" s="1610"/>
      <c r="FD9" s="1610"/>
      <c r="FE9" s="1610"/>
      <c r="FF9" s="1610"/>
      <c r="FG9" s="1610"/>
      <c r="FH9" s="1610"/>
      <c r="FI9" s="1610"/>
      <c r="FJ9" s="1610"/>
      <c r="FK9" s="1610"/>
      <c r="FL9" s="1610"/>
      <c r="FM9" s="1610"/>
      <c r="FN9" s="1610"/>
      <c r="FO9" s="1610"/>
      <c r="FP9" s="1610"/>
      <c r="FQ9" s="1610"/>
      <c r="FR9" s="1610"/>
      <c r="FS9" s="1610"/>
      <c r="FT9" s="1610"/>
      <c r="FU9" s="1610"/>
      <c r="FV9" s="1610"/>
      <c r="FW9" s="1610"/>
      <c r="FX9" s="1610"/>
      <c r="FY9" s="1610"/>
      <c r="FZ9" s="1610"/>
      <c r="GA9" s="1610"/>
      <c r="GB9" s="1610"/>
      <c r="GC9" s="1610"/>
      <c r="GD9" s="1610"/>
      <c r="GE9" s="1610"/>
      <c r="GF9" s="1610"/>
      <c r="GG9" s="1610"/>
      <c r="GH9" s="1610"/>
      <c r="GI9" s="1610"/>
      <c r="GJ9" s="1610"/>
      <c r="GK9" s="1610"/>
      <c r="GL9" s="1610"/>
      <c r="GM9" s="1610"/>
      <c r="GN9" s="1610"/>
      <c r="GO9" s="1610"/>
      <c r="GP9" s="1610"/>
      <c r="GQ9" s="1333"/>
      <c r="GR9" s="1333"/>
      <c r="GS9" s="1333"/>
      <c r="GT9" s="1333"/>
      <c r="GU9" s="1333"/>
      <c r="GV9" s="1333"/>
      <c r="GW9" s="1333"/>
      <c r="GX9" s="1333"/>
    </row>
    <row r="10" spans="1:206" s="607" customFormat="1">
      <c r="A10" s="607">
        <f t="shared" si="0"/>
        <v>1971</v>
      </c>
      <c r="B10" s="607">
        <f t="shared" si="1"/>
        <v>1</v>
      </c>
      <c r="C10" s="1173">
        <v>25965</v>
      </c>
      <c r="D10" s="957"/>
      <c r="E10" s="920"/>
      <c r="F10" s="920"/>
      <c r="G10" s="920"/>
      <c r="H10" s="920"/>
      <c r="I10" s="954">
        <v>34.404955260000001</v>
      </c>
      <c r="J10" s="954">
        <v>38.74</v>
      </c>
      <c r="K10" s="954"/>
      <c r="L10" s="920"/>
      <c r="M10" s="917"/>
      <c r="N10" s="917"/>
      <c r="O10" s="1334"/>
      <c r="P10" s="1334"/>
      <c r="Q10" s="1334"/>
      <c r="R10" s="1334"/>
      <c r="S10" s="1334"/>
      <c r="T10" s="1334"/>
      <c r="U10" s="920"/>
      <c r="V10" s="920"/>
      <c r="W10" s="920"/>
      <c r="X10" s="920"/>
      <c r="Y10" s="920"/>
      <c r="Z10" s="920"/>
      <c r="AA10" s="920"/>
      <c r="AB10" s="920"/>
      <c r="AC10" s="920"/>
      <c r="AD10" s="920"/>
      <c r="AE10" s="920"/>
      <c r="AF10" s="920"/>
      <c r="AG10" s="920"/>
      <c r="AH10" s="920"/>
      <c r="AI10" s="920"/>
      <c r="AJ10" s="920"/>
      <c r="AK10" s="920"/>
      <c r="AL10" s="1105"/>
      <c r="AM10" s="920"/>
      <c r="AN10" s="1711"/>
      <c r="AO10" s="920"/>
      <c r="AP10" s="920"/>
      <c r="AS10" s="1167"/>
      <c r="AT10" s="1167"/>
      <c r="AU10" s="1168"/>
      <c r="AV10" s="1168"/>
      <c r="AW10" s="1169"/>
      <c r="AX10" s="1169"/>
      <c r="AY10" s="1169"/>
      <c r="AZ10" s="1169"/>
      <c r="BA10" s="1799" t="s">
        <v>0</v>
      </c>
      <c r="BB10" s="1802">
        <v>2015</v>
      </c>
      <c r="BC10" s="1799" t="s">
        <v>15</v>
      </c>
      <c r="BD10" s="1799">
        <v>2</v>
      </c>
      <c r="BE10" s="1800">
        <v>724908116</v>
      </c>
      <c r="BF10" s="1801">
        <v>0.156</v>
      </c>
      <c r="BG10" s="1799"/>
      <c r="BH10" s="1799" t="s">
        <v>0</v>
      </c>
      <c r="BI10" s="1799" t="s">
        <v>320</v>
      </c>
      <c r="BJ10" s="1799" t="s">
        <v>15</v>
      </c>
      <c r="BK10" s="1799">
        <v>2</v>
      </c>
      <c r="BL10" s="1800">
        <v>629651610.97000003</v>
      </c>
      <c r="BM10" s="1801">
        <v>0.14098673678798251</v>
      </c>
      <c r="BN10" s="1799">
        <v>2015</v>
      </c>
      <c r="BO10" s="1684"/>
      <c r="BP10" s="1696"/>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8"/>
      <c r="DB10" s="1168"/>
      <c r="DC10" s="1168"/>
      <c r="DD10" s="1168"/>
      <c r="DE10" s="1168"/>
      <c r="DF10" s="1168"/>
      <c r="DG10" s="1168"/>
      <c r="DH10" s="1168"/>
      <c r="DI10" s="1168"/>
      <c r="DJ10" s="1168"/>
      <c r="DK10" s="1168"/>
      <c r="DL10" s="1168"/>
      <c r="DM10" s="1168"/>
      <c r="DN10" s="1168"/>
      <c r="DO10" s="1168"/>
      <c r="DP10" s="1168"/>
      <c r="DQ10" s="1168"/>
      <c r="DR10" s="1168"/>
      <c r="DS10" s="1168"/>
      <c r="DT10" s="1168"/>
      <c r="DU10" s="1168"/>
      <c r="DV10" s="1168"/>
      <c r="DW10" s="1168"/>
      <c r="DX10" s="1168"/>
      <c r="DY10" s="1168"/>
      <c r="DZ10" s="1168"/>
      <c r="EA10" s="1168"/>
      <c r="EB10" s="1168"/>
      <c r="EC10" s="1168"/>
      <c r="ED10" s="1168"/>
      <c r="EE10" s="1168"/>
      <c r="EF10" s="1168"/>
      <c r="EG10" s="1168"/>
      <c r="EH10" s="1168"/>
      <c r="EI10" s="1170"/>
      <c r="EJ10" s="1170"/>
      <c r="EK10" s="1170"/>
      <c r="EL10" s="1170"/>
      <c r="EM10" s="1170"/>
      <c r="EN10" s="1170"/>
      <c r="EO10" s="1170"/>
      <c r="EP10" s="1170"/>
      <c r="EQ10" s="1170"/>
      <c r="ER10" s="1170"/>
      <c r="ES10" s="1333"/>
      <c r="ET10" s="1333"/>
      <c r="EU10" s="1333"/>
      <c r="EV10" s="1333"/>
      <c r="EW10" s="1333"/>
      <c r="EX10" s="1333"/>
      <c r="EY10" s="1333"/>
      <c r="EZ10" s="1333"/>
      <c r="FA10" s="1333"/>
      <c r="FB10" s="1333"/>
      <c r="FC10" s="1333"/>
      <c r="FD10" s="1333"/>
      <c r="FE10" s="1333"/>
      <c r="FF10" s="1333"/>
      <c r="FG10" s="1333"/>
      <c r="FH10" s="1333"/>
      <c r="FI10" s="1333"/>
      <c r="FJ10" s="1333"/>
      <c r="FK10" s="1333"/>
      <c r="FL10" s="1333"/>
      <c r="FM10" s="1333"/>
      <c r="FN10" s="1333"/>
      <c r="FO10" s="1333"/>
      <c r="FP10" s="1333"/>
      <c r="FQ10" s="1333"/>
      <c r="FR10" s="1333"/>
      <c r="FS10" s="1333"/>
      <c r="FT10" s="1333"/>
      <c r="FU10" s="1333"/>
      <c r="FV10" s="1333"/>
      <c r="FW10" s="1333"/>
      <c r="FX10" s="1333"/>
      <c r="FY10" s="1333"/>
      <c r="FZ10" s="1333"/>
      <c r="GA10" s="1333"/>
      <c r="GB10" s="1333"/>
      <c r="GC10" s="1333"/>
      <c r="GD10" s="1333"/>
      <c r="GE10" s="1333"/>
      <c r="GF10" s="1333"/>
      <c r="GG10" s="1333"/>
      <c r="GH10" s="1333"/>
      <c r="GI10" s="1333"/>
      <c r="GJ10" s="1333"/>
      <c r="GK10" s="1333"/>
      <c r="GL10" s="1333"/>
      <c r="GM10" s="1333"/>
      <c r="GN10" s="1333"/>
      <c r="GO10" s="1333"/>
      <c r="GP10" s="1333"/>
      <c r="GQ10" s="1333"/>
      <c r="GR10" s="1333"/>
      <c r="GS10" s="1333"/>
      <c r="GT10" s="1333"/>
      <c r="GU10" s="1333"/>
      <c r="GV10" s="1333"/>
      <c r="GW10" s="1333"/>
      <c r="GX10" s="1333"/>
    </row>
    <row r="11" spans="1:206" s="607" customFormat="1">
      <c r="A11" s="607">
        <f t="shared" si="0"/>
        <v>1971</v>
      </c>
      <c r="B11" s="607">
        <f t="shared" si="1"/>
        <v>1</v>
      </c>
      <c r="C11" s="1173">
        <v>25993</v>
      </c>
      <c r="D11" s="1709"/>
      <c r="E11" s="1117"/>
      <c r="F11" s="1117"/>
      <c r="G11" s="1117"/>
      <c r="H11" s="1117"/>
      <c r="I11" s="959">
        <v>34.52040813</v>
      </c>
      <c r="J11" s="959">
        <v>38.869999999999997</v>
      </c>
      <c r="K11" s="960"/>
      <c r="L11" s="1121"/>
      <c r="M11" s="916"/>
      <c r="N11" s="916"/>
      <c r="O11" s="1332"/>
      <c r="P11" s="1332"/>
      <c r="Q11" s="1332"/>
      <c r="R11" s="1332"/>
      <c r="S11" s="1332"/>
      <c r="T11" s="1332"/>
      <c r="U11" s="1120"/>
      <c r="V11" s="1120"/>
      <c r="W11" s="1120"/>
      <c r="X11" s="1120"/>
      <c r="Y11" s="1119"/>
      <c r="Z11" s="1119"/>
      <c r="AA11" s="1119"/>
      <c r="AB11" s="1119"/>
      <c r="AC11" s="1178"/>
      <c r="AD11" s="1178"/>
      <c r="AE11" s="1178"/>
      <c r="AF11" s="1178"/>
      <c r="AG11" s="1178"/>
      <c r="AH11" s="1178"/>
      <c r="AI11" s="1178"/>
      <c r="AJ11" s="1178"/>
      <c r="AK11" s="919"/>
      <c r="AL11" s="1104"/>
      <c r="AM11" s="919"/>
      <c r="AN11" s="1710"/>
      <c r="AO11" s="919"/>
      <c r="AP11" s="919"/>
      <c r="AS11" s="1167"/>
      <c r="AT11" s="1167"/>
      <c r="AU11" s="1168"/>
      <c r="AV11" s="1168"/>
      <c r="AW11" s="1169"/>
      <c r="AX11" s="1169"/>
      <c r="AY11" s="1169"/>
      <c r="AZ11" s="1169"/>
      <c r="BA11" s="1799" t="s">
        <v>0</v>
      </c>
      <c r="BB11" s="1802">
        <v>2015</v>
      </c>
      <c r="BC11" s="1799" t="s">
        <v>14</v>
      </c>
      <c r="BD11" s="1799">
        <v>3</v>
      </c>
      <c r="BE11" s="1800">
        <v>536975610</v>
      </c>
      <c r="BF11" s="1801">
        <v>0.11600000000000001</v>
      </c>
      <c r="BG11" s="1799"/>
      <c r="BH11" s="1799" t="s">
        <v>0</v>
      </c>
      <c r="BI11" s="1799" t="s">
        <v>320</v>
      </c>
      <c r="BJ11" s="1799" t="s">
        <v>14</v>
      </c>
      <c r="BK11" s="1799">
        <v>3</v>
      </c>
      <c r="BL11" s="1800">
        <v>483221527.47000003</v>
      </c>
      <c r="BM11" s="1801">
        <v>0.10819924084486418</v>
      </c>
      <c r="BN11" s="1799">
        <v>2015</v>
      </c>
      <c r="BO11" s="1684"/>
      <c r="BP11" s="1697">
        <f>'Alumina and Bauxite - Prices'!A11</f>
        <v>43497</v>
      </c>
      <c r="BQ11" s="1169"/>
      <c r="BR11" s="1169"/>
      <c r="BS11" s="1169"/>
      <c r="BT11" s="1169"/>
      <c r="BU11" s="1169"/>
      <c r="BV11" s="1169"/>
      <c r="BW11" s="1169"/>
      <c r="BX11" s="1169"/>
      <c r="BY11" s="1169"/>
      <c r="BZ11" s="1169"/>
      <c r="CA11" s="1169"/>
      <c r="CB11" s="1169"/>
      <c r="CC11" s="1169"/>
      <c r="CD11" s="1169"/>
      <c r="CE11" s="1169"/>
      <c r="CF11" s="1169"/>
      <c r="CG11" s="1169"/>
      <c r="CH11" s="1169"/>
      <c r="CI11" s="1169"/>
      <c r="CJ11" s="1169"/>
      <c r="CK11" s="1169"/>
      <c r="CL11" s="1169"/>
      <c r="CM11" s="1169"/>
      <c r="CN11" s="1169"/>
      <c r="CO11" s="1169"/>
      <c r="CP11" s="1169"/>
      <c r="CQ11" s="1169"/>
      <c r="CR11" s="1169"/>
      <c r="CS11" s="1169"/>
      <c r="CT11" s="1169"/>
      <c r="CU11" s="1169"/>
      <c r="CV11" s="1169"/>
      <c r="CW11" s="1169"/>
      <c r="CX11" s="1169"/>
      <c r="CY11" s="1169"/>
      <c r="CZ11" s="1169"/>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70"/>
      <c r="EJ11" s="1170"/>
      <c r="EK11" s="1170"/>
      <c r="EL11" s="1170"/>
      <c r="EM11" s="1170"/>
      <c r="EN11" s="1170"/>
      <c r="EO11" s="1170"/>
      <c r="EP11" s="1170"/>
      <c r="EQ11" s="1170"/>
      <c r="ER11" s="1170"/>
      <c r="ES11" s="1333"/>
      <c r="ET11" s="1333"/>
      <c r="EU11" s="1333"/>
      <c r="EV11" s="1333"/>
      <c r="EW11" s="1333"/>
      <c r="EX11" s="1333"/>
      <c r="EY11" s="1333"/>
      <c r="EZ11" s="1333"/>
      <c r="FA11" s="1333"/>
      <c r="FB11" s="1333"/>
      <c r="FC11" s="1333"/>
      <c r="FD11" s="1333"/>
      <c r="FE11" s="1333"/>
      <c r="FF11" s="1333"/>
      <c r="FG11" s="1333"/>
      <c r="FH11" s="1333"/>
      <c r="FI11" s="1333"/>
      <c r="FJ11" s="1333"/>
      <c r="FK11" s="1333"/>
      <c r="FL11" s="1333"/>
      <c r="FM11" s="1333"/>
      <c r="FN11" s="1333"/>
      <c r="FO11" s="1333"/>
      <c r="FP11" s="1333"/>
      <c r="FQ11" s="1333"/>
      <c r="FR11" s="1333"/>
      <c r="FS11" s="1333"/>
      <c r="FT11" s="1333"/>
      <c r="FU11" s="1333"/>
      <c r="FV11" s="1333"/>
      <c r="FW11" s="1333"/>
      <c r="FX11" s="1333"/>
      <c r="FY11" s="1333"/>
      <c r="FZ11" s="1333"/>
      <c r="GA11" s="1333"/>
      <c r="GB11" s="1333"/>
      <c r="GC11" s="1333"/>
      <c r="GD11" s="1333"/>
      <c r="GE11" s="1333"/>
      <c r="GF11" s="1333"/>
      <c r="GG11" s="1333"/>
      <c r="GH11" s="1333"/>
      <c r="GI11" s="1333"/>
      <c r="GJ11" s="1333"/>
      <c r="GK11" s="1333"/>
      <c r="GL11" s="1333"/>
      <c r="GM11" s="1333"/>
      <c r="GN11" s="1333"/>
      <c r="GO11" s="1333"/>
      <c r="GP11" s="1333"/>
      <c r="GQ11" s="1333"/>
      <c r="GR11" s="1333"/>
      <c r="GS11" s="1333"/>
      <c r="GT11" s="1333"/>
      <c r="GU11" s="1333"/>
      <c r="GV11" s="1333"/>
      <c r="GW11" s="1333"/>
      <c r="GX11" s="1333"/>
    </row>
    <row r="12" spans="1:206" s="607" customFormat="1">
      <c r="A12" s="607">
        <f t="shared" si="0"/>
        <v>1971</v>
      </c>
      <c r="B12" s="607">
        <f t="shared" si="1"/>
        <v>2</v>
      </c>
      <c r="C12" s="1173">
        <v>26024</v>
      </c>
      <c r="D12" s="957"/>
      <c r="E12" s="920"/>
      <c r="F12" s="920"/>
      <c r="G12" s="920"/>
      <c r="H12" s="920"/>
      <c r="I12" s="954">
        <v>34.64474199</v>
      </c>
      <c r="J12" s="954">
        <v>39.01</v>
      </c>
      <c r="K12" s="954"/>
      <c r="L12" s="920"/>
      <c r="M12" s="917"/>
      <c r="N12" s="917"/>
      <c r="O12" s="1334"/>
      <c r="P12" s="1334"/>
      <c r="Q12" s="1334"/>
      <c r="R12" s="1334"/>
      <c r="S12" s="1334"/>
      <c r="T12" s="1334"/>
      <c r="U12" s="920"/>
      <c r="V12" s="920"/>
      <c r="W12" s="920"/>
      <c r="X12" s="920"/>
      <c r="Y12" s="920"/>
      <c r="Z12" s="920"/>
      <c r="AA12" s="920"/>
      <c r="AB12" s="920"/>
      <c r="AC12" s="920"/>
      <c r="AD12" s="920"/>
      <c r="AE12" s="920"/>
      <c r="AF12" s="920"/>
      <c r="AG12" s="920"/>
      <c r="AH12" s="920"/>
      <c r="AI12" s="920"/>
      <c r="AJ12" s="920"/>
      <c r="AK12" s="920"/>
      <c r="AL12" s="1105"/>
      <c r="AM12" s="920"/>
      <c r="AN12" s="1711"/>
      <c r="AO12" s="920"/>
      <c r="AP12" s="920"/>
      <c r="AS12" s="1167"/>
      <c r="AT12" s="1167"/>
      <c r="AU12" s="1168"/>
      <c r="AV12" s="1168"/>
      <c r="AW12" s="1169"/>
      <c r="AX12" s="1169"/>
      <c r="AY12" s="1169"/>
      <c r="AZ12" s="1169"/>
      <c r="BA12" s="1799" t="s">
        <v>0</v>
      </c>
      <c r="BB12" s="1802">
        <v>2015</v>
      </c>
      <c r="BC12" s="1799" t="s">
        <v>27</v>
      </c>
      <c r="BD12" s="1799">
        <v>4</v>
      </c>
      <c r="BE12" s="1800">
        <v>489031425</v>
      </c>
      <c r="BF12" s="1801">
        <v>0.106</v>
      </c>
      <c r="BG12" s="1799"/>
      <c r="BH12" s="1799" t="s">
        <v>0</v>
      </c>
      <c r="BI12" s="1799" t="s">
        <v>320</v>
      </c>
      <c r="BJ12" s="1799" t="s">
        <v>27</v>
      </c>
      <c r="BK12" s="1799">
        <v>4</v>
      </c>
      <c r="BL12" s="1800">
        <v>442160427.08999991</v>
      </c>
      <c r="BM12" s="1801">
        <v>9.9005155654513052E-2</v>
      </c>
      <c r="BN12" s="1799">
        <v>2015</v>
      </c>
      <c r="BO12" s="1684"/>
      <c r="BP12" s="1696"/>
      <c r="BQ12" s="1169"/>
      <c r="BR12" s="1169"/>
      <c r="BS12" s="1169"/>
      <c r="BT12" s="1169"/>
      <c r="BU12" s="1169"/>
      <c r="BV12" s="1169"/>
      <c r="BW12" s="1169"/>
      <c r="BX12" s="1169"/>
      <c r="BY12" s="1169"/>
      <c r="BZ12" s="1169"/>
      <c r="CA12" s="1169"/>
      <c r="CB12" s="1169"/>
      <c r="CC12" s="1169"/>
      <c r="CD12" s="1169"/>
      <c r="CE12" s="1169"/>
      <c r="CF12" s="1169"/>
      <c r="CG12" s="1169"/>
      <c r="CH12" s="1169"/>
      <c r="CI12" s="1169"/>
      <c r="CJ12" s="1169"/>
      <c r="CK12" s="1169"/>
      <c r="CL12" s="1169"/>
      <c r="CM12" s="1169"/>
      <c r="CN12" s="1169"/>
      <c r="CO12" s="1169"/>
      <c r="CP12" s="1169"/>
      <c r="CQ12" s="1169"/>
      <c r="CR12" s="1169"/>
      <c r="CS12" s="1169"/>
      <c r="CT12" s="1169"/>
      <c r="CU12" s="1169"/>
      <c r="CV12" s="1169"/>
      <c r="CW12" s="1169"/>
      <c r="CX12" s="1169"/>
      <c r="CY12" s="1169"/>
      <c r="CZ12" s="1169"/>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70"/>
      <c r="EJ12" s="1170"/>
      <c r="EK12" s="1170"/>
      <c r="EL12" s="1170"/>
      <c r="EM12" s="1170"/>
      <c r="EN12" s="1170"/>
      <c r="EO12" s="1170"/>
      <c r="EP12" s="1170"/>
      <c r="EQ12" s="1170"/>
      <c r="ER12" s="1170"/>
      <c r="ES12" s="1333"/>
      <c r="ET12" s="1333"/>
      <c r="EU12" s="1333"/>
      <c r="EV12" s="1333"/>
      <c r="EW12" s="1333"/>
      <c r="EX12" s="1333"/>
      <c r="EY12" s="1333"/>
      <c r="EZ12" s="1333"/>
      <c r="FA12" s="1333"/>
      <c r="FB12" s="1333"/>
      <c r="FC12" s="1333"/>
      <c r="FD12" s="1333"/>
      <c r="FE12" s="1333"/>
      <c r="FF12" s="1333"/>
      <c r="FG12" s="1333"/>
      <c r="FH12" s="1333"/>
      <c r="FI12" s="1333"/>
      <c r="FJ12" s="1333"/>
      <c r="FK12" s="1333"/>
      <c r="FL12" s="1333"/>
      <c r="FM12" s="1333"/>
      <c r="FN12" s="1333"/>
      <c r="FO12" s="1333"/>
      <c r="FP12" s="1333"/>
      <c r="FQ12" s="1333"/>
      <c r="FR12" s="1333"/>
      <c r="FS12" s="1333"/>
      <c r="FT12" s="1333"/>
      <c r="FU12" s="1333"/>
      <c r="FV12" s="1333"/>
      <c r="FW12" s="1333"/>
      <c r="FX12" s="1333"/>
      <c r="FY12" s="1333"/>
      <c r="FZ12" s="1333"/>
      <c r="GA12" s="1333"/>
      <c r="GB12" s="1333"/>
      <c r="GC12" s="1333"/>
      <c r="GD12" s="1333"/>
      <c r="GE12" s="1333"/>
      <c r="GF12" s="1333"/>
      <c r="GG12" s="1333"/>
      <c r="GH12" s="1333"/>
      <c r="GI12" s="1333"/>
      <c r="GJ12" s="1333"/>
      <c r="GK12" s="1333"/>
      <c r="GL12" s="1333"/>
      <c r="GM12" s="1333"/>
      <c r="GN12" s="1333"/>
      <c r="GO12" s="1333"/>
      <c r="GP12" s="1333"/>
      <c r="GQ12" s="1333"/>
      <c r="GR12" s="1333"/>
      <c r="GS12" s="1333"/>
      <c r="GT12" s="1333"/>
      <c r="GU12" s="1333"/>
      <c r="GV12" s="1333"/>
      <c r="GW12" s="1333"/>
      <c r="GX12" s="1333"/>
    </row>
    <row r="13" spans="1:206" s="607" customFormat="1">
      <c r="A13" s="607">
        <f t="shared" si="0"/>
        <v>1971</v>
      </c>
      <c r="B13" s="607">
        <f t="shared" si="1"/>
        <v>2</v>
      </c>
      <c r="C13" s="1173">
        <v>26056</v>
      </c>
      <c r="D13" s="1709"/>
      <c r="E13" s="1117"/>
      <c r="F13" s="1117"/>
      <c r="G13" s="1117"/>
      <c r="H13" s="1117"/>
      <c r="I13" s="959">
        <v>35.985771480000004</v>
      </c>
      <c r="J13" s="959">
        <v>40.520000000000003</v>
      </c>
      <c r="K13" s="960"/>
      <c r="L13" s="1121"/>
      <c r="M13" s="916"/>
      <c r="N13" s="916"/>
      <c r="O13" s="1332"/>
      <c r="P13" s="1332"/>
      <c r="Q13" s="1332"/>
      <c r="R13" s="1332"/>
      <c r="S13" s="1332"/>
      <c r="T13" s="1332"/>
      <c r="U13" s="1120"/>
      <c r="V13" s="1120"/>
      <c r="W13" s="1120"/>
      <c r="X13" s="1120"/>
      <c r="Y13" s="1119"/>
      <c r="Z13" s="1119"/>
      <c r="AA13" s="1119"/>
      <c r="AB13" s="1119"/>
      <c r="AC13" s="1178"/>
      <c r="AD13" s="1178"/>
      <c r="AE13" s="1178"/>
      <c r="AF13" s="1178"/>
      <c r="AG13" s="1178"/>
      <c r="AH13" s="1178"/>
      <c r="AI13" s="1178"/>
      <c r="AJ13" s="1178"/>
      <c r="AK13" s="919"/>
      <c r="AL13" s="1104"/>
      <c r="AM13" s="919"/>
      <c r="AN13" s="1710"/>
      <c r="AO13" s="919"/>
      <c r="AP13" s="919"/>
      <c r="AS13" s="1167"/>
      <c r="AT13" s="1167"/>
      <c r="AU13" s="1168"/>
      <c r="AV13" s="1168"/>
      <c r="AW13" s="1169"/>
      <c r="AX13" s="1169"/>
      <c r="AY13" s="1169"/>
      <c r="AZ13" s="1169"/>
      <c r="BA13" s="1799" t="s">
        <v>0</v>
      </c>
      <c r="BB13" s="1802">
        <v>2015</v>
      </c>
      <c r="BC13" s="1799" t="s">
        <v>22</v>
      </c>
      <c r="BD13" s="1799">
        <v>5</v>
      </c>
      <c r="BE13" s="1800">
        <v>388934786</v>
      </c>
      <c r="BF13" s="1801">
        <v>8.4000000000000005E-2</v>
      </c>
      <c r="BG13" s="1799"/>
      <c r="BH13" s="1799" t="s">
        <v>0</v>
      </c>
      <c r="BI13" s="1799" t="s">
        <v>320</v>
      </c>
      <c r="BJ13" s="1799" t="s">
        <v>22</v>
      </c>
      <c r="BK13" s="1799">
        <v>5</v>
      </c>
      <c r="BL13" s="1800">
        <v>380193998.39999998</v>
      </c>
      <c r="BM13" s="1801">
        <v>8.513011044030401E-2</v>
      </c>
      <c r="BN13" s="1799">
        <v>2015</v>
      </c>
      <c r="BO13" s="1684"/>
      <c r="BP13" s="1696"/>
      <c r="BQ13" s="1169"/>
      <c r="BR13" s="1169"/>
      <c r="BS13" s="1169"/>
      <c r="BT13" s="1169"/>
      <c r="BU13" s="1169"/>
      <c r="BV13" s="1169"/>
      <c r="BW13" s="1169"/>
      <c r="BX13" s="1169"/>
      <c r="BY13" s="1169"/>
      <c r="BZ13" s="1169"/>
      <c r="CA13" s="1169"/>
      <c r="CB13" s="1169"/>
      <c r="CC13" s="1169"/>
      <c r="CD13" s="1169"/>
      <c r="CE13" s="1169"/>
      <c r="CF13" s="1169"/>
      <c r="CG13" s="1169"/>
      <c r="CH13" s="1169"/>
      <c r="CI13" s="1169"/>
      <c r="CJ13" s="1169"/>
      <c r="CK13" s="1169"/>
      <c r="CL13" s="1169"/>
      <c r="CM13" s="1169"/>
      <c r="CN13" s="1169"/>
      <c r="CO13" s="1169"/>
      <c r="CP13" s="1169"/>
      <c r="CQ13" s="1169"/>
      <c r="CR13" s="1169"/>
      <c r="CS13" s="1169"/>
      <c r="CT13" s="1169"/>
      <c r="CU13" s="1169"/>
      <c r="CV13" s="1169"/>
      <c r="CW13" s="1169"/>
      <c r="CX13" s="1169"/>
      <c r="CY13" s="1169"/>
      <c r="CZ13" s="1169"/>
      <c r="DA13" s="1168"/>
      <c r="DB13" s="1168"/>
      <c r="DC13" s="1168"/>
      <c r="DD13" s="1168"/>
      <c r="DE13" s="1168"/>
      <c r="DF13" s="1168"/>
      <c r="DG13" s="1168"/>
      <c r="DH13" s="1168"/>
      <c r="DI13" s="1168"/>
      <c r="DJ13" s="1168"/>
      <c r="DK13" s="1168"/>
      <c r="DL13" s="1168"/>
      <c r="DM13" s="1168"/>
      <c r="DN13" s="1168"/>
      <c r="DO13" s="1168"/>
      <c r="DP13" s="1168"/>
      <c r="DQ13" s="1168"/>
      <c r="DR13" s="1168"/>
      <c r="DS13" s="1168"/>
      <c r="DT13" s="1168"/>
      <c r="DU13" s="1168"/>
      <c r="DV13" s="1168"/>
      <c r="DW13" s="1168"/>
      <c r="DX13" s="1168"/>
      <c r="DY13" s="1168"/>
      <c r="DZ13" s="1168"/>
      <c r="EA13" s="1168"/>
      <c r="EB13" s="1168"/>
      <c r="EC13" s="1168"/>
      <c r="ED13" s="1168"/>
      <c r="EE13" s="1168"/>
      <c r="EF13" s="1168"/>
      <c r="EG13" s="1168"/>
      <c r="EH13" s="1168"/>
      <c r="EI13" s="1170"/>
      <c r="EJ13" s="1170"/>
      <c r="EK13" s="1170"/>
      <c r="EL13" s="1170"/>
      <c r="EM13" s="1170"/>
      <c r="EN13" s="1170"/>
      <c r="EO13" s="1170"/>
      <c r="EP13" s="1170"/>
      <c r="EQ13" s="1170"/>
      <c r="ER13" s="1170"/>
      <c r="ES13" s="1333"/>
      <c r="ET13" s="1333"/>
      <c r="EU13" s="1333"/>
      <c r="EV13" s="1333"/>
      <c r="EW13" s="1333"/>
      <c r="EX13" s="1333"/>
      <c r="EY13" s="1333"/>
      <c r="EZ13" s="1333"/>
      <c r="FA13" s="1333"/>
      <c r="FB13" s="1333"/>
      <c r="FC13" s="1333"/>
      <c r="FD13" s="1333"/>
      <c r="FE13" s="1333"/>
      <c r="FF13" s="1333"/>
      <c r="FG13" s="1333"/>
      <c r="FH13" s="1333"/>
      <c r="FI13" s="1333"/>
      <c r="FJ13" s="1333"/>
      <c r="FK13" s="1333"/>
      <c r="FL13" s="1333"/>
      <c r="FM13" s="1333"/>
      <c r="FN13" s="1333"/>
      <c r="FO13" s="1333"/>
      <c r="FP13" s="1333"/>
      <c r="FQ13" s="1333"/>
      <c r="FR13" s="1333"/>
      <c r="FS13" s="1333"/>
      <c r="FT13" s="1333"/>
      <c r="FU13" s="1333"/>
      <c r="FV13" s="1333"/>
      <c r="FW13" s="1333"/>
      <c r="FX13" s="1333"/>
      <c r="FY13" s="1333"/>
      <c r="FZ13" s="1333"/>
      <c r="GA13" s="1333"/>
      <c r="GB13" s="1333"/>
      <c r="GC13" s="1333"/>
      <c r="GD13" s="1333"/>
      <c r="GE13" s="1333"/>
      <c r="GF13" s="1333"/>
      <c r="GG13" s="1333"/>
      <c r="GH13" s="1333"/>
      <c r="GI13" s="1333"/>
      <c r="GJ13" s="1333"/>
      <c r="GK13" s="1333"/>
      <c r="GL13" s="1333"/>
      <c r="GM13" s="1333"/>
      <c r="GN13" s="1333"/>
      <c r="GO13" s="1333"/>
      <c r="GP13" s="1333"/>
      <c r="GQ13" s="1333"/>
      <c r="GR13" s="1333"/>
      <c r="GS13" s="1333"/>
      <c r="GT13" s="1333"/>
      <c r="GU13" s="1333"/>
      <c r="GV13" s="1333"/>
      <c r="GW13" s="1333"/>
      <c r="GX13" s="1333"/>
    </row>
    <row r="14" spans="1:206" s="607" customFormat="1">
      <c r="A14" s="607">
        <f t="shared" si="0"/>
        <v>1971</v>
      </c>
      <c r="B14" s="607">
        <f t="shared" si="1"/>
        <v>2</v>
      </c>
      <c r="C14" s="1173">
        <v>26085</v>
      </c>
      <c r="D14" s="957"/>
      <c r="E14" s="920"/>
      <c r="F14" s="920"/>
      <c r="G14" s="920"/>
      <c r="H14" s="920"/>
      <c r="I14" s="954">
        <v>35.581171099999999</v>
      </c>
      <c r="J14" s="954">
        <v>40.1</v>
      </c>
      <c r="K14" s="954"/>
      <c r="L14" s="920"/>
      <c r="M14" s="917"/>
      <c r="N14" s="917"/>
      <c r="O14" s="1334"/>
      <c r="P14" s="1334"/>
      <c r="Q14" s="1334"/>
      <c r="R14" s="1334"/>
      <c r="S14" s="1334"/>
      <c r="T14" s="1334"/>
      <c r="U14" s="920"/>
      <c r="V14" s="920"/>
      <c r="W14" s="920"/>
      <c r="X14" s="920"/>
      <c r="Y14" s="920"/>
      <c r="Z14" s="920"/>
      <c r="AA14" s="920"/>
      <c r="AB14" s="920"/>
      <c r="AC14" s="920"/>
      <c r="AD14" s="920"/>
      <c r="AE14" s="920"/>
      <c r="AF14" s="920"/>
      <c r="AG14" s="920"/>
      <c r="AH14" s="920"/>
      <c r="AI14" s="920"/>
      <c r="AJ14" s="920"/>
      <c r="AK14" s="920"/>
      <c r="AL14" s="1105"/>
      <c r="AM14" s="920"/>
      <c r="AN14" s="1711"/>
      <c r="AO14" s="920"/>
      <c r="AP14" s="920"/>
      <c r="AS14" s="1167"/>
      <c r="AT14" s="1167"/>
      <c r="AU14" s="1168"/>
      <c r="AV14" s="1168"/>
      <c r="AW14" s="1169"/>
      <c r="AX14" s="1169"/>
      <c r="AY14" s="1169"/>
      <c r="AZ14" s="1169"/>
      <c r="BA14" s="1799" t="s">
        <v>0</v>
      </c>
      <c r="BB14" s="1802">
        <v>2015</v>
      </c>
      <c r="BC14" s="1799" t="s">
        <v>21</v>
      </c>
      <c r="BD14" s="1799">
        <v>6</v>
      </c>
      <c r="BE14" s="1800">
        <v>238444141</v>
      </c>
      <c r="BF14" s="1801">
        <v>5.0999999999999997E-2</v>
      </c>
      <c r="BG14" s="1799"/>
      <c r="BH14" s="1799" t="s">
        <v>0</v>
      </c>
      <c r="BI14" s="1799" t="s">
        <v>320</v>
      </c>
      <c r="BJ14" s="1799" t="s">
        <v>21</v>
      </c>
      <c r="BK14" s="1799">
        <v>6</v>
      </c>
      <c r="BL14" s="1800">
        <v>277963487.05000001</v>
      </c>
      <c r="BM14" s="1801">
        <v>6.2239442101983788E-2</v>
      </c>
      <c r="BN14" s="1799">
        <v>2015</v>
      </c>
      <c r="BO14" s="1684"/>
      <c r="BP14" s="1697">
        <f>'Alumina and Bauxite - Prices'!A14</f>
        <v>43586</v>
      </c>
      <c r="BQ14" s="1169"/>
      <c r="BR14" s="1169"/>
      <c r="BS14" s="1169"/>
      <c r="BT14" s="1169"/>
      <c r="BU14" s="1169"/>
      <c r="BV14" s="1169"/>
      <c r="BW14" s="1169"/>
      <c r="BX14" s="1169"/>
      <c r="BY14" s="1169"/>
      <c r="BZ14" s="1169"/>
      <c r="CA14" s="1169"/>
      <c r="CB14" s="1169"/>
      <c r="CC14" s="1169"/>
      <c r="CD14" s="1169"/>
      <c r="CE14" s="1169"/>
      <c r="CF14" s="1169"/>
      <c r="CG14" s="1169"/>
      <c r="CH14" s="1169"/>
      <c r="CI14" s="1169"/>
      <c r="CJ14" s="1169"/>
      <c r="CK14" s="1169"/>
      <c r="CL14" s="1169"/>
      <c r="CM14" s="1169"/>
      <c r="CN14" s="1169"/>
      <c r="CO14" s="1169"/>
      <c r="CP14" s="1169"/>
      <c r="CQ14" s="1169"/>
      <c r="CR14" s="1169"/>
      <c r="CS14" s="1169"/>
      <c r="CT14" s="1169"/>
      <c r="CU14" s="1169"/>
      <c r="CV14" s="1169"/>
      <c r="CW14" s="1169"/>
      <c r="CX14" s="1169"/>
      <c r="CY14" s="1169"/>
      <c r="CZ14" s="1169"/>
      <c r="DA14" s="1168"/>
      <c r="DB14" s="1168"/>
      <c r="DC14" s="1168"/>
      <c r="DD14" s="1168"/>
      <c r="DE14" s="1168"/>
      <c r="DF14" s="1168"/>
      <c r="DG14" s="1168"/>
      <c r="DH14" s="1168"/>
      <c r="DI14" s="1168"/>
      <c r="DJ14" s="1168"/>
      <c r="DK14" s="1168"/>
      <c r="DL14" s="1168"/>
      <c r="DM14" s="1168"/>
      <c r="DN14" s="1168"/>
      <c r="DO14" s="1168"/>
      <c r="DP14" s="1168"/>
      <c r="DQ14" s="1168"/>
      <c r="DR14" s="1168"/>
      <c r="DS14" s="1168"/>
      <c r="DT14" s="1168"/>
      <c r="DU14" s="1168"/>
      <c r="DV14" s="1168"/>
      <c r="DW14" s="1168"/>
      <c r="DX14" s="1168"/>
      <c r="DY14" s="1168"/>
      <c r="DZ14" s="1168"/>
      <c r="EA14" s="1168"/>
      <c r="EB14" s="1168"/>
      <c r="EC14" s="1168"/>
      <c r="ED14" s="1168"/>
      <c r="EE14" s="1168"/>
      <c r="EF14" s="1168"/>
      <c r="EG14" s="1168"/>
      <c r="EH14" s="1168"/>
      <c r="EI14" s="1170"/>
      <c r="EJ14" s="1170"/>
      <c r="EK14" s="1170"/>
      <c r="EL14" s="1170"/>
      <c r="EM14" s="1170"/>
      <c r="EN14" s="1170"/>
      <c r="EO14" s="1170"/>
      <c r="EP14" s="1170"/>
      <c r="EQ14" s="1170"/>
      <c r="ER14" s="1170"/>
      <c r="ES14" s="1333"/>
      <c r="ET14" s="1333"/>
      <c r="EU14" s="1333"/>
      <c r="EV14" s="1333"/>
      <c r="EW14" s="1333"/>
      <c r="EX14" s="1333"/>
      <c r="EY14" s="1333"/>
      <c r="EZ14" s="1333"/>
      <c r="FA14" s="1333"/>
      <c r="FB14" s="1333"/>
      <c r="FC14" s="1333"/>
      <c r="FD14" s="1333"/>
      <c r="FE14" s="1333"/>
      <c r="FF14" s="1333"/>
      <c r="FG14" s="1333"/>
      <c r="FH14" s="1333"/>
      <c r="FI14" s="1333"/>
      <c r="FJ14" s="1333"/>
      <c r="FK14" s="1333"/>
      <c r="FL14" s="1333"/>
      <c r="FM14" s="1333"/>
      <c r="FN14" s="1333"/>
      <c r="FO14" s="1333"/>
      <c r="FP14" s="1333"/>
      <c r="FQ14" s="1333"/>
      <c r="FR14" s="1333"/>
      <c r="FS14" s="1333"/>
      <c r="FT14" s="1333"/>
      <c r="FU14" s="1333"/>
      <c r="FV14" s="1333"/>
      <c r="FW14" s="1333"/>
      <c r="FX14" s="1333"/>
      <c r="FY14" s="1333"/>
      <c r="FZ14" s="1333"/>
      <c r="GA14" s="1333"/>
      <c r="GB14" s="1333"/>
      <c r="GC14" s="1333"/>
      <c r="GD14" s="1333"/>
      <c r="GE14" s="1333"/>
      <c r="GF14" s="1333"/>
      <c r="GG14" s="1333"/>
      <c r="GH14" s="1333"/>
      <c r="GI14" s="1333"/>
      <c r="GJ14" s="1333"/>
      <c r="GK14" s="1333"/>
      <c r="GL14" s="1333"/>
      <c r="GM14" s="1333"/>
      <c r="GN14" s="1333"/>
      <c r="GO14" s="1333"/>
      <c r="GP14" s="1333"/>
      <c r="GQ14" s="1333"/>
      <c r="GR14" s="1333"/>
      <c r="GS14" s="1333"/>
      <c r="GT14" s="1333"/>
      <c r="GU14" s="1333"/>
      <c r="GV14" s="1333"/>
      <c r="GW14" s="1333"/>
      <c r="GX14" s="1333"/>
    </row>
    <row r="15" spans="1:206" s="607" customFormat="1">
      <c r="A15" s="607">
        <f t="shared" si="0"/>
        <v>1971</v>
      </c>
      <c r="B15" s="607">
        <f t="shared" si="1"/>
        <v>3</v>
      </c>
      <c r="C15" s="1173">
        <v>26115</v>
      </c>
      <c r="D15" s="1709"/>
      <c r="E15" s="1117"/>
      <c r="F15" s="1117"/>
      <c r="G15" s="1117"/>
      <c r="H15" s="1117"/>
      <c r="I15" s="959">
        <v>36.238948200000003</v>
      </c>
      <c r="J15" s="959">
        <v>40.950000000000003</v>
      </c>
      <c r="K15" s="960"/>
      <c r="L15" s="1121"/>
      <c r="M15" s="916"/>
      <c r="N15" s="916"/>
      <c r="O15" s="1332"/>
      <c r="P15" s="1332"/>
      <c r="Q15" s="1332"/>
      <c r="R15" s="1332"/>
      <c r="S15" s="1332"/>
      <c r="T15" s="1332"/>
      <c r="U15" s="1120"/>
      <c r="V15" s="1120"/>
      <c r="W15" s="1120"/>
      <c r="X15" s="1120"/>
      <c r="Y15" s="1119"/>
      <c r="Z15" s="1119"/>
      <c r="AA15" s="1119"/>
      <c r="AB15" s="1119"/>
      <c r="AC15" s="1178"/>
      <c r="AD15" s="1178"/>
      <c r="AE15" s="1178"/>
      <c r="AF15" s="1178"/>
      <c r="AG15" s="1178"/>
      <c r="AH15" s="1178"/>
      <c r="AI15" s="1178"/>
      <c r="AJ15" s="1178"/>
      <c r="AK15" s="919"/>
      <c r="AL15" s="1104"/>
      <c r="AM15" s="919"/>
      <c r="AN15" s="1710"/>
      <c r="AO15" s="919"/>
      <c r="AP15" s="919"/>
      <c r="AS15" s="1167"/>
      <c r="AT15" s="1167"/>
      <c r="AU15" s="1168"/>
      <c r="AV15" s="1168"/>
      <c r="AW15" s="1169"/>
      <c r="AX15" s="1169"/>
      <c r="AY15" s="1169"/>
      <c r="AZ15" s="1169"/>
      <c r="BA15" s="1799" t="s">
        <v>0</v>
      </c>
      <c r="BB15" s="1802">
        <v>2015</v>
      </c>
      <c r="BC15" s="1799" t="s">
        <v>431</v>
      </c>
      <c r="BD15" s="1799">
        <v>7</v>
      </c>
      <c r="BE15" s="1800">
        <v>230838006</v>
      </c>
      <c r="BF15" s="1801">
        <v>0.05</v>
      </c>
      <c r="BG15" s="1799"/>
      <c r="BH15" s="1799" t="s">
        <v>0</v>
      </c>
      <c r="BI15" s="1799" t="s">
        <v>320</v>
      </c>
      <c r="BJ15" s="1799" t="s">
        <v>18</v>
      </c>
      <c r="BK15" s="1799">
        <v>7</v>
      </c>
      <c r="BL15" s="1800">
        <v>188105271.33000001</v>
      </c>
      <c r="BM15" s="1801">
        <v>4.2119082863266613E-2</v>
      </c>
      <c r="BN15" s="1799">
        <v>2015</v>
      </c>
      <c r="BO15" s="1684"/>
      <c r="BP15" s="1696"/>
      <c r="BQ15" s="1169"/>
      <c r="BR15" s="1169"/>
      <c r="BS15" s="1169"/>
      <c r="BT15" s="1169"/>
      <c r="BU15" s="1169"/>
      <c r="BV15" s="1169"/>
      <c r="BW15" s="1169"/>
      <c r="BX15" s="1169"/>
      <c r="BY15" s="1169"/>
      <c r="BZ15" s="1169"/>
      <c r="CA15" s="1169"/>
      <c r="CB15" s="1169"/>
      <c r="CC15" s="1169"/>
      <c r="CD15" s="1169"/>
      <c r="CE15" s="1169"/>
      <c r="CF15" s="1169"/>
      <c r="CG15" s="1169"/>
      <c r="CH15" s="1169"/>
      <c r="CI15" s="1169"/>
      <c r="CJ15" s="1169"/>
      <c r="CK15" s="1169"/>
      <c r="CL15" s="1169"/>
      <c r="CM15" s="1169"/>
      <c r="CN15" s="1169"/>
      <c r="CO15" s="1169"/>
      <c r="CP15" s="1169"/>
      <c r="CQ15" s="1169"/>
      <c r="CR15" s="1169"/>
      <c r="CS15" s="1169"/>
      <c r="CT15" s="1169"/>
      <c r="CU15" s="1169"/>
      <c r="CV15" s="1169"/>
      <c r="CW15" s="1169"/>
      <c r="CX15" s="1169"/>
      <c r="CY15" s="1169"/>
      <c r="CZ15" s="1169"/>
      <c r="DA15" s="1168"/>
      <c r="DB15" s="1168"/>
      <c r="DC15" s="1168"/>
      <c r="DD15" s="1168"/>
      <c r="DE15" s="1168"/>
      <c r="DF15" s="1168"/>
      <c r="DG15" s="1168"/>
      <c r="DH15" s="1168"/>
      <c r="DI15" s="1168"/>
      <c r="DJ15" s="1168"/>
      <c r="DK15" s="1168"/>
      <c r="DL15" s="1168"/>
      <c r="DM15" s="1168"/>
      <c r="DN15" s="1168"/>
      <c r="DO15" s="1168"/>
      <c r="DP15" s="1168"/>
      <c r="DQ15" s="1168"/>
      <c r="DR15" s="1168"/>
      <c r="DS15" s="1168"/>
      <c r="DT15" s="1168"/>
      <c r="DU15" s="1168"/>
      <c r="DV15" s="1168"/>
      <c r="DW15" s="1168"/>
      <c r="DX15" s="1168"/>
      <c r="DY15" s="1168"/>
      <c r="DZ15" s="1168"/>
      <c r="EA15" s="1168"/>
      <c r="EB15" s="1168"/>
      <c r="EC15" s="1168"/>
      <c r="ED15" s="1168"/>
      <c r="EE15" s="1168"/>
      <c r="EF15" s="1168"/>
      <c r="EG15" s="1168"/>
      <c r="EH15" s="1168"/>
      <c r="EI15" s="1170"/>
      <c r="EJ15" s="1170"/>
      <c r="EK15" s="1170"/>
      <c r="EL15" s="1170"/>
      <c r="EM15" s="1170"/>
      <c r="EN15" s="1170"/>
      <c r="EO15" s="1170"/>
      <c r="EP15" s="1170"/>
      <c r="EQ15" s="1170"/>
      <c r="ER15" s="1170"/>
      <c r="ES15" s="1333"/>
      <c r="ET15" s="1333"/>
      <c r="EU15" s="1333"/>
      <c r="EV15" s="1333"/>
      <c r="EW15" s="1333"/>
      <c r="EX15" s="1333"/>
      <c r="EY15" s="1333"/>
      <c r="EZ15" s="1333"/>
      <c r="FA15" s="1333"/>
      <c r="FB15" s="1333"/>
      <c r="FC15" s="1333"/>
      <c r="FD15" s="1333"/>
      <c r="FE15" s="1333"/>
      <c r="FF15" s="1333"/>
      <c r="FG15" s="1333"/>
      <c r="FH15" s="1333"/>
      <c r="FI15" s="1333"/>
      <c r="FJ15" s="1333"/>
      <c r="FK15" s="1333"/>
      <c r="FL15" s="1333"/>
      <c r="FM15" s="1333"/>
      <c r="FN15" s="1333"/>
      <c r="FO15" s="1333"/>
      <c r="FP15" s="1333"/>
      <c r="FQ15" s="1333"/>
      <c r="FR15" s="1333"/>
      <c r="FS15" s="1333"/>
      <c r="FT15" s="1333"/>
      <c r="FU15" s="1333"/>
      <c r="FV15" s="1333"/>
      <c r="FW15" s="1333"/>
      <c r="FX15" s="1333"/>
      <c r="FY15" s="1333"/>
      <c r="FZ15" s="1333"/>
      <c r="GA15" s="1333"/>
      <c r="GB15" s="1333"/>
      <c r="GC15" s="1333"/>
      <c r="GD15" s="1333"/>
      <c r="GE15" s="1333"/>
      <c r="GF15" s="1333"/>
      <c r="GG15" s="1333"/>
      <c r="GH15" s="1333"/>
      <c r="GI15" s="1333"/>
      <c r="GJ15" s="1333"/>
      <c r="GK15" s="1333"/>
      <c r="GL15" s="1333"/>
      <c r="GM15" s="1333"/>
      <c r="GN15" s="1333"/>
      <c r="GO15" s="1333"/>
      <c r="GP15" s="1333"/>
      <c r="GQ15" s="1333"/>
      <c r="GR15" s="1333"/>
      <c r="GS15" s="1333"/>
      <c r="GT15" s="1333"/>
      <c r="GU15" s="1333"/>
      <c r="GV15" s="1333"/>
      <c r="GW15" s="1333"/>
      <c r="GX15" s="1333"/>
    </row>
    <row r="16" spans="1:206" s="607" customFormat="1">
      <c r="A16" s="607">
        <f t="shared" si="0"/>
        <v>1971</v>
      </c>
      <c r="B16" s="607">
        <f t="shared" si="1"/>
        <v>3</v>
      </c>
      <c r="C16" s="1173">
        <v>26147</v>
      </c>
      <c r="D16" s="957"/>
      <c r="E16" s="920"/>
      <c r="F16" s="920"/>
      <c r="G16" s="920"/>
      <c r="H16" s="920"/>
      <c r="I16" s="954">
        <v>37.171452620000004</v>
      </c>
      <c r="J16" s="954">
        <v>42.71</v>
      </c>
      <c r="K16" s="954"/>
      <c r="L16" s="920"/>
      <c r="M16" s="917"/>
      <c r="N16" s="917"/>
      <c r="O16" s="1334"/>
      <c r="P16" s="1334"/>
      <c r="Q16" s="1334"/>
      <c r="R16" s="1334"/>
      <c r="S16" s="1334"/>
      <c r="T16" s="1334"/>
      <c r="U16" s="920"/>
      <c r="V16" s="920"/>
      <c r="W16" s="920"/>
      <c r="X16" s="920"/>
      <c r="Y16" s="920"/>
      <c r="Z16" s="920"/>
      <c r="AA16" s="920"/>
      <c r="AB16" s="920"/>
      <c r="AC16" s="920"/>
      <c r="AD16" s="920"/>
      <c r="AE16" s="920"/>
      <c r="AF16" s="920"/>
      <c r="AG16" s="920"/>
      <c r="AH16" s="920"/>
      <c r="AI16" s="920"/>
      <c r="AJ16" s="920"/>
      <c r="AK16" s="920"/>
      <c r="AL16" s="1105"/>
      <c r="AM16" s="920"/>
      <c r="AN16" s="1711"/>
      <c r="AO16" s="920"/>
      <c r="AP16" s="920"/>
      <c r="AS16" s="1167"/>
      <c r="AT16" s="1167"/>
      <c r="AU16" s="1168"/>
      <c r="AV16" s="1168"/>
      <c r="AW16" s="1169"/>
      <c r="AX16" s="1169"/>
      <c r="AY16" s="1169"/>
      <c r="AZ16" s="1169"/>
      <c r="BA16" s="1799" t="s">
        <v>0</v>
      </c>
      <c r="BB16" s="1802">
        <v>2015</v>
      </c>
      <c r="BC16" s="1799" t="s">
        <v>25</v>
      </c>
      <c r="BD16" s="1799">
        <v>8</v>
      </c>
      <c r="BE16" s="1800">
        <v>189083062</v>
      </c>
      <c r="BF16" s="1801">
        <v>4.1000000000000002E-2</v>
      </c>
      <c r="BG16" s="1799"/>
      <c r="BH16" s="1799" t="s">
        <v>0</v>
      </c>
      <c r="BI16" s="1799" t="s">
        <v>320</v>
      </c>
      <c r="BJ16" s="1799" t="s">
        <v>19</v>
      </c>
      <c r="BK16" s="1799">
        <v>8</v>
      </c>
      <c r="BL16" s="1800">
        <v>174073011.62999997</v>
      </c>
      <c r="BM16" s="1801">
        <v>3.8977087400383914E-2</v>
      </c>
      <c r="BN16" s="1799">
        <v>2015</v>
      </c>
      <c r="BO16" s="1684"/>
      <c r="BP16" s="1696"/>
      <c r="BQ16" s="1169"/>
      <c r="BR16" s="1169"/>
      <c r="BS16" s="1169"/>
      <c r="BT16" s="1169"/>
      <c r="BU16" s="1169"/>
      <c r="BV16" s="1169"/>
      <c r="BW16" s="1169"/>
      <c r="BX16" s="1169"/>
      <c r="BY16" s="1169"/>
      <c r="BZ16" s="1169"/>
      <c r="CA16" s="1169"/>
      <c r="CB16" s="1169"/>
      <c r="CC16" s="1169"/>
      <c r="CD16" s="1169"/>
      <c r="CE16" s="1169"/>
      <c r="CF16" s="1169"/>
      <c r="CG16" s="1169"/>
      <c r="CH16" s="1169"/>
      <c r="CI16" s="1169"/>
      <c r="CJ16" s="1169"/>
      <c r="CK16" s="1169"/>
      <c r="CL16" s="1169"/>
      <c r="CM16" s="1169"/>
      <c r="CN16" s="1169"/>
      <c r="CO16" s="1169"/>
      <c r="CP16" s="1169"/>
      <c r="CQ16" s="1169"/>
      <c r="CR16" s="1169"/>
      <c r="CS16" s="1169"/>
      <c r="CT16" s="1169"/>
      <c r="CU16" s="1169"/>
      <c r="CV16" s="1169"/>
      <c r="CW16" s="1169"/>
      <c r="CX16" s="1169"/>
      <c r="CY16" s="1169"/>
      <c r="CZ16" s="1169"/>
      <c r="DA16" s="1168"/>
      <c r="DB16" s="1168"/>
      <c r="DC16" s="1168"/>
      <c r="DD16" s="1168"/>
      <c r="DE16" s="1168"/>
      <c r="DF16" s="1168"/>
      <c r="DG16" s="1168"/>
      <c r="DH16" s="1168"/>
      <c r="DI16" s="1168"/>
      <c r="DJ16" s="1168"/>
      <c r="DK16" s="1168"/>
      <c r="DL16" s="1168"/>
      <c r="DM16" s="1168"/>
      <c r="DN16" s="1168"/>
      <c r="DO16" s="1168"/>
      <c r="DP16" s="1168"/>
      <c r="DQ16" s="1168"/>
      <c r="DR16" s="1168"/>
      <c r="DS16" s="1168"/>
      <c r="DT16" s="1168"/>
      <c r="DU16" s="1168"/>
      <c r="DV16" s="1168"/>
      <c r="DW16" s="1168"/>
      <c r="DX16" s="1168"/>
      <c r="DY16" s="1168"/>
      <c r="DZ16" s="1168"/>
      <c r="EA16" s="1168"/>
      <c r="EB16" s="1168"/>
      <c r="EC16" s="1168"/>
      <c r="ED16" s="1168"/>
      <c r="EE16" s="1168"/>
      <c r="EF16" s="1168"/>
      <c r="EG16" s="1168"/>
      <c r="EH16" s="1168"/>
      <c r="EI16" s="1170"/>
      <c r="EJ16" s="1170"/>
      <c r="EK16" s="1170"/>
      <c r="EL16" s="1170"/>
      <c r="EM16" s="1170"/>
      <c r="EN16" s="1170"/>
      <c r="EO16" s="1170"/>
      <c r="EP16" s="1170"/>
      <c r="EQ16" s="1170"/>
      <c r="ER16" s="1170"/>
      <c r="ES16" s="1333"/>
      <c r="ET16" s="1333"/>
      <c r="EU16" s="1333"/>
      <c r="EV16" s="1333"/>
      <c r="EW16" s="1333"/>
      <c r="EX16" s="1333"/>
      <c r="EY16" s="1333"/>
      <c r="EZ16" s="1333"/>
      <c r="FA16" s="1333"/>
      <c r="FB16" s="1333"/>
      <c r="FC16" s="1333"/>
      <c r="FD16" s="1333"/>
      <c r="FE16" s="1333"/>
      <c r="FF16" s="1333"/>
      <c r="FG16" s="1333"/>
      <c r="FH16" s="1333"/>
      <c r="FI16" s="1333"/>
      <c r="FJ16" s="1333"/>
      <c r="FK16" s="1333"/>
      <c r="FL16" s="1333"/>
      <c r="FM16" s="1333"/>
      <c r="FN16" s="1333"/>
      <c r="FO16" s="1333"/>
      <c r="FP16" s="1333"/>
      <c r="FQ16" s="1333"/>
      <c r="FR16" s="1333"/>
      <c r="FS16" s="1333"/>
      <c r="FT16" s="1333"/>
      <c r="FU16" s="1333"/>
      <c r="FV16" s="1333"/>
      <c r="FW16" s="1333"/>
      <c r="FX16" s="1333"/>
      <c r="FY16" s="1333"/>
      <c r="FZ16" s="1333"/>
      <c r="GA16" s="1333"/>
      <c r="GB16" s="1333"/>
      <c r="GC16" s="1333"/>
      <c r="GD16" s="1333"/>
      <c r="GE16" s="1333"/>
      <c r="GF16" s="1333"/>
      <c r="GG16" s="1333"/>
      <c r="GH16" s="1333"/>
      <c r="GI16" s="1333"/>
      <c r="GJ16" s="1333"/>
      <c r="GK16" s="1333"/>
      <c r="GL16" s="1333"/>
      <c r="GM16" s="1333"/>
      <c r="GN16" s="1333"/>
      <c r="GO16" s="1333"/>
      <c r="GP16" s="1333"/>
      <c r="GQ16" s="1333"/>
      <c r="GR16" s="1333"/>
      <c r="GS16" s="1333"/>
      <c r="GT16" s="1333"/>
      <c r="GU16" s="1333"/>
      <c r="GV16" s="1333"/>
      <c r="GW16" s="1333"/>
      <c r="GX16" s="1333"/>
    </row>
    <row r="17" spans="1:206" s="607" customFormat="1">
      <c r="A17" s="607">
        <f t="shared" si="0"/>
        <v>1971</v>
      </c>
      <c r="B17" s="607">
        <f t="shared" si="1"/>
        <v>3</v>
      </c>
      <c r="C17" s="1173">
        <v>26177</v>
      </c>
      <c r="D17" s="1709"/>
      <c r="E17" s="1117"/>
      <c r="F17" s="1117"/>
      <c r="G17" s="1117"/>
      <c r="H17" s="1117"/>
      <c r="I17" s="959">
        <v>36.326697119999999</v>
      </c>
      <c r="J17" s="959">
        <v>42.03</v>
      </c>
      <c r="K17" s="960"/>
      <c r="L17" s="1121"/>
      <c r="M17" s="916"/>
      <c r="N17" s="916"/>
      <c r="O17" s="1332"/>
      <c r="P17" s="1332"/>
      <c r="Q17" s="1332"/>
      <c r="R17" s="1332"/>
      <c r="S17" s="1332"/>
      <c r="T17" s="1332"/>
      <c r="U17" s="1120"/>
      <c r="V17" s="1120"/>
      <c r="W17" s="1120"/>
      <c r="X17" s="1120"/>
      <c r="Y17" s="1119"/>
      <c r="Z17" s="1119"/>
      <c r="AA17" s="1119"/>
      <c r="AB17" s="1119"/>
      <c r="AC17" s="1178"/>
      <c r="AD17" s="1178"/>
      <c r="AE17" s="1178"/>
      <c r="AF17" s="1178"/>
      <c r="AG17" s="1178"/>
      <c r="AH17" s="1178"/>
      <c r="AI17" s="1178"/>
      <c r="AJ17" s="1178"/>
      <c r="AK17" s="919"/>
      <c r="AL17" s="1104"/>
      <c r="AM17" s="919"/>
      <c r="AN17" s="1710"/>
      <c r="AO17" s="919"/>
      <c r="AP17" s="919"/>
      <c r="AS17" s="1167"/>
      <c r="AT17" s="1167"/>
      <c r="AU17" s="1168"/>
      <c r="AV17" s="1168"/>
      <c r="AW17" s="1169"/>
      <c r="AX17" s="1169"/>
      <c r="AY17" s="1169"/>
      <c r="AZ17" s="1169"/>
      <c r="BA17" s="1799" t="s">
        <v>0</v>
      </c>
      <c r="BB17" s="1802">
        <v>2015</v>
      </c>
      <c r="BC17" s="1799" t="s">
        <v>19</v>
      </c>
      <c r="BD17" s="1799">
        <v>9</v>
      </c>
      <c r="BE17" s="1800">
        <v>183558887</v>
      </c>
      <c r="BF17" s="1801">
        <v>0.04</v>
      </c>
      <c r="BG17" s="1799"/>
      <c r="BH17" s="1799" t="s">
        <v>0</v>
      </c>
      <c r="BI17" s="1799" t="s">
        <v>320</v>
      </c>
      <c r="BJ17" s="1799" t="s">
        <v>431</v>
      </c>
      <c r="BK17" s="1799">
        <v>9</v>
      </c>
      <c r="BL17" s="1800">
        <v>164822533.56999999</v>
      </c>
      <c r="BM17" s="1801">
        <v>3.6905791635097038E-2</v>
      </c>
      <c r="BN17" s="1799">
        <v>2015</v>
      </c>
      <c r="BO17" s="1684"/>
      <c r="BP17" s="1697">
        <f>'Alumina and Bauxite - Prices'!A17</f>
        <v>43678</v>
      </c>
      <c r="BQ17" s="1169"/>
      <c r="BR17" s="1169"/>
      <c r="BS17" s="1169"/>
      <c r="BT17" s="1169"/>
      <c r="BU17" s="1169"/>
      <c r="BV17" s="1169"/>
      <c r="BW17" s="1169"/>
      <c r="BX17" s="1169"/>
      <c r="BY17" s="1169"/>
      <c r="BZ17" s="1169"/>
      <c r="CA17" s="1169"/>
      <c r="CB17" s="1169"/>
      <c r="CC17" s="1169"/>
      <c r="CD17" s="1169"/>
      <c r="CE17" s="1169"/>
      <c r="CF17" s="1169"/>
      <c r="CG17" s="1169"/>
      <c r="CH17" s="1169"/>
      <c r="CI17" s="1169"/>
      <c r="CJ17" s="1169"/>
      <c r="CK17" s="1169"/>
      <c r="CL17" s="1169"/>
      <c r="CM17" s="1169"/>
      <c r="CN17" s="1169"/>
      <c r="CO17" s="1169"/>
      <c r="CP17" s="1169"/>
      <c r="CQ17" s="1169"/>
      <c r="CR17" s="1169"/>
      <c r="CS17" s="1169"/>
      <c r="CT17" s="1169"/>
      <c r="CU17" s="1169"/>
      <c r="CV17" s="1169"/>
      <c r="CW17" s="1169"/>
      <c r="CX17" s="1169"/>
      <c r="CY17" s="1169"/>
      <c r="CZ17" s="1169"/>
      <c r="DA17" s="1168"/>
      <c r="DB17" s="1168"/>
      <c r="DC17" s="1168"/>
      <c r="DD17" s="1168"/>
      <c r="DE17" s="1168"/>
      <c r="DF17" s="1168"/>
      <c r="DG17" s="1168"/>
      <c r="DH17" s="1168"/>
      <c r="DI17" s="1168"/>
      <c r="DJ17" s="1168"/>
      <c r="DK17" s="1168"/>
      <c r="DL17" s="1168"/>
      <c r="DM17" s="1168"/>
      <c r="DN17" s="1168"/>
      <c r="DO17" s="1168"/>
      <c r="DP17" s="1168"/>
      <c r="DQ17" s="1168"/>
      <c r="DR17" s="1168"/>
      <c r="DS17" s="1168"/>
      <c r="DT17" s="1168"/>
      <c r="DU17" s="1168"/>
      <c r="DV17" s="1168"/>
      <c r="DW17" s="1168"/>
      <c r="DX17" s="1168"/>
      <c r="DY17" s="1168"/>
      <c r="DZ17" s="1168"/>
      <c r="EA17" s="1168"/>
      <c r="EB17" s="1168"/>
      <c r="EC17" s="1168"/>
      <c r="ED17" s="1168"/>
      <c r="EE17" s="1168"/>
      <c r="EF17" s="1168"/>
      <c r="EG17" s="1168"/>
      <c r="EH17" s="1168"/>
      <c r="EI17" s="1170"/>
      <c r="EJ17" s="1170"/>
      <c r="EK17" s="1170"/>
      <c r="EL17" s="1170"/>
      <c r="EM17" s="1170"/>
      <c r="EN17" s="1170"/>
      <c r="EO17" s="1170"/>
      <c r="EP17" s="1170"/>
      <c r="EQ17" s="1170"/>
      <c r="ER17" s="1170"/>
      <c r="ES17" s="1333"/>
      <c r="ET17" s="1333"/>
      <c r="EU17" s="1333"/>
      <c r="EV17" s="1333"/>
      <c r="EW17" s="1333"/>
      <c r="EX17" s="1333"/>
      <c r="EY17" s="1333"/>
      <c r="EZ17" s="1333"/>
      <c r="FA17" s="1333"/>
      <c r="FB17" s="1333"/>
      <c r="FC17" s="1333"/>
      <c r="FD17" s="1333"/>
      <c r="FE17" s="1333"/>
      <c r="FF17" s="1333"/>
      <c r="FG17" s="1333"/>
      <c r="FH17" s="1333"/>
      <c r="FI17" s="1333"/>
      <c r="FJ17" s="1333"/>
      <c r="FK17" s="1333"/>
      <c r="FL17" s="1333"/>
      <c r="FM17" s="1333"/>
      <c r="FN17" s="1333"/>
      <c r="FO17" s="1333"/>
      <c r="FP17" s="1333"/>
      <c r="FQ17" s="1333"/>
      <c r="FR17" s="1333"/>
      <c r="FS17" s="1333"/>
      <c r="FT17" s="1333"/>
      <c r="FU17" s="1333"/>
      <c r="FV17" s="1333"/>
      <c r="FW17" s="1333"/>
      <c r="FX17" s="1333"/>
      <c r="FY17" s="1333"/>
      <c r="FZ17" s="1333"/>
      <c r="GA17" s="1333"/>
      <c r="GB17" s="1333"/>
      <c r="GC17" s="1333"/>
      <c r="GD17" s="1333"/>
      <c r="GE17" s="1333"/>
      <c r="GF17" s="1333"/>
      <c r="GG17" s="1333"/>
      <c r="GH17" s="1333"/>
      <c r="GI17" s="1333"/>
      <c r="GJ17" s="1333"/>
      <c r="GK17" s="1333"/>
      <c r="GL17" s="1333"/>
      <c r="GM17" s="1333"/>
      <c r="GN17" s="1333"/>
      <c r="GO17" s="1333"/>
      <c r="GP17" s="1333"/>
      <c r="GQ17" s="1333"/>
      <c r="GR17" s="1333"/>
      <c r="GS17" s="1333"/>
      <c r="GT17" s="1333"/>
      <c r="GU17" s="1333"/>
      <c r="GV17" s="1333"/>
      <c r="GW17" s="1333"/>
      <c r="GX17" s="1333"/>
    </row>
    <row r="18" spans="1:206" s="607" customFormat="1">
      <c r="A18" s="607">
        <f t="shared" si="0"/>
        <v>1971</v>
      </c>
      <c r="B18" s="607">
        <f t="shared" si="1"/>
        <v>4</v>
      </c>
      <c r="C18" s="1173">
        <v>26207</v>
      </c>
      <c r="D18" s="957"/>
      <c r="E18" s="920"/>
      <c r="F18" s="920"/>
      <c r="G18" s="920"/>
      <c r="H18" s="920"/>
      <c r="I18" s="954">
        <v>36.574862500000002</v>
      </c>
      <c r="J18" s="954">
        <v>42.5</v>
      </c>
      <c r="K18" s="954"/>
      <c r="L18" s="920"/>
      <c r="M18" s="917"/>
      <c r="N18" s="917"/>
      <c r="O18" s="1334"/>
      <c r="P18" s="1334"/>
      <c r="Q18" s="1334"/>
      <c r="R18" s="1334"/>
      <c r="S18" s="1334"/>
      <c r="T18" s="1334"/>
      <c r="U18" s="920"/>
      <c r="V18" s="920"/>
      <c r="W18" s="920"/>
      <c r="X18" s="920"/>
      <c r="Y18" s="920"/>
      <c r="Z18" s="920"/>
      <c r="AA18" s="920"/>
      <c r="AB18" s="920"/>
      <c r="AC18" s="920"/>
      <c r="AD18" s="920"/>
      <c r="AE18" s="920"/>
      <c r="AF18" s="920"/>
      <c r="AG18" s="920"/>
      <c r="AH18" s="920"/>
      <c r="AI18" s="920"/>
      <c r="AJ18" s="920"/>
      <c r="AK18" s="920"/>
      <c r="AL18" s="1105"/>
      <c r="AM18" s="920"/>
      <c r="AN18" s="1711"/>
      <c r="AO18" s="920"/>
      <c r="AP18" s="920"/>
      <c r="AS18" s="1167"/>
      <c r="AT18" s="1167"/>
      <c r="AU18" s="1168"/>
      <c r="AV18" s="1168"/>
      <c r="AW18" s="1169"/>
      <c r="AX18" s="1169"/>
      <c r="AY18" s="1169"/>
      <c r="AZ18" s="1169"/>
      <c r="BA18" s="1799" t="s">
        <v>0</v>
      </c>
      <c r="BB18" s="1802">
        <v>2015</v>
      </c>
      <c r="BC18" s="1799" t="s">
        <v>26</v>
      </c>
      <c r="BD18" s="1799">
        <v>10</v>
      </c>
      <c r="BE18" s="1800">
        <v>176633337</v>
      </c>
      <c r="BF18" s="1801">
        <v>3.7999999999999999E-2</v>
      </c>
      <c r="BG18" s="1799"/>
      <c r="BH18" s="1799" t="s">
        <v>0</v>
      </c>
      <c r="BI18" s="1799" t="s">
        <v>320</v>
      </c>
      <c r="BJ18" s="1799" t="s">
        <v>25</v>
      </c>
      <c r="BK18" s="1799">
        <v>10</v>
      </c>
      <c r="BL18" s="1800">
        <v>150690887.59999999</v>
      </c>
      <c r="BM18" s="1801">
        <v>3.3741542364482097E-2</v>
      </c>
      <c r="BN18" s="1799">
        <v>2015</v>
      </c>
      <c r="BO18" s="1684"/>
      <c r="BP18" s="1696"/>
      <c r="BQ18" s="1169"/>
      <c r="BR18" s="1169"/>
      <c r="BS18" s="1169"/>
      <c r="BT18" s="1169"/>
      <c r="BU18" s="1169"/>
      <c r="BV18" s="1169"/>
      <c r="BW18" s="1169"/>
      <c r="BX18" s="1169"/>
      <c r="BY18" s="1169"/>
      <c r="BZ18" s="1169"/>
      <c r="CA18" s="1169"/>
      <c r="CB18" s="1169"/>
      <c r="CC18" s="1169"/>
      <c r="CD18" s="1169"/>
      <c r="CE18" s="1169"/>
      <c r="CF18" s="1169"/>
      <c r="CG18" s="1169"/>
      <c r="CH18" s="1169"/>
      <c r="CI18" s="1169"/>
      <c r="CJ18" s="1169"/>
      <c r="CK18" s="1169"/>
      <c r="CL18" s="1169"/>
      <c r="CM18" s="1169"/>
      <c r="CN18" s="1169"/>
      <c r="CO18" s="1169"/>
      <c r="CP18" s="1169"/>
      <c r="CQ18" s="1169"/>
      <c r="CR18" s="1169"/>
      <c r="CS18" s="1169"/>
      <c r="CT18" s="1169"/>
      <c r="CU18" s="1169"/>
      <c r="CV18" s="1169"/>
      <c r="CW18" s="1169"/>
      <c r="CX18" s="1169"/>
      <c r="CY18" s="1169"/>
      <c r="CZ18" s="1169"/>
      <c r="DA18" s="1168"/>
      <c r="DB18" s="1168"/>
      <c r="DC18" s="1168"/>
      <c r="DD18" s="1168"/>
      <c r="DE18" s="1168"/>
      <c r="DF18" s="1168"/>
      <c r="DG18" s="1168"/>
      <c r="DH18" s="1168"/>
      <c r="DI18" s="1168"/>
      <c r="DJ18" s="1168"/>
      <c r="DK18" s="1168"/>
      <c r="DL18" s="1168"/>
      <c r="DM18" s="1168"/>
      <c r="DN18" s="1168"/>
      <c r="DO18" s="1168"/>
      <c r="DP18" s="1168"/>
      <c r="DQ18" s="1168"/>
      <c r="DR18" s="1168"/>
      <c r="DS18" s="1168"/>
      <c r="DT18" s="1168"/>
      <c r="DU18" s="1168"/>
      <c r="DV18" s="1168"/>
      <c r="DW18" s="1168"/>
      <c r="DX18" s="1168"/>
      <c r="DY18" s="1168"/>
      <c r="DZ18" s="1168"/>
      <c r="EA18" s="1168"/>
      <c r="EB18" s="1168"/>
      <c r="EC18" s="1168"/>
      <c r="ED18" s="1168"/>
      <c r="EE18" s="1168"/>
      <c r="EF18" s="1168"/>
      <c r="EG18" s="1168"/>
      <c r="EH18" s="1168"/>
      <c r="EI18" s="1170"/>
      <c r="EJ18" s="1170"/>
      <c r="EK18" s="1170"/>
      <c r="EL18" s="1170"/>
      <c r="EM18" s="1170"/>
      <c r="EN18" s="1170"/>
      <c r="EO18" s="1170"/>
      <c r="EP18" s="1170"/>
      <c r="EQ18" s="1170"/>
      <c r="ER18" s="1170"/>
      <c r="ES18" s="1333"/>
      <c r="ET18" s="1333"/>
      <c r="EU18" s="1333"/>
      <c r="EV18" s="1333"/>
      <c r="EW18" s="1333"/>
      <c r="EX18" s="1333"/>
      <c r="EY18" s="1333"/>
      <c r="EZ18" s="1333"/>
      <c r="FA18" s="1333"/>
      <c r="FB18" s="1333"/>
      <c r="FC18" s="1333"/>
      <c r="FD18" s="1333"/>
      <c r="FE18" s="1333"/>
      <c r="FF18" s="1333"/>
      <c r="FG18" s="1333"/>
      <c r="FH18" s="1333"/>
      <c r="FI18" s="1333"/>
      <c r="FJ18" s="1333"/>
      <c r="FK18" s="1333"/>
      <c r="FL18" s="1333"/>
      <c r="FM18" s="1333"/>
      <c r="FN18" s="1333"/>
      <c r="FO18" s="1333"/>
      <c r="FP18" s="1333"/>
      <c r="FQ18" s="1333"/>
      <c r="FR18" s="1333"/>
      <c r="FS18" s="1333"/>
      <c r="FT18" s="1333"/>
      <c r="FU18" s="1333"/>
      <c r="FV18" s="1333"/>
      <c r="FW18" s="1333"/>
      <c r="FX18" s="1333"/>
      <c r="FY18" s="1333"/>
      <c r="FZ18" s="1333"/>
      <c r="GA18" s="1333"/>
      <c r="GB18" s="1333"/>
      <c r="GC18" s="1333"/>
      <c r="GD18" s="1333"/>
      <c r="GE18" s="1333"/>
      <c r="GF18" s="1333"/>
      <c r="GG18" s="1333"/>
      <c r="GH18" s="1333"/>
      <c r="GI18" s="1333"/>
      <c r="GJ18" s="1333"/>
      <c r="GK18" s="1333"/>
      <c r="GL18" s="1333"/>
      <c r="GM18" s="1333"/>
      <c r="GN18" s="1333"/>
      <c r="GO18" s="1333"/>
      <c r="GP18" s="1333"/>
      <c r="GQ18" s="1333"/>
      <c r="GR18" s="1333"/>
      <c r="GS18" s="1333"/>
      <c r="GT18" s="1333"/>
      <c r="GU18" s="1333"/>
      <c r="GV18" s="1333"/>
      <c r="GW18" s="1333"/>
      <c r="GX18" s="1333"/>
    </row>
    <row r="19" spans="1:206" s="607" customFormat="1">
      <c r="A19" s="607">
        <f t="shared" si="0"/>
        <v>1971</v>
      </c>
      <c r="B19" s="607">
        <f t="shared" si="1"/>
        <v>4</v>
      </c>
      <c r="C19" s="1173">
        <v>26238</v>
      </c>
      <c r="D19" s="1709"/>
      <c r="E19" s="1117"/>
      <c r="F19" s="1117"/>
      <c r="G19" s="1117"/>
      <c r="H19" s="1117"/>
      <c r="I19" s="959">
        <v>36.884673100000001</v>
      </c>
      <c r="J19" s="959">
        <v>42.86</v>
      </c>
      <c r="K19" s="960"/>
      <c r="L19" s="1121"/>
      <c r="M19" s="916"/>
      <c r="N19" s="916"/>
      <c r="O19" s="1332"/>
      <c r="P19" s="1332"/>
      <c r="Q19" s="1332"/>
      <c r="R19" s="1332"/>
      <c r="S19" s="1332"/>
      <c r="T19" s="1332"/>
      <c r="U19" s="1120"/>
      <c r="V19" s="1120"/>
      <c r="W19" s="1120"/>
      <c r="X19" s="1120"/>
      <c r="Y19" s="1119"/>
      <c r="Z19" s="1119"/>
      <c r="AA19" s="1119"/>
      <c r="AB19" s="1119"/>
      <c r="AC19" s="1178"/>
      <c r="AD19" s="1178"/>
      <c r="AE19" s="1178"/>
      <c r="AF19" s="1178"/>
      <c r="AG19" s="1178"/>
      <c r="AH19" s="1178"/>
      <c r="AI19" s="1178"/>
      <c r="AJ19" s="1178"/>
      <c r="AK19" s="919"/>
      <c r="AL19" s="1104"/>
      <c r="AM19" s="919"/>
      <c r="AN19" s="1710"/>
      <c r="AO19" s="919"/>
      <c r="AP19" s="919"/>
      <c r="AS19" s="1167"/>
      <c r="AT19" s="1167"/>
      <c r="AU19" s="1168"/>
      <c r="AV19" s="1168"/>
      <c r="AW19" s="1169"/>
      <c r="AX19" s="1169"/>
      <c r="AY19" s="1169"/>
      <c r="AZ19" s="1169"/>
      <c r="BA19" s="1799" t="s">
        <v>0</v>
      </c>
      <c r="BB19" s="1802">
        <v>2015</v>
      </c>
      <c r="BC19" s="1799" t="s">
        <v>32</v>
      </c>
      <c r="BD19" s="1799"/>
      <c r="BE19" s="1800">
        <v>542086836</v>
      </c>
      <c r="BF19" s="1801">
        <v>0.11700000000000001</v>
      </c>
      <c r="BG19" s="1799"/>
      <c r="BH19" s="1799" t="s">
        <v>0</v>
      </c>
      <c r="BI19" s="1799" t="s">
        <v>320</v>
      </c>
      <c r="BJ19" s="1799" t="s">
        <v>32</v>
      </c>
      <c r="BK19" s="1799"/>
      <c r="BL19" s="1800">
        <v>598448497.93000078</v>
      </c>
      <c r="BM19" s="1801">
        <v>0.13399997615957901</v>
      </c>
      <c r="BN19" s="1799">
        <v>2015</v>
      </c>
      <c r="BO19" s="1684"/>
      <c r="BP19" s="1696"/>
      <c r="BQ19" s="1169"/>
      <c r="BR19" s="1169"/>
      <c r="BS19" s="1169"/>
      <c r="BT19" s="1169"/>
      <c r="BU19" s="1169"/>
      <c r="BV19" s="1169"/>
      <c r="BW19" s="1169"/>
      <c r="BX19" s="1169"/>
      <c r="BY19" s="1169"/>
      <c r="BZ19" s="1169"/>
      <c r="CA19" s="1169"/>
      <c r="CB19" s="1169"/>
      <c r="CC19" s="1169"/>
      <c r="CD19" s="1169"/>
      <c r="CE19" s="1169"/>
      <c r="CF19" s="1169"/>
      <c r="CG19" s="1169"/>
      <c r="CH19" s="1169"/>
      <c r="CI19" s="1169"/>
      <c r="CJ19" s="1169"/>
      <c r="CK19" s="1169"/>
      <c r="CL19" s="1169"/>
      <c r="CM19" s="1169"/>
      <c r="CN19" s="1169"/>
      <c r="CO19" s="1169"/>
      <c r="CP19" s="1169"/>
      <c r="CQ19" s="1169"/>
      <c r="CR19" s="1169"/>
      <c r="CS19" s="1169"/>
      <c r="CT19" s="1169"/>
      <c r="CU19" s="1169"/>
      <c r="CV19" s="1169"/>
      <c r="CW19" s="1169"/>
      <c r="CX19" s="1169"/>
      <c r="CY19" s="1169"/>
      <c r="CZ19" s="1169"/>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70"/>
      <c r="EJ19" s="1170"/>
      <c r="EK19" s="1170"/>
      <c r="EL19" s="1170"/>
      <c r="EM19" s="1170"/>
      <c r="EN19" s="1170"/>
      <c r="EO19" s="1170"/>
      <c r="EP19" s="1170"/>
      <c r="EQ19" s="1170"/>
      <c r="ER19" s="1170"/>
      <c r="ES19" s="1333"/>
      <c r="ET19" s="1333"/>
      <c r="EU19" s="1333"/>
      <c r="EV19" s="1333"/>
      <c r="EW19" s="1333"/>
      <c r="EX19" s="1333"/>
      <c r="EY19" s="1333"/>
      <c r="EZ19" s="1333"/>
      <c r="FA19" s="1333"/>
      <c r="FB19" s="1333"/>
      <c r="FC19" s="1333"/>
      <c r="FD19" s="1333"/>
      <c r="FE19" s="1333"/>
      <c r="FF19" s="1333"/>
      <c r="FG19" s="1333"/>
      <c r="FH19" s="1333"/>
      <c r="FI19" s="1333"/>
      <c r="FJ19" s="1333"/>
      <c r="FK19" s="1333"/>
      <c r="FL19" s="1333"/>
      <c r="FM19" s="1333"/>
      <c r="FN19" s="1333"/>
      <c r="FO19" s="1333"/>
      <c r="FP19" s="1333"/>
      <c r="FQ19" s="1333"/>
      <c r="FR19" s="1333"/>
      <c r="FS19" s="1333"/>
      <c r="FT19" s="1333"/>
      <c r="FU19" s="1333"/>
      <c r="FV19" s="1333"/>
      <c r="FW19" s="1333"/>
      <c r="FX19" s="1333"/>
      <c r="FY19" s="1333"/>
      <c r="FZ19" s="1333"/>
      <c r="GA19" s="1333"/>
      <c r="GB19" s="1333"/>
      <c r="GC19" s="1333"/>
      <c r="GD19" s="1333"/>
      <c r="GE19" s="1333"/>
      <c r="GF19" s="1333"/>
      <c r="GG19" s="1333"/>
      <c r="GH19" s="1333"/>
      <c r="GI19" s="1333"/>
      <c r="GJ19" s="1333"/>
      <c r="GK19" s="1333"/>
      <c r="GL19" s="1333"/>
      <c r="GM19" s="1333"/>
      <c r="GN19" s="1333"/>
      <c r="GO19" s="1333"/>
      <c r="GP19" s="1333"/>
      <c r="GQ19" s="1333"/>
      <c r="GR19" s="1333"/>
      <c r="GS19" s="1333"/>
      <c r="GT19" s="1333"/>
      <c r="GU19" s="1333"/>
      <c r="GV19" s="1333"/>
      <c r="GW19" s="1333"/>
      <c r="GX19" s="1333"/>
    </row>
    <row r="20" spans="1:206" s="607" customFormat="1">
      <c r="A20" s="607">
        <f t="shared" si="0"/>
        <v>1971</v>
      </c>
      <c r="B20" s="607">
        <f t="shared" si="1"/>
        <v>4</v>
      </c>
      <c r="C20" s="1173">
        <v>26268</v>
      </c>
      <c r="D20" s="957"/>
      <c r="E20" s="920"/>
      <c r="F20" s="920"/>
      <c r="G20" s="920"/>
      <c r="H20" s="920"/>
      <c r="I20" s="954">
        <v>36.507155879999999</v>
      </c>
      <c r="J20" s="954">
        <v>43.48</v>
      </c>
      <c r="K20" s="954"/>
      <c r="L20" s="920"/>
      <c r="M20" s="917"/>
      <c r="N20" s="917"/>
      <c r="O20" s="1334"/>
      <c r="P20" s="1334"/>
      <c r="Q20" s="1334"/>
      <c r="R20" s="1334"/>
      <c r="S20" s="1334"/>
      <c r="T20" s="1334"/>
      <c r="U20" s="920"/>
      <c r="V20" s="920"/>
      <c r="W20" s="920"/>
      <c r="X20" s="920"/>
      <c r="Y20" s="920"/>
      <c r="Z20" s="920"/>
      <c r="AA20" s="920"/>
      <c r="AB20" s="920"/>
      <c r="AC20" s="920"/>
      <c r="AD20" s="920"/>
      <c r="AE20" s="920"/>
      <c r="AF20" s="920"/>
      <c r="AG20" s="920"/>
      <c r="AH20" s="920"/>
      <c r="AI20" s="920"/>
      <c r="AJ20" s="920"/>
      <c r="AK20" s="920"/>
      <c r="AL20" s="1105"/>
      <c r="AM20" s="920"/>
      <c r="AN20" s="1711"/>
      <c r="AO20" s="920"/>
      <c r="AP20" s="920"/>
      <c r="AS20" s="1167"/>
      <c r="AT20" s="1167"/>
      <c r="AU20" s="1168"/>
      <c r="AV20" s="1168"/>
      <c r="AW20" s="1169"/>
      <c r="AX20" s="1169"/>
      <c r="AY20" s="1169"/>
      <c r="AZ20" s="1169"/>
      <c r="BA20" s="1799" t="s">
        <v>0</v>
      </c>
      <c r="BB20" s="1802">
        <v>2015</v>
      </c>
      <c r="BC20" s="1799" t="s">
        <v>249</v>
      </c>
      <c r="BD20" s="1799"/>
      <c r="BE20" s="1800">
        <v>4632530370</v>
      </c>
      <c r="BF20" s="1801">
        <v>1</v>
      </c>
      <c r="BG20" s="1799"/>
      <c r="BH20" s="1799" t="s">
        <v>0</v>
      </c>
      <c r="BI20" s="1799" t="s">
        <v>320</v>
      </c>
      <c r="BJ20" s="1799" t="s">
        <v>249</v>
      </c>
      <c r="BK20" s="1799"/>
      <c r="BL20" s="1800">
        <v>4466034361.210001</v>
      </c>
      <c r="BM20" s="1801"/>
      <c r="BN20" s="1799">
        <v>2015</v>
      </c>
      <c r="BO20" s="1684"/>
      <c r="BP20" s="1697">
        <f>'Alumina and Bauxite - Prices'!A20</f>
        <v>43770</v>
      </c>
      <c r="BQ20" s="1169"/>
      <c r="BR20" s="1169"/>
      <c r="BS20" s="1169"/>
      <c r="BT20" s="1169"/>
      <c r="BU20" s="1169"/>
      <c r="BV20" s="1169"/>
      <c r="BW20" s="1169"/>
      <c r="BX20" s="1169"/>
      <c r="BY20" s="1169"/>
      <c r="BZ20" s="1169"/>
      <c r="CA20" s="1169"/>
      <c r="CB20" s="1169"/>
      <c r="CC20" s="1169"/>
      <c r="CD20" s="1169"/>
      <c r="CE20" s="1169"/>
      <c r="CF20" s="1169"/>
      <c r="CG20" s="1169"/>
      <c r="CH20" s="1169"/>
      <c r="CI20" s="1169"/>
      <c r="CJ20" s="1169"/>
      <c r="CK20" s="1169"/>
      <c r="CL20" s="1169"/>
      <c r="CM20" s="1169"/>
      <c r="CN20" s="1169"/>
      <c r="CO20" s="1169"/>
      <c r="CP20" s="1169"/>
      <c r="CQ20" s="1169"/>
      <c r="CR20" s="1169"/>
      <c r="CS20" s="1169"/>
      <c r="CT20" s="1169"/>
      <c r="CU20" s="1169"/>
      <c r="CV20" s="1169"/>
      <c r="CW20" s="1169"/>
      <c r="CX20" s="1169"/>
      <c r="CY20" s="1169"/>
      <c r="CZ20" s="1169"/>
      <c r="DA20" s="1168"/>
      <c r="DB20" s="1168"/>
      <c r="DC20" s="1168"/>
      <c r="DD20" s="1168"/>
      <c r="DE20" s="1168"/>
      <c r="DF20" s="1168"/>
      <c r="DG20" s="1168"/>
      <c r="DH20" s="1168"/>
      <c r="DI20" s="1168"/>
      <c r="DJ20" s="1168"/>
      <c r="DK20" s="1168"/>
      <c r="DL20" s="1168"/>
      <c r="DM20" s="1168"/>
      <c r="DN20" s="1168"/>
      <c r="DO20" s="1168"/>
      <c r="DP20" s="1168"/>
      <c r="DQ20" s="1168"/>
      <c r="DR20" s="1168"/>
      <c r="DS20" s="1168"/>
      <c r="DT20" s="1168"/>
      <c r="DU20" s="1168"/>
      <c r="DV20" s="1168"/>
      <c r="DW20" s="1168"/>
      <c r="DX20" s="1168"/>
      <c r="DY20" s="1168"/>
      <c r="DZ20" s="1168"/>
      <c r="EA20" s="1168"/>
      <c r="EB20" s="1168"/>
      <c r="EC20" s="1168"/>
      <c r="ED20" s="1168"/>
      <c r="EE20" s="1168"/>
      <c r="EF20" s="1168"/>
      <c r="EG20" s="1168"/>
      <c r="EH20" s="1168"/>
      <c r="EI20" s="1170"/>
      <c r="EJ20" s="1170"/>
      <c r="EK20" s="1170"/>
      <c r="EL20" s="1170"/>
      <c r="EM20" s="1170"/>
      <c r="EN20" s="1170"/>
      <c r="EO20" s="1170"/>
      <c r="EP20" s="1170"/>
      <c r="EQ20" s="1170"/>
      <c r="ER20" s="1170"/>
      <c r="ES20" s="1333"/>
      <c r="ET20" s="1333"/>
      <c r="EU20" s="1333"/>
      <c r="EV20" s="1333"/>
      <c r="EW20" s="1333"/>
      <c r="EX20" s="1333"/>
      <c r="EY20" s="1333"/>
      <c r="EZ20" s="1333"/>
      <c r="FA20" s="1333"/>
      <c r="FB20" s="1333"/>
      <c r="FC20" s="1333"/>
      <c r="FD20" s="1333"/>
      <c r="FE20" s="1333"/>
      <c r="FF20" s="1333"/>
      <c r="FG20" s="1333"/>
      <c r="FH20" s="1333"/>
      <c r="FI20" s="1333"/>
      <c r="FJ20" s="1333"/>
      <c r="FK20" s="1333"/>
      <c r="FL20" s="1333"/>
      <c r="FM20" s="1333"/>
      <c r="FN20" s="1333"/>
      <c r="FO20" s="1333"/>
      <c r="FP20" s="1333"/>
      <c r="FQ20" s="1333"/>
      <c r="FR20" s="1333"/>
      <c r="FS20" s="1333"/>
      <c r="FT20" s="1333"/>
      <c r="FU20" s="1333"/>
      <c r="FV20" s="1333"/>
      <c r="FW20" s="1333"/>
      <c r="FX20" s="1333"/>
      <c r="FY20" s="1333"/>
      <c r="FZ20" s="1333"/>
      <c r="GA20" s="1333"/>
      <c r="GB20" s="1333"/>
      <c r="GC20" s="1333"/>
      <c r="GD20" s="1333"/>
      <c r="GE20" s="1333"/>
      <c r="GF20" s="1333"/>
      <c r="GG20" s="1333"/>
      <c r="GH20" s="1333"/>
      <c r="GI20" s="1333"/>
      <c r="GJ20" s="1333"/>
      <c r="GK20" s="1333"/>
      <c r="GL20" s="1333"/>
      <c r="GM20" s="1333"/>
      <c r="GN20" s="1333"/>
      <c r="GO20" s="1333"/>
      <c r="GP20" s="1333"/>
      <c r="GQ20" s="1333"/>
      <c r="GR20" s="1333"/>
      <c r="GS20" s="1333"/>
      <c r="GT20" s="1333"/>
      <c r="GU20" s="1333"/>
      <c r="GV20" s="1333"/>
      <c r="GW20" s="1333"/>
      <c r="GX20" s="1333"/>
    </row>
    <row r="21" spans="1:206" s="607" customFormat="1">
      <c r="A21" s="607">
        <f t="shared" si="0"/>
        <v>1972</v>
      </c>
      <c r="B21" s="607">
        <f t="shared" si="1"/>
        <v>1</v>
      </c>
      <c r="C21" s="1173">
        <v>26301</v>
      </c>
      <c r="D21" s="1709"/>
      <c r="E21" s="1117"/>
      <c r="F21" s="1117"/>
      <c r="G21" s="1117"/>
      <c r="H21" s="1117"/>
      <c r="I21" s="959">
        <v>38.413118250000004</v>
      </c>
      <c r="J21" s="959">
        <v>45.75</v>
      </c>
      <c r="K21" s="960"/>
      <c r="L21" s="1121"/>
      <c r="M21" s="916"/>
      <c r="N21" s="916"/>
      <c r="O21" s="1332"/>
      <c r="P21" s="1332"/>
      <c r="Q21" s="1332"/>
      <c r="R21" s="1332"/>
      <c r="S21" s="1332"/>
      <c r="T21" s="1332"/>
      <c r="U21" s="1120"/>
      <c r="V21" s="1120"/>
      <c r="W21" s="1120"/>
      <c r="X21" s="1120"/>
      <c r="Y21" s="1119"/>
      <c r="Z21" s="1119"/>
      <c r="AA21" s="1119"/>
      <c r="AB21" s="1119"/>
      <c r="AC21" s="1178"/>
      <c r="AD21" s="1178"/>
      <c r="AE21" s="1178"/>
      <c r="AF21" s="1178"/>
      <c r="AG21" s="1178"/>
      <c r="AH21" s="1178"/>
      <c r="AI21" s="1178"/>
      <c r="AJ21" s="1178"/>
      <c r="AK21" s="919"/>
      <c r="AL21" s="1104"/>
      <c r="AM21" s="919"/>
      <c r="AN21" s="1710"/>
      <c r="AO21" s="919"/>
      <c r="AP21" s="919"/>
      <c r="AS21" s="1167"/>
      <c r="AT21" s="1167"/>
      <c r="AU21" s="1168"/>
      <c r="AV21" s="1168"/>
      <c r="AW21" s="1169"/>
      <c r="AX21" s="1169"/>
      <c r="AY21" s="1169"/>
      <c r="AZ21" s="1169"/>
      <c r="BA21" s="1799" t="s">
        <v>0</v>
      </c>
      <c r="BB21" s="1802">
        <v>2014</v>
      </c>
      <c r="BC21" s="1799" t="s">
        <v>29</v>
      </c>
      <c r="BD21" s="1799">
        <v>1</v>
      </c>
      <c r="BE21" s="1800">
        <v>640295054</v>
      </c>
      <c r="BF21" s="1801">
        <v>0.17699999999999999</v>
      </c>
      <c r="BG21" s="1799"/>
      <c r="BH21" s="1799" t="s">
        <v>0</v>
      </c>
      <c r="BI21" s="1799" t="s">
        <v>319</v>
      </c>
      <c r="BJ21" s="1799" t="s">
        <v>29</v>
      </c>
      <c r="BK21" s="1799">
        <v>1</v>
      </c>
      <c r="BL21" s="1800">
        <v>758669887</v>
      </c>
      <c r="BM21" s="1801">
        <v>0.18</v>
      </c>
      <c r="BN21" s="1799">
        <v>2014</v>
      </c>
      <c r="BO21" s="1684"/>
      <c r="BP21" s="1696"/>
      <c r="BQ21" s="1169"/>
      <c r="BR21" s="1169"/>
      <c r="BS21" s="1169"/>
      <c r="BT21" s="1169"/>
      <c r="BU21" s="1169"/>
      <c r="BV21" s="1169"/>
      <c r="BW21" s="1169"/>
      <c r="BX21" s="1169"/>
      <c r="BY21" s="1169"/>
      <c r="BZ21" s="1169"/>
      <c r="CA21" s="1169"/>
      <c r="CB21" s="1169"/>
      <c r="CC21" s="1169"/>
      <c r="CD21" s="1169"/>
      <c r="CE21" s="1169"/>
      <c r="CF21" s="1169"/>
      <c r="CG21" s="1169"/>
      <c r="CH21" s="1169"/>
      <c r="CI21" s="1169"/>
      <c r="CJ21" s="1169"/>
      <c r="CK21" s="1169"/>
      <c r="CL21" s="1169"/>
      <c r="CM21" s="1169"/>
      <c r="CN21" s="1169"/>
      <c r="CO21" s="1169"/>
      <c r="CP21" s="1169"/>
      <c r="CQ21" s="1169"/>
      <c r="CR21" s="1169"/>
      <c r="CS21" s="1169"/>
      <c r="CT21" s="1169"/>
      <c r="CU21" s="1169"/>
      <c r="CV21" s="1169"/>
      <c r="CW21" s="1169"/>
      <c r="CX21" s="1169"/>
      <c r="CY21" s="1169"/>
      <c r="CZ21" s="1169"/>
      <c r="DA21" s="1168"/>
      <c r="DB21" s="1168"/>
      <c r="DC21" s="1168"/>
      <c r="DD21" s="1168"/>
      <c r="DE21" s="1168"/>
      <c r="DF21" s="1168"/>
      <c r="DG21" s="1168"/>
      <c r="DH21" s="1168"/>
      <c r="DI21" s="1168"/>
      <c r="DJ21" s="1168"/>
      <c r="DK21" s="1168"/>
      <c r="DL21" s="1168"/>
      <c r="DM21" s="1168"/>
      <c r="DN21" s="1168"/>
      <c r="DO21" s="1168"/>
      <c r="DP21" s="1168"/>
      <c r="DQ21" s="1168"/>
      <c r="DR21" s="1168"/>
      <c r="DS21" s="1168"/>
      <c r="DT21" s="1168"/>
      <c r="DU21" s="1168"/>
      <c r="DV21" s="1168"/>
      <c r="DW21" s="1168"/>
      <c r="DX21" s="1168"/>
      <c r="DY21" s="1168"/>
      <c r="DZ21" s="1168"/>
      <c r="EA21" s="1168"/>
      <c r="EB21" s="1168"/>
      <c r="EC21" s="1168"/>
      <c r="ED21" s="1168"/>
      <c r="EE21" s="1168"/>
      <c r="EF21" s="1168"/>
      <c r="EG21" s="1168"/>
      <c r="EH21" s="1168"/>
      <c r="EI21" s="1170"/>
      <c r="EJ21" s="1170"/>
      <c r="EK21" s="1170"/>
      <c r="EL21" s="1170"/>
      <c r="EM21" s="1170"/>
      <c r="EN21" s="1170"/>
      <c r="EO21" s="1170"/>
      <c r="EP21" s="1170"/>
      <c r="EQ21" s="1170"/>
      <c r="ER21" s="1170"/>
      <c r="ES21" s="1333"/>
      <c r="ET21" s="1333"/>
      <c r="EU21" s="1333"/>
      <c r="EV21" s="1333"/>
      <c r="EW21" s="1333"/>
      <c r="EX21" s="1333"/>
      <c r="EY21" s="1333"/>
      <c r="EZ21" s="1333"/>
      <c r="FA21" s="1333"/>
      <c r="FB21" s="1333"/>
      <c r="FC21" s="1333"/>
      <c r="FD21" s="1333"/>
      <c r="FE21" s="1333"/>
      <c r="FF21" s="1333"/>
      <c r="FG21" s="1333"/>
      <c r="FH21" s="1333"/>
      <c r="FI21" s="1333"/>
      <c r="FJ21" s="1333"/>
      <c r="FK21" s="1333"/>
      <c r="FL21" s="1333"/>
      <c r="FM21" s="1333"/>
      <c r="FN21" s="1333"/>
      <c r="FO21" s="1333"/>
      <c r="FP21" s="1333"/>
      <c r="FQ21" s="1333"/>
      <c r="FR21" s="1333"/>
      <c r="FS21" s="1333"/>
      <c r="FT21" s="1333"/>
      <c r="FU21" s="1333"/>
      <c r="FV21" s="1333"/>
      <c r="FW21" s="1333"/>
      <c r="FX21" s="1333"/>
      <c r="FY21" s="1333"/>
      <c r="FZ21" s="1333"/>
      <c r="GA21" s="1333"/>
      <c r="GB21" s="1333"/>
      <c r="GC21" s="1333"/>
      <c r="GD21" s="1333"/>
      <c r="GE21" s="1333"/>
      <c r="GF21" s="1333"/>
      <c r="GG21" s="1333"/>
      <c r="GH21" s="1333"/>
      <c r="GI21" s="1333"/>
      <c r="GJ21" s="1333"/>
      <c r="GK21" s="1333"/>
      <c r="GL21" s="1333"/>
      <c r="GM21" s="1333"/>
      <c r="GN21" s="1333"/>
      <c r="GO21" s="1333"/>
      <c r="GP21" s="1333"/>
      <c r="GQ21" s="1333"/>
      <c r="GR21" s="1333"/>
      <c r="GS21" s="1333"/>
      <c r="GT21" s="1333"/>
      <c r="GU21" s="1333"/>
      <c r="GV21" s="1333"/>
      <c r="GW21" s="1333"/>
      <c r="GX21" s="1333"/>
    </row>
    <row r="22" spans="1:206" s="607" customFormat="1">
      <c r="A22" s="607">
        <f t="shared" si="0"/>
        <v>1972</v>
      </c>
      <c r="B22" s="607">
        <f t="shared" si="1"/>
        <v>1</v>
      </c>
      <c r="C22" s="1173">
        <v>26330</v>
      </c>
      <c r="D22" s="957"/>
      <c r="E22" s="920"/>
      <c r="F22" s="920"/>
      <c r="G22" s="920"/>
      <c r="H22" s="920"/>
      <c r="I22" s="954">
        <v>40.520592059999998</v>
      </c>
      <c r="J22" s="954">
        <v>48.26</v>
      </c>
      <c r="K22" s="954"/>
      <c r="L22" s="920"/>
      <c r="M22" s="917"/>
      <c r="N22" s="917"/>
      <c r="O22" s="1334"/>
      <c r="P22" s="1334"/>
      <c r="Q22" s="1334"/>
      <c r="R22" s="1334"/>
      <c r="S22" s="1334"/>
      <c r="T22" s="1334"/>
      <c r="U22" s="920"/>
      <c r="V22" s="920"/>
      <c r="W22" s="920"/>
      <c r="X22" s="920"/>
      <c r="Y22" s="920"/>
      <c r="Z22" s="920"/>
      <c r="AA22" s="920"/>
      <c r="AB22" s="920"/>
      <c r="AC22" s="920"/>
      <c r="AD22" s="920"/>
      <c r="AE22" s="920"/>
      <c r="AF22" s="920"/>
      <c r="AG22" s="920"/>
      <c r="AH22" s="920"/>
      <c r="AI22" s="920"/>
      <c r="AJ22" s="920"/>
      <c r="AK22" s="920"/>
      <c r="AL22" s="1105"/>
      <c r="AM22" s="920"/>
      <c r="AN22" s="1711"/>
      <c r="AO22" s="920"/>
      <c r="AP22" s="920"/>
      <c r="AS22" s="1167"/>
      <c r="AT22" s="1167"/>
      <c r="AU22" s="1168"/>
      <c r="AV22" s="1168"/>
      <c r="AW22" s="1169"/>
      <c r="AX22" s="1169"/>
      <c r="AY22" s="1169"/>
      <c r="AZ22" s="1169"/>
      <c r="BA22" s="1799" t="s">
        <v>0</v>
      </c>
      <c r="BB22" s="1802">
        <v>2014</v>
      </c>
      <c r="BC22" s="1799" t="s">
        <v>15</v>
      </c>
      <c r="BD22" s="1799">
        <v>2</v>
      </c>
      <c r="BE22" s="1800">
        <v>554354076</v>
      </c>
      <c r="BF22" s="1801">
        <v>0.153</v>
      </c>
      <c r="BG22" s="1799"/>
      <c r="BH22" s="1799" t="s">
        <v>0</v>
      </c>
      <c r="BI22" s="1799" t="s">
        <v>319</v>
      </c>
      <c r="BJ22" s="1799" t="s">
        <v>15</v>
      </c>
      <c r="BK22" s="1799">
        <v>2</v>
      </c>
      <c r="BL22" s="1800">
        <v>599875179</v>
      </c>
      <c r="BM22" s="1801">
        <v>0.14199999999999999</v>
      </c>
      <c r="BN22" s="1799">
        <v>2014</v>
      </c>
      <c r="BO22" s="1684"/>
      <c r="BP22" s="1696"/>
      <c r="BQ22" s="1169"/>
      <c r="BR22" s="1169"/>
      <c r="BS22" s="1169"/>
      <c r="BT22" s="1169"/>
      <c r="BU22" s="1169"/>
      <c r="BV22" s="1169"/>
      <c r="BW22" s="1169"/>
      <c r="BX22" s="1169"/>
      <c r="BY22" s="1169"/>
      <c r="BZ22" s="1169"/>
      <c r="CA22" s="1169"/>
      <c r="CB22" s="1169"/>
      <c r="CC22" s="1169"/>
      <c r="CD22" s="1169"/>
      <c r="CE22" s="1169"/>
      <c r="CF22" s="1169"/>
      <c r="CG22" s="1169"/>
      <c r="CH22" s="1169"/>
      <c r="CI22" s="1169"/>
      <c r="CJ22" s="1169"/>
      <c r="CK22" s="1169"/>
      <c r="CL22" s="1169"/>
      <c r="CM22" s="1169"/>
      <c r="CN22" s="1169"/>
      <c r="CO22" s="1169"/>
      <c r="CP22" s="1169"/>
      <c r="CQ22" s="1169"/>
      <c r="CR22" s="1169"/>
      <c r="CS22" s="1169"/>
      <c r="CT22" s="1169"/>
      <c r="CU22" s="1169"/>
      <c r="CV22" s="1169"/>
      <c r="CW22" s="1169"/>
      <c r="CX22" s="1169"/>
      <c r="CY22" s="1169"/>
      <c r="CZ22" s="1169"/>
      <c r="DA22" s="1168"/>
      <c r="DB22" s="1168"/>
      <c r="DC22" s="1168"/>
      <c r="DD22" s="1168"/>
      <c r="DE22" s="1168"/>
      <c r="DF22" s="1168"/>
      <c r="DG22" s="1168"/>
      <c r="DH22" s="1168"/>
      <c r="DI22" s="1168"/>
      <c r="DJ22" s="1168"/>
      <c r="DK22" s="1168"/>
      <c r="DL22" s="1168"/>
      <c r="DM22" s="1168"/>
      <c r="DN22" s="1168"/>
      <c r="DO22" s="1168"/>
      <c r="DP22" s="1168"/>
      <c r="DQ22" s="1168"/>
      <c r="DR22" s="1168"/>
      <c r="DS22" s="1168"/>
      <c r="DT22" s="1168"/>
      <c r="DU22" s="1168"/>
      <c r="DV22" s="1168"/>
      <c r="DW22" s="1168"/>
      <c r="DX22" s="1168"/>
      <c r="DY22" s="1168"/>
      <c r="DZ22" s="1168"/>
      <c r="EA22" s="1168"/>
      <c r="EB22" s="1168"/>
      <c r="EC22" s="1168"/>
      <c r="ED22" s="1168"/>
      <c r="EE22" s="1168"/>
      <c r="EF22" s="1168"/>
      <c r="EG22" s="1168"/>
      <c r="EH22" s="1168"/>
      <c r="EI22" s="1170"/>
      <c r="EJ22" s="1170"/>
      <c r="EK22" s="1170"/>
      <c r="EL22" s="1170"/>
      <c r="EM22" s="1170"/>
      <c r="EN22" s="1170"/>
      <c r="EO22" s="1170"/>
      <c r="EP22" s="1170"/>
      <c r="EQ22" s="1170"/>
      <c r="ER22" s="1170"/>
      <c r="ES22" s="1333"/>
      <c r="ET22" s="1333"/>
      <c r="EU22" s="1333"/>
      <c r="EV22" s="1333"/>
      <c r="EW22" s="1333"/>
      <c r="EX22" s="1333"/>
      <c r="EY22" s="1333"/>
      <c r="EZ22" s="1333"/>
      <c r="FA22" s="1333"/>
      <c r="FB22" s="1333"/>
      <c r="FC22" s="1333"/>
      <c r="FD22" s="1333"/>
      <c r="FE22" s="1333"/>
      <c r="FF22" s="1333"/>
      <c r="FG22" s="1333"/>
      <c r="FH22" s="1333"/>
      <c r="FI22" s="1333"/>
      <c r="FJ22" s="1333"/>
      <c r="FK22" s="1333"/>
      <c r="FL22" s="1333"/>
      <c r="FM22" s="1333"/>
      <c r="FN22" s="1333"/>
      <c r="FO22" s="1333"/>
      <c r="FP22" s="1333"/>
      <c r="FQ22" s="1333"/>
      <c r="FR22" s="1333"/>
      <c r="FS22" s="1333"/>
      <c r="FT22" s="1333"/>
      <c r="FU22" s="1333"/>
      <c r="FV22" s="1333"/>
      <c r="FW22" s="1333"/>
      <c r="FX22" s="1333"/>
      <c r="FY22" s="1333"/>
      <c r="FZ22" s="1333"/>
      <c r="GA22" s="1333"/>
      <c r="GB22" s="1333"/>
      <c r="GC22" s="1333"/>
      <c r="GD22" s="1333"/>
      <c r="GE22" s="1333"/>
      <c r="GF22" s="1333"/>
      <c r="GG22" s="1333"/>
      <c r="GH22" s="1333"/>
      <c r="GI22" s="1333"/>
      <c r="GJ22" s="1333"/>
      <c r="GK22" s="1333"/>
      <c r="GL22" s="1333"/>
      <c r="GM22" s="1333"/>
      <c r="GN22" s="1333"/>
      <c r="GO22" s="1333"/>
      <c r="GP22" s="1333"/>
      <c r="GQ22" s="1333"/>
      <c r="GR22" s="1333"/>
      <c r="GS22" s="1333"/>
      <c r="GT22" s="1333"/>
      <c r="GU22" s="1333"/>
      <c r="GV22" s="1333"/>
      <c r="GW22" s="1333"/>
      <c r="GX22" s="1333"/>
    </row>
    <row r="23" spans="1:206" s="607" customFormat="1">
      <c r="A23" s="607">
        <f t="shared" si="0"/>
        <v>1972</v>
      </c>
      <c r="B23" s="607">
        <f t="shared" si="1"/>
        <v>1</v>
      </c>
      <c r="C23" s="1173">
        <v>26359</v>
      </c>
      <c r="D23" s="1709"/>
      <c r="E23" s="1117"/>
      <c r="F23" s="1117"/>
      <c r="G23" s="1117"/>
      <c r="H23" s="1117"/>
      <c r="I23" s="959">
        <v>40.579366229999998</v>
      </c>
      <c r="J23" s="959">
        <v>48.33</v>
      </c>
      <c r="K23" s="960"/>
      <c r="L23" s="1121"/>
      <c r="M23" s="916"/>
      <c r="N23" s="916"/>
      <c r="O23" s="1332"/>
      <c r="P23" s="1332"/>
      <c r="Q23" s="1332"/>
      <c r="R23" s="1332"/>
      <c r="S23" s="1332"/>
      <c r="T23" s="1332"/>
      <c r="U23" s="1120"/>
      <c r="V23" s="1120"/>
      <c r="W23" s="1120"/>
      <c r="X23" s="1120"/>
      <c r="Y23" s="1119"/>
      <c r="Z23" s="1119"/>
      <c r="AA23" s="1119"/>
      <c r="AB23" s="1119"/>
      <c r="AC23" s="1178"/>
      <c r="AD23" s="1178"/>
      <c r="AE23" s="1178"/>
      <c r="AF23" s="1178"/>
      <c r="AG23" s="1178"/>
      <c r="AH23" s="1178"/>
      <c r="AI23" s="1178"/>
      <c r="AJ23" s="1178"/>
      <c r="AK23" s="919"/>
      <c r="AL23" s="1104"/>
      <c r="AM23" s="919"/>
      <c r="AN23" s="1710"/>
      <c r="AO23" s="919"/>
      <c r="AP23" s="919"/>
      <c r="AS23" s="1167"/>
      <c r="AT23" s="1167"/>
      <c r="AU23" s="1168"/>
      <c r="AV23" s="1168"/>
      <c r="AW23" s="1169"/>
      <c r="AX23" s="1169"/>
      <c r="AY23" s="1169"/>
      <c r="AZ23" s="1169"/>
      <c r="BA23" s="1799" t="s">
        <v>0</v>
      </c>
      <c r="BB23" s="1802">
        <v>2014</v>
      </c>
      <c r="BC23" s="1799" t="s">
        <v>27</v>
      </c>
      <c r="BD23" s="1799">
        <v>3</v>
      </c>
      <c r="BE23" s="1800">
        <v>425506418</v>
      </c>
      <c r="BF23" s="1801">
        <v>0.11700000000000001</v>
      </c>
      <c r="BG23" s="1799"/>
      <c r="BH23" s="1799" t="s">
        <v>0</v>
      </c>
      <c r="BI23" s="1799" t="s">
        <v>319</v>
      </c>
      <c r="BJ23" s="1799" t="s">
        <v>14</v>
      </c>
      <c r="BK23" s="1799">
        <v>3</v>
      </c>
      <c r="BL23" s="1800">
        <v>513421015</v>
      </c>
      <c r="BM23" s="1801">
        <v>0.122</v>
      </c>
      <c r="BN23" s="1799">
        <v>2014</v>
      </c>
      <c r="BO23" s="1684"/>
      <c r="BP23" s="1697">
        <f>'Alumina and Bauxite - Prices'!A23</f>
        <v>43862</v>
      </c>
      <c r="BQ23" s="1169"/>
      <c r="BR23" s="1169"/>
      <c r="BS23" s="1169"/>
      <c r="BT23" s="1169"/>
      <c r="BU23" s="1169"/>
      <c r="BV23" s="1169"/>
      <c r="BW23" s="1169"/>
      <c r="BX23" s="1169"/>
      <c r="BY23" s="1169"/>
      <c r="BZ23" s="1169"/>
      <c r="CA23" s="1169"/>
      <c r="CB23" s="1169"/>
      <c r="CC23" s="1169"/>
      <c r="CD23" s="1169"/>
      <c r="CE23" s="1169"/>
      <c r="CF23" s="1169"/>
      <c r="CG23" s="1169"/>
      <c r="CH23" s="1169"/>
      <c r="CI23" s="1169"/>
      <c r="CJ23" s="1169"/>
      <c r="CK23" s="1169"/>
      <c r="CL23" s="1169"/>
      <c r="CM23" s="1169"/>
      <c r="CN23" s="1169"/>
      <c r="CO23" s="1169"/>
      <c r="CP23" s="1169"/>
      <c r="CQ23" s="1169"/>
      <c r="CR23" s="1169"/>
      <c r="CS23" s="1169"/>
      <c r="CT23" s="1169"/>
      <c r="CU23" s="1169"/>
      <c r="CV23" s="1169"/>
      <c r="CW23" s="1169"/>
      <c r="CX23" s="1169"/>
      <c r="CY23" s="1169"/>
      <c r="CZ23" s="1169"/>
      <c r="DA23" s="1168"/>
      <c r="DB23" s="1168"/>
      <c r="DC23" s="1168"/>
      <c r="DD23" s="1168"/>
      <c r="DE23" s="1168"/>
      <c r="DF23" s="1168"/>
      <c r="DG23" s="1168"/>
      <c r="DH23" s="1168"/>
      <c r="DI23" s="1168"/>
      <c r="DJ23" s="1168"/>
      <c r="DK23" s="1168"/>
      <c r="DL23" s="1168"/>
      <c r="DM23" s="1168"/>
      <c r="DN23" s="1168"/>
      <c r="DO23" s="1168"/>
      <c r="DP23" s="1168"/>
      <c r="DQ23" s="1168"/>
      <c r="DR23" s="1168"/>
      <c r="DS23" s="1168"/>
      <c r="DT23" s="1168"/>
      <c r="DU23" s="1168"/>
      <c r="DV23" s="1168"/>
      <c r="DW23" s="1168"/>
      <c r="DX23" s="1168"/>
      <c r="DY23" s="1168"/>
      <c r="DZ23" s="1168"/>
      <c r="EA23" s="1168"/>
      <c r="EB23" s="1168"/>
      <c r="EC23" s="1168"/>
      <c r="ED23" s="1168"/>
      <c r="EE23" s="1168"/>
      <c r="EF23" s="1168"/>
      <c r="EG23" s="1168"/>
      <c r="EH23" s="1168"/>
      <c r="EI23" s="1170"/>
      <c r="EJ23" s="1170"/>
      <c r="EK23" s="1170"/>
      <c r="EL23" s="1170"/>
      <c r="EM23" s="1170"/>
      <c r="EN23" s="1170"/>
      <c r="EO23" s="1170"/>
      <c r="EP23" s="1170"/>
      <c r="EQ23" s="1170"/>
      <c r="ER23" s="1170"/>
      <c r="ES23" s="1333"/>
      <c r="ET23" s="1333"/>
      <c r="EU23" s="1333"/>
      <c r="EV23" s="1333"/>
      <c r="EW23" s="1333"/>
      <c r="EX23" s="1333"/>
      <c r="EY23" s="1333"/>
      <c r="EZ23" s="1333"/>
      <c r="FA23" s="1333"/>
      <c r="FB23" s="1333"/>
      <c r="FC23" s="1333"/>
      <c r="FD23" s="1333"/>
      <c r="FE23" s="1333"/>
      <c r="FF23" s="1333"/>
      <c r="FG23" s="1333"/>
      <c r="FH23" s="1333"/>
      <c r="FI23" s="1333"/>
      <c r="FJ23" s="1333"/>
      <c r="FK23" s="1333"/>
      <c r="FL23" s="1333"/>
      <c r="FM23" s="1333"/>
      <c r="FN23" s="1333"/>
      <c r="FO23" s="1333"/>
      <c r="FP23" s="1333"/>
      <c r="FQ23" s="1333"/>
      <c r="FR23" s="1333"/>
      <c r="FS23" s="1333"/>
      <c r="FT23" s="1333"/>
      <c r="FU23" s="1333"/>
      <c r="FV23" s="1333"/>
      <c r="FW23" s="1333"/>
      <c r="FX23" s="1333"/>
      <c r="FY23" s="1333"/>
      <c r="FZ23" s="1333"/>
      <c r="GA23" s="1333"/>
      <c r="GB23" s="1333"/>
      <c r="GC23" s="1333"/>
      <c r="GD23" s="1333"/>
      <c r="GE23" s="1333"/>
      <c r="GF23" s="1333"/>
      <c r="GG23" s="1333"/>
      <c r="GH23" s="1333"/>
      <c r="GI23" s="1333"/>
      <c r="GJ23" s="1333"/>
      <c r="GK23" s="1333"/>
      <c r="GL23" s="1333"/>
      <c r="GM23" s="1333"/>
      <c r="GN23" s="1333"/>
      <c r="GO23" s="1333"/>
      <c r="GP23" s="1333"/>
      <c r="GQ23" s="1333"/>
      <c r="GR23" s="1333"/>
      <c r="GS23" s="1333"/>
      <c r="GT23" s="1333"/>
      <c r="GU23" s="1333"/>
      <c r="GV23" s="1333"/>
      <c r="GW23" s="1333"/>
      <c r="GX23" s="1333"/>
    </row>
    <row r="24" spans="1:206" s="607" customFormat="1">
      <c r="A24" s="607">
        <f t="shared" si="0"/>
        <v>1972</v>
      </c>
      <c r="B24" s="607">
        <f t="shared" si="1"/>
        <v>2</v>
      </c>
      <c r="C24" s="1173">
        <v>26392</v>
      </c>
      <c r="D24" s="957"/>
      <c r="E24" s="920"/>
      <c r="F24" s="920"/>
      <c r="G24" s="920"/>
      <c r="H24" s="920"/>
      <c r="I24" s="954">
        <v>41.16710793</v>
      </c>
      <c r="J24" s="954">
        <v>49.03</v>
      </c>
      <c r="K24" s="954"/>
      <c r="L24" s="920"/>
      <c r="M24" s="917"/>
      <c r="N24" s="917"/>
      <c r="O24" s="1334"/>
      <c r="P24" s="1334"/>
      <c r="Q24" s="1334"/>
      <c r="R24" s="1334"/>
      <c r="S24" s="1334"/>
      <c r="T24" s="1334"/>
      <c r="U24" s="920"/>
      <c r="V24" s="920"/>
      <c r="W24" s="920"/>
      <c r="X24" s="920"/>
      <c r="Y24" s="920"/>
      <c r="Z24" s="920"/>
      <c r="AA24" s="920"/>
      <c r="AB24" s="920"/>
      <c r="AC24" s="920"/>
      <c r="AD24" s="920"/>
      <c r="AE24" s="920"/>
      <c r="AF24" s="920"/>
      <c r="AG24" s="920"/>
      <c r="AH24" s="920"/>
      <c r="AI24" s="920"/>
      <c r="AJ24" s="920"/>
      <c r="AK24" s="920"/>
      <c r="AL24" s="1105"/>
      <c r="AM24" s="920"/>
      <c r="AN24" s="1711"/>
      <c r="AO24" s="920"/>
      <c r="AP24" s="920"/>
      <c r="AS24" s="1167"/>
      <c r="AT24" s="1167"/>
      <c r="AU24" s="1168"/>
      <c r="AV24" s="1168"/>
      <c r="AW24" s="1169"/>
      <c r="AX24" s="1169"/>
      <c r="AY24" s="1169"/>
      <c r="AZ24" s="1169"/>
      <c r="BA24" s="1799" t="s">
        <v>0</v>
      </c>
      <c r="BB24" s="1802">
        <v>2014</v>
      </c>
      <c r="BC24" s="1799" t="s">
        <v>14</v>
      </c>
      <c r="BD24" s="1799">
        <v>4</v>
      </c>
      <c r="BE24" s="1800">
        <v>384930143</v>
      </c>
      <c r="BF24" s="1801">
        <v>0.106</v>
      </c>
      <c r="BG24" s="1799"/>
      <c r="BH24" s="1799" t="s">
        <v>0</v>
      </c>
      <c r="BI24" s="1799" t="s">
        <v>319</v>
      </c>
      <c r="BJ24" s="1799" t="s">
        <v>27</v>
      </c>
      <c r="BK24" s="1799">
        <v>4</v>
      </c>
      <c r="BL24" s="1800">
        <v>467013328</v>
      </c>
      <c r="BM24" s="1801">
        <v>0.111</v>
      </c>
      <c r="BN24" s="1799">
        <v>2014</v>
      </c>
      <c r="BO24" s="1684"/>
      <c r="BP24" s="1696"/>
      <c r="BQ24" s="1169"/>
      <c r="BR24" s="1169"/>
      <c r="BS24" s="1169"/>
      <c r="BT24" s="1169"/>
      <c r="BU24" s="1169"/>
      <c r="BV24" s="1169"/>
      <c r="BW24" s="1169"/>
      <c r="BX24" s="1169"/>
      <c r="BY24" s="1169"/>
      <c r="BZ24" s="1169"/>
      <c r="CA24" s="1169"/>
      <c r="CB24" s="1169"/>
      <c r="CC24" s="1169"/>
      <c r="CD24" s="1169"/>
      <c r="CE24" s="1169"/>
      <c r="CF24" s="1169"/>
      <c r="CG24" s="1169"/>
      <c r="CH24" s="1169"/>
      <c r="CI24" s="1169"/>
      <c r="CJ24" s="1169"/>
      <c r="CK24" s="1169"/>
      <c r="CL24" s="1169"/>
      <c r="CM24" s="1169"/>
      <c r="CN24" s="1169"/>
      <c r="CO24" s="1169"/>
      <c r="CP24" s="1169"/>
      <c r="CQ24" s="1169"/>
      <c r="CR24" s="1169"/>
      <c r="CS24" s="1169"/>
      <c r="CT24" s="1169"/>
      <c r="CU24" s="1169"/>
      <c r="CV24" s="1169"/>
      <c r="CW24" s="1169"/>
      <c r="CX24" s="1169"/>
      <c r="CY24" s="1169"/>
      <c r="CZ24" s="1169"/>
      <c r="DA24" s="1168"/>
      <c r="DB24" s="1168"/>
      <c r="DC24" s="1168"/>
      <c r="DD24" s="1168"/>
      <c r="DE24" s="1168"/>
      <c r="DF24" s="1168"/>
      <c r="DG24" s="1168"/>
      <c r="DH24" s="1168"/>
      <c r="DI24" s="1168"/>
      <c r="DJ24" s="1168"/>
      <c r="DK24" s="1168"/>
      <c r="DL24" s="1168"/>
      <c r="DM24" s="1168"/>
      <c r="DN24" s="1168"/>
      <c r="DO24" s="1168"/>
      <c r="DP24" s="1168"/>
      <c r="DQ24" s="1168"/>
      <c r="DR24" s="1168"/>
      <c r="DS24" s="1168"/>
      <c r="DT24" s="1168"/>
      <c r="DU24" s="1168"/>
      <c r="DV24" s="1168"/>
      <c r="DW24" s="1168"/>
      <c r="DX24" s="1168"/>
      <c r="DY24" s="1168"/>
      <c r="DZ24" s="1168"/>
      <c r="EA24" s="1168"/>
      <c r="EB24" s="1168"/>
      <c r="EC24" s="1168"/>
      <c r="ED24" s="1168"/>
      <c r="EE24" s="1168"/>
      <c r="EF24" s="1168"/>
      <c r="EG24" s="1168"/>
      <c r="EH24" s="1168"/>
      <c r="EI24" s="1170"/>
      <c r="EJ24" s="1170"/>
      <c r="EK24" s="1170"/>
      <c r="EL24" s="1170"/>
      <c r="EM24" s="1170"/>
      <c r="EN24" s="1170"/>
      <c r="EO24" s="1170"/>
      <c r="EP24" s="1170"/>
      <c r="EQ24" s="1170"/>
      <c r="ER24" s="1170"/>
      <c r="ES24" s="1333"/>
      <c r="ET24" s="1333"/>
      <c r="EU24" s="1333"/>
      <c r="EV24" s="1333"/>
      <c r="EW24" s="1333"/>
      <c r="EX24" s="1333"/>
      <c r="EY24" s="1333"/>
      <c r="EZ24" s="1333"/>
      <c r="FA24" s="1333"/>
      <c r="FB24" s="1333"/>
      <c r="FC24" s="1333"/>
      <c r="FD24" s="1333"/>
      <c r="FE24" s="1333"/>
      <c r="FF24" s="1333"/>
      <c r="FG24" s="1333"/>
      <c r="FH24" s="1333"/>
      <c r="FI24" s="1333"/>
      <c r="FJ24" s="1333"/>
      <c r="FK24" s="1333"/>
      <c r="FL24" s="1333"/>
      <c r="FM24" s="1333"/>
      <c r="FN24" s="1333"/>
      <c r="FO24" s="1333"/>
      <c r="FP24" s="1333"/>
      <c r="FQ24" s="1333"/>
      <c r="FR24" s="1333"/>
      <c r="FS24" s="1333"/>
      <c r="FT24" s="1333"/>
      <c r="FU24" s="1333"/>
      <c r="FV24" s="1333"/>
      <c r="FW24" s="1333"/>
      <c r="FX24" s="1333"/>
      <c r="FY24" s="1333"/>
      <c r="FZ24" s="1333"/>
      <c r="GA24" s="1333"/>
      <c r="GB24" s="1333"/>
      <c r="GC24" s="1333"/>
      <c r="GD24" s="1333"/>
      <c r="GE24" s="1333"/>
      <c r="GF24" s="1333"/>
      <c r="GG24" s="1333"/>
      <c r="GH24" s="1333"/>
      <c r="GI24" s="1333"/>
      <c r="GJ24" s="1333"/>
      <c r="GK24" s="1333"/>
      <c r="GL24" s="1333"/>
      <c r="GM24" s="1333"/>
      <c r="GN24" s="1333"/>
      <c r="GO24" s="1333"/>
      <c r="GP24" s="1333"/>
      <c r="GQ24" s="1333"/>
      <c r="GR24" s="1333"/>
      <c r="GS24" s="1333"/>
      <c r="GT24" s="1333"/>
      <c r="GU24" s="1333"/>
      <c r="GV24" s="1333"/>
      <c r="GW24" s="1333"/>
      <c r="GX24" s="1333"/>
    </row>
    <row r="25" spans="1:206" s="607" customFormat="1">
      <c r="A25" s="607">
        <f t="shared" si="0"/>
        <v>1972</v>
      </c>
      <c r="B25" s="607">
        <f t="shared" si="1"/>
        <v>2</v>
      </c>
      <c r="C25" s="1173">
        <v>26420</v>
      </c>
      <c r="D25" s="1709"/>
      <c r="E25" s="1117"/>
      <c r="F25" s="1117"/>
      <c r="G25" s="1117"/>
      <c r="H25" s="1117"/>
      <c r="I25" s="959">
        <v>45.860645220000002</v>
      </c>
      <c r="J25" s="959">
        <v>54.62</v>
      </c>
      <c r="K25" s="960"/>
      <c r="L25" s="1121"/>
      <c r="M25" s="916"/>
      <c r="N25" s="916"/>
      <c r="O25" s="1332"/>
      <c r="P25" s="1332"/>
      <c r="Q25" s="1332"/>
      <c r="R25" s="1332"/>
      <c r="S25" s="1332"/>
      <c r="T25" s="1332"/>
      <c r="U25" s="1120"/>
      <c r="V25" s="1120"/>
      <c r="W25" s="1120"/>
      <c r="X25" s="1120"/>
      <c r="Y25" s="1119"/>
      <c r="Z25" s="1119"/>
      <c r="AA25" s="1119"/>
      <c r="AB25" s="1119"/>
      <c r="AC25" s="1178"/>
      <c r="AD25" s="1178"/>
      <c r="AE25" s="1178"/>
      <c r="AF25" s="1178"/>
      <c r="AG25" s="1178"/>
      <c r="AH25" s="1178"/>
      <c r="AI25" s="1178"/>
      <c r="AJ25" s="1178"/>
      <c r="AK25" s="919"/>
      <c r="AL25" s="1104"/>
      <c r="AM25" s="919"/>
      <c r="AN25" s="1710"/>
      <c r="AO25" s="919"/>
      <c r="AP25" s="919"/>
      <c r="AS25" s="1167"/>
      <c r="AT25" s="1167"/>
      <c r="AU25" s="1168"/>
      <c r="AV25" s="1168"/>
      <c r="AW25" s="1169"/>
      <c r="AX25" s="1169"/>
      <c r="AY25" s="1169"/>
      <c r="AZ25" s="1169"/>
      <c r="BA25" s="1799" t="s">
        <v>0</v>
      </c>
      <c r="BB25" s="1802">
        <v>2014</v>
      </c>
      <c r="BC25" s="1799" t="s">
        <v>26</v>
      </c>
      <c r="BD25" s="1799">
        <v>5</v>
      </c>
      <c r="BE25" s="1800">
        <v>380369918</v>
      </c>
      <c r="BF25" s="1801">
        <v>0.105</v>
      </c>
      <c r="BG25" s="1799"/>
      <c r="BH25" s="1799" t="s">
        <v>0</v>
      </c>
      <c r="BI25" s="1799" t="s">
        <v>319</v>
      </c>
      <c r="BJ25" s="1799" t="s">
        <v>22</v>
      </c>
      <c r="BK25" s="1799">
        <v>5</v>
      </c>
      <c r="BL25" s="1800">
        <v>363972126</v>
      </c>
      <c r="BM25" s="1801">
        <v>8.5999999999999993E-2</v>
      </c>
      <c r="BN25" s="1799">
        <v>2014</v>
      </c>
      <c r="BO25" s="1684"/>
      <c r="BP25" s="1696"/>
      <c r="BQ25" s="1169"/>
      <c r="BR25" s="1169"/>
      <c r="BS25" s="1169"/>
      <c r="BT25" s="1169"/>
      <c r="BU25" s="1169"/>
      <c r="BV25" s="1169"/>
      <c r="BW25" s="1169"/>
      <c r="BX25" s="1169"/>
      <c r="BY25" s="1169"/>
      <c r="BZ25" s="1169"/>
      <c r="CA25" s="1169"/>
      <c r="CB25" s="1169"/>
      <c r="CC25" s="1169"/>
      <c r="CD25" s="1169"/>
      <c r="CE25" s="1169"/>
      <c r="CF25" s="1169"/>
      <c r="CG25" s="1169"/>
      <c r="CH25" s="1169"/>
      <c r="CI25" s="1169"/>
      <c r="CJ25" s="1169"/>
      <c r="CK25" s="1169"/>
      <c r="CL25" s="1169"/>
      <c r="CM25" s="1169"/>
      <c r="CN25" s="1169"/>
      <c r="CO25" s="1169"/>
      <c r="CP25" s="1169"/>
      <c r="CQ25" s="1169"/>
      <c r="CR25" s="1169"/>
      <c r="CS25" s="1169"/>
      <c r="CT25" s="1169"/>
      <c r="CU25" s="1169"/>
      <c r="CV25" s="1169"/>
      <c r="CW25" s="1169"/>
      <c r="CX25" s="1169"/>
      <c r="CY25" s="1169"/>
      <c r="CZ25" s="1169"/>
      <c r="DA25" s="1168"/>
      <c r="DB25" s="1168"/>
      <c r="DC25" s="1168"/>
      <c r="DD25" s="1168"/>
      <c r="DE25" s="1168"/>
      <c r="DF25" s="1168"/>
      <c r="DG25" s="1168"/>
      <c r="DH25" s="1168"/>
      <c r="DI25" s="1168"/>
      <c r="DJ25" s="1168"/>
      <c r="DK25" s="1168"/>
      <c r="DL25" s="1168"/>
      <c r="DM25" s="1168"/>
      <c r="DN25" s="1168"/>
      <c r="DO25" s="1168"/>
      <c r="DP25" s="1168"/>
      <c r="DQ25" s="1168"/>
      <c r="DR25" s="1168"/>
      <c r="DS25" s="1168"/>
      <c r="DT25" s="1168"/>
      <c r="DU25" s="1168"/>
      <c r="DV25" s="1168"/>
      <c r="DW25" s="1168"/>
      <c r="DX25" s="1168"/>
      <c r="DY25" s="1168"/>
      <c r="DZ25" s="1168"/>
      <c r="EA25" s="1168"/>
      <c r="EB25" s="1168"/>
      <c r="EC25" s="1168"/>
      <c r="ED25" s="1168"/>
      <c r="EE25" s="1168"/>
      <c r="EF25" s="1168"/>
      <c r="EG25" s="1168"/>
      <c r="EH25" s="1168"/>
      <c r="EI25" s="1170"/>
      <c r="EJ25" s="1170"/>
      <c r="EK25" s="1170"/>
      <c r="EL25" s="1170"/>
      <c r="EM25" s="1170"/>
      <c r="EN25" s="1170"/>
      <c r="EO25" s="1170"/>
      <c r="EP25" s="1170"/>
      <c r="EQ25" s="1170"/>
      <c r="ER25" s="1170"/>
      <c r="ES25" s="1333"/>
      <c r="ET25" s="1333"/>
      <c r="EU25" s="1333"/>
      <c r="EV25" s="1333"/>
      <c r="EW25" s="1333"/>
      <c r="EX25" s="1333"/>
      <c r="EY25" s="1333"/>
      <c r="EZ25" s="1333"/>
      <c r="FA25" s="1333"/>
      <c r="FB25" s="1333"/>
      <c r="FC25" s="1333"/>
      <c r="FD25" s="1333"/>
      <c r="FE25" s="1333"/>
      <c r="FF25" s="1333"/>
      <c r="FG25" s="1333"/>
      <c r="FH25" s="1333"/>
      <c r="FI25" s="1333"/>
      <c r="FJ25" s="1333"/>
      <c r="FK25" s="1333"/>
      <c r="FL25" s="1333"/>
      <c r="FM25" s="1333"/>
      <c r="FN25" s="1333"/>
      <c r="FO25" s="1333"/>
      <c r="FP25" s="1333"/>
      <c r="FQ25" s="1333"/>
      <c r="FR25" s="1333"/>
      <c r="FS25" s="1333"/>
      <c r="FT25" s="1333"/>
      <c r="FU25" s="1333"/>
      <c r="FV25" s="1333"/>
      <c r="FW25" s="1333"/>
      <c r="FX25" s="1333"/>
      <c r="FY25" s="1333"/>
      <c r="FZ25" s="1333"/>
      <c r="GA25" s="1333"/>
      <c r="GB25" s="1333"/>
      <c r="GC25" s="1333"/>
      <c r="GD25" s="1333"/>
      <c r="GE25" s="1333"/>
      <c r="GF25" s="1333"/>
      <c r="GG25" s="1333"/>
      <c r="GH25" s="1333"/>
      <c r="GI25" s="1333"/>
      <c r="GJ25" s="1333"/>
      <c r="GK25" s="1333"/>
      <c r="GL25" s="1333"/>
      <c r="GM25" s="1333"/>
      <c r="GN25" s="1333"/>
      <c r="GO25" s="1333"/>
      <c r="GP25" s="1333"/>
      <c r="GQ25" s="1333"/>
      <c r="GR25" s="1333"/>
      <c r="GS25" s="1333"/>
      <c r="GT25" s="1333"/>
      <c r="GU25" s="1333"/>
      <c r="GV25" s="1333"/>
      <c r="GW25" s="1333"/>
      <c r="GX25" s="1333"/>
    </row>
    <row r="26" spans="1:206" s="607" customFormat="1">
      <c r="A26" s="607">
        <f t="shared" si="0"/>
        <v>1972</v>
      </c>
      <c r="B26" s="607">
        <f t="shared" si="1"/>
        <v>2</v>
      </c>
      <c r="C26" s="1173">
        <v>26451</v>
      </c>
      <c r="D26" s="957"/>
      <c r="E26" s="920"/>
      <c r="F26" s="920"/>
      <c r="G26" s="920"/>
      <c r="H26" s="920"/>
      <c r="I26" s="954">
        <v>52.132688790000003</v>
      </c>
      <c r="J26" s="954">
        <v>62.09</v>
      </c>
      <c r="K26" s="954"/>
      <c r="L26" s="920"/>
      <c r="M26" s="917"/>
      <c r="N26" s="917"/>
      <c r="O26" s="1334"/>
      <c r="P26" s="1334"/>
      <c r="Q26" s="1334"/>
      <c r="R26" s="1334"/>
      <c r="S26" s="1334"/>
      <c r="T26" s="1334"/>
      <c r="U26" s="920"/>
      <c r="V26" s="920"/>
      <c r="W26" s="920"/>
      <c r="X26" s="920"/>
      <c r="Y26" s="920"/>
      <c r="Z26" s="920"/>
      <c r="AA26" s="920"/>
      <c r="AB26" s="920"/>
      <c r="AC26" s="920"/>
      <c r="AD26" s="920"/>
      <c r="AE26" s="920"/>
      <c r="AF26" s="920"/>
      <c r="AG26" s="920"/>
      <c r="AH26" s="920"/>
      <c r="AI26" s="920"/>
      <c r="AJ26" s="920"/>
      <c r="AK26" s="920"/>
      <c r="AL26" s="1105"/>
      <c r="AM26" s="920"/>
      <c r="AN26" s="1711"/>
      <c r="AO26" s="920"/>
      <c r="AP26" s="920"/>
      <c r="AS26" s="1167"/>
      <c r="AT26" s="1167"/>
      <c r="AU26" s="1168"/>
      <c r="AV26" s="1168"/>
      <c r="AW26" s="1169"/>
      <c r="AX26" s="1169"/>
      <c r="AY26" s="1169"/>
      <c r="AZ26" s="1169"/>
      <c r="BA26" s="1799" t="s">
        <v>0</v>
      </c>
      <c r="BB26" s="1802">
        <v>2014</v>
      </c>
      <c r="BC26" s="1799" t="s">
        <v>22</v>
      </c>
      <c r="BD26" s="1799">
        <v>6</v>
      </c>
      <c r="BE26" s="1800">
        <v>310242513</v>
      </c>
      <c r="BF26" s="1801">
        <v>8.5999999999999993E-2</v>
      </c>
      <c r="BG26" s="1799"/>
      <c r="BH26" s="1799" t="s">
        <v>0</v>
      </c>
      <c r="BI26" s="1799" t="s">
        <v>319</v>
      </c>
      <c r="BJ26" s="1799" t="s">
        <v>26</v>
      </c>
      <c r="BK26" s="1799">
        <v>6</v>
      </c>
      <c r="BL26" s="1800">
        <v>346592895</v>
      </c>
      <c r="BM26" s="1801">
        <v>8.2000000000000003E-2</v>
      </c>
      <c r="BN26" s="1799">
        <v>2014</v>
      </c>
      <c r="BO26" s="1684"/>
      <c r="BP26" s="1697">
        <f>'Alumina and Bauxite - Prices'!A26</f>
        <v>43952</v>
      </c>
      <c r="BQ26" s="1169"/>
      <c r="BR26" s="1169"/>
      <c r="BS26" s="1169"/>
      <c r="BT26" s="1169"/>
      <c r="BU26" s="1169"/>
      <c r="BV26" s="1169"/>
      <c r="BW26" s="1169"/>
      <c r="BX26" s="1169"/>
      <c r="BY26" s="1169"/>
      <c r="BZ26" s="1169"/>
      <c r="CA26" s="1169"/>
      <c r="CB26" s="1169"/>
      <c r="CC26" s="1169"/>
      <c r="CD26" s="1169"/>
      <c r="CE26" s="1169"/>
      <c r="CF26" s="1169"/>
      <c r="CG26" s="1169"/>
      <c r="CH26" s="1169"/>
      <c r="CI26" s="1169"/>
      <c r="CJ26" s="1169"/>
      <c r="CK26" s="1169"/>
      <c r="CL26" s="1169"/>
      <c r="CM26" s="1169"/>
      <c r="CN26" s="1169"/>
      <c r="CO26" s="1169"/>
      <c r="CP26" s="1169"/>
      <c r="CQ26" s="1169"/>
      <c r="CR26" s="1169"/>
      <c r="CS26" s="1169"/>
      <c r="CT26" s="1169"/>
      <c r="CU26" s="1169"/>
      <c r="CV26" s="1169"/>
      <c r="CW26" s="1169"/>
      <c r="CX26" s="1169"/>
      <c r="CY26" s="1169"/>
      <c r="CZ26" s="1169"/>
      <c r="DA26" s="1168"/>
      <c r="DB26" s="1168"/>
      <c r="DC26" s="1168"/>
      <c r="DD26" s="1168"/>
      <c r="DE26" s="1168"/>
      <c r="DF26" s="1168"/>
      <c r="DG26" s="1168"/>
      <c r="DH26" s="1168"/>
      <c r="DI26" s="1168"/>
      <c r="DJ26" s="1168"/>
      <c r="DK26" s="1168"/>
      <c r="DL26" s="1168"/>
      <c r="DM26" s="1168"/>
      <c r="DN26" s="1168"/>
      <c r="DO26" s="1168"/>
      <c r="DP26" s="1168"/>
      <c r="DQ26" s="1168"/>
      <c r="DR26" s="1168"/>
      <c r="DS26" s="1168"/>
      <c r="DT26" s="1168"/>
      <c r="DU26" s="1168"/>
      <c r="DV26" s="1168"/>
      <c r="DW26" s="1168"/>
      <c r="DX26" s="1168"/>
      <c r="DY26" s="1168"/>
      <c r="DZ26" s="1168"/>
      <c r="EA26" s="1168"/>
      <c r="EB26" s="1168"/>
      <c r="EC26" s="1168"/>
      <c r="ED26" s="1168"/>
      <c r="EE26" s="1168"/>
      <c r="EF26" s="1168"/>
      <c r="EG26" s="1168"/>
      <c r="EH26" s="1168"/>
      <c r="EI26" s="1170"/>
      <c r="EJ26" s="1170"/>
      <c r="EK26" s="1170"/>
      <c r="EL26" s="1170"/>
      <c r="EM26" s="1170"/>
      <c r="EN26" s="1170"/>
      <c r="EO26" s="1170"/>
      <c r="EP26" s="1170"/>
      <c r="EQ26" s="1170"/>
      <c r="ER26" s="1170"/>
      <c r="ES26" s="1333"/>
      <c r="ET26" s="1333"/>
      <c r="EU26" s="1333"/>
      <c r="EV26" s="1333"/>
      <c r="EW26" s="1333"/>
      <c r="EX26" s="1333"/>
      <c r="EY26" s="1333"/>
      <c r="EZ26" s="1333"/>
      <c r="FA26" s="1333"/>
      <c r="FB26" s="1333"/>
      <c r="FC26" s="1333"/>
      <c r="FD26" s="1333"/>
      <c r="FE26" s="1333"/>
      <c r="FF26" s="1333"/>
      <c r="FG26" s="1333"/>
      <c r="FH26" s="1333"/>
      <c r="FI26" s="1333"/>
      <c r="FJ26" s="1333"/>
      <c r="FK26" s="1333"/>
      <c r="FL26" s="1333"/>
      <c r="FM26" s="1333"/>
      <c r="FN26" s="1333"/>
      <c r="FO26" s="1333"/>
      <c r="FP26" s="1333"/>
      <c r="FQ26" s="1333"/>
      <c r="FR26" s="1333"/>
      <c r="FS26" s="1333"/>
      <c r="FT26" s="1333"/>
      <c r="FU26" s="1333"/>
      <c r="FV26" s="1333"/>
      <c r="FW26" s="1333"/>
      <c r="FX26" s="1333"/>
      <c r="FY26" s="1333"/>
      <c r="FZ26" s="1333"/>
      <c r="GA26" s="1333"/>
      <c r="GB26" s="1333"/>
      <c r="GC26" s="1333"/>
      <c r="GD26" s="1333"/>
      <c r="GE26" s="1333"/>
      <c r="GF26" s="1333"/>
      <c r="GG26" s="1333"/>
      <c r="GH26" s="1333"/>
      <c r="GI26" s="1333"/>
      <c r="GJ26" s="1333"/>
      <c r="GK26" s="1333"/>
      <c r="GL26" s="1333"/>
      <c r="GM26" s="1333"/>
      <c r="GN26" s="1333"/>
      <c r="GO26" s="1333"/>
      <c r="GP26" s="1333"/>
      <c r="GQ26" s="1333"/>
      <c r="GR26" s="1333"/>
      <c r="GS26" s="1333"/>
      <c r="GT26" s="1333"/>
      <c r="GU26" s="1333"/>
      <c r="GV26" s="1333"/>
      <c r="GW26" s="1333"/>
      <c r="GX26" s="1333"/>
    </row>
    <row r="27" spans="1:206" s="607" customFormat="1">
      <c r="A27" s="607">
        <f t="shared" si="0"/>
        <v>1972</v>
      </c>
      <c r="B27" s="607">
        <f t="shared" si="1"/>
        <v>3</v>
      </c>
      <c r="C27" s="1173">
        <v>26483</v>
      </c>
      <c r="D27" s="1709"/>
      <c r="E27" s="1117"/>
      <c r="F27" s="1117"/>
      <c r="G27" s="1117"/>
      <c r="H27" s="1117"/>
      <c r="I27" s="959">
        <v>55.13017146</v>
      </c>
      <c r="J27" s="959">
        <v>65.66</v>
      </c>
      <c r="K27" s="960"/>
      <c r="L27" s="1121"/>
      <c r="M27" s="916"/>
      <c r="N27" s="916"/>
      <c r="O27" s="1332"/>
      <c r="P27" s="1332"/>
      <c r="Q27" s="1332"/>
      <c r="R27" s="1332"/>
      <c r="S27" s="1332"/>
      <c r="T27" s="1332"/>
      <c r="U27" s="1120"/>
      <c r="V27" s="1120"/>
      <c r="W27" s="1120"/>
      <c r="X27" s="1120"/>
      <c r="Y27" s="1119"/>
      <c r="Z27" s="1119"/>
      <c r="AA27" s="1119"/>
      <c r="AB27" s="1119"/>
      <c r="AC27" s="1178"/>
      <c r="AD27" s="1178"/>
      <c r="AE27" s="1178"/>
      <c r="AF27" s="1178"/>
      <c r="AG27" s="1178"/>
      <c r="AH27" s="1178"/>
      <c r="AI27" s="1178"/>
      <c r="AJ27" s="1178"/>
      <c r="AK27" s="919"/>
      <c r="AL27" s="1104"/>
      <c r="AM27" s="919"/>
      <c r="AN27" s="1710"/>
      <c r="AO27" s="919"/>
      <c r="AP27" s="919"/>
      <c r="AS27" s="1167"/>
      <c r="AT27" s="1167"/>
      <c r="AU27" s="1168"/>
      <c r="AV27" s="1168"/>
      <c r="AW27" s="1169"/>
      <c r="AX27" s="1169"/>
      <c r="AY27" s="1169"/>
      <c r="AZ27" s="1169"/>
      <c r="BA27" s="1799" t="s">
        <v>0</v>
      </c>
      <c r="BB27" s="1802">
        <v>2014</v>
      </c>
      <c r="BC27" s="1799" t="s">
        <v>431</v>
      </c>
      <c r="BD27" s="1799">
        <v>7</v>
      </c>
      <c r="BE27" s="1800">
        <v>177041293</v>
      </c>
      <c r="BF27" s="1801">
        <v>4.9000000000000002E-2</v>
      </c>
      <c r="BG27" s="1799"/>
      <c r="BH27" s="1799" t="s">
        <v>0</v>
      </c>
      <c r="BI27" s="1799" t="s">
        <v>319</v>
      </c>
      <c r="BJ27" s="1799" t="s">
        <v>431</v>
      </c>
      <c r="BK27" s="1799">
        <v>7</v>
      </c>
      <c r="BL27" s="1800">
        <v>209137833</v>
      </c>
      <c r="BM27" s="1801">
        <v>0.05</v>
      </c>
      <c r="BN27" s="1799">
        <v>2014</v>
      </c>
      <c r="BO27" s="1684"/>
      <c r="BP27" s="1696"/>
      <c r="BQ27" s="1169"/>
      <c r="BR27" s="1169"/>
      <c r="BS27" s="1169"/>
      <c r="BT27" s="1169"/>
      <c r="BU27" s="1169"/>
      <c r="BV27" s="1169"/>
      <c r="BW27" s="1169"/>
      <c r="BX27" s="1169"/>
      <c r="BY27" s="1169"/>
      <c r="BZ27" s="1169"/>
      <c r="CA27" s="1169"/>
      <c r="CB27" s="1169"/>
      <c r="CC27" s="1169"/>
      <c r="CD27" s="1169"/>
      <c r="CE27" s="1169"/>
      <c r="CF27" s="1169"/>
      <c r="CG27" s="1169"/>
      <c r="CH27" s="1169"/>
      <c r="CI27" s="1169"/>
      <c r="CJ27" s="1169"/>
      <c r="CK27" s="1169"/>
      <c r="CL27" s="1169"/>
      <c r="CM27" s="1169"/>
      <c r="CN27" s="1169"/>
      <c r="CO27" s="1169"/>
      <c r="CP27" s="1169"/>
      <c r="CQ27" s="1169"/>
      <c r="CR27" s="1169"/>
      <c r="CS27" s="1169"/>
      <c r="CT27" s="1169"/>
      <c r="CU27" s="1169"/>
      <c r="CV27" s="1169"/>
      <c r="CW27" s="1169"/>
      <c r="CX27" s="1169"/>
      <c r="CY27" s="1169"/>
      <c r="CZ27" s="1169"/>
      <c r="DA27" s="1168"/>
      <c r="DB27" s="1168"/>
      <c r="DC27" s="1168"/>
      <c r="DD27" s="1168"/>
      <c r="DE27" s="1168"/>
      <c r="DF27" s="1168"/>
      <c r="DG27" s="1168"/>
      <c r="DH27" s="1168"/>
      <c r="DI27" s="1168"/>
      <c r="DJ27" s="1168"/>
      <c r="DK27" s="1168"/>
      <c r="DL27" s="1168"/>
      <c r="DM27" s="1168"/>
      <c r="DN27" s="1168"/>
      <c r="DO27" s="1168"/>
      <c r="DP27" s="1168"/>
      <c r="DQ27" s="1168"/>
      <c r="DR27" s="1168"/>
      <c r="DS27" s="1168"/>
      <c r="DT27" s="1168"/>
      <c r="DU27" s="1168"/>
      <c r="DV27" s="1168"/>
      <c r="DW27" s="1168"/>
      <c r="DX27" s="1168"/>
      <c r="DY27" s="1168"/>
      <c r="DZ27" s="1168"/>
      <c r="EA27" s="1168"/>
      <c r="EB27" s="1168"/>
      <c r="EC27" s="1168"/>
      <c r="ED27" s="1168"/>
      <c r="EE27" s="1168"/>
      <c r="EF27" s="1168"/>
      <c r="EG27" s="1168"/>
      <c r="EH27" s="1168"/>
      <c r="EI27" s="1170"/>
      <c r="EJ27" s="1170"/>
      <c r="EK27" s="1170"/>
      <c r="EL27" s="1170"/>
      <c r="EM27" s="1170"/>
      <c r="EN27" s="1170"/>
      <c r="EO27" s="1170"/>
      <c r="EP27" s="1170"/>
      <c r="EQ27" s="1170"/>
      <c r="ER27" s="1170"/>
      <c r="ES27" s="1333"/>
      <c r="ET27" s="1333"/>
      <c r="EU27" s="1333"/>
      <c r="EV27" s="1333"/>
      <c r="EW27" s="1333"/>
      <c r="EX27" s="1333"/>
      <c r="EY27" s="1333"/>
      <c r="EZ27" s="1333"/>
      <c r="FA27" s="1333"/>
      <c r="FB27" s="1333"/>
      <c r="FC27" s="1333"/>
      <c r="FD27" s="1333"/>
      <c r="FE27" s="1333"/>
      <c r="FF27" s="1333"/>
      <c r="FG27" s="1333"/>
      <c r="FH27" s="1333"/>
      <c r="FI27" s="1333"/>
      <c r="FJ27" s="1333"/>
      <c r="FK27" s="1333"/>
      <c r="FL27" s="1333"/>
      <c r="FM27" s="1333"/>
      <c r="FN27" s="1333"/>
      <c r="FO27" s="1333"/>
      <c r="FP27" s="1333"/>
      <c r="FQ27" s="1333"/>
      <c r="FR27" s="1333"/>
      <c r="FS27" s="1333"/>
      <c r="FT27" s="1333"/>
      <c r="FU27" s="1333"/>
      <c r="FV27" s="1333"/>
      <c r="FW27" s="1333"/>
      <c r="FX27" s="1333"/>
      <c r="FY27" s="1333"/>
      <c r="FZ27" s="1333"/>
      <c r="GA27" s="1333"/>
      <c r="GB27" s="1333"/>
      <c r="GC27" s="1333"/>
      <c r="GD27" s="1333"/>
      <c r="GE27" s="1333"/>
      <c r="GF27" s="1333"/>
      <c r="GG27" s="1333"/>
      <c r="GH27" s="1333"/>
      <c r="GI27" s="1333"/>
      <c r="GJ27" s="1333"/>
      <c r="GK27" s="1333"/>
      <c r="GL27" s="1333"/>
      <c r="GM27" s="1333"/>
      <c r="GN27" s="1333"/>
      <c r="GO27" s="1333"/>
      <c r="GP27" s="1333"/>
      <c r="GQ27" s="1333"/>
      <c r="GR27" s="1333"/>
      <c r="GS27" s="1333"/>
      <c r="GT27" s="1333"/>
      <c r="GU27" s="1333"/>
      <c r="GV27" s="1333"/>
      <c r="GW27" s="1333"/>
      <c r="GX27" s="1333"/>
    </row>
    <row r="28" spans="1:206" s="607" customFormat="1">
      <c r="A28" s="607">
        <f t="shared" si="0"/>
        <v>1972</v>
      </c>
      <c r="B28" s="607">
        <f t="shared" si="1"/>
        <v>3</v>
      </c>
      <c r="C28" s="1173">
        <v>26512</v>
      </c>
      <c r="D28" s="957"/>
      <c r="E28" s="920"/>
      <c r="F28" s="920"/>
      <c r="G28" s="920"/>
      <c r="H28" s="920"/>
      <c r="I28" s="954">
        <v>56.280465930000005</v>
      </c>
      <c r="J28" s="954">
        <v>67.03</v>
      </c>
      <c r="K28" s="954"/>
      <c r="L28" s="920"/>
      <c r="M28" s="917"/>
      <c r="N28" s="917"/>
      <c r="O28" s="1334"/>
      <c r="P28" s="1334"/>
      <c r="Q28" s="1334"/>
      <c r="R28" s="1334"/>
      <c r="S28" s="1334"/>
      <c r="T28" s="1334"/>
      <c r="U28" s="920"/>
      <c r="V28" s="920"/>
      <c r="W28" s="920"/>
      <c r="X28" s="920"/>
      <c r="Y28" s="920"/>
      <c r="Z28" s="920"/>
      <c r="AA28" s="920"/>
      <c r="AB28" s="920"/>
      <c r="AC28" s="920"/>
      <c r="AD28" s="920"/>
      <c r="AE28" s="920"/>
      <c r="AF28" s="920"/>
      <c r="AG28" s="920"/>
      <c r="AH28" s="920"/>
      <c r="AI28" s="920"/>
      <c r="AJ28" s="920"/>
      <c r="AK28" s="920"/>
      <c r="AL28" s="1105"/>
      <c r="AM28" s="920"/>
      <c r="AN28" s="1711"/>
      <c r="AO28" s="920"/>
      <c r="AP28" s="920"/>
      <c r="AS28" s="1167"/>
      <c r="AT28" s="1167"/>
      <c r="AU28" s="1168"/>
      <c r="AV28" s="1168"/>
      <c r="AW28" s="1169"/>
      <c r="AX28" s="1169"/>
      <c r="AY28" s="1169"/>
      <c r="AZ28" s="1169"/>
      <c r="BA28" s="1799" t="s">
        <v>0</v>
      </c>
      <c r="BB28" s="1802">
        <v>2014</v>
      </c>
      <c r="BC28" s="1799" t="s">
        <v>18</v>
      </c>
      <c r="BD28" s="1799">
        <v>8</v>
      </c>
      <c r="BE28" s="1800">
        <v>171734884</v>
      </c>
      <c r="BF28" s="1801">
        <v>4.7E-2</v>
      </c>
      <c r="BG28" s="1799"/>
      <c r="BH28" s="1799" t="s">
        <v>0</v>
      </c>
      <c r="BI28" s="1799" t="s">
        <v>319</v>
      </c>
      <c r="BJ28" s="1799" t="s">
        <v>25</v>
      </c>
      <c r="BK28" s="1799">
        <v>8</v>
      </c>
      <c r="BL28" s="1800">
        <v>184837513</v>
      </c>
      <c r="BM28" s="1801">
        <v>4.3999999999999997E-2</v>
      </c>
      <c r="BN28" s="1799">
        <v>2014</v>
      </c>
      <c r="BO28" s="1684"/>
      <c r="BP28" s="1696"/>
      <c r="BQ28" s="1169"/>
      <c r="BR28" s="1169"/>
      <c r="BS28" s="1169"/>
      <c r="BT28" s="1169"/>
      <c r="BU28" s="1169"/>
      <c r="BV28" s="1169"/>
      <c r="BW28" s="1169"/>
      <c r="BX28" s="1169"/>
      <c r="BY28" s="1169"/>
      <c r="BZ28" s="1169"/>
      <c r="CA28" s="1169"/>
      <c r="CB28" s="1169"/>
      <c r="CC28" s="1169"/>
      <c r="CD28" s="1169"/>
      <c r="CE28" s="1169"/>
      <c r="CF28" s="1169"/>
      <c r="CG28" s="1169"/>
      <c r="CH28" s="1169"/>
      <c r="CI28" s="1169"/>
      <c r="CJ28" s="1169"/>
      <c r="CK28" s="1169"/>
      <c r="CL28" s="1169"/>
      <c r="CM28" s="1169"/>
      <c r="CN28" s="1169"/>
      <c r="CO28" s="1169"/>
      <c r="CP28" s="1169"/>
      <c r="CQ28" s="1169"/>
      <c r="CR28" s="1169"/>
      <c r="CS28" s="1169"/>
      <c r="CT28" s="1169"/>
      <c r="CU28" s="1169"/>
      <c r="CV28" s="1169"/>
      <c r="CW28" s="1169"/>
      <c r="CX28" s="1169"/>
      <c r="CY28" s="1169"/>
      <c r="CZ28" s="1169"/>
      <c r="DA28" s="1168"/>
      <c r="DB28" s="1168"/>
      <c r="DC28" s="1168"/>
      <c r="DD28" s="1168"/>
      <c r="DE28" s="1168"/>
      <c r="DF28" s="1168"/>
      <c r="DG28" s="1168"/>
      <c r="DH28" s="1168"/>
      <c r="DI28" s="1168"/>
      <c r="DJ28" s="1168"/>
      <c r="DK28" s="1168"/>
      <c r="DL28" s="1168"/>
      <c r="DM28" s="1168"/>
      <c r="DN28" s="1168"/>
      <c r="DO28" s="1168"/>
      <c r="DP28" s="1168"/>
      <c r="DQ28" s="1168"/>
      <c r="DR28" s="1168"/>
      <c r="DS28" s="1168"/>
      <c r="DT28" s="1168"/>
      <c r="DU28" s="1168"/>
      <c r="DV28" s="1168"/>
      <c r="DW28" s="1168"/>
      <c r="DX28" s="1168"/>
      <c r="DY28" s="1168"/>
      <c r="DZ28" s="1168"/>
      <c r="EA28" s="1168"/>
      <c r="EB28" s="1168"/>
      <c r="EC28" s="1168"/>
      <c r="ED28" s="1168"/>
      <c r="EE28" s="1168"/>
      <c r="EF28" s="1168"/>
      <c r="EG28" s="1168"/>
      <c r="EH28" s="1168"/>
      <c r="EI28" s="1170"/>
      <c r="EJ28" s="1170"/>
      <c r="EK28" s="1170"/>
      <c r="EL28" s="1170"/>
      <c r="EM28" s="1170"/>
      <c r="EN28" s="1170"/>
      <c r="EO28" s="1170"/>
      <c r="EP28" s="1170"/>
      <c r="EQ28" s="1170"/>
      <c r="ER28" s="1170"/>
      <c r="ES28" s="1333"/>
      <c r="ET28" s="1333"/>
      <c r="EU28" s="1333"/>
      <c r="EV28" s="1333"/>
      <c r="EW28" s="1333"/>
      <c r="EX28" s="1333"/>
      <c r="EY28" s="1333"/>
      <c r="EZ28" s="1333"/>
      <c r="FA28" s="1333"/>
      <c r="FB28" s="1333"/>
      <c r="FC28" s="1333"/>
      <c r="FD28" s="1333"/>
      <c r="FE28" s="1333"/>
      <c r="FF28" s="1333"/>
      <c r="FG28" s="1333"/>
      <c r="FH28" s="1333"/>
      <c r="FI28" s="1333"/>
      <c r="FJ28" s="1333"/>
      <c r="FK28" s="1333"/>
      <c r="FL28" s="1333"/>
      <c r="FM28" s="1333"/>
      <c r="FN28" s="1333"/>
      <c r="FO28" s="1333"/>
      <c r="FP28" s="1333"/>
      <c r="FQ28" s="1333"/>
      <c r="FR28" s="1333"/>
      <c r="FS28" s="1333"/>
      <c r="FT28" s="1333"/>
      <c r="FU28" s="1333"/>
      <c r="FV28" s="1333"/>
      <c r="FW28" s="1333"/>
      <c r="FX28" s="1333"/>
      <c r="FY28" s="1333"/>
      <c r="FZ28" s="1333"/>
      <c r="GA28" s="1333"/>
      <c r="GB28" s="1333"/>
      <c r="GC28" s="1333"/>
      <c r="GD28" s="1333"/>
      <c r="GE28" s="1333"/>
      <c r="GF28" s="1333"/>
      <c r="GG28" s="1333"/>
      <c r="GH28" s="1333"/>
      <c r="GI28" s="1333"/>
      <c r="GJ28" s="1333"/>
      <c r="GK28" s="1333"/>
      <c r="GL28" s="1333"/>
      <c r="GM28" s="1333"/>
      <c r="GN28" s="1333"/>
      <c r="GO28" s="1333"/>
      <c r="GP28" s="1333"/>
      <c r="GQ28" s="1333"/>
      <c r="GR28" s="1333"/>
      <c r="GS28" s="1333"/>
      <c r="GT28" s="1333"/>
      <c r="GU28" s="1333"/>
      <c r="GV28" s="1333"/>
      <c r="GW28" s="1333"/>
      <c r="GX28" s="1333"/>
    </row>
    <row r="29" spans="1:206" s="607" customFormat="1">
      <c r="A29" s="607">
        <f t="shared" si="0"/>
        <v>1972</v>
      </c>
      <c r="B29" s="607">
        <f t="shared" si="1"/>
        <v>3</v>
      </c>
      <c r="C29" s="1173">
        <v>26543</v>
      </c>
      <c r="D29" s="1709"/>
      <c r="E29" s="1117"/>
      <c r="F29" s="1117"/>
      <c r="G29" s="1117"/>
      <c r="H29" s="1117"/>
      <c r="I29" s="959">
        <v>54.962245259999996</v>
      </c>
      <c r="J29" s="959">
        <v>65.459999999999994</v>
      </c>
      <c r="K29" s="960"/>
      <c r="L29" s="1121"/>
      <c r="M29" s="916"/>
      <c r="N29" s="916"/>
      <c r="O29" s="1332"/>
      <c r="P29" s="1332"/>
      <c r="Q29" s="1332"/>
      <c r="R29" s="1332"/>
      <c r="S29" s="1332"/>
      <c r="T29" s="1332"/>
      <c r="U29" s="1120"/>
      <c r="V29" s="1120"/>
      <c r="W29" s="1120"/>
      <c r="X29" s="1120"/>
      <c r="Y29" s="1119"/>
      <c r="Z29" s="1119"/>
      <c r="AA29" s="1119"/>
      <c r="AB29" s="1119"/>
      <c r="AC29" s="1178"/>
      <c r="AD29" s="1178"/>
      <c r="AE29" s="1178"/>
      <c r="AF29" s="1178"/>
      <c r="AG29" s="1178"/>
      <c r="AH29" s="1178"/>
      <c r="AI29" s="1178"/>
      <c r="AJ29" s="1178"/>
      <c r="AK29" s="919"/>
      <c r="AL29" s="1104"/>
      <c r="AM29" s="919"/>
      <c r="AN29" s="1710"/>
      <c r="AO29" s="919"/>
      <c r="AP29" s="919"/>
      <c r="AS29" s="1167"/>
      <c r="AT29" s="1167"/>
      <c r="AU29" s="1168"/>
      <c r="AV29" s="1168"/>
      <c r="AW29" s="1169"/>
      <c r="AX29" s="1169"/>
      <c r="AY29" s="1169"/>
      <c r="AZ29" s="1169"/>
      <c r="BA29" s="1799" t="s">
        <v>0</v>
      </c>
      <c r="BB29" s="1802">
        <v>2014</v>
      </c>
      <c r="BC29" s="1799" t="s">
        <v>25</v>
      </c>
      <c r="BD29" s="1799">
        <v>9</v>
      </c>
      <c r="BE29" s="1800">
        <v>155493543</v>
      </c>
      <c r="BF29" s="1801">
        <v>4.2999999999999997E-2</v>
      </c>
      <c r="BG29" s="1799"/>
      <c r="BH29" s="1799" t="s">
        <v>0</v>
      </c>
      <c r="BI29" s="1799" t="s">
        <v>319</v>
      </c>
      <c r="BJ29" s="1799" t="s">
        <v>18</v>
      </c>
      <c r="BK29" s="1799">
        <v>9</v>
      </c>
      <c r="BL29" s="1800">
        <v>171200361</v>
      </c>
      <c r="BM29" s="1801">
        <v>4.1000000000000002E-2</v>
      </c>
      <c r="BN29" s="1799">
        <v>2014</v>
      </c>
      <c r="BO29" s="1684"/>
      <c r="BP29" s="1697">
        <f>'Alumina and Bauxite - Prices'!A29</f>
        <v>44044</v>
      </c>
      <c r="BQ29" s="1169"/>
      <c r="BR29" s="1169"/>
      <c r="BS29" s="1169"/>
      <c r="BT29" s="1169"/>
      <c r="BU29" s="1169"/>
      <c r="BV29" s="1169"/>
      <c r="BW29" s="1169"/>
      <c r="BX29" s="1169"/>
      <c r="BY29" s="1169"/>
      <c r="BZ29" s="1169"/>
      <c r="CA29" s="1169"/>
      <c r="CB29" s="1169"/>
      <c r="CC29" s="1169"/>
      <c r="CD29" s="1169"/>
      <c r="CE29" s="1169"/>
      <c r="CF29" s="1169"/>
      <c r="CG29" s="1169"/>
      <c r="CH29" s="1169"/>
      <c r="CI29" s="1169"/>
      <c r="CJ29" s="1169"/>
      <c r="CK29" s="1169"/>
      <c r="CL29" s="1169"/>
      <c r="CM29" s="1169"/>
      <c r="CN29" s="1169"/>
      <c r="CO29" s="1169"/>
      <c r="CP29" s="1169"/>
      <c r="CQ29" s="1169"/>
      <c r="CR29" s="1169"/>
      <c r="CS29" s="1169"/>
      <c r="CT29" s="1169"/>
      <c r="CU29" s="1169"/>
      <c r="CV29" s="1169"/>
      <c r="CW29" s="1169"/>
      <c r="CX29" s="1169"/>
      <c r="CY29" s="1169"/>
      <c r="CZ29" s="1169"/>
      <c r="DA29" s="1168"/>
      <c r="DB29" s="1168"/>
      <c r="DC29" s="1168"/>
      <c r="DD29" s="1168"/>
      <c r="DE29" s="1168"/>
      <c r="DF29" s="1168"/>
      <c r="DG29" s="1168"/>
      <c r="DH29" s="1168"/>
      <c r="DI29" s="1168"/>
      <c r="DJ29" s="1168"/>
      <c r="DK29" s="1168"/>
      <c r="DL29" s="1168"/>
      <c r="DM29" s="1168"/>
      <c r="DN29" s="1168"/>
      <c r="DO29" s="1168"/>
      <c r="DP29" s="1168"/>
      <c r="DQ29" s="1168"/>
      <c r="DR29" s="1168"/>
      <c r="DS29" s="1168"/>
      <c r="DT29" s="1168"/>
      <c r="DU29" s="1168"/>
      <c r="DV29" s="1168"/>
      <c r="DW29" s="1168"/>
      <c r="DX29" s="1168"/>
      <c r="DY29" s="1168"/>
      <c r="DZ29" s="1168"/>
      <c r="EA29" s="1168"/>
      <c r="EB29" s="1168"/>
      <c r="EC29" s="1168"/>
      <c r="ED29" s="1168"/>
      <c r="EE29" s="1168"/>
      <c r="EF29" s="1168"/>
      <c r="EG29" s="1168"/>
      <c r="EH29" s="1168"/>
      <c r="EI29" s="1170"/>
      <c r="EJ29" s="1170"/>
      <c r="EK29" s="1170"/>
      <c r="EL29" s="1170"/>
      <c r="EM29" s="1170"/>
      <c r="EN29" s="1170"/>
      <c r="EO29" s="1170"/>
      <c r="EP29" s="1170"/>
      <c r="EQ29" s="1170"/>
      <c r="ER29" s="1170"/>
      <c r="ES29" s="1333"/>
      <c r="ET29" s="1333"/>
      <c r="EU29" s="1333"/>
      <c r="EV29" s="1333"/>
      <c r="EW29" s="1333"/>
      <c r="EX29" s="1333"/>
      <c r="EY29" s="1333"/>
      <c r="EZ29" s="1333"/>
      <c r="FA29" s="1333"/>
      <c r="FB29" s="1333"/>
      <c r="FC29" s="1333"/>
      <c r="FD29" s="1333"/>
      <c r="FE29" s="1333"/>
      <c r="FF29" s="1333"/>
      <c r="FG29" s="1333"/>
      <c r="FH29" s="1333"/>
      <c r="FI29" s="1333"/>
      <c r="FJ29" s="1333"/>
      <c r="FK29" s="1333"/>
      <c r="FL29" s="1333"/>
      <c r="FM29" s="1333"/>
      <c r="FN29" s="1333"/>
      <c r="FO29" s="1333"/>
      <c r="FP29" s="1333"/>
      <c r="FQ29" s="1333"/>
      <c r="FR29" s="1333"/>
      <c r="FS29" s="1333"/>
      <c r="FT29" s="1333"/>
      <c r="FU29" s="1333"/>
      <c r="FV29" s="1333"/>
      <c r="FW29" s="1333"/>
      <c r="FX29" s="1333"/>
      <c r="FY29" s="1333"/>
      <c r="FZ29" s="1333"/>
      <c r="GA29" s="1333"/>
      <c r="GB29" s="1333"/>
      <c r="GC29" s="1333"/>
      <c r="GD29" s="1333"/>
      <c r="GE29" s="1333"/>
      <c r="GF29" s="1333"/>
      <c r="GG29" s="1333"/>
      <c r="GH29" s="1333"/>
      <c r="GI29" s="1333"/>
      <c r="GJ29" s="1333"/>
      <c r="GK29" s="1333"/>
      <c r="GL29" s="1333"/>
      <c r="GM29" s="1333"/>
      <c r="GN29" s="1333"/>
      <c r="GO29" s="1333"/>
      <c r="GP29" s="1333"/>
      <c r="GQ29" s="1333"/>
      <c r="GR29" s="1333"/>
      <c r="GS29" s="1333"/>
      <c r="GT29" s="1333"/>
      <c r="GU29" s="1333"/>
      <c r="GV29" s="1333"/>
      <c r="GW29" s="1333"/>
      <c r="GX29" s="1333"/>
    </row>
    <row r="30" spans="1:206" s="607" customFormat="1">
      <c r="A30" s="607">
        <f t="shared" si="0"/>
        <v>1972</v>
      </c>
      <c r="B30" s="607">
        <f t="shared" si="1"/>
        <v>4</v>
      </c>
      <c r="C30" s="1173">
        <v>26574</v>
      </c>
      <c r="D30" s="957"/>
      <c r="E30" s="920"/>
      <c r="F30" s="920"/>
      <c r="G30" s="920"/>
      <c r="H30" s="920"/>
      <c r="I30" s="954">
        <v>54.458466659999999</v>
      </c>
      <c r="J30" s="954">
        <v>64.86</v>
      </c>
      <c r="K30" s="954"/>
      <c r="L30" s="920"/>
      <c r="M30" s="917"/>
      <c r="N30" s="917"/>
      <c r="O30" s="1334"/>
      <c r="P30" s="1334"/>
      <c r="Q30" s="1334"/>
      <c r="R30" s="1334"/>
      <c r="S30" s="1334"/>
      <c r="T30" s="1334"/>
      <c r="U30" s="920"/>
      <c r="V30" s="920"/>
      <c r="W30" s="920"/>
      <c r="X30" s="920"/>
      <c r="Y30" s="920"/>
      <c r="Z30" s="920"/>
      <c r="AA30" s="920"/>
      <c r="AB30" s="920"/>
      <c r="AC30" s="920"/>
      <c r="AD30" s="920"/>
      <c r="AE30" s="920"/>
      <c r="AF30" s="920"/>
      <c r="AG30" s="920"/>
      <c r="AH30" s="920"/>
      <c r="AI30" s="920"/>
      <c r="AJ30" s="920"/>
      <c r="AK30" s="920"/>
      <c r="AL30" s="1105"/>
      <c r="AM30" s="920"/>
      <c r="AN30" s="1711"/>
      <c r="AO30" s="920"/>
      <c r="AP30" s="920"/>
      <c r="AS30" s="1167"/>
      <c r="AT30" s="1167"/>
      <c r="AU30" s="1168"/>
      <c r="AV30" s="1168"/>
      <c r="AW30" s="1169"/>
      <c r="AX30" s="1169"/>
      <c r="AY30" s="1169"/>
      <c r="AZ30" s="1169"/>
      <c r="BA30" s="1799" t="s">
        <v>0</v>
      </c>
      <c r="BB30" s="1802">
        <v>2014</v>
      </c>
      <c r="BC30" s="1799" t="s">
        <v>21</v>
      </c>
      <c r="BD30" s="1799">
        <v>10</v>
      </c>
      <c r="BE30" s="1800">
        <v>153082446</v>
      </c>
      <c r="BF30" s="1801">
        <v>4.2000000000000003E-2</v>
      </c>
      <c r="BG30" s="1799"/>
      <c r="BH30" s="1799" t="s">
        <v>0</v>
      </c>
      <c r="BI30" s="1799" t="s">
        <v>319</v>
      </c>
      <c r="BJ30" s="1799" t="s">
        <v>21</v>
      </c>
      <c r="BK30" s="1799">
        <v>10</v>
      </c>
      <c r="BL30" s="1800">
        <v>168803110</v>
      </c>
      <c r="BM30" s="1801">
        <v>0.04</v>
      </c>
      <c r="BN30" s="1799">
        <v>2014</v>
      </c>
      <c r="BO30" s="1684"/>
      <c r="BP30" s="1696"/>
      <c r="BQ30" s="1169"/>
      <c r="BR30" s="1169"/>
      <c r="BS30" s="1169"/>
      <c r="BT30" s="1169"/>
      <c r="BU30" s="1169"/>
      <c r="BV30" s="1169"/>
      <c r="BW30" s="1169"/>
      <c r="BX30" s="1169"/>
      <c r="BY30" s="1169"/>
      <c r="BZ30" s="1169"/>
      <c r="CA30" s="1169"/>
      <c r="CB30" s="1169"/>
      <c r="CC30" s="1169"/>
      <c r="CD30" s="1169"/>
      <c r="CE30" s="1169"/>
      <c r="CF30" s="1169"/>
      <c r="CG30" s="1169"/>
      <c r="CH30" s="1169"/>
      <c r="CI30" s="1169"/>
      <c r="CJ30" s="1169"/>
      <c r="CK30" s="1169"/>
      <c r="CL30" s="1169"/>
      <c r="CM30" s="1169"/>
      <c r="CN30" s="1169"/>
      <c r="CO30" s="1169"/>
      <c r="CP30" s="1169"/>
      <c r="CQ30" s="1169"/>
      <c r="CR30" s="1169"/>
      <c r="CS30" s="1169"/>
      <c r="CT30" s="1169"/>
      <c r="CU30" s="1169"/>
      <c r="CV30" s="1169"/>
      <c r="CW30" s="1169"/>
      <c r="CX30" s="1169"/>
      <c r="CY30" s="1169"/>
      <c r="CZ30" s="1169"/>
      <c r="DA30" s="1168"/>
      <c r="DB30" s="1168"/>
      <c r="DC30" s="1168"/>
      <c r="DD30" s="1168"/>
      <c r="DE30" s="1168"/>
      <c r="DF30" s="1168"/>
      <c r="DG30" s="1168"/>
      <c r="DH30" s="1168"/>
      <c r="DI30" s="1168"/>
      <c r="DJ30" s="1168"/>
      <c r="DK30" s="1168"/>
      <c r="DL30" s="1168"/>
      <c r="DM30" s="1168"/>
      <c r="DN30" s="1168"/>
      <c r="DO30" s="1168"/>
      <c r="DP30" s="1168"/>
      <c r="DQ30" s="1168"/>
      <c r="DR30" s="1168"/>
      <c r="DS30" s="1168"/>
      <c r="DT30" s="1168"/>
      <c r="DU30" s="1168"/>
      <c r="DV30" s="1168"/>
      <c r="DW30" s="1168"/>
      <c r="DX30" s="1168"/>
      <c r="DY30" s="1168"/>
      <c r="DZ30" s="1168"/>
      <c r="EA30" s="1168"/>
      <c r="EB30" s="1168"/>
      <c r="EC30" s="1168"/>
      <c r="ED30" s="1168"/>
      <c r="EE30" s="1168"/>
      <c r="EF30" s="1168"/>
      <c r="EG30" s="1168"/>
      <c r="EH30" s="1168"/>
      <c r="EI30" s="1170"/>
      <c r="EJ30" s="1170"/>
      <c r="EK30" s="1170"/>
      <c r="EL30" s="1170"/>
      <c r="EM30" s="1170"/>
      <c r="EN30" s="1170"/>
      <c r="EO30" s="1170"/>
      <c r="EP30" s="1170"/>
      <c r="EQ30" s="1170"/>
      <c r="ER30" s="1170"/>
      <c r="ES30" s="1333"/>
      <c r="ET30" s="1333"/>
      <c r="EU30" s="1333"/>
      <c r="EV30" s="1333"/>
      <c r="EW30" s="1333"/>
      <c r="EX30" s="1333"/>
      <c r="EY30" s="1333"/>
      <c r="EZ30" s="1333"/>
      <c r="FA30" s="1333"/>
      <c r="FB30" s="1333"/>
      <c r="FC30" s="1333"/>
      <c r="FD30" s="1333"/>
      <c r="FE30" s="1333"/>
      <c r="FF30" s="1333"/>
      <c r="FG30" s="1333"/>
      <c r="FH30" s="1333"/>
      <c r="FI30" s="1333"/>
      <c r="FJ30" s="1333"/>
      <c r="FK30" s="1333"/>
      <c r="FL30" s="1333"/>
      <c r="FM30" s="1333"/>
      <c r="FN30" s="1333"/>
      <c r="FO30" s="1333"/>
      <c r="FP30" s="1333"/>
      <c r="FQ30" s="1333"/>
      <c r="FR30" s="1333"/>
      <c r="FS30" s="1333"/>
      <c r="FT30" s="1333"/>
      <c r="FU30" s="1333"/>
      <c r="FV30" s="1333"/>
      <c r="FW30" s="1333"/>
      <c r="FX30" s="1333"/>
      <c r="FY30" s="1333"/>
      <c r="FZ30" s="1333"/>
      <c r="GA30" s="1333"/>
      <c r="GB30" s="1333"/>
      <c r="GC30" s="1333"/>
      <c r="GD30" s="1333"/>
      <c r="GE30" s="1333"/>
      <c r="GF30" s="1333"/>
      <c r="GG30" s="1333"/>
      <c r="GH30" s="1333"/>
      <c r="GI30" s="1333"/>
      <c r="GJ30" s="1333"/>
      <c r="GK30" s="1333"/>
      <c r="GL30" s="1333"/>
      <c r="GM30" s="1333"/>
      <c r="GN30" s="1333"/>
      <c r="GO30" s="1333"/>
      <c r="GP30" s="1333"/>
      <c r="GQ30" s="1333"/>
      <c r="GR30" s="1333"/>
      <c r="GS30" s="1333"/>
      <c r="GT30" s="1333"/>
      <c r="GU30" s="1333"/>
      <c r="GV30" s="1333"/>
      <c r="GW30" s="1333"/>
      <c r="GX30" s="1333"/>
    </row>
    <row r="31" spans="1:206" s="607" customFormat="1">
      <c r="A31" s="607">
        <f t="shared" si="0"/>
        <v>1972</v>
      </c>
      <c r="B31" s="607">
        <f t="shared" si="1"/>
        <v>4</v>
      </c>
      <c r="C31" s="1173">
        <v>26604</v>
      </c>
      <c r="D31" s="1709"/>
      <c r="E31" s="1117"/>
      <c r="F31" s="1117"/>
      <c r="G31" s="1117"/>
      <c r="H31" s="1117"/>
      <c r="I31" s="959">
        <v>52.82118621</v>
      </c>
      <c r="J31" s="959">
        <v>62.91</v>
      </c>
      <c r="K31" s="960"/>
      <c r="L31" s="1121"/>
      <c r="M31" s="916"/>
      <c r="N31" s="916"/>
      <c r="O31" s="1332"/>
      <c r="P31" s="1332"/>
      <c r="Q31" s="1332"/>
      <c r="R31" s="1332"/>
      <c r="S31" s="1332"/>
      <c r="T31" s="1332"/>
      <c r="U31" s="1120"/>
      <c r="V31" s="1120"/>
      <c r="W31" s="1120"/>
      <c r="X31" s="1120"/>
      <c r="Y31" s="1119"/>
      <c r="Z31" s="1119"/>
      <c r="AA31" s="1119"/>
      <c r="AB31" s="1119"/>
      <c r="AC31" s="1178"/>
      <c r="AD31" s="1178"/>
      <c r="AE31" s="1178"/>
      <c r="AF31" s="1178"/>
      <c r="AG31" s="1178"/>
      <c r="AH31" s="1178"/>
      <c r="AI31" s="1178"/>
      <c r="AJ31" s="1178"/>
      <c r="AK31" s="919"/>
      <c r="AL31" s="1104"/>
      <c r="AM31" s="919"/>
      <c r="AN31" s="1710"/>
      <c r="AO31" s="919"/>
      <c r="AP31" s="919"/>
      <c r="AS31" s="1167"/>
      <c r="AT31" s="1167"/>
      <c r="AU31" s="1168"/>
      <c r="AV31" s="1168"/>
      <c r="AW31" s="1169"/>
      <c r="AX31" s="1169"/>
      <c r="AY31" s="1169"/>
      <c r="AZ31" s="1169"/>
      <c r="BA31" s="1799" t="s">
        <v>0</v>
      </c>
      <c r="BB31" s="1802">
        <v>2014</v>
      </c>
      <c r="BC31" s="1799" t="s">
        <v>32</v>
      </c>
      <c r="BD31" s="1799"/>
      <c r="BE31" s="1800">
        <v>272089657</v>
      </c>
      <c r="BF31" s="1801">
        <v>7.4999999999999997E-2</v>
      </c>
      <c r="BG31" s="1799"/>
      <c r="BH31" s="1799" t="s">
        <v>0</v>
      </c>
      <c r="BI31" s="1799" t="s">
        <v>319</v>
      </c>
      <c r="BJ31" s="1799" t="s">
        <v>32</v>
      </c>
      <c r="BK31" s="1799"/>
      <c r="BL31" s="1800">
        <v>435642186</v>
      </c>
      <c r="BM31" s="1801">
        <v>0.10299999999999999</v>
      </c>
      <c r="BN31" s="1799">
        <v>2014</v>
      </c>
      <c r="BO31" s="1684"/>
      <c r="BP31" s="1696"/>
      <c r="BQ31" s="1169"/>
      <c r="BR31" s="1169"/>
      <c r="BS31" s="1169"/>
      <c r="BT31" s="1169"/>
      <c r="BU31" s="1169"/>
      <c r="BV31" s="1169"/>
      <c r="BW31" s="1169"/>
      <c r="BX31" s="1169"/>
      <c r="BY31" s="1169"/>
      <c r="BZ31" s="1169"/>
      <c r="CA31" s="1169"/>
      <c r="CB31" s="1169"/>
      <c r="CC31" s="1169"/>
      <c r="CD31" s="1169"/>
      <c r="CE31" s="1169"/>
      <c r="CF31" s="1169"/>
      <c r="CG31" s="1169"/>
      <c r="CH31" s="1169"/>
      <c r="CI31" s="1169"/>
      <c r="CJ31" s="1169"/>
      <c r="CK31" s="1169"/>
      <c r="CL31" s="1169"/>
      <c r="CM31" s="1169"/>
      <c r="CN31" s="1169"/>
      <c r="CO31" s="1169"/>
      <c r="CP31" s="1169"/>
      <c r="CQ31" s="1169"/>
      <c r="CR31" s="1169"/>
      <c r="CS31" s="1169"/>
      <c r="CT31" s="1169"/>
      <c r="CU31" s="1169"/>
      <c r="CV31" s="1169"/>
      <c r="CW31" s="1169"/>
      <c r="CX31" s="1169"/>
      <c r="CY31" s="1169"/>
      <c r="CZ31" s="1169"/>
      <c r="DA31" s="1168"/>
      <c r="DB31" s="1168"/>
      <c r="DC31" s="1168"/>
      <c r="DD31" s="1168"/>
      <c r="DE31" s="1168"/>
      <c r="DF31" s="1168"/>
      <c r="DG31" s="1168"/>
      <c r="DH31" s="1168"/>
      <c r="DI31" s="1168"/>
      <c r="DJ31" s="1168"/>
      <c r="DK31" s="1168"/>
      <c r="DL31" s="1168"/>
      <c r="DM31" s="1168"/>
      <c r="DN31" s="1168"/>
      <c r="DO31" s="1168"/>
      <c r="DP31" s="1168"/>
      <c r="DQ31" s="1168"/>
      <c r="DR31" s="1168"/>
      <c r="DS31" s="1168"/>
      <c r="DT31" s="1168"/>
      <c r="DU31" s="1168"/>
      <c r="DV31" s="1168"/>
      <c r="DW31" s="1168"/>
      <c r="DX31" s="1168"/>
      <c r="DY31" s="1168"/>
      <c r="DZ31" s="1168"/>
      <c r="EA31" s="1168"/>
      <c r="EB31" s="1168"/>
      <c r="EC31" s="1168"/>
      <c r="ED31" s="1168"/>
      <c r="EE31" s="1168"/>
      <c r="EF31" s="1168"/>
      <c r="EG31" s="1168"/>
      <c r="EH31" s="1168"/>
      <c r="EI31" s="1170"/>
      <c r="EJ31" s="1170"/>
      <c r="EK31" s="1170"/>
      <c r="EL31" s="1170"/>
      <c r="EM31" s="1170"/>
      <c r="EN31" s="1170"/>
      <c r="EO31" s="1170"/>
      <c r="EP31" s="1170"/>
      <c r="EQ31" s="1170"/>
      <c r="ER31" s="1170"/>
      <c r="ES31" s="1333"/>
      <c r="ET31" s="1333"/>
      <c r="EU31" s="1333"/>
      <c r="EV31" s="1333"/>
      <c r="EW31" s="1333"/>
      <c r="EX31" s="1333"/>
      <c r="EY31" s="1333"/>
      <c r="EZ31" s="1333"/>
      <c r="FA31" s="1333"/>
      <c r="FB31" s="1333"/>
      <c r="FC31" s="1333"/>
      <c r="FD31" s="1333"/>
      <c r="FE31" s="1333"/>
      <c r="FF31" s="1333"/>
      <c r="FG31" s="1333"/>
      <c r="FH31" s="1333"/>
      <c r="FI31" s="1333"/>
      <c r="FJ31" s="1333"/>
      <c r="FK31" s="1333"/>
      <c r="FL31" s="1333"/>
      <c r="FM31" s="1333"/>
      <c r="FN31" s="1333"/>
      <c r="FO31" s="1333"/>
      <c r="FP31" s="1333"/>
      <c r="FQ31" s="1333"/>
      <c r="FR31" s="1333"/>
      <c r="FS31" s="1333"/>
      <c r="FT31" s="1333"/>
      <c r="FU31" s="1333"/>
      <c r="FV31" s="1333"/>
      <c r="FW31" s="1333"/>
      <c r="FX31" s="1333"/>
      <c r="FY31" s="1333"/>
      <c r="FZ31" s="1333"/>
      <c r="GA31" s="1333"/>
      <c r="GB31" s="1333"/>
      <c r="GC31" s="1333"/>
      <c r="GD31" s="1333"/>
      <c r="GE31" s="1333"/>
      <c r="GF31" s="1333"/>
      <c r="GG31" s="1333"/>
      <c r="GH31" s="1333"/>
      <c r="GI31" s="1333"/>
      <c r="GJ31" s="1333"/>
      <c r="GK31" s="1333"/>
      <c r="GL31" s="1333"/>
      <c r="GM31" s="1333"/>
      <c r="GN31" s="1333"/>
      <c r="GO31" s="1333"/>
      <c r="GP31" s="1333"/>
      <c r="GQ31" s="1333"/>
      <c r="GR31" s="1333"/>
      <c r="GS31" s="1333"/>
      <c r="GT31" s="1333"/>
      <c r="GU31" s="1333"/>
      <c r="GV31" s="1333"/>
      <c r="GW31" s="1333"/>
      <c r="GX31" s="1333"/>
    </row>
    <row r="32" spans="1:206" s="607" customFormat="1">
      <c r="A32" s="607">
        <f t="shared" si="0"/>
        <v>1972</v>
      </c>
      <c r="B32" s="607">
        <f t="shared" si="1"/>
        <v>4</v>
      </c>
      <c r="C32" s="1173">
        <v>26634</v>
      </c>
      <c r="D32" s="957"/>
      <c r="E32" s="920"/>
      <c r="F32" s="920"/>
      <c r="G32" s="920"/>
      <c r="H32" s="920"/>
      <c r="I32" s="954">
        <v>50.125507739999996</v>
      </c>
      <c r="J32" s="954">
        <v>63.91</v>
      </c>
      <c r="K32" s="954"/>
      <c r="L32" s="920"/>
      <c r="M32" s="917"/>
      <c r="N32" s="917"/>
      <c r="O32" s="1334"/>
      <c r="P32" s="1334"/>
      <c r="Q32" s="1334"/>
      <c r="R32" s="1334"/>
      <c r="S32" s="1334"/>
      <c r="T32" s="1334"/>
      <c r="U32" s="920"/>
      <c r="V32" s="920"/>
      <c r="W32" s="920"/>
      <c r="X32" s="920"/>
      <c r="Y32" s="920"/>
      <c r="Z32" s="920"/>
      <c r="AA32" s="920"/>
      <c r="AB32" s="920"/>
      <c r="AC32" s="920"/>
      <c r="AD32" s="920"/>
      <c r="AE32" s="920"/>
      <c r="AF32" s="920"/>
      <c r="AG32" s="920"/>
      <c r="AH32" s="920"/>
      <c r="AI32" s="920"/>
      <c r="AJ32" s="920"/>
      <c r="AK32" s="920"/>
      <c r="AL32" s="1105"/>
      <c r="AM32" s="920"/>
      <c r="AN32" s="1711"/>
      <c r="AO32" s="920"/>
      <c r="AP32" s="920"/>
      <c r="AS32" s="1167"/>
      <c r="AT32" s="1167"/>
      <c r="AU32" s="1168"/>
      <c r="AV32" s="1168"/>
      <c r="AW32" s="1169"/>
      <c r="AX32" s="1169"/>
      <c r="AY32" s="1169"/>
      <c r="AZ32" s="1169"/>
      <c r="BA32" s="1799" t="s">
        <v>0</v>
      </c>
      <c r="BB32" s="1802">
        <v>2014</v>
      </c>
      <c r="BC32" s="1799" t="s">
        <v>249</v>
      </c>
      <c r="BD32" s="1799"/>
      <c r="BE32" s="1800">
        <v>3625139945</v>
      </c>
      <c r="BF32" s="1801">
        <v>1</v>
      </c>
      <c r="BG32" s="1799"/>
      <c r="BH32" s="1799" t="s">
        <v>0</v>
      </c>
      <c r="BI32" s="1799" t="s">
        <v>319</v>
      </c>
      <c r="BJ32" s="1799" t="s">
        <v>249</v>
      </c>
      <c r="BK32" s="1799"/>
      <c r="BL32" s="1800">
        <v>4219165433</v>
      </c>
      <c r="BM32" s="1801"/>
      <c r="BN32" s="1799">
        <v>2014</v>
      </c>
      <c r="BO32" s="1684"/>
      <c r="BP32" s="1697">
        <f>'Alumina and Bauxite - Prices'!A32</f>
        <v>44136</v>
      </c>
      <c r="BQ32" s="1169"/>
      <c r="BR32" s="1169"/>
      <c r="BS32" s="1169"/>
      <c r="BT32" s="1169"/>
      <c r="BU32" s="1169"/>
      <c r="BV32" s="1169"/>
      <c r="BW32" s="1169"/>
      <c r="BX32" s="1169"/>
      <c r="BY32" s="1169"/>
      <c r="BZ32" s="1169"/>
      <c r="CA32" s="1169"/>
      <c r="CB32" s="1169"/>
      <c r="CC32" s="1169"/>
      <c r="CD32" s="1169"/>
      <c r="CE32" s="1169"/>
      <c r="CF32" s="1169"/>
      <c r="CG32" s="1169"/>
      <c r="CH32" s="1169"/>
      <c r="CI32" s="1169"/>
      <c r="CJ32" s="1169"/>
      <c r="CK32" s="1169"/>
      <c r="CL32" s="1169"/>
      <c r="CM32" s="1169"/>
      <c r="CN32" s="1169"/>
      <c r="CO32" s="1169"/>
      <c r="CP32" s="1169"/>
      <c r="CQ32" s="1169"/>
      <c r="CR32" s="1169"/>
      <c r="CS32" s="1169"/>
      <c r="CT32" s="1169"/>
      <c r="CU32" s="1169"/>
      <c r="CV32" s="1169"/>
      <c r="CW32" s="1169"/>
      <c r="CX32" s="1169"/>
      <c r="CY32" s="1169"/>
      <c r="CZ32" s="1169"/>
      <c r="DA32" s="1168"/>
      <c r="DB32" s="1168"/>
      <c r="DC32" s="1168"/>
      <c r="DD32" s="1168"/>
      <c r="DE32" s="1168"/>
      <c r="DF32" s="1168"/>
      <c r="DG32" s="1168"/>
      <c r="DH32" s="1168"/>
      <c r="DI32" s="1168"/>
      <c r="DJ32" s="1168"/>
      <c r="DK32" s="1168"/>
      <c r="DL32" s="1168"/>
      <c r="DM32" s="1168"/>
      <c r="DN32" s="1168"/>
      <c r="DO32" s="1168"/>
      <c r="DP32" s="1168"/>
      <c r="DQ32" s="1168"/>
      <c r="DR32" s="1168"/>
      <c r="DS32" s="1168"/>
      <c r="DT32" s="1168"/>
      <c r="DU32" s="1168"/>
      <c r="DV32" s="1168"/>
      <c r="DW32" s="1168"/>
      <c r="DX32" s="1168"/>
      <c r="DY32" s="1168"/>
      <c r="DZ32" s="1168"/>
      <c r="EA32" s="1168"/>
      <c r="EB32" s="1168"/>
      <c r="EC32" s="1168"/>
      <c r="ED32" s="1168"/>
      <c r="EE32" s="1168"/>
      <c r="EF32" s="1168"/>
      <c r="EG32" s="1168"/>
      <c r="EH32" s="1168"/>
      <c r="EI32" s="1170"/>
      <c r="EJ32" s="1170"/>
      <c r="EK32" s="1170"/>
      <c r="EL32" s="1170"/>
      <c r="EM32" s="1170"/>
      <c r="EN32" s="1170"/>
      <c r="EO32" s="1170"/>
      <c r="EP32" s="1170"/>
      <c r="EQ32" s="1170"/>
      <c r="ER32" s="1170"/>
      <c r="ES32" s="1333"/>
      <c r="ET32" s="1333"/>
      <c r="EU32" s="1333"/>
      <c r="EV32" s="1333"/>
      <c r="EW32" s="1333"/>
      <c r="EX32" s="1333"/>
      <c r="EY32" s="1333"/>
      <c r="EZ32" s="1333"/>
      <c r="FA32" s="1333"/>
      <c r="FB32" s="1333"/>
      <c r="FC32" s="1333"/>
      <c r="FD32" s="1333"/>
      <c r="FE32" s="1333"/>
      <c r="FF32" s="1333"/>
      <c r="FG32" s="1333"/>
      <c r="FH32" s="1333"/>
      <c r="FI32" s="1333"/>
      <c r="FJ32" s="1333"/>
      <c r="FK32" s="1333"/>
      <c r="FL32" s="1333"/>
      <c r="FM32" s="1333"/>
      <c r="FN32" s="1333"/>
      <c r="FO32" s="1333"/>
      <c r="FP32" s="1333"/>
      <c r="FQ32" s="1333"/>
      <c r="FR32" s="1333"/>
      <c r="FS32" s="1333"/>
      <c r="FT32" s="1333"/>
      <c r="FU32" s="1333"/>
      <c r="FV32" s="1333"/>
      <c r="FW32" s="1333"/>
      <c r="FX32" s="1333"/>
      <c r="FY32" s="1333"/>
      <c r="FZ32" s="1333"/>
      <c r="GA32" s="1333"/>
      <c r="GB32" s="1333"/>
      <c r="GC32" s="1333"/>
      <c r="GD32" s="1333"/>
      <c r="GE32" s="1333"/>
      <c r="GF32" s="1333"/>
      <c r="GG32" s="1333"/>
      <c r="GH32" s="1333"/>
      <c r="GI32" s="1333"/>
      <c r="GJ32" s="1333"/>
      <c r="GK32" s="1333"/>
      <c r="GL32" s="1333"/>
      <c r="GM32" s="1333"/>
      <c r="GN32" s="1333"/>
      <c r="GO32" s="1333"/>
      <c r="GP32" s="1333"/>
      <c r="GQ32" s="1333"/>
      <c r="GR32" s="1333"/>
      <c r="GS32" s="1333"/>
      <c r="GT32" s="1333"/>
      <c r="GU32" s="1333"/>
      <c r="GV32" s="1333"/>
      <c r="GW32" s="1333"/>
      <c r="GX32" s="1333"/>
    </row>
    <row r="33" spans="1:206" s="607" customFormat="1">
      <c r="A33" s="607">
        <f t="shared" si="0"/>
        <v>1973</v>
      </c>
      <c r="B33" s="607">
        <f t="shared" si="1"/>
        <v>1</v>
      </c>
      <c r="C33" s="1173">
        <v>26665</v>
      </c>
      <c r="D33" s="1709"/>
      <c r="E33" s="1117"/>
      <c r="F33" s="1117"/>
      <c r="G33" s="1117"/>
      <c r="H33" s="1117"/>
      <c r="I33" s="959">
        <v>51.09021396</v>
      </c>
      <c r="J33" s="959">
        <v>65.14</v>
      </c>
      <c r="K33" s="960"/>
      <c r="L33" s="1121"/>
      <c r="M33" s="916"/>
      <c r="N33" s="916"/>
      <c r="O33" s="1332"/>
      <c r="P33" s="1332"/>
      <c r="Q33" s="1332"/>
      <c r="R33" s="1332"/>
      <c r="S33" s="1332"/>
      <c r="T33" s="1332"/>
      <c r="U33" s="1120"/>
      <c r="V33" s="1120"/>
      <c r="W33" s="1120"/>
      <c r="X33" s="1120"/>
      <c r="Y33" s="1119"/>
      <c r="Z33" s="1119"/>
      <c r="AA33" s="1119"/>
      <c r="AB33" s="1119"/>
      <c r="AC33" s="1178"/>
      <c r="AD33" s="1178"/>
      <c r="AE33" s="1178"/>
      <c r="AF33" s="1178"/>
      <c r="AG33" s="1178"/>
      <c r="AH33" s="1178"/>
      <c r="AI33" s="1178"/>
      <c r="AJ33" s="1178"/>
      <c r="AK33" s="919"/>
      <c r="AL33" s="1104"/>
      <c r="AM33" s="919"/>
      <c r="AN33" s="1710"/>
      <c r="AO33" s="919"/>
      <c r="AP33" s="919"/>
      <c r="AS33" s="1167"/>
      <c r="AT33" s="1167"/>
      <c r="AU33" s="1168"/>
      <c r="AV33" s="1168"/>
      <c r="AW33" s="1169"/>
      <c r="AX33" s="1169"/>
      <c r="AY33" s="1169"/>
      <c r="AZ33" s="1169"/>
      <c r="BA33" s="1799" t="s">
        <v>0</v>
      </c>
      <c r="BB33" s="1802">
        <v>2013</v>
      </c>
      <c r="BC33" s="1799" t="s">
        <v>29</v>
      </c>
      <c r="BD33" s="1799">
        <v>1</v>
      </c>
      <c r="BE33" s="1800">
        <v>655295504</v>
      </c>
      <c r="BF33" s="1801">
        <v>0.182</v>
      </c>
      <c r="BG33" s="1799"/>
      <c r="BH33" s="1799" t="s">
        <v>0</v>
      </c>
      <c r="BI33" s="1799" t="s">
        <v>318</v>
      </c>
      <c r="BJ33" s="1799" t="s">
        <v>29</v>
      </c>
      <c r="BK33" s="1799">
        <v>1</v>
      </c>
      <c r="BL33" s="1800">
        <v>620027344</v>
      </c>
      <c r="BM33" s="1801">
        <v>0.183</v>
      </c>
      <c r="BN33" s="1799">
        <v>2013</v>
      </c>
      <c r="BO33" s="1684"/>
      <c r="BP33" s="1696"/>
      <c r="BQ33" s="1169"/>
      <c r="BR33" s="1169"/>
      <c r="BS33" s="1169"/>
      <c r="BT33" s="1169"/>
      <c r="BU33" s="1169"/>
      <c r="BV33" s="1169"/>
      <c r="BW33" s="1169"/>
      <c r="BX33" s="1169"/>
      <c r="BY33" s="1169"/>
      <c r="BZ33" s="1169"/>
      <c r="CA33" s="1169"/>
      <c r="CB33" s="1169"/>
      <c r="CC33" s="1169"/>
      <c r="CD33" s="1169"/>
      <c r="CE33" s="1169"/>
      <c r="CF33" s="1169"/>
      <c r="CG33" s="1169"/>
      <c r="CH33" s="1169"/>
      <c r="CI33" s="1169"/>
      <c r="CJ33" s="1169"/>
      <c r="CK33" s="1169"/>
      <c r="CL33" s="1169"/>
      <c r="CM33" s="1169"/>
      <c r="CN33" s="1169"/>
      <c r="CO33" s="1169"/>
      <c r="CP33" s="1169"/>
      <c r="CQ33" s="1169"/>
      <c r="CR33" s="1169"/>
      <c r="CS33" s="1169"/>
      <c r="CT33" s="1169"/>
      <c r="CU33" s="1169"/>
      <c r="CV33" s="1169"/>
      <c r="CW33" s="1169"/>
      <c r="CX33" s="1169"/>
      <c r="CY33" s="1169"/>
      <c r="CZ33" s="1169"/>
      <c r="DA33" s="1168"/>
      <c r="DB33" s="1168"/>
      <c r="DC33" s="1168"/>
      <c r="DD33" s="1168"/>
      <c r="DE33" s="1168"/>
      <c r="DF33" s="1168"/>
      <c r="DG33" s="1168"/>
      <c r="DH33" s="1168"/>
      <c r="DI33" s="1168"/>
      <c r="DJ33" s="1168"/>
      <c r="DK33" s="1168"/>
      <c r="DL33" s="1168"/>
      <c r="DM33" s="1168"/>
      <c r="DN33" s="1168"/>
      <c r="DO33" s="1168"/>
      <c r="DP33" s="1168"/>
      <c r="DQ33" s="1168"/>
      <c r="DR33" s="1168"/>
      <c r="DS33" s="1168"/>
      <c r="DT33" s="1168"/>
      <c r="DU33" s="1168"/>
      <c r="DV33" s="1168"/>
      <c r="DW33" s="1168"/>
      <c r="DX33" s="1168"/>
      <c r="DY33" s="1168"/>
      <c r="DZ33" s="1168"/>
      <c r="EA33" s="1168"/>
      <c r="EB33" s="1168"/>
      <c r="EC33" s="1168"/>
      <c r="ED33" s="1168"/>
      <c r="EE33" s="1168"/>
      <c r="EF33" s="1168"/>
      <c r="EG33" s="1168"/>
      <c r="EH33" s="1168"/>
      <c r="EI33" s="1170"/>
      <c r="EJ33" s="1170"/>
      <c r="EK33" s="1170"/>
      <c r="EL33" s="1170"/>
      <c r="EM33" s="1170"/>
      <c r="EN33" s="1170"/>
      <c r="EO33" s="1170"/>
      <c r="EP33" s="1170"/>
      <c r="EQ33" s="1170"/>
      <c r="ER33" s="1170"/>
      <c r="ES33" s="1333"/>
      <c r="ET33" s="1333"/>
      <c r="EU33" s="1333"/>
      <c r="EV33" s="1333"/>
      <c r="EW33" s="1333"/>
      <c r="EX33" s="1333"/>
      <c r="EY33" s="1333"/>
      <c r="EZ33" s="1333"/>
      <c r="FA33" s="1333"/>
      <c r="FB33" s="1333"/>
      <c r="FC33" s="1333"/>
      <c r="FD33" s="1333"/>
      <c r="FE33" s="1333"/>
      <c r="FF33" s="1333"/>
      <c r="FG33" s="1333"/>
      <c r="FH33" s="1333"/>
      <c r="FI33" s="1333"/>
      <c r="FJ33" s="1333"/>
      <c r="FK33" s="1333"/>
      <c r="FL33" s="1333"/>
      <c r="FM33" s="1333"/>
      <c r="FN33" s="1333"/>
      <c r="FO33" s="1333"/>
      <c r="FP33" s="1333"/>
      <c r="FQ33" s="1333"/>
      <c r="FR33" s="1333"/>
      <c r="FS33" s="1333"/>
      <c r="FT33" s="1333"/>
      <c r="FU33" s="1333"/>
      <c r="FV33" s="1333"/>
      <c r="FW33" s="1333"/>
      <c r="FX33" s="1333"/>
      <c r="FY33" s="1333"/>
      <c r="FZ33" s="1333"/>
      <c r="GA33" s="1333"/>
      <c r="GB33" s="1333"/>
      <c r="GC33" s="1333"/>
      <c r="GD33" s="1333"/>
      <c r="GE33" s="1333"/>
      <c r="GF33" s="1333"/>
      <c r="GG33" s="1333"/>
      <c r="GH33" s="1333"/>
      <c r="GI33" s="1333"/>
      <c r="GJ33" s="1333"/>
      <c r="GK33" s="1333"/>
      <c r="GL33" s="1333"/>
      <c r="GM33" s="1333"/>
      <c r="GN33" s="1333"/>
      <c r="GO33" s="1333"/>
      <c r="GP33" s="1333"/>
      <c r="GQ33" s="1333"/>
      <c r="GR33" s="1333"/>
      <c r="GS33" s="1333"/>
      <c r="GT33" s="1333"/>
      <c r="GU33" s="1333"/>
      <c r="GV33" s="1333"/>
      <c r="GW33" s="1333"/>
      <c r="GX33" s="1333"/>
    </row>
    <row r="34" spans="1:206" s="607" customFormat="1">
      <c r="A34" s="607">
        <f t="shared" si="0"/>
        <v>1973</v>
      </c>
      <c r="B34" s="607">
        <f t="shared" si="1"/>
        <v>1</v>
      </c>
      <c r="C34" s="1173">
        <v>26696</v>
      </c>
      <c r="D34" s="957"/>
      <c r="E34" s="920"/>
      <c r="F34" s="920"/>
      <c r="G34" s="920"/>
      <c r="H34" s="920"/>
      <c r="I34" s="954">
        <v>52.364127200000006</v>
      </c>
      <c r="J34" s="954">
        <v>74.2</v>
      </c>
      <c r="K34" s="954"/>
      <c r="L34" s="920"/>
      <c r="M34" s="917"/>
      <c r="N34" s="917"/>
      <c r="O34" s="1334"/>
      <c r="P34" s="1334"/>
      <c r="Q34" s="1334"/>
      <c r="R34" s="1334"/>
      <c r="S34" s="1334"/>
      <c r="T34" s="1334"/>
      <c r="U34" s="920"/>
      <c r="V34" s="920"/>
      <c r="W34" s="920"/>
      <c r="X34" s="920"/>
      <c r="Y34" s="920"/>
      <c r="Z34" s="920"/>
      <c r="AA34" s="920"/>
      <c r="AB34" s="920"/>
      <c r="AC34" s="920"/>
      <c r="AD34" s="920"/>
      <c r="AE34" s="920"/>
      <c r="AF34" s="920"/>
      <c r="AG34" s="920"/>
      <c r="AH34" s="920"/>
      <c r="AI34" s="920"/>
      <c r="AJ34" s="920"/>
      <c r="AK34" s="920"/>
      <c r="AL34" s="1105"/>
      <c r="AM34" s="920"/>
      <c r="AN34" s="1711"/>
      <c r="AO34" s="920"/>
      <c r="AP34" s="920"/>
      <c r="AS34" s="1167"/>
      <c r="AT34" s="1167"/>
      <c r="AU34" s="1168"/>
      <c r="AV34" s="1168"/>
      <c r="AW34" s="1169"/>
      <c r="AX34" s="1169"/>
      <c r="AY34" s="1169"/>
      <c r="AZ34" s="1169"/>
      <c r="BA34" s="1799" t="s">
        <v>0</v>
      </c>
      <c r="BB34" s="1802">
        <v>2013</v>
      </c>
      <c r="BC34" s="1799" t="s">
        <v>15</v>
      </c>
      <c r="BD34" s="1799">
        <v>2</v>
      </c>
      <c r="BE34" s="1800">
        <v>602893544</v>
      </c>
      <c r="BF34" s="1801">
        <v>0.16700000000000001</v>
      </c>
      <c r="BG34" s="1799"/>
      <c r="BH34" s="1799" t="s">
        <v>0</v>
      </c>
      <c r="BI34" s="1799" t="s">
        <v>318</v>
      </c>
      <c r="BJ34" s="1799" t="s">
        <v>15</v>
      </c>
      <c r="BK34" s="1799">
        <v>2</v>
      </c>
      <c r="BL34" s="1800">
        <v>595991097</v>
      </c>
      <c r="BM34" s="1801">
        <v>0.17599999999999999</v>
      </c>
      <c r="BN34" s="1799">
        <v>2013</v>
      </c>
      <c r="BO34" s="1684"/>
      <c r="BP34" s="1696"/>
      <c r="BQ34" s="1169"/>
      <c r="BR34" s="1169"/>
      <c r="BS34" s="1169"/>
      <c r="BT34" s="1169"/>
      <c r="BU34" s="1169"/>
      <c r="BV34" s="1169"/>
      <c r="BW34" s="1169"/>
      <c r="BX34" s="1169"/>
      <c r="BY34" s="1169"/>
      <c r="BZ34" s="1169"/>
      <c r="CA34" s="1169"/>
      <c r="CB34" s="1169"/>
      <c r="CC34" s="1169"/>
      <c r="CD34" s="1169"/>
      <c r="CE34" s="1169"/>
      <c r="CF34" s="1169"/>
      <c r="CG34" s="1169"/>
      <c r="CH34" s="1169"/>
      <c r="CI34" s="1169"/>
      <c r="CJ34" s="1169"/>
      <c r="CK34" s="1169"/>
      <c r="CL34" s="1169"/>
      <c r="CM34" s="1169"/>
      <c r="CN34" s="1169"/>
      <c r="CO34" s="1169"/>
      <c r="CP34" s="1169"/>
      <c r="CQ34" s="1169"/>
      <c r="CR34" s="1169"/>
      <c r="CS34" s="1169"/>
      <c r="CT34" s="1169"/>
      <c r="CU34" s="1169"/>
      <c r="CV34" s="1169"/>
      <c r="CW34" s="1169"/>
      <c r="CX34" s="1169"/>
      <c r="CY34" s="1169"/>
      <c r="CZ34" s="1169"/>
      <c r="DA34" s="1168"/>
      <c r="DB34" s="1168"/>
      <c r="DC34" s="1168"/>
      <c r="DD34" s="1168"/>
      <c r="DE34" s="1168"/>
      <c r="DF34" s="1168"/>
      <c r="DG34" s="1168"/>
      <c r="DH34" s="1168"/>
      <c r="DI34" s="1168"/>
      <c r="DJ34" s="1168"/>
      <c r="DK34" s="1168"/>
      <c r="DL34" s="1168"/>
      <c r="DM34" s="1168"/>
      <c r="DN34" s="1168"/>
      <c r="DO34" s="1168"/>
      <c r="DP34" s="1168"/>
      <c r="DQ34" s="1168"/>
      <c r="DR34" s="1168"/>
      <c r="DS34" s="1168"/>
      <c r="DT34" s="1168"/>
      <c r="DU34" s="1168"/>
      <c r="DV34" s="1168"/>
      <c r="DW34" s="1168"/>
      <c r="DX34" s="1168"/>
      <c r="DY34" s="1168"/>
      <c r="DZ34" s="1168"/>
      <c r="EA34" s="1168"/>
      <c r="EB34" s="1168"/>
      <c r="EC34" s="1168"/>
      <c r="ED34" s="1168"/>
      <c r="EE34" s="1168"/>
      <c r="EF34" s="1168"/>
      <c r="EG34" s="1168"/>
      <c r="EH34" s="1168"/>
      <c r="EI34" s="1170"/>
      <c r="EJ34" s="1170"/>
      <c r="EK34" s="1170"/>
      <c r="EL34" s="1170"/>
      <c r="EM34" s="1170"/>
      <c r="EN34" s="1170"/>
      <c r="EO34" s="1170"/>
      <c r="EP34" s="1170"/>
      <c r="EQ34" s="1170"/>
      <c r="ER34" s="1170"/>
      <c r="ES34" s="1333"/>
      <c r="ET34" s="1333"/>
      <c r="EU34" s="1333"/>
      <c r="EV34" s="1333"/>
      <c r="EW34" s="1333"/>
      <c r="EX34" s="1333"/>
      <c r="EY34" s="1333"/>
      <c r="EZ34" s="1333"/>
      <c r="FA34" s="1333"/>
      <c r="FB34" s="1333"/>
      <c r="FC34" s="1333"/>
      <c r="FD34" s="1333"/>
      <c r="FE34" s="1333"/>
      <c r="FF34" s="1333"/>
      <c r="FG34" s="1333"/>
      <c r="FH34" s="1333"/>
      <c r="FI34" s="1333"/>
      <c r="FJ34" s="1333"/>
      <c r="FK34" s="1333"/>
      <c r="FL34" s="1333"/>
      <c r="FM34" s="1333"/>
      <c r="FN34" s="1333"/>
      <c r="FO34" s="1333"/>
      <c r="FP34" s="1333"/>
      <c r="FQ34" s="1333"/>
      <c r="FR34" s="1333"/>
      <c r="FS34" s="1333"/>
      <c r="FT34" s="1333"/>
      <c r="FU34" s="1333"/>
      <c r="FV34" s="1333"/>
      <c r="FW34" s="1333"/>
      <c r="FX34" s="1333"/>
      <c r="FY34" s="1333"/>
      <c r="FZ34" s="1333"/>
      <c r="GA34" s="1333"/>
      <c r="GB34" s="1333"/>
      <c r="GC34" s="1333"/>
      <c r="GD34" s="1333"/>
      <c r="GE34" s="1333"/>
      <c r="GF34" s="1333"/>
      <c r="GG34" s="1333"/>
      <c r="GH34" s="1333"/>
      <c r="GI34" s="1333"/>
      <c r="GJ34" s="1333"/>
      <c r="GK34" s="1333"/>
      <c r="GL34" s="1333"/>
      <c r="GM34" s="1333"/>
      <c r="GN34" s="1333"/>
      <c r="GO34" s="1333"/>
      <c r="GP34" s="1333"/>
      <c r="GQ34" s="1333"/>
      <c r="GR34" s="1333"/>
      <c r="GS34" s="1333"/>
      <c r="GT34" s="1333"/>
      <c r="GU34" s="1333"/>
      <c r="GV34" s="1333"/>
      <c r="GW34" s="1333"/>
      <c r="GX34" s="1333"/>
    </row>
    <row r="35" spans="1:206" s="607" customFormat="1">
      <c r="A35" s="607">
        <f t="shared" si="0"/>
        <v>1973</v>
      </c>
      <c r="B35" s="607">
        <f t="shared" si="1"/>
        <v>1</v>
      </c>
      <c r="C35" s="1173">
        <v>26724</v>
      </c>
      <c r="D35" s="1709"/>
      <c r="E35" s="1117"/>
      <c r="F35" s="1117"/>
      <c r="G35" s="1117"/>
      <c r="H35" s="1117"/>
      <c r="I35" s="959">
        <v>59.603329850032083</v>
      </c>
      <c r="J35" s="959">
        <v>84.457954545500002</v>
      </c>
      <c r="K35" s="960"/>
      <c r="L35" s="1121"/>
      <c r="M35" s="916"/>
      <c r="N35" s="916"/>
      <c r="O35" s="1332"/>
      <c r="P35" s="1332"/>
      <c r="Q35" s="1332"/>
      <c r="R35" s="1332"/>
      <c r="S35" s="1332"/>
      <c r="T35" s="1332"/>
      <c r="U35" s="1120"/>
      <c r="V35" s="1120"/>
      <c r="W35" s="1120"/>
      <c r="X35" s="1120"/>
      <c r="Y35" s="1119"/>
      <c r="Z35" s="1119"/>
      <c r="AA35" s="1119"/>
      <c r="AB35" s="1119"/>
      <c r="AC35" s="1178"/>
      <c r="AD35" s="1178"/>
      <c r="AE35" s="1178"/>
      <c r="AF35" s="1178"/>
      <c r="AG35" s="1178"/>
      <c r="AH35" s="1178"/>
      <c r="AI35" s="1178"/>
      <c r="AJ35" s="1178"/>
      <c r="AK35" s="919"/>
      <c r="AL35" s="1104"/>
      <c r="AM35" s="919"/>
      <c r="AN35" s="1710"/>
      <c r="AO35" s="919"/>
      <c r="AP35" s="919"/>
      <c r="AS35" s="1167"/>
      <c r="AT35" s="1167"/>
      <c r="AU35" s="1168"/>
      <c r="AV35" s="1168"/>
      <c r="AW35" s="1169"/>
      <c r="AX35" s="1169"/>
      <c r="AY35" s="1169"/>
      <c r="AZ35" s="1169"/>
      <c r="BA35" s="1799" t="s">
        <v>0</v>
      </c>
      <c r="BB35" s="1802">
        <v>2013</v>
      </c>
      <c r="BC35" s="1799" t="s">
        <v>14</v>
      </c>
      <c r="BD35" s="1799">
        <v>3</v>
      </c>
      <c r="BE35" s="1800">
        <v>438172534</v>
      </c>
      <c r="BF35" s="1801">
        <v>0.122</v>
      </c>
      <c r="BG35" s="1799"/>
      <c r="BH35" s="1799" t="s">
        <v>0</v>
      </c>
      <c r="BI35" s="1799" t="s">
        <v>318</v>
      </c>
      <c r="BJ35" s="1799" t="s">
        <v>27</v>
      </c>
      <c r="BK35" s="1799">
        <v>3</v>
      </c>
      <c r="BL35" s="1800">
        <v>428744165</v>
      </c>
      <c r="BM35" s="1801">
        <v>0.127</v>
      </c>
      <c r="BN35" s="1799">
        <v>2013</v>
      </c>
      <c r="BO35" s="1684"/>
      <c r="BP35" s="1697">
        <f>'Alumina and Bauxite - Prices'!A35</f>
        <v>44228</v>
      </c>
      <c r="BQ35" s="1169"/>
      <c r="BR35" s="1169"/>
      <c r="BS35" s="1169"/>
      <c r="BT35" s="1169"/>
      <c r="BU35" s="1169"/>
      <c r="BV35" s="1169"/>
      <c r="BW35" s="1169"/>
      <c r="BX35" s="1169"/>
      <c r="BY35" s="1169"/>
      <c r="BZ35" s="1169"/>
      <c r="CA35" s="1169"/>
      <c r="CB35" s="1169"/>
      <c r="CC35" s="1169"/>
      <c r="CD35" s="1169"/>
      <c r="CE35" s="1169"/>
      <c r="CF35" s="1169"/>
      <c r="CG35" s="1169"/>
      <c r="CH35" s="1169"/>
      <c r="CI35" s="1169"/>
      <c r="CJ35" s="1169"/>
      <c r="CK35" s="1169"/>
      <c r="CL35" s="1169"/>
      <c r="CM35" s="1169"/>
      <c r="CN35" s="1169"/>
      <c r="CO35" s="1169"/>
      <c r="CP35" s="1169"/>
      <c r="CQ35" s="1169"/>
      <c r="CR35" s="1169"/>
      <c r="CS35" s="1169"/>
      <c r="CT35" s="1169"/>
      <c r="CU35" s="1169"/>
      <c r="CV35" s="1169"/>
      <c r="CW35" s="1169"/>
      <c r="CX35" s="1169"/>
      <c r="CY35" s="1169"/>
      <c r="CZ35" s="1169"/>
      <c r="DA35" s="1168"/>
      <c r="DB35" s="1168"/>
      <c r="DC35" s="1168"/>
      <c r="DD35" s="1168"/>
      <c r="DE35" s="1168"/>
      <c r="DF35" s="1168"/>
      <c r="DG35" s="1168"/>
      <c r="DH35" s="1168"/>
      <c r="DI35" s="1168"/>
      <c r="DJ35" s="1168"/>
      <c r="DK35" s="1168"/>
      <c r="DL35" s="1168"/>
      <c r="DM35" s="1168"/>
      <c r="DN35" s="1168"/>
      <c r="DO35" s="1168"/>
      <c r="DP35" s="1168"/>
      <c r="DQ35" s="1168"/>
      <c r="DR35" s="1168"/>
      <c r="DS35" s="1168"/>
      <c r="DT35" s="1168"/>
      <c r="DU35" s="1168"/>
      <c r="DV35" s="1168"/>
      <c r="DW35" s="1168"/>
      <c r="DX35" s="1168"/>
      <c r="DY35" s="1168"/>
      <c r="DZ35" s="1168"/>
      <c r="EA35" s="1168"/>
      <c r="EB35" s="1168"/>
      <c r="EC35" s="1168"/>
      <c r="ED35" s="1168"/>
      <c r="EE35" s="1168"/>
      <c r="EF35" s="1168"/>
      <c r="EG35" s="1168"/>
      <c r="EH35" s="1168"/>
      <c r="EI35" s="1170"/>
      <c r="EJ35" s="1170"/>
      <c r="EK35" s="1170"/>
      <c r="EL35" s="1170"/>
      <c r="EM35" s="1170"/>
      <c r="EN35" s="1170"/>
      <c r="EO35" s="1170"/>
      <c r="EP35" s="1170"/>
      <c r="EQ35" s="1170"/>
      <c r="ER35" s="1170"/>
      <c r="ES35" s="1333"/>
      <c r="ET35" s="1333"/>
      <c r="EU35" s="1333"/>
      <c r="EV35" s="1333"/>
      <c r="EW35" s="1333"/>
      <c r="EX35" s="1333"/>
      <c r="EY35" s="1333"/>
      <c r="EZ35" s="1333"/>
      <c r="FA35" s="1333"/>
      <c r="FB35" s="1333"/>
      <c r="FC35" s="1333"/>
      <c r="FD35" s="1333"/>
      <c r="FE35" s="1333"/>
      <c r="FF35" s="1333"/>
      <c r="FG35" s="1333"/>
      <c r="FH35" s="1333"/>
      <c r="FI35" s="1333"/>
      <c r="FJ35" s="1333"/>
      <c r="FK35" s="1333"/>
      <c r="FL35" s="1333"/>
      <c r="FM35" s="1333"/>
      <c r="FN35" s="1333"/>
      <c r="FO35" s="1333"/>
      <c r="FP35" s="1333"/>
      <c r="FQ35" s="1333"/>
      <c r="FR35" s="1333"/>
      <c r="FS35" s="1333"/>
      <c r="FT35" s="1333"/>
      <c r="FU35" s="1333"/>
      <c r="FV35" s="1333"/>
      <c r="FW35" s="1333"/>
      <c r="FX35" s="1333"/>
      <c r="FY35" s="1333"/>
      <c r="FZ35" s="1333"/>
      <c r="GA35" s="1333"/>
      <c r="GB35" s="1333"/>
      <c r="GC35" s="1333"/>
      <c r="GD35" s="1333"/>
      <c r="GE35" s="1333"/>
      <c r="GF35" s="1333"/>
      <c r="GG35" s="1333"/>
      <c r="GH35" s="1333"/>
      <c r="GI35" s="1333"/>
      <c r="GJ35" s="1333"/>
      <c r="GK35" s="1333"/>
      <c r="GL35" s="1333"/>
      <c r="GM35" s="1333"/>
      <c r="GN35" s="1333"/>
      <c r="GO35" s="1333"/>
      <c r="GP35" s="1333"/>
      <c r="GQ35" s="1333"/>
      <c r="GR35" s="1333"/>
      <c r="GS35" s="1333"/>
      <c r="GT35" s="1333"/>
      <c r="GU35" s="1333"/>
      <c r="GV35" s="1333"/>
      <c r="GW35" s="1333"/>
      <c r="GX35" s="1333"/>
    </row>
    <row r="36" spans="1:206" s="607" customFormat="1">
      <c r="A36" s="607">
        <f t="shared" si="0"/>
        <v>1973</v>
      </c>
      <c r="B36" s="607">
        <f t="shared" si="1"/>
        <v>2</v>
      </c>
      <c r="C36" s="1173">
        <v>26756</v>
      </c>
      <c r="D36" s="957"/>
      <c r="E36" s="920"/>
      <c r="F36" s="920"/>
      <c r="G36" s="920"/>
      <c r="H36" s="920"/>
      <c r="I36" s="954">
        <v>63.873798015778327</v>
      </c>
      <c r="J36" s="954">
        <v>90.509210526299995</v>
      </c>
      <c r="K36" s="954"/>
      <c r="L36" s="920"/>
      <c r="M36" s="917"/>
      <c r="N36" s="917"/>
      <c r="O36" s="1334"/>
      <c r="P36" s="1334"/>
      <c r="Q36" s="1334"/>
      <c r="R36" s="1334"/>
      <c r="S36" s="1334"/>
      <c r="T36" s="1334"/>
      <c r="U36" s="920"/>
      <c r="V36" s="920"/>
      <c r="W36" s="920"/>
      <c r="X36" s="920"/>
      <c r="Y36" s="920"/>
      <c r="Z36" s="920"/>
      <c r="AA36" s="920"/>
      <c r="AB36" s="920"/>
      <c r="AC36" s="920"/>
      <c r="AD36" s="920"/>
      <c r="AE36" s="920"/>
      <c r="AF36" s="920"/>
      <c r="AG36" s="920"/>
      <c r="AH36" s="920"/>
      <c r="AI36" s="920"/>
      <c r="AJ36" s="920"/>
      <c r="AK36" s="920"/>
      <c r="AL36" s="1105"/>
      <c r="AM36" s="920"/>
      <c r="AN36" s="1711"/>
      <c r="AO36" s="920"/>
      <c r="AP36" s="920"/>
      <c r="AS36" s="1167"/>
      <c r="AT36" s="1167"/>
      <c r="AU36" s="1168"/>
      <c r="AV36" s="1168"/>
      <c r="AW36" s="1169"/>
      <c r="AX36" s="1169"/>
      <c r="AY36" s="1169"/>
      <c r="AZ36" s="1169"/>
      <c r="BA36" s="1799" t="s">
        <v>0</v>
      </c>
      <c r="BB36" s="1802">
        <v>2013</v>
      </c>
      <c r="BC36" s="1799" t="s">
        <v>27</v>
      </c>
      <c r="BD36" s="1799">
        <v>4</v>
      </c>
      <c r="BE36" s="1800">
        <v>431711055</v>
      </c>
      <c r="BF36" s="1801">
        <v>0.12</v>
      </c>
      <c r="BG36" s="1799"/>
      <c r="BH36" s="1799" t="s">
        <v>0</v>
      </c>
      <c r="BI36" s="1799" t="s">
        <v>318</v>
      </c>
      <c r="BJ36" s="1799" t="s">
        <v>14</v>
      </c>
      <c r="BK36" s="1799">
        <v>4</v>
      </c>
      <c r="BL36" s="1800">
        <v>410494059</v>
      </c>
      <c r="BM36" s="1801">
        <v>0.121</v>
      </c>
      <c r="BN36" s="1799">
        <v>2013</v>
      </c>
      <c r="BO36" s="1684"/>
      <c r="BP36" s="1696"/>
      <c r="BQ36" s="1169"/>
      <c r="BR36" s="1169"/>
      <c r="BS36" s="1169"/>
      <c r="BT36" s="1169"/>
      <c r="BU36" s="1169"/>
      <c r="BV36" s="1169"/>
      <c r="BW36" s="1169"/>
      <c r="BX36" s="1169"/>
      <c r="BY36" s="1169"/>
      <c r="BZ36" s="1169"/>
      <c r="CA36" s="1169"/>
      <c r="CB36" s="1169"/>
      <c r="CC36" s="1169"/>
      <c r="CD36" s="1169"/>
      <c r="CE36" s="1169"/>
      <c r="CF36" s="1169"/>
      <c r="CG36" s="1169"/>
      <c r="CH36" s="1169"/>
      <c r="CI36" s="1169"/>
      <c r="CJ36" s="1169"/>
      <c r="CK36" s="1169"/>
      <c r="CL36" s="1169"/>
      <c r="CM36" s="1169"/>
      <c r="CN36" s="1169"/>
      <c r="CO36" s="1169"/>
      <c r="CP36" s="1169"/>
      <c r="CQ36" s="1169"/>
      <c r="CR36" s="1169"/>
      <c r="CS36" s="1169"/>
      <c r="CT36" s="1169"/>
      <c r="CU36" s="1169"/>
      <c r="CV36" s="1169"/>
      <c r="CW36" s="1169"/>
      <c r="CX36" s="1169"/>
      <c r="CY36" s="1169"/>
      <c r="CZ36" s="1169"/>
      <c r="DA36" s="1168"/>
      <c r="DB36" s="1168"/>
      <c r="DC36" s="1168"/>
      <c r="DD36" s="1168"/>
      <c r="DE36" s="1168"/>
      <c r="DF36" s="1168"/>
      <c r="DG36" s="1168"/>
      <c r="DH36" s="1168"/>
      <c r="DI36" s="1168"/>
      <c r="DJ36" s="1168"/>
      <c r="DK36" s="1168"/>
      <c r="DL36" s="1168"/>
      <c r="DM36" s="1168"/>
      <c r="DN36" s="1168"/>
      <c r="DO36" s="1168"/>
      <c r="DP36" s="1168"/>
      <c r="DQ36" s="1168"/>
      <c r="DR36" s="1168"/>
      <c r="DS36" s="1168"/>
      <c r="DT36" s="1168"/>
      <c r="DU36" s="1168"/>
      <c r="DV36" s="1168"/>
      <c r="DW36" s="1168"/>
      <c r="DX36" s="1168"/>
      <c r="DY36" s="1168"/>
      <c r="DZ36" s="1168"/>
      <c r="EA36" s="1168"/>
      <c r="EB36" s="1168"/>
      <c r="EC36" s="1168"/>
      <c r="ED36" s="1168"/>
      <c r="EE36" s="1168"/>
      <c r="EF36" s="1168"/>
      <c r="EG36" s="1168"/>
      <c r="EH36" s="1168"/>
      <c r="EI36" s="1170"/>
      <c r="EJ36" s="1170"/>
      <c r="EK36" s="1170"/>
      <c r="EL36" s="1170"/>
      <c r="EM36" s="1170"/>
      <c r="EN36" s="1170"/>
      <c r="EO36" s="1170"/>
      <c r="EP36" s="1170"/>
      <c r="EQ36" s="1170"/>
      <c r="ER36" s="1170"/>
      <c r="ES36" s="1333"/>
      <c r="ET36" s="1333"/>
      <c r="EU36" s="1333"/>
      <c r="EV36" s="1333"/>
      <c r="EW36" s="1333"/>
      <c r="EX36" s="1333"/>
      <c r="EY36" s="1333"/>
      <c r="EZ36" s="1333"/>
      <c r="FA36" s="1333"/>
      <c r="FB36" s="1333"/>
      <c r="FC36" s="1333"/>
      <c r="FD36" s="1333"/>
      <c r="FE36" s="1333"/>
      <c r="FF36" s="1333"/>
      <c r="FG36" s="1333"/>
      <c r="FH36" s="1333"/>
      <c r="FI36" s="1333"/>
      <c r="FJ36" s="1333"/>
      <c r="FK36" s="1333"/>
      <c r="FL36" s="1333"/>
      <c r="FM36" s="1333"/>
      <c r="FN36" s="1333"/>
      <c r="FO36" s="1333"/>
      <c r="FP36" s="1333"/>
      <c r="FQ36" s="1333"/>
      <c r="FR36" s="1333"/>
      <c r="FS36" s="1333"/>
      <c r="FT36" s="1333"/>
      <c r="FU36" s="1333"/>
      <c r="FV36" s="1333"/>
      <c r="FW36" s="1333"/>
      <c r="FX36" s="1333"/>
      <c r="FY36" s="1333"/>
      <c r="FZ36" s="1333"/>
      <c r="GA36" s="1333"/>
      <c r="GB36" s="1333"/>
      <c r="GC36" s="1333"/>
      <c r="GD36" s="1333"/>
      <c r="GE36" s="1333"/>
      <c r="GF36" s="1333"/>
      <c r="GG36" s="1333"/>
      <c r="GH36" s="1333"/>
      <c r="GI36" s="1333"/>
      <c r="GJ36" s="1333"/>
      <c r="GK36" s="1333"/>
      <c r="GL36" s="1333"/>
      <c r="GM36" s="1333"/>
      <c r="GN36" s="1333"/>
      <c r="GO36" s="1333"/>
      <c r="GP36" s="1333"/>
      <c r="GQ36" s="1333"/>
      <c r="GR36" s="1333"/>
      <c r="GS36" s="1333"/>
      <c r="GT36" s="1333"/>
      <c r="GU36" s="1333"/>
      <c r="GV36" s="1333"/>
      <c r="GW36" s="1333"/>
      <c r="GX36" s="1333"/>
    </row>
    <row r="37" spans="1:206" s="607" customFormat="1">
      <c r="A37" s="607">
        <f t="shared" si="0"/>
        <v>1973</v>
      </c>
      <c r="B37" s="607">
        <f t="shared" si="1"/>
        <v>2</v>
      </c>
      <c r="C37" s="1173">
        <v>26785</v>
      </c>
      <c r="D37" s="1709"/>
      <c r="E37" s="1117"/>
      <c r="F37" s="1117"/>
      <c r="G37" s="1117"/>
      <c r="H37" s="1117"/>
      <c r="I37" s="959">
        <v>72.379997250000002</v>
      </c>
      <c r="J37" s="959">
        <v>102.5625</v>
      </c>
      <c r="K37" s="960"/>
      <c r="L37" s="1121"/>
      <c r="M37" s="916"/>
      <c r="N37" s="916"/>
      <c r="O37" s="1332"/>
      <c r="P37" s="1332"/>
      <c r="Q37" s="1332"/>
      <c r="R37" s="1332"/>
      <c r="S37" s="1332"/>
      <c r="T37" s="1332"/>
      <c r="U37" s="1120"/>
      <c r="V37" s="1120"/>
      <c r="W37" s="1120"/>
      <c r="X37" s="1120"/>
      <c r="Y37" s="1119"/>
      <c r="Z37" s="1119"/>
      <c r="AA37" s="1119"/>
      <c r="AB37" s="1119"/>
      <c r="AC37" s="1178"/>
      <c r="AD37" s="1178"/>
      <c r="AE37" s="1178"/>
      <c r="AF37" s="1178"/>
      <c r="AG37" s="1178"/>
      <c r="AH37" s="1178"/>
      <c r="AI37" s="1178"/>
      <c r="AJ37" s="1178"/>
      <c r="AK37" s="919"/>
      <c r="AL37" s="1104"/>
      <c r="AM37" s="919"/>
      <c r="AN37" s="1710"/>
      <c r="AO37" s="919"/>
      <c r="AP37" s="919"/>
      <c r="AS37" s="1167"/>
      <c r="AT37" s="1167"/>
      <c r="AU37" s="1168"/>
      <c r="AV37" s="1168"/>
      <c r="AW37" s="1169"/>
      <c r="AX37" s="1169"/>
      <c r="AY37" s="1169"/>
      <c r="AZ37" s="1169"/>
      <c r="BA37" s="1799" t="s">
        <v>0</v>
      </c>
      <c r="BB37" s="1802">
        <v>2013</v>
      </c>
      <c r="BC37" s="1799" t="s">
        <v>22</v>
      </c>
      <c r="BD37" s="1799">
        <v>5</v>
      </c>
      <c r="BE37" s="1800">
        <v>332391283</v>
      </c>
      <c r="BF37" s="1801">
        <v>9.1999999999999998E-2</v>
      </c>
      <c r="BG37" s="1799"/>
      <c r="BH37" s="1799" t="s">
        <v>0</v>
      </c>
      <c r="BI37" s="1799" t="s">
        <v>318</v>
      </c>
      <c r="BJ37" s="1799" t="s">
        <v>22</v>
      </c>
      <c r="BK37" s="1799">
        <v>5</v>
      </c>
      <c r="BL37" s="1800">
        <v>310453814</v>
      </c>
      <c r="BM37" s="1801">
        <v>9.1999999999999998E-2</v>
      </c>
      <c r="BN37" s="1799">
        <v>2013</v>
      </c>
      <c r="BO37" s="1684"/>
      <c r="BP37" s="1696"/>
      <c r="BQ37" s="1169"/>
      <c r="BR37" s="1169"/>
      <c r="BS37" s="1169"/>
      <c r="BT37" s="1169"/>
      <c r="BU37" s="1169"/>
      <c r="BV37" s="1169"/>
      <c r="BW37" s="1169"/>
      <c r="BX37" s="1169"/>
      <c r="BY37" s="1169"/>
      <c r="BZ37" s="1169"/>
      <c r="CA37" s="1169"/>
      <c r="CB37" s="1169"/>
      <c r="CC37" s="1169"/>
      <c r="CD37" s="1169"/>
      <c r="CE37" s="1169"/>
      <c r="CF37" s="1169"/>
      <c r="CG37" s="1169"/>
      <c r="CH37" s="1169"/>
      <c r="CI37" s="1169"/>
      <c r="CJ37" s="1169"/>
      <c r="CK37" s="1169"/>
      <c r="CL37" s="1169"/>
      <c r="CM37" s="1169"/>
      <c r="CN37" s="1169"/>
      <c r="CO37" s="1169"/>
      <c r="CP37" s="1169"/>
      <c r="CQ37" s="1169"/>
      <c r="CR37" s="1169"/>
      <c r="CS37" s="1169"/>
      <c r="CT37" s="1169"/>
      <c r="CU37" s="1169"/>
      <c r="CV37" s="1169"/>
      <c r="CW37" s="1169"/>
      <c r="CX37" s="1169"/>
      <c r="CY37" s="1169"/>
      <c r="CZ37" s="1169"/>
      <c r="DA37" s="1168"/>
      <c r="DB37" s="1168"/>
      <c r="DC37" s="1168"/>
      <c r="DD37" s="1168"/>
      <c r="DE37" s="1168"/>
      <c r="DF37" s="1168"/>
      <c r="DG37" s="1168"/>
      <c r="DH37" s="1168"/>
      <c r="DI37" s="1168"/>
      <c r="DJ37" s="1168"/>
      <c r="DK37" s="1168"/>
      <c r="DL37" s="1168"/>
      <c r="DM37" s="1168"/>
      <c r="DN37" s="1168"/>
      <c r="DO37" s="1168"/>
      <c r="DP37" s="1168"/>
      <c r="DQ37" s="1168"/>
      <c r="DR37" s="1168"/>
      <c r="DS37" s="1168"/>
      <c r="DT37" s="1168"/>
      <c r="DU37" s="1168"/>
      <c r="DV37" s="1168"/>
      <c r="DW37" s="1168"/>
      <c r="DX37" s="1168"/>
      <c r="DY37" s="1168"/>
      <c r="DZ37" s="1168"/>
      <c r="EA37" s="1168"/>
      <c r="EB37" s="1168"/>
      <c r="EC37" s="1168"/>
      <c r="ED37" s="1168"/>
      <c r="EE37" s="1168"/>
      <c r="EF37" s="1168"/>
      <c r="EG37" s="1168"/>
      <c r="EH37" s="1168"/>
      <c r="EI37" s="1170"/>
      <c r="EJ37" s="1170"/>
      <c r="EK37" s="1170"/>
      <c r="EL37" s="1170"/>
      <c r="EM37" s="1170"/>
      <c r="EN37" s="1170"/>
      <c r="EO37" s="1170"/>
      <c r="EP37" s="1170"/>
      <c r="EQ37" s="1170"/>
      <c r="ER37" s="1170"/>
      <c r="ES37" s="1333"/>
      <c r="ET37" s="1333"/>
      <c r="EU37" s="1333"/>
      <c r="EV37" s="1333"/>
      <c r="EW37" s="1333"/>
      <c r="EX37" s="1333"/>
      <c r="EY37" s="1333"/>
      <c r="EZ37" s="1333"/>
      <c r="FA37" s="1333"/>
      <c r="FB37" s="1333"/>
      <c r="FC37" s="1333"/>
      <c r="FD37" s="1333"/>
      <c r="FE37" s="1333"/>
      <c r="FF37" s="1333"/>
      <c r="FG37" s="1333"/>
      <c r="FH37" s="1333"/>
      <c r="FI37" s="1333"/>
      <c r="FJ37" s="1333"/>
      <c r="FK37" s="1333"/>
      <c r="FL37" s="1333"/>
      <c r="FM37" s="1333"/>
      <c r="FN37" s="1333"/>
      <c r="FO37" s="1333"/>
      <c r="FP37" s="1333"/>
      <c r="FQ37" s="1333"/>
      <c r="FR37" s="1333"/>
      <c r="FS37" s="1333"/>
      <c r="FT37" s="1333"/>
      <c r="FU37" s="1333"/>
      <c r="FV37" s="1333"/>
      <c r="FW37" s="1333"/>
      <c r="FX37" s="1333"/>
      <c r="FY37" s="1333"/>
      <c r="FZ37" s="1333"/>
      <c r="GA37" s="1333"/>
      <c r="GB37" s="1333"/>
      <c r="GC37" s="1333"/>
      <c r="GD37" s="1333"/>
      <c r="GE37" s="1333"/>
      <c r="GF37" s="1333"/>
      <c r="GG37" s="1333"/>
      <c r="GH37" s="1333"/>
      <c r="GI37" s="1333"/>
      <c r="GJ37" s="1333"/>
      <c r="GK37" s="1333"/>
      <c r="GL37" s="1333"/>
      <c r="GM37" s="1333"/>
      <c r="GN37" s="1333"/>
      <c r="GO37" s="1333"/>
      <c r="GP37" s="1333"/>
      <c r="GQ37" s="1333"/>
      <c r="GR37" s="1333"/>
      <c r="GS37" s="1333"/>
      <c r="GT37" s="1333"/>
      <c r="GU37" s="1333"/>
      <c r="GV37" s="1333"/>
      <c r="GW37" s="1333"/>
      <c r="GX37" s="1333"/>
    </row>
    <row r="38" spans="1:206" s="607" customFormat="1">
      <c r="A38" s="607">
        <f t="shared" si="0"/>
        <v>1973</v>
      </c>
      <c r="B38" s="607">
        <f t="shared" si="1"/>
        <v>2</v>
      </c>
      <c r="C38" s="1173">
        <v>26816</v>
      </c>
      <c r="D38" s="957"/>
      <c r="E38" s="920"/>
      <c r="F38" s="920"/>
      <c r="G38" s="920"/>
      <c r="H38" s="920"/>
      <c r="I38" s="954">
        <v>84.824542785694121</v>
      </c>
      <c r="J38" s="954">
        <v>120.19642857140001</v>
      </c>
      <c r="K38" s="954"/>
      <c r="L38" s="920"/>
      <c r="M38" s="917"/>
      <c r="N38" s="917"/>
      <c r="O38" s="1334"/>
      <c r="P38" s="1334"/>
      <c r="Q38" s="1334"/>
      <c r="R38" s="1334"/>
      <c r="S38" s="1334"/>
      <c r="T38" s="1334"/>
      <c r="U38" s="920"/>
      <c r="V38" s="920"/>
      <c r="W38" s="920"/>
      <c r="X38" s="920"/>
      <c r="Y38" s="920"/>
      <c r="Z38" s="920"/>
      <c r="AA38" s="920"/>
      <c r="AB38" s="920"/>
      <c r="AC38" s="920"/>
      <c r="AD38" s="920"/>
      <c r="AE38" s="920"/>
      <c r="AF38" s="920"/>
      <c r="AG38" s="920"/>
      <c r="AH38" s="920"/>
      <c r="AI38" s="920"/>
      <c r="AJ38" s="920"/>
      <c r="AK38" s="920"/>
      <c r="AL38" s="1105"/>
      <c r="AM38" s="920"/>
      <c r="AN38" s="1711"/>
      <c r="AO38" s="920"/>
      <c r="AP38" s="920"/>
      <c r="AS38" s="1167"/>
      <c r="AT38" s="1167"/>
      <c r="AU38" s="1168"/>
      <c r="AV38" s="1168"/>
      <c r="AW38" s="1169"/>
      <c r="AX38" s="1169"/>
      <c r="AY38" s="1169"/>
      <c r="AZ38" s="1169"/>
      <c r="BA38" s="1799" t="s">
        <v>0</v>
      </c>
      <c r="BB38" s="1802">
        <v>2013</v>
      </c>
      <c r="BC38" s="1799" t="s">
        <v>18</v>
      </c>
      <c r="BD38" s="1799">
        <v>6</v>
      </c>
      <c r="BE38" s="1800">
        <v>321118019</v>
      </c>
      <c r="BF38" s="1801">
        <v>8.8999999999999996E-2</v>
      </c>
      <c r="BG38" s="1799"/>
      <c r="BH38" s="1799" t="s">
        <v>0</v>
      </c>
      <c r="BI38" s="1799" t="s">
        <v>318</v>
      </c>
      <c r="BJ38" s="1799" t="s">
        <v>26</v>
      </c>
      <c r="BK38" s="1799">
        <v>6</v>
      </c>
      <c r="BL38" s="1800">
        <v>217829272</v>
      </c>
      <c r="BM38" s="1801">
        <v>6.4000000000000001E-2</v>
      </c>
      <c r="BN38" s="1799">
        <v>2013</v>
      </c>
      <c r="BO38" s="1684"/>
      <c r="BP38" s="1697">
        <f>'Alumina and Bauxite - Prices'!A38</f>
        <v>44317</v>
      </c>
      <c r="BQ38" s="1169"/>
      <c r="BR38" s="1169"/>
      <c r="BS38" s="1169"/>
      <c r="BT38" s="1169"/>
      <c r="BU38" s="1169"/>
      <c r="BV38" s="1169"/>
      <c r="BW38" s="1169"/>
      <c r="BX38" s="1169"/>
      <c r="BY38" s="1169"/>
      <c r="BZ38" s="1169"/>
      <c r="CA38" s="1169"/>
      <c r="CB38" s="1169"/>
      <c r="CC38" s="1169"/>
      <c r="CD38" s="1169"/>
      <c r="CE38" s="1169"/>
      <c r="CF38" s="1169"/>
      <c r="CG38" s="1169"/>
      <c r="CH38" s="1169"/>
      <c r="CI38" s="1169"/>
      <c r="CJ38" s="1169"/>
      <c r="CK38" s="1169"/>
      <c r="CL38" s="1169"/>
      <c r="CM38" s="1169"/>
      <c r="CN38" s="1169"/>
      <c r="CO38" s="1169"/>
      <c r="CP38" s="1169"/>
      <c r="CQ38" s="1169"/>
      <c r="CR38" s="1169"/>
      <c r="CS38" s="1169"/>
      <c r="CT38" s="1169"/>
      <c r="CU38" s="1169"/>
      <c r="CV38" s="1169"/>
      <c r="CW38" s="1169"/>
      <c r="CX38" s="1169"/>
      <c r="CY38" s="1169"/>
      <c r="CZ38" s="1169"/>
      <c r="DA38" s="1168"/>
      <c r="DB38" s="1168"/>
      <c r="DC38" s="1168"/>
      <c r="DD38" s="1168"/>
      <c r="DE38" s="1168"/>
      <c r="DF38" s="1168"/>
      <c r="DG38" s="1168"/>
      <c r="DH38" s="1168"/>
      <c r="DI38" s="1168"/>
      <c r="DJ38" s="1168"/>
      <c r="DK38" s="1168"/>
      <c r="DL38" s="1168"/>
      <c r="DM38" s="1168"/>
      <c r="DN38" s="1168"/>
      <c r="DO38" s="1168"/>
      <c r="DP38" s="1168"/>
      <c r="DQ38" s="1168"/>
      <c r="DR38" s="1168"/>
      <c r="DS38" s="1168"/>
      <c r="DT38" s="1168"/>
      <c r="DU38" s="1168"/>
      <c r="DV38" s="1168"/>
      <c r="DW38" s="1168"/>
      <c r="DX38" s="1168"/>
      <c r="DY38" s="1168"/>
      <c r="DZ38" s="1168"/>
      <c r="EA38" s="1168"/>
      <c r="EB38" s="1168"/>
      <c r="EC38" s="1168"/>
      <c r="ED38" s="1168"/>
      <c r="EE38" s="1168"/>
      <c r="EF38" s="1168"/>
      <c r="EG38" s="1168"/>
      <c r="EH38" s="1168"/>
      <c r="EI38" s="1170"/>
      <c r="EJ38" s="1170"/>
      <c r="EK38" s="1170"/>
      <c r="EL38" s="1170"/>
      <c r="EM38" s="1170"/>
      <c r="EN38" s="1170"/>
      <c r="EO38" s="1170"/>
      <c r="EP38" s="1170"/>
      <c r="EQ38" s="1170"/>
      <c r="ER38" s="1170"/>
      <c r="ES38" s="1333"/>
      <c r="ET38" s="1333"/>
      <c r="EU38" s="1333"/>
      <c r="EV38" s="1333"/>
      <c r="EW38" s="1333"/>
      <c r="EX38" s="1333"/>
      <c r="EY38" s="1333"/>
      <c r="EZ38" s="1333"/>
      <c r="FA38" s="1333"/>
      <c r="FB38" s="1333"/>
      <c r="FC38" s="1333"/>
      <c r="FD38" s="1333"/>
      <c r="FE38" s="1333"/>
      <c r="FF38" s="1333"/>
      <c r="FG38" s="1333"/>
      <c r="FH38" s="1333"/>
      <c r="FI38" s="1333"/>
      <c r="FJ38" s="1333"/>
      <c r="FK38" s="1333"/>
      <c r="FL38" s="1333"/>
      <c r="FM38" s="1333"/>
      <c r="FN38" s="1333"/>
      <c r="FO38" s="1333"/>
      <c r="FP38" s="1333"/>
      <c r="FQ38" s="1333"/>
      <c r="FR38" s="1333"/>
      <c r="FS38" s="1333"/>
      <c r="FT38" s="1333"/>
      <c r="FU38" s="1333"/>
      <c r="FV38" s="1333"/>
      <c r="FW38" s="1333"/>
      <c r="FX38" s="1333"/>
      <c r="FY38" s="1333"/>
      <c r="FZ38" s="1333"/>
      <c r="GA38" s="1333"/>
      <c r="GB38" s="1333"/>
      <c r="GC38" s="1333"/>
      <c r="GD38" s="1333"/>
      <c r="GE38" s="1333"/>
      <c r="GF38" s="1333"/>
      <c r="GG38" s="1333"/>
      <c r="GH38" s="1333"/>
      <c r="GI38" s="1333"/>
      <c r="GJ38" s="1333"/>
      <c r="GK38" s="1333"/>
      <c r="GL38" s="1333"/>
      <c r="GM38" s="1333"/>
      <c r="GN38" s="1333"/>
      <c r="GO38" s="1333"/>
      <c r="GP38" s="1333"/>
      <c r="GQ38" s="1333"/>
      <c r="GR38" s="1333"/>
      <c r="GS38" s="1333"/>
      <c r="GT38" s="1333"/>
      <c r="GU38" s="1333"/>
      <c r="GV38" s="1333"/>
      <c r="GW38" s="1333"/>
      <c r="GX38" s="1333"/>
    </row>
    <row r="39" spans="1:206" s="607" customFormat="1">
      <c r="A39" s="607">
        <f t="shared" si="0"/>
        <v>1973</v>
      </c>
      <c r="B39" s="607">
        <f t="shared" si="1"/>
        <v>3</v>
      </c>
      <c r="C39" s="1173">
        <v>26847</v>
      </c>
      <c r="D39" s="1709"/>
      <c r="E39" s="1117"/>
      <c r="F39" s="1117"/>
      <c r="G39" s="1117"/>
      <c r="H39" s="1117"/>
      <c r="I39" s="959">
        <v>84.632151161898051</v>
      </c>
      <c r="J39" s="959">
        <v>119.9238095238</v>
      </c>
      <c r="K39" s="960"/>
      <c r="L39" s="1121"/>
      <c r="M39" s="916"/>
      <c r="N39" s="916"/>
      <c r="O39" s="1332"/>
      <c r="P39" s="1332"/>
      <c r="Q39" s="1332"/>
      <c r="R39" s="1332"/>
      <c r="S39" s="1332"/>
      <c r="T39" s="1332"/>
      <c r="U39" s="1120"/>
      <c r="V39" s="1120"/>
      <c r="W39" s="1120"/>
      <c r="X39" s="1120"/>
      <c r="Y39" s="1119"/>
      <c r="Z39" s="1119"/>
      <c r="AA39" s="1119"/>
      <c r="AB39" s="1119"/>
      <c r="AC39" s="1178"/>
      <c r="AD39" s="1178"/>
      <c r="AE39" s="1178"/>
      <c r="AF39" s="1178"/>
      <c r="AG39" s="1178"/>
      <c r="AH39" s="1178"/>
      <c r="AI39" s="1178"/>
      <c r="AJ39" s="1178"/>
      <c r="AK39" s="919"/>
      <c r="AL39" s="1104"/>
      <c r="AM39" s="919"/>
      <c r="AN39" s="1710"/>
      <c r="AO39" s="919"/>
      <c r="AP39" s="919"/>
      <c r="AS39" s="1167"/>
      <c r="AT39" s="1167"/>
      <c r="AU39" s="1168"/>
      <c r="AV39" s="1168"/>
      <c r="AW39" s="1169"/>
      <c r="AX39" s="1169"/>
      <c r="AY39" s="1169"/>
      <c r="AZ39" s="1169"/>
      <c r="BA39" s="1799" t="s">
        <v>0</v>
      </c>
      <c r="BB39" s="1802">
        <v>2013</v>
      </c>
      <c r="BC39" s="1799" t="s">
        <v>431</v>
      </c>
      <c r="BD39" s="1799">
        <v>7</v>
      </c>
      <c r="BE39" s="1800">
        <v>180640631</v>
      </c>
      <c r="BF39" s="1801">
        <v>0.05</v>
      </c>
      <c r="BG39" s="1799"/>
      <c r="BH39" s="1799" t="s">
        <v>0</v>
      </c>
      <c r="BI39" s="1799" t="s">
        <v>318</v>
      </c>
      <c r="BJ39" s="1799" t="s">
        <v>431</v>
      </c>
      <c r="BK39" s="1799">
        <v>7</v>
      </c>
      <c r="BL39" s="1800">
        <v>185122554</v>
      </c>
      <c r="BM39" s="1801">
        <v>5.5E-2</v>
      </c>
      <c r="BN39" s="1799">
        <v>2013</v>
      </c>
      <c r="BO39" s="1684"/>
      <c r="BP39" s="1696"/>
      <c r="BQ39" s="1169"/>
      <c r="BR39" s="1169"/>
      <c r="BS39" s="1169"/>
      <c r="BT39" s="1169"/>
      <c r="BU39" s="1169"/>
      <c r="BV39" s="1169"/>
      <c r="BW39" s="1169"/>
      <c r="BX39" s="1169"/>
      <c r="BY39" s="1169"/>
      <c r="BZ39" s="1169"/>
      <c r="CA39" s="1169"/>
      <c r="CB39" s="1169"/>
      <c r="CC39" s="1169"/>
      <c r="CD39" s="1169"/>
      <c r="CE39" s="1169"/>
      <c r="CF39" s="1169"/>
      <c r="CG39" s="1169"/>
      <c r="CH39" s="1169"/>
      <c r="CI39" s="1169"/>
      <c r="CJ39" s="1169"/>
      <c r="CK39" s="1169"/>
      <c r="CL39" s="1169"/>
      <c r="CM39" s="1169"/>
      <c r="CN39" s="1169"/>
      <c r="CO39" s="1169"/>
      <c r="CP39" s="1169"/>
      <c r="CQ39" s="1169"/>
      <c r="CR39" s="1169"/>
      <c r="CS39" s="1169"/>
      <c r="CT39" s="1169"/>
      <c r="CU39" s="1169"/>
      <c r="CV39" s="1169"/>
      <c r="CW39" s="1169"/>
      <c r="CX39" s="1169"/>
      <c r="CY39" s="1169"/>
      <c r="CZ39" s="1169"/>
      <c r="DA39" s="1168"/>
      <c r="DB39" s="1168"/>
      <c r="DC39" s="1168"/>
      <c r="DD39" s="1168"/>
      <c r="DE39" s="1168"/>
      <c r="DF39" s="1168"/>
      <c r="DG39" s="1168"/>
      <c r="DH39" s="1168"/>
      <c r="DI39" s="1168"/>
      <c r="DJ39" s="1168"/>
      <c r="DK39" s="1168"/>
      <c r="DL39" s="1168"/>
      <c r="DM39" s="1168"/>
      <c r="DN39" s="1168"/>
      <c r="DO39" s="1168"/>
      <c r="DP39" s="1168"/>
      <c r="DQ39" s="1168"/>
      <c r="DR39" s="1168"/>
      <c r="DS39" s="1168"/>
      <c r="DT39" s="1168"/>
      <c r="DU39" s="1168"/>
      <c r="DV39" s="1168"/>
      <c r="DW39" s="1168"/>
      <c r="DX39" s="1168"/>
      <c r="DY39" s="1168"/>
      <c r="DZ39" s="1168"/>
      <c r="EA39" s="1168"/>
      <c r="EB39" s="1168"/>
      <c r="EC39" s="1168"/>
      <c r="ED39" s="1168"/>
      <c r="EE39" s="1168"/>
      <c r="EF39" s="1168"/>
      <c r="EG39" s="1168"/>
      <c r="EH39" s="1168"/>
      <c r="EI39" s="1170"/>
      <c r="EJ39" s="1170"/>
      <c r="EK39" s="1170"/>
      <c r="EL39" s="1170"/>
      <c r="EM39" s="1170"/>
      <c r="EN39" s="1170"/>
      <c r="EO39" s="1170"/>
      <c r="EP39" s="1170"/>
      <c r="EQ39" s="1170"/>
      <c r="ER39" s="1170"/>
      <c r="ES39" s="1333"/>
      <c r="ET39" s="1333"/>
      <c r="EU39" s="1333"/>
      <c r="EV39" s="1333"/>
      <c r="EW39" s="1333"/>
      <c r="EX39" s="1333"/>
      <c r="EY39" s="1333"/>
      <c r="EZ39" s="1333"/>
      <c r="FA39" s="1333"/>
      <c r="FB39" s="1333"/>
      <c r="FC39" s="1333"/>
      <c r="FD39" s="1333"/>
      <c r="FE39" s="1333"/>
      <c r="FF39" s="1333"/>
      <c r="FG39" s="1333"/>
      <c r="FH39" s="1333"/>
      <c r="FI39" s="1333"/>
      <c r="FJ39" s="1333"/>
      <c r="FK39" s="1333"/>
      <c r="FL39" s="1333"/>
      <c r="FM39" s="1333"/>
      <c r="FN39" s="1333"/>
      <c r="FO39" s="1333"/>
      <c r="FP39" s="1333"/>
      <c r="FQ39" s="1333"/>
      <c r="FR39" s="1333"/>
      <c r="FS39" s="1333"/>
      <c r="FT39" s="1333"/>
      <c r="FU39" s="1333"/>
      <c r="FV39" s="1333"/>
      <c r="FW39" s="1333"/>
      <c r="FX39" s="1333"/>
      <c r="FY39" s="1333"/>
      <c r="FZ39" s="1333"/>
      <c r="GA39" s="1333"/>
      <c r="GB39" s="1333"/>
      <c r="GC39" s="1333"/>
      <c r="GD39" s="1333"/>
      <c r="GE39" s="1333"/>
      <c r="GF39" s="1333"/>
      <c r="GG39" s="1333"/>
      <c r="GH39" s="1333"/>
      <c r="GI39" s="1333"/>
      <c r="GJ39" s="1333"/>
      <c r="GK39" s="1333"/>
      <c r="GL39" s="1333"/>
      <c r="GM39" s="1333"/>
      <c r="GN39" s="1333"/>
      <c r="GO39" s="1333"/>
      <c r="GP39" s="1333"/>
      <c r="GQ39" s="1333"/>
      <c r="GR39" s="1333"/>
      <c r="GS39" s="1333"/>
      <c r="GT39" s="1333"/>
      <c r="GU39" s="1333"/>
      <c r="GV39" s="1333"/>
      <c r="GW39" s="1333"/>
      <c r="GX39" s="1333"/>
    </row>
    <row r="40" spans="1:206" s="607" customFormat="1">
      <c r="A40" s="607">
        <f t="shared" si="0"/>
        <v>1973</v>
      </c>
      <c r="B40" s="607">
        <f t="shared" si="1"/>
        <v>3</v>
      </c>
      <c r="C40" s="1173">
        <v>26877</v>
      </c>
      <c r="D40" s="957"/>
      <c r="E40" s="920"/>
      <c r="F40" s="920"/>
      <c r="G40" s="920"/>
      <c r="H40" s="920"/>
      <c r="I40" s="954">
        <v>75.217563666643144</v>
      </c>
      <c r="J40" s="954">
        <v>106.5833333333</v>
      </c>
      <c r="K40" s="954"/>
      <c r="L40" s="920"/>
      <c r="M40" s="917"/>
      <c r="N40" s="917"/>
      <c r="O40" s="1334"/>
      <c r="P40" s="1334"/>
      <c r="Q40" s="1334"/>
      <c r="R40" s="1334"/>
      <c r="S40" s="1334"/>
      <c r="T40" s="1334"/>
      <c r="U40" s="920"/>
      <c r="V40" s="920"/>
      <c r="W40" s="920"/>
      <c r="X40" s="920"/>
      <c r="Y40" s="920"/>
      <c r="Z40" s="920"/>
      <c r="AA40" s="920"/>
      <c r="AB40" s="920"/>
      <c r="AC40" s="920"/>
      <c r="AD40" s="920"/>
      <c r="AE40" s="920"/>
      <c r="AF40" s="920"/>
      <c r="AG40" s="920"/>
      <c r="AH40" s="920"/>
      <c r="AI40" s="920"/>
      <c r="AJ40" s="920"/>
      <c r="AK40" s="920"/>
      <c r="AL40" s="1105"/>
      <c r="AM40" s="920"/>
      <c r="AN40" s="1711"/>
      <c r="AO40" s="920"/>
      <c r="AP40" s="920"/>
      <c r="AS40" s="1167"/>
      <c r="AT40" s="1167"/>
      <c r="AU40" s="1168"/>
      <c r="AV40" s="1168"/>
      <c r="AW40" s="1169"/>
      <c r="AX40" s="1169"/>
      <c r="AY40" s="1169"/>
      <c r="AZ40" s="1169"/>
      <c r="BA40" s="1799" t="s">
        <v>0</v>
      </c>
      <c r="BB40" s="1802">
        <v>2013</v>
      </c>
      <c r="BC40" s="1799" t="s">
        <v>25</v>
      </c>
      <c r="BD40" s="1799">
        <v>8</v>
      </c>
      <c r="BE40" s="1800">
        <v>137961914</v>
      </c>
      <c r="BF40" s="1801">
        <v>3.7999999999999999E-2</v>
      </c>
      <c r="BG40" s="1799"/>
      <c r="BH40" s="1799" t="s">
        <v>0</v>
      </c>
      <c r="BI40" s="1799" t="s">
        <v>318</v>
      </c>
      <c r="BJ40" s="1799" t="s">
        <v>18</v>
      </c>
      <c r="BK40" s="1799">
        <v>8</v>
      </c>
      <c r="BL40" s="1800">
        <v>160918742</v>
      </c>
      <c r="BM40" s="1801">
        <v>4.8000000000000001E-2</v>
      </c>
      <c r="BN40" s="1799">
        <v>2013</v>
      </c>
      <c r="BO40" s="1684"/>
      <c r="BP40" s="1696"/>
      <c r="BQ40" s="1169"/>
      <c r="BR40" s="1169"/>
      <c r="BS40" s="1169"/>
      <c r="BT40" s="1169"/>
      <c r="BU40" s="1169"/>
      <c r="BV40" s="1169"/>
      <c r="BW40" s="1169"/>
      <c r="BX40" s="1169"/>
      <c r="BY40" s="1169"/>
      <c r="BZ40" s="1169"/>
      <c r="CA40" s="1169"/>
      <c r="CB40" s="1169"/>
      <c r="CC40" s="1169"/>
      <c r="CD40" s="1169"/>
      <c r="CE40" s="1169"/>
      <c r="CF40" s="1169"/>
      <c r="CG40" s="1169"/>
      <c r="CH40" s="1169"/>
      <c r="CI40" s="1169"/>
      <c r="CJ40" s="1169"/>
      <c r="CK40" s="1169"/>
      <c r="CL40" s="1169"/>
      <c r="CM40" s="1169"/>
      <c r="CN40" s="1169"/>
      <c r="CO40" s="1169"/>
      <c r="CP40" s="1169"/>
      <c r="CQ40" s="1169"/>
      <c r="CR40" s="1169"/>
      <c r="CS40" s="1169"/>
      <c r="CT40" s="1169"/>
      <c r="CU40" s="1169"/>
      <c r="CV40" s="1169"/>
      <c r="CW40" s="1169"/>
      <c r="CX40" s="1169"/>
      <c r="CY40" s="1169"/>
      <c r="CZ40" s="1169"/>
      <c r="DA40" s="1168"/>
      <c r="DB40" s="1168"/>
      <c r="DC40" s="1168"/>
      <c r="DD40" s="1168"/>
      <c r="DE40" s="1168"/>
      <c r="DF40" s="1168"/>
      <c r="DG40" s="1168"/>
      <c r="DH40" s="1168"/>
      <c r="DI40" s="1168"/>
      <c r="DJ40" s="1168"/>
      <c r="DK40" s="1168"/>
      <c r="DL40" s="1168"/>
      <c r="DM40" s="1168"/>
      <c r="DN40" s="1168"/>
      <c r="DO40" s="1168"/>
      <c r="DP40" s="1168"/>
      <c r="DQ40" s="1168"/>
      <c r="DR40" s="1168"/>
      <c r="DS40" s="1168"/>
      <c r="DT40" s="1168"/>
      <c r="DU40" s="1168"/>
      <c r="DV40" s="1168"/>
      <c r="DW40" s="1168"/>
      <c r="DX40" s="1168"/>
      <c r="DY40" s="1168"/>
      <c r="DZ40" s="1168"/>
      <c r="EA40" s="1168"/>
      <c r="EB40" s="1168"/>
      <c r="EC40" s="1168"/>
      <c r="ED40" s="1168"/>
      <c r="EE40" s="1168"/>
      <c r="EF40" s="1168"/>
      <c r="EG40" s="1168"/>
      <c r="EH40" s="1168"/>
      <c r="EI40" s="1170"/>
      <c r="EJ40" s="1170"/>
      <c r="EK40" s="1170"/>
      <c r="EL40" s="1170"/>
      <c r="EM40" s="1170"/>
      <c r="EN40" s="1170"/>
      <c r="EO40" s="1170"/>
      <c r="EP40" s="1170"/>
      <c r="EQ40" s="1170"/>
      <c r="ER40" s="1170"/>
      <c r="ES40" s="1333"/>
      <c r="ET40" s="1333"/>
      <c r="EU40" s="1333"/>
      <c r="EV40" s="1333"/>
      <c r="EW40" s="1333"/>
      <c r="EX40" s="1333"/>
      <c r="EY40" s="1333"/>
      <c r="EZ40" s="1333"/>
      <c r="FA40" s="1333"/>
      <c r="FB40" s="1333"/>
      <c r="FC40" s="1333"/>
      <c r="FD40" s="1333"/>
      <c r="FE40" s="1333"/>
      <c r="FF40" s="1333"/>
      <c r="FG40" s="1333"/>
      <c r="FH40" s="1333"/>
      <c r="FI40" s="1333"/>
      <c r="FJ40" s="1333"/>
      <c r="FK40" s="1333"/>
      <c r="FL40" s="1333"/>
      <c r="FM40" s="1333"/>
      <c r="FN40" s="1333"/>
      <c r="FO40" s="1333"/>
      <c r="FP40" s="1333"/>
      <c r="FQ40" s="1333"/>
      <c r="FR40" s="1333"/>
      <c r="FS40" s="1333"/>
      <c r="FT40" s="1333"/>
      <c r="FU40" s="1333"/>
      <c r="FV40" s="1333"/>
      <c r="FW40" s="1333"/>
      <c r="FX40" s="1333"/>
      <c r="FY40" s="1333"/>
      <c r="FZ40" s="1333"/>
      <c r="GA40" s="1333"/>
      <c r="GB40" s="1333"/>
      <c r="GC40" s="1333"/>
      <c r="GD40" s="1333"/>
      <c r="GE40" s="1333"/>
      <c r="GF40" s="1333"/>
      <c r="GG40" s="1333"/>
      <c r="GH40" s="1333"/>
      <c r="GI40" s="1333"/>
      <c r="GJ40" s="1333"/>
      <c r="GK40" s="1333"/>
      <c r="GL40" s="1333"/>
      <c r="GM40" s="1333"/>
      <c r="GN40" s="1333"/>
      <c r="GO40" s="1333"/>
      <c r="GP40" s="1333"/>
      <c r="GQ40" s="1333"/>
      <c r="GR40" s="1333"/>
      <c r="GS40" s="1333"/>
      <c r="GT40" s="1333"/>
      <c r="GU40" s="1333"/>
      <c r="GV40" s="1333"/>
      <c r="GW40" s="1333"/>
      <c r="GX40" s="1333"/>
    </row>
    <row r="41" spans="1:206" s="607" customFormat="1">
      <c r="A41" s="607">
        <f t="shared" si="0"/>
        <v>1973</v>
      </c>
      <c r="B41" s="607">
        <f t="shared" si="1"/>
        <v>3</v>
      </c>
      <c r="C41" s="1173">
        <v>26910</v>
      </c>
      <c r="D41" s="1709"/>
      <c r="E41" s="1117"/>
      <c r="F41" s="1117"/>
      <c r="G41" s="1117"/>
      <c r="H41" s="1117"/>
      <c r="I41" s="959">
        <v>68.905869853943827</v>
      </c>
      <c r="J41" s="959">
        <v>102.66973684209999</v>
      </c>
      <c r="K41" s="960"/>
      <c r="L41" s="1121"/>
      <c r="M41" s="916"/>
      <c r="N41" s="916"/>
      <c r="O41" s="1332"/>
      <c r="P41" s="1332"/>
      <c r="Q41" s="1332"/>
      <c r="R41" s="1332"/>
      <c r="S41" s="1332"/>
      <c r="T41" s="1332"/>
      <c r="U41" s="1120"/>
      <c r="V41" s="1120"/>
      <c r="W41" s="1120"/>
      <c r="X41" s="1120"/>
      <c r="Y41" s="1119"/>
      <c r="Z41" s="1119"/>
      <c r="AA41" s="1119"/>
      <c r="AB41" s="1119"/>
      <c r="AC41" s="1178"/>
      <c r="AD41" s="1178"/>
      <c r="AE41" s="1178"/>
      <c r="AF41" s="1178"/>
      <c r="AG41" s="1178"/>
      <c r="AH41" s="1178"/>
      <c r="AI41" s="1178"/>
      <c r="AJ41" s="1178"/>
      <c r="AK41" s="919"/>
      <c r="AL41" s="1104"/>
      <c r="AM41" s="919"/>
      <c r="AN41" s="1710"/>
      <c r="AO41" s="919"/>
      <c r="AP41" s="919"/>
      <c r="AS41" s="1167"/>
      <c r="AT41" s="1167"/>
      <c r="AU41" s="1168"/>
      <c r="AV41" s="1168"/>
      <c r="AW41" s="1169"/>
      <c r="AX41" s="1169"/>
      <c r="AY41" s="1169"/>
      <c r="AZ41" s="1169"/>
      <c r="BA41" s="1799" t="s">
        <v>0</v>
      </c>
      <c r="BB41" s="1802">
        <v>2013</v>
      </c>
      <c r="BC41" s="1799" t="s">
        <v>26</v>
      </c>
      <c r="BD41" s="1799">
        <v>9</v>
      </c>
      <c r="BE41" s="1800">
        <v>131612007</v>
      </c>
      <c r="BF41" s="1801">
        <v>3.6999999999999998E-2</v>
      </c>
      <c r="BG41" s="1799"/>
      <c r="BH41" s="1799" t="s">
        <v>0</v>
      </c>
      <c r="BI41" s="1799" t="s">
        <v>318</v>
      </c>
      <c r="BJ41" s="1799" t="s">
        <v>25</v>
      </c>
      <c r="BK41" s="1799">
        <v>9</v>
      </c>
      <c r="BL41" s="1800">
        <v>149866353</v>
      </c>
      <c r="BM41" s="1801">
        <v>4.3999999999999997E-2</v>
      </c>
      <c r="BN41" s="1799">
        <v>2013</v>
      </c>
      <c r="BO41" s="1684"/>
      <c r="BP41" s="1697">
        <f>'Alumina and Bauxite - Prices'!A41</f>
        <v>44409</v>
      </c>
      <c r="BQ41" s="1169"/>
      <c r="BR41" s="1169"/>
      <c r="BS41" s="1169"/>
      <c r="BT41" s="1169"/>
      <c r="BU41" s="1169"/>
      <c r="BV41" s="1169"/>
      <c r="BW41" s="1169"/>
      <c r="BX41" s="1169"/>
      <c r="BY41" s="1169"/>
      <c r="BZ41" s="1169"/>
      <c r="CA41" s="1169"/>
      <c r="CB41" s="1169"/>
      <c r="CC41" s="1169"/>
      <c r="CD41" s="1169"/>
      <c r="CE41" s="1169"/>
      <c r="CF41" s="1169"/>
      <c r="CG41" s="1169"/>
      <c r="CH41" s="1169"/>
      <c r="CI41" s="1169"/>
      <c r="CJ41" s="1169"/>
      <c r="CK41" s="1169"/>
      <c r="CL41" s="1169"/>
      <c r="CM41" s="1169"/>
      <c r="CN41" s="1169"/>
      <c r="CO41" s="1169"/>
      <c r="CP41" s="1169"/>
      <c r="CQ41" s="1169"/>
      <c r="CR41" s="1169"/>
      <c r="CS41" s="1169"/>
      <c r="CT41" s="1169"/>
      <c r="CU41" s="1169"/>
      <c r="CV41" s="1169"/>
      <c r="CW41" s="1169"/>
      <c r="CX41" s="1169"/>
      <c r="CY41" s="1169"/>
      <c r="CZ41" s="1169"/>
      <c r="DA41" s="1168"/>
      <c r="DB41" s="1168"/>
      <c r="DC41" s="1168"/>
      <c r="DD41" s="1168"/>
      <c r="DE41" s="1168"/>
      <c r="DF41" s="1168"/>
      <c r="DG41" s="1168"/>
      <c r="DH41" s="1168"/>
      <c r="DI41" s="1168"/>
      <c r="DJ41" s="1168"/>
      <c r="DK41" s="1168"/>
      <c r="DL41" s="1168"/>
      <c r="DM41" s="1168"/>
      <c r="DN41" s="1168"/>
      <c r="DO41" s="1168"/>
      <c r="DP41" s="1168"/>
      <c r="DQ41" s="1168"/>
      <c r="DR41" s="1168"/>
      <c r="DS41" s="1168"/>
      <c r="DT41" s="1168"/>
      <c r="DU41" s="1168"/>
      <c r="DV41" s="1168"/>
      <c r="DW41" s="1168"/>
      <c r="DX41" s="1168"/>
      <c r="DY41" s="1168"/>
      <c r="DZ41" s="1168"/>
      <c r="EA41" s="1168"/>
      <c r="EB41" s="1168"/>
      <c r="EC41" s="1168"/>
      <c r="ED41" s="1168"/>
      <c r="EE41" s="1168"/>
      <c r="EF41" s="1168"/>
      <c r="EG41" s="1168"/>
      <c r="EH41" s="1168"/>
      <c r="EI41" s="1170"/>
      <c r="EJ41" s="1170"/>
      <c r="EK41" s="1170"/>
      <c r="EL41" s="1170"/>
      <c r="EM41" s="1170"/>
      <c r="EN41" s="1170"/>
      <c r="EO41" s="1170"/>
      <c r="EP41" s="1170"/>
      <c r="EQ41" s="1170"/>
      <c r="ER41" s="1170"/>
      <c r="ES41" s="1333"/>
      <c r="ET41" s="1333"/>
      <c r="EU41" s="1333"/>
      <c r="EV41" s="1333"/>
      <c r="EW41" s="1333"/>
      <c r="EX41" s="1333"/>
      <c r="EY41" s="1333"/>
      <c r="EZ41" s="1333"/>
      <c r="FA41" s="1333"/>
      <c r="FB41" s="1333"/>
      <c r="FC41" s="1333"/>
      <c r="FD41" s="1333"/>
      <c r="FE41" s="1333"/>
      <c r="FF41" s="1333"/>
      <c r="FG41" s="1333"/>
      <c r="FH41" s="1333"/>
      <c r="FI41" s="1333"/>
      <c r="FJ41" s="1333"/>
      <c r="FK41" s="1333"/>
      <c r="FL41" s="1333"/>
      <c r="FM41" s="1333"/>
      <c r="FN41" s="1333"/>
      <c r="FO41" s="1333"/>
      <c r="FP41" s="1333"/>
      <c r="FQ41" s="1333"/>
      <c r="FR41" s="1333"/>
      <c r="FS41" s="1333"/>
      <c r="FT41" s="1333"/>
      <c r="FU41" s="1333"/>
      <c r="FV41" s="1333"/>
      <c r="FW41" s="1333"/>
      <c r="FX41" s="1333"/>
      <c r="FY41" s="1333"/>
      <c r="FZ41" s="1333"/>
      <c r="GA41" s="1333"/>
      <c r="GB41" s="1333"/>
      <c r="GC41" s="1333"/>
      <c r="GD41" s="1333"/>
      <c r="GE41" s="1333"/>
      <c r="GF41" s="1333"/>
      <c r="GG41" s="1333"/>
      <c r="GH41" s="1333"/>
      <c r="GI41" s="1333"/>
      <c r="GJ41" s="1333"/>
      <c r="GK41" s="1333"/>
      <c r="GL41" s="1333"/>
      <c r="GM41" s="1333"/>
      <c r="GN41" s="1333"/>
      <c r="GO41" s="1333"/>
      <c r="GP41" s="1333"/>
      <c r="GQ41" s="1333"/>
      <c r="GR41" s="1333"/>
      <c r="GS41" s="1333"/>
      <c r="GT41" s="1333"/>
      <c r="GU41" s="1333"/>
      <c r="GV41" s="1333"/>
      <c r="GW41" s="1333"/>
      <c r="GX41" s="1333"/>
    </row>
    <row r="42" spans="1:206" s="607" customFormat="1">
      <c r="A42" s="607">
        <f t="shared" si="0"/>
        <v>1973</v>
      </c>
      <c r="B42" s="607">
        <f t="shared" si="1"/>
        <v>4</v>
      </c>
      <c r="C42" s="1173">
        <v>26938</v>
      </c>
      <c r="D42" s="957"/>
      <c r="E42" s="920"/>
      <c r="F42" s="920"/>
      <c r="G42" s="920"/>
      <c r="H42" s="920"/>
      <c r="I42" s="954">
        <v>67.260547077191447</v>
      </c>
      <c r="J42" s="954">
        <v>100.08369565220001</v>
      </c>
      <c r="K42" s="954"/>
      <c r="L42" s="920"/>
      <c r="M42" s="917"/>
      <c r="N42" s="917"/>
      <c r="O42" s="1334"/>
      <c r="P42" s="1334"/>
      <c r="Q42" s="1334"/>
      <c r="R42" s="1334"/>
      <c r="S42" s="1334"/>
      <c r="T42" s="1334"/>
      <c r="U42" s="920"/>
      <c r="V42" s="920"/>
      <c r="W42" s="920"/>
      <c r="X42" s="920"/>
      <c r="Y42" s="920"/>
      <c r="Z42" s="920"/>
      <c r="AA42" s="920"/>
      <c r="AB42" s="920"/>
      <c r="AC42" s="920"/>
      <c r="AD42" s="920"/>
      <c r="AE42" s="920"/>
      <c r="AF42" s="920"/>
      <c r="AG42" s="920"/>
      <c r="AH42" s="920"/>
      <c r="AI42" s="920"/>
      <c r="AJ42" s="920"/>
      <c r="AK42" s="920"/>
      <c r="AL42" s="1105"/>
      <c r="AM42" s="920"/>
      <c r="AN42" s="1711"/>
      <c r="AO42" s="920"/>
      <c r="AP42" s="920"/>
      <c r="AS42" s="1167"/>
      <c r="AT42" s="1167"/>
      <c r="AU42" s="1168"/>
      <c r="AV42" s="1168"/>
      <c r="AW42" s="1169"/>
      <c r="AX42" s="1169"/>
      <c r="AY42" s="1169"/>
      <c r="AZ42" s="1169"/>
      <c r="BA42" s="1799" t="s">
        <v>0</v>
      </c>
      <c r="BB42" s="1802">
        <v>2013</v>
      </c>
      <c r="BC42" s="1799" t="s">
        <v>19</v>
      </c>
      <c r="BD42" s="1799">
        <v>10</v>
      </c>
      <c r="BE42" s="1800">
        <v>93354264</v>
      </c>
      <c r="BF42" s="1801">
        <v>2.5999999999999999E-2</v>
      </c>
      <c r="BG42" s="1799"/>
      <c r="BH42" s="1799" t="s">
        <v>0</v>
      </c>
      <c r="BI42" s="1799" t="s">
        <v>318</v>
      </c>
      <c r="BJ42" s="1799" t="s">
        <v>21</v>
      </c>
      <c r="BK42" s="1799">
        <v>10</v>
      </c>
      <c r="BL42" s="1800">
        <v>94107146</v>
      </c>
      <c r="BM42" s="1801">
        <v>2.8000000000000001E-2</v>
      </c>
      <c r="BN42" s="1799">
        <v>2013</v>
      </c>
      <c r="BO42" s="1684"/>
      <c r="BP42" s="1696"/>
      <c r="BQ42" s="1169"/>
      <c r="BR42" s="1169"/>
      <c r="BS42" s="1169"/>
      <c r="BT42" s="1169"/>
      <c r="BU42" s="1169"/>
      <c r="BV42" s="1169"/>
      <c r="BW42" s="1169"/>
      <c r="BX42" s="1169"/>
      <c r="BY42" s="1169"/>
      <c r="BZ42" s="1169"/>
      <c r="CA42" s="1169"/>
      <c r="CB42" s="1169"/>
      <c r="CC42" s="1169"/>
      <c r="CD42" s="1169"/>
      <c r="CE42" s="1169"/>
      <c r="CF42" s="1169"/>
      <c r="CG42" s="1169"/>
      <c r="CH42" s="1169"/>
      <c r="CI42" s="1169"/>
      <c r="CJ42" s="1169"/>
      <c r="CK42" s="1169"/>
      <c r="CL42" s="1169"/>
      <c r="CM42" s="1169"/>
      <c r="CN42" s="1169"/>
      <c r="CO42" s="1169"/>
      <c r="CP42" s="1169"/>
      <c r="CQ42" s="1169"/>
      <c r="CR42" s="1169"/>
      <c r="CS42" s="1169"/>
      <c r="CT42" s="1169"/>
      <c r="CU42" s="1169"/>
      <c r="CV42" s="1169"/>
      <c r="CW42" s="1169"/>
      <c r="CX42" s="1169"/>
      <c r="CY42" s="1169"/>
      <c r="CZ42" s="1169"/>
      <c r="DA42" s="1168"/>
      <c r="DB42" s="1168"/>
      <c r="DC42" s="1168"/>
      <c r="DD42" s="1168"/>
      <c r="DE42" s="1168"/>
      <c r="DF42" s="1168"/>
      <c r="DG42" s="1168"/>
      <c r="DH42" s="1168"/>
      <c r="DI42" s="1168"/>
      <c r="DJ42" s="1168"/>
      <c r="DK42" s="1168"/>
      <c r="DL42" s="1168"/>
      <c r="DM42" s="1168"/>
      <c r="DN42" s="1168"/>
      <c r="DO42" s="1168"/>
      <c r="DP42" s="1168"/>
      <c r="DQ42" s="1168"/>
      <c r="DR42" s="1168"/>
      <c r="DS42" s="1168"/>
      <c r="DT42" s="1168"/>
      <c r="DU42" s="1168"/>
      <c r="DV42" s="1168"/>
      <c r="DW42" s="1168"/>
      <c r="DX42" s="1168"/>
      <c r="DY42" s="1168"/>
      <c r="DZ42" s="1168"/>
      <c r="EA42" s="1168"/>
      <c r="EB42" s="1168"/>
      <c r="EC42" s="1168"/>
      <c r="ED42" s="1168"/>
      <c r="EE42" s="1168"/>
      <c r="EF42" s="1168"/>
      <c r="EG42" s="1168"/>
      <c r="EH42" s="1168"/>
      <c r="EI42" s="1170"/>
      <c r="EJ42" s="1170"/>
      <c r="EK42" s="1170"/>
      <c r="EL42" s="1170"/>
      <c r="EM42" s="1170"/>
      <c r="EN42" s="1170"/>
      <c r="EO42" s="1170"/>
      <c r="EP42" s="1170"/>
      <c r="EQ42" s="1170"/>
      <c r="ER42" s="1170"/>
      <c r="ES42" s="1333"/>
      <c r="ET42" s="1333"/>
      <c r="EU42" s="1333"/>
      <c r="EV42" s="1333"/>
      <c r="EW42" s="1333"/>
      <c r="EX42" s="1333"/>
      <c r="EY42" s="1333"/>
      <c r="EZ42" s="1333"/>
      <c r="FA42" s="1333"/>
      <c r="FB42" s="1333"/>
      <c r="FC42" s="1333"/>
      <c r="FD42" s="1333"/>
      <c r="FE42" s="1333"/>
      <c r="FF42" s="1333"/>
      <c r="FG42" s="1333"/>
      <c r="FH42" s="1333"/>
      <c r="FI42" s="1333"/>
      <c r="FJ42" s="1333"/>
      <c r="FK42" s="1333"/>
      <c r="FL42" s="1333"/>
      <c r="FM42" s="1333"/>
      <c r="FN42" s="1333"/>
      <c r="FO42" s="1333"/>
      <c r="FP42" s="1333"/>
      <c r="FQ42" s="1333"/>
      <c r="FR42" s="1333"/>
      <c r="FS42" s="1333"/>
      <c r="FT42" s="1333"/>
      <c r="FU42" s="1333"/>
      <c r="FV42" s="1333"/>
      <c r="FW42" s="1333"/>
      <c r="FX42" s="1333"/>
      <c r="FY42" s="1333"/>
      <c r="FZ42" s="1333"/>
      <c r="GA42" s="1333"/>
      <c r="GB42" s="1333"/>
      <c r="GC42" s="1333"/>
      <c r="GD42" s="1333"/>
      <c r="GE42" s="1333"/>
      <c r="GF42" s="1333"/>
      <c r="GG42" s="1333"/>
      <c r="GH42" s="1333"/>
      <c r="GI42" s="1333"/>
      <c r="GJ42" s="1333"/>
      <c r="GK42" s="1333"/>
      <c r="GL42" s="1333"/>
      <c r="GM42" s="1333"/>
      <c r="GN42" s="1333"/>
      <c r="GO42" s="1333"/>
      <c r="GP42" s="1333"/>
      <c r="GQ42" s="1333"/>
      <c r="GR42" s="1333"/>
      <c r="GS42" s="1333"/>
      <c r="GT42" s="1333"/>
      <c r="GU42" s="1333"/>
      <c r="GV42" s="1333"/>
      <c r="GW42" s="1333"/>
      <c r="GX42" s="1333"/>
    </row>
    <row r="43" spans="1:206" s="607" customFormat="1">
      <c r="A43" s="607">
        <f t="shared" si="0"/>
        <v>1973</v>
      </c>
      <c r="B43" s="607">
        <f t="shared" si="1"/>
        <v>4</v>
      </c>
      <c r="C43" s="1173">
        <v>26969</v>
      </c>
      <c r="D43" s="1709"/>
      <c r="E43" s="1117"/>
      <c r="F43" s="1117"/>
      <c r="G43" s="1117"/>
      <c r="H43" s="1117"/>
      <c r="I43" s="959">
        <v>63.907803770225314</v>
      </c>
      <c r="J43" s="959">
        <v>95.222619047600006</v>
      </c>
      <c r="K43" s="960"/>
      <c r="L43" s="1121"/>
      <c r="M43" s="916"/>
      <c r="N43" s="916"/>
      <c r="O43" s="1332"/>
      <c r="P43" s="1332"/>
      <c r="Q43" s="1332"/>
      <c r="R43" s="1332"/>
      <c r="S43" s="1332"/>
      <c r="T43" s="1332"/>
      <c r="U43" s="1120"/>
      <c r="V43" s="1120"/>
      <c r="W43" s="1120"/>
      <c r="X43" s="1120"/>
      <c r="Y43" s="1119"/>
      <c r="Z43" s="1119"/>
      <c r="AA43" s="1119"/>
      <c r="AB43" s="1119"/>
      <c r="AC43" s="1178"/>
      <c r="AD43" s="1178"/>
      <c r="AE43" s="1178"/>
      <c r="AF43" s="1178"/>
      <c r="AG43" s="1178"/>
      <c r="AH43" s="1178"/>
      <c r="AI43" s="1178"/>
      <c r="AJ43" s="1178"/>
      <c r="AK43" s="919"/>
      <c r="AL43" s="1104"/>
      <c r="AM43" s="919"/>
      <c r="AN43" s="1710"/>
      <c r="AO43" s="919"/>
      <c r="AP43" s="919"/>
      <c r="AS43" s="1167"/>
      <c r="AT43" s="1167"/>
      <c r="AU43" s="1168"/>
      <c r="AV43" s="1168"/>
      <c r="AW43" s="1169"/>
      <c r="AX43" s="1169"/>
      <c r="AY43" s="1169"/>
      <c r="AZ43" s="1169"/>
      <c r="BA43" s="1799" t="s">
        <v>0</v>
      </c>
      <c r="BB43" s="1802">
        <v>2013</v>
      </c>
      <c r="BC43" s="1799" t="s">
        <v>32</v>
      </c>
      <c r="BD43" s="1799"/>
      <c r="BE43" s="1800">
        <v>274492227</v>
      </c>
      <c r="BF43" s="1801">
        <v>7.5999999999999998E-2</v>
      </c>
      <c r="BG43" s="1799"/>
      <c r="BH43" s="1799" t="s">
        <v>0</v>
      </c>
      <c r="BI43" s="1799" t="s">
        <v>318</v>
      </c>
      <c r="BJ43" s="1799" t="s">
        <v>32</v>
      </c>
      <c r="BK43" s="1799"/>
      <c r="BL43" s="1800">
        <v>213809811</v>
      </c>
      <c r="BM43" s="1801">
        <v>6.3E-2</v>
      </c>
      <c r="BN43" s="1799">
        <v>2013</v>
      </c>
      <c r="BO43" s="1684"/>
      <c r="BP43" s="1696"/>
      <c r="BQ43" s="1169"/>
      <c r="BR43" s="1169"/>
      <c r="BS43" s="1169"/>
      <c r="BT43" s="1169"/>
      <c r="BU43" s="1169"/>
      <c r="BV43" s="1169"/>
      <c r="BW43" s="1169"/>
      <c r="BX43" s="1169"/>
      <c r="BY43" s="1169"/>
      <c r="BZ43" s="1169"/>
      <c r="CA43" s="1169"/>
      <c r="CB43" s="1169"/>
      <c r="CC43" s="1169"/>
      <c r="CD43" s="1169"/>
      <c r="CE43" s="1169"/>
      <c r="CF43" s="1169"/>
      <c r="CG43" s="1169"/>
      <c r="CH43" s="1169"/>
      <c r="CI43" s="1169"/>
      <c r="CJ43" s="1169"/>
      <c r="CK43" s="1169"/>
      <c r="CL43" s="1169"/>
      <c r="CM43" s="1169"/>
      <c r="CN43" s="1169"/>
      <c r="CO43" s="1169"/>
      <c r="CP43" s="1169"/>
      <c r="CQ43" s="1169"/>
      <c r="CR43" s="1169"/>
      <c r="CS43" s="1169"/>
      <c r="CT43" s="1169"/>
      <c r="CU43" s="1169"/>
      <c r="CV43" s="1169"/>
      <c r="CW43" s="1169"/>
      <c r="CX43" s="1169"/>
      <c r="CY43" s="1169"/>
      <c r="CZ43" s="1169"/>
      <c r="DA43" s="1168"/>
      <c r="DB43" s="1168"/>
      <c r="DC43" s="1168"/>
      <c r="DD43" s="1168"/>
      <c r="DE43" s="1168"/>
      <c r="DF43" s="1168"/>
      <c r="DG43" s="1168"/>
      <c r="DH43" s="1168"/>
      <c r="DI43" s="1168"/>
      <c r="DJ43" s="1168"/>
      <c r="DK43" s="1168"/>
      <c r="DL43" s="1168"/>
      <c r="DM43" s="1168"/>
      <c r="DN43" s="1168"/>
      <c r="DO43" s="1168"/>
      <c r="DP43" s="1168"/>
      <c r="DQ43" s="1168"/>
      <c r="DR43" s="1168"/>
      <c r="DS43" s="1168"/>
      <c r="DT43" s="1168"/>
      <c r="DU43" s="1168"/>
      <c r="DV43" s="1168"/>
      <c r="DW43" s="1168"/>
      <c r="DX43" s="1168"/>
      <c r="DY43" s="1168"/>
      <c r="DZ43" s="1168"/>
      <c r="EA43" s="1168"/>
      <c r="EB43" s="1168"/>
      <c r="EC43" s="1168"/>
      <c r="ED43" s="1168"/>
      <c r="EE43" s="1168"/>
      <c r="EF43" s="1168"/>
      <c r="EG43" s="1168"/>
      <c r="EH43" s="1168"/>
      <c r="EI43" s="1170"/>
      <c r="EJ43" s="1170"/>
      <c r="EK43" s="1170"/>
      <c r="EL43" s="1170"/>
      <c r="EM43" s="1170"/>
      <c r="EN43" s="1170"/>
      <c r="EO43" s="1170"/>
      <c r="EP43" s="1170"/>
      <c r="EQ43" s="1170"/>
      <c r="ER43" s="1170"/>
      <c r="ES43" s="1333"/>
      <c r="ET43" s="1333"/>
      <c r="EU43" s="1333"/>
      <c r="EV43" s="1333"/>
      <c r="EW43" s="1333"/>
      <c r="EX43" s="1333"/>
      <c r="EY43" s="1333"/>
      <c r="EZ43" s="1333"/>
      <c r="FA43" s="1333"/>
      <c r="FB43" s="1333"/>
      <c r="FC43" s="1333"/>
      <c r="FD43" s="1333"/>
      <c r="FE43" s="1333"/>
      <c r="FF43" s="1333"/>
      <c r="FG43" s="1333"/>
      <c r="FH43" s="1333"/>
      <c r="FI43" s="1333"/>
      <c r="FJ43" s="1333"/>
      <c r="FK43" s="1333"/>
      <c r="FL43" s="1333"/>
      <c r="FM43" s="1333"/>
      <c r="FN43" s="1333"/>
      <c r="FO43" s="1333"/>
      <c r="FP43" s="1333"/>
      <c r="FQ43" s="1333"/>
      <c r="FR43" s="1333"/>
      <c r="FS43" s="1333"/>
      <c r="FT43" s="1333"/>
      <c r="FU43" s="1333"/>
      <c r="FV43" s="1333"/>
      <c r="FW43" s="1333"/>
      <c r="FX43" s="1333"/>
      <c r="FY43" s="1333"/>
      <c r="FZ43" s="1333"/>
      <c r="GA43" s="1333"/>
      <c r="GB43" s="1333"/>
      <c r="GC43" s="1333"/>
      <c r="GD43" s="1333"/>
      <c r="GE43" s="1333"/>
      <c r="GF43" s="1333"/>
      <c r="GG43" s="1333"/>
      <c r="GH43" s="1333"/>
      <c r="GI43" s="1333"/>
      <c r="GJ43" s="1333"/>
      <c r="GK43" s="1333"/>
      <c r="GL43" s="1333"/>
      <c r="GM43" s="1333"/>
      <c r="GN43" s="1333"/>
      <c r="GO43" s="1333"/>
      <c r="GP43" s="1333"/>
      <c r="GQ43" s="1333"/>
      <c r="GR43" s="1333"/>
      <c r="GS43" s="1333"/>
      <c r="GT43" s="1333"/>
      <c r="GU43" s="1333"/>
      <c r="GV43" s="1333"/>
      <c r="GW43" s="1333"/>
      <c r="GX43" s="1333"/>
    </row>
    <row r="44" spans="1:206" s="607" customFormat="1">
      <c r="A44" s="607">
        <f t="shared" si="0"/>
        <v>1973</v>
      </c>
      <c r="B44" s="607">
        <f t="shared" si="1"/>
        <v>4</v>
      </c>
      <c r="C44" s="1173">
        <v>27001</v>
      </c>
      <c r="D44" s="957"/>
      <c r="E44" s="920"/>
      <c r="F44" s="920"/>
      <c r="G44" s="920"/>
      <c r="H44" s="920"/>
      <c r="I44" s="954">
        <v>71.738613652921401</v>
      </c>
      <c r="J44" s="954">
        <v>106.7470588235</v>
      </c>
      <c r="K44" s="954"/>
      <c r="L44" s="920"/>
      <c r="M44" s="917"/>
      <c r="N44" s="917"/>
      <c r="O44" s="1334"/>
      <c r="P44" s="1334"/>
      <c r="Q44" s="1334"/>
      <c r="R44" s="1334"/>
      <c r="S44" s="1334"/>
      <c r="T44" s="1334"/>
      <c r="U44" s="920"/>
      <c r="V44" s="920"/>
      <c r="W44" s="920"/>
      <c r="X44" s="920"/>
      <c r="Y44" s="920"/>
      <c r="Z44" s="920"/>
      <c r="AA44" s="920"/>
      <c r="AB44" s="920"/>
      <c r="AC44" s="920"/>
      <c r="AD44" s="920"/>
      <c r="AE44" s="920"/>
      <c r="AF44" s="920"/>
      <c r="AG44" s="920"/>
      <c r="AH44" s="920"/>
      <c r="AI44" s="920"/>
      <c r="AJ44" s="920"/>
      <c r="AK44" s="920"/>
      <c r="AL44" s="1105"/>
      <c r="AM44" s="920"/>
      <c r="AN44" s="1711"/>
      <c r="AO44" s="920"/>
      <c r="AP44" s="920"/>
      <c r="AS44" s="1167"/>
      <c r="AT44" s="1167"/>
      <c r="AU44" s="1168"/>
      <c r="AV44" s="1168"/>
      <c r="AW44" s="1169"/>
      <c r="AX44" s="1169"/>
      <c r="AY44" s="1169"/>
      <c r="AZ44" s="1169"/>
      <c r="BA44" s="1799" t="s">
        <v>0</v>
      </c>
      <c r="BB44" s="1802">
        <v>2013</v>
      </c>
      <c r="BC44" s="1799" t="s">
        <v>249</v>
      </c>
      <c r="BD44" s="1799"/>
      <c r="BE44" s="1800">
        <v>3599642983</v>
      </c>
      <c r="BF44" s="1801">
        <v>1</v>
      </c>
      <c r="BG44" s="1799"/>
      <c r="BH44" s="1799" t="s">
        <v>0</v>
      </c>
      <c r="BI44" s="1799" t="s">
        <v>318</v>
      </c>
      <c r="BJ44" s="1799" t="s">
        <v>249</v>
      </c>
      <c r="BK44" s="1799"/>
      <c r="BL44" s="1800">
        <v>3387364358</v>
      </c>
      <c r="BM44" s="1801">
        <v>1</v>
      </c>
      <c r="BN44" s="1799">
        <v>2013</v>
      </c>
      <c r="BO44" s="1684"/>
      <c r="BP44" s="1697">
        <f>'Alumina and Bauxite - Prices'!A44</f>
        <v>44501</v>
      </c>
      <c r="BQ44" s="1169"/>
      <c r="BR44" s="1169"/>
      <c r="BS44" s="1169"/>
      <c r="BT44" s="1169"/>
      <c r="BU44" s="1169"/>
      <c r="BV44" s="1169"/>
      <c r="BW44" s="1169"/>
      <c r="BX44" s="1169"/>
      <c r="BY44" s="1169"/>
      <c r="BZ44" s="1169"/>
      <c r="CA44" s="1169"/>
      <c r="CB44" s="1169"/>
      <c r="CC44" s="1169"/>
      <c r="CD44" s="1169"/>
      <c r="CE44" s="1169"/>
      <c r="CF44" s="1169"/>
      <c r="CG44" s="1169"/>
      <c r="CH44" s="1169"/>
      <c r="CI44" s="1169"/>
      <c r="CJ44" s="1169"/>
      <c r="CK44" s="1169"/>
      <c r="CL44" s="1169"/>
      <c r="CM44" s="1169"/>
      <c r="CN44" s="1169"/>
      <c r="CO44" s="1169"/>
      <c r="CP44" s="1169"/>
      <c r="CQ44" s="1169"/>
      <c r="CR44" s="1169"/>
      <c r="CS44" s="1169"/>
      <c r="CT44" s="1169"/>
      <c r="CU44" s="1169"/>
      <c r="CV44" s="1169"/>
      <c r="CW44" s="1169"/>
      <c r="CX44" s="1169"/>
      <c r="CY44" s="1169"/>
      <c r="CZ44" s="1169"/>
      <c r="DA44" s="1168"/>
      <c r="DB44" s="1168"/>
      <c r="DC44" s="1168"/>
      <c r="DD44" s="1168"/>
      <c r="DE44" s="1168"/>
      <c r="DF44" s="1168"/>
      <c r="DG44" s="1168"/>
      <c r="DH44" s="1168"/>
      <c r="DI44" s="1168"/>
      <c r="DJ44" s="1168"/>
      <c r="DK44" s="1168"/>
      <c r="DL44" s="1168"/>
      <c r="DM44" s="1168"/>
      <c r="DN44" s="1168"/>
      <c r="DO44" s="1168"/>
      <c r="DP44" s="1168"/>
      <c r="DQ44" s="1168"/>
      <c r="DR44" s="1168"/>
      <c r="DS44" s="1168"/>
      <c r="DT44" s="1168"/>
      <c r="DU44" s="1168"/>
      <c r="DV44" s="1168"/>
      <c r="DW44" s="1168"/>
      <c r="DX44" s="1168"/>
      <c r="DY44" s="1168"/>
      <c r="DZ44" s="1168"/>
      <c r="EA44" s="1168"/>
      <c r="EB44" s="1168"/>
      <c r="EC44" s="1168"/>
      <c r="ED44" s="1168"/>
      <c r="EE44" s="1168"/>
      <c r="EF44" s="1168"/>
      <c r="EG44" s="1168"/>
      <c r="EH44" s="1168"/>
      <c r="EI44" s="1170"/>
      <c r="EJ44" s="1170"/>
      <c r="EK44" s="1170"/>
      <c r="EL44" s="1170"/>
      <c r="EM44" s="1170"/>
      <c r="EN44" s="1170"/>
      <c r="EO44" s="1170"/>
      <c r="EP44" s="1170"/>
      <c r="EQ44" s="1170"/>
      <c r="ER44" s="1170"/>
      <c r="ES44" s="1333"/>
      <c r="ET44" s="1333"/>
      <c r="EU44" s="1333"/>
      <c r="EV44" s="1333"/>
      <c r="EW44" s="1333"/>
      <c r="EX44" s="1333"/>
      <c r="EY44" s="1333"/>
      <c r="EZ44" s="1333"/>
      <c r="FA44" s="1333"/>
      <c r="FB44" s="1333"/>
      <c r="FC44" s="1333"/>
      <c r="FD44" s="1333"/>
      <c r="FE44" s="1333"/>
      <c r="FF44" s="1333"/>
      <c r="FG44" s="1333"/>
      <c r="FH44" s="1333"/>
      <c r="FI44" s="1333"/>
      <c r="FJ44" s="1333"/>
      <c r="FK44" s="1333"/>
      <c r="FL44" s="1333"/>
      <c r="FM44" s="1333"/>
      <c r="FN44" s="1333"/>
      <c r="FO44" s="1333"/>
      <c r="FP44" s="1333"/>
      <c r="FQ44" s="1333"/>
      <c r="FR44" s="1333"/>
      <c r="FS44" s="1333"/>
      <c r="FT44" s="1333"/>
      <c r="FU44" s="1333"/>
      <c r="FV44" s="1333"/>
      <c r="FW44" s="1333"/>
      <c r="FX44" s="1333"/>
      <c r="FY44" s="1333"/>
      <c r="FZ44" s="1333"/>
      <c r="GA44" s="1333"/>
      <c r="GB44" s="1333"/>
      <c r="GC44" s="1333"/>
      <c r="GD44" s="1333"/>
      <c r="GE44" s="1333"/>
      <c r="GF44" s="1333"/>
      <c r="GG44" s="1333"/>
      <c r="GH44" s="1333"/>
      <c r="GI44" s="1333"/>
      <c r="GJ44" s="1333"/>
      <c r="GK44" s="1333"/>
      <c r="GL44" s="1333"/>
      <c r="GM44" s="1333"/>
      <c r="GN44" s="1333"/>
      <c r="GO44" s="1333"/>
      <c r="GP44" s="1333"/>
      <c r="GQ44" s="1333"/>
      <c r="GR44" s="1333"/>
      <c r="GS44" s="1333"/>
      <c r="GT44" s="1333"/>
      <c r="GU44" s="1333"/>
      <c r="GV44" s="1333"/>
      <c r="GW44" s="1333"/>
      <c r="GX44" s="1333"/>
    </row>
    <row r="45" spans="1:206" s="607" customFormat="1">
      <c r="A45" s="607">
        <f t="shared" si="0"/>
        <v>1974</v>
      </c>
      <c r="B45" s="607">
        <f t="shared" si="1"/>
        <v>1</v>
      </c>
      <c r="C45" s="1173">
        <v>27030</v>
      </c>
      <c r="D45" s="1709"/>
      <c r="E45" s="1117"/>
      <c r="F45" s="1117"/>
      <c r="G45" s="1117"/>
      <c r="H45" s="1117"/>
      <c r="I45" s="959">
        <v>87.035677981824279</v>
      </c>
      <c r="J45" s="959">
        <v>129.5090909091</v>
      </c>
      <c r="K45" s="960"/>
      <c r="L45" s="1121"/>
      <c r="M45" s="916"/>
      <c r="N45" s="916"/>
      <c r="O45" s="1332"/>
      <c r="P45" s="1332"/>
      <c r="Q45" s="1332"/>
      <c r="R45" s="1332"/>
      <c r="S45" s="1332"/>
      <c r="T45" s="1332"/>
      <c r="U45" s="1120"/>
      <c r="V45" s="1120"/>
      <c r="W45" s="1120"/>
      <c r="X45" s="1120"/>
      <c r="Y45" s="1119"/>
      <c r="Z45" s="1119"/>
      <c r="AA45" s="1119"/>
      <c r="AB45" s="1119"/>
      <c r="AC45" s="1178"/>
      <c r="AD45" s="1178"/>
      <c r="AE45" s="1178"/>
      <c r="AF45" s="1178"/>
      <c r="AG45" s="1178"/>
      <c r="AH45" s="1178"/>
      <c r="AI45" s="1178"/>
      <c r="AJ45" s="1178"/>
      <c r="AK45" s="919"/>
      <c r="AL45" s="1104"/>
      <c r="AM45" s="919"/>
      <c r="AN45" s="1710"/>
      <c r="AO45" s="919"/>
      <c r="AP45" s="919"/>
      <c r="AS45" s="1167"/>
      <c r="AT45" s="1167"/>
      <c r="AU45" s="1168"/>
      <c r="AV45" s="1168"/>
      <c r="AW45" s="1169"/>
      <c r="AX45" s="1169"/>
      <c r="AY45" s="1169"/>
      <c r="AZ45" s="1169"/>
      <c r="BA45" s="1799" t="s">
        <v>0</v>
      </c>
      <c r="BB45" s="1802">
        <v>2012</v>
      </c>
      <c r="BC45" s="1799" t="s">
        <v>15</v>
      </c>
      <c r="BD45" s="1799">
        <v>1</v>
      </c>
      <c r="BE45" s="1800">
        <v>772399703</v>
      </c>
      <c r="BF45" s="1801">
        <v>0.26300000000000001</v>
      </c>
      <c r="BG45" s="1799"/>
      <c r="BH45" s="1799" t="s">
        <v>0</v>
      </c>
      <c r="BI45" s="1799" t="s">
        <v>317</v>
      </c>
      <c r="BJ45" s="1799" t="s">
        <v>15</v>
      </c>
      <c r="BK45" s="1799">
        <v>1</v>
      </c>
      <c r="BL45" s="1800">
        <v>619278559</v>
      </c>
      <c r="BM45" s="1801">
        <v>0.187</v>
      </c>
      <c r="BN45" s="1799">
        <v>2012</v>
      </c>
      <c r="BO45" s="1684"/>
      <c r="BP45" s="1696"/>
      <c r="BQ45" s="1169"/>
      <c r="BR45" s="1169"/>
      <c r="BS45" s="1169"/>
      <c r="BT45" s="1169"/>
      <c r="BU45" s="1169"/>
      <c r="BV45" s="1169"/>
      <c r="BW45" s="1169"/>
      <c r="BX45" s="1169"/>
      <c r="BY45" s="1169"/>
      <c r="BZ45" s="1169"/>
      <c r="CA45" s="1169"/>
      <c r="CB45" s="1169"/>
      <c r="CC45" s="1169"/>
      <c r="CD45" s="1169"/>
      <c r="CE45" s="1169"/>
      <c r="CF45" s="1169"/>
      <c r="CG45" s="1169"/>
      <c r="CH45" s="1169"/>
      <c r="CI45" s="1169"/>
      <c r="CJ45" s="1169"/>
      <c r="CK45" s="1169"/>
      <c r="CL45" s="1169"/>
      <c r="CM45" s="1169"/>
      <c r="CN45" s="1169"/>
      <c r="CO45" s="1169"/>
      <c r="CP45" s="1169"/>
      <c r="CQ45" s="1169"/>
      <c r="CR45" s="1169"/>
      <c r="CS45" s="1169"/>
      <c r="CT45" s="1169"/>
      <c r="CU45" s="1169"/>
      <c r="CV45" s="1169"/>
      <c r="CW45" s="1169"/>
      <c r="CX45" s="1169"/>
      <c r="CY45" s="1169"/>
      <c r="CZ45" s="1169"/>
      <c r="DA45" s="1168"/>
      <c r="DB45" s="1168"/>
      <c r="DC45" s="1168"/>
      <c r="DD45" s="1168"/>
      <c r="DE45" s="1168"/>
      <c r="DF45" s="1168"/>
      <c r="DG45" s="1168"/>
      <c r="DH45" s="1168"/>
      <c r="DI45" s="1168"/>
      <c r="DJ45" s="1168"/>
      <c r="DK45" s="1168"/>
      <c r="DL45" s="1168"/>
      <c r="DM45" s="1168"/>
      <c r="DN45" s="1168"/>
      <c r="DO45" s="1168"/>
      <c r="DP45" s="1168"/>
      <c r="DQ45" s="1168"/>
      <c r="DR45" s="1168"/>
      <c r="DS45" s="1168"/>
      <c r="DT45" s="1168"/>
      <c r="DU45" s="1168"/>
      <c r="DV45" s="1168"/>
      <c r="DW45" s="1168"/>
      <c r="DX45" s="1168"/>
      <c r="DY45" s="1168"/>
      <c r="DZ45" s="1168"/>
      <c r="EA45" s="1168"/>
      <c r="EB45" s="1168"/>
      <c r="EC45" s="1168"/>
      <c r="ED45" s="1168"/>
      <c r="EE45" s="1168"/>
      <c r="EF45" s="1168"/>
      <c r="EG45" s="1168"/>
      <c r="EH45" s="1168"/>
      <c r="EI45" s="1170"/>
      <c r="EJ45" s="1170"/>
      <c r="EK45" s="1170"/>
      <c r="EL45" s="1170"/>
      <c r="EM45" s="1170"/>
      <c r="EN45" s="1170"/>
      <c r="EO45" s="1170"/>
      <c r="EP45" s="1170"/>
      <c r="EQ45" s="1170"/>
      <c r="ER45" s="1170"/>
      <c r="ES45" s="1333"/>
      <c r="ET45" s="1333"/>
      <c r="EU45" s="1333"/>
      <c r="EV45" s="1333"/>
      <c r="EW45" s="1333"/>
      <c r="EX45" s="1333"/>
      <c r="EY45" s="1333"/>
      <c r="EZ45" s="1333"/>
      <c r="FA45" s="1333"/>
      <c r="FB45" s="1333"/>
      <c r="FC45" s="1333"/>
      <c r="FD45" s="1333"/>
      <c r="FE45" s="1333"/>
      <c r="FF45" s="1333"/>
      <c r="FG45" s="1333"/>
      <c r="FH45" s="1333"/>
      <c r="FI45" s="1333"/>
      <c r="FJ45" s="1333"/>
      <c r="FK45" s="1333"/>
      <c r="FL45" s="1333"/>
      <c r="FM45" s="1333"/>
      <c r="FN45" s="1333"/>
      <c r="FO45" s="1333"/>
      <c r="FP45" s="1333"/>
      <c r="FQ45" s="1333"/>
      <c r="FR45" s="1333"/>
      <c r="FS45" s="1333"/>
      <c r="FT45" s="1333"/>
      <c r="FU45" s="1333"/>
      <c r="FV45" s="1333"/>
      <c r="FW45" s="1333"/>
      <c r="FX45" s="1333"/>
      <c r="FY45" s="1333"/>
      <c r="FZ45" s="1333"/>
      <c r="GA45" s="1333"/>
      <c r="GB45" s="1333"/>
      <c r="GC45" s="1333"/>
      <c r="GD45" s="1333"/>
      <c r="GE45" s="1333"/>
      <c r="GF45" s="1333"/>
      <c r="GG45" s="1333"/>
      <c r="GH45" s="1333"/>
      <c r="GI45" s="1333"/>
      <c r="GJ45" s="1333"/>
      <c r="GK45" s="1333"/>
      <c r="GL45" s="1333"/>
      <c r="GM45" s="1333"/>
      <c r="GN45" s="1333"/>
      <c r="GO45" s="1333"/>
      <c r="GP45" s="1333"/>
      <c r="GQ45" s="1333"/>
      <c r="GR45" s="1333"/>
      <c r="GS45" s="1333"/>
      <c r="GT45" s="1333"/>
      <c r="GU45" s="1333"/>
      <c r="GV45" s="1333"/>
      <c r="GW45" s="1333"/>
      <c r="GX45" s="1333"/>
    </row>
    <row r="46" spans="1:206" s="607" customFormat="1">
      <c r="A46" s="607">
        <f t="shared" si="0"/>
        <v>1974</v>
      </c>
      <c r="B46" s="607">
        <f t="shared" si="1"/>
        <v>1</v>
      </c>
      <c r="C46" s="1173">
        <v>27061</v>
      </c>
      <c r="D46" s="957"/>
      <c r="E46" s="920"/>
      <c r="F46" s="920"/>
      <c r="G46" s="920"/>
      <c r="H46" s="920"/>
      <c r="I46" s="954">
        <v>101.62528133945246</v>
      </c>
      <c r="J46" s="954">
        <v>151.21842105260001</v>
      </c>
      <c r="K46" s="954"/>
      <c r="L46" s="920"/>
      <c r="M46" s="917"/>
      <c r="N46" s="917"/>
      <c r="O46" s="1334"/>
      <c r="P46" s="1334"/>
      <c r="Q46" s="1334"/>
      <c r="R46" s="1334"/>
      <c r="S46" s="1334"/>
      <c r="T46" s="1334"/>
      <c r="U46" s="920"/>
      <c r="V46" s="920"/>
      <c r="W46" s="920"/>
      <c r="X46" s="920"/>
      <c r="Y46" s="920"/>
      <c r="Z46" s="920"/>
      <c r="AA46" s="920"/>
      <c r="AB46" s="920"/>
      <c r="AC46" s="920"/>
      <c r="AD46" s="920"/>
      <c r="AE46" s="920"/>
      <c r="AF46" s="920"/>
      <c r="AG46" s="920"/>
      <c r="AH46" s="920"/>
      <c r="AI46" s="920"/>
      <c r="AJ46" s="920"/>
      <c r="AK46" s="920"/>
      <c r="AL46" s="1105"/>
      <c r="AM46" s="920"/>
      <c r="AN46" s="1711"/>
      <c r="AO46" s="920"/>
      <c r="AP46" s="920"/>
      <c r="AS46" s="1167"/>
      <c r="AT46" s="1167"/>
      <c r="AU46" s="1168"/>
      <c r="AV46" s="1168"/>
      <c r="AW46" s="1169"/>
      <c r="AX46" s="1169"/>
      <c r="AY46" s="1169"/>
      <c r="AZ46" s="1169"/>
      <c r="BA46" s="1799" t="s">
        <v>0</v>
      </c>
      <c r="BB46" s="1802">
        <v>2012</v>
      </c>
      <c r="BC46" s="1799" t="s">
        <v>29</v>
      </c>
      <c r="BD46" s="1799">
        <v>2</v>
      </c>
      <c r="BE46" s="1800">
        <v>471103226</v>
      </c>
      <c r="BF46" s="1801">
        <v>0.161</v>
      </c>
      <c r="BG46" s="1799"/>
      <c r="BH46" s="1799" t="s">
        <v>0</v>
      </c>
      <c r="BI46" s="1799" t="s">
        <v>317</v>
      </c>
      <c r="BJ46" s="1799" t="s">
        <v>29</v>
      </c>
      <c r="BK46" s="1799">
        <v>2</v>
      </c>
      <c r="BL46" s="1800">
        <v>547054759</v>
      </c>
      <c r="BM46" s="1801">
        <v>0.16500000000000001</v>
      </c>
      <c r="BN46" s="1799">
        <v>2012</v>
      </c>
      <c r="BO46" s="1684"/>
      <c r="BP46" s="1696"/>
      <c r="BQ46" s="1169"/>
      <c r="BR46" s="1169"/>
      <c r="BS46" s="1169"/>
      <c r="BT46" s="1169"/>
      <c r="BU46" s="1169"/>
      <c r="BV46" s="1169"/>
      <c r="BW46" s="1169"/>
      <c r="BX46" s="1169"/>
      <c r="BY46" s="1169"/>
      <c r="BZ46" s="1169"/>
      <c r="CA46" s="1169"/>
      <c r="CB46" s="1169"/>
      <c r="CC46" s="1169"/>
      <c r="CD46" s="1169"/>
      <c r="CE46" s="1169"/>
      <c r="CF46" s="1169"/>
      <c r="CG46" s="1169"/>
      <c r="CH46" s="1169"/>
      <c r="CI46" s="1169"/>
      <c r="CJ46" s="1169"/>
      <c r="CK46" s="1169"/>
      <c r="CL46" s="1169"/>
      <c r="CM46" s="1169"/>
      <c r="CN46" s="1169"/>
      <c r="CO46" s="1169"/>
      <c r="CP46" s="1169"/>
      <c r="CQ46" s="1169"/>
      <c r="CR46" s="1169"/>
      <c r="CS46" s="1169"/>
      <c r="CT46" s="1169"/>
      <c r="CU46" s="1169"/>
      <c r="CV46" s="1169"/>
      <c r="CW46" s="1169"/>
      <c r="CX46" s="1169"/>
      <c r="CY46" s="1169"/>
      <c r="CZ46" s="1169"/>
      <c r="DA46" s="1168"/>
      <c r="DB46" s="1168"/>
      <c r="DC46" s="1168"/>
      <c r="DD46" s="1168"/>
      <c r="DE46" s="1168"/>
      <c r="DF46" s="1168"/>
      <c r="DG46" s="1168"/>
      <c r="DH46" s="1168"/>
      <c r="DI46" s="1168"/>
      <c r="DJ46" s="1168"/>
      <c r="DK46" s="1168"/>
      <c r="DL46" s="1168"/>
      <c r="DM46" s="1168"/>
      <c r="DN46" s="1168"/>
      <c r="DO46" s="1168"/>
      <c r="DP46" s="1168"/>
      <c r="DQ46" s="1168"/>
      <c r="DR46" s="1168"/>
      <c r="DS46" s="1168"/>
      <c r="DT46" s="1168"/>
      <c r="DU46" s="1168"/>
      <c r="DV46" s="1168"/>
      <c r="DW46" s="1168"/>
      <c r="DX46" s="1168"/>
      <c r="DY46" s="1168"/>
      <c r="DZ46" s="1168"/>
      <c r="EA46" s="1168"/>
      <c r="EB46" s="1168"/>
      <c r="EC46" s="1168"/>
      <c r="ED46" s="1168"/>
      <c r="EE46" s="1168"/>
      <c r="EF46" s="1168"/>
      <c r="EG46" s="1168"/>
      <c r="EH46" s="1168"/>
      <c r="EI46" s="1170"/>
      <c r="EJ46" s="1170"/>
      <c r="EK46" s="1170"/>
      <c r="EL46" s="1170"/>
      <c r="EM46" s="1170"/>
      <c r="EN46" s="1170"/>
      <c r="EO46" s="1170"/>
      <c r="EP46" s="1170"/>
      <c r="EQ46" s="1170"/>
      <c r="ER46" s="1170"/>
      <c r="ES46" s="1333"/>
      <c r="ET46" s="1333"/>
      <c r="EU46" s="1333"/>
      <c r="EV46" s="1333"/>
      <c r="EW46" s="1333"/>
      <c r="EX46" s="1333"/>
      <c r="EY46" s="1333"/>
      <c r="EZ46" s="1333"/>
      <c r="FA46" s="1333"/>
      <c r="FB46" s="1333"/>
      <c r="FC46" s="1333"/>
      <c r="FD46" s="1333"/>
      <c r="FE46" s="1333"/>
      <c r="FF46" s="1333"/>
      <c r="FG46" s="1333"/>
      <c r="FH46" s="1333"/>
      <c r="FI46" s="1333"/>
      <c r="FJ46" s="1333"/>
      <c r="FK46" s="1333"/>
      <c r="FL46" s="1333"/>
      <c r="FM46" s="1333"/>
      <c r="FN46" s="1333"/>
      <c r="FO46" s="1333"/>
      <c r="FP46" s="1333"/>
      <c r="FQ46" s="1333"/>
      <c r="FR46" s="1333"/>
      <c r="FS46" s="1333"/>
      <c r="FT46" s="1333"/>
      <c r="FU46" s="1333"/>
      <c r="FV46" s="1333"/>
      <c r="FW46" s="1333"/>
      <c r="FX46" s="1333"/>
      <c r="FY46" s="1333"/>
      <c r="FZ46" s="1333"/>
      <c r="GA46" s="1333"/>
      <c r="GB46" s="1333"/>
      <c r="GC46" s="1333"/>
      <c r="GD46" s="1333"/>
      <c r="GE46" s="1333"/>
      <c r="GF46" s="1333"/>
      <c r="GG46" s="1333"/>
      <c r="GH46" s="1333"/>
      <c r="GI46" s="1333"/>
      <c r="GJ46" s="1333"/>
      <c r="GK46" s="1333"/>
      <c r="GL46" s="1333"/>
      <c r="GM46" s="1333"/>
      <c r="GN46" s="1333"/>
      <c r="GO46" s="1333"/>
      <c r="GP46" s="1333"/>
      <c r="GQ46" s="1333"/>
      <c r="GR46" s="1333"/>
      <c r="GS46" s="1333"/>
      <c r="GT46" s="1333"/>
      <c r="GU46" s="1333"/>
      <c r="GV46" s="1333"/>
      <c r="GW46" s="1333"/>
      <c r="GX46" s="1333"/>
    </row>
    <row r="47" spans="1:206" s="607" customFormat="1">
      <c r="A47" s="607">
        <f t="shared" si="0"/>
        <v>1974</v>
      </c>
      <c r="B47" s="607">
        <f t="shared" si="1"/>
        <v>1</v>
      </c>
      <c r="C47" s="1173">
        <v>27089</v>
      </c>
      <c r="D47" s="1709"/>
      <c r="E47" s="1117"/>
      <c r="F47" s="1117"/>
      <c r="G47" s="1117"/>
      <c r="H47" s="1117"/>
      <c r="I47" s="959">
        <v>113.29204887859061</v>
      </c>
      <c r="J47" s="959">
        <v>168.57857142859999</v>
      </c>
      <c r="K47" s="960"/>
      <c r="L47" s="1121"/>
      <c r="M47" s="916"/>
      <c r="N47" s="916"/>
      <c r="O47" s="1332"/>
      <c r="P47" s="1332"/>
      <c r="Q47" s="1332"/>
      <c r="R47" s="1332"/>
      <c r="S47" s="1332"/>
      <c r="T47" s="1332"/>
      <c r="U47" s="1120"/>
      <c r="V47" s="1120"/>
      <c r="W47" s="1120"/>
      <c r="X47" s="1120"/>
      <c r="Y47" s="1119"/>
      <c r="Z47" s="1119"/>
      <c r="AA47" s="1119"/>
      <c r="AB47" s="1119"/>
      <c r="AC47" s="1178"/>
      <c r="AD47" s="1178"/>
      <c r="AE47" s="1178"/>
      <c r="AF47" s="1178"/>
      <c r="AG47" s="1178"/>
      <c r="AH47" s="1178"/>
      <c r="AI47" s="1178"/>
      <c r="AJ47" s="1178"/>
      <c r="AK47" s="919"/>
      <c r="AL47" s="1104"/>
      <c r="AM47" s="919"/>
      <c r="AN47" s="1710"/>
      <c r="AO47" s="919"/>
      <c r="AP47" s="919"/>
      <c r="AS47" s="1167"/>
      <c r="AT47" s="1167"/>
      <c r="AU47" s="1168"/>
      <c r="AV47" s="1168"/>
      <c r="AW47" s="1169"/>
      <c r="AX47" s="1169"/>
      <c r="AY47" s="1169"/>
      <c r="AZ47" s="1169"/>
      <c r="BA47" s="1799" t="s">
        <v>0</v>
      </c>
      <c r="BB47" s="1802">
        <v>2012</v>
      </c>
      <c r="BC47" s="1799" t="s">
        <v>27</v>
      </c>
      <c r="BD47" s="1799">
        <v>3</v>
      </c>
      <c r="BE47" s="1800">
        <v>351151151</v>
      </c>
      <c r="BF47" s="1801">
        <v>0.12</v>
      </c>
      <c r="BG47" s="1799"/>
      <c r="BH47" s="1799" t="s">
        <v>0</v>
      </c>
      <c r="BI47" s="1799" t="s">
        <v>317</v>
      </c>
      <c r="BJ47" s="1799" t="s">
        <v>27</v>
      </c>
      <c r="BK47" s="1799">
        <v>3</v>
      </c>
      <c r="BL47" s="1800">
        <v>371607646</v>
      </c>
      <c r="BM47" s="1801">
        <v>0.112</v>
      </c>
      <c r="BN47" s="1799">
        <v>2012</v>
      </c>
      <c r="BO47" s="1684"/>
      <c r="BP47" s="1697">
        <f>'Alumina and Bauxite - Prices'!A47</f>
        <v>44593</v>
      </c>
      <c r="BQ47" s="1169"/>
      <c r="BR47" s="1169"/>
      <c r="BS47" s="1169"/>
      <c r="BT47" s="1169"/>
      <c r="BU47" s="1169"/>
      <c r="BV47" s="1169"/>
      <c r="BW47" s="1169"/>
      <c r="BX47" s="1169"/>
      <c r="BY47" s="1169"/>
      <c r="BZ47" s="1169"/>
      <c r="CA47" s="1169"/>
      <c r="CB47" s="1169"/>
      <c r="CC47" s="1169"/>
      <c r="CD47" s="1169"/>
      <c r="CE47" s="1169"/>
      <c r="CF47" s="1169"/>
      <c r="CG47" s="1169"/>
      <c r="CH47" s="1169"/>
      <c r="CI47" s="1169"/>
      <c r="CJ47" s="1169"/>
      <c r="CK47" s="1169"/>
      <c r="CL47" s="1169"/>
      <c r="CM47" s="1169"/>
      <c r="CN47" s="1169"/>
      <c r="CO47" s="1169"/>
      <c r="CP47" s="1169"/>
      <c r="CQ47" s="1169"/>
      <c r="CR47" s="1169"/>
      <c r="CS47" s="1169"/>
      <c r="CT47" s="1169"/>
      <c r="CU47" s="1169"/>
      <c r="CV47" s="1169"/>
      <c r="CW47" s="1169"/>
      <c r="CX47" s="1169"/>
      <c r="CY47" s="1169"/>
      <c r="CZ47" s="1169"/>
      <c r="DA47" s="1168"/>
      <c r="DB47" s="1168"/>
      <c r="DC47" s="1168"/>
      <c r="DD47" s="1168"/>
      <c r="DE47" s="1168"/>
      <c r="DF47" s="1168"/>
      <c r="DG47" s="1168"/>
      <c r="DH47" s="1168"/>
      <c r="DI47" s="1168"/>
      <c r="DJ47" s="1168"/>
      <c r="DK47" s="1168"/>
      <c r="DL47" s="1168"/>
      <c r="DM47" s="1168"/>
      <c r="DN47" s="1168"/>
      <c r="DO47" s="1168"/>
      <c r="DP47" s="1168"/>
      <c r="DQ47" s="1168"/>
      <c r="DR47" s="1168"/>
      <c r="DS47" s="1168"/>
      <c r="DT47" s="1168"/>
      <c r="DU47" s="1168"/>
      <c r="DV47" s="1168"/>
      <c r="DW47" s="1168"/>
      <c r="DX47" s="1168"/>
      <c r="DY47" s="1168"/>
      <c r="DZ47" s="1168"/>
      <c r="EA47" s="1168"/>
      <c r="EB47" s="1168"/>
      <c r="EC47" s="1168"/>
      <c r="ED47" s="1168"/>
      <c r="EE47" s="1168"/>
      <c r="EF47" s="1168"/>
      <c r="EG47" s="1168"/>
      <c r="EH47" s="1168"/>
      <c r="EI47" s="1170"/>
      <c r="EJ47" s="1170"/>
      <c r="EK47" s="1170"/>
      <c r="EL47" s="1170"/>
      <c r="EM47" s="1170"/>
      <c r="EN47" s="1170"/>
      <c r="EO47" s="1170"/>
      <c r="EP47" s="1170"/>
      <c r="EQ47" s="1170"/>
      <c r="ER47" s="1170"/>
      <c r="ES47" s="1333"/>
      <c r="ET47" s="1333"/>
      <c r="EU47" s="1333"/>
      <c r="EV47" s="1333"/>
      <c r="EW47" s="1333"/>
      <c r="EX47" s="1333"/>
      <c r="EY47" s="1333"/>
      <c r="EZ47" s="1333"/>
      <c r="FA47" s="1333"/>
      <c r="FB47" s="1333"/>
      <c r="FC47" s="1333"/>
      <c r="FD47" s="1333"/>
      <c r="FE47" s="1333"/>
      <c r="FF47" s="1333"/>
      <c r="FG47" s="1333"/>
      <c r="FH47" s="1333"/>
      <c r="FI47" s="1333"/>
      <c r="FJ47" s="1333"/>
      <c r="FK47" s="1333"/>
      <c r="FL47" s="1333"/>
      <c r="FM47" s="1333"/>
      <c r="FN47" s="1333"/>
      <c r="FO47" s="1333"/>
      <c r="FP47" s="1333"/>
      <c r="FQ47" s="1333"/>
      <c r="FR47" s="1333"/>
      <c r="FS47" s="1333"/>
      <c r="FT47" s="1333"/>
      <c r="FU47" s="1333"/>
      <c r="FV47" s="1333"/>
      <c r="FW47" s="1333"/>
      <c r="FX47" s="1333"/>
      <c r="FY47" s="1333"/>
      <c r="FZ47" s="1333"/>
      <c r="GA47" s="1333"/>
      <c r="GB47" s="1333"/>
      <c r="GC47" s="1333"/>
      <c r="GD47" s="1333"/>
      <c r="GE47" s="1333"/>
      <c r="GF47" s="1333"/>
      <c r="GG47" s="1333"/>
      <c r="GH47" s="1333"/>
      <c r="GI47" s="1333"/>
      <c r="GJ47" s="1333"/>
      <c r="GK47" s="1333"/>
      <c r="GL47" s="1333"/>
      <c r="GM47" s="1333"/>
      <c r="GN47" s="1333"/>
      <c r="GO47" s="1333"/>
      <c r="GP47" s="1333"/>
      <c r="GQ47" s="1333"/>
      <c r="GR47" s="1333"/>
      <c r="GS47" s="1333"/>
      <c r="GT47" s="1333"/>
      <c r="GU47" s="1333"/>
      <c r="GV47" s="1333"/>
      <c r="GW47" s="1333"/>
      <c r="GX47" s="1333"/>
    </row>
    <row r="48" spans="1:206" s="607" customFormat="1">
      <c r="A48" s="607">
        <f t="shared" si="0"/>
        <v>1974</v>
      </c>
      <c r="B48" s="607">
        <f t="shared" si="1"/>
        <v>2</v>
      </c>
      <c r="C48" s="1173">
        <v>27120</v>
      </c>
      <c r="D48" s="957"/>
      <c r="E48" s="920"/>
      <c r="F48" s="920"/>
      <c r="G48" s="920"/>
      <c r="H48" s="920"/>
      <c r="I48" s="954">
        <v>115.67204115999999</v>
      </c>
      <c r="J48" s="954">
        <v>172.12</v>
      </c>
      <c r="K48" s="954"/>
      <c r="L48" s="920"/>
      <c r="M48" s="917"/>
      <c r="N48" s="917"/>
      <c r="O48" s="1334"/>
      <c r="P48" s="1334"/>
      <c r="Q48" s="1334"/>
      <c r="R48" s="1334"/>
      <c r="S48" s="1334"/>
      <c r="T48" s="1334"/>
      <c r="U48" s="920"/>
      <c r="V48" s="920"/>
      <c r="W48" s="920"/>
      <c r="X48" s="920"/>
      <c r="Y48" s="920"/>
      <c r="Z48" s="920"/>
      <c r="AA48" s="920"/>
      <c r="AB48" s="920"/>
      <c r="AC48" s="920"/>
      <c r="AD48" s="920"/>
      <c r="AE48" s="920"/>
      <c r="AF48" s="920"/>
      <c r="AG48" s="920"/>
      <c r="AH48" s="920"/>
      <c r="AI48" s="920"/>
      <c r="AJ48" s="920"/>
      <c r="AK48" s="920"/>
      <c r="AL48" s="1105"/>
      <c r="AM48" s="920"/>
      <c r="AN48" s="1711"/>
      <c r="AO48" s="920"/>
      <c r="AP48" s="920"/>
      <c r="AS48" s="1167"/>
      <c r="AT48" s="1167"/>
      <c r="AU48" s="1168"/>
      <c r="AV48" s="1168"/>
      <c r="AW48" s="1169"/>
      <c r="AX48" s="1169"/>
      <c r="AY48" s="1169"/>
      <c r="AZ48" s="1169"/>
      <c r="BA48" s="1799" t="s">
        <v>0</v>
      </c>
      <c r="BB48" s="1802">
        <v>2012</v>
      </c>
      <c r="BC48" s="1799" t="s">
        <v>22</v>
      </c>
      <c r="BD48" s="1799">
        <v>4</v>
      </c>
      <c r="BE48" s="1800">
        <v>260648271</v>
      </c>
      <c r="BF48" s="1801">
        <v>8.8999999999999996E-2</v>
      </c>
      <c r="BG48" s="1799"/>
      <c r="BH48" s="1799" t="s">
        <v>0</v>
      </c>
      <c r="BI48" s="1799" t="s">
        <v>317</v>
      </c>
      <c r="BJ48" s="1799" t="s">
        <v>18</v>
      </c>
      <c r="BK48" s="1799">
        <v>4</v>
      </c>
      <c r="BL48" s="1800">
        <v>317770877</v>
      </c>
      <c r="BM48" s="1801">
        <v>9.6000000000000002E-2</v>
      </c>
      <c r="BN48" s="1799">
        <v>2012</v>
      </c>
      <c r="BO48" s="1684"/>
      <c r="BP48" s="1696"/>
      <c r="BQ48" s="1169"/>
      <c r="BR48" s="1169"/>
      <c r="BS48" s="1169"/>
      <c r="BT48" s="1169"/>
      <c r="BU48" s="1169"/>
      <c r="BV48" s="1169"/>
      <c r="BW48" s="1169"/>
      <c r="BX48" s="1169"/>
      <c r="BY48" s="1169"/>
      <c r="BZ48" s="1169"/>
      <c r="CA48" s="1169"/>
      <c r="CB48" s="1169"/>
      <c r="CC48" s="1169"/>
      <c r="CD48" s="1169"/>
      <c r="CE48" s="1169"/>
      <c r="CF48" s="1169"/>
      <c r="CG48" s="1169"/>
      <c r="CH48" s="1169"/>
      <c r="CI48" s="1169"/>
      <c r="CJ48" s="1169"/>
      <c r="CK48" s="1169"/>
      <c r="CL48" s="1169"/>
      <c r="CM48" s="1169"/>
      <c r="CN48" s="1169"/>
      <c r="CO48" s="1169"/>
      <c r="CP48" s="1169"/>
      <c r="CQ48" s="1169"/>
      <c r="CR48" s="1169"/>
      <c r="CS48" s="1169"/>
      <c r="CT48" s="1169"/>
      <c r="CU48" s="1169"/>
      <c r="CV48" s="1169"/>
      <c r="CW48" s="1169"/>
      <c r="CX48" s="1169"/>
      <c r="CY48" s="1169"/>
      <c r="CZ48" s="1169"/>
      <c r="DA48" s="1168"/>
      <c r="DB48" s="1168"/>
      <c r="DC48" s="1168"/>
      <c r="DD48" s="1168"/>
      <c r="DE48" s="1168"/>
      <c r="DF48" s="1168"/>
      <c r="DG48" s="1168"/>
      <c r="DH48" s="1168"/>
      <c r="DI48" s="1168"/>
      <c r="DJ48" s="1168"/>
      <c r="DK48" s="1168"/>
      <c r="DL48" s="1168"/>
      <c r="DM48" s="1168"/>
      <c r="DN48" s="1168"/>
      <c r="DO48" s="1168"/>
      <c r="DP48" s="1168"/>
      <c r="DQ48" s="1168"/>
      <c r="DR48" s="1168"/>
      <c r="DS48" s="1168"/>
      <c r="DT48" s="1168"/>
      <c r="DU48" s="1168"/>
      <c r="DV48" s="1168"/>
      <c r="DW48" s="1168"/>
      <c r="DX48" s="1168"/>
      <c r="DY48" s="1168"/>
      <c r="DZ48" s="1168"/>
      <c r="EA48" s="1168"/>
      <c r="EB48" s="1168"/>
      <c r="EC48" s="1168"/>
      <c r="ED48" s="1168"/>
      <c r="EE48" s="1168"/>
      <c r="EF48" s="1168"/>
      <c r="EG48" s="1168"/>
      <c r="EH48" s="1168"/>
      <c r="EI48" s="1170"/>
      <c r="EJ48" s="1170"/>
      <c r="EK48" s="1170"/>
      <c r="EL48" s="1170"/>
      <c r="EM48" s="1170"/>
      <c r="EN48" s="1170"/>
      <c r="EO48" s="1170"/>
      <c r="EP48" s="1170"/>
      <c r="EQ48" s="1170"/>
      <c r="ER48" s="1170"/>
      <c r="ES48" s="1333"/>
      <c r="ET48" s="1333"/>
      <c r="EU48" s="1333"/>
      <c r="EV48" s="1333"/>
      <c r="EW48" s="1333"/>
      <c r="EX48" s="1333"/>
      <c r="EY48" s="1333"/>
      <c r="EZ48" s="1333"/>
      <c r="FA48" s="1333"/>
      <c r="FB48" s="1333"/>
      <c r="FC48" s="1333"/>
      <c r="FD48" s="1333"/>
      <c r="FE48" s="1333"/>
      <c r="FF48" s="1333"/>
      <c r="FG48" s="1333"/>
      <c r="FH48" s="1333"/>
      <c r="FI48" s="1333"/>
      <c r="FJ48" s="1333"/>
      <c r="FK48" s="1333"/>
      <c r="FL48" s="1333"/>
      <c r="FM48" s="1333"/>
      <c r="FN48" s="1333"/>
      <c r="FO48" s="1333"/>
      <c r="FP48" s="1333"/>
      <c r="FQ48" s="1333"/>
      <c r="FR48" s="1333"/>
      <c r="FS48" s="1333"/>
      <c r="FT48" s="1333"/>
      <c r="FU48" s="1333"/>
      <c r="FV48" s="1333"/>
      <c r="FW48" s="1333"/>
      <c r="FX48" s="1333"/>
      <c r="FY48" s="1333"/>
      <c r="FZ48" s="1333"/>
      <c r="GA48" s="1333"/>
      <c r="GB48" s="1333"/>
      <c r="GC48" s="1333"/>
      <c r="GD48" s="1333"/>
      <c r="GE48" s="1333"/>
      <c r="GF48" s="1333"/>
      <c r="GG48" s="1333"/>
      <c r="GH48" s="1333"/>
      <c r="GI48" s="1333"/>
      <c r="GJ48" s="1333"/>
      <c r="GK48" s="1333"/>
      <c r="GL48" s="1333"/>
      <c r="GM48" s="1333"/>
      <c r="GN48" s="1333"/>
      <c r="GO48" s="1333"/>
      <c r="GP48" s="1333"/>
      <c r="GQ48" s="1333"/>
      <c r="GR48" s="1333"/>
      <c r="GS48" s="1333"/>
      <c r="GT48" s="1333"/>
      <c r="GU48" s="1333"/>
      <c r="GV48" s="1333"/>
      <c r="GW48" s="1333"/>
      <c r="GX48" s="1333"/>
    </row>
    <row r="49" spans="1:206" s="607" customFormat="1">
      <c r="A49" s="607">
        <f t="shared" si="0"/>
        <v>1974</v>
      </c>
      <c r="B49" s="607">
        <f t="shared" si="1"/>
        <v>2</v>
      </c>
      <c r="C49" s="1173">
        <v>27150</v>
      </c>
      <c r="D49" s="1709"/>
      <c r="E49" s="1117"/>
      <c r="F49" s="1117"/>
      <c r="G49" s="1117"/>
      <c r="H49" s="1117"/>
      <c r="I49" s="959">
        <v>109.50940684999999</v>
      </c>
      <c r="J49" s="959">
        <v>162.94999999999999</v>
      </c>
      <c r="K49" s="960"/>
      <c r="L49" s="1121"/>
      <c r="M49" s="916"/>
      <c r="N49" s="916"/>
      <c r="O49" s="1332"/>
      <c r="P49" s="1332"/>
      <c r="Q49" s="1332"/>
      <c r="R49" s="1332"/>
      <c r="S49" s="1332"/>
      <c r="T49" s="1332"/>
      <c r="U49" s="1120"/>
      <c r="V49" s="1120"/>
      <c r="W49" s="1120"/>
      <c r="X49" s="1120"/>
      <c r="Y49" s="1119"/>
      <c r="Z49" s="1119"/>
      <c r="AA49" s="1119"/>
      <c r="AB49" s="1119"/>
      <c r="AC49" s="1178"/>
      <c r="AD49" s="1178"/>
      <c r="AE49" s="1178"/>
      <c r="AF49" s="1178"/>
      <c r="AG49" s="1178"/>
      <c r="AH49" s="1178"/>
      <c r="AI49" s="1178"/>
      <c r="AJ49" s="1178"/>
      <c r="AK49" s="919"/>
      <c r="AL49" s="1104"/>
      <c r="AM49" s="919"/>
      <c r="AN49" s="1710"/>
      <c r="AO49" s="919"/>
      <c r="AP49" s="919"/>
      <c r="AS49" s="1167"/>
      <c r="AT49" s="1167"/>
      <c r="AU49" s="1168"/>
      <c r="AV49" s="1168"/>
      <c r="AW49" s="1169"/>
      <c r="AX49" s="1169"/>
      <c r="AY49" s="1169"/>
      <c r="AZ49" s="1169"/>
      <c r="BA49" s="1799" t="s">
        <v>0</v>
      </c>
      <c r="BB49" s="1802">
        <v>2012</v>
      </c>
      <c r="BC49" s="1799" t="s">
        <v>18</v>
      </c>
      <c r="BD49" s="1799">
        <v>5</v>
      </c>
      <c r="BE49" s="1800">
        <v>196396052</v>
      </c>
      <c r="BF49" s="1801">
        <v>6.7000000000000004E-2</v>
      </c>
      <c r="BG49" s="1799"/>
      <c r="BH49" s="1799" t="s">
        <v>0</v>
      </c>
      <c r="BI49" s="1799" t="s">
        <v>317</v>
      </c>
      <c r="BJ49" s="1799" t="s">
        <v>22</v>
      </c>
      <c r="BK49" s="1799">
        <v>5</v>
      </c>
      <c r="BL49" s="1800">
        <v>307159190</v>
      </c>
      <c r="BM49" s="1801">
        <v>9.2999999999999999E-2</v>
      </c>
      <c r="BN49" s="1799">
        <v>2012</v>
      </c>
      <c r="BO49" s="1684"/>
      <c r="BP49" s="1696"/>
      <c r="BQ49" s="1169"/>
      <c r="BR49" s="1169"/>
      <c r="BS49" s="1169"/>
      <c r="BT49" s="1169"/>
      <c r="BU49" s="1169"/>
      <c r="BV49" s="1169"/>
      <c r="BW49" s="1169"/>
      <c r="BX49" s="1169"/>
      <c r="BY49" s="1169"/>
      <c r="BZ49" s="1169"/>
      <c r="CA49" s="1169"/>
      <c r="CB49" s="1169"/>
      <c r="CC49" s="1169"/>
      <c r="CD49" s="1169"/>
      <c r="CE49" s="1169"/>
      <c r="CF49" s="1169"/>
      <c r="CG49" s="1169"/>
      <c r="CH49" s="1169"/>
      <c r="CI49" s="1169"/>
      <c r="CJ49" s="1169"/>
      <c r="CK49" s="1169"/>
      <c r="CL49" s="1169"/>
      <c r="CM49" s="1169"/>
      <c r="CN49" s="1169"/>
      <c r="CO49" s="1169"/>
      <c r="CP49" s="1169"/>
      <c r="CQ49" s="1169"/>
      <c r="CR49" s="1169"/>
      <c r="CS49" s="1169"/>
      <c r="CT49" s="1169"/>
      <c r="CU49" s="1169"/>
      <c r="CV49" s="1169"/>
      <c r="CW49" s="1169"/>
      <c r="CX49" s="1169"/>
      <c r="CY49" s="1169"/>
      <c r="CZ49" s="1169"/>
      <c r="DA49" s="1168"/>
      <c r="DB49" s="1168"/>
      <c r="DC49" s="1168"/>
      <c r="DD49" s="1168"/>
      <c r="DE49" s="1168"/>
      <c r="DF49" s="1168"/>
      <c r="DG49" s="1168"/>
      <c r="DH49" s="1168"/>
      <c r="DI49" s="1168"/>
      <c r="DJ49" s="1168"/>
      <c r="DK49" s="1168"/>
      <c r="DL49" s="1168"/>
      <c r="DM49" s="1168"/>
      <c r="DN49" s="1168"/>
      <c r="DO49" s="1168"/>
      <c r="DP49" s="1168"/>
      <c r="DQ49" s="1168"/>
      <c r="DR49" s="1168"/>
      <c r="DS49" s="1168"/>
      <c r="DT49" s="1168"/>
      <c r="DU49" s="1168"/>
      <c r="DV49" s="1168"/>
      <c r="DW49" s="1168"/>
      <c r="DX49" s="1168"/>
      <c r="DY49" s="1168"/>
      <c r="DZ49" s="1168"/>
      <c r="EA49" s="1168"/>
      <c r="EB49" s="1168"/>
      <c r="EC49" s="1168"/>
      <c r="ED49" s="1168"/>
      <c r="EE49" s="1168"/>
      <c r="EF49" s="1168"/>
      <c r="EG49" s="1168"/>
      <c r="EH49" s="1168"/>
      <c r="EI49" s="1170"/>
      <c r="EJ49" s="1170"/>
      <c r="EK49" s="1170"/>
      <c r="EL49" s="1170"/>
      <c r="EM49" s="1170"/>
      <c r="EN49" s="1170"/>
      <c r="EO49" s="1170"/>
      <c r="EP49" s="1170"/>
      <c r="EQ49" s="1170"/>
      <c r="ER49" s="1170"/>
      <c r="ES49" s="1333"/>
      <c r="ET49" s="1333"/>
      <c r="EU49" s="1333"/>
      <c r="EV49" s="1333"/>
      <c r="EW49" s="1333"/>
      <c r="EX49" s="1333"/>
      <c r="EY49" s="1333"/>
      <c r="EZ49" s="1333"/>
      <c r="FA49" s="1333"/>
      <c r="FB49" s="1333"/>
      <c r="FC49" s="1333"/>
      <c r="FD49" s="1333"/>
      <c r="FE49" s="1333"/>
      <c r="FF49" s="1333"/>
      <c r="FG49" s="1333"/>
      <c r="FH49" s="1333"/>
      <c r="FI49" s="1333"/>
      <c r="FJ49" s="1333"/>
      <c r="FK49" s="1333"/>
      <c r="FL49" s="1333"/>
      <c r="FM49" s="1333"/>
      <c r="FN49" s="1333"/>
      <c r="FO49" s="1333"/>
      <c r="FP49" s="1333"/>
      <c r="FQ49" s="1333"/>
      <c r="FR49" s="1333"/>
      <c r="FS49" s="1333"/>
      <c r="FT49" s="1333"/>
      <c r="FU49" s="1333"/>
      <c r="FV49" s="1333"/>
      <c r="FW49" s="1333"/>
      <c r="FX49" s="1333"/>
      <c r="FY49" s="1333"/>
      <c r="FZ49" s="1333"/>
      <c r="GA49" s="1333"/>
      <c r="GB49" s="1333"/>
      <c r="GC49" s="1333"/>
      <c r="GD49" s="1333"/>
      <c r="GE49" s="1333"/>
      <c r="GF49" s="1333"/>
      <c r="GG49" s="1333"/>
      <c r="GH49" s="1333"/>
      <c r="GI49" s="1333"/>
      <c r="GJ49" s="1333"/>
      <c r="GK49" s="1333"/>
      <c r="GL49" s="1333"/>
      <c r="GM49" s="1333"/>
      <c r="GN49" s="1333"/>
      <c r="GO49" s="1333"/>
      <c r="GP49" s="1333"/>
      <c r="GQ49" s="1333"/>
      <c r="GR49" s="1333"/>
      <c r="GS49" s="1333"/>
      <c r="GT49" s="1333"/>
      <c r="GU49" s="1333"/>
      <c r="GV49" s="1333"/>
      <c r="GW49" s="1333"/>
      <c r="GX49" s="1333"/>
    </row>
    <row r="50" spans="1:206" s="607" customFormat="1">
      <c r="A50" s="607">
        <f t="shared" si="0"/>
        <v>1974</v>
      </c>
      <c r="B50" s="607">
        <f t="shared" si="1"/>
        <v>2</v>
      </c>
      <c r="C50" s="1173">
        <v>27183</v>
      </c>
      <c r="D50" s="957"/>
      <c r="E50" s="920"/>
      <c r="F50" s="920"/>
      <c r="G50" s="920"/>
      <c r="H50" s="920"/>
      <c r="I50" s="954">
        <v>103.35181286249998</v>
      </c>
      <c r="J50" s="954">
        <v>153.78749999999999</v>
      </c>
      <c r="K50" s="954"/>
      <c r="L50" s="920"/>
      <c r="M50" s="917"/>
      <c r="N50" s="917"/>
      <c r="O50" s="1334"/>
      <c r="P50" s="1334"/>
      <c r="Q50" s="1334"/>
      <c r="R50" s="1334"/>
      <c r="S50" s="1334"/>
      <c r="T50" s="1334"/>
      <c r="U50" s="920"/>
      <c r="V50" s="920"/>
      <c r="W50" s="920"/>
      <c r="X50" s="920"/>
      <c r="Y50" s="920"/>
      <c r="Z50" s="920"/>
      <c r="AA50" s="920"/>
      <c r="AB50" s="920"/>
      <c r="AC50" s="920"/>
      <c r="AD50" s="920"/>
      <c r="AE50" s="920"/>
      <c r="AF50" s="920"/>
      <c r="AG50" s="920"/>
      <c r="AH50" s="920"/>
      <c r="AI50" s="920"/>
      <c r="AJ50" s="920"/>
      <c r="AK50" s="920"/>
      <c r="AL50" s="1105"/>
      <c r="AM50" s="920"/>
      <c r="AN50" s="1711"/>
      <c r="AO50" s="920"/>
      <c r="AP50" s="920"/>
      <c r="AS50" s="1167"/>
      <c r="AT50" s="1167"/>
      <c r="AU50" s="1168"/>
      <c r="AV50" s="1168"/>
      <c r="AW50" s="1169"/>
      <c r="AX50" s="1169"/>
      <c r="AY50" s="1169"/>
      <c r="AZ50" s="1169"/>
      <c r="BA50" s="1799" t="s">
        <v>0</v>
      </c>
      <c r="BB50" s="1802">
        <v>2012</v>
      </c>
      <c r="BC50" s="1799" t="s">
        <v>14</v>
      </c>
      <c r="BD50" s="1799">
        <v>6</v>
      </c>
      <c r="BE50" s="1800">
        <v>173942235</v>
      </c>
      <c r="BF50" s="1801">
        <v>5.8999999999999997E-2</v>
      </c>
      <c r="BG50" s="1799"/>
      <c r="BH50" s="1799" t="s">
        <v>0</v>
      </c>
      <c r="BI50" s="1799" t="s">
        <v>317</v>
      </c>
      <c r="BJ50" s="1799" t="s">
        <v>14</v>
      </c>
      <c r="BK50" s="1799">
        <v>6</v>
      </c>
      <c r="BL50" s="1800">
        <v>253345599</v>
      </c>
      <c r="BM50" s="1801">
        <v>7.6999999999999999E-2</v>
      </c>
      <c r="BN50" s="1799">
        <v>2012</v>
      </c>
      <c r="BO50" s="1684"/>
      <c r="BP50" s="1697">
        <f>'Alumina and Bauxite - Prices'!A50</f>
        <v>44682</v>
      </c>
      <c r="BQ50" s="1169"/>
      <c r="BR50" s="1169"/>
      <c r="BS50" s="1169"/>
      <c r="BT50" s="1169"/>
      <c r="BU50" s="1169"/>
      <c r="BV50" s="1169"/>
      <c r="BW50" s="1169"/>
      <c r="BX50" s="1169"/>
      <c r="BY50" s="1169"/>
      <c r="BZ50" s="1169"/>
      <c r="CA50" s="1169"/>
      <c r="CB50" s="1169"/>
      <c r="CC50" s="1169"/>
      <c r="CD50" s="1169"/>
      <c r="CE50" s="1169"/>
      <c r="CF50" s="1169"/>
      <c r="CG50" s="1169"/>
      <c r="CH50" s="1169"/>
      <c r="CI50" s="1169"/>
      <c r="CJ50" s="1169"/>
      <c r="CK50" s="1169"/>
      <c r="CL50" s="1169"/>
      <c r="CM50" s="1169"/>
      <c r="CN50" s="1169"/>
      <c r="CO50" s="1169"/>
      <c r="CP50" s="1169"/>
      <c r="CQ50" s="1169"/>
      <c r="CR50" s="1169"/>
      <c r="CS50" s="1169"/>
      <c r="CT50" s="1169"/>
      <c r="CU50" s="1169"/>
      <c r="CV50" s="1169"/>
      <c r="CW50" s="1169"/>
      <c r="CX50" s="1169"/>
      <c r="CY50" s="1169"/>
      <c r="CZ50" s="1169"/>
      <c r="DA50" s="1168"/>
      <c r="DB50" s="1168"/>
      <c r="DC50" s="1168"/>
      <c r="DD50" s="1168"/>
      <c r="DE50" s="1168"/>
      <c r="DF50" s="1168"/>
      <c r="DG50" s="1168"/>
      <c r="DH50" s="1168"/>
      <c r="DI50" s="1168"/>
      <c r="DJ50" s="1168"/>
      <c r="DK50" s="1168"/>
      <c r="DL50" s="1168"/>
      <c r="DM50" s="1168"/>
      <c r="DN50" s="1168"/>
      <c r="DO50" s="1168"/>
      <c r="DP50" s="1168"/>
      <c r="DQ50" s="1168"/>
      <c r="DR50" s="1168"/>
      <c r="DS50" s="1168"/>
      <c r="DT50" s="1168"/>
      <c r="DU50" s="1168"/>
      <c r="DV50" s="1168"/>
      <c r="DW50" s="1168"/>
      <c r="DX50" s="1168"/>
      <c r="DY50" s="1168"/>
      <c r="DZ50" s="1168"/>
      <c r="EA50" s="1168"/>
      <c r="EB50" s="1168"/>
      <c r="EC50" s="1168"/>
      <c r="ED50" s="1168"/>
      <c r="EE50" s="1168"/>
      <c r="EF50" s="1168"/>
      <c r="EG50" s="1168"/>
      <c r="EH50" s="1168"/>
      <c r="EI50" s="1170"/>
      <c r="EJ50" s="1170"/>
      <c r="EK50" s="1170"/>
      <c r="EL50" s="1170"/>
      <c r="EM50" s="1170"/>
      <c r="EN50" s="1170"/>
      <c r="EO50" s="1170"/>
      <c r="EP50" s="1170"/>
      <c r="EQ50" s="1170"/>
      <c r="ER50" s="1170"/>
      <c r="ES50" s="1333"/>
      <c r="ET50" s="1333"/>
      <c r="EU50" s="1333"/>
      <c r="EV50" s="1333"/>
      <c r="EW50" s="1333"/>
      <c r="EX50" s="1333"/>
      <c r="EY50" s="1333"/>
      <c r="EZ50" s="1333"/>
      <c r="FA50" s="1333"/>
      <c r="FB50" s="1333"/>
      <c r="FC50" s="1333"/>
      <c r="FD50" s="1333"/>
      <c r="FE50" s="1333"/>
      <c r="FF50" s="1333"/>
      <c r="FG50" s="1333"/>
      <c r="FH50" s="1333"/>
      <c r="FI50" s="1333"/>
      <c r="FJ50" s="1333"/>
      <c r="FK50" s="1333"/>
      <c r="FL50" s="1333"/>
      <c r="FM50" s="1333"/>
      <c r="FN50" s="1333"/>
      <c r="FO50" s="1333"/>
      <c r="FP50" s="1333"/>
      <c r="FQ50" s="1333"/>
      <c r="FR50" s="1333"/>
      <c r="FS50" s="1333"/>
      <c r="FT50" s="1333"/>
      <c r="FU50" s="1333"/>
      <c r="FV50" s="1333"/>
      <c r="FW50" s="1333"/>
      <c r="FX50" s="1333"/>
      <c r="FY50" s="1333"/>
      <c r="FZ50" s="1333"/>
      <c r="GA50" s="1333"/>
      <c r="GB50" s="1333"/>
      <c r="GC50" s="1333"/>
      <c r="GD50" s="1333"/>
      <c r="GE50" s="1333"/>
      <c r="GF50" s="1333"/>
      <c r="GG50" s="1333"/>
      <c r="GH50" s="1333"/>
      <c r="GI50" s="1333"/>
      <c r="GJ50" s="1333"/>
      <c r="GK50" s="1333"/>
      <c r="GL50" s="1333"/>
      <c r="GM50" s="1333"/>
      <c r="GN50" s="1333"/>
      <c r="GO50" s="1333"/>
      <c r="GP50" s="1333"/>
      <c r="GQ50" s="1333"/>
      <c r="GR50" s="1333"/>
      <c r="GS50" s="1333"/>
      <c r="GT50" s="1333"/>
      <c r="GU50" s="1333"/>
      <c r="GV50" s="1333"/>
      <c r="GW50" s="1333"/>
      <c r="GX50" s="1333"/>
    </row>
    <row r="51" spans="1:206" s="607" customFormat="1">
      <c r="A51" s="607">
        <f t="shared" si="0"/>
        <v>1974</v>
      </c>
      <c r="B51" s="607">
        <f t="shared" si="1"/>
        <v>3</v>
      </c>
      <c r="C51" s="1173">
        <v>27211</v>
      </c>
      <c r="D51" s="1709"/>
      <c r="E51" s="1117"/>
      <c r="F51" s="1117"/>
      <c r="G51" s="1117"/>
      <c r="H51" s="1117"/>
      <c r="I51" s="959">
        <v>96.765027777297163</v>
      </c>
      <c r="J51" s="959">
        <v>143.9863636364</v>
      </c>
      <c r="K51" s="960"/>
      <c r="L51" s="1121"/>
      <c r="M51" s="916"/>
      <c r="N51" s="916"/>
      <c r="O51" s="1332"/>
      <c r="P51" s="1332"/>
      <c r="Q51" s="1332"/>
      <c r="R51" s="1332"/>
      <c r="S51" s="1332"/>
      <c r="T51" s="1332"/>
      <c r="U51" s="1120"/>
      <c r="V51" s="1120"/>
      <c r="W51" s="1120"/>
      <c r="X51" s="1120"/>
      <c r="Y51" s="1119"/>
      <c r="Z51" s="1119"/>
      <c r="AA51" s="1119"/>
      <c r="AB51" s="1119"/>
      <c r="AC51" s="1178"/>
      <c r="AD51" s="1178"/>
      <c r="AE51" s="1178"/>
      <c r="AF51" s="1178"/>
      <c r="AG51" s="1178"/>
      <c r="AH51" s="1178"/>
      <c r="AI51" s="1178"/>
      <c r="AJ51" s="1178"/>
      <c r="AK51" s="919"/>
      <c r="AL51" s="1104"/>
      <c r="AM51" s="919"/>
      <c r="AN51" s="1710"/>
      <c r="AO51" s="919"/>
      <c r="AP51" s="919"/>
      <c r="AS51" s="1167"/>
      <c r="AT51" s="1167"/>
      <c r="AU51" s="1168"/>
      <c r="AV51" s="1168"/>
      <c r="AW51" s="1169"/>
      <c r="AX51" s="1169"/>
      <c r="AY51" s="1169"/>
      <c r="AZ51" s="1169"/>
      <c r="BA51" s="1799" t="s">
        <v>0</v>
      </c>
      <c r="BB51" s="1802">
        <v>2012</v>
      </c>
      <c r="BC51" s="1799" t="s">
        <v>431</v>
      </c>
      <c r="BD51" s="1799">
        <v>7</v>
      </c>
      <c r="BE51" s="1800">
        <v>154103253</v>
      </c>
      <c r="BF51" s="1801">
        <v>5.2999999999999999E-2</v>
      </c>
      <c r="BG51" s="1799"/>
      <c r="BH51" s="1799" t="s">
        <v>0</v>
      </c>
      <c r="BI51" s="1799" t="s">
        <v>317</v>
      </c>
      <c r="BJ51" s="1799" t="s">
        <v>431</v>
      </c>
      <c r="BK51" s="1799">
        <v>7</v>
      </c>
      <c r="BL51" s="1800">
        <v>171570000</v>
      </c>
      <c r="BM51" s="1801">
        <v>5.1999999999999998E-2</v>
      </c>
      <c r="BN51" s="1799">
        <v>2012</v>
      </c>
      <c r="BO51" s="1684"/>
      <c r="BP51" s="1696"/>
      <c r="BQ51" s="1169"/>
      <c r="BR51" s="1169"/>
      <c r="BS51" s="1169"/>
      <c r="BT51" s="1169"/>
      <c r="BU51" s="1169"/>
      <c r="BV51" s="1169"/>
      <c r="BW51" s="1169"/>
      <c r="BX51" s="1169"/>
      <c r="BY51" s="1169"/>
      <c r="BZ51" s="1169"/>
      <c r="CA51" s="1169"/>
      <c r="CB51" s="1169"/>
      <c r="CC51" s="1169"/>
      <c r="CD51" s="1169"/>
      <c r="CE51" s="1169"/>
      <c r="CF51" s="1169"/>
      <c r="CG51" s="1169"/>
      <c r="CH51" s="1169"/>
      <c r="CI51" s="1169"/>
      <c r="CJ51" s="1169"/>
      <c r="CK51" s="1169"/>
      <c r="CL51" s="1169"/>
      <c r="CM51" s="1169"/>
      <c r="CN51" s="1169"/>
      <c r="CO51" s="1169"/>
      <c r="CP51" s="1169"/>
      <c r="CQ51" s="1169"/>
      <c r="CR51" s="1169"/>
      <c r="CS51" s="1169"/>
      <c r="CT51" s="1169"/>
      <c r="CU51" s="1169"/>
      <c r="CV51" s="1169"/>
      <c r="CW51" s="1169"/>
      <c r="CX51" s="1169"/>
      <c r="CY51" s="1169"/>
      <c r="CZ51" s="1169"/>
      <c r="DA51" s="1168"/>
      <c r="DB51" s="1168"/>
      <c r="DC51" s="1168"/>
      <c r="DD51" s="1168"/>
      <c r="DE51" s="1168"/>
      <c r="DF51" s="1168"/>
      <c r="DG51" s="1168"/>
      <c r="DH51" s="1168"/>
      <c r="DI51" s="1168"/>
      <c r="DJ51" s="1168"/>
      <c r="DK51" s="1168"/>
      <c r="DL51" s="1168"/>
      <c r="DM51" s="1168"/>
      <c r="DN51" s="1168"/>
      <c r="DO51" s="1168"/>
      <c r="DP51" s="1168"/>
      <c r="DQ51" s="1168"/>
      <c r="DR51" s="1168"/>
      <c r="DS51" s="1168"/>
      <c r="DT51" s="1168"/>
      <c r="DU51" s="1168"/>
      <c r="DV51" s="1168"/>
      <c r="DW51" s="1168"/>
      <c r="DX51" s="1168"/>
      <c r="DY51" s="1168"/>
      <c r="DZ51" s="1168"/>
      <c r="EA51" s="1168"/>
      <c r="EB51" s="1168"/>
      <c r="EC51" s="1168"/>
      <c r="ED51" s="1168"/>
      <c r="EE51" s="1168"/>
      <c r="EF51" s="1168"/>
      <c r="EG51" s="1168"/>
      <c r="EH51" s="1168"/>
      <c r="EI51" s="1170"/>
      <c r="EJ51" s="1170"/>
      <c r="EK51" s="1170"/>
      <c r="EL51" s="1170"/>
      <c r="EM51" s="1170"/>
      <c r="EN51" s="1170"/>
      <c r="EO51" s="1170"/>
      <c r="EP51" s="1170"/>
      <c r="EQ51" s="1170"/>
      <c r="ER51" s="1170"/>
      <c r="ES51" s="1333"/>
      <c r="ET51" s="1333"/>
      <c r="EU51" s="1333"/>
      <c r="EV51" s="1333"/>
      <c r="EW51" s="1333"/>
      <c r="EX51" s="1333"/>
      <c r="EY51" s="1333"/>
      <c r="EZ51" s="1333"/>
      <c r="FA51" s="1333"/>
      <c r="FB51" s="1333"/>
      <c r="FC51" s="1333"/>
      <c r="FD51" s="1333"/>
      <c r="FE51" s="1333"/>
      <c r="FF51" s="1333"/>
      <c r="FG51" s="1333"/>
      <c r="FH51" s="1333"/>
      <c r="FI51" s="1333"/>
      <c r="FJ51" s="1333"/>
      <c r="FK51" s="1333"/>
      <c r="FL51" s="1333"/>
      <c r="FM51" s="1333"/>
      <c r="FN51" s="1333"/>
      <c r="FO51" s="1333"/>
      <c r="FP51" s="1333"/>
      <c r="FQ51" s="1333"/>
      <c r="FR51" s="1333"/>
      <c r="FS51" s="1333"/>
      <c r="FT51" s="1333"/>
      <c r="FU51" s="1333"/>
      <c r="FV51" s="1333"/>
      <c r="FW51" s="1333"/>
      <c r="FX51" s="1333"/>
      <c r="FY51" s="1333"/>
      <c r="FZ51" s="1333"/>
      <c r="GA51" s="1333"/>
      <c r="GB51" s="1333"/>
      <c r="GC51" s="1333"/>
      <c r="GD51" s="1333"/>
      <c r="GE51" s="1333"/>
      <c r="GF51" s="1333"/>
      <c r="GG51" s="1333"/>
      <c r="GH51" s="1333"/>
      <c r="GI51" s="1333"/>
      <c r="GJ51" s="1333"/>
      <c r="GK51" s="1333"/>
      <c r="GL51" s="1333"/>
      <c r="GM51" s="1333"/>
      <c r="GN51" s="1333"/>
      <c r="GO51" s="1333"/>
      <c r="GP51" s="1333"/>
      <c r="GQ51" s="1333"/>
      <c r="GR51" s="1333"/>
      <c r="GS51" s="1333"/>
      <c r="GT51" s="1333"/>
      <c r="GU51" s="1333"/>
      <c r="GV51" s="1333"/>
      <c r="GW51" s="1333"/>
      <c r="GX51" s="1333"/>
    </row>
    <row r="52" spans="1:206" s="607" customFormat="1">
      <c r="A52" s="607">
        <f t="shared" si="0"/>
        <v>1974</v>
      </c>
      <c r="B52" s="607">
        <f t="shared" si="1"/>
        <v>3</v>
      </c>
      <c r="C52" s="1173">
        <v>27242</v>
      </c>
      <c r="D52" s="957"/>
      <c r="E52" s="920"/>
      <c r="F52" s="920"/>
      <c r="G52" s="920"/>
      <c r="H52" s="920"/>
      <c r="I52" s="954">
        <v>103.82056285500001</v>
      </c>
      <c r="J52" s="954">
        <v>154.48500000000001</v>
      </c>
      <c r="K52" s="954"/>
      <c r="L52" s="920"/>
      <c r="M52" s="917"/>
      <c r="N52" s="917"/>
      <c r="O52" s="1334"/>
      <c r="P52" s="1334"/>
      <c r="Q52" s="1334"/>
      <c r="R52" s="1334"/>
      <c r="S52" s="1334"/>
      <c r="T52" s="1334"/>
      <c r="U52" s="920"/>
      <c r="V52" s="920"/>
      <c r="W52" s="920"/>
      <c r="X52" s="920"/>
      <c r="Y52" s="920"/>
      <c r="Z52" s="920"/>
      <c r="AA52" s="920"/>
      <c r="AB52" s="920"/>
      <c r="AC52" s="920"/>
      <c r="AD52" s="920"/>
      <c r="AE52" s="920"/>
      <c r="AF52" s="920"/>
      <c r="AG52" s="920"/>
      <c r="AH52" s="920"/>
      <c r="AI52" s="920"/>
      <c r="AJ52" s="920"/>
      <c r="AK52" s="920"/>
      <c r="AL52" s="1105"/>
      <c r="AM52" s="920"/>
      <c r="AN52" s="1711"/>
      <c r="AO52" s="920"/>
      <c r="AP52" s="920"/>
      <c r="AS52" s="1167"/>
      <c r="AT52" s="1167"/>
      <c r="AU52" s="1168"/>
      <c r="AV52" s="1168"/>
      <c r="AW52" s="1169"/>
      <c r="AX52" s="1169"/>
      <c r="AY52" s="1169"/>
      <c r="AZ52" s="1169"/>
      <c r="BA52" s="1799" t="s">
        <v>0</v>
      </c>
      <c r="BB52" s="1802">
        <v>2012</v>
      </c>
      <c r="BC52" s="1799" t="s">
        <v>13</v>
      </c>
      <c r="BD52" s="1799">
        <v>8</v>
      </c>
      <c r="BE52" s="1800">
        <v>117247314</v>
      </c>
      <c r="BF52" s="1801">
        <v>0.04</v>
      </c>
      <c r="BG52" s="1799"/>
      <c r="BH52" s="1799" t="s">
        <v>0</v>
      </c>
      <c r="BI52" s="1799" t="s">
        <v>317</v>
      </c>
      <c r="BJ52" s="1799" t="s">
        <v>25</v>
      </c>
      <c r="BK52" s="1799">
        <v>8</v>
      </c>
      <c r="BL52" s="1800">
        <v>136874866</v>
      </c>
      <c r="BM52" s="1801">
        <v>4.1000000000000002E-2</v>
      </c>
      <c r="BN52" s="1799">
        <v>2012</v>
      </c>
      <c r="BO52" s="1684"/>
      <c r="BP52" s="1696"/>
      <c r="BQ52" s="1169"/>
      <c r="BR52" s="1169"/>
      <c r="BS52" s="1169"/>
      <c r="BT52" s="1169"/>
      <c r="BU52" s="1169"/>
      <c r="BV52" s="1169"/>
      <c r="BW52" s="1169"/>
      <c r="BX52" s="1169"/>
      <c r="BY52" s="1169"/>
      <c r="BZ52" s="1169"/>
      <c r="CA52" s="1169"/>
      <c r="CB52" s="1169"/>
      <c r="CC52" s="1169"/>
      <c r="CD52" s="1169"/>
      <c r="CE52" s="1169"/>
      <c r="CF52" s="1169"/>
      <c r="CG52" s="1169"/>
      <c r="CH52" s="1169"/>
      <c r="CI52" s="1169"/>
      <c r="CJ52" s="1169"/>
      <c r="CK52" s="1169"/>
      <c r="CL52" s="1169"/>
      <c r="CM52" s="1169"/>
      <c r="CN52" s="1169"/>
      <c r="CO52" s="1169"/>
      <c r="CP52" s="1169"/>
      <c r="CQ52" s="1169"/>
      <c r="CR52" s="1169"/>
      <c r="CS52" s="1169"/>
      <c r="CT52" s="1169"/>
      <c r="CU52" s="1169"/>
      <c r="CV52" s="1169"/>
      <c r="CW52" s="1169"/>
      <c r="CX52" s="1169"/>
      <c r="CY52" s="1169"/>
      <c r="CZ52" s="1169"/>
      <c r="DA52" s="1168"/>
      <c r="DB52" s="1168"/>
      <c r="DC52" s="1168"/>
      <c r="DD52" s="1168"/>
      <c r="DE52" s="1168"/>
      <c r="DF52" s="1168"/>
      <c r="DG52" s="1168"/>
      <c r="DH52" s="1168"/>
      <c r="DI52" s="1168"/>
      <c r="DJ52" s="1168"/>
      <c r="DK52" s="1168"/>
      <c r="DL52" s="1168"/>
      <c r="DM52" s="1168"/>
      <c r="DN52" s="1168"/>
      <c r="DO52" s="1168"/>
      <c r="DP52" s="1168"/>
      <c r="DQ52" s="1168"/>
      <c r="DR52" s="1168"/>
      <c r="DS52" s="1168"/>
      <c r="DT52" s="1168"/>
      <c r="DU52" s="1168"/>
      <c r="DV52" s="1168"/>
      <c r="DW52" s="1168"/>
      <c r="DX52" s="1168"/>
      <c r="DY52" s="1168"/>
      <c r="DZ52" s="1168"/>
      <c r="EA52" s="1168"/>
      <c r="EB52" s="1168"/>
      <c r="EC52" s="1168"/>
      <c r="ED52" s="1168"/>
      <c r="EE52" s="1168"/>
      <c r="EF52" s="1168"/>
      <c r="EG52" s="1168"/>
      <c r="EH52" s="1168"/>
      <c r="EI52" s="1170"/>
      <c r="EJ52" s="1170"/>
      <c r="EK52" s="1170"/>
      <c r="EL52" s="1170"/>
      <c r="EM52" s="1170"/>
      <c r="EN52" s="1170"/>
      <c r="EO52" s="1170"/>
      <c r="EP52" s="1170"/>
      <c r="EQ52" s="1170"/>
      <c r="ER52" s="1170"/>
      <c r="ES52" s="1333"/>
      <c r="ET52" s="1333"/>
      <c r="EU52" s="1333"/>
      <c r="EV52" s="1333"/>
      <c r="EW52" s="1333"/>
      <c r="EX52" s="1333"/>
      <c r="EY52" s="1333"/>
      <c r="EZ52" s="1333"/>
      <c r="FA52" s="1333"/>
      <c r="FB52" s="1333"/>
      <c r="FC52" s="1333"/>
      <c r="FD52" s="1333"/>
      <c r="FE52" s="1333"/>
      <c r="FF52" s="1333"/>
      <c r="FG52" s="1333"/>
      <c r="FH52" s="1333"/>
      <c r="FI52" s="1333"/>
      <c r="FJ52" s="1333"/>
      <c r="FK52" s="1333"/>
      <c r="FL52" s="1333"/>
      <c r="FM52" s="1333"/>
      <c r="FN52" s="1333"/>
      <c r="FO52" s="1333"/>
      <c r="FP52" s="1333"/>
      <c r="FQ52" s="1333"/>
      <c r="FR52" s="1333"/>
      <c r="FS52" s="1333"/>
      <c r="FT52" s="1333"/>
      <c r="FU52" s="1333"/>
      <c r="FV52" s="1333"/>
      <c r="FW52" s="1333"/>
      <c r="FX52" s="1333"/>
      <c r="FY52" s="1333"/>
      <c r="FZ52" s="1333"/>
      <c r="GA52" s="1333"/>
      <c r="GB52" s="1333"/>
      <c r="GC52" s="1333"/>
      <c r="GD52" s="1333"/>
      <c r="GE52" s="1333"/>
      <c r="GF52" s="1333"/>
      <c r="GG52" s="1333"/>
      <c r="GH52" s="1333"/>
      <c r="GI52" s="1333"/>
      <c r="GJ52" s="1333"/>
      <c r="GK52" s="1333"/>
      <c r="GL52" s="1333"/>
      <c r="GM52" s="1333"/>
      <c r="GN52" s="1333"/>
      <c r="GO52" s="1333"/>
      <c r="GP52" s="1333"/>
      <c r="GQ52" s="1333"/>
      <c r="GR52" s="1333"/>
      <c r="GS52" s="1333"/>
      <c r="GT52" s="1333"/>
      <c r="GU52" s="1333"/>
      <c r="GV52" s="1333"/>
      <c r="GW52" s="1333"/>
      <c r="GX52" s="1333"/>
    </row>
    <row r="53" spans="1:206" s="607" customFormat="1">
      <c r="A53" s="607">
        <f t="shared" si="0"/>
        <v>1974</v>
      </c>
      <c r="B53" s="607">
        <f t="shared" si="1"/>
        <v>3</v>
      </c>
      <c r="C53" s="1173">
        <v>27274</v>
      </c>
      <c r="D53" s="1709"/>
      <c r="E53" s="1117"/>
      <c r="F53" s="1117"/>
      <c r="G53" s="1117"/>
      <c r="H53" s="1117"/>
      <c r="I53" s="959">
        <v>115.58781977999999</v>
      </c>
      <c r="J53" s="959">
        <v>151.41999999999999</v>
      </c>
      <c r="K53" s="960"/>
      <c r="L53" s="1121"/>
      <c r="M53" s="916"/>
      <c r="N53" s="916"/>
      <c r="O53" s="1332"/>
      <c r="P53" s="1332"/>
      <c r="Q53" s="1332"/>
      <c r="R53" s="1332"/>
      <c r="S53" s="1332"/>
      <c r="T53" s="1332"/>
      <c r="U53" s="1120"/>
      <c r="V53" s="1120"/>
      <c r="W53" s="1120"/>
      <c r="X53" s="1120"/>
      <c r="Y53" s="1119"/>
      <c r="Z53" s="1119"/>
      <c r="AA53" s="1119"/>
      <c r="AB53" s="1119"/>
      <c r="AC53" s="1178"/>
      <c r="AD53" s="1178"/>
      <c r="AE53" s="1178"/>
      <c r="AF53" s="1178"/>
      <c r="AG53" s="1178"/>
      <c r="AH53" s="1178"/>
      <c r="AI53" s="1178"/>
      <c r="AJ53" s="1178"/>
      <c r="AK53" s="919"/>
      <c r="AL53" s="1104"/>
      <c r="AM53" s="919"/>
      <c r="AN53" s="1710"/>
      <c r="AO53" s="919"/>
      <c r="AP53" s="919"/>
      <c r="AS53" s="1167"/>
      <c r="AT53" s="1167"/>
      <c r="AU53" s="1168"/>
      <c r="AV53" s="1168"/>
      <c r="AW53" s="1169"/>
      <c r="AX53" s="1169"/>
      <c r="AY53" s="1169"/>
      <c r="AZ53" s="1169"/>
      <c r="BA53" s="1799" t="s">
        <v>0</v>
      </c>
      <c r="BB53" s="1802">
        <v>2012</v>
      </c>
      <c r="BC53" s="1799" t="s">
        <v>19</v>
      </c>
      <c r="BD53" s="1799">
        <v>9</v>
      </c>
      <c r="BE53" s="1800">
        <v>112474135</v>
      </c>
      <c r="BF53" s="1801">
        <v>3.7999999999999999E-2</v>
      </c>
      <c r="BG53" s="1799"/>
      <c r="BH53" s="1799" t="s">
        <v>0</v>
      </c>
      <c r="BI53" s="1799" t="s">
        <v>317</v>
      </c>
      <c r="BJ53" s="1799" t="s">
        <v>26</v>
      </c>
      <c r="BK53" s="1799">
        <v>9</v>
      </c>
      <c r="BL53" s="1800">
        <v>100217651</v>
      </c>
      <c r="BM53" s="1801">
        <v>0.03</v>
      </c>
      <c r="BN53" s="1799">
        <v>2012</v>
      </c>
      <c r="BO53" s="1684"/>
      <c r="BP53" s="1697">
        <f>'Alumina and Bauxite - Prices'!A53</f>
        <v>44774</v>
      </c>
      <c r="BQ53" s="1169"/>
      <c r="BR53" s="1169"/>
      <c r="BS53" s="1169"/>
      <c r="BT53" s="1169"/>
      <c r="BU53" s="1169"/>
      <c r="BV53" s="1169"/>
      <c r="BW53" s="1169"/>
      <c r="BX53" s="1169"/>
      <c r="BY53" s="1169"/>
      <c r="BZ53" s="1169"/>
      <c r="CA53" s="1169"/>
      <c r="CB53" s="1169"/>
      <c r="CC53" s="1169"/>
      <c r="CD53" s="1169"/>
      <c r="CE53" s="1169"/>
      <c r="CF53" s="1169"/>
      <c r="CG53" s="1169"/>
      <c r="CH53" s="1169"/>
      <c r="CI53" s="1169"/>
      <c r="CJ53" s="1169"/>
      <c r="CK53" s="1169"/>
      <c r="CL53" s="1169"/>
      <c r="CM53" s="1169"/>
      <c r="CN53" s="1169"/>
      <c r="CO53" s="1169"/>
      <c r="CP53" s="1169"/>
      <c r="CQ53" s="1169"/>
      <c r="CR53" s="1169"/>
      <c r="CS53" s="1169"/>
      <c r="CT53" s="1169"/>
      <c r="CU53" s="1169"/>
      <c r="CV53" s="1169"/>
      <c r="CW53" s="1169"/>
      <c r="CX53" s="1169"/>
      <c r="CY53" s="1169"/>
      <c r="CZ53" s="1169"/>
      <c r="DA53" s="1168"/>
      <c r="DB53" s="1168"/>
      <c r="DC53" s="1168"/>
      <c r="DD53" s="1168"/>
      <c r="DE53" s="1168"/>
      <c r="DF53" s="1168"/>
      <c r="DG53" s="1168"/>
      <c r="DH53" s="1168"/>
      <c r="DI53" s="1168"/>
      <c r="DJ53" s="1168"/>
      <c r="DK53" s="1168"/>
      <c r="DL53" s="1168"/>
      <c r="DM53" s="1168"/>
      <c r="DN53" s="1168"/>
      <c r="DO53" s="1168"/>
      <c r="DP53" s="1168"/>
      <c r="DQ53" s="1168"/>
      <c r="DR53" s="1168"/>
      <c r="DS53" s="1168"/>
      <c r="DT53" s="1168"/>
      <c r="DU53" s="1168"/>
      <c r="DV53" s="1168"/>
      <c r="DW53" s="1168"/>
      <c r="DX53" s="1168"/>
      <c r="DY53" s="1168"/>
      <c r="DZ53" s="1168"/>
      <c r="EA53" s="1168"/>
      <c r="EB53" s="1168"/>
      <c r="EC53" s="1168"/>
      <c r="ED53" s="1168"/>
      <c r="EE53" s="1168"/>
      <c r="EF53" s="1168"/>
      <c r="EG53" s="1168"/>
      <c r="EH53" s="1168"/>
      <c r="EI53" s="1170"/>
      <c r="EJ53" s="1170"/>
      <c r="EK53" s="1170"/>
      <c r="EL53" s="1170"/>
      <c r="EM53" s="1170"/>
      <c r="EN53" s="1170"/>
      <c r="EO53" s="1170"/>
      <c r="EP53" s="1170"/>
      <c r="EQ53" s="1170"/>
      <c r="ER53" s="1170"/>
      <c r="ES53" s="1333"/>
      <c r="ET53" s="1333"/>
      <c r="EU53" s="1333"/>
      <c r="EV53" s="1333"/>
      <c r="EW53" s="1333"/>
      <c r="EX53" s="1333"/>
      <c r="EY53" s="1333"/>
      <c r="EZ53" s="1333"/>
      <c r="FA53" s="1333"/>
      <c r="FB53" s="1333"/>
      <c r="FC53" s="1333"/>
      <c r="FD53" s="1333"/>
      <c r="FE53" s="1333"/>
      <c r="FF53" s="1333"/>
      <c r="FG53" s="1333"/>
      <c r="FH53" s="1333"/>
      <c r="FI53" s="1333"/>
      <c r="FJ53" s="1333"/>
      <c r="FK53" s="1333"/>
      <c r="FL53" s="1333"/>
      <c r="FM53" s="1333"/>
      <c r="FN53" s="1333"/>
      <c r="FO53" s="1333"/>
      <c r="FP53" s="1333"/>
      <c r="FQ53" s="1333"/>
      <c r="FR53" s="1333"/>
      <c r="FS53" s="1333"/>
      <c r="FT53" s="1333"/>
      <c r="FU53" s="1333"/>
      <c r="FV53" s="1333"/>
      <c r="FW53" s="1333"/>
      <c r="FX53" s="1333"/>
      <c r="FY53" s="1333"/>
      <c r="FZ53" s="1333"/>
      <c r="GA53" s="1333"/>
      <c r="GB53" s="1333"/>
      <c r="GC53" s="1333"/>
      <c r="GD53" s="1333"/>
      <c r="GE53" s="1333"/>
      <c r="GF53" s="1333"/>
      <c r="GG53" s="1333"/>
      <c r="GH53" s="1333"/>
      <c r="GI53" s="1333"/>
      <c r="GJ53" s="1333"/>
      <c r="GK53" s="1333"/>
      <c r="GL53" s="1333"/>
      <c r="GM53" s="1333"/>
      <c r="GN53" s="1333"/>
      <c r="GO53" s="1333"/>
      <c r="GP53" s="1333"/>
      <c r="GQ53" s="1333"/>
      <c r="GR53" s="1333"/>
      <c r="GS53" s="1333"/>
      <c r="GT53" s="1333"/>
      <c r="GU53" s="1333"/>
      <c r="GV53" s="1333"/>
      <c r="GW53" s="1333"/>
      <c r="GX53" s="1333"/>
    </row>
    <row r="54" spans="1:206" s="607" customFormat="1">
      <c r="A54" s="607">
        <f t="shared" si="0"/>
        <v>1974</v>
      </c>
      <c r="B54" s="607">
        <f t="shared" si="1"/>
        <v>4</v>
      </c>
      <c r="C54" s="1173">
        <v>27303</v>
      </c>
      <c r="D54" s="957"/>
      <c r="E54" s="920"/>
      <c r="F54" s="920"/>
      <c r="G54" s="920"/>
      <c r="H54" s="920"/>
      <c r="I54" s="954">
        <v>121.36246466739462</v>
      </c>
      <c r="J54" s="954">
        <v>158.98478260869999</v>
      </c>
      <c r="K54" s="954"/>
      <c r="L54" s="920"/>
      <c r="M54" s="917"/>
      <c r="N54" s="917"/>
      <c r="O54" s="1334"/>
      <c r="P54" s="1334"/>
      <c r="Q54" s="1334"/>
      <c r="R54" s="1334"/>
      <c r="S54" s="1334"/>
      <c r="T54" s="1334"/>
      <c r="U54" s="920"/>
      <c r="V54" s="920"/>
      <c r="W54" s="920"/>
      <c r="X54" s="920"/>
      <c r="Y54" s="920"/>
      <c r="Z54" s="920"/>
      <c r="AA54" s="920"/>
      <c r="AB54" s="920"/>
      <c r="AC54" s="920"/>
      <c r="AD54" s="920"/>
      <c r="AE54" s="920"/>
      <c r="AF54" s="920"/>
      <c r="AG54" s="920"/>
      <c r="AH54" s="920"/>
      <c r="AI54" s="920"/>
      <c r="AJ54" s="920"/>
      <c r="AK54" s="920"/>
      <c r="AL54" s="1105"/>
      <c r="AM54" s="920"/>
      <c r="AN54" s="1711"/>
      <c r="AO54" s="920"/>
      <c r="AP54" s="920"/>
      <c r="AS54" s="1167"/>
      <c r="AT54" s="1167"/>
      <c r="AU54" s="1168"/>
      <c r="AV54" s="1168"/>
      <c r="AW54" s="1169"/>
      <c r="AX54" s="1169"/>
      <c r="AY54" s="1169"/>
      <c r="AZ54" s="1169"/>
      <c r="BA54" s="1799" t="s">
        <v>0</v>
      </c>
      <c r="BB54" s="1802">
        <v>2012</v>
      </c>
      <c r="BC54" s="1799" t="s">
        <v>25</v>
      </c>
      <c r="BD54" s="1799">
        <v>10</v>
      </c>
      <c r="BE54" s="1800">
        <v>103592536</v>
      </c>
      <c r="BF54" s="1801">
        <v>3.5000000000000003E-2</v>
      </c>
      <c r="BG54" s="1799"/>
      <c r="BH54" s="1799" t="s">
        <v>0</v>
      </c>
      <c r="BI54" s="1799" t="s">
        <v>317</v>
      </c>
      <c r="BJ54" s="1799" t="s">
        <v>19</v>
      </c>
      <c r="BK54" s="1799">
        <v>10</v>
      </c>
      <c r="BL54" s="1800">
        <v>98946031</v>
      </c>
      <c r="BM54" s="1801">
        <v>0.03</v>
      </c>
      <c r="BN54" s="1799">
        <v>2012</v>
      </c>
      <c r="BO54" s="1684"/>
      <c r="BP54" s="1696"/>
      <c r="BQ54" s="1169"/>
      <c r="BR54" s="1169"/>
      <c r="BS54" s="1169"/>
      <c r="BT54" s="1169"/>
      <c r="BU54" s="1169"/>
      <c r="BV54" s="1169"/>
      <c r="BW54" s="1169"/>
      <c r="BX54" s="1169"/>
      <c r="BY54" s="1169"/>
      <c r="BZ54" s="1169"/>
      <c r="CA54" s="1169"/>
      <c r="CB54" s="1169"/>
      <c r="CC54" s="1169"/>
      <c r="CD54" s="1169"/>
      <c r="CE54" s="1169"/>
      <c r="CF54" s="1169"/>
      <c r="CG54" s="1169"/>
      <c r="CH54" s="1169"/>
      <c r="CI54" s="1169"/>
      <c r="CJ54" s="1169"/>
      <c r="CK54" s="1169"/>
      <c r="CL54" s="1169"/>
      <c r="CM54" s="1169"/>
      <c r="CN54" s="1169"/>
      <c r="CO54" s="1169"/>
      <c r="CP54" s="1169"/>
      <c r="CQ54" s="1169"/>
      <c r="CR54" s="1169"/>
      <c r="CS54" s="1169"/>
      <c r="CT54" s="1169"/>
      <c r="CU54" s="1169"/>
      <c r="CV54" s="1169"/>
      <c r="CW54" s="1169"/>
      <c r="CX54" s="1169"/>
      <c r="CY54" s="1169"/>
      <c r="CZ54" s="1169"/>
      <c r="DA54" s="1168"/>
      <c r="DB54" s="1168"/>
      <c r="DC54" s="1168"/>
      <c r="DD54" s="1168"/>
      <c r="DE54" s="1168"/>
      <c r="DF54" s="1168"/>
      <c r="DG54" s="1168"/>
      <c r="DH54" s="1168"/>
      <c r="DI54" s="1168"/>
      <c r="DJ54" s="1168"/>
      <c r="DK54" s="1168"/>
      <c r="DL54" s="1168"/>
      <c r="DM54" s="1168"/>
      <c r="DN54" s="1168"/>
      <c r="DO54" s="1168"/>
      <c r="DP54" s="1168"/>
      <c r="DQ54" s="1168"/>
      <c r="DR54" s="1168"/>
      <c r="DS54" s="1168"/>
      <c r="DT54" s="1168"/>
      <c r="DU54" s="1168"/>
      <c r="DV54" s="1168"/>
      <c r="DW54" s="1168"/>
      <c r="DX54" s="1168"/>
      <c r="DY54" s="1168"/>
      <c r="DZ54" s="1168"/>
      <c r="EA54" s="1168"/>
      <c r="EB54" s="1168"/>
      <c r="EC54" s="1168"/>
      <c r="ED54" s="1168"/>
      <c r="EE54" s="1168"/>
      <c r="EF54" s="1168"/>
      <c r="EG54" s="1168"/>
      <c r="EH54" s="1168"/>
      <c r="EI54" s="1170"/>
      <c r="EJ54" s="1170"/>
      <c r="EK54" s="1170"/>
      <c r="EL54" s="1170"/>
      <c r="EM54" s="1170"/>
      <c r="EN54" s="1170"/>
      <c r="EO54" s="1170"/>
      <c r="EP54" s="1170"/>
      <c r="EQ54" s="1170"/>
      <c r="ER54" s="1170"/>
      <c r="ES54" s="1333"/>
      <c r="ET54" s="1333"/>
      <c r="EU54" s="1333"/>
      <c r="EV54" s="1333"/>
      <c r="EW54" s="1333"/>
      <c r="EX54" s="1333"/>
      <c r="EY54" s="1333"/>
      <c r="EZ54" s="1333"/>
      <c r="FA54" s="1333"/>
      <c r="FB54" s="1333"/>
      <c r="FC54" s="1333"/>
      <c r="FD54" s="1333"/>
      <c r="FE54" s="1333"/>
      <c r="FF54" s="1333"/>
      <c r="FG54" s="1333"/>
      <c r="FH54" s="1333"/>
      <c r="FI54" s="1333"/>
      <c r="FJ54" s="1333"/>
      <c r="FK54" s="1333"/>
      <c r="FL54" s="1333"/>
      <c r="FM54" s="1333"/>
      <c r="FN54" s="1333"/>
      <c r="FO54" s="1333"/>
      <c r="FP54" s="1333"/>
      <c r="FQ54" s="1333"/>
      <c r="FR54" s="1333"/>
      <c r="FS54" s="1333"/>
      <c r="FT54" s="1333"/>
      <c r="FU54" s="1333"/>
      <c r="FV54" s="1333"/>
      <c r="FW54" s="1333"/>
      <c r="FX54" s="1333"/>
      <c r="FY54" s="1333"/>
      <c r="FZ54" s="1333"/>
      <c r="GA54" s="1333"/>
      <c r="GB54" s="1333"/>
      <c r="GC54" s="1333"/>
      <c r="GD54" s="1333"/>
      <c r="GE54" s="1333"/>
      <c r="GF54" s="1333"/>
      <c r="GG54" s="1333"/>
      <c r="GH54" s="1333"/>
      <c r="GI54" s="1333"/>
      <c r="GJ54" s="1333"/>
      <c r="GK54" s="1333"/>
      <c r="GL54" s="1333"/>
      <c r="GM54" s="1333"/>
      <c r="GN54" s="1333"/>
      <c r="GO54" s="1333"/>
      <c r="GP54" s="1333"/>
      <c r="GQ54" s="1333"/>
      <c r="GR54" s="1333"/>
      <c r="GS54" s="1333"/>
      <c r="GT54" s="1333"/>
      <c r="GU54" s="1333"/>
      <c r="GV54" s="1333"/>
      <c r="GW54" s="1333"/>
      <c r="GX54" s="1333"/>
    </row>
    <row r="55" spans="1:206" s="607" customFormat="1">
      <c r="A55" s="607">
        <f t="shared" si="0"/>
        <v>1974</v>
      </c>
      <c r="B55" s="607">
        <f t="shared" si="1"/>
        <v>4</v>
      </c>
      <c r="C55" s="1173">
        <v>27334</v>
      </c>
      <c r="D55" s="1709"/>
      <c r="E55" s="1117"/>
      <c r="F55" s="1117"/>
      <c r="G55" s="1117"/>
      <c r="H55" s="1117"/>
      <c r="I55" s="959">
        <v>138.67773500000001</v>
      </c>
      <c r="J55" s="959">
        <v>182.5</v>
      </c>
      <c r="K55" s="960"/>
      <c r="L55" s="1121"/>
      <c r="M55" s="916"/>
      <c r="N55" s="916"/>
      <c r="O55" s="1332"/>
      <c r="P55" s="1332"/>
      <c r="Q55" s="1332"/>
      <c r="R55" s="1332"/>
      <c r="S55" s="1332"/>
      <c r="T55" s="1332"/>
      <c r="U55" s="1120"/>
      <c r="V55" s="1120"/>
      <c r="W55" s="1120"/>
      <c r="X55" s="1120"/>
      <c r="Y55" s="1119"/>
      <c r="Z55" s="1119"/>
      <c r="AA55" s="1119"/>
      <c r="AB55" s="1119"/>
      <c r="AC55" s="1178"/>
      <c r="AD55" s="1178"/>
      <c r="AE55" s="1178"/>
      <c r="AF55" s="1178"/>
      <c r="AG55" s="1178"/>
      <c r="AH55" s="1178"/>
      <c r="AI55" s="1178"/>
      <c r="AJ55" s="1178"/>
      <c r="AK55" s="919"/>
      <c r="AL55" s="1104"/>
      <c r="AM55" s="919"/>
      <c r="AN55" s="1710"/>
      <c r="AO55" s="919"/>
      <c r="AP55" s="919"/>
      <c r="AS55" s="1167"/>
      <c r="AT55" s="1167"/>
      <c r="AU55" s="1168"/>
      <c r="AV55" s="1168"/>
      <c r="AW55" s="1169"/>
      <c r="AX55" s="1169"/>
      <c r="AY55" s="1169"/>
      <c r="AZ55" s="1169"/>
      <c r="BA55" s="1799" t="s">
        <v>0</v>
      </c>
      <c r="BB55" s="1802">
        <v>2012</v>
      </c>
      <c r="BC55" s="1799" t="s">
        <v>32</v>
      </c>
      <c r="BD55" s="1799"/>
      <c r="BE55" s="1800">
        <v>220337119</v>
      </c>
      <c r="BF55" s="1801">
        <v>7.4999999999999997E-2</v>
      </c>
      <c r="BG55" s="1799"/>
      <c r="BH55" s="1799" t="s">
        <v>0</v>
      </c>
      <c r="BI55" s="1799" t="s">
        <v>317</v>
      </c>
      <c r="BJ55" s="1799" t="s">
        <v>32</v>
      </c>
      <c r="BK55" s="1799"/>
      <c r="BL55" s="1800">
        <v>384614310</v>
      </c>
      <c r="BM55" s="1801">
        <v>0.11600000000000001</v>
      </c>
      <c r="BN55" s="1799">
        <v>2012</v>
      </c>
      <c r="BO55" s="1684"/>
      <c r="BP55" s="1696"/>
      <c r="BQ55" s="1169"/>
      <c r="BR55" s="1169"/>
      <c r="BS55" s="1169"/>
      <c r="BT55" s="1169"/>
      <c r="BU55" s="1169"/>
      <c r="BV55" s="1169"/>
      <c r="BW55" s="1169"/>
      <c r="BX55" s="1169"/>
      <c r="BY55" s="1169"/>
      <c r="BZ55" s="1169"/>
      <c r="CA55" s="1169"/>
      <c r="CB55" s="1169"/>
      <c r="CC55" s="1169"/>
      <c r="CD55" s="1169"/>
      <c r="CE55" s="1169"/>
      <c r="CF55" s="1169"/>
      <c r="CG55" s="1169"/>
      <c r="CH55" s="1169"/>
      <c r="CI55" s="1169"/>
      <c r="CJ55" s="1169"/>
      <c r="CK55" s="1169"/>
      <c r="CL55" s="1169"/>
      <c r="CM55" s="1169"/>
      <c r="CN55" s="1169"/>
      <c r="CO55" s="1169"/>
      <c r="CP55" s="1169"/>
      <c r="CQ55" s="1169"/>
      <c r="CR55" s="1169"/>
      <c r="CS55" s="1169"/>
      <c r="CT55" s="1169"/>
      <c r="CU55" s="1169"/>
      <c r="CV55" s="1169"/>
      <c r="CW55" s="1169"/>
      <c r="CX55" s="1169"/>
      <c r="CY55" s="1169"/>
      <c r="CZ55" s="1169"/>
      <c r="DA55" s="1168"/>
      <c r="DB55" s="1168"/>
      <c r="DC55" s="1168"/>
      <c r="DD55" s="1168"/>
      <c r="DE55" s="1168"/>
      <c r="DF55" s="1168"/>
      <c r="DG55" s="1168"/>
      <c r="DH55" s="1168"/>
      <c r="DI55" s="1168"/>
      <c r="DJ55" s="1168"/>
      <c r="DK55" s="1168"/>
      <c r="DL55" s="1168"/>
      <c r="DM55" s="1168"/>
      <c r="DN55" s="1168"/>
      <c r="DO55" s="1168"/>
      <c r="DP55" s="1168"/>
      <c r="DQ55" s="1168"/>
      <c r="DR55" s="1168"/>
      <c r="DS55" s="1168"/>
      <c r="DT55" s="1168"/>
      <c r="DU55" s="1168"/>
      <c r="DV55" s="1168"/>
      <c r="DW55" s="1168"/>
      <c r="DX55" s="1168"/>
      <c r="DY55" s="1168"/>
      <c r="DZ55" s="1168"/>
      <c r="EA55" s="1168"/>
      <c r="EB55" s="1168"/>
      <c r="EC55" s="1168"/>
      <c r="ED55" s="1168"/>
      <c r="EE55" s="1168"/>
      <c r="EF55" s="1168"/>
      <c r="EG55" s="1168"/>
      <c r="EH55" s="1168"/>
      <c r="EI55" s="1170"/>
      <c r="EJ55" s="1170"/>
      <c r="EK55" s="1170"/>
      <c r="EL55" s="1170"/>
      <c r="EM55" s="1170"/>
      <c r="EN55" s="1170"/>
      <c r="EO55" s="1170"/>
      <c r="EP55" s="1170"/>
      <c r="EQ55" s="1170"/>
      <c r="ER55" s="1170"/>
      <c r="ES55" s="1333"/>
      <c r="ET55" s="1333"/>
      <c r="EU55" s="1333"/>
      <c r="EV55" s="1333"/>
      <c r="EW55" s="1333"/>
      <c r="EX55" s="1333"/>
      <c r="EY55" s="1333"/>
      <c r="EZ55" s="1333"/>
      <c r="FA55" s="1333"/>
      <c r="FB55" s="1333"/>
      <c r="FC55" s="1333"/>
      <c r="FD55" s="1333"/>
      <c r="FE55" s="1333"/>
      <c r="FF55" s="1333"/>
      <c r="FG55" s="1333"/>
      <c r="FH55" s="1333"/>
      <c r="FI55" s="1333"/>
      <c r="FJ55" s="1333"/>
      <c r="FK55" s="1333"/>
      <c r="FL55" s="1333"/>
      <c r="FM55" s="1333"/>
      <c r="FN55" s="1333"/>
      <c r="FO55" s="1333"/>
      <c r="FP55" s="1333"/>
      <c r="FQ55" s="1333"/>
      <c r="FR55" s="1333"/>
      <c r="FS55" s="1333"/>
      <c r="FT55" s="1333"/>
      <c r="FU55" s="1333"/>
      <c r="FV55" s="1333"/>
      <c r="FW55" s="1333"/>
      <c r="FX55" s="1333"/>
      <c r="FY55" s="1333"/>
      <c r="FZ55" s="1333"/>
      <c r="GA55" s="1333"/>
      <c r="GB55" s="1333"/>
      <c r="GC55" s="1333"/>
      <c r="GD55" s="1333"/>
      <c r="GE55" s="1333"/>
      <c r="GF55" s="1333"/>
      <c r="GG55" s="1333"/>
      <c r="GH55" s="1333"/>
      <c r="GI55" s="1333"/>
      <c r="GJ55" s="1333"/>
      <c r="GK55" s="1333"/>
      <c r="GL55" s="1333"/>
      <c r="GM55" s="1333"/>
      <c r="GN55" s="1333"/>
      <c r="GO55" s="1333"/>
      <c r="GP55" s="1333"/>
      <c r="GQ55" s="1333"/>
      <c r="GR55" s="1333"/>
      <c r="GS55" s="1333"/>
      <c r="GT55" s="1333"/>
      <c r="GU55" s="1333"/>
      <c r="GV55" s="1333"/>
      <c r="GW55" s="1333"/>
      <c r="GX55" s="1333"/>
    </row>
    <row r="56" spans="1:206" s="607" customFormat="1">
      <c r="A56" s="607">
        <f t="shared" si="0"/>
        <v>1974</v>
      </c>
      <c r="B56" s="607">
        <f t="shared" si="1"/>
        <v>4</v>
      </c>
      <c r="C56" s="1173">
        <v>27365</v>
      </c>
      <c r="D56" s="957"/>
      <c r="E56" s="920"/>
      <c r="F56" s="920"/>
      <c r="G56" s="920"/>
      <c r="H56" s="920"/>
      <c r="I56" s="954">
        <v>138.45043886110275</v>
      </c>
      <c r="J56" s="954">
        <v>183.72361111110001</v>
      </c>
      <c r="K56" s="954"/>
      <c r="L56" s="920"/>
      <c r="M56" s="917"/>
      <c r="N56" s="917"/>
      <c r="O56" s="1334"/>
      <c r="P56" s="1334"/>
      <c r="Q56" s="1334"/>
      <c r="R56" s="1334"/>
      <c r="S56" s="1334"/>
      <c r="T56" s="1334"/>
      <c r="U56" s="920"/>
      <c r="V56" s="920"/>
      <c r="W56" s="920"/>
      <c r="X56" s="920"/>
      <c r="Y56" s="920"/>
      <c r="Z56" s="920"/>
      <c r="AA56" s="920"/>
      <c r="AB56" s="920"/>
      <c r="AC56" s="920"/>
      <c r="AD56" s="920"/>
      <c r="AE56" s="920"/>
      <c r="AF56" s="920"/>
      <c r="AG56" s="920"/>
      <c r="AH56" s="920"/>
      <c r="AI56" s="920"/>
      <c r="AJ56" s="920"/>
      <c r="AK56" s="920"/>
      <c r="AL56" s="1105"/>
      <c r="AM56" s="920"/>
      <c r="AN56" s="1711"/>
      <c r="AO56" s="920"/>
      <c r="AP56" s="920"/>
      <c r="AS56" s="1167"/>
      <c r="AT56" s="1167"/>
      <c r="AU56" s="1168"/>
      <c r="AV56" s="1168"/>
      <c r="AW56" s="1169"/>
      <c r="AX56" s="1169"/>
      <c r="AY56" s="1169"/>
      <c r="AZ56" s="1169"/>
      <c r="BA56" s="1799" t="s">
        <v>0</v>
      </c>
      <c r="BB56" s="1802">
        <v>2012</v>
      </c>
      <c r="BC56" s="1799" t="s">
        <v>249</v>
      </c>
      <c r="BD56" s="1799"/>
      <c r="BE56" s="1800">
        <v>2933394994</v>
      </c>
      <c r="BF56" s="1801">
        <v>1</v>
      </c>
      <c r="BG56" s="1799"/>
      <c r="BH56" s="1799" t="s">
        <v>0</v>
      </c>
      <c r="BI56" s="1799" t="s">
        <v>317</v>
      </c>
      <c r="BJ56" s="1799" t="s">
        <v>249</v>
      </c>
      <c r="BK56" s="1799"/>
      <c r="BL56" s="1800">
        <v>3308439488</v>
      </c>
      <c r="BM56" s="1801">
        <v>1</v>
      </c>
      <c r="BN56" s="1799">
        <v>2012</v>
      </c>
      <c r="BO56" s="1684"/>
      <c r="BP56" s="1697">
        <f>'Alumina and Bauxite - Prices'!A56</f>
        <v>44866</v>
      </c>
      <c r="BQ56" s="1169"/>
      <c r="BR56" s="1169"/>
      <c r="BS56" s="1169"/>
      <c r="BT56" s="1169"/>
      <c r="BU56" s="1169"/>
      <c r="BV56" s="1169"/>
      <c r="BW56" s="1169"/>
      <c r="BX56" s="1169"/>
      <c r="BY56" s="1169"/>
      <c r="BZ56" s="1169"/>
      <c r="CA56" s="1169"/>
      <c r="CB56" s="1169"/>
      <c r="CC56" s="1169"/>
      <c r="CD56" s="1169"/>
      <c r="CE56" s="1169"/>
      <c r="CF56" s="1169"/>
      <c r="CG56" s="1169"/>
      <c r="CH56" s="1169"/>
      <c r="CI56" s="1169"/>
      <c r="CJ56" s="1169"/>
      <c r="CK56" s="1169"/>
      <c r="CL56" s="1169"/>
      <c r="CM56" s="1169"/>
      <c r="CN56" s="1169"/>
      <c r="CO56" s="1169"/>
      <c r="CP56" s="1169"/>
      <c r="CQ56" s="1169"/>
      <c r="CR56" s="1169"/>
      <c r="CS56" s="1169"/>
      <c r="CT56" s="1169"/>
      <c r="CU56" s="1169"/>
      <c r="CV56" s="1169"/>
      <c r="CW56" s="1169"/>
      <c r="CX56" s="1169"/>
      <c r="CY56" s="1169"/>
      <c r="CZ56" s="1169"/>
      <c r="DA56" s="1168"/>
      <c r="DB56" s="1168"/>
      <c r="DC56" s="1168"/>
      <c r="DD56" s="1168"/>
      <c r="DE56" s="1168"/>
      <c r="DF56" s="1168"/>
      <c r="DG56" s="1168"/>
      <c r="DH56" s="1168"/>
      <c r="DI56" s="1168"/>
      <c r="DJ56" s="1168"/>
      <c r="DK56" s="1168"/>
      <c r="DL56" s="1168"/>
      <c r="DM56" s="1168"/>
      <c r="DN56" s="1168"/>
      <c r="DO56" s="1168"/>
      <c r="DP56" s="1168"/>
      <c r="DQ56" s="1168"/>
      <c r="DR56" s="1168"/>
      <c r="DS56" s="1168"/>
      <c r="DT56" s="1168"/>
      <c r="DU56" s="1168"/>
      <c r="DV56" s="1168"/>
      <c r="DW56" s="1168"/>
      <c r="DX56" s="1168"/>
      <c r="DY56" s="1168"/>
      <c r="DZ56" s="1168"/>
      <c r="EA56" s="1168"/>
      <c r="EB56" s="1168"/>
      <c r="EC56" s="1168"/>
      <c r="ED56" s="1168"/>
      <c r="EE56" s="1168"/>
      <c r="EF56" s="1168"/>
      <c r="EG56" s="1168"/>
      <c r="EH56" s="1168"/>
      <c r="EI56" s="1170"/>
      <c r="EJ56" s="1170"/>
      <c r="EK56" s="1170"/>
      <c r="EL56" s="1170"/>
      <c r="EM56" s="1170"/>
      <c r="EN56" s="1170"/>
      <c r="EO56" s="1170"/>
      <c r="EP56" s="1170"/>
      <c r="EQ56" s="1170"/>
      <c r="ER56" s="1170"/>
      <c r="ES56" s="1333"/>
      <c r="ET56" s="1333"/>
      <c r="EU56" s="1333"/>
      <c r="EV56" s="1333"/>
      <c r="EW56" s="1333"/>
      <c r="EX56" s="1333"/>
      <c r="EY56" s="1333"/>
      <c r="EZ56" s="1333"/>
      <c r="FA56" s="1333"/>
      <c r="FB56" s="1333"/>
      <c r="FC56" s="1333"/>
      <c r="FD56" s="1333"/>
      <c r="FE56" s="1333"/>
      <c r="FF56" s="1333"/>
      <c r="FG56" s="1333"/>
      <c r="FH56" s="1333"/>
      <c r="FI56" s="1333"/>
      <c r="FJ56" s="1333"/>
      <c r="FK56" s="1333"/>
      <c r="FL56" s="1333"/>
      <c r="FM56" s="1333"/>
      <c r="FN56" s="1333"/>
      <c r="FO56" s="1333"/>
      <c r="FP56" s="1333"/>
      <c r="FQ56" s="1333"/>
      <c r="FR56" s="1333"/>
      <c r="FS56" s="1333"/>
      <c r="FT56" s="1333"/>
      <c r="FU56" s="1333"/>
      <c r="FV56" s="1333"/>
      <c r="FW56" s="1333"/>
      <c r="FX56" s="1333"/>
      <c r="FY56" s="1333"/>
      <c r="FZ56" s="1333"/>
      <c r="GA56" s="1333"/>
      <c r="GB56" s="1333"/>
      <c r="GC56" s="1333"/>
      <c r="GD56" s="1333"/>
      <c r="GE56" s="1333"/>
      <c r="GF56" s="1333"/>
      <c r="GG56" s="1333"/>
      <c r="GH56" s="1333"/>
      <c r="GI56" s="1333"/>
      <c r="GJ56" s="1333"/>
      <c r="GK56" s="1333"/>
      <c r="GL56" s="1333"/>
      <c r="GM56" s="1333"/>
      <c r="GN56" s="1333"/>
      <c r="GO56" s="1333"/>
      <c r="GP56" s="1333"/>
      <c r="GQ56" s="1333"/>
      <c r="GR56" s="1333"/>
      <c r="GS56" s="1333"/>
      <c r="GT56" s="1333"/>
      <c r="GU56" s="1333"/>
      <c r="GV56" s="1333"/>
      <c r="GW56" s="1333"/>
      <c r="GX56" s="1333"/>
    </row>
    <row r="57" spans="1:206" s="607" customFormat="1">
      <c r="A57" s="607">
        <f t="shared" si="0"/>
        <v>1975</v>
      </c>
      <c r="B57" s="607">
        <f t="shared" si="1"/>
        <v>1</v>
      </c>
      <c r="C57" s="1173">
        <v>27395</v>
      </c>
      <c r="D57" s="1709"/>
      <c r="E57" s="1117"/>
      <c r="F57" s="1117"/>
      <c r="G57" s="1117"/>
      <c r="H57" s="1117"/>
      <c r="I57" s="959">
        <v>131.89174647843626</v>
      </c>
      <c r="J57" s="959">
        <v>176.52386363639999</v>
      </c>
      <c r="K57" s="960"/>
      <c r="L57" s="1121"/>
      <c r="M57" s="916"/>
      <c r="N57" s="916"/>
      <c r="O57" s="1332"/>
      <c r="P57" s="1332"/>
      <c r="Q57" s="1332"/>
      <c r="R57" s="1332"/>
      <c r="S57" s="1332"/>
      <c r="T57" s="1332"/>
      <c r="U57" s="1120"/>
      <c r="V57" s="1120"/>
      <c r="W57" s="1120"/>
      <c r="X57" s="1120"/>
      <c r="Y57" s="1119"/>
      <c r="Z57" s="1119"/>
      <c r="AA57" s="1119"/>
      <c r="AB57" s="1119"/>
      <c r="AC57" s="1178"/>
      <c r="AD57" s="1178"/>
      <c r="AE57" s="1178"/>
      <c r="AF57" s="1178"/>
      <c r="AG57" s="1178"/>
      <c r="AH57" s="1178"/>
      <c r="AI57" s="1178"/>
      <c r="AJ57" s="1178"/>
      <c r="AK57" s="919"/>
      <c r="AL57" s="1104"/>
      <c r="AM57" s="919"/>
      <c r="AN57" s="1710"/>
      <c r="AO57" s="919"/>
      <c r="AP57" s="919"/>
      <c r="AS57" s="1167"/>
      <c r="AT57" s="1167"/>
      <c r="AU57" s="1168"/>
      <c r="AV57" s="1168"/>
      <c r="AW57" s="1169"/>
      <c r="AX57" s="1169"/>
      <c r="AY57" s="1169"/>
      <c r="AZ57" s="1169"/>
      <c r="BA57" s="1799" t="s">
        <v>0</v>
      </c>
      <c r="BB57" s="1802">
        <v>2011</v>
      </c>
      <c r="BC57" s="1799" t="s">
        <v>29</v>
      </c>
      <c r="BD57" s="1799">
        <v>1</v>
      </c>
      <c r="BE57" s="1800">
        <v>784497562.99999988</v>
      </c>
      <c r="BF57" s="1801">
        <v>0.22518435084858127</v>
      </c>
      <c r="BG57" s="1799"/>
      <c r="BH57" s="1799" t="s">
        <v>0</v>
      </c>
      <c r="BI57" s="1799" t="s">
        <v>316</v>
      </c>
      <c r="BJ57" s="1799" t="s">
        <v>29</v>
      </c>
      <c r="BK57" s="1799">
        <v>1</v>
      </c>
      <c r="BL57" s="1800">
        <v>762205409.72999966</v>
      </c>
      <c r="BM57" s="1801">
        <v>0.20754421704556564</v>
      </c>
      <c r="BN57" s="1799">
        <v>2011</v>
      </c>
      <c r="BO57" s="1684"/>
      <c r="BP57" s="1696"/>
      <c r="BQ57" s="1169"/>
      <c r="BR57" s="1169"/>
      <c r="BS57" s="1169"/>
      <c r="BT57" s="1169"/>
      <c r="BU57" s="1169"/>
      <c r="BV57" s="1169"/>
      <c r="BW57" s="1169"/>
      <c r="BX57" s="1169"/>
      <c r="BY57" s="1169"/>
      <c r="BZ57" s="1169"/>
      <c r="CA57" s="1169"/>
      <c r="CB57" s="1169"/>
      <c r="CC57" s="1169"/>
      <c r="CD57" s="1169"/>
      <c r="CE57" s="1169"/>
      <c r="CF57" s="1169"/>
      <c r="CG57" s="1169"/>
      <c r="CH57" s="1169"/>
      <c r="CI57" s="1169"/>
      <c r="CJ57" s="1169"/>
      <c r="CK57" s="1169"/>
      <c r="CL57" s="1169"/>
      <c r="CM57" s="1169"/>
      <c r="CN57" s="1169"/>
      <c r="CO57" s="1169"/>
      <c r="CP57" s="1169"/>
      <c r="CQ57" s="1169"/>
      <c r="CR57" s="1169"/>
      <c r="CS57" s="1169"/>
      <c r="CT57" s="1169"/>
      <c r="CU57" s="1169"/>
      <c r="CV57" s="1169"/>
      <c r="CW57" s="1169"/>
      <c r="CX57" s="1169"/>
      <c r="CY57" s="1169"/>
      <c r="CZ57" s="1169"/>
      <c r="DA57" s="1168"/>
      <c r="DB57" s="1168"/>
      <c r="DC57" s="1168"/>
      <c r="DD57" s="1168"/>
      <c r="DE57" s="1168"/>
      <c r="DF57" s="1168"/>
      <c r="DG57" s="1168"/>
      <c r="DH57" s="1168"/>
      <c r="DI57" s="1168"/>
      <c r="DJ57" s="1168"/>
      <c r="DK57" s="1168"/>
      <c r="DL57" s="1168"/>
      <c r="DM57" s="1168"/>
      <c r="DN57" s="1168"/>
      <c r="DO57" s="1168"/>
      <c r="DP57" s="1168"/>
      <c r="DQ57" s="1168"/>
      <c r="DR57" s="1168"/>
      <c r="DS57" s="1168"/>
      <c r="DT57" s="1168"/>
      <c r="DU57" s="1168"/>
      <c r="DV57" s="1168"/>
      <c r="DW57" s="1168"/>
      <c r="DX57" s="1168"/>
      <c r="DY57" s="1168"/>
      <c r="DZ57" s="1168"/>
      <c r="EA57" s="1168"/>
      <c r="EB57" s="1168"/>
      <c r="EC57" s="1168"/>
      <c r="ED57" s="1168"/>
      <c r="EE57" s="1168"/>
      <c r="EF57" s="1168"/>
      <c r="EG57" s="1168"/>
      <c r="EH57" s="1168"/>
      <c r="EI57" s="1170"/>
      <c r="EJ57" s="1170"/>
      <c r="EK57" s="1170"/>
      <c r="EL57" s="1170"/>
      <c r="EM57" s="1170"/>
      <c r="EN57" s="1170"/>
      <c r="EO57" s="1170"/>
      <c r="EP57" s="1170"/>
      <c r="EQ57" s="1170"/>
      <c r="ER57" s="1170"/>
      <c r="ES57" s="1333"/>
      <c r="ET57" s="1333"/>
      <c r="EU57" s="1333"/>
      <c r="EV57" s="1333"/>
      <c r="EW57" s="1333"/>
      <c r="EX57" s="1333"/>
      <c r="EY57" s="1333"/>
      <c r="EZ57" s="1333"/>
      <c r="FA57" s="1333"/>
      <c r="FB57" s="1333"/>
      <c r="FC57" s="1333"/>
      <c r="FD57" s="1333"/>
      <c r="FE57" s="1333"/>
      <c r="FF57" s="1333"/>
      <c r="FG57" s="1333"/>
      <c r="FH57" s="1333"/>
      <c r="FI57" s="1333"/>
      <c r="FJ57" s="1333"/>
      <c r="FK57" s="1333"/>
      <c r="FL57" s="1333"/>
      <c r="FM57" s="1333"/>
      <c r="FN57" s="1333"/>
      <c r="FO57" s="1333"/>
      <c r="FP57" s="1333"/>
      <c r="FQ57" s="1333"/>
      <c r="FR57" s="1333"/>
      <c r="FS57" s="1333"/>
      <c r="FT57" s="1333"/>
      <c r="FU57" s="1333"/>
      <c r="FV57" s="1333"/>
      <c r="FW57" s="1333"/>
      <c r="FX57" s="1333"/>
      <c r="FY57" s="1333"/>
      <c r="FZ57" s="1333"/>
      <c r="GA57" s="1333"/>
      <c r="GB57" s="1333"/>
      <c r="GC57" s="1333"/>
      <c r="GD57" s="1333"/>
      <c r="GE57" s="1333"/>
      <c r="GF57" s="1333"/>
      <c r="GG57" s="1333"/>
      <c r="GH57" s="1333"/>
      <c r="GI57" s="1333"/>
      <c r="GJ57" s="1333"/>
      <c r="GK57" s="1333"/>
      <c r="GL57" s="1333"/>
      <c r="GM57" s="1333"/>
      <c r="GN57" s="1333"/>
      <c r="GO57" s="1333"/>
      <c r="GP57" s="1333"/>
      <c r="GQ57" s="1333"/>
      <c r="GR57" s="1333"/>
      <c r="GS57" s="1333"/>
      <c r="GT57" s="1333"/>
      <c r="GU57" s="1333"/>
      <c r="GV57" s="1333"/>
      <c r="GW57" s="1333"/>
      <c r="GX57" s="1333"/>
    </row>
    <row r="58" spans="1:206" s="607" customFormat="1">
      <c r="A58" s="607">
        <f t="shared" si="0"/>
        <v>1975</v>
      </c>
      <c r="B58" s="607">
        <f t="shared" si="1"/>
        <v>1</v>
      </c>
      <c r="C58" s="1173">
        <v>27428</v>
      </c>
      <c r="D58" s="957"/>
      <c r="E58" s="920"/>
      <c r="F58" s="920"/>
      <c r="G58" s="920"/>
      <c r="H58" s="920"/>
      <c r="I58" s="954">
        <v>131.51616938999999</v>
      </c>
      <c r="J58" s="954">
        <v>179.73</v>
      </c>
      <c r="K58" s="954"/>
      <c r="L58" s="920"/>
      <c r="M58" s="917"/>
      <c r="N58" s="917"/>
      <c r="O58" s="1334"/>
      <c r="P58" s="1334"/>
      <c r="Q58" s="1334"/>
      <c r="R58" s="1334"/>
      <c r="S58" s="1334"/>
      <c r="T58" s="1334"/>
      <c r="U58" s="920"/>
      <c r="V58" s="920"/>
      <c r="W58" s="920"/>
      <c r="X58" s="920"/>
      <c r="Y58" s="920"/>
      <c r="Z58" s="920"/>
      <c r="AA58" s="920"/>
      <c r="AB58" s="920"/>
      <c r="AC58" s="920"/>
      <c r="AD58" s="920"/>
      <c r="AE58" s="920"/>
      <c r="AF58" s="920"/>
      <c r="AG58" s="920"/>
      <c r="AH58" s="920"/>
      <c r="AI58" s="920"/>
      <c r="AJ58" s="920"/>
      <c r="AK58" s="920"/>
      <c r="AL58" s="1105"/>
      <c r="AM58" s="920"/>
      <c r="AN58" s="1711"/>
      <c r="AO58" s="920"/>
      <c r="AP58" s="920"/>
      <c r="AS58" s="1167"/>
      <c r="AT58" s="1167"/>
      <c r="AU58" s="1168"/>
      <c r="AV58" s="1168"/>
      <c r="AW58" s="1169"/>
      <c r="AX58" s="1169"/>
      <c r="AY58" s="1169"/>
      <c r="AZ58" s="1169"/>
      <c r="BA58" s="1799" t="s">
        <v>0</v>
      </c>
      <c r="BB58" s="1802">
        <v>2011</v>
      </c>
      <c r="BC58" s="1799" t="s">
        <v>27</v>
      </c>
      <c r="BD58" s="1799">
        <v>2</v>
      </c>
      <c r="BE58" s="1800">
        <v>449255312.01999998</v>
      </c>
      <c r="BF58" s="1801">
        <v>0.12895548765713696</v>
      </c>
      <c r="BG58" s="1799"/>
      <c r="BH58" s="1799" t="s">
        <v>0</v>
      </c>
      <c r="BI58" s="1799" t="s">
        <v>316</v>
      </c>
      <c r="BJ58" s="1799" t="s">
        <v>15</v>
      </c>
      <c r="BK58" s="1799">
        <v>2</v>
      </c>
      <c r="BL58" s="1800">
        <v>738530708.09999979</v>
      </c>
      <c r="BM58" s="1801">
        <v>0.20109772985082605</v>
      </c>
      <c r="BN58" s="1799">
        <v>2011</v>
      </c>
      <c r="BO58" s="1684"/>
      <c r="BP58" s="1696"/>
      <c r="BQ58" s="1169"/>
      <c r="BR58" s="1169"/>
      <c r="BS58" s="1169"/>
      <c r="BT58" s="1169"/>
      <c r="BU58" s="1169"/>
      <c r="BV58" s="1169"/>
      <c r="BW58" s="1169"/>
      <c r="BX58" s="1169"/>
      <c r="BY58" s="1169"/>
      <c r="BZ58" s="1169"/>
      <c r="CA58" s="1169"/>
      <c r="CB58" s="1169"/>
      <c r="CC58" s="1169"/>
      <c r="CD58" s="1169"/>
      <c r="CE58" s="1169"/>
      <c r="CF58" s="1169"/>
      <c r="CG58" s="1169"/>
      <c r="CH58" s="1169"/>
      <c r="CI58" s="1169"/>
      <c r="CJ58" s="1169"/>
      <c r="CK58" s="1169"/>
      <c r="CL58" s="1169"/>
      <c r="CM58" s="1169"/>
      <c r="CN58" s="1169"/>
      <c r="CO58" s="1169"/>
      <c r="CP58" s="1169"/>
      <c r="CQ58" s="1169"/>
      <c r="CR58" s="1169"/>
      <c r="CS58" s="1169"/>
      <c r="CT58" s="1169"/>
      <c r="CU58" s="1169"/>
      <c r="CV58" s="1169"/>
      <c r="CW58" s="1169"/>
      <c r="CX58" s="1169"/>
      <c r="CY58" s="1169"/>
      <c r="CZ58" s="1169"/>
      <c r="DA58" s="1168"/>
      <c r="DB58" s="1168"/>
      <c r="DC58" s="1168"/>
      <c r="DD58" s="1168"/>
      <c r="DE58" s="1168"/>
      <c r="DF58" s="1168"/>
      <c r="DG58" s="1168"/>
      <c r="DH58" s="1168"/>
      <c r="DI58" s="1168"/>
      <c r="DJ58" s="1168"/>
      <c r="DK58" s="1168"/>
      <c r="DL58" s="1168"/>
      <c r="DM58" s="1168"/>
      <c r="DN58" s="1168"/>
      <c r="DO58" s="1168"/>
      <c r="DP58" s="1168"/>
      <c r="DQ58" s="1168"/>
      <c r="DR58" s="1168"/>
      <c r="DS58" s="1168"/>
      <c r="DT58" s="1168"/>
      <c r="DU58" s="1168"/>
      <c r="DV58" s="1168"/>
      <c r="DW58" s="1168"/>
      <c r="DX58" s="1168"/>
      <c r="DY58" s="1168"/>
      <c r="DZ58" s="1168"/>
      <c r="EA58" s="1168"/>
      <c r="EB58" s="1168"/>
      <c r="EC58" s="1168"/>
      <c r="ED58" s="1168"/>
      <c r="EE58" s="1168"/>
      <c r="EF58" s="1168"/>
      <c r="EG58" s="1168"/>
      <c r="EH58" s="1168"/>
      <c r="EI58" s="1170"/>
      <c r="EJ58" s="1170"/>
      <c r="EK58" s="1170"/>
      <c r="EL58" s="1170"/>
      <c r="EM58" s="1170"/>
      <c r="EN58" s="1170"/>
      <c r="EO58" s="1170"/>
      <c r="EP58" s="1170"/>
      <c r="EQ58" s="1170"/>
      <c r="ER58" s="1170"/>
      <c r="ES58" s="1333"/>
      <c r="ET58" s="1333"/>
      <c r="EU58" s="1333"/>
      <c r="EV58" s="1333"/>
      <c r="EW58" s="1333"/>
      <c r="EX58" s="1333"/>
      <c r="EY58" s="1333"/>
      <c r="EZ58" s="1333"/>
      <c r="FA58" s="1333"/>
      <c r="FB58" s="1333"/>
      <c r="FC58" s="1333"/>
      <c r="FD58" s="1333"/>
      <c r="FE58" s="1333"/>
      <c r="FF58" s="1333"/>
      <c r="FG58" s="1333"/>
      <c r="FH58" s="1333"/>
      <c r="FI58" s="1333"/>
      <c r="FJ58" s="1333"/>
      <c r="FK58" s="1333"/>
      <c r="FL58" s="1333"/>
      <c r="FM58" s="1333"/>
      <c r="FN58" s="1333"/>
      <c r="FO58" s="1333"/>
      <c r="FP58" s="1333"/>
      <c r="FQ58" s="1333"/>
      <c r="FR58" s="1333"/>
      <c r="FS58" s="1333"/>
      <c r="FT58" s="1333"/>
      <c r="FU58" s="1333"/>
      <c r="FV58" s="1333"/>
      <c r="FW58" s="1333"/>
      <c r="FX58" s="1333"/>
      <c r="FY58" s="1333"/>
      <c r="FZ58" s="1333"/>
      <c r="GA58" s="1333"/>
      <c r="GB58" s="1333"/>
      <c r="GC58" s="1333"/>
      <c r="GD58" s="1333"/>
      <c r="GE58" s="1333"/>
      <c r="GF58" s="1333"/>
      <c r="GG58" s="1333"/>
      <c r="GH58" s="1333"/>
      <c r="GI58" s="1333"/>
      <c r="GJ58" s="1333"/>
      <c r="GK58" s="1333"/>
      <c r="GL58" s="1333"/>
      <c r="GM58" s="1333"/>
      <c r="GN58" s="1333"/>
      <c r="GO58" s="1333"/>
      <c r="GP58" s="1333"/>
      <c r="GQ58" s="1333"/>
      <c r="GR58" s="1333"/>
      <c r="GS58" s="1333"/>
      <c r="GT58" s="1333"/>
      <c r="GU58" s="1333"/>
      <c r="GV58" s="1333"/>
      <c r="GW58" s="1333"/>
      <c r="GX58" s="1333"/>
    </row>
    <row r="59" spans="1:206" s="607" customFormat="1">
      <c r="A59" s="607">
        <f t="shared" si="0"/>
        <v>1975</v>
      </c>
      <c r="B59" s="607">
        <f t="shared" si="1"/>
        <v>1</v>
      </c>
      <c r="C59" s="1173">
        <v>27456</v>
      </c>
      <c r="D59" s="1709"/>
      <c r="E59" s="1117"/>
      <c r="F59" s="1117"/>
      <c r="G59" s="1117"/>
      <c r="H59" s="1117"/>
      <c r="I59" s="959">
        <v>131.51866385265879</v>
      </c>
      <c r="J59" s="959">
        <v>178.0368421053</v>
      </c>
      <c r="K59" s="960"/>
      <c r="L59" s="1121"/>
      <c r="M59" s="916"/>
      <c r="N59" s="916"/>
      <c r="O59" s="1332"/>
      <c r="P59" s="1332"/>
      <c r="Q59" s="1332"/>
      <c r="R59" s="1332"/>
      <c r="S59" s="1332"/>
      <c r="T59" s="1332"/>
      <c r="U59" s="1120"/>
      <c r="V59" s="1120"/>
      <c r="W59" s="1120"/>
      <c r="X59" s="1120"/>
      <c r="Y59" s="1119"/>
      <c r="Z59" s="1119"/>
      <c r="AA59" s="1119"/>
      <c r="AB59" s="1119"/>
      <c r="AC59" s="1178"/>
      <c r="AD59" s="1178"/>
      <c r="AE59" s="1178"/>
      <c r="AF59" s="1178"/>
      <c r="AG59" s="1178"/>
      <c r="AH59" s="1178"/>
      <c r="AI59" s="1178"/>
      <c r="AJ59" s="1178"/>
      <c r="AK59" s="919"/>
      <c r="AL59" s="1104"/>
      <c r="AM59" s="919"/>
      <c r="AN59" s="1710"/>
      <c r="AO59" s="919"/>
      <c r="AP59" s="919"/>
      <c r="AS59" s="1167"/>
      <c r="AT59" s="1167"/>
      <c r="AU59" s="1168"/>
      <c r="AV59" s="1168"/>
      <c r="AW59" s="1169"/>
      <c r="AX59" s="1169"/>
      <c r="AY59" s="1169"/>
      <c r="AZ59" s="1169"/>
      <c r="BA59" s="1799" t="s">
        <v>0</v>
      </c>
      <c r="BB59" s="1802">
        <v>2011</v>
      </c>
      <c r="BC59" s="1799" t="s">
        <v>15</v>
      </c>
      <c r="BD59" s="1799">
        <v>3</v>
      </c>
      <c r="BE59" s="1800">
        <v>442213355.84000003</v>
      </c>
      <c r="BF59" s="1801">
        <v>0.12693414507318629</v>
      </c>
      <c r="BG59" s="1799"/>
      <c r="BH59" s="1799" t="s">
        <v>0</v>
      </c>
      <c r="BI59" s="1799" t="s">
        <v>316</v>
      </c>
      <c r="BJ59" s="1799" t="s">
        <v>27</v>
      </c>
      <c r="BK59" s="1799">
        <v>3</v>
      </c>
      <c r="BL59" s="1800">
        <v>473916645.72999996</v>
      </c>
      <c r="BM59" s="1801">
        <v>0.1290448190570252</v>
      </c>
      <c r="BN59" s="1799">
        <v>2011</v>
      </c>
      <c r="BO59" s="1684"/>
      <c r="BP59" s="1697">
        <f>'Alumina and Bauxite - Prices'!A59</f>
        <v>44958</v>
      </c>
      <c r="BQ59" s="1169"/>
      <c r="BR59" s="1169"/>
      <c r="BS59" s="1169"/>
      <c r="BT59" s="1169"/>
      <c r="BU59" s="1169"/>
      <c r="BV59" s="1169"/>
      <c r="BW59" s="1169"/>
      <c r="BX59" s="1169"/>
      <c r="BY59" s="1169"/>
      <c r="BZ59" s="1169"/>
      <c r="CA59" s="1169"/>
      <c r="CB59" s="1169"/>
      <c r="CC59" s="1169"/>
      <c r="CD59" s="1169"/>
      <c r="CE59" s="1169"/>
      <c r="CF59" s="1169"/>
      <c r="CG59" s="1169"/>
      <c r="CH59" s="1169"/>
      <c r="CI59" s="1169"/>
      <c r="CJ59" s="1169"/>
      <c r="CK59" s="1169"/>
      <c r="CL59" s="1169"/>
      <c r="CM59" s="1169"/>
      <c r="CN59" s="1169"/>
      <c r="CO59" s="1169"/>
      <c r="CP59" s="1169"/>
      <c r="CQ59" s="1169"/>
      <c r="CR59" s="1169"/>
      <c r="CS59" s="1169"/>
      <c r="CT59" s="1169"/>
      <c r="CU59" s="1169"/>
      <c r="CV59" s="1169"/>
      <c r="CW59" s="1169"/>
      <c r="CX59" s="1169"/>
      <c r="CY59" s="1169"/>
      <c r="CZ59" s="1169"/>
      <c r="DA59" s="1168"/>
      <c r="DB59" s="1168"/>
      <c r="DC59" s="1168"/>
      <c r="DD59" s="1168"/>
      <c r="DE59" s="1168"/>
      <c r="DF59" s="1168"/>
      <c r="DG59" s="1168"/>
      <c r="DH59" s="1168"/>
      <c r="DI59" s="1168"/>
      <c r="DJ59" s="1168"/>
      <c r="DK59" s="1168"/>
      <c r="DL59" s="1168"/>
      <c r="DM59" s="1168"/>
      <c r="DN59" s="1168"/>
      <c r="DO59" s="1168"/>
      <c r="DP59" s="1168"/>
      <c r="DQ59" s="1168"/>
      <c r="DR59" s="1168"/>
      <c r="DS59" s="1168"/>
      <c r="DT59" s="1168"/>
      <c r="DU59" s="1168"/>
      <c r="DV59" s="1168"/>
      <c r="DW59" s="1168"/>
      <c r="DX59" s="1168"/>
      <c r="DY59" s="1168"/>
      <c r="DZ59" s="1168"/>
      <c r="EA59" s="1168"/>
      <c r="EB59" s="1168"/>
      <c r="EC59" s="1168"/>
      <c r="ED59" s="1168"/>
      <c r="EE59" s="1168"/>
      <c r="EF59" s="1168"/>
      <c r="EG59" s="1168"/>
      <c r="EH59" s="1168"/>
      <c r="EI59" s="1170"/>
      <c r="EJ59" s="1170"/>
      <c r="EK59" s="1170"/>
      <c r="EL59" s="1170"/>
      <c r="EM59" s="1170"/>
      <c r="EN59" s="1170"/>
      <c r="EO59" s="1170"/>
      <c r="EP59" s="1170"/>
      <c r="EQ59" s="1170"/>
      <c r="ER59" s="1170"/>
      <c r="ES59" s="1333"/>
      <c r="ET59" s="1333"/>
      <c r="EU59" s="1333"/>
      <c r="EV59" s="1333"/>
      <c r="EW59" s="1333"/>
      <c r="EX59" s="1333"/>
      <c r="EY59" s="1333"/>
      <c r="EZ59" s="1333"/>
      <c r="FA59" s="1333"/>
      <c r="FB59" s="1333"/>
      <c r="FC59" s="1333"/>
      <c r="FD59" s="1333"/>
      <c r="FE59" s="1333"/>
      <c r="FF59" s="1333"/>
      <c r="FG59" s="1333"/>
      <c r="FH59" s="1333"/>
      <c r="FI59" s="1333"/>
      <c r="FJ59" s="1333"/>
      <c r="FK59" s="1333"/>
      <c r="FL59" s="1333"/>
      <c r="FM59" s="1333"/>
      <c r="FN59" s="1333"/>
      <c r="FO59" s="1333"/>
      <c r="FP59" s="1333"/>
      <c r="FQ59" s="1333"/>
      <c r="FR59" s="1333"/>
      <c r="FS59" s="1333"/>
      <c r="FT59" s="1333"/>
      <c r="FU59" s="1333"/>
      <c r="FV59" s="1333"/>
      <c r="FW59" s="1333"/>
      <c r="FX59" s="1333"/>
      <c r="FY59" s="1333"/>
      <c r="FZ59" s="1333"/>
      <c r="GA59" s="1333"/>
      <c r="GB59" s="1333"/>
      <c r="GC59" s="1333"/>
      <c r="GD59" s="1333"/>
      <c r="GE59" s="1333"/>
      <c r="GF59" s="1333"/>
      <c r="GG59" s="1333"/>
      <c r="GH59" s="1333"/>
      <c r="GI59" s="1333"/>
      <c r="GJ59" s="1333"/>
      <c r="GK59" s="1333"/>
      <c r="GL59" s="1333"/>
      <c r="GM59" s="1333"/>
      <c r="GN59" s="1333"/>
      <c r="GO59" s="1333"/>
      <c r="GP59" s="1333"/>
      <c r="GQ59" s="1333"/>
      <c r="GR59" s="1333"/>
      <c r="GS59" s="1333"/>
      <c r="GT59" s="1333"/>
      <c r="GU59" s="1333"/>
      <c r="GV59" s="1333"/>
      <c r="GW59" s="1333"/>
      <c r="GX59" s="1333"/>
    </row>
    <row r="60" spans="1:206" s="607" customFormat="1">
      <c r="A60" s="607">
        <f t="shared" si="0"/>
        <v>1975</v>
      </c>
      <c r="B60" s="607">
        <f t="shared" si="1"/>
        <v>2</v>
      </c>
      <c r="C60" s="1173">
        <v>27485</v>
      </c>
      <c r="D60" s="957"/>
      <c r="E60" s="920"/>
      <c r="F60" s="920"/>
      <c r="G60" s="920"/>
      <c r="H60" s="920"/>
      <c r="I60" s="954">
        <v>126.45665459999323</v>
      </c>
      <c r="J60" s="954">
        <v>169.57840909090001</v>
      </c>
      <c r="K60" s="954"/>
      <c r="L60" s="920"/>
      <c r="M60" s="917"/>
      <c r="N60" s="917"/>
      <c r="O60" s="1334"/>
      <c r="P60" s="1334"/>
      <c r="Q60" s="1334"/>
      <c r="R60" s="1334"/>
      <c r="S60" s="1334"/>
      <c r="T60" s="1334"/>
      <c r="U60" s="920"/>
      <c r="V60" s="920"/>
      <c r="W60" s="920"/>
      <c r="X60" s="920"/>
      <c r="Y60" s="920"/>
      <c r="Z60" s="920"/>
      <c r="AA60" s="920"/>
      <c r="AB60" s="920"/>
      <c r="AC60" s="920"/>
      <c r="AD60" s="920"/>
      <c r="AE60" s="920"/>
      <c r="AF60" s="920"/>
      <c r="AG60" s="920"/>
      <c r="AH60" s="920"/>
      <c r="AI60" s="920"/>
      <c r="AJ60" s="920"/>
      <c r="AK60" s="920"/>
      <c r="AL60" s="1105"/>
      <c r="AM60" s="920"/>
      <c r="AN60" s="1711"/>
      <c r="AO60" s="920"/>
      <c r="AP60" s="920"/>
      <c r="AS60" s="1167"/>
      <c r="AT60" s="1167"/>
      <c r="AU60" s="1168"/>
      <c r="AV60" s="1168"/>
      <c r="AW60" s="1169"/>
      <c r="AX60" s="1169"/>
      <c r="AY60" s="1169"/>
      <c r="AZ60" s="1169"/>
      <c r="BA60" s="1799" t="s">
        <v>0</v>
      </c>
      <c r="BB60" s="1802">
        <v>2011</v>
      </c>
      <c r="BC60" s="1799" t="s">
        <v>14</v>
      </c>
      <c r="BD60" s="1799">
        <v>4</v>
      </c>
      <c r="BE60" s="1800">
        <v>335390627.97000003</v>
      </c>
      <c r="BF60" s="1801">
        <v>9.6271453733148799E-2</v>
      </c>
      <c r="BG60" s="1799"/>
      <c r="BH60" s="1799" t="s">
        <v>0</v>
      </c>
      <c r="BI60" s="1799" t="s">
        <v>316</v>
      </c>
      <c r="BJ60" s="1799" t="s">
        <v>14</v>
      </c>
      <c r="BK60" s="1799">
        <v>4</v>
      </c>
      <c r="BL60" s="1800">
        <v>319682429.44999999</v>
      </c>
      <c r="BM60" s="1801">
        <v>8.70477153224712E-2</v>
      </c>
      <c r="BN60" s="1799">
        <v>2011</v>
      </c>
      <c r="BO60" s="1684"/>
      <c r="BP60" s="1696"/>
      <c r="BQ60" s="1169"/>
      <c r="BR60" s="1169"/>
      <c r="BS60" s="1169"/>
      <c r="BT60" s="1169"/>
      <c r="BU60" s="1169"/>
      <c r="BV60" s="1169"/>
      <c r="BW60" s="1169"/>
      <c r="BX60" s="1169"/>
      <c r="BY60" s="1169"/>
      <c r="BZ60" s="1169"/>
      <c r="CA60" s="1169"/>
      <c r="CB60" s="1169"/>
      <c r="CC60" s="1169"/>
      <c r="CD60" s="1169"/>
      <c r="CE60" s="1169"/>
      <c r="CF60" s="1169"/>
      <c r="CG60" s="1169"/>
      <c r="CH60" s="1169"/>
      <c r="CI60" s="1169"/>
      <c r="CJ60" s="1169"/>
      <c r="CK60" s="1169"/>
      <c r="CL60" s="1169"/>
      <c r="CM60" s="1169"/>
      <c r="CN60" s="1169"/>
      <c r="CO60" s="1169"/>
      <c r="CP60" s="1169"/>
      <c r="CQ60" s="1169"/>
      <c r="CR60" s="1169"/>
      <c r="CS60" s="1169"/>
      <c r="CT60" s="1169"/>
      <c r="CU60" s="1169"/>
      <c r="CV60" s="1169"/>
      <c r="CW60" s="1169"/>
      <c r="CX60" s="1169"/>
      <c r="CY60" s="1169"/>
      <c r="CZ60" s="1169"/>
      <c r="DA60" s="1168"/>
      <c r="DB60" s="1168"/>
      <c r="DC60" s="1168"/>
      <c r="DD60" s="1168"/>
      <c r="DE60" s="1168"/>
      <c r="DF60" s="1168"/>
      <c r="DG60" s="1168"/>
      <c r="DH60" s="1168"/>
      <c r="DI60" s="1168"/>
      <c r="DJ60" s="1168"/>
      <c r="DK60" s="1168"/>
      <c r="DL60" s="1168"/>
      <c r="DM60" s="1168"/>
      <c r="DN60" s="1168"/>
      <c r="DO60" s="1168"/>
      <c r="DP60" s="1168"/>
      <c r="DQ60" s="1168"/>
      <c r="DR60" s="1168"/>
      <c r="DS60" s="1168"/>
      <c r="DT60" s="1168"/>
      <c r="DU60" s="1168"/>
      <c r="DV60" s="1168"/>
      <c r="DW60" s="1168"/>
      <c r="DX60" s="1168"/>
      <c r="DY60" s="1168"/>
      <c r="DZ60" s="1168"/>
      <c r="EA60" s="1168"/>
      <c r="EB60" s="1168"/>
      <c r="EC60" s="1168"/>
      <c r="ED60" s="1168"/>
      <c r="EE60" s="1168"/>
      <c r="EF60" s="1168"/>
      <c r="EG60" s="1168"/>
      <c r="EH60" s="1168"/>
      <c r="EI60" s="1170"/>
      <c r="EJ60" s="1170"/>
      <c r="EK60" s="1170"/>
      <c r="EL60" s="1170"/>
      <c r="EM60" s="1170"/>
      <c r="EN60" s="1170"/>
      <c r="EO60" s="1170"/>
      <c r="EP60" s="1170"/>
      <c r="EQ60" s="1170"/>
      <c r="ER60" s="1170"/>
      <c r="ES60" s="1333"/>
      <c r="ET60" s="1333"/>
      <c r="EU60" s="1333"/>
      <c r="EV60" s="1333"/>
      <c r="EW60" s="1333"/>
      <c r="EX60" s="1333"/>
      <c r="EY60" s="1333"/>
      <c r="EZ60" s="1333"/>
      <c r="FA60" s="1333"/>
      <c r="FB60" s="1333"/>
      <c r="FC60" s="1333"/>
      <c r="FD60" s="1333"/>
      <c r="FE60" s="1333"/>
      <c r="FF60" s="1333"/>
      <c r="FG60" s="1333"/>
      <c r="FH60" s="1333"/>
      <c r="FI60" s="1333"/>
      <c r="FJ60" s="1333"/>
      <c r="FK60" s="1333"/>
      <c r="FL60" s="1333"/>
      <c r="FM60" s="1333"/>
      <c r="FN60" s="1333"/>
      <c r="FO60" s="1333"/>
      <c r="FP60" s="1333"/>
      <c r="FQ60" s="1333"/>
      <c r="FR60" s="1333"/>
      <c r="FS60" s="1333"/>
      <c r="FT60" s="1333"/>
      <c r="FU60" s="1333"/>
      <c r="FV60" s="1333"/>
      <c r="FW60" s="1333"/>
      <c r="FX60" s="1333"/>
      <c r="FY60" s="1333"/>
      <c r="FZ60" s="1333"/>
      <c r="GA60" s="1333"/>
      <c r="GB60" s="1333"/>
      <c r="GC60" s="1333"/>
      <c r="GD60" s="1333"/>
      <c r="GE60" s="1333"/>
      <c r="GF60" s="1333"/>
      <c r="GG60" s="1333"/>
      <c r="GH60" s="1333"/>
      <c r="GI60" s="1333"/>
      <c r="GJ60" s="1333"/>
      <c r="GK60" s="1333"/>
      <c r="GL60" s="1333"/>
      <c r="GM60" s="1333"/>
      <c r="GN60" s="1333"/>
      <c r="GO60" s="1333"/>
      <c r="GP60" s="1333"/>
      <c r="GQ60" s="1333"/>
      <c r="GR60" s="1333"/>
      <c r="GS60" s="1333"/>
      <c r="GT60" s="1333"/>
      <c r="GU60" s="1333"/>
      <c r="GV60" s="1333"/>
      <c r="GW60" s="1333"/>
      <c r="GX60" s="1333"/>
    </row>
    <row r="61" spans="1:206" s="607" customFormat="1">
      <c r="A61" s="607">
        <f t="shared" si="0"/>
        <v>1975</v>
      </c>
      <c r="B61" s="607">
        <f t="shared" si="1"/>
        <v>2</v>
      </c>
      <c r="C61" s="1173">
        <v>27515</v>
      </c>
      <c r="D61" s="1709"/>
      <c r="E61" s="1117"/>
      <c r="F61" s="1117"/>
      <c r="G61" s="1117"/>
      <c r="H61" s="1117"/>
      <c r="I61" s="959">
        <v>124.52764163454154</v>
      </c>
      <c r="J61" s="959">
        <v>167.26547619050001</v>
      </c>
      <c r="K61" s="960"/>
      <c r="L61" s="1121"/>
      <c r="M61" s="916"/>
      <c r="N61" s="916"/>
      <c r="O61" s="1332"/>
      <c r="P61" s="1332"/>
      <c r="Q61" s="1332"/>
      <c r="R61" s="1332"/>
      <c r="S61" s="1332"/>
      <c r="T61" s="1332"/>
      <c r="U61" s="1120"/>
      <c r="V61" s="1120"/>
      <c r="W61" s="1120"/>
      <c r="X61" s="1120"/>
      <c r="Y61" s="1119"/>
      <c r="Z61" s="1119"/>
      <c r="AA61" s="1119"/>
      <c r="AB61" s="1119"/>
      <c r="AC61" s="1178"/>
      <c r="AD61" s="1178"/>
      <c r="AE61" s="1178"/>
      <c r="AF61" s="1178"/>
      <c r="AG61" s="1178"/>
      <c r="AH61" s="1178"/>
      <c r="AI61" s="1178"/>
      <c r="AJ61" s="1178"/>
      <c r="AK61" s="919"/>
      <c r="AL61" s="1104"/>
      <c r="AM61" s="919"/>
      <c r="AN61" s="1710"/>
      <c r="AO61" s="919"/>
      <c r="AP61" s="919"/>
      <c r="AS61" s="1167"/>
      <c r="AT61" s="1167"/>
      <c r="AU61" s="1168"/>
      <c r="AV61" s="1168"/>
      <c r="AW61" s="1169"/>
      <c r="AX61" s="1169"/>
      <c r="AY61" s="1169"/>
      <c r="AZ61" s="1169"/>
      <c r="BA61" s="1799" t="s">
        <v>0</v>
      </c>
      <c r="BB61" s="1802">
        <v>2011</v>
      </c>
      <c r="BC61" s="1799" t="s">
        <v>22</v>
      </c>
      <c r="BD61" s="1799">
        <v>5</v>
      </c>
      <c r="BE61" s="1800">
        <v>296772260.06000006</v>
      </c>
      <c r="BF61" s="1801">
        <v>8.5186330567960558E-2</v>
      </c>
      <c r="BG61" s="1799"/>
      <c r="BH61" s="1799" t="s">
        <v>0</v>
      </c>
      <c r="BI61" s="1799" t="s">
        <v>316</v>
      </c>
      <c r="BJ61" s="1799" t="s">
        <v>22</v>
      </c>
      <c r="BK61" s="1799">
        <v>5</v>
      </c>
      <c r="BL61" s="1800">
        <v>281448198.71000004</v>
      </c>
      <c r="BM61" s="1801">
        <v>7.6636750795095632E-2</v>
      </c>
      <c r="BN61" s="1799">
        <v>2011</v>
      </c>
      <c r="BO61" s="1684"/>
      <c r="BP61" s="1696"/>
      <c r="BQ61" s="1169"/>
      <c r="BR61" s="1169"/>
      <c r="BS61" s="1169"/>
      <c r="BT61" s="1169"/>
      <c r="BU61" s="1169"/>
      <c r="BV61" s="1169"/>
      <c r="BW61" s="1169"/>
      <c r="BX61" s="1169"/>
      <c r="BY61" s="1169"/>
      <c r="BZ61" s="1169"/>
      <c r="CA61" s="1169"/>
      <c r="CB61" s="1169"/>
      <c r="CC61" s="1169"/>
      <c r="CD61" s="1169"/>
      <c r="CE61" s="1169"/>
      <c r="CF61" s="1169"/>
      <c r="CG61" s="1169"/>
      <c r="CH61" s="1169"/>
      <c r="CI61" s="1169"/>
      <c r="CJ61" s="1169"/>
      <c r="CK61" s="1169"/>
      <c r="CL61" s="1169"/>
      <c r="CM61" s="1169"/>
      <c r="CN61" s="1169"/>
      <c r="CO61" s="1169"/>
      <c r="CP61" s="1169"/>
      <c r="CQ61" s="1169"/>
      <c r="CR61" s="1169"/>
      <c r="CS61" s="1169"/>
      <c r="CT61" s="1169"/>
      <c r="CU61" s="1169"/>
      <c r="CV61" s="1169"/>
      <c r="CW61" s="1169"/>
      <c r="CX61" s="1169"/>
      <c r="CY61" s="1169"/>
      <c r="CZ61" s="1169"/>
      <c r="DA61" s="1168"/>
      <c r="DB61" s="1168"/>
      <c r="DC61" s="1168"/>
      <c r="DD61" s="1168"/>
      <c r="DE61" s="1168"/>
      <c r="DF61" s="1168"/>
      <c r="DG61" s="1168"/>
      <c r="DH61" s="1168"/>
      <c r="DI61" s="1168"/>
      <c r="DJ61" s="1168"/>
      <c r="DK61" s="1168"/>
      <c r="DL61" s="1168"/>
      <c r="DM61" s="1168"/>
      <c r="DN61" s="1168"/>
      <c r="DO61" s="1168"/>
      <c r="DP61" s="1168"/>
      <c r="DQ61" s="1168"/>
      <c r="DR61" s="1168"/>
      <c r="DS61" s="1168"/>
      <c r="DT61" s="1168"/>
      <c r="DU61" s="1168"/>
      <c r="DV61" s="1168"/>
      <c r="DW61" s="1168"/>
      <c r="DX61" s="1168"/>
      <c r="DY61" s="1168"/>
      <c r="DZ61" s="1168"/>
      <c r="EA61" s="1168"/>
      <c r="EB61" s="1168"/>
      <c r="EC61" s="1168"/>
      <c r="ED61" s="1168"/>
      <c r="EE61" s="1168"/>
      <c r="EF61" s="1168"/>
      <c r="EG61" s="1168"/>
      <c r="EH61" s="1168"/>
      <c r="EI61" s="1170"/>
      <c r="EJ61" s="1170"/>
      <c r="EK61" s="1170"/>
      <c r="EL61" s="1170"/>
      <c r="EM61" s="1170"/>
      <c r="EN61" s="1170"/>
      <c r="EO61" s="1170"/>
      <c r="EP61" s="1170"/>
      <c r="EQ61" s="1170"/>
      <c r="ER61" s="1170"/>
      <c r="ES61" s="1333"/>
      <c r="ET61" s="1333"/>
      <c r="EU61" s="1333"/>
      <c r="EV61" s="1333"/>
      <c r="EW61" s="1333"/>
      <c r="EX61" s="1333"/>
      <c r="EY61" s="1333"/>
      <c r="EZ61" s="1333"/>
      <c r="FA61" s="1333"/>
      <c r="FB61" s="1333"/>
      <c r="FC61" s="1333"/>
      <c r="FD61" s="1333"/>
      <c r="FE61" s="1333"/>
      <c r="FF61" s="1333"/>
      <c r="FG61" s="1333"/>
      <c r="FH61" s="1333"/>
      <c r="FI61" s="1333"/>
      <c r="FJ61" s="1333"/>
      <c r="FK61" s="1333"/>
      <c r="FL61" s="1333"/>
      <c r="FM61" s="1333"/>
      <c r="FN61" s="1333"/>
      <c r="FO61" s="1333"/>
      <c r="FP61" s="1333"/>
      <c r="FQ61" s="1333"/>
      <c r="FR61" s="1333"/>
      <c r="FS61" s="1333"/>
      <c r="FT61" s="1333"/>
      <c r="FU61" s="1333"/>
      <c r="FV61" s="1333"/>
      <c r="FW61" s="1333"/>
      <c r="FX61" s="1333"/>
      <c r="FY61" s="1333"/>
      <c r="FZ61" s="1333"/>
      <c r="GA61" s="1333"/>
      <c r="GB61" s="1333"/>
      <c r="GC61" s="1333"/>
      <c r="GD61" s="1333"/>
      <c r="GE61" s="1333"/>
      <c r="GF61" s="1333"/>
      <c r="GG61" s="1333"/>
      <c r="GH61" s="1333"/>
      <c r="GI61" s="1333"/>
      <c r="GJ61" s="1333"/>
      <c r="GK61" s="1333"/>
      <c r="GL61" s="1333"/>
      <c r="GM61" s="1333"/>
      <c r="GN61" s="1333"/>
      <c r="GO61" s="1333"/>
      <c r="GP61" s="1333"/>
      <c r="GQ61" s="1333"/>
      <c r="GR61" s="1333"/>
      <c r="GS61" s="1333"/>
      <c r="GT61" s="1333"/>
      <c r="GU61" s="1333"/>
      <c r="GV61" s="1333"/>
      <c r="GW61" s="1333"/>
      <c r="GX61" s="1333"/>
    </row>
    <row r="62" spans="1:206" s="607" customFormat="1">
      <c r="A62" s="607">
        <f t="shared" si="0"/>
        <v>1975</v>
      </c>
      <c r="B62" s="607">
        <f t="shared" si="1"/>
        <v>2</v>
      </c>
      <c r="C62" s="1173">
        <v>27547</v>
      </c>
      <c r="D62" s="957"/>
      <c r="E62" s="920"/>
      <c r="F62" s="920"/>
      <c r="G62" s="920"/>
      <c r="H62" s="920"/>
      <c r="I62" s="954">
        <v>123.97104107856065</v>
      </c>
      <c r="J62" s="954">
        <v>164.3607142857</v>
      </c>
      <c r="K62" s="954"/>
      <c r="L62" s="920"/>
      <c r="M62" s="917"/>
      <c r="N62" s="917"/>
      <c r="O62" s="1334"/>
      <c r="P62" s="1334"/>
      <c r="Q62" s="1334"/>
      <c r="R62" s="1334"/>
      <c r="S62" s="1334"/>
      <c r="T62" s="1334"/>
      <c r="U62" s="920"/>
      <c r="V62" s="920"/>
      <c r="W62" s="920"/>
      <c r="X62" s="920"/>
      <c r="Y62" s="920"/>
      <c r="Z62" s="920"/>
      <c r="AA62" s="920"/>
      <c r="AB62" s="920"/>
      <c r="AC62" s="920"/>
      <c r="AD62" s="920"/>
      <c r="AE62" s="920"/>
      <c r="AF62" s="920"/>
      <c r="AG62" s="920"/>
      <c r="AH62" s="920"/>
      <c r="AI62" s="920"/>
      <c r="AJ62" s="920"/>
      <c r="AK62" s="920"/>
      <c r="AL62" s="1105"/>
      <c r="AM62" s="920"/>
      <c r="AN62" s="1711"/>
      <c r="AO62" s="920"/>
      <c r="AP62" s="920"/>
      <c r="AS62" s="1167"/>
      <c r="AT62" s="1167"/>
      <c r="AU62" s="1168"/>
      <c r="AV62" s="1168"/>
      <c r="AW62" s="1169"/>
      <c r="AX62" s="1169"/>
      <c r="AY62" s="1169"/>
      <c r="AZ62" s="1169"/>
      <c r="BA62" s="1799" t="s">
        <v>0</v>
      </c>
      <c r="BB62" s="1802">
        <v>2011</v>
      </c>
      <c r="BC62" s="1799" t="s">
        <v>25</v>
      </c>
      <c r="BD62" s="1799">
        <v>6</v>
      </c>
      <c r="BE62" s="1800">
        <v>211566750.22999996</v>
      </c>
      <c r="BF62" s="1801">
        <v>6.0728705299606493E-2</v>
      </c>
      <c r="BG62" s="1799"/>
      <c r="BH62" s="1799" t="s">
        <v>0</v>
      </c>
      <c r="BI62" s="1799" t="s">
        <v>316</v>
      </c>
      <c r="BJ62" s="1799" t="s">
        <v>447</v>
      </c>
      <c r="BK62" s="1799">
        <v>6</v>
      </c>
      <c r="BL62" s="1800">
        <v>232472654.44000006</v>
      </c>
      <c r="BM62" s="1801">
        <v>6.3300987416693141E-2</v>
      </c>
      <c r="BN62" s="1799">
        <v>2011</v>
      </c>
      <c r="BO62" s="1684"/>
      <c r="BP62" s="1697">
        <f>'Alumina and Bauxite - Prices'!A62</f>
        <v>45047</v>
      </c>
      <c r="BQ62" s="1169"/>
      <c r="BR62" s="1169"/>
      <c r="BS62" s="1169"/>
      <c r="BT62" s="1169"/>
      <c r="BU62" s="1169"/>
      <c r="BV62" s="1169"/>
      <c r="BW62" s="1169"/>
      <c r="BX62" s="1169"/>
      <c r="BY62" s="1169"/>
      <c r="BZ62" s="1169"/>
      <c r="CA62" s="1169"/>
      <c r="CB62" s="1169"/>
      <c r="CC62" s="1169"/>
      <c r="CD62" s="1169"/>
      <c r="CE62" s="1169"/>
      <c r="CF62" s="1169"/>
      <c r="CG62" s="1169"/>
      <c r="CH62" s="1169"/>
      <c r="CI62" s="1169"/>
      <c r="CJ62" s="1169"/>
      <c r="CK62" s="1169"/>
      <c r="CL62" s="1169"/>
      <c r="CM62" s="1169"/>
      <c r="CN62" s="1169"/>
      <c r="CO62" s="1169"/>
      <c r="CP62" s="1169"/>
      <c r="CQ62" s="1169"/>
      <c r="CR62" s="1169"/>
      <c r="CS62" s="1169"/>
      <c r="CT62" s="1169"/>
      <c r="CU62" s="1169"/>
      <c r="CV62" s="1169"/>
      <c r="CW62" s="1169"/>
      <c r="CX62" s="1169"/>
      <c r="CY62" s="1169"/>
      <c r="CZ62" s="1169"/>
      <c r="DA62" s="1168"/>
      <c r="DB62" s="1168"/>
      <c r="DC62" s="1168"/>
      <c r="DD62" s="1168"/>
      <c r="DE62" s="1168"/>
      <c r="DF62" s="1168"/>
      <c r="DG62" s="1168"/>
      <c r="DH62" s="1168"/>
      <c r="DI62" s="1168"/>
      <c r="DJ62" s="1168"/>
      <c r="DK62" s="1168"/>
      <c r="DL62" s="1168"/>
      <c r="DM62" s="1168"/>
      <c r="DN62" s="1168"/>
      <c r="DO62" s="1168"/>
      <c r="DP62" s="1168"/>
      <c r="DQ62" s="1168"/>
      <c r="DR62" s="1168"/>
      <c r="DS62" s="1168"/>
      <c r="DT62" s="1168"/>
      <c r="DU62" s="1168"/>
      <c r="DV62" s="1168"/>
      <c r="DW62" s="1168"/>
      <c r="DX62" s="1168"/>
      <c r="DY62" s="1168"/>
      <c r="DZ62" s="1168"/>
      <c r="EA62" s="1168"/>
      <c r="EB62" s="1168"/>
      <c r="EC62" s="1168"/>
      <c r="ED62" s="1168"/>
      <c r="EE62" s="1168"/>
      <c r="EF62" s="1168"/>
      <c r="EG62" s="1168"/>
      <c r="EH62" s="1168"/>
      <c r="EI62" s="1170"/>
      <c r="EJ62" s="1170"/>
      <c r="EK62" s="1170"/>
      <c r="EL62" s="1170"/>
      <c r="EM62" s="1170"/>
      <c r="EN62" s="1170"/>
      <c r="EO62" s="1170"/>
      <c r="EP62" s="1170"/>
      <c r="EQ62" s="1170"/>
      <c r="ER62" s="1170"/>
      <c r="ES62" s="1333"/>
      <c r="ET62" s="1333"/>
      <c r="EU62" s="1333"/>
      <c r="EV62" s="1333"/>
      <c r="EW62" s="1333"/>
      <c r="EX62" s="1333"/>
      <c r="EY62" s="1333"/>
      <c r="EZ62" s="1333"/>
      <c r="FA62" s="1333"/>
      <c r="FB62" s="1333"/>
      <c r="FC62" s="1333"/>
      <c r="FD62" s="1333"/>
      <c r="FE62" s="1333"/>
      <c r="FF62" s="1333"/>
      <c r="FG62" s="1333"/>
      <c r="FH62" s="1333"/>
      <c r="FI62" s="1333"/>
      <c r="FJ62" s="1333"/>
      <c r="FK62" s="1333"/>
      <c r="FL62" s="1333"/>
      <c r="FM62" s="1333"/>
      <c r="FN62" s="1333"/>
      <c r="FO62" s="1333"/>
      <c r="FP62" s="1333"/>
      <c r="FQ62" s="1333"/>
      <c r="FR62" s="1333"/>
      <c r="FS62" s="1333"/>
      <c r="FT62" s="1333"/>
      <c r="FU62" s="1333"/>
      <c r="FV62" s="1333"/>
      <c r="FW62" s="1333"/>
      <c r="FX62" s="1333"/>
      <c r="FY62" s="1333"/>
      <c r="FZ62" s="1333"/>
      <c r="GA62" s="1333"/>
      <c r="GB62" s="1333"/>
      <c r="GC62" s="1333"/>
      <c r="GD62" s="1333"/>
      <c r="GE62" s="1333"/>
      <c r="GF62" s="1333"/>
      <c r="GG62" s="1333"/>
      <c r="GH62" s="1333"/>
      <c r="GI62" s="1333"/>
      <c r="GJ62" s="1333"/>
      <c r="GK62" s="1333"/>
      <c r="GL62" s="1333"/>
      <c r="GM62" s="1333"/>
      <c r="GN62" s="1333"/>
      <c r="GO62" s="1333"/>
      <c r="GP62" s="1333"/>
      <c r="GQ62" s="1333"/>
      <c r="GR62" s="1333"/>
      <c r="GS62" s="1333"/>
      <c r="GT62" s="1333"/>
      <c r="GU62" s="1333"/>
      <c r="GV62" s="1333"/>
      <c r="GW62" s="1333"/>
      <c r="GX62" s="1333"/>
    </row>
    <row r="63" spans="1:206" s="607" customFormat="1">
      <c r="A63" s="607">
        <f t="shared" si="0"/>
        <v>1975</v>
      </c>
      <c r="B63" s="607">
        <f t="shared" si="1"/>
        <v>3</v>
      </c>
      <c r="C63" s="1173">
        <v>27576</v>
      </c>
      <c r="D63" s="1709"/>
      <c r="E63" s="1117"/>
      <c r="F63" s="1117"/>
      <c r="G63" s="1117"/>
      <c r="H63" s="1117"/>
      <c r="I63" s="959">
        <v>127.27951354129431</v>
      </c>
      <c r="J63" s="959">
        <v>165.17065217390001</v>
      </c>
      <c r="K63" s="960"/>
      <c r="L63" s="1121"/>
      <c r="M63" s="916"/>
      <c r="N63" s="916"/>
      <c r="O63" s="1332"/>
      <c r="P63" s="1332"/>
      <c r="Q63" s="1332"/>
      <c r="R63" s="1332"/>
      <c r="S63" s="1332"/>
      <c r="T63" s="1332"/>
      <c r="U63" s="1120"/>
      <c r="V63" s="1120"/>
      <c r="W63" s="1120"/>
      <c r="X63" s="1120"/>
      <c r="Y63" s="1119"/>
      <c r="Z63" s="1119"/>
      <c r="AA63" s="1119"/>
      <c r="AB63" s="1119"/>
      <c r="AC63" s="1178"/>
      <c r="AD63" s="1178"/>
      <c r="AE63" s="1178"/>
      <c r="AF63" s="1178"/>
      <c r="AG63" s="1178"/>
      <c r="AH63" s="1178"/>
      <c r="AI63" s="1178"/>
      <c r="AJ63" s="1178"/>
      <c r="AK63" s="919"/>
      <c r="AL63" s="1104"/>
      <c r="AM63" s="919"/>
      <c r="AN63" s="1710"/>
      <c r="AO63" s="919"/>
      <c r="AP63" s="919"/>
      <c r="AS63" s="1167"/>
      <c r="AT63" s="1167"/>
      <c r="AU63" s="1168"/>
      <c r="AV63" s="1168"/>
      <c r="AW63" s="1169"/>
      <c r="AX63" s="1169"/>
      <c r="AY63" s="1169"/>
      <c r="AZ63" s="1169"/>
      <c r="BA63" s="1799" t="s">
        <v>0</v>
      </c>
      <c r="BB63" s="1802">
        <v>2011</v>
      </c>
      <c r="BC63" s="1799" t="s">
        <v>431</v>
      </c>
      <c r="BD63" s="1799">
        <v>7</v>
      </c>
      <c r="BE63" s="1800">
        <v>185587657.65000001</v>
      </c>
      <c r="BF63" s="1801">
        <v>5.3271594692543348E-2</v>
      </c>
      <c r="BG63" s="1799"/>
      <c r="BH63" s="1799" t="s">
        <v>0</v>
      </c>
      <c r="BI63" s="1799" t="s">
        <v>316</v>
      </c>
      <c r="BJ63" s="1799" t="s">
        <v>25</v>
      </c>
      <c r="BK63" s="1799">
        <v>7</v>
      </c>
      <c r="BL63" s="1800">
        <v>160754823.71999997</v>
      </c>
      <c r="BM63" s="1801">
        <v>4.377262821722027E-2</v>
      </c>
      <c r="BN63" s="1799">
        <v>2011</v>
      </c>
      <c r="BO63" s="1684"/>
      <c r="BP63" s="1696"/>
      <c r="BQ63" s="1169"/>
      <c r="BR63" s="1169"/>
      <c r="BS63" s="1169"/>
      <c r="BT63" s="1169"/>
      <c r="BU63" s="1169"/>
      <c r="BV63" s="1169"/>
      <c r="BW63" s="1169"/>
      <c r="BX63" s="1169"/>
      <c r="BY63" s="1169"/>
      <c r="BZ63" s="1169"/>
      <c r="CA63" s="1169"/>
      <c r="CB63" s="1169"/>
      <c r="CC63" s="1169"/>
      <c r="CD63" s="1169"/>
      <c r="CE63" s="1169"/>
      <c r="CF63" s="1169"/>
      <c r="CG63" s="1169"/>
      <c r="CH63" s="1169"/>
      <c r="CI63" s="1169"/>
      <c r="CJ63" s="1169"/>
      <c r="CK63" s="1169"/>
      <c r="CL63" s="1169"/>
      <c r="CM63" s="1169"/>
      <c r="CN63" s="1169"/>
      <c r="CO63" s="1169"/>
      <c r="CP63" s="1169"/>
      <c r="CQ63" s="1169"/>
      <c r="CR63" s="1169"/>
      <c r="CS63" s="1169"/>
      <c r="CT63" s="1169"/>
      <c r="CU63" s="1169"/>
      <c r="CV63" s="1169"/>
      <c r="CW63" s="1169"/>
      <c r="CX63" s="1169"/>
      <c r="CY63" s="1169"/>
      <c r="CZ63" s="1169"/>
      <c r="DA63" s="1168"/>
      <c r="DB63" s="1168"/>
      <c r="DC63" s="1168"/>
      <c r="DD63" s="1168"/>
      <c r="DE63" s="1168"/>
      <c r="DF63" s="1168"/>
      <c r="DG63" s="1168"/>
      <c r="DH63" s="1168"/>
      <c r="DI63" s="1168"/>
      <c r="DJ63" s="1168"/>
      <c r="DK63" s="1168"/>
      <c r="DL63" s="1168"/>
      <c r="DM63" s="1168"/>
      <c r="DN63" s="1168"/>
      <c r="DO63" s="1168"/>
      <c r="DP63" s="1168"/>
      <c r="DQ63" s="1168"/>
      <c r="DR63" s="1168"/>
      <c r="DS63" s="1168"/>
      <c r="DT63" s="1168"/>
      <c r="DU63" s="1168"/>
      <c r="DV63" s="1168"/>
      <c r="DW63" s="1168"/>
      <c r="DX63" s="1168"/>
      <c r="DY63" s="1168"/>
      <c r="DZ63" s="1168"/>
      <c r="EA63" s="1168"/>
      <c r="EB63" s="1168"/>
      <c r="EC63" s="1168"/>
      <c r="ED63" s="1168"/>
      <c r="EE63" s="1168"/>
      <c r="EF63" s="1168"/>
      <c r="EG63" s="1168"/>
      <c r="EH63" s="1168"/>
      <c r="EI63" s="1170"/>
      <c r="EJ63" s="1170"/>
      <c r="EK63" s="1170"/>
      <c r="EL63" s="1170"/>
      <c r="EM63" s="1170"/>
      <c r="EN63" s="1170"/>
      <c r="EO63" s="1170"/>
      <c r="EP63" s="1170"/>
      <c r="EQ63" s="1170"/>
      <c r="ER63" s="1170"/>
      <c r="ES63" s="1333"/>
      <c r="ET63" s="1333"/>
      <c r="EU63" s="1333"/>
      <c r="EV63" s="1333"/>
      <c r="EW63" s="1333"/>
      <c r="EX63" s="1333"/>
      <c r="EY63" s="1333"/>
      <c r="EZ63" s="1333"/>
      <c r="FA63" s="1333"/>
      <c r="FB63" s="1333"/>
      <c r="FC63" s="1333"/>
      <c r="FD63" s="1333"/>
      <c r="FE63" s="1333"/>
      <c r="FF63" s="1333"/>
      <c r="FG63" s="1333"/>
      <c r="FH63" s="1333"/>
      <c r="FI63" s="1333"/>
      <c r="FJ63" s="1333"/>
      <c r="FK63" s="1333"/>
      <c r="FL63" s="1333"/>
      <c r="FM63" s="1333"/>
      <c r="FN63" s="1333"/>
      <c r="FO63" s="1333"/>
      <c r="FP63" s="1333"/>
      <c r="FQ63" s="1333"/>
      <c r="FR63" s="1333"/>
      <c r="FS63" s="1333"/>
      <c r="FT63" s="1333"/>
      <c r="FU63" s="1333"/>
      <c r="FV63" s="1333"/>
      <c r="FW63" s="1333"/>
      <c r="FX63" s="1333"/>
      <c r="FY63" s="1333"/>
      <c r="FZ63" s="1333"/>
      <c r="GA63" s="1333"/>
      <c r="GB63" s="1333"/>
      <c r="GC63" s="1333"/>
      <c r="GD63" s="1333"/>
      <c r="GE63" s="1333"/>
      <c r="GF63" s="1333"/>
      <c r="GG63" s="1333"/>
      <c r="GH63" s="1333"/>
      <c r="GI63" s="1333"/>
      <c r="GJ63" s="1333"/>
      <c r="GK63" s="1333"/>
      <c r="GL63" s="1333"/>
      <c r="GM63" s="1333"/>
      <c r="GN63" s="1333"/>
      <c r="GO63" s="1333"/>
      <c r="GP63" s="1333"/>
      <c r="GQ63" s="1333"/>
      <c r="GR63" s="1333"/>
      <c r="GS63" s="1333"/>
      <c r="GT63" s="1333"/>
      <c r="GU63" s="1333"/>
      <c r="GV63" s="1333"/>
      <c r="GW63" s="1333"/>
      <c r="GX63" s="1333"/>
    </row>
    <row r="64" spans="1:206" s="607" customFormat="1">
      <c r="A64" s="607">
        <f t="shared" si="0"/>
        <v>1975</v>
      </c>
      <c r="B64" s="607">
        <f t="shared" si="1"/>
        <v>3</v>
      </c>
      <c r="C64" s="1173">
        <v>27607</v>
      </c>
      <c r="D64" s="957"/>
      <c r="E64" s="920"/>
      <c r="F64" s="920"/>
      <c r="G64" s="920"/>
      <c r="H64" s="920"/>
      <c r="I64" s="954">
        <v>127.17185426</v>
      </c>
      <c r="J64" s="954">
        <v>162.70375000000001</v>
      </c>
      <c r="K64" s="954"/>
      <c r="L64" s="920"/>
      <c r="M64" s="917"/>
      <c r="N64" s="917"/>
      <c r="O64" s="1334"/>
      <c r="P64" s="1334"/>
      <c r="Q64" s="1334"/>
      <c r="R64" s="1334"/>
      <c r="S64" s="1334"/>
      <c r="T64" s="1334"/>
      <c r="U64" s="920"/>
      <c r="V64" s="920"/>
      <c r="W64" s="920"/>
      <c r="X64" s="920"/>
      <c r="Y64" s="920"/>
      <c r="Z64" s="920"/>
      <c r="AA64" s="920"/>
      <c r="AB64" s="920"/>
      <c r="AC64" s="920"/>
      <c r="AD64" s="920"/>
      <c r="AE64" s="920"/>
      <c r="AF64" s="920"/>
      <c r="AG64" s="920"/>
      <c r="AH64" s="920"/>
      <c r="AI64" s="920"/>
      <c r="AJ64" s="920"/>
      <c r="AK64" s="920"/>
      <c r="AL64" s="1105"/>
      <c r="AM64" s="920"/>
      <c r="AN64" s="1711"/>
      <c r="AO64" s="920"/>
      <c r="AP64" s="920"/>
      <c r="AS64" s="1167"/>
      <c r="AT64" s="1167"/>
      <c r="AU64" s="1168"/>
      <c r="AV64" s="1168"/>
      <c r="AW64" s="1169"/>
      <c r="AX64" s="1169"/>
      <c r="AY64" s="1169"/>
      <c r="AZ64" s="1169"/>
      <c r="BA64" s="1799" t="s">
        <v>0</v>
      </c>
      <c r="BB64" s="1802">
        <v>2011</v>
      </c>
      <c r="BC64" s="1799" t="s">
        <v>24</v>
      </c>
      <c r="BD64" s="1799">
        <v>8</v>
      </c>
      <c r="BE64" s="1800">
        <v>165338350.38999999</v>
      </c>
      <c r="BF64" s="1801">
        <v>4.7459177515567913E-2</v>
      </c>
      <c r="BG64" s="1799"/>
      <c r="BH64" s="1799" t="s">
        <v>0</v>
      </c>
      <c r="BI64" s="1799" t="s">
        <v>316</v>
      </c>
      <c r="BJ64" s="1799" t="s">
        <v>24</v>
      </c>
      <c r="BK64" s="1799">
        <v>8</v>
      </c>
      <c r="BL64" s="1800">
        <v>136306131.96000001</v>
      </c>
      <c r="BM64" s="1801">
        <v>3.7115387892837082E-2</v>
      </c>
      <c r="BN64" s="1799">
        <v>2011</v>
      </c>
      <c r="BO64" s="1684"/>
      <c r="BP64" s="1696"/>
      <c r="BQ64" s="1169"/>
      <c r="BR64" s="1169"/>
      <c r="BS64" s="1169"/>
      <c r="BT64" s="1169"/>
      <c r="BU64" s="1169"/>
      <c r="BV64" s="1169"/>
      <c r="BW64" s="1169"/>
      <c r="BX64" s="1169"/>
      <c r="BY64" s="1169"/>
      <c r="BZ64" s="1169"/>
      <c r="CA64" s="1169"/>
      <c r="CB64" s="1169"/>
      <c r="CC64" s="1169"/>
      <c r="CD64" s="1169"/>
      <c r="CE64" s="1169"/>
      <c r="CF64" s="1169"/>
      <c r="CG64" s="1169"/>
      <c r="CH64" s="1169"/>
      <c r="CI64" s="1169"/>
      <c r="CJ64" s="1169"/>
      <c r="CK64" s="1169"/>
      <c r="CL64" s="1169"/>
      <c r="CM64" s="1169"/>
      <c r="CN64" s="1169"/>
      <c r="CO64" s="1169"/>
      <c r="CP64" s="1169"/>
      <c r="CQ64" s="1169"/>
      <c r="CR64" s="1169"/>
      <c r="CS64" s="1169"/>
      <c r="CT64" s="1169"/>
      <c r="CU64" s="1169"/>
      <c r="CV64" s="1169"/>
      <c r="CW64" s="1169"/>
      <c r="CX64" s="1169"/>
      <c r="CY64" s="1169"/>
      <c r="CZ64" s="1169"/>
      <c r="DA64" s="1168"/>
      <c r="DB64" s="1168"/>
      <c r="DC64" s="1168"/>
      <c r="DD64" s="1168"/>
      <c r="DE64" s="1168"/>
      <c r="DF64" s="1168"/>
      <c r="DG64" s="1168"/>
      <c r="DH64" s="1168"/>
      <c r="DI64" s="1168"/>
      <c r="DJ64" s="1168"/>
      <c r="DK64" s="1168"/>
      <c r="DL64" s="1168"/>
      <c r="DM64" s="1168"/>
      <c r="DN64" s="1168"/>
      <c r="DO64" s="1168"/>
      <c r="DP64" s="1168"/>
      <c r="DQ64" s="1168"/>
      <c r="DR64" s="1168"/>
      <c r="DS64" s="1168"/>
      <c r="DT64" s="1168"/>
      <c r="DU64" s="1168"/>
      <c r="DV64" s="1168"/>
      <c r="DW64" s="1168"/>
      <c r="DX64" s="1168"/>
      <c r="DY64" s="1168"/>
      <c r="DZ64" s="1168"/>
      <c r="EA64" s="1168"/>
      <c r="EB64" s="1168"/>
      <c r="EC64" s="1168"/>
      <c r="ED64" s="1168"/>
      <c r="EE64" s="1168"/>
      <c r="EF64" s="1168"/>
      <c r="EG64" s="1168"/>
      <c r="EH64" s="1168"/>
      <c r="EI64" s="1170"/>
      <c r="EJ64" s="1170"/>
      <c r="EK64" s="1170"/>
      <c r="EL64" s="1170"/>
      <c r="EM64" s="1170"/>
      <c r="EN64" s="1170"/>
      <c r="EO64" s="1170"/>
      <c r="EP64" s="1170"/>
      <c r="EQ64" s="1170"/>
      <c r="ER64" s="1170"/>
      <c r="ES64" s="1333"/>
      <c r="ET64" s="1333"/>
      <c r="EU64" s="1333"/>
      <c r="EV64" s="1333"/>
      <c r="EW64" s="1333"/>
      <c r="EX64" s="1333"/>
      <c r="EY64" s="1333"/>
      <c r="EZ64" s="1333"/>
      <c r="FA64" s="1333"/>
      <c r="FB64" s="1333"/>
      <c r="FC64" s="1333"/>
      <c r="FD64" s="1333"/>
      <c r="FE64" s="1333"/>
      <c r="FF64" s="1333"/>
      <c r="FG64" s="1333"/>
      <c r="FH64" s="1333"/>
      <c r="FI64" s="1333"/>
      <c r="FJ64" s="1333"/>
      <c r="FK64" s="1333"/>
      <c r="FL64" s="1333"/>
      <c r="FM64" s="1333"/>
      <c r="FN64" s="1333"/>
      <c r="FO64" s="1333"/>
      <c r="FP64" s="1333"/>
      <c r="FQ64" s="1333"/>
      <c r="FR64" s="1333"/>
      <c r="FS64" s="1333"/>
      <c r="FT64" s="1333"/>
      <c r="FU64" s="1333"/>
      <c r="FV64" s="1333"/>
      <c r="FW64" s="1333"/>
      <c r="FX64" s="1333"/>
      <c r="FY64" s="1333"/>
      <c r="FZ64" s="1333"/>
      <c r="GA64" s="1333"/>
      <c r="GB64" s="1333"/>
      <c r="GC64" s="1333"/>
      <c r="GD64" s="1333"/>
      <c r="GE64" s="1333"/>
      <c r="GF64" s="1333"/>
      <c r="GG64" s="1333"/>
      <c r="GH64" s="1333"/>
      <c r="GI64" s="1333"/>
      <c r="GJ64" s="1333"/>
      <c r="GK64" s="1333"/>
      <c r="GL64" s="1333"/>
      <c r="GM64" s="1333"/>
      <c r="GN64" s="1333"/>
      <c r="GO64" s="1333"/>
      <c r="GP64" s="1333"/>
      <c r="GQ64" s="1333"/>
      <c r="GR64" s="1333"/>
      <c r="GS64" s="1333"/>
      <c r="GT64" s="1333"/>
      <c r="GU64" s="1333"/>
      <c r="GV64" s="1333"/>
      <c r="GW64" s="1333"/>
      <c r="GX64" s="1333"/>
    </row>
    <row r="65" spans="1:206" s="607" customFormat="1">
      <c r="A65" s="607">
        <f t="shared" si="0"/>
        <v>1975</v>
      </c>
      <c r="B65" s="607">
        <f t="shared" si="1"/>
        <v>3</v>
      </c>
      <c r="C65" s="1173">
        <v>27638</v>
      </c>
      <c r="D65" s="1709"/>
      <c r="E65" s="1117"/>
      <c r="F65" s="1117"/>
      <c r="G65" s="1117"/>
      <c r="H65" s="1117"/>
      <c r="I65" s="959">
        <v>114.51572933634917</v>
      </c>
      <c r="J65" s="959">
        <v>143.8318181818</v>
      </c>
      <c r="K65" s="960"/>
      <c r="L65" s="1121"/>
      <c r="M65" s="916"/>
      <c r="N65" s="916"/>
      <c r="O65" s="1332"/>
      <c r="P65" s="1332"/>
      <c r="Q65" s="1332"/>
      <c r="R65" s="1332"/>
      <c r="S65" s="1332"/>
      <c r="T65" s="1332"/>
      <c r="U65" s="1120"/>
      <c r="V65" s="1120"/>
      <c r="W65" s="1120"/>
      <c r="X65" s="1120"/>
      <c r="Y65" s="1119"/>
      <c r="Z65" s="1119"/>
      <c r="AA65" s="1119"/>
      <c r="AB65" s="1119"/>
      <c r="AC65" s="1178"/>
      <c r="AD65" s="1178"/>
      <c r="AE65" s="1178"/>
      <c r="AF65" s="1178"/>
      <c r="AG65" s="1178"/>
      <c r="AH65" s="1178"/>
      <c r="AI65" s="1178"/>
      <c r="AJ65" s="1178"/>
      <c r="AK65" s="919"/>
      <c r="AL65" s="1104"/>
      <c r="AM65" s="919"/>
      <c r="AN65" s="1710"/>
      <c r="AO65" s="919"/>
      <c r="AP65" s="919"/>
      <c r="AS65" s="1167"/>
      <c r="AT65" s="1167"/>
      <c r="AU65" s="1168"/>
      <c r="AV65" s="1168"/>
      <c r="AW65" s="1169"/>
      <c r="AX65" s="1169"/>
      <c r="AY65" s="1169"/>
      <c r="AZ65" s="1169"/>
      <c r="BA65" s="1799" t="s">
        <v>0</v>
      </c>
      <c r="BB65" s="1802">
        <v>2011</v>
      </c>
      <c r="BC65" s="1799" t="s">
        <v>18</v>
      </c>
      <c r="BD65" s="1799">
        <v>9</v>
      </c>
      <c r="BE65" s="1800">
        <v>147998181.80999997</v>
      </c>
      <c r="BF65" s="1801">
        <v>4.2481807553626724E-2</v>
      </c>
      <c r="BG65" s="1799"/>
      <c r="BH65" s="1799" t="s">
        <v>0</v>
      </c>
      <c r="BI65" s="1799" t="s">
        <v>316</v>
      </c>
      <c r="BJ65" s="1799" t="s">
        <v>19</v>
      </c>
      <c r="BK65" s="1799">
        <v>9</v>
      </c>
      <c r="BL65" s="1800">
        <v>130671743.03999999</v>
      </c>
      <c r="BM65" s="1801">
        <v>3.5581175694912835E-2</v>
      </c>
      <c r="BN65" s="1799">
        <v>2011</v>
      </c>
      <c r="BO65" s="1684"/>
      <c r="BP65" s="1697">
        <f>'Alumina and Bauxite - Prices'!A65</f>
        <v>45139</v>
      </c>
      <c r="BQ65" s="1169"/>
      <c r="BR65" s="1169"/>
      <c r="BS65" s="1169"/>
      <c r="BT65" s="1169"/>
      <c r="BU65" s="1169"/>
      <c r="BV65" s="1169"/>
      <c r="BW65" s="1169"/>
      <c r="BX65" s="1169"/>
      <c r="BY65" s="1169"/>
      <c r="BZ65" s="1169"/>
      <c r="CA65" s="1169"/>
      <c r="CB65" s="1169"/>
      <c r="CC65" s="1169"/>
      <c r="CD65" s="1169"/>
      <c r="CE65" s="1169"/>
      <c r="CF65" s="1169"/>
      <c r="CG65" s="1169"/>
      <c r="CH65" s="1169"/>
      <c r="CI65" s="1169"/>
      <c r="CJ65" s="1169"/>
      <c r="CK65" s="1169"/>
      <c r="CL65" s="1169"/>
      <c r="CM65" s="1169"/>
      <c r="CN65" s="1169"/>
      <c r="CO65" s="1169"/>
      <c r="CP65" s="1169"/>
      <c r="CQ65" s="1169"/>
      <c r="CR65" s="1169"/>
      <c r="CS65" s="1169"/>
      <c r="CT65" s="1169"/>
      <c r="CU65" s="1169"/>
      <c r="CV65" s="1169"/>
      <c r="CW65" s="1169"/>
      <c r="CX65" s="1169"/>
      <c r="CY65" s="1169"/>
      <c r="CZ65" s="1169"/>
      <c r="DA65" s="1168"/>
      <c r="DB65" s="1168"/>
      <c r="DC65" s="1168"/>
      <c r="DD65" s="1168"/>
      <c r="DE65" s="1168"/>
      <c r="DF65" s="1168"/>
      <c r="DG65" s="1168"/>
      <c r="DH65" s="1168"/>
      <c r="DI65" s="1168"/>
      <c r="DJ65" s="1168"/>
      <c r="DK65" s="1168"/>
      <c r="DL65" s="1168"/>
      <c r="DM65" s="1168"/>
      <c r="DN65" s="1168"/>
      <c r="DO65" s="1168"/>
      <c r="DP65" s="1168"/>
      <c r="DQ65" s="1168"/>
      <c r="DR65" s="1168"/>
      <c r="DS65" s="1168"/>
      <c r="DT65" s="1168"/>
      <c r="DU65" s="1168"/>
      <c r="DV65" s="1168"/>
      <c r="DW65" s="1168"/>
      <c r="DX65" s="1168"/>
      <c r="DY65" s="1168"/>
      <c r="DZ65" s="1168"/>
      <c r="EA65" s="1168"/>
      <c r="EB65" s="1168"/>
      <c r="EC65" s="1168"/>
      <c r="ED65" s="1168"/>
      <c r="EE65" s="1168"/>
      <c r="EF65" s="1168"/>
      <c r="EG65" s="1168"/>
      <c r="EH65" s="1168"/>
      <c r="EI65" s="1170"/>
      <c r="EJ65" s="1170"/>
      <c r="EK65" s="1170"/>
      <c r="EL65" s="1170"/>
      <c r="EM65" s="1170"/>
      <c r="EN65" s="1170"/>
      <c r="EO65" s="1170"/>
      <c r="EP65" s="1170"/>
      <c r="EQ65" s="1170"/>
      <c r="ER65" s="1170"/>
      <c r="ES65" s="1333"/>
      <c r="ET65" s="1333"/>
      <c r="EU65" s="1333"/>
      <c r="EV65" s="1333"/>
      <c r="EW65" s="1333"/>
      <c r="EX65" s="1333"/>
      <c r="EY65" s="1333"/>
      <c r="EZ65" s="1333"/>
      <c r="FA65" s="1333"/>
      <c r="FB65" s="1333"/>
      <c r="FC65" s="1333"/>
      <c r="FD65" s="1333"/>
      <c r="FE65" s="1333"/>
      <c r="FF65" s="1333"/>
      <c r="FG65" s="1333"/>
      <c r="FH65" s="1333"/>
      <c r="FI65" s="1333"/>
      <c r="FJ65" s="1333"/>
      <c r="FK65" s="1333"/>
      <c r="FL65" s="1333"/>
      <c r="FM65" s="1333"/>
      <c r="FN65" s="1333"/>
      <c r="FO65" s="1333"/>
      <c r="FP65" s="1333"/>
      <c r="FQ65" s="1333"/>
      <c r="FR65" s="1333"/>
      <c r="FS65" s="1333"/>
      <c r="FT65" s="1333"/>
      <c r="FU65" s="1333"/>
      <c r="FV65" s="1333"/>
      <c r="FW65" s="1333"/>
      <c r="FX65" s="1333"/>
      <c r="FY65" s="1333"/>
      <c r="FZ65" s="1333"/>
      <c r="GA65" s="1333"/>
      <c r="GB65" s="1333"/>
      <c r="GC65" s="1333"/>
      <c r="GD65" s="1333"/>
      <c r="GE65" s="1333"/>
      <c r="GF65" s="1333"/>
      <c r="GG65" s="1333"/>
      <c r="GH65" s="1333"/>
      <c r="GI65" s="1333"/>
      <c r="GJ65" s="1333"/>
      <c r="GK65" s="1333"/>
      <c r="GL65" s="1333"/>
      <c r="GM65" s="1333"/>
      <c r="GN65" s="1333"/>
      <c r="GO65" s="1333"/>
      <c r="GP65" s="1333"/>
      <c r="GQ65" s="1333"/>
      <c r="GR65" s="1333"/>
      <c r="GS65" s="1333"/>
      <c r="GT65" s="1333"/>
      <c r="GU65" s="1333"/>
      <c r="GV65" s="1333"/>
      <c r="GW65" s="1333"/>
      <c r="GX65" s="1333"/>
    </row>
    <row r="66" spans="1:206" s="607" customFormat="1">
      <c r="A66" s="607">
        <f t="shared" si="0"/>
        <v>1975</v>
      </c>
      <c r="B66" s="607">
        <f t="shared" si="1"/>
        <v>4</v>
      </c>
      <c r="C66" s="1173">
        <v>27668</v>
      </c>
      <c r="D66" s="957"/>
      <c r="E66" s="920"/>
      <c r="F66" s="920"/>
      <c r="G66" s="920"/>
      <c r="H66" s="920"/>
      <c r="I66" s="954">
        <v>112.31398569780897</v>
      </c>
      <c r="J66" s="954">
        <v>142.75108695649999</v>
      </c>
      <c r="K66" s="954"/>
      <c r="L66" s="920"/>
      <c r="M66" s="917"/>
      <c r="N66" s="917"/>
      <c r="O66" s="1334"/>
      <c r="P66" s="1334"/>
      <c r="Q66" s="1334"/>
      <c r="R66" s="1334"/>
      <c r="S66" s="1334"/>
      <c r="T66" s="1334"/>
      <c r="U66" s="920"/>
      <c r="V66" s="920"/>
      <c r="W66" s="920"/>
      <c r="X66" s="920"/>
      <c r="Y66" s="920"/>
      <c r="Z66" s="920"/>
      <c r="AA66" s="920"/>
      <c r="AB66" s="920"/>
      <c r="AC66" s="920"/>
      <c r="AD66" s="920"/>
      <c r="AE66" s="920"/>
      <c r="AF66" s="920"/>
      <c r="AG66" s="920"/>
      <c r="AH66" s="920"/>
      <c r="AI66" s="920"/>
      <c r="AJ66" s="920"/>
      <c r="AK66" s="920"/>
      <c r="AL66" s="1105"/>
      <c r="AM66" s="920"/>
      <c r="AN66" s="1711"/>
      <c r="AO66" s="920"/>
      <c r="AP66" s="920"/>
      <c r="AS66" s="1167"/>
      <c r="AT66" s="1167"/>
      <c r="AU66" s="1168"/>
      <c r="AV66" s="1168"/>
      <c r="AW66" s="1169"/>
      <c r="AX66" s="1169"/>
      <c r="AY66" s="1169"/>
      <c r="AZ66" s="1169"/>
      <c r="BA66" s="1799" t="s">
        <v>0</v>
      </c>
      <c r="BB66" s="1802">
        <v>2011</v>
      </c>
      <c r="BC66" s="1799" t="s">
        <v>74</v>
      </c>
      <c r="BD66" s="1799">
        <v>10</v>
      </c>
      <c r="BE66" s="1800">
        <v>108413295.86</v>
      </c>
      <c r="BF66" s="1801">
        <v>3.111925237629997E-2</v>
      </c>
      <c r="BG66" s="1799"/>
      <c r="BH66" s="1799" t="s">
        <v>0</v>
      </c>
      <c r="BI66" s="1799" t="s">
        <v>316</v>
      </c>
      <c r="BJ66" s="1799" t="s">
        <v>18</v>
      </c>
      <c r="BK66" s="1799">
        <v>10</v>
      </c>
      <c r="BL66" s="1800">
        <v>120936724.94</v>
      </c>
      <c r="BM66" s="1801">
        <v>3.2930385391279821E-2</v>
      </c>
      <c r="BN66" s="1799">
        <v>2011</v>
      </c>
      <c r="BO66" s="1684"/>
      <c r="BP66" s="1696"/>
      <c r="BQ66" s="1169"/>
      <c r="BR66" s="1169"/>
      <c r="BS66" s="1169"/>
      <c r="BT66" s="1169"/>
      <c r="BU66" s="1169"/>
      <c r="BV66" s="1169"/>
      <c r="BW66" s="1169"/>
      <c r="BX66" s="1169"/>
      <c r="BY66" s="1169"/>
      <c r="BZ66" s="1169"/>
      <c r="CA66" s="1169"/>
      <c r="CB66" s="1169"/>
      <c r="CC66" s="1169"/>
      <c r="CD66" s="1169"/>
      <c r="CE66" s="1169"/>
      <c r="CF66" s="1169"/>
      <c r="CG66" s="1169"/>
      <c r="CH66" s="1169"/>
      <c r="CI66" s="1169"/>
      <c r="CJ66" s="1169"/>
      <c r="CK66" s="1169"/>
      <c r="CL66" s="1169"/>
      <c r="CM66" s="1169"/>
      <c r="CN66" s="1169"/>
      <c r="CO66" s="1169"/>
      <c r="CP66" s="1169"/>
      <c r="CQ66" s="1169"/>
      <c r="CR66" s="1169"/>
      <c r="CS66" s="1169"/>
      <c r="CT66" s="1169"/>
      <c r="CU66" s="1169"/>
      <c r="CV66" s="1169"/>
      <c r="CW66" s="1169"/>
      <c r="CX66" s="1169"/>
      <c r="CY66" s="1169"/>
      <c r="CZ66" s="1169"/>
      <c r="DA66" s="1168"/>
      <c r="DB66" s="1168"/>
      <c r="DC66" s="1168"/>
      <c r="DD66" s="1168"/>
      <c r="DE66" s="1168"/>
      <c r="DF66" s="1168"/>
      <c r="DG66" s="1168"/>
      <c r="DH66" s="1168"/>
      <c r="DI66" s="1168"/>
      <c r="DJ66" s="1168"/>
      <c r="DK66" s="1168"/>
      <c r="DL66" s="1168"/>
      <c r="DM66" s="1168"/>
      <c r="DN66" s="1168"/>
      <c r="DO66" s="1168"/>
      <c r="DP66" s="1168"/>
      <c r="DQ66" s="1168"/>
      <c r="DR66" s="1168"/>
      <c r="DS66" s="1168"/>
      <c r="DT66" s="1168"/>
      <c r="DU66" s="1168"/>
      <c r="DV66" s="1168"/>
      <c r="DW66" s="1168"/>
      <c r="DX66" s="1168"/>
      <c r="DY66" s="1168"/>
      <c r="DZ66" s="1168"/>
      <c r="EA66" s="1168"/>
      <c r="EB66" s="1168"/>
      <c r="EC66" s="1168"/>
      <c r="ED66" s="1168"/>
      <c r="EE66" s="1168"/>
      <c r="EF66" s="1168"/>
      <c r="EG66" s="1168"/>
      <c r="EH66" s="1168"/>
      <c r="EI66" s="1170"/>
      <c r="EJ66" s="1170"/>
      <c r="EK66" s="1170"/>
      <c r="EL66" s="1170"/>
      <c r="EM66" s="1170"/>
      <c r="EN66" s="1170"/>
      <c r="EO66" s="1170"/>
      <c r="EP66" s="1170"/>
      <c r="EQ66" s="1170"/>
      <c r="ER66" s="1170"/>
      <c r="ES66" s="1333"/>
      <c r="ET66" s="1333"/>
      <c r="EU66" s="1333"/>
      <c r="EV66" s="1333"/>
      <c r="EW66" s="1333"/>
      <c r="EX66" s="1333"/>
      <c r="EY66" s="1333"/>
      <c r="EZ66" s="1333"/>
      <c r="FA66" s="1333"/>
      <c r="FB66" s="1333"/>
      <c r="FC66" s="1333"/>
      <c r="FD66" s="1333"/>
      <c r="FE66" s="1333"/>
      <c r="FF66" s="1333"/>
      <c r="FG66" s="1333"/>
      <c r="FH66" s="1333"/>
      <c r="FI66" s="1333"/>
      <c r="FJ66" s="1333"/>
      <c r="FK66" s="1333"/>
      <c r="FL66" s="1333"/>
      <c r="FM66" s="1333"/>
      <c r="FN66" s="1333"/>
      <c r="FO66" s="1333"/>
      <c r="FP66" s="1333"/>
      <c r="FQ66" s="1333"/>
      <c r="FR66" s="1333"/>
      <c r="FS66" s="1333"/>
      <c r="FT66" s="1333"/>
      <c r="FU66" s="1333"/>
      <c r="FV66" s="1333"/>
      <c r="FW66" s="1333"/>
      <c r="FX66" s="1333"/>
      <c r="FY66" s="1333"/>
      <c r="FZ66" s="1333"/>
      <c r="GA66" s="1333"/>
      <c r="GB66" s="1333"/>
      <c r="GC66" s="1333"/>
      <c r="GD66" s="1333"/>
      <c r="GE66" s="1333"/>
      <c r="GF66" s="1333"/>
      <c r="GG66" s="1333"/>
      <c r="GH66" s="1333"/>
      <c r="GI66" s="1333"/>
      <c r="GJ66" s="1333"/>
      <c r="GK66" s="1333"/>
      <c r="GL66" s="1333"/>
      <c r="GM66" s="1333"/>
      <c r="GN66" s="1333"/>
      <c r="GO66" s="1333"/>
      <c r="GP66" s="1333"/>
      <c r="GQ66" s="1333"/>
      <c r="GR66" s="1333"/>
      <c r="GS66" s="1333"/>
      <c r="GT66" s="1333"/>
      <c r="GU66" s="1333"/>
      <c r="GV66" s="1333"/>
      <c r="GW66" s="1333"/>
      <c r="GX66" s="1333"/>
    </row>
    <row r="67" spans="1:206" s="607" customFormat="1">
      <c r="A67" s="607">
        <f t="shared" si="0"/>
        <v>1975</v>
      </c>
      <c r="B67" s="607">
        <f t="shared" si="1"/>
        <v>4</v>
      </c>
      <c r="C67" s="1173">
        <v>27701</v>
      </c>
      <c r="D67" s="1709"/>
      <c r="E67" s="1117"/>
      <c r="F67" s="1117"/>
      <c r="G67" s="1117"/>
      <c r="H67" s="1117"/>
      <c r="I67" s="959">
        <v>112.97543865624999</v>
      </c>
      <c r="J67" s="959">
        <v>142.28125</v>
      </c>
      <c r="K67" s="960"/>
      <c r="L67" s="1121"/>
      <c r="M67" s="916"/>
      <c r="N67" s="916"/>
      <c r="O67" s="1332"/>
      <c r="P67" s="1332"/>
      <c r="Q67" s="1332"/>
      <c r="R67" s="1332"/>
      <c r="S67" s="1332"/>
      <c r="T67" s="1332"/>
      <c r="U67" s="1120"/>
      <c r="V67" s="1120"/>
      <c r="W67" s="1120"/>
      <c r="X67" s="1120"/>
      <c r="Y67" s="1119"/>
      <c r="Z67" s="1119"/>
      <c r="AA67" s="1119"/>
      <c r="AB67" s="1119"/>
      <c r="AC67" s="1178"/>
      <c r="AD67" s="1178"/>
      <c r="AE67" s="1178"/>
      <c r="AF67" s="1178"/>
      <c r="AG67" s="1178"/>
      <c r="AH67" s="1178"/>
      <c r="AI67" s="1178"/>
      <c r="AJ67" s="1178"/>
      <c r="AK67" s="919"/>
      <c r="AL67" s="1104"/>
      <c r="AM67" s="919"/>
      <c r="AN67" s="1710"/>
      <c r="AO67" s="919"/>
      <c r="AP67" s="919"/>
      <c r="AS67" s="1167"/>
      <c r="AT67" s="1167"/>
      <c r="AU67" s="1168"/>
      <c r="AV67" s="1168"/>
      <c r="AW67" s="1169"/>
      <c r="AX67" s="1169"/>
      <c r="AY67" s="1169"/>
      <c r="AZ67" s="1169"/>
      <c r="BA67" s="1799" t="s">
        <v>0</v>
      </c>
      <c r="BB67" s="1802">
        <v>2011</v>
      </c>
      <c r="BC67" s="1799" t="s">
        <v>32</v>
      </c>
      <c r="BD67" s="1799"/>
      <c r="BE67" s="1800">
        <v>356768072.94999981</v>
      </c>
      <c r="BF67" s="1801">
        <v>0.10240769468234155</v>
      </c>
      <c r="BG67" s="1799"/>
      <c r="BH67" s="1799" t="s">
        <v>0</v>
      </c>
      <c r="BI67" s="1799" t="s">
        <v>316</v>
      </c>
      <c r="BJ67" s="1799" t="s">
        <v>13</v>
      </c>
      <c r="BK67" s="1799">
        <v>11</v>
      </c>
      <c r="BL67" s="1800">
        <v>106252945.60999998</v>
      </c>
      <c r="BM67" s="1801">
        <v>2.8932075427310584E-2</v>
      </c>
      <c r="BN67" s="1799">
        <v>2011</v>
      </c>
      <c r="BO67" s="1684"/>
      <c r="BP67" s="1696"/>
      <c r="BQ67" s="1169"/>
      <c r="BR67" s="1169"/>
      <c r="BS67" s="1169"/>
      <c r="BT67" s="1169"/>
      <c r="BU67" s="1169"/>
      <c r="BV67" s="1169"/>
      <c r="BW67" s="1169"/>
      <c r="BX67" s="1169"/>
      <c r="BY67" s="1169"/>
      <c r="BZ67" s="1169"/>
      <c r="CA67" s="1169"/>
      <c r="CB67" s="1169"/>
      <c r="CC67" s="1169"/>
      <c r="CD67" s="1169"/>
      <c r="CE67" s="1169"/>
      <c r="CF67" s="1169"/>
      <c r="CG67" s="1169"/>
      <c r="CH67" s="1169"/>
      <c r="CI67" s="1169"/>
      <c r="CJ67" s="1169"/>
      <c r="CK67" s="1169"/>
      <c r="CL67" s="1169"/>
      <c r="CM67" s="1169"/>
      <c r="CN67" s="1169"/>
      <c r="CO67" s="1169"/>
      <c r="CP67" s="1169"/>
      <c r="CQ67" s="1169"/>
      <c r="CR67" s="1169"/>
      <c r="CS67" s="1169"/>
      <c r="CT67" s="1169"/>
      <c r="CU67" s="1169"/>
      <c r="CV67" s="1169"/>
      <c r="CW67" s="1169"/>
      <c r="CX67" s="1169"/>
      <c r="CY67" s="1169"/>
      <c r="CZ67" s="1169"/>
      <c r="DA67" s="1168"/>
      <c r="DB67" s="1168"/>
      <c r="DC67" s="1168"/>
      <c r="DD67" s="1168"/>
      <c r="DE67" s="1168"/>
      <c r="DF67" s="1168"/>
      <c r="DG67" s="1168"/>
      <c r="DH67" s="1168"/>
      <c r="DI67" s="1168"/>
      <c r="DJ67" s="1168"/>
      <c r="DK67" s="1168"/>
      <c r="DL67" s="1168"/>
      <c r="DM67" s="1168"/>
      <c r="DN67" s="1168"/>
      <c r="DO67" s="1168"/>
      <c r="DP67" s="1168"/>
      <c r="DQ67" s="1168"/>
      <c r="DR67" s="1168"/>
      <c r="DS67" s="1168"/>
      <c r="DT67" s="1168"/>
      <c r="DU67" s="1168"/>
      <c r="DV67" s="1168"/>
      <c r="DW67" s="1168"/>
      <c r="DX67" s="1168"/>
      <c r="DY67" s="1168"/>
      <c r="DZ67" s="1168"/>
      <c r="EA67" s="1168"/>
      <c r="EB67" s="1168"/>
      <c r="EC67" s="1168"/>
      <c r="ED67" s="1168"/>
      <c r="EE67" s="1168"/>
      <c r="EF67" s="1168"/>
      <c r="EG67" s="1168"/>
      <c r="EH67" s="1168"/>
      <c r="EI67" s="1170"/>
      <c r="EJ67" s="1170"/>
      <c r="EK67" s="1170"/>
      <c r="EL67" s="1170"/>
      <c r="EM67" s="1170"/>
      <c r="EN67" s="1170"/>
      <c r="EO67" s="1170"/>
      <c r="EP67" s="1170"/>
      <c r="EQ67" s="1170"/>
      <c r="ER67" s="1170"/>
      <c r="ES67" s="1333"/>
      <c r="ET67" s="1333"/>
      <c r="EU67" s="1333"/>
      <c r="EV67" s="1333"/>
      <c r="EW67" s="1333"/>
      <c r="EX67" s="1333"/>
      <c r="EY67" s="1333"/>
      <c r="EZ67" s="1333"/>
      <c r="FA67" s="1333"/>
      <c r="FB67" s="1333"/>
      <c r="FC67" s="1333"/>
      <c r="FD67" s="1333"/>
      <c r="FE67" s="1333"/>
      <c r="FF67" s="1333"/>
      <c r="FG67" s="1333"/>
      <c r="FH67" s="1333"/>
      <c r="FI67" s="1333"/>
      <c r="FJ67" s="1333"/>
      <c r="FK67" s="1333"/>
      <c r="FL67" s="1333"/>
      <c r="FM67" s="1333"/>
      <c r="FN67" s="1333"/>
      <c r="FO67" s="1333"/>
      <c r="FP67" s="1333"/>
      <c r="FQ67" s="1333"/>
      <c r="FR67" s="1333"/>
      <c r="FS67" s="1333"/>
      <c r="FT67" s="1333"/>
      <c r="FU67" s="1333"/>
      <c r="FV67" s="1333"/>
      <c r="FW67" s="1333"/>
      <c r="FX67" s="1333"/>
      <c r="FY67" s="1333"/>
      <c r="FZ67" s="1333"/>
      <c r="GA67" s="1333"/>
      <c r="GB67" s="1333"/>
      <c r="GC67" s="1333"/>
      <c r="GD67" s="1333"/>
      <c r="GE67" s="1333"/>
      <c r="GF67" s="1333"/>
      <c r="GG67" s="1333"/>
      <c r="GH67" s="1333"/>
      <c r="GI67" s="1333"/>
      <c r="GJ67" s="1333"/>
      <c r="GK67" s="1333"/>
      <c r="GL67" s="1333"/>
      <c r="GM67" s="1333"/>
      <c r="GN67" s="1333"/>
      <c r="GO67" s="1333"/>
      <c r="GP67" s="1333"/>
      <c r="GQ67" s="1333"/>
      <c r="GR67" s="1333"/>
      <c r="GS67" s="1333"/>
      <c r="GT67" s="1333"/>
      <c r="GU67" s="1333"/>
      <c r="GV67" s="1333"/>
      <c r="GW67" s="1333"/>
      <c r="GX67" s="1333"/>
    </row>
    <row r="68" spans="1:206" s="607" customFormat="1">
      <c r="A68" s="607">
        <f t="shared" si="0"/>
        <v>1975</v>
      </c>
      <c r="B68" s="607">
        <f t="shared" si="1"/>
        <v>4</v>
      </c>
      <c r="C68" s="1173">
        <v>27729</v>
      </c>
      <c r="D68" s="957"/>
      <c r="E68" s="920"/>
      <c r="F68" s="920"/>
      <c r="G68" s="920"/>
      <c r="H68" s="920"/>
      <c r="I68" s="954">
        <v>110.8221561552548</v>
      </c>
      <c r="J68" s="954">
        <v>139.31447368420001</v>
      </c>
      <c r="K68" s="954"/>
      <c r="L68" s="920"/>
      <c r="M68" s="917"/>
      <c r="N68" s="917"/>
      <c r="O68" s="1334"/>
      <c r="P68" s="1334"/>
      <c r="Q68" s="1334"/>
      <c r="R68" s="1334"/>
      <c r="S68" s="1334"/>
      <c r="T68" s="1334"/>
      <c r="U68" s="920"/>
      <c r="V68" s="920"/>
      <c r="W68" s="920"/>
      <c r="X68" s="920"/>
      <c r="Y68" s="920"/>
      <c r="Z68" s="920"/>
      <c r="AA68" s="920"/>
      <c r="AB68" s="920"/>
      <c r="AC68" s="920"/>
      <c r="AD68" s="920"/>
      <c r="AE68" s="920"/>
      <c r="AF68" s="920"/>
      <c r="AG68" s="920"/>
      <c r="AH68" s="920"/>
      <c r="AI68" s="920"/>
      <c r="AJ68" s="920"/>
      <c r="AK68" s="920"/>
      <c r="AL68" s="1105"/>
      <c r="AM68" s="920"/>
      <c r="AN68" s="1711"/>
      <c r="AO68" s="920"/>
      <c r="AP68" s="920"/>
      <c r="AS68" s="1167"/>
      <c r="AT68" s="1167"/>
      <c r="AU68" s="1168"/>
      <c r="AV68" s="1168"/>
      <c r="AW68" s="1169"/>
      <c r="AX68" s="1169"/>
      <c r="AY68" s="1169"/>
      <c r="AZ68" s="1169"/>
      <c r="BA68" s="1799" t="s">
        <v>0</v>
      </c>
      <c r="BB68" s="1802">
        <v>2011</v>
      </c>
      <c r="BC68" s="1799" t="s">
        <v>249</v>
      </c>
      <c r="BD68" s="1799"/>
      <c r="BE68" s="1800">
        <v>3483801427.7800002</v>
      </c>
      <c r="BF68" s="1801">
        <v>2.6015975686936341E-2</v>
      </c>
      <c r="BG68" s="1799"/>
      <c r="BH68" s="1799" t="s">
        <v>0</v>
      </c>
      <c r="BI68" s="1799" t="s">
        <v>316</v>
      </c>
      <c r="BJ68" s="1799" t="s">
        <v>74</v>
      </c>
      <c r="BK68" s="1799">
        <v>12</v>
      </c>
      <c r="BL68" s="1800">
        <v>76958175.060000002</v>
      </c>
      <c r="BM68" s="1801">
        <v>2.0955275289559028E-2</v>
      </c>
      <c r="BN68" s="1799">
        <v>2011</v>
      </c>
      <c r="BO68" s="1684"/>
      <c r="BP68" s="1697">
        <f>'Alumina and Bauxite - Prices'!A68</f>
        <v>45231</v>
      </c>
      <c r="BQ68" s="1169"/>
      <c r="BR68" s="1169"/>
      <c r="BS68" s="1169"/>
      <c r="BT68" s="1169"/>
      <c r="BU68" s="1169"/>
      <c r="BV68" s="1169"/>
      <c r="BW68" s="1169"/>
      <c r="BX68" s="1169"/>
      <c r="BY68" s="1169"/>
      <c r="BZ68" s="1169"/>
      <c r="CA68" s="1169"/>
      <c r="CB68" s="1169"/>
      <c r="CC68" s="1169"/>
      <c r="CD68" s="1169"/>
      <c r="CE68" s="1169"/>
      <c r="CF68" s="1169"/>
      <c r="CG68" s="1169"/>
      <c r="CH68" s="1169"/>
      <c r="CI68" s="1169"/>
      <c r="CJ68" s="1169"/>
      <c r="CK68" s="1169"/>
      <c r="CL68" s="1169"/>
      <c r="CM68" s="1169"/>
      <c r="CN68" s="1169"/>
      <c r="CO68" s="1169"/>
      <c r="CP68" s="1169"/>
      <c r="CQ68" s="1169"/>
      <c r="CR68" s="1169"/>
      <c r="CS68" s="1169"/>
      <c r="CT68" s="1169"/>
      <c r="CU68" s="1169"/>
      <c r="CV68" s="1169"/>
      <c r="CW68" s="1169"/>
      <c r="CX68" s="1169"/>
      <c r="CY68" s="1169"/>
      <c r="CZ68" s="1169"/>
      <c r="DA68" s="1168"/>
      <c r="DB68" s="1168"/>
      <c r="DC68" s="1168"/>
      <c r="DD68" s="1168"/>
      <c r="DE68" s="1168"/>
      <c r="DF68" s="1168"/>
      <c r="DG68" s="1168"/>
      <c r="DH68" s="1168"/>
      <c r="DI68" s="1168"/>
      <c r="DJ68" s="1168"/>
      <c r="DK68" s="1168"/>
      <c r="DL68" s="1168"/>
      <c r="DM68" s="1168"/>
      <c r="DN68" s="1168"/>
      <c r="DO68" s="1168"/>
      <c r="DP68" s="1168"/>
      <c r="DQ68" s="1168"/>
      <c r="DR68" s="1168"/>
      <c r="DS68" s="1168"/>
      <c r="DT68" s="1168"/>
      <c r="DU68" s="1168"/>
      <c r="DV68" s="1168"/>
      <c r="DW68" s="1168"/>
      <c r="DX68" s="1168"/>
      <c r="DY68" s="1168"/>
      <c r="DZ68" s="1168"/>
      <c r="EA68" s="1168"/>
      <c r="EB68" s="1168"/>
      <c r="EC68" s="1168"/>
      <c r="ED68" s="1168"/>
      <c r="EE68" s="1168"/>
      <c r="EF68" s="1168"/>
      <c r="EG68" s="1168"/>
      <c r="EH68" s="1168"/>
      <c r="EI68" s="1170"/>
      <c r="EJ68" s="1170"/>
      <c r="EK68" s="1170"/>
      <c r="EL68" s="1170"/>
      <c r="EM68" s="1170"/>
      <c r="EN68" s="1170"/>
      <c r="EO68" s="1170"/>
      <c r="EP68" s="1170"/>
      <c r="EQ68" s="1170"/>
      <c r="ER68" s="1170"/>
      <c r="ES68" s="1333"/>
      <c r="ET68" s="1333"/>
      <c r="EU68" s="1333"/>
      <c r="EV68" s="1333"/>
      <c r="EW68" s="1333"/>
      <c r="EX68" s="1333"/>
      <c r="EY68" s="1333"/>
      <c r="EZ68" s="1333"/>
      <c r="FA68" s="1333"/>
      <c r="FB68" s="1333"/>
      <c r="FC68" s="1333"/>
      <c r="FD68" s="1333"/>
      <c r="FE68" s="1333"/>
      <c r="FF68" s="1333"/>
      <c r="FG68" s="1333"/>
      <c r="FH68" s="1333"/>
      <c r="FI68" s="1333"/>
      <c r="FJ68" s="1333"/>
      <c r="FK68" s="1333"/>
      <c r="FL68" s="1333"/>
      <c r="FM68" s="1333"/>
      <c r="FN68" s="1333"/>
      <c r="FO68" s="1333"/>
      <c r="FP68" s="1333"/>
      <c r="FQ68" s="1333"/>
      <c r="FR68" s="1333"/>
      <c r="FS68" s="1333"/>
      <c r="FT68" s="1333"/>
      <c r="FU68" s="1333"/>
      <c r="FV68" s="1333"/>
      <c r="FW68" s="1333"/>
      <c r="FX68" s="1333"/>
      <c r="FY68" s="1333"/>
      <c r="FZ68" s="1333"/>
      <c r="GA68" s="1333"/>
      <c r="GB68" s="1333"/>
      <c r="GC68" s="1333"/>
      <c r="GD68" s="1333"/>
      <c r="GE68" s="1333"/>
      <c r="GF68" s="1333"/>
      <c r="GG68" s="1333"/>
      <c r="GH68" s="1333"/>
      <c r="GI68" s="1333"/>
      <c r="GJ68" s="1333"/>
      <c r="GK68" s="1333"/>
      <c r="GL68" s="1333"/>
      <c r="GM68" s="1333"/>
      <c r="GN68" s="1333"/>
      <c r="GO68" s="1333"/>
      <c r="GP68" s="1333"/>
      <c r="GQ68" s="1333"/>
      <c r="GR68" s="1333"/>
      <c r="GS68" s="1333"/>
      <c r="GT68" s="1333"/>
      <c r="GU68" s="1333"/>
      <c r="GV68" s="1333"/>
      <c r="GW68" s="1333"/>
      <c r="GX68" s="1333"/>
    </row>
    <row r="69" spans="1:206" s="607" customFormat="1">
      <c r="A69" s="607">
        <f t="shared" si="0"/>
        <v>1976</v>
      </c>
      <c r="B69" s="607">
        <f t="shared" si="1"/>
        <v>1</v>
      </c>
      <c r="C69" s="1173">
        <v>27760</v>
      </c>
      <c r="D69" s="1709"/>
      <c r="E69" s="1117"/>
      <c r="F69" s="1117"/>
      <c r="G69" s="1117"/>
      <c r="H69" s="1117"/>
      <c r="I69" s="959">
        <v>104.26686447262662</v>
      </c>
      <c r="J69" s="959">
        <v>131.25119047620001</v>
      </c>
      <c r="K69" s="960"/>
      <c r="L69" s="1121"/>
      <c r="M69" s="916"/>
      <c r="N69" s="916"/>
      <c r="O69" s="1332"/>
      <c r="P69" s="1332"/>
      <c r="Q69" s="1332"/>
      <c r="R69" s="1332"/>
      <c r="S69" s="1332"/>
      <c r="T69" s="1332"/>
      <c r="U69" s="1120"/>
      <c r="V69" s="1120"/>
      <c r="W69" s="1120"/>
      <c r="X69" s="1120"/>
      <c r="Y69" s="1119"/>
      <c r="Z69" s="1119"/>
      <c r="AA69" s="1119"/>
      <c r="AB69" s="1119"/>
      <c r="AC69" s="1178"/>
      <c r="AD69" s="1178"/>
      <c r="AE69" s="1178"/>
      <c r="AF69" s="1178"/>
      <c r="AG69" s="1178"/>
      <c r="AH69" s="1178"/>
      <c r="AI69" s="1178"/>
      <c r="AJ69" s="1178"/>
      <c r="AK69" s="919"/>
      <c r="AL69" s="1104"/>
      <c r="AM69" s="919"/>
      <c r="AN69" s="1710"/>
      <c r="AO69" s="919"/>
      <c r="AP69" s="919"/>
      <c r="AS69" s="1167"/>
      <c r="AT69" s="1167"/>
      <c r="AU69" s="1168"/>
      <c r="AV69" s="1168"/>
      <c r="AW69" s="1169"/>
      <c r="AX69" s="1169"/>
      <c r="AY69" s="1169"/>
      <c r="AZ69" s="1169"/>
      <c r="BA69" s="1799" t="s">
        <v>0</v>
      </c>
      <c r="BB69" s="1802">
        <v>2010</v>
      </c>
      <c r="BC69" s="1799" t="s">
        <v>15</v>
      </c>
      <c r="BD69" s="1799">
        <v>1</v>
      </c>
      <c r="BE69" s="1800">
        <v>891000156.54999971</v>
      </c>
      <c r="BF69" s="1801">
        <v>0.23477197423957175</v>
      </c>
      <c r="BG69" s="1799"/>
      <c r="BH69" s="1799" t="s">
        <v>0</v>
      </c>
      <c r="BI69" s="1799" t="s">
        <v>316</v>
      </c>
      <c r="BJ69" s="1799" t="s">
        <v>32</v>
      </c>
      <c r="BK69" s="1799"/>
      <c r="BL69" s="1800">
        <v>132359904.86000109</v>
      </c>
      <c r="BM69" s="1801">
        <v>3.6040852599203574E-2</v>
      </c>
      <c r="BN69" s="1799">
        <v>2011</v>
      </c>
      <c r="BO69" s="1684"/>
      <c r="BP69" s="1696"/>
      <c r="BQ69" s="1169"/>
      <c r="BR69" s="1169"/>
      <c r="BS69" s="1169"/>
      <c r="BT69" s="1169"/>
      <c r="BU69" s="1169"/>
      <c r="BV69" s="1169"/>
      <c r="BW69" s="1169"/>
      <c r="BX69" s="1169"/>
      <c r="BY69" s="1169"/>
      <c r="BZ69" s="1169"/>
      <c r="CA69" s="1169"/>
      <c r="CB69" s="1169"/>
      <c r="CC69" s="1169"/>
      <c r="CD69" s="1169"/>
      <c r="CE69" s="1169"/>
      <c r="CF69" s="1169"/>
      <c r="CG69" s="1169"/>
      <c r="CH69" s="1169"/>
      <c r="CI69" s="1169"/>
      <c r="CJ69" s="1169"/>
      <c r="CK69" s="1169"/>
      <c r="CL69" s="1169"/>
      <c r="CM69" s="1169"/>
      <c r="CN69" s="1169"/>
      <c r="CO69" s="1169"/>
      <c r="CP69" s="1169"/>
      <c r="CQ69" s="1169"/>
      <c r="CR69" s="1169"/>
      <c r="CS69" s="1169"/>
      <c r="CT69" s="1169"/>
      <c r="CU69" s="1169"/>
      <c r="CV69" s="1169"/>
      <c r="CW69" s="1169"/>
      <c r="CX69" s="1169"/>
      <c r="CY69" s="1169"/>
      <c r="CZ69" s="1169"/>
      <c r="DA69" s="1168"/>
      <c r="DB69" s="1168"/>
      <c r="DC69" s="1168"/>
      <c r="DD69" s="1168"/>
      <c r="DE69" s="1168"/>
      <c r="DF69" s="1168"/>
      <c r="DG69" s="1168"/>
      <c r="DH69" s="1168"/>
      <c r="DI69" s="1168"/>
      <c r="DJ69" s="1168"/>
      <c r="DK69" s="1168"/>
      <c r="DL69" s="1168"/>
      <c r="DM69" s="1168"/>
      <c r="DN69" s="1168"/>
      <c r="DO69" s="1168"/>
      <c r="DP69" s="1168"/>
      <c r="DQ69" s="1168"/>
      <c r="DR69" s="1168"/>
      <c r="DS69" s="1168"/>
      <c r="DT69" s="1168"/>
      <c r="DU69" s="1168"/>
      <c r="DV69" s="1168"/>
      <c r="DW69" s="1168"/>
      <c r="DX69" s="1168"/>
      <c r="DY69" s="1168"/>
      <c r="DZ69" s="1168"/>
      <c r="EA69" s="1168"/>
      <c r="EB69" s="1168"/>
      <c r="EC69" s="1168"/>
      <c r="ED69" s="1168"/>
      <c r="EE69" s="1168"/>
      <c r="EF69" s="1168"/>
      <c r="EG69" s="1168"/>
      <c r="EH69" s="1168"/>
      <c r="EI69" s="1170"/>
      <c r="EJ69" s="1170"/>
      <c r="EK69" s="1170"/>
      <c r="EL69" s="1170"/>
      <c r="EM69" s="1170"/>
      <c r="EN69" s="1170"/>
      <c r="EO69" s="1170"/>
      <c r="EP69" s="1170"/>
      <c r="EQ69" s="1170"/>
      <c r="ER69" s="1170"/>
      <c r="ES69" s="1333"/>
      <c r="ET69" s="1333"/>
      <c r="EU69" s="1333"/>
      <c r="EV69" s="1333"/>
      <c r="EW69" s="1333"/>
      <c r="EX69" s="1333"/>
      <c r="EY69" s="1333"/>
      <c r="EZ69" s="1333"/>
      <c r="FA69" s="1333"/>
      <c r="FB69" s="1333"/>
      <c r="FC69" s="1333"/>
      <c r="FD69" s="1333"/>
      <c r="FE69" s="1333"/>
      <c r="FF69" s="1333"/>
      <c r="FG69" s="1333"/>
      <c r="FH69" s="1333"/>
      <c r="FI69" s="1333"/>
      <c r="FJ69" s="1333"/>
      <c r="FK69" s="1333"/>
      <c r="FL69" s="1333"/>
      <c r="FM69" s="1333"/>
      <c r="FN69" s="1333"/>
      <c r="FO69" s="1333"/>
      <c r="FP69" s="1333"/>
      <c r="FQ69" s="1333"/>
      <c r="FR69" s="1333"/>
      <c r="FS69" s="1333"/>
      <c r="FT69" s="1333"/>
      <c r="FU69" s="1333"/>
      <c r="FV69" s="1333"/>
      <c r="FW69" s="1333"/>
      <c r="FX69" s="1333"/>
      <c r="FY69" s="1333"/>
      <c r="FZ69" s="1333"/>
      <c r="GA69" s="1333"/>
      <c r="GB69" s="1333"/>
      <c r="GC69" s="1333"/>
      <c r="GD69" s="1333"/>
      <c r="GE69" s="1333"/>
      <c r="GF69" s="1333"/>
      <c r="GG69" s="1333"/>
      <c r="GH69" s="1333"/>
      <c r="GI69" s="1333"/>
      <c r="GJ69" s="1333"/>
      <c r="GK69" s="1333"/>
      <c r="GL69" s="1333"/>
      <c r="GM69" s="1333"/>
      <c r="GN69" s="1333"/>
      <c r="GO69" s="1333"/>
      <c r="GP69" s="1333"/>
      <c r="GQ69" s="1333"/>
      <c r="GR69" s="1333"/>
      <c r="GS69" s="1333"/>
      <c r="GT69" s="1333"/>
      <c r="GU69" s="1333"/>
      <c r="GV69" s="1333"/>
      <c r="GW69" s="1333"/>
      <c r="GX69" s="1333"/>
    </row>
    <row r="70" spans="1:206" s="607" customFormat="1">
      <c r="A70" s="607">
        <f t="shared" si="0"/>
        <v>1976</v>
      </c>
      <c r="B70" s="607">
        <f t="shared" si="1"/>
        <v>1</v>
      </c>
      <c r="C70" s="1173">
        <v>27792</v>
      </c>
      <c r="D70" s="957"/>
      <c r="E70" s="920"/>
      <c r="F70" s="920"/>
      <c r="G70" s="920"/>
      <c r="H70" s="920"/>
      <c r="I70" s="954">
        <v>104.023542425</v>
      </c>
      <c r="J70" s="954">
        <v>131.14250000000001</v>
      </c>
      <c r="K70" s="954"/>
      <c r="L70" s="920"/>
      <c r="M70" s="917"/>
      <c r="N70" s="917"/>
      <c r="O70" s="1334"/>
      <c r="P70" s="1334"/>
      <c r="Q70" s="1334"/>
      <c r="R70" s="1334"/>
      <c r="S70" s="1334"/>
      <c r="T70" s="1334"/>
      <c r="U70" s="920"/>
      <c r="V70" s="920"/>
      <c r="W70" s="920"/>
      <c r="X70" s="920"/>
      <c r="Y70" s="920"/>
      <c r="Z70" s="920"/>
      <c r="AA70" s="920"/>
      <c r="AB70" s="920"/>
      <c r="AC70" s="920"/>
      <c r="AD70" s="920"/>
      <c r="AE70" s="920"/>
      <c r="AF70" s="920"/>
      <c r="AG70" s="920"/>
      <c r="AH70" s="920"/>
      <c r="AI70" s="920"/>
      <c r="AJ70" s="920"/>
      <c r="AK70" s="920"/>
      <c r="AL70" s="1105"/>
      <c r="AM70" s="920"/>
      <c r="AN70" s="1711"/>
      <c r="AO70" s="920"/>
      <c r="AP70" s="920"/>
      <c r="AS70" s="1167"/>
      <c r="AT70" s="1167"/>
      <c r="AU70" s="1168"/>
      <c r="AV70" s="1168"/>
      <c r="AW70" s="1169"/>
      <c r="AX70" s="1169"/>
      <c r="AY70" s="1169"/>
      <c r="AZ70" s="1169"/>
      <c r="BA70" s="1799" t="s">
        <v>0</v>
      </c>
      <c r="BB70" s="1802">
        <v>2010</v>
      </c>
      <c r="BC70" s="1799" t="s">
        <v>29</v>
      </c>
      <c r="BD70" s="1799">
        <v>2</v>
      </c>
      <c r="BE70" s="1800">
        <v>847227430.13000011</v>
      </c>
      <c r="BF70" s="1801">
        <v>0.22323818344960875</v>
      </c>
      <c r="BG70" s="1799"/>
      <c r="BH70" s="1799" t="s">
        <v>0</v>
      </c>
      <c r="BI70" s="1799" t="s">
        <v>316</v>
      </c>
      <c r="BJ70" s="1799" t="s">
        <v>249</v>
      </c>
      <c r="BK70" s="1799"/>
      <c r="BL70" s="1800">
        <v>3672496495.3500004</v>
      </c>
      <c r="BM70" s="1801"/>
      <c r="BN70" s="1799">
        <v>2011</v>
      </c>
      <c r="BO70" s="1684"/>
      <c r="BP70" s="1696"/>
      <c r="BQ70" s="1169"/>
      <c r="BR70" s="1169"/>
      <c r="BS70" s="1169"/>
      <c r="BT70" s="1169"/>
      <c r="BU70" s="1169"/>
      <c r="BV70" s="1169"/>
      <c r="BW70" s="1169"/>
      <c r="BX70" s="1169"/>
      <c r="BY70" s="1169"/>
      <c r="BZ70" s="1169"/>
      <c r="CA70" s="1169"/>
      <c r="CB70" s="1169"/>
      <c r="CC70" s="1169"/>
      <c r="CD70" s="1169"/>
      <c r="CE70" s="1169"/>
      <c r="CF70" s="1169"/>
      <c r="CG70" s="1169"/>
      <c r="CH70" s="1169"/>
      <c r="CI70" s="1169"/>
      <c r="CJ70" s="1169"/>
      <c r="CK70" s="1169"/>
      <c r="CL70" s="1169"/>
      <c r="CM70" s="1169"/>
      <c r="CN70" s="1169"/>
      <c r="CO70" s="1169"/>
      <c r="CP70" s="1169"/>
      <c r="CQ70" s="1169"/>
      <c r="CR70" s="1169"/>
      <c r="CS70" s="1169"/>
      <c r="CT70" s="1169"/>
      <c r="CU70" s="1169"/>
      <c r="CV70" s="1169"/>
      <c r="CW70" s="1169"/>
      <c r="CX70" s="1169"/>
      <c r="CY70" s="1169"/>
      <c r="CZ70" s="1169"/>
      <c r="DA70" s="1168"/>
      <c r="DB70" s="1168"/>
      <c r="DC70" s="1168"/>
      <c r="DD70" s="1168"/>
      <c r="DE70" s="1168"/>
      <c r="DF70" s="1168"/>
      <c r="DG70" s="1168"/>
      <c r="DH70" s="1168"/>
      <c r="DI70" s="1168"/>
      <c r="DJ70" s="1168"/>
      <c r="DK70" s="1168"/>
      <c r="DL70" s="1168"/>
      <c r="DM70" s="1168"/>
      <c r="DN70" s="1168"/>
      <c r="DO70" s="1168"/>
      <c r="DP70" s="1168"/>
      <c r="DQ70" s="1168"/>
      <c r="DR70" s="1168"/>
      <c r="DS70" s="1168"/>
      <c r="DT70" s="1168"/>
      <c r="DU70" s="1168"/>
      <c r="DV70" s="1168"/>
      <c r="DW70" s="1168"/>
      <c r="DX70" s="1168"/>
      <c r="DY70" s="1168"/>
      <c r="DZ70" s="1168"/>
      <c r="EA70" s="1168"/>
      <c r="EB70" s="1168"/>
      <c r="EC70" s="1168"/>
      <c r="ED70" s="1168"/>
      <c r="EE70" s="1168"/>
      <c r="EF70" s="1168"/>
      <c r="EG70" s="1168"/>
      <c r="EH70" s="1168"/>
      <c r="EI70" s="1170"/>
      <c r="EJ70" s="1170"/>
      <c r="EK70" s="1170"/>
      <c r="EL70" s="1170"/>
      <c r="EM70" s="1170"/>
      <c r="EN70" s="1170"/>
      <c r="EO70" s="1170"/>
      <c r="EP70" s="1170"/>
      <c r="EQ70" s="1170"/>
      <c r="ER70" s="1170"/>
      <c r="ES70" s="1333"/>
      <c r="ET70" s="1333"/>
      <c r="EU70" s="1333"/>
      <c r="EV70" s="1333"/>
      <c r="EW70" s="1333"/>
      <c r="EX70" s="1333"/>
      <c r="EY70" s="1333"/>
      <c r="EZ70" s="1333"/>
      <c r="FA70" s="1333"/>
      <c r="FB70" s="1333"/>
      <c r="FC70" s="1333"/>
      <c r="FD70" s="1333"/>
      <c r="FE70" s="1333"/>
      <c r="FF70" s="1333"/>
      <c r="FG70" s="1333"/>
      <c r="FH70" s="1333"/>
      <c r="FI70" s="1333"/>
      <c r="FJ70" s="1333"/>
      <c r="FK70" s="1333"/>
      <c r="FL70" s="1333"/>
      <c r="FM70" s="1333"/>
      <c r="FN70" s="1333"/>
      <c r="FO70" s="1333"/>
      <c r="FP70" s="1333"/>
      <c r="FQ70" s="1333"/>
      <c r="FR70" s="1333"/>
      <c r="FS70" s="1333"/>
      <c r="FT70" s="1333"/>
      <c r="FU70" s="1333"/>
      <c r="FV70" s="1333"/>
      <c r="FW70" s="1333"/>
      <c r="FX70" s="1333"/>
      <c r="FY70" s="1333"/>
      <c r="FZ70" s="1333"/>
      <c r="GA70" s="1333"/>
      <c r="GB70" s="1333"/>
      <c r="GC70" s="1333"/>
      <c r="GD70" s="1333"/>
      <c r="GE70" s="1333"/>
      <c r="GF70" s="1333"/>
      <c r="GG70" s="1333"/>
      <c r="GH70" s="1333"/>
      <c r="GI70" s="1333"/>
      <c r="GJ70" s="1333"/>
      <c r="GK70" s="1333"/>
      <c r="GL70" s="1333"/>
      <c r="GM70" s="1333"/>
      <c r="GN70" s="1333"/>
      <c r="GO70" s="1333"/>
      <c r="GP70" s="1333"/>
      <c r="GQ70" s="1333"/>
      <c r="GR70" s="1333"/>
      <c r="GS70" s="1333"/>
      <c r="GT70" s="1333"/>
      <c r="GU70" s="1333"/>
      <c r="GV70" s="1333"/>
      <c r="GW70" s="1333"/>
      <c r="GX70" s="1333"/>
    </row>
    <row r="71" spans="1:206" s="607" customFormat="1">
      <c r="A71" s="607">
        <f t="shared" si="0"/>
        <v>1976</v>
      </c>
      <c r="B71" s="607">
        <f t="shared" si="1"/>
        <v>1</v>
      </c>
      <c r="C71" s="1173">
        <v>27820</v>
      </c>
      <c r="D71" s="1709"/>
      <c r="E71" s="1117"/>
      <c r="F71" s="1117"/>
      <c r="G71" s="1117"/>
      <c r="H71" s="1117"/>
      <c r="I71" s="959">
        <v>106.12755790215999</v>
      </c>
      <c r="J71" s="959">
        <v>132.51086956520001</v>
      </c>
      <c r="K71" s="960"/>
      <c r="L71" s="1121"/>
      <c r="M71" s="916"/>
      <c r="N71" s="916"/>
      <c r="O71" s="1332"/>
      <c r="P71" s="1332"/>
      <c r="Q71" s="1332"/>
      <c r="R71" s="1332"/>
      <c r="S71" s="1332"/>
      <c r="T71" s="1332"/>
      <c r="U71" s="1120"/>
      <c r="V71" s="1120"/>
      <c r="W71" s="1120"/>
      <c r="X71" s="1120"/>
      <c r="Y71" s="1119"/>
      <c r="Z71" s="1119"/>
      <c r="AA71" s="1119"/>
      <c r="AB71" s="1119"/>
      <c r="AC71" s="1178"/>
      <c r="AD71" s="1178"/>
      <c r="AE71" s="1178"/>
      <c r="AF71" s="1178"/>
      <c r="AG71" s="1178"/>
      <c r="AH71" s="1178"/>
      <c r="AI71" s="1178"/>
      <c r="AJ71" s="1178"/>
      <c r="AK71" s="919"/>
      <c r="AL71" s="1104"/>
      <c r="AM71" s="919"/>
      <c r="AN71" s="1710"/>
      <c r="AO71" s="919"/>
      <c r="AP71" s="919"/>
      <c r="AS71" s="1167"/>
      <c r="AT71" s="1167"/>
      <c r="AU71" s="1168"/>
      <c r="AV71" s="1168"/>
      <c r="AW71" s="1169"/>
      <c r="AX71" s="1169"/>
      <c r="AY71" s="1169"/>
      <c r="AZ71" s="1169"/>
      <c r="BA71" s="1799" t="s">
        <v>0</v>
      </c>
      <c r="BB71" s="1802">
        <v>2010</v>
      </c>
      <c r="BC71" s="1799" t="s">
        <v>27</v>
      </c>
      <c r="BD71" s="1799">
        <v>3</v>
      </c>
      <c r="BE71" s="1800">
        <v>471992378</v>
      </c>
      <c r="BF71" s="1801">
        <v>0.12436651283895921</v>
      </c>
      <c r="BG71" s="1799"/>
      <c r="BH71" s="1799" t="s">
        <v>0</v>
      </c>
      <c r="BI71" s="1799" t="s">
        <v>315</v>
      </c>
      <c r="BJ71" s="1799" t="s">
        <v>29</v>
      </c>
      <c r="BK71" s="1799">
        <v>1</v>
      </c>
      <c r="BL71" s="1800">
        <v>801978851.91000009</v>
      </c>
      <c r="BM71" s="1801">
        <v>0.22661853877908558</v>
      </c>
      <c r="BN71" s="1799">
        <v>2010</v>
      </c>
      <c r="BO71" s="1684"/>
      <c r="BP71" s="1697"/>
      <c r="BQ71" s="1169"/>
      <c r="BR71" s="1169"/>
      <c r="BS71" s="1169"/>
      <c r="BT71" s="1169"/>
      <c r="BU71" s="1169"/>
      <c r="BV71" s="1169"/>
      <c r="BW71" s="1169"/>
      <c r="BX71" s="1169"/>
      <c r="BY71" s="1169"/>
      <c r="BZ71" s="1169"/>
      <c r="CA71" s="1169"/>
      <c r="CB71" s="1169"/>
      <c r="CC71" s="1169"/>
      <c r="CD71" s="1169"/>
      <c r="CE71" s="1169"/>
      <c r="CF71" s="1169"/>
      <c r="CG71" s="1169"/>
      <c r="CH71" s="1169"/>
      <c r="CI71" s="1169"/>
      <c r="CJ71" s="1169"/>
      <c r="CK71" s="1169"/>
      <c r="CL71" s="1169"/>
      <c r="CM71" s="1169"/>
      <c r="CN71" s="1169"/>
      <c r="CO71" s="1169"/>
      <c r="CP71" s="1169"/>
      <c r="CQ71" s="1169"/>
      <c r="CR71" s="1169"/>
      <c r="CS71" s="1169"/>
      <c r="CT71" s="1169"/>
      <c r="CU71" s="1169"/>
      <c r="CV71" s="1169"/>
      <c r="CW71" s="1169"/>
      <c r="CX71" s="1169"/>
      <c r="CY71" s="1169"/>
      <c r="CZ71" s="1169"/>
      <c r="DA71" s="1168"/>
      <c r="DB71" s="1168"/>
      <c r="DC71" s="1168"/>
      <c r="DD71" s="1168"/>
      <c r="DE71" s="1168"/>
      <c r="DF71" s="1168"/>
      <c r="DG71" s="1168"/>
      <c r="DH71" s="1168"/>
      <c r="DI71" s="1168"/>
      <c r="DJ71" s="1168"/>
      <c r="DK71" s="1168"/>
      <c r="DL71" s="1168"/>
      <c r="DM71" s="1168"/>
      <c r="DN71" s="1168"/>
      <c r="DO71" s="1168"/>
      <c r="DP71" s="1168"/>
      <c r="DQ71" s="1168"/>
      <c r="DR71" s="1168"/>
      <c r="DS71" s="1168"/>
      <c r="DT71" s="1168"/>
      <c r="DU71" s="1168"/>
      <c r="DV71" s="1168"/>
      <c r="DW71" s="1168"/>
      <c r="DX71" s="1168"/>
      <c r="DY71" s="1168"/>
      <c r="DZ71" s="1168"/>
      <c r="EA71" s="1168"/>
      <c r="EB71" s="1168"/>
      <c r="EC71" s="1168"/>
      <c r="ED71" s="1168"/>
      <c r="EE71" s="1168"/>
      <c r="EF71" s="1168"/>
      <c r="EG71" s="1168"/>
      <c r="EH71" s="1168"/>
      <c r="EI71" s="1170"/>
      <c r="EJ71" s="1170"/>
      <c r="EK71" s="1170"/>
      <c r="EL71" s="1170"/>
      <c r="EM71" s="1170"/>
      <c r="EN71" s="1170"/>
      <c r="EO71" s="1170"/>
      <c r="EP71" s="1170"/>
      <c r="EQ71" s="1170"/>
      <c r="ER71" s="1170"/>
      <c r="ES71" s="1333"/>
      <c r="ET71" s="1333"/>
      <c r="EU71" s="1333"/>
      <c r="EV71" s="1333"/>
      <c r="EW71" s="1333"/>
      <c r="EX71" s="1333"/>
      <c r="EY71" s="1333"/>
      <c r="EZ71" s="1333"/>
      <c r="FA71" s="1333"/>
      <c r="FB71" s="1333"/>
      <c r="FC71" s="1333"/>
      <c r="FD71" s="1333"/>
      <c r="FE71" s="1333"/>
      <c r="FF71" s="1333"/>
      <c r="FG71" s="1333"/>
      <c r="FH71" s="1333"/>
      <c r="FI71" s="1333"/>
      <c r="FJ71" s="1333"/>
      <c r="FK71" s="1333"/>
      <c r="FL71" s="1333"/>
      <c r="FM71" s="1333"/>
      <c r="FN71" s="1333"/>
      <c r="FO71" s="1333"/>
      <c r="FP71" s="1333"/>
      <c r="FQ71" s="1333"/>
      <c r="FR71" s="1333"/>
      <c r="FS71" s="1333"/>
      <c r="FT71" s="1333"/>
      <c r="FU71" s="1333"/>
      <c r="FV71" s="1333"/>
      <c r="FW71" s="1333"/>
      <c r="FX71" s="1333"/>
      <c r="FY71" s="1333"/>
      <c r="FZ71" s="1333"/>
      <c r="GA71" s="1333"/>
      <c r="GB71" s="1333"/>
      <c r="GC71" s="1333"/>
      <c r="GD71" s="1333"/>
      <c r="GE71" s="1333"/>
      <c r="GF71" s="1333"/>
      <c r="GG71" s="1333"/>
      <c r="GH71" s="1333"/>
      <c r="GI71" s="1333"/>
      <c r="GJ71" s="1333"/>
      <c r="GK71" s="1333"/>
      <c r="GL71" s="1333"/>
      <c r="GM71" s="1333"/>
      <c r="GN71" s="1333"/>
      <c r="GO71" s="1333"/>
      <c r="GP71" s="1333"/>
      <c r="GQ71" s="1333"/>
      <c r="GR71" s="1333"/>
      <c r="GS71" s="1333"/>
      <c r="GT71" s="1333"/>
      <c r="GU71" s="1333"/>
      <c r="GV71" s="1333"/>
      <c r="GW71" s="1333"/>
      <c r="GX71" s="1333"/>
    </row>
    <row r="72" spans="1:206" s="607" customFormat="1">
      <c r="A72" s="607">
        <f t="shared" si="0"/>
        <v>1976</v>
      </c>
      <c r="B72" s="607">
        <f t="shared" si="1"/>
        <v>2</v>
      </c>
      <c r="C72" s="1173">
        <v>27851</v>
      </c>
      <c r="D72" s="957"/>
      <c r="E72" s="920"/>
      <c r="F72" s="920"/>
      <c r="G72" s="920"/>
      <c r="H72" s="920"/>
      <c r="I72" s="954">
        <v>103.24360688125</v>
      </c>
      <c r="J72" s="954">
        <v>127.91875</v>
      </c>
      <c r="K72" s="954"/>
      <c r="L72" s="920"/>
      <c r="M72" s="917"/>
      <c r="N72" s="917"/>
      <c r="O72" s="1334"/>
      <c r="P72" s="1334"/>
      <c r="Q72" s="1334"/>
      <c r="R72" s="1334"/>
      <c r="S72" s="1334"/>
      <c r="T72" s="1334"/>
      <c r="U72" s="920"/>
      <c r="V72" s="920"/>
      <c r="W72" s="920"/>
      <c r="X72" s="920"/>
      <c r="Y72" s="920"/>
      <c r="Z72" s="920"/>
      <c r="AA72" s="920"/>
      <c r="AB72" s="920"/>
      <c r="AC72" s="920"/>
      <c r="AD72" s="920"/>
      <c r="AE72" s="920"/>
      <c r="AF72" s="920"/>
      <c r="AG72" s="920"/>
      <c r="AH72" s="920"/>
      <c r="AI72" s="920"/>
      <c r="AJ72" s="920"/>
      <c r="AK72" s="920"/>
      <c r="AL72" s="1105"/>
      <c r="AM72" s="920"/>
      <c r="AN72" s="1711"/>
      <c r="AO72" s="920"/>
      <c r="AP72" s="920"/>
      <c r="AS72" s="1167"/>
      <c r="AT72" s="1167"/>
      <c r="AU72" s="1168"/>
      <c r="AV72" s="1168"/>
      <c r="AW72" s="1169"/>
      <c r="AX72" s="1169"/>
      <c r="AY72" s="1169"/>
      <c r="AZ72" s="1169"/>
      <c r="BA72" s="1799" t="s">
        <v>0</v>
      </c>
      <c r="BB72" s="1802">
        <v>2010</v>
      </c>
      <c r="BC72" s="1799" t="s">
        <v>22</v>
      </c>
      <c r="BD72" s="1799">
        <v>4</v>
      </c>
      <c r="BE72" s="1800">
        <v>325177880.49999994</v>
      </c>
      <c r="BF72" s="1801">
        <v>8.5681974826612106E-2</v>
      </c>
      <c r="BG72" s="1799"/>
      <c r="BH72" s="1799" t="s">
        <v>0</v>
      </c>
      <c r="BI72" s="1799" t="s">
        <v>315</v>
      </c>
      <c r="BJ72" s="1799" t="s">
        <v>15</v>
      </c>
      <c r="BK72" s="1799">
        <v>2</v>
      </c>
      <c r="BL72" s="1800">
        <v>667819273.07999992</v>
      </c>
      <c r="BM72" s="1801">
        <v>0.18870850206768852</v>
      </c>
      <c r="BN72" s="1799">
        <v>2010</v>
      </c>
      <c r="BO72" s="1684"/>
      <c r="BP72" s="1696"/>
      <c r="BQ72" s="1169"/>
      <c r="BR72" s="1169"/>
      <c r="BS72" s="1169"/>
      <c r="BT72" s="1169"/>
      <c r="BU72" s="1169"/>
      <c r="BV72" s="1169"/>
      <c r="BW72" s="1169"/>
      <c r="BX72" s="1169"/>
      <c r="BY72" s="1169"/>
      <c r="BZ72" s="1169"/>
      <c r="CA72" s="1169"/>
      <c r="CB72" s="1169"/>
      <c r="CC72" s="1169"/>
      <c r="CD72" s="1169"/>
      <c r="CE72" s="1169"/>
      <c r="CF72" s="1169"/>
      <c r="CG72" s="1169"/>
      <c r="CH72" s="1169"/>
      <c r="CI72" s="1169"/>
      <c r="CJ72" s="1169"/>
      <c r="CK72" s="1169"/>
      <c r="CL72" s="1169"/>
      <c r="CM72" s="1169"/>
      <c r="CN72" s="1169"/>
      <c r="CO72" s="1169"/>
      <c r="CP72" s="1169"/>
      <c r="CQ72" s="1169"/>
      <c r="CR72" s="1169"/>
      <c r="CS72" s="1169"/>
      <c r="CT72" s="1169"/>
      <c r="CU72" s="1169"/>
      <c r="CV72" s="1169"/>
      <c r="CW72" s="1169"/>
      <c r="CX72" s="1169"/>
      <c r="CY72" s="1169"/>
      <c r="CZ72" s="1169"/>
      <c r="DA72" s="1168"/>
      <c r="DB72" s="1168"/>
      <c r="DC72" s="1168"/>
      <c r="DD72" s="1168"/>
      <c r="DE72" s="1168"/>
      <c r="DF72" s="1168"/>
      <c r="DG72" s="1168"/>
      <c r="DH72" s="1168"/>
      <c r="DI72" s="1168"/>
      <c r="DJ72" s="1168"/>
      <c r="DK72" s="1168"/>
      <c r="DL72" s="1168"/>
      <c r="DM72" s="1168"/>
      <c r="DN72" s="1168"/>
      <c r="DO72" s="1168"/>
      <c r="DP72" s="1168"/>
      <c r="DQ72" s="1168"/>
      <c r="DR72" s="1168"/>
      <c r="DS72" s="1168"/>
      <c r="DT72" s="1168"/>
      <c r="DU72" s="1168"/>
      <c r="DV72" s="1168"/>
      <c r="DW72" s="1168"/>
      <c r="DX72" s="1168"/>
      <c r="DY72" s="1168"/>
      <c r="DZ72" s="1168"/>
      <c r="EA72" s="1168"/>
      <c r="EB72" s="1168"/>
      <c r="EC72" s="1168"/>
      <c r="ED72" s="1168"/>
      <c r="EE72" s="1168"/>
      <c r="EF72" s="1168"/>
      <c r="EG72" s="1168"/>
      <c r="EH72" s="1168"/>
      <c r="EI72" s="1170"/>
      <c r="EJ72" s="1170"/>
      <c r="EK72" s="1170"/>
      <c r="EL72" s="1170"/>
      <c r="EM72" s="1170"/>
      <c r="EN72" s="1170"/>
      <c r="EO72" s="1170"/>
      <c r="EP72" s="1170"/>
      <c r="EQ72" s="1170"/>
      <c r="ER72" s="1170"/>
      <c r="ES72" s="1333"/>
      <c r="ET72" s="1333"/>
      <c r="EU72" s="1333"/>
      <c r="EV72" s="1333"/>
      <c r="EW72" s="1333"/>
      <c r="EX72" s="1333"/>
      <c r="EY72" s="1333"/>
      <c r="EZ72" s="1333"/>
      <c r="FA72" s="1333"/>
      <c r="FB72" s="1333"/>
      <c r="FC72" s="1333"/>
      <c r="FD72" s="1333"/>
      <c r="FE72" s="1333"/>
      <c r="FF72" s="1333"/>
      <c r="FG72" s="1333"/>
      <c r="FH72" s="1333"/>
      <c r="FI72" s="1333"/>
      <c r="FJ72" s="1333"/>
      <c r="FK72" s="1333"/>
      <c r="FL72" s="1333"/>
      <c r="FM72" s="1333"/>
      <c r="FN72" s="1333"/>
      <c r="FO72" s="1333"/>
      <c r="FP72" s="1333"/>
      <c r="FQ72" s="1333"/>
      <c r="FR72" s="1333"/>
      <c r="FS72" s="1333"/>
      <c r="FT72" s="1333"/>
      <c r="FU72" s="1333"/>
      <c r="FV72" s="1333"/>
      <c r="FW72" s="1333"/>
      <c r="FX72" s="1333"/>
      <c r="FY72" s="1333"/>
      <c r="FZ72" s="1333"/>
      <c r="GA72" s="1333"/>
      <c r="GB72" s="1333"/>
      <c r="GC72" s="1333"/>
      <c r="GD72" s="1333"/>
      <c r="GE72" s="1333"/>
      <c r="GF72" s="1333"/>
      <c r="GG72" s="1333"/>
      <c r="GH72" s="1333"/>
      <c r="GI72" s="1333"/>
      <c r="GJ72" s="1333"/>
      <c r="GK72" s="1333"/>
      <c r="GL72" s="1333"/>
      <c r="GM72" s="1333"/>
      <c r="GN72" s="1333"/>
      <c r="GO72" s="1333"/>
      <c r="GP72" s="1333"/>
      <c r="GQ72" s="1333"/>
      <c r="GR72" s="1333"/>
      <c r="GS72" s="1333"/>
      <c r="GT72" s="1333"/>
      <c r="GU72" s="1333"/>
      <c r="GV72" s="1333"/>
      <c r="GW72" s="1333"/>
      <c r="GX72" s="1333"/>
    </row>
    <row r="73" spans="1:206" s="607" customFormat="1">
      <c r="A73" s="607">
        <f t="shared" ref="A73:A136" si="2">YEAR(C73)</f>
        <v>1976</v>
      </c>
      <c r="B73" s="607">
        <f t="shared" ref="B73:B136" si="3">IF(OR(MONTH(C73)=1,MONTH(C73)=2,MONTH(C73)=3),1,IF(OR(MONTH(C73)=4,MONTH(C73)=5,MONTH(C73)=6),2,IF(OR(MONTH(C73)=7,MONTH(C73)=8,MONTH(C73)=9),3,4)))</f>
        <v>2</v>
      </c>
      <c r="C73" s="1173">
        <v>27883</v>
      </c>
      <c r="D73" s="1709"/>
      <c r="E73" s="1117"/>
      <c r="F73" s="1117"/>
      <c r="G73" s="1117"/>
      <c r="H73" s="1117"/>
      <c r="I73" s="959">
        <v>103.40850502500001</v>
      </c>
      <c r="J73" s="959">
        <v>126.8925</v>
      </c>
      <c r="K73" s="960"/>
      <c r="L73" s="1121"/>
      <c r="M73" s="916"/>
      <c r="N73" s="916"/>
      <c r="O73" s="1332"/>
      <c r="P73" s="1332"/>
      <c r="Q73" s="1332"/>
      <c r="R73" s="1332"/>
      <c r="S73" s="1332"/>
      <c r="T73" s="1332"/>
      <c r="U73" s="1120"/>
      <c r="V73" s="1120"/>
      <c r="W73" s="1120"/>
      <c r="X73" s="1120"/>
      <c r="Y73" s="1119"/>
      <c r="Z73" s="1119"/>
      <c r="AA73" s="1119"/>
      <c r="AB73" s="1119"/>
      <c r="AC73" s="1178"/>
      <c r="AD73" s="1178"/>
      <c r="AE73" s="1178"/>
      <c r="AF73" s="1178"/>
      <c r="AG73" s="1178"/>
      <c r="AH73" s="1178"/>
      <c r="AI73" s="1178"/>
      <c r="AJ73" s="1178"/>
      <c r="AK73" s="919"/>
      <c r="AL73" s="1104"/>
      <c r="AM73" s="919"/>
      <c r="AN73" s="1710"/>
      <c r="AO73" s="919"/>
      <c r="AP73" s="919"/>
      <c r="AS73" s="1167"/>
      <c r="AT73" s="1167"/>
      <c r="AU73" s="1168"/>
      <c r="AV73" s="1168"/>
      <c r="AW73" s="1169"/>
      <c r="AX73" s="1169"/>
      <c r="AY73" s="1169"/>
      <c r="AZ73" s="1169"/>
      <c r="BA73" s="1799" t="s">
        <v>0</v>
      </c>
      <c r="BB73" s="1802">
        <v>2010</v>
      </c>
      <c r="BC73" s="1799" t="s">
        <v>14</v>
      </c>
      <c r="BD73" s="1799">
        <v>5</v>
      </c>
      <c r="BE73" s="1800">
        <v>197652703.62</v>
      </c>
      <c r="BF73" s="1801">
        <v>5.2080030627977066E-2</v>
      </c>
      <c r="BG73" s="1799"/>
      <c r="BH73" s="1799" t="s">
        <v>0</v>
      </c>
      <c r="BI73" s="1799" t="s">
        <v>315</v>
      </c>
      <c r="BJ73" s="1799" t="s">
        <v>27</v>
      </c>
      <c r="BK73" s="1799">
        <v>3</v>
      </c>
      <c r="BL73" s="1800">
        <v>422475772.86999989</v>
      </c>
      <c r="BM73" s="1801">
        <v>0.11938075684832208</v>
      </c>
      <c r="BN73" s="1799">
        <v>2010</v>
      </c>
      <c r="BO73" s="1684"/>
      <c r="BP73" s="1696"/>
      <c r="BQ73" s="1169"/>
      <c r="BR73" s="1169"/>
      <c r="BS73" s="1169"/>
      <c r="BT73" s="1169"/>
      <c r="BU73" s="1169"/>
      <c r="BV73" s="1169"/>
      <c r="BW73" s="1169"/>
      <c r="BX73" s="1169"/>
      <c r="BY73" s="1169"/>
      <c r="BZ73" s="1169"/>
      <c r="CA73" s="1169"/>
      <c r="CB73" s="1169"/>
      <c r="CC73" s="1169"/>
      <c r="CD73" s="1169"/>
      <c r="CE73" s="1169"/>
      <c r="CF73" s="1169"/>
      <c r="CG73" s="1169"/>
      <c r="CH73" s="1169"/>
      <c r="CI73" s="1169"/>
      <c r="CJ73" s="1169"/>
      <c r="CK73" s="1169"/>
      <c r="CL73" s="1169"/>
      <c r="CM73" s="1169"/>
      <c r="CN73" s="1169"/>
      <c r="CO73" s="1169"/>
      <c r="CP73" s="1169"/>
      <c r="CQ73" s="1169"/>
      <c r="CR73" s="1169"/>
      <c r="CS73" s="1169"/>
      <c r="CT73" s="1169"/>
      <c r="CU73" s="1169"/>
      <c r="CV73" s="1169"/>
      <c r="CW73" s="1169"/>
      <c r="CX73" s="1169"/>
      <c r="CY73" s="1169"/>
      <c r="CZ73" s="1169"/>
      <c r="DA73" s="1168"/>
      <c r="DB73" s="1168"/>
      <c r="DC73" s="1168"/>
      <c r="DD73" s="1168"/>
      <c r="DE73" s="1168"/>
      <c r="DF73" s="1168"/>
      <c r="DG73" s="1168"/>
      <c r="DH73" s="1168"/>
      <c r="DI73" s="1168"/>
      <c r="DJ73" s="1168"/>
      <c r="DK73" s="1168"/>
      <c r="DL73" s="1168"/>
      <c r="DM73" s="1168"/>
      <c r="DN73" s="1168"/>
      <c r="DO73" s="1168"/>
      <c r="DP73" s="1168"/>
      <c r="DQ73" s="1168"/>
      <c r="DR73" s="1168"/>
      <c r="DS73" s="1168"/>
      <c r="DT73" s="1168"/>
      <c r="DU73" s="1168"/>
      <c r="DV73" s="1168"/>
      <c r="DW73" s="1168"/>
      <c r="DX73" s="1168"/>
      <c r="DY73" s="1168"/>
      <c r="DZ73" s="1168"/>
      <c r="EA73" s="1168"/>
      <c r="EB73" s="1168"/>
      <c r="EC73" s="1168"/>
      <c r="ED73" s="1168"/>
      <c r="EE73" s="1168"/>
      <c r="EF73" s="1168"/>
      <c r="EG73" s="1168"/>
      <c r="EH73" s="1168"/>
      <c r="EI73" s="1170"/>
      <c r="EJ73" s="1170"/>
      <c r="EK73" s="1170"/>
      <c r="EL73" s="1170"/>
      <c r="EM73" s="1170"/>
      <c r="EN73" s="1170"/>
      <c r="EO73" s="1170"/>
      <c r="EP73" s="1170"/>
      <c r="EQ73" s="1170"/>
      <c r="ER73" s="1170"/>
      <c r="ES73" s="1333"/>
      <c r="ET73" s="1333"/>
      <c r="EU73" s="1333"/>
      <c r="EV73" s="1333"/>
      <c r="EW73" s="1333"/>
      <c r="EX73" s="1333"/>
      <c r="EY73" s="1333"/>
      <c r="EZ73" s="1333"/>
      <c r="FA73" s="1333"/>
      <c r="FB73" s="1333"/>
      <c r="FC73" s="1333"/>
      <c r="FD73" s="1333"/>
      <c r="FE73" s="1333"/>
      <c r="FF73" s="1333"/>
      <c r="FG73" s="1333"/>
      <c r="FH73" s="1333"/>
      <c r="FI73" s="1333"/>
      <c r="FJ73" s="1333"/>
      <c r="FK73" s="1333"/>
      <c r="FL73" s="1333"/>
      <c r="FM73" s="1333"/>
      <c r="FN73" s="1333"/>
      <c r="FO73" s="1333"/>
      <c r="FP73" s="1333"/>
      <c r="FQ73" s="1333"/>
      <c r="FR73" s="1333"/>
      <c r="FS73" s="1333"/>
      <c r="FT73" s="1333"/>
      <c r="FU73" s="1333"/>
      <c r="FV73" s="1333"/>
      <c r="FW73" s="1333"/>
      <c r="FX73" s="1333"/>
      <c r="FY73" s="1333"/>
      <c r="FZ73" s="1333"/>
      <c r="GA73" s="1333"/>
      <c r="GB73" s="1333"/>
      <c r="GC73" s="1333"/>
      <c r="GD73" s="1333"/>
      <c r="GE73" s="1333"/>
      <c r="GF73" s="1333"/>
      <c r="GG73" s="1333"/>
      <c r="GH73" s="1333"/>
      <c r="GI73" s="1333"/>
      <c r="GJ73" s="1333"/>
      <c r="GK73" s="1333"/>
      <c r="GL73" s="1333"/>
      <c r="GM73" s="1333"/>
      <c r="GN73" s="1333"/>
      <c r="GO73" s="1333"/>
      <c r="GP73" s="1333"/>
      <c r="GQ73" s="1333"/>
      <c r="GR73" s="1333"/>
      <c r="GS73" s="1333"/>
      <c r="GT73" s="1333"/>
      <c r="GU73" s="1333"/>
      <c r="GV73" s="1333"/>
      <c r="GW73" s="1333"/>
      <c r="GX73" s="1333"/>
    </row>
    <row r="74" spans="1:206" s="607" customFormat="1">
      <c r="A74" s="607">
        <f t="shared" si="2"/>
        <v>1976</v>
      </c>
      <c r="B74" s="607">
        <f t="shared" si="3"/>
        <v>2</v>
      </c>
      <c r="C74" s="1173">
        <v>27912</v>
      </c>
      <c r="D74" s="957"/>
      <c r="E74" s="920"/>
      <c r="F74" s="920"/>
      <c r="G74" s="920"/>
      <c r="H74" s="920"/>
      <c r="I74" s="954">
        <v>101.67028218980217</v>
      </c>
      <c r="J74" s="954">
        <v>125.6238636364</v>
      </c>
      <c r="K74" s="954"/>
      <c r="L74" s="920"/>
      <c r="M74" s="917"/>
      <c r="N74" s="917"/>
      <c r="O74" s="1334"/>
      <c r="P74" s="1334"/>
      <c r="Q74" s="1334"/>
      <c r="R74" s="1334"/>
      <c r="S74" s="1334"/>
      <c r="T74" s="1334"/>
      <c r="U74" s="920"/>
      <c r="V74" s="920"/>
      <c r="W74" s="920"/>
      <c r="X74" s="920"/>
      <c r="Y74" s="920"/>
      <c r="Z74" s="920"/>
      <c r="AA74" s="920"/>
      <c r="AB74" s="920"/>
      <c r="AC74" s="920"/>
      <c r="AD74" s="920"/>
      <c r="AE74" s="920"/>
      <c r="AF74" s="920"/>
      <c r="AG74" s="920"/>
      <c r="AH74" s="920"/>
      <c r="AI74" s="920"/>
      <c r="AJ74" s="920"/>
      <c r="AK74" s="920"/>
      <c r="AL74" s="1105"/>
      <c r="AM74" s="920"/>
      <c r="AN74" s="1711"/>
      <c r="AO74" s="920"/>
      <c r="AP74" s="920"/>
      <c r="AS74" s="1167"/>
      <c r="AT74" s="1167"/>
      <c r="AU74" s="1168"/>
      <c r="AV74" s="1168"/>
      <c r="AW74" s="1169"/>
      <c r="AX74" s="1169"/>
      <c r="AY74" s="1169"/>
      <c r="AZ74" s="1169"/>
      <c r="BA74" s="1799" t="s">
        <v>0</v>
      </c>
      <c r="BB74" s="1802">
        <v>2010</v>
      </c>
      <c r="BC74" s="1799" t="s">
        <v>431</v>
      </c>
      <c r="BD74" s="1799">
        <v>6</v>
      </c>
      <c r="BE74" s="1800">
        <v>178812407.03</v>
      </c>
      <c r="BF74" s="1801">
        <v>4.7115751336691492E-2</v>
      </c>
      <c r="BG74" s="1799"/>
      <c r="BH74" s="1799" t="s">
        <v>0</v>
      </c>
      <c r="BI74" s="1799" t="s">
        <v>315</v>
      </c>
      <c r="BJ74" s="1799" t="s">
        <v>22</v>
      </c>
      <c r="BK74" s="1799">
        <v>4</v>
      </c>
      <c r="BL74" s="1800">
        <v>293433624.23000002</v>
      </c>
      <c r="BM74" s="1801">
        <v>8.2916773919016501E-2</v>
      </c>
      <c r="BN74" s="1799">
        <v>2010</v>
      </c>
      <c r="BO74" s="1684"/>
      <c r="BP74" s="1697"/>
      <c r="BQ74" s="1169"/>
      <c r="BR74" s="1169"/>
      <c r="BS74" s="1169"/>
      <c r="BT74" s="1169"/>
      <c r="BU74" s="1169"/>
      <c r="BV74" s="1169"/>
      <c r="BW74" s="1169"/>
      <c r="BX74" s="1169"/>
      <c r="BY74" s="1169"/>
      <c r="BZ74" s="1169"/>
      <c r="CA74" s="1169"/>
      <c r="CB74" s="1169"/>
      <c r="CC74" s="1169"/>
      <c r="CD74" s="1169"/>
      <c r="CE74" s="1169"/>
      <c r="CF74" s="1169"/>
      <c r="CG74" s="1169"/>
      <c r="CH74" s="1169"/>
      <c r="CI74" s="1169"/>
      <c r="CJ74" s="1169"/>
      <c r="CK74" s="1169"/>
      <c r="CL74" s="1169"/>
      <c r="CM74" s="1169"/>
      <c r="CN74" s="1169"/>
      <c r="CO74" s="1169"/>
      <c r="CP74" s="1169"/>
      <c r="CQ74" s="1169"/>
      <c r="CR74" s="1169"/>
      <c r="CS74" s="1169"/>
      <c r="CT74" s="1169"/>
      <c r="CU74" s="1169"/>
      <c r="CV74" s="1169"/>
      <c r="CW74" s="1169"/>
      <c r="CX74" s="1169"/>
      <c r="CY74" s="1169"/>
      <c r="CZ74" s="1169"/>
      <c r="DA74" s="1168"/>
      <c r="DB74" s="1168"/>
      <c r="DC74" s="1168"/>
      <c r="DD74" s="1168"/>
      <c r="DE74" s="1168"/>
      <c r="DF74" s="1168"/>
      <c r="DG74" s="1168"/>
      <c r="DH74" s="1168"/>
      <c r="DI74" s="1168"/>
      <c r="DJ74" s="1168"/>
      <c r="DK74" s="1168"/>
      <c r="DL74" s="1168"/>
      <c r="DM74" s="1168"/>
      <c r="DN74" s="1168"/>
      <c r="DO74" s="1168"/>
      <c r="DP74" s="1168"/>
      <c r="DQ74" s="1168"/>
      <c r="DR74" s="1168"/>
      <c r="DS74" s="1168"/>
      <c r="DT74" s="1168"/>
      <c r="DU74" s="1168"/>
      <c r="DV74" s="1168"/>
      <c r="DW74" s="1168"/>
      <c r="DX74" s="1168"/>
      <c r="DY74" s="1168"/>
      <c r="DZ74" s="1168"/>
      <c r="EA74" s="1168"/>
      <c r="EB74" s="1168"/>
      <c r="EC74" s="1168"/>
      <c r="ED74" s="1168"/>
      <c r="EE74" s="1168"/>
      <c r="EF74" s="1168"/>
      <c r="EG74" s="1168"/>
      <c r="EH74" s="1168"/>
      <c r="EI74" s="1170"/>
      <c r="EJ74" s="1170"/>
      <c r="EK74" s="1170"/>
      <c r="EL74" s="1170"/>
      <c r="EM74" s="1170"/>
      <c r="EN74" s="1170"/>
      <c r="EO74" s="1170"/>
      <c r="EP74" s="1170"/>
      <c r="EQ74" s="1170"/>
      <c r="ER74" s="1170"/>
      <c r="ES74" s="1333"/>
      <c r="ET74" s="1333"/>
      <c r="EU74" s="1333"/>
      <c r="EV74" s="1333"/>
      <c r="EW74" s="1333"/>
      <c r="EX74" s="1333"/>
      <c r="EY74" s="1333"/>
      <c r="EZ74" s="1333"/>
      <c r="FA74" s="1333"/>
      <c r="FB74" s="1333"/>
      <c r="FC74" s="1333"/>
      <c r="FD74" s="1333"/>
      <c r="FE74" s="1333"/>
      <c r="FF74" s="1333"/>
      <c r="FG74" s="1333"/>
      <c r="FH74" s="1333"/>
      <c r="FI74" s="1333"/>
      <c r="FJ74" s="1333"/>
      <c r="FK74" s="1333"/>
      <c r="FL74" s="1333"/>
      <c r="FM74" s="1333"/>
      <c r="FN74" s="1333"/>
      <c r="FO74" s="1333"/>
      <c r="FP74" s="1333"/>
      <c r="FQ74" s="1333"/>
      <c r="FR74" s="1333"/>
      <c r="FS74" s="1333"/>
      <c r="FT74" s="1333"/>
      <c r="FU74" s="1333"/>
      <c r="FV74" s="1333"/>
      <c r="FW74" s="1333"/>
      <c r="FX74" s="1333"/>
      <c r="FY74" s="1333"/>
      <c r="FZ74" s="1333"/>
      <c r="GA74" s="1333"/>
      <c r="GB74" s="1333"/>
      <c r="GC74" s="1333"/>
      <c r="GD74" s="1333"/>
      <c r="GE74" s="1333"/>
      <c r="GF74" s="1333"/>
      <c r="GG74" s="1333"/>
      <c r="GH74" s="1333"/>
      <c r="GI74" s="1333"/>
      <c r="GJ74" s="1333"/>
      <c r="GK74" s="1333"/>
      <c r="GL74" s="1333"/>
      <c r="GM74" s="1333"/>
      <c r="GN74" s="1333"/>
      <c r="GO74" s="1333"/>
      <c r="GP74" s="1333"/>
      <c r="GQ74" s="1333"/>
      <c r="GR74" s="1333"/>
      <c r="GS74" s="1333"/>
      <c r="GT74" s="1333"/>
      <c r="GU74" s="1333"/>
      <c r="GV74" s="1333"/>
      <c r="GW74" s="1333"/>
      <c r="GX74" s="1333"/>
    </row>
    <row r="75" spans="1:206" s="607" customFormat="1">
      <c r="A75" s="607">
        <f t="shared" si="2"/>
        <v>1976</v>
      </c>
      <c r="B75" s="607">
        <f t="shared" si="3"/>
        <v>3</v>
      </c>
      <c r="C75" s="1173">
        <v>27942</v>
      </c>
      <c r="D75" s="1709"/>
      <c r="E75" s="1117"/>
      <c r="F75" s="1117"/>
      <c r="G75" s="1117"/>
      <c r="H75" s="1117"/>
      <c r="I75" s="959">
        <v>94.711974745461859</v>
      </c>
      <c r="J75" s="959">
        <v>117.5090909091</v>
      </c>
      <c r="K75" s="960"/>
      <c r="L75" s="1121"/>
      <c r="M75" s="916"/>
      <c r="N75" s="916"/>
      <c r="O75" s="1332"/>
      <c r="P75" s="1332"/>
      <c r="Q75" s="1332"/>
      <c r="R75" s="1332"/>
      <c r="S75" s="1332"/>
      <c r="T75" s="1332"/>
      <c r="U75" s="1120"/>
      <c r="V75" s="1120"/>
      <c r="W75" s="1120"/>
      <c r="X75" s="1120"/>
      <c r="Y75" s="1119"/>
      <c r="Z75" s="1119"/>
      <c r="AA75" s="1119"/>
      <c r="AB75" s="1119"/>
      <c r="AC75" s="1178"/>
      <c r="AD75" s="1178"/>
      <c r="AE75" s="1178"/>
      <c r="AF75" s="1178"/>
      <c r="AG75" s="1178"/>
      <c r="AH75" s="1178"/>
      <c r="AI75" s="1178"/>
      <c r="AJ75" s="1178"/>
      <c r="AK75" s="919"/>
      <c r="AL75" s="1104"/>
      <c r="AM75" s="919"/>
      <c r="AN75" s="1710"/>
      <c r="AO75" s="919"/>
      <c r="AP75" s="919"/>
      <c r="AS75" s="1167"/>
      <c r="AT75" s="1167"/>
      <c r="AU75" s="1168"/>
      <c r="AV75" s="1168"/>
      <c r="AW75" s="1169"/>
      <c r="AX75" s="1169"/>
      <c r="AY75" s="1169"/>
      <c r="AZ75" s="1169"/>
      <c r="BA75" s="1799" t="s">
        <v>0</v>
      </c>
      <c r="BB75" s="1802">
        <v>2010</v>
      </c>
      <c r="BC75" s="1799" t="s">
        <v>18</v>
      </c>
      <c r="BD75" s="1799">
        <v>7</v>
      </c>
      <c r="BE75" s="1800">
        <v>136866649.75</v>
      </c>
      <c r="BF75" s="1801">
        <v>3.6063353449658268E-2</v>
      </c>
      <c r="BG75" s="1799"/>
      <c r="BH75" s="1799" t="s">
        <v>0</v>
      </c>
      <c r="BI75" s="1799" t="s">
        <v>315</v>
      </c>
      <c r="BJ75" s="1799" t="s">
        <v>14</v>
      </c>
      <c r="BK75" s="1799">
        <v>5</v>
      </c>
      <c r="BL75" s="1800">
        <v>208556648.89000002</v>
      </c>
      <c r="BM75" s="1801">
        <v>5.8932729848864579E-2</v>
      </c>
      <c r="BN75" s="1799">
        <v>2010</v>
      </c>
      <c r="BO75" s="1684"/>
      <c r="BP75" s="1696"/>
      <c r="BQ75" s="1169"/>
      <c r="BR75" s="1169"/>
      <c r="BS75" s="1169"/>
      <c r="BT75" s="1169"/>
      <c r="BU75" s="1169"/>
      <c r="BV75" s="1169"/>
      <c r="BW75" s="1169"/>
      <c r="BX75" s="1169"/>
      <c r="BY75" s="1169"/>
      <c r="BZ75" s="1169"/>
      <c r="CA75" s="1169"/>
      <c r="CB75" s="1169"/>
      <c r="CC75" s="1169"/>
      <c r="CD75" s="1169"/>
      <c r="CE75" s="1169"/>
      <c r="CF75" s="1169"/>
      <c r="CG75" s="1169"/>
      <c r="CH75" s="1169"/>
      <c r="CI75" s="1169"/>
      <c r="CJ75" s="1169"/>
      <c r="CK75" s="1169"/>
      <c r="CL75" s="1169"/>
      <c r="CM75" s="1169"/>
      <c r="CN75" s="1169"/>
      <c r="CO75" s="1169"/>
      <c r="CP75" s="1169"/>
      <c r="CQ75" s="1169"/>
      <c r="CR75" s="1169"/>
      <c r="CS75" s="1169"/>
      <c r="CT75" s="1169"/>
      <c r="CU75" s="1169"/>
      <c r="CV75" s="1169"/>
      <c r="CW75" s="1169"/>
      <c r="CX75" s="1169"/>
      <c r="CY75" s="1169"/>
      <c r="CZ75" s="1169"/>
      <c r="DA75" s="1168"/>
      <c r="DB75" s="1168"/>
      <c r="DC75" s="1168"/>
      <c r="DD75" s="1168"/>
      <c r="DE75" s="1168"/>
      <c r="DF75" s="1168"/>
      <c r="DG75" s="1168"/>
      <c r="DH75" s="1168"/>
      <c r="DI75" s="1168"/>
      <c r="DJ75" s="1168"/>
      <c r="DK75" s="1168"/>
      <c r="DL75" s="1168"/>
      <c r="DM75" s="1168"/>
      <c r="DN75" s="1168"/>
      <c r="DO75" s="1168"/>
      <c r="DP75" s="1168"/>
      <c r="DQ75" s="1168"/>
      <c r="DR75" s="1168"/>
      <c r="DS75" s="1168"/>
      <c r="DT75" s="1168"/>
      <c r="DU75" s="1168"/>
      <c r="DV75" s="1168"/>
      <c r="DW75" s="1168"/>
      <c r="DX75" s="1168"/>
      <c r="DY75" s="1168"/>
      <c r="DZ75" s="1168"/>
      <c r="EA75" s="1168"/>
      <c r="EB75" s="1168"/>
      <c r="EC75" s="1168"/>
      <c r="ED75" s="1168"/>
      <c r="EE75" s="1168"/>
      <c r="EF75" s="1168"/>
      <c r="EG75" s="1168"/>
      <c r="EH75" s="1168"/>
      <c r="EI75" s="1170"/>
      <c r="EJ75" s="1170"/>
      <c r="EK75" s="1170"/>
      <c r="EL75" s="1170"/>
      <c r="EM75" s="1170"/>
      <c r="EN75" s="1170"/>
      <c r="EO75" s="1170"/>
      <c r="EP75" s="1170"/>
      <c r="EQ75" s="1170"/>
      <c r="ER75" s="1170"/>
      <c r="ES75" s="1333"/>
      <c r="ET75" s="1333"/>
      <c r="EU75" s="1333"/>
      <c r="EV75" s="1333"/>
      <c r="EW75" s="1333"/>
      <c r="EX75" s="1333"/>
      <c r="EY75" s="1333"/>
      <c r="EZ75" s="1333"/>
      <c r="FA75" s="1333"/>
      <c r="FB75" s="1333"/>
      <c r="FC75" s="1333"/>
      <c r="FD75" s="1333"/>
      <c r="FE75" s="1333"/>
      <c r="FF75" s="1333"/>
      <c r="FG75" s="1333"/>
      <c r="FH75" s="1333"/>
      <c r="FI75" s="1333"/>
      <c r="FJ75" s="1333"/>
      <c r="FK75" s="1333"/>
      <c r="FL75" s="1333"/>
      <c r="FM75" s="1333"/>
      <c r="FN75" s="1333"/>
      <c r="FO75" s="1333"/>
      <c r="FP75" s="1333"/>
      <c r="FQ75" s="1333"/>
      <c r="FR75" s="1333"/>
      <c r="FS75" s="1333"/>
      <c r="FT75" s="1333"/>
      <c r="FU75" s="1333"/>
      <c r="FV75" s="1333"/>
      <c r="FW75" s="1333"/>
      <c r="FX75" s="1333"/>
      <c r="FY75" s="1333"/>
      <c r="FZ75" s="1333"/>
      <c r="GA75" s="1333"/>
      <c r="GB75" s="1333"/>
      <c r="GC75" s="1333"/>
      <c r="GD75" s="1333"/>
      <c r="GE75" s="1333"/>
      <c r="GF75" s="1333"/>
      <c r="GG75" s="1333"/>
      <c r="GH75" s="1333"/>
      <c r="GI75" s="1333"/>
      <c r="GJ75" s="1333"/>
      <c r="GK75" s="1333"/>
      <c r="GL75" s="1333"/>
      <c r="GM75" s="1333"/>
      <c r="GN75" s="1333"/>
      <c r="GO75" s="1333"/>
      <c r="GP75" s="1333"/>
      <c r="GQ75" s="1333"/>
      <c r="GR75" s="1333"/>
      <c r="GS75" s="1333"/>
      <c r="GT75" s="1333"/>
      <c r="GU75" s="1333"/>
      <c r="GV75" s="1333"/>
      <c r="GW75" s="1333"/>
      <c r="GX75" s="1333"/>
    </row>
    <row r="76" spans="1:206" s="607" customFormat="1">
      <c r="A76" s="607">
        <f t="shared" si="2"/>
        <v>1976</v>
      </c>
      <c r="B76" s="607">
        <f t="shared" si="3"/>
        <v>3</v>
      </c>
      <c r="C76" s="1173">
        <v>27974</v>
      </c>
      <c r="D76" s="957"/>
      <c r="E76" s="920"/>
      <c r="F76" s="920"/>
      <c r="G76" s="920"/>
      <c r="H76" s="920"/>
      <c r="I76" s="954">
        <v>88.09251764765726</v>
      </c>
      <c r="J76" s="954">
        <v>109.78095238100001</v>
      </c>
      <c r="K76" s="954"/>
      <c r="L76" s="920"/>
      <c r="M76" s="917"/>
      <c r="N76" s="917"/>
      <c r="O76" s="1334"/>
      <c r="P76" s="1334"/>
      <c r="Q76" s="1334"/>
      <c r="R76" s="1334"/>
      <c r="S76" s="1334"/>
      <c r="T76" s="1334"/>
      <c r="U76" s="920"/>
      <c r="V76" s="920"/>
      <c r="W76" s="920"/>
      <c r="X76" s="920"/>
      <c r="Y76" s="920"/>
      <c r="Z76" s="920"/>
      <c r="AA76" s="920"/>
      <c r="AB76" s="920"/>
      <c r="AC76" s="920"/>
      <c r="AD76" s="920"/>
      <c r="AE76" s="920"/>
      <c r="AF76" s="920"/>
      <c r="AG76" s="920"/>
      <c r="AH76" s="920"/>
      <c r="AI76" s="920"/>
      <c r="AJ76" s="920"/>
      <c r="AK76" s="920"/>
      <c r="AL76" s="1105"/>
      <c r="AM76" s="920"/>
      <c r="AN76" s="1711"/>
      <c r="AO76" s="920"/>
      <c r="AP76" s="920"/>
      <c r="AS76" s="1167"/>
      <c r="AT76" s="1167"/>
      <c r="AU76" s="1168"/>
      <c r="AV76" s="1168"/>
      <c r="AW76" s="1169"/>
      <c r="AX76" s="1169"/>
      <c r="AY76" s="1169"/>
      <c r="AZ76" s="1169"/>
      <c r="BA76" s="1799" t="s">
        <v>0</v>
      </c>
      <c r="BB76" s="1802">
        <v>2010</v>
      </c>
      <c r="BC76" s="1799" t="s">
        <v>13</v>
      </c>
      <c r="BD76" s="1799">
        <v>8</v>
      </c>
      <c r="BE76" s="1800">
        <v>109489732.09</v>
      </c>
      <c r="BF76" s="1801">
        <v>2.8849737424584406E-2</v>
      </c>
      <c r="BG76" s="1799"/>
      <c r="BH76" s="1799" t="s">
        <v>0</v>
      </c>
      <c r="BI76" s="1799" t="s">
        <v>315</v>
      </c>
      <c r="BJ76" s="1799" t="s">
        <v>18</v>
      </c>
      <c r="BK76" s="1799">
        <v>6</v>
      </c>
      <c r="BL76" s="1800">
        <v>203882858.15999997</v>
      </c>
      <c r="BM76" s="1801">
        <v>5.7612037135747113E-2</v>
      </c>
      <c r="BN76" s="1799">
        <v>2010</v>
      </c>
      <c r="BO76" s="1684"/>
      <c r="BP76" s="1696"/>
      <c r="BQ76" s="1169"/>
      <c r="BR76" s="1169"/>
      <c r="BS76" s="1169"/>
      <c r="BT76" s="1169"/>
      <c r="BU76" s="1169"/>
      <c r="BV76" s="1169"/>
      <c r="BW76" s="1169"/>
      <c r="BX76" s="1169"/>
      <c r="BY76" s="1169"/>
      <c r="BZ76" s="1169"/>
      <c r="CA76" s="1169"/>
      <c r="CB76" s="1169"/>
      <c r="CC76" s="1169"/>
      <c r="CD76" s="1169"/>
      <c r="CE76" s="1169"/>
      <c r="CF76" s="1169"/>
      <c r="CG76" s="1169"/>
      <c r="CH76" s="1169"/>
      <c r="CI76" s="1169"/>
      <c r="CJ76" s="1169"/>
      <c r="CK76" s="1169"/>
      <c r="CL76" s="1169"/>
      <c r="CM76" s="1169"/>
      <c r="CN76" s="1169"/>
      <c r="CO76" s="1169"/>
      <c r="CP76" s="1169"/>
      <c r="CQ76" s="1169"/>
      <c r="CR76" s="1169"/>
      <c r="CS76" s="1169"/>
      <c r="CT76" s="1169"/>
      <c r="CU76" s="1169"/>
      <c r="CV76" s="1169"/>
      <c r="CW76" s="1169"/>
      <c r="CX76" s="1169"/>
      <c r="CY76" s="1169"/>
      <c r="CZ76" s="1169"/>
      <c r="DA76" s="1168"/>
      <c r="DB76" s="1168"/>
      <c r="DC76" s="1168"/>
      <c r="DD76" s="1168"/>
      <c r="DE76" s="1168"/>
      <c r="DF76" s="1168"/>
      <c r="DG76" s="1168"/>
      <c r="DH76" s="1168"/>
      <c r="DI76" s="1168"/>
      <c r="DJ76" s="1168"/>
      <c r="DK76" s="1168"/>
      <c r="DL76" s="1168"/>
      <c r="DM76" s="1168"/>
      <c r="DN76" s="1168"/>
      <c r="DO76" s="1168"/>
      <c r="DP76" s="1168"/>
      <c r="DQ76" s="1168"/>
      <c r="DR76" s="1168"/>
      <c r="DS76" s="1168"/>
      <c r="DT76" s="1168"/>
      <c r="DU76" s="1168"/>
      <c r="DV76" s="1168"/>
      <c r="DW76" s="1168"/>
      <c r="DX76" s="1168"/>
      <c r="DY76" s="1168"/>
      <c r="DZ76" s="1168"/>
      <c r="EA76" s="1168"/>
      <c r="EB76" s="1168"/>
      <c r="EC76" s="1168"/>
      <c r="ED76" s="1168"/>
      <c r="EE76" s="1168"/>
      <c r="EF76" s="1168"/>
      <c r="EG76" s="1168"/>
      <c r="EH76" s="1168"/>
      <c r="EI76" s="1170"/>
      <c r="EJ76" s="1170"/>
      <c r="EK76" s="1170"/>
      <c r="EL76" s="1170"/>
      <c r="EM76" s="1170"/>
      <c r="EN76" s="1170"/>
      <c r="EO76" s="1170"/>
      <c r="EP76" s="1170"/>
      <c r="EQ76" s="1170"/>
      <c r="ER76" s="1170"/>
      <c r="ES76" s="1333"/>
      <c r="ET76" s="1333"/>
      <c r="EU76" s="1333"/>
      <c r="EV76" s="1333"/>
      <c r="EW76" s="1333"/>
      <c r="EX76" s="1333"/>
      <c r="EY76" s="1333"/>
      <c r="EZ76" s="1333"/>
      <c r="FA76" s="1333"/>
      <c r="FB76" s="1333"/>
      <c r="FC76" s="1333"/>
      <c r="FD76" s="1333"/>
      <c r="FE76" s="1333"/>
      <c r="FF76" s="1333"/>
      <c r="FG76" s="1333"/>
      <c r="FH76" s="1333"/>
      <c r="FI76" s="1333"/>
      <c r="FJ76" s="1333"/>
      <c r="FK76" s="1333"/>
      <c r="FL76" s="1333"/>
      <c r="FM76" s="1333"/>
      <c r="FN76" s="1333"/>
      <c r="FO76" s="1333"/>
      <c r="FP76" s="1333"/>
      <c r="FQ76" s="1333"/>
      <c r="FR76" s="1333"/>
      <c r="FS76" s="1333"/>
      <c r="FT76" s="1333"/>
      <c r="FU76" s="1333"/>
      <c r="FV76" s="1333"/>
      <c r="FW76" s="1333"/>
      <c r="FX76" s="1333"/>
      <c r="FY76" s="1333"/>
      <c r="FZ76" s="1333"/>
      <c r="GA76" s="1333"/>
      <c r="GB76" s="1333"/>
      <c r="GC76" s="1333"/>
      <c r="GD76" s="1333"/>
      <c r="GE76" s="1333"/>
      <c r="GF76" s="1333"/>
      <c r="GG76" s="1333"/>
      <c r="GH76" s="1333"/>
      <c r="GI76" s="1333"/>
      <c r="GJ76" s="1333"/>
      <c r="GK76" s="1333"/>
      <c r="GL76" s="1333"/>
      <c r="GM76" s="1333"/>
      <c r="GN76" s="1333"/>
      <c r="GO76" s="1333"/>
      <c r="GP76" s="1333"/>
      <c r="GQ76" s="1333"/>
      <c r="GR76" s="1333"/>
      <c r="GS76" s="1333"/>
      <c r="GT76" s="1333"/>
      <c r="GU76" s="1333"/>
      <c r="GV76" s="1333"/>
      <c r="GW76" s="1333"/>
      <c r="GX76" s="1333"/>
    </row>
    <row r="77" spans="1:206" s="607" customFormat="1">
      <c r="A77" s="607">
        <f t="shared" si="2"/>
        <v>1976</v>
      </c>
      <c r="B77" s="607">
        <f t="shared" si="3"/>
        <v>3</v>
      </c>
      <c r="C77" s="1173">
        <v>28004</v>
      </c>
      <c r="D77" s="1709"/>
      <c r="E77" s="1117"/>
      <c r="F77" s="1117"/>
      <c r="G77" s="1117"/>
      <c r="H77" s="1117"/>
      <c r="I77" s="959">
        <v>92.442806811326903</v>
      </c>
      <c r="J77" s="959">
        <v>114.3795454545</v>
      </c>
      <c r="K77" s="960"/>
      <c r="L77" s="1121"/>
      <c r="M77" s="916"/>
      <c r="N77" s="916"/>
      <c r="O77" s="1332"/>
      <c r="P77" s="1332"/>
      <c r="Q77" s="1332"/>
      <c r="R77" s="1332"/>
      <c r="S77" s="1332"/>
      <c r="T77" s="1332"/>
      <c r="U77" s="1120"/>
      <c r="V77" s="1120"/>
      <c r="W77" s="1120"/>
      <c r="X77" s="1120"/>
      <c r="Y77" s="1119"/>
      <c r="Z77" s="1119"/>
      <c r="AA77" s="1119"/>
      <c r="AB77" s="1119"/>
      <c r="AC77" s="1178"/>
      <c r="AD77" s="1178"/>
      <c r="AE77" s="1178"/>
      <c r="AF77" s="1178"/>
      <c r="AG77" s="1178"/>
      <c r="AH77" s="1178"/>
      <c r="AI77" s="1178"/>
      <c r="AJ77" s="1178"/>
      <c r="AK77" s="919"/>
      <c r="AL77" s="1104"/>
      <c r="AM77" s="919"/>
      <c r="AN77" s="1710"/>
      <c r="AO77" s="919"/>
      <c r="AP77" s="919"/>
      <c r="AS77" s="1167"/>
      <c r="AT77" s="1167"/>
      <c r="AU77" s="1168"/>
      <c r="AV77" s="1168"/>
      <c r="AW77" s="1169"/>
      <c r="AX77" s="1169"/>
      <c r="AY77" s="1169"/>
      <c r="AZ77" s="1169"/>
      <c r="BA77" s="1799" t="s">
        <v>0</v>
      </c>
      <c r="BB77" s="1802">
        <v>2010</v>
      </c>
      <c r="BC77" s="1799" t="s">
        <v>24</v>
      </c>
      <c r="BD77" s="1799">
        <v>9</v>
      </c>
      <c r="BE77" s="1800">
        <v>103096619.3</v>
      </c>
      <c r="BF77" s="1801">
        <v>2.716519932410167E-2</v>
      </c>
      <c r="BG77" s="1799"/>
      <c r="BH77" s="1799" t="s">
        <v>0</v>
      </c>
      <c r="BI77" s="1799" t="s">
        <v>315</v>
      </c>
      <c r="BJ77" s="1799" t="s">
        <v>24</v>
      </c>
      <c r="BK77" s="1799">
        <v>7</v>
      </c>
      <c r="BL77" s="1800">
        <v>157400710.97</v>
      </c>
      <c r="BM77" s="1801">
        <v>4.4477381215051723E-2</v>
      </c>
      <c r="BN77" s="1799">
        <v>2010</v>
      </c>
      <c r="BO77" s="1684"/>
      <c r="BP77" s="1697"/>
      <c r="BQ77" s="1169"/>
      <c r="BR77" s="1169"/>
      <c r="BS77" s="1169"/>
      <c r="BT77" s="1169"/>
      <c r="BU77" s="1169"/>
      <c r="BV77" s="1169"/>
      <c r="BW77" s="1169"/>
      <c r="BX77" s="1169"/>
      <c r="BY77" s="1169"/>
      <c r="BZ77" s="1169"/>
      <c r="CA77" s="1169"/>
      <c r="CB77" s="1169"/>
      <c r="CC77" s="1169"/>
      <c r="CD77" s="1169"/>
      <c r="CE77" s="1169"/>
      <c r="CF77" s="1169"/>
      <c r="CG77" s="1169"/>
      <c r="CH77" s="1169"/>
      <c r="CI77" s="1169"/>
      <c r="CJ77" s="1169"/>
      <c r="CK77" s="1169"/>
      <c r="CL77" s="1169"/>
      <c r="CM77" s="1169"/>
      <c r="CN77" s="1169"/>
      <c r="CO77" s="1169"/>
      <c r="CP77" s="1169"/>
      <c r="CQ77" s="1169"/>
      <c r="CR77" s="1169"/>
      <c r="CS77" s="1169"/>
      <c r="CT77" s="1169"/>
      <c r="CU77" s="1169"/>
      <c r="CV77" s="1169"/>
      <c r="CW77" s="1169"/>
      <c r="CX77" s="1169"/>
      <c r="CY77" s="1169"/>
      <c r="CZ77" s="1169"/>
      <c r="DA77" s="1168"/>
      <c r="DB77" s="1168"/>
      <c r="DC77" s="1168"/>
      <c r="DD77" s="1168"/>
      <c r="DE77" s="1168"/>
      <c r="DF77" s="1168"/>
      <c r="DG77" s="1168"/>
      <c r="DH77" s="1168"/>
      <c r="DI77" s="1168"/>
      <c r="DJ77" s="1168"/>
      <c r="DK77" s="1168"/>
      <c r="DL77" s="1168"/>
      <c r="DM77" s="1168"/>
      <c r="DN77" s="1168"/>
      <c r="DO77" s="1168"/>
      <c r="DP77" s="1168"/>
      <c r="DQ77" s="1168"/>
      <c r="DR77" s="1168"/>
      <c r="DS77" s="1168"/>
      <c r="DT77" s="1168"/>
      <c r="DU77" s="1168"/>
      <c r="DV77" s="1168"/>
      <c r="DW77" s="1168"/>
      <c r="DX77" s="1168"/>
      <c r="DY77" s="1168"/>
      <c r="DZ77" s="1168"/>
      <c r="EA77" s="1168"/>
      <c r="EB77" s="1168"/>
      <c r="EC77" s="1168"/>
      <c r="ED77" s="1168"/>
      <c r="EE77" s="1168"/>
      <c r="EF77" s="1168"/>
      <c r="EG77" s="1168"/>
      <c r="EH77" s="1168"/>
      <c r="EI77" s="1170"/>
      <c r="EJ77" s="1170"/>
      <c r="EK77" s="1170"/>
      <c r="EL77" s="1170"/>
      <c r="EM77" s="1170"/>
      <c r="EN77" s="1170"/>
      <c r="EO77" s="1170"/>
      <c r="EP77" s="1170"/>
      <c r="EQ77" s="1170"/>
      <c r="ER77" s="1170"/>
      <c r="ES77" s="1333"/>
      <c r="ET77" s="1333"/>
      <c r="EU77" s="1333"/>
      <c r="EV77" s="1333"/>
      <c r="EW77" s="1333"/>
      <c r="EX77" s="1333"/>
      <c r="EY77" s="1333"/>
      <c r="EZ77" s="1333"/>
      <c r="FA77" s="1333"/>
      <c r="FB77" s="1333"/>
      <c r="FC77" s="1333"/>
      <c r="FD77" s="1333"/>
      <c r="FE77" s="1333"/>
      <c r="FF77" s="1333"/>
      <c r="FG77" s="1333"/>
      <c r="FH77" s="1333"/>
      <c r="FI77" s="1333"/>
      <c r="FJ77" s="1333"/>
      <c r="FK77" s="1333"/>
      <c r="FL77" s="1333"/>
      <c r="FM77" s="1333"/>
      <c r="FN77" s="1333"/>
      <c r="FO77" s="1333"/>
      <c r="FP77" s="1333"/>
      <c r="FQ77" s="1333"/>
      <c r="FR77" s="1333"/>
      <c r="FS77" s="1333"/>
      <c r="FT77" s="1333"/>
      <c r="FU77" s="1333"/>
      <c r="FV77" s="1333"/>
      <c r="FW77" s="1333"/>
      <c r="FX77" s="1333"/>
      <c r="FY77" s="1333"/>
      <c r="FZ77" s="1333"/>
      <c r="GA77" s="1333"/>
      <c r="GB77" s="1333"/>
      <c r="GC77" s="1333"/>
      <c r="GD77" s="1333"/>
      <c r="GE77" s="1333"/>
      <c r="GF77" s="1333"/>
      <c r="GG77" s="1333"/>
      <c r="GH77" s="1333"/>
      <c r="GI77" s="1333"/>
      <c r="GJ77" s="1333"/>
      <c r="GK77" s="1333"/>
      <c r="GL77" s="1333"/>
      <c r="GM77" s="1333"/>
      <c r="GN77" s="1333"/>
      <c r="GO77" s="1333"/>
      <c r="GP77" s="1333"/>
      <c r="GQ77" s="1333"/>
      <c r="GR77" s="1333"/>
      <c r="GS77" s="1333"/>
      <c r="GT77" s="1333"/>
      <c r="GU77" s="1333"/>
      <c r="GV77" s="1333"/>
      <c r="GW77" s="1333"/>
      <c r="GX77" s="1333"/>
    </row>
    <row r="78" spans="1:206" s="607" customFormat="1">
      <c r="A78" s="607">
        <f t="shared" si="2"/>
        <v>1976</v>
      </c>
      <c r="B78" s="607">
        <f t="shared" si="3"/>
        <v>4</v>
      </c>
      <c r="C78" s="1173">
        <v>28034</v>
      </c>
      <c r="D78" s="957"/>
      <c r="E78" s="920"/>
      <c r="F78" s="920"/>
      <c r="G78" s="920"/>
      <c r="H78" s="920"/>
      <c r="I78" s="954">
        <v>94.737068771393623</v>
      </c>
      <c r="J78" s="954">
        <v>116.1571428571</v>
      </c>
      <c r="K78" s="954"/>
      <c r="L78" s="920"/>
      <c r="M78" s="917"/>
      <c r="N78" s="917"/>
      <c r="O78" s="1334"/>
      <c r="P78" s="1334"/>
      <c r="Q78" s="1334"/>
      <c r="R78" s="1334"/>
      <c r="S78" s="1334"/>
      <c r="T78" s="1334"/>
      <c r="U78" s="920"/>
      <c r="V78" s="920"/>
      <c r="W78" s="920"/>
      <c r="X78" s="920"/>
      <c r="Y78" s="920"/>
      <c r="Z78" s="920"/>
      <c r="AA78" s="920"/>
      <c r="AB78" s="920"/>
      <c r="AC78" s="920"/>
      <c r="AD78" s="920"/>
      <c r="AE78" s="920"/>
      <c r="AF78" s="920"/>
      <c r="AG78" s="920"/>
      <c r="AH78" s="920"/>
      <c r="AI78" s="920"/>
      <c r="AJ78" s="920"/>
      <c r="AK78" s="920"/>
      <c r="AL78" s="1105"/>
      <c r="AM78" s="920"/>
      <c r="AN78" s="1711"/>
      <c r="AO78" s="920"/>
      <c r="AP78" s="920"/>
      <c r="AS78" s="1167"/>
      <c r="AT78" s="1167"/>
      <c r="AU78" s="1168"/>
      <c r="AV78" s="1168"/>
      <c r="AW78" s="1169"/>
      <c r="AX78" s="1169"/>
      <c r="AY78" s="1169"/>
      <c r="AZ78" s="1169"/>
      <c r="BA78" s="1799" t="s">
        <v>0</v>
      </c>
      <c r="BB78" s="1802">
        <v>2010</v>
      </c>
      <c r="BC78" s="1799" t="s">
        <v>74</v>
      </c>
      <c r="BD78" s="1799">
        <v>10</v>
      </c>
      <c r="BE78" s="1800">
        <v>97929592.149999976</v>
      </c>
      <c r="BF78" s="1801">
        <v>2.580372575303962E-2</v>
      </c>
      <c r="BG78" s="1799"/>
      <c r="BH78" s="1799" t="s">
        <v>0</v>
      </c>
      <c r="BI78" s="1799" t="s">
        <v>315</v>
      </c>
      <c r="BJ78" s="1799" t="s">
        <v>447</v>
      </c>
      <c r="BK78" s="1799">
        <v>8</v>
      </c>
      <c r="BL78" s="1800">
        <v>151490410.84</v>
      </c>
      <c r="BM78" s="1801">
        <v>4.2807282837748449E-2</v>
      </c>
      <c r="BN78" s="1799">
        <v>2010</v>
      </c>
      <c r="BO78" s="1684"/>
      <c r="BP78" s="1696"/>
      <c r="BQ78" s="1169"/>
      <c r="BR78" s="1169"/>
      <c r="BS78" s="1169"/>
      <c r="BT78" s="1169"/>
      <c r="BU78" s="1169"/>
      <c r="BV78" s="1169"/>
      <c r="BW78" s="1169"/>
      <c r="BX78" s="1169"/>
      <c r="BY78" s="1169"/>
      <c r="BZ78" s="1169"/>
      <c r="CA78" s="1169"/>
      <c r="CB78" s="1169"/>
      <c r="CC78" s="1169"/>
      <c r="CD78" s="1169"/>
      <c r="CE78" s="1169"/>
      <c r="CF78" s="1169"/>
      <c r="CG78" s="1169"/>
      <c r="CH78" s="1169"/>
      <c r="CI78" s="1169"/>
      <c r="CJ78" s="1169"/>
      <c r="CK78" s="1169"/>
      <c r="CL78" s="1169"/>
      <c r="CM78" s="1169"/>
      <c r="CN78" s="1169"/>
      <c r="CO78" s="1169"/>
      <c r="CP78" s="1169"/>
      <c r="CQ78" s="1169"/>
      <c r="CR78" s="1169"/>
      <c r="CS78" s="1169"/>
      <c r="CT78" s="1169"/>
      <c r="CU78" s="1169"/>
      <c r="CV78" s="1169"/>
      <c r="CW78" s="1169"/>
      <c r="CX78" s="1169"/>
      <c r="CY78" s="1169"/>
      <c r="CZ78" s="1169"/>
      <c r="DA78" s="1168"/>
      <c r="DB78" s="1168"/>
      <c r="DC78" s="1168"/>
      <c r="DD78" s="1168"/>
      <c r="DE78" s="1168"/>
      <c r="DF78" s="1168"/>
      <c r="DG78" s="1168"/>
      <c r="DH78" s="1168"/>
      <c r="DI78" s="1168"/>
      <c r="DJ78" s="1168"/>
      <c r="DK78" s="1168"/>
      <c r="DL78" s="1168"/>
      <c r="DM78" s="1168"/>
      <c r="DN78" s="1168"/>
      <c r="DO78" s="1168"/>
      <c r="DP78" s="1168"/>
      <c r="DQ78" s="1168"/>
      <c r="DR78" s="1168"/>
      <c r="DS78" s="1168"/>
      <c r="DT78" s="1168"/>
      <c r="DU78" s="1168"/>
      <c r="DV78" s="1168"/>
      <c r="DW78" s="1168"/>
      <c r="DX78" s="1168"/>
      <c r="DY78" s="1168"/>
      <c r="DZ78" s="1168"/>
      <c r="EA78" s="1168"/>
      <c r="EB78" s="1168"/>
      <c r="EC78" s="1168"/>
      <c r="ED78" s="1168"/>
      <c r="EE78" s="1168"/>
      <c r="EF78" s="1168"/>
      <c r="EG78" s="1168"/>
      <c r="EH78" s="1168"/>
      <c r="EI78" s="1170"/>
      <c r="EJ78" s="1170"/>
      <c r="EK78" s="1170"/>
      <c r="EL78" s="1170"/>
      <c r="EM78" s="1170"/>
      <c r="EN78" s="1170"/>
      <c r="EO78" s="1170"/>
      <c r="EP78" s="1170"/>
      <c r="EQ78" s="1170"/>
      <c r="ER78" s="1170"/>
      <c r="ES78" s="1333"/>
      <c r="ET78" s="1333"/>
      <c r="EU78" s="1333"/>
      <c r="EV78" s="1333"/>
      <c r="EW78" s="1333"/>
      <c r="EX78" s="1333"/>
      <c r="EY78" s="1333"/>
      <c r="EZ78" s="1333"/>
      <c r="FA78" s="1333"/>
      <c r="FB78" s="1333"/>
      <c r="FC78" s="1333"/>
      <c r="FD78" s="1333"/>
      <c r="FE78" s="1333"/>
      <c r="FF78" s="1333"/>
      <c r="FG78" s="1333"/>
      <c r="FH78" s="1333"/>
      <c r="FI78" s="1333"/>
      <c r="FJ78" s="1333"/>
      <c r="FK78" s="1333"/>
      <c r="FL78" s="1333"/>
      <c r="FM78" s="1333"/>
      <c r="FN78" s="1333"/>
      <c r="FO78" s="1333"/>
      <c r="FP78" s="1333"/>
      <c r="FQ78" s="1333"/>
      <c r="FR78" s="1333"/>
      <c r="FS78" s="1333"/>
      <c r="FT78" s="1333"/>
      <c r="FU78" s="1333"/>
      <c r="FV78" s="1333"/>
      <c r="FW78" s="1333"/>
      <c r="FX78" s="1333"/>
      <c r="FY78" s="1333"/>
      <c r="FZ78" s="1333"/>
      <c r="GA78" s="1333"/>
      <c r="GB78" s="1333"/>
      <c r="GC78" s="1333"/>
      <c r="GD78" s="1333"/>
      <c r="GE78" s="1333"/>
      <c r="GF78" s="1333"/>
      <c r="GG78" s="1333"/>
      <c r="GH78" s="1333"/>
      <c r="GI78" s="1333"/>
      <c r="GJ78" s="1333"/>
      <c r="GK78" s="1333"/>
      <c r="GL78" s="1333"/>
      <c r="GM78" s="1333"/>
      <c r="GN78" s="1333"/>
      <c r="GO78" s="1333"/>
      <c r="GP78" s="1333"/>
      <c r="GQ78" s="1333"/>
      <c r="GR78" s="1333"/>
      <c r="GS78" s="1333"/>
      <c r="GT78" s="1333"/>
      <c r="GU78" s="1333"/>
      <c r="GV78" s="1333"/>
      <c r="GW78" s="1333"/>
      <c r="GX78" s="1333"/>
    </row>
    <row r="79" spans="1:206" s="607" customFormat="1">
      <c r="A79" s="607">
        <f t="shared" si="2"/>
        <v>1976</v>
      </c>
      <c r="B79" s="607">
        <f t="shared" si="3"/>
        <v>4</v>
      </c>
      <c r="C79" s="1173">
        <v>28065</v>
      </c>
      <c r="D79" s="1709"/>
      <c r="E79" s="1117"/>
      <c r="F79" s="1117"/>
      <c r="G79" s="1117"/>
      <c r="H79" s="1117"/>
      <c r="I79" s="959">
        <v>129.05573651592704</v>
      </c>
      <c r="J79" s="959">
        <v>130.64318181819999</v>
      </c>
      <c r="K79" s="960"/>
      <c r="L79" s="1121"/>
      <c r="M79" s="916"/>
      <c r="N79" s="916"/>
      <c r="O79" s="1332"/>
      <c r="P79" s="1332"/>
      <c r="Q79" s="1332"/>
      <c r="R79" s="1332"/>
      <c r="S79" s="1332"/>
      <c r="T79" s="1332"/>
      <c r="U79" s="1120"/>
      <c r="V79" s="1120"/>
      <c r="W79" s="1120"/>
      <c r="X79" s="1120"/>
      <c r="Y79" s="1119"/>
      <c r="Z79" s="1119"/>
      <c r="AA79" s="1119"/>
      <c r="AB79" s="1119"/>
      <c r="AC79" s="1178"/>
      <c r="AD79" s="1178"/>
      <c r="AE79" s="1178"/>
      <c r="AF79" s="1178"/>
      <c r="AG79" s="1178"/>
      <c r="AH79" s="1178"/>
      <c r="AI79" s="1178"/>
      <c r="AJ79" s="1178"/>
      <c r="AK79" s="919"/>
      <c r="AL79" s="1104"/>
      <c r="AM79" s="919"/>
      <c r="AN79" s="1710"/>
      <c r="AO79" s="919"/>
      <c r="AP79" s="919"/>
      <c r="AS79" s="1167"/>
      <c r="AT79" s="1167"/>
      <c r="AU79" s="1168"/>
      <c r="AV79" s="1168"/>
      <c r="AW79" s="1169"/>
      <c r="AX79" s="1169"/>
      <c r="AY79" s="1169"/>
      <c r="AZ79" s="1169"/>
      <c r="BA79" s="1799" t="s">
        <v>0</v>
      </c>
      <c r="BB79" s="1802">
        <v>2010</v>
      </c>
      <c r="BC79" s="1799" t="s">
        <v>32</v>
      </c>
      <c r="BD79" s="1799"/>
      <c r="BE79" s="1800">
        <v>435927019.64999962</v>
      </c>
      <c r="BF79" s="1801">
        <v>0.11486355672919553</v>
      </c>
      <c r="BG79" s="1799"/>
      <c r="BH79" s="1799" t="s">
        <v>0</v>
      </c>
      <c r="BI79" s="1799" t="s">
        <v>315</v>
      </c>
      <c r="BJ79" s="1799" t="s">
        <v>74</v>
      </c>
      <c r="BK79" s="1799">
        <v>9</v>
      </c>
      <c r="BL79" s="1800">
        <v>127624675.78999999</v>
      </c>
      <c r="BM79" s="1801">
        <v>3.606344166158891E-2</v>
      </c>
      <c r="BN79" s="1799">
        <v>2010</v>
      </c>
      <c r="BO79" s="1684"/>
      <c r="BP79" s="1696"/>
      <c r="BQ79" s="1169"/>
      <c r="BR79" s="1169"/>
      <c r="BS79" s="1169"/>
      <c r="BT79" s="1169"/>
      <c r="BU79" s="1169"/>
      <c r="BV79" s="1169"/>
      <c r="BW79" s="1169"/>
      <c r="BX79" s="1169"/>
      <c r="BY79" s="1169"/>
      <c r="BZ79" s="1169"/>
      <c r="CA79" s="1169"/>
      <c r="CB79" s="1169"/>
      <c r="CC79" s="1169"/>
      <c r="CD79" s="1169"/>
      <c r="CE79" s="1169"/>
      <c r="CF79" s="1169"/>
      <c r="CG79" s="1169"/>
      <c r="CH79" s="1169"/>
      <c r="CI79" s="1169"/>
      <c r="CJ79" s="1169"/>
      <c r="CK79" s="1169"/>
      <c r="CL79" s="1169"/>
      <c r="CM79" s="1169"/>
      <c r="CN79" s="1169"/>
      <c r="CO79" s="1169"/>
      <c r="CP79" s="1169"/>
      <c r="CQ79" s="1169"/>
      <c r="CR79" s="1169"/>
      <c r="CS79" s="1169"/>
      <c r="CT79" s="1169"/>
      <c r="CU79" s="1169"/>
      <c r="CV79" s="1169"/>
      <c r="CW79" s="1169"/>
      <c r="CX79" s="1169"/>
      <c r="CY79" s="1169"/>
      <c r="CZ79" s="1169"/>
      <c r="DA79" s="1168"/>
      <c r="DB79" s="1168"/>
      <c r="DC79" s="1168"/>
      <c r="DD79" s="1168"/>
      <c r="DE79" s="1168"/>
      <c r="DF79" s="1168"/>
      <c r="DG79" s="1168"/>
      <c r="DH79" s="1168"/>
      <c r="DI79" s="1168"/>
      <c r="DJ79" s="1168"/>
      <c r="DK79" s="1168"/>
      <c r="DL79" s="1168"/>
      <c r="DM79" s="1168"/>
      <c r="DN79" s="1168"/>
      <c r="DO79" s="1168"/>
      <c r="DP79" s="1168"/>
      <c r="DQ79" s="1168"/>
      <c r="DR79" s="1168"/>
      <c r="DS79" s="1168"/>
      <c r="DT79" s="1168"/>
      <c r="DU79" s="1168"/>
      <c r="DV79" s="1168"/>
      <c r="DW79" s="1168"/>
      <c r="DX79" s="1168"/>
      <c r="DY79" s="1168"/>
      <c r="DZ79" s="1168"/>
      <c r="EA79" s="1168"/>
      <c r="EB79" s="1168"/>
      <c r="EC79" s="1168"/>
      <c r="ED79" s="1168"/>
      <c r="EE79" s="1168"/>
      <c r="EF79" s="1168"/>
      <c r="EG79" s="1168"/>
      <c r="EH79" s="1168"/>
      <c r="EI79" s="1170"/>
      <c r="EJ79" s="1170"/>
      <c r="EK79" s="1170"/>
      <c r="EL79" s="1170"/>
      <c r="EM79" s="1170"/>
      <c r="EN79" s="1170"/>
      <c r="EO79" s="1170"/>
      <c r="EP79" s="1170"/>
      <c r="EQ79" s="1170"/>
      <c r="ER79" s="1170"/>
      <c r="ES79" s="1333"/>
      <c r="ET79" s="1333"/>
      <c r="EU79" s="1333"/>
      <c r="EV79" s="1333"/>
      <c r="EW79" s="1333"/>
      <c r="EX79" s="1333"/>
      <c r="EY79" s="1333"/>
      <c r="EZ79" s="1333"/>
      <c r="FA79" s="1333"/>
      <c r="FB79" s="1333"/>
      <c r="FC79" s="1333"/>
      <c r="FD79" s="1333"/>
      <c r="FE79" s="1333"/>
      <c r="FF79" s="1333"/>
      <c r="FG79" s="1333"/>
      <c r="FH79" s="1333"/>
      <c r="FI79" s="1333"/>
      <c r="FJ79" s="1333"/>
      <c r="FK79" s="1333"/>
      <c r="FL79" s="1333"/>
      <c r="FM79" s="1333"/>
      <c r="FN79" s="1333"/>
      <c r="FO79" s="1333"/>
      <c r="FP79" s="1333"/>
      <c r="FQ79" s="1333"/>
      <c r="FR79" s="1333"/>
      <c r="FS79" s="1333"/>
      <c r="FT79" s="1333"/>
      <c r="FU79" s="1333"/>
      <c r="FV79" s="1333"/>
      <c r="FW79" s="1333"/>
      <c r="FX79" s="1333"/>
      <c r="FY79" s="1333"/>
      <c r="FZ79" s="1333"/>
      <c r="GA79" s="1333"/>
      <c r="GB79" s="1333"/>
      <c r="GC79" s="1333"/>
      <c r="GD79" s="1333"/>
      <c r="GE79" s="1333"/>
      <c r="GF79" s="1333"/>
      <c r="GG79" s="1333"/>
      <c r="GH79" s="1333"/>
      <c r="GI79" s="1333"/>
      <c r="GJ79" s="1333"/>
      <c r="GK79" s="1333"/>
      <c r="GL79" s="1333"/>
      <c r="GM79" s="1333"/>
      <c r="GN79" s="1333"/>
      <c r="GO79" s="1333"/>
      <c r="GP79" s="1333"/>
      <c r="GQ79" s="1333"/>
      <c r="GR79" s="1333"/>
      <c r="GS79" s="1333"/>
      <c r="GT79" s="1333"/>
      <c r="GU79" s="1333"/>
      <c r="GV79" s="1333"/>
      <c r="GW79" s="1333"/>
      <c r="GX79" s="1333"/>
    </row>
    <row r="80" spans="1:206" s="607" customFormat="1">
      <c r="A80" s="607">
        <f t="shared" si="2"/>
        <v>1976</v>
      </c>
      <c r="B80" s="607">
        <f t="shared" si="3"/>
        <v>4</v>
      </c>
      <c r="C80" s="1173">
        <v>28095</v>
      </c>
      <c r="D80" s="957"/>
      <c r="E80" s="920"/>
      <c r="F80" s="920"/>
      <c r="G80" s="920"/>
      <c r="H80" s="920"/>
      <c r="I80" s="954">
        <v>123.29709045</v>
      </c>
      <c r="J80" s="954">
        <v>133.94999999999999</v>
      </c>
      <c r="K80" s="954"/>
      <c r="L80" s="920"/>
      <c r="M80" s="917"/>
      <c r="N80" s="917"/>
      <c r="O80" s="1334"/>
      <c r="P80" s="1334"/>
      <c r="Q80" s="1334"/>
      <c r="R80" s="1334"/>
      <c r="S80" s="1334"/>
      <c r="T80" s="1334"/>
      <c r="U80" s="920"/>
      <c r="V80" s="920"/>
      <c r="W80" s="920"/>
      <c r="X80" s="920"/>
      <c r="Y80" s="920"/>
      <c r="Z80" s="920"/>
      <c r="AA80" s="920"/>
      <c r="AB80" s="920"/>
      <c r="AC80" s="920"/>
      <c r="AD80" s="920"/>
      <c r="AE80" s="920"/>
      <c r="AF80" s="920"/>
      <c r="AG80" s="920"/>
      <c r="AH80" s="920"/>
      <c r="AI80" s="920"/>
      <c r="AJ80" s="920"/>
      <c r="AK80" s="920"/>
      <c r="AL80" s="1105"/>
      <c r="AM80" s="920"/>
      <c r="AN80" s="1711"/>
      <c r="AO80" s="920"/>
      <c r="AP80" s="920"/>
      <c r="AS80" s="1167"/>
      <c r="AT80" s="1167"/>
      <c r="AU80" s="1168"/>
      <c r="AV80" s="1168"/>
      <c r="AW80" s="1169"/>
      <c r="AX80" s="1169"/>
      <c r="AY80" s="1169"/>
      <c r="AZ80" s="1169"/>
      <c r="BA80" s="1799" t="s">
        <v>0</v>
      </c>
      <c r="BB80" s="1802">
        <v>2010</v>
      </c>
      <c r="BC80" s="1799" t="s">
        <v>249</v>
      </c>
      <c r="BD80" s="1799"/>
      <c r="BE80" s="1800">
        <v>3795172568.77</v>
      </c>
      <c r="BF80" s="1801"/>
      <c r="BG80" s="1799"/>
      <c r="BH80" s="1799" t="s">
        <v>0</v>
      </c>
      <c r="BI80" s="1799" t="s">
        <v>315</v>
      </c>
      <c r="BJ80" s="1799" t="s">
        <v>13</v>
      </c>
      <c r="BK80" s="1799">
        <v>10</v>
      </c>
      <c r="BL80" s="1800">
        <v>96854634.329999998</v>
      </c>
      <c r="BM80" s="1801">
        <v>2.7368621570971838E-2</v>
      </c>
      <c r="BN80" s="1799">
        <v>2010</v>
      </c>
      <c r="BO80" s="1684"/>
      <c r="BP80" s="1697"/>
      <c r="BQ80" s="1169"/>
      <c r="BR80" s="1169"/>
      <c r="BS80" s="1169"/>
      <c r="BT80" s="1169"/>
      <c r="BU80" s="1169"/>
      <c r="BV80" s="1169"/>
      <c r="BW80" s="1169"/>
      <c r="BX80" s="1169"/>
      <c r="BY80" s="1169"/>
      <c r="BZ80" s="1169"/>
      <c r="CA80" s="1169"/>
      <c r="CB80" s="1169"/>
      <c r="CC80" s="1169"/>
      <c r="CD80" s="1169"/>
      <c r="CE80" s="1169"/>
      <c r="CF80" s="1169"/>
      <c r="CG80" s="1169"/>
      <c r="CH80" s="1169"/>
      <c r="CI80" s="1169"/>
      <c r="CJ80" s="1169"/>
      <c r="CK80" s="1169"/>
      <c r="CL80" s="1169"/>
      <c r="CM80" s="1169"/>
      <c r="CN80" s="1169"/>
      <c r="CO80" s="1169"/>
      <c r="CP80" s="1169"/>
      <c r="CQ80" s="1169"/>
      <c r="CR80" s="1169"/>
      <c r="CS80" s="1169"/>
      <c r="CT80" s="1169"/>
      <c r="CU80" s="1169"/>
      <c r="CV80" s="1169"/>
      <c r="CW80" s="1169"/>
      <c r="CX80" s="1169"/>
      <c r="CY80" s="1169"/>
      <c r="CZ80" s="1169"/>
      <c r="DA80" s="1168"/>
      <c r="DB80" s="1168"/>
      <c r="DC80" s="1168"/>
      <c r="DD80" s="1168"/>
      <c r="DE80" s="1168"/>
      <c r="DF80" s="1168"/>
      <c r="DG80" s="1168"/>
      <c r="DH80" s="1168"/>
      <c r="DI80" s="1168"/>
      <c r="DJ80" s="1168"/>
      <c r="DK80" s="1168"/>
      <c r="DL80" s="1168"/>
      <c r="DM80" s="1168"/>
      <c r="DN80" s="1168"/>
      <c r="DO80" s="1168"/>
      <c r="DP80" s="1168"/>
      <c r="DQ80" s="1168"/>
      <c r="DR80" s="1168"/>
      <c r="DS80" s="1168"/>
      <c r="DT80" s="1168"/>
      <c r="DU80" s="1168"/>
      <c r="DV80" s="1168"/>
      <c r="DW80" s="1168"/>
      <c r="DX80" s="1168"/>
      <c r="DY80" s="1168"/>
      <c r="DZ80" s="1168"/>
      <c r="EA80" s="1168"/>
      <c r="EB80" s="1168"/>
      <c r="EC80" s="1168"/>
      <c r="ED80" s="1168"/>
      <c r="EE80" s="1168"/>
      <c r="EF80" s="1168"/>
      <c r="EG80" s="1168"/>
      <c r="EH80" s="1168"/>
      <c r="EI80" s="1170"/>
      <c r="EJ80" s="1170"/>
      <c r="EK80" s="1170"/>
      <c r="EL80" s="1170"/>
      <c r="EM80" s="1170"/>
      <c r="EN80" s="1170"/>
      <c r="EO80" s="1170"/>
      <c r="EP80" s="1170"/>
      <c r="EQ80" s="1170"/>
      <c r="ER80" s="1170"/>
      <c r="ES80" s="1333"/>
      <c r="ET80" s="1333"/>
      <c r="EU80" s="1333"/>
      <c r="EV80" s="1333"/>
      <c r="EW80" s="1333"/>
      <c r="EX80" s="1333"/>
      <c r="EY80" s="1333"/>
      <c r="EZ80" s="1333"/>
      <c r="FA80" s="1333"/>
      <c r="FB80" s="1333"/>
      <c r="FC80" s="1333"/>
      <c r="FD80" s="1333"/>
      <c r="FE80" s="1333"/>
      <c r="FF80" s="1333"/>
      <c r="FG80" s="1333"/>
      <c r="FH80" s="1333"/>
      <c r="FI80" s="1333"/>
      <c r="FJ80" s="1333"/>
      <c r="FK80" s="1333"/>
      <c r="FL80" s="1333"/>
      <c r="FM80" s="1333"/>
      <c r="FN80" s="1333"/>
      <c r="FO80" s="1333"/>
      <c r="FP80" s="1333"/>
      <c r="FQ80" s="1333"/>
      <c r="FR80" s="1333"/>
      <c r="FS80" s="1333"/>
      <c r="FT80" s="1333"/>
      <c r="FU80" s="1333"/>
      <c r="FV80" s="1333"/>
      <c r="FW80" s="1333"/>
      <c r="FX80" s="1333"/>
      <c r="FY80" s="1333"/>
      <c r="FZ80" s="1333"/>
      <c r="GA80" s="1333"/>
      <c r="GB80" s="1333"/>
      <c r="GC80" s="1333"/>
      <c r="GD80" s="1333"/>
      <c r="GE80" s="1333"/>
      <c r="GF80" s="1333"/>
      <c r="GG80" s="1333"/>
      <c r="GH80" s="1333"/>
      <c r="GI80" s="1333"/>
      <c r="GJ80" s="1333"/>
      <c r="GK80" s="1333"/>
      <c r="GL80" s="1333"/>
      <c r="GM80" s="1333"/>
      <c r="GN80" s="1333"/>
      <c r="GO80" s="1333"/>
      <c r="GP80" s="1333"/>
      <c r="GQ80" s="1333"/>
      <c r="GR80" s="1333"/>
      <c r="GS80" s="1333"/>
      <c r="GT80" s="1333"/>
      <c r="GU80" s="1333"/>
      <c r="GV80" s="1333"/>
      <c r="GW80" s="1333"/>
      <c r="GX80" s="1333"/>
    </row>
    <row r="81" spans="1:206" s="607" customFormat="1">
      <c r="A81" s="607">
        <f t="shared" si="2"/>
        <v>1977</v>
      </c>
      <c r="B81" s="607">
        <f t="shared" si="3"/>
        <v>1</v>
      </c>
      <c r="C81" s="1173">
        <v>28128</v>
      </c>
      <c r="D81" s="1709"/>
      <c r="E81" s="1117"/>
      <c r="F81" s="1117"/>
      <c r="G81" s="1117"/>
      <c r="H81" s="1117"/>
      <c r="I81" s="959">
        <v>121.61450878499998</v>
      </c>
      <c r="J81" s="959">
        <v>132.19499999999999</v>
      </c>
      <c r="K81" s="960"/>
      <c r="L81" s="1121"/>
      <c r="M81" s="916"/>
      <c r="N81" s="916"/>
      <c r="O81" s="1332"/>
      <c r="P81" s="1332"/>
      <c r="Q81" s="1332"/>
      <c r="R81" s="1332"/>
      <c r="S81" s="1332"/>
      <c r="T81" s="1332"/>
      <c r="U81" s="1120"/>
      <c r="V81" s="1120"/>
      <c r="W81" s="1120"/>
      <c r="X81" s="1120"/>
      <c r="Y81" s="1119"/>
      <c r="Z81" s="1119"/>
      <c r="AA81" s="1119"/>
      <c r="AB81" s="1119"/>
      <c r="AC81" s="1178"/>
      <c r="AD81" s="1178"/>
      <c r="AE81" s="1178"/>
      <c r="AF81" s="1178"/>
      <c r="AG81" s="1178"/>
      <c r="AH81" s="1178"/>
      <c r="AI81" s="1178"/>
      <c r="AJ81" s="1178"/>
      <c r="AK81" s="919"/>
      <c r="AL81" s="1104"/>
      <c r="AM81" s="919"/>
      <c r="AN81" s="1710"/>
      <c r="AO81" s="919"/>
      <c r="AP81" s="919"/>
      <c r="AS81" s="1167"/>
      <c r="AT81" s="1167"/>
      <c r="AU81" s="1168"/>
      <c r="AV81" s="1168"/>
      <c r="AW81" s="1169"/>
      <c r="AX81" s="1169"/>
      <c r="AY81" s="1169"/>
      <c r="AZ81" s="1169"/>
      <c r="BA81" s="1799" t="s">
        <v>0</v>
      </c>
      <c r="BB81" s="1802">
        <v>2009</v>
      </c>
      <c r="BC81" s="1799" t="s">
        <v>15</v>
      </c>
      <c r="BD81" s="1799">
        <v>1</v>
      </c>
      <c r="BE81" s="1800">
        <v>896632304.86999989</v>
      </c>
      <c r="BF81" s="1801">
        <v>0.27171352222257095</v>
      </c>
      <c r="BG81" s="1799"/>
      <c r="BH81" s="1799" t="s">
        <v>0</v>
      </c>
      <c r="BI81" s="1799" t="s">
        <v>315</v>
      </c>
      <c r="BJ81" s="1799" t="s">
        <v>32</v>
      </c>
      <c r="BK81" s="1799"/>
      <c r="BL81" s="1800">
        <v>407375942.05000067</v>
      </c>
      <c r="BM81" s="1801">
        <v>0.11511393411591463</v>
      </c>
      <c r="BN81" s="1799">
        <v>2010</v>
      </c>
      <c r="BO81" s="1684"/>
      <c r="BP81" s="1696"/>
      <c r="BQ81" s="1169"/>
      <c r="BR81" s="1169"/>
      <c r="BS81" s="1169"/>
      <c r="BT81" s="1169"/>
      <c r="BU81" s="1169"/>
      <c r="BV81" s="1169"/>
      <c r="BW81" s="1169"/>
      <c r="BX81" s="1169"/>
      <c r="BY81" s="1169"/>
      <c r="BZ81" s="1169"/>
      <c r="CA81" s="1169"/>
      <c r="CB81" s="1169"/>
      <c r="CC81" s="1169"/>
      <c r="CD81" s="1169"/>
      <c r="CE81" s="1169"/>
      <c r="CF81" s="1169"/>
      <c r="CG81" s="1169"/>
      <c r="CH81" s="1169"/>
      <c r="CI81" s="1169"/>
      <c r="CJ81" s="1169"/>
      <c r="CK81" s="1169"/>
      <c r="CL81" s="1169"/>
      <c r="CM81" s="1169"/>
      <c r="CN81" s="1169"/>
      <c r="CO81" s="1169"/>
      <c r="CP81" s="1169"/>
      <c r="CQ81" s="1169"/>
      <c r="CR81" s="1169"/>
      <c r="CS81" s="1169"/>
      <c r="CT81" s="1169"/>
      <c r="CU81" s="1169"/>
      <c r="CV81" s="1169"/>
      <c r="CW81" s="1169"/>
      <c r="CX81" s="1169"/>
      <c r="CY81" s="1169"/>
      <c r="CZ81" s="1169"/>
      <c r="DA81" s="1168"/>
      <c r="DB81" s="1168"/>
      <c r="DC81" s="1168"/>
      <c r="DD81" s="1168"/>
      <c r="DE81" s="1168"/>
      <c r="DF81" s="1168"/>
      <c r="DG81" s="1168"/>
      <c r="DH81" s="1168"/>
      <c r="DI81" s="1168"/>
      <c r="DJ81" s="1168"/>
      <c r="DK81" s="1168"/>
      <c r="DL81" s="1168"/>
      <c r="DM81" s="1168"/>
      <c r="DN81" s="1168"/>
      <c r="DO81" s="1168"/>
      <c r="DP81" s="1168"/>
      <c r="DQ81" s="1168"/>
      <c r="DR81" s="1168"/>
      <c r="DS81" s="1168"/>
      <c r="DT81" s="1168"/>
      <c r="DU81" s="1168"/>
      <c r="DV81" s="1168"/>
      <c r="DW81" s="1168"/>
      <c r="DX81" s="1168"/>
      <c r="DY81" s="1168"/>
      <c r="DZ81" s="1168"/>
      <c r="EA81" s="1168"/>
      <c r="EB81" s="1168"/>
      <c r="EC81" s="1168"/>
      <c r="ED81" s="1168"/>
      <c r="EE81" s="1168"/>
      <c r="EF81" s="1168"/>
      <c r="EG81" s="1168"/>
      <c r="EH81" s="1168"/>
      <c r="EI81" s="1170"/>
      <c r="EJ81" s="1170"/>
      <c r="EK81" s="1170"/>
      <c r="EL81" s="1170"/>
      <c r="EM81" s="1170"/>
      <c r="EN81" s="1170"/>
      <c r="EO81" s="1170"/>
      <c r="EP81" s="1170"/>
      <c r="EQ81" s="1170"/>
      <c r="ER81" s="1170"/>
      <c r="ES81" s="1333"/>
      <c r="ET81" s="1333"/>
      <c r="EU81" s="1333"/>
      <c r="EV81" s="1333"/>
      <c r="EW81" s="1333"/>
      <c r="EX81" s="1333"/>
      <c r="EY81" s="1333"/>
      <c r="EZ81" s="1333"/>
      <c r="FA81" s="1333"/>
      <c r="FB81" s="1333"/>
      <c r="FC81" s="1333"/>
      <c r="FD81" s="1333"/>
      <c r="FE81" s="1333"/>
      <c r="FF81" s="1333"/>
      <c r="FG81" s="1333"/>
      <c r="FH81" s="1333"/>
      <c r="FI81" s="1333"/>
      <c r="FJ81" s="1333"/>
      <c r="FK81" s="1333"/>
      <c r="FL81" s="1333"/>
      <c r="FM81" s="1333"/>
      <c r="FN81" s="1333"/>
      <c r="FO81" s="1333"/>
      <c r="FP81" s="1333"/>
      <c r="FQ81" s="1333"/>
      <c r="FR81" s="1333"/>
      <c r="FS81" s="1333"/>
      <c r="FT81" s="1333"/>
      <c r="FU81" s="1333"/>
      <c r="FV81" s="1333"/>
      <c r="FW81" s="1333"/>
      <c r="FX81" s="1333"/>
      <c r="FY81" s="1333"/>
      <c r="FZ81" s="1333"/>
      <c r="GA81" s="1333"/>
      <c r="GB81" s="1333"/>
      <c r="GC81" s="1333"/>
      <c r="GD81" s="1333"/>
      <c r="GE81" s="1333"/>
      <c r="GF81" s="1333"/>
      <c r="GG81" s="1333"/>
      <c r="GH81" s="1333"/>
      <c r="GI81" s="1333"/>
      <c r="GJ81" s="1333"/>
      <c r="GK81" s="1333"/>
      <c r="GL81" s="1333"/>
      <c r="GM81" s="1333"/>
      <c r="GN81" s="1333"/>
      <c r="GO81" s="1333"/>
      <c r="GP81" s="1333"/>
      <c r="GQ81" s="1333"/>
      <c r="GR81" s="1333"/>
      <c r="GS81" s="1333"/>
      <c r="GT81" s="1333"/>
      <c r="GU81" s="1333"/>
      <c r="GV81" s="1333"/>
      <c r="GW81" s="1333"/>
      <c r="GX81" s="1333"/>
    </row>
    <row r="82" spans="1:206" s="607" customFormat="1">
      <c r="A82" s="607">
        <f t="shared" si="2"/>
        <v>1977</v>
      </c>
      <c r="B82" s="607">
        <f t="shared" si="3"/>
        <v>1</v>
      </c>
      <c r="C82" s="1173">
        <v>28157</v>
      </c>
      <c r="D82" s="957"/>
      <c r="E82" s="920"/>
      <c r="F82" s="920"/>
      <c r="G82" s="920"/>
      <c r="H82" s="920"/>
      <c r="I82" s="954">
        <v>124.48248552000001</v>
      </c>
      <c r="J82" s="954">
        <v>136.52000000000001</v>
      </c>
      <c r="K82" s="954"/>
      <c r="L82" s="920"/>
      <c r="M82" s="917"/>
      <c r="N82" s="917"/>
      <c r="O82" s="1334"/>
      <c r="P82" s="1334"/>
      <c r="Q82" s="1334"/>
      <c r="R82" s="1334"/>
      <c r="S82" s="1334"/>
      <c r="T82" s="1334"/>
      <c r="U82" s="920"/>
      <c r="V82" s="920"/>
      <c r="W82" s="920"/>
      <c r="X82" s="920"/>
      <c r="Y82" s="920"/>
      <c r="Z82" s="920"/>
      <c r="AA82" s="920"/>
      <c r="AB82" s="920"/>
      <c r="AC82" s="920"/>
      <c r="AD82" s="920"/>
      <c r="AE82" s="920"/>
      <c r="AF82" s="920"/>
      <c r="AG82" s="920"/>
      <c r="AH82" s="920"/>
      <c r="AI82" s="920"/>
      <c r="AJ82" s="920"/>
      <c r="AK82" s="920"/>
      <c r="AL82" s="1105"/>
      <c r="AM82" s="920"/>
      <c r="AN82" s="1711"/>
      <c r="AO82" s="920"/>
      <c r="AP82" s="920"/>
      <c r="AS82" s="1167"/>
      <c r="AT82" s="1167"/>
      <c r="AU82" s="1168"/>
      <c r="AV82" s="1168"/>
      <c r="AW82" s="1169"/>
      <c r="AX82" s="1169"/>
      <c r="AY82" s="1169"/>
      <c r="AZ82" s="1169"/>
      <c r="BA82" s="1799" t="s">
        <v>0</v>
      </c>
      <c r="BB82" s="1802">
        <v>2009</v>
      </c>
      <c r="BC82" s="1799" t="s">
        <v>27</v>
      </c>
      <c r="BD82" s="1799">
        <v>2</v>
      </c>
      <c r="BE82" s="1800">
        <v>469136791.20999974</v>
      </c>
      <c r="BF82" s="1801">
        <v>0.14216620263570084</v>
      </c>
      <c r="BG82" s="1799"/>
      <c r="BH82" s="1799" t="s">
        <v>0</v>
      </c>
      <c r="BI82" s="1799" t="s">
        <v>315</v>
      </c>
      <c r="BJ82" s="1799" t="s">
        <v>249</v>
      </c>
      <c r="BK82" s="1799"/>
      <c r="BL82" s="1800">
        <v>3538893403.1200008</v>
      </c>
      <c r="BM82" s="1801"/>
      <c r="BN82" s="1799">
        <v>2010</v>
      </c>
      <c r="BO82" s="1684"/>
      <c r="BP82" s="1696"/>
      <c r="BQ82" s="1169"/>
      <c r="BR82" s="1169"/>
      <c r="BS82" s="1169"/>
      <c r="BT82" s="1169"/>
      <c r="BU82" s="1169"/>
      <c r="BV82" s="1169"/>
      <c r="BW82" s="1169"/>
      <c r="BX82" s="1169"/>
      <c r="BY82" s="1169"/>
      <c r="BZ82" s="1169"/>
      <c r="CA82" s="1169"/>
      <c r="CB82" s="1169"/>
      <c r="CC82" s="1169"/>
      <c r="CD82" s="1169"/>
      <c r="CE82" s="1169"/>
      <c r="CF82" s="1169"/>
      <c r="CG82" s="1169"/>
      <c r="CH82" s="1169"/>
      <c r="CI82" s="1169"/>
      <c r="CJ82" s="1169"/>
      <c r="CK82" s="1169"/>
      <c r="CL82" s="1169"/>
      <c r="CM82" s="1169"/>
      <c r="CN82" s="1169"/>
      <c r="CO82" s="1169"/>
      <c r="CP82" s="1169"/>
      <c r="CQ82" s="1169"/>
      <c r="CR82" s="1169"/>
      <c r="CS82" s="1169"/>
      <c r="CT82" s="1169"/>
      <c r="CU82" s="1169"/>
      <c r="CV82" s="1169"/>
      <c r="CW82" s="1169"/>
      <c r="CX82" s="1169"/>
      <c r="CY82" s="1169"/>
      <c r="CZ82" s="1169"/>
      <c r="DA82" s="1168"/>
      <c r="DB82" s="1168"/>
      <c r="DC82" s="1168"/>
      <c r="DD82" s="1168"/>
      <c r="DE82" s="1168"/>
      <c r="DF82" s="1168"/>
      <c r="DG82" s="1168"/>
      <c r="DH82" s="1168"/>
      <c r="DI82" s="1168"/>
      <c r="DJ82" s="1168"/>
      <c r="DK82" s="1168"/>
      <c r="DL82" s="1168"/>
      <c r="DM82" s="1168"/>
      <c r="DN82" s="1168"/>
      <c r="DO82" s="1168"/>
      <c r="DP82" s="1168"/>
      <c r="DQ82" s="1168"/>
      <c r="DR82" s="1168"/>
      <c r="DS82" s="1168"/>
      <c r="DT82" s="1168"/>
      <c r="DU82" s="1168"/>
      <c r="DV82" s="1168"/>
      <c r="DW82" s="1168"/>
      <c r="DX82" s="1168"/>
      <c r="DY82" s="1168"/>
      <c r="DZ82" s="1168"/>
      <c r="EA82" s="1168"/>
      <c r="EB82" s="1168"/>
      <c r="EC82" s="1168"/>
      <c r="ED82" s="1168"/>
      <c r="EE82" s="1168"/>
      <c r="EF82" s="1168"/>
      <c r="EG82" s="1168"/>
      <c r="EH82" s="1168"/>
      <c r="EI82" s="1170"/>
      <c r="EJ82" s="1170"/>
      <c r="EK82" s="1170"/>
      <c r="EL82" s="1170"/>
      <c r="EM82" s="1170"/>
      <c r="EN82" s="1170"/>
      <c r="EO82" s="1170"/>
      <c r="EP82" s="1170"/>
      <c r="EQ82" s="1170"/>
      <c r="ER82" s="1170"/>
      <c r="ES82" s="1333"/>
      <c r="ET82" s="1333"/>
      <c r="EU82" s="1333"/>
      <c r="EV82" s="1333"/>
      <c r="EW82" s="1333"/>
      <c r="EX82" s="1333"/>
      <c r="EY82" s="1333"/>
      <c r="EZ82" s="1333"/>
      <c r="FA82" s="1333"/>
      <c r="FB82" s="1333"/>
      <c r="FC82" s="1333"/>
      <c r="FD82" s="1333"/>
      <c r="FE82" s="1333"/>
      <c r="FF82" s="1333"/>
      <c r="FG82" s="1333"/>
      <c r="FH82" s="1333"/>
      <c r="FI82" s="1333"/>
      <c r="FJ82" s="1333"/>
      <c r="FK82" s="1333"/>
      <c r="FL82" s="1333"/>
      <c r="FM82" s="1333"/>
      <c r="FN82" s="1333"/>
      <c r="FO82" s="1333"/>
      <c r="FP82" s="1333"/>
      <c r="FQ82" s="1333"/>
      <c r="FR82" s="1333"/>
      <c r="FS82" s="1333"/>
      <c r="FT82" s="1333"/>
      <c r="FU82" s="1333"/>
      <c r="FV82" s="1333"/>
      <c r="FW82" s="1333"/>
      <c r="FX82" s="1333"/>
      <c r="FY82" s="1333"/>
      <c r="FZ82" s="1333"/>
      <c r="GA82" s="1333"/>
      <c r="GB82" s="1333"/>
      <c r="GC82" s="1333"/>
      <c r="GD82" s="1333"/>
      <c r="GE82" s="1333"/>
      <c r="GF82" s="1333"/>
      <c r="GG82" s="1333"/>
      <c r="GH82" s="1333"/>
      <c r="GI82" s="1333"/>
      <c r="GJ82" s="1333"/>
      <c r="GK82" s="1333"/>
      <c r="GL82" s="1333"/>
      <c r="GM82" s="1333"/>
      <c r="GN82" s="1333"/>
      <c r="GO82" s="1333"/>
      <c r="GP82" s="1333"/>
      <c r="GQ82" s="1333"/>
      <c r="GR82" s="1333"/>
      <c r="GS82" s="1333"/>
      <c r="GT82" s="1333"/>
      <c r="GU82" s="1333"/>
      <c r="GV82" s="1333"/>
      <c r="GW82" s="1333"/>
      <c r="GX82" s="1333"/>
    </row>
    <row r="83" spans="1:206" s="607" customFormat="1">
      <c r="A83" s="607">
        <f t="shared" si="2"/>
        <v>1977</v>
      </c>
      <c r="B83" s="607">
        <f t="shared" si="3"/>
        <v>1</v>
      </c>
      <c r="C83" s="1173">
        <v>28185</v>
      </c>
      <c r="D83" s="1709"/>
      <c r="E83" s="1117"/>
      <c r="F83" s="1117"/>
      <c r="G83" s="1117"/>
      <c r="H83" s="1117"/>
      <c r="I83" s="959">
        <v>134.51023509568373</v>
      </c>
      <c r="J83" s="959">
        <v>148.37826086960001</v>
      </c>
      <c r="K83" s="960"/>
      <c r="L83" s="1121"/>
      <c r="M83" s="916"/>
      <c r="N83" s="916"/>
      <c r="O83" s="1332"/>
      <c r="P83" s="1332"/>
      <c r="Q83" s="1332"/>
      <c r="R83" s="1332"/>
      <c r="S83" s="1332"/>
      <c r="T83" s="1332"/>
      <c r="U83" s="1120"/>
      <c r="V83" s="1120"/>
      <c r="W83" s="1120"/>
      <c r="X83" s="1120"/>
      <c r="Y83" s="1119"/>
      <c r="Z83" s="1119"/>
      <c r="AA83" s="1119"/>
      <c r="AB83" s="1119"/>
      <c r="AC83" s="1178"/>
      <c r="AD83" s="1178"/>
      <c r="AE83" s="1178"/>
      <c r="AF83" s="1178"/>
      <c r="AG83" s="1178"/>
      <c r="AH83" s="1178"/>
      <c r="AI83" s="1178"/>
      <c r="AJ83" s="1178"/>
      <c r="AK83" s="919"/>
      <c r="AL83" s="1104"/>
      <c r="AM83" s="919"/>
      <c r="AN83" s="1710"/>
      <c r="AO83" s="919"/>
      <c r="AP83" s="919"/>
      <c r="AS83" s="1167"/>
      <c r="AT83" s="1167"/>
      <c r="AU83" s="1168"/>
      <c r="AV83" s="1168"/>
      <c r="AW83" s="1169"/>
      <c r="AX83" s="1169"/>
      <c r="AY83" s="1169"/>
      <c r="AZ83" s="1169"/>
      <c r="BA83" s="1799" t="s">
        <v>0</v>
      </c>
      <c r="BB83" s="1802">
        <v>2009</v>
      </c>
      <c r="BC83" s="1799" t="s">
        <v>29</v>
      </c>
      <c r="BD83" s="1799">
        <v>3</v>
      </c>
      <c r="BE83" s="1800">
        <v>426591188.01999998</v>
      </c>
      <c r="BF83" s="1801">
        <v>0.129273274692942</v>
      </c>
      <c r="BG83" s="1799"/>
      <c r="BH83" s="1799" t="s">
        <v>0</v>
      </c>
      <c r="BI83" s="1799" t="s">
        <v>314</v>
      </c>
      <c r="BJ83" s="1799" t="s">
        <v>15</v>
      </c>
      <c r="BK83" s="1799">
        <v>1</v>
      </c>
      <c r="BL83" s="1800">
        <v>991854734.85736406</v>
      </c>
      <c r="BM83" s="1801">
        <v>0.27091550533034003</v>
      </c>
      <c r="BN83" s="1799">
        <v>2009</v>
      </c>
      <c r="BO83" s="1684"/>
      <c r="BP83" s="1697"/>
      <c r="BQ83" s="1169"/>
      <c r="BR83" s="1169"/>
      <c r="BS83" s="1169"/>
      <c r="BT83" s="1169"/>
      <c r="BU83" s="1169"/>
      <c r="BV83" s="1169"/>
      <c r="BW83" s="1169"/>
      <c r="BX83" s="1169"/>
      <c r="BY83" s="1169"/>
      <c r="BZ83" s="1169"/>
      <c r="CA83" s="1169"/>
      <c r="CB83" s="1169"/>
      <c r="CC83" s="1169"/>
      <c r="CD83" s="1169"/>
      <c r="CE83" s="1169"/>
      <c r="CF83" s="1169"/>
      <c r="CG83" s="1169"/>
      <c r="CH83" s="1169"/>
      <c r="CI83" s="1169"/>
      <c r="CJ83" s="1169"/>
      <c r="CK83" s="1169"/>
      <c r="CL83" s="1169"/>
      <c r="CM83" s="1169"/>
      <c r="CN83" s="1169"/>
      <c r="CO83" s="1169"/>
      <c r="CP83" s="1169"/>
      <c r="CQ83" s="1169"/>
      <c r="CR83" s="1169"/>
      <c r="CS83" s="1169"/>
      <c r="CT83" s="1169"/>
      <c r="CU83" s="1169"/>
      <c r="CV83" s="1169"/>
      <c r="CW83" s="1169"/>
      <c r="CX83" s="1169"/>
      <c r="CY83" s="1169"/>
      <c r="CZ83" s="1169"/>
      <c r="DA83" s="1168"/>
      <c r="DB83" s="1168"/>
      <c r="DC83" s="1168"/>
      <c r="DD83" s="1168"/>
      <c r="DE83" s="1168"/>
      <c r="DF83" s="1168"/>
      <c r="DG83" s="1168"/>
      <c r="DH83" s="1168"/>
      <c r="DI83" s="1168"/>
      <c r="DJ83" s="1168"/>
      <c r="DK83" s="1168"/>
      <c r="DL83" s="1168"/>
      <c r="DM83" s="1168"/>
      <c r="DN83" s="1168"/>
      <c r="DO83" s="1168"/>
      <c r="DP83" s="1168"/>
      <c r="DQ83" s="1168"/>
      <c r="DR83" s="1168"/>
      <c r="DS83" s="1168"/>
      <c r="DT83" s="1168"/>
      <c r="DU83" s="1168"/>
      <c r="DV83" s="1168"/>
      <c r="DW83" s="1168"/>
      <c r="DX83" s="1168"/>
      <c r="DY83" s="1168"/>
      <c r="DZ83" s="1168"/>
      <c r="EA83" s="1168"/>
      <c r="EB83" s="1168"/>
      <c r="EC83" s="1168"/>
      <c r="ED83" s="1168"/>
      <c r="EE83" s="1168"/>
      <c r="EF83" s="1168"/>
      <c r="EG83" s="1168"/>
      <c r="EH83" s="1168"/>
      <c r="EI83" s="1170"/>
      <c r="EJ83" s="1170"/>
      <c r="EK83" s="1170"/>
      <c r="EL83" s="1170"/>
      <c r="EM83" s="1170"/>
      <c r="EN83" s="1170"/>
      <c r="EO83" s="1170"/>
      <c r="EP83" s="1170"/>
      <c r="EQ83" s="1170"/>
      <c r="ER83" s="1170"/>
      <c r="ES83" s="1333"/>
      <c r="ET83" s="1333"/>
      <c r="EU83" s="1333"/>
      <c r="EV83" s="1333"/>
      <c r="EW83" s="1333"/>
      <c r="EX83" s="1333"/>
      <c r="EY83" s="1333"/>
      <c r="EZ83" s="1333"/>
      <c r="FA83" s="1333"/>
      <c r="FB83" s="1333"/>
      <c r="FC83" s="1333"/>
      <c r="FD83" s="1333"/>
      <c r="FE83" s="1333"/>
      <c r="FF83" s="1333"/>
      <c r="FG83" s="1333"/>
      <c r="FH83" s="1333"/>
      <c r="FI83" s="1333"/>
      <c r="FJ83" s="1333"/>
      <c r="FK83" s="1333"/>
      <c r="FL83" s="1333"/>
      <c r="FM83" s="1333"/>
      <c r="FN83" s="1333"/>
      <c r="FO83" s="1333"/>
      <c r="FP83" s="1333"/>
      <c r="FQ83" s="1333"/>
      <c r="FR83" s="1333"/>
      <c r="FS83" s="1333"/>
      <c r="FT83" s="1333"/>
      <c r="FU83" s="1333"/>
      <c r="FV83" s="1333"/>
      <c r="FW83" s="1333"/>
      <c r="FX83" s="1333"/>
      <c r="FY83" s="1333"/>
      <c r="FZ83" s="1333"/>
      <c r="GA83" s="1333"/>
      <c r="GB83" s="1333"/>
      <c r="GC83" s="1333"/>
      <c r="GD83" s="1333"/>
      <c r="GE83" s="1333"/>
      <c r="GF83" s="1333"/>
      <c r="GG83" s="1333"/>
      <c r="GH83" s="1333"/>
      <c r="GI83" s="1333"/>
      <c r="GJ83" s="1333"/>
      <c r="GK83" s="1333"/>
      <c r="GL83" s="1333"/>
      <c r="GM83" s="1333"/>
      <c r="GN83" s="1333"/>
      <c r="GO83" s="1333"/>
      <c r="GP83" s="1333"/>
      <c r="GQ83" s="1333"/>
      <c r="GR83" s="1333"/>
      <c r="GS83" s="1333"/>
      <c r="GT83" s="1333"/>
      <c r="GU83" s="1333"/>
      <c r="GV83" s="1333"/>
      <c r="GW83" s="1333"/>
      <c r="GX83" s="1333"/>
    </row>
    <row r="84" spans="1:206" s="607" customFormat="1">
      <c r="A84" s="607">
        <f t="shared" si="2"/>
        <v>1977</v>
      </c>
      <c r="B84" s="607">
        <f t="shared" si="3"/>
        <v>2</v>
      </c>
      <c r="C84" s="1173">
        <v>28216</v>
      </c>
      <c r="D84" s="957"/>
      <c r="E84" s="920"/>
      <c r="F84" s="920"/>
      <c r="G84" s="920"/>
      <c r="H84" s="920"/>
      <c r="I84" s="954">
        <v>135.05395793293286</v>
      </c>
      <c r="J84" s="954">
        <v>149.1671052632</v>
      </c>
      <c r="K84" s="954"/>
      <c r="L84" s="920"/>
      <c r="M84" s="917"/>
      <c r="N84" s="917"/>
      <c r="O84" s="1334"/>
      <c r="P84" s="1334"/>
      <c r="Q84" s="1334"/>
      <c r="R84" s="1334"/>
      <c r="S84" s="1334"/>
      <c r="T84" s="1334"/>
      <c r="U84" s="920"/>
      <c r="V84" s="920"/>
      <c r="W84" s="920"/>
      <c r="X84" s="920"/>
      <c r="Y84" s="920"/>
      <c r="Z84" s="920"/>
      <c r="AA84" s="920"/>
      <c r="AB84" s="920"/>
      <c r="AC84" s="920"/>
      <c r="AD84" s="920"/>
      <c r="AE84" s="920"/>
      <c r="AF84" s="920"/>
      <c r="AG84" s="920"/>
      <c r="AH84" s="920"/>
      <c r="AI84" s="920"/>
      <c r="AJ84" s="920"/>
      <c r="AK84" s="920"/>
      <c r="AL84" s="1105"/>
      <c r="AM84" s="920"/>
      <c r="AN84" s="1711"/>
      <c r="AO84" s="920"/>
      <c r="AP84" s="920"/>
      <c r="AS84" s="1167"/>
      <c r="AT84" s="1167"/>
      <c r="AU84" s="1168"/>
      <c r="AV84" s="1168"/>
      <c r="AW84" s="1169"/>
      <c r="AX84" s="1169"/>
      <c r="AY84" s="1169"/>
      <c r="AZ84" s="1169"/>
      <c r="BA84" s="1799" t="s">
        <v>0</v>
      </c>
      <c r="BB84" s="1802">
        <v>2009</v>
      </c>
      <c r="BC84" s="1799" t="s">
        <v>14</v>
      </c>
      <c r="BD84" s="1799">
        <v>4</v>
      </c>
      <c r="BE84" s="1800">
        <v>396678485.30999988</v>
      </c>
      <c r="BF84" s="1801">
        <v>0.12020859369897628</v>
      </c>
      <c r="BG84" s="1799"/>
      <c r="BH84" s="1799" t="s">
        <v>0</v>
      </c>
      <c r="BI84" s="1799" t="s">
        <v>314</v>
      </c>
      <c r="BJ84" s="1799" t="s">
        <v>27</v>
      </c>
      <c r="BK84" s="1799">
        <v>2</v>
      </c>
      <c r="BL84" s="1800">
        <v>520151374.25836855</v>
      </c>
      <c r="BM84" s="1801">
        <v>0.14207430529203618</v>
      </c>
      <c r="BN84" s="1799">
        <v>2009</v>
      </c>
      <c r="BO84" s="1684"/>
      <c r="BP84" s="1696"/>
      <c r="BQ84" s="1169"/>
      <c r="BR84" s="1169"/>
      <c r="BS84" s="1169"/>
      <c r="BT84" s="1169"/>
      <c r="BU84" s="1169"/>
      <c r="BV84" s="1169"/>
      <c r="BW84" s="1169"/>
      <c r="BX84" s="1169"/>
      <c r="BY84" s="1169"/>
      <c r="BZ84" s="1169"/>
      <c r="CA84" s="1169"/>
      <c r="CB84" s="1169"/>
      <c r="CC84" s="1169"/>
      <c r="CD84" s="1169"/>
      <c r="CE84" s="1169"/>
      <c r="CF84" s="1169"/>
      <c r="CG84" s="1169"/>
      <c r="CH84" s="1169"/>
      <c r="CI84" s="1169"/>
      <c r="CJ84" s="1169"/>
      <c r="CK84" s="1169"/>
      <c r="CL84" s="1169"/>
      <c r="CM84" s="1169"/>
      <c r="CN84" s="1169"/>
      <c r="CO84" s="1169"/>
      <c r="CP84" s="1169"/>
      <c r="CQ84" s="1169"/>
      <c r="CR84" s="1169"/>
      <c r="CS84" s="1169"/>
      <c r="CT84" s="1169"/>
      <c r="CU84" s="1169"/>
      <c r="CV84" s="1169"/>
      <c r="CW84" s="1169"/>
      <c r="CX84" s="1169"/>
      <c r="CY84" s="1169"/>
      <c r="CZ84" s="1169"/>
      <c r="DA84" s="1168"/>
      <c r="DB84" s="1168"/>
      <c r="DC84" s="1168"/>
      <c r="DD84" s="1168"/>
      <c r="DE84" s="1168"/>
      <c r="DF84" s="1168"/>
      <c r="DG84" s="1168"/>
      <c r="DH84" s="1168"/>
      <c r="DI84" s="1168"/>
      <c r="DJ84" s="1168"/>
      <c r="DK84" s="1168"/>
      <c r="DL84" s="1168"/>
      <c r="DM84" s="1168"/>
      <c r="DN84" s="1168"/>
      <c r="DO84" s="1168"/>
      <c r="DP84" s="1168"/>
      <c r="DQ84" s="1168"/>
      <c r="DR84" s="1168"/>
      <c r="DS84" s="1168"/>
      <c r="DT84" s="1168"/>
      <c r="DU84" s="1168"/>
      <c r="DV84" s="1168"/>
      <c r="DW84" s="1168"/>
      <c r="DX84" s="1168"/>
      <c r="DY84" s="1168"/>
      <c r="DZ84" s="1168"/>
      <c r="EA84" s="1168"/>
      <c r="EB84" s="1168"/>
      <c r="EC84" s="1168"/>
      <c r="ED84" s="1168"/>
      <c r="EE84" s="1168"/>
      <c r="EF84" s="1168"/>
      <c r="EG84" s="1168"/>
      <c r="EH84" s="1168"/>
      <c r="EI84" s="1170"/>
      <c r="EJ84" s="1170"/>
      <c r="EK84" s="1170"/>
      <c r="EL84" s="1170"/>
      <c r="EM84" s="1170"/>
      <c r="EN84" s="1170"/>
      <c r="EO84" s="1170"/>
      <c r="EP84" s="1170"/>
      <c r="EQ84" s="1170"/>
      <c r="ER84" s="1170"/>
      <c r="ES84" s="1333"/>
      <c r="ET84" s="1333"/>
      <c r="EU84" s="1333"/>
      <c r="EV84" s="1333"/>
      <c r="EW84" s="1333"/>
      <c r="EX84" s="1333"/>
      <c r="EY84" s="1333"/>
      <c r="EZ84" s="1333"/>
      <c r="FA84" s="1333"/>
      <c r="FB84" s="1333"/>
      <c r="FC84" s="1333"/>
      <c r="FD84" s="1333"/>
      <c r="FE84" s="1333"/>
      <c r="FF84" s="1333"/>
      <c r="FG84" s="1333"/>
      <c r="FH84" s="1333"/>
      <c r="FI84" s="1333"/>
      <c r="FJ84" s="1333"/>
      <c r="FK84" s="1333"/>
      <c r="FL84" s="1333"/>
      <c r="FM84" s="1333"/>
      <c r="FN84" s="1333"/>
      <c r="FO84" s="1333"/>
      <c r="FP84" s="1333"/>
      <c r="FQ84" s="1333"/>
      <c r="FR84" s="1333"/>
      <c r="FS84" s="1333"/>
      <c r="FT84" s="1333"/>
      <c r="FU84" s="1333"/>
      <c r="FV84" s="1333"/>
      <c r="FW84" s="1333"/>
      <c r="FX84" s="1333"/>
      <c r="FY84" s="1333"/>
      <c r="FZ84" s="1333"/>
      <c r="GA84" s="1333"/>
      <c r="GB84" s="1333"/>
      <c r="GC84" s="1333"/>
      <c r="GD84" s="1333"/>
      <c r="GE84" s="1333"/>
      <c r="GF84" s="1333"/>
      <c r="GG84" s="1333"/>
      <c r="GH84" s="1333"/>
      <c r="GI84" s="1333"/>
      <c r="GJ84" s="1333"/>
      <c r="GK84" s="1333"/>
      <c r="GL84" s="1333"/>
      <c r="GM84" s="1333"/>
      <c r="GN84" s="1333"/>
      <c r="GO84" s="1333"/>
      <c r="GP84" s="1333"/>
      <c r="GQ84" s="1333"/>
      <c r="GR84" s="1333"/>
      <c r="GS84" s="1333"/>
      <c r="GT84" s="1333"/>
      <c r="GU84" s="1333"/>
      <c r="GV84" s="1333"/>
      <c r="GW84" s="1333"/>
      <c r="GX84" s="1333"/>
    </row>
    <row r="85" spans="1:206" s="607" customFormat="1">
      <c r="A85" s="607">
        <f t="shared" si="2"/>
        <v>1977</v>
      </c>
      <c r="B85" s="607">
        <f t="shared" si="3"/>
        <v>2</v>
      </c>
      <c r="C85" s="1173">
        <v>28247</v>
      </c>
      <c r="D85" s="1709"/>
      <c r="E85" s="1117"/>
      <c r="F85" s="1117"/>
      <c r="G85" s="1117"/>
      <c r="H85" s="1117"/>
      <c r="I85" s="959">
        <v>132.7133323159338</v>
      </c>
      <c r="J85" s="959">
        <v>146.50227272730001</v>
      </c>
      <c r="K85" s="960"/>
      <c r="L85" s="1121"/>
      <c r="M85" s="916"/>
      <c r="N85" s="916"/>
      <c r="O85" s="1332"/>
      <c r="P85" s="1332"/>
      <c r="Q85" s="1332"/>
      <c r="R85" s="1332"/>
      <c r="S85" s="1332"/>
      <c r="T85" s="1332"/>
      <c r="U85" s="1120"/>
      <c r="V85" s="1120"/>
      <c r="W85" s="1120"/>
      <c r="X85" s="1120"/>
      <c r="Y85" s="1119"/>
      <c r="Z85" s="1119"/>
      <c r="AA85" s="1119"/>
      <c r="AB85" s="1119"/>
      <c r="AC85" s="1178"/>
      <c r="AD85" s="1178"/>
      <c r="AE85" s="1178"/>
      <c r="AF85" s="1178"/>
      <c r="AG85" s="1178"/>
      <c r="AH85" s="1178"/>
      <c r="AI85" s="1178"/>
      <c r="AJ85" s="1178"/>
      <c r="AK85" s="919"/>
      <c r="AL85" s="1104"/>
      <c r="AM85" s="919"/>
      <c r="AN85" s="1710"/>
      <c r="AO85" s="919"/>
      <c r="AP85" s="919"/>
      <c r="AS85" s="1167"/>
      <c r="AT85" s="1167"/>
      <c r="AU85" s="1168"/>
      <c r="AV85" s="1168"/>
      <c r="AW85" s="1169"/>
      <c r="AX85" s="1169"/>
      <c r="AY85" s="1169"/>
      <c r="AZ85" s="1169"/>
      <c r="BA85" s="1799" t="s">
        <v>0</v>
      </c>
      <c r="BB85" s="1802">
        <v>2009</v>
      </c>
      <c r="BC85" s="1799" t="s">
        <v>22</v>
      </c>
      <c r="BD85" s="1799">
        <v>5</v>
      </c>
      <c r="BE85" s="1800">
        <v>301851633.33000004</v>
      </c>
      <c r="BF85" s="1801">
        <v>9.1472468742492763E-2</v>
      </c>
      <c r="BG85" s="1799"/>
      <c r="BH85" s="1799" t="s">
        <v>0</v>
      </c>
      <c r="BI85" s="1799" t="s">
        <v>314</v>
      </c>
      <c r="BJ85" s="1799" t="s">
        <v>29</v>
      </c>
      <c r="BK85" s="1799">
        <v>3</v>
      </c>
      <c r="BL85" s="1800">
        <v>471967056.88397598</v>
      </c>
      <c r="BM85" s="1801">
        <v>0.12891322612215322</v>
      </c>
      <c r="BN85" s="1799">
        <v>2009</v>
      </c>
      <c r="BO85" s="1684"/>
      <c r="BP85" s="1696"/>
      <c r="BQ85" s="1169"/>
      <c r="BR85" s="1169"/>
      <c r="BS85" s="1169"/>
      <c r="BT85" s="1169"/>
      <c r="BU85" s="1169"/>
      <c r="BV85" s="1169"/>
      <c r="BW85" s="1169"/>
      <c r="BX85" s="1169"/>
      <c r="BY85" s="1169"/>
      <c r="BZ85" s="1169"/>
      <c r="CA85" s="1169"/>
      <c r="CB85" s="1169"/>
      <c r="CC85" s="1169"/>
      <c r="CD85" s="1169"/>
      <c r="CE85" s="1169"/>
      <c r="CF85" s="1169"/>
      <c r="CG85" s="1169"/>
      <c r="CH85" s="1169"/>
      <c r="CI85" s="1169"/>
      <c r="CJ85" s="1169"/>
      <c r="CK85" s="1169"/>
      <c r="CL85" s="1169"/>
      <c r="CM85" s="1169"/>
      <c r="CN85" s="1169"/>
      <c r="CO85" s="1169"/>
      <c r="CP85" s="1169"/>
      <c r="CQ85" s="1169"/>
      <c r="CR85" s="1169"/>
      <c r="CS85" s="1169"/>
      <c r="CT85" s="1169"/>
      <c r="CU85" s="1169"/>
      <c r="CV85" s="1169"/>
      <c r="CW85" s="1169"/>
      <c r="CX85" s="1169"/>
      <c r="CY85" s="1169"/>
      <c r="CZ85" s="1169"/>
      <c r="DA85" s="1168"/>
      <c r="DB85" s="1168"/>
      <c r="DC85" s="1168"/>
      <c r="DD85" s="1168"/>
      <c r="DE85" s="1168"/>
      <c r="DF85" s="1168"/>
      <c r="DG85" s="1168"/>
      <c r="DH85" s="1168"/>
      <c r="DI85" s="1168"/>
      <c r="DJ85" s="1168"/>
      <c r="DK85" s="1168"/>
      <c r="DL85" s="1168"/>
      <c r="DM85" s="1168"/>
      <c r="DN85" s="1168"/>
      <c r="DO85" s="1168"/>
      <c r="DP85" s="1168"/>
      <c r="DQ85" s="1168"/>
      <c r="DR85" s="1168"/>
      <c r="DS85" s="1168"/>
      <c r="DT85" s="1168"/>
      <c r="DU85" s="1168"/>
      <c r="DV85" s="1168"/>
      <c r="DW85" s="1168"/>
      <c r="DX85" s="1168"/>
      <c r="DY85" s="1168"/>
      <c r="DZ85" s="1168"/>
      <c r="EA85" s="1168"/>
      <c r="EB85" s="1168"/>
      <c r="EC85" s="1168"/>
      <c r="ED85" s="1168"/>
      <c r="EE85" s="1168"/>
      <c r="EF85" s="1168"/>
      <c r="EG85" s="1168"/>
      <c r="EH85" s="1168"/>
      <c r="EI85" s="1170"/>
      <c r="EJ85" s="1170"/>
      <c r="EK85" s="1170"/>
      <c r="EL85" s="1170"/>
      <c r="EM85" s="1170"/>
      <c r="EN85" s="1170"/>
      <c r="EO85" s="1170"/>
      <c r="EP85" s="1170"/>
      <c r="EQ85" s="1170"/>
      <c r="ER85" s="1170"/>
      <c r="ES85" s="1333"/>
      <c r="ET85" s="1333"/>
      <c r="EU85" s="1333"/>
      <c r="EV85" s="1333"/>
      <c r="EW85" s="1333"/>
      <c r="EX85" s="1333"/>
      <c r="EY85" s="1333"/>
      <c r="EZ85" s="1333"/>
      <c r="FA85" s="1333"/>
      <c r="FB85" s="1333"/>
      <c r="FC85" s="1333"/>
      <c r="FD85" s="1333"/>
      <c r="FE85" s="1333"/>
      <c r="FF85" s="1333"/>
      <c r="FG85" s="1333"/>
      <c r="FH85" s="1333"/>
      <c r="FI85" s="1333"/>
      <c r="FJ85" s="1333"/>
      <c r="FK85" s="1333"/>
      <c r="FL85" s="1333"/>
      <c r="FM85" s="1333"/>
      <c r="FN85" s="1333"/>
      <c r="FO85" s="1333"/>
      <c r="FP85" s="1333"/>
      <c r="FQ85" s="1333"/>
      <c r="FR85" s="1333"/>
      <c r="FS85" s="1333"/>
      <c r="FT85" s="1333"/>
      <c r="FU85" s="1333"/>
      <c r="FV85" s="1333"/>
      <c r="FW85" s="1333"/>
      <c r="FX85" s="1333"/>
      <c r="FY85" s="1333"/>
      <c r="FZ85" s="1333"/>
      <c r="GA85" s="1333"/>
      <c r="GB85" s="1333"/>
      <c r="GC85" s="1333"/>
      <c r="GD85" s="1333"/>
      <c r="GE85" s="1333"/>
      <c r="GF85" s="1333"/>
      <c r="GG85" s="1333"/>
      <c r="GH85" s="1333"/>
      <c r="GI85" s="1333"/>
      <c r="GJ85" s="1333"/>
      <c r="GK85" s="1333"/>
      <c r="GL85" s="1333"/>
      <c r="GM85" s="1333"/>
      <c r="GN85" s="1333"/>
      <c r="GO85" s="1333"/>
      <c r="GP85" s="1333"/>
      <c r="GQ85" s="1333"/>
      <c r="GR85" s="1333"/>
      <c r="GS85" s="1333"/>
      <c r="GT85" s="1333"/>
      <c r="GU85" s="1333"/>
      <c r="GV85" s="1333"/>
      <c r="GW85" s="1333"/>
      <c r="GX85" s="1333"/>
    </row>
    <row r="86" spans="1:206" s="607" customFormat="1">
      <c r="A86" s="607">
        <f t="shared" si="2"/>
        <v>1977</v>
      </c>
      <c r="B86" s="607">
        <f t="shared" si="3"/>
        <v>2</v>
      </c>
      <c r="C86" s="1173">
        <v>28277</v>
      </c>
      <c r="D86" s="957"/>
      <c r="E86" s="920"/>
      <c r="F86" s="920"/>
      <c r="G86" s="920"/>
      <c r="H86" s="920"/>
      <c r="I86" s="954">
        <v>126.17212195500001</v>
      </c>
      <c r="J86" s="954">
        <v>140.745</v>
      </c>
      <c r="K86" s="954"/>
      <c r="L86" s="920"/>
      <c r="M86" s="917"/>
      <c r="N86" s="917"/>
      <c r="O86" s="1334"/>
      <c r="P86" s="1334"/>
      <c r="Q86" s="1334"/>
      <c r="R86" s="1334"/>
      <c r="S86" s="1334"/>
      <c r="T86" s="1334"/>
      <c r="U86" s="920"/>
      <c r="V86" s="920"/>
      <c r="W86" s="920"/>
      <c r="X86" s="920"/>
      <c r="Y86" s="920"/>
      <c r="Z86" s="920"/>
      <c r="AA86" s="920"/>
      <c r="AB86" s="920"/>
      <c r="AC86" s="920"/>
      <c r="AD86" s="920"/>
      <c r="AE86" s="920"/>
      <c r="AF86" s="920"/>
      <c r="AG86" s="920"/>
      <c r="AH86" s="920"/>
      <c r="AI86" s="920"/>
      <c r="AJ86" s="920"/>
      <c r="AK86" s="920"/>
      <c r="AL86" s="1105"/>
      <c r="AM86" s="920"/>
      <c r="AN86" s="1711"/>
      <c r="AO86" s="920"/>
      <c r="AP86" s="920"/>
      <c r="AS86" s="1167"/>
      <c r="AT86" s="1167"/>
      <c r="AU86" s="1168"/>
      <c r="AV86" s="1168"/>
      <c r="AW86" s="1169"/>
      <c r="AX86" s="1169"/>
      <c r="AY86" s="1169"/>
      <c r="AZ86" s="1169"/>
      <c r="BA86" s="1799" t="s">
        <v>0</v>
      </c>
      <c r="BB86" s="1802">
        <v>2009</v>
      </c>
      <c r="BC86" s="1799" t="s">
        <v>431</v>
      </c>
      <c r="BD86" s="1799">
        <v>6</v>
      </c>
      <c r="BE86" s="1800">
        <v>203790049.66000006</v>
      </c>
      <c r="BF86" s="1801">
        <v>6.1756097662641729E-2</v>
      </c>
      <c r="BG86" s="1799"/>
      <c r="BH86" s="1799" t="s">
        <v>0</v>
      </c>
      <c r="BI86" s="1799" t="s">
        <v>314</v>
      </c>
      <c r="BJ86" s="1799" t="s">
        <v>14</v>
      </c>
      <c r="BK86" s="1799">
        <v>4</v>
      </c>
      <c r="BL86" s="1800">
        <v>438872584.56960142</v>
      </c>
      <c r="BM86" s="1801">
        <v>0.11987379184251641</v>
      </c>
      <c r="BN86" s="1799">
        <v>2009</v>
      </c>
      <c r="BO86" s="1684"/>
      <c r="BP86" s="1697"/>
      <c r="BQ86" s="1169"/>
      <c r="BR86" s="1169"/>
      <c r="BS86" s="1169"/>
      <c r="BT86" s="1169"/>
      <c r="BU86" s="1169"/>
      <c r="BV86" s="1169"/>
      <c r="BW86" s="1169"/>
      <c r="BX86" s="1169"/>
      <c r="BY86" s="1169"/>
      <c r="BZ86" s="1169"/>
      <c r="CA86" s="1169"/>
      <c r="CB86" s="1169"/>
      <c r="CC86" s="1169"/>
      <c r="CD86" s="1169"/>
      <c r="CE86" s="1169"/>
      <c r="CF86" s="1169"/>
      <c r="CG86" s="1169"/>
      <c r="CH86" s="1169"/>
      <c r="CI86" s="1169"/>
      <c r="CJ86" s="1169"/>
      <c r="CK86" s="1169"/>
      <c r="CL86" s="1169"/>
      <c r="CM86" s="1169"/>
      <c r="CN86" s="1169"/>
      <c r="CO86" s="1169"/>
      <c r="CP86" s="1169"/>
      <c r="CQ86" s="1169"/>
      <c r="CR86" s="1169"/>
      <c r="CS86" s="1169"/>
      <c r="CT86" s="1169"/>
      <c r="CU86" s="1169"/>
      <c r="CV86" s="1169"/>
      <c r="CW86" s="1169"/>
      <c r="CX86" s="1169"/>
      <c r="CY86" s="1169"/>
      <c r="CZ86" s="1169"/>
      <c r="DA86" s="1168"/>
      <c r="DB86" s="1168"/>
      <c r="DC86" s="1168"/>
      <c r="DD86" s="1168"/>
      <c r="DE86" s="1168"/>
      <c r="DF86" s="1168"/>
      <c r="DG86" s="1168"/>
      <c r="DH86" s="1168"/>
      <c r="DI86" s="1168"/>
      <c r="DJ86" s="1168"/>
      <c r="DK86" s="1168"/>
      <c r="DL86" s="1168"/>
      <c r="DM86" s="1168"/>
      <c r="DN86" s="1168"/>
      <c r="DO86" s="1168"/>
      <c r="DP86" s="1168"/>
      <c r="DQ86" s="1168"/>
      <c r="DR86" s="1168"/>
      <c r="DS86" s="1168"/>
      <c r="DT86" s="1168"/>
      <c r="DU86" s="1168"/>
      <c r="DV86" s="1168"/>
      <c r="DW86" s="1168"/>
      <c r="DX86" s="1168"/>
      <c r="DY86" s="1168"/>
      <c r="DZ86" s="1168"/>
      <c r="EA86" s="1168"/>
      <c r="EB86" s="1168"/>
      <c r="EC86" s="1168"/>
      <c r="ED86" s="1168"/>
      <c r="EE86" s="1168"/>
      <c r="EF86" s="1168"/>
      <c r="EG86" s="1168"/>
      <c r="EH86" s="1168"/>
      <c r="EI86" s="1170"/>
      <c r="EJ86" s="1170"/>
      <c r="EK86" s="1170"/>
      <c r="EL86" s="1170"/>
      <c r="EM86" s="1170"/>
      <c r="EN86" s="1170"/>
      <c r="EO86" s="1170"/>
      <c r="EP86" s="1170"/>
      <c r="EQ86" s="1170"/>
      <c r="ER86" s="1170"/>
      <c r="ES86" s="1333"/>
      <c r="ET86" s="1333"/>
      <c r="EU86" s="1333"/>
      <c r="EV86" s="1333"/>
      <c r="EW86" s="1333"/>
      <c r="EX86" s="1333"/>
      <c r="EY86" s="1333"/>
      <c r="EZ86" s="1333"/>
      <c r="FA86" s="1333"/>
      <c r="FB86" s="1333"/>
      <c r="FC86" s="1333"/>
      <c r="FD86" s="1333"/>
      <c r="FE86" s="1333"/>
      <c r="FF86" s="1333"/>
      <c r="FG86" s="1333"/>
      <c r="FH86" s="1333"/>
      <c r="FI86" s="1333"/>
      <c r="FJ86" s="1333"/>
      <c r="FK86" s="1333"/>
      <c r="FL86" s="1333"/>
      <c r="FM86" s="1333"/>
      <c r="FN86" s="1333"/>
      <c r="FO86" s="1333"/>
      <c r="FP86" s="1333"/>
      <c r="FQ86" s="1333"/>
      <c r="FR86" s="1333"/>
      <c r="FS86" s="1333"/>
      <c r="FT86" s="1333"/>
      <c r="FU86" s="1333"/>
      <c r="FV86" s="1333"/>
      <c r="FW86" s="1333"/>
      <c r="FX86" s="1333"/>
      <c r="FY86" s="1333"/>
      <c r="FZ86" s="1333"/>
      <c r="GA86" s="1333"/>
      <c r="GB86" s="1333"/>
      <c r="GC86" s="1333"/>
      <c r="GD86" s="1333"/>
      <c r="GE86" s="1333"/>
      <c r="GF86" s="1333"/>
      <c r="GG86" s="1333"/>
      <c r="GH86" s="1333"/>
      <c r="GI86" s="1333"/>
      <c r="GJ86" s="1333"/>
      <c r="GK86" s="1333"/>
      <c r="GL86" s="1333"/>
      <c r="GM86" s="1333"/>
      <c r="GN86" s="1333"/>
      <c r="GO86" s="1333"/>
      <c r="GP86" s="1333"/>
      <c r="GQ86" s="1333"/>
      <c r="GR86" s="1333"/>
      <c r="GS86" s="1333"/>
      <c r="GT86" s="1333"/>
      <c r="GU86" s="1333"/>
      <c r="GV86" s="1333"/>
      <c r="GW86" s="1333"/>
      <c r="GX86" s="1333"/>
    </row>
    <row r="87" spans="1:206" s="607" customFormat="1">
      <c r="A87" s="607">
        <f t="shared" si="2"/>
        <v>1977</v>
      </c>
      <c r="B87" s="607">
        <f t="shared" si="3"/>
        <v>3</v>
      </c>
      <c r="C87" s="1173">
        <v>28307</v>
      </c>
      <c r="D87" s="1709"/>
      <c r="E87" s="1117"/>
      <c r="F87" s="1117"/>
      <c r="G87" s="1117"/>
      <c r="H87" s="1117"/>
      <c r="I87" s="959">
        <v>127.77924967496182</v>
      </c>
      <c r="J87" s="959">
        <v>143.43214285709999</v>
      </c>
      <c r="K87" s="960"/>
      <c r="L87" s="1121"/>
      <c r="M87" s="916"/>
      <c r="N87" s="916"/>
      <c r="O87" s="1332"/>
      <c r="P87" s="1332"/>
      <c r="Q87" s="1332"/>
      <c r="R87" s="1332"/>
      <c r="S87" s="1332"/>
      <c r="T87" s="1332"/>
      <c r="U87" s="1120"/>
      <c r="V87" s="1120"/>
      <c r="W87" s="1120"/>
      <c r="X87" s="1120"/>
      <c r="Y87" s="1119"/>
      <c r="Z87" s="1119"/>
      <c r="AA87" s="1119"/>
      <c r="AB87" s="1119"/>
      <c r="AC87" s="1178"/>
      <c r="AD87" s="1178"/>
      <c r="AE87" s="1178"/>
      <c r="AF87" s="1178"/>
      <c r="AG87" s="1178"/>
      <c r="AH87" s="1178"/>
      <c r="AI87" s="1178"/>
      <c r="AJ87" s="1178"/>
      <c r="AK87" s="919"/>
      <c r="AL87" s="1104"/>
      <c r="AM87" s="919"/>
      <c r="AN87" s="1710"/>
      <c r="AO87" s="919"/>
      <c r="AP87" s="919"/>
      <c r="AS87" s="1167"/>
      <c r="AT87" s="1167"/>
      <c r="AU87" s="1168"/>
      <c r="AV87" s="1168"/>
      <c r="AW87" s="1169"/>
      <c r="AX87" s="1169"/>
      <c r="AY87" s="1169"/>
      <c r="AZ87" s="1169"/>
      <c r="BA87" s="1799" t="s">
        <v>0</v>
      </c>
      <c r="BB87" s="1802">
        <v>2009</v>
      </c>
      <c r="BC87" s="1799" t="s">
        <v>13</v>
      </c>
      <c r="BD87" s="1799">
        <v>7</v>
      </c>
      <c r="BE87" s="1800">
        <v>96084067.070000008</v>
      </c>
      <c r="BF87" s="1801">
        <v>2.9117108709176696E-2</v>
      </c>
      <c r="BG87" s="1799"/>
      <c r="BH87" s="1799" t="s">
        <v>0</v>
      </c>
      <c r="BI87" s="1799" t="s">
        <v>314</v>
      </c>
      <c r="BJ87" s="1799" t="s">
        <v>22</v>
      </c>
      <c r="BK87" s="1799">
        <v>5</v>
      </c>
      <c r="BL87" s="1800">
        <v>333959141.67758656</v>
      </c>
      <c r="BM87" s="1801">
        <v>9.1217701995727138E-2</v>
      </c>
      <c r="BN87" s="1799">
        <v>2009</v>
      </c>
      <c r="BO87" s="1684"/>
      <c r="BP87" s="1696"/>
      <c r="BQ87" s="1169"/>
      <c r="BR87" s="1169"/>
      <c r="BS87" s="1169"/>
      <c r="BT87" s="1169"/>
      <c r="BU87" s="1169"/>
      <c r="BV87" s="1169"/>
      <c r="BW87" s="1169"/>
      <c r="BX87" s="1169"/>
      <c r="BY87" s="1169"/>
      <c r="BZ87" s="1169"/>
      <c r="CA87" s="1169"/>
      <c r="CB87" s="1169"/>
      <c r="CC87" s="1169"/>
      <c r="CD87" s="1169"/>
      <c r="CE87" s="1169"/>
      <c r="CF87" s="1169"/>
      <c r="CG87" s="1169"/>
      <c r="CH87" s="1169"/>
      <c r="CI87" s="1169"/>
      <c r="CJ87" s="1169"/>
      <c r="CK87" s="1169"/>
      <c r="CL87" s="1169"/>
      <c r="CM87" s="1169"/>
      <c r="CN87" s="1169"/>
      <c r="CO87" s="1169"/>
      <c r="CP87" s="1169"/>
      <c r="CQ87" s="1169"/>
      <c r="CR87" s="1169"/>
      <c r="CS87" s="1169"/>
      <c r="CT87" s="1169"/>
      <c r="CU87" s="1169"/>
      <c r="CV87" s="1169"/>
      <c r="CW87" s="1169"/>
      <c r="CX87" s="1169"/>
      <c r="CY87" s="1169"/>
      <c r="CZ87" s="1169"/>
      <c r="DA87" s="1168"/>
      <c r="DB87" s="1168"/>
      <c r="DC87" s="1168"/>
      <c r="DD87" s="1168"/>
      <c r="DE87" s="1168"/>
      <c r="DF87" s="1168"/>
      <c r="DG87" s="1168"/>
      <c r="DH87" s="1168"/>
      <c r="DI87" s="1168"/>
      <c r="DJ87" s="1168"/>
      <c r="DK87" s="1168"/>
      <c r="DL87" s="1168"/>
      <c r="DM87" s="1168"/>
      <c r="DN87" s="1168"/>
      <c r="DO87" s="1168"/>
      <c r="DP87" s="1168"/>
      <c r="DQ87" s="1168"/>
      <c r="DR87" s="1168"/>
      <c r="DS87" s="1168"/>
      <c r="DT87" s="1168"/>
      <c r="DU87" s="1168"/>
      <c r="DV87" s="1168"/>
      <c r="DW87" s="1168"/>
      <c r="DX87" s="1168"/>
      <c r="DY87" s="1168"/>
      <c r="DZ87" s="1168"/>
      <c r="EA87" s="1168"/>
      <c r="EB87" s="1168"/>
      <c r="EC87" s="1168"/>
      <c r="ED87" s="1168"/>
      <c r="EE87" s="1168"/>
      <c r="EF87" s="1168"/>
      <c r="EG87" s="1168"/>
      <c r="EH87" s="1168"/>
      <c r="EI87" s="1170"/>
      <c r="EJ87" s="1170"/>
      <c r="EK87" s="1170"/>
      <c r="EL87" s="1170"/>
      <c r="EM87" s="1170"/>
      <c r="EN87" s="1170"/>
      <c r="EO87" s="1170"/>
      <c r="EP87" s="1170"/>
      <c r="EQ87" s="1170"/>
      <c r="ER87" s="1170"/>
      <c r="ES87" s="1333"/>
      <c r="ET87" s="1333"/>
      <c r="EU87" s="1333"/>
      <c r="EV87" s="1333"/>
      <c r="EW87" s="1333"/>
      <c r="EX87" s="1333"/>
      <c r="EY87" s="1333"/>
      <c r="EZ87" s="1333"/>
      <c r="FA87" s="1333"/>
      <c r="FB87" s="1333"/>
      <c r="FC87" s="1333"/>
      <c r="FD87" s="1333"/>
      <c r="FE87" s="1333"/>
      <c r="FF87" s="1333"/>
      <c r="FG87" s="1333"/>
      <c r="FH87" s="1333"/>
      <c r="FI87" s="1333"/>
      <c r="FJ87" s="1333"/>
      <c r="FK87" s="1333"/>
      <c r="FL87" s="1333"/>
      <c r="FM87" s="1333"/>
      <c r="FN87" s="1333"/>
      <c r="FO87" s="1333"/>
      <c r="FP87" s="1333"/>
      <c r="FQ87" s="1333"/>
      <c r="FR87" s="1333"/>
      <c r="FS87" s="1333"/>
      <c r="FT87" s="1333"/>
      <c r="FU87" s="1333"/>
      <c r="FV87" s="1333"/>
      <c r="FW87" s="1333"/>
      <c r="FX87" s="1333"/>
      <c r="FY87" s="1333"/>
      <c r="FZ87" s="1333"/>
      <c r="GA87" s="1333"/>
      <c r="GB87" s="1333"/>
      <c r="GC87" s="1333"/>
      <c r="GD87" s="1333"/>
      <c r="GE87" s="1333"/>
      <c r="GF87" s="1333"/>
      <c r="GG87" s="1333"/>
      <c r="GH87" s="1333"/>
      <c r="GI87" s="1333"/>
      <c r="GJ87" s="1333"/>
      <c r="GK87" s="1333"/>
      <c r="GL87" s="1333"/>
      <c r="GM87" s="1333"/>
      <c r="GN87" s="1333"/>
      <c r="GO87" s="1333"/>
      <c r="GP87" s="1333"/>
      <c r="GQ87" s="1333"/>
      <c r="GR87" s="1333"/>
      <c r="GS87" s="1333"/>
      <c r="GT87" s="1333"/>
      <c r="GU87" s="1333"/>
      <c r="GV87" s="1333"/>
      <c r="GW87" s="1333"/>
      <c r="GX87" s="1333"/>
    </row>
    <row r="88" spans="1:206" s="607" customFormat="1">
      <c r="A88" s="607">
        <f t="shared" si="2"/>
        <v>1977</v>
      </c>
      <c r="B88" s="607">
        <f t="shared" si="3"/>
        <v>3</v>
      </c>
      <c r="C88" s="1173">
        <v>28338</v>
      </c>
      <c r="D88" s="957"/>
      <c r="E88" s="920"/>
      <c r="F88" s="920"/>
      <c r="G88" s="920"/>
      <c r="H88" s="920"/>
      <c r="I88" s="954">
        <v>131.19023749430994</v>
      </c>
      <c r="J88" s="954">
        <v>144.97840909089999</v>
      </c>
      <c r="K88" s="954"/>
      <c r="L88" s="920"/>
      <c r="M88" s="917"/>
      <c r="N88" s="917"/>
      <c r="O88" s="1334"/>
      <c r="P88" s="1334"/>
      <c r="Q88" s="1334"/>
      <c r="R88" s="1334"/>
      <c r="S88" s="1334"/>
      <c r="T88" s="1334"/>
      <c r="U88" s="920"/>
      <c r="V88" s="920"/>
      <c r="W88" s="920"/>
      <c r="X88" s="920"/>
      <c r="Y88" s="920"/>
      <c r="Z88" s="920"/>
      <c r="AA88" s="920"/>
      <c r="AB88" s="920"/>
      <c r="AC88" s="920"/>
      <c r="AD88" s="920"/>
      <c r="AE88" s="920"/>
      <c r="AF88" s="920"/>
      <c r="AG88" s="920"/>
      <c r="AH88" s="920"/>
      <c r="AI88" s="920"/>
      <c r="AJ88" s="920"/>
      <c r="AK88" s="920"/>
      <c r="AL88" s="1105"/>
      <c r="AM88" s="920"/>
      <c r="AN88" s="1711"/>
      <c r="AO88" s="920"/>
      <c r="AP88" s="920"/>
      <c r="AS88" s="1167"/>
      <c r="AT88" s="1167"/>
      <c r="AU88" s="1168"/>
      <c r="AV88" s="1168"/>
      <c r="AW88" s="1169"/>
      <c r="AX88" s="1169"/>
      <c r="AY88" s="1169"/>
      <c r="AZ88" s="1169"/>
      <c r="BA88" s="1799" t="s">
        <v>0</v>
      </c>
      <c r="BB88" s="1802">
        <v>2009</v>
      </c>
      <c r="BC88" s="1799" t="s">
        <v>19</v>
      </c>
      <c r="BD88" s="1799">
        <v>8</v>
      </c>
      <c r="BE88" s="1800">
        <v>90246627.790000007</v>
      </c>
      <c r="BF88" s="1801">
        <v>2.7348143684255855E-2</v>
      </c>
      <c r="BG88" s="1799"/>
      <c r="BH88" s="1799" t="s">
        <v>0</v>
      </c>
      <c r="BI88" s="1799" t="s">
        <v>314</v>
      </c>
      <c r="BJ88" s="1799" t="s">
        <v>447</v>
      </c>
      <c r="BK88" s="1799">
        <v>6</v>
      </c>
      <c r="BL88" s="1800">
        <v>225466893.50685829</v>
      </c>
      <c r="BM88" s="1801">
        <v>6.158409618164154E-2</v>
      </c>
      <c r="BN88" s="1799">
        <v>2009</v>
      </c>
      <c r="BO88" s="1684"/>
      <c r="BP88" s="1696"/>
      <c r="BQ88" s="1169"/>
      <c r="BR88" s="1169"/>
      <c r="BS88" s="1169"/>
      <c r="BT88" s="1169"/>
      <c r="BU88" s="1169"/>
      <c r="BV88" s="1169"/>
      <c r="BW88" s="1169"/>
      <c r="BX88" s="1169"/>
      <c r="BY88" s="1169"/>
      <c r="BZ88" s="1169"/>
      <c r="CA88" s="1169"/>
      <c r="CB88" s="1169"/>
      <c r="CC88" s="1169"/>
      <c r="CD88" s="1169"/>
      <c r="CE88" s="1169"/>
      <c r="CF88" s="1169"/>
      <c r="CG88" s="1169"/>
      <c r="CH88" s="1169"/>
      <c r="CI88" s="1169"/>
      <c r="CJ88" s="1169"/>
      <c r="CK88" s="1169"/>
      <c r="CL88" s="1169"/>
      <c r="CM88" s="1169"/>
      <c r="CN88" s="1169"/>
      <c r="CO88" s="1169"/>
      <c r="CP88" s="1169"/>
      <c r="CQ88" s="1169"/>
      <c r="CR88" s="1169"/>
      <c r="CS88" s="1169"/>
      <c r="CT88" s="1169"/>
      <c r="CU88" s="1169"/>
      <c r="CV88" s="1169"/>
      <c r="CW88" s="1169"/>
      <c r="CX88" s="1169"/>
      <c r="CY88" s="1169"/>
      <c r="CZ88" s="1169"/>
      <c r="DA88" s="1168"/>
      <c r="DB88" s="1168"/>
      <c r="DC88" s="1168"/>
      <c r="DD88" s="1168"/>
      <c r="DE88" s="1168"/>
      <c r="DF88" s="1168"/>
      <c r="DG88" s="1168"/>
      <c r="DH88" s="1168"/>
      <c r="DI88" s="1168"/>
      <c r="DJ88" s="1168"/>
      <c r="DK88" s="1168"/>
      <c r="DL88" s="1168"/>
      <c r="DM88" s="1168"/>
      <c r="DN88" s="1168"/>
      <c r="DO88" s="1168"/>
      <c r="DP88" s="1168"/>
      <c r="DQ88" s="1168"/>
      <c r="DR88" s="1168"/>
      <c r="DS88" s="1168"/>
      <c r="DT88" s="1168"/>
      <c r="DU88" s="1168"/>
      <c r="DV88" s="1168"/>
      <c r="DW88" s="1168"/>
      <c r="DX88" s="1168"/>
      <c r="DY88" s="1168"/>
      <c r="DZ88" s="1168"/>
      <c r="EA88" s="1168"/>
      <c r="EB88" s="1168"/>
      <c r="EC88" s="1168"/>
      <c r="ED88" s="1168"/>
      <c r="EE88" s="1168"/>
      <c r="EF88" s="1168"/>
      <c r="EG88" s="1168"/>
      <c r="EH88" s="1168"/>
      <c r="EI88" s="1170"/>
      <c r="EJ88" s="1170"/>
      <c r="EK88" s="1170"/>
      <c r="EL88" s="1170"/>
      <c r="EM88" s="1170"/>
      <c r="EN88" s="1170"/>
      <c r="EO88" s="1170"/>
      <c r="EP88" s="1170"/>
      <c r="EQ88" s="1170"/>
      <c r="ER88" s="1170"/>
      <c r="ES88" s="1333"/>
      <c r="ET88" s="1333"/>
      <c r="EU88" s="1333"/>
      <c r="EV88" s="1333"/>
      <c r="EW88" s="1333"/>
      <c r="EX88" s="1333"/>
      <c r="EY88" s="1333"/>
      <c r="EZ88" s="1333"/>
      <c r="FA88" s="1333"/>
      <c r="FB88" s="1333"/>
      <c r="FC88" s="1333"/>
      <c r="FD88" s="1333"/>
      <c r="FE88" s="1333"/>
      <c r="FF88" s="1333"/>
      <c r="FG88" s="1333"/>
      <c r="FH88" s="1333"/>
      <c r="FI88" s="1333"/>
      <c r="FJ88" s="1333"/>
      <c r="FK88" s="1333"/>
      <c r="FL88" s="1333"/>
      <c r="FM88" s="1333"/>
      <c r="FN88" s="1333"/>
      <c r="FO88" s="1333"/>
      <c r="FP88" s="1333"/>
      <c r="FQ88" s="1333"/>
      <c r="FR88" s="1333"/>
      <c r="FS88" s="1333"/>
      <c r="FT88" s="1333"/>
      <c r="FU88" s="1333"/>
      <c r="FV88" s="1333"/>
      <c r="FW88" s="1333"/>
      <c r="FX88" s="1333"/>
      <c r="FY88" s="1333"/>
      <c r="FZ88" s="1333"/>
      <c r="GA88" s="1333"/>
      <c r="GB88" s="1333"/>
      <c r="GC88" s="1333"/>
      <c r="GD88" s="1333"/>
      <c r="GE88" s="1333"/>
      <c r="GF88" s="1333"/>
      <c r="GG88" s="1333"/>
      <c r="GH88" s="1333"/>
      <c r="GI88" s="1333"/>
      <c r="GJ88" s="1333"/>
      <c r="GK88" s="1333"/>
      <c r="GL88" s="1333"/>
      <c r="GM88" s="1333"/>
      <c r="GN88" s="1333"/>
      <c r="GO88" s="1333"/>
      <c r="GP88" s="1333"/>
      <c r="GQ88" s="1333"/>
      <c r="GR88" s="1333"/>
      <c r="GS88" s="1333"/>
      <c r="GT88" s="1333"/>
      <c r="GU88" s="1333"/>
      <c r="GV88" s="1333"/>
      <c r="GW88" s="1333"/>
      <c r="GX88" s="1333"/>
    </row>
    <row r="89" spans="1:206" s="607" customFormat="1">
      <c r="A89" s="607">
        <f t="shared" si="2"/>
        <v>1977</v>
      </c>
      <c r="B89" s="607">
        <f t="shared" si="3"/>
        <v>3</v>
      </c>
      <c r="C89" s="1173">
        <v>28369</v>
      </c>
      <c r="D89" s="1709"/>
      <c r="E89" s="1117"/>
      <c r="F89" s="1117"/>
      <c r="G89" s="1117"/>
      <c r="H89" s="1117"/>
      <c r="I89" s="959">
        <v>135.20428868866099</v>
      </c>
      <c r="J89" s="959">
        <v>149.75227272730001</v>
      </c>
      <c r="K89" s="960"/>
      <c r="L89" s="1121"/>
      <c r="M89" s="916"/>
      <c r="N89" s="916"/>
      <c r="O89" s="1332"/>
      <c r="P89" s="1332"/>
      <c r="Q89" s="1332"/>
      <c r="R89" s="1332"/>
      <c r="S89" s="1332"/>
      <c r="T89" s="1332"/>
      <c r="U89" s="1120"/>
      <c r="V89" s="1120"/>
      <c r="W89" s="1120"/>
      <c r="X89" s="1120"/>
      <c r="Y89" s="1119"/>
      <c r="Z89" s="1119"/>
      <c r="AA89" s="1119"/>
      <c r="AB89" s="1119"/>
      <c r="AC89" s="1178"/>
      <c r="AD89" s="1178"/>
      <c r="AE89" s="1178"/>
      <c r="AF89" s="1178"/>
      <c r="AG89" s="1178"/>
      <c r="AH89" s="1178"/>
      <c r="AI89" s="1178"/>
      <c r="AJ89" s="1178"/>
      <c r="AK89" s="919"/>
      <c r="AL89" s="1104"/>
      <c r="AM89" s="919"/>
      <c r="AN89" s="1710"/>
      <c r="AO89" s="919"/>
      <c r="AP89" s="919"/>
      <c r="AS89" s="1167"/>
      <c r="AT89" s="1167"/>
      <c r="AU89" s="1168"/>
      <c r="AV89" s="1168"/>
      <c r="AW89" s="1169"/>
      <c r="AX89" s="1169"/>
      <c r="AY89" s="1169"/>
      <c r="AZ89" s="1169"/>
      <c r="BA89" s="1799" t="s">
        <v>0</v>
      </c>
      <c r="BB89" s="1802">
        <v>2009</v>
      </c>
      <c r="BC89" s="1799" t="s">
        <v>74</v>
      </c>
      <c r="BD89" s="1799">
        <v>9</v>
      </c>
      <c r="BE89" s="1800">
        <v>78358898.810000002</v>
      </c>
      <c r="BF89" s="1801">
        <v>2.374571190164074E-2</v>
      </c>
      <c r="BG89" s="1799"/>
      <c r="BH89" s="1799" t="s">
        <v>0</v>
      </c>
      <c r="BI89" s="1799" t="s">
        <v>314</v>
      </c>
      <c r="BJ89" s="1799" t="s">
        <v>13</v>
      </c>
      <c r="BK89" s="1799">
        <v>7</v>
      </c>
      <c r="BL89" s="1800">
        <v>106304386.07734288</v>
      </c>
      <c r="BM89" s="1801">
        <v>2.9036012493418698E-2</v>
      </c>
      <c r="BN89" s="1799">
        <v>2009</v>
      </c>
      <c r="BO89" s="1684"/>
      <c r="BP89" s="1697"/>
      <c r="BQ89" s="1169"/>
      <c r="BR89" s="1169"/>
      <c r="BS89" s="1169"/>
      <c r="BT89" s="1169"/>
      <c r="BU89" s="1169"/>
      <c r="BV89" s="1169"/>
      <c r="BW89" s="1169"/>
      <c r="BX89" s="1169"/>
      <c r="BY89" s="1169"/>
      <c r="BZ89" s="1169"/>
      <c r="CA89" s="1169"/>
      <c r="CB89" s="1169"/>
      <c r="CC89" s="1169"/>
      <c r="CD89" s="1169"/>
      <c r="CE89" s="1169"/>
      <c r="CF89" s="1169"/>
      <c r="CG89" s="1169"/>
      <c r="CH89" s="1169"/>
      <c r="CI89" s="1169"/>
      <c r="CJ89" s="1169"/>
      <c r="CK89" s="1169"/>
      <c r="CL89" s="1169"/>
      <c r="CM89" s="1169"/>
      <c r="CN89" s="1169"/>
      <c r="CO89" s="1169"/>
      <c r="CP89" s="1169"/>
      <c r="CQ89" s="1169"/>
      <c r="CR89" s="1169"/>
      <c r="CS89" s="1169"/>
      <c r="CT89" s="1169"/>
      <c r="CU89" s="1169"/>
      <c r="CV89" s="1169"/>
      <c r="CW89" s="1169"/>
      <c r="CX89" s="1169"/>
      <c r="CY89" s="1169"/>
      <c r="CZ89" s="1169"/>
      <c r="DA89" s="1168"/>
      <c r="DB89" s="1168"/>
      <c r="DC89" s="1168"/>
      <c r="DD89" s="1168"/>
      <c r="DE89" s="1168"/>
      <c r="DF89" s="1168"/>
      <c r="DG89" s="1168"/>
      <c r="DH89" s="1168"/>
      <c r="DI89" s="1168"/>
      <c r="DJ89" s="1168"/>
      <c r="DK89" s="1168"/>
      <c r="DL89" s="1168"/>
      <c r="DM89" s="1168"/>
      <c r="DN89" s="1168"/>
      <c r="DO89" s="1168"/>
      <c r="DP89" s="1168"/>
      <c r="DQ89" s="1168"/>
      <c r="DR89" s="1168"/>
      <c r="DS89" s="1168"/>
      <c r="DT89" s="1168"/>
      <c r="DU89" s="1168"/>
      <c r="DV89" s="1168"/>
      <c r="DW89" s="1168"/>
      <c r="DX89" s="1168"/>
      <c r="DY89" s="1168"/>
      <c r="DZ89" s="1168"/>
      <c r="EA89" s="1168"/>
      <c r="EB89" s="1168"/>
      <c r="EC89" s="1168"/>
      <c r="ED89" s="1168"/>
      <c r="EE89" s="1168"/>
      <c r="EF89" s="1168"/>
      <c r="EG89" s="1168"/>
      <c r="EH89" s="1168"/>
      <c r="EI89" s="1170"/>
      <c r="EJ89" s="1170"/>
      <c r="EK89" s="1170"/>
      <c r="EL89" s="1170"/>
      <c r="EM89" s="1170"/>
      <c r="EN89" s="1170"/>
      <c r="EO89" s="1170"/>
      <c r="EP89" s="1170"/>
      <c r="EQ89" s="1170"/>
      <c r="ER89" s="1170"/>
      <c r="ES89" s="1333"/>
      <c r="ET89" s="1333"/>
      <c r="EU89" s="1333"/>
      <c r="EV89" s="1333"/>
      <c r="EW89" s="1333"/>
      <c r="EX89" s="1333"/>
      <c r="EY89" s="1333"/>
      <c r="EZ89" s="1333"/>
      <c r="FA89" s="1333"/>
      <c r="FB89" s="1333"/>
      <c r="FC89" s="1333"/>
      <c r="FD89" s="1333"/>
      <c r="FE89" s="1333"/>
      <c r="FF89" s="1333"/>
      <c r="FG89" s="1333"/>
      <c r="FH89" s="1333"/>
      <c r="FI89" s="1333"/>
      <c r="FJ89" s="1333"/>
      <c r="FK89" s="1333"/>
      <c r="FL89" s="1333"/>
      <c r="FM89" s="1333"/>
      <c r="FN89" s="1333"/>
      <c r="FO89" s="1333"/>
      <c r="FP89" s="1333"/>
      <c r="FQ89" s="1333"/>
      <c r="FR89" s="1333"/>
      <c r="FS89" s="1333"/>
      <c r="FT89" s="1333"/>
      <c r="FU89" s="1333"/>
      <c r="FV89" s="1333"/>
      <c r="FW89" s="1333"/>
      <c r="FX89" s="1333"/>
      <c r="FY89" s="1333"/>
      <c r="FZ89" s="1333"/>
      <c r="GA89" s="1333"/>
      <c r="GB89" s="1333"/>
      <c r="GC89" s="1333"/>
      <c r="GD89" s="1333"/>
      <c r="GE89" s="1333"/>
      <c r="GF89" s="1333"/>
      <c r="GG89" s="1333"/>
      <c r="GH89" s="1333"/>
      <c r="GI89" s="1333"/>
      <c r="GJ89" s="1333"/>
      <c r="GK89" s="1333"/>
      <c r="GL89" s="1333"/>
      <c r="GM89" s="1333"/>
      <c r="GN89" s="1333"/>
      <c r="GO89" s="1333"/>
      <c r="GP89" s="1333"/>
      <c r="GQ89" s="1333"/>
      <c r="GR89" s="1333"/>
      <c r="GS89" s="1333"/>
      <c r="GT89" s="1333"/>
      <c r="GU89" s="1333"/>
      <c r="GV89" s="1333"/>
      <c r="GW89" s="1333"/>
      <c r="GX89" s="1333"/>
    </row>
    <row r="90" spans="1:206" s="607" customFormat="1">
      <c r="A90" s="607">
        <f t="shared" si="2"/>
        <v>1977</v>
      </c>
      <c r="B90" s="607">
        <f t="shared" si="3"/>
        <v>4</v>
      </c>
      <c r="C90" s="1173">
        <v>28401</v>
      </c>
      <c r="D90" s="957"/>
      <c r="E90" s="920"/>
      <c r="F90" s="920"/>
      <c r="G90" s="920"/>
      <c r="H90" s="920"/>
      <c r="I90" s="954">
        <v>141.53373293811219</v>
      </c>
      <c r="J90" s="954">
        <v>159.02738095239999</v>
      </c>
      <c r="K90" s="954"/>
      <c r="L90" s="920"/>
      <c r="M90" s="917"/>
      <c r="N90" s="917"/>
      <c r="O90" s="1334"/>
      <c r="P90" s="1334"/>
      <c r="Q90" s="1334"/>
      <c r="R90" s="1334"/>
      <c r="S90" s="1334"/>
      <c r="T90" s="1334"/>
      <c r="U90" s="920"/>
      <c r="V90" s="920"/>
      <c r="W90" s="920"/>
      <c r="X90" s="920"/>
      <c r="Y90" s="920"/>
      <c r="Z90" s="920"/>
      <c r="AA90" s="920"/>
      <c r="AB90" s="920"/>
      <c r="AC90" s="920"/>
      <c r="AD90" s="920"/>
      <c r="AE90" s="920"/>
      <c r="AF90" s="920"/>
      <c r="AG90" s="920"/>
      <c r="AH90" s="920"/>
      <c r="AI90" s="920"/>
      <c r="AJ90" s="920"/>
      <c r="AK90" s="920"/>
      <c r="AL90" s="1105"/>
      <c r="AM90" s="920"/>
      <c r="AN90" s="1711"/>
      <c r="AO90" s="920"/>
      <c r="AP90" s="920"/>
      <c r="AS90" s="1167"/>
      <c r="AT90" s="1167"/>
      <c r="AU90" s="1168"/>
      <c r="AV90" s="1168"/>
      <c r="AW90" s="1169"/>
      <c r="AX90" s="1169"/>
      <c r="AY90" s="1169"/>
      <c r="AZ90" s="1169"/>
      <c r="BA90" s="1799" t="s">
        <v>0</v>
      </c>
      <c r="BB90" s="1802">
        <v>2009</v>
      </c>
      <c r="BC90" s="1799" t="s">
        <v>18</v>
      </c>
      <c r="BD90" s="1799">
        <v>10</v>
      </c>
      <c r="BE90" s="1800">
        <v>77942931.959999993</v>
      </c>
      <c r="BF90" s="1801">
        <v>2.3619658203455376E-2</v>
      </c>
      <c r="BG90" s="1799"/>
      <c r="BH90" s="1799" t="s">
        <v>0</v>
      </c>
      <c r="BI90" s="1799" t="s">
        <v>314</v>
      </c>
      <c r="BJ90" s="1799" t="s">
        <v>19</v>
      </c>
      <c r="BK90" s="1799">
        <v>8</v>
      </c>
      <c r="BL90" s="1800">
        <v>99947909.459657371</v>
      </c>
      <c r="BM90" s="1801">
        <v>2.7299802527905544E-2</v>
      </c>
      <c r="BN90" s="1799">
        <v>2009</v>
      </c>
      <c r="BO90" s="1684"/>
      <c r="BP90" s="1696"/>
      <c r="BQ90" s="1169"/>
      <c r="BR90" s="1169"/>
      <c r="BS90" s="1169"/>
      <c r="BT90" s="1169"/>
      <c r="BU90" s="1169"/>
      <c r="BV90" s="1169"/>
      <c r="BW90" s="1169"/>
      <c r="BX90" s="1169"/>
      <c r="BY90" s="1169"/>
      <c r="BZ90" s="1169"/>
      <c r="CA90" s="1169"/>
      <c r="CB90" s="1169"/>
      <c r="CC90" s="1169"/>
      <c r="CD90" s="1169"/>
      <c r="CE90" s="1169"/>
      <c r="CF90" s="1169"/>
      <c r="CG90" s="1169"/>
      <c r="CH90" s="1169"/>
      <c r="CI90" s="1169"/>
      <c r="CJ90" s="1169"/>
      <c r="CK90" s="1169"/>
      <c r="CL90" s="1169"/>
      <c r="CM90" s="1169"/>
      <c r="CN90" s="1169"/>
      <c r="CO90" s="1169"/>
      <c r="CP90" s="1169"/>
      <c r="CQ90" s="1169"/>
      <c r="CR90" s="1169"/>
      <c r="CS90" s="1169"/>
      <c r="CT90" s="1169"/>
      <c r="CU90" s="1169"/>
      <c r="CV90" s="1169"/>
      <c r="CW90" s="1169"/>
      <c r="CX90" s="1169"/>
      <c r="CY90" s="1169"/>
      <c r="CZ90" s="1169"/>
      <c r="DA90" s="1168"/>
      <c r="DB90" s="1168"/>
      <c r="DC90" s="1168"/>
      <c r="DD90" s="1168"/>
      <c r="DE90" s="1168"/>
      <c r="DF90" s="1168"/>
      <c r="DG90" s="1168"/>
      <c r="DH90" s="1168"/>
      <c r="DI90" s="1168"/>
      <c r="DJ90" s="1168"/>
      <c r="DK90" s="1168"/>
      <c r="DL90" s="1168"/>
      <c r="DM90" s="1168"/>
      <c r="DN90" s="1168"/>
      <c r="DO90" s="1168"/>
      <c r="DP90" s="1168"/>
      <c r="DQ90" s="1168"/>
      <c r="DR90" s="1168"/>
      <c r="DS90" s="1168"/>
      <c r="DT90" s="1168"/>
      <c r="DU90" s="1168"/>
      <c r="DV90" s="1168"/>
      <c r="DW90" s="1168"/>
      <c r="DX90" s="1168"/>
      <c r="DY90" s="1168"/>
      <c r="DZ90" s="1168"/>
      <c r="EA90" s="1168"/>
      <c r="EB90" s="1168"/>
      <c r="EC90" s="1168"/>
      <c r="ED90" s="1168"/>
      <c r="EE90" s="1168"/>
      <c r="EF90" s="1168"/>
      <c r="EG90" s="1168"/>
      <c r="EH90" s="1168"/>
      <c r="EI90" s="1170"/>
      <c r="EJ90" s="1170"/>
      <c r="EK90" s="1170"/>
      <c r="EL90" s="1170"/>
      <c r="EM90" s="1170"/>
      <c r="EN90" s="1170"/>
      <c r="EO90" s="1170"/>
      <c r="EP90" s="1170"/>
      <c r="EQ90" s="1170"/>
      <c r="ER90" s="1170"/>
      <c r="ES90" s="1333"/>
      <c r="ET90" s="1333"/>
      <c r="EU90" s="1333"/>
      <c r="EV90" s="1333"/>
      <c r="EW90" s="1333"/>
      <c r="EX90" s="1333"/>
      <c r="EY90" s="1333"/>
      <c r="EZ90" s="1333"/>
      <c r="FA90" s="1333"/>
      <c r="FB90" s="1333"/>
      <c r="FC90" s="1333"/>
      <c r="FD90" s="1333"/>
      <c r="FE90" s="1333"/>
      <c r="FF90" s="1333"/>
      <c r="FG90" s="1333"/>
      <c r="FH90" s="1333"/>
      <c r="FI90" s="1333"/>
      <c r="FJ90" s="1333"/>
      <c r="FK90" s="1333"/>
      <c r="FL90" s="1333"/>
      <c r="FM90" s="1333"/>
      <c r="FN90" s="1333"/>
      <c r="FO90" s="1333"/>
      <c r="FP90" s="1333"/>
      <c r="FQ90" s="1333"/>
      <c r="FR90" s="1333"/>
      <c r="FS90" s="1333"/>
      <c r="FT90" s="1333"/>
      <c r="FU90" s="1333"/>
      <c r="FV90" s="1333"/>
      <c r="FW90" s="1333"/>
      <c r="FX90" s="1333"/>
      <c r="FY90" s="1333"/>
      <c r="FZ90" s="1333"/>
      <c r="GA90" s="1333"/>
      <c r="GB90" s="1333"/>
      <c r="GC90" s="1333"/>
      <c r="GD90" s="1333"/>
      <c r="GE90" s="1333"/>
      <c r="GF90" s="1333"/>
      <c r="GG90" s="1333"/>
      <c r="GH90" s="1333"/>
      <c r="GI90" s="1333"/>
      <c r="GJ90" s="1333"/>
      <c r="GK90" s="1333"/>
      <c r="GL90" s="1333"/>
      <c r="GM90" s="1333"/>
      <c r="GN90" s="1333"/>
      <c r="GO90" s="1333"/>
      <c r="GP90" s="1333"/>
      <c r="GQ90" s="1333"/>
      <c r="GR90" s="1333"/>
      <c r="GS90" s="1333"/>
      <c r="GT90" s="1333"/>
      <c r="GU90" s="1333"/>
      <c r="GV90" s="1333"/>
      <c r="GW90" s="1333"/>
      <c r="GX90" s="1333"/>
    </row>
    <row r="91" spans="1:206" s="607" customFormat="1">
      <c r="A91" s="607">
        <f t="shared" si="2"/>
        <v>1977</v>
      </c>
      <c r="B91" s="607">
        <f t="shared" si="3"/>
        <v>4</v>
      </c>
      <c r="C91" s="1173">
        <v>28430</v>
      </c>
      <c r="D91" s="1709"/>
      <c r="E91" s="1117"/>
      <c r="F91" s="1117"/>
      <c r="G91" s="1117"/>
      <c r="H91" s="1117"/>
      <c r="I91" s="959">
        <v>143.73786385000002</v>
      </c>
      <c r="J91" s="959">
        <v>162.05000000000001</v>
      </c>
      <c r="K91" s="960"/>
      <c r="L91" s="1121"/>
      <c r="M91" s="916"/>
      <c r="N91" s="916"/>
      <c r="O91" s="1332"/>
      <c r="P91" s="1332"/>
      <c r="Q91" s="1332"/>
      <c r="R91" s="1332"/>
      <c r="S91" s="1332"/>
      <c r="T91" s="1332"/>
      <c r="U91" s="1120"/>
      <c r="V91" s="1120"/>
      <c r="W91" s="1120"/>
      <c r="X91" s="1120"/>
      <c r="Y91" s="1119"/>
      <c r="Z91" s="1119"/>
      <c r="AA91" s="1119"/>
      <c r="AB91" s="1119"/>
      <c r="AC91" s="1178"/>
      <c r="AD91" s="1178"/>
      <c r="AE91" s="1178"/>
      <c r="AF91" s="1178"/>
      <c r="AG91" s="1178"/>
      <c r="AH91" s="1178"/>
      <c r="AI91" s="1178"/>
      <c r="AJ91" s="1178"/>
      <c r="AK91" s="919"/>
      <c r="AL91" s="1104"/>
      <c r="AM91" s="919"/>
      <c r="AN91" s="1710"/>
      <c r="AO91" s="919"/>
      <c r="AP91" s="919"/>
      <c r="AS91" s="1167"/>
      <c r="AT91" s="1167"/>
      <c r="AU91" s="1168"/>
      <c r="AV91" s="1168"/>
      <c r="AW91" s="1169"/>
      <c r="AX91" s="1169"/>
      <c r="AY91" s="1169"/>
      <c r="AZ91" s="1169"/>
      <c r="BA91" s="1799" t="s">
        <v>0</v>
      </c>
      <c r="BB91" s="1802">
        <v>2009</v>
      </c>
      <c r="BC91" s="1799" t="s">
        <v>32</v>
      </c>
      <c r="BD91" s="1799"/>
      <c r="BE91" s="1800">
        <v>262604882.28000021</v>
      </c>
      <c r="BF91" s="1801">
        <v>7.9579217846146841E-2</v>
      </c>
      <c r="BG91" s="1799"/>
      <c r="BH91" s="1799" t="s">
        <v>0</v>
      </c>
      <c r="BI91" s="1799" t="s">
        <v>314</v>
      </c>
      <c r="BJ91" s="1799" t="s">
        <v>74</v>
      </c>
      <c r="BK91" s="1799">
        <v>9</v>
      </c>
      <c r="BL91" s="1800">
        <v>86693818.087707683</v>
      </c>
      <c r="BM91" s="1801">
        <v>2.3679575960914741E-2</v>
      </c>
      <c r="BN91" s="1799">
        <v>2009</v>
      </c>
      <c r="BO91" s="1684"/>
      <c r="BP91" s="1696"/>
      <c r="BQ91" s="1169"/>
      <c r="BR91" s="1169"/>
      <c r="BS91" s="1169"/>
      <c r="BT91" s="1169"/>
      <c r="BU91" s="1169"/>
      <c r="BV91" s="1169"/>
      <c r="BW91" s="1169"/>
      <c r="BX91" s="1169"/>
      <c r="BY91" s="1169"/>
      <c r="BZ91" s="1169"/>
      <c r="CA91" s="1169"/>
      <c r="CB91" s="1169"/>
      <c r="CC91" s="1169"/>
      <c r="CD91" s="1169"/>
      <c r="CE91" s="1169"/>
      <c r="CF91" s="1169"/>
      <c r="CG91" s="1169"/>
      <c r="CH91" s="1169"/>
      <c r="CI91" s="1169"/>
      <c r="CJ91" s="1169"/>
      <c r="CK91" s="1169"/>
      <c r="CL91" s="1169"/>
      <c r="CM91" s="1169"/>
      <c r="CN91" s="1169"/>
      <c r="CO91" s="1169"/>
      <c r="CP91" s="1169"/>
      <c r="CQ91" s="1169"/>
      <c r="CR91" s="1169"/>
      <c r="CS91" s="1169"/>
      <c r="CT91" s="1169"/>
      <c r="CU91" s="1169"/>
      <c r="CV91" s="1169"/>
      <c r="CW91" s="1169"/>
      <c r="CX91" s="1169"/>
      <c r="CY91" s="1169"/>
      <c r="CZ91" s="1169"/>
      <c r="DA91" s="1168"/>
      <c r="DB91" s="1168"/>
      <c r="DC91" s="1168"/>
      <c r="DD91" s="1168"/>
      <c r="DE91" s="1168"/>
      <c r="DF91" s="1168"/>
      <c r="DG91" s="1168"/>
      <c r="DH91" s="1168"/>
      <c r="DI91" s="1168"/>
      <c r="DJ91" s="1168"/>
      <c r="DK91" s="1168"/>
      <c r="DL91" s="1168"/>
      <c r="DM91" s="1168"/>
      <c r="DN91" s="1168"/>
      <c r="DO91" s="1168"/>
      <c r="DP91" s="1168"/>
      <c r="DQ91" s="1168"/>
      <c r="DR91" s="1168"/>
      <c r="DS91" s="1168"/>
      <c r="DT91" s="1168"/>
      <c r="DU91" s="1168"/>
      <c r="DV91" s="1168"/>
      <c r="DW91" s="1168"/>
      <c r="DX91" s="1168"/>
      <c r="DY91" s="1168"/>
      <c r="DZ91" s="1168"/>
      <c r="EA91" s="1168"/>
      <c r="EB91" s="1168"/>
      <c r="EC91" s="1168"/>
      <c r="ED91" s="1168"/>
      <c r="EE91" s="1168"/>
      <c r="EF91" s="1168"/>
      <c r="EG91" s="1168"/>
      <c r="EH91" s="1168"/>
      <c r="EI91" s="1170"/>
      <c r="EJ91" s="1170"/>
      <c r="EK91" s="1170"/>
      <c r="EL91" s="1170"/>
      <c r="EM91" s="1170"/>
      <c r="EN91" s="1170"/>
      <c r="EO91" s="1170"/>
      <c r="EP91" s="1170"/>
      <c r="EQ91" s="1170"/>
      <c r="ER91" s="1170"/>
      <c r="ES91" s="1333"/>
      <c r="ET91" s="1333"/>
      <c r="EU91" s="1333"/>
      <c r="EV91" s="1333"/>
      <c r="EW91" s="1333"/>
      <c r="EX91" s="1333"/>
      <c r="EY91" s="1333"/>
      <c r="EZ91" s="1333"/>
      <c r="FA91" s="1333"/>
      <c r="FB91" s="1333"/>
      <c r="FC91" s="1333"/>
      <c r="FD91" s="1333"/>
      <c r="FE91" s="1333"/>
      <c r="FF91" s="1333"/>
      <c r="FG91" s="1333"/>
      <c r="FH91" s="1333"/>
      <c r="FI91" s="1333"/>
      <c r="FJ91" s="1333"/>
      <c r="FK91" s="1333"/>
      <c r="FL91" s="1333"/>
      <c r="FM91" s="1333"/>
      <c r="FN91" s="1333"/>
      <c r="FO91" s="1333"/>
      <c r="FP91" s="1333"/>
      <c r="FQ91" s="1333"/>
      <c r="FR91" s="1333"/>
      <c r="FS91" s="1333"/>
      <c r="FT91" s="1333"/>
      <c r="FU91" s="1333"/>
      <c r="FV91" s="1333"/>
      <c r="FW91" s="1333"/>
      <c r="FX91" s="1333"/>
      <c r="FY91" s="1333"/>
      <c r="FZ91" s="1333"/>
      <c r="GA91" s="1333"/>
      <c r="GB91" s="1333"/>
      <c r="GC91" s="1333"/>
      <c r="GD91" s="1333"/>
      <c r="GE91" s="1333"/>
      <c r="GF91" s="1333"/>
      <c r="GG91" s="1333"/>
      <c r="GH91" s="1333"/>
      <c r="GI91" s="1333"/>
      <c r="GJ91" s="1333"/>
      <c r="GK91" s="1333"/>
      <c r="GL91" s="1333"/>
      <c r="GM91" s="1333"/>
      <c r="GN91" s="1333"/>
      <c r="GO91" s="1333"/>
      <c r="GP91" s="1333"/>
      <c r="GQ91" s="1333"/>
      <c r="GR91" s="1333"/>
      <c r="GS91" s="1333"/>
      <c r="GT91" s="1333"/>
      <c r="GU91" s="1333"/>
      <c r="GV91" s="1333"/>
      <c r="GW91" s="1333"/>
      <c r="GX91" s="1333"/>
    </row>
    <row r="92" spans="1:206" s="607" customFormat="1">
      <c r="A92" s="607">
        <f t="shared" si="2"/>
        <v>1977</v>
      </c>
      <c r="B92" s="607">
        <f t="shared" si="3"/>
        <v>4</v>
      </c>
      <c r="C92" s="1173">
        <v>28460</v>
      </c>
      <c r="D92" s="957"/>
      <c r="E92" s="920"/>
      <c r="F92" s="920"/>
      <c r="G92" s="920"/>
      <c r="H92" s="920"/>
      <c r="I92" s="954">
        <v>140.46710851252919</v>
      </c>
      <c r="J92" s="954">
        <v>160.32916666669999</v>
      </c>
      <c r="K92" s="954"/>
      <c r="L92" s="920"/>
      <c r="M92" s="917"/>
      <c r="N92" s="917"/>
      <c r="O92" s="1334"/>
      <c r="P92" s="1334"/>
      <c r="Q92" s="1334"/>
      <c r="R92" s="1334"/>
      <c r="S92" s="1334"/>
      <c r="T92" s="1334"/>
      <c r="U92" s="920"/>
      <c r="V92" s="920"/>
      <c r="W92" s="920"/>
      <c r="X92" s="920"/>
      <c r="Y92" s="920"/>
      <c r="Z92" s="920"/>
      <c r="AA92" s="920"/>
      <c r="AB92" s="920"/>
      <c r="AC92" s="920"/>
      <c r="AD92" s="920"/>
      <c r="AE92" s="920"/>
      <c r="AF92" s="920"/>
      <c r="AG92" s="920"/>
      <c r="AH92" s="920"/>
      <c r="AI92" s="920"/>
      <c r="AJ92" s="920"/>
      <c r="AK92" s="920"/>
      <c r="AL92" s="1105"/>
      <c r="AM92" s="920"/>
      <c r="AN92" s="1711"/>
      <c r="AO92" s="920"/>
      <c r="AP92" s="920"/>
      <c r="AS92" s="1167"/>
      <c r="AT92" s="1167"/>
      <c r="AU92" s="1168"/>
      <c r="AV92" s="1168"/>
      <c r="AW92" s="1169"/>
      <c r="AX92" s="1169"/>
      <c r="AY92" s="1169"/>
      <c r="AZ92" s="1169"/>
      <c r="BA92" s="1799" t="s">
        <v>0</v>
      </c>
      <c r="BB92" s="1802">
        <v>2009</v>
      </c>
      <c r="BC92" s="1799" t="s">
        <v>249</v>
      </c>
      <c r="BD92" s="1799"/>
      <c r="BE92" s="1800">
        <v>3299917860.3099995</v>
      </c>
      <c r="BF92" s="1801"/>
      <c r="BG92" s="1799"/>
      <c r="BH92" s="1799" t="s">
        <v>0</v>
      </c>
      <c r="BI92" s="1799" t="s">
        <v>314</v>
      </c>
      <c r="BJ92" s="1799" t="s">
        <v>18</v>
      </c>
      <c r="BK92" s="1799">
        <v>10</v>
      </c>
      <c r="BL92" s="1800">
        <v>86447250.976157621</v>
      </c>
      <c r="BM92" s="1801">
        <v>2.3612228544729816E-2</v>
      </c>
      <c r="BN92" s="1799">
        <v>2009</v>
      </c>
      <c r="BO92" s="1684"/>
      <c r="BP92" s="1697"/>
      <c r="BQ92" s="1169"/>
      <c r="BR92" s="1169"/>
      <c r="BS92" s="1169"/>
      <c r="BT92" s="1169"/>
      <c r="BU92" s="1169"/>
      <c r="BV92" s="1169"/>
      <c r="BW92" s="1169"/>
      <c r="BX92" s="1169"/>
      <c r="BY92" s="1169"/>
      <c r="BZ92" s="1169"/>
      <c r="CA92" s="1169"/>
      <c r="CB92" s="1169"/>
      <c r="CC92" s="1169"/>
      <c r="CD92" s="1169"/>
      <c r="CE92" s="1169"/>
      <c r="CF92" s="1169"/>
      <c r="CG92" s="1169"/>
      <c r="CH92" s="1169"/>
      <c r="CI92" s="1169"/>
      <c r="CJ92" s="1169"/>
      <c r="CK92" s="1169"/>
      <c r="CL92" s="1169"/>
      <c r="CM92" s="1169"/>
      <c r="CN92" s="1169"/>
      <c r="CO92" s="1169"/>
      <c r="CP92" s="1169"/>
      <c r="CQ92" s="1169"/>
      <c r="CR92" s="1169"/>
      <c r="CS92" s="1169"/>
      <c r="CT92" s="1169"/>
      <c r="CU92" s="1169"/>
      <c r="CV92" s="1169"/>
      <c r="CW92" s="1169"/>
      <c r="CX92" s="1169"/>
      <c r="CY92" s="1169"/>
      <c r="CZ92" s="1169"/>
      <c r="DA92" s="1168"/>
      <c r="DB92" s="1168"/>
      <c r="DC92" s="1168"/>
      <c r="DD92" s="1168"/>
      <c r="DE92" s="1168"/>
      <c r="DF92" s="1168"/>
      <c r="DG92" s="1168"/>
      <c r="DH92" s="1168"/>
      <c r="DI92" s="1168"/>
      <c r="DJ92" s="1168"/>
      <c r="DK92" s="1168"/>
      <c r="DL92" s="1168"/>
      <c r="DM92" s="1168"/>
      <c r="DN92" s="1168"/>
      <c r="DO92" s="1168"/>
      <c r="DP92" s="1168"/>
      <c r="DQ92" s="1168"/>
      <c r="DR92" s="1168"/>
      <c r="DS92" s="1168"/>
      <c r="DT92" s="1168"/>
      <c r="DU92" s="1168"/>
      <c r="DV92" s="1168"/>
      <c r="DW92" s="1168"/>
      <c r="DX92" s="1168"/>
      <c r="DY92" s="1168"/>
      <c r="DZ92" s="1168"/>
      <c r="EA92" s="1168"/>
      <c r="EB92" s="1168"/>
      <c r="EC92" s="1168"/>
      <c r="ED92" s="1168"/>
      <c r="EE92" s="1168"/>
      <c r="EF92" s="1168"/>
      <c r="EG92" s="1168"/>
      <c r="EH92" s="1168"/>
      <c r="EI92" s="1170"/>
      <c r="EJ92" s="1170"/>
      <c r="EK92" s="1170"/>
      <c r="EL92" s="1170"/>
      <c r="EM92" s="1170"/>
      <c r="EN92" s="1170"/>
      <c r="EO92" s="1170"/>
      <c r="EP92" s="1170"/>
      <c r="EQ92" s="1170"/>
      <c r="ER92" s="1170"/>
      <c r="ES92" s="1333"/>
      <c r="ET92" s="1333"/>
      <c r="EU92" s="1333"/>
      <c r="EV92" s="1333"/>
      <c r="EW92" s="1333"/>
      <c r="EX92" s="1333"/>
      <c r="EY92" s="1333"/>
      <c r="EZ92" s="1333"/>
      <c r="FA92" s="1333"/>
      <c r="FB92" s="1333"/>
      <c r="FC92" s="1333"/>
      <c r="FD92" s="1333"/>
      <c r="FE92" s="1333"/>
      <c r="FF92" s="1333"/>
      <c r="FG92" s="1333"/>
      <c r="FH92" s="1333"/>
      <c r="FI92" s="1333"/>
      <c r="FJ92" s="1333"/>
      <c r="FK92" s="1333"/>
      <c r="FL92" s="1333"/>
      <c r="FM92" s="1333"/>
      <c r="FN92" s="1333"/>
      <c r="FO92" s="1333"/>
      <c r="FP92" s="1333"/>
      <c r="FQ92" s="1333"/>
      <c r="FR92" s="1333"/>
      <c r="FS92" s="1333"/>
      <c r="FT92" s="1333"/>
      <c r="FU92" s="1333"/>
      <c r="FV92" s="1333"/>
      <c r="FW92" s="1333"/>
      <c r="FX92" s="1333"/>
      <c r="FY92" s="1333"/>
      <c r="FZ92" s="1333"/>
      <c r="GA92" s="1333"/>
      <c r="GB92" s="1333"/>
      <c r="GC92" s="1333"/>
      <c r="GD92" s="1333"/>
      <c r="GE92" s="1333"/>
      <c r="GF92" s="1333"/>
      <c r="GG92" s="1333"/>
      <c r="GH92" s="1333"/>
      <c r="GI92" s="1333"/>
      <c r="GJ92" s="1333"/>
      <c r="GK92" s="1333"/>
      <c r="GL92" s="1333"/>
      <c r="GM92" s="1333"/>
      <c r="GN92" s="1333"/>
      <c r="GO92" s="1333"/>
      <c r="GP92" s="1333"/>
      <c r="GQ92" s="1333"/>
      <c r="GR92" s="1333"/>
      <c r="GS92" s="1333"/>
      <c r="GT92" s="1333"/>
      <c r="GU92" s="1333"/>
      <c r="GV92" s="1333"/>
      <c r="GW92" s="1333"/>
      <c r="GX92" s="1333"/>
    </row>
    <row r="93" spans="1:206" s="607" customFormat="1">
      <c r="A93" s="607">
        <f t="shared" si="2"/>
        <v>1978</v>
      </c>
      <c r="B93" s="607">
        <f t="shared" si="3"/>
        <v>1</v>
      </c>
      <c r="C93" s="1173">
        <v>28492</v>
      </c>
      <c r="D93" s="1709"/>
      <c r="E93" s="1117"/>
      <c r="F93" s="1117"/>
      <c r="G93" s="1117"/>
      <c r="H93" s="1117"/>
      <c r="I93" s="959">
        <v>152.30184299999999</v>
      </c>
      <c r="J93" s="959">
        <v>173.35</v>
      </c>
      <c r="K93" s="960"/>
      <c r="L93" s="1121"/>
      <c r="M93" s="916"/>
      <c r="N93" s="916"/>
      <c r="O93" s="1332"/>
      <c r="P93" s="1332"/>
      <c r="Q93" s="1332"/>
      <c r="R93" s="1332"/>
      <c r="S93" s="1332"/>
      <c r="T93" s="1332"/>
      <c r="U93" s="1120"/>
      <c r="V93" s="1120"/>
      <c r="W93" s="1120"/>
      <c r="X93" s="1120"/>
      <c r="Y93" s="1119"/>
      <c r="Z93" s="1119"/>
      <c r="AA93" s="1119"/>
      <c r="AB93" s="1119"/>
      <c r="AC93" s="1178"/>
      <c r="AD93" s="1178"/>
      <c r="AE93" s="1178"/>
      <c r="AF93" s="1178"/>
      <c r="AG93" s="1178"/>
      <c r="AH93" s="1178"/>
      <c r="AI93" s="1178"/>
      <c r="AJ93" s="1178"/>
      <c r="AK93" s="919"/>
      <c r="AL93" s="1104"/>
      <c r="AM93" s="919"/>
      <c r="AN93" s="1710"/>
      <c r="AO93" s="919"/>
      <c r="AP93" s="919"/>
      <c r="AS93" s="1167"/>
      <c r="AT93" s="1167"/>
      <c r="AU93" s="1168"/>
      <c r="AV93" s="1168"/>
      <c r="AW93" s="1169"/>
      <c r="AX93" s="1169"/>
      <c r="AY93" s="1169"/>
      <c r="AZ93" s="1169"/>
      <c r="BA93" s="1799" t="s">
        <v>0</v>
      </c>
      <c r="BB93" s="1802">
        <v>2008</v>
      </c>
      <c r="BC93" s="1799" t="s">
        <v>14</v>
      </c>
      <c r="BD93" s="1799">
        <v>1</v>
      </c>
      <c r="BE93" s="1800">
        <v>708997178.98999989</v>
      </c>
      <c r="BF93" s="1801">
        <v>0.16327158528672142</v>
      </c>
      <c r="BG93" s="1799"/>
      <c r="BH93" s="1799" t="s">
        <v>0</v>
      </c>
      <c r="BI93" s="1799" t="s">
        <v>314</v>
      </c>
      <c r="BJ93" s="1799" t="s">
        <v>32</v>
      </c>
      <c r="BK93" s="1799"/>
      <c r="BL93" s="1800">
        <v>299456916.64537954</v>
      </c>
      <c r="BM93" s="1801">
        <v>8.1793753708616662E-2</v>
      </c>
      <c r="BN93" s="1799">
        <v>2009</v>
      </c>
      <c r="BO93" s="1684"/>
      <c r="BP93" s="1696"/>
      <c r="BQ93" s="1169"/>
      <c r="BR93" s="1169"/>
      <c r="BS93" s="1169"/>
      <c r="BT93" s="1169"/>
      <c r="BU93" s="1169"/>
      <c r="BV93" s="1169"/>
      <c r="BW93" s="1169"/>
      <c r="BX93" s="1169"/>
      <c r="BY93" s="1169"/>
      <c r="BZ93" s="1169"/>
      <c r="CA93" s="1169"/>
      <c r="CB93" s="1169"/>
      <c r="CC93" s="1169"/>
      <c r="CD93" s="1169"/>
      <c r="CE93" s="1169"/>
      <c r="CF93" s="1169"/>
      <c r="CG93" s="1169"/>
      <c r="CH93" s="1169"/>
      <c r="CI93" s="1169"/>
      <c r="CJ93" s="1169"/>
      <c r="CK93" s="1169"/>
      <c r="CL93" s="1169"/>
      <c r="CM93" s="1169"/>
      <c r="CN93" s="1169"/>
      <c r="CO93" s="1169"/>
      <c r="CP93" s="1169"/>
      <c r="CQ93" s="1169"/>
      <c r="CR93" s="1169"/>
      <c r="CS93" s="1169"/>
      <c r="CT93" s="1169"/>
      <c r="CU93" s="1169"/>
      <c r="CV93" s="1169"/>
      <c r="CW93" s="1169"/>
      <c r="CX93" s="1169"/>
      <c r="CY93" s="1169"/>
      <c r="CZ93" s="1169"/>
      <c r="DA93" s="1168"/>
      <c r="DB93" s="1168"/>
      <c r="DC93" s="1168"/>
      <c r="DD93" s="1168"/>
      <c r="DE93" s="1168"/>
      <c r="DF93" s="1168"/>
      <c r="DG93" s="1168"/>
      <c r="DH93" s="1168"/>
      <c r="DI93" s="1168"/>
      <c r="DJ93" s="1168"/>
      <c r="DK93" s="1168"/>
      <c r="DL93" s="1168"/>
      <c r="DM93" s="1168"/>
      <c r="DN93" s="1168"/>
      <c r="DO93" s="1168"/>
      <c r="DP93" s="1168"/>
      <c r="DQ93" s="1168"/>
      <c r="DR93" s="1168"/>
      <c r="DS93" s="1168"/>
      <c r="DT93" s="1168"/>
      <c r="DU93" s="1168"/>
      <c r="DV93" s="1168"/>
      <c r="DW93" s="1168"/>
      <c r="DX93" s="1168"/>
      <c r="DY93" s="1168"/>
      <c r="DZ93" s="1168"/>
      <c r="EA93" s="1168"/>
      <c r="EB93" s="1168"/>
      <c r="EC93" s="1168"/>
      <c r="ED93" s="1168"/>
      <c r="EE93" s="1168"/>
      <c r="EF93" s="1168"/>
      <c r="EG93" s="1168"/>
      <c r="EH93" s="1168"/>
      <c r="EI93" s="1170"/>
      <c r="EJ93" s="1170"/>
      <c r="EK93" s="1170"/>
      <c r="EL93" s="1170"/>
      <c r="EM93" s="1170"/>
      <c r="EN93" s="1170"/>
      <c r="EO93" s="1170"/>
      <c r="EP93" s="1170"/>
      <c r="EQ93" s="1170"/>
      <c r="ER93" s="1170"/>
      <c r="ES93" s="1333"/>
      <c r="ET93" s="1333"/>
      <c r="EU93" s="1333"/>
      <c r="EV93" s="1333"/>
      <c r="EW93" s="1333"/>
      <c r="EX93" s="1333"/>
      <c r="EY93" s="1333"/>
      <c r="EZ93" s="1333"/>
      <c r="FA93" s="1333"/>
      <c r="FB93" s="1333"/>
      <c r="FC93" s="1333"/>
      <c r="FD93" s="1333"/>
      <c r="FE93" s="1333"/>
      <c r="FF93" s="1333"/>
      <c r="FG93" s="1333"/>
      <c r="FH93" s="1333"/>
      <c r="FI93" s="1333"/>
      <c r="FJ93" s="1333"/>
      <c r="FK93" s="1333"/>
      <c r="FL93" s="1333"/>
      <c r="FM93" s="1333"/>
      <c r="FN93" s="1333"/>
      <c r="FO93" s="1333"/>
      <c r="FP93" s="1333"/>
      <c r="FQ93" s="1333"/>
      <c r="FR93" s="1333"/>
      <c r="FS93" s="1333"/>
      <c r="FT93" s="1333"/>
      <c r="FU93" s="1333"/>
      <c r="FV93" s="1333"/>
      <c r="FW93" s="1333"/>
      <c r="FX93" s="1333"/>
      <c r="FY93" s="1333"/>
      <c r="FZ93" s="1333"/>
      <c r="GA93" s="1333"/>
      <c r="GB93" s="1333"/>
      <c r="GC93" s="1333"/>
      <c r="GD93" s="1333"/>
      <c r="GE93" s="1333"/>
      <c r="GF93" s="1333"/>
      <c r="GG93" s="1333"/>
      <c r="GH93" s="1333"/>
      <c r="GI93" s="1333"/>
      <c r="GJ93" s="1333"/>
      <c r="GK93" s="1333"/>
      <c r="GL93" s="1333"/>
      <c r="GM93" s="1333"/>
      <c r="GN93" s="1333"/>
      <c r="GO93" s="1333"/>
      <c r="GP93" s="1333"/>
      <c r="GQ93" s="1333"/>
      <c r="GR93" s="1333"/>
      <c r="GS93" s="1333"/>
      <c r="GT93" s="1333"/>
      <c r="GU93" s="1333"/>
      <c r="GV93" s="1333"/>
      <c r="GW93" s="1333"/>
      <c r="GX93" s="1333"/>
    </row>
    <row r="94" spans="1:206" s="607" customFormat="1">
      <c r="A94" s="607">
        <f t="shared" si="2"/>
        <v>1978</v>
      </c>
      <c r="B94" s="607">
        <f t="shared" si="3"/>
        <v>1</v>
      </c>
      <c r="C94" s="1173">
        <v>28522</v>
      </c>
      <c r="D94" s="957"/>
      <c r="E94" s="920"/>
      <c r="F94" s="920"/>
      <c r="G94" s="920"/>
      <c r="H94" s="920"/>
      <c r="I94" s="954">
        <v>156.891699405</v>
      </c>
      <c r="J94" s="954">
        <v>178.3075</v>
      </c>
      <c r="K94" s="954"/>
      <c r="L94" s="920"/>
      <c r="M94" s="917"/>
      <c r="N94" s="917"/>
      <c r="O94" s="1334"/>
      <c r="P94" s="1334"/>
      <c r="Q94" s="1334"/>
      <c r="R94" s="1334"/>
      <c r="S94" s="1334"/>
      <c r="T94" s="1334"/>
      <c r="U94" s="920"/>
      <c r="V94" s="920"/>
      <c r="W94" s="920"/>
      <c r="X94" s="920"/>
      <c r="Y94" s="920"/>
      <c r="Z94" s="920"/>
      <c r="AA94" s="920"/>
      <c r="AB94" s="920"/>
      <c r="AC94" s="920"/>
      <c r="AD94" s="920"/>
      <c r="AE94" s="920"/>
      <c r="AF94" s="920"/>
      <c r="AG94" s="920"/>
      <c r="AH94" s="920"/>
      <c r="AI94" s="920"/>
      <c r="AJ94" s="920"/>
      <c r="AK94" s="920"/>
      <c r="AL94" s="1105"/>
      <c r="AM94" s="920"/>
      <c r="AN94" s="1711"/>
      <c r="AO94" s="920"/>
      <c r="AP94" s="920"/>
      <c r="AS94" s="1167"/>
      <c r="AT94" s="1167"/>
      <c r="AU94" s="1168"/>
      <c r="AV94" s="1168"/>
      <c r="AW94" s="1169"/>
      <c r="AX94" s="1169"/>
      <c r="AY94" s="1169"/>
      <c r="AZ94" s="1169"/>
      <c r="BA94" s="1799" t="s">
        <v>0</v>
      </c>
      <c r="BB94" s="1802">
        <v>2008</v>
      </c>
      <c r="BC94" s="1799" t="s">
        <v>29</v>
      </c>
      <c r="BD94" s="1799">
        <v>2</v>
      </c>
      <c r="BE94" s="1800">
        <v>672143508.62</v>
      </c>
      <c r="BF94" s="1801">
        <v>0.15478472897296869</v>
      </c>
      <c r="BG94" s="1799"/>
      <c r="BH94" s="1799" t="s">
        <v>0</v>
      </c>
      <c r="BI94" s="1799" t="s">
        <v>314</v>
      </c>
      <c r="BJ94" s="1799" t="s">
        <v>249</v>
      </c>
      <c r="BK94" s="1799"/>
      <c r="BL94" s="1800">
        <v>3661122067</v>
      </c>
      <c r="BM94" s="1801"/>
      <c r="BN94" s="1799">
        <v>2009</v>
      </c>
      <c r="BO94" s="1684"/>
      <c r="BP94" s="1696"/>
      <c r="BQ94" s="1169"/>
      <c r="BR94" s="1169"/>
      <c r="BS94" s="1169"/>
      <c r="BT94" s="1169"/>
      <c r="BU94" s="1169"/>
      <c r="BV94" s="1169"/>
      <c r="BW94" s="1169"/>
      <c r="BX94" s="1169"/>
      <c r="BY94" s="1169"/>
      <c r="BZ94" s="1169"/>
      <c r="CA94" s="1169"/>
      <c r="CB94" s="1169"/>
      <c r="CC94" s="1169"/>
      <c r="CD94" s="1169"/>
      <c r="CE94" s="1169"/>
      <c r="CF94" s="1169"/>
      <c r="CG94" s="1169"/>
      <c r="CH94" s="1169"/>
      <c r="CI94" s="1169"/>
      <c r="CJ94" s="1169"/>
      <c r="CK94" s="1169"/>
      <c r="CL94" s="1169"/>
      <c r="CM94" s="1169"/>
      <c r="CN94" s="1169"/>
      <c r="CO94" s="1169"/>
      <c r="CP94" s="1169"/>
      <c r="CQ94" s="1169"/>
      <c r="CR94" s="1169"/>
      <c r="CS94" s="1169"/>
      <c r="CT94" s="1169"/>
      <c r="CU94" s="1169"/>
      <c r="CV94" s="1169"/>
      <c r="CW94" s="1169"/>
      <c r="CX94" s="1169"/>
      <c r="CY94" s="1169"/>
      <c r="CZ94" s="1169"/>
      <c r="DA94" s="1168"/>
      <c r="DB94" s="1168"/>
      <c r="DC94" s="1168"/>
      <c r="DD94" s="1168"/>
      <c r="DE94" s="1168"/>
      <c r="DF94" s="1168"/>
      <c r="DG94" s="1168"/>
      <c r="DH94" s="1168"/>
      <c r="DI94" s="1168"/>
      <c r="DJ94" s="1168"/>
      <c r="DK94" s="1168"/>
      <c r="DL94" s="1168"/>
      <c r="DM94" s="1168"/>
      <c r="DN94" s="1168"/>
      <c r="DO94" s="1168"/>
      <c r="DP94" s="1168"/>
      <c r="DQ94" s="1168"/>
      <c r="DR94" s="1168"/>
      <c r="DS94" s="1168"/>
      <c r="DT94" s="1168"/>
      <c r="DU94" s="1168"/>
      <c r="DV94" s="1168"/>
      <c r="DW94" s="1168"/>
      <c r="DX94" s="1168"/>
      <c r="DY94" s="1168"/>
      <c r="DZ94" s="1168"/>
      <c r="EA94" s="1168"/>
      <c r="EB94" s="1168"/>
      <c r="EC94" s="1168"/>
      <c r="ED94" s="1168"/>
      <c r="EE94" s="1168"/>
      <c r="EF94" s="1168"/>
      <c r="EG94" s="1168"/>
      <c r="EH94" s="1168"/>
      <c r="EI94" s="1170"/>
      <c r="EJ94" s="1170"/>
      <c r="EK94" s="1170"/>
      <c r="EL94" s="1170"/>
      <c r="EM94" s="1170"/>
      <c r="EN94" s="1170"/>
      <c r="EO94" s="1170"/>
      <c r="EP94" s="1170"/>
      <c r="EQ94" s="1170"/>
      <c r="ER94" s="1170"/>
      <c r="ES94" s="1333"/>
      <c r="ET94" s="1333"/>
      <c r="EU94" s="1333"/>
      <c r="EV94" s="1333"/>
      <c r="EW94" s="1333"/>
      <c r="EX94" s="1333"/>
      <c r="EY94" s="1333"/>
      <c r="EZ94" s="1333"/>
      <c r="FA94" s="1333"/>
      <c r="FB94" s="1333"/>
      <c r="FC94" s="1333"/>
      <c r="FD94" s="1333"/>
      <c r="FE94" s="1333"/>
      <c r="FF94" s="1333"/>
      <c r="FG94" s="1333"/>
      <c r="FH94" s="1333"/>
      <c r="FI94" s="1333"/>
      <c r="FJ94" s="1333"/>
      <c r="FK94" s="1333"/>
      <c r="FL94" s="1333"/>
      <c r="FM94" s="1333"/>
      <c r="FN94" s="1333"/>
      <c r="FO94" s="1333"/>
      <c r="FP94" s="1333"/>
      <c r="FQ94" s="1333"/>
      <c r="FR94" s="1333"/>
      <c r="FS94" s="1333"/>
      <c r="FT94" s="1333"/>
      <c r="FU94" s="1333"/>
      <c r="FV94" s="1333"/>
      <c r="FW94" s="1333"/>
      <c r="FX94" s="1333"/>
      <c r="FY94" s="1333"/>
      <c r="FZ94" s="1333"/>
      <c r="GA94" s="1333"/>
      <c r="GB94" s="1333"/>
      <c r="GC94" s="1333"/>
      <c r="GD94" s="1333"/>
      <c r="GE94" s="1333"/>
      <c r="GF94" s="1333"/>
      <c r="GG94" s="1333"/>
      <c r="GH94" s="1333"/>
      <c r="GI94" s="1333"/>
      <c r="GJ94" s="1333"/>
      <c r="GK94" s="1333"/>
      <c r="GL94" s="1333"/>
      <c r="GM94" s="1333"/>
      <c r="GN94" s="1333"/>
      <c r="GO94" s="1333"/>
      <c r="GP94" s="1333"/>
      <c r="GQ94" s="1333"/>
      <c r="GR94" s="1333"/>
      <c r="GS94" s="1333"/>
      <c r="GT94" s="1333"/>
      <c r="GU94" s="1333"/>
      <c r="GV94" s="1333"/>
      <c r="GW94" s="1333"/>
      <c r="GX94" s="1333"/>
    </row>
    <row r="95" spans="1:206" s="607" customFormat="1">
      <c r="A95" s="607">
        <f t="shared" si="2"/>
        <v>1978</v>
      </c>
      <c r="B95" s="607">
        <f t="shared" si="3"/>
        <v>1</v>
      </c>
      <c r="C95" s="1173">
        <v>28550</v>
      </c>
      <c r="D95" s="1709"/>
      <c r="E95" s="1117"/>
      <c r="F95" s="1117"/>
      <c r="G95" s="1117"/>
      <c r="H95" s="1117"/>
      <c r="I95" s="959">
        <v>160.68875156663751</v>
      </c>
      <c r="J95" s="959">
        <v>183.6833333333</v>
      </c>
      <c r="K95" s="960"/>
      <c r="L95" s="1121"/>
      <c r="M95" s="916"/>
      <c r="N95" s="916"/>
      <c r="O95" s="1332"/>
      <c r="P95" s="1332"/>
      <c r="Q95" s="1332"/>
      <c r="R95" s="1332"/>
      <c r="S95" s="1332"/>
      <c r="T95" s="1332"/>
      <c r="U95" s="1120"/>
      <c r="V95" s="1120"/>
      <c r="W95" s="1120"/>
      <c r="X95" s="1120"/>
      <c r="Y95" s="1119"/>
      <c r="Z95" s="1119"/>
      <c r="AA95" s="1119"/>
      <c r="AB95" s="1119"/>
      <c r="AC95" s="1178"/>
      <c r="AD95" s="1178"/>
      <c r="AE95" s="1178"/>
      <c r="AF95" s="1178"/>
      <c r="AG95" s="1178"/>
      <c r="AH95" s="1178"/>
      <c r="AI95" s="1178"/>
      <c r="AJ95" s="1178"/>
      <c r="AK95" s="919"/>
      <c r="AL95" s="1104"/>
      <c r="AM95" s="919"/>
      <c r="AN95" s="1710"/>
      <c r="AO95" s="919"/>
      <c r="AP95" s="919"/>
      <c r="AS95" s="1167"/>
      <c r="AT95" s="1167"/>
      <c r="AU95" s="1168"/>
      <c r="AV95" s="1168"/>
      <c r="AW95" s="1169"/>
      <c r="AX95" s="1169"/>
      <c r="AY95" s="1169"/>
      <c r="AZ95" s="1169"/>
      <c r="BA95" s="1799" t="s">
        <v>0</v>
      </c>
      <c r="BB95" s="1802">
        <v>2008</v>
      </c>
      <c r="BC95" s="1799" t="s">
        <v>15</v>
      </c>
      <c r="BD95" s="1799">
        <v>3</v>
      </c>
      <c r="BE95" s="1800">
        <v>660985564.25000024</v>
      </c>
      <c r="BF95" s="1801">
        <v>0.15221521907953567</v>
      </c>
      <c r="BG95" s="1799"/>
      <c r="BH95" s="1799" t="s">
        <v>0</v>
      </c>
      <c r="BI95" s="1799" t="s">
        <v>313</v>
      </c>
      <c r="BJ95" s="1799" t="s">
        <v>15</v>
      </c>
      <c r="BK95" s="1799">
        <v>1</v>
      </c>
      <c r="BL95" s="1800">
        <v>833260879.08000016</v>
      </c>
      <c r="BM95" s="1801">
        <v>0.20322622756671099</v>
      </c>
      <c r="BN95" s="1799">
        <v>2008</v>
      </c>
      <c r="BO95" s="1684"/>
      <c r="BP95" s="1697"/>
      <c r="BQ95" s="1169"/>
      <c r="BR95" s="1169"/>
      <c r="BS95" s="1169"/>
      <c r="BT95" s="1169"/>
      <c r="BU95" s="1169"/>
      <c r="BV95" s="1169"/>
      <c r="BW95" s="1169"/>
      <c r="BX95" s="1169"/>
      <c r="BY95" s="1169"/>
      <c r="BZ95" s="1169"/>
      <c r="CA95" s="1169"/>
      <c r="CB95" s="1169"/>
      <c r="CC95" s="1169"/>
      <c r="CD95" s="1169"/>
      <c r="CE95" s="1169"/>
      <c r="CF95" s="1169"/>
      <c r="CG95" s="1169"/>
      <c r="CH95" s="1169"/>
      <c r="CI95" s="1169"/>
      <c r="CJ95" s="1169"/>
      <c r="CK95" s="1169"/>
      <c r="CL95" s="1169"/>
      <c r="CM95" s="1169"/>
      <c r="CN95" s="1169"/>
      <c r="CO95" s="1169"/>
      <c r="CP95" s="1169"/>
      <c r="CQ95" s="1169"/>
      <c r="CR95" s="1169"/>
      <c r="CS95" s="1169"/>
      <c r="CT95" s="1169"/>
      <c r="CU95" s="1169"/>
      <c r="CV95" s="1169"/>
      <c r="CW95" s="1169"/>
      <c r="CX95" s="1169"/>
      <c r="CY95" s="1169"/>
      <c r="CZ95" s="1169"/>
      <c r="DA95" s="1168"/>
      <c r="DB95" s="1168"/>
      <c r="DC95" s="1168"/>
      <c r="DD95" s="1168"/>
      <c r="DE95" s="1168"/>
      <c r="DF95" s="1168"/>
      <c r="DG95" s="1168"/>
      <c r="DH95" s="1168"/>
      <c r="DI95" s="1168"/>
      <c r="DJ95" s="1168"/>
      <c r="DK95" s="1168"/>
      <c r="DL95" s="1168"/>
      <c r="DM95" s="1168"/>
      <c r="DN95" s="1168"/>
      <c r="DO95" s="1168"/>
      <c r="DP95" s="1168"/>
      <c r="DQ95" s="1168"/>
      <c r="DR95" s="1168"/>
      <c r="DS95" s="1168"/>
      <c r="DT95" s="1168"/>
      <c r="DU95" s="1168"/>
      <c r="DV95" s="1168"/>
      <c r="DW95" s="1168"/>
      <c r="DX95" s="1168"/>
      <c r="DY95" s="1168"/>
      <c r="DZ95" s="1168"/>
      <c r="EA95" s="1168"/>
      <c r="EB95" s="1168"/>
      <c r="EC95" s="1168"/>
      <c r="ED95" s="1168"/>
      <c r="EE95" s="1168"/>
      <c r="EF95" s="1168"/>
      <c r="EG95" s="1168"/>
      <c r="EH95" s="1168"/>
      <c r="EI95" s="1170"/>
      <c r="EJ95" s="1170"/>
      <c r="EK95" s="1170"/>
      <c r="EL95" s="1170"/>
      <c r="EM95" s="1170"/>
      <c r="EN95" s="1170"/>
      <c r="EO95" s="1170"/>
      <c r="EP95" s="1170"/>
      <c r="EQ95" s="1170"/>
      <c r="ER95" s="1170"/>
      <c r="ES95" s="1333"/>
      <c r="ET95" s="1333"/>
      <c r="EU95" s="1333"/>
      <c r="EV95" s="1333"/>
      <c r="EW95" s="1333"/>
      <c r="EX95" s="1333"/>
      <c r="EY95" s="1333"/>
      <c r="EZ95" s="1333"/>
      <c r="FA95" s="1333"/>
      <c r="FB95" s="1333"/>
      <c r="FC95" s="1333"/>
      <c r="FD95" s="1333"/>
      <c r="FE95" s="1333"/>
      <c r="FF95" s="1333"/>
      <c r="FG95" s="1333"/>
      <c r="FH95" s="1333"/>
      <c r="FI95" s="1333"/>
      <c r="FJ95" s="1333"/>
      <c r="FK95" s="1333"/>
      <c r="FL95" s="1333"/>
      <c r="FM95" s="1333"/>
      <c r="FN95" s="1333"/>
      <c r="FO95" s="1333"/>
      <c r="FP95" s="1333"/>
      <c r="FQ95" s="1333"/>
      <c r="FR95" s="1333"/>
      <c r="FS95" s="1333"/>
      <c r="FT95" s="1333"/>
      <c r="FU95" s="1333"/>
      <c r="FV95" s="1333"/>
      <c r="FW95" s="1333"/>
      <c r="FX95" s="1333"/>
      <c r="FY95" s="1333"/>
      <c r="FZ95" s="1333"/>
      <c r="GA95" s="1333"/>
      <c r="GB95" s="1333"/>
      <c r="GC95" s="1333"/>
      <c r="GD95" s="1333"/>
      <c r="GE95" s="1333"/>
      <c r="GF95" s="1333"/>
      <c r="GG95" s="1333"/>
      <c r="GH95" s="1333"/>
      <c r="GI95" s="1333"/>
      <c r="GJ95" s="1333"/>
      <c r="GK95" s="1333"/>
      <c r="GL95" s="1333"/>
      <c r="GM95" s="1333"/>
      <c r="GN95" s="1333"/>
      <c r="GO95" s="1333"/>
      <c r="GP95" s="1333"/>
      <c r="GQ95" s="1333"/>
      <c r="GR95" s="1333"/>
      <c r="GS95" s="1333"/>
      <c r="GT95" s="1333"/>
      <c r="GU95" s="1333"/>
      <c r="GV95" s="1333"/>
      <c r="GW95" s="1333"/>
      <c r="GX95" s="1333"/>
    </row>
    <row r="96" spans="1:206" s="607" customFormat="1">
      <c r="A96" s="607">
        <f t="shared" si="2"/>
        <v>1978</v>
      </c>
      <c r="B96" s="607">
        <f t="shared" si="3"/>
        <v>2</v>
      </c>
      <c r="C96" s="1173">
        <v>28583</v>
      </c>
      <c r="D96" s="957"/>
      <c r="E96" s="920"/>
      <c r="F96" s="920"/>
      <c r="G96" s="920"/>
      <c r="H96" s="920"/>
      <c r="I96" s="954">
        <v>153.7616610855078</v>
      </c>
      <c r="J96" s="954">
        <v>174.70394736840001</v>
      </c>
      <c r="K96" s="954"/>
      <c r="L96" s="920"/>
      <c r="M96" s="917"/>
      <c r="N96" s="917"/>
      <c r="O96" s="1334"/>
      <c r="P96" s="1334"/>
      <c r="Q96" s="1334"/>
      <c r="R96" s="1334"/>
      <c r="S96" s="1334"/>
      <c r="T96" s="1334"/>
      <c r="U96" s="920"/>
      <c r="V96" s="920"/>
      <c r="W96" s="920"/>
      <c r="X96" s="920"/>
      <c r="Y96" s="920"/>
      <c r="Z96" s="920"/>
      <c r="AA96" s="920"/>
      <c r="AB96" s="920"/>
      <c r="AC96" s="920"/>
      <c r="AD96" s="920"/>
      <c r="AE96" s="920"/>
      <c r="AF96" s="920"/>
      <c r="AG96" s="920"/>
      <c r="AH96" s="920"/>
      <c r="AI96" s="920"/>
      <c r="AJ96" s="920"/>
      <c r="AK96" s="920"/>
      <c r="AL96" s="1105"/>
      <c r="AM96" s="920"/>
      <c r="AN96" s="1711"/>
      <c r="AO96" s="920"/>
      <c r="AP96" s="920"/>
      <c r="AS96" s="1167"/>
      <c r="AT96" s="1167"/>
      <c r="AU96" s="1168"/>
      <c r="AV96" s="1168"/>
      <c r="AW96" s="1169"/>
      <c r="AX96" s="1169"/>
      <c r="AY96" s="1169"/>
      <c r="AZ96" s="1169"/>
      <c r="BA96" s="1799" t="s">
        <v>0</v>
      </c>
      <c r="BB96" s="1802">
        <v>2008</v>
      </c>
      <c r="BC96" s="1799" t="s">
        <v>27</v>
      </c>
      <c r="BD96" s="1799">
        <v>4</v>
      </c>
      <c r="BE96" s="1800">
        <v>568341943.97000003</v>
      </c>
      <c r="BF96" s="1801">
        <v>0.13088076077976571</v>
      </c>
      <c r="BG96" s="1799"/>
      <c r="BH96" s="1799" t="s">
        <v>0</v>
      </c>
      <c r="BI96" s="1799" t="s">
        <v>313</v>
      </c>
      <c r="BJ96" s="1799" t="s">
        <v>14</v>
      </c>
      <c r="BK96" s="1799">
        <v>2</v>
      </c>
      <c r="BL96" s="1800">
        <v>594276406.40999997</v>
      </c>
      <c r="BM96" s="1801">
        <v>0.14493966444212567</v>
      </c>
      <c r="BN96" s="1799">
        <v>2008</v>
      </c>
      <c r="BO96" s="1684"/>
      <c r="BP96" s="1696"/>
      <c r="BQ96" s="1169"/>
      <c r="BR96" s="1169"/>
      <c r="BS96" s="1169"/>
      <c r="BT96" s="1169"/>
      <c r="BU96" s="1169"/>
      <c r="BV96" s="1169"/>
      <c r="BW96" s="1169"/>
      <c r="BX96" s="1169"/>
      <c r="BY96" s="1169"/>
      <c r="BZ96" s="1169"/>
      <c r="CA96" s="1169"/>
      <c r="CB96" s="1169"/>
      <c r="CC96" s="1169"/>
      <c r="CD96" s="1169"/>
      <c r="CE96" s="1169"/>
      <c r="CF96" s="1169"/>
      <c r="CG96" s="1169"/>
      <c r="CH96" s="1169"/>
      <c r="CI96" s="1169"/>
      <c r="CJ96" s="1169"/>
      <c r="CK96" s="1169"/>
      <c r="CL96" s="1169"/>
      <c r="CM96" s="1169"/>
      <c r="CN96" s="1169"/>
      <c r="CO96" s="1169"/>
      <c r="CP96" s="1169"/>
      <c r="CQ96" s="1169"/>
      <c r="CR96" s="1169"/>
      <c r="CS96" s="1169"/>
      <c r="CT96" s="1169"/>
      <c r="CU96" s="1169"/>
      <c r="CV96" s="1169"/>
      <c r="CW96" s="1169"/>
      <c r="CX96" s="1169"/>
      <c r="CY96" s="1169"/>
      <c r="CZ96" s="1169"/>
      <c r="DA96" s="1168"/>
      <c r="DB96" s="1168"/>
      <c r="DC96" s="1168"/>
      <c r="DD96" s="1168"/>
      <c r="DE96" s="1168"/>
      <c r="DF96" s="1168"/>
      <c r="DG96" s="1168"/>
      <c r="DH96" s="1168"/>
      <c r="DI96" s="1168"/>
      <c r="DJ96" s="1168"/>
      <c r="DK96" s="1168"/>
      <c r="DL96" s="1168"/>
      <c r="DM96" s="1168"/>
      <c r="DN96" s="1168"/>
      <c r="DO96" s="1168"/>
      <c r="DP96" s="1168"/>
      <c r="DQ96" s="1168"/>
      <c r="DR96" s="1168"/>
      <c r="DS96" s="1168"/>
      <c r="DT96" s="1168"/>
      <c r="DU96" s="1168"/>
      <c r="DV96" s="1168"/>
      <c r="DW96" s="1168"/>
      <c r="DX96" s="1168"/>
      <c r="DY96" s="1168"/>
      <c r="DZ96" s="1168"/>
      <c r="EA96" s="1168"/>
      <c r="EB96" s="1168"/>
      <c r="EC96" s="1168"/>
      <c r="ED96" s="1168"/>
      <c r="EE96" s="1168"/>
      <c r="EF96" s="1168"/>
      <c r="EG96" s="1168"/>
      <c r="EH96" s="1168"/>
      <c r="EI96" s="1170"/>
      <c r="EJ96" s="1170"/>
      <c r="EK96" s="1170"/>
      <c r="EL96" s="1170"/>
      <c r="EM96" s="1170"/>
      <c r="EN96" s="1170"/>
      <c r="EO96" s="1170"/>
      <c r="EP96" s="1170"/>
      <c r="EQ96" s="1170"/>
      <c r="ER96" s="1170"/>
      <c r="ES96" s="1333"/>
      <c r="ET96" s="1333"/>
      <c r="EU96" s="1333"/>
      <c r="EV96" s="1333"/>
      <c r="EW96" s="1333"/>
      <c r="EX96" s="1333"/>
      <c r="EY96" s="1333"/>
      <c r="EZ96" s="1333"/>
      <c r="FA96" s="1333"/>
      <c r="FB96" s="1333"/>
      <c r="FC96" s="1333"/>
      <c r="FD96" s="1333"/>
      <c r="FE96" s="1333"/>
      <c r="FF96" s="1333"/>
      <c r="FG96" s="1333"/>
      <c r="FH96" s="1333"/>
      <c r="FI96" s="1333"/>
      <c r="FJ96" s="1333"/>
      <c r="FK96" s="1333"/>
      <c r="FL96" s="1333"/>
      <c r="FM96" s="1333"/>
      <c r="FN96" s="1333"/>
      <c r="FO96" s="1333"/>
      <c r="FP96" s="1333"/>
      <c r="FQ96" s="1333"/>
      <c r="FR96" s="1333"/>
      <c r="FS96" s="1333"/>
      <c r="FT96" s="1333"/>
      <c r="FU96" s="1333"/>
      <c r="FV96" s="1333"/>
      <c r="FW96" s="1333"/>
      <c r="FX96" s="1333"/>
      <c r="FY96" s="1333"/>
      <c r="FZ96" s="1333"/>
      <c r="GA96" s="1333"/>
      <c r="GB96" s="1333"/>
      <c r="GC96" s="1333"/>
      <c r="GD96" s="1333"/>
      <c r="GE96" s="1333"/>
      <c r="GF96" s="1333"/>
      <c r="GG96" s="1333"/>
      <c r="GH96" s="1333"/>
      <c r="GI96" s="1333"/>
      <c r="GJ96" s="1333"/>
      <c r="GK96" s="1333"/>
      <c r="GL96" s="1333"/>
      <c r="GM96" s="1333"/>
      <c r="GN96" s="1333"/>
      <c r="GO96" s="1333"/>
      <c r="GP96" s="1333"/>
      <c r="GQ96" s="1333"/>
      <c r="GR96" s="1333"/>
      <c r="GS96" s="1333"/>
      <c r="GT96" s="1333"/>
      <c r="GU96" s="1333"/>
      <c r="GV96" s="1333"/>
      <c r="GW96" s="1333"/>
      <c r="GX96" s="1333"/>
    </row>
    <row r="97" spans="1:206" s="607" customFormat="1">
      <c r="A97" s="607">
        <f t="shared" si="2"/>
        <v>1978</v>
      </c>
      <c r="B97" s="607">
        <f t="shared" si="3"/>
        <v>2</v>
      </c>
      <c r="C97" s="1173">
        <v>28611</v>
      </c>
      <c r="D97" s="1709"/>
      <c r="E97" s="1117"/>
      <c r="F97" s="1117"/>
      <c r="G97" s="1117"/>
      <c r="H97" s="1117"/>
      <c r="I97" s="959">
        <v>156.29342335718079</v>
      </c>
      <c r="J97" s="959">
        <v>176.6428571429</v>
      </c>
      <c r="K97" s="960"/>
      <c r="L97" s="1121"/>
      <c r="M97" s="916"/>
      <c r="N97" s="916"/>
      <c r="O97" s="1332"/>
      <c r="P97" s="1332"/>
      <c r="Q97" s="1332"/>
      <c r="R97" s="1332"/>
      <c r="S97" s="1332"/>
      <c r="T97" s="1332"/>
      <c r="U97" s="1120"/>
      <c r="V97" s="1120"/>
      <c r="W97" s="1120"/>
      <c r="X97" s="1120"/>
      <c r="Y97" s="1119"/>
      <c r="Z97" s="1119"/>
      <c r="AA97" s="1119"/>
      <c r="AB97" s="1119"/>
      <c r="AC97" s="1178"/>
      <c r="AD97" s="1178"/>
      <c r="AE97" s="1178"/>
      <c r="AF97" s="1178"/>
      <c r="AG97" s="1178"/>
      <c r="AH97" s="1178"/>
      <c r="AI97" s="1178"/>
      <c r="AJ97" s="1178"/>
      <c r="AK97" s="919"/>
      <c r="AL97" s="1104"/>
      <c r="AM97" s="919"/>
      <c r="AN97" s="1710"/>
      <c r="AO97" s="919"/>
      <c r="AP97" s="919"/>
      <c r="AS97" s="1167"/>
      <c r="AT97" s="1167"/>
      <c r="AU97" s="1168"/>
      <c r="AV97" s="1168"/>
      <c r="AW97" s="1169"/>
      <c r="AX97" s="1169"/>
      <c r="AY97" s="1169"/>
      <c r="AZ97" s="1169"/>
      <c r="BA97" s="1799" t="s">
        <v>0</v>
      </c>
      <c r="BB97" s="1802">
        <v>2008</v>
      </c>
      <c r="BC97" s="1799" t="s">
        <v>22</v>
      </c>
      <c r="BD97" s="1799">
        <v>5</v>
      </c>
      <c r="BE97" s="1800">
        <v>420151567.44999993</v>
      </c>
      <c r="BF97" s="1801">
        <v>9.6754704406560005E-2</v>
      </c>
      <c r="BG97" s="1799"/>
      <c r="BH97" s="1799" t="s">
        <v>0</v>
      </c>
      <c r="BI97" s="1799" t="s">
        <v>313</v>
      </c>
      <c r="BJ97" s="1799" t="s">
        <v>29</v>
      </c>
      <c r="BK97" s="1799">
        <v>3</v>
      </c>
      <c r="BL97" s="1800">
        <v>575396501.14999998</v>
      </c>
      <c r="BM97" s="1801">
        <v>0.14033499378118813</v>
      </c>
      <c r="BN97" s="1799">
        <v>2008</v>
      </c>
      <c r="BO97" s="1684"/>
      <c r="BP97" s="1696"/>
      <c r="BQ97" s="1169"/>
      <c r="BR97" s="1169"/>
      <c r="BS97" s="1169"/>
      <c r="BT97" s="1169"/>
      <c r="BU97" s="1169"/>
      <c r="BV97" s="1169"/>
      <c r="BW97" s="1169"/>
      <c r="BX97" s="1169"/>
      <c r="BY97" s="1169"/>
      <c r="BZ97" s="1169"/>
      <c r="CA97" s="1169"/>
      <c r="CB97" s="1169"/>
      <c r="CC97" s="1169"/>
      <c r="CD97" s="1169"/>
      <c r="CE97" s="1169"/>
      <c r="CF97" s="1169"/>
      <c r="CG97" s="1169"/>
      <c r="CH97" s="1169"/>
      <c r="CI97" s="1169"/>
      <c r="CJ97" s="1169"/>
      <c r="CK97" s="1169"/>
      <c r="CL97" s="1169"/>
      <c r="CM97" s="1169"/>
      <c r="CN97" s="1169"/>
      <c r="CO97" s="1169"/>
      <c r="CP97" s="1169"/>
      <c r="CQ97" s="1169"/>
      <c r="CR97" s="1169"/>
      <c r="CS97" s="1169"/>
      <c r="CT97" s="1169"/>
      <c r="CU97" s="1169"/>
      <c r="CV97" s="1169"/>
      <c r="CW97" s="1169"/>
      <c r="CX97" s="1169"/>
      <c r="CY97" s="1169"/>
      <c r="CZ97" s="1169"/>
      <c r="DA97" s="1168"/>
      <c r="DB97" s="1168"/>
      <c r="DC97" s="1168"/>
      <c r="DD97" s="1168"/>
      <c r="DE97" s="1168"/>
      <c r="DF97" s="1168"/>
      <c r="DG97" s="1168"/>
      <c r="DH97" s="1168"/>
      <c r="DI97" s="1168"/>
      <c r="DJ97" s="1168"/>
      <c r="DK97" s="1168"/>
      <c r="DL97" s="1168"/>
      <c r="DM97" s="1168"/>
      <c r="DN97" s="1168"/>
      <c r="DO97" s="1168"/>
      <c r="DP97" s="1168"/>
      <c r="DQ97" s="1168"/>
      <c r="DR97" s="1168"/>
      <c r="DS97" s="1168"/>
      <c r="DT97" s="1168"/>
      <c r="DU97" s="1168"/>
      <c r="DV97" s="1168"/>
      <c r="DW97" s="1168"/>
      <c r="DX97" s="1168"/>
      <c r="DY97" s="1168"/>
      <c r="DZ97" s="1168"/>
      <c r="EA97" s="1168"/>
      <c r="EB97" s="1168"/>
      <c r="EC97" s="1168"/>
      <c r="ED97" s="1168"/>
      <c r="EE97" s="1168"/>
      <c r="EF97" s="1168"/>
      <c r="EG97" s="1168"/>
      <c r="EH97" s="1168"/>
      <c r="EI97" s="1170"/>
      <c r="EJ97" s="1170"/>
      <c r="EK97" s="1170"/>
      <c r="EL97" s="1170"/>
      <c r="EM97" s="1170"/>
      <c r="EN97" s="1170"/>
      <c r="EO97" s="1170"/>
      <c r="EP97" s="1170"/>
      <c r="EQ97" s="1170"/>
      <c r="ER97" s="1170"/>
      <c r="ES97" s="1333"/>
      <c r="ET97" s="1333"/>
      <c r="EU97" s="1333"/>
      <c r="EV97" s="1333"/>
      <c r="EW97" s="1333"/>
      <c r="EX97" s="1333"/>
      <c r="EY97" s="1333"/>
      <c r="EZ97" s="1333"/>
      <c r="FA97" s="1333"/>
      <c r="FB97" s="1333"/>
      <c r="FC97" s="1333"/>
      <c r="FD97" s="1333"/>
      <c r="FE97" s="1333"/>
      <c r="FF97" s="1333"/>
      <c r="FG97" s="1333"/>
      <c r="FH97" s="1333"/>
      <c r="FI97" s="1333"/>
      <c r="FJ97" s="1333"/>
      <c r="FK97" s="1333"/>
      <c r="FL97" s="1333"/>
      <c r="FM97" s="1333"/>
      <c r="FN97" s="1333"/>
      <c r="FO97" s="1333"/>
      <c r="FP97" s="1333"/>
      <c r="FQ97" s="1333"/>
      <c r="FR97" s="1333"/>
      <c r="FS97" s="1333"/>
      <c r="FT97" s="1333"/>
      <c r="FU97" s="1333"/>
      <c r="FV97" s="1333"/>
      <c r="FW97" s="1333"/>
      <c r="FX97" s="1333"/>
      <c r="FY97" s="1333"/>
      <c r="FZ97" s="1333"/>
      <c r="GA97" s="1333"/>
      <c r="GB97" s="1333"/>
      <c r="GC97" s="1333"/>
      <c r="GD97" s="1333"/>
      <c r="GE97" s="1333"/>
      <c r="GF97" s="1333"/>
      <c r="GG97" s="1333"/>
      <c r="GH97" s="1333"/>
      <c r="GI97" s="1333"/>
      <c r="GJ97" s="1333"/>
      <c r="GK97" s="1333"/>
      <c r="GL97" s="1333"/>
      <c r="GM97" s="1333"/>
      <c r="GN97" s="1333"/>
      <c r="GO97" s="1333"/>
      <c r="GP97" s="1333"/>
      <c r="GQ97" s="1333"/>
      <c r="GR97" s="1333"/>
      <c r="GS97" s="1333"/>
      <c r="GT97" s="1333"/>
      <c r="GU97" s="1333"/>
      <c r="GV97" s="1333"/>
      <c r="GW97" s="1333"/>
      <c r="GX97" s="1333"/>
    </row>
    <row r="98" spans="1:206" s="607" customFormat="1">
      <c r="A98" s="607">
        <f t="shared" si="2"/>
        <v>1978</v>
      </c>
      <c r="B98" s="607">
        <f t="shared" si="3"/>
        <v>2</v>
      </c>
      <c r="C98" s="1173">
        <v>28642</v>
      </c>
      <c r="D98" s="957"/>
      <c r="E98" s="920"/>
      <c r="F98" s="920"/>
      <c r="G98" s="920"/>
      <c r="H98" s="920"/>
      <c r="I98" s="954">
        <v>160.13572647728859</v>
      </c>
      <c r="J98" s="954">
        <v>183.7556818182</v>
      </c>
      <c r="K98" s="954"/>
      <c r="L98" s="920"/>
      <c r="M98" s="917"/>
      <c r="N98" s="917"/>
      <c r="O98" s="1334"/>
      <c r="P98" s="1334"/>
      <c r="Q98" s="1334"/>
      <c r="R98" s="1334"/>
      <c r="S98" s="1334"/>
      <c r="T98" s="1334"/>
      <c r="U98" s="920"/>
      <c r="V98" s="920"/>
      <c r="W98" s="920"/>
      <c r="X98" s="920"/>
      <c r="Y98" s="920"/>
      <c r="Z98" s="920"/>
      <c r="AA98" s="920"/>
      <c r="AB98" s="920"/>
      <c r="AC98" s="920"/>
      <c r="AD98" s="920"/>
      <c r="AE98" s="920"/>
      <c r="AF98" s="920"/>
      <c r="AG98" s="920"/>
      <c r="AH98" s="920"/>
      <c r="AI98" s="920"/>
      <c r="AJ98" s="920"/>
      <c r="AK98" s="920"/>
      <c r="AL98" s="1105"/>
      <c r="AM98" s="920"/>
      <c r="AN98" s="1711"/>
      <c r="AO98" s="920"/>
      <c r="AP98" s="920"/>
      <c r="AS98" s="1167"/>
      <c r="AT98" s="1167"/>
      <c r="AU98" s="1168"/>
      <c r="AV98" s="1168"/>
      <c r="AW98" s="1169"/>
      <c r="AX98" s="1169"/>
      <c r="AY98" s="1169"/>
      <c r="AZ98" s="1169"/>
      <c r="BA98" s="1799" t="s">
        <v>0</v>
      </c>
      <c r="BB98" s="1802">
        <v>2008</v>
      </c>
      <c r="BC98" s="1799" t="s">
        <v>250</v>
      </c>
      <c r="BD98" s="1799">
        <v>6</v>
      </c>
      <c r="BE98" s="1800">
        <v>263355594.13</v>
      </c>
      <c r="BF98" s="1801">
        <v>6.0646906111791403E-2</v>
      </c>
      <c r="BG98" s="1799"/>
      <c r="BH98" s="1799" t="s">
        <v>0</v>
      </c>
      <c r="BI98" s="1799" t="s">
        <v>313</v>
      </c>
      <c r="BJ98" s="1799" t="s">
        <v>27</v>
      </c>
      <c r="BK98" s="1799">
        <v>4</v>
      </c>
      <c r="BL98" s="1800">
        <v>556446679.08000004</v>
      </c>
      <c r="BM98" s="1801">
        <v>0.1357132709221977</v>
      </c>
      <c r="BN98" s="1799">
        <v>2008</v>
      </c>
      <c r="BO98" s="1684"/>
      <c r="BP98" s="1697"/>
      <c r="BQ98" s="1169"/>
      <c r="BR98" s="1169"/>
      <c r="BS98" s="1169"/>
      <c r="BT98" s="1169"/>
      <c r="BU98" s="1169"/>
      <c r="BV98" s="1169"/>
      <c r="BW98" s="1169"/>
      <c r="BX98" s="1169"/>
      <c r="BY98" s="1169"/>
      <c r="BZ98" s="1169"/>
      <c r="CA98" s="1169"/>
      <c r="CB98" s="1169"/>
      <c r="CC98" s="1169"/>
      <c r="CD98" s="1169"/>
      <c r="CE98" s="1169"/>
      <c r="CF98" s="1169"/>
      <c r="CG98" s="1169"/>
      <c r="CH98" s="1169"/>
      <c r="CI98" s="1169"/>
      <c r="CJ98" s="1169"/>
      <c r="CK98" s="1169"/>
      <c r="CL98" s="1169"/>
      <c r="CM98" s="1169"/>
      <c r="CN98" s="1169"/>
      <c r="CO98" s="1169"/>
      <c r="CP98" s="1169"/>
      <c r="CQ98" s="1169"/>
      <c r="CR98" s="1169"/>
      <c r="CS98" s="1169"/>
      <c r="CT98" s="1169"/>
      <c r="CU98" s="1169"/>
      <c r="CV98" s="1169"/>
      <c r="CW98" s="1169"/>
      <c r="CX98" s="1169"/>
      <c r="CY98" s="1169"/>
      <c r="CZ98" s="1169"/>
      <c r="DA98" s="1168"/>
      <c r="DB98" s="1168"/>
      <c r="DC98" s="1168"/>
      <c r="DD98" s="1168"/>
      <c r="DE98" s="1168"/>
      <c r="DF98" s="1168"/>
      <c r="DG98" s="1168"/>
      <c r="DH98" s="1168"/>
      <c r="DI98" s="1168"/>
      <c r="DJ98" s="1168"/>
      <c r="DK98" s="1168"/>
      <c r="DL98" s="1168"/>
      <c r="DM98" s="1168"/>
      <c r="DN98" s="1168"/>
      <c r="DO98" s="1168"/>
      <c r="DP98" s="1168"/>
      <c r="DQ98" s="1168"/>
      <c r="DR98" s="1168"/>
      <c r="DS98" s="1168"/>
      <c r="DT98" s="1168"/>
      <c r="DU98" s="1168"/>
      <c r="DV98" s="1168"/>
      <c r="DW98" s="1168"/>
      <c r="DX98" s="1168"/>
      <c r="DY98" s="1168"/>
      <c r="DZ98" s="1168"/>
      <c r="EA98" s="1168"/>
      <c r="EB98" s="1168"/>
      <c r="EC98" s="1168"/>
      <c r="ED98" s="1168"/>
      <c r="EE98" s="1168"/>
      <c r="EF98" s="1168"/>
      <c r="EG98" s="1168"/>
      <c r="EH98" s="1168"/>
      <c r="EI98" s="1170"/>
      <c r="EJ98" s="1170"/>
      <c r="EK98" s="1170"/>
      <c r="EL98" s="1170"/>
      <c r="EM98" s="1170"/>
      <c r="EN98" s="1170"/>
      <c r="EO98" s="1170"/>
      <c r="EP98" s="1170"/>
      <c r="EQ98" s="1170"/>
      <c r="ER98" s="1170"/>
      <c r="ES98" s="1333"/>
      <c r="ET98" s="1333"/>
      <c r="EU98" s="1333"/>
      <c r="EV98" s="1333"/>
      <c r="EW98" s="1333"/>
      <c r="EX98" s="1333"/>
      <c r="EY98" s="1333"/>
      <c r="EZ98" s="1333"/>
      <c r="FA98" s="1333"/>
      <c r="FB98" s="1333"/>
      <c r="FC98" s="1333"/>
      <c r="FD98" s="1333"/>
      <c r="FE98" s="1333"/>
      <c r="FF98" s="1333"/>
      <c r="FG98" s="1333"/>
      <c r="FH98" s="1333"/>
      <c r="FI98" s="1333"/>
      <c r="FJ98" s="1333"/>
      <c r="FK98" s="1333"/>
      <c r="FL98" s="1333"/>
      <c r="FM98" s="1333"/>
      <c r="FN98" s="1333"/>
      <c r="FO98" s="1333"/>
      <c r="FP98" s="1333"/>
      <c r="FQ98" s="1333"/>
      <c r="FR98" s="1333"/>
      <c r="FS98" s="1333"/>
      <c r="FT98" s="1333"/>
      <c r="FU98" s="1333"/>
      <c r="FV98" s="1333"/>
      <c r="FW98" s="1333"/>
      <c r="FX98" s="1333"/>
      <c r="FY98" s="1333"/>
      <c r="FZ98" s="1333"/>
      <c r="GA98" s="1333"/>
      <c r="GB98" s="1333"/>
      <c r="GC98" s="1333"/>
      <c r="GD98" s="1333"/>
      <c r="GE98" s="1333"/>
      <c r="GF98" s="1333"/>
      <c r="GG98" s="1333"/>
      <c r="GH98" s="1333"/>
      <c r="GI98" s="1333"/>
      <c r="GJ98" s="1333"/>
      <c r="GK98" s="1333"/>
      <c r="GL98" s="1333"/>
      <c r="GM98" s="1333"/>
      <c r="GN98" s="1333"/>
      <c r="GO98" s="1333"/>
      <c r="GP98" s="1333"/>
      <c r="GQ98" s="1333"/>
      <c r="GR98" s="1333"/>
      <c r="GS98" s="1333"/>
      <c r="GT98" s="1333"/>
      <c r="GU98" s="1333"/>
      <c r="GV98" s="1333"/>
      <c r="GW98" s="1333"/>
      <c r="GX98" s="1333"/>
    </row>
    <row r="99" spans="1:206" s="607" customFormat="1">
      <c r="A99" s="607">
        <f t="shared" si="2"/>
        <v>1978</v>
      </c>
      <c r="B99" s="607">
        <f t="shared" si="3"/>
        <v>3</v>
      </c>
      <c r="C99" s="1173">
        <v>28674</v>
      </c>
      <c r="D99" s="1709"/>
      <c r="E99" s="1117"/>
      <c r="F99" s="1117"/>
      <c r="G99" s="1117"/>
      <c r="H99" s="1117"/>
      <c r="I99" s="959">
        <v>163.83555362140385</v>
      </c>
      <c r="J99" s="959">
        <v>189.2464285714</v>
      </c>
      <c r="K99" s="960"/>
      <c r="L99" s="1121"/>
      <c r="M99" s="916"/>
      <c r="N99" s="916"/>
      <c r="O99" s="1332"/>
      <c r="P99" s="1332"/>
      <c r="Q99" s="1332"/>
      <c r="R99" s="1332"/>
      <c r="S99" s="1332"/>
      <c r="T99" s="1332"/>
      <c r="U99" s="1120"/>
      <c r="V99" s="1120"/>
      <c r="W99" s="1120"/>
      <c r="X99" s="1120"/>
      <c r="Y99" s="1119"/>
      <c r="Z99" s="1119"/>
      <c r="AA99" s="1119"/>
      <c r="AB99" s="1119"/>
      <c r="AC99" s="1178"/>
      <c r="AD99" s="1178"/>
      <c r="AE99" s="1178"/>
      <c r="AF99" s="1178"/>
      <c r="AG99" s="1178"/>
      <c r="AH99" s="1178"/>
      <c r="AI99" s="1178"/>
      <c r="AJ99" s="1178"/>
      <c r="AK99" s="919"/>
      <c r="AL99" s="1104"/>
      <c r="AM99" s="919"/>
      <c r="AN99" s="1710"/>
      <c r="AO99" s="919"/>
      <c r="AP99" s="919"/>
      <c r="AS99" s="1167"/>
      <c r="AT99" s="1167"/>
      <c r="AU99" s="1168"/>
      <c r="AV99" s="1168"/>
      <c r="AW99" s="1169"/>
      <c r="AX99" s="1169"/>
      <c r="AY99" s="1169"/>
      <c r="AZ99" s="1169"/>
      <c r="BA99" s="1799" t="s">
        <v>0</v>
      </c>
      <c r="BB99" s="1802">
        <v>2008</v>
      </c>
      <c r="BC99" s="1799" t="s">
        <v>44</v>
      </c>
      <c r="BD99" s="1799">
        <v>7</v>
      </c>
      <c r="BE99" s="1800">
        <v>242568462.67999998</v>
      </c>
      <c r="BF99" s="1801">
        <v>5.5859936563845095E-2</v>
      </c>
      <c r="BG99" s="1799"/>
      <c r="BH99" s="1799" t="s">
        <v>0</v>
      </c>
      <c r="BI99" s="1799" t="s">
        <v>313</v>
      </c>
      <c r="BJ99" s="1799" t="s">
        <v>22</v>
      </c>
      <c r="BK99" s="1799">
        <v>5</v>
      </c>
      <c r="BL99" s="1800">
        <v>418766474.67999995</v>
      </c>
      <c r="BM99" s="1801">
        <v>0.10213407711470905</v>
      </c>
      <c r="BN99" s="1799">
        <v>2008</v>
      </c>
      <c r="BO99" s="1684"/>
      <c r="BP99" s="1696"/>
      <c r="BQ99" s="1169"/>
      <c r="BR99" s="1169"/>
      <c r="BS99" s="1169"/>
      <c r="BT99" s="1169"/>
      <c r="BU99" s="1169"/>
      <c r="BV99" s="1169"/>
      <c r="BW99" s="1169"/>
      <c r="BX99" s="1169"/>
      <c r="BY99" s="1169"/>
      <c r="BZ99" s="1169"/>
      <c r="CA99" s="1169"/>
      <c r="CB99" s="1169"/>
      <c r="CC99" s="1169"/>
      <c r="CD99" s="1169"/>
      <c r="CE99" s="1169"/>
      <c r="CF99" s="1169"/>
      <c r="CG99" s="1169"/>
      <c r="CH99" s="1169"/>
      <c r="CI99" s="1169"/>
      <c r="CJ99" s="1169"/>
      <c r="CK99" s="1169"/>
      <c r="CL99" s="1169"/>
      <c r="CM99" s="1169"/>
      <c r="CN99" s="1169"/>
      <c r="CO99" s="1169"/>
      <c r="CP99" s="1169"/>
      <c r="CQ99" s="1169"/>
      <c r="CR99" s="1169"/>
      <c r="CS99" s="1169"/>
      <c r="CT99" s="1169"/>
      <c r="CU99" s="1169"/>
      <c r="CV99" s="1169"/>
      <c r="CW99" s="1169"/>
      <c r="CX99" s="1169"/>
      <c r="CY99" s="1169"/>
      <c r="CZ99" s="1169"/>
      <c r="DA99" s="1168"/>
      <c r="DB99" s="1168"/>
      <c r="DC99" s="1168"/>
      <c r="DD99" s="1168"/>
      <c r="DE99" s="1168"/>
      <c r="DF99" s="1168"/>
      <c r="DG99" s="1168"/>
      <c r="DH99" s="1168"/>
      <c r="DI99" s="1168"/>
      <c r="DJ99" s="1168"/>
      <c r="DK99" s="1168"/>
      <c r="DL99" s="1168"/>
      <c r="DM99" s="1168"/>
      <c r="DN99" s="1168"/>
      <c r="DO99" s="1168"/>
      <c r="DP99" s="1168"/>
      <c r="DQ99" s="1168"/>
      <c r="DR99" s="1168"/>
      <c r="DS99" s="1168"/>
      <c r="DT99" s="1168"/>
      <c r="DU99" s="1168"/>
      <c r="DV99" s="1168"/>
      <c r="DW99" s="1168"/>
      <c r="DX99" s="1168"/>
      <c r="DY99" s="1168"/>
      <c r="DZ99" s="1168"/>
      <c r="EA99" s="1168"/>
      <c r="EB99" s="1168"/>
      <c r="EC99" s="1168"/>
      <c r="ED99" s="1168"/>
      <c r="EE99" s="1168"/>
      <c r="EF99" s="1168"/>
      <c r="EG99" s="1168"/>
      <c r="EH99" s="1168"/>
      <c r="EI99" s="1170"/>
      <c r="EJ99" s="1170"/>
      <c r="EK99" s="1170"/>
      <c r="EL99" s="1170"/>
      <c r="EM99" s="1170"/>
      <c r="EN99" s="1170"/>
      <c r="EO99" s="1170"/>
      <c r="EP99" s="1170"/>
      <c r="EQ99" s="1170"/>
      <c r="ER99" s="1170"/>
      <c r="ES99" s="1333"/>
      <c r="ET99" s="1333"/>
      <c r="EU99" s="1333"/>
      <c r="EV99" s="1333"/>
      <c r="EW99" s="1333"/>
      <c r="EX99" s="1333"/>
      <c r="EY99" s="1333"/>
      <c r="EZ99" s="1333"/>
      <c r="FA99" s="1333"/>
      <c r="FB99" s="1333"/>
      <c r="FC99" s="1333"/>
      <c r="FD99" s="1333"/>
      <c r="FE99" s="1333"/>
      <c r="FF99" s="1333"/>
      <c r="FG99" s="1333"/>
      <c r="FH99" s="1333"/>
      <c r="FI99" s="1333"/>
      <c r="FJ99" s="1333"/>
      <c r="FK99" s="1333"/>
      <c r="FL99" s="1333"/>
      <c r="FM99" s="1333"/>
      <c r="FN99" s="1333"/>
      <c r="FO99" s="1333"/>
      <c r="FP99" s="1333"/>
      <c r="FQ99" s="1333"/>
      <c r="FR99" s="1333"/>
      <c r="FS99" s="1333"/>
      <c r="FT99" s="1333"/>
      <c r="FU99" s="1333"/>
      <c r="FV99" s="1333"/>
      <c r="FW99" s="1333"/>
      <c r="FX99" s="1333"/>
      <c r="FY99" s="1333"/>
      <c r="FZ99" s="1333"/>
      <c r="GA99" s="1333"/>
      <c r="GB99" s="1333"/>
      <c r="GC99" s="1333"/>
      <c r="GD99" s="1333"/>
      <c r="GE99" s="1333"/>
      <c r="GF99" s="1333"/>
      <c r="GG99" s="1333"/>
      <c r="GH99" s="1333"/>
      <c r="GI99" s="1333"/>
      <c r="GJ99" s="1333"/>
      <c r="GK99" s="1333"/>
      <c r="GL99" s="1333"/>
      <c r="GM99" s="1333"/>
      <c r="GN99" s="1333"/>
      <c r="GO99" s="1333"/>
      <c r="GP99" s="1333"/>
      <c r="GQ99" s="1333"/>
      <c r="GR99" s="1333"/>
      <c r="GS99" s="1333"/>
      <c r="GT99" s="1333"/>
      <c r="GU99" s="1333"/>
      <c r="GV99" s="1333"/>
      <c r="GW99" s="1333"/>
      <c r="GX99" s="1333"/>
    </row>
    <row r="100" spans="1:206" s="607" customFormat="1">
      <c r="A100" s="607">
        <f t="shared" si="2"/>
        <v>1978</v>
      </c>
      <c r="B100" s="607">
        <f t="shared" si="3"/>
        <v>3</v>
      </c>
      <c r="C100" s="1173">
        <v>28703</v>
      </c>
      <c r="D100" s="957"/>
      <c r="E100" s="920"/>
      <c r="F100" s="920"/>
      <c r="G100" s="920"/>
      <c r="H100" s="920"/>
      <c r="I100" s="954">
        <v>179.12148177271939</v>
      </c>
      <c r="J100" s="954">
        <v>206.3659090909</v>
      </c>
      <c r="K100" s="954"/>
      <c r="L100" s="920"/>
      <c r="M100" s="917"/>
      <c r="N100" s="917"/>
      <c r="O100" s="1334"/>
      <c r="P100" s="1334"/>
      <c r="Q100" s="1334"/>
      <c r="R100" s="1334"/>
      <c r="S100" s="1334"/>
      <c r="T100" s="1334"/>
      <c r="U100" s="920"/>
      <c r="V100" s="920"/>
      <c r="W100" s="920"/>
      <c r="X100" s="920"/>
      <c r="Y100" s="920"/>
      <c r="Z100" s="920"/>
      <c r="AA100" s="920"/>
      <c r="AB100" s="920"/>
      <c r="AC100" s="920"/>
      <c r="AD100" s="920"/>
      <c r="AE100" s="920"/>
      <c r="AF100" s="920"/>
      <c r="AG100" s="920"/>
      <c r="AH100" s="920"/>
      <c r="AI100" s="920"/>
      <c r="AJ100" s="920"/>
      <c r="AK100" s="920"/>
      <c r="AL100" s="1105"/>
      <c r="AM100" s="920"/>
      <c r="AN100" s="1711"/>
      <c r="AO100" s="920"/>
      <c r="AP100" s="920"/>
      <c r="AS100" s="1167"/>
      <c r="AT100" s="1167"/>
      <c r="AU100" s="1168"/>
      <c r="AV100" s="1168"/>
      <c r="AW100" s="1169"/>
      <c r="AX100" s="1169"/>
      <c r="AY100" s="1169"/>
      <c r="AZ100" s="1169"/>
      <c r="BA100" s="1799" t="s">
        <v>0</v>
      </c>
      <c r="BB100" s="1802">
        <v>2008</v>
      </c>
      <c r="BC100" s="1799" t="s">
        <v>431</v>
      </c>
      <c r="BD100" s="1799">
        <v>8</v>
      </c>
      <c r="BE100" s="1800">
        <v>223250760.30000001</v>
      </c>
      <c r="BF100" s="1801">
        <v>5.1411354841456952E-2</v>
      </c>
      <c r="BG100" s="1799"/>
      <c r="BH100" s="1799" t="s">
        <v>0</v>
      </c>
      <c r="BI100" s="1799" t="s">
        <v>313</v>
      </c>
      <c r="BJ100" s="1799" t="s">
        <v>447</v>
      </c>
      <c r="BK100" s="1799">
        <v>6</v>
      </c>
      <c r="BL100" s="1800">
        <v>257132714.26000005</v>
      </c>
      <c r="BM100" s="1801">
        <v>6.2712786373391963E-2</v>
      </c>
      <c r="BN100" s="1799">
        <v>2008</v>
      </c>
      <c r="BO100" s="1684"/>
      <c r="BP100" s="1696"/>
      <c r="BQ100" s="1169"/>
      <c r="BR100" s="1169"/>
      <c r="BS100" s="1169"/>
      <c r="BT100" s="1169"/>
      <c r="BU100" s="1169"/>
      <c r="BV100" s="1169"/>
      <c r="BW100" s="1169"/>
      <c r="BX100" s="1169"/>
      <c r="BY100" s="1169"/>
      <c r="BZ100" s="1169"/>
      <c r="CA100" s="1169"/>
      <c r="CB100" s="1169"/>
      <c r="CC100" s="1169"/>
      <c r="CD100" s="1169"/>
      <c r="CE100" s="1169"/>
      <c r="CF100" s="1169"/>
      <c r="CG100" s="1169"/>
      <c r="CH100" s="1169"/>
      <c r="CI100" s="1169"/>
      <c r="CJ100" s="1169"/>
      <c r="CK100" s="1169"/>
      <c r="CL100" s="1169"/>
      <c r="CM100" s="1169"/>
      <c r="CN100" s="1169"/>
      <c r="CO100" s="1169"/>
      <c r="CP100" s="1169"/>
      <c r="CQ100" s="1169"/>
      <c r="CR100" s="1169"/>
      <c r="CS100" s="1169"/>
      <c r="CT100" s="1169"/>
      <c r="CU100" s="1169"/>
      <c r="CV100" s="1169"/>
      <c r="CW100" s="1169"/>
      <c r="CX100" s="1169"/>
      <c r="CY100" s="1169"/>
      <c r="CZ100" s="1169"/>
      <c r="DA100" s="1168"/>
      <c r="DB100" s="1168"/>
      <c r="DC100" s="1168"/>
      <c r="DD100" s="1168"/>
      <c r="DE100" s="1168"/>
      <c r="DF100" s="1168"/>
      <c r="DG100" s="1168"/>
      <c r="DH100" s="1168"/>
      <c r="DI100" s="1168"/>
      <c r="DJ100" s="1168"/>
      <c r="DK100" s="1168"/>
      <c r="DL100" s="1168"/>
      <c r="DM100" s="1168"/>
      <c r="DN100" s="1168"/>
      <c r="DO100" s="1168"/>
      <c r="DP100" s="1168"/>
      <c r="DQ100" s="1168"/>
      <c r="DR100" s="1168"/>
      <c r="DS100" s="1168"/>
      <c r="DT100" s="1168"/>
      <c r="DU100" s="1168"/>
      <c r="DV100" s="1168"/>
      <c r="DW100" s="1168"/>
      <c r="DX100" s="1168"/>
      <c r="DY100" s="1168"/>
      <c r="DZ100" s="1168"/>
      <c r="EA100" s="1168"/>
      <c r="EB100" s="1168"/>
      <c r="EC100" s="1168"/>
      <c r="ED100" s="1168"/>
      <c r="EE100" s="1168"/>
      <c r="EF100" s="1168"/>
      <c r="EG100" s="1168"/>
      <c r="EH100" s="1168"/>
      <c r="EI100" s="1170"/>
      <c r="EJ100" s="1170"/>
      <c r="EK100" s="1170"/>
      <c r="EL100" s="1170"/>
      <c r="EM100" s="1170"/>
      <c r="EN100" s="1170"/>
      <c r="EO100" s="1170"/>
      <c r="EP100" s="1170"/>
      <c r="EQ100" s="1170"/>
      <c r="ER100" s="1170"/>
      <c r="ES100" s="1333"/>
      <c r="ET100" s="1333"/>
      <c r="EU100" s="1333"/>
      <c r="EV100" s="1333"/>
      <c r="EW100" s="1333"/>
      <c r="EX100" s="1333"/>
      <c r="EY100" s="1333"/>
      <c r="EZ100" s="1333"/>
      <c r="FA100" s="1333"/>
      <c r="FB100" s="1333"/>
      <c r="FC100" s="1333"/>
      <c r="FD100" s="1333"/>
      <c r="FE100" s="1333"/>
      <c r="FF100" s="1333"/>
      <c r="FG100" s="1333"/>
      <c r="FH100" s="1333"/>
      <c r="FI100" s="1333"/>
      <c r="FJ100" s="1333"/>
      <c r="FK100" s="1333"/>
      <c r="FL100" s="1333"/>
      <c r="FM100" s="1333"/>
      <c r="FN100" s="1333"/>
      <c r="FO100" s="1333"/>
      <c r="FP100" s="1333"/>
      <c r="FQ100" s="1333"/>
      <c r="FR100" s="1333"/>
      <c r="FS100" s="1333"/>
      <c r="FT100" s="1333"/>
      <c r="FU100" s="1333"/>
      <c r="FV100" s="1333"/>
      <c r="FW100" s="1333"/>
      <c r="FX100" s="1333"/>
      <c r="FY100" s="1333"/>
      <c r="FZ100" s="1333"/>
      <c r="GA100" s="1333"/>
      <c r="GB100" s="1333"/>
      <c r="GC100" s="1333"/>
      <c r="GD100" s="1333"/>
      <c r="GE100" s="1333"/>
      <c r="GF100" s="1333"/>
      <c r="GG100" s="1333"/>
      <c r="GH100" s="1333"/>
      <c r="GI100" s="1333"/>
      <c r="GJ100" s="1333"/>
      <c r="GK100" s="1333"/>
      <c r="GL100" s="1333"/>
      <c r="GM100" s="1333"/>
      <c r="GN100" s="1333"/>
      <c r="GO100" s="1333"/>
      <c r="GP100" s="1333"/>
      <c r="GQ100" s="1333"/>
      <c r="GR100" s="1333"/>
      <c r="GS100" s="1333"/>
      <c r="GT100" s="1333"/>
      <c r="GU100" s="1333"/>
      <c r="GV100" s="1333"/>
      <c r="GW100" s="1333"/>
      <c r="GX100" s="1333"/>
    </row>
    <row r="101" spans="1:206" s="607" customFormat="1">
      <c r="A101" s="607">
        <f t="shared" si="2"/>
        <v>1978</v>
      </c>
      <c r="B101" s="607">
        <f t="shared" si="3"/>
        <v>3</v>
      </c>
      <c r="C101" s="1173">
        <v>28734</v>
      </c>
      <c r="D101" s="1709"/>
      <c r="E101" s="1117"/>
      <c r="F101" s="1117"/>
      <c r="G101" s="1117"/>
      <c r="H101" s="1117"/>
      <c r="I101" s="959">
        <v>183.54904116432277</v>
      </c>
      <c r="J101" s="959">
        <v>212.2928571429</v>
      </c>
      <c r="K101" s="960"/>
      <c r="L101" s="1121"/>
      <c r="M101" s="916"/>
      <c r="N101" s="916"/>
      <c r="O101" s="1332"/>
      <c r="P101" s="1332"/>
      <c r="Q101" s="1332"/>
      <c r="R101" s="1332"/>
      <c r="S101" s="1332"/>
      <c r="T101" s="1332"/>
      <c r="U101" s="1120"/>
      <c r="V101" s="1120"/>
      <c r="W101" s="1120"/>
      <c r="X101" s="1120"/>
      <c r="Y101" s="1119"/>
      <c r="Z101" s="1119"/>
      <c r="AA101" s="1119"/>
      <c r="AB101" s="1119"/>
      <c r="AC101" s="1178"/>
      <c r="AD101" s="1178"/>
      <c r="AE101" s="1178"/>
      <c r="AF101" s="1178"/>
      <c r="AG101" s="1178"/>
      <c r="AH101" s="1178"/>
      <c r="AI101" s="1178"/>
      <c r="AJ101" s="1178"/>
      <c r="AK101" s="919"/>
      <c r="AL101" s="1104"/>
      <c r="AM101" s="919"/>
      <c r="AN101" s="1710"/>
      <c r="AO101" s="919"/>
      <c r="AP101" s="919"/>
      <c r="AS101" s="1167"/>
      <c r="AT101" s="1167"/>
      <c r="AU101" s="1168"/>
      <c r="AV101" s="1168"/>
      <c r="AW101" s="1169"/>
      <c r="AX101" s="1169"/>
      <c r="AY101" s="1169"/>
      <c r="AZ101" s="1169"/>
      <c r="BA101" s="1799" t="s">
        <v>0</v>
      </c>
      <c r="BB101" s="1802">
        <v>2008</v>
      </c>
      <c r="BC101" s="1799" t="s">
        <v>24</v>
      </c>
      <c r="BD101" s="1799">
        <v>9</v>
      </c>
      <c r="BE101" s="1800">
        <v>132427916.67</v>
      </c>
      <c r="BF101" s="1801">
        <v>3.0496194528911811E-2</v>
      </c>
      <c r="BG101" s="1799"/>
      <c r="BH101" s="1799" t="s">
        <v>0</v>
      </c>
      <c r="BI101" s="1799" t="s">
        <v>313</v>
      </c>
      <c r="BJ101" s="1799" t="s">
        <v>250</v>
      </c>
      <c r="BK101" s="1799">
        <v>7</v>
      </c>
      <c r="BL101" s="1800">
        <v>158173357.88</v>
      </c>
      <c r="BM101" s="1801">
        <v>3.8577323897652352E-2</v>
      </c>
      <c r="BN101" s="1799">
        <v>2008</v>
      </c>
      <c r="BO101" s="1684"/>
      <c r="BP101" s="1697"/>
      <c r="BQ101" s="1169"/>
      <c r="BR101" s="1169"/>
      <c r="BS101" s="1169"/>
      <c r="BT101" s="1169"/>
      <c r="BU101" s="1169"/>
      <c r="BV101" s="1169"/>
      <c r="BW101" s="1169"/>
      <c r="BX101" s="1169"/>
      <c r="BY101" s="1169"/>
      <c r="BZ101" s="1169"/>
      <c r="CA101" s="1169"/>
      <c r="CB101" s="1169"/>
      <c r="CC101" s="1169"/>
      <c r="CD101" s="1169"/>
      <c r="CE101" s="1169"/>
      <c r="CF101" s="1169"/>
      <c r="CG101" s="1169"/>
      <c r="CH101" s="1169"/>
      <c r="CI101" s="1169"/>
      <c r="CJ101" s="1169"/>
      <c r="CK101" s="1169"/>
      <c r="CL101" s="1169"/>
      <c r="CM101" s="1169"/>
      <c r="CN101" s="1169"/>
      <c r="CO101" s="1169"/>
      <c r="CP101" s="1169"/>
      <c r="CQ101" s="1169"/>
      <c r="CR101" s="1169"/>
      <c r="CS101" s="1169"/>
      <c r="CT101" s="1169"/>
      <c r="CU101" s="1169"/>
      <c r="CV101" s="1169"/>
      <c r="CW101" s="1169"/>
      <c r="CX101" s="1169"/>
      <c r="CY101" s="1169"/>
      <c r="CZ101" s="1169"/>
      <c r="DA101" s="1168"/>
      <c r="DB101" s="1168"/>
      <c r="DC101" s="1168"/>
      <c r="DD101" s="1168"/>
      <c r="DE101" s="1168"/>
      <c r="DF101" s="1168"/>
      <c r="DG101" s="1168"/>
      <c r="DH101" s="1168"/>
      <c r="DI101" s="1168"/>
      <c r="DJ101" s="1168"/>
      <c r="DK101" s="1168"/>
      <c r="DL101" s="1168"/>
      <c r="DM101" s="1168"/>
      <c r="DN101" s="1168"/>
      <c r="DO101" s="1168"/>
      <c r="DP101" s="1168"/>
      <c r="DQ101" s="1168"/>
      <c r="DR101" s="1168"/>
      <c r="DS101" s="1168"/>
      <c r="DT101" s="1168"/>
      <c r="DU101" s="1168"/>
      <c r="DV101" s="1168"/>
      <c r="DW101" s="1168"/>
      <c r="DX101" s="1168"/>
      <c r="DY101" s="1168"/>
      <c r="DZ101" s="1168"/>
      <c r="EA101" s="1168"/>
      <c r="EB101" s="1168"/>
      <c r="EC101" s="1168"/>
      <c r="ED101" s="1168"/>
      <c r="EE101" s="1168"/>
      <c r="EF101" s="1168"/>
      <c r="EG101" s="1168"/>
      <c r="EH101" s="1168"/>
      <c r="EI101" s="1170"/>
      <c r="EJ101" s="1170"/>
      <c r="EK101" s="1170"/>
      <c r="EL101" s="1170"/>
      <c r="EM101" s="1170"/>
      <c r="EN101" s="1170"/>
      <c r="EO101" s="1170"/>
      <c r="EP101" s="1170"/>
      <c r="EQ101" s="1170"/>
      <c r="ER101" s="1170"/>
      <c r="ES101" s="1333"/>
      <c r="ET101" s="1333"/>
      <c r="EU101" s="1333"/>
      <c r="EV101" s="1333"/>
      <c r="EW101" s="1333"/>
      <c r="EX101" s="1333"/>
      <c r="EY101" s="1333"/>
      <c r="EZ101" s="1333"/>
      <c r="FA101" s="1333"/>
      <c r="FB101" s="1333"/>
      <c r="FC101" s="1333"/>
      <c r="FD101" s="1333"/>
      <c r="FE101" s="1333"/>
      <c r="FF101" s="1333"/>
      <c r="FG101" s="1333"/>
      <c r="FH101" s="1333"/>
      <c r="FI101" s="1333"/>
      <c r="FJ101" s="1333"/>
      <c r="FK101" s="1333"/>
      <c r="FL101" s="1333"/>
      <c r="FM101" s="1333"/>
      <c r="FN101" s="1333"/>
      <c r="FO101" s="1333"/>
      <c r="FP101" s="1333"/>
      <c r="FQ101" s="1333"/>
      <c r="FR101" s="1333"/>
      <c r="FS101" s="1333"/>
      <c r="FT101" s="1333"/>
      <c r="FU101" s="1333"/>
      <c r="FV101" s="1333"/>
      <c r="FW101" s="1333"/>
      <c r="FX101" s="1333"/>
      <c r="FY101" s="1333"/>
      <c r="FZ101" s="1333"/>
      <c r="GA101" s="1333"/>
      <c r="GB101" s="1333"/>
      <c r="GC101" s="1333"/>
      <c r="GD101" s="1333"/>
      <c r="GE101" s="1333"/>
      <c r="GF101" s="1333"/>
      <c r="GG101" s="1333"/>
      <c r="GH101" s="1333"/>
      <c r="GI101" s="1333"/>
      <c r="GJ101" s="1333"/>
      <c r="GK101" s="1333"/>
      <c r="GL101" s="1333"/>
      <c r="GM101" s="1333"/>
      <c r="GN101" s="1333"/>
      <c r="GO101" s="1333"/>
      <c r="GP101" s="1333"/>
      <c r="GQ101" s="1333"/>
      <c r="GR101" s="1333"/>
      <c r="GS101" s="1333"/>
      <c r="GT101" s="1333"/>
      <c r="GU101" s="1333"/>
      <c r="GV101" s="1333"/>
      <c r="GW101" s="1333"/>
      <c r="GX101" s="1333"/>
    </row>
    <row r="102" spans="1:206" s="607" customFormat="1">
      <c r="A102" s="607">
        <f t="shared" si="2"/>
        <v>1978</v>
      </c>
      <c r="B102" s="607">
        <f t="shared" si="3"/>
        <v>4</v>
      </c>
      <c r="C102" s="1173">
        <v>28765</v>
      </c>
      <c r="D102" s="957"/>
      <c r="E102" s="920"/>
      <c r="F102" s="920"/>
      <c r="G102" s="920"/>
      <c r="H102" s="920"/>
      <c r="I102" s="954">
        <v>191.43007409996179</v>
      </c>
      <c r="J102" s="954">
        <v>227.6295454545</v>
      </c>
      <c r="K102" s="954"/>
      <c r="L102" s="920"/>
      <c r="M102" s="917"/>
      <c r="N102" s="917"/>
      <c r="O102" s="1334"/>
      <c r="P102" s="1334"/>
      <c r="Q102" s="1334"/>
      <c r="R102" s="1334"/>
      <c r="S102" s="1334"/>
      <c r="T102" s="1334"/>
      <c r="U102" s="920"/>
      <c r="V102" s="920"/>
      <c r="W102" s="920"/>
      <c r="X102" s="920"/>
      <c r="Y102" s="920"/>
      <c r="Z102" s="920"/>
      <c r="AA102" s="920"/>
      <c r="AB102" s="920"/>
      <c r="AC102" s="920"/>
      <c r="AD102" s="920"/>
      <c r="AE102" s="920"/>
      <c r="AF102" s="920"/>
      <c r="AG102" s="920"/>
      <c r="AH102" s="920"/>
      <c r="AI102" s="920"/>
      <c r="AJ102" s="920"/>
      <c r="AK102" s="920"/>
      <c r="AL102" s="1105"/>
      <c r="AM102" s="920"/>
      <c r="AN102" s="1711"/>
      <c r="AO102" s="920"/>
      <c r="AP102" s="920"/>
      <c r="AS102" s="1167"/>
      <c r="AT102" s="1167"/>
      <c r="AU102" s="1168"/>
      <c r="AV102" s="1168"/>
      <c r="AW102" s="1169"/>
      <c r="AX102" s="1169"/>
      <c r="AY102" s="1169"/>
      <c r="AZ102" s="1169"/>
      <c r="BA102" s="1799" t="s">
        <v>0</v>
      </c>
      <c r="BB102" s="1802">
        <v>2008</v>
      </c>
      <c r="BC102" s="1799" t="s">
        <v>19</v>
      </c>
      <c r="BD102" s="1799">
        <v>10</v>
      </c>
      <c r="BE102" s="1800">
        <v>117018953.22999999</v>
      </c>
      <c r="BF102" s="1801">
        <v>2.6947737690116099E-2</v>
      </c>
      <c r="BG102" s="1799"/>
      <c r="BH102" s="1799" t="s">
        <v>0</v>
      </c>
      <c r="BI102" s="1799" t="s">
        <v>313</v>
      </c>
      <c r="BJ102" s="1799" t="s">
        <v>44</v>
      </c>
      <c r="BK102" s="1799">
        <v>8</v>
      </c>
      <c r="BL102" s="1800">
        <v>138539946.33000004</v>
      </c>
      <c r="BM102" s="1801">
        <v>3.378887856948988E-2</v>
      </c>
      <c r="BN102" s="1799">
        <v>2008</v>
      </c>
      <c r="BO102" s="1684"/>
      <c r="BP102" s="1696"/>
      <c r="BQ102" s="1169"/>
      <c r="BR102" s="1169"/>
      <c r="BS102" s="1169"/>
      <c r="BT102" s="1169"/>
      <c r="BU102" s="1169"/>
      <c r="BV102" s="1169"/>
      <c r="BW102" s="1169"/>
      <c r="BX102" s="1169"/>
      <c r="BY102" s="1169"/>
      <c r="BZ102" s="1169"/>
      <c r="CA102" s="1169"/>
      <c r="CB102" s="1169"/>
      <c r="CC102" s="1169"/>
      <c r="CD102" s="1169"/>
      <c r="CE102" s="1169"/>
      <c r="CF102" s="1169"/>
      <c r="CG102" s="1169"/>
      <c r="CH102" s="1169"/>
      <c r="CI102" s="1169"/>
      <c r="CJ102" s="1169"/>
      <c r="CK102" s="1169"/>
      <c r="CL102" s="1169"/>
      <c r="CM102" s="1169"/>
      <c r="CN102" s="1169"/>
      <c r="CO102" s="1169"/>
      <c r="CP102" s="1169"/>
      <c r="CQ102" s="1169"/>
      <c r="CR102" s="1169"/>
      <c r="CS102" s="1169"/>
      <c r="CT102" s="1169"/>
      <c r="CU102" s="1169"/>
      <c r="CV102" s="1169"/>
      <c r="CW102" s="1169"/>
      <c r="CX102" s="1169"/>
      <c r="CY102" s="1169"/>
      <c r="CZ102" s="1169"/>
      <c r="DA102" s="1168"/>
      <c r="DB102" s="1168"/>
      <c r="DC102" s="1168"/>
      <c r="DD102" s="1168"/>
      <c r="DE102" s="1168"/>
      <c r="DF102" s="1168"/>
      <c r="DG102" s="1168"/>
      <c r="DH102" s="1168"/>
      <c r="DI102" s="1168"/>
      <c r="DJ102" s="1168"/>
      <c r="DK102" s="1168"/>
      <c r="DL102" s="1168"/>
      <c r="DM102" s="1168"/>
      <c r="DN102" s="1168"/>
      <c r="DO102" s="1168"/>
      <c r="DP102" s="1168"/>
      <c r="DQ102" s="1168"/>
      <c r="DR102" s="1168"/>
      <c r="DS102" s="1168"/>
      <c r="DT102" s="1168"/>
      <c r="DU102" s="1168"/>
      <c r="DV102" s="1168"/>
      <c r="DW102" s="1168"/>
      <c r="DX102" s="1168"/>
      <c r="DY102" s="1168"/>
      <c r="DZ102" s="1168"/>
      <c r="EA102" s="1168"/>
      <c r="EB102" s="1168"/>
      <c r="EC102" s="1168"/>
      <c r="ED102" s="1168"/>
      <c r="EE102" s="1168"/>
      <c r="EF102" s="1168"/>
      <c r="EG102" s="1168"/>
      <c r="EH102" s="1168"/>
      <c r="EI102" s="1170"/>
      <c r="EJ102" s="1170"/>
      <c r="EK102" s="1170"/>
      <c r="EL102" s="1170"/>
      <c r="EM102" s="1170"/>
      <c r="EN102" s="1170"/>
      <c r="EO102" s="1170"/>
      <c r="EP102" s="1170"/>
      <c r="EQ102" s="1170"/>
      <c r="ER102" s="1170"/>
      <c r="ES102" s="1333"/>
      <c r="ET102" s="1333"/>
      <c r="EU102" s="1333"/>
      <c r="EV102" s="1333"/>
      <c r="EW102" s="1333"/>
      <c r="EX102" s="1333"/>
      <c r="EY102" s="1333"/>
      <c r="EZ102" s="1333"/>
      <c r="FA102" s="1333"/>
      <c r="FB102" s="1333"/>
      <c r="FC102" s="1333"/>
      <c r="FD102" s="1333"/>
      <c r="FE102" s="1333"/>
      <c r="FF102" s="1333"/>
      <c r="FG102" s="1333"/>
      <c r="FH102" s="1333"/>
      <c r="FI102" s="1333"/>
      <c r="FJ102" s="1333"/>
      <c r="FK102" s="1333"/>
      <c r="FL102" s="1333"/>
      <c r="FM102" s="1333"/>
      <c r="FN102" s="1333"/>
      <c r="FO102" s="1333"/>
      <c r="FP102" s="1333"/>
      <c r="FQ102" s="1333"/>
      <c r="FR102" s="1333"/>
      <c r="FS102" s="1333"/>
      <c r="FT102" s="1333"/>
      <c r="FU102" s="1333"/>
      <c r="FV102" s="1333"/>
      <c r="FW102" s="1333"/>
      <c r="FX102" s="1333"/>
      <c r="FY102" s="1333"/>
      <c r="FZ102" s="1333"/>
      <c r="GA102" s="1333"/>
      <c r="GB102" s="1333"/>
      <c r="GC102" s="1333"/>
      <c r="GD102" s="1333"/>
      <c r="GE102" s="1333"/>
      <c r="GF102" s="1333"/>
      <c r="GG102" s="1333"/>
      <c r="GH102" s="1333"/>
      <c r="GI102" s="1333"/>
      <c r="GJ102" s="1333"/>
      <c r="GK102" s="1333"/>
      <c r="GL102" s="1333"/>
      <c r="GM102" s="1333"/>
      <c r="GN102" s="1333"/>
      <c r="GO102" s="1333"/>
      <c r="GP102" s="1333"/>
      <c r="GQ102" s="1333"/>
      <c r="GR102" s="1333"/>
      <c r="GS102" s="1333"/>
      <c r="GT102" s="1333"/>
      <c r="GU102" s="1333"/>
      <c r="GV102" s="1333"/>
      <c r="GW102" s="1333"/>
      <c r="GX102" s="1333"/>
    </row>
    <row r="103" spans="1:206" s="607" customFormat="1">
      <c r="A103" s="607">
        <f t="shared" si="2"/>
        <v>1978</v>
      </c>
      <c r="B103" s="607">
        <f t="shared" si="3"/>
        <v>4</v>
      </c>
      <c r="C103" s="1173">
        <v>28795</v>
      </c>
      <c r="D103" s="1709"/>
      <c r="E103" s="1117"/>
      <c r="F103" s="1117"/>
      <c r="G103" s="1117"/>
      <c r="H103" s="1117"/>
      <c r="I103" s="959">
        <v>180.69706098064981</v>
      </c>
      <c r="J103" s="959">
        <v>205.3261363636</v>
      </c>
      <c r="K103" s="960"/>
      <c r="L103" s="1121"/>
      <c r="M103" s="916"/>
      <c r="N103" s="916"/>
      <c r="O103" s="1332"/>
      <c r="P103" s="1332"/>
      <c r="Q103" s="1332"/>
      <c r="R103" s="1332"/>
      <c r="S103" s="1332"/>
      <c r="T103" s="1332"/>
      <c r="U103" s="1120"/>
      <c r="V103" s="1120"/>
      <c r="W103" s="1120"/>
      <c r="X103" s="1120"/>
      <c r="Y103" s="1119"/>
      <c r="Z103" s="1119"/>
      <c r="AA103" s="1119"/>
      <c r="AB103" s="1119"/>
      <c r="AC103" s="1178"/>
      <c r="AD103" s="1178"/>
      <c r="AE103" s="1178"/>
      <c r="AF103" s="1178"/>
      <c r="AG103" s="1178"/>
      <c r="AH103" s="1178"/>
      <c r="AI103" s="1178"/>
      <c r="AJ103" s="1178"/>
      <c r="AK103" s="919"/>
      <c r="AL103" s="1104"/>
      <c r="AM103" s="919"/>
      <c r="AN103" s="1710"/>
      <c r="AO103" s="919"/>
      <c r="AP103" s="919"/>
      <c r="AS103" s="1167"/>
      <c r="AT103" s="1167"/>
      <c r="AU103" s="1168"/>
      <c r="AV103" s="1168"/>
      <c r="AW103" s="1169"/>
      <c r="AX103" s="1169"/>
      <c r="AY103" s="1169"/>
      <c r="AZ103" s="1169"/>
      <c r="BA103" s="1799" t="s">
        <v>0</v>
      </c>
      <c r="BB103" s="1802">
        <v>2008</v>
      </c>
      <c r="BC103" s="1799" t="s">
        <v>32</v>
      </c>
      <c r="BD103" s="1799"/>
      <c r="BE103" s="1800">
        <v>333199261.27000046</v>
      </c>
      <c r="BF103" s="1801">
        <v>7.6730871738327142E-2</v>
      </c>
      <c r="BG103" s="1799"/>
      <c r="BH103" s="1799" t="s">
        <v>0</v>
      </c>
      <c r="BI103" s="1799" t="s">
        <v>313</v>
      </c>
      <c r="BJ103" s="1799" t="s">
        <v>24</v>
      </c>
      <c r="BK103" s="1799">
        <v>9</v>
      </c>
      <c r="BL103" s="1800">
        <v>125392522.83</v>
      </c>
      <c r="BM103" s="1801">
        <v>3.0582318238616114E-2</v>
      </c>
      <c r="BN103" s="1799">
        <v>2008</v>
      </c>
      <c r="BO103" s="1684"/>
      <c r="BP103" s="1696"/>
      <c r="BQ103" s="1169"/>
      <c r="BR103" s="1169"/>
      <c r="BS103" s="1169"/>
      <c r="BT103" s="1169"/>
      <c r="BU103" s="1169"/>
      <c r="BV103" s="1169"/>
      <c r="BW103" s="1169"/>
      <c r="BX103" s="1169"/>
      <c r="BY103" s="1169"/>
      <c r="BZ103" s="1169"/>
      <c r="CA103" s="1169"/>
      <c r="CB103" s="1169"/>
      <c r="CC103" s="1169"/>
      <c r="CD103" s="1169"/>
      <c r="CE103" s="1169"/>
      <c r="CF103" s="1169"/>
      <c r="CG103" s="1169"/>
      <c r="CH103" s="1169"/>
      <c r="CI103" s="1169"/>
      <c r="CJ103" s="1169"/>
      <c r="CK103" s="1169"/>
      <c r="CL103" s="1169"/>
      <c r="CM103" s="1169"/>
      <c r="CN103" s="1169"/>
      <c r="CO103" s="1169"/>
      <c r="CP103" s="1169"/>
      <c r="CQ103" s="1169"/>
      <c r="CR103" s="1169"/>
      <c r="CS103" s="1169"/>
      <c r="CT103" s="1169"/>
      <c r="CU103" s="1169"/>
      <c r="CV103" s="1169"/>
      <c r="CW103" s="1169"/>
      <c r="CX103" s="1169"/>
      <c r="CY103" s="1169"/>
      <c r="CZ103" s="1169"/>
      <c r="DA103" s="1168"/>
      <c r="DB103" s="1168"/>
      <c r="DC103" s="1168"/>
      <c r="DD103" s="1168"/>
      <c r="DE103" s="1168"/>
      <c r="DF103" s="1168"/>
      <c r="DG103" s="1168"/>
      <c r="DH103" s="1168"/>
      <c r="DI103" s="1168"/>
      <c r="DJ103" s="1168"/>
      <c r="DK103" s="1168"/>
      <c r="DL103" s="1168"/>
      <c r="DM103" s="1168"/>
      <c r="DN103" s="1168"/>
      <c r="DO103" s="1168"/>
      <c r="DP103" s="1168"/>
      <c r="DQ103" s="1168"/>
      <c r="DR103" s="1168"/>
      <c r="DS103" s="1168"/>
      <c r="DT103" s="1168"/>
      <c r="DU103" s="1168"/>
      <c r="DV103" s="1168"/>
      <c r="DW103" s="1168"/>
      <c r="DX103" s="1168"/>
      <c r="DY103" s="1168"/>
      <c r="DZ103" s="1168"/>
      <c r="EA103" s="1168"/>
      <c r="EB103" s="1168"/>
      <c r="EC103" s="1168"/>
      <c r="ED103" s="1168"/>
      <c r="EE103" s="1168"/>
      <c r="EF103" s="1168"/>
      <c r="EG103" s="1168"/>
      <c r="EH103" s="1168"/>
      <c r="EI103" s="1170"/>
      <c r="EJ103" s="1170"/>
      <c r="EK103" s="1170"/>
      <c r="EL103" s="1170"/>
      <c r="EM103" s="1170"/>
      <c r="EN103" s="1170"/>
      <c r="EO103" s="1170"/>
      <c r="EP103" s="1170"/>
      <c r="EQ103" s="1170"/>
      <c r="ER103" s="1170"/>
      <c r="ES103" s="1333"/>
      <c r="ET103" s="1333"/>
      <c r="EU103" s="1333"/>
      <c r="EV103" s="1333"/>
      <c r="EW103" s="1333"/>
      <c r="EX103" s="1333"/>
      <c r="EY103" s="1333"/>
      <c r="EZ103" s="1333"/>
      <c r="FA103" s="1333"/>
      <c r="FB103" s="1333"/>
      <c r="FC103" s="1333"/>
      <c r="FD103" s="1333"/>
      <c r="FE103" s="1333"/>
      <c r="FF103" s="1333"/>
      <c r="FG103" s="1333"/>
      <c r="FH103" s="1333"/>
      <c r="FI103" s="1333"/>
      <c r="FJ103" s="1333"/>
      <c r="FK103" s="1333"/>
      <c r="FL103" s="1333"/>
      <c r="FM103" s="1333"/>
      <c r="FN103" s="1333"/>
      <c r="FO103" s="1333"/>
      <c r="FP103" s="1333"/>
      <c r="FQ103" s="1333"/>
      <c r="FR103" s="1333"/>
      <c r="FS103" s="1333"/>
      <c r="FT103" s="1333"/>
      <c r="FU103" s="1333"/>
      <c r="FV103" s="1333"/>
      <c r="FW103" s="1333"/>
      <c r="FX103" s="1333"/>
      <c r="FY103" s="1333"/>
      <c r="FZ103" s="1333"/>
      <c r="GA103" s="1333"/>
      <c r="GB103" s="1333"/>
      <c r="GC103" s="1333"/>
      <c r="GD103" s="1333"/>
      <c r="GE103" s="1333"/>
      <c r="GF103" s="1333"/>
      <c r="GG103" s="1333"/>
      <c r="GH103" s="1333"/>
      <c r="GI103" s="1333"/>
      <c r="GJ103" s="1333"/>
      <c r="GK103" s="1333"/>
      <c r="GL103" s="1333"/>
      <c r="GM103" s="1333"/>
      <c r="GN103" s="1333"/>
      <c r="GO103" s="1333"/>
      <c r="GP103" s="1333"/>
      <c r="GQ103" s="1333"/>
      <c r="GR103" s="1333"/>
      <c r="GS103" s="1333"/>
      <c r="GT103" s="1333"/>
      <c r="GU103" s="1333"/>
      <c r="GV103" s="1333"/>
      <c r="GW103" s="1333"/>
      <c r="GX103" s="1333"/>
    </row>
    <row r="104" spans="1:206" s="607" customFormat="1">
      <c r="A104" s="607">
        <f t="shared" si="2"/>
        <v>1978</v>
      </c>
      <c r="B104" s="607">
        <f t="shared" si="3"/>
        <v>4</v>
      </c>
      <c r="C104" s="1173">
        <v>28825</v>
      </c>
      <c r="D104" s="957"/>
      <c r="E104" s="920"/>
      <c r="F104" s="920"/>
      <c r="G104" s="920"/>
      <c r="H104" s="920"/>
      <c r="I104" s="954">
        <v>180.52651828747102</v>
      </c>
      <c r="J104" s="954">
        <v>207.69583333329999</v>
      </c>
      <c r="K104" s="954"/>
      <c r="L104" s="920"/>
      <c r="M104" s="917"/>
      <c r="N104" s="917"/>
      <c r="O104" s="1334"/>
      <c r="P104" s="1334"/>
      <c r="Q104" s="1334"/>
      <c r="R104" s="1334"/>
      <c r="S104" s="1334"/>
      <c r="T104" s="1334"/>
      <c r="U104" s="920"/>
      <c r="V104" s="920"/>
      <c r="W104" s="920"/>
      <c r="X104" s="920"/>
      <c r="Y104" s="920"/>
      <c r="Z104" s="920"/>
      <c r="AA104" s="920"/>
      <c r="AB104" s="920"/>
      <c r="AC104" s="920"/>
      <c r="AD104" s="920"/>
      <c r="AE104" s="920"/>
      <c r="AF104" s="920"/>
      <c r="AG104" s="920"/>
      <c r="AH104" s="920"/>
      <c r="AI104" s="920"/>
      <c r="AJ104" s="920"/>
      <c r="AK104" s="920"/>
      <c r="AL104" s="1105"/>
      <c r="AM104" s="920"/>
      <c r="AN104" s="1711"/>
      <c r="AO104" s="920"/>
      <c r="AP104" s="920"/>
      <c r="AS104" s="1167"/>
      <c r="AT104" s="1167"/>
      <c r="AU104" s="1168"/>
      <c r="AV104" s="1168"/>
      <c r="AW104" s="1169"/>
      <c r="AX104" s="1169"/>
      <c r="AY104" s="1169"/>
      <c r="AZ104" s="1169"/>
      <c r="BA104" s="1799" t="s">
        <v>0</v>
      </c>
      <c r="BB104" s="1802">
        <v>2008</v>
      </c>
      <c r="BC104" s="1799" t="s">
        <v>249</v>
      </c>
      <c r="BD104" s="1799"/>
      <c r="BE104" s="1800">
        <v>4342440711.5600004</v>
      </c>
      <c r="BF104" s="1801"/>
      <c r="BG104" s="1799"/>
      <c r="BH104" s="1799" t="s">
        <v>0</v>
      </c>
      <c r="BI104" s="1799" t="s">
        <v>313</v>
      </c>
      <c r="BJ104" s="1799" t="s">
        <v>19</v>
      </c>
      <c r="BK104" s="1799">
        <v>10</v>
      </c>
      <c r="BL104" s="1800">
        <v>112543766.14</v>
      </c>
      <c r="BM104" s="1801">
        <v>2.7448600555968799E-2</v>
      </c>
      <c r="BN104" s="1799">
        <v>2008</v>
      </c>
      <c r="BO104" s="1684"/>
      <c r="BP104" s="1697"/>
      <c r="BQ104" s="1169"/>
      <c r="BR104" s="1169"/>
      <c r="BS104" s="1169"/>
      <c r="BT104" s="1169"/>
      <c r="BU104" s="1169"/>
      <c r="BV104" s="1169"/>
      <c r="BW104" s="1169"/>
      <c r="BX104" s="1169"/>
      <c r="BY104" s="1169"/>
      <c r="BZ104" s="1169"/>
      <c r="CA104" s="1169"/>
      <c r="CB104" s="1169"/>
      <c r="CC104" s="1169"/>
      <c r="CD104" s="1169"/>
      <c r="CE104" s="1169"/>
      <c r="CF104" s="1169"/>
      <c r="CG104" s="1169"/>
      <c r="CH104" s="1169"/>
      <c r="CI104" s="1169"/>
      <c r="CJ104" s="1169"/>
      <c r="CK104" s="1169"/>
      <c r="CL104" s="1169"/>
      <c r="CM104" s="1169"/>
      <c r="CN104" s="1169"/>
      <c r="CO104" s="1169"/>
      <c r="CP104" s="1169"/>
      <c r="CQ104" s="1169"/>
      <c r="CR104" s="1169"/>
      <c r="CS104" s="1169"/>
      <c r="CT104" s="1169"/>
      <c r="CU104" s="1169"/>
      <c r="CV104" s="1169"/>
      <c r="CW104" s="1169"/>
      <c r="CX104" s="1169"/>
      <c r="CY104" s="1169"/>
      <c r="CZ104" s="1169"/>
      <c r="DA104" s="1168"/>
      <c r="DB104" s="1168"/>
      <c r="DC104" s="1168"/>
      <c r="DD104" s="1168"/>
      <c r="DE104" s="1168"/>
      <c r="DF104" s="1168"/>
      <c r="DG104" s="1168"/>
      <c r="DH104" s="1168"/>
      <c r="DI104" s="1168"/>
      <c r="DJ104" s="1168"/>
      <c r="DK104" s="1168"/>
      <c r="DL104" s="1168"/>
      <c r="DM104" s="1168"/>
      <c r="DN104" s="1168"/>
      <c r="DO104" s="1168"/>
      <c r="DP104" s="1168"/>
      <c r="DQ104" s="1168"/>
      <c r="DR104" s="1168"/>
      <c r="DS104" s="1168"/>
      <c r="DT104" s="1168"/>
      <c r="DU104" s="1168"/>
      <c r="DV104" s="1168"/>
      <c r="DW104" s="1168"/>
      <c r="DX104" s="1168"/>
      <c r="DY104" s="1168"/>
      <c r="DZ104" s="1168"/>
      <c r="EA104" s="1168"/>
      <c r="EB104" s="1168"/>
      <c r="EC104" s="1168"/>
      <c r="ED104" s="1168"/>
      <c r="EE104" s="1168"/>
      <c r="EF104" s="1168"/>
      <c r="EG104" s="1168"/>
      <c r="EH104" s="1168"/>
      <c r="EI104" s="1170"/>
      <c r="EJ104" s="1170"/>
      <c r="EK104" s="1170"/>
      <c r="EL104" s="1170"/>
      <c r="EM104" s="1170"/>
      <c r="EN104" s="1170"/>
      <c r="EO104" s="1170"/>
      <c r="EP104" s="1170"/>
      <c r="EQ104" s="1170"/>
      <c r="ER104" s="1170"/>
      <c r="ES104" s="1333"/>
      <c r="ET104" s="1333"/>
      <c r="EU104" s="1333"/>
      <c r="EV104" s="1333"/>
      <c r="EW104" s="1333"/>
      <c r="EX104" s="1333"/>
      <c r="EY104" s="1333"/>
      <c r="EZ104" s="1333"/>
      <c r="FA104" s="1333"/>
      <c r="FB104" s="1333"/>
      <c r="FC104" s="1333"/>
      <c r="FD104" s="1333"/>
      <c r="FE104" s="1333"/>
      <c r="FF104" s="1333"/>
      <c r="FG104" s="1333"/>
      <c r="FH104" s="1333"/>
      <c r="FI104" s="1333"/>
      <c r="FJ104" s="1333"/>
      <c r="FK104" s="1333"/>
      <c r="FL104" s="1333"/>
      <c r="FM104" s="1333"/>
      <c r="FN104" s="1333"/>
      <c r="FO104" s="1333"/>
      <c r="FP104" s="1333"/>
      <c r="FQ104" s="1333"/>
      <c r="FR104" s="1333"/>
      <c r="FS104" s="1333"/>
      <c r="FT104" s="1333"/>
      <c r="FU104" s="1333"/>
      <c r="FV104" s="1333"/>
      <c r="FW104" s="1333"/>
      <c r="FX104" s="1333"/>
      <c r="FY104" s="1333"/>
      <c r="FZ104" s="1333"/>
      <c r="GA104" s="1333"/>
      <c r="GB104" s="1333"/>
      <c r="GC104" s="1333"/>
      <c r="GD104" s="1333"/>
      <c r="GE104" s="1333"/>
      <c r="GF104" s="1333"/>
      <c r="GG104" s="1333"/>
      <c r="GH104" s="1333"/>
      <c r="GI104" s="1333"/>
      <c r="GJ104" s="1333"/>
      <c r="GK104" s="1333"/>
      <c r="GL104" s="1333"/>
      <c r="GM104" s="1333"/>
      <c r="GN104" s="1333"/>
      <c r="GO104" s="1333"/>
      <c r="GP104" s="1333"/>
      <c r="GQ104" s="1333"/>
      <c r="GR104" s="1333"/>
      <c r="GS104" s="1333"/>
      <c r="GT104" s="1333"/>
      <c r="GU104" s="1333"/>
      <c r="GV104" s="1333"/>
      <c r="GW104" s="1333"/>
      <c r="GX104" s="1333"/>
    </row>
    <row r="105" spans="1:206" s="607" customFormat="1">
      <c r="A105" s="607">
        <f t="shared" si="2"/>
        <v>1979</v>
      </c>
      <c r="B105" s="607">
        <f t="shared" si="3"/>
        <v>1</v>
      </c>
      <c r="C105" s="1173">
        <v>28856</v>
      </c>
      <c r="D105" s="1709"/>
      <c r="E105" s="1117"/>
      <c r="F105" s="1117"/>
      <c r="G105" s="1117"/>
      <c r="H105" s="1117"/>
      <c r="I105" s="959">
        <v>200.57408789887967</v>
      </c>
      <c r="J105" s="959">
        <v>227.33068181819999</v>
      </c>
      <c r="K105" s="960"/>
      <c r="L105" s="1121"/>
      <c r="M105" s="916"/>
      <c r="N105" s="916"/>
      <c r="O105" s="1332"/>
      <c r="P105" s="1332"/>
      <c r="Q105" s="1332"/>
      <c r="R105" s="1332"/>
      <c r="S105" s="1332"/>
      <c r="T105" s="1332"/>
      <c r="U105" s="1120"/>
      <c r="V105" s="1120"/>
      <c r="W105" s="1120"/>
      <c r="X105" s="1120"/>
      <c r="Y105" s="1119"/>
      <c r="Z105" s="1119"/>
      <c r="AA105" s="1119"/>
      <c r="AB105" s="1119"/>
      <c r="AC105" s="1178"/>
      <c r="AD105" s="1178"/>
      <c r="AE105" s="1178"/>
      <c r="AF105" s="1178"/>
      <c r="AG105" s="1178"/>
      <c r="AH105" s="1178"/>
      <c r="AI105" s="1178"/>
      <c r="AJ105" s="1178"/>
      <c r="AK105" s="919"/>
      <c r="AL105" s="1104"/>
      <c r="AM105" s="919"/>
      <c r="AN105" s="1710"/>
      <c r="AO105" s="919"/>
      <c r="AP105" s="919"/>
      <c r="AS105" s="1167"/>
      <c r="AT105" s="1167"/>
      <c r="AU105" s="1168"/>
      <c r="AV105" s="1168"/>
      <c r="AW105" s="1169"/>
      <c r="AX105" s="1169"/>
      <c r="AY105" s="1169"/>
      <c r="AZ105" s="1169"/>
      <c r="BA105" s="1799" t="s">
        <v>3</v>
      </c>
      <c r="BB105" s="1802">
        <v>2015</v>
      </c>
      <c r="BC105" s="1799" t="s">
        <v>21</v>
      </c>
      <c r="BD105" s="1799">
        <v>1</v>
      </c>
      <c r="BE105" s="1800">
        <v>1153369212.23</v>
      </c>
      <c r="BF105" s="1801">
        <v>0.45832016711519769</v>
      </c>
      <c r="BG105" s="1799"/>
      <c r="BH105" s="1799" t="s">
        <v>0</v>
      </c>
      <c r="BI105" s="1799" t="s">
        <v>313</v>
      </c>
      <c r="BJ105" s="1799" t="s">
        <v>32</v>
      </c>
      <c r="BK105" s="1799"/>
      <c r="BL105" s="1800">
        <v>330234835.58999968</v>
      </c>
      <c r="BM105" s="1801">
        <v>8.0541858537949318E-2</v>
      </c>
      <c r="BN105" s="1799">
        <v>2008</v>
      </c>
      <c r="BO105" s="1684"/>
      <c r="BP105" s="1696"/>
      <c r="BQ105" s="1169"/>
      <c r="BR105" s="1169"/>
      <c r="BS105" s="1169"/>
      <c r="BT105" s="1169"/>
      <c r="BU105" s="1169"/>
      <c r="BV105" s="1169"/>
      <c r="BW105" s="1169"/>
      <c r="BX105" s="1169"/>
      <c r="BY105" s="1169"/>
      <c r="BZ105" s="1169"/>
      <c r="CA105" s="1169"/>
      <c r="CB105" s="1169"/>
      <c r="CC105" s="1169"/>
      <c r="CD105" s="1169"/>
      <c r="CE105" s="1169"/>
      <c r="CF105" s="1169"/>
      <c r="CG105" s="1169"/>
      <c r="CH105" s="1169"/>
      <c r="CI105" s="1169"/>
      <c r="CJ105" s="1169"/>
      <c r="CK105" s="1169"/>
      <c r="CL105" s="1169"/>
      <c r="CM105" s="1169"/>
      <c r="CN105" s="1169"/>
      <c r="CO105" s="1169"/>
      <c r="CP105" s="1169"/>
      <c r="CQ105" s="1169"/>
      <c r="CR105" s="1169"/>
      <c r="CS105" s="1169"/>
      <c r="CT105" s="1169"/>
      <c r="CU105" s="1169"/>
      <c r="CV105" s="1169"/>
      <c r="CW105" s="1169"/>
      <c r="CX105" s="1169"/>
      <c r="CY105" s="1169"/>
      <c r="CZ105" s="1169"/>
      <c r="DA105" s="1168"/>
      <c r="DB105" s="1168"/>
      <c r="DC105" s="1168"/>
      <c r="DD105" s="1168"/>
      <c r="DE105" s="1168"/>
      <c r="DF105" s="1168"/>
      <c r="DG105" s="1168"/>
      <c r="DH105" s="1168"/>
      <c r="DI105" s="1168"/>
      <c r="DJ105" s="1168"/>
      <c r="DK105" s="1168"/>
      <c r="DL105" s="1168"/>
      <c r="DM105" s="1168"/>
      <c r="DN105" s="1168"/>
      <c r="DO105" s="1168"/>
      <c r="DP105" s="1168"/>
      <c r="DQ105" s="1168"/>
      <c r="DR105" s="1168"/>
      <c r="DS105" s="1168"/>
      <c r="DT105" s="1168"/>
      <c r="DU105" s="1168"/>
      <c r="DV105" s="1168"/>
      <c r="DW105" s="1168"/>
      <c r="DX105" s="1168"/>
      <c r="DY105" s="1168"/>
      <c r="DZ105" s="1168"/>
      <c r="EA105" s="1168"/>
      <c r="EB105" s="1168"/>
      <c r="EC105" s="1168"/>
      <c r="ED105" s="1168"/>
      <c r="EE105" s="1168"/>
      <c r="EF105" s="1168"/>
      <c r="EG105" s="1168"/>
      <c r="EH105" s="1168"/>
      <c r="EI105" s="1170"/>
      <c r="EJ105" s="1170"/>
      <c r="EK105" s="1170"/>
      <c r="EL105" s="1170"/>
      <c r="EM105" s="1170"/>
      <c r="EN105" s="1170"/>
      <c r="EO105" s="1170"/>
      <c r="EP105" s="1170"/>
      <c r="EQ105" s="1170"/>
      <c r="ER105" s="1170"/>
      <c r="ES105" s="1333"/>
      <c r="ET105" s="1333"/>
      <c r="EU105" s="1333"/>
      <c r="EV105" s="1333"/>
      <c r="EW105" s="1333"/>
      <c r="EX105" s="1333"/>
      <c r="EY105" s="1333"/>
      <c r="EZ105" s="1333"/>
      <c r="FA105" s="1333"/>
      <c r="FB105" s="1333"/>
      <c r="FC105" s="1333"/>
      <c r="FD105" s="1333"/>
      <c r="FE105" s="1333"/>
      <c r="FF105" s="1333"/>
      <c r="FG105" s="1333"/>
      <c r="FH105" s="1333"/>
      <c r="FI105" s="1333"/>
      <c r="FJ105" s="1333"/>
      <c r="FK105" s="1333"/>
      <c r="FL105" s="1333"/>
      <c r="FM105" s="1333"/>
      <c r="FN105" s="1333"/>
      <c r="FO105" s="1333"/>
      <c r="FP105" s="1333"/>
      <c r="FQ105" s="1333"/>
      <c r="FR105" s="1333"/>
      <c r="FS105" s="1333"/>
      <c r="FT105" s="1333"/>
      <c r="FU105" s="1333"/>
      <c r="FV105" s="1333"/>
      <c r="FW105" s="1333"/>
      <c r="FX105" s="1333"/>
      <c r="FY105" s="1333"/>
      <c r="FZ105" s="1333"/>
      <c r="GA105" s="1333"/>
      <c r="GB105" s="1333"/>
      <c r="GC105" s="1333"/>
      <c r="GD105" s="1333"/>
      <c r="GE105" s="1333"/>
      <c r="GF105" s="1333"/>
      <c r="GG105" s="1333"/>
      <c r="GH105" s="1333"/>
      <c r="GI105" s="1333"/>
      <c r="GJ105" s="1333"/>
      <c r="GK105" s="1333"/>
      <c r="GL105" s="1333"/>
      <c r="GM105" s="1333"/>
      <c r="GN105" s="1333"/>
      <c r="GO105" s="1333"/>
      <c r="GP105" s="1333"/>
      <c r="GQ105" s="1333"/>
      <c r="GR105" s="1333"/>
      <c r="GS105" s="1333"/>
      <c r="GT105" s="1333"/>
      <c r="GU105" s="1333"/>
      <c r="GV105" s="1333"/>
      <c r="GW105" s="1333"/>
      <c r="GX105" s="1333"/>
    </row>
    <row r="106" spans="1:206" s="607" customFormat="1">
      <c r="A106" s="607">
        <f t="shared" si="2"/>
        <v>1979</v>
      </c>
      <c r="B106" s="607">
        <f t="shared" si="3"/>
        <v>1</v>
      </c>
      <c r="C106" s="1173">
        <v>28887</v>
      </c>
      <c r="D106" s="957"/>
      <c r="E106" s="920"/>
      <c r="F106" s="920"/>
      <c r="G106" s="920"/>
      <c r="H106" s="920"/>
      <c r="I106" s="954">
        <v>218.16557665625001</v>
      </c>
      <c r="J106" s="954">
        <v>246.15625</v>
      </c>
      <c r="K106" s="954"/>
      <c r="L106" s="920"/>
      <c r="M106" s="917"/>
      <c r="N106" s="917"/>
      <c r="O106" s="1334"/>
      <c r="P106" s="1334"/>
      <c r="Q106" s="1334"/>
      <c r="R106" s="1334"/>
      <c r="S106" s="1334"/>
      <c r="T106" s="1334"/>
      <c r="U106" s="920"/>
      <c r="V106" s="920"/>
      <c r="W106" s="920"/>
      <c r="X106" s="920"/>
      <c r="Y106" s="920"/>
      <c r="Z106" s="920"/>
      <c r="AA106" s="920"/>
      <c r="AB106" s="920"/>
      <c r="AC106" s="920"/>
      <c r="AD106" s="920"/>
      <c r="AE106" s="920"/>
      <c r="AF106" s="920"/>
      <c r="AG106" s="920"/>
      <c r="AH106" s="920"/>
      <c r="AI106" s="920"/>
      <c r="AJ106" s="920"/>
      <c r="AK106" s="920"/>
      <c r="AL106" s="1105"/>
      <c r="AM106" s="920"/>
      <c r="AN106" s="1711"/>
      <c r="AO106" s="920"/>
      <c r="AP106" s="920"/>
      <c r="AS106" s="1167"/>
      <c r="AT106" s="1167"/>
      <c r="AU106" s="1168"/>
      <c r="AV106" s="1168"/>
      <c r="AW106" s="1169"/>
      <c r="AX106" s="1169"/>
      <c r="AY106" s="1169"/>
      <c r="AZ106" s="1169"/>
      <c r="BA106" s="1799" t="s">
        <v>3</v>
      </c>
      <c r="BB106" s="1802">
        <v>2015</v>
      </c>
      <c r="BC106" s="1799" t="s">
        <v>15</v>
      </c>
      <c r="BD106" s="1799">
        <v>2</v>
      </c>
      <c r="BE106" s="1800">
        <v>599310132.35000002</v>
      </c>
      <c r="BF106" s="1801">
        <v>0.23815090354406698</v>
      </c>
      <c r="BG106" s="1799"/>
      <c r="BH106" s="1799" t="s">
        <v>0</v>
      </c>
      <c r="BI106" s="1799" t="s">
        <v>313</v>
      </c>
      <c r="BJ106" s="1799" t="s">
        <v>249</v>
      </c>
      <c r="BK106" s="1799"/>
      <c r="BL106" s="1800">
        <v>4100164083.4299998</v>
      </c>
      <c r="BM106" s="1801"/>
      <c r="BN106" s="1799">
        <v>2008</v>
      </c>
      <c r="BO106" s="1684"/>
      <c r="BP106" s="1696"/>
      <c r="BQ106" s="1169"/>
      <c r="BR106" s="1169"/>
      <c r="BS106" s="1169"/>
      <c r="BT106" s="1169"/>
      <c r="BU106" s="1169"/>
      <c r="BV106" s="1169"/>
      <c r="BW106" s="1169"/>
      <c r="BX106" s="1169"/>
      <c r="BY106" s="1169"/>
      <c r="BZ106" s="1169"/>
      <c r="CA106" s="1169"/>
      <c r="CB106" s="1169"/>
      <c r="CC106" s="1169"/>
      <c r="CD106" s="1169"/>
      <c r="CE106" s="1169"/>
      <c r="CF106" s="1169"/>
      <c r="CG106" s="1169"/>
      <c r="CH106" s="1169"/>
      <c r="CI106" s="1169"/>
      <c r="CJ106" s="1169"/>
      <c r="CK106" s="1169"/>
      <c r="CL106" s="1169"/>
      <c r="CM106" s="1169"/>
      <c r="CN106" s="1169"/>
      <c r="CO106" s="1169"/>
      <c r="CP106" s="1169"/>
      <c r="CQ106" s="1169"/>
      <c r="CR106" s="1169"/>
      <c r="CS106" s="1169"/>
      <c r="CT106" s="1169"/>
      <c r="CU106" s="1169"/>
      <c r="CV106" s="1169"/>
      <c r="CW106" s="1169"/>
      <c r="CX106" s="1169"/>
      <c r="CY106" s="1169"/>
      <c r="CZ106" s="1169"/>
      <c r="DA106" s="1168"/>
      <c r="DB106" s="1168"/>
      <c r="DC106" s="1168"/>
      <c r="DD106" s="1168"/>
      <c r="DE106" s="1168"/>
      <c r="DF106" s="1168"/>
      <c r="DG106" s="1168"/>
      <c r="DH106" s="1168"/>
      <c r="DI106" s="1168"/>
      <c r="DJ106" s="1168"/>
      <c r="DK106" s="1168"/>
      <c r="DL106" s="1168"/>
      <c r="DM106" s="1168"/>
      <c r="DN106" s="1168"/>
      <c r="DO106" s="1168"/>
      <c r="DP106" s="1168"/>
      <c r="DQ106" s="1168"/>
      <c r="DR106" s="1168"/>
      <c r="DS106" s="1168"/>
      <c r="DT106" s="1168"/>
      <c r="DU106" s="1168"/>
      <c r="DV106" s="1168"/>
      <c r="DW106" s="1168"/>
      <c r="DX106" s="1168"/>
      <c r="DY106" s="1168"/>
      <c r="DZ106" s="1168"/>
      <c r="EA106" s="1168"/>
      <c r="EB106" s="1168"/>
      <c r="EC106" s="1168"/>
      <c r="ED106" s="1168"/>
      <c r="EE106" s="1168"/>
      <c r="EF106" s="1168"/>
      <c r="EG106" s="1168"/>
      <c r="EH106" s="1168"/>
      <c r="EI106" s="1170"/>
      <c r="EJ106" s="1170"/>
      <c r="EK106" s="1170"/>
      <c r="EL106" s="1170"/>
      <c r="EM106" s="1170"/>
      <c r="EN106" s="1170"/>
      <c r="EO106" s="1170"/>
      <c r="EP106" s="1170"/>
      <c r="EQ106" s="1170"/>
      <c r="ER106" s="1170"/>
      <c r="ES106" s="1333"/>
      <c r="ET106" s="1333"/>
      <c r="EU106" s="1333"/>
      <c r="EV106" s="1333"/>
      <c r="EW106" s="1333"/>
      <c r="EX106" s="1333"/>
      <c r="EY106" s="1333"/>
      <c r="EZ106" s="1333"/>
      <c r="FA106" s="1333"/>
      <c r="FB106" s="1333"/>
      <c r="FC106" s="1333"/>
      <c r="FD106" s="1333"/>
      <c r="FE106" s="1333"/>
      <c r="FF106" s="1333"/>
      <c r="FG106" s="1333"/>
      <c r="FH106" s="1333"/>
      <c r="FI106" s="1333"/>
      <c r="FJ106" s="1333"/>
      <c r="FK106" s="1333"/>
      <c r="FL106" s="1333"/>
      <c r="FM106" s="1333"/>
      <c r="FN106" s="1333"/>
      <c r="FO106" s="1333"/>
      <c r="FP106" s="1333"/>
      <c r="FQ106" s="1333"/>
      <c r="FR106" s="1333"/>
      <c r="FS106" s="1333"/>
      <c r="FT106" s="1333"/>
      <c r="FU106" s="1333"/>
      <c r="FV106" s="1333"/>
      <c r="FW106" s="1333"/>
      <c r="FX106" s="1333"/>
      <c r="FY106" s="1333"/>
      <c r="FZ106" s="1333"/>
      <c r="GA106" s="1333"/>
      <c r="GB106" s="1333"/>
      <c r="GC106" s="1333"/>
      <c r="GD106" s="1333"/>
      <c r="GE106" s="1333"/>
      <c r="GF106" s="1333"/>
      <c r="GG106" s="1333"/>
      <c r="GH106" s="1333"/>
      <c r="GI106" s="1333"/>
      <c r="GJ106" s="1333"/>
      <c r="GK106" s="1333"/>
      <c r="GL106" s="1333"/>
      <c r="GM106" s="1333"/>
      <c r="GN106" s="1333"/>
      <c r="GO106" s="1333"/>
      <c r="GP106" s="1333"/>
      <c r="GQ106" s="1333"/>
      <c r="GR106" s="1333"/>
      <c r="GS106" s="1333"/>
      <c r="GT106" s="1333"/>
      <c r="GU106" s="1333"/>
      <c r="GV106" s="1333"/>
      <c r="GW106" s="1333"/>
      <c r="GX106" s="1333"/>
    </row>
    <row r="107" spans="1:206" s="607" customFormat="1">
      <c r="A107" s="607">
        <f t="shared" si="2"/>
        <v>1979</v>
      </c>
      <c r="B107" s="607">
        <f t="shared" si="3"/>
        <v>1</v>
      </c>
      <c r="C107" s="1173">
        <v>28915</v>
      </c>
      <c r="D107" s="1709"/>
      <c r="E107" s="1117"/>
      <c r="F107" s="1117"/>
      <c r="G107" s="1117"/>
      <c r="H107" s="1117"/>
      <c r="I107" s="959">
        <v>216.27687395453734</v>
      </c>
      <c r="J107" s="959">
        <v>241.8409090909</v>
      </c>
      <c r="K107" s="960"/>
      <c r="L107" s="1121"/>
      <c r="M107" s="916"/>
      <c r="N107" s="916"/>
      <c r="O107" s="1332"/>
      <c r="P107" s="1332"/>
      <c r="Q107" s="1332"/>
      <c r="R107" s="1332"/>
      <c r="S107" s="1332"/>
      <c r="T107" s="1332"/>
      <c r="U107" s="1120"/>
      <c r="V107" s="1120"/>
      <c r="W107" s="1120"/>
      <c r="X107" s="1120"/>
      <c r="Y107" s="1119"/>
      <c r="Z107" s="1119"/>
      <c r="AA107" s="1119"/>
      <c r="AB107" s="1119"/>
      <c r="AC107" s="1178"/>
      <c r="AD107" s="1178"/>
      <c r="AE107" s="1178"/>
      <c r="AF107" s="1178"/>
      <c r="AG107" s="1178"/>
      <c r="AH107" s="1178"/>
      <c r="AI107" s="1178"/>
      <c r="AJ107" s="1178"/>
      <c r="AK107" s="919"/>
      <c r="AL107" s="1104"/>
      <c r="AM107" s="919"/>
      <c r="AN107" s="1710"/>
      <c r="AO107" s="919"/>
      <c r="AP107" s="919"/>
      <c r="AS107" s="1167"/>
      <c r="AT107" s="1167"/>
      <c r="AU107" s="1168"/>
      <c r="AV107" s="1168"/>
      <c r="AW107" s="1169"/>
      <c r="AX107" s="1169"/>
      <c r="AY107" s="1169"/>
      <c r="AZ107" s="1169"/>
      <c r="BA107" s="1799" t="s">
        <v>3</v>
      </c>
      <c r="BB107" s="1802">
        <v>2015</v>
      </c>
      <c r="BC107" s="1799" t="s">
        <v>49</v>
      </c>
      <c r="BD107" s="1799">
        <v>3</v>
      </c>
      <c r="BE107" s="1800">
        <v>136583776.70999998</v>
      </c>
      <c r="BF107" s="1801">
        <v>5.4274987318170917E-2</v>
      </c>
      <c r="BG107" s="1799"/>
      <c r="BH107" s="1799" t="s">
        <v>0</v>
      </c>
      <c r="BI107" s="1799" t="s">
        <v>312</v>
      </c>
      <c r="BJ107" s="1799" t="s">
        <v>15</v>
      </c>
      <c r="BK107" s="1799">
        <v>1</v>
      </c>
      <c r="BL107" s="1800">
        <v>735391718.79999983</v>
      </c>
      <c r="BM107" s="1801">
        <v>0.1844729725338857</v>
      </c>
      <c r="BN107" s="1799">
        <v>2007</v>
      </c>
      <c r="BO107" s="1684"/>
      <c r="BP107" s="1697"/>
      <c r="BQ107" s="1169"/>
      <c r="BR107" s="1169"/>
      <c r="BS107" s="1169"/>
      <c r="BT107" s="1169"/>
      <c r="BU107" s="1169"/>
      <c r="BV107" s="1169"/>
      <c r="BW107" s="1169"/>
      <c r="BX107" s="1169"/>
      <c r="BY107" s="1169"/>
      <c r="BZ107" s="1169"/>
      <c r="CA107" s="1169"/>
      <c r="CB107" s="1169"/>
      <c r="CC107" s="1169"/>
      <c r="CD107" s="1169"/>
      <c r="CE107" s="1169"/>
      <c r="CF107" s="1169"/>
      <c r="CG107" s="1169"/>
      <c r="CH107" s="1169"/>
      <c r="CI107" s="1169"/>
      <c r="CJ107" s="1169"/>
      <c r="CK107" s="1169"/>
      <c r="CL107" s="1169"/>
      <c r="CM107" s="1169"/>
      <c r="CN107" s="1169"/>
      <c r="CO107" s="1169"/>
      <c r="CP107" s="1169"/>
      <c r="CQ107" s="1169"/>
      <c r="CR107" s="1169"/>
      <c r="CS107" s="1169"/>
      <c r="CT107" s="1169"/>
      <c r="CU107" s="1169"/>
      <c r="CV107" s="1169"/>
      <c r="CW107" s="1169"/>
      <c r="CX107" s="1169"/>
      <c r="CY107" s="1169"/>
      <c r="CZ107" s="1169"/>
      <c r="DA107" s="1168"/>
      <c r="DB107" s="1168"/>
      <c r="DC107" s="1168"/>
      <c r="DD107" s="1168"/>
      <c r="DE107" s="1168"/>
      <c r="DF107" s="1168"/>
      <c r="DG107" s="1168"/>
      <c r="DH107" s="1168"/>
      <c r="DI107" s="1168"/>
      <c r="DJ107" s="1168"/>
      <c r="DK107" s="1168"/>
      <c r="DL107" s="1168"/>
      <c r="DM107" s="1168"/>
      <c r="DN107" s="1168"/>
      <c r="DO107" s="1168"/>
      <c r="DP107" s="1168"/>
      <c r="DQ107" s="1168"/>
      <c r="DR107" s="1168"/>
      <c r="DS107" s="1168"/>
      <c r="DT107" s="1168"/>
      <c r="DU107" s="1168"/>
      <c r="DV107" s="1168"/>
      <c r="DW107" s="1168"/>
      <c r="DX107" s="1168"/>
      <c r="DY107" s="1168"/>
      <c r="DZ107" s="1168"/>
      <c r="EA107" s="1168"/>
      <c r="EB107" s="1168"/>
      <c r="EC107" s="1168"/>
      <c r="ED107" s="1168"/>
      <c r="EE107" s="1168"/>
      <c r="EF107" s="1168"/>
      <c r="EG107" s="1168"/>
      <c r="EH107" s="1168"/>
      <c r="EI107" s="1170"/>
      <c r="EJ107" s="1170"/>
      <c r="EK107" s="1170"/>
      <c r="EL107" s="1170"/>
      <c r="EM107" s="1170"/>
      <c r="EN107" s="1170"/>
      <c r="EO107" s="1170"/>
      <c r="EP107" s="1170"/>
      <c r="EQ107" s="1170"/>
      <c r="ER107" s="1170"/>
      <c r="ES107" s="1333"/>
      <c r="ET107" s="1333"/>
      <c r="EU107" s="1333"/>
      <c r="EV107" s="1333"/>
      <c r="EW107" s="1333"/>
      <c r="EX107" s="1333"/>
      <c r="EY107" s="1333"/>
      <c r="EZ107" s="1333"/>
      <c r="FA107" s="1333"/>
      <c r="FB107" s="1333"/>
      <c r="FC107" s="1333"/>
      <c r="FD107" s="1333"/>
      <c r="FE107" s="1333"/>
      <c r="FF107" s="1333"/>
      <c r="FG107" s="1333"/>
      <c r="FH107" s="1333"/>
      <c r="FI107" s="1333"/>
      <c r="FJ107" s="1333"/>
      <c r="FK107" s="1333"/>
      <c r="FL107" s="1333"/>
      <c r="FM107" s="1333"/>
      <c r="FN107" s="1333"/>
      <c r="FO107" s="1333"/>
      <c r="FP107" s="1333"/>
      <c r="FQ107" s="1333"/>
      <c r="FR107" s="1333"/>
      <c r="FS107" s="1333"/>
      <c r="FT107" s="1333"/>
      <c r="FU107" s="1333"/>
      <c r="FV107" s="1333"/>
      <c r="FW107" s="1333"/>
      <c r="FX107" s="1333"/>
      <c r="FY107" s="1333"/>
      <c r="FZ107" s="1333"/>
      <c r="GA107" s="1333"/>
      <c r="GB107" s="1333"/>
      <c r="GC107" s="1333"/>
      <c r="GD107" s="1333"/>
      <c r="GE107" s="1333"/>
      <c r="GF107" s="1333"/>
      <c r="GG107" s="1333"/>
      <c r="GH107" s="1333"/>
      <c r="GI107" s="1333"/>
      <c r="GJ107" s="1333"/>
      <c r="GK107" s="1333"/>
      <c r="GL107" s="1333"/>
      <c r="GM107" s="1333"/>
      <c r="GN107" s="1333"/>
      <c r="GO107" s="1333"/>
      <c r="GP107" s="1333"/>
      <c r="GQ107" s="1333"/>
      <c r="GR107" s="1333"/>
      <c r="GS107" s="1333"/>
      <c r="GT107" s="1333"/>
      <c r="GU107" s="1333"/>
      <c r="GV107" s="1333"/>
      <c r="GW107" s="1333"/>
      <c r="GX107" s="1333"/>
    </row>
    <row r="108" spans="1:206" s="607" customFormat="1">
      <c r="A108" s="607">
        <f t="shared" si="2"/>
        <v>1979</v>
      </c>
      <c r="B108" s="607">
        <f t="shared" si="3"/>
        <v>2</v>
      </c>
      <c r="C108" s="1173">
        <v>28947</v>
      </c>
      <c r="D108" s="957"/>
      <c r="E108" s="920"/>
      <c r="F108" s="920"/>
      <c r="G108" s="920"/>
      <c r="H108" s="920"/>
      <c r="I108" s="954">
        <v>217.12680574737797</v>
      </c>
      <c r="J108" s="954">
        <v>239.3605263158</v>
      </c>
      <c r="K108" s="954"/>
      <c r="L108" s="920"/>
      <c r="M108" s="917"/>
      <c r="N108" s="917"/>
      <c r="O108" s="1334"/>
      <c r="P108" s="1334"/>
      <c r="Q108" s="1334"/>
      <c r="R108" s="1334"/>
      <c r="S108" s="1334"/>
      <c r="T108" s="1334"/>
      <c r="U108" s="920"/>
      <c r="V108" s="920"/>
      <c r="W108" s="920"/>
      <c r="X108" s="920"/>
      <c r="Y108" s="920"/>
      <c r="Z108" s="920"/>
      <c r="AA108" s="920"/>
      <c r="AB108" s="920"/>
      <c r="AC108" s="920"/>
      <c r="AD108" s="920"/>
      <c r="AE108" s="920"/>
      <c r="AF108" s="920"/>
      <c r="AG108" s="920"/>
      <c r="AH108" s="920"/>
      <c r="AI108" s="920"/>
      <c r="AJ108" s="920"/>
      <c r="AK108" s="920"/>
      <c r="AL108" s="1105"/>
      <c r="AM108" s="920"/>
      <c r="AN108" s="1711"/>
      <c r="AO108" s="920"/>
      <c r="AP108" s="920"/>
      <c r="AS108" s="1167"/>
      <c r="AT108" s="1167"/>
      <c r="AU108" s="1168"/>
      <c r="AV108" s="1168"/>
      <c r="AW108" s="1169"/>
      <c r="AX108" s="1169"/>
      <c r="AY108" s="1169"/>
      <c r="AZ108" s="1169"/>
      <c r="BA108" s="1799" t="s">
        <v>3</v>
      </c>
      <c r="BB108" s="1802">
        <v>2015</v>
      </c>
      <c r="BC108" s="1799" t="s">
        <v>20</v>
      </c>
      <c r="BD108" s="1799">
        <v>4</v>
      </c>
      <c r="BE108" s="1800">
        <v>111185230.85999998</v>
      </c>
      <c r="BF108" s="1801">
        <v>4.4182238478492619E-2</v>
      </c>
      <c r="BG108" s="1799"/>
      <c r="BH108" s="1799" t="s">
        <v>0</v>
      </c>
      <c r="BI108" s="1799" t="s">
        <v>312</v>
      </c>
      <c r="BJ108" s="1799" t="s">
        <v>14</v>
      </c>
      <c r="BK108" s="1799">
        <v>2</v>
      </c>
      <c r="BL108" s="1800">
        <v>638515856.45999992</v>
      </c>
      <c r="BM108" s="1801">
        <v>0.1601716677519868</v>
      </c>
      <c r="BN108" s="1799">
        <v>2007</v>
      </c>
      <c r="BO108" s="1684"/>
      <c r="BP108" s="1696"/>
      <c r="BQ108" s="1169"/>
      <c r="BR108" s="1169"/>
      <c r="BS108" s="1169"/>
      <c r="BT108" s="1169"/>
      <c r="BU108" s="1169"/>
      <c r="BV108" s="1169"/>
      <c r="BW108" s="1169"/>
      <c r="BX108" s="1169"/>
      <c r="BY108" s="1169"/>
      <c r="BZ108" s="1169"/>
      <c r="CA108" s="1169"/>
      <c r="CB108" s="1169"/>
      <c r="CC108" s="1169"/>
      <c r="CD108" s="1169"/>
      <c r="CE108" s="1169"/>
      <c r="CF108" s="1169"/>
      <c r="CG108" s="1169"/>
      <c r="CH108" s="1169"/>
      <c r="CI108" s="1169"/>
      <c r="CJ108" s="1169"/>
      <c r="CK108" s="1169"/>
      <c r="CL108" s="1169"/>
      <c r="CM108" s="1169"/>
      <c r="CN108" s="1169"/>
      <c r="CO108" s="1169"/>
      <c r="CP108" s="1169"/>
      <c r="CQ108" s="1169"/>
      <c r="CR108" s="1169"/>
      <c r="CS108" s="1169"/>
      <c r="CT108" s="1169"/>
      <c r="CU108" s="1169"/>
      <c r="CV108" s="1169"/>
      <c r="CW108" s="1169"/>
      <c r="CX108" s="1169"/>
      <c r="CY108" s="1169"/>
      <c r="CZ108" s="1169"/>
      <c r="DA108" s="1168"/>
      <c r="DB108" s="1168"/>
      <c r="DC108" s="1168"/>
      <c r="DD108" s="1168"/>
      <c r="DE108" s="1168"/>
      <c r="DF108" s="1168"/>
      <c r="DG108" s="1168"/>
      <c r="DH108" s="1168"/>
      <c r="DI108" s="1168"/>
      <c r="DJ108" s="1168"/>
      <c r="DK108" s="1168"/>
      <c r="DL108" s="1168"/>
      <c r="DM108" s="1168"/>
      <c r="DN108" s="1168"/>
      <c r="DO108" s="1168"/>
      <c r="DP108" s="1168"/>
      <c r="DQ108" s="1168"/>
      <c r="DR108" s="1168"/>
      <c r="DS108" s="1168"/>
      <c r="DT108" s="1168"/>
      <c r="DU108" s="1168"/>
      <c r="DV108" s="1168"/>
      <c r="DW108" s="1168"/>
      <c r="DX108" s="1168"/>
      <c r="DY108" s="1168"/>
      <c r="DZ108" s="1168"/>
      <c r="EA108" s="1168"/>
      <c r="EB108" s="1168"/>
      <c r="EC108" s="1168"/>
      <c r="ED108" s="1168"/>
      <c r="EE108" s="1168"/>
      <c r="EF108" s="1168"/>
      <c r="EG108" s="1168"/>
      <c r="EH108" s="1168"/>
      <c r="EI108" s="1170"/>
      <c r="EJ108" s="1170"/>
      <c r="EK108" s="1170"/>
      <c r="EL108" s="1170"/>
      <c r="EM108" s="1170"/>
      <c r="EN108" s="1170"/>
      <c r="EO108" s="1170"/>
      <c r="EP108" s="1170"/>
      <c r="EQ108" s="1170"/>
      <c r="ER108" s="1170"/>
      <c r="ES108" s="1333"/>
      <c r="ET108" s="1333"/>
      <c r="EU108" s="1333"/>
      <c r="EV108" s="1333"/>
      <c r="EW108" s="1333"/>
      <c r="EX108" s="1333"/>
      <c r="EY108" s="1333"/>
      <c r="EZ108" s="1333"/>
      <c r="FA108" s="1333"/>
      <c r="FB108" s="1333"/>
      <c r="FC108" s="1333"/>
      <c r="FD108" s="1333"/>
      <c r="FE108" s="1333"/>
      <c r="FF108" s="1333"/>
      <c r="FG108" s="1333"/>
      <c r="FH108" s="1333"/>
      <c r="FI108" s="1333"/>
      <c r="FJ108" s="1333"/>
      <c r="FK108" s="1333"/>
      <c r="FL108" s="1333"/>
      <c r="FM108" s="1333"/>
      <c r="FN108" s="1333"/>
      <c r="FO108" s="1333"/>
      <c r="FP108" s="1333"/>
      <c r="FQ108" s="1333"/>
      <c r="FR108" s="1333"/>
      <c r="FS108" s="1333"/>
      <c r="FT108" s="1333"/>
      <c r="FU108" s="1333"/>
      <c r="FV108" s="1333"/>
      <c r="FW108" s="1333"/>
      <c r="FX108" s="1333"/>
      <c r="FY108" s="1333"/>
      <c r="FZ108" s="1333"/>
      <c r="GA108" s="1333"/>
      <c r="GB108" s="1333"/>
      <c r="GC108" s="1333"/>
      <c r="GD108" s="1333"/>
      <c r="GE108" s="1333"/>
      <c r="GF108" s="1333"/>
      <c r="GG108" s="1333"/>
      <c r="GH108" s="1333"/>
      <c r="GI108" s="1333"/>
      <c r="GJ108" s="1333"/>
      <c r="GK108" s="1333"/>
      <c r="GL108" s="1333"/>
      <c r="GM108" s="1333"/>
      <c r="GN108" s="1333"/>
      <c r="GO108" s="1333"/>
      <c r="GP108" s="1333"/>
      <c r="GQ108" s="1333"/>
      <c r="GR108" s="1333"/>
      <c r="GS108" s="1333"/>
      <c r="GT108" s="1333"/>
      <c r="GU108" s="1333"/>
      <c r="GV108" s="1333"/>
      <c r="GW108" s="1333"/>
      <c r="GX108" s="1333"/>
    </row>
    <row r="109" spans="1:206" s="607" customFormat="1">
      <c r="A109" s="607">
        <f t="shared" si="2"/>
        <v>1979</v>
      </c>
      <c r="B109" s="607">
        <f t="shared" si="3"/>
        <v>2</v>
      </c>
      <c r="C109" s="1173">
        <v>28976</v>
      </c>
      <c r="D109" s="1709"/>
      <c r="E109" s="1117"/>
      <c r="F109" s="1117"/>
      <c r="G109" s="1117"/>
      <c r="H109" s="1117"/>
      <c r="I109" s="959">
        <v>233.77421422618187</v>
      </c>
      <c r="J109" s="959">
        <v>258.27380952380003</v>
      </c>
      <c r="K109" s="960"/>
      <c r="L109" s="1121"/>
      <c r="M109" s="916"/>
      <c r="N109" s="916"/>
      <c r="O109" s="1332"/>
      <c r="P109" s="1332"/>
      <c r="Q109" s="1332"/>
      <c r="R109" s="1332"/>
      <c r="S109" s="1332"/>
      <c r="T109" s="1332"/>
      <c r="U109" s="1120"/>
      <c r="V109" s="1120"/>
      <c r="W109" s="1120"/>
      <c r="X109" s="1120"/>
      <c r="Y109" s="1119"/>
      <c r="Z109" s="1119"/>
      <c r="AA109" s="1119"/>
      <c r="AB109" s="1119"/>
      <c r="AC109" s="1178"/>
      <c r="AD109" s="1178"/>
      <c r="AE109" s="1178"/>
      <c r="AF109" s="1178"/>
      <c r="AG109" s="1178"/>
      <c r="AH109" s="1178"/>
      <c r="AI109" s="1178"/>
      <c r="AJ109" s="1178"/>
      <c r="AK109" s="919"/>
      <c r="AL109" s="1104"/>
      <c r="AM109" s="919"/>
      <c r="AN109" s="1710"/>
      <c r="AO109" s="919"/>
      <c r="AP109" s="919"/>
      <c r="AS109" s="1167"/>
      <c r="AT109" s="1167"/>
      <c r="AU109" s="1168"/>
      <c r="AV109" s="1168"/>
      <c r="AW109" s="1169"/>
      <c r="AX109" s="1169"/>
      <c r="AY109" s="1169"/>
      <c r="AZ109" s="1169"/>
      <c r="BA109" s="1799" t="s">
        <v>3</v>
      </c>
      <c r="BB109" s="1802">
        <v>2015</v>
      </c>
      <c r="BC109" s="1799" t="s">
        <v>431</v>
      </c>
      <c r="BD109" s="1799">
        <v>5</v>
      </c>
      <c r="BE109" s="1800">
        <v>85893768.76000002</v>
      </c>
      <c r="BF109" s="1801">
        <v>3.4132042051064376E-2</v>
      </c>
      <c r="BG109" s="1799"/>
      <c r="BH109" s="1799" t="s">
        <v>0</v>
      </c>
      <c r="BI109" s="1799" t="s">
        <v>312</v>
      </c>
      <c r="BJ109" s="1799" t="s">
        <v>27</v>
      </c>
      <c r="BK109" s="1799">
        <v>3</v>
      </c>
      <c r="BL109" s="1800">
        <v>597646915.80000019</v>
      </c>
      <c r="BM109" s="1801">
        <v>0.14991969621746434</v>
      </c>
      <c r="BN109" s="1799">
        <v>2007</v>
      </c>
      <c r="BO109" s="1684"/>
      <c r="BP109" s="1696"/>
      <c r="BQ109" s="1169"/>
      <c r="BR109" s="1169"/>
      <c r="BS109" s="1169"/>
      <c r="BT109" s="1169"/>
      <c r="BU109" s="1169"/>
      <c r="BV109" s="1169"/>
      <c r="BW109" s="1169"/>
      <c r="BX109" s="1169"/>
      <c r="BY109" s="1169"/>
      <c r="BZ109" s="1169"/>
      <c r="CA109" s="1169"/>
      <c r="CB109" s="1169"/>
      <c r="CC109" s="1169"/>
      <c r="CD109" s="1169"/>
      <c r="CE109" s="1169"/>
      <c r="CF109" s="1169"/>
      <c r="CG109" s="1169"/>
      <c r="CH109" s="1169"/>
      <c r="CI109" s="1169"/>
      <c r="CJ109" s="1169"/>
      <c r="CK109" s="1169"/>
      <c r="CL109" s="1169"/>
      <c r="CM109" s="1169"/>
      <c r="CN109" s="1169"/>
      <c r="CO109" s="1169"/>
      <c r="CP109" s="1169"/>
      <c r="CQ109" s="1169"/>
      <c r="CR109" s="1169"/>
      <c r="CS109" s="1169"/>
      <c r="CT109" s="1169"/>
      <c r="CU109" s="1169"/>
      <c r="CV109" s="1169"/>
      <c r="CW109" s="1169"/>
      <c r="CX109" s="1169"/>
      <c r="CY109" s="1169"/>
      <c r="CZ109" s="1169"/>
      <c r="DA109" s="1168"/>
      <c r="DB109" s="1168"/>
      <c r="DC109" s="1168"/>
      <c r="DD109" s="1168"/>
      <c r="DE109" s="1168"/>
      <c r="DF109" s="1168"/>
      <c r="DG109" s="1168"/>
      <c r="DH109" s="1168"/>
      <c r="DI109" s="1168"/>
      <c r="DJ109" s="1168"/>
      <c r="DK109" s="1168"/>
      <c r="DL109" s="1168"/>
      <c r="DM109" s="1168"/>
      <c r="DN109" s="1168"/>
      <c r="DO109" s="1168"/>
      <c r="DP109" s="1168"/>
      <c r="DQ109" s="1168"/>
      <c r="DR109" s="1168"/>
      <c r="DS109" s="1168"/>
      <c r="DT109" s="1168"/>
      <c r="DU109" s="1168"/>
      <c r="DV109" s="1168"/>
      <c r="DW109" s="1168"/>
      <c r="DX109" s="1168"/>
      <c r="DY109" s="1168"/>
      <c r="DZ109" s="1168"/>
      <c r="EA109" s="1168"/>
      <c r="EB109" s="1168"/>
      <c r="EC109" s="1168"/>
      <c r="ED109" s="1168"/>
      <c r="EE109" s="1168"/>
      <c r="EF109" s="1168"/>
      <c r="EG109" s="1168"/>
      <c r="EH109" s="1168"/>
      <c r="EI109" s="1170"/>
      <c r="EJ109" s="1170"/>
      <c r="EK109" s="1170"/>
      <c r="EL109" s="1170"/>
      <c r="EM109" s="1170"/>
      <c r="EN109" s="1170"/>
      <c r="EO109" s="1170"/>
      <c r="EP109" s="1170"/>
      <c r="EQ109" s="1170"/>
      <c r="ER109" s="1170"/>
      <c r="ES109" s="1333"/>
      <c r="ET109" s="1333"/>
      <c r="EU109" s="1333"/>
      <c r="EV109" s="1333"/>
      <c r="EW109" s="1333"/>
      <c r="EX109" s="1333"/>
      <c r="EY109" s="1333"/>
      <c r="EZ109" s="1333"/>
      <c r="FA109" s="1333"/>
      <c r="FB109" s="1333"/>
      <c r="FC109" s="1333"/>
      <c r="FD109" s="1333"/>
      <c r="FE109" s="1333"/>
      <c r="FF109" s="1333"/>
      <c r="FG109" s="1333"/>
      <c r="FH109" s="1333"/>
      <c r="FI109" s="1333"/>
      <c r="FJ109" s="1333"/>
      <c r="FK109" s="1333"/>
      <c r="FL109" s="1333"/>
      <c r="FM109" s="1333"/>
      <c r="FN109" s="1333"/>
      <c r="FO109" s="1333"/>
      <c r="FP109" s="1333"/>
      <c r="FQ109" s="1333"/>
      <c r="FR109" s="1333"/>
      <c r="FS109" s="1333"/>
      <c r="FT109" s="1333"/>
      <c r="FU109" s="1333"/>
      <c r="FV109" s="1333"/>
      <c r="FW109" s="1333"/>
      <c r="FX109" s="1333"/>
      <c r="FY109" s="1333"/>
      <c r="FZ109" s="1333"/>
      <c r="GA109" s="1333"/>
      <c r="GB109" s="1333"/>
      <c r="GC109" s="1333"/>
      <c r="GD109" s="1333"/>
      <c r="GE109" s="1333"/>
      <c r="GF109" s="1333"/>
      <c r="GG109" s="1333"/>
      <c r="GH109" s="1333"/>
      <c r="GI109" s="1333"/>
      <c r="GJ109" s="1333"/>
      <c r="GK109" s="1333"/>
      <c r="GL109" s="1333"/>
      <c r="GM109" s="1333"/>
      <c r="GN109" s="1333"/>
      <c r="GO109" s="1333"/>
      <c r="GP109" s="1333"/>
      <c r="GQ109" s="1333"/>
      <c r="GR109" s="1333"/>
      <c r="GS109" s="1333"/>
      <c r="GT109" s="1333"/>
      <c r="GU109" s="1333"/>
      <c r="GV109" s="1333"/>
      <c r="GW109" s="1333"/>
      <c r="GX109" s="1333"/>
    </row>
    <row r="110" spans="1:206" s="607" customFormat="1">
      <c r="A110" s="607">
        <f t="shared" si="2"/>
        <v>1979</v>
      </c>
      <c r="B110" s="607">
        <f t="shared" si="3"/>
        <v>2</v>
      </c>
      <c r="C110" s="1173">
        <v>29007</v>
      </c>
      <c r="D110" s="957"/>
      <c r="E110" s="920"/>
      <c r="F110" s="920"/>
      <c r="G110" s="920"/>
      <c r="H110" s="920"/>
      <c r="I110" s="954">
        <v>249.07932295718109</v>
      </c>
      <c r="J110" s="954">
        <v>279.24285714289999</v>
      </c>
      <c r="K110" s="954"/>
      <c r="L110" s="920"/>
      <c r="M110" s="917"/>
      <c r="N110" s="917"/>
      <c r="O110" s="1334"/>
      <c r="P110" s="1334"/>
      <c r="Q110" s="1334"/>
      <c r="R110" s="1334"/>
      <c r="S110" s="1334"/>
      <c r="T110" s="1334"/>
      <c r="U110" s="920"/>
      <c r="V110" s="920"/>
      <c r="W110" s="920"/>
      <c r="X110" s="920"/>
      <c r="Y110" s="920"/>
      <c r="Z110" s="920"/>
      <c r="AA110" s="920"/>
      <c r="AB110" s="920"/>
      <c r="AC110" s="920"/>
      <c r="AD110" s="920"/>
      <c r="AE110" s="920"/>
      <c r="AF110" s="920"/>
      <c r="AG110" s="920"/>
      <c r="AH110" s="920"/>
      <c r="AI110" s="920"/>
      <c r="AJ110" s="920"/>
      <c r="AK110" s="920"/>
      <c r="AL110" s="1105"/>
      <c r="AM110" s="920"/>
      <c r="AN110" s="1711"/>
      <c r="AO110" s="920"/>
      <c r="AP110" s="920"/>
      <c r="AS110" s="1167"/>
      <c r="AT110" s="1167"/>
      <c r="AU110" s="1168"/>
      <c r="AV110" s="1168"/>
      <c r="AW110" s="1169"/>
      <c r="AX110" s="1169"/>
      <c r="AY110" s="1169"/>
      <c r="AZ110" s="1169"/>
      <c r="BA110" s="1799" t="s">
        <v>3</v>
      </c>
      <c r="BB110" s="1802">
        <v>2015</v>
      </c>
      <c r="BC110" s="1799" t="s">
        <v>45</v>
      </c>
      <c r="BD110" s="1799">
        <v>6</v>
      </c>
      <c r="BE110" s="1800">
        <v>85645456.129999995</v>
      </c>
      <c r="BF110" s="1801">
        <v>3.4033368803268571E-2</v>
      </c>
      <c r="BG110" s="1799"/>
      <c r="BH110" s="1799" t="s">
        <v>0</v>
      </c>
      <c r="BI110" s="1799" t="s">
        <v>312</v>
      </c>
      <c r="BJ110" s="1799" t="s">
        <v>29</v>
      </c>
      <c r="BK110" s="1799">
        <v>4</v>
      </c>
      <c r="BL110" s="1800">
        <v>584217459.3499999</v>
      </c>
      <c r="BM110" s="1801">
        <v>0.1465509177997682</v>
      </c>
      <c r="BN110" s="1799">
        <v>2007</v>
      </c>
      <c r="BO110" s="1684"/>
      <c r="BP110" s="1697"/>
      <c r="BQ110" s="1169"/>
      <c r="BR110" s="1169"/>
      <c r="BS110" s="1169"/>
      <c r="BT110" s="1169"/>
      <c r="BU110" s="1169"/>
      <c r="BV110" s="1169"/>
      <c r="BW110" s="1169"/>
      <c r="BX110" s="1169"/>
      <c r="BY110" s="1169"/>
      <c r="BZ110" s="1169"/>
      <c r="CA110" s="1169"/>
      <c r="CB110" s="1169"/>
      <c r="CC110" s="1169"/>
      <c r="CD110" s="1169"/>
      <c r="CE110" s="1169"/>
      <c r="CF110" s="1169"/>
      <c r="CG110" s="1169"/>
      <c r="CH110" s="1169"/>
      <c r="CI110" s="1169"/>
      <c r="CJ110" s="1169"/>
      <c r="CK110" s="1169"/>
      <c r="CL110" s="1169"/>
      <c r="CM110" s="1169"/>
      <c r="CN110" s="1169"/>
      <c r="CO110" s="1169"/>
      <c r="CP110" s="1169"/>
      <c r="CQ110" s="1169"/>
      <c r="CR110" s="1169"/>
      <c r="CS110" s="1169"/>
      <c r="CT110" s="1169"/>
      <c r="CU110" s="1169"/>
      <c r="CV110" s="1169"/>
      <c r="CW110" s="1169"/>
      <c r="CX110" s="1169"/>
      <c r="CY110" s="1169"/>
      <c r="CZ110" s="1169"/>
      <c r="DA110" s="1168"/>
      <c r="DB110" s="1168"/>
      <c r="DC110" s="1168"/>
      <c r="DD110" s="1168"/>
      <c r="DE110" s="1168"/>
      <c r="DF110" s="1168"/>
      <c r="DG110" s="1168"/>
      <c r="DH110" s="1168"/>
      <c r="DI110" s="1168"/>
      <c r="DJ110" s="1168"/>
      <c r="DK110" s="1168"/>
      <c r="DL110" s="1168"/>
      <c r="DM110" s="1168"/>
      <c r="DN110" s="1168"/>
      <c r="DO110" s="1168"/>
      <c r="DP110" s="1168"/>
      <c r="DQ110" s="1168"/>
      <c r="DR110" s="1168"/>
      <c r="DS110" s="1168"/>
      <c r="DT110" s="1168"/>
      <c r="DU110" s="1168"/>
      <c r="DV110" s="1168"/>
      <c r="DW110" s="1168"/>
      <c r="DX110" s="1168"/>
      <c r="DY110" s="1168"/>
      <c r="DZ110" s="1168"/>
      <c r="EA110" s="1168"/>
      <c r="EB110" s="1168"/>
      <c r="EC110" s="1168"/>
      <c r="ED110" s="1168"/>
      <c r="EE110" s="1168"/>
      <c r="EF110" s="1168"/>
      <c r="EG110" s="1168"/>
      <c r="EH110" s="1168"/>
      <c r="EI110" s="1170"/>
      <c r="EJ110" s="1170"/>
      <c r="EK110" s="1170"/>
      <c r="EL110" s="1170"/>
      <c r="EM110" s="1170"/>
      <c r="EN110" s="1170"/>
      <c r="EO110" s="1170"/>
      <c r="EP110" s="1170"/>
      <c r="EQ110" s="1170"/>
      <c r="ER110" s="1170"/>
      <c r="ES110" s="1333"/>
      <c r="ET110" s="1333"/>
      <c r="EU110" s="1333"/>
      <c r="EV110" s="1333"/>
      <c r="EW110" s="1333"/>
      <c r="EX110" s="1333"/>
      <c r="EY110" s="1333"/>
      <c r="EZ110" s="1333"/>
      <c r="FA110" s="1333"/>
      <c r="FB110" s="1333"/>
      <c r="FC110" s="1333"/>
      <c r="FD110" s="1333"/>
      <c r="FE110" s="1333"/>
      <c r="FF110" s="1333"/>
      <c r="FG110" s="1333"/>
      <c r="FH110" s="1333"/>
      <c r="FI110" s="1333"/>
      <c r="FJ110" s="1333"/>
      <c r="FK110" s="1333"/>
      <c r="FL110" s="1333"/>
      <c r="FM110" s="1333"/>
      <c r="FN110" s="1333"/>
      <c r="FO110" s="1333"/>
      <c r="FP110" s="1333"/>
      <c r="FQ110" s="1333"/>
      <c r="FR110" s="1333"/>
      <c r="FS110" s="1333"/>
      <c r="FT110" s="1333"/>
      <c r="FU110" s="1333"/>
      <c r="FV110" s="1333"/>
      <c r="FW110" s="1333"/>
      <c r="FX110" s="1333"/>
      <c r="FY110" s="1333"/>
      <c r="FZ110" s="1333"/>
      <c r="GA110" s="1333"/>
      <c r="GB110" s="1333"/>
      <c r="GC110" s="1333"/>
      <c r="GD110" s="1333"/>
      <c r="GE110" s="1333"/>
      <c r="GF110" s="1333"/>
      <c r="GG110" s="1333"/>
      <c r="GH110" s="1333"/>
      <c r="GI110" s="1333"/>
      <c r="GJ110" s="1333"/>
      <c r="GK110" s="1333"/>
      <c r="GL110" s="1333"/>
      <c r="GM110" s="1333"/>
      <c r="GN110" s="1333"/>
      <c r="GO110" s="1333"/>
      <c r="GP110" s="1333"/>
      <c r="GQ110" s="1333"/>
      <c r="GR110" s="1333"/>
      <c r="GS110" s="1333"/>
      <c r="GT110" s="1333"/>
      <c r="GU110" s="1333"/>
      <c r="GV110" s="1333"/>
      <c r="GW110" s="1333"/>
      <c r="GX110" s="1333"/>
    </row>
    <row r="111" spans="1:206" s="607" customFormat="1">
      <c r="A111" s="607">
        <f t="shared" si="2"/>
        <v>1979</v>
      </c>
      <c r="B111" s="607">
        <f t="shared" si="3"/>
        <v>3</v>
      </c>
      <c r="C111" s="1173">
        <v>29038</v>
      </c>
      <c r="D111" s="1709"/>
      <c r="E111" s="1117"/>
      <c r="F111" s="1117"/>
      <c r="G111" s="1117"/>
      <c r="H111" s="1117"/>
      <c r="I111" s="959">
        <v>260.89102877728078</v>
      </c>
      <c r="J111" s="959">
        <v>294.85909090910002</v>
      </c>
      <c r="K111" s="960"/>
      <c r="L111" s="1121"/>
      <c r="M111" s="916"/>
      <c r="N111" s="916"/>
      <c r="O111" s="1332"/>
      <c r="P111" s="1332"/>
      <c r="Q111" s="1332"/>
      <c r="R111" s="1332"/>
      <c r="S111" s="1332"/>
      <c r="T111" s="1332"/>
      <c r="U111" s="1120"/>
      <c r="V111" s="1120"/>
      <c r="W111" s="1120"/>
      <c r="X111" s="1120"/>
      <c r="Y111" s="1119"/>
      <c r="Z111" s="1119"/>
      <c r="AA111" s="1119"/>
      <c r="AB111" s="1119"/>
      <c r="AC111" s="1178"/>
      <c r="AD111" s="1178"/>
      <c r="AE111" s="1178"/>
      <c r="AF111" s="1178"/>
      <c r="AG111" s="1178"/>
      <c r="AH111" s="1178"/>
      <c r="AI111" s="1178"/>
      <c r="AJ111" s="1178"/>
      <c r="AK111" s="919"/>
      <c r="AL111" s="1104"/>
      <c r="AM111" s="919"/>
      <c r="AN111" s="1710"/>
      <c r="AO111" s="919"/>
      <c r="AP111" s="919"/>
      <c r="AS111" s="1167"/>
      <c r="AT111" s="1167"/>
      <c r="AU111" s="1168"/>
      <c r="AV111" s="1168"/>
      <c r="AW111" s="1169"/>
      <c r="AX111" s="1169"/>
      <c r="AY111" s="1169"/>
      <c r="AZ111" s="1169"/>
      <c r="BA111" s="1799" t="s">
        <v>3</v>
      </c>
      <c r="BB111" s="1802">
        <v>2015</v>
      </c>
      <c r="BC111" s="1799" t="s">
        <v>48</v>
      </c>
      <c r="BD111" s="1799">
        <v>7</v>
      </c>
      <c r="BE111" s="1800">
        <v>63307829.289999992</v>
      </c>
      <c r="BF111" s="1801">
        <v>2.5156952857960546E-2</v>
      </c>
      <c r="BG111" s="1799"/>
      <c r="BH111" s="1799" t="s">
        <v>0</v>
      </c>
      <c r="BI111" s="1799" t="s">
        <v>312</v>
      </c>
      <c r="BJ111" s="1799" t="s">
        <v>22</v>
      </c>
      <c r="BK111" s="1799">
        <v>5</v>
      </c>
      <c r="BL111" s="1800">
        <v>343277955.83999997</v>
      </c>
      <c r="BM111" s="1801">
        <v>8.6111256491294558E-2</v>
      </c>
      <c r="BN111" s="1799">
        <v>2007</v>
      </c>
      <c r="BO111" s="1684"/>
      <c r="BP111" s="1696"/>
      <c r="BQ111" s="1169"/>
      <c r="BR111" s="1169"/>
      <c r="BS111" s="1169"/>
      <c r="BT111" s="1169"/>
      <c r="BU111" s="1169"/>
      <c r="BV111" s="1169"/>
      <c r="BW111" s="1169"/>
      <c r="BX111" s="1169"/>
      <c r="BY111" s="1169"/>
      <c r="BZ111" s="1169"/>
      <c r="CA111" s="1169"/>
      <c r="CB111" s="1169"/>
      <c r="CC111" s="1169"/>
      <c r="CD111" s="1169"/>
      <c r="CE111" s="1169"/>
      <c r="CF111" s="1169"/>
      <c r="CG111" s="1169"/>
      <c r="CH111" s="1169"/>
      <c r="CI111" s="1169"/>
      <c r="CJ111" s="1169"/>
      <c r="CK111" s="1169"/>
      <c r="CL111" s="1169"/>
      <c r="CM111" s="1169"/>
      <c r="CN111" s="1169"/>
      <c r="CO111" s="1169"/>
      <c r="CP111" s="1169"/>
      <c r="CQ111" s="1169"/>
      <c r="CR111" s="1169"/>
      <c r="CS111" s="1169"/>
      <c r="CT111" s="1169"/>
      <c r="CU111" s="1169"/>
      <c r="CV111" s="1169"/>
      <c r="CW111" s="1169"/>
      <c r="CX111" s="1169"/>
      <c r="CY111" s="1169"/>
      <c r="CZ111" s="1169"/>
      <c r="DA111" s="1168"/>
      <c r="DB111" s="1168"/>
      <c r="DC111" s="1168"/>
      <c r="DD111" s="1168"/>
      <c r="DE111" s="1168"/>
      <c r="DF111" s="1168"/>
      <c r="DG111" s="1168"/>
      <c r="DH111" s="1168"/>
      <c r="DI111" s="1168"/>
      <c r="DJ111" s="1168"/>
      <c r="DK111" s="1168"/>
      <c r="DL111" s="1168"/>
      <c r="DM111" s="1168"/>
      <c r="DN111" s="1168"/>
      <c r="DO111" s="1168"/>
      <c r="DP111" s="1168"/>
      <c r="DQ111" s="1168"/>
      <c r="DR111" s="1168"/>
      <c r="DS111" s="1168"/>
      <c r="DT111" s="1168"/>
      <c r="DU111" s="1168"/>
      <c r="DV111" s="1168"/>
      <c r="DW111" s="1168"/>
      <c r="DX111" s="1168"/>
      <c r="DY111" s="1168"/>
      <c r="DZ111" s="1168"/>
      <c r="EA111" s="1168"/>
      <c r="EB111" s="1168"/>
      <c r="EC111" s="1168"/>
      <c r="ED111" s="1168"/>
      <c r="EE111" s="1168"/>
      <c r="EF111" s="1168"/>
      <c r="EG111" s="1168"/>
      <c r="EH111" s="1168"/>
      <c r="EI111" s="1170"/>
      <c r="EJ111" s="1170"/>
      <c r="EK111" s="1170"/>
      <c r="EL111" s="1170"/>
      <c r="EM111" s="1170"/>
      <c r="EN111" s="1170"/>
      <c r="EO111" s="1170"/>
      <c r="EP111" s="1170"/>
      <c r="EQ111" s="1170"/>
      <c r="ER111" s="1170"/>
      <c r="ES111" s="1333"/>
      <c r="ET111" s="1333"/>
      <c r="EU111" s="1333"/>
      <c r="EV111" s="1333"/>
      <c r="EW111" s="1333"/>
      <c r="EX111" s="1333"/>
      <c r="EY111" s="1333"/>
      <c r="EZ111" s="1333"/>
      <c r="FA111" s="1333"/>
      <c r="FB111" s="1333"/>
      <c r="FC111" s="1333"/>
      <c r="FD111" s="1333"/>
      <c r="FE111" s="1333"/>
      <c r="FF111" s="1333"/>
      <c r="FG111" s="1333"/>
      <c r="FH111" s="1333"/>
      <c r="FI111" s="1333"/>
      <c r="FJ111" s="1333"/>
      <c r="FK111" s="1333"/>
      <c r="FL111" s="1333"/>
      <c r="FM111" s="1333"/>
      <c r="FN111" s="1333"/>
      <c r="FO111" s="1333"/>
      <c r="FP111" s="1333"/>
      <c r="FQ111" s="1333"/>
      <c r="FR111" s="1333"/>
      <c r="FS111" s="1333"/>
      <c r="FT111" s="1333"/>
      <c r="FU111" s="1333"/>
      <c r="FV111" s="1333"/>
      <c r="FW111" s="1333"/>
      <c r="FX111" s="1333"/>
      <c r="FY111" s="1333"/>
      <c r="FZ111" s="1333"/>
      <c r="GA111" s="1333"/>
      <c r="GB111" s="1333"/>
      <c r="GC111" s="1333"/>
      <c r="GD111" s="1333"/>
      <c r="GE111" s="1333"/>
      <c r="GF111" s="1333"/>
      <c r="GG111" s="1333"/>
      <c r="GH111" s="1333"/>
      <c r="GI111" s="1333"/>
      <c r="GJ111" s="1333"/>
      <c r="GK111" s="1333"/>
      <c r="GL111" s="1333"/>
      <c r="GM111" s="1333"/>
      <c r="GN111" s="1333"/>
      <c r="GO111" s="1333"/>
      <c r="GP111" s="1333"/>
      <c r="GQ111" s="1333"/>
      <c r="GR111" s="1333"/>
      <c r="GS111" s="1333"/>
      <c r="GT111" s="1333"/>
      <c r="GU111" s="1333"/>
      <c r="GV111" s="1333"/>
      <c r="GW111" s="1333"/>
      <c r="GX111" s="1333"/>
    </row>
    <row r="112" spans="1:206" s="607" customFormat="1">
      <c r="A112" s="607">
        <f t="shared" si="2"/>
        <v>1979</v>
      </c>
      <c r="B112" s="607">
        <f t="shared" si="3"/>
        <v>3</v>
      </c>
      <c r="C112" s="1173">
        <v>29068</v>
      </c>
      <c r="D112" s="957"/>
      <c r="E112" s="920"/>
      <c r="F112" s="920"/>
      <c r="G112" s="920"/>
      <c r="H112" s="920"/>
      <c r="I112" s="954">
        <v>267.24095528177787</v>
      </c>
      <c r="J112" s="954">
        <v>301.55454545449999</v>
      </c>
      <c r="K112" s="954"/>
      <c r="L112" s="920"/>
      <c r="M112" s="917"/>
      <c r="N112" s="917"/>
      <c r="O112" s="1334"/>
      <c r="P112" s="1334"/>
      <c r="Q112" s="1334"/>
      <c r="R112" s="1334"/>
      <c r="S112" s="1334"/>
      <c r="T112" s="1334"/>
      <c r="U112" s="920"/>
      <c r="V112" s="920"/>
      <c r="W112" s="920"/>
      <c r="X112" s="920"/>
      <c r="Y112" s="920"/>
      <c r="Z112" s="920"/>
      <c r="AA112" s="920"/>
      <c r="AB112" s="920"/>
      <c r="AC112" s="920"/>
      <c r="AD112" s="920"/>
      <c r="AE112" s="920"/>
      <c r="AF112" s="920"/>
      <c r="AG112" s="920"/>
      <c r="AH112" s="920"/>
      <c r="AI112" s="920"/>
      <c r="AJ112" s="920"/>
      <c r="AK112" s="920"/>
      <c r="AL112" s="1105"/>
      <c r="AM112" s="920"/>
      <c r="AN112" s="1711"/>
      <c r="AO112" s="920"/>
      <c r="AP112" s="920"/>
      <c r="AS112" s="1167"/>
      <c r="AT112" s="1167"/>
      <c r="AU112" s="1168"/>
      <c r="AV112" s="1168"/>
      <c r="AW112" s="1169"/>
      <c r="AX112" s="1169"/>
      <c r="AY112" s="1169"/>
      <c r="AZ112" s="1169"/>
      <c r="BA112" s="1799" t="s">
        <v>3</v>
      </c>
      <c r="BB112" s="1802">
        <v>2015</v>
      </c>
      <c r="BC112" s="1799" t="s">
        <v>43</v>
      </c>
      <c r="BD112" s="1799">
        <v>8</v>
      </c>
      <c r="BE112" s="1800">
        <v>57952664.039999999</v>
      </c>
      <c r="BF112" s="1801">
        <v>2.3028943711987215E-2</v>
      </c>
      <c r="BG112" s="1799"/>
      <c r="BH112" s="1799" t="s">
        <v>0</v>
      </c>
      <c r="BI112" s="1799" t="s">
        <v>312</v>
      </c>
      <c r="BJ112" s="1799" t="s">
        <v>44</v>
      </c>
      <c r="BK112" s="1799">
        <v>6</v>
      </c>
      <c r="BL112" s="1800">
        <v>224310348.78</v>
      </c>
      <c r="BM112" s="1801">
        <v>5.6268238751833045E-2</v>
      </c>
      <c r="BN112" s="1799">
        <v>2007</v>
      </c>
      <c r="BO112" s="1684"/>
      <c r="BP112" s="1696"/>
      <c r="BQ112" s="1169"/>
      <c r="BR112" s="1169"/>
      <c r="BS112" s="1169"/>
      <c r="BT112" s="1169"/>
      <c r="BU112" s="1169"/>
      <c r="BV112" s="1169"/>
      <c r="BW112" s="1169"/>
      <c r="BX112" s="1169"/>
      <c r="BY112" s="1169"/>
      <c r="BZ112" s="1169"/>
      <c r="CA112" s="1169"/>
      <c r="CB112" s="1169"/>
      <c r="CC112" s="1169"/>
      <c r="CD112" s="1169"/>
      <c r="CE112" s="1169"/>
      <c r="CF112" s="1169"/>
      <c r="CG112" s="1169"/>
      <c r="CH112" s="1169"/>
      <c r="CI112" s="1169"/>
      <c r="CJ112" s="1169"/>
      <c r="CK112" s="1169"/>
      <c r="CL112" s="1169"/>
      <c r="CM112" s="1169"/>
      <c r="CN112" s="1169"/>
      <c r="CO112" s="1169"/>
      <c r="CP112" s="1169"/>
      <c r="CQ112" s="1169"/>
      <c r="CR112" s="1169"/>
      <c r="CS112" s="1169"/>
      <c r="CT112" s="1169"/>
      <c r="CU112" s="1169"/>
      <c r="CV112" s="1169"/>
      <c r="CW112" s="1169"/>
      <c r="CX112" s="1169"/>
      <c r="CY112" s="1169"/>
      <c r="CZ112" s="1169"/>
      <c r="DA112" s="1168"/>
      <c r="DB112" s="1168"/>
      <c r="DC112" s="1168"/>
      <c r="DD112" s="1168"/>
      <c r="DE112" s="1168"/>
      <c r="DF112" s="1168"/>
      <c r="DG112" s="1168"/>
      <c r="DH112" s="1168"/>
      <c r="DI112" s="1168"/>
      <c r="DJ112" s="1168"/>
      <c r="DK112" s="1168"/>
      <c r="DL112" s="1168"/>
      <c r="DM112" s="1168"/>
      <c r="DN112" s="1168"/>
      <c r="DO112" s="1168"/>
      <c r="DP112" s="1168"/>
      <c r="DQ112" s="1168"/>
      <c r="DR112" s="1168"/>
      <c r="DS112" s="1168"/>
      <c r="DT112" s="1168"/>
      <c r="DU112" s="1168"/>
      <c r="DV112" s="1168"/>
      <c r="DW112" s="1168"/>
      <c r="DX112" s="1168"/>
      <c r="DY112" s="1168"/>
      <c r="DZ112" s="1168"/>
      <c r="EA112" s="1168"/>
      <c r="EB112" s="1168"/>
      <c r="EC112" s="1168"/>
      <c r="ED112" s="1168"/>
      <c r="EE112" s="1168"/>
      <c r="EF112" s="1168"/>
      <c r="EG112" s="1168"/>
      <c r="EH112" s="1168"/>
      <c r="EI112" s="1170"/>
      <c r="EJ112" s="1170"/>
      <c r="EK112" s="1170"/>
      <c r="EL112" s="1170"/>
      <c r="EM112" s="1170"/>
      <c r="EN112" s="1170"/>
      <c r="EO112" s="1170"/>
      <c r="EP112" s="1170"/>
      <c r="EQ112" s="1170"/>
      <c r="ER112" s="1170"/>
      <c r="ES112" s="1333"/>
      <c r="ET112" s="1333"/>
      <c r="EU112" s="1333"/>
      <c r="EV112" s="1333"/>
      <c r="EW112" s="1333"/>
      <c r="EX112" s="1333"/>
      <c r="EY112" s="1333"/>
      <c r="EZ112" s="1333"/>
      <c r="FA112" s="1333"/>
      <c r="FB112" s="1333"/>
      <c r="FC112" s="1333"/>
      <c r="FD112" s="1333"/>
      <c r="FE112" s="1333"/>
      <c r="FF112" s="1333"/>
      <c r="FG112" s="1333"/>
      <c r="FH112" s="1333"/>
      <c r="FI112" s="1333"/>
      <c r="FJ112" s="1333"/>
      <c r="FK112" s="1333"/>
      <c r="FL112" s="1333"/>
      <c r="FM112" s="1333"/>
      <c r="FN112" s="1333"/>
      <c r="FO112" s="1333"/>
      <c r="FP112" s="1333"/>
      <c r="FQ112" s="1333"/>
      <c r="FR112" s="1333"/>
      <c r="FS112" s="1333"/>
      <c r="FT112" s="1333"/>
      <c r="FU112" s="1333"/>
      <c r="FV112" s="1333"/>
      <c r="FW112" s="1333"/>
      <c r="FX112" s="1333"/>
      <c r="FY112" s="1333"/>
      <c r="FZ112" s="1333"/>
      <c r="GA112" s="1333"/>
      <c r="GB112" s="1333"/>
      <c r="GC112" s="1333"/>
      <c r="GD112" s="1333"/>
      <c r="GE112" s="1333"/>
      <c r="GF112" s="1333"/>
      <c r="GG112" s="1333"/>
      <c r="GH112" s="1333"/>
      <c r="GI112" s="1333"/>
      <c r="GJ112" s="1333"/>
      <c r="GK112" s="1333"/>
      <c r="GL112" s="1333"/>
      <c r="GM112" s="1333"/>
      <c r="GN112" s="1333"/>
      <c r="GO112" s="1333"/>
      <c r="GP112" s="1333"/>
      <c r="GQ112" s="1333"/>
      <c r="GR112" s="1333"/>
      <c r="GS112" s="1333"/>
      <c r="GT112" s="1333"/>
      <c r="GU112" s="1333"/>
      <c r="GV112" s="1333"/>
      <c r="GW112" s="1333"/>
      <c r="GX112" s="1333"/>
    </row>
    <row r="113" spans="1:206" s="607" customFormat="1">
      <c r="A113" s="607">
        <f t="shared" si="2"/>
        <v>1979</v>
      </c>
      <c r="B113" s="607">
        <f t="shared" si="3"/>
        <v>3</v>
      </c>
      <c r="C113" s="1173">
        <v>29101</v>
      </c>
      <c r="D113" s="1709"/>
      <c r="E113" s="1117"/>
      <c r="F113" s="1117"/>
      <c r="G113" s="1117"/>
      <c r="H113" s="1117"/>
      <c r="I113" s="959">
        <v>316.34898630999999</v>
      </c>
      <c r="J113" s="959">
        <v>357.41125</v>
      </c>
      <c r="K113" s="960"/>
      <c r="L113" s="1121"/>
      <c r="M113" s="916"/>
      <c r="N113" s="916"/>
      <c r="O113" s="1332"/>
      <c r="P113" s="1332"/>
      <c r="Q113" s="1332"/>
      <c r="R113" s="1332"/>
      <c r="S113" s="1332"/>
      <c r="T113" s="1332"/>
      <c r="U113" s="1120"/>
      <c r="V113" s="1120"/>
      <c r="W113" s="1120"/>
      <c r="X113" s="1120"/>
      <c r="Y113" s="1119"/>
      <c r="Z113" s="1119"/>
      <c r="AA113" s="1119"/>
      <c r="AB113" s="1119"/>
      <c r="AC113" s="1178"/>
      <c r="AD113" s="1178"/>
      <c r="AE113" s="1178"/>
      <c r="AF113" s="1178"/>
      <c r="AG113" s="1178"/>
      <c r="AH113" s="1178"/>
      <c r="AI113" s="1178"/>
      <c r="AJ113" s="1178"/>
      <c r="AK113" s="919"/>
      <c r="AL113" s="1104"/>
      <c r="AM113" s="919"/>
      <c r="AN113" s="1710"/>
      <c r="AO113" s="919"/>
      <c r="AP113" s="919"/>
      <c r="AS113" s="1167"/>
      <c r="AT113" s="1167"/>
      <c r="AU113" s="1168"/>
      <c r="AV113" s="1168"/>
      <c r="AW113" s="1169"/>
      <c r="AX113" s="1169"/>
      <c r="AY113" s="1169"/>
      <c r="AZ113" s="1169"/>
      <c r="BA113" s="1799" t="s">
        <v>3</v>
      </c>
      <c r="BB113" s="1802">
        <v>2015</v>
      </c>
      <c r="BC113" s="1799" t="s">
        <v>18</v>
      </c>
      <c r="BD113" s="1799">
        <v>9</v>
      </c>
      <c r="BE113" s="1800">
        <v>57326301.210000008</v>
      </c>
      <c r="BF113" s="1801">
        <v>2.2780042740922369E-2</v>
      </c>
      <c r="BG113" s="1799"/>
      <c r="BH113" s="1799" t="s">
        <v>0</v>
      </c>
      <c r="BI113" s="1799" t="s">
        <v>312</v>
      </c>
      <c r="BJ113" s="1799" t="s">
        <v>447</v>
      </c>
      <c r="BK113" s="1799">
        <v>7</v>
      </c>
      <c r="BL113" s="1800">
        <v>217135240.74000001</v>
      </c>
      <c r="BM113" s="1801">
        <v>5.4468363291513167E-2</v>
      </c>
      <c r="BN113" s="1799">
        <v>2007</v>
      </c>
      <c r="BO113" s="1684"/>
      <c r="BP113" s="1697"/>
      <c r="BQ113" s="1169"/>
      <c r="BR113" s="1169"/>
      <c r="BS113" s="1169"/>
      <c r="BT113" s="1169"/>
      <c r="BU113" s="1169"/>
      <c r="BV113" s="1169"/>
      <c r="BW113" s="1169"/>
      <c r="BX113" s="1169"/>
      <c r="BY113" s="1169"/>
      <c r="BZ113" s="1169"/>
      <c r="CA113" s="1169"/>
      <c r="CB113" s="1169"/>
      <c r="CC113" s="1169"/>
      <c r="CD113" s="1169"/>
      <c r="CE113" s="1169"/>
      <c r="CF113" s="1169"/>
      <c r="CG113" s="1169"/>
      <c r="CH113" s="1169"/>
      <c r="CI113" s="1169"/>
      <c r="CJ113" s="1169"/>
      <c r="CK113" s="1169"/>
      <c r="CL113" s="1169"/>
      <c r="CM113" s="1169"/>
      <c r="CN113" s="1169"/>
      <c r="CO113" s="1169"/>
      <c r="CP113" s="1169"/>
      <c r="CQ113" s="1169"/>
      <c r="CR113" s="1169"/>
      <c r="CS113" s="1169"/>
      <c r="CT113" s="1169"/>
      <c r="CU113" s="1169"/>
      <c r="CV113" s="1169"/>
      <c r="CW113" s="1169"/>
      <c r="CX113" s="1169"/>
      <c r="CY113" s="1169"/>
      <c r="CZ113" s="1169"/>
      <c r="DA113" s="1168"/>
      <c r="DB113" s="1168"/>
      <c r="DC113" s="1168"/>
      <c r="DD113" s="1168"/>
      <c r="DE113" s="1168"/>
      <c r="DF113" s="1168"/>
      <c r="DG113" s="1168"/>
      <c r="DH113" s="1168"/>
      <c r="DI113" s="1168"/>
      <c r="DJ113" s="1168"/>
      <c r="DK113" s="1168"/>
      <c r="DL113" s="1168"/>
      <c r="DM113" s="1168"/>
      <c r="DN113" s="1168"/>
      <c r="DO113" s="1168"/>
      <c r="DP113" s="1168"/>
      <c r="DQ113" s="1168"/>
      <c r="DR113" s="1168"/>
      <c r="DS113" s="1168"/>
      <c r="DT113" s="1168"/>
      <c r="DU113" s="1168"/>
      <c r="DV113" s="1168"/>
      <c r="DW113" s="1168"/>
      <c r="DX113" s="1168"/>
      <c r="DY113" s="1168"/>
      <c r="DZ113" s="1168"/>
      <c r="EA113" s="1168"/>
      <c r="EB113" s="1168"/>
      <c r="EC113" s="1168"/>
      <c r="ED113" s="1168"/>
      <c r="EE113" s="1168"/>
      <c r="EF113" s="1168"/>
      <c r="EG113" s="1168"/>
      <c r="EH113" s="1168"/>
      <c r="EI113" s="1170"/>
      <c r="EJ113" s="1170"/>
      <c r="EK113" s="1170"/>
      <c r="EL113" s="1170"/>
      <c r="EM113" s="1170"/>
      <c r="EN113" s="1170"/>
      <c r="EO113" s="1170"/>
      <c r="EP113" s="1170"/>
      <c r="EQ113" s="1170"/>
      <c r="ER113" s="1170"/>
      <c r="ES113" s="1333"/>
      <c r="ET113" s="1333"/>
      <c r="EU113" s="1333"/>
      <c r="EV113" s="1333"/>
      <c r="EW113" s="1333"/>
      <c r="EX113" s="1333"/>
      <c r="EY113" s="1333"/>
      <c r="EZ113" s="1333"/>
      <c r="FA113" s="1333"/>
      <c r="FB113" s="1333"/>
      <c r="FC113" s="1333"/>
      <c r="FD113" s="1333"/>
      <c r="FE113" s="1333"/>
      <c r="FF113" s="1333"/>
      <c r="FG113" s="1333"/>
      <c r="FH113" s="1333"/>
      <c r="FI113" s="1333"/>
      <c r="FJ113" s="1333"/>
      <c r="FK113" s="1333"/>
      <c r="FL113" s="1333"/>
      <c r="FM113" s="1333"/>
      <c r="FN113" s="1333"/>
      <c r="FO113" s="1333"/>
      <c r="FP113" s="1333"/>
      <c r="FQ113" s="1333"/>
      <c r="FR113" s="1333"/>
      <c r="FS113" s="1333"/>
      <c r="FT113" s="1333"/>
      <c r="FU113" s="1333"/>
      <c r="FV113" s="1333"/>
      <c r="FW113" s="1333"/>
      <c r="FX113" s="1333"/>
      <c r="FY113" s="1333"/>
      <c r="FZ113" s="1333"/>
      <c r="GA113" s="1333"/>
      <c r="GB113" s="1333"/>
      <c r="GC113" s="1333"/>
      <c r="GD113" s="1333"/>
      <c r="GE113" s="1333"/>
      <c r="GF113" s="1333"/>
      <c r="GG113" s="1333"/>
      <c r="GH113" s="1333"/>
      <c r="GI113" s="1333"/>
      <c r="GJ113" s="1333"/>
      <c r="GK113" s="1333"/>
      <c r="GL113" s="1333"/>
      <c r="GM113" s="1333"/>
      <c r="GN113" s="1333"/>
      <c r="GO113" s="1333"/>
      <c r="GP113" s="1333"/>
      <c r="GQ113" s="1333"/>
      <c r="GR113" s="1333"/>
      <c r="GS113" s="1333"/>
      <c r="GT113" s="1333"/>
      <c r="GU113" s="1333"/>
      <c r="GV113" s="1333"/>
      <c r="GW113" s="1333"/>
      <c r="GX113" s="1333"/>
    </row>
    <row r="114" spans="1:206" s="607" customFormat="1">
      <c r="A114" s="607">
        <f t="shared" si="2"/>
        <v>1979</v>
      </c>
      <c r="B114" s="607">
        <f t="shared" si="3"/>
        <v>4</v>
      </c>
      <c r="C114" s="1173">
        <v>29129</v>
      </c>
      <c r="D114" s="957"/>
      <c r="E114" s="920"/>
      <c r="F114" s="920"/>
      <c r="G114" s="920"/>
      <c r="H114" s="920"/>
      <c r="I114" s="954">
        <v>356.17694647285384</v>
      </c>
      <c r="J114" s="954">
        <v>390.86847826090002</v>
      </c>
      <c r="K114" s="954"/>
      <c r="L114" s="920"/>
      <c r="M114" s="917"/>
      <c r="N114" s="917"/>
      <c r="O114" s="1334"/>
      <c r="P114" s="1334"/>
      <c r="Q114" s="1334"/>
      <c r="R114" s="1334"/>
      <c r="S114" s="1334"/>
      <c r="T114" s="1334"/>
      <c r="U114" s="920"/>
      <c r="V114" s="920"/>
      <c r="W114" s="920"/>
      <c r="X114" s="920"/>
      <c r="Y114" s="920"/>
      <c r="Z114" s="920"/>
      <c r="AA114" s="920"/>
      <c r="AB114" s="920"/>
      <c r="AC114" s="920"/>
      <c r="AD114" s="920"/>
      <c r="AE114" s="920"/>
      <c r="AF114" s="920"/>
      <c r="AG114" s="920"/>
      <c r="AH114" s="920"/>
      <c r="AI114" s="920"/>
      <c r="AJ114" s="920"/>
      <c r="AK114" s="920"/>
      <c r="AL114" s="1105"/>
      <c r="AM114" s="920"/>
      <c r="AN114" s="1711"/>
      <c r="AO114" s="920"/>
      <c r="AP114" s="920"/>
      <c r="AS114" s="1167"/>
      <c r="AT114" s="1167"/>
      <c r="AU114" s="1168"/>
      <c r="AV114" s="1168"/>
      <c r="AW114" s="1169"/>
      <c r="AX114" s="1169"/>
      <c r="AY114" s="1169"/>
      <c r="AZ114" s="1169"/>
      <c r="BA114" s="1799" t="s">
        <v>3</v>
      </c>
      <c r="BB114" s="1802">
        <v>2015</v>
      </c>
      <c r="BC114" s="1799" t="s">
        <v>23</v>
      </c>
      <c r="BD114" s="1799">
        <v>10</v>
      </c>
      <c r="BE114" s="1800">
        <v>52529136.829999998</v>
      </c>
      <c r="BF114" s="1801">
        <v>2.0873769227630221E-2</v>
      </c>
      <c r="BG114" s="1799"/>
      <c r="BH114" s="1799" t="s">
        <v>0</v>
      </c>
      <c r="BI114" s="1799" t="s">
        <v>312</v>
      </c>
      <c r="BJ114" s="1799" t="s">
        <v>24</v>
      </c>
      <c r="BK114" s="1799">
        <v>8</v>
      </c>
      <c r="BL114" s="1800">
        <v>89413293.359999985</v>
      </c>
      <c r="BM114" s="1801">
        <v>2.2429319760465524E-2</v>
      </c>
      <c r="BN114" s="1799">
        <v>2007</v>
      </c>
      <c r="BO114" s="1684"/>
      <c r="BP114" s="1696"/>
      <c r="BQ114" s="1169"/>
      <c r="BR114" s="1169"/>
      <c r="BS114" s="1169"/>
      <c r="BT114" s="1169"/>
      <c r="BU114" s="1169"/>
      <c r="BV114" s="1169"/>
      <c r="BW114" s="1169"/>
      <c r="BX114" s="1169"/>
      <c r="BY114" s="1169"/>
      <c r="BZ114" s="1169"/>
      <c r="CA114" s="1169"/>
      <c r="CB114" s="1169"/>
      <c r="CC114" s="1169"/>
      <c r="CD114" s="1169"/>
      <c r="CE114" s="1169"/>
      <c r="CF114" s="1169"/>
      <c r="CG114" s="1169"/>
      <c r="CH114" s="1169"/>
      <c r="CI114" s="1169"/>
      <c r="CJ114" s="1169"/>
      <c r="CK114" s="1169"/>
      <c r="CL114" s="1169"/>
      <c r="CM114" s="1169"/>
      <c r="CN114" s="1169"/>
      <c r="CO114" s="1169"/>
      <c r="CP114" s="1169"/>
      <c r="CQ114" s="1169"/>
      <c r="CR114" s="1169"/>
      <c r="CS114" s="1169"/>
      <c r="CT114" s="1169"/>
      <c r="CU114" s="1169"/>
      <c r="CV114" s="1169"/>
      <c r="CW114" s="1169"/>
      <c r="CX114" s="1169"/>
      <c r="CY114" s="1169"/>
      <c r="CZ114" s="1169"/>
      <c r="DA114" s="1168"/>
      <c r="DB114" s="1168"/>
      <c r="DC114" s="1168"/>
      <c r="DD114" s="1168"/>
      <c r="DE114" s="1168"/>
      <c r="DF114" s="1168"/>
      <c r="DG114" s="1168"/>
      <c r="DH114" s="1168"/>
      <c r="DI114" s="1168"/>
      <c r="DJ114" s="1168"/>
      <c r="DK114" s="1168"/>
      <c r="DL114" s="1168"/>
      <c r="DM114" s="1168"/>
      <c r="DN114" s="1168"/>
      <c r="DO114" s="1168"/>
      <c r="DP114" s="1168"/>
      <c r="DQ114" s="1168"/>
      <c r="DR114" s="1168"/>
      <c r="DS114" s="1168"/>
      <c r="DT114" s="1168"/>
      <c r="DU114" s="1168"/>
      <c r="DV114" s="1168"/>
      <c r="DW114" s="1168"/>
      <c r="DX114" s="1168"/>
      <c r="DY114" s="1168"/>
      <c r="DZ114" s="1168"/>
      <c r="EA114" s="1168"/>
      <c r="EB114" s="1168"/>
      <c r="EC114" s="1168"/>
      <c r="ED114" s="1168"/>
      <c r="EE114" s="1168"/>
      <c r="EF114" s="1168"/>
      <c r="EG114" s="1168"/>
      <c r="EH114" s="1168"/>
      <c r="EI114" s="1170"/>
      <c r="EJ114" s="1170"/>
      <c r="EK114" s="1170"/>
      <c r="EL114" s="1170"/>
      <c r="EM114" s="1170"/>
      <c r="EN114" s="1170"/>
      <c r="EO114" s="1170"/>
      <c r="EP114" s="1170"/>
      <c r="EQ114" s="1170"/>
      <c r="ER114" s="1170"/>
      <c r="ES114" s="1333"/>
      <c r="ET114" s="1333"/>
      <c r="EU114" s="1333"/>
      <c r="EV114" s="1333"/>
      <c r="EW114" s="1333"/>
      <c r="EX114" s="1333"/>
      <c r="EY114" s="1333"/>
      <c r="EZ114" s="1333"/>
      <c r="FA114" s="1333"/>
      <c r="FB114" s="1333"/>
      <c r="FC114" s="1333"/>
      <c r="FD114" s="1333"/>
      <c r="FE114" s="1333"/>
      <c r="FF114" s="1333"/>
      <c r="FG114" s="1333"/>
      <c r="FH114" s="1333"/>
      <c r="FI114" s="1333"/>
      <c r="FJ114" s="1333"/>
      <c r="FK114" s="1333"/>
      <c r="FL114" s="1333"/>
      <c r="FM114" s="1333"/>
      <c r="FN114" s="1333"/>
      <c r="FO114" s="1333"/>
      <c r="FP114" s="1333"/>
      <c r="FQ114" s="1333"/>
      <c r="FR114" s="1333"/>
      <c r="FS114" s="1333"/>
      <c r="FT114" s="1333"/>
      <c r="FU114" s="1333"/>
      <c r="FV114" s="1333"/>
      <c r="FW114" s="1333"/>
      <c r="FX114" s="1333"/>
      <c r="FY114" s="1333"/>
      <c r="FZ114" s="1333"/>
      <c r="GA114" s="1333"/>
      <c r="GB114" s="1333"/>
      <c r="GC114" s="1333"/>
      <c r="GD114" s="1333"/>
      <c r="GE114" s="1333"/>
      <c r="GF114" s="1333"/>
      <c r="GG114" s="1333"/>
      <c r="GH114" s="1333"/>
      <c r="GI114" s="1333"/>
      <c r="GJ114" s="1333"/>
      <c r="GK114" s="1333"/>
      <c r="GL114" s="1333"/>
      <c r="GM114" s="1333"/>
      <c r="GN114" s="1333"/>
      <c r="GO114" s="1333"/>
      <c r="GP114" s="1333"/>
      <c r="GQ114" s="1333"/>
      <c r="GR114" s="1333"/>
      <c r="GS114" s="1333"/>
      <c r="GT114" s="1333"/>
      <c r="GU114" s="1333"/>
      <c r="GV114" s="1333"/>
      <c r="GW114" s="1333"/>
      <c r="GX114" s="1333"/>
    </row>
    <row r="115" spans="1:206" s="607" customFormat="1">
      <c r="A115" s="607">
        <f t="shared" si="2"/>
        <v>1979</v>
      </c>
      <c r="B115" s="607">
        <f t="shared" si="3"/>
        <v>4</v>
      </c>
      <c r="C115" s="1173">
        <v>29160</v>
      </c>
      <c r="D115" s="1709"/>
      <c r="E115" s="1117"/>
      <c r="F115" s="1117"/>
      <c r="G115" s="1117"/>
      <c r="H115" s="1117"/>
      <c r="I115" s="959">
        <v>359.29021555679321</v>
      </c>
      <c r="J115" s="959">
        <v>393.13522727269998</v>
      </c>
      <c r="K115" s="960"/>
      <c r="L115" s="1121"/>
      <c r="M115" s="916"/>
      <c r="N115" s="916"/>
      <c r="O115" s="1332"/>
      <c r="P115" s="1332"/>
      <c r="Q115" s="1332"/>
      <c r="R115" s="1332"/>
      <c r="S115" s="1332"/>
      <c r="T115" s="1332"/>
      <c r="U115" s="1120"/>
      <c r="V115" s="1120"/>
      <c r="W115" s="1120"/>
      <c r="X115" s="1120"/>
      <c r="Y115" s="1119"/>
      <c r="Z115" s="1119"/>
      <c r="AA115" s="1119"/>
      <c r="AB115" s="1119"/>
      <c r="AC115" s="1178"/>
      <c r="AD115" s="1178"/>
      <c r="AE115" s="1178"/>
      <c r="AF115" s="1178"/>
      <c r="AG115" s="1178"/>
      <c r="AH115" s="1178"/>
      <c r="AI115" s="1178"/>
      <c r="AJ115" s="1178"/>
      <c r="AK115" s="919"/>
      <c r="AL115" s="1104"/>
      <c r="AM115" s="919"/>
      <c r="AN115" s="1710"/>
      <c r="AO115" s="919"/>
      <c r="AP115" s="919"/>
      <c r="AS115" s="1167"/>
      <c r="AT115" s="1167"/>
      <c r="AU115" s="1168"/>
      <c r="AV115" s="1168"/>
      <c r="AW115" s="1169"/>
      <c r="AX115" s="1169"/>
      <c r="AY115" s="1169"/>
      <c r="AZ115" s="1169"/>
      <c r="BA115" s="1799" t="s">
        <v>3</v>
      </c>
      <c r="BB115" s="1802">
        <v>2015</v>
      </c>
      <c r="BC115" s="1799" t="s">
        <v>32</v>
      </c>
      <c r="BD115" s="1799"/>
      <c r="BE115" s="1800">
        <v>113410699.3100009</v>
      </c>
      <c r="BF115" s="1801">
        <v>4.5066584151238577E-2</v>
      </c>
      <c r="BG115" s="1799"/>
      <c r="BH115" s="1799" t="s">
        <v>0</v>
      </c>
      <c r="BI115" s="1799" t="s">
        <v>312</v>
      </c>
      <c r="BJ115" s="1799" t="s">
        <v>19</v>
      </c>
      <c r="BK115" s="1799">
        <v>9</v>
      </c>
      <c r="BL115" s="1800">
        <v>76398687.209999993</v>
      </c>
      <c r="BM115" s="1801">
        <v>1.916460651788789E-2</v>
      </c>
      <c r="BN115" s="1799">
        <v>2007</v>
      </c>
      <c r="BO115" s="1684"/>
      <c r="BP115" s="1696"/>
      <c r="BQ115" s="1169"/>
      <c r="BR115" s="1169"/>
      <c r="BS115" s="1169"/>
      <c r="BT115" s="1169"/>
      <c r="BU115" s="1169"/>
      <c r="BV115" s="1169"/>
      <c r="BW115" s="1169"/>
      <c r="BX115" s="1169"/>
      <c r="BY115" s="1169"/>
      <c r="BZ115" s="1169"/>
      <c r="CA115" s="1169"/>
      <c r="CB115" s="1169"/>
      <c r="CC115" s="1169"/>
      <c r="CD115" s="1169"/>
      <c r="CE115" s="1169"/>
      <c r="CF115" s="1169"/>
      <c r="CG115" s="1169"/>
      <c r="CH115" s="1169"/>
      <c r="CI115" s="1169"/>
      <c r="CJ115" s="1169"/>
      <c r="CK115" s="1169"/>
      <c r="CL115" s="1169"/>
      <c r="CM115" s="1169"/>
      <c r="CN115" s="1169"/>
      <c r="CO115" s="1169"/>
      <c r="CP115" s="1169"/>
      <c r="CQ115" s="1169"/>
      <c r="CR115" s="1169"/>
      <c r="CS115" s="1169"/>
      <c r="CT115" s="1169"/>
      <c r="CU115" s="1169"/>
      <c r="CV115" s="1169"/>
      <c r="CW115" s="1169"/>
      <c r="CX115" s="1169"/>
      <c r="CY115" s="1169"/>
      <c r="CZ115" s="1169"/>
      <c r="DA115" s="1168"/>
      <c r="DB115" s="1168"/>
      <c r="DC115" s="1168"/>
      <c r="DD115" s="1168"/>
      <c r="DE115" s="1168"/>
      <c r="DF115" s="1168"/>
      <c r="DG115" s="1168"/>
      <c r="DH115" s="1168"/>
      <c r="DI115" s="1168"/>
      <c r="DJ115" s="1168"/>
      <c r="DK115" s="1168"/>
      <c r="DL115" s="1168"/>
      <c r="DM115" s="1168"/>
      <c r="DN115" s="1168"/>
      <c r="DO115" s="1168"/>
      <c r="DP115" s="1168"/>
      <c r="DQ115" s="1168"/>
      <c r="DR115" s="1168"/>
      <c r="DS115" s="1168"/>
      <c r="DT115" s="1168"/>
      <c r="DU115" s="1168"/>
      <c r="DV115" s="1168"/>
      <c r="DW115" s="1168"/>
      <c r="DX115" s="1168"/>
      <c r="DY115" s="1168"/>
      <c r="DZ115" s="1168"/>
      <c r="EA115" s="1168"/>
      <c r="EB115" s="1168"/>
      <c r="EC115" s="1168"/>
      <c r="ED115" s="1168"/>
      <c r="EE115" s="1168"/>
      <c r="EF115" s="1168"/>
      <c r="EG115" s="1168"/>
      <c r="EH115" s="1168"/>
      <c r="EI115" s="1170"/>
      <c r="EJ115" s="1170"/>
      <c r="EK115" s="1170"/>
      <c r="EL115" s="1170"/>
      <c r="EM115" s="1170"/>
      <c r="EN115" s="1170"/>
      <c r="EO115" s="1170"/>
      <c r="EP115" s="1170"/>
      <c r="EQ115" s="1170"/>
      <c r="ER115" s="1170"/>
      <c r="ES115" s="1333"/>
      <c r="ET115" s="1333"/>
      <c r="EU115" s="1333"/>
      <c r="EV115" s="1333"/>
      <c r="EW115" s="1333"/>
      <c r="EX115" s="1333"/>
      <c r="EY115" s="1333"/>
      <c r="EZ115" s="1333"/>
      <c r="FA115" s="1333"/>
      <c r="FB115" s="1333"/>
      <c r="FC115" s="1333"/>
      <c r="FD115" s="1333"/>
      <c r="FE115" s="1333"/>
      <c r="FF115" s="1333"/>
      <c r="FG115" s="1333"/>
      <c r="FH115" s="1333"/>
      <c r="FI115" s="1333"/>
      <c r="FJ115" s="1333"/>
      <c r="FK115" s="1333"/>
      <c r="FL115" s="1333"/>
      <c r="FM115" s="1333"/>
      <c r="FN115" s="1333"/>
      <c r="FO115" s="1333"/>
      <c r="FP115" s="1333"/>
      <c r="FQ115" s="1333"/>
      <c r="FR115" s="1333"/>
      <c r="FS115" s="1333"/>
      <c r="FT115" s="1333"/>
      <c r="FU115" s="1333"/>
      <c r="FV115" s="1333"/>
      <c r="FW115" s="1333"/>
      <c r="FX115" s="1333"/>
      <c r="FY115" s="1333"/>
      <c r="FZ115" s="1333"/>
      <c r="GA115" s="1333"/>
      <c r="GB115" s="1333"/>
      <c r="GC115" s="1333"/>
      <c r="GD115" s="1333"/>
      <c r="GE115" s="1333"/>
      <c r="GF115" s="1333"/>
      <c r="GG115" s="1333"/>
      <c r="GH115" s="1333"/>
      <c r="GI115" s="1333"/>
      <c r="GJ115" s="1333"/>
      <c r="GK115" s="1333"/>
      <c r="GL115" s="1333"/>
      <c r="GM115" s="1333"/>
      <c r="GN115" s="1333"/>
      <c r="GO115" s="1333"/>
      <c r="GP115" s="1333"/>
      <c r="GQ115" s="1333"/>
      <c r="GR115" s="1333"/>
      <c r="GS115" s="1333"/>
      <c r="GT115" s="1333"/>
      <c r="GU115" s="1333"/>
      <c r="GV115" s="1333"/>
      <c r="GW115" s="1333"/>
      <c r="GX115" s="1333"/>
    </row>
    <row r="116" spans="1:206" s="607" customFormat="1">
      <c r="A116" s="607">
        <f t="shared" si="2"/>
        <v>1979</v>
      </c>
      <c r="B116" s="607">
        <f t="shared" si="3"/>
        <v>4</v>
      </c>
      <c r="C116" s="1173">
        <v>29192</v>
      </c>
      <c r="D116" s="957"/>
      <c r="E116" s="920"/>
      <c r="F116" s="920"/>
      <c r="G116" s="920"/>
      <c r="H116" s="920"/>
      <c r="I116" s="954">
        <v>412.41151794835497</v>
      </c>
      <c r="J116" s="954">
        <v>455.92096774189997</v>
      </c>
      <c r="K116" s="954"/>
      <c r="L116" s="920"/>
      <c r="M116" s="917"/>
      <c r="N116" s="917"/>
      <c r="O116" s="1334"/>
      <c r="P116" s="1334"/>
      <c r="Q116" s="1334"/>
      <c r="R116" s="1334"/>
      <c r="S116" s="1334"/>
      <c r="T116" s="1334"/>
      <c r="U116" s="920"/>
      <c r="V116" s="920"/>
      <c r="W116" s="920"/>
      <c r="X116" s="920"/>
      <c r="Y116" s="920"/>
      <c r="Z116" s="920"/>
      <c r="AA116" s="920"/>
      <c r="AB116" s="920"/>
      <c r="AC116" s="920"/>
      <c r="AD116" s="920"/>
      <c r="AE116" s="920"/>
      <c r="AF116" s="920"/>
      <c r="AG116" s="920"/>
      <c r="AH116" s="920"/>
      <c r="AI116" s="920"/>
      <c r="AJ116" s="920"/>
      <c r="AK116" s="920"/>
      <c r="AL116" s="1105"/>
      <c r="AM116" s="920"/>
      <c r="AN116" s="1711"/>
      <c r="AO116" s="920"/>
      <c r="AP116" s="920"/>
      <c r="AS116" s="1167"/>
      <c r="AT116" s="1167"/>
      <c r="AU116" s="1168"/>
      <c r="AV116" s="1168"/>
      <c r="AW116" s="1169"/>
      <c r="AX116" s="1169"/>
      <c r="AY116" s="1169"/>
      <c r="AZ116" s="1169"/>
      <c r="BA116" s="1799" t="s">
        <v>3</v>
      </c>
      <c r="BB116" s="1802">
        <v>2015</v>
      </c>
      <c r="BC116" s="1799" t="s">
        <v>249</v>
      </c>
      <c r="BD116" s="1799"/>
      <c r="BE116" s="1800">
        <v>2516514207.7200007</v>
      </c>
      <c r="BF116" s="1801"/>
      <c r="BG116" s="1799"/>
      <c r="BH116" s="1799" t="s">
        <v>0</v>
      </c>
      <c r="BI116" s="1799" t="s">
        <v>312</v>
      </c>
      <c r="BJ116" s="1799" t="s">
        <v>74</v>
      </c>
      <c r="BK116" s="1799">
        <v>10</v>
      </c>
      <c r="BL116" s="1800">
        <v>67676068.400000006</v>
      </c>
      <c r="BM116" s="1801">
        <v>1.6976538065354367E-2</v>
      </c>
      <c r="BN116" s="1799">
        <v>2007</v>
      </c>
      <c r="BO116" s="1684"/>
      <c r="BP116" s="1697"/>
      <c r="BQ116" s="1169"/>
      <c r="BR116" s="1169"/>
      <c r="BS116" s="1169"/>
      <c r="BT116" s="1169"/>
      <c r="BU116" s="1169"/>
      <c r="BV116" s="1169"/>
      <c r="BW116" s="1169"/>
      <c r="BX116" s="1169"/>
      <c r="BY116" s="1169"/>
      <c r="BZ116" s="1169"/>
      <c r="CA116" s="1169"/>
      <c r="CB116" s="1169"/>
      <c r="CC116" s="1169"/>
      <c r="CD116" s="1169"/>
      <c r="CE116" s="1169"/>
      <c r="CF116" s="1169"/>
      <c r="CG116" s="1169"/>
      <c r="CH116" s="1169"/>
      <c r="CI116" s="1169"/>
      <c r="CJ116" s="1169"/>
      <c r="CK116" s="1169"/>
      <c r="CL116" s="1169"/>
      <c r="CM116" s="1169"/>
      <c r="CN116" s="1169"/>
      <c r="CO116" s="1169"/>
      <c r="CP116" s="1169"/>
      <c r="CQ116" s="1169"/>
      <c r="CR116" s="1169"/>
      <c r="CS116" s="1169"/>
      <c r="CT116" s="1169"/>
      <c r="CU116" s="1169"/>
      <c r="CV116" s="1169"/>
      <c r="CW116" s="1169"/>
      <c r="CX116" s="1169"/>
      <c r="CY116" s="1169"/>
      <c r="CZ116" s="1169"/>
      <c r="DA116" s="1168"/>
      <c r="DB116" s="1168"/>
      <c r="DC116" s="1168"/>
      <c r="DD116" s="1168"/>
      <c r="DE116" s="1168"/>
      <c r="DF116" s="1168"/>
      <c r="DG116" s="1168"/>
      <c r="DH116" s="1168"/>
      <c r="DI116" s="1168"/>
      <c r="DJ116" s="1168"/>
      <c r="DK116" s="1168"/>
      <c r="DL116" s="1168"/>
      <c r="DM116" s="1168"/>
      <c r="DN116" s="1168"/>
      <c r="DO116" s="1168"/>
      <c r="DP116" s="1168"/>
      <c r="DQ116" s="1168"/>
      <c r="DR116" s="1168"/>
      <c r="DS116" s="1168"/>
      <c r="DT116" s="1168"/>
      <c r="DU116" s="1168"/>
      <c r="DV116" s="1168"/>
      <c r="DW116" s="1168"/>
      <c r="DX116" s="1168"/>
      <c r="DY116" s="1168"/>
      <c r="DZ116" s="1168"/>
      <c r="EA116" s="1168"/>
      <c r="EB116" s="1168"/>
      <c r="EC116" s="1168"/>
      <c r="ED116" s="1168"/>
      <c r="EE116" s="1168"/>
      <c r="EF116" s="1168"/>
      <c r="EG116" s="1168"/>
      <c r="EH116" s="1168"/>
      <c r="EI116" s="1170"/>
      <c r="EJ116" s="1170"/>
      <c r="EK116" s="1170"/>
      <c r="EL116" s="1170"/>
      <c r="EM116" s="1170"/>
      <c r="EN116" s="1170"/>
      <c r="EO116" s="1170"/>
      <c r="EP116" s="1170"/>
      <c r="EQ116" s="1170"/>
      <c r="ER116" s="1170"/>
      <c r="ES116" s="1333"/>
      <c r="ET116" s="1333"/>
      <c r="EU116" s="1333"/>
      <c r="EV116" s="1333"/>
      <c r="EW116" s="1333"/>
      <c r="EX116" s="1333"/>
      <c r="EY116" s="1333"/>
      <c r="EZ116" s="1333"/>
      <c r="FA116" s="1333"/>
      <c r="FB116" s="1333"/>
      <c r="FC116" s="1333"/>
      <c r="FD116" s="1333"/>
      <c r="FE116" s="1333"/>
      <c r="FF116" s="1333"/>
      <c r="FG116" s="1333"/>
      <c r="FH116" s="1333"/>
      <c r="FI116" s="1333"/>
      <c r="FJ116" s="1333"/>
      <c r="FK116" s="1333"/>
      <c r="FL116" s="1333"/>
      <c r="FM116" s="1333"/>
      <c r="FN116" s="1333"/>
      <c r="FO116" s="1333"/>
      <c r="FP116" s="1333"/>
      <c r="FQ116" s="1333"/>
      <c r="FR116" s="1333"/>
      <c r="FS116" s="1333"/>
      <c r="FT116" s="1333"/>
      <c r="FU116" s="1333"/>
      <c r="FV116" s="1333"/>
      <c r="FW116" s="1333"/>
      <c r="FX116" s="1333"/>
      <c r="FY116" s="1333"/>
      <c r="FZ116" s="1333"/>
      <c r="GA116" s="1333"/>
      <c r="GB116" s="1333"/>
      <c r="GC116" s="1333"/>
      <c r="GD116" s="1333"/>
      <c r="GE116" s="1333"/>
      <c r="GF116" s="1333"/>
      <c r="GG116" s="1333"/>
      <c r="GH116" s="1333"/>
      <c r="GI116" s="1333"/>
      <c r="GJ116" s="1333"/>
      <c r="GK116" s="1333"/>
      <c r="GL116" s="1333"/>
      <c r="GM116" s="1333"/>
      <c r="GN116" s="1333"/>
      <c r="GO116" s="1333"/>
      <c r="GP116" s="1333"/>
      <c r="GQ116" s="1333"/>
      <c r="GR116" s="1333"/>
      <c r="GS116" s="1333"/>
      <c r="GT116" s="1333"/>
      <c r="GU116" s="1333"/>
      <c r="GV116" s="1333"/>
      <c r="GW116" s="1333"/>
      <c r="GX116" s="1333"/>
    </row>
    <row r="117" spans="1:206" s="607" customFormat="1">
      <c r="A117" s="607">
        <f t="shared" si="2"/>
        <v>1980</v>
      </c>
      <c r="B117" s="607">
        <f t="shared" si="3"/>
        <v>1</v>
      </c>
      <c r="C117" s="1173">
        <v>29221</v>
      </c>
      <c r="D117" s="1709"/>
      <c r="E117" s="1117"/>
      <c r="F117" s="1117"/>
      <c r="G117" s="1117"/>
      <c r="H117" s="1117"/>
      <c r="I117" s="959">
        <v>612.49272669092556</v>
      </c>
      <c r="J117" s="959">
        <v>677.96818181820004</v>
      </c>
      <c r="K117" s="960"/>
      <c r="L117" s="1121"/>
      <c r="M117" s="916"/>
      <c r="N117" s="916"/>
      <c r="O117" s="1332"/>
      <c r="P117" s="1332"/>
      <c r="Q117" s="1332"/>
      <c r="R117" s="1332"/>
      <c r="S117" s="1332"/>
      <c r="T117" s="1332"/>
      <c r="U117" s="1120"/>
      <c r="V117" s="1120"/>
      <c r="W117" s="1120"/>
      <c r="X117" s="1120"/>
      <c r="Y117" s="1119"/>
      <c r="Z117" s="1119"/>
      <c r="AA117" s="1119"/>
      <c r="AB117" s="1119"/>
      <c r="AC117" s="1178"/>
      <c r="AD117" s="1178"/>
      <c r="AE117" s="1178"/>
      <c r="AF117" s="1178"/>
      <c r="AG117" s="1178"/>
      <c r="AH117" s="1178"/>
      <c r="AI117" s="1178"/>
      <c r="AJ117" s="1178"/>
      <c r="AK117" s="919"/>
      <c r="AL117" s="1104"/>
      <c r="AM117" s="919"/>
      <c r="AN117" s="1710"/>
      <c r="AO117" s="919"/>
      <c r="AP117" s="919"/>
      <c r="AS117" s="1167"/>
      <c r="AT117" s="1167"/>
      <c r="AU117" s="1168"/>
      <c r="AV117" s="1168"/>
      <c r="AW117" s="1169"/>
      <c r="AX117" s="1169"/>
      <c r="AY117" s="1169"/>
      <c r="AZ117" s="1169"/>
      <c r="BA117" s="1799" t="s">
        <v>3</v>
      </c>
      <c r="BB117" s="1802">
        <v>2014</v>
      </c>
      <c r="BC117" s="1799" t="s">
        <v>21</v>
      </c>
      <c r="BD117" s="1799">
        <v>1</v>
      </c>
      <c r="BE117" s="1800">
        <v>1096001602</v>
      </c>
      <c r="BF117" s="1801">
        <v>0.40100000000000002</v>
      </c>
      <c r="BG117" s="1799"/>
      <c r="BH117" s="1799" t="s">
        <v>0</v>
      </c>
      <c r="BI117" s="1799" t="s">
        <v>312</v>
      </c>
      <c r="BJ117" s="1799" t="s">
        <v>32</v>
      </c>
      <c r="BK117" s="1799"/>
      <c r="BL117" s="1800">
        <v>412463405.71999836</v>
      </c>
      <c r="BM117" s="1801">
        <v>0.10346642281854621</v>
      </c>
      <c r="BN117" s="1799">
        <v>2007</v>
      </c>
      <c r="BO117" s="1684"/>
      <c r="BP117" s="1696"/>
      <c r="BQ117" s="1169"/>
      <c r="BR117" s="1169"/>
      <c r="BS117" s="1169"/>
      <c r="BT117" s="1169"/>
      <c r="BU117" s="1169"/>
      <c r="BV117" s="1169"/>
      <c r="BW117" s="1169"/>
      <c r="BX117" s="1169"/>
      <c r="BY117" s="1169"/>
      <c r="BZ117" s="1169"/>
      <c r="CA117" s="1169"/>
      <c r="CB117" s="1169"/>
      <c r="CC117" s="1169"/>
      <c r="CD117" s="1169"/>
      <c r="CE117" s="1169"/>
      <c r="CF117" s="1169"/>
      <c r="CG117" s="1169"/>
      <c r="CH117" s="1169"/>
      <c r="CI117" s="1169"/>
      <c r="CJ117" s="1169"/>
      <c r="CK117" s="1169"/>
      <c r="CL117" s="1169"/>
      <c r="CM117" s="1169"/>
      <c r="CN117" s="1169"/>
      <c r="CO117" s="1169"/>
      <c r="CP117" s="1169"/>
      <c r="CQ117" s="1169"/>
      <c r="CR117" s="1169"/>
      <c r="CS117" s="1169"/>
      <c r="CT117" s="1169"/>
      <c r="CU117" s="1169"/>
      <c r="CV117" s="1169"/>
      <c r="CW117" s="1169"/>
      <c r="CX117" s="1169"/>
      <c r="CY117" s="1169"/>
      <c r="CZ117" s="1169"/>
      <c r="DA117" s="1168"/>
      <c r="DB117" s="1168"/>
      <c r="DC117" s="1168"/>
      <c r="DD117" s="1168"/>
      <c r="DE117" s="1168"/>
      <c r="DF117" s="1168"/>
      <c r="DG117" s="1168"/>
      <c r="DH117" s="1168"/>
      <c r="DI117" s="1168"/>
      <c r="DJ117" s="1168"/>
      <c r="DK117" s="1168"/>
      <c r="DL117" s="1168"/>
      <c r="DM117" s="1168"/>
      <c r="DN117" s="1168"/>
      <c r="DO117" s="1168"/>
      <c r="DP117" s="1168"/>
      <c r="DQ117" s="1168"/>
      <c r="DR117" s="1168"/>
      <c r="DS117" s="1168"/>
      <c r="DT117" s="1168"/>
      <c r="DU117" s="1168"/>
      <c r="DV117" s="1168"/>
      <c r="DW117" s="1168"/>
      <c r="DX117" s="1168"/>
      <c r="DY117" s="1168"/>
      <c r="DZ117" s="1168"/>
      <c r="EA117" s="1168"/>
      <c r="EB117" s="1168"/>
      <c r="EC117" s="1168"/>
      <c r="ED117" s="1168"/>
      <c r="EE117" s="1168"/>
      <c r="EF117" s="1168"/>
      <c r="EG117" s="1168"/>
      <c r="EH117" s="1168"/>
      <c r="EI117" s="1170"/>
      <c r="EJ117" s="1170"/>
      <c r="EK117" s="1170"/>
      <c r="EL117" s="1170"/>
      <c r="EM117" s="1170"/>
      <c r="EN117" s="1170"/>
      <c r="EO117" s="1170"/>
      <c r="EP117" s="1170"/>
      <c r="EQ117" s="1170"/>
      <c r="ER117" s="1170"/>
      <c r="ES117" s="1333"/>
      <c r="ET117" s="1333"/>
      <c r="EU117" s="1333"/>
      <c r="EV117" s="1333"/>
      <c r="EW117" s="1333"/>
      <c r="EX117" s="1333"/>
      <c r="EY117" s="1333"/>
      <c r="EZ117" s="1333"/>
      <c r="FA117" s="1333"/>
      <c r="FB117" s="1333"/>
      <c r="FC117" s="1333"/>
      <c r="FD117" s="1333"/>
      <c r="FE117" s="1333"/>
      <c r="FF117" s="1333"/>
      <c r="FG117" s="1333"/>
      <c r="FH117" s="1333"/>
      <c r="FI117" s="1333"/>
      <c r="FJ117" s="1333"/>
      <c r="FK117" s="1333"/>
      <c r="FL117" s="1333"/>
      <c r="FM117" s="1333"/>
      <c r="FN117" s="1333"/>
      <c r="FO117" s="1333"/>
      <c r="FP117" s="1333"/>
      <c r="FQ117" s="1333"/>
      <c r="FR117" s="1333"/>
      <c r="FS117" s="1333"/>
      <c r="FT117" s="1333"/>
      <c r="FU117" s="1333"/>
      <c r="FV117" s="1333"/>
      <c r="FW117" s="1333"/>
      <c r="FX117" s="1333"/>
      <c r="FY117" s="1333"/>
      <c r="FZ117" s="1333"/>
      <c r="GA117" s="1333"/>
      <c r="GB117" s="1333"/>
      <c r="GC117" s="1333"/>
      <c r="GD117" s="1333"/>
      <c r="GE117" s="1333"/>
      <c r="GF117" s="1333"/>
      <c r="GG117" s="1333"/>
      <c r="GH117" s="1333"/>
      <c r="GI117" s="1333"/>
      <c r="GJ117" s="1333"/>
      <c r="GK117" s="1333"/>
      <c r="GL117" s="1333"/>
      <c r="GM117" s="1333"/>
      <c r="GN117" s="1333"/>
      <c r="GO117" s="1333"/>
      <c r="GP117" s="1333"/>
      <c r="GQ117" s="1333"/>
      <c r="GR117" s="1333"/>
      <c r="GS117" s="1333"/>
      <c r="GT117" s="1333"/>
      <c r="GU117" s="1333"/>
      <c r="GV117" s="1333"/>
      <c r="GW117" s="1333"/>
      <c r="GX117" s="1333"/>
    </row>
    <row r="118" spans="1:206" s="607" customFormat="1">
      <c r="A118" s="607">
        <f t="shared" si="2"/>
        <v>1980</v>
      </c>
      <c r="B118" s="607">
        <f t="shared" si="3"/>
        <v>1</v>
      </c>
      <c r="C118" s="1173">
        <v>29252</v>
      </c>
      <c r="D118" s="957"/>
      <c r="E118" s="920"/>
      <c r="F118" s="920"/>
      <c r="G118" s="920"/>
      <c r="H118" s="920"/>
      <c r="I118" s="954">
        <v>604.62718869645448</v>
      </c>
      <c r="J118" s="954">
        <v>664.30357142859998</v>
      </c>
      <c r="K118" s="954"/>
      <c r="L118" s="920"/>
      <c r="M118" s="917"/>
      <c r="N118" s="917"/>
      <c r="O118" s="1334"/>
      <c r="P118" s="1334"/>
      <c r="Q118" s="1334"/>
      <c r="R118" s="1334"/>
      <c r="S118" s="1334"/>
      <c r="T118" s="1334"/>
      <c r="U118" s="920"/>
      <c r="V118" s="920"/>
      <c r="W118" s="920"/>
      <c r="X118" s="920"/>
      <c r="Y118" s="920"/>
      <c r="Z118" s="920"/>
      <c r="AA118" s="920"/>
      <c r="AB118" s="920"/>
      <c r="AC118" s="920"/>
      <c r="AD118" s="920"/>
      <c r="AE118" s="920"/>
      <c r="AF118" s="920"/>
      <c r="AG118" s="920"/>
      <c r="AH118" s="920"/>
      <c r="AI118" s="920"/>
      <c r="AJ118" s="920"/>
      <c r="AK118" s="920"/>
      <c r="AL118" s="1105"/>
      <c r="AM118" s="920"/>
      <c r="AN118" s="1711"/>
      <c r="AO118" s="920"/>
      <c r="AP118" s="920"/>
      <c r="AS118" s="1167"/>
      <c r="AT118" s="1167"/>
      <c r="AU118" s="1168"/>
      <c r="AV118" s="1168"/>
      <c r="AW118" s="1169"/>
      <c r="AX118" s="1169"/>
      <c r="AY118" s="1169"/>
      <c r="AZ118" s="1169"/>
      <c r="BA118" s="1799" t="s">
        <v>3</v>
      </c>
      <c r="BB118" s="1802">
        <v>2014</v>
      </c>
      <c r="BC118" s="1799" t="s">
        <v>15</v>
      </c>
      <c r="BD118" s="1799">
        <v>2</v>
      </c>
      <c r="BE118" s="1800">
        <v>709117603</v>
      </c>
      <c r="BF118" s="1801">
        <v>0.26</v>
      </c>
      <c r="BG118" s="1799"/>
      <c r="BH118" s="1799" t="s">
        <v>0</v>
      </c>
      <c r="BI118" s="1799" t="s">
        <v>312</v>
      </c>
      <c r="BJ118" s="1799" t="s">
        <v>249</v>
      </c>
      <c r="BK118" s="1799"/>
      <c r="BL118" s="1800">
        <v>3986446950.4599991</v>
      </c>
      <c r="BM118" s="1801"/>
      <c r="BN118" s="1799">
        <v>2007</v>
      </c>
      <c r="BO118" s="1684"/>
      <c r="BP118" s="1696"/>
      <c r="BQ118" s="1169"/>
      <c r="BR118" s="1169"/>
      <c r="BS118" s="1169"/>
      <c r="BT118" s="1169"/>
      <c r="BU118" s="1169"/>
      <c r="BV118" s="1169"/>
      <c r="BW118" s="1169"/>
      <c r="BX118" s="1169"/>
      <c r="BY118" s="1169"/>
      <c r="BZ118" s="1169"/>
      <c r="CA118" s="1169"/>
      <c r="CB118" s="1169"/>
      <c r="CC118" s="1169"/>
      <c r="CD118" s="1169"/>
      <c r="CE118" s="1169"/>
      <c r="CF118" s="1169"/>
      <c r="CG118" s="1169"/>
      <c r="CH118" s="1169"/>
      <c r="CI118" s="1169"/>
      <c r="CJ118" s="1169"/>
      <c r="CK118" s="1169"/>
      <c r="CL118" s="1169"/>
      <c r="CM118" s="1169"/>
      <c r="CN118" s="1169"/>
      <c r="CO118" s="1169"/>
      <c r="CP118" s="1169"/>
      <c r="CQ118" s="1169"/>
      <c r="CR118" s="1169"/>
      <c r="CS118" s="1169"/>
      <c r="CT118" s="1169"/>
      <c r="CU118" s="1169"/>
      <c r="CV118" s="1169"/>
      <c r="CW118" s="1169"/>
      <c r="CX118" s="1169"/>
      <c r="CY118" s="1169"/>
      <c r="CZ118" s="1169"/>
      <c r="DA118" s="1168"/>
      <c r="DB118" s="1168"/>
      <c r="DC118" s="1168"/>
      <c r="DD118" s="1168"/>
      <c r="DE118" s="1168"/>
      <c r="DF118" s="1168"/>
      <c r="DG118" s="1168"/>
      <c r="DH118" s="1168"/>
      <c r="DI118" s="1168"/>
      <c r="DJ118" s="1168"/>
      <c r="DK118" s="1168"/>
      <c r="DL118" s="1168"/>
      <c r="DM118" s="1168"/>
      <c r="DN118" s="1168"/>
      <c r="DO118" s="1168"/>
      <c r="DP118" s="1168"/>
      <c r="DQ118" s="1168"/>
      <c r="DR118" s="1168"/>
      <c r="DS118" s="1168"/>
      <c r="DT118" s="1168"/>
      <c r="DU118" s="1168"/>
      <c r="DV118" s="1168"/>
      <c r="DW118" s="1168"/>
      <c r="DX118" s="1168"/>
      <c r="DY118" s="1168"/>
      <c r="DZ118" s="1168"/>
      <c r="EA118" s="1168"/>
      <c r="EB118" s="1168"/>
      <c r="EC118" s="1168"/>
      <c r="ED118" s="1168"/>
      <c r="EE118" s="1168"/>
      <c r="EF118" s="1168"/>
      <c r="EG118" s="1168"/>
      <c r="EH118" s="1168"/>
      <c r="EI118" s="1170"/>
      <c r="EJ118" s="1170"/>
      <c r="EK118" s="1170"/>
      <c r="EL118" s="1170"/>
      <c r="EM118" s="1170"/>
      <c r="EN118" s="1170"/>
      <c r="EO118" s="1170"/>
      <c r="EP118" s="1170"/>
      <c r="EQ118" s="1170"/>
      <c r="ER118" s="1170"/>
      <c r="ES118" s="1333"/>
      <c r="ET118" s="1333"/>
      <c r="EU118" s="1333"/>
      <c r="EV118" s="1333"/>
      <c r="EW118" s="1333"/>
      <c r="EX118" s="1333"/>
      <c r="EY118" s="1333"/>
      <c r="EZ118" s="1333"/>
      <c r="FA118" s="1333"/>
      <c r="FB118" s="1333"/>
      <c r="FC118" s="1333"/>
      <c r="FD118" s="1333"/>
      <c r="FE118" s="1333"/>
      <c r="FF118" s="1333"/>
      <c r="FG118" s="1333"/>
      <c r="FH118" s="1333"/>
      <c r="FI118" s="1333"/>
      <c r="FJ118" s="1333"/>
      <c r="FK118" s="1333"/>
      <c r="FL118" s="1333"/>
      <c r="FM118" s="1333"/>
      <c r="FN118" s="1333"/>
      <c r="FO118" s="1333"/>
      <c r="FP118" s="1333"/>
      <c r="FQ118" s="1333"/>
      <c r="FR118" s="1333"/>
      <c r="FS118" s="1333"/>
      <c r="FT118" s="1333"/>
      <c r="FU118" s="1333"/>
      <c r="FV118" s="1333"/>
      <c r="FW118" s="1333"/>
      <c r="FX118" s="1333"/>
      <c r="FY118" s="1333"/>
      <c r="FZ118" s="1333"/>
      <c r="GA118" s="1333"/>
      <c r="GB118" s="1333"/>
      <c r="GC118" s="1333"/>
      <c r="GD118" s="1333"/>
      <c r="GE118" s="1333"/>
      <c r="GF118" s="1333"/>
      <c r="GG118" s="1333"/>
      <c r="GH118" s="1333"/>
      <c r="GI118" s="1333"/>
      <c r="GJ118" s="1333"/>
      <c r="GK118" s="1333"/>
      <c r="GL118" s="1333"/>
      <c r="GM118" s="1333"/>
      <c r="GN118" s="1333"/>
      <c r="GO118" s="1333"/>
      <c r="GP118" s="1333"/>
      <c r="GQ118" s="1333"/>
      <c r="GR118" s="1333"/>
      <c r="GS118" s="1333"/>
      <c r="GT118" s="1333"/>
      <c r="GU118" s="1333"/>
      <c r="GV118" s="1333"/>
      <c r="GW118" s="1333"/>
      <c r="GX118" s="1333"/>
    </row>
    <row r="119" spans="1:206" s="607" customFormat="1">
      <c r="A119" s="607">
        <f t="shared" si="2"/>
        <v>1980</v>
      </c>
      <c r="B119" s="607">
        <f t="shared" si="3"/>
        <v>1</v>
      </c>
      <c r="C119" s="1173">
        <v>29283</v>
      </c>
      <c r="D119" s="1709"/>
      <c r="E119" s="1117"/>
      <c r="F119" s="1117"/>
      <c r="G119" s="1117"/>
      <c r="H119" s="1117"/>
      <c r="I119" s="959">
        <v>508.3766492237919</v>
      </c>
      <c r="J119" s="959">
        <v>550.62261904759998</v>
      </c>
      <c r="K119" s="960"/>
      <c r="L119" s="1121"/>
      <c r="M119" s="916"/>
      <c r="N119" s="916"/>
      <c r="O119" s="1332"/>
      <c r="P119" s="1332"/>
      <c r="Q119" s="1332"/>
      <c r="R119" s="1332"/>
      <c r="S119" s="1332"/>
      <c r="T119" s="1332"/>
      <c r="U119" s="1120"/>
      <c r="V119" s="1120"/>
      <c r="W119" s="1120"/>
      <c r="X119" s="1120"/>
      <c r="Y119" s="1119"/>
      <c r="Z119" s="1119"/>
      <c r="AA119" s="1119"/>
      <c r="AB119" s="1119"/>
      <c r="AC119" s="1178"/>
      <c r="AD119" s="1178"/>
      <c r="AE119" s="1178"/>
      <c r="AF119" s="1178"/>
      <c r="AG119" s="1178"/>
      <c r="AH119" s="1178"/>
      <c r="AI119" s="1178"/>
      <c r="AJ119" s="1178"/>
      <c r="AK119" s="919"/>
      <c r="AL119" s="1104"/>
      <c r="AM119" s="919"/>
      <c r="AN119" s="1710"/>
      <c r="AO119" s="919"/>
      <c r="AP119" s="919"/>
      <c r="AS119" s="1167"/>
      <c r="AT119" s="1167"/>
      <c r="AU119" s="1168"/>
      <c r="AV119" s="1168"/>
      <c r="AW119" s="1169"/>
      <c r="AX119" s="1169"/>
      <c r="AY119" s="1169"/>
      <c r="AZ119" s="1169"/>
      <c r="BA119" s="1799" t="s">
        <v>3</v>
      </c>
      <c r="BB119" s="1802">
        <v>2014</v>
      </c>
      <c r="BC119" s="1799" t="s">
        <v>20</v>
      </c>
      <c r="BD119" s="1799">
        <v>3</v>
      </c>
      <c r="BE119" s="1800">
        <v>210725419</v>
      </c>
      <c r="BF119" s="1801">
        <v>7.6999999999999999E-2</v>
      </c>
      <c r="BG119" s="1799"/>
      <c r="BH119" s="1799" t="s">
        <v>0</v>
      </c>
      <c r="BI119" s="1799" t="s">
        <v>311</v>
      </c>
      <c r="BJ119" s="1799" t="s">
        <v>15</v>
      </c>
      <c r="BK119" s="1799">
        <v>1</v>
      </c>
      <c r="BL119" s="1800">
        <v>972318685.42252743</v>
      </c>
      <c r="BM119" s="1801">
        <v>0.20867483729336431</v>
      </c>
      <c r="BN119" s="1799">
        <v>2006</v>
      </c>
      <c r="BO119" s="1684"/>
      <c r="BP119" s="1697"/>
      <c r="BQ119" s="1169"/>
      <c r="BR119" s="1169"/>
      <c r="BS119" s="1169"/>
      <c r="BT119" s="1169"/>
      <c r="BU119" s="1169"/>
      <c r="BV119" s="1169"/>
      <c r="BW119" s="1169"/>
      <c r="BX119" s="1169"/>
      <c r="BY119" s="1169"/>
      <c r="BZ119" s="1169"/>
      <c r="CA119" s="1169"/>
      <c r="CB119" s="1169"/>
      <c r="CC119" s="1169"/>
      <c r="CD119" s="1169"/>
      <c r="CE119" s="1169"/>
      <c r="CF119" s="1169"/>
      <c r="CG119" s="1169"/>
      <c r="CH119" s="1169"/>
      <c r="CI119" s="1169"/>
      <c r="CJ119" s="1169"/>
      <c r="CK119" s="1169"/>
      <c r="CL119" s="1169"/>
      <c r="CM119" s="1169"/>
      <c r="CN119" s="1169"/>
      <c r="CO119" s="1169"/>
      <c r="CP119" s="1169"/>
      <c r="CQ119" s="1169"/>
      <c r="CR119" s="1169"/>
      <c r="CS119" s="1169"/>
      <c r="CT119" s="1169"/>
      <c r="CU119" s="1169"/>
      <c r="CV119" s="1169"/>
      <c r="CW119" s="1169"/>
      <c r="CX119" s="1169"/>
      <c r="CY119" s="1169"/>
      <c r="CZ119" s="1169"/>
      <c r="DA119" s="1168"/>
      <c r="DB119" s="1168"/>
      <c r="DC119" s="1168"/>
      <c r="DD119" s="1168"/>
      <c r="DE119" s="1168"/>
      <c r="DF119" s="1168"/>
      <c r="DG119" s="1168"/>
      <c r="DH119" s="1168"/>
      <c r="DI119" s="1168"/>
      <c r="DJ119" s="1168"/>
      <c r="DK119" s="1168"/>
      <c r="DL119" s="1168"/>
      <c r="DM119" s="1168"/>
      <c r="DN119" s="1168"/>
      <c r="DO119" s="1168"/>
      <c r="DP119" s="1168"/>
      <c r="DQ119" s="1168"/>
      <c r="DR119" s="1168"/>
      <c r="DS119" s="1168"/>
      <c r="DT119" s="1168"/>
      <c r="DU119" s="1168"/>
      <c r="DV119" s="1168"/>
      <c r="DW119" s="1168"/>
      <c r="DX119" s="1168"/>
      <c r="DY119" s="1168"/>
      <c r="DZ119" s="1168"/>
      <c r="EA119" s="1168"/>
      <c r="EB119" s="1168"/>
      <c r="EC119" s="1168"/>
      <c r="ED119" s="1168"/>
      <c r="EE119" s="1168"/>
      <c r="EF119" s="1168"/>
      <c r="EG119" s="1168"/>
      <c r="EH119" s="1168"/>
      <c r="EI119" s="1170"/>
      <c r="EJ119" s="1170"/>
      <c r="EK119" s="1170"/>
      <c r="EL119" s="1170"/>
      <c r="EM119" s="1170"/>
      <c r="EN119" s="1170"/>
      <c r="EO119" s="1170"/>
      <c r="EP119" s="1170"/>
      <c r="EQ119" s="1170"/>
      <c r="ER119" s="1170"/>
      <c r="ES119" s="1333"/>
      <c r="ET119" s="1333"/>
      <c r="EU119" s="1333"/>
      <c r="EV119" s="1333"/>
      <c r="EW119" s="1333"/>
      <c r="EX119" s="1333"/>
      <c r="EY119" s="1333"/>
      <c r="EZ119" s="1333"/>
      <c r="FA119" s="1333"/>
      <c r="FB119" s="1333"/>
      <c r="FC119" s="1333"/>
      <c r="FD119" s="1333"/>
      <c r="FE119" s="1333"/>
      <c r="FF119" s="1333"/>
      <c r="FG119" s="1333"/>
      <c r="FH119" s="1333"/>
      <c r="FI119" s="1333"/>
      <c r="FJ119" s="1333"/>
      <c r="FK119" s="1333"/>
      <c r="FL119" s="1333"/>
      <c r="FM119" s="1333"/>
      <c r="FN119" s="1333"/>
      <c r="FO119" s="1333"/>
      <c r="FP119" s="1333"/>
      <c r="FQ119" s="1333"/>
      <c r="FR119" s="1333"/>
      <c r="FS119" s="1333"/>
      <c r="FT119" s="1333"/>
      <c r="FU119" s="1333"/>
      <c r="FV119" s="1333"/>
      <c r="FW119" s="1333"/>
      <c r="FX119" s="1333"/>
      <c r="FY119" s="1333"/>
      <c r="FZ119" s="1333"/>
      <c r="GA119" s="1333"/>
      <c r="GB119" s="1333"/>
      <c r="GC119" s="1333"/>
      <c r="GD119" s="1333"/>
      <c r="GE119" s="1333"/>
      <c r="GF119" s="1333"/>
      <c r="GG119" s="1333"/>
      <c r="GH119" s="1333"/>
      <c r="GI119" s="1333"/>
      <c r="GJ119" s="1333"/>
      <c r="GK119" s="1333"/>
      <c r="GL119" s="1333"/>
      <c r="GM119" s="1333"/>
      <c r="GN119" s="1333"/>
      <c r="GO119" s="1333"/>
      <c r="GP119" s="1333"/>
      <c r="GQ119" s="1333"/>
      <c r="GR119" s="1333"/>
      <c r="GS119" s="1333"/>
      <c r="GT119" s="1333"/>
      <c r="GU119" s="1333"/>
      <c r="GV119" s="1333"/>
      <c r="GW119" s="1333"/>
      <c r="GX119" s="1333"/>
    </row>
    <row r="120" spans="1:206" s="607" customFormat="1">
      <c r="A120" s="607">
        <f t="shared" si="2"/>
        <v>1980</v>
      </c>
      <c r="B120" s="607">
        <f t="shared" si="3"/>
        <v>2</v>
      </c>
      <c r="C120" s="1173">
        <v>29312</v>
      </c>
      <c r="D120" s="957"/>
      <c r="E120" s="920"/>
      <c r="F120" s="920"/>
      <c r="G120" s="920"/>
      <c r="H120" s="920"/>
      <c r="I120" s="954">
        <v>463.81543311750005</v>
      </c>
      <c r="J120" s="954">
        <v>516.92250000000001</v>
      </c>
      <c r="K120" s="954"/>
      <c r="L120" s="920"/>
      <c r="M120" s="917"/>
      <c r="N120" s="917"/>
      <c r="O120" s="1334"/>
      <c r="P120" s="1334"/>
      <c r="Q120" s="1334"/>
      <c r="R120" s="1334"/>
      <c r="S120" s="1334"/>
      <c r="T120" s="1334"/>
      <c r="U120" s="920"/>
      <c r="V120" s="920"/>
      <c r="W120" s="920"/>
      <c r="X120" s="920"/>
      <c r="Y120" s="920"/>
      <c r="Z120" s="920"/>
      <c r="AA120" s="920"/>
      <c r="AB120" s="920"/>
      <c r="AC120" s="920"/>
      <c r="AD120" s="920"/>
      <c r="AE120" s="920"/>
      <c r="AF120" s="920"/>
      <c r="AG120" s="920"/>
      <c r="AH120" s="920"/>
      <c r="AI120" s="920"/>
      <c r="AJ120" s="920"/>
      <c r="AK120" s="920"/>
      <c r="AL120" s="1105"/>
      <c r="AM120" s="920"/>
      <c r="AN120" s="1711"/>
      <c r="AO120" s="920"/>
      <c r="AP120" s="920"/>
      <c r="AS120" s="1167"/>
      <c r="AT120" s="1167"/>
      <c r="AU120" s="1168"/>
      <c r="AV120" s="1168"/>
      <c r="AW120" s="1169"/>
      <c r="AX120" s="1169"/>
      <c r="AY120" s="1169"/>
      <c r="AZ120" s="1169"/>
      <c r="BA120" s="1799" t="s">
        <v>3</v>
      </c>
      <c r="BB120" s="1802">
        <v>2014</v>
      </c>
      <c r="BC120" s="1799" t="s">
        <v>49</v>
      </c>
      <c r="BD120" s="1799">
        <v>4</v>
      </c>
      <c r="BE120" s="1800">
        <v>207192692</v>
      </c>
      <c r="BF120" s="1801">
        <v>7.5999999999999998E-2</v>
      </c>
      <c r="BG120" s="1799"/>
      <c r="BH120" s="1799" t="s">
        <v>0</v>
      </c>
      <c r="BI120" s="1799" t="s">
        <v>311</v>
      </c>
      <c r="BJ120" s="1799" t="s">
        <v>14</v>
      </c>
      <c r="BK120" s="1799">
        <v>2</v>
      </c>
      <c r="BL120" s="1800">
        <v>814615092.74104667</v>
      </c>
      <c r="BM120" s="1801">
        <v>0.17482917327726419</v>
      </c>
      <c r="BN120" s="1799">
        <v>2006</v>
      </c>
      <c r="BO120" s="1684"/>
      <c r="BP120" s="1696"/>
      <c r="BQ120" s="1169"/>
      <c r="BR120" s="1169"/>
      <c r="BS120" s="1169"/>
      <c r="BT120" s="1169"/>
      <c r="BU120" s="1169"/>
      <c r="BV120" s="1169"/>
      <c r="BW120" s="1169"/>
      <c r="BX120" s="1169"/>
      <c r="BY120" s="1169"/>
      <c r="BZ120" s="1169"/>
      <c r="CA120" s="1169"/>
      <c r="CB120" s="1169"/>
      <c r="CC120" s="1169"/>
      <c r="CD120" s="1169"/>
      <c r="CE120" s="1169"/>
      <c r="CF120" s="1169"/>
      <c r="CG120" s="1169"/>
      <c r="CH120" s="1169"/>
      <c r="CI120" s="1169"/>
      <c r="CJ120" s="1169"/>
      <c r="CK120" s="1169"/>
      <c r="CL120" s="1169"/>
      <c r="CM120" s="1169"/>
      <c r="CN120" s="1169"/>
      <c r="CO120" s="1169"/>
      <c r="CP120" s="1169"/>
      <c r="CQ120" s="1169"/>
      <c r="CR120" s="1169"/>
      <c r="CS120" s="1169"/>
      <c r="CT120" s="1169"/>
      <c r="CU120" s="1169"/>
      <c r="CV120" s="1169"/>
      <c r="CW120" s="1169"/>
      <c r="CX120" s="1169"/>
      <c r="CY120" s="1169"/>
      <c r="CZ120" s="1169"/>
      <c r="DA120" s="1168"/>
      <c r="DB120" s="1168"/>
      <c r="DC120" s="1168"/>
      <c r="DD120" s="1168"/>
      <c r="DE120" s="1168"/>
      <c r="DF120" s="1168"/>
      <c r="DG120" s="1168"/>
      <c r="DH120" s="1168"/>
      <c r="DI120" s="1168"/>
      <c r="DJ120" s="1168"/>
      <c r="DK120" s="1168"/>
      <c r="DL120" s="1168"/>
      <c r="DM120" s="1168"/>
      <c r="DN120" s="1168"/>
      <c r="DO120" s="1168"/>
      <c r="DP120" s="1168"/>
      <c r="DQ120" s="1168"/>
      <c r="DR120" s="1168"/>
      <c r="DS120" s="1168"/>
      <c r="DT120" s="1168"/>
      <c r="DU120" s="1168"/>
      <c r="DV120" s="1168"/>
      <c r="DW120" s="1168"/>
      <c r="DX120" s="1168"/>
      <c r="DY120" s="1168"/>
      <c r="DZ120" s="1168"/>
      <c r="EA120" s="1168"/>
      <c r="EB120" s="1168"/>
      <c r="EC120" s="1168"/>
      <c r="ED120" s="1168"/>
      <c r="EE120" s="1168"/>
      <c r="EF120" s="1168"/>
      <c r="EG120" s="1168"/>
      <c r="EH120" s="1168"/>
      <c r="EI120" s="1170"/>
      <c r="EJ120" s="1170"/>
      <c r="EK120" s="1170"/>
      <c r="EL120" s="1170"/>
      <c r="EM120" s="1170"/>
      <c r="EN120" s="1170"/>
      <c r="EO120" s="1170"/>
      <c r="EP120" s="1170"/>
      <c r="EQ120" s="1170"/>
      <c r="ER120" s="1170"/>
      <c r="ES120" s="1333"/>
      <c r="ET120" s="1333"/>
      <c r="EU120" s="1333"/>
      <c r="EV120" s="1333"/>
      <c r="EW120" s="1333"/>
      <c r="EX120" s="1333"/>
      <c r="EY120" s="1333"/>
      <c r="EZ120" s="1333"/>
      <c r="FA120" s="1333"/>
      <c r="FB120" s="1333"/>
      <c r="FC120" s="1333"/>
      <c r="FD120" s="1333"/>
      <c r="FE120" s="1333"/>
      <c r="FF120" s="1333"/>
      <c r="FG120" s="1333"/>
      <c r="FH120" s="1333"/>
      <c r="FI120" s="1333"/>
      <c r="FJ120" s="1333"/>
      <c r="FK120" s="1333"/>
      <c r="FL120" s="1333"/>
      <c r="FM120" s="1333"/>
      <c r="FN120" s="1333"/>
      <c r="FO120" s="1333"/>
      <c r="FP120" s="1333"/>
      <c r="FQ120" s="1333"/>
      <c r="FR120" s="1333"/>
      <c r="FS120" s="1333"/>
      <c r="FT120" s="1333"/>
      <c r="FU120" s="1333"/>
      <c r="FV120" s="1333"/>
      <c r="FW120" s="1333"/>
      <c r="FX120" s="1333"/>
      <c r="FY120" s="1333"/>
      <c r="FZ120" s="1333"/>
      <c r="GA120" s="1333"/>
      <c r="GB120" s="1333"/>
      <c r="GC120" s="1333"/>
      <c r="GD120" s="1333"/>
      <c r="GE120" s="1333"/>
      <c r="GF120" s="1333"/>
      <c r="GG120" s="1333"/>
      <c r="GH120" s="1333"/>
      <c r="GI120" s="1333"/>
      <c r="GJ120" s="1333"/>
      <c r="GK120" s="1333"/>
      <c r="GL120" s="1333"/>
      <c r="GM120" s="1333"/>
      <c r="GN120" s="1333"/>
      <c r="GO120" s="1333"/>
      <c r="GP120" s="1333"/>
      <c r="GQ120" s="1333"/>
      <c r="GR120" s="1333"/>
      <c r="GS120" s="1333"/>
      <c r="GT120" s="1333"/>
      <c r="GU120" s="1333"/>
      <c r="GV120" s="1333"/>
      <c r="GW120" s="1333"/>
      <c r="GX120" s="1333"/>
    </row>
    <row r="121" spans="1:206" s="607" customFormat="1">
      <c r="A121" s="607">
        <f t="shared" si="2"/>
        <v>1980</v>
      </c>
      <c r="B121" s="607">
        <f t="shared" si="3"/>
        <v>2</v>
      </c>
      <c r="C121" s="1173">
        <v>29342</v>
      </c>
      <c r="D121" s="1709"/>
      <c r="E121" s="1117"/>
      <c r="F121" s="1117"/>
      <c r="G121" s="1117"/>
      <c r="H121" s="1117"/>
      <c r="I121" s="959">
        <v>451.25813717749998</v>
      </c>
      <c r="J121" s="959">
        <v>515.60749999999996</v>
      </c>
      <c r="K121" s="960"/>
      <c r="L121" s="1121"/>
      <c r="M121" s="916"/>
      <c r="N121" s="916"/>
      <c r="O121" s="1332"/>
      <c r="P121" s="1332"/>
      <c r="Q121" s="1332"/>
      <c r="R121" s="1332"/>
      <c r="S121" s="1332"/>
      <c r="T121" s="1332"/>
      <c r="U121" s="1120"/>
      <c r="V121" s="1120"/>
      <c r="W121" s="1120"/>
      <c r="X121" s="1120"/>
      <c r="Y121" s="1119"/>
      <c r="Z121" s="1119"/>
      <c r="AA121" s="1119"/>
      <c r="AB121" s="1119"/>
      <c r="AC121" s="1178"/>
      <c r="AD121" s="1178"/>
      <c r="AE121" s="1178"/>
      <c r="AF121" s="1178"/>
      <c r="AG121" s="1178"/>
      <c r="AH121" s="1178"/>
      <c r="AI121" s="1178"/>
      <c r="AJ121" s="1178"/>
      <c r="AK121" s="919"/>
      <c r="AL121" s="1104"/>
      <c r="AM121" s="919"/>
      <c r="AN121" s="1710"/>
      <c r="AO121" s="919"/>
      <c r="AP121" s="919"/>
      <c r="AS121" s="1167"/>
      <c r="AT121" s="1167"/>
      <c r="AU121" s="1168"/>
      <c r="AV121" s="1168"/>
      <c r="AW121" s="1169"/>
      <c r="AX121" s="1169"/>
      <c r="AY121" s="1169"/>
      <c r="AZ121" s="1169"/>
      <c r="BA121" s="1799" t="s">
        <v>3</v>
      </c>
      <c r="BB121" s="1802">
        <v>2014</v>
      </c>
      <c r="BC121" s="1799" t="s">
        <v>431</v>
      </c>
      <c r="BD121" s="1799">
        <v>5</v>
      </c>
      <c r="BE121" s="1800">
        <v>148313983</v>
      </c>
      <c r="BF121" s="1801">
        <v>5.3999999999999999E-2</v>
      </c>
      <c r="BG121" s="1799"/>
      <c r="BH121" s="1799" t="s">
        <v>0</v>
      </c>
      <c r="BI121" s="1799" t="s">
        <v>311</v>
      </c>
      <c r="BJ121" s="1799" t="s">
        <v>27</v>
      </c>
      <c r="BK121" s="1799">
        <v>3</v>
      </c>
      <c r="BL121" s="1800">
        <v>788187594.20796895</v>
      </c>
      <c r="BM121" s="1801">
        <v>0.16915741766962189</v>
      </c>
      <c r="BN121" s="1799">
        <v>2006</v>
      </c>
      <c r="BO121" s="1684"/>
      <c r="BP121" s="1696"/>
      <c r="BQ121" s="1169"/>
      <c r="BR121" s="1169"/>
      <c r="BS121" s="1169"/>
      <c r="BT121" s="1169"/>
      <c r="BU121" s="1169"/>
      <c r="BV121" s="1169"/>
      <c r="BW121" s="1169"/>
      <c r="BX121" s="1169"/>
      <c r="BY121" s="1169"/>
      <c r="BZ121" s="1169"/>
      <c r="CA121" s="1169"/>
      <c r="CB121" s="1169"/>
      <c r="CC121" s="1169"/>
      <c r="CD121" s="1169"/>
      <c r="CE121" s="1169"/>
      <c r="CF121" s="1169"/>
      <c r="CG121" s="1169"/>
      <c r="CH121" s="1169"/>
      <c r="CI121" s="1169"/>
      <c r="CJ121" s="1169"/>
      <c r="CK121" s="1169"/>
      <c r="CL121" s="1169"/>
      <c r="CM121" s="1169"/>
      <c r="CN121" s="1169"/>
      <c r="CO121" s="1169"/>
      <c r="CP121" s="1169"/>
      <c r="CQ121" s="1169"/>
      <c r="CR121" s="1169"/>
      <c r="CS121" s="1169"/>
      <c r="CT121" s="1169"/>
      <c r="CU121" s="1169"/>
      <c r="CV121" s="1169"/>
      <c r="CW121" s="1169"/>
      <c r="CX121" s="1169"/>
      <c r="CY121" s="1169"/>
      <c r="CZ121" s="1169"/>
      <c r="DA121" s="1168"/>
      <c r="DB121" s="1168"/>
      <c r="DC121" s="1168"/>
      <c r="DD121" s="1168"/>
      <c r="DE121" s="1168"/>
      <c r="DF121" s="1168"/>
      <c r="DG121" s="1168"/>
      <c r="DH121" s="1168"/>
      <c r="DI121" s="1168"/>
      <c r="DJ121" s="1168"/>
      <c r="DK121" s="1168"/>
      <c r="DL121" s="1168"/>
      <c r="DM121" s="1168"/>
      <c r="DN121" s="1168"/>
      <c r="DO121" s="1168"/>
      <c r="DP121" s="1168"/>
      <c r="DQ121" s="1168"/>
      <c r="DR121" s="1168"/>
      <c r="DS121" s="1168"/>
      <c r="DT121" s="1168"/>
      <c r="DU121" s="1168"/>
      <c r="DV121" s="1168"/>
      <c r="DW121" s="1168"/>
      <c r="DX121" s="1168"/>
      <c r="DY121" s="1168"/>
      <c r="DZ121" s="1168"/>
      <c r="EA121" s="1168"/>
      <c r="EB121" s="1168"/>
      <c r="EC121" s="1168"/>
      <c r="ED121" s="1168"/>
      <c r="EE121" s="1168"/>
      <c r="EF121" s="1168"/>
      <c r="EG121" s="1168"/>
      <c r="EH121" s="1168"/>
      <c r="EI121" s="1170"/>
      <c r="EJ121" s="1170"/>
      <c r="EK121" s="1170"/>
      <c r="EL121" s="1170"/>
      <c r="EM121" s="1170"/>
      <c r="EN121" s="1170"/>
      <c r="EO121" s="1170"/>
      <c r="EP121" s="1170"/>
      <c r="EQ121" s="1170"/>
      <c r="ER121" s="1170"/>
      <c r="ES121" s="1333"/>
      <c r="ET121" s="1333"/>
      <c r="EU121" s="1333"/>
      <c r="EV121" s="1333"/>
      <c r="EW121" s="1333"/>
      <c r="EX121" s="1333"/>
      <c r="EY121" s="1333"/>
      <c r="EZ121" s="1333"/>
      <c r="FA121" s="1333"/>
      <c r="FB121" s="1333"/>
      <c r="FC121" s="1333"/>
      <c r="FD121" s="1333"/>
      <c r="FE121" s="1333"/>
      <c r="FF121" s="1333"/>
      <c r="FG121" s="1333"/>
      <c r="FH121" s="1333"/>
      <c r="FI121" s="1333"/>
      <c r="FJ121" s="1333"/>
      <c r="FK121" s="1333"/>
      <c r="FL121" s="1333"/>
      <c r="FM121" s="1333"/>
      <c r="FN121" s="1333"/>
      <c r="FO121" s="1333"/>
      <c r="FP121" s="1333"/>
      <c r="FQ121" s="1333"/>
      <c r="FR121" s="1333"/>
      <c r="FS121" s="1333"/>
      <c r="FT121" s="1333"/>
      <c r="FU121" s="1333"/>
      <c r="FV121" s="1333"/>
      <c r="FW121" s="1333"/>
      <c r="FX121" s="1333"/>
      <c r="FY121" s="1333"/>
      <c r="FZ121" s="1333"/>
      <c r="GA121" s="1333"/>
      <c r="GB121" s="1333"/>
      <c r="GC121" s="1333"/>
      <c r="GD121" s="1333"/>
      <c r="GE121" s="1333"/>
      <c r="GF121" s="1333"/>
      <c r="GG121" s="1333"/>
      <c r="GH121" s="1333"/>
      <c r="GI121" s="1333"/>
      <c r="GJ121" s="1333"/>
      <c r="GK121" s="1333"/>
      <c r="GL121" s="1333"/>
      <c r="GM121" s="1333"/>
      <c r="GN121" s="1333"/>
      <c r="GO121" s="1333"/>
      <c r="GP121" s="1333"/>
      <c r="GQ121" s="1333"/>
      <c r="GR121" s="1333"/>
      <c r="GS121" s="1333"/>
      <c r="GT121" s="1333"/>
      <c r="GU121" s="1333"/>
      <c r="GV121" s="1333"/>
      <c r="GW121" s="1333"/>
      <c r="GX121" s="1333"/>
    </row>
    <row r="122" spans="1:206" s="607" customFormat="1">
      <c r="A122" s="607">
        <f t="shared" si="2"/>
        <v>1980</v>
      </c>
      <c r="B122" s="607">
        <f t="shared" si="3"/>
        <v>2</v>
      </c>
      <c r="C122" s="1173">
        <v>29374</v>
      </c>
      <c r="D122" s="957"/>
      <c r="E122" s="920"/>
      <c r="F122" s="920"/>
      <c r="G122" s="920"/>
      <c r="H122" s="920"/>
      <c r="I122" s="954">
        <v>520.95864479999591</v>
      </c>
      <c r="J122" s="954">
        <v>603.0619047619</v>
      </c>
      <c r="K122" s="954"/>
      <c r="L122" s="920"/>
      <c r="M122" s="917"/>
      <c r="N122" s="917"/>
      <c r="O122" s="1334"/>
      <c r="P122" s="1334"/>
      <c r="Q122" s="1334"/>
      <c r="R122" s="1334"/>
      <c r="S122" s="1334"/>
      <c r="T122" s="1334"/>
      <c r="U122" s="920"/>
      <c r="V122" s="920"/>
      <c r="W122" s="920"/>
      <c r="X122" s="920"/>
      <c r="Y122" s="920"/>
      <c r="Z122" s="920"/>
      <c r="AA122" s="920"/>
      <c r="AB122" s="920"/>
      <c r="AC122" s="920"/>
      <c r="AD122" s="920"/>
      <c r="AE122" s="920"/>
      <c r="AF122" s="920"/>
      <c r="AG122" s="920"/>
      <c r="AH122" s="920"/>
      <c r="AI122" s="920"/>
      <c r="AJ122" s="920"/>
      <c r="AK122" s="920"/>
      <c r="AL122" s="1105"/>
      <c r="AM122" s="920"/>
      <c r="AN122" s="1711"/>
      <c r="AO122" s="920"/>
      <c r="AP122" s="920"/>
      <c r="AS122" s="1167"/>
      <c r="AT122" s="1167"/>
      <c r="AU122" s="1168"/>
      <c r="AV122" s="1168"/>
      <c r="AW122" s="1169"/>
      <c r="AX122" s="1169"/>
      <c r="AY122" s="1169"/>
      <c r="AZ122" s="1169"/>
      <c r="BA122" s="1799" t="s">
        <v>3</v>
      </c>
      <c r="BB122" s="1802">
        <v>2014</v>
      </c>
      <c r="BC122" s="1799" t="s">
        <v>23</v>
      </c>
      <c r="BD122" s="1799">
        <v>6</v>
      </c>
      <c r="BE122" s="1800">
        <v>90219485</v>
      </c>
      <c r="BF122" s="1801">
        <v>3.3000000000000002E-2</v>
      </c>
      <c r="BG122" s="1799"/>
      <c r="BH122" s="1799" t="s">
        <v>0</v>
      </c>
      <c r="BI122" s="1799" t="s">
        <v>311</v>
      </c>
      <c r="BJ122" s="1799" t="s">
        <v>29</v>
      </c>
      <c r="BK122" s="1799">
        <v>4</v>
      </c>
      <c r="BL122" s="1800">
        <v>696850905.82959712</v>
      </c>
      <c r="BM122" s="1801">
        <v>0.14955513204863852</v>
      </c>
      <c r="BN122" s="1799">
        <v>2006</v>
      </c>
      <c r="BO122" s="1684"/>
      <c r="BP122" s="1697"/>
      <c r="BQ122" s="1169"/>
      <c r="BR122" s="1169"/>
      <c r="BS122" s="1169"/>
      <c r="BT122" s="1169"/>
      <c r="BU122" s="1169"/>
      <c r="BV122" s="1169"/>
      <c r="BW122" s="1169"/>
      <c r="BX122" s="1169"/>
      <c r="BY122" s="1169"/>
      <c r="BZ122" s="1169"/>
      <c r="CA122" s="1169"/>
      <c r="CB122" s="1169"/>
      <c r="CC122" s="1169"/>
      <c r="CD122" s="1169"/>
      <c r="CE122" s="1169"/>
      <c r="CF122" s="1169"/>
      <c r="CG122" s="1169"/>
      <c r="CH122" s="1169"/>
      <c r="CI122" s="1169"/>
      <c r="CJ122" s="1169"/>
      <c r="CK122" s="1169"/>
      <c r="CL122" s="1169"/>
      <c r="CM122" s="1169"/>
      <c r="CN122" s="1169"/>
      <c r="CO122" s="1169"/>
      <c r="CP122" s="1169"/>
      <c r="CQ122" s="1169"/>
      <c r="CR122" s="1169"/>
      <c r="CS122" s="1169"/>
      <c r="CT122" s="1169"/>
      <c r="CU122" s="1169"/>
      <c r="CV122" s="1169"/>
      <c r="CW122" s="1169"/>
      <c r="CX122" s="1169"/>
      <c r="CY122" s="1169"/>
      <c r="CZ122" s="1169"/>
      <c r="DA122" s="1168"/>
      <c r="DB122" s="1168"/>
      <c r="DC122" s="1168"/>
      <c r="DD122" s="1168"/>
      <c r="DE122" s="1168"/>
      <c r="DF122" s="1168"/>
      <c r="DG122" s="1168"/>
      <c r="DH122" s="1168"/>
      <c r="DI122" s="1168"/>
      <c r="DJ122" s="1168"/>
      <c r="DK122" s="1168"/>
      <c r="DL122" s="1168"/>
      <c r="DM122" s="1168"/>
      <c r="DN122" s="1168"/>
      <c r="DO122" s="1168"/>
      <c r="DP122" s="1168"/>
      <c r="DQ122" s="1168"/>
      <c r="DR122" s="1168"/>
      <c r="DS122" s="1168"/>
      <c r="DT122" s="1168"/>
      <c r="DU122" s="1168"/>
      <c r="DV122" s="1168"/>
      <c r="DW122" s="1168"/>
      <c r="DX122" s="1168"/>
      <c r="DY122" s="1168"/>
      <c r="DZ122" s="1168"/>
      <c r="EA122" s="1168"/>
      <c r="EB122" s="1168"/>
      <c r="EC122" s="1168"/>
      <c r="ED122" s="1168"/>
      <c r="EE122" s="1168"/>
      <c r="EF122" s="1168"/>
      <c r="EG122" s="1168"/>
      <c r="EH122" s="1168"/>
      <c r="EI122" s="1170"/>
      <c r="EJ122" s="1170"/>
      <c r="EK122" s="1170"/>
      <c r="EL122" s="1170"/>
      <c r="EM122" s="1170"/>
      <c r="EN122" s="1170"/>
      <c r="EO122" s="1170"/>
      <c r="EP122" s="1170"/>
      <c r="EQ122" s="1170"/>
      <c r="ER122" s="1170"/>
      <c r="ES122" s="1333"/>
      <c r="ET122" s="1333"/>
      <c r="EU122" s="1333"/>
      <c r="EV122" s="1333"/>
      <c r="EW122" s="1333"/>
      <c r="EX122" s="1333"/>
      <c r="EY122" s="1333"/>
      <c r="EZ122" s="1333"/>
      <c r="FA122" s="1333"/>
      <c r="FB122" s="1333"/>
      <c r="FC122" s="1333"/>
      <c r="FD122" s="1333"/>
      <c r="FE122" s="1333"/>
      <c r="FF122" s="1333"/>
      <c r="FG122" s="1333"/>
      <c r="FH122" s="1333"/>
      <c r="FI122" s="1333"/>
      <c r="FJ122" s="1333"/>
      <c r="FK122" s="1333"/>
      <c r="FL122" s="1333"/>
      <c r="FM122" s="1333"/>
      <c r="FN122" s="1333"/>
      <c r="FO122" s="1333"/>
      <c r="FP122" s="1333"/>
      <c r="FQ122" s="1333"/>
      <c r="FR122" s="1333"/>
      <c r="FS122" s="1333"/>
      <c r="FT122" s="1333"/>
      <c r="FU122" s="1333"/>
      <c r="FV122" s="1333"/>
      <c r="FW122" s="1333"/>
      <c r="FX122" s="1333"/>
      <c r="FY122" s="1333"/>
      <c r="FZ122" s="1333"/>
      <c r="GA122" s="1333"/>
      <c r="GB122" s="1333"/>
      <c r="GC122" s="1333"/>
      <c r="GD122" s="1333"/>
      <c r="GE122" s="1333"/>
      <c r="GF122" s="1333"/>
      <c r="GG122" s="1333"/>
      <c r="GH122" s="1333"/>
      <c r="GI122" s="1333"/>
      <c r="GJ122" s="1333"/>
      <c r="GK122" s="1333"/>
      <c r="GL122" s="1333"/>
      <c r="GM122" s="1333"/>
      <c r="GN122" s="1333"/>
      <c r="GO122" s="1333"/>
      <c r="GP122" s="1333"/>
      <c r="GQ122" s="1333"/>
      <c r="GR122" s="1333"/>
      <c r="GS122" s="1333"/>
      <c r="GT122" s="1333"/>
      <c r="GU122" s="1333"/>
      <c r="GV122" s="1333"/>
      <c r="GW122" s="1333"/>
      <c r="GX122" s="1333"/>
    </row>
    <row r="123" spans="1:206" s="607" customFormat="1">
      <c r="A123" s="607">
        <f t="shared" si="2"/>
        <v>1980</v>
      </c>
      <c r="B123" s="607">
        <f t="shared" si="3"/>
        <v>3</v>
      </c>
      <c r="C123" s="1173">
        <v>29403</v>
      </c>
      <c r="D123" s="1709"/>
      <c r="E123" s="1117"/>
      <c r="F123" s="1117"/>
      <c r="G123" s="1117"/>
      <c r="H123" s="1117"/>
      <c r="I123" s="959">
        <v>558.31371132606057</v>
      </c>
      <c r="J123" s="959">
        <v>643.45652173910003</v>
      </c>
      <c r="K123" s="960"/>
      <c r="L123" s="1121"/>
      <c r="M123" s="916"/>
      <c r="N123" s="916"/>
      <c r="O123" s="1332"/>
      <c r="P123" s="1332"/>
      <c r="Q123" s="1332"/>
      <c r="R123" s="1332"/>
      <c r="S123" s="1332"/>
      <c r="T123" s="1332"/>
      <c r="U123" s="1120"/>
      <c r="V123" s="1120"/>
      <c r="W123" s="1120"/>
      <c r="X123" s="1120"/>
      <c r="Y123" s="1119"/>
      <c r="Z123" s="1119"/>
      <c r="AA123" s="1119"/>
      <c r="AB123" s="1119"/>
      <c r="AC123" s="1178"/>
      <c r="AD123" s="1178"/>
      <c r="AE123" s="1178"/>
      <c r="AF123" s="1178"/>
      <c r="AG123" s="1178"/>
      <c r="AH123" s="1178"/>
      <c r="AI123" s="1178"/>
      <c r="AJ123" s="1178"/>
      <c r="AK123" s="919"/>
      <c r="AL123" s="1104"/>
      <c r="AM123" s="919"/>
      <c r="AN123" s="1710"/>
      <c r="AO123" s="919"/>
      <c r="AP123" s="919"/>
      <c r="AS123" s="1167"/>
      <c r="AT123" s="1167"/>
      <c r="AU123" s="1168"/>
      <c r="AV123" s="1168"/>
      <c r="AW123" s="1169"/>
      <c r="AX123" s="1169"/>
      <c r="AY123" s="1169"/>
      <c r="AZ123" s="1169"/>
      <c r="BA123" s="1799" t="s">
        <v>3</v>
      </c>
      <c r="BB123" s="1802">
        <v>2014</v>
      </c>
      <c r="BC123" s="1799" t="s">
        <v>18</v>
      </c>
      <c r="BD123" s="1799">
        <v>7</v>
      </c>
      <c r="BE123" s="1800">
        <v>42107114</v>
      </c>
      <c r="BF123" s="1801">
        <v>1.4999999999999999E-2</v>
      </c>
      <c r="BG123" s="1799"/>
      <c r="BH123" s="1799" t="s">
        <v>0</v>
      </c>
      <c r="BI123" s="1799" t="s">
        <v>311</v>
      </c>
      <c r="BJ123" s="1799" t="s">
        <v>22</v>
      </c>
      <c r="BK123" s="1799">
        <v>5</v>
      </c>
      <c r="BL123" s="1800">
        <v>366243674.89516747</v>
      </c>
      <c r="BM123" s="1801">
        <v>7.8601635877501977E-2</v>
      </c>
      <c r="BN123" s="1799">
        <v>2006</v>
      </c>
      <c r="BO123" s="1684"/>
      <c r="BP123" s="1696"/>
      <c r="BQ123" s="1169"/>
      <c r="BR123" s="1169"/>
      <c r="BS123" s="1169"/>
      <c r="BT123" s="1169"/>
      <c r="BU123" s="1169"/>
      <c r="BV123" s="1169"/>
      <c r="BW123" s="1169"/>
      <c r="BX123" s="1169"/>
      <c r="BY123" s="1169"/>
      <c r="BZ123" s="1169"/>
      <c r="CA123" s="1169"/>
      <c r="CB123" s="1169"/>
      <c r="CC123" s="1169"/>
      <c r="CD123" s="1169"/>
      <c r="CE123" s="1169"/>
      <c r="CF123" s="1169"/>
      <c r="CG123" s="1169"/>
      <c r="CH123" s="1169"/>
      <c r="CI123" s="1169"/>
      <c r="CJ123" s="1169"/>
      <c r="CK123" s="1169"/>
      <c r="CL123" s="1169"/>
      <c r="CM123" s="1169"/>
      <c r="CN123" s="1169"/>
      <c r="CO123" s="1169"/>
      <c r="CP123" s="1169"/>
      <c r="CQ123" s="1169"/>
      <c r="CR123" s="1169"/>
      <c r="CS123" s="1169"/>
      <c r="CT123" s="1169"/>
      <c r="CU123" s="1169"/>
      <c r="CV123" s="1169"/>
      <c r="CW123" s="1169"/>
      <c r="CX123" s="1169"/>
      <c r="CY123" s="1169"/>
      <c r="CZ123" s="1169"/>
      <c r="DA123" s="1168"/>
      <c r="DB123" s="1168"/>
      <c r="DC123" s="1168"/>
      <c r="DD123" s="1168"/>
      <c r="DE123" s="1168"/>
      <c r="DF123" s="1168"/>
      <c r="DG123" s="1168"/>
      <c r="DH123" s="1168"/>
      <c r="DI123" s="1168"/>
      <c r="DJ123" s="1168"/>
      <c r="DK123" s="1168"/>
      <c r="DL123" s="1168"/>
      <c r="DM123" s="1168"/>
      <c r="DN123" s="1168"/>
      <c r="DO123" s="1168"/>
      <c r="DP123" s="1168"/>
      <c r="DQ123" s="1168"/>
      <c r="DR123" s="1168"/>
      <c r="DS123" s="1168"/>
      <c r="DT123" s="1168"/>
      <c r="DU123" s="1168"/>
      <c r="DV123" s="1168"/>
      <c r="DW123" s="1168"/>
      <c r="DX123" s="1168"/>
      <c r="DY123" s="1168"/>
      <c r="DZ123" s="1168"/>
      <c r="EA123" s="1168"/>
      <c r="EB123" s="1168"/>
      <c r="EC123" s="1168"/>
      <c r="ED123" s="1168"/>
      <c r="EE123" s="1168"/>
      <c r="EF123" s="1168"/>
      <c r="EG123" s="1168"/>
      <c r="EH123" s="1168"/>
      <c r="EI123" s="1170"/>
      <c r="EJ123" s="1170"/>
      <c r="EK123" s="1170"/>
      <c r="EL123" s="1170"/>
      <c r="EM123" s="1170"/>
      <c r="EN123" s="1170"/>
      <c r="EO123" s="1170"/>
      <c r="EP123" s="1170"/>
      <c r="EQ123" s="1170"/>
      <c r="ER123" s="1170"/>
      <c r="ES123" s="1333"/>
      <c r="ET123" s="1333"/>
      <c r="EU123" s="1333"/>
      <c r="EV123" s="1333"/>
      <c r="EW123" s="1333"/>
      <c r="EX123" s="1333"/>
      <c r="EY123" s="1333"/>
      <c r="EZ123" s="1333"/>
      <c r="FA123" s="1333"/>
      <c r="FB123" s="1333"/>
      <c r="FC123" s="1333"/>
      <c r="FD123" s="1333"/>
      <c r="FE123" s="1333"/>
      <c r="FF123" s="1333"/>
      <c r="FG123" s="1333"/>
      <c r="FH123" s="1333"/>
      <c r="FI123" s="1333"/>
      <c r="FJ123" s="1333"/>
      <c r="FK123" s="1333"/>
      <c r="FL123" s="1333"/>
      <c r="FM123" s="1333"/>
      <c r="FN123" s="1333"/>
      <c r="FO123" s="1333"/>
      <c r="FP123" s="1333"/>
      <c r="FQ123" s="1333"/>
      <c r="FR123" s="1333"/>
      <c r="FS123" s="1333"/>
      <c r="FT123" s="1333"/>
      <c r="FU123" s="1333"/>
      <c r="FV123" s="1333"/>
      <c r="FW123" s="1333"/>
      <c r="FX123" s="1333"/>
      <c r="FY123" s="1333"/>
      <c r="FZ123" s="1333"/>
      <c r="GA123" s="1333"/>
      <c r="GB123" s="1333"/>
      <c r="GC123" s="1333"/>
      <c r="GD123" s="1333"/>
      <c r="GE123" s="1333"/>
      <c r="GF123" s="1333"/>
      <c r="GG123" s="1333"/>
      <c r="GH123" s="1333"/>
      <c r="GI123" s="1333"/>
      <c r="GJ123" s="1333"/>
      <c r="GK123" s="1333"/>
      <c r="GL123" s="1333"/>
      <c r="GM123" s="1333"/>
      <c r="GN123" s="1333"/>
      <c r="GO123" s="1333"/>
      <c r="GP123" s="1333"/>
      <c r="GQ123" s="1333"/>
      <c r="GR123" s="1333"/>
      <c r="GS123" s="1333"/>
      <c r="GT123" s="1333"/>
      <c r="GU123" s="1333"/>
      <c r="GV123" s="1333"/>
      <c r="GW123" s="1333"/>
      <c r="GX123" s="1333"/>
    </row>
    <row r="124" spans="1:206" s="607" customFormat="1">
      <c r="A124" s="607">
        <f t="shared" si="2"/>
        <v>1980</v>
      </c>
      <c r="B124" s="607">
        <f t="shared" si="3"/>
        <v>3</v>
      </c>
      <c r="C124" s="1173">
        <v>29434</v>
      </c>
      <c r="D124" s="957"/>
      <c r="E124" s="920"/>
      <c r="F124" s="920"/>
      <c r="G124" s="920"/>
      <c r="H124" s="920"/>
      <c r="I124" s="954">
        <v>538.19154841374996</v>
      </c>
      <c r="J124" s="954">
        <v>627.31624999999997</v>
      </c>
      <c r="K124" s="954"/>
      <c r="L124" s="920"/>
      <c r="M124" s="917"/>
      <c r="N124" s="917"/>
      <c r="O124" s="1334"/>
      <c r="P124" s="1334"/>
      <c r="Q124" s="1334"/>
      <c r="R124" s="1334"/>
      <c r="S124" s="1334"/>
      <c r="T124" s="1334"/>
      <c r="U124" s="920"/>
      <c r="V124" s="920"/>
      <c r="W124" s="920"/>
      <c r="X124" s="920"/>
      <c r="Y124" s="920"/>
      <c r="Z124" s="920"/>
      <c r="AA124" s="920"/>
      <c r="AB124" s="920"/>
      <c r="AC124" s="920"/>
      <c r="AD124" s="920"/>
      <c r="AE124" s="920"/>
      <c r="AF124" s="920"/>
      <c r="AG124" s="920"/>
      <c r="AH124" s="920"/>
      <c r="AI124" s="920"/>
      <c r="AJ124" s="920"/>
      <c r="AK124" s="920"/>
      <c r="AL124" s="1105"/>
      <c r="AM124" s="920"/>
      <c r="AN124" s="1711"/>
      <c r="AO124" s="920"/>
      <c r="AP124" s="920"/>
      <c r="AS124" s="1167"/>
      <c r="AT124" s="1167"/>
      <c r="AU124" s="1168"/>
      <c r="AV124" s="1168"/>
      <c r="AW124" s="1169"/>
      <c r="AX124" s="1169"/>
      <c r="AY124" s="1169"/>
      <c r="AZ124" s="1169"/>
      <c r="BA124" s="1799" t="s">
        <v>3</v>
      </c>
      <c r="BB124" s="1802">
        <v>2014</v>
      </c>
      <c r="BC124" s="1799" t="s">
        <v>51</v>
      </c>
      <c r="BD124" s="1799">
        <v>8</v>
      </c>
      <c r="BE124" s="1800">
        <v>39907818</v>
      </c>
      <c r="BF124" s="1801">
        <v>1.4999999999999999E-2</v>
      </c>
      <c r="BG124" s="1799"/>
      <c r="BH124" s="1799" t="s">
        <v>0</v>
      </c>
      <c r="BI124" s="1799" t="s">
        <v>311</v>
      </c>
      <c r="BJ124" s="1799" t="s">
        <v>44</v>
      </c>
      <c r="BK124" s="1799">
        <v>6</v>
      </c>
      <c r="BL124" s="1800">
        <v>333546279.11351848</v>
      </c>
      <c r="BM124" s="1801">
        <v>7.1584261999011398E-2</v>
      </c>
      <c r="BN124" s="1799">
        <v>2006</v>
      </c>
      <c r="BO124" s="1684"/>
      <c r="BP124" s="1696"/>
      <c r="BQ124" s="1169"/>
      <c r="BR124" s="1169"/>
      <c r="BS124" s="1169"/>
      <c r="BT124" s="1169"/>
      <c r="BU124" s="1169"/>
      <c r="BV124" s="1169"/>
      <c r="BW124" s="1169"/>
      <c r="BX124" s="1169"/>
      <c r="BY124" s="1169"/>
      <c r="BZ124" s="1169"/>
      <c r="CA124" s="1169"/>
      <c r="CB124" s="1169"/>
      <c r="CC124" s="1169"/>
      <c r="CD124" s="1169"/>
      <c r="CE124" s="1169"/>
      <c r="CF124" s="1169"/>
      <c r="CG124" s="1169"/>
      <c r="CH124" s="1169"/>
      <c r="CI124" s="1169"/>
      <c r="CJ124" s="1169"/>
      <c r="CK124" s="1169"/>
      <c r="CL124" s="1169"/>
      <c r="CM124" s="1169"/>
      <c r="CN124" s="1169"/>
      <c r="CO124" s="1169"/>
      <c r="CP124" s="1169"/>
      <c r="CQ124" s="1169"/>
      <c r="CR124" s="1169"/>
      <c r="CS124" s="1169"/>
      <c r="CT124" s="1169"/>
      <c r="CU124" s="1169"/>
      <c r="CV124" s="1169"/>
      <c r="CW124" s="1169"/>
      <c r="CX124" s="1169"/>
      <c r="CY124" s="1169"/>
      <c r="CZ124" s="1169"/>
      <c r="DA124" s="1168"/>
      <c r="DB124" s="1168"/>
      <c r="DC124" s="1168"/>
      <c r="DD124" s="1168"/>
      <c r="DE124" s="1168"/>
      <c r="DF124" s="1168"/>
      <c r="DG124" s="1168"/>
      <c r="DH124" s="1168"/>
      <c r="DI124" s="1168"/>
      <c r="DJ124" s="1168"/>
      <c r="DK124" s="1168"/>
      <c r="DL124" s="1168"/>
      <c r="DM124" s="1168"/>
      <c r="DN124" s="1168"/>
      <c r="DO124" s="1168"/>
      <c r="DP124" s="1168"/>
      <c r="DQ124" s="1168"/>
      <c r="DR124" s="1168"/>
      <c r="DS124" s="1168"/>
      <c r="DT124" s="1168"/>
      <c r="DU124" s="1168"/>
      <c r="DV124" s="1168"/>
      <c r="DW124" s="1168"/>
      <c r="DX124" s="1168"/>
      <c r="DY124" s="1168"/>
      <c r="DZ124" s="1168"/>
      <c r="EA124" s="1168"/>
      <c r="EB124" s="1168"/>
      <c r="EC124" s="1168"/>
      <c r="ED124" s="1168"/>
      <c r="EE124" s="1168"/>
      <c r="EF124" s="1168"/>
      <c r="EG124" s="1168"/>
      <c r="EH124" s="1168"/>
      <c r="EI124" s="1170"/>
      <c r="EJ124" s="1170"/>
      <c r="EK124" s="1170"/>
      <c r="EL124" s="1170"/>
      <c r="EM124" s="1170"/>
      <c r="EN124" s="1170"/>
      <c r="EO124" s="1170"/>
      <c r="EP124" s="1170"/>
      <c r="EQ124" s="1170"/>
      <c r="ER124" s="1170"/>
      <c r="ES124" s="1333"/>
      <c r="ET124" s="1333"/>
      <c r="EU124" s="1333"/>
      <c r="EV124" s="1333"/>
      <c r="EW124" s="1333"/>
      <c r="EX124" s="1333"/>
      <c r="EY124" s="1333"/>
      <c r="EZ124" s="1333"/>
      <c r="FA124" s="1333"/>
      <c r="FB124" s="1333"/>
      <c r="FC124" s="1333"/>
      <c r="FD124" s="1333"/>
      <c r="FE124" s="1333"/>
      <c r="FF124" s="1333"/>
      <c r="FG124" s="1333"/>
      <c r="FH124" s="1333"/>
      <c r="FI124" s="1333"/>
      <c r="FJ124" s="1333"/>
      <c r="FK124" s="1333"/>
      <c r="FL124" s="1333"/>
      <c r="FM124" s="1333"/>
      <c r="FN124" s="1333"/>
      <c r="FO124" s="1333"/>
      <c r="FP124" s="1333"/>
      <c r="FQ124" s="1333"/>
      <c r="FR124" s="1333"/>
      <c r="FS124" s="1333"/>
      <c r="FT124" s="1333"/>
      <c r="FU124" s="1333"/>
      <c r="FV124" s="1333"/>
      <c r="FW124" s="1333"/>
      <c r="FX124" s="1333"/>
      <c r="FY124" s="1333"/>
      <c r="FZ124" s="1333"/>
      <c r="GA124" s="1333"/>
      <c r="GB124" s="1333"/>
      <c r="GC124" s="1333"/>
      <c r="GD124" s="1333"/>
      <c r="GE124" s="1333"/>
      <c r="GF124" s="1333"/>
      <c r="GG124" s="1333"/>
      <c r="GH124" s="1333"/>
      <c r="GI124" s="1333"/>
      <c r="GJ124" s="1333"/>
      <c r="GK124" s="1333"/>
      <c r="GL124" s="1333"/>
      <c r="GM124" s="1333"/>
      <c r="GN124" s="1333"/>
      <c r="GO124" s="1333"/>
      <c r="GP124" s="1333"/>
      <c r="GQ124" s="1333"/>
      <c r="GR124" s="1333"/>
      <c r="GS124" s="1333"/>
      <c r="GT124" s="1333"/>
      <c r="GU124" s="1333"/>
      <c r="GV124" s="1333"/>
      <c r="GW124" s="1333"/>
      <c r="GX124" s="1333"/>
    </row>
    <row r="125" spans="1:206" s="607" customFormat="1">
      <c r="A125" s="607">
        <f t="shared" si="2"/>
        <v>1980</v>
      </c>
      <c r="B125" s="607">
        <f t="shared" si="3"/>
        <v>3</v>
      </c>
      <c r="C125" s="1173">
        <v>29465</v>
      </c>
      <c r="D125" s="1709"/>
      <c r="E125" s="1117"/>
      <c r="F125" s="1117"/>
      <c r="G125" s="1117"/>
      <c r="H125" s="1117"/>
      <c r="I125" s="959">
        <v>577.27564813634024</v>
      </c>
      <c r="J125" s="959">
        <v>674.83522727269997</v>
      </c>
      <c r="K125" s="960"/>
      <c r="L125" s="1121"/>
      <c r="M125" s="916"/>
      <c r="N125" s="916"/>
      <c r="O125" s="1332"/>
      <c r="P125" s="1332"/>
      <c r="Q125" s="1332"/>
      <c r="R125" s="1332"/>
      <c r="S125" s="1332"/>
      <c r="T125" s="1332"/>
      <c r="U125" s="1120"/>
      <c r="V125" s="1120"/>
      <c r="W125" s="1120"/>
      <c r="X125" s="1120"/>
      <c r="Y125" s="1119"/>
      <c r="Z125" s="1119"/>
      <c r="AA125" s="1119"/>
      <c r="AB125" s="1119"/>
      <c r="AC125" s="1178"/>
      <c r="AD125" s="1178"/>
      <c r="AE125" s="1178"/>
      <c r="AF125" s="1178"/>
      <c r="AG125" s="1178"/>
      <c r="AH125" s="1178"/>
      <c r="AI125" s="1178"/>
      <c r="AJ125" s="1178"/>
      <c r="AK125" s="919"/>
      <c r="AL125" s="1104"/>
      <c r="AM125" s="919"/>
      <c r="AN125" s="1710"/>
      <c r="AO125" s="919"/>
      <c r="AP125" s="919"/>
      <c r="AS125" s="1167"/>
      <c r="AT125" s="1167"/>
      <c r="AU125" s="1168"/>
      <c r="AV125" s="1168"/>
      <c r="AW125" s="1169"/>
      <c r="AX125" s="1169"/>
      <c r="AY125" s="1169"/>
      <c r="AZ125" s="1169"/>
      <c r="BA125" s="1799" t="s">
        <v>3</v>
      </c>
      <c r="BB125" s="1802">
        <v>2014</v>
      </c>
      <c r="BC125" s="1799" t="s">
        <v>48</v>
      </c>
      <c r="BD125" s="1799">
        <v>9</v>
      </c>
      <c r="BE125" s="1800">
        <v>31763987</v>
      </c>
      <c r="BF125" s="1801">
        <v>1.2E-2</v>
      </c>
      <c r="BG125" s="1799"/>
      <c r="BH125" s="1799" t="s">
        <v>0</v>
      </c>
      <c r="BI125" s="1799" t="s">
        <v>311</v>
      </c>
      <c r="BJ125" s="1799" t="s">
        <v>447</v>
      </c>
      <c r="BK125" s="1799">
        <v>7</v>
      </c>
      <c r="BL125" s="1800">
        <v>262105789.13041076</v>
      </c>
      <c r="BM125" s="1801">
        <v>5.6252012555604955E-2</v>
      </c>
      <c r="BN125" s="1799">
        <v>2006</v>
      </c>
      <c r="BO125" s="1684"/>
      <c r="BP125" s="1697"/>
      <c r="BQ125" s="1169"/>
      <c r="BR125" s="1169"/>
      <c r="BS125" s="1169"/>
      <c r="BT125" s="1169"/>
      <c r="BU125" s="1169"/>
      <c r="BV125" s="1169"/>
      <c r="BW125" s="1169"/>
      <c r="BX125" s="1169"/>
      <c r="BY125" s="1169"/>
      <c r="BZ125" s="1169"/>
      <c r="CA125" s="1169"/>
      <c r="CB125" s="1169"/>
      <c r="CC125" s="1169"/>
      <c r="CD125" s="1169"/>
      <c r="CE125" s="1169"/>
      <c r="CF125" s="1169"/>
      <c r="CG125" s="1169"/>
      <c r="CH125" s="1169"/>
      <c r="CI125" s="1169"/>
      <c r="CJ125" s="1169"/>
      <c r="CK125" s="1169"/>
      <c r="CL125" s="1169"/>
      <c r="CM125" s="1169"/>
      <c r="CN125" s="1169"/>
      <c r="CO125" s="1169"/>
      <c r="CP125" s="1169"/>
      <c r="CQ125" s="1169"/>
      <c r="CR125" s="1169"/>
      <c r="CS125" s="1169"/>
      <c r="CT125" s="1169"/>
      <c r="CU125" s="1169"/>
      <c r="CV125" s="1169"/>
      <c r="CW125" s="1169"/>
      <c r="CX125" s="1169"/>
      <c r="CY125" s="1169"/>
      <c r="CZ125" s="1169"/>
      <c r="DA125" s="1168"/>
      <c r="DB125" s="1168"/>
      <c r="DC125" s="1168"/>
      <c r="DD125" s="1168"/>
      <c r="DE125" s="1168"/>
      <c r="DF125" s="1168"/>
      <c r="DG125" s="1168"/>
      <c r="DH125" s="1168"/>
      <c r="DI125" s="1168"/>
      <c r="DJ125" s="1168"/>
      <c r="DK125" s="1168"/>
      <c r="DL125" s="1168"/>
      <c r="DM125" s="1168"/>
      <c r="DN125" s="1168"/>
      <c r="DO125" s="1168"/>
      <c r="DP125" s="1168"/>
      <c r="DQ125" s="1168"/>
      <c r="DR125" s="1168"/>
      <c r="DS125" s="1168"/>
      <c r="DT125" s="1168"/>
      <c r="DU125" s="1168"/>
      <c r="DV125" s="1168"/>
      <c r="DW125" s="1168"/>
      <c r="DX125" s="1168"/>
      <c r="DY125" s="1168"/>
      <c r="DZ125" s="1168"/>
      <c r="EA125" s="1168"/>
      <c r="EB125" s="1168"/>
      <c r="EC125" s="1168"/>
      <c r="ED125" s="1168"/>
      <c r="EE125" s="1168"/>
      <c r="EF125" s="1168"/>
      <c r="EG125" s="1168"/>
      <c r="EH125" s="1168"/>
      <c r="EI125" s="1170"/>
      <c r="EJ125" s="1170"/>
      <c r="EK125" s="1170"/>
      <c r="EL125" s="1170"/>
      <c r="EM125" s="1170"/>
      <c r="EN125" s="1170"/>
      <c r="EO125" s="1170"/>
      <c r="EP125" s="1170"/>
      <c r="EQ125" s="1170"/>
      <c r="ER125" s="1170"/>
      <c r="ES125" s="1333"/>
      <c r="ET125" s="1333"/>
      <c r="EU125" s="1333"/>
      <c r="EV125" s="1333"/>
      <c r="EW125" s="1333"/>
      <c r="EX125" s="1333"/>
      <c r="EY125" s="1333"/>
      <c r="EZ125" s="1333"/>
      <c r="FA125" s="1333"/>
      <c r="FB125" s="1333"/>
      <c r="FC125" s="1333"/>
      <c r="FD125" s="1333"/>
      <c r="FE125" s="1333"/>
      <c r="FF125" s="1333"/>
      <c r="FG125" s="1333"/>
      <c r="FH125" s="1333"/>
      <c r="FI125" s="1333"/>
      <c r="FJ125" s="1333"/>
      <c r="FK125" s="1333"/>
      <c r="FL125" s="1333"/>
      <c r="FM125" s="1333"/>
      <c r="FN125" s="1333"/>
      <c r="FO125" s="1333"/>
      <c r="FP125" s="1333"/>
      <c r="FQ125" s="1333"/>
      <c r="FR125" s="1333"/>
      <c r="FS125" s="1333"/>
      <c r="FT125" s="1333"/>
      <c r="FU125" s="1333"/>
      <c r="FV125" s="1333"/>
      <c r="FW125" s="1333"/>
      <c r="FX125" s="1333"/>
      <c r="FY125" s="1333"/>
      <c r="FZ125" s="1333"/>
      <c r="GA125" s="1333"/>
      <c r="GB125" s="1333"/>
      <c r="GC125" s="1333"/>
      <c r="GD125" s="1333"/>
      <c r="GE125" s="1333"/>
      <c r="GF125" s="1333"/>
      <c r="GG125" s="1333"/>
      <c r="GH125" s="1333"/>
      <c r="GI125" s="1333"/>
      <c r="GJ125" s="1333"/>
      <c r="GK125" s="1333"/>
      <c r="GL125" s="1333"/>
      <c r="GM125" s="1333"/>
      <c r="GN125" s="1333"/>
      <c r="GO125" s="1333"/>
      <c r="GP125" s="1333"/>
      <c r="GQ125" s="1333"/>
      <c r="GR125" s="1333"/>
      <c r="GS125" s="1333"/>
      <c r="GT125" s="1333"/>
      <c r="GU125" s="1333"/>
      <c r="GV125" s="1333"/>
      <c r="GW125" s="1333"/>
      <c r="GX125" s="1333"/>
    </row>
    <row r="126" spans="1:206" s="607" customFormat="1">
      <c r="A126" s="607">
        <f t="shared" si="2"/>
        <v>1980</v>
      </c>
      <c r="B126" s="607">
        <f t="shared" si="3"/>
        <v>4</v>
      </c>
      <c r="C126" s="1173">
        <v>29495</v>
      </c>
      <c r="D126" s="957"/>
      <c r="E126" s="920"/>
      <c r="F126" s="920"/>
      <c r="G126" s="920"/>
      <c r="H126" s="920"/>
      <c r="I126" s="954">
        <v>563.06145364781491</v>
      </c>
      <c r="J126" s="954">
        <v>660.2456521739</v>
      </c>
      <c r="K126" s="954"/>
      <c r="L126" s="920"/>
      <c r="M126" s="917"/>
      <c r="N126" s="917"/>
      <c r="O126" s="1334"/>
      <c r="P126" s="1334"/>
      <c r="Q126" s="1334"/>
      <c r="R126" s="1334"/>
      <c r="S126" s="1334"/>
      <c r="T126" s="1334"/>
      <c r="U126" s="920"/>
      <c r="V126" s="920"/>
      <c r="W126" s="920"/>
      <c r="X126" s="920"/>
      <c r="Y126" s="920"/>
      <c r="Z126" s="920"/>
      <c r="AA126" s="920"/>
      <c r="AB126" s="920"/>
      <c r="AC126" s="920"/>
      <c r="AD126" s="920"/>
      <c r="AE126" s="920"/>
      <c r="AF126" s="920"/>
      <c r="AG126" s="920"/>
      <c r="AH126" s="920"/>
      <c r="AI126" s="920"/>
      <c r="AJ126" s="920"/>
      <c r="AK126" s="920"/>
      <c r="AL126" s="1105"/>
      <c r="AM126" s="920"/>
      <c r="AN126" s="1711"/>
      <c r="AO126" s="920"/>
      <c r="AP126" s="920"/>
      <c r="AS126" s="1167"/>
      <c r="AT126" s="1167"/>
      <c r="AU126" s="1168"/>
      <c r="AV126" s="1168"/>
      <c r="AW126" s="1169"/>
      <c r="AX126" s="1169"/>
      <c r="AY126" s="1169"/>
      <c r="AZ126" s="1169"/>
      <c r="BA126" s="1799" t="s">
        <v>3</v>
      </c>
      <c r="BB126" s="1802">
        <v>2014</v>
      </c>
      <c r="BC126" s="1799" t="s">
        <v>583</v>
      </c>
      <c r="BD126" s="1799">
        <v>10</v>
      </c>
      <c r="BE126" s="1800">
        <v>28976692</v>
      </c>
      <c r="BF126" s="1801">
        <v>1.0999999999999999E-2</v>
      </c>
      <c r="BG126" s="1799"/>
      <c r="BH126" s="1799" t="s">
        <v>0</v>
      </c>
      <c r="BI126" s="1799" t="s">
        <v>311</v>
      </c>
      <c r="BJ126" s="1799" t="s">
        <v>24</v>
      </c>
      <c r="BK126" s="1799">
        <v>8</v>
      </c>
      <c r="BL126" s="1800">
        <v>104447621.62512727</v>
      </c>
      <c r="BM126" s="1801">
        <v>2.2416097494651042E-2</v>
      </c>
      <c r="BN126" s="1799">
        <v>2006</v>
      </c>
      <c r="BO126" s="1684"/>
      <c r="BP126" s="1696"/>
      <c r="BQ126" s="1169"/>
      <c r="BR126" s="1169"/>
      <c r="BS126" s="1169"/>
      <c r="BT126" s="1169"/>
      <c r="BU126" s="1169"/>
      <c r="BV126" s="1169"/>
      <c r="BW126" s="1169"/>
      <c r="BX126" s="1169"/>
      <c r="BY126" s="1169"/>
      <c r="BZ126" s="1169"/>
      <c r="CA126" s="1169"/>
      <c r="CB126" s="1169"/>
      <c r="CC126" s="1169"/>
      <c r="CD126" s="1169"/>
      <c r="CE126" s="1169"/>
      <c r="CF126" s="1169"/>
      <c r="CG126" s="1169"/>
      <c r="CH126" s="1169"/>
      <c r="CI126" s="1169"/>
      <c r="CJ126" s="1169"/>
      <c r="CK126" s="1169"/>
      <c r="CL126" s="1169"/>
      <c r="CM126" s="1169"/>
      <c r="CN126" s="1169"/>
      <c r="CO126" s="1169"/>
      <c r="CP126" s="1169"/>
      <c r="CQ126" s="1169"/>
      <c r="CR126" s="1169"/>
      <c r="CS126" s="1169"/>
      <c r="CT126" s="1169"/>
      <c r="CU126" s="1169"/>
      <c r="CV126" s="1169"/>
      <c r="CW126" s="1169"/>
      <c r="CX126" s="1169"/>
      <c r="CY126" s="1169"/>
      <c r="CZ126" s="1169"/>
      <c r="DA126" s="1168"/>
      <c r="DB126" s="1168"/>
      <c r="DC126" s="1168"/>
      <c r="DD126" s="1168"/>
      <c r="DE126" s="1168"/>
      <c r="DF126" s="1168"/>
      <c r="DG126" s="1168"/>
      <c r="DH126" s="1168"/>
      <c r="DI126" s="1168"/>
      <c r="DJ126" s="1168"/>
      <c r="DK126" s="1168"/>
      <c r="DL126" s="1168"/>
      <c r="DM126" s="1168"/>
      <c r="DN126" s="1168"/>
      <c r="DO126" s="1168"/>
      <c r="DP126" s="1168"/>
      <c r="DQ126" s="1168"/>
      <c r="DR126" s="1168"/>
      <c r="DS126" s="1168"/>
      <c r="DT126" s="1168"/>
      <c r="DU126" s="1168"/>
      <c r="DV126" s="1168"/>
      <c r="DW126" s="1168"/>
      <c r="DX126" s="1168"/>
      <c r="DY126" s="1168"/>
      <c r="DZ126" s="1168"/>
      <c r="EA126" s="1168"/>
      <c r="EB126" s="1168"/>
      <c r="EC126" s="1168"/>
      <c r="ED126" s="1168"/>
      <c r="EE126" s="1168"/>
      <c r="EF126" s="1168"/>
      <c r="EG126" s="1168"/>
      <c r="EH126" s="1168"/>
      <c r="EI126" s="1170"/>
      <c r="EJ126" s="1170"/>
      <c r="EK126" s="1170"/>
      <c r="EL126" s="1170"/>
      <c r="EM126" s="1170"/>
      <c r="EN126" s="1170"/>
      <c r="EO126" s="1170"/>
      <c r="EP126" s="1170"/>
      <c r="EQ126" s="1170"/>
      <c r="ER126" s="1170"/>
      <c r="ES126" s="1333"/>
      <c r="ET126" s="1333"/>
      <c r="EU126" s="1333"/>
      <c r="EV126" s="1333"/>
      <c r="EW126" s="1333"/>
      <c r="EX126" s="1333"/>
      <c r="EY126" s="1333"/>
      <c r="EZ126" s="1333"/>
      <c r="FA126" s="1333"/>
      <c r="FB126" s="1333"/>
      <c r="FC126" s="1333"/>
      <c r="FD126" s="1333"/>
      <c r="FE126" s="1333"/>
      <c r="FF126" s="1333"/>
      <c r="FG126" s="1333"/>
      <c r="FH126" s="1333"/>
      <c r="FI126" s="1333"/>
      <c r="FJ126" s="1333"/>
      <c r="FK126" s="1333"/>
      <c r="FL126" s="1333"/>
      <c r="FM126" s="1333"/>
      <c r="FN126" s="1333"/>
      <c r="FO126" s="1333"/>
      <c r="FP126" s="1333"/>
      <c r="FQ126" s="1333"/>
      <c r="FR126" s="1333"/>
      <c r="FS126" s="1333"/>
      <c r="FT126" s="1333"/>
      <c r="FU126" s="1333"/>
      <c r="FV126" s="1333"/>
      <c r="FW126" s="1333"/>
      <c r="FX126" s="1333"/>
      <c r="FY126" s="1333"/>
      <c r="FZ126" s="1333"/>
      <c r="GA126" s="1333"/>
      <c r="GB126" s="1333"/>
      <c r="GC126" s="1333"/>
      <c r="GD126" s="1333"/>
      <c r="GE126" s="1333"/>
      <c r="GF126" s="1333"/>
      <c r="GG126" s="1333"/>
      <c r="GH126" s="1333"/>
      <c r="GI126" s="1333"/>
      <c r="GJ126" s="1333"/>
      <c r="GK126" s="1333"/>
      <c r="GL126" s="1333"/>
      <c r="GM126" s="1333"/>
      <c r="GN126" s="1333"/>
      <c r="GO126" s="1333"/>
      <c r="GP126" s="1333"/>
      <c r="GQ126" s="1333"/>
      <c r="GR126" s="1333"/>
      <c r="GS126" s="1333"/>
      <c r="GT126" s="1333"/>
      <c r="GU126" s="1333"/>
      <c r="GV126" s="1333"/>
      <c r="GW126" s="1333"/>
      <c r="GX126" s="1333"/>
    </row>
    <row r="127" spans="1:206" s="607" customFormat="1">
      <c r="A127" s="607">
        <f t="shared" si="2"/>
        <v>1980</v>
      </c>
      <c r="B127" s="607">
        <f t="shared" si="3"/>
        <v>4</v>
      </c>
      <c r="C127" s="1173">
        <v>29528</v>
      </c>
      <c r="D127" s="1709"/>
      <c r="E127" s="1117"/>
      <c r="F127" s="1117"/>
      <c r="G127" s="1117"/>
      <c r="H127" s="1117"/>
      <c r="I127" s="959">
        <v>535.36449262500003</v>
      </c>
      <c r="J127" s="959">
        <v>623.32500000000005</v>
      </c>
      <c r="K127" s="960"/>
      <c r="L127" s="1121"/>
      <c r="M127" s="916"/>
      <c r="N127" s="916"/>
      <c r="O127" s="1332"/>
      <c r="P127" s="1332"/>
      <c r="Q127" s="1332"/>
      <c r="R127" s="1332"/>
      <c r="S127" s="1332"/>
      <c r="T127" s="1332"/>
      <c r="U127" s="1120"/>
      <c r="V127" s="1120"/>
      <c r="W127" s="1120"/>
      <c r="X127" s="1120"/>
      <c r="Y127" s="1119"/>
      <c r="Z127" s="1119"/>
      <c r="AA127" s="1119"/>
      <c r="AB127" s="1119"/>
      <c r="AC127" s="1178"/>
      <c r="AD127" s="1178"/>
      <c r="AE127" s="1178"/>
      <c r="AF127" s="1178"/>
      <c r="AG127" s="1178"/>
      <c r="AH127" s="1178"/>
      <c r="AI127" s="1178"/>
      <c r="AJ127" s="1178"/>
      <c r="AK127" s="919"/>
      <c r="AL127" s="1104"/>
      <c r="AM127" s="919"/>
      <c r="AN127" s="1710"/>
      <c r="AO127" s="919"/>
      <c r="AP127" s="919"/>
      <c r="AS127" s="1167"/>
      <c r="AT127" s="1167"/>
      <c r="AU127" s="1168"/>
      <c r="AV127" s="1168"/>
      <c r="AW127" s="1169"/>
      <c r="AX127" s="1169"/>
      <c r="AY127" s="1169"/>
      <c r="AZ127" s="1169"/>
      <c r="BA127" s="1799" t="s">
        <v>3</v>
      </c>
      <c r="BB127" s="1802">
        <v>2014</v>
      </c>
      <c r="BC127" s="1799" t="s">
        <v>32</v>
      </c>
      <c r="BD127" s="1799"/>
      <c r="BE127" s="1800">
        <v>125789184</v>
      </c>
      <c r="BF127" s="1801">
        <v>4.5999999999999999E-2</v>
      </c>
      <c r="BG127" s="1799"/>
      <c r="BH127" s="1799" t="s">
        <v>0</v>
      </c>
      <c r="BI127" s="1799" t="s">
        <v>311</v>
      </c>
      <c r="BJ127" s="1799" t="s">
        <v>74</v>
      </c>
      <c r="BK127" s="1799">
        <v>9</v>
      </c>
      <c r="BL127" s="1800">
        <v>94678195.61666666</v>
      </c>
      <c r="BM127" s="1801">
        <v>2.0319425474119853E-2</v>
      </c>
      <c r="BN127" s="1799">
        <v>2006</v>
      </c>
      <c r="BO127" s="1684"/>
      <c r="BP127" s="1696"/>
      <c r="BQ127" s="1169"/>
      <c r="BR127" s="1169"/>
      <c r="BS127" s="1169"/>
      <c r="BT127" s="1169"/>
      <c r="BU127" s="1169"/>
      <c r="BV127" s="1169"/>
      <c r="BW127" s="1169"/>
      <c r="BX127" s="1169"/>
      <c r="BY127" s="1169"/>
      <c r="BZ127" s="1169"/>
      <c r="CA127" s="1169"/>
      <c r="CB127" s="1169"/>
      <c r="CC127" s="1169"/>
      <c r="CD127" s="1169"/>
      <c r="CE127" s="1169"/>
      <c r="CF127" s="1169"/>
      <c r="CG127" s="1169"/>
      <c r="CH127" s="1169"/>
      <c r="CI127" s="1169"/>
      <c r="CJ127" s="1169"/>
      <c r="CK127" s="1169"/>
      <c r="CL127" s="1169"/>
      <c r="CM127" s="1169"/>
      <c r="CN127" s="1169"/>
      <c r="CO127" s="1169"/>
      <c r="CP127" s="1169"/>
      <c r="CQ127" s="1169"/>
      <c r="CR127" s="1169"/>
      <c r="CS127" s="1169"/>
      <c r="CT127" s="1169"/>
      <c r="CU127" s="1169"/>
      <c r="CV127" s="1169"/>
      <c r="CW127" s="1169"/>
      <c r="CX127" s="1169"/>
      <c r="CY127" s="1169"/>
      <c r="CZ127" s="1169"/>
      <c r="DA127" s="1168"/>
      <c r="DB127" s="1168"/>
      <c r="DC127" s="1168"/>
      <c r="DD127" s="1168"/>
      <c r="DE127" s="1168"/>
      <c r="DF127" s="1168"/>
      <c r="DG127" s="1168"/>
      <c r="DH127" s="1168"/>
      <c r="DI127" s="1168"/>
      <c r="DJ127" s="1168"/>
      <c r="DK127" s="1168"/>
      <c r="DL127" s="1168"/>
      <c r="DM127" s="1168"/>
      <c r="DN127" s="1168"/>
      <c r="DO127" s="1168"/>
      <c r="DP127" s="1168"/>
      <c r="DQ127" s="1168"/>
      <c r="DR127" s="1168"/>
      <c r="DS127" s="1168"/>
      <c r="DT127" s="1168"/>
      <c r="DU127" s="1168"/>
      <c r="DV127" s="1168"/>
      <c r="DW127" s="1168"/>
      <c r="DX127" s="1168"/>
      <c r="DY127" s="1168"/>
      <c r="DZ127" s="1168"/>
      <c r="EA127" s="1168"/>
      <c r="EB127" s="1168"/>
      <c r="EC127" s="1168"/>
      <c r="ED127" s="1168"/>
      <c r="EE127" s="1168"/>
      <c r="EF127" s="1168"/>
      <c r="EG127" s="1168"/>
      <c r="EH127" s="1168"/>
      <c r="EI127" s="1170"/>
      <c r="EJ127" s="1170"/>
      <c r="EK127" s="1170"/>
      <c r="EL127" s="1170"/>
      <c r="EM127" s="1170"/>
      <c r="EN127" s="1170"/>
      <c r="EO127" s="1170"/>
      <c r="EP127" s="1170"/>
      <c r="EQ127" s="1170"/>
      <c r="ER127" s="1170"/>
      <c r="ES127" s="1333"/>
      <c r="ET127" s="1333"/>
      <c r="EU127" s="1333"/>
      <c r="EV127" s="1333"/>
      <c r="EW127" s="1333"/>
      <c r="EX127" s="1333"/>
      <c r="EY127" s="1333"/>
      <c r="EZ127" s="1333"/>
      <c r="FA127" s="1333"/>
      <c r="FB127" s="1333"/>
      <c r="FC127" s="1333"/>
      <c r="FD127" s="1333"/>
      <c r="FE127" s="1333"/>
      <c r="FF127" s="1333"/>
      <c r="FG127" s="1333"/>
      <c r="FH127" s="1333"/>
      <c r="FI127" s="1333"/>
      <c r="FJ127" s="1333"/>
      <c r="FK127" s="1333"/>
      <c r="FL127" s="1333"/>
      <c r="FM127" s="1333"/>
      <c r="FN127" s="1333"/>
      <c r="FO127" s="1333"/>
      <c r="FP127" s="1333"/>
      <c r="FQ127" s="1333"/>
      <c r="FR127" s="1333"/>
      <c r="FS127" s="1333"/>
      <c r="FT127" s="1333"/>
      <c r="FU127" s="1333"/>
      <c r="FV127" s="1333"/>
      <c r="FW127" s="1333"/>
      <c r="FX127" s="1333"/>
      <c r="FY127" s="1333"/>
      <c r="FZ127" s="1333"/>
      <c r="GA127" s="1333"/>
      <c r="GB127" s="1333"/>
      <c r="GC127" s="1333"/>
      <c r="GD127" s="1333"/>
      <c r="GE127" s="1333"/>
      <c r="GF127" s="1333"/>
      <c r="GG127" s="1333"/>
      <c r="GH127" s="1333"/>
      <c r="GI127" s="1333"/>
      <c r="GJ127" s="1333"/>
      <c r="GK127" s="1333"/>
      <c r="GL127" s="1333"/>
      <c r="GM127" s="1333"/>
      <c r="GN127" s="1333"/>
      <c r="GO127" s="1333"/>
      <c r="GP127" s="1333"/>
      <c r="GQ127" s="1333"/>
      <c r="GR127" s="1333"/>
      <c r="GS127" s="1333"/>
      <c r="GT127" s="1333"/>
      <c r="GU127" s="1333"/>
      <c r="GV127" s="1333"/>
      <c r="GW127" s="1333"/>
      <c r="GX127" s="1333"/>
    </row>
    <row r="128" spans="1:206" s="607" customFormat="1">
      <c r="A128" s="607">
        <f t="shared" si="2"/>
        <v>1980</v>
      </c>
      <c r="B128" s="607">
        <f t="shared" si="3"/>
        <v>4</v>
      </c>
      <c r="C128" s="1173">
        <v>29556</v>
      </c>
      <c r="D128" s="957"/>
      <c r="E128" s="920"/>
      <c r="F128" s="920"/>
      <c r="G128" s="920"/>
      <c r="H128" s="920"/>
      <c r="I128" s="954">
        <v>502.95392594591385</v>
      </c>
      <c r="J128" s="954">
        <v>593.83783783779995</v>
      </c>
      <c r="K128" s="954"/>
      <c r="L128" s="920"/>
      <c r="M128" s="917"/>
      <c r="N128" s="917"/>
      <c r="O128" s="1334"/>
      <c r="P128" s="1334"/>
      <c r="Q128" s="1334"/>
      <c r="R128" s="1334"/>
      <c r="S128" s="1334"/>
      <c r="T128" s="1334"/>
      <c r="U128" s="920"/>
      <c r="V128" s="920"/>
      <c r="W128" s="920"/>
      <c r="X128" s="920"/>
      <c r="Y128" s="920"/>
      <c r="Z128" s="920"/>
      <c r="AA128" s="920"/>
      <c r="AB128" s="920"/>
      <c r="AC128" s="920"/>
      <c r="AD128" s="920"/>
      <c r="AE128" s="920"/>
      <c r="AF128" s="920"/>
      <c r="AG128" s="920"/>
      <c r="AH128" s="920"/>
      <c r="AI128" s="920"/>
      <c r="AJ128" s="920"/>
      <c r="AK128" s="920"/>
      <c r="AL128" s="1105"/>
      <c r="AM128" s="920"/>
      <c r="AN128" s="1711"/>
      <c r="AO128" s="920"/>
      <c r="AP128" s="920"/>
      <c r="AS128" s="1167"/>
      <c r="AT128" s="1167"/>
      <c r="AU128" s="1168"/>
      <c r="AV128" s="1168"/>
      <c r="AW128" s="1169"/>
      <c r="AX128" s="1169"/>
      <c r="AY128" s="1169"/>
      <c r="AZ128" s="1169"/>
      <c r="BA128" s="1799" t="s">
        <v>3</v>
      </c>
      <c r="BB128" s="1802">
        <v>2014</v>
      </c>
      <c r="BC128" s="1799" t="s">
        <v>249</v>
      </c>
      <c r="BD128" s="1799"/>
      <c r="BE128" s="1800">
        <v>2730115579</v>
      </c>
      <c r="BF128" s="1801"/>
      <c r="BG128" s="1799"/>
      <c r="BH128" s="1799" t="s">
        <v>0</v>
      </c>
      <c r="BI128" s="1799" t="s">
        <v>311</v>
      </c>
      <c r="BJ128" s="1799" t="s">
        <v>19</v>
      </c>
      <c r="BK128" s="1799">
        <v>10</v>
      </c>
      <c r="BL128" s="1800">
        <v>55328239.799994715</v>
      </c>
      <c r="BM128" s="1801">
        <v>1.1874307890087414E-2</v>
      </c>
      <c r="BN128" s="1799">
        <v>2006</v>
      </c>
      <c r="BO128" s="1684"/>
      <c r="BP128" s="1697"/>
      <c r="BQ128" s="1169"/>
      <c r="BR128" s="1169"/>
      <c r="BS128" s="1169"/>
      <c r="BT128" s="1169"/>
      <c r="BU128" s="1169"/>
      <c r="BV128" s="1169"/>
      <c r="BW128" s="1169"/>
      <c r="BX128" s="1169"/>
      <c r="BY128" s="1169"/>
      <c r="BZ128" s="1169"/>
      <c r="CA128" s="1169"/>
      <c r="CB128" s="1169"/>
      <c r="CC128" s="1169"/>
      <c r="CD128" s="1169"/>
      <c r="CE128" s="1169"/>
      <c r="CF128" s="1169"/>
      <c r="CG128" s="1169"/>
      <c r="CH128" s="1169"/>
      <c r="CI128" s="1169"/>
      <c r="CJ128" s="1169"/>
      <c r="CK128" s="1169"/>
      <c r="CL128" s="1169"/>
      <c r="CM128" s="1169"/>
      <c r="CN128" s="1169"/>
      <c r="CO128" s="1169"/>
      <c r="CP128" s="1169"/>
      <c r="CQ128" s="1169"/>
      <c r="CR128" s="1169"/>
      <c r="CS128" s="1169"/>
      <c r="CT128" s="1169"/>
      <c r="CU128" s="1169"/>
      <c r="CV128" s="1169"/>
      <c r="CW128" s="1169"/>
      <c r="CX128" s="1169"/>
      <c r="CY128" s="1169"/>
      <c r="CZ128" s="1169"/>
      <c r="DA128" s="1168"/>
      <c r="DB128" s="1168"/>
      <c r="DC128" s="1168"/>
      <c r="DD128" s="1168"/>
      <c r="DE128" s="1168"/>
      <c r="DF128" s="1168"/>
      <c r="DG128" s="1168"/>
      <c r="DH128" s="1168"/>
      <c r="DI128" s="1168"/>
      <c r="DJ128" s="1168"/>
      <c r="DK128" s="1168"/>
      <c r="DL128" s="1168"/>
      <c r="DM128" s="1168"/>
      <c r="DN128" s="1168"/>
      <c r="DO128" s="1168"/>
      <c r="DP128" s="1168"/>
      <c r="DQ128" s="1168"/>
      <c r="DR128" s="1168"/>
      <c r="DS128" s="1168"/>
      <c r="DT128" s="1168"/>
      <c r="DU128" s="1168"/>
      <c r="DV128" s="1168"/>
      <c r="DW128" s="1168"/>
      <c r="DX128" s="1168"/>
      <c r="DY128" s="1168"/>
      <c r="DZ128" s="1168"/>
      <c r="EA128" s="1168"/>
      <c r="EB128" s="1168"/>
      <c r="EC128" s="1168"/>
      <c r="ED128" s="1168"/>
      <c r="EE128" s="1168"/>
      <c r="EF128" s="1168"/>
      <c r="EG128" s="1168"/>
      <c r="EH128" s="1168"/>
      <c r="EI128" s="1170"/>
      <c r="EJ128" s="1170"/>
      <c r="EK128" s="1170"/>
      <c r="EL128" s="1170"/>
      <c r="EM128" s="1170"/>
      <c r="EN128" s="1170"/>
      <c r="EO128" s="1170"/>
      <c r="EP128" s="1170"/>
      <c r="EQ128" s="1170"/>
      <c r="ER128" s="1170"/>
      <c r="ES128" s="1333"/>
      <c r="ET128" s="1333"/>
      <c r="EU128" s="1333"/>
      <c r="EV128" s="1333"/>
      <c r="EW128" s="1333"/>
      <c r="EX128" s="1333"/>
      <c r="EY128" s="1333"/>
      <c r="EZ128" s="1333"/>
      <c r="FA128" s="1333"/>
      <c r="FB128" s="1333"/>
      <c r="FC128" s="1333"/>
      <c r="FD128" s="1333"/>
      <c r="FE128" s="1333"/>
      <c r="FF128" s="1333"/>
      <c r="FG128" s="1333"/>
      <c r="FH128" s="1333"/>
      <c r="FI128" s="1333"/>
      <c r="FJ128" s="1333"/>
      <c r="FK128" s="1333"/>
      <c r="FL128" s="1333"/>
      <c r="FM128" s="1333"/>
      <c r="FN128" s="1333"/>
      <c r="FO128" s="1333"/>
      <c r="FP128" s="1333"/>
      <c r="FQ128" s="1333"/>
      <c r="FR128" s="1333"/>
      <c r="FS128" s="1333"/>
      <c r="FT128" s="1333"/>
      <c r="FU128" s="1333"/>
      <c r="FV128" s="1333"/>
      <c r="FW128" s="1333"/>
      <c r="FX128" s="1333"/>
      <c r="FY128" s="1333"/>
      <c r="FZ128" s="1333"/>
      <c r="GA128" s="1333"/>
      <c r="GB128" s="1333"/>
      <c r="GC128" s="1333"/>
      <c r="GD128" s="1333"/>
      <c r="GE128" s="1333"/>
      <c r="GF128" s="1333"/>
      <c r="GG128" s="1333"/>
      <c r="GH128" s="1333"/>
      <c r="GI128" s="1333"/>
      <c r="GJ128" s="1333"/>
      <c r="GK128" s="1333"/>
      <c r="GL128" s="1333"/>
      <c r="GM128" s="1333"/>
      <c r="GN128" s="1333"/>
      <c r="GO128" s="1333"/>
      <c r="GP128" s="1333"/>
      <c r="GQ128" s="1333"/>
      <c r="GR128" s="1333"/>
      <c r="GS128" s="1333"/>
      <c r="GT128" s="1333"/>
      <c r="GU128" s="1333"/>
      <c r="GV128" s="1333"/>
      <c r="GW128" s="1333"/>
      <c r="GX128" s="1333"/>
    </row>
    <row r="129" spans="1:206" s="607" customFormat="1">
      <c r="A129" s="607">
        <f t="shared" si="2"/>
        <v>1981</v>
      </c>
      <c r="B129" s="607">
        <f t="shared" si="3"/>
        <v>1</v>
      </c>
      <c r="C129" s="1173">
        <v>29587</v>
      </c>
      <c r="D129" s="1709"/>
      <c r="E129" s="1117"/>
      <c r="F129" s="1117"/>
      <c r="G129" s="1117"/>
      <c r="H129" s="1117"/>
      <c r="I129" s="959">
        <v>474.78380268294143</v>
      </c>
      <c r="J129" s="959">
        <v>555.82926829270002</v>
      </c>
      <c r="K129" s="960"/>
      <c r="L129" s="1121"/>
      <c r="M129" s="916"/>
      <c r="N129" s="916"/>
      <c r="O129" s="1332"/>
      <c r="P129" s="1332"/>
      <c r="Q129" s="1332"/>
      <c r="R129" s="1332"/>
      <c r="S129" s="1332"/>
      <c r="T129" s="1332"/>
      <c r="U129" s="1120"/>
      <c r="V129" s="1120"/>
      <c r="W129" s="1120"/>
      <c r="X129" s="1120"/>
      <c r="Y129" s="1119"/>
      <c r="Z129" s="1119"/>
      <c r="AA129" s="1119"/>
      <c r="AB129" s="1119"/>
      <c r="AC129" s="1178"/>
      <c r="AD129" s="1178"/>
      <c r="AE129" s="1178"/>
      <c r="AF129" s="1178"/>
      <c r="AG129" s="1178"/>
      <c r="AH129" s="1178"/>
      <c r="AI129" s="1178"/>
      <c r="AJ129" s="1178"/>
      <c r="AK129" s="919"/>
      <c r="AL129" s="1104"/>
      <c r="AM129" s="919"/>
      <c r="AN129" s="1710"/>
      <c r="AO129" s="919"/>
      <c r="AP129" s="919"/>
      <c r="AS129" s="1167"/>
      <c r="AT129" s="1167"/>
      <c r="AU129" s="1168"/>
      <c r="AV129" s="1168"/>
      <c r="AW129" s="1169"/>
      <c r="AX129" s="1169"/>
      <c r="AY129" s="1169"/>
      <c r="AZ129" s="1169"/>
      <c r="BA129" s="1799" t="s">
        <v>3</v>
      </c>
      <c r="BB129" s="1802">
        <v>2013</v>
      </c>
      <c r="BC129" s="1799" t="s">
        <v>15</v>
      </c>
      <c r="BD129" s="1799">
        <v>1</v>
      </c>
      <c r="BE129" s="1800">
        <v>1029510309</v>
      </c>
      <c r="BF129" s="1801">
        <v>0.33</v>
      </c>
      <c r="BG129" s="1799"/>
      <c r="BH129" s="1799" t="s">
        <v>0</v>
      </c>
      <c r="BI129" s="1799" t="s">
        <v>311</v>
      </c>
      <c r="BJ129" s="1799" t="s">
        <v>32</v>
      </c>
      <c r="BK129" s="1799"/>
      <c r="BL129" s="1800">
        <v>171169684.18060112</v>
      </c>
      <c r="BM129" s="1801">
        <v>3.6735698420134397E-2</v>
      </c>
      <c r="BN129" s="1799">
        <v>2006</v>
      </c>
      <c r="BO129" s="1684"/>
      <c r="BP129" s="1696"/>
      <c r="BQ129" s="1169"/>
      <c r="BR129" s="1169"/>
      <c r="BS129" s="1169"/>
      <c r="BT129" s="1169"/>
      <c r="BU129" s="1169"/>
      <c r="BV129" s="1169"/>
      <c r="BW129" s="1169"/>
      <c r="BX129" s="1169"/>
      <c r="BY129" s="1169"/>
      <c r="BZ129" s="1169"/>
      <c r="CA129" s="1169"/>
      <c r="CB129" s="1169"/>
      <c r="CC129" s="1169"/>
      <c r="CD129" s="1169"/>
      <c r="CE129" s="1169"/>
      <c r="CF129" s="1169"/>
      <c r="CG129" s="1169"/>
      <c r="CH129" s="1169"/>
      <c r="CI129" s="1169"/>
      <c r="CJ129" s="1169"/>
      <c r="CK129" s="1169"/>
      <c r="CL129" s="1169"/>
      <c r="CM129" s="1169"/>
      <c r="CN129" s="1169"/>
      <c r="CO129" s="1169"/>
      <c r="CP129" s="1169"/>
      <c r="CQ129" s="1169"/>
      <c r="CR129" s="1169"/>
      <c r="CS129" s="1169"/>
      <c r="CT129" s="1169"/>
      <c r="CU129" s="1169"/>
      <c r="CV129" s="1169"/>
      <c r="CW129" s="1169"/>
      <c r="CX129" s="1169"/>
      <c r="CY129" s="1169"/>
      <c r="CZ129" s="1169"/>
      <c r="DA129" s="1168"/>
      <c r="DB129" s="1168"/>
      <c r="DC129" s="1168"/>
      <c r="DD129" s="1168"/>
      <c r="DE129" s="1168"/>
      <c r="DF129" s="1168"/>
      <c r="DG129" s="1168"/>
      <c r="DH129" s="1168"/>
      <c r="DI129" s="1168"/>
      <c r="DJ129" s="1168"/>
      <c r="DK129" s="1168"/>
      <c r="DL129" s="1168"/>
      <c r="DM129" s="1168"/>
      <c r="DN129" s="1168"/>
      <c r="DO129" s="1168"/>
      <c r="DP129" s="1168"/>
      <c r="DQ129" s="1168"/>
      <c r="DR129" s="1168"/>
      <c r="DS129" s="1168"/>
      <c r="DT129" s="1168"/>
      <c r="DU129" s="1168"/>
      <c r="DV129" s="1168"/>
      <c r="DW129" s="1168"/>
      <c r="DX129" s="1168"/>
      <c r="DY129" s="1168"/>
      <c r="DZ129" s="1168"/>
      <c r="EA129" s="1168"/>
      <c r="EB129" s="1168"/>
      <c r="EC129" s="1168"/>
      <c r="ED129" s="1168"/>
      <c r="EE129" s="1168"/>
      <c r="EF129" s="1168"/>
      <c r="EG129" s="1168"/>
      <c r="EH129" s="1168"/>
      <c r="EI129" s="1170"/>
      <c r="EJ129" s="1170"/>
      <c r="EK129" s="1170"/>
      <c r="EL129" s="1170"/>
      <c r="EM129" s="1170"/>
      <c r="EN129" s="1170"/>
      <c r="EO129" s="1170"/>
      <c r="EP129" s="1170"/>
      <c r="EQ129" s="1170"/>
      <c r="ER129" s="1170"/>
      <c r="ES129" s="1333"/>
      <c r="ET129" s="1333"/>
      <c r="EU129" s="1333"/>
      <c r="EV129" s="1333"/>
      <c r="EW129" s="1333"/>
      <c r="EX129" s="1333"/>
      <c r="EY129" s="1333"/>
      <c r="EZ129" s="1333"/>
      <c r="FA129" s="1333"/>
      <c r="FB129" s="1333"/>
      <c r="FC129" s="1333"/>
      <c r="FD129" s="1333"/>
      <c r="FE129" s="1333"/>
      <c r="FF129" s="1333"/>
      <c r="FG129" s="1333"/>
      <c r="FH129" s="1333"/>
      <c r="FI129" s="1333"/>
      <c r="FJ129" s="1333"/>
      <c r="FK129" s="1333"/>
      <c r="FL129" s="1333"/>
      <c r="FM129" s="1333"/>
      <c r="FN129" s="1333"/>
      <c r="FO129" s="1333"/>
      <c r="FP129" s="1333"/>
      <c r="FQ129" s="1333"/>
      <c r="FR129" s="1333"/>
      <c r="FS129" s="1333"/>
      <c r="FT129" s="1333"/>
      <c r="FU129" s="1333"/>
      <c r="FV129" s="1333"/>
      <c r="FW129" s="1333"/>
      <c r="FX129" s="1333"/>
      <c r="FY129" s="1333"/>
      <c r="FZ129" s="1333"/>
      <c r="GA129" s="1333"/>
      <c r="GB129" s="1333"/>
      <c r="GC129" s="1333"/>
      <c r="GD129" s="1333"/>
      <c r="GE129" s="1333"/>
      <c r="GF129" s="1333"/>
      <c r="GG129" s="1333"/>
      <c r="GH129" s="1333"/>
      <c r="GI129" s="1333"/>
      <c r="GJ129" s="1333"/>
      <c r="GK129" s="1333"/>
      <c r="GL129" s="1333"/>
      <c r="GM129" s="1333"/>
      <c r="GN129" s="1333"/>
      <c r="GO129" s="1333"/>
      <c r="GP129" s="1333"/>
      <c r="GQ129" s="1333"/>
      <c r="GR129" s="1333"/>
      <c r="GS129" s="1333"/>
      <c r="GT129" s="1333"/>
      <c r="GU129" s="1333"/>
      <c r="GV129" s="1333"/>
      <c r="GW129" s="1333"/>
      <c r="GX129" s="1333"/>
    </row>
    <row r="130" spans="1:206" s="607" customFormat="1">
      <c r="A130" s="607">
        <f t="shared" si="2"/>
        <v>1981</v>
      </c>
      <c r="B130" s="607">
        <f t="shared" si="3"/>
        <v>1</v>
      </c>
      <c r="C130" s="1173">
        <v>29619</v>
      </c>
      <c r="D130" s="957"/>
      <c r="E130" s="920"/>
      <c r="F130" s="920"/>
      <c r="G130" s="920"/>
      <c r="H130" s="920"/>
      <c r="I130" s="954">
        <v>431.49093468749999</v>
      </c>
      <c r="J130" s="954">
        <v>499.0625</v>
      </c>
      <c r="K130" s="954"/>
      <c r="L130" s="920"/>
      <c r="M130" s="917"/>
      <c r="N130" s="917"/>
      <c r="O130" s="1334"/>
      <c r="P130" s="1334"/>
      <c r="Q130" s="1334"/>
      <c r="R130" s="1334"/>
      <c r="S130" s="1334"/>
      <c r="T130" s="1334"/>
      <c r="U130" s="920"/>
      <c r="V130" s="920"/>
      <c r="W130" s="920"/>
      <c r="X130" s="920"/>
      <c r="Y130" s="920"/>
      <c r="Z130" s="920"/>
      <c r="AA130" s="920"/>
      <c r="AB130" s="920"/>
      <c r="AC130" s="920"/>
      <c r="AD130" s="920"/>
      <c r="AE130" s="920"/>
      <c r="AF130" s="920"/>
      <c r="AG130" s="920"/>
      <c r="AH130" s="920"/>
      <c r="AI130" s="920"/>
      <c r="AJ130" s="920"/>
      <c r="AK130" s="920"/>
      <c r="AL130" s="1105"/>
      <c r="AM130" s="920"/>
      <c r="AN130" s="1711"/>
      <c r="AO130" s="920"/>
      <c r="AP130" s="920"/>
      <c r="AS130" s="1167"/>
      <c r="AT130" s="1167"/>
      <c r="AU130" s="1168"/>
      <c r="AV130" s="1168"/>
      <c r="AW130" s="1169"/>
      <c r="AX130" s="1169"/>
      <c r="AY130" s="1169"/>
      <c r="AZ130" s="1169"/>
      <c r="BA130" s="1799" t="s">
        <v>3</v>
      </c>
      <c r="BB130" s="1802">
        <v>2013</v>
      </c>
      <c r="BC130" s="1799" t="s">
        <v>21</v>
      </c>
      <c r="BD130" s="1799">
        <v>2</v>
      </c>
      <c r="BE130" s="1800">
        <v>1001586084</v>
      </c>
      <c r="BF130" s="1801">
        <v>0.32100000000000001</v>
      </c>
      <c r="BG130" s="1799"/>
      <c r="BH130" s="1799" t="s">
        <v>0</v>
      </c>
      <c r="BI130" s="1799" t="s">
        <v>311</v>
      </c>
      <c r="BJ130" s="1799" t="s">
        <v>249</v>
      </c>
      <c r="BK130" s="1799"/>
      <c r="BL130" s="1800">
        <v>4659491762.5626268</v>
      </c>
      <c r="BM130" s="1801"/>
      <c r="BN130" s="1799">
        <v>2006</v>
      </c>
      <c r="BO130" s="1684"/>
      <c r="BP130" s="1696"/>
      <c r="BQ130" s="1169"/>
      <c r="BR130" s="1169"/>
      <c r="BS130" s="1169"/>
      <c r="BT130" s="1169"/>
      <c r="BU130" s="1169"/>
      <c r="BV130" s="1169"/>
      <c r="BW130" s="1169"/>
      <c r="BX130" s="1169"/>
      <c r="BY130" s="1169"/>
      <c r="BZ130" s="1169"/>
      <c r="CA130" s="1169"/>
      <c r="CB130" s="1169"/>
      <c r="CC130" s="1169"/>
      <c r="CD130" s="1169"/>
      <c r="CE130" s="1169"/>
      <c r="CF130" s="1169"/>
      <c r="CG130" s="1169"/>
      <c r="CH130" s="1169"/>
      <c r="CI130" s="1169"/>
      <c r="CJ130" s="1169"/>
      <c r="CK130" s="1169"/>
      <c r="CL130" s="1169"/>
      <c r="CM130" s="1169"/>
      <c r="CN130" s="1169"/>
      <c r="CO130" s="1169"/>
      <c r="CP130" s="1169"/>
      <c r="CQ130" s="1169"/>
      <c r="CR130" s="1169"/>
      <c r="CS130" s="1169"/>
      <c r="CT130" s="1169"/>
      <c r="CU130" s="1169"/>
      <c r="CV130" s="1169"/>
      <c r="CW130" s="1169"/>
      <c r="CX130" s="1169"/>
      <c r="CY130" s="1169"/>
      <c r="CZ130" s="1169"/>
      <c r="DA130" s="1168"/>
      <c r="DB130" s="1168"/>
      <c r="DC130" s="1168"/>
      <c r="DD130" s="1168"/>
      <c r="DE130" s="1168"/>
      <c r="DF130" s="1168"/>
      <c r="DG130" s="1168"/>
      <c r="DH130" s="1168"/>
      <c r="DI130" s="1168"/>
      <c r="DJ130" s="1168"/>
      <c r="DK130" s="1168"/>
      <c r="DL130" s="1168"/>
      <c r="DM130" s="1168"/>
      <c r="DN130" s="1168"/>
      <c r="DO130" s="1168"/>
      <c r="DP130" s="1168"/>
      <c r="DQ130" s="1168"/>
      <c r="DR130" s="1168"/>
      <c r="DS130" s="1168"/>
      <c r="DT130" s="1168"/>
      <c r="DU130" s="1168"/>
      <c r="DV130" s="1168"/>
      <c r="DW130" s="1168"/>
      <c r="DX130" s="1168"/>
      <c r="DY130" s="1168"/>
      <c r="DZ130" s="1168"/>
      <c r="EA130" s="1168"/>
      <c r="EB130" s="1168"/>
      <c r="EC130" s="1168"/>
      <c r="ED130" s="1168"/>
      <c r="EE130" s="1168"/>
      <c r="EF130" s="1168"/>
      <c r="EG130" s="1168"/>
      <c r="EH130" s="1168"/>
      <c r="EI130" s="1170"/>
      <c r="EJ130" s="1170"/>
      <c r="EK130" s="1170"/>
      <c r="EL130" s="1170"/>
      <c r="EM130" s="1170"/>
      <c r="EN130" s="1170"/>
      <c r="EO130" s="1170"/>
      <c r="EP130" s="1170"/>
      <c r="EQ130" s="1170"/>
      <c r="ER130" s="1170"/>
      <c r="ES130" s="1333"/>
      <c r="ET130" s="1333"/>
      <c r="EU130" s="1333"/>
      <c r="EV130" s="1333"/>
      <c r="EW130" s="1333"/>
      <c r="EX130" s="1333"/>
      <c r="EY130" s="1333"/>
      <c r="EZ130" s="1333"/>
      <c r="FA130" s="1333"/>
      <c r="FB130" s="1333"/>
      <c r="FC130" s="1333"/>
      <c r="FD130" s="1333"/>
      <c r="FE130" s="1333"/>
      <c r="FF130" s="1333"/>
      <c r="FG130" s="1333"/>
      <c r="FH130" s="1333"/>
      <c r="FI130" s="1333"/>
      <c r="FJ130" s="1333"/>
      <c r="FK130" s="1333"/>
      <c r="FL130" s="1333"/>
      <c r="FM130" s="1333"/>
      <c r="FN130" s="1333"/>
      <c r="FO130" s="1333"/>
      <c r="FP130" s="1333"/>
      <c r="FQ130" s="1333"/>
      <c r="FR130" s="1333"/>
      <c r="FS130" s="1333"/>
      <c r="FT130" s="1333"/>
      <c r="FU130" s="1333"/>
      <c r="FV130" s="1333"/>
      <c r="FW130" s="1333"/>
      <c r="FX130" s="1333"/>
      <c r="FY130" s="1333"/>
      <c r="FZ130" s="1333"/>
      <c r="GA130" s="1333"/>
      <c r="GB130" s="1333"/>
      <c r="GC130" s="1333"/>
      <c r="GD130" s="1333"/>
      <c r="GE130" s="1333"/>
      <c r="GF130" s="1333"/>
      <c r="GG130" s="1333"/>
      <c r="GH130" s="1333"/>
      <c r="GI130" s="1333"/>
      <c r="GJ130" s="1333"/>
      <c r="GK130" s="1333"/>
      <c r="GL130" s="1333"/>
      <c r="GM130" s="1333"/>
      <c r="GN130" s="1333"/>
      <c r="GO130" s="1333"/>
      <c r="GP130" s="1333"/>
      <c r="GQ130" s="1333"/>
      <c r="GR130" s="1333"/>
      <c r="GS130" s="1333"/>
      <c r="GT130" s="1333"/>
      <c r="GU130" s="1333"/>
      <c r="GV130" s="1333"/>
      <c r="GW130" s="1333"/>
      <c r="GX130" s="1333"/>
    </row>
    <row r="131" spans="1:206" s="607" customFormat="1">
      <c r="A131" s="607">
        <f t="shared" si="2"/>
        <v>1981</v>
      </c>
      <c r="B131" s="607">
        <f t="shared" si="3"/>
        <v>1</v>
      </c>
      <c r="C131" s="1173">
        <v>29647</v>
      </c>
      <c r="D131" s="1709"/>
      <c r="E131" s="1117"/>
      <c r="F131" s="1117"/>
      <c r="G131" s="1117"/>
      <c r="H131" s="1117"/>
      <c r="I131" s="959">
        <v>427.82365322157534</v>
      </c>
      <c r="J131" s="959">
        <v>499.8693181818</v>
      </c>
      <c r="K131" s="960"/>
      <c r="L131" s="1121"/>
      <c r="M131" s="916"/>
      <c r="N131" s="916"/>
      <c r="O131" s="1332"/>
      <c r="P131" s="1332"/>
      <c r="Q131" s="1332"/>
      <c r="R131" s="1332"/>
      <c r="S131" s="1332"/>
      <c r="T131" s="1332"/>
      <c r="U131" s="1120"/>
      <c r="V131" s="1120"/>
      <c r="W131" s="1120"/>
      <c r="X131" s="1120"/>
      <c r="Y131" s="1119"/>
      <c r="Z131" s="1119"/>
      <c r="AA131" s="1119"/>
      <c r="AB131" s="1119"/>
      <c r="AC131" s="1178"/>
      <c r="AD131" s="1178"/>
      <c r="AE131" s="1178"/>
      <c r="AF131" s="1178"/>
      <c r="AG131" s="1178"/>
      <c r="AH131" s="1178"/>
      <c r="AI131" s="1178"/>
      <c r="AJ131" s="1178"/>
      <c r="AK131" s="919"/>
      <c r="AL131" s="1104"/>
      <c r="AM131" s="919"/>
      <c r="AN131" s="1710"/>
      <c r="AO131" s="919"/>
      <c r="AP131" s="919"/>
      <c r="AS131" s="1167"/>
      <c r="AT131" s="1167"/>
      <c r="AU131" s="1168"/>
      <c r="AV131" s="1168"/>
      <c r="AW131" s="1169"/>
      <c r="AX131" s="1169"/>
      <c r="AY131" s="1169"/>
      <c r="AZ131" s="1169"/>
      <c r="BA131" s="1799" t="s">
        <v>3</v>
      </c>
      <c r="BB131" s="1802">
        <v>2013</v>
      </c>
      <c r="BC131" s="1799" t="s">
        <v>49</v>
      </c>
      <c r="BD131" s="1799">
        <v>3</v>
      </c>
      <c r="BE131" s="1800">
        <v>350017534</v>
      </c>
      <c r="BF131" s="1801">
        <v>0.112</v>
      </c>
      <c r="BG131" s="1799"/>
      <c r="BH131" s="1799" t="s">
        <v>0</v>
      </c>
      <c r="BI131" s="1799" t="s">
        <v>310</v>
      </c>
      <c r="BJ131" s="1799" t="s">
        <v>15</v>
      </c>
      <c r="BK131" s="1799">
        <v>1</v>
      </c>
      <c r="BL131" s="1800">
        <v>663218080.17009938</v>
      </c>
      <c r="BM131" s="1801">
        <v>0.17701212477622832</v>
      </c>
      <c r="BN131" s="1799">
        <v>2005</v>
      </c>
      <c r="BO131" s="1684"/>
      <c r="BP131" s="1697"/>
      <c r="BQ131" s="1169"/>
      <c r="BR131" s="1169"/>
      <c r="BS131" s="1169"/>
      <c r="BT131" s="1169"/>
      <c r="BU131" s="1169"/>
      <c r="BV131" s="1169"/>
      <c r="BW131" s="1169"/>
      <c r="BX131" s="1169"/>
      <c r="BY131" s="1169"/>
      <c r="BZ131" s="1169"/>
      <c r="CA131" s="1169"/>
      <c r="CB131" s="1169"/>
      <c r="CC131" s="1169"/>
      <c r="CD131" s="1169"/>
      <c r="CE131" s="1169"/>
      <c r="CF131" s="1169"/>
      <c r="CG131" s="1169"/>
      <c r="CH131" s="1169"/>
      <c r="CI131" s="1169"/>
      <c r="CJ131" s="1169"/>
      <c r="CK131" s="1169"/>
      <c r="CL131" s="1169"/>
      <c r="CM131" s="1169"/>
      <c r="CN131" s="1169"/>
      <c r="CO131" s="1169"/>
      <c r="CP131" s="1169"/>
      <c r="CQ131" s="1169"/>
      <c r="CR131" s="1169"/>
      <c r="CS131" s="1169"/>
      <c r="CT131" s="1169"/>
      <c r="CU131" s="1169"/>
      <c r="CV131" s="1169"/>
      <c r="CW131" s="1169"/>
      <c r="CX131" s="1169"/>
      <c r="CY131" s="1169"/>
      <c r="CZ131" s="1169"/>
      <c r="DA131" s="1168"/>
      <c r="DB131" s="1168"/>
      <c r="DC131" s="1168"/>
      <c r="DD131" s="1168"/>
      <c r="DE131" s="1168"/>
      <c r="DF131" s="1168"/>
      <c r="DG131" s="1168"/>
      <c r="DH131" s="1168"/>
      <c r="DI131" s="1168"/>
      <c r="DJ131" s="1168"/>
      <c r="DK131" s="1168"/>
      <c r="DL131" s="1168"/>
      <c r="DM131" s="1168"/>
      <c r="DN131" s="1168"/>
      <c r="DO131" s="1168"/>
      <c r="DP131" s="1168"/>
      <c r="DQ131" s="1168"/>
      <c r="DR131" s="1168"/>
      <c r="DS131" s="1168"/>
      <c r="DT131" s="1168"/>
      <c r="DU131" s="1168"/>
      <c r="DV131" s="1168"/>
      <c r="DW131" s="1168"/>
      <c r="DX131" s="1168"/>
      <c r="DY131" s="1168"/>
      <c r="DZ131" s="1168"/>
      <c r="EA131" s="1168"/>
      <c r="EB131" s="1168"/>
      <c r="EC131" s="1168"/>
      <c r="ED131" s="1168"/>
      <c r="EE131" s="1168"/>
      <c r="EF131" s="1168"/>
      <c r="EG131" s="1168"/>
      <c r="EH131" s="1168"/>
      <c r="EI131" s="1170"/>
      <c r="EJ131" s="1170"/>
      <c r="EK131" s="1170"/>
      <c r="EL131" s="1170"/>
      <c r="EM131" s="1170"/>
      <c r="EN131" s="1170"/>
      <c r="EO131" s="1170"/>
      <c r="EP131" s="1170"/>
      <c r="EQ131" s="1170"/>
      <c r="ER131" s="1170"/>
      <c r="ES131" s="1333"/>
      <c r="ET131" s="1333"/>
      <c r="EU131" s="1333"/>
      <c r="EV131" s="1333"/>
      <c r="EW131" s="1333"/>
      <c r="EX131" s="1333"/>
      <c r="EY131" s="1333"/>
      <c r="EZ131" s="1333"/>
      <c r="FA131" s="1333"/>
      <c r="FB131" s="1333"/>
      <c r="FC131" s="1333"/>
      <c r="FD131" s="1333"/>
      <c r="FE131" s="1333"/>
      <c r="FF131" s="1333"/>
      <c r="FG131" s="1333"/>
      <c r="FH131" s="1333"/>
      <c r="FI131" s="1333"/>
      <c r="FJ131" s="1333"/>
      <c r="FK131" s="1333"/>
      <c r="FL131" s="1333"/>
      <c r="FM131" s="1333"/>
      <c r="FN131" s="1333"/>
      <c r="FO131" s="1333"/>
      <c r="FP131" s="1333"/>
      <c r="FQ131" s="1333"/>
      <c r="FR131" s="1333"/>
      <c r="FS131" s="1333"/>
      <c r="FT131" s="1333"/>
      <c r="FU131" s="1333"/>
      <c r="FV131" s="1333"/>
      <c r="FW131" s="1333"/>
      <c r="FX131" s="1333"/>
      <c r="FY131" s="1333"/>
      <c r="FZ131" s="1333"/>
      <c r="GA131" s="1333"/>
      <c r="GB131" s="1333"/>
      <c r="GC131" s="1333"/>
      <c r="GD131" s="1333"/>
      <c r="GE131" s="1333"/>
      <c r="GF131" s="1333"/>
      <c r="GG131" s="1333"/>
      <c r="GH131" s="1333"/>
      <c r="GI131" s="1333"/>
      <c r="GJ131" s="1333"/>
      <c r="GK131" s="1333"/>
      <c r="GL131" s="1333"/>
      <c r="GM131" s="1333"/>
      <c r="GN131" s="1333"/>
      <c r="GO131" s="1333"/>
      <c r="GP131" s="1333"/>
      <c r="GQ131" s="1333"/>
      <c r="GR131" s="1333"/>
      <c r="GS131" s="1333"/>
      <c r="GT131" s="1333"/>
      <c r="GU131" s="1333"/>
      <c r="GV131" s="1333"/>
      <c r="GW131" s="1333"/>
      <c r="GX131" s="1333"/>
    </row>
    <row r="132" spans="1:206" s="607" customFormat="1">
      <c r="A132" s="607">
        <f t="shared" si="2"/>
        <v>1981</v>
      </c>
      <c r="B132" s="607">
        <f t="shared" si="3"/>
        <v>2</v>
      </c>
      <c r="C132" s="1173">
        <v>29677</v>
      </c>
      <c r="D132" s="957"/>
      <c r="E132" s="920"/>
      <c r="F132" s="920"/>
      <c r="G132" s="920"/>
      <c r="H132" s="920"/>
      <c r="I132" s="954">
        <v>430.36164579375003</v>
      </c>
      <c r="J132" s="954">
        <v>495.13125000000002</v>
      </c>
      <c r="K132" s="954"/>
      <c r="L132" s="920"/>
      <c r="M132" s="917"/>
      <c r="N132" s="917"/>
      <c r="O132" s="1334"/>
      <c r="P132" s="1334"/>
      <c r="Q132" s="1334"/>
      <c r="R132" s="1334"/>
      <c r="S132" s="1334"/>
      <c r="T132" s="1334"/>
      <c r="U132" s="920"/>
      <c r="V132" s="920"/>
      <c r="W132" s="920"/>
      <c r="X132" s="920"/>
      <c r="Y132" s="920"/>
      <c r="Z132" s="920"/>
      <c r="AA132" s="920"/>
      <c r="AB132" s="920"/>
      <c r="AC132" s="920"/>
      <c r="AD132" s="920"/>
      <c r="AE132" s="920"/>
      <c r="AF132" s="920"/>
      <c r="AG132" s="920"/>
      <c r="AH132" s="920"/>
      <c r="AI132" s="920"/>
      <c r="AJ132" s="920"/>
      <c r="AK132" s="920"/>
      <c r="AL132" s="1105"/>
      <c r="AM132" s="920"/>
      <c r="AN132" s="1711"/>
      <c r="AO132" s="920"/>
      <c r="AP132" s="920"/>
      <c r="AS132" s="1167"/>
      <c r="AT132" s="1167"/>
      <c r="AU132" s="1168"/>
      <c r="AV132" s="1168"/>
      <c r="AW132" s="1169"/>
      <c r="AX132" s="1169"/>
      <c r="AY132" s="1169"/>
      <c r="AZ132" s="1169"/>
      <c r="BA132" s="1799" t="s">
        <v>3</v>
      </c>
      <c r="BB132" s="1802">
        <v>2013</v>
      </c>
      <c r="BC132" s="1799" t="s">
        <v>20</v>
      </c>
      <c r="BD132" s="1799">
        <v>4</v>
      </c>
      <c r="BE132" s="1800">
        <v>250493002</v>
      </c>
      <c r="BF132" s="1801">
        <v>0.08</v>
      </c>
      <c r="BG132" s="1799"/>
      <c r="BH132" s="1799" t="s">
        <v>0</v>
      </c>
      <c r="BI132" s="1799" t="s">
        <v>310</v>
      </c>
      <c r="BJ132" s="1799" t="s">
        <v>27</v>
      </c>
      <c r="BK132" s="1799">
        <v>2</v>
      </c>
      <c r="BL132" s="1800">
        <v>634591640.7650069</v>
      </c>
      <c r="BM132" s="1801">
        <v>0.1693717618015432</v>
      </c>
      <c r="BN132" s="1799">
        <v>2005</v>
      </c>
      <c r="BO132" s="1684"/>
      <c r="BP132" s="1696"/>
      <c r="BQ132" s="1169"/>
      <c r="BR132" s="1169"/>
      <c r="BS132" s="1169"/>
      <c r="BT132" s="1169"/>
      <c r="BU132" s="1169"/>
      <c r="BV132" s="1169"/>
      <c r="BW132" s="1169"/>
      <c r="BX132" s="1169"/>
      <c r="BY132" s="1169"/>
      <c r="BZ132" s="1169"/>
      <c r="CA132" s="1169"/>
      <c r="CB132" s="1169"/>
      <c r="CC132" s="1169"/>
      <c r="CD132" s="1169"/>
      <c r="CE132" s="1169"/>
      <c r="CF132" s="1169"/>
      <c r="CG132" s="1169"/>
      <c r="CH132" s="1169"/>
      <c r="CI132" s="1169"/>
      <c r="CJ132" s="1169"/>
      <c r="CK132" s="1169"/>
      <c r="CL132" s="1169"/>
      <c r="CM132" s="1169"/>
      <c r="CN132" s="1169"/>
      <c r="CO132" s="1169"/>
      <c r="CP132" s="1169"/>
      <c r="CQ132" s="1169"/>
      <c r="CR132" s="1169"/>
      <c r="CS132" s="1169"/>
      <c r="CT132" s="1169"/>
      <c r="CU132" s="1169"/>
      <c r="CV132" s="1169"/>
      <c r="CW132" s="1169"/>
      <c r="CX132" s="1169"/>
      <c r="CY132" s="1169"/>
      <c r="CZ132" s="1169"/>
      <c r="DA132" s="1168"/>
      <c r="DB132" s="1168"/>
      <c r="DC132" s="1168"/>
      <c r="DD132" s="1168"/>
      <c r="DE132" s="1168"/>
      <c r="DF132" s="1168"/>
      <c r="DG132" s="1168"/>
      <c r="DH132" s="1168"/>
      <c r="DI132" s="1168"/>
      <c r="DJ132" s="1168"/>
      <c r="DK132" s="1168"/>
      <c r="DL132" s="1168"/>
      <c r="DM132" s="1168"/>
      <c r="DN132" s="1168"/>
      <c r="DO132" s="1168"/>
      <c r="DP132" s="1168"/>
      <c r="DQ132" s="1168"/>
      <c r="DR132" s="1168"/>
      <c r="DS132" s="1168"/>
      <c r="DT132" s="1168"/>
      <c r="DU132" s="1168"/>
      <c r="DV132" s="1168"/>
      <c r="DW132" s="1168"/>
      <c r="DX132" s="1168"/>
      <c r="DY132" s="1168"/>
      <c r="DZ132" s="1168"/>
      <c r="EA132" s="1168"/>
      <c r="EB132" s="1168"/>
      <c r="EC132" s="1168"/>
      <c r="ED132" s="1168"/>
      <c r="EE132" s="1168"/>
      <c r="EF132" s="1168"/>
      <c r="EG132" s="1168"/>
      <c r="EH132" s="1168"/>
      <c r="EI132" s="1170"/>
      <c r="EJ132" s="1170"/>
      <c r="EK132" s="1170"/>
      <c r="EL132" s="1170"/>
      <c r="EM132" s="1170"/>
      <c r="EN132" s="1170"/>
      <c r="EO132" s="1170"/>
      <c r="EP132" s="1170"/>
      <c r="EQ132" s="1170"/>
      <c r="ER132" s="1170"/>
      <c r="ES132" s="1333"/>
      <c r="ET132" s="1333"/>
      <c r="EU132" s="1333"/>
      <c r="EV132" s="1333"/>
      <c r="EW132" s="1333"/>
      <c r="EX132" s="1333"/>
      <c r="EY132" s="1333"/>
      <c r="EZ132" s="1333"/>
      <c r="FA132" s="1333"/>
      <c r="FB132" s="1333"/>
      <c r="FC132" s="1333"/>
      <c r="FD132" s="1333"/>
      <c r="FE132" s="1333"/>
      <c r="FF132" s="1333"/>
      <c r="FG132" s="1333"/>
      <c r="FH132" s="1333"/>
      <c r="FI132" s="1333"/>
      <c r="FJ132" s="1333"/>
      <c r="FK132" s="1333"/>
      <c r="FL132" s="1333"/>
      <c r="FM132" s="1333"/>
      <c r="FN132" s="1333"/>
      <c r="FO132" s="1333"/>
      <c r="FP132" s="1333"/>
      <c r="FQ132" s="1333"/>
      <c r="FR132" s="1333"/>
      <c r="FS132" s="1333"/>
      <c r="FT132" s="1333"/>
      <c r="FU132" s="1333"/>
      <c r="FV132" s="1333"/>
      <c r="FW132" s="1333"/>
      <c r="FX132" s="1333"/>
      <c r="FY132" s="1333"/>
      <c r="FZ132" s="1333"/>
      <c r="GA132" s="1333"/>
      <c r="GB132" s="1333"/>
      <c r="GC132" s="1333"/>
      <c r="GD132" s="1333"/>
      <c r="GE132" s="1333"/>
      <c r="GF132" s="1333"/>
      <c r="GG132" s="1333"/>
      <c r="GH132" s="1333"/>
      <c r="GI132" s="1333"/>
      <c r="GJ132" s="1333"/>
      <c r="GK132" s="1333"/>
      <c r="GL132" s="1333"/>
      <c r="GM132" s="1333"/>
      <c r="GN132" s="1333"/>
      <c r="GO132" s="1333"/>
      <c r="GP132" s="1333"/>
      <c r="GQ132" s="1333"/>
      <c r="GR132" s="1333"/>
      <c r="GS132" s="1333"/>
      <c r="GT132" s="1333"/>
      <c r="GU132" s="1333"/>
      <c r="GV132" s="1333"/>
      <c r="GW132" s="1333"/>
      <c r="GX132" s="1333"/>
    </row>
    <row r="133" spans="1:206" s="607" customFormat="1">
      <c r="A133" s="607">
        <f t="shared" si="2"/>
        <v>1981</v>
      </c>
      <c r="B133" s="607">
        <f t="shared" si="3"/>
        <v>2</v>
      </c>
      <c r="C133" s="1173">
        <v>29707</v>
      </c>
      <c r="D133" s="1709"/>
      <c r="E133" s="1117"/>
      <c r="F133" s="1117"/>
      <c r="G133" s="1117"/>
      <c r="H133" s="1117"/>
      <c r="I133" s="959">
        <v>421.05558447971077</v>
      </c>
      <c r="J133" s="959">
        <v>479.37162162160001</v>
      </c>
      <c r="K133" s="960"/>
      <c r="L133" s="1121"/>
      <c r="M133" s="916"/>
      <c r="N133" s="916"/>
      <c r="O133" s="1332"/>
      <c r="P133" s="1332"/>
      <c r="Q133" s="1332"/>
      <c r="R133" s="1332"/>
      <c r="S133" s="1332"/>
      <c r="T133" s="1332"/>
      <c r="U133" s="1120"/>
      <c r="V133" s="1120"/>
      <c r="W133" s="1120"/>
      <c r="X133" s="1120"/>
      <c r="Y133" s="1119"/>
      <c r="Z133" s="1119"/>
      <c r="AA133" s="1119"/>
      <c r="AB133" s="1119"/>
      <c r="AC133" s="1178"/>
      <c r="AD133" s="1178"/>
      <c r="AE133" s="1178"/>
      <c r="AF133" s="1178"/>
      <c r="AG133" s="1178"/>
      <c r="AH133" s="1178"/>
      <c r="AI133" s="1178"/>
      <c r="AJ133" s="1178"/>
      <c r="AK133" s="919"/>
      <c r="AL133" s="1104"/>
      <c r="AM133" s="919"/>
      <c r="AN133" s="1710"/>
      <c r="AO133" s="919"/>
      <c r="AP133" s="919"/>
      <c r="AS133" s="1167"/>
      <c r="AT133" s="1167"/>
      <c r="AU133" s="1168"/>
      <c r="AV133" s="1168"/>
      <c r="AW133" s="1169"/>
      <c r="AX133" s="1169"/>
      <c r="AY133" s="1169"/>
      <c r="AZ133" s="1169"/>
      <c r="BA133" s="1799" t="s">
        <v>3</v>
      </c>
      <c r="BB133" s="1802">
        <v>2013</v>
      </c>
      <c r="BC133" s="1799" t="s">
        <v>431</v>
      </c>
      <c r="BD133" s="1799">
        <v>5</v>
      </c>
      <c r="BE133" s="1800">
        <v>121090381</v>
      </c>
      <c r="BF133" s="1801">
        <v>3.9E-2</v>
      </c>
      <c r="BG133" s="1799"/>
      <c r="BH133" s="1799" t="s">
        <v>0</v>
      </c>
      <c r="BI133" s="1799" t="s">
        <v>310</v>
      </c>
      <c r="BJ133" s="1799" t="s">
        <v>14</v>
      </c>
      <c r="BK133" s="1799">
        <v>3</v>
      </c>
      <c r="BL133" s="1800">
        <v>567025440.63831234</v>
      </c>
      <c r="BM133" s="1801">
        <v>0.15133842253489563</v>
      </c>
      <c r="BN133" s="1799">
        <v>2005</v>
      </c>
      <c r="BO133" s="1684"/>
      <c r="BP133" s="1696"/>
      <c r="BQ133" s="1169"/>
      <c r="BR133" s="1169"/>
      <c r="BS133" s="1169"/>
      <c r="BT133" s="1169"/>
      <c r="BU133" s="1169"/>
      <c r="BV133" s="1169"/>
      <c r="BW133" s="1169"/>
      <c r="BX133" s="1169"/>
      <c r="BY133" s="1169"/>
      <c r="BZ133" s="1169"/>
      <c r="CA133" s="1169"/>
      <c r="CB133" s="1169"/>
      <c r="CC133" s="1169"/>
      <c r="CD133" s="1169"/>
      <c r="CE133" s="1169"/>
      <c r="CF133" s="1169"/>
      <c r="CG133" s="1169"/>
      <c r="CH133" s="1169"/>
      <c r="CI133" s="1169"/>
      <c r="CJ133" s="1169"/>
      <c r="CK133" s="1169"/>
      <c r="CL133" s="1169"/>
      <c r="CM133" s="1169"/>
      <c r="CN133" s="1169"/>
      <c r="CO133" s="1169"/>
      <c r="CP133" s="1169"/>
      <c r="CQ133" s="1169"/>
      <c r="CR133" s="1169"/>
      <c r="CS133" s="1169"/>
      <c r="CT133" s="1169"/>
      <c r="CU133" s="1169"/>
      <c r="CV133" s="1169"/>
      <c r="CW133" s="1169"/>
      <c r="CX133" s="1169"/>
      <c r="CY133" s="1169"/>
      <c r="CZ133" s="1169"/>
      <c r="DA133" s="1168"/>
      <c r="DB133" s="1168"/>
      <c r="DC133" s="1168"/>
      <c r="DD133" s="1168"/>
      <c r="DE133" s="1168"/>
      <c r="DF133" s="1168"/>
      <c r="DG133" s="1168"/>
      <c r="DH133" s="1168"/>
      <c r="DI133" s="1168"/>
      <c r="DJ133" s="1168"/>
      <c r="DK133" s="1168"/>
      <c r="DL133" s="1168"/>
      <c r="DM133" s="1168"/>
      <c r="DN133" s="1168"/>
      <c r="DO133" s="1168"/>
      <c r="DP133" s="1168"/>
      <c r="DQ133" s="1168"/>
      <c r="DR133" s="1168"/>
      <c r="DS133" s="1168"/>
      <c r="DT133" s="1168"/>
      <c r="DU133" s="1168"/>
      <c r="DV133" s="1168"/>
      <c r="DW133" s="1168"/>
      <c r="DX133" s="1168"/>
      <c r="DY133" s="1168"/>
      <c r="DZ133" s="1168"/>
      <c r="EA133" s="1168"/>
      <c r="EB133" s="1168"/>
      <c r="EC133" s="1168"/>
      <c r="ED133" s="1168"/>
      <c r="EE133" s="1168"/>
      <c r="EF133" s="1168"/>
      <c r="EG133" s="1168"/>
      <c r="EH133" s="1168"/>
      <c r="EI133" s="1170"/>
      <c r="EJ133" s="1170"/>
      <c r="EK133" s="1170"/>
      <c r="EL133" s="1170"/>
      <c r="EM133" s="1170"/>
      <c r="EN133" s="1170"/>
      <c r="EO133" s="1170"/>
      <c r="EP133" s="1170"/>
      <c r="EQ133" s="1170"/>
      <c r="ER133" s="1170"/>
      <c r="ES133" s="1333"/>
      <c r="ET133" s="1333"/>
      <c r="EU133" s="1333"/>
      <c r="EV133" s="1333"/>
      <c r="EW133" s="1333"/>
      <c r="EX133" s="1333"/>
      <c r="EY133" s="1333"/>
      <c r="EZ133" s="1333"/>
      <c r="FA133" s="1333"/>
      <c r="FB133" s="1333"/>
      <c r="FC133" s="1333"/>
      <c r="FD133" s="1333"/>
      <c r="FE133" s="1333"/>
      <c r="FF133" s="1333"/>
      <c r="FG133" s="1333"/>
      <c r="FH133" s="1333"/>
      <c r="FI133" s="1333"/>
      <c r="FJ133" s="1333"/>
      <c r="FK133" s="1333"/>
      <c r="FL133" s="1333"/>
      <c r="FM133" s="1333"/>
      <c r="FN133" s="1333"/>
      <c r="FO133" s="1333"/>
      <c r="FP133" s="1333"/>
      <c r="FQ133" s="1333"/>
      <c r="FR133" s="1333"/>
      <c r="FS133" s="1333"/>
      <c r="FT133" s="1333"/>
      <c r="FU133" s="1333"/>
      <c r="FV133" s="1333"/>
      <c r="FW133" s="1333"/>
      <c r="FX133" s="1333"/>
      <c r="FY133" s="1333"/>
      <c r="FZ133" s="1333"/>
      <c r="GA133" s="1333"/>
      <c r="GB133" s="1333"/>
      <c r="GC133" s="1333"/>
      <c r="GD133" s="1333"/>
      <c r="GE133" s="1333"/>
      <c r="GF133" s="1333"/>
      <c r="GG133" s="1333"/>
      <c r="GH133" s="1333"/>
      <c r="GI133" s="1333"/>
      <c r="GJ133" s="1333"/>
      <c r="GK133" s="1333"/>
      <c r="GL133" s="1333"/>
      <c r="GM133" s="1333"/>
      <c r="GN133" s="1333"/>
      <c r="GO133" s="1333"/>
      <c r="GP133" s="1333"/>
      <c r="GQ133" s="1333"/>
      <c r="GR133" s="1333"/>
      <c r="GS133" s="1333"/>
      <c r="GT133" s="1333"/>
      <c r="GU133" s="1333"/>
      <c r="GV133" s="1333"/>
      <c r="GW133" s="1333"/>
      <c r="GX133" s="1333"/>
    </row>
    <row r="134" spans="1:206" s="607" customFormat="1">
      <c r="A134" s="607">
        <f t="shared" si="2"/>
        <v>1981</v>
      </c>
      <c r="B134" s="607">
        <f t="shared" si="3"/>
        <v>2</v>
      </c>
      <c r="C134" s="1173">
        <v>29738</v>
      </c>
      <c r="D134" s="957"/>
      <c r="E134" s="920"/>
      <c r="F134" s="920"/>
      <c r="G134" s="920"/>
      <c r="H134" s="920"/>
      <c r="I134" s="954">
        <v>400.1276284090988</v>
      </c>
      <c r="J134" s="954">
        <v>459.34659090909997</v>
      </c>
      <c r="K134" s="954"/>
      <c r="L134" s="920"/>
      <c r="M134" s="917"/>
      <c r="N134" s="917"/>
      <c r="O134" s="1334"/>
      <c r="P134" s="1334"/>
      <c r="Q134" s="1334"/>
      <c r="R134" s="1334"/>
      <c r="S134" s="1334"/>
      <c r="T134" s="1334"/>
      <c r="U134" s="920"/>
      <c r="V134" s="920"/>
      <c r="W134" s="920"/>
      <c r="X134" s="920"/>
      <c r="Y134" s="920"/>
      <c r="Z134" s="920"/>
      <c r="AA134" s="920"/>
      <c r="AB134" s="920"/>
      <c r="AC134" s="920"/>
      <c r="AD134" s="920"/>
      <c r="AE134" s="920"/>
      <c r="AF134" s="920"/>
      <c r="AG134" s="920"/>
      <c r="AH134" s="920"/>
      <c r="AI134" s="920"/>
      <c r="AJ134" s="920"/>
      <c r="AK134" s="920"/>
      <c r="AL134" s="1105"/>
      <c r="AM134" s="920"/>
      <c r="AN134" s="1711"/>
      <c r="AO134" s="920"/>
      <c r="AP134" s="920"/>
      <c r="AS134" s="1167"/>
      <c r="AT134" s="1167"/>
      <c r="AU134" s="1168"/>
      <c r="AV134" s="1168"/>
      <c r="AW134" s="1169"/>
      <c r="AX134" s="1169"/>
      <c r="AY134" s="1169"/>
      <c r="AZ134" s="1169"/>
      <c r="BA134" s="1799" t="s">
        <v>3</v>
      </c>
      <c r="BB134" s="1802">
        <v>2013</v>
      </c>
      <c r="BC134" s="1799" t="s">
        <v>44</v>
      </c>
      <c r="BD134" s="1799">
        <v>6</v>
      </c>
      <c r="BE134" s="1800">
        <v>86905542</v>
      </c>
      <c r="BF134" s="1801">
        <v>2.8000000000000001E-2</v>
      </c>
      <c r="BG134" s="1799"/>
      <c r="BH134" s="1799" t="s">
        <v>0</v>
      </c>
      <c r="BI134" s="1799" t="s">
        <v>310</v>
      </c>
      <c r="BJ134" s="1799" t="s">
        <v>29</v>
      </c>
      <c r="BK134" s="1799">
        <v>4</v>
      </c>
      <c r="BL134" s="1800">
        <v>481867104.09012938</v>
      </c>
      <c r="BM134" s="1801">
        <v>0.1286097627689603</v>
      </c>
      <c r="BN134" s="1799">
        <v>2005</v>
      </c>
      <c r="BO134" s="1684"/>
      <c r="BP134" s="1697"/>
      <c r="BQ134" s="1169"/>
      <c r="BR134" s="1169"/>
      <c r="BS134" s="1169"/>
      <c r="BT134" s="1169"/>
      <c r="BU134" s="1169"/>
      <c r="BV134" s="1169"/>
      <c r="BW134" s="1169"/>
      <c r="BX134" s="1169"/>
      <c r="BY134" s="1169"/>
      <c r="BZ134" s="1169"/>
      <c r="CA134" s="1169"/>
      <c r="CB134" s="1169"/>
      <c r="CC134" s="1169"/>
      <c r="CD134" s="1169"/>
      <c r="CE134" s="1169"/>
      <c r="CF134" s="1169"/>
      <c r="CG134" s="1169"/>
      <c r="CH134" s="1169"/>
      <c r="CI134" s="1169"/>
      <c r="CJ134" s="1169"/>
      <c r="CK134" s="1169"/>
      <c r="CL134" s="1169"/>
      <c r="CM134" s="1169"/>
      <c r="CN134" s="1169"/>
      <c r="CO134" s="1169"/>
      <c r="CP134" s="1169"/>
      <c r="CQ134" s="1169"/>
      <c r="CR134" s="1169"/>
      <c r="CS134" s="1169"/>
      <c r="CT134" s="1169"/>
      <c r="CU134" s="1169"/>
      <c r="CV134" s="1169"/>
      <c r="CW134" s="1169"/>
      <c r="CX134" s="1169"/>
      <c r="CY134" s="1169"/>
      <c r="CZ134" s="1169"/>
      <c r="DA134" s="1168"/>
      <c r="DB134" s="1168"/>
      <c r="DC134" s="1168"/>
      <c r="DD134" s="1168"/>
      <c r="DE134" s="1168"/>
      <c r="DF134" s="1168"/>
      <c r="DG134" s="1168"/>
      <c r="DH134" s="1168"/>
      <c r="DI134" s="1168"/>
      <c r="DJ134" s="1168"/>
      <c r="DK134" s="1168"/>
      <c r="DL134" s="1168"/>
      <c r="DM134" s="1168"/>
      <c r="DN134" s="1168"/>
      <c r="DO134" s="1168"/>
      <c r="DP134" s="1168"/>
      <c r="DQ134" s="1168"/>
      <c r="DR134" s="1168"/>
      <c r="DS134" s="1168"/>
      <c r="DT134" s="1168"/>
      <c r="DU134" s="1168"/>
      <c r="DV134" s="1168"/>
      <c r="DW134" s="1168"/>
      <c r="DX134" s="1168"/>
      <c r="DY134" s="1168"/>
      <c r="DZ134" s="1168"/>
      <c r="EA134" s="1168"/>
      <c r="EB134" s="1168"/>
      <c r="EC134" s="1168"/>
      <c r="ED134" s="1168"/>
      <c r="EE134" s="1168"/>
      <c r="EF134" s="1168"/>
      <c r="EG134" s="1168"/>
      <c r="EH134" s="1168"/>
      <c r="EI134" s="1170"/>
      <c r="EJ134" s="1170"/>
      <c r="EK134" s="1170"/>
      <c r="EL134" s="1170"/>
      <c r="EM134" s="1170"/>
      <c r="EN134" s="1170"/>
      <c r="EO134" s="1170"/>
      <c r="EP134" s="1170"/>
      <c r="EQ134" s="1170"/>
      <c r="ER134" s="1170"/>
      <c r="ES134" s="1333"/>
      <c r="ET134" s="1333"/>
      <c r="EU134" s="1333"/>
      <c r="EV134" s="1333"/>
      <c r="EW134" s="1333"/>
      <c r="EX134" s="1333"/>
      <c r="EY134" s="1333"/>
      <c r="EZ134" s="1333"/>
      <c r="FA134" s="1333"/>
      <c r="FB134" s="1333"/>
      <c r="FC134" s="1333"/>
      <c r="FD134" s="1333"/>
      <c r="FE134" s="1333"/>
      <c r="FF134" s="1333"/>
      <c r="FG134" s="1333"/>
      <c r="FH134" s="1333"/>
      <c r="FI134" s="1333"/>
      <c r="FJ134" s="1333"/>
      <c r="FK134" s="1333"/>
      <c r="FL134" s="1333"/>
      <c r="FM134" s="1333"/>
      <c r="FN134" s="1333"/>
      <c r="FO134" s="1333"/>
      <c r="FP134" s="1333"/>
      <c r="FQ134" s="1333"/>
      <c r="FR134" s="1333"/>
      <c r="FS134" s="1333"/>
      <c r="FT134" s="1333"/>
      <c r="FU134" s="1333"/>
      <c r="FV134" s="1333"/>
      <c r="FW134" s="1333"/>
      <c r="FX134" s="1333"/>
      <c r="FY134" s="1333"/>
      <c r="FZ134" s="1333"/>
      <c r="GA134" s="1333"/>
      <c r="GB134" s="1333"/>
      <c r="GC134" s="1333"/>
      <c r="GD134" s="1333"/>
      <c r="GE134" s="1333"/>
      <c r="GF134" s="1333"/>
      <c r="GG134" s="1333"/>
      <c r="GH134" s="1333"/>
      <c r="GI134" s="1333"/>
      <c r="GJ134" s="1333"/>
      <c r="GK134" s="1333"/>
      <c r="GL134" s="1333"/>
      <c r="GM134" s="1333"/>
      <c r="GN134" s="1333"/>
      <c r="GO134" s="1333"/>
      <c r="GP134" s="1333"/>
      <c r="GQ134" s="1333"/>
      <c r="GR134" s="1333"/>
      <c r="GS134" s="1333"/>
      <c r="GT134" s="1333"/>
      <c r="GU134" s="1333"/>
      <c r="GV134" s="1333"/>
      <c r="GW134" s="1333"/>
      <c r="GX134" s="1333"/>
    </row>
    <row r="135" spans="1:206" s="607" customFormat="1">
      <c r="A135" s="607">
        <f t="shared" si="2"/>
        <v>1981</v>
      </c>
      <c r="B135" s="607">
        <f t="shared" si="3"/>
        <v>3</v>
      </c>
      <c r="C135" s="1173">
        <v>29768</v>
      </c>
      <c r="D135" s="1709"/>
      <c r="E135" s="1117"/>
      <c r="F135" s="1117"/>
      <c r="G135" s="1117"/>
      <c r="H135" s="1117"/>
      <c r="I135" s="959">
        <v>359.82189927269525</v>
      </c>
      <c r="J135" s="959">
        <v>408.61363636359999</v>
      </c>
      <c r="K135" s="960"/>
      <c r="L135" s="1121"/>
      <c r="M135" s="916"/>
      <c r="N135" s="916"/>
      <c r="O135" s="1332"/>
      <c r="P135" s="1332"/>
      <c r="Q135" s="1332"/>
      <c r="R135" s="1332"/>
      <c r="S135" s="1332"/>
      <c r="T135" s="1332"/>
      <c r="U135" s="1120"/>
      <c r="V135" s="1120"/>
      <c r="W135" s="1120"/>
      <c r="X135" s="1120"/>
      <c r="Y135" s="1119"/>
      <c r="Z135" s="1119"/>
      <c r="AA135" s="1119"/>
      <c r="AB135" s="1119"/>
      <c r="AC135" s="1178"/>
      <c r="AD135" s="1178"/>
      <c r="AE135" s="1178"/>
      <c r="AF135" s="1178"/>
      <c r="AG135" s="1178"/>
      <c r="AH135" s="1178"/>
      <c r="AI135" s="1178"/>
      <c r="AJ135" s="1178"/>
      <c r="AK135" s="919"/>
      <c r="AL135" s="1104"/>
      <c r="AM135" s="919"/>
      <c r="AN135" s="1710"/>
      <c r="AO135" s="919"/>
      <c r="AP135" s="919"/>
      <c r="AS135" s="1167"/>
      <c r="AT135" s="1167"/>
      <c r="AU135" s="1168"/>
      <c r="AV135" s="1168"/>
      <c r="AW135" s="1169"/>
      <c r="AX135" s="1169"/>
      <c r="AY135" s="1169"/>
      <c r="AZ135" s="1169"/>
      <c r="BA135" s="1799" t="s">
        <v>3</v>
      </c>
      <c r="BB135" s="1802">
        <v>2013</v>
      </c>
      <c r="BC135" s="1799" t="s">
        <v>51</v>
      </c>
      <c r="BD135" s="1799">
        <v>7</v>
      </c>
      <c r="BE135" s="1800">
        <v>54035605</v>
      </c>
      <c r="BF135" s="1801">
        <v>1.7000000000000001E-2</v>
      </c>
      <c r="BG135" s="1799"/>
      <c r="BH135" s="1799" t="s">
        <v>0</v>
      </c>
      <c r="BI135" s="1799" t="s">
        <v>310</v>
      </c>
      <c r="BJ135" s="1799" t="s">
        <v>22</v>
      </c>
      <c r="BK135" s="1799">
        <v>5</v>
      </c>
      <c r="BL135" s="1800">
        <v>400842293.80417907</v>
      </c>
      <c r="BM135" s="1801">
        <v>0.10698433629592388</v>
      </c>
      <c r="BN135" s="1799">
        <v>2005</v>
      </c>
      <c r="BO135" s="1684"/>
      <c r="BP135" s="1696"/>
      <c r="BQ135" s="1169"/>
      <c r="BR135" s="1169"/>
      <c r="BS135" s="1169"/>
      <c r="BT135" s="1169"/>
      <c r="BU135" s="1169"/>
      <c r="BV135" s="1169"/>
      <c r="BW135" s="1169"/>
      <c r="BX135" s="1169"/>
      <c r="BY135" s="1169"/>
      <c r="BZ135" s="1169"/>
      <c r="CA135" s="1169"/>
      <c r="CB135" s="1169"/>
      <c r="CC135" s="1169"/>
      <c r="CD135" s="1169"/>
      <c r="CE135" s="1169"/>
      <c r="CF135" s="1169"/>
      <c r="CG135" s="1169"/>
      <c r="CH135" s="1169"/>
      <c r="CI135" s="1169"/>
      <c r="CJ135" s="1169"/>
      <c r="CK135" s="1169"/>
      <c r="CL135" s="1169"/>
      <c r="CM135" s="1169"/>
      <c r="CN135" s="1169"/>
      <c r="CO135" s="1169"/>
      <c r="CP135" s="1169"/>
      <c r="CQ135" s="1169"/>
      <c r="CR135" s="1169"/>
      <c r="CS135" s="1169"/>
      <c r="CT135" s="1169"/>
      <c r="CU135" s="1169"/>
      <c r="CV135" s="1169"/>
      <c r="CW135" s="1169"/>
      <c r="CX135" s="1169"/>
      <c r="CY135" s="1169"/>
      <c r="CZ135" s="1169"/>
      <c r="DA135" s="1168"/>
      <c r="DB135" s="1168"/>
      <c r="DC135" s="1168"/>
      <c r="DD135" s="1168"/>
      <c r="DE135" s="1168"/>
      <c r="DF135" s="1168"/>
      <c r="DG135" s="1168"/>
      <c r="DH135" s="1168"/>
      <c r="DI135" s="1168"/>
      <c r="DJ135" s="1168"/>
      <c r="DK135" s="1168"/>
      <c r="DL135" s="1168"/>
      <c r="DM135" s="1168"/>
      <c r="DN135" s="1168"/>
      <c r="DO135" s="1168"/>
      <c r="DP135" s="1168"/>
      <c r="DQ135" s="1168"/>
      <c r="DR135" s="1168"/>
      <c r="DS135" s="1168"/>
      <c r="DT135" s="1168"/>
      <c r="DU135" s="1168"/>
      <c r="DV135" s="1168"/>
      <c r="DW135" s="1168"/>
      <c r="DX135" s="1168"/>
      <c r="DY135" s="1168"/>
      <c r="DZ135" s="1168"/>
      <c r="EA135" s="1168"/>
      <c r="EB135" s="1168"/>
      <c r="EC135" s="1168"/>
      <c r="ED135" s="1168"/>
      <c r="EE135" s="1168"/>
      <c r="EF135" s="1168"/>
      <c r="EG135" s="1168"/>
      <c r="EH135" s="1168"/>
      <c r="EI135" s="1170"/>
      <c r="EJ135" s="1170"/>
      <c r="EK135" s="1170"/>
      <c r="EL135" s="1170"/>
      <c r="EM135" s="1170"/>
      <c r="EN135" s="1170"/>
      <c r="EO135" s="1170"/>
      <c r="EP135" s="1170"/>
      <c r="EQ135" s="1170"/>
      <c r="ER135" s="1170"/>
      <c r="ES135" s="1333"/>
      <c r="ET135" s="1333"/>
      <c r="EU135" s="1333"/>
      <c r="EV135" s="1333"/>
      <c r="EW135" s="1333"/>
      <c r="EX135" s="1333"/>
      <c r="EY135" s="1333"/>
      <c r="EZ135" s="1333"/>
      <c r="FA135" s="1333"/>
      <c r="FB135" s="1333"/>
      <c r="FC135" s="1333"/>
      <c r="FD135" s="1333"/>
      <c r="FE135" s="1333"/>
      <c r="FF135" s="1333"/>
      <c r="FG135" s="1333"/>
      <c r="FH135" s="1333"/>
      <c r="FI135" s="1333"/>
      <c r="FJ135" s="1333"/>
      <c r="FK135" s="1333"/>
      <c r="FL135" s="1333"/>
      <c r="FM135" s="1333"/>
      <c r="FN135" s="1333"/>
      <c r="FO135" s="1333"/>
      <c r="FP135" s="1333"/>
      <c r="FQ135" s="1333"/>
      <c r="FR135" s="1333"/>
      <c r="FS135" s="1333"/>
      <c r="FT135" s="1333"/>
      <c r="FU135" s="1333"/>
      <c r="FV135" s="1333"/>
      <c r="FW135" s="1333"/>
      <c r="FX135" s="1333"/>
      <c r="FY135" s="1333"/>
      <c r="FZ135" s="1333"/>
      <c r="GA135" s="1333"/>
      <c r="GB135" s="1333"/>
      <c r="GC135" s="1333"/>
      <c r="GD135" s="1333"/>
      <c r="GE135" s="1333"/>
      <c r="GF135" s="1333"/>
      <c r="GG135" s="1333"/>
      <c r="GH135" s="1333"/>
      <c r="GI135" s="1333"/>
      <c r="GJ135" s="1333"/>
      <c r="GK135" s="1333"/>
      <c r="GL135" s="1333"/>
      <c r="GM135" s="1333"/>
      <c r="GN135" s="1333"/>
      <c r="GO135" s="1333"/>
      <c r="GP135" s="1333"/>
      <c r="GQ135" s="1333"/>
      <c r="GR135" s="1333"/>
      <c r="GS135" s="1333"/>
      <c r="GT135" s="1333"/>
      <c r="GU135" s="1333"/>
      <c r="GV135" s="1333"/>
      <c r="GW135" s="1333"/>
      <c r="GX135" s="1333"/>
    </row>
    <row r="136" spans="1:206" s="607" customFormat="1">
      <c r="A136" s="607">
        <f t="shared" si="2"/>
        <v>1981</v>
      </c>
      <c r="B136" s="607">
        <f t="shared" si="3"/>
        <v>3</v>
      </c>
      <c r="C136" s="1173">
        <v>29801</v>
      </c>
      <c r="D136" s="957"/>
      <c r="E136" s="920"/>
      <c r="F136" s="920"/>
      <c r="G136" s="920"/>
      <c r="H136" s="920"/>
      <c r="I136" s="954">
        <v>357.0625921075</v>
      </c>
      <c r="J136" s="954">
        <v>410.90750000000003</v>
      </c>
      <c r="K136" s="954"/>
      <c r="L136" s="920"/>
      <c r="M136" s="917"/>
      <c r="N136" s="917"/>
      <c r="O136" s="1334"/>
      <c r="P136" s="1334"/>
      <c r="Q136" s="1334"/>
      <c r="R136" s="1334"/>
      <c r="S136" s="1334"/>
      <c r="T136" s="1334"/>
      <c r="U136" s="920"/>
      <c r="V136" s="920"/>
      <c r="W136" s="920"/>
      <c r="X136" s="920"/>
      <c r="Y136" s="920"/>
      <c r="Z136" s="920"/>
      <c r="AA136" s="920"/>
      <c r="AB136" s="920"/>
      <c r="AC136" s="920"/>
      <c r="AD136" s="920"/>
      <c r="AE136" s="920"/>
      <c r="AF136" s="920"/>
      <c r="AG136" s="920"/>
      <c r="AH136" s="920"/>
      <c r="AI136" s="920"/>
      <c r="AJ136" s="920"/>
      <c r="AK136" s="920"/>
      <c r="AL136" s="1105"/>
      <c r="AM136" s="920"/>
      <c r="AN136" s="1711"/>
      <c r="AO136" s="920"/>
      <c r="AP136" s="920"/>
      <c r="AS136" s="1167"/>
      <c r="AT136" s="1167"/>
      <c r="AU136" s="1168"/>
      <c r="AV136" s="1168"/>
      <c r="AW136" s="1169"/>
      <c r="AX136" s="1169"/>
      <c r="AY136" s="1169"/>
      <c r="AZ136" s="1169"/>
      <c r="BA136" s="1799" t="s">
        <v>3</v>
      </c>
      <c r="BB136" s="1802">
        <v>2013</v>
      </c>
      <c r="BC136" s="1799" t="s">
        <v>23</v>
      </c>
      <c r="BD136" s="1799">
        <v>8</v>
      </c>
      <c r="BE136" s="1800">
        <v>49159893</v>
      </c>
      <c r="BF136" s="1801">
        <v>1.6E-2</v>
      </c>
      <c r="BG136" s="1799"/>
      <c r="BH136" s="1799" t="s">
        <v>0</v>
      </c>
      <c r="BI136" s="1799" t="s">
        <v>310</v>
      </c>
      <c r="BJ136" s="1799" t="s">
        <v>44</v>
      </c>
      <c r="BK136" s="1799">
        <v>6</v>
      </c>
      <c r="BL136" s="1800">
        <v>367007730.57900095</v>
      </c>
      <c r="BM136" s="1801">
        <v>9.7953931205296149E-2</v>
      </c>
      <c r="BN136" s="1799">
        <v>2005</v>
      </c>
      <c r="BO136" s="1684"/>
      <c r="BP136" s="1696"/>
      <c r="BQ136" s="1169"/>
      <c r="BR136" s="1169"/>
      <c r="BS136" s="1169"/>
      <c r="BT136" s="1169"/>
      <c r="BU136" s="1169"/>
      <c r="BV136" s="1169"/>
      <c r="BW136" s="1169"/>
      <c r="BX136" s="1169"/>
      <c r="BY136" s="1169"/>
      <c r="BZ136" s="1169"/>
      <c r="CA136" s="1169"/>
      <c r="CB136" s="1169"/>
      <c r="CC136" s="1169"/>
      <c r="CD136" s="1169"/>
      <c r="CE136" s="1169"/>
      <c r="CF136" s="1169"/>
      <c r="CG136" s="1169"/>
      <c r="CH136" s="1169"/>
      <c r="CI136" s="1169"/>
      <c r="CJ136" s="1169"/>
      <c r="CK136" s="1169"/>
      <c r="CL136" s="1169"/>
      <c r="CM136" s="1169"/>
      <c r="CN136" s="1169"/>
      <c r="CO136" s="1169"/>
      <c r="CP136" s="1169"/>
      <c r="CQ136" s="1169"/>
      <c r="CR136" s="1169"/>
      <c r="CS136" s="1169"/>
      <c r="CT136" s="1169"/>
      <c r="CU136" s="1169"/>
      <c r="CV136" s="1169"/>
      <c r="CW136" s="1169"/>
      <c r="CX136" s="1169"/>
      <c r="CY136" s="1169"/>
      <c r="CZ136" s="1169"/>
      <c r="DA136" s="1168"/>
      <c r="DB136" s="1168"/>
      <c r="DC136" s="1168"/>
      <c r="DD136" s="1168"/>
      <c r="DE136" s="1168"/>
      <c r="DF136" s="1168"/>
      <c r="DG136" s="1168"/>
      <c r="DH136" s="1168"/>
      <c r="DI136" s="1168"/>
      <c r="DJ136" s="1168"/>
      <c r="DK136" s="1168"/>
      <c r="DL136" s="1168"/>
      <c r="DM136" s="1168"/>
      <c r="DN136" s="1168"/>
      <c r="DO136" s="1168"/>
      <c r="DP136" s="1168"/>
      <c r="DQ136" s="1168"/>
      <c r="DR136" s="1168"/>
      <c r="DS136" s="1168"/>
      <c r="DT136" s="1168"/>
      <c r="DU136" s="1168"/>
      <c r="DV136" s="1168"/>
      <c r="DW136" s="1168"/>
      <c r="DX136" s="1168"/>
      <c r="DY136" s="1168"/>
      <c r="DZ136" s="1168"/>
      <c r="EA136" s="1168"/>
      <c r="EB136" s="1168"/>
      <c r="EC136" s="1168"/>
      <c r="ED136" s="1168"/>
      <c r="EE136" s="1168"/>
      <c r="EF136" s="1168"/>
      <c r="EG136" s="1168"/>
      <c r="EH136" s="1168"/>
      <c r="EI136" s="1170"/>
      <c r="EJ136" s="1170"/>
      <c r="EK136" s="1170"/>
      <c r="EL136" s="1170"/>
      <c r="EM136" s="1170"/>
      <c r="EN136" s="1170"/>
      <c r="EO136" s="1170"/>
      <c r="EP136" s="1170"/>
      <c r="EQ136" s="1170"/>
      <c r="ER136" s="1170"/>
      <c r="ES136" s="1333"/>
      <c r="ET136" s="1333"/>
      <c r="EU136" s="1333"/>
      <c r="EV136" s="1333"/>
      <c r="EW136" s="1333"/>
      <c r="EX136" s="1333"/>
      <c r="EY136" s="1333"/>
      <c r="EZ136" s="1333"/>
      <c r="FA136" s="1333"/>
      <c r="FB136" s="1333"/>
      <c r="FC136" s="1333"/>
      <c r="FD136" s="1333"/>
      <c r="FE136" s="1333"/>
      <c r="FF136" s="1333"/>
      <c r="FG136" s="1333"/>
      <c r="FH136" s="1333"/>
      <c r="FI136" s="1333"/>
      <c r="FJ136" s="1333"/>
      <c r="FK136" s="1333"/>
      <c r="FL136" s="1333"/>
      <c r="FM136" s="1333"/>
      <c r="FN136" s="1333"/>
      <c r="FO136" s="1333"/>
      <c r="FP136" s="1333"/>
      <c r="FQ136" s="1333"/>
      <c r="FR136" s="1333"/>
      <c r="FS136" s="1333"/>
      <c r="FT136" s="1333"/>
      <c r="FU136" s="1333"/>
      <c r="FV136" s="1333"/>
      <c r="FW136" s="1333"/>
      <c r="FX136" s="1333"/>
      <c r="FY136" s="1333"/>
      <c r="FZ136" s="1333"/>
      <c r="GA136" s="1333"/>
      <c r="GB136" s="1333"/>
      <c r="GC136" s="1333"/>
      <c r="GD136" s="1333"/>
      <c r="GE136" s="1333"/>
      <c r="GF136" s="1333"/>
      <c r="GG136" s="1333"/>
      <c r="GH136" s="1333"/>
      <c r="GI136" s="1333"/>
      <c r="GJ136" s="1333"/>
      <c r="GK136" s="1333"/>
      <c r="GL136" s="1333"/>
      <c r="GM136" s="1333"/>
      <c r="GN136" s="1333"/>
      <c r="GO136" s="1333"/>
      <c r="GP136" s="1333"/>
      <c r="GQ136" s="1333"/>
      <c r="GR136" s="1333"/>
      <c r="GS136" s="1333"/>
      <c r="GT136" s="1333"/>
      <c r="GU136" s="1333"/>
      <c r="GV136" s="1333"/>
      <c r="GW136" s="1333"/>
      <c r="GX136" s="1333"/>
    </row>
    <row r="137" spans="1:206" s="607" customFormat="1">
      <c r="A137" s="607">
        <f t="shared" ref="A137:A200" si="4">YEAR(C137)</f>
        <v>1981</v>
      </c>
      <c r="B137" s="607">
        <f t="shared" ref="B137:B200" si="5">IF(OR(MONTH(C137)=1,MONTH(C137)=2,MONTH(C137)=3),1,IF(OR(MONTH(C137)=4,MONTH(C137)=5,MONTH(C137)=6),2,IF(OR(MONTH(C137)=7,MONTH(C137)=8,MONTH(C137)=9),3,4)))</f>
        <v>3</v>
      </c>
      <c r="C137" s="1173">
        <v>29830</v>
      </c>
      <c r="D137" s="1709"/>
      <c r="E137" s="1117"/>
      <c r="F137" s="1117"/>
      <c r="G137" s="1117"/>
      <c r="H137" s="1117"/>
      <c r="I137" s="959">
        <v>389.08057293750795</v>
      </c>
      <c r="J137" s="959">
        <v>444.09659090909997</v>
      </c>
      <c r="K137" s="960"/>
      <c r="L137" s="1121"/>
      <c r="M137" s="916"/>
      <c r="N137" s="916"/>
      <c r="O137" s="1332"/>
      <c r="P137" s="1332"/>
      <c r="Q137" s="1332"/>
      <c r="R137" s="1332"/>
      <c r="S137" s="1332"/>
      <c r="T137" s="1332"/>
      <c r="U137" s="1120"/>
      <c r="V137" s="1120"/>
      <c r="W137" s="1120"/>
      <c r="X137" s="1120"/>
      <c r="Y137" s="1119"/>
      <c r="Z137" s="1119"/>
      <c r="AA137" s="1119"/>
      <c r="AB137" s="1119"/>
      <c r="AC137" s="1178"/>
      <c r="AD137" s="1178"/>
      <c r="AE137" s="1178"/>
      <c r="AF137" s="1178"/>
      <c r="AG137" s="1178"/>
      <c r="AH137" s="1178"/>
      <c r="AI137" s="1178"/>
      <c r="AJ137" s="1178"/>
      <c r="AK137" s="919"/>
      <c r="AL137" s="1104"/>
      <c r="AM137" s="919"/>
      <c r="AN137" s="1710"/>
      <c r="AO137" s="919"/>
      <c r="AP137" s="919"/>
      <c r="AS137" s="1167"/>
      <c r="AT137" s="1167"/>
      <c r="AU137" s="1168"/>
      <c r="AV137" s="1168"/>
      <c r="AW137" s="1169"/>
      <c r="AX137" s="1169"/>
      <c r="AY137" s="1169"/>
      <c r="AZ137" s="1169"/>
      <c r="BA137" s="1799" t="s">
        <v>3</v>
      </c>
      <c r="BB137" s="1802">
        <v>2013</v>
      </c>
      <c r="BC137" s="1799" t="s">
        <v>48</v>
      </c>
      <c r="BD137" s="1799">
        <v>9</v>
      </c>
      <c r="BE137" s="1800">
        <v>47634777</v>
      </c>
      <c r="BF137" s="1801">
        <v>1.4999999999999999E-2</v>
      </c>
      <c r="BG137" s="1799"/>
      <c r="BH137" s="1799" t="s">
        <v>0</v>
      </c>
      <c r="BI137" s="1799" t="s">
        <v>310</v>
      </c>
      <c r="BJ137" s="1799" t="s">
        <v>447</v>
      </c>
      <c r="BK137" s="1799">
        <v>7</v>
      </c>
      <c r="BL137" s="1800">
        <v>263713385.35119495</v>
      </c>
      <c r="BM137" s="1801">
        <v>7.0384792074689659E-2</v>
      </c>
      <c r="BN137" s="1799">
        <v>2005</v>
      </c>
      <c r="BO137" s="1684"/>
      <c r="BP137" s="1697"/>
      <c r="BQ137" s="1169"/>
      <c r="BR137" s="1169"/>
      <c r="BS137" s="1169"/>
      <c r="BT137" s="1169"/>
      <c r="BU137" s="1169"/>
      <c r="BV137" s="1169"/>
      <c r="BW137" s="1169"/>
      <c r="BX137" s="1169"/>
      <c r="BY137" s="1169"/>
      <c r="BZ137" s="1169"/>
      <c r="CA137" s="1169"/>
      <c r="CB137" s="1169"/>
      <c r="CC137" s="1169"/>
      <c r="CD137" s="1169"/>
      <c r="CE137" s="1169"/>
      <c r="CF137" s="1169"/>
      <c r="CG137" s="1169"/>
      <c r="CH137" s="1169"/>
      <c r="CI137" s="1169"/>
      <c r="CJ137" s="1169"/>
      <c r="CK137" s="1169"/>
      <c r="CL137" s="1169"/>
      <c r="CM137" s="1169"/>
      <c r="CN137" s="1169"/>
      <c r="CO137" s="1169"/>
      <c r="CP137" s="1169"/>
      <c r="CQ137" s="1169"/>
      <c r="CR137" s="1169"/>
      <c r="CS137" s="1169"/>
      <c r="CT137" s="1169"/>
      <c r="CU137" s="1169"/>
      <c r="CV137" s="1169"/>
      <c r="CW137" s="1169"/>
      <c r="CX137" s="1169"/>
      <c r="CY137" s="1169"/>
      <c r="CZ137" s="1169"/>
      <c r="DA137" s="1168"/>
      <c r="DB137" s="1168"/>
      <c r="DC137" s="1168"/>
      <c r="DD137" s="1168"/>
      <c r="DE137" s="1168"/>
      <c r="DF137" s="1168"/>
      <c r="DG137" s="1168"/>
      <c r="DH137" s="1168"/>
      <c r="DI137" s="1168"/>
      <c r="DJ137" s="1168"/>
      <c r="DK137" s="1168"/>
      <c r="DL137" s="1168"/>
      <c r="DM137" s="1168"/>
      <c r="DN137" s="1168"/>
      <c r="DO137" s="1168"/>
      <c r="DP137" s="1168"/>
      <c r="DQ137" s="1168"/>
      <c r="DR137" s="1168"/>
      <c r="DS137" s="1168"/>
      <c r="DT137" s="1168"/>
      <c r="DU137" s="1168"/>
      <c r="DV137" s="1168"/>
      <c r="DW137" s="1168"/>
      <c r="DX137" s="1168"/>
      <c r="DY137" s="1168"/>
      <c r="DZ137" s="1168"/>
      <c r="EA137" s="1168"/>
      <c r="EB137" s="1168"/>
      <c r="EC137" s="1168"/>
      <c r="ED137" s="1168"/>
      <c r="EE137" s="1168"/>
      <c r="EF137" s="1168"/>
      <c r="EG137" s="1168"/>
      <c r="EH137" s="1168"/>
      <c r="EI137" s="1170"/>
      <c r="EJ137" s="1170"/>
      <c r="EK137" s="1170"/>
      <c r="EL137" s="1170"/>
      <c r="EM137" s="1170"/>
      <c r="EN137" s="1170"/>
      <c r="EO137" s="1170"/>
      <c r="EP137" s="1170"/>
      <c r="EQ137" s="1170"/>
      <c r="ER137" s="1170"/>
      <c r="ES137" s="1333"/>
      <c r="ET137" s="1333"/>
      <c r="EU137" s="1333"/>
      <c r="EV137" s="1333"/>
      <c r="EW137" s="1333"/>
      <c r="EX137" s="1333"/>
      <c r="EY137" s="1333"/>
      <c r="EZ137" s="1333"/>
      <c r="FA137" s="1333"/>
      <c r="FB137" s="1333"/>
      <c r="FC137" s="1333"/>
      <c r="FD137" s="1333"/>
      <c r="FE137" s="1333"/>
      <c r="FF137" s="1333"/>
      <c r="FG137" s="1333"/>
      <c r="FH137" s="1333"/>
      <c r="FI137" s="1333"/>
      <c r="FJ137" s="1333"/>
      <c r="FK137" s="1333"/>
      <c r="FL137" s="1333"/>
      <c r="FM137" s="1333"/>
      <c r="FN137" s="1333"/>
      <c r="FO137" s="1333"/>
      <c r="FP137" s="1333"/>
      <c r="FQ137" s="1333"/>
      <c r="FR137" s="1333"/>
      <c r="FS137" s="1333"/>
      <c r="FT137" s="1333"/>
      <c r="FU137" s="1333"/>
      <c r="FV137" s="1333"/>
      <c r="FW137" s="1333"/>
      <c r="FX137" s="1333"/>
      <c r="FY137" s="1333"/>
      <c r="FZ137" s="1333"/>
      <c r="GA137" s="1333"/>
      <c r="GB137" s="1333"/>
      <c r="GC137" s="1333"/>
      <c r="GD137" s="1333"/>
      <c r="GE137" s="1333"/>
      <c r="GF137" s="1333"/>
      <c r="GG137" s="1333"/>
      <c r="GH137" s="1333"/>
      <c r="GI137" s="1333"/>
      <c r="GJ137" s="1333"/>
      <c r="GK137" s="1333"/>
      <c r="GL137" s="1333"/>
      <c r="GM137" s="1333"/>
      <c r="GN137" s="1333"/>
      <c r="GO137" s="1333"/>
      <c r="GP137" s="1333"/>
      <c r="GQ137" s="1333"/>
      <c r="GR137" s="1333"/>
      <c r="GS137" s="1333"/>
      <c r="GT137" s="1333"/>
      <c r="GU137" s="1333"/>
      <c r="GV137" s="1333"/>
      <c r="GW137" s="1333"/>
      <c r="GX137" s="1333"/>
    </row>
    <row r="138" spans="1:206" s="607" customFormat="1">
      <c r="A138" s="607">
        <f t="shared" si="4"/>
        <v>1981</v>
      </c>
      <c r="B138" s="607">
        <f t="shared" si="5"/>
        <v>4</v>
      </c>
      <c r="C138" s="1173">
        <v>29860</v>
      </c>
      <c r="D138" s="957"/>
      <c r="E138" s="920"/>
      <c r="F138" s="920"/>
      <c r="G138" s="920"/>
      <c r="H138" s="920"/>
      <c r="I138" s="954">
        <v>385.55154440110431</v>
      </c>
      <c r="J138" s="954">
        <v>437.60113636360001</v>
      </c>
      <c r="K138" s="954"/>
      <c r="L138" s="920"/>
      <c r="M138" s="917"/>
      <c r="N138" s="917"/>
      <c r="O138" s="1334"/>
      <c r="P138" s="1334"/>
      <c r="Q138" s="1334"/>
      <c r="R138" s="1334"/>
      <c r="S138" s="1334"/>
      <c r="T138" s="1334"/>
      <c r="U138" s="920"/>
      <c r="V138" s="920"/>
      <c r="W138" s="920"/>
      <c r="X138" s="920"/>
      <c r="Y138" s="920"/>
      <c r="Z138" s="920"/>
      <c r="AA138" s="920"/>
      <c r="AB138" s="920"/>
      <c r="AC138" s="920"/>
      <c r="AD138" s="920"/>
      <c r="AE138" s="920"/>
      <c r="AF138" s="920"/>
      <c r="AG138" s="920"/>
      <c r="AH138" s="920"/>
      <c r="AI138" s="920"/>
      <c r="AJ138" s="920"/>
      <c r="AK138" s="920"/>
      <c r="AL138" s="1105"/>
      <c r="AM138" s="920"/>
      <c r="AN138" s="1711"/>
      <c r="AO138" s="920"/>
      <c r="AP138" s="920"/>
      <c r="AS138" s="1167"/>
      <c r="AT138" s="1167"/>
      <c r="AU138" s="1168"/>
      <c r="AV138" s="1168"/>
      <c r="AW138" s="1169"/>
      <c r="AX138" s="1169"/>
      <c r="AY138" s="1169"/>
      <c r="AZ138" s="1169"/>
      <c r="BA138" s="1799" t="s">
        <v>3</v>
      </c>
      <c r="BB138" s="1802">
        <v>2013</v>
      </c>
      <c r="BC138" s="1799" t="s">
        <v>43</v>
      </c>
      <c r="BD138" s="1799">
        <v>10</v>
      </c>
      <c r="BE138" s="1800">
        <v>33285494</v>
      </c>
      <c r="BF138" s="1801">
        <v>1.0999999999999999E-2</v>
      </c>
      <c r="BG138" s="1799"/>
      <c r="BH138" s="1799" t="s">
        <v>0</v>
      </c>
      <c r="BI138" s="1799" t="s">
        <v>310</v>
      </c>
      <c r="BJ138" s="1799" t="s">
        <v>19</v>
      </c>
      <c r="BK138" s="1799">
        <v>8</v>
      </c>
      <c r="BL138" s="1800">
        <v>101866242.47439519</v>
      </c>
      <c r="BM138" s="1801">
        <v>2.7187980187057793E-2</v>
      </c>
      <c r="BN138" s="1799">
        <v>2005</v>
      </c>
      <c r="BO138" s="1684"/>
      <c r="BP138" s="1696"/>
      <c r="BQ138" s="1169"/>
      <c r="BR138" s="1169"/>
      <c r="BS138" s="1169"/>
      <c r="BT138" s="1169"/>
      <c r="BU138" s="1169"/>
      <c r="BV138" s="1169"/>
      <c r="BW138" s="1169"/>
      <c r="BX138" s="1169"/>
      <c r="BY138" s="1169"/>
      <c r="BZ138" s="1169"/>
      <c r="CA138" s="1169"/>
      <c r="CB138" s="1169"/>
      <c r="CC138" s="1169"/>
      <c r="CD138" s="1169"/>
      <c r="CE138" s="1169"/>
      <c r="CF138" s="1169"/>
      <c r="CG138" s="1169"/>
      <c r="CH138" s="1169"/>
      <c r="CI138" s="1169"/>
      <c r="CJ138" s="1169"/>
      <c r="CK138" s="1169"/>
      <c r="CL138" s="1169"/>
      <c r="CM138" s="1169"/>
      <c r="CN138" s="1169"/>
      <c r="CO138" s="1169"/>
      <c r="CP138" s="1169"/>
      <c r="CQ138" s="1169"/>
      <c r="CR138" s="1169"/>
      <c r="CS138" s="1169"/>
      <c r="CT138" s="1169"/>
      <c r="CU138" s="1169"/>
      <c r="CV138" s="1169"/>
      <c r="CW138" s="1169"/>
      <c r="CX138" s="1169"/>
      <c r="CY138" s="1169"/>
      <c r="CZ138" s="1169"/>
      <c r="DA138" s="1168"/>
      <c r="DB138" s="1168"/>
      <c r="DC138" s="1168"/>
      <c r="DD138" s="1168"/>
      <c r="DE138" s="1168"/>
      <c r="DF138" s="1168"/>
      <c r="DG138" s="1168"/>
      <c r="DH138" s="1168"/>
      <c r="DI138" s="1168"/>
      <c r="DJ138" s="1168"/>
      <c r="DK138" s="1168"/>
      <c r="DL138" s="1168"/>
      <c r="DM138" s="1168"/>
      <c r="DN138" s="1168"/>
      <c r="DO138" s="1168"/>
      <c r="DP138" s="1168"/>
      <c r="DQ138" s="1168"/>
      <c r="DR138" s="1168"/>
      <c r="DS138" s="1168"/>
      <c r="DT138" s="1168"/>
      <c r="DU138" s="1168"/>
      <c r="DV138" s="1168"/>
      <c r="DW138" s="1168"/>
      <c r="DX138" s="1168"/>
      <c r="DY138" s="1168"/>
      <c r="DZ138" s="1168"/>
      <c r="EA138" s="1168"/>
      <c r="EB138" s="1168"/>
      <c r="EC138" s="1168"/>
      <c r="ED138" s="1168"/>
      <c r="EE138" s="1168"/>
      <c r="EF138" s="1168"/>
      <c r="EG138" s="1168"/>
      <c r="EH138" s="1168"/>
      <c r="EI138" s="1170"/>
      <c r="EJ138" s="1170"/>
      <c r="EK138" s="1170"/>
      <c r="EL138" s="1170"/>
      <c r="EM138" s="1170"/>
      <c r="EN138" s="1170"/>
      <c r="EO138" s="1170"/>
      <c r="EP138" s="1170"/>
      <c r="EQ138" s="1170"/>
      <c r="ER138" s="1170"/>
      <c r="ES138" s="1333"/>
      <c r="ET138" s="1333"/>
      <c r="EU138" s="1333"/>
      <c r="EV138" s="1333"/>
      <c r="EW138" s="1333"/>
      <c r="EX138" s="1333"/>
      <c r="EY138" s="1333"/>
      <c r="EZ138" s="1333"/>
      <c r="FA138" s="1333"/>
      <c r="FB138" s="1333"/>
      <c r="FC138" s="1333"/>
      <c r="FD138" s="1333"/>
      <c r="FE138" s="1333"/>
      <c r="FF138" s="1333"/>
      <c r="FG138" s="1333"/>
      <c r="FH138" s="1333"/>
      <c r="FI138" s="1333"/>
      <c r="FJ138" s="1333"/>
      <c r="FK138" s="1333"/>
      <c r="FL138" s="1333"/>
      <c r="FM138" s="1333"/>
      <c r="FN138" s="1333"/>
      <c r="FO138" s="1333"/>
      <c r="FP138" s="1333"/>
      <c r="FQ138" s="1333"/>
      <c r="FR138" s="1333"/>
      <c r="FS138" s="1333"/>
      <c r="FT138" s="1333"/>
      <c r="FU138" s="1333"/>
      <c r="FV138" s="1333"/>
      <c r="FW138" s="1333"/>
      <c r="FX138" s="1333"/>
      <c r="FY138" s="1333"/>
      <c r="FZ138" s="1333"/>
      <c r="GA138" s="1333"/>
      <c r="GB138" s="1333"/>
      <c r="GC138" s="1333"/>
      <c r="GD138" s="1333"/>
      <c r="GE138" s="1333"/>
      <c r="GF138" s="1333"/>
      <c r="GG138" s="1333"/>
      <c r="GH138" s="1333"/>
      <c r="GI138" s="1333"/>
      <c r="GJ138" s="1333"/>
      <c r="GK138" s="1333"/>
      <c r="GL138" s="1333"/>
      <c r="GM138" s="1333"/>
      <c r="GN138" s="1333"/>
      <c r="GO138" s="1333"/>
      <c r="GP138" s="1333"/>
      <c r="GQ138" s="1333"/>
      <c r="GR138" s="1333"/>
      <c r="GS138" s="1333"/>
      <c r="GT138" s="1333"/>
      <c r="GU138" s="1333"/>
      <c r="GV138" s="1333"/>
      <c r="GW138" s="1333"/>
      <c r="GX138" s="1333"/>
    </row>
    <row r="139" spans="1:206" s="607" customFormat="1">
      <c r="A139" s="607">
        <f t="shared" si="4"/>
        <v>1981</v>
      </c>
      <c r="B139" s="607">
        <f t="shared" si="5"/>
        <v>4</v>
      </c>
      <c r="C139" s="1173">
        <v>29892</v>
      </c>
      <c r="D139" s="1709"/>
      <c r="E139" s="1117"/>
      <c r="F139" s="1117"/>
      <c r="G139" s="1117"/>
      <c r="H139" s="1117"/>
      <c r="I139" s="959">
        <v>358.44565885715525</v>
      </c>
      <c r="J139" s="959">
        <v>412.71428571429999</v>
      </c>
      <c r="K139" s="960"/>
      <c r="L139" s="1121"/>
      <c r="M139" s="916"/>
      <c r="N139" s="916"/>
      <c r="O139" s="1332"/>
      <c r="P139" s="1332"/>
      <c r="Q139" s="1332"/>
      <c r="R139" s="1332"/>
      <c r="S139" s="1332"/>
      <c r="T139" s="1332"/>
      <c r="U139" s="1120"/>
      <c r="V139" s="1120"/>
      <c r="W139" s="1120"/>
      <c r="X139" s="1120"/>
      <c r="Y139" s="1119"/>
      <c r="Z139" s="1119"/>
      <c r="AA139" s="1119"/>
      <c r="AB139" s="1119"/>
      <c r="AC139" s="1178"/>
      <c r="AD139" s="1178"/>
      <c r="AE139" s="1178"/>
      <c r="AF139" s="1178"/>
      <c r="AG139" s="1178"/>
      <c r="AH139" s="1178"/>
      <c r="AI139" s="1178"/>
      <c r="AJ139" s="1178"/>
      <c r="AK139" s="919"/>
      <c r="AL139" s="1104"/>
      <c r="AM139" s="919"/>
      <c r="AN139" s="1710"/>
      <c r="AO139" s="919"/>
      <c r="AP139" s="919"/>
      <c r="AS139" s="1167"/>
      <c r="AT139" s="1167"/>
      <c r="AU139" s="1168"/>
      <c r="AV139" s="1168"/>
      <c r="AW139" s="1169"/>
      <c r="AX139" s="1169"/>
      <c r="AY139" s="1169"/>
      <c r="AZ139" s="1169"/>
      <c r="BA139" s="1799" t="s">
        <v>3</v>
      </c>
      <c r="BB139" s="1802">
        <v>2013</v>
      </c>
      <c r="BC139" s="1799" t="s">
        <v>32</v>
      </c>
      <c r="BD139" s="1799"/>
      <c r="BE139" s="1800">
        <v>96990278</v>
      </c>
      <c r="BF139" s="1801">
        <v>3.1E-2</v>
      </c>
      <c r="BG139" s="1799"/>
      <c r="BH139" s="1799" t="s">
        <v>0</v>
      </c>
      <c r="BI139" s="1799" t="s">
        <v>310</v>
      </c>
      <c r="BJ139" s="1799" t="s">
        <v>24</v>
      </c>
      <c r="BK139" s="1799">
        <v>9</v>
      </c>
      <c r="BL139" s="1800">
        <v>87588063.058182761</v>
      </c>
      <c r="BM139" s="1801">
        <v>2.3377150910884038E-2</v>
      </c>
      <c r="BN139" s="1799">
        <v>2005</v>
      </c>
      <c r="BO139" s="1684"/>
      <c r="BP139" s="1696"/>
      <c r="BQ139" s="1169"/>
      <c r="BR139" s="1169"/>
      <c r="BS139" s="1169"/>
      <c r="BT139" s="1169"/>
      <c r="BU139" s="1169"/>
      <c r="BV139" s="1169"/>
      <c r="BW139" s="1169"/>
      <c r="BX139" s="1169"/>
      <c r="BY139" s="1169"/>
      <c r="BZ139" s="1169"/>
      <c r="CA139" s="1169"/>
      <c r="CB139" s="1169"/>
      <c r="CC139" s="1169"/>
      <c r="CD139" s="1169"/>
      <c r="CE139" s="1169"/>
      <c r="CF139" s="1169"/>
      <c r="CG139" s="1169"/>
      <c r="CH139" s="1169"/>
      <c r="CI139" s="1169"/>
      <c r="CJ139" s="1169"/>
      <c r="CK139" s="1169"/>
      <c r="CL139" s="1169"/>
      <c r="CM139" s="1169"/>
      <c r="CN139" s="1169"/>
      <c r="CO139" s="1169"/>
      <c r="CP139" s="1169"/>
      <c r="CQ139" s="1169"/>
      <c r="CR139" s="1169"/>
      <c r="CS139" s="1169"/>
      <c r="CT139" s="1169"/>
      <c r="CU139" s="1169"/>
      <c r="CV139" s="1169"/>
      <c r="CW139" s="1169"/>
      <c r="CX139" s="1169"/>
      <c r="CY139" s="1169"/>
      <c r="CZ139" s="1169"/>
      <c r="DA139" s="1168"/>
      <c r="DB139" s="1168"/>
      <c r="DC139" s="1168"/>
      <c r="DD139" s="1168"/>
      <c r="DE139" s="1168"/>
      <c r="DF139" s="1168"/>
      <c r="DG139" s="1168"/>
      <c r="DH139" s="1168"/>
      <c r="DI139" s="1168"/>
      <c r="DJ139" s="1168"/>
      <c r="DK139" s="1168"/>
      <c r="DL139" s="1168"/>
      <c r="DM139" s="1168"/>
      <c r="DN139" s="1168"/>
      <c r="DO139" s="1168"/>
      <c r="DP139" s="1168"/>
      <c r="DQ139" s="1168"/>
      <c r="DR139" s="1168"/>
      <c r="DS139" s="1168"/>
      <c r="DT139" s="1168"/>
      <c r="DU139" s="1168"/>
      <c r="DV139" s="1168"/>
      <c r="DW139" s="1168"/>
      <c r="DX139" s="1168"/>
      <c r="DY139" s="1168"/>
      <c r="DZ139" s="1168"/>
      <c r="EA139" s="1168"/>
      <c r="EB139" s="1168"/>
      <c r="EC139" s="1168"/>
      <c r="ED139" s="1168"/>
      <c r="EE139" s="1168"/>
      <c r="EF139" s="1168"/>
      <c r="EG139" s="1168"/>
      <c r="EH139" s="1168"/>
      <c r="EI139" s="1170"/>
      <c r="EJ139" s="1170"/>
      <c r="EK139" s="1170"/>
      <c r="EL139" s="1170"/>
      <c r="EM139" s="1170"/>
      <c r="EN139" s="1170"/>
      <c r="EO139" s="1170"/>
      <c r="EP139" s="1170"/>
      <c r="EQ139" s="1170"/>
      <c r="ER139" s="1170"/>
      <c r="ES139" s="1333"/>
      <c r="ET139" s="1333"/>
      <c r="EU139" s="1333"/>
      <c r="EV139" s="1333"/>
      <c r="EW139" s="1333"/>
      <c r="EX139" s="1333"/>
      <c r="EY139" s="1333"/>
      <c r="EZ139" s="1333"/>
      <c r="FA139" s="1333"/>
      <c r="FB139" s="1333"/>
      <c r="FC139" s="1333"/>
      <c r="FD139" s="1333"/>
      <c r="FE139" s="1333"/>
      <c r="FF139" s="1333"/>
      <c r="FG139" s="1333"/>
      <c r="FH139" s="1333"/>
      <c r="FI139" s="1333"/>
      <c r="FJ139" s="1333"/>
      <c r="FK139" s="1333"/>
      <c r="FL139" s="1333"/>
      <c r="FM139" s="1333"/>
      <c r="FN139" s="1333"/>
      <c r="FO139" s="1333"/>
      <c r="FP139" s="1333"/>
      <c r="FQ139" s="1333"/>
      <c r="FR139" s="1333"/>
      <c r="FS139" s="1333"/>
      <c r="FT139" s="1333"/>
      <c r="FU139" s="1333"/>
      <c r="FV139" s="1333"/>
      <c r="FW139" s="1333"/>
      <c r="FX139" s="1333"/>
      <c r="FY139" s="1333"/>
      <c r="FZ139" s="1333"/>
      <c r="GA139" s="1333"/>
      <c r="GB139" s="1333"/>
      <c r="GC139" s="1333"/>
      <c r="GD139" s="1333"/>
      <c r="GE139" s="1333"/>
      <c r="GF139" s="1333"/>
      <c r="GG139" s="1333"/>
      <c r="GH139" s="1333"/>
      <c r="GI139" s="1333"/>
      <c r="GJ139" s="1333"/>
      <c r="GK139" s="1333"/>
      <c r="GL139" s="1333"/>
      <c r="GM139" s="1333"/>
      <c r="GN139" s="1333"/>
      <c r="GO139" s="1333"/>
      <c r="GP139" s="1333"/>
      <c r="GQ139" s="1333"/>
      <c r="GR139" s="1333"/>
      <c r="GS139" s="1333"/>
      <c r="GT139" s="1333"/>
      <c r="GU139" s="1333"/>
      <c r="GV139" s="1333"/>
      <c r="GW139" s="1333"/>
      <c r="GX139" s="1333"/>
    </row>
    <row r="140" spans="1:206" s="607" customFormat="1">
      <c r="A140" s="607">
        <f t="shared" si="4"/>
        <v>1981</v>
      </c>
      <c r="B140" s="607">
        <f t="shared" si="5"/>
        <v>4</v>
      </c>
      <c r="C140" s="1173">
        <v>29921</v>
      </c>
      <c r="D140" s="957"/>
      <c r="E140" s="920"/>
      <c r="F140" s="920"/>
      <c r="G140" s="920"/>
      <c r="H140" s="920"/>
      <c r="I140" s="954">
        <v>363.77081467567808</v>
      </c>
      <c r="J140" s="954">
        <v>410.29729729730002</v>
      </c>
      <c r="K140" s="954"/>
      <c r="L140" s="920"/>
      <c r="M140" s="917"/>
      <c r="N140" s="917"/>
      <c r="O140" s="1334"/>
      <c r="P140" s="1334"/>
      <c r="Q140" s="1334"/>
      <c r="R140" s="1334"/>
      <c r="S140" s="1334"/>
      <c r="T140" s="1334"/>
      <c r="U140" s="920"/>
      <c r="V140" s="920"/>
      <c r="W140" s="920"/>
      <c r="X140" s="920"/>
      <c r="Y140" s="920"/>
      <c r="Z140" s="920"/>
      <c r="AA140" s="920"/>
      <c r="AB140" s="920"/>
      <c r="AC140" s="920"/>
      <c r="AD140" s="920"/>
      <c r="AE140" s="920"/>
      <c r="AF140" s="920"/>
      <c r="AG140" s="920"/>
      <c r="AH140" s="920"/>
      <c r="AI140" s="920"/>
      <c r="AJ140" s="920"/>
      <c r="AK140" s="920"/>
      <c r="AL140" s="1105"/>
      <c r="AM140" s="920"/>
      <c r="AN140" s="1711"/>
      <c r="AO140" s="920"/>
      <c r="AP140" s="920"/>
      <c r="AS140" s="1167"/>
      <c r="AT140" s="1167"/>
      <c r="AU140" s="1168"/>
      <c r="AV140" s="1168"/>
      <c r="AW140" s="1169"/>
      <c r="AX140" s="1169"/>
      <c r="AY140" s="1169"/>
      <c r="AZ140" s="1169"/>
      <c r="BA140" s="1799" t="s">
        <v>3</v>
      </c>
      <c r="BB140" s="1802">
        <v>2013</v>
      </c>
      <c r="BC140" s="1799" t="s">
        <v>249</v>
      </c>
      <c r="BD140" s="1799"/>
      <c r="BE140" s="1800">
        <v>3120708900</v>
      </c>
      <c r="BF140" s="1801"/>
      <c r="BG140" s="1799"/>
      <c r="BH140" s="1799" t="s">
        <v>0</v>
      </c>
      <c r="BI140" s="1799" t="s">
        <v>310</v>
      </c>
      <c r="BJ140" s="1799" t="s">
        <v>74</v>
      </c>
      <c r="BK140" s="1799">
        <v>10</v>
      </c>
      <c r="BL140" s="1800">
        <v>74173733.647743553</v>
      </c>
      <c r="BM140" s="1801">
        <v>1.9796882184221619E-2</v>
      </c>
      <c r="BN140" s="1799">
        <v>2005</v>
      </c>
      <c r="BO140" s="1684"/>
      <c r="BP140" s="1697"/>
      <c r="BQ140" s="1169"/>
      <c r="BR140" s="1169"/>
      <c r="BS140" s="1169"/>
      <c r="BT140" s="1169"/>
      <c r="BU140" s="1169"/>
      <c r="BV140" s="1169"/>
      <c r="BW140" s="1169"/>
      <c r="BX140" s="1169"/>
      <c r="BY140" s="1169"/>
      <c r="BZ140" s="1169"/>
      <c r="CA140" s="1169"/>
      <c r="CB140" s="1169"/>
      <c r="CC140" s="1169"/>
      <c r="CD140" s="1169"/>
      <c r="CE140" s="1169"/>
      <c r="CF140" s="1169"/>
      <c r="CG140" s="1169"/>
      <c r="CH140" s="1169"/>
      <c r="CI140" s="1169"/>
      <c r="CJ140" s="1169"/>
      <c r="CK140" s="1169"/>
      <c r="CL140" s="1169"/>
      <c r="CM140" s="1169"/>
      <c r="CN140" s="1169"/>
      <c r="CO140" s="1169"/>
      <c r="CP140" s="1169"/>
      <c r="CQ140" s="1169"/>
      <c r="CR140" s="1169"/>
      <c r="CS140" s="1169"/>
      <c r="CT140" s="1169"/>
      <c r="CU140" s="1169"/>
      <c r="CV140" s="1169"/>
      <c r="CW140" s="1169"/>
      <c r="CX140" s="1169"/>
      <c r="CY140" s="1169"/>
      <c r="CZ140" s="1169"/>
      <c r="DA140" s="1168"/>
      <c r="DB140" s="1168"/>
      <c r="DC140" s="1168"/>
      <c r="DD140" s="1168"/>
      <c r="DE140" s="1168"/>
      <c r="DF140" s="1168"/>
      <c r="DG140" s="1168"/>
      <c r="DH140" s="1168"/>
      <c r="DI140" s="1168"/>
      <c r="DJ140" s="1168"/>
      <c r="DK140" s="1168"/>
      <c r="DL140" s="1168"/>
      <c r="DM140" s="1168"/>
      <c r="DN140" s="1168"/>
      <c r="DO140" s="1168"/>
      <c r="DP140" s="1168"/>
      <c r="DQ140" s="1168"/>
      <c r="DR140" s="1168"/>
      <c r="DS140" s="1168"/>
      <c r="DT140" s="1168"/>
      <c r="DU140" s="1168"/>
      <c r="DV140" s="1168"/>
      <c r="DW140" s="1168"/>
      <c r="DX140" s="1168"/>
      <c r="DY140" s="1168"/>
      <c r="DZ140" s="1168"/>
      <c r="EA140" s="1168"/>
      <c r="EB140" s="1168"/>
      <c r="EC140" s="1168"/>
      <c r="ED140" s="1168"/>
      <c r="EE140" s="1168"/>
      <c r="EF140" s="1168"/>
      <c r="EG140" s="1168"/>
      <c r="EH140" s="1168"/>
      <c r="EI140" s="1170"/>
      <c r="EJ140" s="1170"/>
      <c r="EK140" s="1170"/>
      <c r="EL140" s="1170"/>
      <c r="EM140" s="1170"/>
      <c r="EN140" s="1170"/>
      <c r="EO140" s="1170"/>
      <c r="EP140" s="1170"/>
      <c r="EQ140" s="1170"/>
      <c r="ER140" s="1170"/>
      <c r="ES140" s="1333"/>
      <c r="ET140" s="1333"/>
      <c r="EU140" s="1333"/>
      <c r="EV140" s="1333"/>
      <c r="EW140" s="1333"/>
      <c r="EX140" s="1333"/>
      <c r="EY140" s="1333"/>
      <c r="EZ140" s="1333"/>
      <c r="FA140" s="1333"/>
      <c r="FB140" s="1333"/>
      <c r="FC140" s="1333"/>
      <c r="FD140" s="1333"/>
      <c r="FE140" s="1333"/>
      <c r="FF140" s="1333"/>
      <c r="FG140" s="1333"/>
      <c r="FH140" s="1333"/>
      <c r="FI140" s="1333"/>
      <c r="FJ140" s="1333"/>
      <c r="FK140" s="1333"/>
      <c r="FL140" s="1333"/>
      <c r="FM140" s="1333"/>
      <c r="FN140" s="1333"/>
      <c r="FO140" s="1333"/>
      <c r="FP140" s="1333"/>
      <c r="FQ140" s="1333"/>
      <c r="FR140" s="1333"/>
      <c r="FS140" s="1333"/>
      <c r="FT140" s="1333"/>
      <c r="FU140" s="1333"/>
      <c r="FV140" s="1333"/>
      <c r="FW140" s="1333"/>
      <c r="FX140" s="1333"/>
      <c r="FY140" s="1333"/>
      <c r="FZ140" s="1333"/>
      <c r="GA140" s="1333"/>
      <c r="GB140" s="1333"/>
      <c r="GC140" s="1333"/>
      <c r="GD140" s="1333"/>
      <c r="GE140" s="1333"/>
      <c r="GF140" s="1333"/>
      <c r="GG140" s="1333"/>
      <c r="GH140" s="1333"/>
      <c r="GI140" s="1333"/>
      <c r="GJ140" s="1333"/>
      <c r="GK140" s="1333"/>
      <c r="GL140" s="1333"/>
      <c r="GM140" s="1333"/>
      <c r="GN140" s="1333"/>
      <c r="GO140" s="1333"/>
      <c r="GP140" s="1333"/>
      <c r="GQ140" s="1333"/>
      <c r="GR140" s="1333"/>
      <c r="GS140" s="1333"/>
      <c r="GT140" s="1333"/>
      <c r="GU140" s="1333"/>
      <c r="GV140" s="1333"/>
      <c r="GW140" s="1333"/>
      <c r="GX140" s="1333"/>
    </row>
    <row r="141" spans="1:206" s="607" customFormat="1">
      <c r="A141" s="607">
        <f t="shared" si="4"/>
        <v>1982</v>
      </c>
      <c r="B141" s="607">
        <f t="shared" si="5"/>
        <v>1</v>
      </c>
      <c r="C141" s="1173">
        <v>29955</v>
      </c>
      <c r="D141" s="1709"/>
      <c r="E141" s="1117"/>
      <c r="F141" s="1117"/>
      <c r="G141" s="1117"/>
      <c r="H141" s="1117"/>
      <c r="I141" s="959">
        <v>349.23592865000001</v>
      </c>
      <c r="J141" s="959">
        <v>383.95</v>
      </c>
      <c r="K141" s="960"/>
      <c r="L141" s="1121"/>
      <c r="M141" s="916"/>
      <c r="N141" s="916"/>
      <c r="O141" s="1332"/>
      <c r="P141" s="1332"/>
      <c r="Q141" s="1332"/>
      <c r="R141" s="1332"/>
      <c r="S141" s="1332"/>
      <c r="T141" s="1332"/>
      <c r="U141" s="1120"/>
      <c r="V141" s="1120"/>
      <c r="W141" s="1120"/>
      <c r="X141" s="1120"/>
      <c r="Y141" s="1119"/>
      <c r="Z141" s="1119"/>
      <c r="AA141" s="1119"/>
      <c r="AB141" s="1119"/>
      <c r="AC141" s="1178"/>
      <c r="AD141" s="1178"/>
      <c r="AE141" s="1178"/>
      <c r="AF141" s="1178"/>
      <c r="AG141" s="1178"/>
      <c r="AH141" s="1178"/>
      <c r="AI141" s="1178"/>
      <c r="AJ141" s="1178"/>
      <c r="AK141" s="919"/>
      <c r="AL141" s="1104"/>
      <c r="AM141" s="919"/>
      <c r="AN141" s="1710"/>
      <c r="AO141" s="919"/>
      <c r="AP141" s="919"/>
      <c r="AS141" s="1167"/>
      <c r="AT141" s="1167"/>
      <c r="AU141" s="1168"/>
      <c r="AV141" s="1168"/>
      <c r="AW141" s="1169"/>
      <c r="AX141" s="1169"/>
      <c r="AY141" s="1169"/>
      <c r="AZ141" s="1169"/>
      <c r="BA141" s="1799" t="s">
        <v>3</v>
      </c>
      <c r="BB141" s="1802">
        <v>2012</v>
      </c>
      <c r="BC141" s="1799" t="s">
        <v>15</v>
      </c>
      <c r="BD141" s="1799">
        <v>1</v>
      </c>
      <c r="BE141" s="1800">
        <v>1186211991</v>
      </c>
      <c r="BF141" s="1801">
        <v>0.35299999999999998</v>
      </c>
      <c r="BG141" s="1799"/>
      <c r="BH141" s="1799" t="s">
        <v>0</v>
      </c>
      <c r="BI141" s="1799" t="s">
        <v>310</v>
      </c>
      <c r="BJ141" s="1799" t="s">
        <v>32</v>
      </c>
      <c r="BK141" s="1799"/>
      <c r="BL141" s="1800">
        <v>104844431.23246384</v>
      </c>
      <c r="BM141" s="1801">
        <v>2.7982855260299467E-2</v>
      </c>
      <c r="BN141" s="1799">
        <v>2005</v>
      </c>
      <c r="BO141" s="1684"/>
      <c r="BP141" s="1696"/>
      <c r="BQ141" s="1169"/>
      <c r="BR141" s="1169"/>
      <c r="BS141" s="1169"/>
      <c r="BT141" s="1169"/>
      <c r="BU141" s="1169"/>
      <c r="BV141" s="1169"/>
      <c r="BW141" s="1169"/>
      <c r="BX141" s="1169"/>
      <c r="BY141" s="1169"/>
      <c r="BZ141" s="1169"/>
      <c r="CA141" s="1169"/>
      <c r="CB141" s="1169"/>
      <c r="CC141" s="1169"/>
      <c r="CD141" s="1169"/>
      <c r="CE141" s="1169"/>
      <c r="CF141" s="1169"/>
      <c r="CG141" s="1169"/>
      <c r="CH141" s="1169"/>
      <c r="CI141" s="1169"/>
      <c r="CJ141" s="1169"/>
      <c r="CK141" s="1169"/>
      <c r="CL141" s="1169"/>
      <c r="CM141" s="1169"/>
      <c r="CN141" s="1169"/>
      <c r="CO141" s="1169"/>
      <c r="CP141" s="1169"/>
      <c r="CQ141" s="1169"/>
      <c r="CR141" s="1169"/>
      <c r="CS141" s="1169"/>
      <c r="CT141" s="1169"/>
      <c r="CU141" s="1169"/>
      <c r="CV141" s="1169"/>
      <c r="CW141" s="1169"/>
      <c r="CX141" s="1169"/>
      <c r="CY141" s="1169"/>
      <c r="CZ141" s="1169"/>
      <c r="DA141" s="1168"/>
      <c r="DB141" s="1168"/>
      <c r="DC141" s="1168"/>
      <c r="DD141" s="1168"/>
      <c r="DE141" s="1168"/>
      <c r="DF141" s="1168"/>
      <c r="DG141" s="1168"/>
      <c r="DH141" s="1168"/>
      <c r="DI141" s="1168"/>
      <c r="DJ141" s="1168"/>
      <c r="DK141" s="1168"/>
      <c r="DL141" s="1168"/>
      <c r="DM141" s="1168"/>
      <c r="DN141" s="1168"/>
      <c r="DO141" s="1168"/>
      <c r="DP141" s="1168"/>
      <c r="DQ141" s="1168"/>
      <c r="DR141" s="1168"/>
      <c r="DS141" s="1168"/>
      <c r="DT141" s="1168"/>
      <c r="DU141" s="1168"/>
      <c r="DV141" s="1168"/>
      <c r="DW141" s="1168"/>
      <c r="DX141" s="1168"/>
      <c r="DY141" s="1168"/>
      <c r="DZ141" s="1168"/>
      <c r="EA141" s="1168"/>
      <c r="EB141" s="1168"/>
      <c r="EC141" s="1168"/>
      <c r="ED141" s="1168"/>
      <c r="EE141" s="1168"/>
      <c r="EF141" s="1168"/>
      <c r="EG141" s="1168"/>
      <c r="EH141" s="1168"/>
      <c r="EI141" s="1170"/>
      <c r="EJ141" s="1170"/>
      <c r="EK141" s="1170"/>
      <c r="EL141" s="1170"/>
      <c r="EM141" s="1170"/>
      <c r="EN141" s="1170"/>
      <c r="EO141" s="1170"/>
      <c r="EP141" s="1170"/>
      <c r="EQ141" s="1170"/>
      <c r="ER141" s="1170"/>
      <c r="ES141" s="1333"/>
      <c r="ET141" s="1333"/>
      <c r="EU141" s="1333"/>
      <c r="EV141" s="1333"/>
      <c r="EW141" s="1333"/>
      <c r="EX141" s="1333"/>
      <c r="EY141" s="1333"/>
      <c r="EZ141" s="1333"/>
      <c r="FA141" s="1333"/>
      <c r="FB141" s="1333"/>
      <c r="FC141" s="1333"/>
      <c r="FD141" s="1333"/>
      <c r="FE141" s="1333"/>
      <c r="FF141" s="1333"/>
      <c r="FG141" s="1333"/>
      <c r="FH141" s="1333"/>
      <c r="FI141" s="1333"/>
      <c r="FJ141" s="1333"/>
      <c r="FK141" s="1333"/>
      <c r="FL141" s="1333"/>
      <c r="FM141" s="1333"/>
      <c r="FN141" s="1333"/>
      <c r="FO141" s="1333"/>
      <c r="FP141" s="1333"/>
      <c r="FQ141" s="1333"/>
      <c r="FR141" s="1333"/>
      <c r="FS141" s="1333"/>
      <c r="FT141" s="1333"/>
      <c r="FU141" s="1333"/>
      <c r="FV141" s="1333"/>
      <c r="FW141" s="1333"/>
      <c r="FX141" s="1333"/>
      <c r="FY141" s="1333"/>
      <c r="FZ141" s="1333"/>
      <c r="GA141" s="1333"/>
      <c r="GB141" s="1333"/>
      <c r="GC141" s="1333"/>
      <c r="GD141" s="1333"/>
      <c r="GE141" s="1333"/>
      <c r="GF141" s="1333"/>
      <c r="GG141" s="1333"/>
      <c r="GH141" s="1333"/>
      <c r="GI141" s="1333"/>
      <c r="GJ141" s="1333"/>
      <c r="GK141" s="1333"/>
      <c r="GL141" s="1333"/>
      <c r="GM141" s="1333"/>
      <c r="GN141" s="1333"/>
      <c r="GO141" s="1333"/>
      <c r="GP141" s="1333"/>
      <c r="GQ141" s="1333"/>
      <c r="GR141" s="1333"/>
      <c r="GS141" s="1333"/>
      <c r="GT141" s="1333"/>
      <c r="GU141" s="1333"/>
      <c r="GV141" s="1333"/>
      <c r="GW141" s="1333"/>
      <c r="GX141" s="1333"/>
    </row>
    <row r="142" spans="1:206" s="607" customFormat="1">
      <c r="A142" s="607">
        <f t="shared" si="4"/>
        <v>1982</v>
      </c>
      <c r="B142" s="607">
        <f t="shared" si="5"/>
        <v>1</v>
      </c>
      <c r="C142" s="1173">
        <v>29983</v>
      </c>
      <c r="D142" s="957"/>
      <c r="E142" s="920"/>
      <c r="F142" s="920"/>
      <c r="G142" s="920"/>
      <c r="H142" s="920"/>
      <c r="I142" s="954">
        <v>347.92725495125001</v>
      </c>
      <c r="J142" s="954">
        <v>373.67374999999998</v>
      </c>
      <c r="K142" s="954"/>
      <c r="L142" s="920"/>
      <c r="M142" s="917"/>
      <c r="N142" s="917"/>
      <c r="O142" s="1334"/>
      <c r="P142" s="1334"/>
      <c r="Q142" s="1334"/>
      <c r="R142" s="1334"/>
      <c r="S142" s="1334"/>
      <c r="T142" s="1334"/>
      <c r="U142" s="920"/>
      <c r="V142" s="920"/>
      <c r="W142" s="920"/>
      <c r="X142" s="920"/>
      <c r="Y142" s="920"/>
      <c r="Z142" s="920"/>
      <c r="AA142" s="920"/>
      <c r="AB142" s="920"/>
      <c r="AC142" s="920"/>
      <c r="AD142" s="920"/>
      <c r="AE142" s="920"/>
      <c r="AF142" s="920"/>
      <c r="AG142" s="920"/>
      <c r="AH142" s="920"/>
      <c r="AI142" s="920"/>
      <c r="AJ142" s="920"/>
      <c r="AK142" s="920">
        <v>31.62</v>
      </c>
      <c r="AL142" s="1105"/>
      <c r="AM142" s="920"/>
      <c r="AN142" s="1711"/>
      <c r="AO142" s="920"/>
      <c r="AP142" s="920"/>
      <c r="AS142" s="1167"/>
      <c r="AT142" s="1167"/>
      <c r="AU142" s="1168"/>
      <c r="AV142" s="1168"/>
      <c r="AW142" s="1169"/>
      <c r="AX142" s="1169"/>
      <c r="AY142" s="1169"/>
      <c r="AZ142" s="1169"/>
      <c r="BA142" s="1799" t="s">
        <v>3</v>
      </c>
      <c r="BB142" s="1802">
        <v>2012</v>
      </c>
      <c r="BC142" s="1799" t="s">
        <v>21</v>
      </c>
      <c r="BD142" s="1799">
        <v>2</v>
      </c>
      <c r="BE142" s="1800">
        <v>536326895</v>
      </c>
      <c r="BF142" s="1801">
        <v>0.16</v>
      </c>
      <c r="BG142" s="1799"/>
      <c r="BH142" s="1799" t="s">
        <v>0</v>
      </c>
      <c r="BI142" s="1799" t="s">
        <v>310</v>
      </c>
      <c r="BJ142" s="1799" t="s">
        <v>249</v>
      </c>
      <c r="BK142" s="1799"/>
      <c r="BL142" s="1800">
        <v>3746738145.810708</v>
      </c>
      <c r="BM142" s="1801"/>
      <c r="BN142" s="1799">
        <v>2005</v>
      </c>
      <c r="BO142" s="1684"/>
      <c r="BP142" s="1696"/>
      <c r="BQ142" s="1169"/>
      <c r="BR142" s="1169"/>
      <c r="BS142" s="1169"/>
      <c r="BT142" s="1169"/>
      <c r="BU142" s="1169"/>
      <c r="BV142" s="1169"/>
      <c r="BW142" s="1169"/>
      <c r="BX142" s="1169"/>
      <c r="BY142" s="1169"/>
      <c r="BZ142" s="1169"/>
      <c r="CA142" s="1169"/>
      <c r="CB142" s="1169"/>
      <c r="CC142" s="1169"/>
      <c r="CD142" s="1169"/>
      <c r="CE142" s="1169"/>
      <c r="CF142" s="1169"/>
      <c r="CG142" s="1169"/>
      <c r="CH142" s="1169"/>
      <c r="CI142" s="1169"/>
      <c r="CJ142" s="1169"/>
      <c r="CK142" s="1169"/>
      <c r="CL142" s="1169"/>
      <c r="CM142" s="1169"/>
      <c r="CN142" s="1169"/>
      <c r="CO142" s="1169"/>
      <c r="CP142" s="1169"/>
      <c r="CQ142" s="1169"/>
      <c r="CR142" s="1169"/>
      <c r="CS142" s="1169"/>
      <c r="CT142" s="1169"/>
      <c r="CU142" s="1169"/>
      <c r="CV142" s="1169"/>
      <c r="CW142" s="1169"/>
      <c r="CX142" s="1169"/>
      <c r="CY142" s="1169"/>
      <c r="CZ142" s="1169"/>
      <c r="DA142" s="1168"/>
      <c r="DB142" s="1168"/>
      <c r="DC142" s="1168"/>
      <c r="DD142" s="1168"/>
      <c r="DE142" s="1168"/>
      <c r="DF142" s="1168"/>
      <c r="DG142" s="1168"/>
      <c r="DH142" s="1168"/>
      <c r="DI142" s="1168"/>
      <c r="DJ142" s="1168"/>
      <c r="DK142" s="1168"/>
      <c r="DL142" s="1168"/>
      <c r="DM142" s="1168"/>
      <c r="DN142" s="1168"/>
      <c r="DO142" s="1168"/>
      <c r="DP142" s="1168"/>
      <c r="DQ142" s="1168"/>
      <c r="DR142" s="1168"/>
      <c r="DS142" s="1168"/>
      <c r="DT142" s="1168"/>
      <c r="DU142" s="1168"/>
      <c r="DV142" s="1168"/>
      <c r="DW142" s="1168"/>
      <c r="DX142" s="1168"/>
      <c r="DY142" s="1168"/>
      <c r="DZ142" s="1168"/>
      <c r="EA142" s="1168"/>
      <c r="EB142" s="1168"/>
      <c r="EC142" s="1168"/>
      <c r="ED142" s="1168"/>
      <c r="EE142" s="1168"/>
      <c r="EF142" s="1168"/>
      <c r="EG142" s="1168"/>
      <c r="EH142" s="1168"/>
      <c r="EI142" s="1170"/>
      <c r="EJ142" s="1170"/>
      <c r="EK142" s="1170"/>
      <c r="EL142" s="1170"/>
      <c r="EM142" s="1170"/>
      <c r="EN142" s="1170"/>
      <c r="EO142" s="1170"/>
      <c r="EP142" s="1170"/>
      <c r="EQ142" s="1170"/>
      <c r="ER142" s="1170"/>
      <c r="ES142" s="1333"/>
      <c r="ET142" s="1333"/>
      <c r="EU142" s="1333"/>
      <c r="EV142" s="1333"/>
      <c r="EW142" s="1333"/>
      <c r="EX142" s="1333"/>
      <c r="EY142" s="1333"/>
      <c r="EZ142" s="1333"/>
      <c r="FA142" s="1333"/>
      <c r="FB142" s="1333"/>
      <c r="FC142" s="1333"/>
      <c r="FD142" s="1333"/>
      <c r="FE142" s="1333"/>
      <c r="FF142" s="1333"/>
      <c r="FG142" s="1333"/>
      <c r="FH142" s="1333"/>
      <c r="FI142" s="1333"/>
      <c r="FJ142" s="1333"/>
      <c r="FK142" s="1333"/>
      <c r="FL142" s="1333"/>
      <c r="FM142" s="1333"/>
      <c r="FN142" s="1333"/>
      <c r="FO142" s="1333"/>
      <c r="FP142" s="1333"/>
      <c r="FQ142" s="1333"/>
      <c r="FR142" s="1333"/>
      <c r="FS142" s="1333"/>
      <c r="FT142" s="1333"/>
      <c r="FU142" s="1333"/>
      <c r="FV142" s="1333"/>
      <c r="FW142" s="1333"/>
      <c r="FX142" s="1333"/>
      <c r="FY142" s="1333"/>
      <c r="FZ142" s="1333"/>
      <c r="GA142" s="1333"/>
      <c r="GB142" s="1333"/>
      <c r="GC142" s="1333"/>
      <c r="GD142" s="1333"/>
      <c r="GE142" s="1333"/>
      <c r="GF142" s="1333"/>
      <c r="GG142" s="1333"/>
      <c r="GH142" s="1333"/>
      <c r="GI142" s="1333"/>
      <c r="GJ142" s="1333"/>
      <c r="GK142" s="1333"/>
      <c r="GL142" s="1333"/>
      <c r="GM142" s="1333"/>
      <c r="GN142" s="1333"/>
      <c r="GO142" s="1333"/>
      <c r="GP142" s="1333"/>
      <c r="GQ142" s="1333"/>
      <c r="GR142" s="1333"/>
      <c r="GS142" s="1333"/>
      <c r="GT142" s="1333"/>
      <c r="GU142" s="1333"/>
      <c r="GV142" s="1333"/>
      <c r="GW142" s="1333"/>
      <c r="GX142" s="1333"/>
    </row>
    <row r="143" spans="1:206" s="607" customFormat="1">
      <c r="A143" s="607">
        <f t="shared" si="4"/>
        <v>1982</v>
      </c>
      <c r="B143" s="607">
        <f t="shared" si="5"/>
        <v>1</v>
      </c>
      <c r="C143" s="1173">
        <v>30011</v>
      </c>
      <c r="D143" s="1709"/>
      <c r="E143" s="1117"/>
      <c r="F143" s="1117"/>
      <c r="G143" s="1117"/>
      <c r="H143" s="1117"/>
      <c r="I143" s="959">
        <v>313.72715980765423</v>
      </c>
      <c r="J143" s="959">
        <v>329.50760869570001</v>
      </c>
      <c r="K143" s="960"/>
      <c r="L143" s="1121"/>
      <c r="M143" s="916"/>
      <c r="N143" s="916"/>
      <c r="O143" s="1332"/>
      <c r="P143" s="1332"/>
      <c r="Q143" s="1332"/>
      <c r="R143" s="1332"/>
      <c r="S143" s="1332"/>
      <c r="T143" s="1332"/>
      <c r="U143" s="1120"/>
      <c r="V143" s="1120"/>
      <c r="W143" s="1120"/>
      <c r="X143" s="1120"/>
      <c r="Y143" s="1119"/>
      <c r="Z143" s="1119"/>
      <c r="AA143" s="1119"/>
      <c r="AB143" s="1119"/>
      <c r="AC143" s="1178"/>
      <c r="AD143" s="1178"/>
      <c r="AE143" s="1178"/>
      <c r="AF143" s="1178"/>
      <c r="AG143" s="1178"/>
      <c r="AH143" s="1178"/>
      <c r="AI143" s="1178"/>
      <c r="AJ143" s="1178"/>
      <c r="AK143" s="919">
        <v>31.62</v>
      </c>
      <c r="AL143" s="1104"/>
      <c r="AM143" s="919"/>
      <c r="AN143" s="1710"/>
      <c r="AO143" s="919"/>
      <c r="AP143" s="919"/>
      <c r="AS143" s="1167"/>
      <c r="AT143" s="1167"/>
      <c r="AU143" s="1168"/>
      <c r="AV143" s="1168"/>
      <c r="AW143" s="1169"/>
      <c r="AX143" s="1169"/>
      <c r="AY143" s="1169"/>
      <c r="AZ143" s="1169"/>
      <c r="BA143" s="1799" t="s">
        <v>3</v>
      </c>
      <c r="BB143" s="1802">
        <v>2012</v>
      </c>
      <c r="BC143" s="1799" t="s">
        <v>20</v>
      </c>
      <c r="BD143" s="1799">
        <v>3</v>
      </c>
      <c r="BE143" s="1800">
        <v>260340203</v>
      </c>
      <c r="BF143" s="1801">
        <v>7.6999999999999999E-2</v>
      </c>
      <c r="BG143" s="1799"/>
      <c r="BH143" s="1799" t="s">
        <v>0</v>
      </c>
      <c r="BI143" s="1799" t="s">
        <v>289</v>
      </c>
      <c r="BJ143" s="1799" t="s">
        <v>27</v>
      </c>
      <c r="BK143" s="1799">
        <v>1</v>
      </c>
      <c r="BL143" s="1800">
        <v>478279994.31</v>
      </c>
      <c r="BM143" s="1801">
        <v>0.15659038074301374</v>
      </c>
      <c r="BN143" s="1799">
        <v>2004</v>
      </c>
      <c r="BO143" s="1684"/>
      <c r="BP143" s="1697"/>
      <c r="BQ143" s="1169"/>
      <c r="BR143" s="1169"/>
      <c r="BS143" s="1169"/>
      <c r="BT143" s="1169"/>
      <c r="BU143" s="1169"/>
      <c r="BV143" s="1169"/>
      <c r="BW143" s="1169"/>
      <c r="BX143" s="1169"/>
      <c r="BY143" s="1169"/>
      <c r="BZ143" s="1169"/>
      <c r="CA143" s="1169"/>
      <c r="CB143" s="1169"/>
      <c r="CC143" s="1169"/>
      <c r="CD143" s="1169"/>
      <c r="CE143" s="1169"/>
      <c r="CF143" s="1169"/>
      <c r="CG143" s="1169"/>
      <c r="CH143" s="1169"/>
      <c r="CI143" s="1169"/>
      <c r="CJ143" s="1169"/>
      <c r="CK143" s="1169"/>
      <c r="CL143" s="1169"/>
      <c r="CM143" s="1169"/>
      <c r="CN143" s="1169"/>
      <c r="CO143" s="1169"/>
      <c r="CP143" s="1169"/>
      <c r="CQ143" s="1169"/>
      <c r="CR143" s="1169"/>
      <c r="CS143" s="1169"/>
      <c r="CT143" s="1169"/>
      <c r="CU143" s="1169"/>
      <c r="CV143" s="1169"/>
      <c r="CW143" s="1169"/>
      <c r="CX143" s="1169"/>
      <c r="CY143" s="1169"/>
      <c r="CZ143" s="1169"/>
      <c r="DA143" s="1168"/>
      <c r="DB143" s="1168"/>
      <c r="DC143" s="1168"/>
      <c r="DD143" s="1168"/>
      <c r="DE143" s="1168"/>
      <c r="DF143" s="1168"/>
      <c r="DG143" s="1168"/>
      <c r="DH143" s="1168"/>
      <c r="DI143" s="1168"/>
      <c r="DJ143" s="1168"/>
      <c r="DK143" s="1168"/>
      <c r="DL143" s="1168"/>
      <c r="DM143" s="1168"/>
      <c r="DN143" s="1168"/>
      <c r="DO143" s="1168"/>
      <c r="DP143" s="1168"/>
      <c r="DQ143" s="1168"/>
      <c r="DR143" s="1168"/>
      <c r="DS143" s="1168"/>
      <c r="DT143" s="1168"/>
      <c r="DU143" s="1168"/>
      <c r="DV143" s="1168"/>
      <c r="DW143" s="1168"/>
      <c r="DX143" s="1168"/>
      <c r="DY143" s="1168"/>
      <c r="DZ143" s="1168"/>
      <c r="EA143" s="1168"/>
      <c r="EB143" s="1168"/>
      <c r="EC143" s="1168"/>
      <c r="ED143" s="1168"/>
      <c r="EE143" s="1168"/>
      <c r="EF143" s="1168"/>
      <c r="EG143" s="1168"/>
      <c r="EH143" s="1168"/>
      <c r="EI143" s="1170"/>
      <c r="EJ143" s="1170"/>
      <c r="EK143" s="1170"/>
      <c r="EL143" s="1170"/>
      <c r="EM143" s="1170"/>
      <c r="EN143" s="1170"/>
      <c r="EO143" s="1170"/>
      <c r="EP143" s="1170"/>
      <c r="EQ143" s="1170"/>
      <c r="ER143" s="1170"/>
      <c r="ES143" s="1333"/>
      <c r="ET143" s="1333"/>
      <c r="EU143" s="1333"/>
      <c r="EV143" s="1333"/>
      <c r="EW143" s="1333"/>
      <c r="EX143" s="1333"/>
      <c r="EY143" s="1333"/>
      <c r="EZ143" s="1333"/>
      <c r="FA143" s="1333"/>
      <c r="FB143" s="1333"/>
      <c r="FC143" s="1333"/>
      <c r="FD143" s="1333"/>
      <c r="FE143" s="1333"/>
      <c r="FF143" s="1333"/>
      <c r="FG143" s="1333"/>
      <c r="FH143" s="1333"/>
      <c r="FI143" s="1333"/>
      <c r="FJ143" s="1333"/>
      <c r="FK143" s="1333"/>
      <c r="FL143" s="1333"/>
      <c r="FM143" s="1333"/>
      <c r="FN143" s="1333"/>
      <c r="FO143" s="1333"/>
      <c r="FP143" s="1333"/>
      <c r="FQ143" s="1333"/>
      <c r="FR143" s="1333"/>
      <c r="FS143" s="1333"/>
      <c r="FT143" s="1333"/>
      <c r="FU143" s="1333"/>
      <c r="FV143" s="1333"/>
      <c r="FW143" s="1333"/>
      <c r="FX143" s="1333"/>
      <c r="FY143" s="1333"/>
      <c r="FZ143" s="1333"/>
      <c r="GA143" s="1333"/>
      <c r="GB143" s="1333"/>
      <c r="GC143" s="1333"/>
      <c r="GD143" s="1333"/>
      <c r="GE143" s="1333"/>
      <c r="GF143" s="1333"/>
      <c r="GG143" s="1333"/>
      <c r="GH143" s="1333"/>
      <c r="GI143" s="1333"/>
      <c r="GJ143" s="1333"/>
      <c r="GK143" s="1333"/>
      <c r="GL143" s="1333"/>
      <c r="GM143" s="1333"/>
      <c r="GN143" s="1333"/>
      <c r="GO143" s="1333"/>
      <c r="GP143" s="1333"/>
      <c r="GQ143" s="1333"/>
      <c r="GR143" s="1333"/>
      <c r="GS143" s="1333"/>
      <c r="GT143" s="1333"/>
      <c r="GU143" s="1333"/>
      <c r="GV143" s="1333"/>
      <c r="GW143" s="1333"/>
      <c r="GX143" s="1333"/>
    </row>
    <row r="144" spans="1:206" s="607" customFormat="1">
      <c r="A144" s="607">
        <f t="shared" si="4"/>
        <v>1982</v>
      </c>
      <c r="B144" s="607">
        <f t="shared" si="5"/>
        <v>2</v>
      </c>
      <c r="C144" s="1173">
        <v>30042</v>
      </c>
      <c r="D144" s="957"/>
      <c r="E144" s="920"/>
      <c r="F144" s="920"/>
      <c r="G144" s="920"/>
      <c r="H144" s="920"/>
      <c r="I144" s="954">
        <v>330.56613937499009</v>
      </c>
      <c r="J144" s="954">
        <v>350.6644736842</v>
      </c>
      <c r="K144" s="954"/>
      <c r="L144" s="920"/>
      <c r="M144" s="917"/>
      <c r="N144" s="917"/>
      <c r="O144" s="1334"/>
      <c r="P144" s="1334"/>
      <c r="Q144" s="1334"/>
      <c r="R144" s="1334"/>
      <c r="S144" s="1334"/>
      <c r="T144" s="1334"/>
      <c r="U144" s="920"/>
      <c r="V144" s="920"/>
      <c r="W144" s="920"/>
      <c r="X144" s="920"/>
      <c r="Y144" s="920"/>
      <c r="Z144" s="920"/>
      <c r="AA144" s="920"/>
      <c r="AB144" s="920"/>
      <c r="AC144" s="920"/>
      <c r="AD144" s="920"/>
      <c r="AE144" s="920"/>
      <c r="AF144" s="920"/>
      <c r="AG144" s="920"/>
      <c r="AH144" s="920"/>
      <c r="AI144" s="920"/>
      <c r="AJ144" s="920"/>
      <c r="AK144" s="920">
        <v>33.119999999999997</v>
      </c>
      <c r="AL144" s="1105"/>
      <c r="AM144" s="920"/>
      <c r="AN144" s="1711"/>
      <c r="AO144" s="920"/>
      <c r="AP144" s="920"/>
      <c r="AS144" s="1167"/>
      <c r="AT144" s="1167"/>
      <c r="AU144" s="1168"/>
      <c r="AV144" s="1168"/>
      <c r="AW144" s="1169"/>
      <c r="AX144" s="1169"/>
      <c r="AY144" s="1169"/>
      <c r="AZ144" s="1169"/>
      <c r="BA144" s="1799" t="s">
        <v>3</v>
      </c>
      <c r="BB144" s="1802">
        <v>2012</v>
      </c>
      <c r="BC144" s="1799" t="s">
        <v>431</v>
      </c>
      <c r="BD144" s="1799">
        <v>4</v>
      </c>
      <c r="BE144" s="1800">
        <v>232655575</v>
      </c>
      <c r="BF144" s="1801">
        <v>6.9000000000000006E-2</v>
      </c>
      <c r="BG144" s="1799"/>
      <c r="BH144" s="1799" t="s">
        <v>0</v>
      </c>
      <c r="BI144" s="1799" t="s">
        <v>289</v>
      </c>
      <c r="BJ144" s="1799" t="s">
        <v>29</v>
      </c>
      <c r="BK144" s="1799">
        <v>2</v>
      </c>
      <c r="BL144" s="1800">
        <v>455149307.80000007</v>
      </c>
      <c r="BM144" s="1801">
        <v>0.14901732092337067</v>
      </c>
      <c r="BN144" s="1799">
        <v>2004</v>
      </c>
      <c r="BO144" s="1684"/>
      <c r="BP144" s="1696"/>
      <c r="BQ144" s="1169"/>
      <c r="BR144" s="1169"/>
      <c r="BS144" s="1169"/>
      <c r="BT144" s="1169"/>
      <c r="BU144" s="1169"/>
      <c r="BV144" s="1169"/>
      <c r="BW144" s="1169"/>
      <c r="BX144" s="1169"/>
      <c r="BY144" s="1169"/>
      <c r="BZ144" s="1169"/>
      <c r="CA144" s="1169"/>
      <c r="CB144" s="1169"/>
      <c r="CC144" s="1169"/>
      <c r="CD144" s="1169"/>
      <c r="CE144" s="1169"/>
      <c r="CF144" s="1169"/>
      <c r="CG144" s="1169"/>
      <c r="CH144" s="1169"/>
      <c r="CI144" s="1169"/>
      <c r="CJ144" s="1169"/>
      <c r="CK144" s="1169"/>
      <c r="CL144" s="1169"/>
      <c r="CM144" s="1169"/>
      <c r="CN144" s="1169"/>
      <c r="CO144" s="1169"/>
      <c r="CP144" s="1169"/>
      <c r="CQ144" s="1169"/>
      <c r="CR144" s="1169"/>
      <c r="CS144" s="1169"/>
      <c r="CT144" s="1169"/>
      <c r="CU144" s="1169"/>
      <c r="CV144" s="1169"/>
      <c r="CW144" s="1169"/>
      <c r="CX144" s="1169"/>
      <c r="CY144" s="1169"/>
      <c r="CZ144" s="1169"/>
      <c r="DA144" s="1168"/>
      <c r="DB144" s="1168"/>
      <c r="DC144" s="1168"/>
      <c r="DD144" s="1168"/>
      <c r="DE144" s="1168"/>
      <c r="DF144" s="1168"/>
      <c r="DG144" s="1168"/>
      <c r="DH144" s="1168"/>
      <c r="DI144" s="1168"/>
      <c r="DJ144" s="1168"/>
      <c r="DK144" s="1168"/>
      <c r="DL144" s="1168"/>
      <c r="DM144" s="1168"/>
      <c r="DN144" s="1168"/>
      <c r="DO144" s="1168"/>
      <c r="DP144" s="1168"/>
      <c r="DQ144" s="1168"/>
      <c r="DR144" s="1168"/>
      <c r="DS144" s="1168"/>
      <c r="DT144" s="1168"/>
      <c r="DU144" s="1168"/>
      <c r="DV144" s="1168"/>
      <c r="DW144" s="1168"/>
      <c r="DX144" s="1168"/>
      <c r="DY144" s="1168"/>
      <c r="DZ144" s="1168"/>
      <c r="EA144" s="1168"/>
      <c r="EB144" s="1168"/>
      <c r="EC144" s="1168"/>
      <c r="ED144" s="1168"/>
      <c r="EE144" s="1168"/>
      <c r="EF144" s="1168"/>
      <c r="EG144" s="1168"/>
      <c r="EH144" s="1168"/>
      <c r="EI144" s="1170"/>
      <c r="EJ144" s="1170"/>
      <c r="EK144" s="1170"/>
      <c r="EL144" s="1170"/>
      <c r="EM144" s="1170"/>
      <c r="EN144" s="1170"/>
      <c r="EO144" s="1170"/>
      <c r="EP144" s="1170"/>
      <c r="EQ144" s="1170"/>
      <c r="ER144" s="1170"/>
      <c r="ES144" s="1333"/>
      <c r="ET144" s="1333"/>
      <c r="EU144" s="1333"/>
      <c r="EV144" s="1333"/>
      <c r="EW144" s="1333"/>
      <c r="EX144" s="1333"/>
      <c r="EY144" s="1333"/>
      <c r="EZ144" s="1333"/>
      <c r="FA144" s="1333"/>
      <c r="FB144" s="1333"/>
      <c r="FC144" s="1333"/>
      <c r="FD144" s="1333"/>
      <c r="FE144" s="1333"/>
      <c r="FF144" s="1333"/>
      <c r="FG144" s="1333"/>
      <c r="FH144" s="1333"/>
      <c r="FI144" s="1333"/>
      <c r="FJ144" s="1333"/>
      <c r="FK144" s="1333"/>
      <c r="FL144" s="1333"/>
      <c r="FM144" s="1333"/>
      <c r="FN144" s="1333"/>
      <c r="FO144" s="1333"/>
      <c r="FP144" s="1333"/>
      <c r="FQ144" s="1333"/>
      <c r="FR144" s="1333"/>
      <c r="FS144" s="1333"/>
      <c r="FT144" s="1333"/>
      <c r="FU144" s="1333"/>
      <c r="FV144" s="1333"/>
      <c r="FW144" s="1333"/>
      <c r="FX144" s="1333"/>
      <c r="FY144" s="1333"/>
      <c r="FZ144" s="1333"/>
      <c r="GA144" s="1333"/>
      <c r="GB144" s="1333"/>
      <c r="GC144" s="1333"/>
      <c r="GD144" s="1333"/>
      <c r="GE144" s="1333"/>
      <c r="GF144" s="1333"/>
      <c r="GG144" s="1333"/>
      <c r="GH144" s="1333"/>
      <c r="GI144" s="1333"/>
      <c r="GJ144" s="1333"/>
      <c r="GK144" s="1333"/>
      <c r="GL144" s="1333"/>
      <c r="GM144" s="1333"/>
      <c r="GN144" s="1333"/>
      <c r="GO144" s="1333"/>
      <c r="GP144" s="1333"/>
      <c r="GQ144" s="1333"/>
      <c r="GR144" s="1333"/>
      <c r="GS144" s="1333"/>
      <c r="GT144" s="1333"/>
      <c r="GU144" s="1333"/>
      <c r="GV144" s="1333"/>
      <c r="GW144" s="1333"/>
      <c r="GX144" s="1333"/>
    </row>
    <row r="145" spans="1:206" s="607" customFormat="1">
      <c r="A145" s="607">
        <f t="shared" si="4"/>
        <v>1982</v>
      </c>
      <c r="B145" s="607">
        <f t="shared" si="5"/>
        <v>2</v>
      </c>
      <c r="C145" s="1173">
        <v>30074</v>
      </c>
      <c r="D145" s="1709"/>
      <c r="E145" s="1117"/>
      <c r="F145" s="1117"/>
      <c r="G145" s="1117"/>
      <c r="H145" s="1117"/>
      <c r="I145" s="959">
        <v>317.10430098943857</v>
      </c>
      <c r="J145" s="959">
        <v>333.21315789469998</v>
      </c>
      <c r="K145" s="960"/>
      <c r="L145" s="1121"/>
      <c r="M145" s="916"/>
      <c r="N145" s="916"/>
      <c r="O145" s="1332"/>
      <c r="P145" s="1332"/>
      <c r="Q145" s="1332"/>
      <c r="R145" s="1332"/>
      <c r="S145" s="1332"/>
      <c r="T145" s="1332"/>
      <c r="U145" s="1120"/>
      <c r="V145" s="1120"/>
      <c r="W145" s="1120"/>
      <c r="X145" s="1120"/>
      <c r="Y145" s="1119"/>
      <c r="Z145" s="1119"/>
      <c r="AA145" s="1119"/>
      <c r="AB145" s="1119"/>
      <c r="AC145" s="1178"/>
      <c r="AD145" s="1178"/>
      <c r="AE145" s="1178"/>
      <c r="AF145" s="1178"/>
      <c r="AG145" s="1178"/>
      <c r="AH145" s="1178"/>
      <c r="AI145" s="1178"/>
      <c r="AJ145" s="1178"/>
      <c r="AK145" s="919">
        <v>33.119999999999997</v>
      </c>
      <c r="AL145" s="1104"/>
      <c r="AM145" s="919"/>
      <c r="AN145" s="1710"/>
      <c r="AO145" s="919"/>
      <c r="AP145" s="919"/>
      <c r="AS145" s="1167"/>
      <c r="AT145" s="1167"/>
      <c r="AU145" s="1168"/>
      <c r="AV145" s="1168"/>
      <c r="AW145" s="1169"/>
      <c r="AX145" s="1169"/>
      <c r="AY145" s="1169"/>
      <c r="AZ145" s="1169"/>
      <c r="BA145" s="1799" t="s">
        <v>3</v>
      </c>
      <c r="BB145" s="1802">
        <v>2012</v>
      </c>
      <c r="BC145" s="1799" t="s">
        <v>44</v>
      </c>
      <c r="BD145" s="1799">
        <v>5</v>
      </c>
      <c r="BE145" s="1800">
        <v>220086965</v>
      </c>
      <c r="BF145" s="1801">
        <v>6.6000000000000003E-2</v>
      </c>
      <c r="BG145" s="1799"/>
      <c r="BH145" s="1799" t="s">
        <v>0</v>
      </c>
      <c r="BI145" s="1799" t="s">
        <v>289</v>
      </c>
      <c r="BJ145" s="1799" t="s">
        <v>44</v>
      </c>
      <c r="BK145" s="1799">
        <v>3</v>
      </c>
      <c r="BL145" s="1800">
        <v>454276746.69000006</v>
      </c>
      <c r="BM145" s="1801">
        <v>0.14873164166004801</v>
      </c>
      <c r="BN145" s="1799">
        <v>2004</v>
      </c>
      <c r="BO145" s="1684"/>
      <c r="BP145" s="1696"/>
      <c r="BQ145" s="1169"/>
      <c r="BR145" s="1169"/>
      <c r="BS145" s="1169"/>
      <c r="BT145" s="1169"/>
      <c r="BU145" s="1169"/>
      <c r="BV145" s="1169"/>
      <c r="BW145" s="1169"/>
      <c r="BX145" s="1169"/>
      <c r="BY145" s="1169"/>
      <c r="BZ145" s="1169"/>
      <c r="CA145" s="1169"/>
      <c r="CB145" s="1169"/>
      <c r="CC145" s="1169"/>
      <c r="CD145" s="1169"/>
      <c r="CE145" s="1169"/>
      <c r="CF145" s="1169"/>
      <c r="CG145" s="1169"/>
      <c r="CH145" s="1169"/>
      <c r="CI145" s="1169"/>
      <c r="CJ145" s="1169"/>
      <c r="CK145" s="1169"/>
      <c r="CL145" s="1169"/>
      <c r="CM145" s="1169"/>
      <c r="CN145" s="1169"/>
      <c r="CO145" s="1169"/>
      <c r="CP145" s="1169"/>
      <c r="CQ145" s="1169"/>
      <c r="CR145" s="1169"/>
      <c r="CS145" s="1169"/>
      <c r="CT145" s="1169"/>
      <c r="CU145" s="1169"/>
      <c r="CV145" s="1169"/>
      <c r="CW145" s="1169"/>
      <c r="CX145" s="1169"/>
      <c r="CY145" s="1169"/>
      <c r="CZ145" s="1169"/>
      <c r="DA145" s="1168"/>
      <c r="DB145" s="1168"/>
      <c r="DC145" s="1168"/>
      <c r="DD145" s="1168"/>
      <c r="DE145" s="1168"/>
      <c r="DF145" s="1168"/>
      <c r="DG145" s="1168"/>
      <c r="DH145" s="1168"/>
      <c r="DI145" s="1168"/>
      <c r="DJ145" s="1168"/>
      <c r="DK145" s="1168"/>
      <c r="DL145" s="1168"/>
      <c r="DM145" s="1168"/>
      <c r="DN145" s="1168"/>
      <c r="DO145" s="1168"/>
      <c r="DP145" s="1168"/>
      <c r="DQ145" s="1168"/>
      <c r="DR145" s="1168"/>
      <c r="DS145" s="1168"/>
      <c r="DT145" s="1168"/>
      <c r="DU145" s="1168"/>
      <c r="DV145" s="1168"/>
      <c r="DW145" s="1168"/>
      <c r="DX145" s="1168"/>
      <c r="DY145" s="1168"/>
      <c r="DZ145" s="1168"/>
      <c r="EA145" s="1168"/>
      <c r="EB145" s="1168"/>
      <c r="EC145" s="1168"/>
      <c r="ED145" s="1168"/>
      <c r="EE145" s="1168"/>
      <c r="EF145" s="1168"/>
      <c r="EG145" s="1168"/>
      <c r="EH145" s="1168"/>
      <c r="EI145" s="1170"/>
      <c r="EJ145" s="1170"/>
      <c r="EK145" s="1170"/>
      <c r="EL145" s="1170"/>
      <c r="EM145" s="1170"/>
      <c r="EN145" s="1170"/>
      <c r="EO145" s="1170"/>
      <c r="EP145" s="1170"/>
      <c r="EQ145" s="1170"/>
      <c r="ER145" s="1170"/>
      <c r="ES145" s="1333"/>
      <c r="ET145" s="1333"/>
      <c r="EU145" s="1333"/>
      <c r="EV145" s="1333"/>
      <c r="EW145" s="1333"/>
      <c r="EX145" s="1333"/>
      <c r="EY145" s="1333"/>
      <c r="EZ145" s="1333"/>
      <c r="FA145" s="1333"/>
      <c r="FB145" s="1333"/>
      <c r="FC145" s="1333"/>
      <c r="FD145" s="1333"/>
      <c r="FE145" s="1333"/>
      <c r="FF145" s="1333"/>
      <c r="FG145" s="1333"/>
      <c r="FH145" s="1333"/>
      <c r="FI145" s="1333"/>
      <c r="FJ145" s="1333"/>
      <c r="FK145" s="1333"/>
      <c r="FL145" s="1333"/>
      <c r="FM145" s="1333"/>
      <c r="FN145" s="1333"/>
      <c r="FO145" s="1333"/>
      <c r="FP145" s="1333"/>
      <c r="FQ145" s="1333"/>
      <c r="FR145" s="1333"/>
      <c r="FS145" s="1333"/>
      <c r="FT145" s="1333"/>
      <c r="FU145" s="1333"/>
      <c r="FV145" s="1333"/>
      <c r="FW145" s="1333"/>
      <c r="FX145" s="1333"/>
      <c r="FY145" s="1333"/>
      <c r="FZ145" s="1333"/>
      <c r="GA145" s="1333"/>
      <c r="GB145" s="1333"/>
      <c r="GC145" s="1333"/>
      <c r="GD145" s="1333"/>
      <c r="GE145" s="1333"/>
      <c r="GF145" s="1333"/>
      <c r="GG145" s="1333"/>
      <c r="GH145" s="1333"/>
      <c r="GI145" s="1333"/>
      <c r="GJ145" s="1333"/>
      <c r="GK145" s="1333"/>
      <c r="GL145" s="1333"/>
      <c r="GM145" s="1333"/>
      <c r="GN145" s="1333"/>
      <c r="GO145" s="1333"/>
      <c r="GP145" s="1333"/>
      <c r="GQ145" s="1333"/>
      <c r="GR145" s="1333"/>
      <c r="GS145" s="1333"/>
      <c r="GT145" s="1333"/>
      <c r="GU145" s="1333"/>
      <c r="GV145" s="1333"/>
      <c r="GW145" s="1333"/>
      <c r="GX145" s="1333"/>
    </row>
    <row r="146" spans="1:206" s="607" customFormat="1">
      <c r="A146" s="607">
        <f t="shared" si="4"/>
        <v>1982</v>
      </c>
      <c r="B146" s="607">
        <f t="shared" si="5"/>
        <v>2</v>
      </c>
      <c r="C146" s="1173">
        <v>30103</v>
      </c>
      <c r="D146" s="957"/>
      <c r="E146" s="920"/>
      <c r="F146" s="920"/>
      <c r="G146" s="920"/>
      <c r="H146" s="920"/>
      <c r="I146" s="954">
        <v>307.92183704996444</v>
      </c>
      <c r="J146" s="954">
        <v>314.78863636360001</v>
      </c>
      <c r="K146" s="954"/>
      <c r="L146" s="920"/>
      <c r="M146" s="917"/>
      <c r="N146" s="917"/>
      <c r="O146" s="1334"/>
      <c r="P146" s="1334"/>
      <c r="Q146" s="1334"/>
      <c r="R146" s="1334"/>
      <c r="S146" s="1334"/>
      <c r="T146" s="1334"/>
      <c r="U146" s="920"/>
      <c r="V146" s="920"/>
      <c r="W146" s="920"/>
      <c r="X146" s="920"/>
      <c r="Y146" s="920"/>
      <c r="Z146" s="920"/>
      <c r="AA146" s="920"/>
      <c r="AB146" s="920"/>
      <c r="AC146" s="920"/>
      <c r="AD146" s="920"/>
      <c r="AE146" s="920"/>
      <c r="AF146" s="920"/>
      <c r="AG146" s="920"/>
      <c r="AH146" s="920"/>
      <c r="AI146" s="920"/>
      <c r="AJ146" s="920"/>
      <c r="AK146" s="920">
        <v>34.6</v>
      </c>
      <c r="AL146" s="1105"/>
      <c r="AM146" s="920"/>
      <c r="AN146" s="1711"/>
      <c r="AO146" s="920"/>
      <c r="AP146" s="920"/>
      <c r="AS146" s="1167"/>
      <c r="AT146" s="1167"/>
      <c r="AU146" s="1168"/>
      <c r="AV146" s="1168"/>
      <c r="AW146" s="1169"/>
      <c r="AX146" s="1169"/>
      <c r="AY146" s="1169"/>
      <c r="AZ146" s="1169"/>
      <c r="BA146" s="1799" t="s">
        <v>3</v>
      </c>
      <c r="BB146" s="1802">
        <v>2012</v>
      </c>
      <c r="BC146" s="1799" t="s">
        <v>49</v>
      </c>
      <c r="BD146" s="1799">
        <v>6</v>
      </c>
      <c r="BE146" s="1800">
        <v>202881775</v>
      </c>
      <c r="BF146" s="1801">
        <v>0.06</v>
      </c>
      <c r="BG146" s="1799"/>
      <c r="BH146" s="1799" t="s">
        <v>0</v>
      </c>
      <c r="BI146" s="1799" t="s">
        <v>289</v>
      </c>
      <c r="BJ146" s="1799" t="s">
        <v>15</v>
      </c>
      <c r="BK146" s="1799">
        <v>4</v>
      </c>
      <c r="BL146" s="1800">
        <v>402902144.86000001</v>
      </c>
      <c r="BM146" s="1801">
        <v>0.13191143475867764</v>
      </c>
      <c r="BN146" s="1799">
        <v>2004</v>
      </c>
      <c r="BO146" s="1684"/>
      <c r="BP146" s="1697"/>
      <c r="BQ146" s="1169"/>
      <c r="BR146" s="1169"/>
      <c r="BS146" s="1169"/>
      <c r="BT146" s="1169"/>
      <c r="BU146" s="1169"/>
      <c r="BV146" s="1169"/>
      <c r="BW146" s="1169"/>
      <c r="BX146" s="1169"/>
      <c r="BY146" s="1169"/>
      <c r="BZ146" s="1169"/>
      <c r="CA146" s="1169"/>
      <c r="CB146" s="1169"/>
      <c r="CC146" s="1169"/>
      <c r="CD146" s="1169"/>
      <c r="CE146" s="1169"/>
      <c r="CF146" s="1169"/>
      <c r="CG146" s="1169"/>
      <c r="CH146" s="1169"/>
      <c r="CI146" s="1169"/>
      <c r="CJ146" s="1169"/>
      <c r="CK146" s="1169"/>
      <c r="CL146" s="1169"/>
      <c r="CM146" s="1169"/>
      <c r="CN146" s="1169"/>
      <c r="CO146" s="1169"/>
      <c r="CP146" s="1169"/>
      <c r="CQ146" s="1169"/>
      <c r="CR146" s="1169"/>
      <c r="CS146" s="1169"/>
      <c r="CT146" s="1169"/>
      <c r="CU146" s="1169"/>
      <c r="CV146" s="1169"/>
      <c r="CW146" s="1169"/>
      <c r="CX146" s="1169"/>
      <c r="CY146" s="1169"/>
      <c r="CZ146" s="1169"/>
      <c r="DA146" s="1168"/>
      <c r="DB146" s="1168"/>
      <c r="DC146" s="1168"/>
      <c r="DD146" s="1168"/>
      <c r="DE146" s="1168"/>
      <c r="DF146" s="1168"/>
      <c r="DG146" s="1168"/>
      <c r="DH146" s="1168"/>
      <c r="DI146" s="1168"/>
      <c r="DJ146" s="1168"/>
      <c r="DK146" s="1168"/>
      <c r="DL146" s="1168"/>
      <c r="DM146" s="1168"/>
      <c r="DN146" s="1168"/>
      <c r="DO146" s="1168"/>
      <c r="DP146" s="1168"/>
      <c r="DQ146" s="1168"/>
      <c r="DR146" s="1168"/>
      <c r="DS146" s="1168"/>
      <c r="DT146" s="1168"/>
      <c r="DU146" s="1168"/>
      <c r="DV146" s="1168"/>
      <c r="DW146" s="1168"/>
      <c r="DX146" s="1168"/>
      <c r="DY146" s="1168"/>
      <c r="DZ146" s="1168"/>
      <c r="EA146" s="1168"/>
      <c r="EB146" s="1168"/>
      <c r="EC146" s="1168"/>
      <c r="ED146" s="1168"/>
      <c r="EE146" s="1168"/>
      <c r="EF146" s="1168"/>
      <c r="EG146" s="1168"/>
      <c r="EH146" s="1168"/>
      <c r="EI146" s="1170"/>
      <c r="EJ146" s="1170"/>
      <c r="EK146" s="1170"/>
      <c r="EL146" s="1170"/>
      <c r="EM146" s="1170"/>
      <c r="EN146" s="1170"/>
      <c r="EO146" s="1170"/>
      <c r="EP146" s="1170"/>
      <c r="EQ146" s="1170"/>
      <c r="ER146" s="1170"/>
      <c r="ES146" s="1333"/>
      <c r="ET146" s="1333"/>
      <c r="EU146" s="1333"/>
      <c r="EV146" s="1333"/>
      <c r="EW146" s="1333"/>
      <c r="EX146" s="1333"/>
      <c r="EY146" s="1333"/>
      <c r="EZ146" s="1333"/>
      <c r="FA146" s="1333"/>
      <c r="FB146" s="1333"/>
      <c r="FC146" s="1333"/>
      <c r="FD146" s="1333"/>
      <c r="FE146" s="1333"/>
      <c r="FF146" s="1333"/>
      <c r="FG146" s="1333"/>
      <c r="FH146" s="1333"/>
      <c r="FI146" s="1333"/>
      <c r="FJ146" s="1333"/>
      <c r="FK146" s="1333"/>
      <c r="FL146" s="1333"/>
      <c r="FM146" s="1333"/>
      <c r="FN146" s="1333"/>
      <c r="FO146" s="1333"/>
      <c r="FP146" s="1333"/>
      <c r="FQ146" s="1333"/>
      <c r="FR146" s="1333"/>
      <c r="FS146" s="1333"/>
      <c r="FT146" s="1333"/>
      <c r="FU146" s="1333"/>
      <c r="FV146" s="1333"/>
      <c r="FW146" s="1333"/>
      <c r="FX146" s="1333"/>
      <c r="FY146" s="1333"/>
      <c r="FZ146" s="1333"/>
      <c r="GA146" s="1333"/>
      <c r="GB146" s="1333"/>
      <c r="GC146" s="1333"/>
      <c r="GD146" s="1333"/>
      <c r="GE146" s="1333"/>
      <c r="GF146" s="1333"/>
      <c r="GG146" s="1333"/>
      <c r="GH146" s="1333"/>
      <c r="GI146" s="1333"/>
      <c r="GJ146" s="1333"/>
      <c r="GK146" s="1333"/>
      <c r="GL146" s="1333"/>
      <c r="GM146" s="1333"/>
      <c r="GN146" s="1333"/>
      <c r="GO146" s="1333"/>
      <c r="GP146" s="1333"/>
      <c r="GQ146" s="1333"/>
      <c r="GR146" s="1333"/>
      <c r="GS146" s="1333"/>
      <c r="GT146" s="1333"/>
      <c r="GU146" s="1333"/>
      <c r="GV146" s="1333"/>
      <c r="GW146" s="1333"/>
      <c r="GX146" s="1333"/>
    </row>
    <row r="147" spans="1:206" s="607" customFormat="1">
      <c r="A147" s="607">
        <f t="shared" si="4"/>
        <v>1982</v>
      </c>
      <c r="B147" s="607">
        <f t="shared" si="5"/>
        <v>3</v>
      </c>
      <c r="C147" s="1173">
        <v>30133</v>
      </c>
      <c r="D147" s="1709"/>
      <c r="E147" s="1117"/>
      <c r="F147" s="1117"/>
      <c r="G147" s="1117"/>
      <c r="H147" s="1117"/>
      <c r="I147" s="959">
        <v>341.33894263631794</v>
      </c>
      <c r="J147" s="959">
        <v>339.90454545450001</v>
      </c>
      <c r="K147" s="960"/>
      <c r="L147" s="1121"/>
      <c r="M147" s="916"/>
      <c r="N147" s="916"/>
      <c r="O147" s="1332"/>
      <c r="P147" s="1332"/>
      <c r="Q147" s="1332"/>
      <c r="R147" s="1332"/>
      <c r="S147" s="1332"/>
      <c r="T147" s="1332"/>
      <c r="U147" s="1120"/>
      <c r="V147" s="1120"/>
      <c r="W147" s="1120"/>
      <c r="X147" s="1120"/>
      <c r="Y147" s="1119"/>
      <c r="Z147" s="1119"/>
      <c r="AA147" s="1119"/>
      <c r="AB147" s="1119"/>
      <c r="AC147" s="1178"/>
      <c r="AD147" s="1178"/>
      <c r="AE147" s="1178"/>
      <c r="AF147" s="1178"/>
      <c r="AG147" s="1178"/>
      <c r="AH147" s="1178"/>
      <c r="AI147" s="1178"/>
      <c r="AJ147" s="1178"/>
      <c r="AK147" s="919">
        <v>33.700000000000003</v>
      </c>
      <c r="AL147" s="1104"/>
      <c r="AM147" s="919"/>
      <c r="AN147" s="1710"/>
      <c r="AO147" s="919"/>
      <c r="AP147" s="919"/>
      <c r="AS147" s="1167"/>
      <c r="AT147" s="1167"/>
      <c r="AU147" s="1168"/>
      <c r="AV147" s="1168"/>
      <c r="AW147" s="1169"/>
      <c r="AX147" s="1169"/>
      <c r="AY147" s="1169"/>
      <c r="AZ147" s="1169"/>
      <c r="BA147" s="1799" t="s">
        <v>3</v>
      </c>
      <c r="BB147" s="1802">
        <v>2012</v>
      </c>
      <c r="BC147" s="1799" t="s">
        <v>48</v>
      </c>
      <c r="BD147" s="1799">
        <v>7</v>
      </c>
      <c r="BE147" s="1800">
        <v>142342132</v>
      </c>
      <c r="BF147" s="1801">
        <v>4.2000000000000003E-2</v>
      </c>
      <c r="BG147" s="1799"/>
      <c r="BH147" s="1799" t="s">
        <v>0</v>
      </c>
      <c r="BI147" s="1799" t="s">
        <v>289</v>
      </c>
      <c r="BJ147" s="1799" t="s">
        <v>14</v>
      </c>
      <c r="BK147" s="1799">
        <v>5</v>
      </c>
      <c r="BL147" s="1800">
        <v>371991493.28000003</v>
      </c>
      <c r="BM147" s="1801">
        <v>0.121791189802771</v>
      </c>
      <c r="BN147" s="1799">
        <v>2004</v>
      </c>
      <c r="BO147" s="1684"/>
      <c r="BP147" s="1696"/>
      <c r="BQ147" s="1169"/>
      <c r="BR147" s="1169"/>
      <c r="BS147" s="1169"/>
      <c r="BT147" s="1169"/>
      <c r="BU147" s="1169"/>
      <c r="BV147" s="1169"/>
      <c r="BW147" s="1169"/>
      <c r="BX147" s="1169"/>
      <c r="BY147" s="1169"/>
      <c r="BZ147" s="1169"/>
      <c r="CA147" s="1169"/>
      <c r="CB147" s="1169"/>
      <c r="CC147" s="1169"/>
      <c r="CD147" s="1169"/>
      <c r="CE147" s="1169"/>
      <c r="CF147" s="1169"/>
      <c r="CG147" s="1169"/>
      <c r="CH147" s="1169"/>
      <c r="CI147" s="1169"/>
      <c r="CJ147" s="1169"/>
      <c r="CK147" s="1169"/>
      <c r="CL147" s="1169"/>
      <c r="CM147" s="1169"/>
      <c r="CN147" s="1169"/>
      <c r="CO147" s="1169"/>
      <c r="CP147" s="1169"/>
      <c r="CQ147" s="1169"/>
      <c r="CR147" s="1169"/>
      <c r="CS147" s="1169"/>
      <c r="CT147" s="1169"/>
      <c r="CU147" s="1169"/>
      <c r="CV147" s="1169"/>
      <c r="CW147" s="1169"/>
      <c r="CX147" s="1169"/>
      <c r="CY147" s="1169"/>
      <c r="CZ147" s="1169"/>
      <c r="DA147" s="1168"/>
      <c r="DB147" s="1168"/>
      <c r="DC147" s="1168"/>
      <c r="DD147" s="1168"/>
      <c r="DE147" s="1168"/>
      <c r="DF147" s="1168"/>
      <c r="DG147" s="1168"/>
      <c r="DH147" s="1168"/>
      <c r="DI147" s="1168"/>
      <c r="DJ147" s="1168"/>
      <c r="DK147" s="1168"/>
      <c r="DL147" s="1168"/>
      <c r="DM147" s="1168"/>
      <c r="DN147" s="1168"/>
      <c r="DO147" s="1168"/>
      <c r="DP147" s="1168"/>
      <c r="DQ147" s="1168"/>
      <c r="DR147" s="1168"/>
      <c r="DS147" s="1168"/>
      <c r="DT147" s="1168"/>
      <c r="DU147" s="1168"/>
      <c r="DV147" s="1168"/>
      <c r="DW147" s="1168"/>
      <c r="DX147" s="1168"/>
      <c r="DY147" s="1168"/>
      <c r="DZ147" s="1168"/>
      <c r="EA147" s="1168"/>
      <c r="EB147" s="1168"/>
      <c r="EC147" s="1168"/>
      <c r="ED147" s="1168"/>
      <c r="EE147" s="1168"/>
      <c r="EF147" s="1168"/>
      <c r="EG147" s="1168"/>
      <c r="EH147" s="1168"/>
      <c r="EI147" s="1170"/>
      <c r="EJ147" s="1170"/>
      <c r="EK147" s="1170"/>
      <c r="EL147" s="1170"/>
      <c r="EM147" s="1170"/>
      <c r="EN147" s="1170"/>
      <c r="EO147" s="1170"/>
      <c r="EP147" s="1170"/>
      <c r="EQ147" s="1170"/>
      <c r="ER147" s="1170"/>
      <c r="ES147" s="1333"/>
      <c r="ET147" s="1333"/>
      <c r="EU147" s="1333"/>
      <c r="EV147" s="1333"/>
      <c r="EW147" s="1333"/>
      <c r="EX147" s="1333"/>
      <c r="EY147" s="1333"/>
      <c r="EZ147" s="1333"/>
      <c r="FA147" s="1333"/>
      <c r="FB147" s="1333"/>
      <c r="FC147" s="1333"/>
      <c r="FD147" s="1333"/>
      <c r="FE147" s="1333"/>
      <c r="FF147" s="1333"/>
      <c r="FG147" s="1333"/>
      <c r="FH147" s="1333"/>
      <c r="FI147" s="1333"/>
      <c r="FJ147" s="1333"/>
      <c r="FK147" s="1333"/>
      <c r="FL147" s="1333"/>
      <c r="FM147" s="1333"/>
      <c r="FN147" s="1333"/>
      <c r="FO147" s="1333"/>
      <c r="FP147" s="1333"/>
      <c r="FQ147" s="1333"/>
      <c r="FR147" s="1333"/>
      <c r="FS147" s="1333"/>
      <c r="FT147" s="1333"/>
      <c r="FU147" s="1333"/>
      <c r="FV147" s="1333"/>
      <c r="FW147" s="1333"/>
      <c r="FX147" s="1333"/>
      <c r="FY147" s="1333"/>
      <c r="FZ147" s="1333"/>
      <c r="GA147" s="1333"/>
      <c r="GB147" s="1333"/>
      <c r="GC147" s="1333"/>
      <c r="GD147" s="1333"/>
      <c r="GE147" s="1333"/>
      <c r="GF147" s="1333"/>
      <c r="GG147" s="1333"/>
      <c r="GH147" s="1333"/>
      <c r="GI147" s="1333"/>
      <c r="GJ147" s="1333"/>
      <c r="GK147" s="1333"/>
      <c r="GL147" s="1333"/>
      <c r="GM147" s="1333"/>
      <c r="GN147" s="1333"/>
      <c r="GO147" s="1333"/>
      <c r="GP147" s="1333"/>
      <c r="GQ147" s="1333"/>
      <c r="GR147" s="1333"/>
      <c r="GS147" s="1333"/>
      <c r="GT147" s="1333"/>
      <c r="GU147" s="1333"/>
      <c r="GV147" s="1333"/>
      <c r="GW147" s="1333"/>
      <c r="GX147" s="1333"/>
    </row>
    <row r="148" spans="1:206" s="607" customFormat="1">
      <c r="A148" s="607">
        <f t="shared" si="4"/>
        <v>1982</v>
      </c>
      <c r="B148" s="607">
        <f t="shared" si="5"/>
        <v>3</v>
      </c>
      <c r="C148" s="1173">
        <v>30165</v>
      </c>
      <c r="D148" s="957"/>
      <c r="E148" s="920"/>
      <c r="F148" s="920"/>
      <c r="G148" s="920"/>
      <c r="H148" s="920"/>
      <c r="I148" s="954">
        <v>379.03821728566987</v>
      </c>
      <c r="J148" s="954">
        <v>365.50714285710001</v>
      </c>
      <c r="K148" s="954"/>
      <c r="L148" s="920"/>
      <c r="M148" s="917"/>
      <c r="N148" s="917"/>
      <c r="O148" s="1334"/>
      <c r="P148" s="1334"/>
      <c r="Q148" s="1334"/>
      <c r="R148" s="1334"/>
      <c r="S148" s="1334"/>
      <c r="T148" s="1334"/>
      <c r="U148" s="920"/>
      <c r="V148" s="920"/>
      <c r="W148" s="920"/>
      <c r="X148" s="920"/>
      <c r="Y148" s="920"/>
      <c r="Z148" s="920"/>
      <c r="AA148" s="920"/>
      <c r="AB148" s="920"/>
      <c r="AC148" s="920"/>
      <c r="AD148" s="920"/>
      <c r="AE148" s="920"/>
      <c r="AF148" s="920"/>
      <c r="AG148" s="920"/>
      <c r="AH148" s="920"/>
      <c r="AI148" s="920"/>
      <c r="AJ148" s="920"/>
      <c r="AK148" s="920">
        <v>33.700000000000003</v>
      </c>
      <c r="AL148" s="1105"/>
      <c r="AM148" s="920"/>
      <c r="AN148" s="1711"/>
      <c r="AO148" s="920"/>
      <c r="AP148" s="920"/>
      <c r="AS148" s="1167"/>
      <c r="AT148" s="1167"/>
      <c r="AU148" s="1168"/>
      <c r="AV148" s="1168"/>
      <c r="AW148" s="1169"/>
      <c r="AX148" s="1169"/>
      <c r="AY148" s="1169"/>
      <c r="AZ148" s="1169"/>
      <c r="BA148" s="1799" t="s">
        <v>3</v>
      </c>
      <c r="BB148" s="1802">
        <v>2012</v>
      </c>
      <c r="BC148" s="1799" t="s">
        <v>45</v>
      </c>
      <c r="BD148" s="1799">
        <v>8</v>
      </c>
      <c r="BE148" s="1800">
        <v>135353736</v>
      </c>
      <c r="BF148" s="1801">
        <v>0.04</v>
      </c>
      <c r="BG148" s="1799"/>
      <c r="BH148" s="1799" t="s">
        <v>0</v>
      </c>
      <c r="BI148" s="1799" t="s">
        <v>289</v>
      </c>
      <c r="BJ148" s="1799" t="s">
        <v>22</v>
      </c>
      <c r="BK148" s="1799">
        <v>6</v>
      </c>
      <c r="BL148" s="1800">
        <v>317299989.79999995</v>
      </c>
      <c r="BM148" s="1801">
        <v>0.10388501882504417</v>
      </c>
      <c r="BN148" s="1799">
        <v>2004</v>
      </c>
      <c r="BO148" s="1684"/>
      <c r="BP148" s="1696"/>
      <c r="BQ148" s="1169"/>
      <c r="BR148" s="1169"/>
      <c r="BS148" s="1169"/>
      <c r="BT148" s="1169"/>
      <c r="BU148" s="1169"/>
      <c r="BV148" s="1169"/>
      <c r="BW148" s="1169"/>
      <c r="BX148" s="1169"/>
      <c r="BY148" s="1169"/>
      <c r="BZ148" s="1169"/>
      <c r="CA148" s="1169"/>
      <c r="CB148" s="1169"/>
      <c r="CC148" s="1169"/>
      <c r="CD148" s="1169"/>
      <c r="CE148" s="1169"/>
      <c r="CF148" s="1169"/>
      <c r="CG148" s="1169"/>
      <c r="CH148" s="1169"/>
      <c r="CI148" s="1169"/>
      <c r="CJ148" s="1169"/>
      <c r="CK148" s="1169"/>
      <c r="CL148" s="1169"/>
      <c r="CM148" s="1169"/>
      <c r="CN148" s="1169"/>
      <c r="CO148" s="1169"/>
      <c r="CP148" s="1169"/>
      <c r="CQ148" s="1169"/>
      <c r="CR148" s="1169"/>
      <c r="CS148" s="1169"/>
      <c r="CT148" s="1169"/>
      <c r="CU148" s="1169"/>
      <c r="CV148" s="1169"/>
      <c r="CW148" s="1169"/>
      <c r="CX148" s="1169"/>
      <c r="CY148" s="1169"/>
      <c r="CZ148" s="1169"/>
      <c r="DA148" s="1168"/>
      <c r="DB148" s="1168"/>
      <c r="DC148" s="1168"/>
      <c r="DD148" s="1168"/>
      <c r="DE148" s="1168"/>
      <c r="DF148" s="1168"/>
      <c r="DG148" s="1168"/>
      <c r="DH148" s="1168"/>
      <c r="DI148" s="1168"/>
      <c r="DJ148" s="1168"/>
      <c r="DK148" s="1168"/>
      <c r="DL148" s="1168"/>
      <c r="DM148" s="1168"/>
      <c r="DN148" s="1168"/>
      <c r="DO148" s="1168"/>
      <c r="DP148" s="1168"/>
      <c r="DQ148" s="1168"/>
      <c r="DR148" s="1168"/>
      <c r="DS148" s="1168"/>
      <c r="DT148" s="1168"/>
      <c r="DU148" s="1168"/>
      <c r="DV148" s="1168"/>
      <c r="DW148" s="1168"/>
      <c r="DX148" s="1168"/>
      <c r="DY148" s="1168"/>
      <c r="DZ148" s="1168"/>
      <c r="EA148" s="1168"/>
      <c r="EB148" s="1168"/>
      <c r="EC148" s="1168"/>
      <c r="ED148" s="1168"/>
      <c r="EE148" s="1168"/>
      <c r="EF148" s="1168"/>
      <c r="EG148" s="1168"/>
      <c r="EH148" s="1168"/>
      <c r="EI148" s="1170"/>
      <c r="EJ148" s="1170"/>
      <c r="EK148" s="1170"/>
      <c r="EL148" s="1170"/>
      <c r="EM148" s="1170"/>
      <c r="EN148" s="1170"/>
      <c r="EO148" s="1170"/>
      <c r="EP148" s="1170"/>
      <c r="EQ148" s="1170"/>
      <c r="ER148" s="1170"/>
      <c r="ES148" s="1333"/>
      <c r="ET148" s="1333"/>
      <c r="EU148" s="1333"/>
      <c r="EV148" s="1333"/>
      <c r="EW148" s="1333"/>
      <c r="EX148" s="1333"/>
      <c r="EY148" s="1333"/>
      <c r="EZ148" s="1333"/>
      <c r="FA148" s="1333"/>
      <c r="FB148" s="1333"/>
      <c r="FC148" s="1333"/>
      <c r="FD148" s="1333"/>
      <c r="FE148" s="1333"/>
      <c r="FF148" s="1333"/>
      <c r="FG148" s="1333"/>
      <c r="FH148" s="1333"/>
      <c r="FI148" s="1333"/>
      <c r="FJ148" s="1333"/>
      <c r="FK148" s="1333"/>
      <c r="FL148" s="1333"/>
      <c r="FM148" s="1333"/>
      <c r="FN148" s="1333"/>
      <c r="FO148" s="1333"/>
      <c r="FP148" s="1333"/>
      <c r="FQ148" s="1333"/>
      <c r="FR148" s="1333"/>
      <c r="FS148" s="1333"/>
      <c r="FT148" s="1333"/>
      <c r="FU148" s="1333"/>
      <c r="FV148" s="1333"/>
      <c r="FW148" s="1333"/>
      <c r="FX148" s="1333"/>
      <c r="FY148" s="1333"/>
      <c r="FZ148" s="1333"/>
      <c r="GA148" s="1333"/>
      <c r="GB148" s="1333"/>
      <c r="GC148" s="1333"/>
      <c r="GD148" s="1333"/>
      <c r="GE148" s="1333"/>
      <c r="GF148" s="1333"/>
      <c r="GG148" s="1333"/>
      <c r="GH148" s="1333"/>
      <c r="GI148" s="1333"/>
      <c r="GJ148" s="1333"/>
      <c r="GK148" s="1333"/>
      <c r="GL148" s="1333"/>
      <c r="GM148" s="1333"/>
      <c r="GN148" s="1333"/>
      <c r="GO148" s="1333"/>
      <c r="GP148" s="1333"/>
      <c r="GQ148" s="1333"/>
      <c r="GR148" s="1333"/>
      <c r="GS148" s="1333"/>
      <c r="GT148" s="1333"/>
      <c r="GU148" s="1333"/>
      <c r="GV148" s="1333"/>
      <c r="GW148" s="1333"/>
      <c r="GX148" s="1333"/>
    </row>
    <row r="149" spans="1:206" s="607" customFormat="1">
      <c r="A149" s="607">
        <f t="shared" si="4"/>
        <v>1982</v>
      </c>
      <c r="B149" s="607">
        <f t="shared" si="5"/>
        <v>3</v>
      </c>
      <c r="C149" s="1173">
        <v>30195</v>
      </c>
      <c r="D149" s="1709"/>
      <c r="E149" s="1117"/>
      <c r="F149" s="1117"/>
      <c r="G149" s="1117"/>
      <c r="H149" s="1117"/>
      <c r="I149" s="959">
        <v>460.590354875</v>
      </c>
      <c r="J149" s="959">
        <v>437.23750000000001</v>
      </c>
      <c r="K149" s="960"/>
      <c r="L149" s="1121"/>
      <c r="M149" s="916"/>
      <c r="N149" s="916"/>
      <c r="O149" s="1332"/>
      <c r="P149" s="1332"/>
      <c r="Q149" s="1332"/>
      <c r="R149" s="1332"/>
      <c r="S149" s="1332"/>
      <c r="T149" s="1332"/>
      <c r="U149" s="1120"/>
      <c r="V149" s="1120"/>
      <c r="W149" s="1120"/>
      <c r="X149" s="1120"/>
      <c r="Y149" s="1119"/>
      <c r="Z149" s="1119"/>
      <c r="AA149" s="1119"/>
      <c r="AB149" s="1119"/>
      <c r="AC149" s="1178"/>
      <c r="AD149" s="1178"/>
      <c r="AE149" s="1178"/>
      <c r="AF149" s="1178"/>
      <c r="AG149" s="1178"/>
      <c r="AH149" s="1178"/>
      <c r="AI149" s="1178"/>
      <c r="AJ149" s="1178"/>
      <c r="AK149" s="919">
        <v>34.25</v>
      </c>
      <c r="AL149" s="1104"/>
      <c r="AM149" s="919"/>
      <c r="AN149" s="1710"/>
      <c r="AO149" s="919"/>
      <c r="AP149" s="919"/>
      <c r="AS149" s="1167"/>
      <c r="AT149" s="1167"/>
      <c r="AU149" s="1168"/>
      <c r="AV149" s="1168"/>
      <c r="AW149" s="1169"/>
      <c r="AX149" s="1169"/>
      <c r="AY149" s="1169"/>
      <c r="AZ149" s="1169"/>
      <c r="BA149" s="1799" t="s">
        <v>3</v>
      </c>
      <c r="BB149" s="1802">
        <v>2012</v>
      </c>
      <c r="BC149" s="1799" t="s">
        <v>23</v>
      </c>
      <c r="BD149" s="1799">
        <v>9</v>
      </c>
      <c r="BE149" s="1800">
        <v>108395416</v>
      </c>
      <c r="BF149" s="1801">
        <v>3.2000000000000001E-2</v>
      </c>
      <c r="BG149" s="1799"/>
      <c r="BH149" s="1799" t="s">
        <v>0</v>
      </c>
      <c r="BI149" s="1799" t="s">
        <v>289</v>
      </c>
      <c r="BJ149" s="1799" t="s">
        <v>447</v>
      </c>
      <c r="BK149" s="1799">
        <v>7</v>
      </c>
      <c r="BL149" s="1800">
        <v>183622090.74000001</v>
      </c>
      <c r="BM149" s="1801">
        <v>6.011845246273901E-2</v>
      </c>
      <c r="BN149" s="1799">
        <v>2004</v>
      </c>
      <c r="BO149" s="1684"/>
      <c r="BP149" s="1697"/>
      <c r="BQ149" s="1169"/>
      <c r="BR149" s="1169"/>
      <c r="BS149" s="1169"/>
      <c r="BT149" s="1169"/>
      <c r="BU149" s="1169"/>
      <c r="BV149" s="1169"/>
      <c r="BW149" s="1169"/>
      <c r="BX149" s="1169"/>
      <c r="BY149" s="1169"/>
      <c r="BZ149" s="1169"/>
      <c r="CA149" s="1169"/>
      <c r="CB149" s="1169"/>
      <c r="CC149" s="1169"/>
      <c r="CD149" s="1169"/>
      <c r="CE149" s="1169"/>
      <c r="CF149" s="1169"/>
      <c r="CG149" s="1169"/>
      <c r="CH149" s="1169"/>
      <c r="CI149" s="1169"/>
      <c r="CJ149" s="1169"/>
      <c r="CK149" s="1169"/>
      <c r="CL149" s="1169"/>
      <c r="CM149" s="1169"/>
      <c r="CN149" s="1169"/>
      <c r="CO149" s="1169"/>
      <c r="CP149" s="1169"/>
      <c r="CQ149" s="1169"/>
      <c r="CR149" s="1169"/>
      <c r="CS149" s="1169"/>
      <c r="CT149" s="1169"/>
      <c r="CU149" s="1169"/>
      <c r="CV149" s="1169"/>
      <c r="CW149" s="1169"/>
      <c r="CX149" s="1169"/>
      <c r="CY149" s="1169"/>
      <c r="CZ149" s="1169"/>
      <c r="DA149" s="1168"/>
      <c r="DB149" s="1168"/>
      <c r="DC149" s="1168"/>
      <c r="DD149" s="1168"/>
      <c r="DE149" s="1168"/>
      <c r="DF149" s="1168"/>
      <c r="DG149" s="1168"/>
      <c r="DH149" s="1168"/>
      <c r="DI149" s="1168"/>
      <c r="DJ149" s="1168"/>
      <c r="DK149" s="1168"/>
      <c r="DL149" s="1168"/>
      <c r="DM149" s="1168"/>
      <c r="DN149" s="1168"/>
      <c r="DO149" s="1168"/>
      <c r="DP149" s="1168"/>
      <c r="DQ149" s="1168"/>
      <c r="DR149" s="1168"/>
      <c r="DS149" s="1168"/>
      <c r="DT149" s="1168"/>
      <c r="DU149" s="1168"/>
      <c r="DV149" s="1168"/>
      <c r="DW149" s="1168"/>
      <c r="DX149" s="1168"/>
      <c r="DY149" s="1168"/>
      <c r="DZ149" s="1168"/>
      <c r="EA149" s="1168"/>
      <c r="EB149" s="1168"/>
      <c r="EC149" s="1168"/>
      <c r="ED149" s="1168"/>
      <c r="EE149" s="1168"/>
      <c r="EF149" s="1168"/>
      <c r="EG149" s="1168"/>
      <c r="EH149" s="1168"/>
      <c r="EI149" s="1170"/>
      <c r="EJ149" s="1170"/>
      <c r="EK149" s="1170"/>
      <c r="EL149" s="1170"/>
      <c r="EM149" s="1170"/>
      <c r="EN149" s="1170"/>
      <c r="EO149" s="1170"/>
      <c r="EP149" s="1170"/>
      <c r="EQ149" s="1170"/>
      <c r="ER149" s="1170"/>
      <c r="ES149" s="1333"/>
      <c r="ET149" s="1333"/>
      <c r="EU149" s="1333"/>
      <c r="EV149" s="1333"/>
      <c r="EW149" s="1333"/>
      <c r="EX149" s="1333"/>
      <c r="EY149" s="1333"/>
      <c r="EZ149" s="1333"/>
      <c r="FA149" s="1333"/>
      <c r="FB149" s="1333"/>
      <c r="FC149" s="1333"/>
      <c r="FD149" s="1333"/>
      <c r="FE149" s="1333"/>
      <c r="FF149" s="1333"/>
      <c r="FG149" s="1333"/>
      <c r="FH149" s="1333"/>
      <c r="FI149" s="1333"/>
      <c r="FJ149" s="1333"/>
      <c r="FK149" s="1333"/>
      <c r="FL149" s="1333"/>
      <c r="FM149" s="1333"/>
      <c r="FN149" s="1333"/>
      <c r="FO149" s="1333"/>
      <c r="FP149" s="1333"/>
      <c r="FQ149" s="1333"/>
      <c r="FR149" s="1333"/>
      <c r="FS149" s="1333"/>
      <c r="FT149" s="1333"/>
      <c r="FU149" s="1333"/>
      <c r="FV149" s="1333"/>
      <c r="FW149" s="1333"/>
      <c r="FX149" s="1333"/>
      <c r="FY149" s="1333"/>
      <c r="FZ149" s="1333"/>
      <c r="GA149" s="1333"/>
      <c r="GB149" s="1333"/>
      <c r="GC149" s="1333"/>
      <c r="GD149" s="1333"/>
      <c r="GE149" s="1333"/>
      <c r="GF149" s="1333"/>
      <c r="GG149" s="1333"/>
      <c r="GH149" s="1333"/>
      <c r="GI149" s="1333"/>
      <c r="GJ149" s="1333"/>
      <c r="GK149" s="1333"/>
      <c r="GL149" s="1333"/>
      <c r="GM149" s="1333"/>
      <c r="GN149" s="1333"/>
      <c r="GO149" s="1333"/>
      <c r="GP149" s="1333"/>
      <c r="GQ149" s="1333"/>
      <c r="GR149" s="1333"/>
      <c r="GS149" s="1333"/>
      <c r="GT149" s="1333"/>
      <c r="GU149" s="1333"/>
      <c r="GV149" s="1333"/>
      <c r="GW149" s="1333"/>
      <c r="GX149" s="1333"/>
    </row>
    <row r="150" spans="1:206" s="607" customFormat="1">
      <c r="A150" s="607">
        <f t="shared" si="4"/>
        <v>1982</v>
      </c>
      <c r="B150" s="607">
        <f t="shared" si="5"/>
        <v>4</v>
      </c>
      <c r="C150" s="1173">
        <v>30225</v>
      </c>
      <c r="D150" s="957"/>
      <c r="E150" s="920"/>
      <c r="F150" s="920"/>
      <c r="G150" s="920"/>
      <c r="H150" s="920"/>
      <c r="I150" s="954">
        <v>451.2927555</v>
      </c>
      <c r="J150" s="954">
        <v>422.72500000000002</v>
      </c>
      <c r="K150" s="954"/>
      <c r="L150" s="920"/>
      <c r="M150" s="917"/>
      <c r="N150" s="917"/>
      <c r="O150" s="1334"/>
      <c r="P150" s="1334"/>
      <c r="Q150" s="1334"/>
      <c r="R150" s="1334"/>
      <c r="S150" s="1334"/>
      <c r="T150" s="1334"/>
      <c r="U150" s="920"/>
      <c r="V150" s="920"/>
      <c r="W150" s="920"/>
      <c r="X150" s="920"/>
      <c r="Y150" s="920"/>
      <c r="Z150" s="920"/>
      <c r="AA150" s="920"/>
      <c r="AB150" s="920"/>
      <c r="AC150" s="920"/>
      <c r="AD150" s="920"/>
      <c r="AE150" s="920"/>
      <c r="AF150" s="920"/>
      <c r="AG150" s="920"/>
      <c r="AH150" s="920"/>
      <c r="AI150" s="920"/>
      <c r="AJ150" s="920"/>
      <c r="AK150" s="920">
        <v>35</v>
      </c>
      <c r="AL150" s="1105"/>
      <c r="AM150" s="920"/>
      <c r="AN150" s="1711"/>
      <c r="AO150" s="920"/>
      <c r="AP150" s="920"/>
      <c r="AS150" s="1167"/>
      <c r="AT150" s="1167"/>
      <c r="AU150" s="1168"/>
      <c r="AV150" s="1168"/>
      <c r="AW150" s="1169"/>
      <c r="AX150" s="1169"/>
      <c r="AY150" s="1169"/>
      <c r="AZ150" s="1169"/>
      <c r="BA150" s="1799" t="s">
        <v>3</v>
      </c>
      <c r="BB150" s="1802">
        <v>2012</v>
      </c>
      <c r="BC150" s="1799" t="s">
        <v>51</v>
      </c>
      <c r="BD150" s="1799">
        <v>10</v>
      </c>
      <c r="BE150" s="1800">
        <v>68825847</v>
      </c>
      <c r="BF150" s="1801">
        <v>0.02</v>
      </c>
      <c r="BG150" s="1799"/>
      <c r="BH150" s="1799" t="s">
        <v>0</v>
      </c>
      <c r="BI150" s="1799" t="s">
        <v>289</v>
      </c>
      <c r="BJ150" s="1799" t="s">
        <v>19</v>
      </c>
      <c r="BK150" s="1799">
        <v>8</v>
      </c>
      <c r="BL150" s="1800">
        <v>144106677.22000003</v>
      </c>
      <c r="BM150" s="1801">
        <v>4.7180981270281371E-2</v>
      </c>
      <c r="BN150" s="1799">
        <v>2004</v>
      </c>
      <c r="BO150" s="1684"/>
      <c r="BP150" s="1696"/>
      <c r="BQ150" s="1169"/>
      <c r="BR150" s="1169"/>
      <c r="BS150" s="1169"/>
      <c r="BT150" s="1169"/>
      <c r="BU150" s="1169"/>
      <c r="BV150" s="1169"/>
      <c r="BW150" s="1169"/>
      <c r="BX150" s="1169"/>
      <c r="BY150" s="1169"/>
      <c r="BZ150" s="1169"/>
      <c r="CA150" s="1169"/>
      <c r="CB150" s="1169"/>
      <c r="CC150" s="1169"/>
      <c r="CD150" s="1169"/>
      <c r="CE150" s="1169"/>
      <c r="CF150" s="1169"/>
      <c r="CG150" s="1169"/>
      <c r="CH150" s="1169"/>
      <c r="CI150" s="1169"/>
      <c r="CJ150" s="1169"/>
      <c r="CK150" s="1169"/>
      <c r="CL150" s="1169"/>
      <c r="CM150" s="1169"/>
      <c r="CN150" s="1169"/>
      <c r="CO150" s="1169"/>
      <c r="CP150" s="1169"/>
      <c r="CQ150" s="1169"/>
      <c r="CR150" s="1169"/>
      <c r="CS150" s="1169"/>
      <c r="CT150" s="1169"/>
      <c r="CU150" s="1169"/>
      <c r="CV150" s="1169"/>
      <c r="CW150" s="1169"/>
      <c r="CX150" s="1169"/>
      <c r="CY150" s="1169"/>
      <c r="CZ150" s="1169"/>
      <c r="DA150" s="1168"/>
      <c r="DB150" s="1168"/>
      <c r="DC150" s="1168"/>
      <c r="DD150" s="1168"/>
      <c r="DE150" s="1168"/>
      <c r="DF150" s="1168"/>
      <c r="DG150" s="1168"/>
      <c r="DH150" s="1168"/>
      <c r="DI150" s="1168"/>
      <c r="DJ150" s="1168"/>
      <c r="DK150" s="1168"/>
      <c r="DL150" s="1168"/>
      <c r="DM150" s="1168"/>
      <c r="DN150" s="1168"/>
      <c r="DO150" s="1168"/>
      <c r="DP150" s="1168"/>
      <c r="DQ150" s="1168"/>
      <c r="DR150" s="1168"/>
      <c r="DS150" s="1168"/>
      <c r="DT150" s="1168"/>
      <c r="DU150" s="1168"/>
      <c r="DV150" s="1168"/>
      <c r="DW150" s="1168"/>
      <c r="DX150" s="1168"/>
      <c r="DY150" s="1168"/>
      <c r="DZ150" s="1168"/>
      <c r="EA150" s="1168"/>
      <c r="EB150" s="1168"/>
      <c r="EC150" s="1168"/>
      <c r="ED150" s="1168"/>
      <c r="EE150" s="1168"/>
      <c r="EF150" s="1168"/>
      <c r="EG150" s="1168"/>
      <c r="EH150" s="1168"/>
      <c r="EI150" s="1170"/>
      <c r="EJ150" s="1170"/>
      <c r="EK150" s="1170"/>
      <c r="EL150" s="1170"/>
      <c r="EM150" s="1170"/>
      <c r="EN150" s="1170"/>
      <c r="EO150" s="1170"/>
      <c r="EP150" s="1170"/>
      <c r="EQ150" s="1170"/>
      <c r="ER150" s="1170"/>
      <c r="ES150" s="1333"/>
      <c r="ET150" s="1333"/>
      <c r="EU150" s="1333"/>
      <c r="EV150" s="1333"/>
      <c r="EW150" s="1333"/>
      <c r="EX150" s="1333"/>
      <c r="EY150" s="1333"/>
      <c r="EZ150" s="1333"/>
      <c r="FA150" s="1333"/>
      <c r="FB150" s="1333"/>
      <c r="FC150" s="1333"/>
      <c r="FD150" s="1333"/>
      <c r="FE150" s="1333"/>
      <c r="FF150" s="1333"/>
      <c r="FG150" s="1333"/>
      <c r="FH150" s="1333"/>
      <c r="FI150" s="1333"/>
      <c r="FJ150" s="1333"/>
      <c r="FK150" s="1333"/>
      <c r="FL150" s="1333"/>
      <c r="FM150" s="1333"/>
      <c r="FN150" s="1333"/>
      <c r="FO150" s="1333"/>
      <c r="FP150" s="1333"/>
      <c r="FQ150" s="1333"/>
      <c r="FR150" s="1333"/>
      <c r="FS150" s="1333"/>
      <c r="FT150" s="1333"/>
      <c r="FU150" s="1333"/>
      <c r="FV150" s="1333"/>
      <c r="FW150" s="1333"/>
      <c r="FX150" s="1333"/>
      <c r="FY150" s="1333"/>
      <c r="FZ150" s="1333"/>
      <c r="GA150" s="1333"/>
      <c r="GB150" s="1333"/>
      <c r="GC150" s="1333"/>
      <c r="GD150" s="1333"/>
      <c r="GE150" s="1333"/>
      <c r="GF150" s="1333"/>
      <c r="GG150" s="1333"/>
      <c r="GH150" s="1333"/>
      <c r="GI150" s="1333"/>
      <c r="GJ150" s="1333"/>
      <c r="GK150" s="1333"/>
      <c r="GL150" s="1333"/>
      <c r="GM150" s="1333"/>
      <c r="GN150" s="1333"/>
      <c r="GO150" s="1333"/>
      <c r="GP150" s="1333"/>
      <c r="GQ150" s="1333"/>
      <c r="GR150" s="1333"/>
      <c r="GS150" s="1333"/>
      <c r="GT150" s="1333"/>
      <c r="GU150" s="1333"/>
      <c r="GV150" s="1333"/>
      <c r="GW150" s="1333"/>
      <c r="GX150" s="1333"/>
    </row>
    <row r="151" spans="1:206" s="607" customFormat="1">
      <c r="A151" s="607">
        <f t="shared" si="4"/>
        <v>1982</v>
      </c>
      <c r="B151" s="607">
        <f t="shared" si="5"/>
        <v>4</v>
      </c>
      <c r="C151" s="1173">
        <v>30256</v>
      </c>
      <c r="D151" s="1709"/>
      <c r="E151" s="1117"/>
      <c r="F151" s="1117"/>
      <c r="G151" s="1117"/>
      <c r="H151" s="1117"/>
      <c r="I151" s="959">
        <v>434.86508927273672</v>
      </c>
      <c r="J151" s="959">
        <v>415.20909090909998</v>
      </c>
      <c r="K151" s="960"/>
      <c r="L151" s="1121"/>
      <c r="M151" s="916"/>
      <c r="N151" s="916"/>
      <c r="O151" s="1332"/>
      <c r="P151" s="1332"/>
      <c r="Q151" s="1332"/>
      <c r="R151" s="1332"/>
      <c r="S151" s="1332"/>
      <c r="T151" s="1332"/>
      <c r="U151" s="1120"/>
      <c r="V151" s="1120"/>
      <c r="W151" s="1120"/>
      <c r="X151" s="1120"/>
      <c r="Y151" s="1119"/>
      <c r="Z151" s="1119"/>
      <c r="AA151" s="1119"/>
      <c r="AB151" s="1119"/>
      <c r="AC151" s="1178"/>
      <c r="AD151" s="1178"/>
      <c r="AE151" s="1178"/>
      <c r="AF151" s="1178"/>
      <c r="AG151" s="1178"/>
      <c r="AH151" s="1178"/>
      <c r="AI151" s="1178"/>
      <c r="AJ151" s="1178"/>
      <c r="AK151" s="919">
        <v>33.799999999999997</v>
      </c>
      <c r="AL151" s="1104"/>
      <c r="AM151" s="919"/>
      <c r="AN151" s="1710"/>
      <c r="AO151" s="919"/>
      <c r="AP151" s="919"/>
      <c r="AS151" s="1167"/>
      <c r="AT151" s="1167"/>
      <c r="AU151" s="1168"/>
      <c r="AV151" s="1168"/>
      <c r="AW151" s="1169"/>
      <c r="AX151" s="1169"/>
      <c r="AY151" s="1169"/>
      <c r="AZ151" s="1169"/>
      <c r="BA151" s="1799" t="s">
        <v>3</v>
      </c>
      <c r="BB151" s="1802">
        <v>2012</v>
      </c>
      <c r="BC151" s="1799" t="s">
        <v>32</v>
      </c>
      <c r="BD151" s="1799"/>
      <c r="BE151" s="1800">
        <v>266306367</v>
      </c>
      <c r="BF151" s="1801">
        <v>7.9000000000000001E-2</v>
      </c>
      <c r="BG151" s="1799"/>
      <c r="BH151" s="1799" t="s">
        <v>0</v>
      </c>
      <c r="BI151" s="1799" t="s">
        <v>289</v>
      </c>
      <c r="BJ151" s="1799" t="s">
        <v>16</v>
      </c>
      <c r="BK151" s="1799">
        <v>9</v>
      </c>
      <c r="BL151" s="1800">
        <v>78530298</v>
      </c>
      <c r="BM151" s="1801">
        <v>2.5711067596341695E-2</v>
      </c>
      <c r="BN151" s="1799">
        <v>2004</v>
      </c>
      <c r="BO151" s="1684"/>
      <c r="BP151" s="1696"/>
      <c r="BQ151" s="1169"/>
      <c r="BR151" s="1169"/>
      <c r="BS151" s="1169"/>
      <c r="BT151" s="1169"/>
      <c r="BU151" s="1169"/>
      <c r="BV151" s="1169"/>
      <c r="BW151" s="1169"/>
      <c r="BX151" s="1169"/>
      <c r="BY151" s="1169"/>
      <c r="BZ151" s="1169"/>
      <c r="CA151" s="1169"/>
      <c r="CB151" s="1169"/>
      <c r="CC151" s="1169"/>
      <c r="CD151" s="1169"/>
      <c r="CE151" s="1169"/>
      <c r="CF151" s="1169"/>
      <c r="CG151" s="1169"/>
      <c r="CH151" s="1169"/>
      <c r="CI151" s="1169"/>
      <c r="CJ151" s="1169"/>
      <c r="CK151" s="1169"/>
      <c r="CL151" s="1169"/>
      <c r="CM151" s="1169"/>
      <c r="CN151" s="1169"/>
      <c r="CO151" s="1169"/>
      <c r="CP151" s="1169"/>
      <c r="CQ151" s="1169"/>
      <c r="CR151" s="1169"/>
      <c r="CS151" s="1169"/>
      <c r="CT151" s="1169"/>
      <c r="CU151" s="1169"/>
      <c r="CV151" s="1169"/>
      <c r="CW151" s="1169"/>
      <c r="CX151" s="1169"/>
      <c r="CY151" s="1169"/>
      <c r="CZ151" s="1169"/>
      <c r="DA151" s="1168"/>
      <c r="DB151" s="1168"/>
      <c r="DC151" s="1168"/>
      <c r="DD151" s="1168"/>
      <c r="DE151" s="1168"/>
      <c r="DF151" s="1168"/>
      <c r="DG151" s="1168"/>
      <c r="DH151" s="1168"/>
      <c r="DI151" s="1168"/>
      <c r="DJ151" s="1168"/>
      <c r="DK151" s="1168"/>
      <c r="DL151" s="1168"/>
      <c r="DM151" s="1168"/>
      <c r="DN151" s="1168"/>
      <c r="DO151" s="1168"/>
      <c r="DP151" s="1168"/>
      <c r="DQ151" s="1168"/>
      <c r="DR151" s="1168"/>
      <c r="DS151" s="1168"/>
      <c r="DT151" s="1168"/>
      <c r="DU151" s="1168"/>
      <c r="DV151" s="1168"/>
      <c r="DW151" s="1168"/>
      <c r="DX151" s="1168"/>
      <c r="DY151" s="1168"/>
      <c r="DZ151" s="1168"/>
      <c r="EA151" s="1168"/>
      <c r="EB151" s="1168"/>
      <c r="EC151" s="1168"/>
      <c r="ED151" s="1168"/>
      <c r="EE151" s="1168"/>
      <c r="EF151" s="1168"/>
      <c r="EG151" s="1168"/>
      <c r="EH151" s="1168"/>
      <c r="EI151" s="1170"/>
      <c r="EJ151" s="1170"/>
      <c r="EK151" s="1170"/>
      <c r="EL151" s="1170"/>
      <c r="EM151" s="1170"/>
      <c r="EN151" s="1170"/>
      <c r="EO151" s="1170"/>
      <c r="EP151" s="1170"/>
      <c r="EQ151" s="1170"/>
      <c r="ER151" s="1170"/>
      <c r="ES151" s="1333"/>
      <c r="ET151" s="1333"/>
      <c r="EU151" s="1333"/>
      <c r="EV151" s="1333"/>
      <c r="EW151" s="1333"/>
      <c r="EX151" s="1333"/>
      <c r="EY151" s="1333"/>
      <c r="EZ151" s="1333"/>
      <c r="FA151" s="1333"/>
      <c r="FB151" s="1333"/>
      <c r="FC151" s="1333"/>
      <c r="FD151" s="1333"/>
      <c r="FE151" s="1333"/>
      <c r="FF151" s="1333"/>
      <c r="FG151" s="1333"/>
      <c r="FH151" s="1333"/>
      <c r="FI151" s="1333"/>
      <c r="FJ151" s="1333"/>
      <c r="FK151" s="1333"/>
      <c r="FL151" s="1333"/>
      <c r="FM151" s="1333"/>
      <c r="FN151" s="1333"/>
      <c r="FO151" s="1333"/>
      <c r="FP151" s="1333"/>
      <c r="FQ151" s="1333"/>
      <c r="FR151" s="1333"/>
      <c r="FS151" s="1333"/>
      <c r="FT151" s="1333"/>
      <c r="FU151" s="1333"/>
      <c r="FV151" s="1333"/>
      <c r="FW151" s="1333"/>
      <c r="FX151" s="1333"/>
      <c r="FY151" s="1333"/>
      <c r="FZ151" s="1333"/>
      <c r="GA151" s="1333"/>
      <c r="GB151" s="1333"/>
      <c r="GC151" s="1333"/>
      <c r="GD151" s="1333"/>
      <c r="GE151" s="1333"/>
      <c r="GF151" s="1333"/>
      <c r="GG151" s="1333"/>
      <c r="GH151" s="1333"/>
      <c r="GI151" s="1333"/>
      <c r="GJ151" s="1333"/>
      <c r="GK151" s="1333"/>
      <c r="GL151" s="1333"/>
      <c r="GM151" s="1333"/>
      <c r="GN151" s="1333"/>
      <c r="GO151" s="1333"/>
      <c r="GP151" s="1333"/>
      <c r="GQ151" s="1333"/>
      <c r="GR151" s="1333"/>
      <c r="GS151" s="1333"/>
      <c r="GT151" s="1333"/>
      <c r="GU151" s="1333"/>
      <c r="GV151" s="1333"/>
      <c r="GW151" s="1333"/>
      <c r="GX151" s="1333"/>
    </row>
    <row r="152" spans="1:206" s="607" customFormat="1">
      <c r="A152" s="607">
        <f t="shared" si="4"/>
        <v>1982</v>
      </c>
      <c r="B152" s="607">
        <f t="shared" si="5"/>
        <v>4</v>
      </c>
      <c r="C152" s="1173">
        <v>30286</v>
      </c>
      <c r="D152" s="957"/>
      <c r="E152" s="920"/>
      <c r="F152" s="920"/>
      <c r="G152" s="920"/>
      <c r="H152" s="920"/>
      <c r="I152" s="954">
        <v>453.19161008113065</v>
      </c>
      <c r="J152" s="954">
        <v>444.40135135140002</v>
      </c>
      <c r="K152" s="954"/>
      <c r="L152" s="920"/>
      <c r="M152" s="917"/>
      <c r="N152" s="917"/>
      <c r="O152" s="1334"/>
      <c r="P152" s="1334"/>
      <c r="Q152" s="1334"/>
      <c r="R152" s="1334"/>
      <c r="S152" s="1334"/>
      <c r="T152" s="1334"/>
      <c r="U152" s="920"/>
      <c r="V152" s="920"/>
      <c r="W152" s="920"/>
      <c r="X152" s="920"/>
      <c r="Y152" s="920"/>
      <c r="Z152" s="920"/>
      <c r="AA152" s="920"/>
      <c r="AB152" s="920"/>
      <c r="AC152" s="920"/>
      <c r="AD152" s="920"/>
      <c r="AE152" s="920"/>
      <c r="AF152" s="920"/>
      <c r="AG152" s="920"/>
      <c r="AH152" s="920"/>
      <c r="AI152" s="920"/>
      <c r="AJ152" s="920"/>
      <c r="AK152" s="920">
        <v>33.799999999999997</v>
      </c>
      <c r="AL152" s="1105"/>
      <c r="AM152" s="920"/>
      <c r="AN152" s="1711"/>
      <c r="AO152" s="920"/>
      <c r="AP152" s="920"/>
      <c r="AS152" s="1167"/>
      <c r="AT152" s="1167"/>
      <c r="AU152" s="1168"/>
      <c r="AV152" s="1168"/>
      <c r="AW152" s="1169"/>
      <c r="AX152" s="1169"/>
      <c r="AY152" s="1169"/>
      <c r="AZ152" s="1169"/>
      <c r="BA152" s="1799" t="s">
        <v>3</v>
      </c>
      <c r="BB152" s="1802">
        <v>2012</v>
      </c>
      <c r="BC152" s="1799" t="s">
        <v>249</v>
      </c>
      <c r="BD152" s="1799"/>
      <c r="BE152" s="1800">
        <v>3359726903</v>
      </c>
      <c r="BF152" s="1801"/>
      <c r="BG152" s="1799"/>
      <c r="BH152" s="1799" t="s">
        <v>0</v>
      </c>
      <c r="BI152" s="1799" t="s">
        <v>289</v>
      </c>
      <c r="BJ152" s="1799" t="s">
        <v>32</v>
      </c>
      <c r="BK152" s="1799"/>
      <c r="BL152" s="1800">
        <v>168179538.10999966</v>
      </c>
      <c r="BM152" s="1801">
        <v>5.5062511957712487E-2</v>
      </c>
      <c r="BN152" s="1799">
        <v>2004</v>
      </c>
      <c r="BO152" s="1684"/>
      <c r="BP152" s="1697"/>
      <c r="BQ152" s="1169"/>
      <c r="BR152" s="1169"/>
      <c r="BS152" s="1169"/>
      <c r="BT152" s="1169"/>
      <c r="BU152" s="1169"/>
      <c r="BV152" s="1169"/>
      <c r="BW152" s="1169"/>
      <c r="BX152" s="1169"/>
      <c r="BY152" s="1169"/>
      <c r="BZ152" s="1169"/>
      <c r="CA152" s="1169"/>
      <c r="CB152" s="1169"/>
      <c r="CC152" s="1169"/>
      <c r="CD152" s="1169"/>
      <c r="CE152" s="1169"/>
      <c r="CF152" s="1169"/>
      <c r="CG152" s="1169"/>
      <c r="CH152" s="1169"/>
      <c r="CI152" s="1169"/>
      <c r="CJ152" s="1169"/>
      <c r="CK152" s="1169"/>
      <c r="CL152" s="1169"/>
      <c r="CM152" s="1169"/>
      <c r="CN152" s="1169"/>
      <c r="CO152" s="1169"/>
      <c r="CP152" s="1169"/>
      <c r="CQ152" s="1169"/>
      <c r="CR152" s="1169"/>
      <c r="CS152" s="1169"/>
      <c r="CT152" s="1169"/>
      <c r="CU152" s="1169"/>
      <c r="CV152" s="1169"/>
      <c r="CW152" s="1169"/>
      <c r="CX152" s="1169"/>
      <c r="CY152" s="1169"/>
      <c r="CZ152" s="1169"/>
      <c r="DA152" s="1168"/>
      <c r="DB152" s="1168"/>
      <c r="DC152" s="1168"/>
      <c r="DD152" s="1168"/>
      <c r="DE152" s="1168"/>
      <c r="DF152" s="1168"/>
      <c r="DG152" s="1168"/>
      <c r="DH152" s="1168"/>
      <c r="DI152" s="1168"/>
      <c r="DJ152" s="1168"/>
      <c r="DK152" s="1168"/>
      <c r="DL152" s="1168"/>
      <c r="DM152" s="1168"/>
      <c r="DN152" s="1168"/>
      <c r="DO152" s="1168"/>
      <c r="DP152" s="1168"/>
      <c r="DQ152" s="1168"/>
      <c r="DR152" s="1168"/>
      <c r="DS152" s="1168"/>
      <c r="DT152" s="1168"/>
      <c r="DU152" s="1168"/>
      <c r="DV152" s="1168"/>
      <c r="DW152" s="1168"/>
      <c r="DX152" s="1168"/>
      <c r="DY152" s="1168"/>
      <c r="DZ152" s="1168"/>
      <c r="EA152" s="1168"/>
      <c r="EB152" s="1168"/>
      <c r="EC152" s="1168"/>
      <c r="ED152" s="1168"/>
      <c r="EE152" s="1168"/>
      <c r="EF152" s="1168"/>
      <c r="EG152" s="1168"/>
      <c r="EH152" s="1168"/>
      <c r="EI152" s="1170"/>
      <c r="EJ152" s="1170"/>
      <c r="EK152" s="1170"/>
      <c r="EL152" s="1170"/>
      <c r="EM152" s="1170"/>
      <c r="EN152" s="1170"/>
      <c r="EO152" s="1170"/>
      <c r="EP152" s="1170"/>
      <c r="EQ152" s="1170"/>
      <c r="ER152" s="1170"/>
      <c r="ES152" s="1333"/>
      <c r="ET152" s="1333"/>
      <c r="EU152" s="1333"/>
      <c r="EV152" s="1333"/>
      <c r="EW152" s="1333"/>
      <c r="EX152" s="1333"/>
      <c r="EY152" s="1333"/>
      <c r="EZ152" s="1333"/>
      <c r="FA152" s="1333"/>
      <c r="FB152" s="1333"/>
      <c r="FC152" s="1333"/>
      <c r="FD152" s="1333"/>
      <c r="FE152" s="1333"/>
      <c r="FF152" s="1333"/>
      <c r="FG152" s="1333"/>
      <c r="FH152" s="1333"/>
      <c r="FI152" s="1333"/>
      <c r="FJ152" s="1333"/>
      <c r="FK152" s="1333"/>
      <c r="FL152" s="1333"/>
      <c r="FM152" s="1333"/>
      <c r="FN152" s="1333"/>
      <c r="FO152" s="1333"/>
      <c r="FP152" s="1333"/>
      <c r="FQ152" s="1333"/>
      <c r="FR152" s="1333"/>
      <c r="FS152" s="1333"/>
      <c r="FT152" s="1333"/>
      <c r="FU152" s="1333"/>
      <c r="FV152" s="1333"/>
      <c r="FW152" s="1333"/>
      <c r="FX152" s="1333"/>
      <c r="FY152" s="1333"/>
      <c r="FZ152" s="1333"/>
      <c r="GA152" s="1333"/>
      <c r="GB152" s="1333"/>
      <c r="GC152" s="1333"/>
      <c r="GD152" s="1333"/>
      <c r="GE152" s="1333"/>
      <c r="GF152" s="1333"/>
      <c r="GG152" s="1333"/>
      <c r="GH152" s="1333"/>
      <c r="GI152" s="1333"/>
      <c r="GJ152" s="1333"/>
      <c r="GK152" s="1333"/>
      <c r="GL152" s="1333"/>
      <c r="GM152" s="1333"/>
      <c r="GN152" s="1333"/>
      <c r="GO152" s="1333"/>
      <c r="GP152" s="1333"/>
      <c r="GQ152" s="1333"/>
      <c r="GR152" s="1333"/>
      <c r="GS152" s="1333"/>
      <c r="GT152" s="1333"/>
      <c r="GU152" s="1333"/>
      <c r="GV152" s="1333"/>
      <c r="GW152" s="1333"/>
      <c r="GX152" s="1333"/>
    </row>
    <row r="153" spans="1:206" s="607" customFormat="1">
      <c r="A153" s="607">
        <f t="shared" si="4"/>
        <v>1983</v>
      </c>
      <c r="B153" s="607">
        <f t="shared" si="5"/>
        <v>1</v>
      </c>
      <c r="C153" s="1173">
        <v>30319</v>
      </c>
      <c r="D153" s="1709"/>
      <c r="E153" s="1117"/>
      <c r="F153" s="1117"/>
      <c r="G153" s="1117"/>
      <c r="H153" s="1117"/>
      <c r="I153" s="959">
        <v>496.77226775000003</v>
      </c>
      <c r="J153" s="959">
        <v>482.76249999999999</v>
      </c>
      <c r="K153" s="960"/>
      <c r="L153" s="1121"/>
      <c r="M153" s="916"/>
      <c r="N153" s="916"/>
      <c r="O153" s="1332"/>
      <c r="P153" s="1332"/>
      <c r="Q153" s="1332"/>
      <c r="R153" s="1332"/>
      <c r="S153" s="1332"/>
      <c r="T153" s="1332"/>
      <c r="U153" s="1120"/>
      <c r="V153" s="1120"/>
      <c r="W153" s="1120"/>
      <c r="X153" s="1120"/>
      <c r="Y153" s="1119"/>
      <c r="Z153" s="1119"/>
      <c r="AA153" s="1119"/>
      <c r="AB153" s="1119"/>
      <c r="AC153" s="1178"/>
      <c r="AD153" s="1178"/>
      <c r="AE153" s="1178"/>
      <c r="AF153" s="1178"/>
      <c r="AG153" s="1178"/>
      <c r="AH153" s="1178"/>
      <c r="AI153" s="1178"/>
      <c r="AJ153" s="1178"/>
      <c r="AK153" s="919">
        <v>31.75</v>
      </c>
      <c r="AL153" s="1104"/>
      <c r="AM153" s="919"/>
      <c r="AN153" s="1710"/>
      <c r="AO153" s="919"/>
      <c r="AP153" s="919"/>
      <c r="AS153" s="1167"/>
      <c r="AT153" s="1167"/>
      <c r="AU153" s="1168"/>
      <c r="AV153" s="1168"/>
      <c r="AW153" s="1169"/>
      <c r="AX153" s="1169"/>
      <c r="AY153" s="1169"/>
      <c r="AZ153" s="1169"/>
      <c r="BA153" s="1799" t="s">
        <v>3</v>
      </c>
      <c r="BB153" s="1802">
        <v>2011</v>
      </c>
      <c r="BC153" s="1799" t="s">
        <v>15</v>
      </c>
      <c r="BD153" s="1799">
        <v>1</v>
      </c>
      <c r="BE153" s="1800">
        <v>1546788907</v>
      </c>
      <c r="BF153" s="1801">
        <v>0.443</v>
      </c>
      <c r="BG153" s="1799"/>
      <c r="BH153" s="1799" t="s">
        <v>0</v>
      </c>
      <c r="BI153" s="1799" t="s">
        <v>289</v>
      </c>
      <c r="BJ153" s="1799" t="s">
        <v>249</v>
      </c>
      <c r="BK153" s="1799"/>
      <c r="BL153" s="1800">
        <v>3054338280.8100004</v>
      </c>
      <c r="BM153" s="1801"/>
      <c r="BN153" s="1799">
        <v>2004</v>
      </c>
      <c r="BO153" s="1684"/>
      <c r="BP153" s="1696"/>
      <c r="BQ153" s="1169"/>
      <c r="BR153" s="1169"/>
      <c r="BS153" s="1169"/>
      <c r="BT153" s="1169"/>
      <c r="BU153" s="1169"/>
      <c r="BV153" s="1169"/>
      <c r="BW153" s="1169"/>
      <c r="BX153" s="1169"/>
      <c r="BY153" s="1169"/>
      <c r="BZ153" s="1169"/>
      <c r="CA153" s="1169"/>
      <c r="CB153" s="1169"/>
      <c r="CC153" s="1169"/>
      <c r="CD153" s="1169"/>
      <c r="CE153" s="1169"/>
      <c r="CF153" s="1169"/>
      <c r="CG153" s="1169"/>
      <c r="CH153" s="1169"/>
      <c r="CI153" s="1169"/>
      <c r="CJ153" s="1169"/>
      <c r="CK153" s="1169"/>
      <c r="CL153" s="1169"/>
      <c r="CM153" s="1169"/>
      <c r="CN153" s="1169"/>
      <c r="CO153" s="1169"/>
      <c r="CP153" s="1169"/>
      <c r="CQ153" s="1169"/>
      <c r="CR153" s="1169"/>
      <c r="CS153" s="1169"/>
      <c r="CT153" s="1169"/>
      <c r="CU153" s="1169"/>
      <c r="CV153" s="1169"/>
      <c r="CW153" s="1169"/>
      <c r="CX153" s="1169"/>
      <c r="CY153" s="1169"/>
      <c r="CZ153" s="1169"/>
      <c r="DA153" s="1168"/>
      <c r="DB153" s="1168"/>
      <c r="DC153" s="1168"/>
      <c r="DD153" s="1168"/>
      <c r="DE153" s="1168"/>
      <c r="DF153" s="1168"/>
      <c r="DG153" s="1168"/>
      <c r="DH153" s="1168"/>
      <c r="DI153" s="1168"/>
      <c r="DJ153" s="1168"/>
      <c r="DK153" s="1168"/>
      <c r="DL153" s="1168"/>
      <c r="DM153" s="1168"/>
      <c r="DN153" s="1168"/>
      <c r="DO153" s="1168"/>
      <c r="DP153" s="1168"/>
      <c r="DQ153" s="1168"/>
      <c r="DR153" s="1168"/>
      <c r="DS153" s="1168"/>
      <c r="DT153" s="1168"/>
      <c r="DU153" s="1168"/>
      <c r="DV153" s="1168"/>
      <c r="DW153" s="1168"/>
      <c r="DX153" s="1168"/>
      <c r="DY153" s="1168"/>
      <c r="DZ153" s="1168"/>
      <c r="EA153" s="1168"/>
      <c r="EB153" s="1168"/>
      <c r="EC153" s="1168"/>
      <c r="ED153" s="1168"/>
      <c r="EE153" s="1168"/>
      <c r="EF153" s="1168"/>
      <c r="EG153" s="1168"/>
      <c r="EH153" s="1168"/>
      <c r="EI153" s="1170"/>
      <c r="EJ153" s="1170"/>
      <c r="EK153" s="1170"/>
      <c r="EL153" s="1170"/>
      <c r="EM153" s="1170"/>
      <c r="EN153" s="1170"/>
      <c r="EO153" s="1170"/>
      <c r="EP153" s="1170"/>
      <c r="EQ153" s="1170"/>
      <c r="ER153" s="1170"/>
      <c r="ES153" s="1333"/>
      <c r="ET153" s="1333"/>
      <c r="EU153" s="1333"/>
      <c r="EV153" s="1333"/>
      <c r="EW153" s="1333"/>
      <c r="EX153" s="1333"/>
      <c r="EY153" s="1333"/>
      <c r="EZ153" s="1333"/>
      <c r="FA153" s="1333"/>
      <c r="FB153" s="1333"/>
      <c r="FC153" s="1333"/>
      <c r="FD153" s="1333"/>
      <c r="FE153" s="1333"/>
      <c r="FF153" s="1333"/>
      <c r="FG153" s="1333"/>
      <c r="FH153" s="1333"/>
      <c r="FI153" s="1333"/>
      <c r="FJ153" s="1333"/>
      <c r="FK153" s="1333"/>
      <c r="FL153" s="1333"/>
      <c r="FM153" s="1333"/>
      <c r="FN153" s="1333"/>
      <c r="FO153" s="1333"/>
      <c r="FP153" s="1333"/>
      <c r="FQ153" s="1333"/>
      <c r="FR153" s="1333"/>
      <c r="FS153" s="1333"/>
      <c r="FT153" s="1333"/>
      <c r="FU153" s="1333"/>
      <c r="FV153" s="1333"/>
      <c r="FW153" s="1333"/>
      <c r="FX153" s="1333"/>
      <c r="FY153" s="1333"/>
      <c r="FZ153" s="1333"/>
      <c r="GA153" s="1333"/>
      <c r="GB153" s="1333"/>
      <c r="GC153" s="1333"/>
      <c r="GD153" s="1333"/>
      <c r="GE153" s="1333"/>
      <c r="GF153" s="1333"/>
      <c r="GG153" s="1333"/>
      <c r="GH153" s="1333"/>
      <c r="GI153" s="1333"/>
      <c r="GJ153" s="1333"/>
      <c r="GK153" s="1333"/>
      <c r="GL153" s="1333"/>
      <c r="GM153" s="1333"/>
      <c r="GN153" s="1333"/>
      <c r="GO153" s="1333"/>
      <c r="GP153" s="1333"/>
      <c r="GQ153" s="1333"/>
      <c r="GR153" s="1333"/>
      <c r="GS153" s="1333"/>
      <c r="GT153" s="1333"/>
      <c r="GU153" s="1333"/>
      <c r="GV153" s="1333"/>
      <c r="GW153" s="1333"/>
      <c r="GX153" s="1333"/>
    </row>
    <row r="154" spans="1:206" s="607" customFormat="1">
      <c r="A154" s="607">
        <f t="shared" si="4"/>
        <v>1983</v>
      </c>
      <c r="B154" s="607">
        <f t="shared" si="5"/>
        <v>1</v>
      </c>
      <c r="C154" s="1173">
        <v>30348</v>
      </c>
      <c r="D154" s="957"/>
      <c r="E154" s="920"/>
      <c r="F154" s="920"/>
      <c r="G154" s="920"/>
      <c r="H154" s="920"/>
      <c r="I154" s="954">
        <v>508.79852500000004</v>
      </c>
      <c r="J154" s="954">
        <v>488.75</v>
      </c>
      <c r="K154" s="954"/>
      <c r="L154" s="920"/>
      <c r="M154" s="917"/>
      <c r="N154" s="917"/>
      <c r="O154" s="1334"/>
      <c r="P154" s="1334"/>
      <c r="Q154" s="1334"/>
      <c r="R154" s="1334"/>
      <c r="S154" s="1334"/>
      <c r="T154" s="1334"/>
      <c r="U154" s="920"/>
      <c r="V154" s="920"/>
      <c r="W154" s="920"/>
      <c r="X154" s="920"/>
      <c r="Y154" s="920"/>
      <c r="Z154" s="920"/>
      <c r="AA154" s="920"/>
      <c r="AB154" s="920"/>
      <c r="AC154" s="920"/>
      <c r="AD154" s="920"/>
      <c r="AE154" s="920"/>
      <c r="AF154" s="920"/>
      <c r="AG154" s="920"/>
      <c r="AH154" s="920"/>
      <c r="AI154" s="920"/>
      <c r="AJ154" s="920"/>
      <c r="AK154" s="920">
        <v>29.1</v>
      </c>
      <c r="AL154" s="1105"/>
      <c r="AM154" s="920"/>
      <c r="AN154" s="1711"/>
      <c r="AO154" s="920"/>
      <c r="AP154" s="920"/>
      <c r="AS154" s="1167"/>
      <c r="AT154" s="1167"/>
      <c r="AU154" s="1168"/>
      <c r="AV154" s="1168"/>
      <c r="AW154" s="1169"/>
      <c r="AX154" s="1169"/>
      <c r="AY154" s="1169"/>
      <c r="AZ154" s="1169"/>
      <c r="BA154" s="1799" t="s">
        <v>3</v>
      </c>
      <c r="BB154" s="1802">
        <v>2011</v>
      </c>
      <c r="BC154" s="1799" t="s">
        <v>44</v>
      </c>
      <c r="BD154" s="1799">
        <v>2</v>
      </c>
      <c r="BE154" s="1800">
        <v>370151125</v>
      </c>
      <c r="BF154" s="1801">
        <v>0.106</v>
      </c>
      <c r="BG154" s="1799"/>
      <c r="BH154" s="1799" t="s">
        <v>3</v>
      </c>
      <c r="BI154" s="1799" t="s">
        <v>320</v>
      </c>
      <c r="BJ154" s="1799" t="s">
        <v>21</v>
      </c>
      <c r="BK154" s="1799">
        <v>1</v>
      </c>
      <c r="BL154" s="1800">
        <v>770258811</v>
      </c>
      <c r="BM154" s="1801">
        <v>0.40100000000000002</v>
      </c>
      <c r="BN154" s="1799">
        <v>2015</v>
      </c>
      <c r="BO154" s="1684"/>
      <c r="BP154" s="1696"/>
      <c r="BQ154" s="1169"/>
      <c r="BR154" s="1169"/>
      <c r="BS154" s="1169"/>
      <c r="BT154" s="1169"/>
      <c r="BU154" s="1169"/>
      <c r="BV154" s="1169"/>
      <c r="BW154" s="1169"/>
      <c r="BX154" s="1169"/>
      <c r="BY154" s="1169"/>
      <c r="BZ154" s="1169"/>
      <c r="CA154" s="1169"/>
      <c r="CB154" s="1169"/>
      <c r="CC154" s="1169"/>
      <c r="CD154" s="1169"/>
      <c r="CE154" s="1169"/>
      <c r="CF154" s="1169"/>
      <c r="CG154" s="1169"/>
      <c r="CH154" s="1169"/>
      <c r="CI154" s="1169"/>
      <c r="CJ154" s="1169"/>
      <c r="CK154" s="1169"/>
      <c r="CL154" s="1169"/>
      <c r="CM154" s="1169"/>
      <c r="CN154" s="1169"/>
      <c r="CO154" s="1169"/>
      <c r="CP154" s="1169"/>
      <c r="CQ154" s="1169"/>
      <c r="CR154" s="1169"/>
      <c r="CS154" s="1169"/>
      <c r="CT154" s="1169"/>
      <c r="CU154" s="1169"/>
      <c r="CV154" s="1169"/>
      <c r="CW154" s="1169"/>
      <c r="CX154" s="1169"/>
      <c r="CY154" s="1169"/>
      <c r="CZ154" s="1169"/>
      <c r="DA154" s="1168"/>
      <c r="DB154" s="1168"/>
      <c r="DC154" s="1168"/>
      <c r="DD154" s="1168"/>
      <c r="DE154" s="1168"/>
      <c r="DF154" s="1168"/>
      <c r="DG154" s="1168"/>
      <c r="DH154" s="1168"/>
      <c r="DI154" s="1168"/>
      <c r="DJ154" s="1168"/>
      <c r="DK154" s="1168"/>
      <c r="DL154" s="1168"/>
      <c r="DM154" s="1168"/>
      <c r="DN154" s="1168"/>
      <c r="DO154" s="1168"/>
      <c r="DP154" s="1168"/>
      <c r="DQ154" s="1168"/>
      <c r="DR154" s="1168"/>
      <c r="DS154" s="1168"/>
      <c r="DT154" s="1168"/>
      <c r="DU154" s="1168"/>
      <c r="DV154" s="1168"/>
      <c r="DW154" s="1168"/>
      <c r="DX154" s="1168"/>
      <c r="DY154" s="1168"/>
      <c r="DZ154" s="1168"/>
      <c r="EA154" s="1168"/>
      <c r="EB154" s="1168"/>
      <c r="EC154" s="1168"/>
      <c r="ED154" s="1168"/>
      <c r="EE154" s="1168"/>
      <c r="EF154" s="1168"/>
      <c r="EG154" s="1168"/>
      <c r="EH154" s="1168"/>
      <c r="EI154" s="1170"/>
      <c r="EJ154" s="1170"/>
      <c r="EK154" s="1170"/>
      <c r="EL154" s="1170"/>
      <c r="EM154" s="1170"/>
      <c r="EN154" s="1170"/>
      <c r="EO154" s="1170"/>
      <c r="EP154" s="1170"/>
      <c r="EQ154" s="1170"/>
      <c r="ER154" s="1170"/>
      <c r="ES154" s="1333"/>
      <c r="ET154" s="1333"/>
      <c r="EU154" s="1333"/>
      <c r="EV154" s="1333"/>
      <c r="EW154" s="1333"/>
      <c r="EX154" s="1333"/>
      <c r="EY154" s="1333"/>
      <c r="EZ154" s="1333"/>
      <c r="FA154" s="1333"/>
      <c r="FB154" s="1333"/>
      <c r="FC154" s="1333"/>
      <c r="FD154" s="1333"/>
      <c r="FE154" s="1333"/>
      <c r="FF154" s="1333"/>
      <c r="FG154" s="1333"/>
      <c r="FH154" s="1333"/>
      <c r="FI154" s="1333"/>
      <c r="FJ154" s="1333"/>
      <c r="FK154" s="1333"/>
      <c r="FL154" s="1333"/>
      <c r="FM154" s="1333"/>
      <c r="FN154" s="1333"/>
      <c r="FO154" s="1333"/>
      <c r="FP154" s="1333"/>
      <c r="FQ154" s="1333"/>
      <c r="FR154" s="1333"/>
      <c r="FS154" s="1333"/>
      <c r="FT154" s="1333"/>
      <c r="FU154" s="1333"/>
      <c r="FV154" s="1333"/>
      <c r="FW154" s="1333"/>
      <c r="FX154" s="1333"/>
      <c r="FY154" s="1333"/>
      <c r="FZ154" s="1333"/>
      <c r="GA154" s="1333"/>
      <c r="GB154" s="1333"/>
      <c r="GC154" s="1333"/>
      <c r="GD154" s="1333"/>
      <c r="GE154" s="1333"/>
      <c r="GF154" s="1333"/>
      <c r="GG154" s="1333"/>
      <c r="GH154" s="1333"/>
      <c r="GI154" s="1333"/>
      <c r="GJ154" s="1333"/>
      <c r="GK154" s="1333"/>
      <c r="GL154" s="1333"/>
      <c r="GM154" s="1333"/>
      <c r="GN154" s="1333"/>
      <c r="GO154" s="1333"/>
      <c r="GP154" s="1333"/>
      <c r="GQ154" s="1333"/>
      <c r="GR154" s="1333"/>
      <c r="GS154" s="1333"/>
      <c r="GT154" s="1333"/>
      <c r="GU154" s="1333"/>
      <c r="GV154" s="1333"/>
      <c r="GW154" s="1333"/>
      <c r="GX154" s="1333"/>
    </row>
    <row r="155" spans="1:206" s="607" customFormat="1">
      <c r="A155" s="607">
        <f t="shared" si="4"/>
        <v>1983</v>
      </c>
      <c r="B155" s="607">
        <f t="shared" si="5"/>
        <v>1</v>
      </c>
      <c r="C155" s="1173">
        <v>30376</v>
      </c>
      <c r="D155" s="1709"/>
      <c r="E155" s="1117"/>
      <c r="F155" s="1117"/>
      <c r="G155" s="1117"/>
      <c r="H155" s="1117"/>
      <c r="I155" s="959">
        <v>486.65716999999995</v>
      </c>
      <c r="J155" s="959">
        <v>419.9375</v>
      </c>
      <c r="K155" s="960"/>
      <c r="L155" s="1121"/>
      <c r="M155" s="916"/>
      <c r="N155" s="916"/>
      <c r="O155" s="1332"/>
      <c r="P155" s="1332"/>
      <c r="Q155" s="1332"/>
      <c r="R155" s="1332"/>
      <c r="S155" s="1332"/>
      <c r="T155" s="1332"/>
      <c r="U155" s="1120"/>
      <c r="V155" s="1120"/>
      <c r="W155" s="1120"/>
      <c r="X155" s="1120"/>
      <c r="Y155" s="1119"/>
      <c r="Z155" s="1119"/>
      <c r="AA155" s="1119"/>
      <c r="AB155" s="1119"/>
      <c r="AC155" s="1178"/>
      <c r="AD155" s="1178"/>
      <c r="AE155" s="1178"/>
      <c r="AF155" s="1178"/>
      <c r="AG155" s="1178"/>
      <c r="AH155" s="1178"/>
      <c r="AI155" s="1178"/>
      <c r="AJ155" s="1178"/>
      <c r="AK155" s="919">
        <v>29.1</v>
      </c>
      <c r="AL155" s="1104"/>
      <c r="AM155" s="919"/>
      <c r="AN155" s="1710"/>
      <c r="AO155" s="919"/>
      <c r="AP155" s="919"/>
      <c r="AS155" s="1167"/>
      <c r="AT155" s="1167"/>
      <c r="AU155" s="1168"/>
      <c r="AV155" s="1168"/>
      <c r="AW155" s="1169"/>
      <c r="AX155" s="1169"/>
      <c r="AY155" s="1169"/>
      <c r="AZ155" s="1169"/>
      <c r="BA155" s="1799" t="s">
        <v>3</v>
      </c>
      <c r="BB155" s="1802">
        <v>2011</v>
      </c>
      <c r="BC155" s="1799" t="s">
        <v>431</v>
      </c>
      <c r="BD155" s="1799">
        <v>3</v>
      </c>
      <c r="BE155" s="1800">
        <v>355981481</v>
      </c>
      <c r="BF155" s="1801">
        <v>0.10199999999999999</v>
      </c>
      <c r="BG155" s="1799"/>
      <c r="BH155" s="1799" t="s">
        <v>3</v>
      </c>
      <c r="BI155" s="1799" t="s">
        <v>320</v>
      </c>
      <c r="BJ155" s="1799" t="s">
        <v>15</v>
      </c>
      <c r="BK155" s="1799">
        <v>2</v>
      </c>
      <c r="BL155" s="1800">
        <v>282551584</v>
      </c>
      <c r="BM155" s="1801">
        <v>0.14699999999999999</v>
      </c>
      <c r="BN155" s="1799">
        <v>2015</v>
      </c>
      <c r="BO155" s="1684"/>
      <c r="BP155" s="1697"/>
      <c r="BQ155" s="1169"/>
      <c r="BR155" s="1169"/>
      <c r="BS155" s="1169"/>
      <c r="BT155" s="1169"/>
      <c r="BU155" s="1169"/>
      <c r="BV155" s="1169"/>
      <c r="BW155" s="1169"/>
      <c r="BX155" s="1169"/>
      <c r="BY155" s="1169"/>
      <c r="BZ155" s="1169"/>
      <c r="CA155" s="1169"/>
      <c r="CB155" s="1169"/>
      <c r="CC155" s="1169"/>
      <c r="CD155" s="1169"/>
      <c r="CE155" s="1169"/>
      <c r="CF155" s="1169"/>
      <c r="CG155" s="1169"/>
      <c r="CH155" s="1169"/>
      <c r="CI155" s="1169"/>
      <c r="CJ155" s="1169"/>
      <c r="CK155" s="1169"/>
      <c r="CL155" s="1169"/>
      <c r="CM155" s="1169"/>
      <c r="CN155" s="1169"/>
      <c r="CO155" s="1169"/>
      <c r="CP155" s="1169"/>
      <c r="CQ155" s="1169"/>
      <c r="CR155" s="1169"/>
      <c r="CS155" s="1169"/>
      <c r="CT155" s="1169"/>
      <c r="CU155" s="1169"/>
      <c r="CV155" s="1169"/>
      <c r="CW155" s="1169"/>
      <c r="CX155" s="1169"/>
      <c r="CY155" s="1169"/>
      <c r="CZ155" s="1169"/>
      <c r="DA155" s="1168"/>
      <c r="DB155" s="1168"/>
      <c r="DC155" s="1168"/>
      <c r="DD155" s="1168"/>
      <c r="DE155" s="1168"/>
      <c r="DF155" s="1168"/>
      <c r="DG155" s="1168"/>
      <c r="DH155" s="1168"/>
      <c r="DI155" s="1168"/>
      <c r="DJ155" s="1168"/>
      <c r="DK155" s="1168"/>
      <c r="DL155" s="1168"/>
      <c r="DM155" s="1168"/>
      <c r="DN155" s="1168"/>
      <c r="DO155" s="1168"/>
      <c r="DP155" s="1168"/>
      <c r="DQ155" s="1168"/>
      <c r="DR155" s="1168"/>
      <c r="DS155" s="1168"/>
      <c r="DT155" s="1168"/>
      <c r="DU155" s="1168"/>
      <c r="DV155" s="1168"/>
      <c r="DW155" s="1168"/>
      <c r="DX155" s="1168"/>
      <c r="DY155" s="1168"/>
      <c r="DZ155" s="1168"/>
      <c r="EA155" s="1168"/>
      <c r="EB155" s="1168"/>
      <c r="EC155" s="1168"/>
      <c r="ED155" s="1168"/>
      <c r="EE155" s="1168"/>
      <c r="EF155" s="1168"/>
      <c r="EG155" s="1168"/>
      <c r="EH155" s="1168"/>
      <c r="EI155" s="1170"/>
      <c r="EJ155" s="1170"/>
      <c r="EK155" s="1170"/>
      <c r="EL155" s="1170"/>
      <c r="EM155" s="1170"/>
      <c r="EN155" s="1170"/>
      <c r="EO155" s="1170"/>
      <c r="EP155" s="1170"/>
      <c r="EQ155" s="1170"/>
      <c r="ER155" s="1170"/>
      <c r="ES155" s="1333"/>
      <c r="ET155" s="1333"/>
      <c r="EU155" s="1333"/>
      <c r="EV155" s="1333"/>
      <c r="EW155" s="1333"/>
      <c r="EX155" s="1333"/>
      <c r="EY155" s="1333"/>
      <c r="EZ155" s="1333"/>
      <c r="FA155" s="1333"/>
      <c r="FB155" s="1333"/>
      <c r="FC155" s="1333"/>
      <c r="FD155" s="1333"/>
      <c r="FE155" s="1333"/>
      <c r="FF155" s="1333"/>
      <c r="FG155" s="1333"/>
      <c r="FH155" s="1333"/>
      <c r="FI155" s="1333"/>
      <c r="FJ155" s="1333"/>
      <c r="FK155" s="1333"/>
      <c r="FL155" s="1333"/>
      <c r="FM155" s="1333"/>
      <c r="FN155" s="1333"/>
      <c r="FO155" s="1333"/>
      <c r="FP155" s="1333"/>
      <c r="FQ155" s="1333"/>
      <c r="FR155" s="1333"/>
      <c r="FS155" s="1333"/>
      <c r="FT155" s="1333"/>
      <c r="FU155" s="1333"/>
      <c r="FV155" s="1333"/>
      <c r="FW155" s="1333"/>
      <c r="FX155" s="1333"/>
      <c r="FY155" s="1333"/>
      <c r="FZ155" s="1333"/>
      <c r="GA155" s="1333"/>
      <c r="GB155" s="1333"/>
      <c r="GC155" s="1333"/>
      <c r="GD155" s="1333"/>
      <c r="GE155" s="1333"/>
      <c r="GF155" s="1333"/>
      <c r="GG155" s="1333"/>
      <c r="GH155" s="1333"/>
      <c r="GI155" s="1333"/>
      <c r="GJ155" s="1333"/>
      <c r="GK155" s="1333"/>
      <c r="GL155" s="1333"/>
      <c r="GM155" s="1333"/>
      <c r="GN155" s="1333"/>
      <c r="GO155" s="1333"/>
      <c r="GP155" s="1333"/>
      <c r="GQ155" s="1333"/>
      <c r="GR155" s="1333"/>
      <c r="GS155" s="1333"/>
      <c r="GT155" s="1333"/>
      <c r="GU155" s="1333"/>
      <c r="GV155" s="1333"/>
      <c r="GW155" s="1333"/>
      <c r="GX155" s="1333"/>
    </row>
    <row r="156" spans="1:206" s="607" customFormat="1">
      <c r="A156" s="607">
        <f t="shared" si="4"/>
        <v>1983</v>
      </c>
      <c r="B156" s="607">
        <f t="shared" si="5"/>
        <v>2</v>
      </c>
      <c r="C156" s="1173">
        <v>30407</v>
      </c>
      <c r="D156" s="957"/>
      <c r="E156" s="920"/>
      <c r="F156" s="920"/>
      <c r="G156" s="920"/>
      <c r="H156" s="920"/>
      <c r="I156" s="954">
        <v>498.82295722969548</v>
      </c>
      <c r="J156" s="954">
        <v>432.97972972970001</v>
      </c>
      <c r="K156" s="954"/>
      <c r="L156" s="920"/>
      <c r="M156" s="917"/>
      <c r="N156" s="917"/>
      <c r="O156" s="1334"/>
      <c r="P156" s="1334"/>
      <c r="Q156" s="1334"/>
      <c r="R156" s="1334"/>
      <c r="S156" s="1334"/>
      <c r="T156" s="1334"/>
      <c r="U156" s="920"/>
      <c r="V156" s="920"/>
      <c r="W156" s="920"/>
      <c r="X156" s="920"/>
      <c r="Y156" s="920"/>
      <c r="Z156" s="920"/>
      <c r="AA156" s="920"/>
      <c r="AB156" s="920"/>
      <c r="AC156" s="920"/>
      <c r="AD156" s="920"/>
      <c r="AE156" s="920"/>
      <c r="AF156" s="920"/>
      <c r="AG156" s="920"/>
      <c r="AH156" s="920"/>
      <c r="AI156" s="920"/>
      <c r="AJ156" s="920"/>
      <c r="AK156" s="920">
        <v>29.75</v>
      </c>
      <c r="AL156" s="1105"/>
      <c r="AM156" s="920"/>
      <c r="AN156" s="1711"/>
      <c r="AO156" s="920"/>
      <c r="AP156" s="920"/>
      <c r="AS156" s="1167"/>
      <c r="AT156" s="1167"/>
      <c r="AU156" s="1168"/>
      <c r="AV156" s="1168"/>
      <c r="AW156" s="1169"/>
      <c r="AX156" s="1169"/>
      <c r="AY156" s="1169"/>
      <c r="AZ156" s="1169"/>
      <c r="BA156" s="1799" t="s">
        <v>3</v>
      </c>
      <c r="BB156" s="1802">
        <v>2011</v>
      </c>
      <c r="BC156" s="1799" t="s">
        <v>20</v>
      </c>
      <c r="BD156" s="1799">
        <v>4</v>
      </c>
      <c r="BE156" s="1800">
        <v>294395995</v>
      </c>
      <c r="BF156" s="1801">
        <v>8.4000000000000005E-2</v>
      </c>
      <c r="BG156" s="1799"/>
      <c r="BH156" s="1799" t="s">
        <v>3</v>
      </c>
      <c r="BI156" s="1799" t="s">
        <v>320</v>
      </c>
      <c r="BJ156" s="1799" t="s">
        <v>49</v>
      </c>
      <c r="BK156" s="1799">
        <v>3</v>
      </c>
      <c r="BL156" s="1800">
        <v>268762708</v>
      </c>
      <c r="BM156" s="1801">
        <v>0.14000000000000001</v>
      </c>
      <c r="BN156" s="1799">
        <v>2015</v>
      </c>
      <c r="BO156" s="1684"/>
      <c r="BP156" s="1696"/>
      <c r="BQ156" s="1169"/>
      <c r="BR156" s="1169"/>
      <c r="BS156" s="1169"/>
      <c r="BT156" s="1169"/>
      <c r="BU156" s="1169"/>
      <c r="BV156" s="1169"/>
      <c r="BW156" s="1169"/>
      <c r="BX156" s="1169"/>
      <c r="BY156" s="1169"/>
      <c r="BZ156" s="1169"/>
      <c r="CA156" s="1169"/>
      <c r="CB156" s="1169"/>
      <c r="CC156" s="1169"/>
      <c r="CD156" s="1169"/>
      <c r="CE156" s="1169"/>
      <c r="CF156" s="1169"/>
      <c r="CG156" s="1169"/>
      <c r="CH156" s="1169"/>
      <c r="CI156" s="1169"/>
      <c r="CJ156" s="1169"/>
      <c r="CK156" s="1169"/>
      <c r="CL156" s="1169"/>
      <c r="CM156" s="1169"/>
      <c r="CN156" s="1169"/>
      <c r="CO156" s="1169"/>
      <c r="CP156" s="1169"/>
      <c r="CQ156" s="1169"/>
      <c r="CR156" s="1169"/>
      <c r="CS156" s="1169"/>
      <c r="CT156" s="1169"/>
      <c r="CU156" s="1169"/>
      <c r="CV156" s="1169"/>
      <c r="CW156" s="1169"/>
      <c r="CX156" s="1169"/>
      <c r="CY156" s="1169"/>
      <c r="CZ156" s="1169"/>
      <c r="DA156" s="1168"/>
      <c r="DB156" s="1168"/>
      <c r="DC156" s="1168"/>
      <c r="DD156" s="1168"/>
      <c r="DE156" s="1168"/>
      <c r="DF156" s="1168"/>
      <c r="DG156" s="1168"/>
      <c r="DH156" s="1168"/>
      <c r="DI156" s="1168"/>
      <c r="DJ156" s="1168"/>
      <c r="DK156" s="1168"/>
      <c r="DL156" s="1168"/>
      <c r="DM156" s="1168"/>
      <c r="DN156" s="1168"/>
      <c r="DO156" s="1168"/>
      <c r="DP156" s="1168"/>
      <c r="DQ156" s="1168"/>
      <c r="DR156" s="1168"/>
      <c r="DS156" s="1168"/>
      <c r="DT156" s="1168"/>
      <c r="DU156" s="1168"/>
      <c r="DV156" s="1168"/>
      <c r="DW156" s="1168"/>
      <c r="DX156" s="1168"/>
      <c r="DY156" s="1168"/>
      <c r="DZ156" s="1168"/>
      <c r="EA156" s="1168"/>
      <c r="EB156" s="1168"/>
      <c r="EC156" s="1168"/>
      <c r="ED156" s="1168"/>
      <c r="EE156" s="1168"/>
      <c r="EF156" s="1168"/>
      <c r="EG156" s="1168"/>
      <c r="EH156" s="1168"/>
      <c r="EI156" s="1170"/>
      <c r="EJ156" s="1170"/>
      <c r="EK156" s="1170"/>
      <c r="EL156" s="1170"/>
      <c r="EM156" s="1170"/>
      <c r="EN156" s="1170"/>
      <c r="EO156" s="1170"/>
      <c r="EP156" s="1170"/>
      <c r="EQ156" s="1170"/>
      <c r="ER156" s="1170"/>
      <c r="ES156" s="1333"/>
      <c r="ET156" s="1333"/>
      <c r="EU156" s="1333"/>
      <c r="EV156" s="1333"/>
      <c r="EW156" s="1333"/>
      <c r="EX156" s="1333"/>
      <c r="EY156" s="1333"/>
      <c r="EZ156" s="1333"/>
      <c r="FA156" s="1333"/>
      <c r="FB156" s="1333"/>
      <c r="FC156" s="1333"/>
      <c r="FD156" s="1333"/>
      <c r="FE156" s="1333"/>
      <c r="FF156" s="1333"/>
      <c r="FG156" s="1333"/>
      <c r="FH156" s="1333"/>
      <c r="FI156" s="1333"/>
      <c r="FJ156" s="1333"/>
      <c r="FK156" s="1333"/>
      <c r="FL156" s="1333"/>
      <c r="FM156" s="1333"/>
      <c r="FN156" s="1333"/>
      <c r="FO156" s="1333"/>
      <c r="FP156" s="1333"/>
      <c r="FQ156" s="1333"/>
      <c r="FR156" s="1333"/>
      <c r="FS156" s="1333"/>
      <c r="FT156" s="1333"/>
      <c r="FU156" s="1333"/>
      <c r="FV156" s="1333"/>
      <c r="FW156" s="1333"/>
      <c r="FX156" s="1333"/>
      <c r="FY156" s="1333"/>
      <c r="FZ156" s="1333"/>
      <c r="GA156" s="1333"/>
      <c r="GB156" s="1333"/>
      <c r="GC156" s="1333"/>
      <c r="GD156" s="1333"/>
      <c r="GE156" s="1333"/>
      <c r="GF156" s="1333"/>
      <c r="GG156" s="1333"/>
      <c r="GH156" s="1333"/>
      <c r="GI156" s="1333"/>
      <c r="GJ156" s="1333"/>
      <c r="GK156" s="1333"/>
      <c r="GL156" s="1333"/>
      <c r="GM156" s="1333"/>
      <c r="GN156" s="1333"/>
      <c r="GO156" s="1333"/>
      <c r="GP156" s="1333"/>
      <c r="GQ156" s="1333"/>
      <c r="GR156" s="1333"/>
      <c r="GS156" s="1333"/>
      <c r="GT156" s="1333"/>
      <c r="GU156" s="1333"/>
      <c r="GV156" s="1333"/>
      <c r="GW156" s="1333"/>
      <c r="GX156" s="1333"/>
    </row>
    <row r="157" spans="1:206" s="607" customFormat="1">
      <c r="A157" s="607">
        <f t="shared" si="4"/>
        <v>1983</v>
      </c>
      <c r="B157" s="607">
        <f t="shared" si="5"/>
        <v>2</v>
      </c>
      <c r="C157" s="1173">
        <v>30438</v>
      </c>
      <c r="D157" s="1709"/>
      <c r="E157" s="1117"/>
      <c r="F157" s="1117"/>
      <c r="G157" s="1117"/>
      <c r="H157" s="1117"/>
      <c r="I157" s="959">
        <v>495.94242180000003</v>
      </c>
      <c r="J157" s="959">
        <v>437.42</v>
      </c>
      <c r="K157" s="960"/>
      <c r="L157" s="1121"/>
      <c r="M157" s="916"/>
      <c r="N157" s="916"/>
      <c r="O157" s="1332"/>
      <c r="P157" s="1332"/>
      <c r="Q157" s="1332"/>
      <c r="R157" s="1332"/>
      <c r="S157" s="1332"/>
      <c r="T157" s="1332"/>
      <c r="U157" s="1120"/>
      <c r="V157" s="1120"/>
      <c r="W157" s="1120"/>
      <c r="X157" s="1120"/>
      <c r="Y157" s="1119"/>
      <c r="Z157" s="1119"/>
      <c r="AA157" s="1119"/>
      <c r="AB157" s="1119"/>
      <c r="AC157" s="1178"/>
      <c r="AD157" s="1178"/>
      <c r="AE157" s="1178"/>
      <c r="AF157" s="1178"/>
      <c r="AG157" s="1178"/>
      <c r="AH157" s="1178"/>
      <c r="AI157" s="1178"/>
      <c r="AJ157" s="1178"/>
      <c r="AK157" s="919">
        <v>29.75</v>
      </c>
      <c r="AL157" s="1104"/>
      <c r="AM157" s="919"/>
      <c r="AN157" s="1710"/>
      <c r="AO157" s="919"/>
      <c r="AP157" s="919"/>
      <c r="AS157" s="1167"/>
      <c r="AT157" s="1167"/>
      <c r="AU157" s="1168"/>
      <c r="AV157" s="1168"/>
      <c r="AW157" s="1169"/>
      <c r="AX157" s="1169"/>
      <c r="AY157" s="1169"/>
      <c r="AZ157" s="1169"/>
      <c r="BA157" s="1799" t="s">
        <v>3</v>
      </c>
      <c r="BB157" s="1802">
        <v>2011</v>
      </c>
      <c r="BC157" s="1799" t="s">
        <v>23</v>
      </c>
      <c r="BD157" s="1799">
        <v>5</v>
      </c>
      <c r="BE157" s="1800">
        <v>229338497</v>
      </c>
      <c r="BF157" s="1801">
        <v>6.6000000000000003E-2</v>
      </c>
      <c r="BG157" s="1799"/>
      <c r="BH157" s="1799" t="s">
        <v>3</v>
      </c>
      <c r="BI157" s="1799" t="s">
        <v>320</v>
      </c>
      <c r="BJ157" s="1799" t="s">
        <v>20</v>
      </c>
      <c r="BK157" s="1799">
        <v>4</v>
      </c>
      <c r="BL157" s="1800">
        <v>137936088</v>
      </c>
      <c r="BM157" s="1801">
        <v>7.1999999999999995E-2</v>
      </c>
      <c r="BN157" s="1799">
        <v>2015</v>
      </c>
      <c r="BO157" s="1684"/>
      <c r="BP157" s="1696"/>
      <c r="BQ157" s="1169"/>
      <c r="BR157" s="1169"/>
      <c r="BS157" s="1169"/>
      <c r="BT157" s="1169"/>
      <c r="BU157" s="1169"/>
      <c r="BV157" s="1169"/>
      <c r="BW157" s="1169"/>
      <c r="BX157" s="1169"/>
      <c r="BY157" s="1169"/>
      <c r="BZ157" s="1169"/>
      <c r="CA157" s="1169"/>
      <c r="CB157" s="1169"/>
      <c r="CC157" s="1169"/>
      <c r="CD157" s="1169"/>
      <c r="CE157" s="1169"/>
      <c r="CF157" s="1169"/>
      <c r="CG157" s="1169"/>
      <c r="CH157" s="1169"/>
      <c r="CI157" s="1169"/>
      <c r="CJ157" s="1169"/>
      <c r="CK157" s="1169"/>
      <c r="CL157" s="1169"/>
      <c r="CM157" s="1169"/>
      <c r="CN157" s="1169"/>
      <c r="CO157" s="1169"/>
      <c r="CP157" s="1169"/>
      <c r="CQ157" s="1169"/>
      <c r="CR157" s="1169"/>
      <c r="CS157" s="1169"/>
      <c r="CT157" s="1169"/>
      <c r="CU157" s="1169"/>
      <c r="CV157" s="1169"/>
      <c r="CW157" s="1169"/>
      <c r="CX157" s="1169"/>
      <c r="CY157" s="1169"/>
      <c r="CZ157" s="1169"/>
      <c r="DA157" s="1168"/>
      <c r="DB157" s="1168"/>
      <c r="DC157" s="1168"/>
      <c r="DD157" s="1168"/>
      <c r="DE157" s="1168"/>
      <c r="DF157" s="1168"/>
      <c r="DG157" s="1168"/>
      <c r="DH157" s="1168"/>
      <c r="DI157" s="1168"/>
      <c r="DJ157" s="1168"/>
      <c r="DK157" s="1168"/>
      <c r="DL157" s="1168"/>
      <c r="DM157" s="1168"/>
      <c r="DN157" s="1168"/>
      <c r="DO157" s="1168"/>
      <c r="DP157" s="1168"/>
      <c r="DQ157" s="1168"/>
      <c r="DR157" s="1168"/>
      <c r="DS157" s="1168"/>
      <c r="DT157" s="1168"/>
      <c r="DU157" s="1168"/>
      <c r="DV157" s="1168"/>
      <c r="DW157" s="1168"/>
      <c r="DX157" s="1168"/>
      <c r="DY157" s="1168"/>
      <c r="DZ157" s="1168"/>
      <c r="EA157" s="1168"/>
      <c r="EB157" s="1168"/>
      <c r="EC157" s="1168"/>
      <c r="ED157" s="1168"/>
      <c r="EE157" s="1168"/>
      <c r="EF157" s="1168"/>
      <c r="EG157" s="1168"/>
      <c r="EH157" s="1168"/>
      <c r="EI157" s="1170"/>
      <c r="EJ157" s="1170"/>
      <c r="EK157" s="1170"/>
      <c r="EL157" s="1170"/>
      <c r="EM157" s="1170"/>
      <c r="EN157" s="1170"/>
      <c r="EO157" s="1170"/>
      <c r="EP157" s="1170"/>
      <c r="EQ157" s="1170"/>
      <c r="ER157" s="1170"/>
      <c r="ES157" s="1333"/>
      <c r="ET157" s="1333"/>
      <c r="EU157" s="1333"/>
      <c r="EV157" s="1333"/>
      <c r="EW157" s="1333"/>
      <c r="EX157" s="1333"/>
      <c r="EY157" s="1333"/>
      <c r="EZ157" s="1333"/>
      <c r="FA157" s="1333"/>
      <c r="FB157" s="1333"/>
      <c r="FC157" s="1333"/>
      <c r="FD157" s="1333"/>
      <c r="FE157" s="1333"/>
      <c r="FF157" s="1333"/>
      <c r="FG157" s="1333"/>
      <c r="FH157" s="1333"/>
      <c r="FI157" s="1333"/>
      <c r="FJ157" s="1333"/>
      <c r="FK157" s="1333"/>
      <c r="FL157" s="1333"/>
      <c r="FM157" s="1333"/>
      <c r="FN157" s="1333"/>
      <c r="FO157" s="1333"/>
      <c r="FP157" s="1333"/>
      <c r="FQ157" s="1333"/>
      <c r="FR157" s="1333"/>
      <c r="FS157" s="1333"/>
      <c r="FT157" s="1333"/>
      <c r="FU157" s="1333"/>
      <c r="FV157" s="1333"/>
      <c r="FW157" s="1333"/>
      <c r="FX157" s="1333"/>
      <c r="FY157" s="1333"/>
      <c r="FZ157" s="1333"/>
      <c r="GA157" s="1333"/>
      <c r="GB157" s="1333"/>
      <c r="GC157" s="1333"/>
      <c r="GD157" s="1333"/>
      <c r="GE157" s="1333"/>
      <c r="GF157" s="1333"/>
      <c r="GG157" s="1333"/>
      <c r="GH157" s="1333"/>
      <c r="GI157" s="1333"/>
      <c r="GJ157" s="1333"/>
      <c r="GK157" s="1333"/>
      <c r="GL157" s="1333"/>
      <c r="GM157" s="1333"/>
      <c r="GN157" s="1333"/>
      <c r="GO157" s="1333"/>
      <c r="GP157" s="1333"/>
      <c r="GQ157" s="1333"/>
      <c r="GR157" s="1333"/>
      <c r="GS157" s="1333"/>
      <c r="GT157" s="1333"/>
      <c r="GU157" s="1333"/>
      <c r="GV157" s="1333"/>
      <c r="GW157" s="1333"/>
      <c r="GX157" s="1333"/>
    </row>
    <row r="158" spans="1:206" s="607" customFormat="1">
      <c r="A158" s="607">
        <f t="shared" si="4"/>
        <v>1983</v>
      </c>
      <c r="B158" s="607">
        <f t="shared" si="5"/>
        <v>2</v>
      </c>
      <c r="C158" s="1173">
        <v>30468</v>
      </c>
      <c r="D158" s="957"/>
      <c r="E158" s="920"/>
      <c r="F158" s="920"/>
      <c r="G158" s="920"/>
      <c r="H158" s="920"/>
      <c r="I158" s="954">
        <v>472.25013835232471</v>
      </c>
      <c r="J158" s="954">
        <v>412.98295454549998</v>
      </c>
      <c r="K158" s="954"/>
      <c r="L158" s="920"/>
      <c r="M158" s="917"/>
      <c r="N158" s="917"/>
      <c r="O158" s="1334"/>
      <c r="P158" s="1334"/>
      <c r="Q158" s="1334"/>
      <c r="R158" s="1334"/>
      <c r="S158" s="1334"/>
      <c r="T158" s="1334"/>
      <c r="U158" s="920"/>
      <c r="V158" s="920"/>
      <c r="W158" s="920"/>
      <c r="X158" s="920"/>
      <c r="Y158" s="920"/>
      <c r="Z158" s="920"/>
      <c r="AA158" s="920"/>
      <c r="AB158" s="920"/>
      <c r="AC158" s="920"/>
      <c r="AD158" s="920"/>
      <c r="AE158" s="920"/>
      <c r="AF158" s="920"/>
      <c r="AG158" s="920"/>
      <c r="AH158" s="920"/>
      <c r="AI158" s="920"/>
      <c r="AJ158" s="920"/>
      <c r="AK158" s="920">
        <v>30.2</v>
      </c>
      <c r="AL158" s="1105"/>
      <c r="AM158" s="920"/>
      <c r="AN158" s="1711"/>
      <c r="AO158" s="920"/>
      <c r="AP158" s="920"/>
      <c r="AS158" s="1167"/>
      <c r="AT158" s="1167"/>
      <c r="AU158" s="1168"/>
      <c r="AV158" s="1168"/>
      <c r="AW158" s="1169"/>
      <c r="AX158" s="1169"/>
      <c r="AY158" s="1169"/>
      <c r="AZ158" s="1169"/>
      <c r="BA158" s="1799" t="s">
        <v>3</v>
      </c>
      <c r="BB158" s="1802">
        <v>2011</v>
      </c>
      <c r="BC158" s="1799" t="s">
        <v>45</v>
      </c>
      <c r="BD158" s="1799">
        <v>6</v>
      </c>
      <c r="BE158" s="1800">
        <v>166824008</v>
      </c>
      <c r="BF158" s="1801">
        <v>4.8000000000000001E-2</v>
      </c>
      <c r="BG158" s="1799"/>
      <c r="BH158" s="1799" t="s">
        <v>3</v>
      </c>
      <c r="BI158" s="1799" t="s">
        <v>320</v>
      </c>
      <c r="BJ158" s="1799" t="s">
        <v>583</v>
      </c>
      <c r="BK158" s="1799">
        <v>5</v>
      </c>
      <c r="BL158" s="1800">
        <v>129754630</v>
      </c>
      <c r="BM158" s="1801">
        <v>6.8000000000000005E-2</v>
      </c>
      <c r="BN158" s="1799">
        <v>2015</v>
      </c>
      <c r="BO158" s="1684"/>
      <c r="BP158" s="1697"/>
      <c r="BQ158" s="1169"/>
      <c r="BR158" s="1169"/>
      <c r="BS158" s="1169"/>
      <c r="BT158" s="1169"/>
      <c r="BU158" s="1169"/>
      <c r="BV158" s="1169"/>
      <c r="BW158" s="1169"/>
      <c r="BX158" s="1169"/>
      <c r="BY158" s="1169"/>
      <c r="BZ158" s="1169"/>
      <c r="CA158" s="1169"/>
      <c r="CB158" s="1169"/>
      <c r="CC158" s="1169"/>
      <c r="CD158" s="1169"/>
      <c r="CE158" s="1169"/>
      <c r="CF158" s="1169"/>
      <c r="CG158" s="1169"/>
      <c r="CH158" s="1169"/>
      <c r="CI158" s="1169"/>
      <c r="CJ158" s="1169"/>
      <c r="CK158" s="1169"/>
      <c r="CL158" s="1169"/>
      <c r="CM158" s="1169"/>
      <c r="CN158" s="1169"/>
      <c r="CO158" s="1169"/>
      <c r="CP158" s="1169"/>
      <c r="CQ158" s="1169"/>
      <c r="CR158" s="1169"/>
      <c r="CS158" s="1169"/>
      <c r="CT158" s="1169"/>
      <c r="CU158" s="1169"/>
      <c r="CV158" s="1169"/>
      <c r="CW158" s="1169"/>
      <c r="CX158" s="1169"/>
      <c r="CY158" s="1169"/>
      <c r="CZ158" s="1169"/>
      <c r="DA158" s="1168"/>
      <c r="DB158" s="1168"/>
      <c r="DC158" s="1168"/>
      <c r="DD158" s="1168"/>
      <c r="DE158" s="1168"/>
      <c r="DF158" s="1168"/>
      <c r="DG158" s="1168"/>
      <c r="DH158" s="1168"/>
      <c r="DI158" s="1168"/>
      <c r="DJ158" s="1168"/>
      <c r="DK158" s="1168"/>
      <c r="DL158" s="1168"/>
      <c r="DM158" s="1168"/>
      <c r="DN158" s="1168"/>
      <c r="DO158" s="1168"/>
      <c r="DP158" s="1168"/>
      <c r="DQ158" s="1168"/>
      <c r="DR158" s="1168"/>
      <c r="DS158" s="1168"/>
      <c r="DT158" s="1168"/>
      <c r="DU158" s="1168"/>
      <c r="DV158" s="1168"/>
      <c r="DW158" s="1168"/>
      <c r="DX158" s="1168"/>
      <c r="DY158" s="1168"/>
      <c r="DZ158" s="1168"/>
      <c r="EA158" s="1168"/>
      <c r="EB158" s="1168"/>
      <c r="EC158" s="1168"/>
      <c r="ED158" s="1168"/>
      <c r="EE158" s="1168"/>
      <c r="EF158" s="1168"/>
      <c r="EG158" s="1168"/>
      <c r="EH158" s="1168"/>
      <c r="EI158" s="1170"/>
      <c r="EJ158" s="1170"/>
      <c r="EK158" s="1170"/>
      <c r="EL158" s="1170"/>
      <c r="EM158" s="1170"/>
      <c r="EN158" s="1170"/>
      <c r="EO158" s="1170"/>
      <c r="EP158" s="1170"/>
      <c r="EQ158" s="1170"/>
      <c r="ER158" s="1170"/>
      <c r="ES158" s="1333"/>
      <c r="ET158" s="1333"/>
      <c r="EU158" s="1333"/>
      <c r="EV158" s="1333"/>
      <c r="EW158" s="1333"/>
      <c r="EX158" s="1333"/>
      <c r="EY158" s="1333"/>
      <c r="EZ158" s="1333"/>
      <c r="FA158" s="1333"/>
      <c r="FB158" s="1333"/>
      <c r="FC158" s="1333"/>
      <c r="FD158" s="1333"/>
      <c r="FE158" s="1333"/>
      <c r="FF158" s="1333"/>
      <c r="FG158" s="1333"/>
      <c r="FH158" s="1333"/>
      <c r="FI158" s="1333"/>
      <c r="FJ158" s="1333"/>
      <c r="FK158" s="1333"/>
      <c r="FL158" s="1333"/>
      <c r="FM158" s="1333"/>
      <c r="FN158" s="1333"/>
      <c r="FO158" s="1333"/>
      <c r="FP158" s="1333"/>
      <c r="FQ158" s="1333"/>
      <c r="FR158" s="1333"/>
      <c r="FS158" s="1333"/>
      <c r="FT158" s="1333"/>
      <c r="FU158" s="1333"/>
      <c r="FV158" s="1333"/>
      <c r="FW158" s="1333"/>
      <c r="FX158" s="1333"/>
      <c r="FY158" s="1333"/>
      <c r="FZ158" s="1333"/>
      <c r="GA158" s="1333"/>
      <c r="GB158" s="1333"/>
      <c r="GC158" s="1333"/>
      <c r="GD158" s="1333"/>
      <c r="GE158" s="1333"/>
      <c r="GF158" s="1333"/>
      <c r="GG158" s="1333"/>
      <c r="GH158" s="1333"/>
      <c r="GI158" s="1333"/>
      <c r="GJ158" s="1333"/>
      <c r="GK158" s="1333"/>
      <c r="GL158" s="1333"/>
      <c r="GM158" s="1333"/>
      <c r="GN158" s="1333"/>
      <c r="GO158" s="1333"/>
      <c r="GP158" s="1333"/>
      <c r="GQ158" s="1333"/>
      <c r="GR158" s="1333"/>
      <c r="GS158" s="1333"/>
      <c r="GT158" s="1333"/>
      <c r="GU158" s="1333"/>
      <c r="GV158" s="1333"/>
      <c r="GW158" s="1333"/>
      <c r="GX158" s="1333"/>
    </row>
    <row r="159" spans="1:206" s="607" customFormat="1">
      <c r="A159" s="607">
        <f t="shared" si="4"/>
        <v>1983</v>
      </c>
      <c r="B159" s="607">
        <f t="shared" si="5"/>
        <v>3</v>
      </c>
      <c r="C159" s="666">
        <v>30498</v>
      </c>
      <c r="D159" s="1709"/>
      <c r="E159" s="1117"/>
      <c r="F159" s="1117"/>
      <c r="G159" s="1117"/>
      <c r="H159" s="1117"/>
      <c r="I159" s="959">
        <v>422.8</v>
      </c>
      <c r="J159" s="959">
        <v>483.1</v>
      </c>
      <c r="K159" s="960"/>
      <c r="L159" s="1121"/>
      <c r="M159" s="916">
        <v>4358.7621112372326</v>
      </c>
      <c r="N159" s="916">
        <v>4984.2905788876296</v>
      </c>
      <c r="O159" s="1332"/>
      <c r="P159" s="1332"/>
      <c r="Q159" s="1332"/>
      <c r="R159" s="1332"/>
      <c r="S159" s="1332"/>
      <c r="T159" s="1332"/>
      <c r="U159" s="1120"/>
      <c r="V159" s="1120"/>
      <c r="W159" s="1120"/>
      <c r="X159" s="1120"/>
      <c r="Y159" s="1119"/>
      <c r="Z159" s="1119"/>
      <c r="AA159" s="1119"/>
      <c r="AB159" s="1119"/>
      <c r="AC159" s="1178"/>
      <c r="AD159" s="1178"/>
      <c r="AE159" s="1178"/>
      <c r="AF159" s="1178"/>
      <c r="AG159" s="1178"/>
      <c r="AH159" s="1178"/>
      <c r="AI159" s="1178"/>
      <c r="AJ159" s="1178"/>
      <c r="AK159" s="919">
        <v>30.8</v>
      </c>
      <c r="AL159" s="1104"/>
      <c r="AM159" s="919"/>
      <c r="AN159" s="1710"/>
      <c r="AO159" s="919"/>
      <c r="AP159" s="919"/>
      <c r="AS159" s="1167"/>
      <c r="AT159" s="1167"/>
      <c r="AU159" s="1168"/>
      <c r="AV159" s="1168"/>
      <c r="AW159" s="1169"/>
      <c r="AX159" s="1169"/>
      <c r="AY159" s="1169"/>
      <c r="AZ159" s="1169"/>
      <c r="BA159" s="1799" t="s">
        <v>3</v>
      </c>
      <c r="BB159" s="1802">
        <v>2011</v>
      </c>
      <c r="BC159" s="1799" t="s">
        <v>42</v>
      </c>
      <c r="BD159" s="1799">
        <v>7</v>
      </c>
      <c r="BE159" s="1800">
        <v>124864739</v>
      </c>
      <c r="BF159" s="1801">
        <v>3.5999999999999997E-2</v>
      </c>
      <c r="BG159" s="1799"/>
      <c r="BH159" s="1799" t="s">
        <v>3</v>
      </c>
      <c r="BI159" s="1799" t="s">
        <v>320</v>
      </c>
      <c r="BJ159" s="1799" t="s">
        <v>431</v>
      </c>
      <c r="BK159" s="1799">
        <v>6</v>
      </c>
      <c r="BL159" s="1800">
        <v>76167101</v>
      </c>
      <c r="BM159" s="1801">
        <v>0.04</v>
      </c>
      <c r="BN159" s="1799">
        <v>2015</v>
      </c>
      <c r="BO159" s="1684"/>
      <c r="BP159" s="1696"/>
      <c r="BQ159" s="1169"/>
      <c r="BR159" s="1169"/>
      <c r="BS159" s="1169"/>
      <c r="BT159" s="1169"/>
      <c r="BU159" s="1169"/>
      <c r="BV159" s="1169"/>
      <c r="BW159" s="1169"/>
      <c r="BX159" s="1169"/>
      <c r="BY159" s="1169"/>
      <c r="BZ159" s="1169"/>
      <c r="CA159" s="1169"/>
      <c r="CB159" s="1169"/>
      <c r="CC159" s="1169"/>
      <c r="CD159" s="1169"/>
      <c r="CE159" s="1169"/>
      <c r="CF159" s="1169"/>
      <c r="CG159" s="1169"/>
      <c r="CH159" s="1169"/>
      <c r="CI159" s="1169"/>
      <c r="CJ159" s="1169"/>
      <c r="CK159" s="1169"/>
      <c r="CL159" s="1169"/>
      <c r="CM159" s="1169"/>
      <c r="CN159" s="1169"/>
      <c r="CO159" s="1169"/>
      <c r="CP159" s="1169"/>
      <c r="CQ159" s="1169"/>
      <c r="CR159" s="1169"/>
      <c r="CS159" s="1169"/>
      <c r="CT159" s="1169"/>
      <c r="CU159" s="1169"/>
      <c r="CV159" s="1169"/>
      <c r="CW159" s="1169"/>
      <c r="CX159" s="1169"/>
      <c r="CY159" s="1169"/>
      <c r="CZ159" s="1169"/>
      <c r="DA159" s="1168"/>
      <c r="DB159" s="1168"/>
      <c r="DC159" s="1168"/>
      <c r="DD159" s="1168"/>
      <c r="DE159" s="1168"/>
      <c r="DF159" s="1168"/>
      <c r="DG159" s="1168"/>
      <c r="DH159" s="1168"/>
      <c r="DI159" s="1168"/>
      <c r="DJ159" s="1168"/>
      <c r="DK159" s="1168"/>
      <c r="DL159" s="1168"/>
      <c r="DM159" s="1168"/>
      <c r="DN159" s="1168"/>
      <c r="DO159" s="1168"/>
      <c r="DP159" s="1168"/>
      <c r="DQ159" s="1168"/>
      <c r="DR159" s="1168"/>
      <c r="DS159" s="1168"/>
      <c r="DT159" s="1168"/>
      <c r="DU159" s="1168"/>
      <c r="DV159" s="1168"/>
      <c r="DW159" s="1168"/>
      <c r="DX159" s="1168"/>
      <c r="DY159" s="1168"/>
      <c r="DZ159" s="1168"/>
      <c r="EA159" s="1168"/>
      <c r="EB159" s="1168"/>
      <c r="EC159" s="1168"/>
      <c r="ED159" s="1168"/>
      <c r="EE159" s="1168"/>
      <c r="EF159" s="1168"/>
      <c r="EG159" s="1168"/>
      <c r="EH159" s="1168"/>
      <c r="EI159" s="1170"/>
      <c r="EJ159" s="1170"/>
      <c r="EK159" s="1170"/>
      <c r="EL159" s="1170"/>
      <c r="EM159" s="1170"/>
      <c r="EN159" s="1170"/>
      <c r="EO159" s="1170"/>
      <c r="EP159" s="1170"/>
      <c r="EQ159" s="1170"/>
      <c r="ER159" s="1170"/>
      <c r="ES159" s="1333"/>
      <c r="ET159" s="1333"/>
      <c r="EU159" s="1333"/>
      <c r="EV159" s="1333"/>
      <c r="EW159" s="1333"/>
      <c r="EX159" s="1333"/>
      <c r="EY159" s="1333"/>
      <c r="EZ159" s="1333"/>
      <c r="FA159" s="1333"/>
      <c r="FB159" s="1333"/>
      <c r="FC159" s="1333"/>
      <c r="FD159" s="1333"/>
      <c r="FE159" s="1333"/>
      <c r="FF159" s="1333"/>
      <c r="FG159" s="1333"/>
      <c r="FH159" s="1333"/>
      <c r="FI159" s="1333"/>
      <c r="FJ159" s="1333"/>
      <c r="FK159" s="1333"/>
      <c r="FL159" s="1333"/>
      <c r="FM159" s="1333"/>
      <c r="FN159" s="1333"/>
      <c r="FO159" s="1333"/>
      <c r="FP159" s="1333"/>
      <c r="FQ159" s="1333"/>
      <c r="FR159" s="1333"/>
      <c r="FS159" s="1333"/>
      <c r="FT159" s="1333"/>
      <c r="FU159" s="1333"/>
      <c r="FV159" s="1333"/>
      <c r="FW159" s="1333"/>
      <c r="FX159" s="1333"/>
      <c r="FY159" s="1333"/>
      <c r="FZ159" s="1333"/>
      <c r="GA159" s="1333"/>
      <c r="GB159" s="1333"/>
      <c r="GC159" s="1333"/>
      <c r="GD159" s="1333"/>
      <c r="GE159" s="1333"/>
      <c r="GF159" s="1333"/>
      <c r="GG159" s="1333"/>
      <c r="GH159" s="1333"/>
      <c r="GI159" s="1333"/>
      <c r="GJ159" s="1333"/>
      <c r="GK159" s="1333"/>
      <c r="GL159" s="1333"/>
      <c r="GM159" s="1333"/>
      <c r="GN159" s="1333"/>
      <c r="GO159" s="1333"/>
      <c r="GP159" s="1333"/>
      <c r="GQ159" s="1333"/>
      <c r="GR159" s="1333"/>
      <c r="GS159" s="1333"/>
      <c r="GT159" s="1333"/>
      <c r="GU159" s="1333"/>
      <c r="GV159" s="1333"/>
      <c r="GW159" s="1333"/>
      <c r="GX159" s="1333"/>
    </row>
    <row r="160" spans="1:206" s="607" customFormat="1">
      <c r="A160" s="607">
        <f t="shared" si="4"/>
        <v>1983</v>
      </c>
      <c r="B160" s="607">
        <f t="shared" si="5"/>
        <v>3</v>
      </c>
      <c r="C160" s="666">
        <v>30529</v>
      </c>
      <c r="D160" s="957"/>
      <c r="E160" s="920"/>
      <c r="F160" s="920"/>
      <c r="G160" s="920"/>
      <c r="H160" s="920"/>
      <c r="I160" s="954">
        <v>417</v>
      </c>
      <c r="J160" s="954">
        <v>473.6</v>
      </c>
      <c r="K160" s="954"/>
      <c r="L160" s="920"/>
      <c r="M160" s="917">
        <v>4391.1600000000017</v>
      </c>
      <c r="N160" s="917">
        <v>4777.2680705748398</v>
      </c>
      <c r="O160" s="1334"/>
      <c r="P160" s="1334"/>
      <c r="Q160" s="1334"/>
      <c r="R160" s="1334"/>
      <c r="S160" s="1334"/>
      <c r="T160" s="1334"/>
      <c r="U160" s="920"/>
      <c r="V160" s="920"/>
      <c r="W160" s="920"/>
      <c r="X160" s="920"/>
      <c r="Y160" s="920"/>
      <c r="Z160" s="920"/>
      <c r="AA160" s="920"/>
      <c r="AB160" s="920"/>
      <c r="AC160" s="920"/>
      <c r="AD160" s="920"/>
      <c r="AE160" s="920"/>
      <c r="AF160" s="920"/>
      <c r="AG160" s="920"/>
      <c r="AH160" s="920"/>
      <c r="AI160" s="920"/>
      <c r="AJ160" s="920"/>
      <c r="AK160" s="920">
        <v>30.8</v>
      </c>
      <c r="AL160" s="1105"/>
      <c r="AM160" s="920"/>
      <c r="AN160" s="1711"/>
      <c r="AO160" s="920"/>
      <c r="AP160" s="920"/>
      <c r="AS160" s="1167"/>
      <c r="AT160" s="1167"/>
      <c r="AU160" s="1168"/>
      <c r="AV160" s="1168"/>
      <c r="AW160" s="1169"/>
      <c r="AX160" s="1169"/>
      <c r="AY160" s="1169"/>
      <c r="AZ160" s="1169"/>
      <c r="BA160" s="1799" t="s">
        <v>3</v>
      </c>
      <c r="BB160" s="1802">
        <v>2011</v>
      </c>
      <c r="BC160" s="1799" t="s">
        <v>48</v>
      </c>
      <c r="BD160" s="1799">
        <v>8</v>
      </c>
      <c r="BE160" s="1800">
        <v>79939604</v>
      </c>
      <c r="BF160" s="1801">
        <v>2.3E-2</v>
      </c>
      <c r="BG160" s="1799"/>
      <c r="BH160" s="1799" t="s">
        <v>3</v>
      </c>
      <c r="BI160" s="1799" t="s">
        <v>320</v>
      </c>
      <c r="BJ160" s="1799" t="s">
        <v>45</v>
      </c>
      <c r="BK160" s="1799">
        <v>7</v>
      </c>
      <c r="BL160" s="1800">
        <v>67422692</v>
      </c>
      <c r="BM160" s="1801">
        <v>3.5000000000000003E-2</v>
      </c>
      <c r="BN160" s="1799">
        <v>2015</v>
      </c>
      <c r="BO160" s="1684"/>
      <c r="BP160" s="1696"/>
      <c r="BQ160" s="1169"/>
      <c r="BR160" s="1169"/>
      <c r="BS160" s="1169"/>
      <c r="BT160" s="1169"/>
      <c r="BU160" s="1169"/>
      <c r="BV160" s="1169"/>
      <c r="BW160" s="1169"/>
      <c r="BX160" s="1169"/>
      <c r="BY160" s="1169"/>
      <c r="BZ160" s="1169"/>
      <c r="CA160" s="1169"/>
      <c r="CB160" s="1169"/>
      <c r="CC160" s="1169"/>
      <c r="CD160" s="1169"/>
      <c r="CE160" s="1169"/>
      <c r="CF160" s="1169"/>
      <c r="CG160" s="1169"/>
      <c r="CH160" s="1169"/>
      <c r="CI160" s="1169"/>
      <c r="CJ160" s="1169"/>
      <c r="CK160" s="1169"/>
      <c r="CL160" s="1169"/>
      <c r="CM160" s="1169"/>
      <c r="CN160" s="1169"/>
      <c r="CO160" s="1169"/>
      <c r="CP160" s="1169"/>
      <c r="CQ160" s="1169"/>
      <c r="CR160" s="1169"/>
      <c r="CS160" s="1169"/>
      <c r="CT160" s="1169"/>
      <c r="CU160" s="1169"/>
      <c r="CV160" s="1169"/>
      <c r="CW160" s="1169"/>
      <c r="CX160" s="1169"/>
      <c r="CY160" s="1169"/>
      <c r="CZ160" s="1169"/>
      <c r="DA160" s="1168"/>
      <c r="DB160" s="1168"/>
      <c r="DC160" s="1168"/>
      <c r="DD160" s="1168"/>
      <c r="DE160" s="1168"/>
      <c r="DF160" s="1168"/>
      <c r="DG160" s="1168"/>
      <c r="DH160" s="1168"/>
      <c r="DI160" s="1168"/>
      <c r="DJ160" s="1168"/>
      <c r="DK160" s="1168"/>
      <c r="DL160" s="1168"/>
      <c r="DM160" s="1168"/>
      <c r="DN160" s="1168"/>
      <c r="DO160" s="1168"/>
      <c r="DP160" s="1168"/>
      <c r="DQ160" s="1168"/>
      <c r="DR160" s="1168"/>
      <c r="DS160" s="1168"/>
      <c r="DT160" s="1168"/>
      <c r="DU160" s="1168"/>
      <c r="DV160" s="1168"/>
      <c r="DW160" s="1168"/>
      <c r="DX160" s="1168"/>
      <c r="DY160" s="1168"/>
      <c r="DZ160" s="1168"/>
      <c r="EA160" s="1168"/>
      <c r="EB160" s="1168"/>
      <c r="EC160" s="1168"/>
      <c r="ED160" s="1168"/>
      <c r="EE160" s="1168"/>
      <c r="EF160" s="1168"/>
      <c r="EG160" s="1168"/>
      <c r="EH160" s="1168"/>
      <c r="EI160" s="1170"/>
      <c r="EJ160" s="1170"/>
      <c r="EK160" s="1170"/>
      <c r="EL160" s="1170"/>
      <c r="EM160" s="1170"/>
      <c r="EN160" s="1170"/>
      <c r="EO160" s="1170"/>
      <c r="EP160" s="1170"/>
      <c r="EQ160" s="1170"/>
      <c r="ER160" s="1170"/>
      <c r="ES160" s="1333"/>
      <c r="ET160" s="1333"/>
      <c r="EU160" s="1333"/>
      <c r="EV160" s="1333"/>
      <c r="EW160" s="1333"/>
      <c r="EX160" s="1333"/>
      <c r="EY160" s="1333"/>
      <c r="EZ160" s="1333"/>
      <c r="FA160" s="1333"/>
      <c r="FB160" s="1333"/>
      <c r="FC160" s="1333"/>
      <c r="FD160" s="1333"/>
      <c r="FE160" s="1333"/>
      <c r="FF160" s="1333"/>
      <c r="FG160" s="1333"/>
      <c r="FH160" s="1333"/>
      <c r="FI160" s="1333"/>
      <c r="FJ160" s="1333"/>
      <c r="FK160" s="1333"/>
      <c r="FL160" s="1333"/>
      <c r="FM160" s="1333"/>
      <c r="FN160" s="1333"/>
      <c r="FO160" s="1333"/>
      <c r="FP160" s="1333"/>
      <c r="FQ160" s="1333"/>
      <c r="FR160" s="1333"/>
      <c r="FS160" s="1333"/>
      <c r="FT160" s="1333"/>
      <c r="FU160" s="1333"/>
      <c r="FV160" s="1333"/>
      <c r="FW160" s="1333"/>
      <c r="FX160" s="1333"/>
      <c r="FY160" s="1333"/>
      <c r="FZ160" s="1333"/>
      <c r="GA160" s="1333"/>
      <c r="GB160" s="1333"/>
      <c r="GC160" s="1333"/>
      <c r="GD160" s="1333"/>
      <c r="GE160" s="1333"/>
      <c r="GF160" s="1333"/>
      <c r="GG160" s="1333"/>
      <c r="GH160" s="1333"/>
      <c r="GI160" s="1333"/>
      <c r="GJ160" s="1333"/>
      <c r="GK160" s="1333"/>
      <c r="GL160" s="1333"/>
      <c r="GM160" s="1333"/>
      <c r="GN160" s="1333"/>
      <c r="GO160" s="1333"/>
      <c r="GP160" s="1333"/>
      <c r="GQ160" s="1333"/>
      <c r="GR160" s="1333"/>
      <c r="GS160" s="1333"/>
      <c r="GT160" s="1333"/>
      <c r="GU160" s="1333"/>
      <c r="GV160" s="1333"/>
      <c r="GW160" s="1333"/>
      <c r="GX160" s="1333"/>
    </row>
    <row r="161" spans="1:206" s="607" customFormat="1">
      <c r="A161" s="607">
        <f t="shared" si="4"/>
        <v>1983</v>
      </c>
      <c r="B161" s="607">
        <f t="shared" si="5"/>
        <v>3</v>
      </c>
      <c r="C161" s="666">
        <v>30560</v>
      </c>
      <c r="D161" s="1709"/>
      <c r="E161" s="1117"/>
      <c r="F161" s="1117"/>
      <c r="G161" s="1117"/>
      <c r="H161" s="1117"/>
      <c r="I161" s="959">
        <v>412.6</v>
      </c>
      <c r="J161" s="959">
        <v>465.3</v>
      </c>
      <c r="K161" s="960"/>
      <c r="L161" s="1121"/>
      <c r="M161" s="916">
        <v>4196.8299999999963</v>
      </c>
      <c r="N161" s="916">
        <v>4470.8756274400403</v>
      </c>
      <c r="O161" s="1332"/>
      <c r="P161" s="1332"/>
      <c r="Q161" s="1332"/>
      <c r="R161" s="1332"/>
      <c r="S161" s="1332"/>
      <c r="T161" s="1332"/>
      <c r="U161" s="1120"/>
      <c r="V161" s="1120"/>
      <c r="W161" s="1120"/>
      <c r="X161" s="1120"/>
      <c r="Y161" s="1119"/>
      <c r="Z161" s="1119"/>
      <c r="AA161" s="1119"/>
      <c r="AB161" s="1119"/>
      <c r="AC161" s="1178"/>
      <c r="AD161" s="1178"/>
      <c r="AE161" s="1178"/>
      <c r="AF161" s="1178"/>
      <c r="AG161" s="1178"/>
      <c r="AH161" s="1178"/>
      <c r="AI161" s="1178"/>
      <c r="AJ161" s="1178"/>
      <c r="AK161" s="919">
        <v>30.35</v>
      </c>
      <c r="AL161" s="1104"/>
      <c r="AM161" s="919"/>
      <c r="AN161" s="1710"/>
      <c r="AO161" s="919"/>
      <c r="AP161" s="919"/>
      <c r="AS161" s="1167"/>
      <c r="AT161" s="1167"/>
      <c r="AU161" s="1168"/>
      <c r="AV161" s="1168"/>
      <c r="AW161" s="1169"/>
      <c r="AX161" s="1169"/>
      <c r="AY161" s="1169"/>
      <c r="AZ161" s="1169"/>
      <c r="BA161" s="1799" t="s">
        <v>3</v>
      </c>
      <c r="BB161" s="1802">
        <v>2011</v>
      </c>
      <c r="BC161" s="1799" t="s">
        <v>18</v>
      </c>
      <c r="BD161" s="1799">
        <v>9</v>
      </c>
      <c r="BE161" s="1800">
        <v>75065810</v>
      </c>
      <c r="BF161" s="1801">
        <v>2.1000000000000001E-2</v>
      </c>
      <c r="BG161" s="1799"/>
      <c r="BH161" s="1799" t="s">
        <v>3</v>
      </c>
      <c r="BI161" s="1799" t="s">
        <v>320</v>
      </c>
      <c r="BJ161" s="1799" t="s">
        <v>23</v>
      </c>
      <c r="BK161" s="1799">
        <v>8</v>
      </c>
      <c r="BL161" s="1800">
        <v>49680699</v>
      </c>
      <c r="BM161" s="1801">
        <v>2.5999999999999999E-2</v>
      </c>
      <c r="BN161" s="1799">
        <v>2015</v>
      </c>
      <c r="BO161" s="1684"/>
      <c r="BP161" s="1697"/>
      <c r="BQ161" s="1169"/>
      <c r="BR161" s="1169"/>
      <c r="BS161" s="1169"/>
      <c r="BT161" s="1169"/>
      <c r="BU161" s="1169"/>
      <c r="BV161" s="1169"/>
      <c r="BW161" s="1169"/>
      <c r="BX161" s="1169"/>
      <c r="BY161" s="1169"/>
      <c r="BZ161" s="1169"/>
      <c r="CA161" s="1169"/>
      <c r="CB161" s="1169"/>
      <c r="CC161" s="1169"/>
      <c r="CD161" s="1169"/>
      <c r="CE161" s="1169"/>
      <c r="CF161" s="1169"/>
      <c r="CG161" s="1169"/>
      <c r="CH161" s="1169"/>
      <c r="CI161" s="1169"/>
      <c r="CJ161" s="1169"/>
      <c r="CK161" s="1169"/>
      <c r="CL161" s="1169"/>
      <c r="CM161" s="1169"/>
      <c r="CN161" s="1169"/>
      <c r="CO161" s="1169"/>
      <c r="CP161" s="1169"/>
      <c r="CQ161" s="1169"/>
      <c r="CR161" s="1169"/>
      <c r="CS161" s="1169"/>
      <c r="CT161" s="1169"/>
      <c r="CU161" s="1169"/>
      <c r="CV161" s="1169"/>
      <c r="CW161" s="1169"/>
      <c r="CX161" s="1169"/>
      <c r="CY161" s="1169"/>
      <c r="CZ161" s="1169"/>
      <c r="DA161" s="1168"/>
      <c r="DB161" s="1168"/>
      <c r="DC161" s="1168"/>
      <c r="DD161" s="1168"/>
      <c r="DE161" s="1168"/>
      <c r="DF161" s="1168"/>
      <c r="DG161" s="1168"/>
      <c r="DH161" s="1168"/>
      <c r="DI161" s="1168"/>
      <c r="DJ161" s="1168"/>
      <c r="DK161" s="1168"/>
      <c r="DL161" s="1168"/>
      <c r="DM161" s="1168"/>
      <c r="DN161" s="1168"/>
      <c r="DO161" s="1168"/>
      <c r="DP161" s="1168"/>
      <c r="DQ161" s="1168"/>
      <c r="DR161" s="1168"/>
      <c r="DS161" s="1168"/>
      <c r="DT161" s="1168"/>
      <c r="DU161" s="1168"/>
      <c r="DV161" s="1168"/>
      <c r="DW161" s="1168"/>
      <c r="DX161" s="1168"/>
      <c r="DY161" s="1168"/>
      <c r="DZ161" s="1168"/>
      <c r="EA161" s="1168"/>
      <c r="EB161" s="1168"/>
      <c r="EC161" s="1168"/>
      <c r="ED161" s="1168"/>
      <c r="EE161" s="1168"/>
      <c r="EF161" s="1168"/>
      <c r="EG161" s="1168"/>
      <c r="EH161" s="1168"/>
      <c r="EI161" s="1170"/>
      <c r="EJ161" s="1170"/>
      <c r="EK161" s="1170"/>
      <c r="EL161" s="1170"/>
      <c r="EM161" s="1170"/>
      <c r="EN161" s="1170"/>
      <c r="EO161" s="1170"/>
      <c r="EP161" s="1170"/>
      <c r="EQ161" s="1170"/>
      <c r="ER161" s="1170"/>
      <c r="ES161" s="1333"/>
      <c r="ET161" s="1333"/>
      <c r="EU161" s="1333"/>
      <c r="EV161" s="1333"/>
      <c r="EW161" s="1333"/>
      <c r="EX161" s="1333"/>
      <c r="EY161" s="1333"/>
      <c r="EZ161" s="1333"/>
      <c r="FA161" s="1333"/>
      <c r="FB161" s="1333"/>
      <c r="FC161" s="1333"/>
      <c r="FD161" s="1333"/>
      <c r="FE161" s="1333"/>
      <c r="FF161" s="1333"/>
      <c r="FG161" s="1333"/>
      <c r="FH161" s="1333"/>
      <c r="FI161" s="1333"/>
      <c r="FJ161" s="1333"/>
      <c r="FK161" s="1333"/>
      <c r="FL161" s="1333"/>
      <c r="FM161" s="1333"/>
      <c r="FN161" s="1333"/>
      <c r="FO161" s="1333"/>
      <c r="FP161" s="1333"/>
      <c r="FQ161" s="1333"/>
      <c r="FR161" s="1333"/>
      <c r="FS161" s="1333"/>
      <c r="FT161" s="1333"/>
      <c r="FU161" s="1333"/>
      <c r="FV161" s="1333"/>
      <c r="FW161" s="1333"/>
      <c r="FX161" s="1333"/>
      <c r="FY161" s="1333"/>
      <c r="FZ161" s="1333"/>
      <c r="GA161" s="1333"/>
      <c r="GB161" s="1333"/>
      <c r="GC161" s="1333"/>
      <c r="GD161" s="1333"/>
      <c r="GE161" s="1333"/>
      <c r="GF161" s="1333"/>
      <c r="GG161" s="1333"/>
      <c r="GH161" s="1333"/>
      <c r="GI161" s="1333"/>
      <c r="GJ161" s="1333"/>
      <c r="GK161" s="1333"/>
      <c r="GL161" s="1333"/>
      <c r="GM161" s="1333"/>
      <c r="GN161" s="1333"/>
      <c r="GO161" s="1333"/>
      <c r="GP161" s="1333"/>
      <c r="GQ161" s="1333"/>
      <c r="GR161" s="1333"/>
      <c r="GS161" s="1333"/>
      <c r="GT161" s="1333"/>
      <c r="GU161" s="1333"/>
      <c r="GV161" s="1333"/>
      <c r="GW161" s="1333"/>
      <c r="GX161" s="1333"/>
    </row>
    <row r="162" spans="1:206" s="607" customFormat="1">
      <c r="A162" s="607">
        <f t="shared" si="4"/>
        <v>1983</v>
      </c>
      <c r="B162" s="607">
        <f t="shared" si="5"/>
        <v>4</v>
      </c>
      <c r="C162" s="666">
        <v>30590</v>
      </c>
      <c r="D162" s="957"/>
      <c r="E162" s="920"/>
      <c r="F162" s="920"/>
      <c r="G162" s="920"/>
      <c r="H162" s="920"/>
      <c r="I162" s="954">
        <v>394.2</v>
      </c>
      <c r="J162" s="954">
        <v>431.15</v>
      </c>
      <c r="K162" s="954"/>
      <c r="L162" s="920"/>
      <c r="M162" s="917">
        <v>4008.1399999999958</v>
      </c>
      <c r="N162" s="917">
        <v>4258.6681222707402</v>
      </c>
      <c r="O162" s="1334"/>
      <c r="P162" s="1334"/>
      <c r="Q162" s="1334"/>
      <c r="R162" s="1334"/>
      <c r="S162" s="1334"/>
      <c r="T162" s="1334"/>
      <c r="U162" s="920"/>
      <c r="V162" s="920"/>
      <c r="W162" s="920"/>
      <c r="X162" s="920"/>
      <c r="Y162" s="920"/>
      <c r="Z162" s="920"/>
      <c r="AA162" s="920"/>
      <c r="AB162" s="920"/>
      <c r="AC162" s="920"/>
      <c r="AD162" s="920"/>
      <c r="AE162" s="920"/>
      <c r="AF162" s="920"/>
      <c r="AG162" s="920"/>
      <c r="AH162" s="920"/>
      <c r="AI162" s="920"/>
      <c r="AJ162" s="920"/>
      <c r="AK162" s="920">
        <v>30.35</v>
      </c>
      <c r="AL162" s="1105"/>
      <c r="AM162" s="920"/>
      <c r="AN162" s="1711"/>
      <c r="AO162" s="920"/>
      <c r="AP162" s="920"/>
      <c r="AS162" s="1167"/>
      <c r="AT162" s="1167"/>
      <c r="AU162" s="1168"/>
      <c r="AV162" s="1168"/>
      <c r="AW162" s="1169"/>
      <c r="AX162" s="1169"/>
      <c r="AY162" s="1169"/>
      <c r="AZ162" s="1169"/>
      <c r="BA162" s="1799" t="s">
        <v>3</v>
      </c>
      <c r="BB162" s="1802">
        <v>2011</v>
      </c>
      <c r="BC162" s="1799" t="s">
        <v>581</v>
      </c>
      <c r="BD162" s="1799">
        <v>10</v>
      </c>
      <c r="BE162" s="1800">
        <v>66690878</v>
      </c>
      <c r="BF162" s="1801">
        <v>1.9E-2</v>
      </c>
      <c r="BG162" s="1799"/>
      <c r="BH162" s="1799" t="s">
        <v>3</v>
      </c>
      <c r="BI162" s="1799" t="s">
        <v>320</v>
      </c>
      <c r="BJ162" s="1799" t="s">
        <v>51</v>
      </c>
      <c r="BK162" s="1799">
        <v>9</v>
      </c>
      <c r="BL162" s="1800">
        <v>27154998</v>
      </c>
      <c r="BM162" s="1801">
        <v>1.4E-2</v>
      </c>
      <c r="BN162" s="1799">
        <v>2015</v>
      </c>
      <c r="BO162" s="1684"/>
      <c r="BP162" s="1696"/>
      <c r="BQ162" s="1169"/>
      <c r="BR162" s="1169"/>
      <c r="BS162" s="1169"/>
      <c r="BT162" s="1169"/>
      <c r="BU162" s="1169"/>
      <c r="BV162" s="1169"/>
      <c r="BW162" s="1169"/>
      <c r="BX162" s="1169"/>
      <c r="BY162" s="1169"/>
      <c r="BZ162" s="1169"/>
      <c r="CA162" s="1169"/>
      <c r="CB162" s="1169"/>
      <c r="CC162" s="1169"/>
      <c r="CD162" s="1169"/>
      <c r="CE162" s="1169"/>
      <c r="CF162" s="1169"/>
      <c r="CG162" s="1169"/>
      <c r="CH162" s="1169"/>
      <c r="CI162" s="1169"/>
      <c r="CJ162" s="1169"/>
      <c r="CK162" s="1169"/>
      <c r="CL162" s="1169"/>
      <c r="CM162" s="1169"/>
      <c r="CN162" s="1169"/>
      <c r="CO162" s="1169"/>
      <c r="CP162" s="1169"/>
      <c r="CQ162" s="1169"/>
      <c r="CR162" s="1169"/>
      <c r="CS162" s="1169"/>
      <c r="CT162" s="1169"/>
      <c r="CU162" s="1169"/>
      <c r="CV162" s="1169"/>
      <c r="CW162" s="1169"/>
      <c r="CX162" s="1169"/>
      <c r="CY162" s="1169"/>
      <c r="CZ162" s="1169"/>
      <c r="DA162" s="1168"/>
      <c r="DB162" s="1168"/>
      <c r="DC162" s="1168"/>
      <c r="DD162" s="1168"/>
      <c r="DE162" s="1168"/>
      <c r="DF162" s="1168"/>
      <c r="DG162" s="1168"/>
      <c r="DH162" s="1168"/>
      <c r="DI162" s="1168"/>
      <c r="DJ162" s="1168"/>
      <c r="DK162" s="1168"/>
      <c r="DL162" s="1168"/>
      <c r="DM162" s="1168"/>
      <c r="DN162" s="1168"/>
      <c r="DO162" s="1168"/>
      <c r="DP162" s="1168"/>
      <c r="DQ162" s="1168"/>
      <c r="DR162" s="1168"/>
      <c r="DS162" s="1168"/>
      <c r="DT162" s="1168"/>
      <c r="DU162" s="1168"/>
      <c r="DV162" s="1168"/>
      <c r="DW162" s="1168"/>
      <c r="DX162" s="1168"/>
      <c r="DY162" s="1168"/>
      <c r="DZ162" s="1168"/>
      <c r="EA162" s="1168"/>
      <c r="EB162" s="1168"/>
      <c r="EC162" s="1168"/>
      <c r="ED162" s="1168"/>
      <c r="EE162" s="1168"/>
      <c r="EF162" s="1168"/>
      <c r="EG162" s="1168"/>
      <c r="EH162" s="1168"/>
      <c r="EI162" s="1170"/>
      <c r="EJ162" s="1170"/>
      <c r="EK162" s="1170"/>
      <c r="EL162" s="1170"/>
      <c r="EM162" s="1170"/>
      <c r="EN162" s="1170"/>
      <c r="EO162" s="1170"/>
      <c r="EP162" s="1170"/>
      <c r="EQ162" s="1170"/>
      <c r="ER162" s="1170"/>
      <c r="ES162" s="1333"/>
      <c r="ET162" s="1333"/>
      <c r="EU162" s="1333"/>
      <c r="EV162" s="1333"/>
      <c r="EW162" s="1333"/>
      <c r="EX162" s="1333"/>
      <c r="EY162" s="1333"/>
      <c r="EZ162" s="1333"/>
      <c r="FA162" s="1333"/>
      <c r="FB162" s="1333"/>
      <c r="FC162" s="1333"/>
      <c r="FD162" s="1333"/>
      <c r="FE162" s="1333"/>
      <c r="FF162" s="1333"/>
      <c r="FG162" s="1333"/>
      <c r="FH162" s="1333"/>
      <c r="FI162" s="1333"/>
      <c r="FJ162" s="1333"/>
      <c r="FK162" s="1333"/>
      <c r="FL162" s="1333"/>
      <c r="FM162" s="1333"/>
      <c r="FN162" s="1333"/>
      <c r="FO162" s="1333"/>
      <c r="FP162" s="1333"/>
      <c r="FQ162" s="1333"/>
      <c r="FR162" s="1333"/>
      <c r="FS162" s="1333"/>
      <c r="FT162" s="1333"/>
      <c r="FU162" s="1333"/>
      <c r="FV162" s="1333"/>
      <c r="FW162" s="1333"/>
      <c r="FX162" s="1333"/>
      <c r="FY162" s="1333"/>
      <c r="FZ162" s="1333"/>
      <c r="GA162" s="1333"/>
      <c r="GB162" s="1333"/>
      <c r="GC162" s="1333"/>
      <c r="GD162" s="1333"/>
      <c r="GE162" s="1333"/>
      <c r="GF162" s="1333"/>
      <c r="GG162" s="1333"/>
      <c r="GH162" s="1333"/>
      <c r="GI162" s="1333"/>
      <c r="GJ162" s="1333"/>
      <c r="GK162" s="1333"/>
      <c r="GL162" s="1333"/>
      <c r="GM162" s="1333"/>
      <c r="GN162" s="1333"/>
      <c r="GO162" s="1333"/>
      <c r="GP162" s="1333"/>
      <c r="GQ162" s="1333"/>
      <c r="GR162" s="1333"/>
      <c r="GS162" s="1333"/>
      <c r="GT162" s="1333"/>
      <c r="GU162" s="1333"/>
      <c r="GV162" s="1333"/>
      <c r="GW162" s="1333"/>
      <c r="GX162" s="1333"/>
    </row>
    <row r="163" spans="1:206" s="607" customFormat="1">
      <c r="A163" s="607">
        <f t="shared" si="4"/>
        <v>1983</v>
      </c>
      <c r="B163" s="607">
        <f t="shared" si="5"/>
        <v>4</v>
      </c>
      <c r="C163" s="666">
        <v>30621</v>
      </c>
      <c r="D163" s="1709"/>
      <c r="E163" s="1117"/>
      <c r="F163" s="1117"/>
      <c r="G163" s="1117"/>
      <c r="H163" s="1117"/>
      <c r="I163" s="959">
        <v>380</v>
      </c>
      <c r="J163" s="959">
        <v>415.6</v>
      </c>
      <c r="K163" s="960"/>
      <c r="L163" s="1121"/>
      <c r="M163" s="916">
        <v>3900.9399999999982</v>
      </c>
      <c r="N163" s="916">
        <v>3797.0201577563498</v>
      </c>
      <c r="O163" s="1332"/>
      <c r="P163" s="1332"/>
      <c r="Q163" s="1332"/>
      <c r="R163" s="1332"/>
      <c r="S163" s="1332"/>
      <c r="T163" s="1332"/>
      <c r="U163" s="1120"/>
      <c r="V163" s="1120"/>
      <c r="W163" s="1120"/>
      <c r="X163" s="1120"/>
      <c r="Y163" s="1119"/>
      <c r="Z163" s="1119"/>
      <c r="AA163" s="1119"/>
      <c r="AB163" s="1119"/>
      <c r="AC163" s="1178"/>
      <c r="AD163" s="1178"/>
      <c r="AE163" s="1178"/>
      <c r="AF163" s="1178"/>
      <c r="AG163" s="1178"/>
      <c r="AH163" s="1178"/>
      <c r="AI163" s="1178"/>
      <c r="AJ163" s="1178"/>
      <c r="AK163" s="919">
        <v>29.2</v>
      </c>
      <c r="AL163" s="1104"/>
      <c r="AM163" s="919"/>
      <c r="AN163" s="1710"/>
      <c r="AO163" s="919"/>
      <c r="AP163" s="919"/>
      <c r="AS163" s="1167"/>
      <c r="AT163" s="1167"/>
      <c r="AU163" s="1168"/>
      <c r="AV163" s="1168"/>
      <c r="AW163" s="1169"/>
      <c r="AX163" s="1169"/>
      <c r="AY163" s="1169"/>
      <c r="AZ163" s="1169"/>
      <c r="BA163" s="1799" t="s">
        <v>3</v>
      </c>
      <c r="BB163" s="1802">
        <v>2011</v>
      </c>
      <c r="BC163" s="1799" t="s">
        <v>32</v>
      </c>
      <c r="BD163" s="1799"/>
      <c r="BE163" s="1800">
        <v>182269418</v>
      </c>
      <c r="BF163" s="1801">
        <v>5.1999999999999998E-2</v>
      </c>
      <c r="BG163" s="1799"/>
      <c r="BH163" s="1799" t="s">
        <v>3</v>
      </c>
      <c r="BI163" s="1799" t="s">
        <v>320</v>
      </c>
      <c r="BJ163" s="1799" t="s">
        <v>581</v>
      </c>
      <c r="BK163" s="1799">
        <v>10</v>
      </c>
      <c r="BL163" s="1800">
        <v>23624732</v>
      </c>
      <c r="BM163" s="1801">
        <v>1.2E-2</v>
      </c>
      <c r="BN163" s="1799">
        <v>2015</v>
      </c>
      <c r="BO163" s="1684"/>
      <c r="BP163" s="1696"/>
      <c r="BQ163" s="1169"/>
      <c r="BR163" s="1169"/>
      <c r="BS163" s="1169"/>
      <c r="BT163" s="1169"/>
      <c r="BU163" s="1169"/>
      <c r="BV163" s="1169"/>
      <c r="BW163" s="1169"/>
      <c r="BX163" s="1169"/>
      <c r="BY163" s="1169"/>
      <c r="BZ163" s="1169"/>
      <c r="CA163" s="1169"/>
      <c r="CB163" s="1169"/>
      <c r="CC163" s="1169"/>
      <c r="CD163" s="1169"/>
      <c r="CE163" s="1169"/>
      <c r="CF163" s="1169"/>
      <c r="CG163" s="1169"/>
      <c r="CH163" s="1169"/>
      <c r="CI163" s="1169"/>
      <c r="CJ163" s="1169"/>
      <c r="CK163" s="1169"/>
      <c r="CL163" s="1169"/>
      <c r="CM163" s="1169"/>
      <c r="CN163" s="1169"/>
      <c r="CO163" s="1169"/>
      <c r="CP163" s="1169"/>
      <c r="CQ163" s="1169"/>
      <c r="CR163" s="1169"/>
      <c r="CS163" s="1169"/>
      <c r="CT163" s="1169"/>
      <c r="CU163" s="1169"/>
      <c r="CV163" s="1169"/>
      <c r="CW163" s="1169"/>
      <c r="CX163" s="1169"/>
      <c r="CY163" s="1169"/>
      <c r="CZ163" s="1169"/>
      <c r="DA163" s="1168"/>
      <c r="DB163" s="1168"/>
      <c r="DC163" s="1168"/>
      <c r="DD163" s="1168"/>
      <c r="DE163" s="1168"/>
      <c r="DF163" s="1168"/>
      <c r="DG163" s="1168"/>
      <c r="DH163" s="1168"/>
      <c r="DI163" s="1168"/>
      <c r="DJ163" s="1168"/>
      <c r="DK163" s="1168"/>
      <c r="DL163" s="1168"/>
      <c r="DM163" s="1168"/>
      <c r="DN163" s="1168"/>
      <c r="DO163" s="1168"/>
      <c r="DP163" s="1168"/>
      <c r="DQ163" s="1168"/>
      <c r="DR163" s="1168"/>
      <c r="DS163" s="1168"/>
      <c r="DT163" s="1168"/>
      <c r="DU163" s="1168"/>
      <c r="DV163" s="1168"/>
      <c r="DW163" s="1168"/>
      <c r="DX163" s="1168"/>
      <c r="DY163" s="1168"/>
      <c r="DZ163" s="1168"/>
      <c r="EA163" s="1168"/>
      <c r="EB163" s="1168"/>
      <c r="EC163" s="1168"/>
      <c r="ED163" s="1168"/>
      <c r="EE163" s="1168"/>
      <c r="EF163" s="1168"/>
      <c r="EG163" s="1168"/>
      <c r="EH163" s="1168"/>
      <c r="EI163" s="1170"/>
      <c r="EJ163" s="1170"/>
      <c r="EK163" s="1170"/>
      <c r="EL163" s="1170"/>
      <c r="EM163" s="1170"/>
      <c r="EN163" s="1170"/>
      <c r="EO163" s="1170"/>
      <c r="EP163" s="1170"/>
      <c r="EQ163" s="1170"/>
      <c r="ER163" s="1170"/>
      <c r="ES163" s="1333"/>
      <c r="ET163" s="1333"/>
      <c r="EU163" s="1333"/>
      <c r="EV163" s="1333"/>
      <c r="EW163" s="1333"/>
      <c r="EX163" s="1333"/>
      <c r="EY163" s="1333"/>
      <c r="EZ163" s="1333"/>
      <c r="FA163" s="1333"/>
      <c r="FB163" s="1333"/>
      <c r="FC163" s="1333"/>
      <c r="FD163" s="1333"/>
      <c r="FE163" s="1333"/>
      <c r="FF163" s="1333"/>
      <c r="FG163" s="1333"/>
      <c r="FH163" s="1333"/>
      <c r="FI163" s="1333"/>
      <c r="FJ163" s="1333"/>
      <c r="FK163" s="1333"/>
      <c r="FL163" s="1333"/>
      <c r="FM163" s="1333"/>
      <c r="FN163" s="1333"/>
      <c r="FO163" s="1333"/>
      <c r="FP163" s="1333"/>
      <c r="FQ163" s="1333"/>
      <c r="FR163" s="1333"/>
      <c r="FS163" s="1333"/>
      <c r="FT163" s="1333"/>
      <c r="FU163" s="1333"/>
      <c r="FV163" s="1333"/>
      <c r="FW163" s="1333"/>
      <c r="FX163" s="1333"/>
      <c r="FY163" s="1333"/>
      <c r="FZ163" s="1333"/>
      <c r="GA163" s="1333"/>
      <c r="GB163" s="1333"/>
      <c r="GC163" s="1333"/>
      <c r="GD163" s="1333"/>
      <c r="GE163" s="1333"/>
      <c r="GF163" s="1333"/>
      <c r="GG163" s="1333"/>
      <c r="GH163" s="1333"/>
      <c r="GI163" s="1333"/>
      <c r="GJ163" s="1333"/>
      <c r="GK163" s="1333"/>
      <c r="GL163" s="1333"/>
      <c r="GM163" s="1333"/>
      <c r="GN163" s="1333"/>
      <c r="GO163" s="1333"/>
      <c r="GP163" s="1333"/>
      <c r="GQ163" s="1333"/>
      <c r="GR163" s="1333"/>
      <c r="GS163" s="1333"/>
      <c r="GT163" s="1333"/>
      <c r="GU163" s="1333"/>
      <c r="GV163" s="1333"/>
      <c r="GW163" s="1333"/>
      <c r="GX163" s="1333"/>
    </row>
    <row r="164" spans="1:206" s="607" customFormat="1">
      <c r="A164" s="607">
        <f t="shared" si="4"/>
        <v>1983</v>
      </c>
      <c r="B164" s="607">
        <f t="shared" si="5"/>
        <v>4</v>
      </c>
      <c r="C164" s="666">
        <v>30651</v>
      </c>
      <c r="D164" s="957"/>
      <c r="E164" s="920"/>
      <c r="F164" s="920"/>
      <c r="G164" s="920"/>
      <c r="H164" s="920"/>
      <c r="I164" s="954">
        <v>388.15</v>
      </c>
      <c r="J164" s="954">
        <v>431.65</v>
      </c>
      <c r="K164" s="954"/>
      <c r="L164" s="920"/>
      <c r="M164" s="917">
        <v>3465.919999999996</v>
      </c>
      <c r="N164" s="917">
        <v>3992.9157427937898</v>
      </c>
      <c r="O164" s="1334"/>
      <c r="P164" s="1334"/>
      <c r="Q164" s="1334"/>
      <c r="R164" s="1334"/>
      <c r="S164" s="1334"/>
      <c r="T164" s="1334"/>
      <c r="U164" s="920"/>
      <c r="V164" s="920"/>
      <c r="W164" s="920"/>
      <c r="X164" s="920"/>
      <c r="Y164" s="920"/>
      <c r="Z164" s="920"/>
      <c r="AA164" s="920"/>
      <c r="AB164" s="920"/>
      <c r="AC164" s="920"/>
      <c r="AD164" s="920"/>
      <c r="AE164" s="920"/>
      <c r="AF164" s="920"/>
      <c r="AG164" s="920"/>
      <c r="AH164" s="920"/>
      <c r="AI164" s="920"/>
      <c r="AJ164" s="920"/>
      <c r="AK164" s="920">
        <v>28.95</v>
      </c>
      <c r="AL164" s="1105"/>
      <c r="AM164" s="920"/>
      <c r="AN164" s="1711"/>
      <c r="AO164" s="920"/>
      <c r="AP164" s="920"/>
      <c r="AS164" s="1167"/>
      <c r="AT164" s="1167"/>
      <c r="AU164" s="1168"/>
      <c r="AV164" s="1168"/>
      <c r="AW164" s="1169"/>
      <c r="AX164" s="1169"/>
      <c r="AY164" s="1169"/>
      <c r="AZ164" s="1169"/>
      <c r="BA164" s="1799" t="s">
        <v>3</v>
      </c>
      <c r="BB164" s="1802">
        <v>2011</v>
      </c>
      <c r="BC164" s="1799" t="s">
        <v>249</v>
      </c>
      <c r="BD164" s="1799"/>
      <c r="BE164" s="1800">
        <v>3492310462</v>
      </c>
      <c r="BF164" s="1801"/>
      <c r="BG164" s="1799"/>
      <c r="BH164" s="1799" t="s">
        <v>3</v>
      </c>
      <c r="BI164" s="1799" t="s">
        <v>320</v>
      </c>
      <c r="BJ164" s="1799" t="s">
        <v>32</v>
      </c>
      <c r="BK164" s="1799"/>
      <c r="BL164" s="1800">
        <v>87134612</v>
      </c>
      <c r="BM164" s="1801">
        <v>4.4999999999999998E-2</v>
      </c>
      <c r="BN164" s="1799">
        <v>2015</v>
      </c>
      <c r="BO164" s="1684"/>
      <c r="BP164" s="1697"/>
      <c r="BQ164" s="1169"/>
      <c r="BR164" s="1169"/>
      <c r="BS164" s="1169"/>
      <c r="BT164" s="1169"/>
      <c r="BU164" s="1169"/>
      <c r="BV164" s="1169"/>
      <c r="BW164" s="1169"/>
      <c r="BX164" s="1169"/>
      <c r="BY164" s="1169"/>
      <c r="BZ164" s="1169"/>
      <c r="CA164" s="1169"/>
      <c r="CB164" s="1169"/>
      <c r="CC164" s="1169"/>
      <c r="CD164" s="1169"/>
      <c r="CE164" s="1169"/>
      <c r="CF164" s="1169"/>
      <c r="CG164" s="1169"/>
      <c r="CH164" s="1169"/>
      <c r="CI164" s="1169"/>
      <c r="CJ164" s="1169"/>
      <c r="CK164" s="1169"/>
      <c r="CL164" s="1169"/>
      <c r="CM164" s="1169"/>
      <c r="CN164" s="1169"/>
      <c r="CO164" s="1169"/>
      <c r="CP164" s="1169"/>
      <c r="CQ164" s="1169"/>
      <c r="CR164" s="1169"/>
      <c r="CS164" s="1169"/>
      <c r="CT164" s="1169"/>
      <c r="CU164" s="1169"/>
      <c r="CV164" s="1169"/>
      <c r="CW164" s="1169"/>
      <c r="CX164" s="1169"/>
      <c r="CY164" s="1169"/>
      <c r="CZ164" s="1169"/>
      <c r="DA164" s="1168"/>
      <c r="DB164" s="1168"/>
      <c r="DC164" s="1168"/>
      <c r="DD164" s="1168"/>
      <c r="DE164" s="1168"/>
      <c r="DF164" s="1168"/>
      <c r="DG164" s="1168"/>
      <c r="DH164" s="1168"/>
      <c r="DI164" s="1168"/>
      <c r="DJ164" s="1168"/>
      <c r="DK164" s="1168"/>
      <c r="DL164" s="1168"/>
      <c r="DM164" s="1168"/>
      <c r="DN164" s="1168"/>
      <c r="DO164" s="1168"/>
      <c r="DP164" s="1168"/>
      <c r="DQ164" s="1168"/>
      <c r="DR164" s="1168"/>
      <c r="DS164" s="1168"/>
      <c r="DT164" s="1168"/>
      <c r="DU164" s="1168"/>
      <c r="DV164" s="1168"/>
      <c r="DW164" s="1168"/>
      <c r="DX164" s="1168"/>
      <c r="DY164" s="1168"/>
      <c r="DZ164" s="1168"/>
      <c r="EA164" s="1168"/>
      <c r="EB164" s="1168"/>
      <c r="EC164" s="1168"/>
      <c r="ED164" s="1168"/>
      <c r="EE164" s="1168"/>
      <c r="EF164" s="1168"/>
      <c r="EG164" s="1168"/>
      <c r="EH164" s="1168"/>
      <c r="EI164" s="1170"/>
      <c r="EJ164" s="1170"/>
      <c r="EK164" s="1170"/>
      <c r="EL164" s="1170"/>
      <c r="EM164" s="1170"/>
      <c r="EN164" s="1170"/>
      <c r="EO164" s="1170"/>
      <c r="EP164" s="1170"/>
      <c r="EQ164" s="1170"/>
      <c r="ER164" s="1170"/>
      <c r="ES164" s="1333"/>
      <c r="ET164" s="1333"/>
      <c r="EU164" s="1333"/>
      <c r="EV164" s="1333"/>
      <c r="EW164" s="1333"/>
      <c r="EX164" s="1333"/>
      <c r="EY164" s="1333"/>
      <c r="EZ164" s="1333"/>
      <c r="FA164" s="1333"/>
      <c r="FB164" s="1333"/>
      <c r="FC164" s="1333"/>
      <c r="FD164" s="1333"/>
      <c r="FE164" s="1333"/>
      <c r="FF164" s="1333"/>
      <c r="FG164" s="1333"/>
      <c r="FH164" s="1333"/>
      <c r="FI164" s="1333"/>
      <c r="FJ164" s="1333"/>
      <c r="FK164" s="1333"/>
      <c r="FL164" s="1333"/>
      <c r="FM164" s="1333"/>
      <c r="FN164" s="1333"/>
      <c r="FO164" s="1333"/>
      <c r="FP164" s="1333"/>
      <c r="FQ164" s="1333"/>
      <c r="FR164" s="1333"/>
      <c r="FS164" s="1333"/>
      <c r="FT164" s="1333"/>
      <c r="FU164" s="1333"/>
      <c r="FV164" s="1333"/>
      <c r="FW164" s="1333"/>
      <c r="FX164" s="1333"/>
      <c r="FY164" s="1333"/>
      <c r="FZ164" s="1333"/>
      <c r="GA164" s="1333"/>
      <c r="GB164" s="1333"/>
      <c r="GC164" s="1333"/>
      <c r="GD164" s="1333"/>
      <c r="GE164" s="1333"/>
      <c r="GF164" s="1333"/>
      <c r="GG164" s="1333"/>
      <c r="GH164" s="1333"/>
      <c r="GI164" s="1333"/>
      <c r="GJ164" s="1333"/>
      <c r="GK164" s="1333"/>
      <c r="GL164" s="1333"/>
      <c r="GM164" s="1333"/>
      <c r="GN164" s="1333"/>
      <c r="GO164" s="1333"/>
      <c r="GP164" s="1333"/>
      <c r="GQ164" s="1333"/>
      <c r="GR164" s="1333"/>
      <c r="GS164" s="1333"/>
      <c r="GT164" s="1333"/>
      <c r="GU164" s="1333"/>
      <c r="GV164" s="1333"/>
      <c r="GW164" s="1333"/>
      <c r="GX164" s="1333"/>
    </row>
    <row r="165" spans="1:206" s="607" customFormat="1">
      <c r="A165" s="607">
        <f t="shared" si="4"/>
        <v>1984</v>
      </c>
      <c r="B165" s="607">
        <f t="shared" si="5"/>
        <v>1</v>
      </c>
      <c r="C165" s="666">
        <v>30682</v>
      </c>
      <c r="D165" s="1709">
        <v>0.90508000000000011</v>
      </c>
      <c r="E165" s="1117"/>
      <c r="F165" s="1117"/>
      <c r="G165" s="1117"/>
      <c r="H165" s="1117"/>
      <c r="I165" s="959">
        <v>371.1</v>
      </c>
      <c r="J165" s="959">
        <v>410.9</v>
      </c>
      <c r="K165" s="960"/>
      <c r="L165" s="1121"/>
      <c r="M165" s="916">
        <v>3710.1475628677304</v>
      </c>
      <c r="N165" s="916">
        <v>4099.2482022227096</v>
      </c>
      <c r="O165" s="1332"/>
      <c r="P165" s="1332"/>
      <c r="Q165" s="1332"/>
      <c r="R165" s="1332"/>
      <c r="S165" s="1332"/>
      <c r="T165" s="1332"/>
      <c r="U165" s="1120"/>
      <c r="V165" s="1120"/>
      <c r="W165" s="1120"/>
      <c r="X165" s="1120"/>
      <c r="Y165" s="1119"/>
      <c r="Z165" s="1119"/>
      <c r="AA165" s="1119"/>
      <c r="AB165" s="1119"/>
      <c r="AC165" s="1178"/>
      <c r="AD165" s="1178"/>
      <c r="AE165" s="1178"/>
      <c r="AF165" s="1178"/>
      <c r="AG165" s="1178"/>
      <c r="AH165" s="1178"/>
      <c r="AI165" s="1178"/>
      <c r="AJ165" s="1178"/>
      <c r="AK165" s="919">
        <v>28.95</v>
      </c>
      <c r="AL165" s="919">
        <v>31.986122773677462</v>
      </c>
      <c r="AM165" s="919"/>
      <c r="AN165" s="1710"/>
      <c r="AO165" s="919"/>
      <c r="AP165" s="919"/>
      <c r="AS165" s="1167"/>
      <c r="AT165" s="1167"/>
      <c r="AU165" s="1168"/>
      <c r="AV165" s="1168"/>
      <c r="AW165" s="1169"/>
      <c r="AX165" s="1169"/>
      <c r="AY165" s="1169"/>
      <c r="AZ165" s="1169"/>
      <c r="BA165" s="1799" t="s">
        <v>3</v>
      </c>
      <c r="BB165" s="1802">
        <v>2010</v>
      </c>
      <c r="BC165" s="1799" t="s">
        <v>15</v>
      </c>
      <c r="BD165" s="1799">
        <v>1</v>
      </c>
      <c r="BE165" s="1800">
        <v>1656674125</v>
      </c>
      <c r="BF165" s="1801">
        <v>0.44</v>
      </c>
      <c r="BG165" s="1799"/>
      <c r="BH165" s="1799" t="s">
        <v>3</v>
      </c>
      <c r="BI165" s="1799" t="s">
        <v>320</v>
      </c>
      <c r="BJ165" s="1799" t="s">
        <v>249</v>
      </c>
      <c r="BK165" s="1799"/>
      <c r="BL165" s="1800">
        <v>1920448656</v>
      </c>
      <c r="BM165" s="1801"/>
      <c r="BN165" s="1799">
        <v>2015</v>
      </c>
      <c r="BO165" s="1684"/>
      <c r="BP165" s="1696"/>
      <c r="BQ165" s="1169"/>
      <c r="BR165" s="1169"/>
      <c r="BS165" s="1169"/>
      <c r="BT165" s="1169"/>
      <c r="BU165" s="1169"/>
      <c r="BV165" s="1169"/>
      <c r="BW165" s="1169"/>
      <c r="BX165" s="1169"/>
      <c r="BY165" s="1169"/>
      <c r="BZ165" s="1169"/>
      <c r="CA165" s="1169"/>
      <c r="CB165" s="1169"/>
      <c r="CC165" s="1169"/>
      <c r="CD165" s="1169"/>
      <c r="CE165" s="1169"/>
      <c r="CF165" s="1169"/>
      <c r="CG165" s="1169"/>
      <c r="CH165" s="1169"/>
      <c r="CI165" s="1169"/>
      <c r="CJ165" s="1169"/>
      <c r="CK165" s="1169"/>
      <c r="CL165" s="1169"/>
      <c r="CM165" s="1169"/>
      <c r="CN165" s="1169"/>
      <c r="CO165" s="1169"/>
      <c r="CP165" s="1169"/>
      <c r="CQ165" s="1169"/>
      <c r="CR165" s="1169"/>
      <c r="CS165" s="1169"/>
      <c r="CT165" s="1169"/>
      <c r="CU165" s="1169"/>
      <c r="CV165" s="1169"/>
      <c r="CW165" s="1169"/>
      <c r="CX165" s="1169"/>
      <c r="CY165" s="1169"/>
      <c r="CZ165" s="1169"/>
      <c r="DA165" s="1168"/>
      <c r="DB165" s="1168"/>
      <c r="DC165" s="1168"/>
      <c r="DD165" s="1168"/>
      <c r="DE165" s="1168"/>
      <c r="DF165" s="1168"/>
      <c r="DG165" s="1168"/>
      <c r="DH165" s="1168"/>
      <c r="DI165" s="1168"/>
      <c r="DJ165" s="1168"/>
      <c r="DK165" s="1168"/>
      <c r="DL165" s="1168"/>
      <c r="DM165" s="1168"/>
      <c r="DN165" s="1168"/>
      <c r="DO165" s="1168"/>
      <c r="DP165" s="1168"/>
      <c r="DQ165" s="1168"/>
      <c r="DR165" s="1168"/>
      <c r="DS165" s="1168"/>
      <c r="DT165" s="1168"/>
      <c r="DU165" s="1168"/>
      <c r="DV165" s="1168"/>
      <c r="DW165" s="1168"/>
      <c r="DX165" s="1168"/>
      <c r="DY165" s="1168"/>
      <c r="DZ165" s="1168"/>
      <c r="EA165" s="1168"/>
      <c r="EB165" s="1168"/>
      <c r="EC165" s="1168"/>
      <c r="ED165" s="1168"/>
      <c r="EE165" s="1168"/>
      <c r="EF165" s="1168"/>
      <c r="EG165" s="1168"/>
      <c r="EH165" s="1168"/>
      <c r="EI165" s="1170"/>
      <c r="EJ165" s="1170"/>
      <c r="EK165" s="1170"/>
      <c r="EL165" s="1170"/>
      <c r="EM165" s="1170"/>
      <c r="EN165" s="1170"/>
      <c r="EO165" s="1170"/>
      <c r="EP165" s="1170"/>
      <c r="EQ165" s="1170"/>
      <c r="ER165" s="1170"/>
      <c r="ES165" s="1333"/>
      <c r="ET165" s="1333"/>
      <c r="EU165" s="1333"/>
      <c r="EV165" s="1333"/>
      <c r="EW165" s="1333"/>
      <c r="EX165" s="1333"/>
      <c r="EY165" s="1333"/>
      <c r="EZ165" s="1333"/>
      <c r="FA165" s="1333"/>
      <c r="FB165" s="1333"/>
      <c r="FC165" s="1333"/>
      <c r="FD165" s="1333"/>
      <c r="FE165" s="1333"/>
      <c r="FF165" s="1333"/>
      <c r="FG165" s="1333"/>
      <c r="FH165" s="1333"/>
      <c r="FI165" s="1333"/>
      <c r="FJ165" s="1333"/>
      <c r="FK165" s="1333"/>
      <c r="FL165" s="1333"/>
      <c r="FM165" s="1333"/>
      <c r="FN165" s="1333"/>
      <c r="FO165" s="1333"/>
      <c r="FP165" s="1333"/>
      <c r="FQ165" s="1333"/>
      <c r="FR165" s="1333"/>
      <c r="FS165" s="1333"/>
      <c r="FT165" s="1333"/>
      <c r="FU165" s="1333"/>
      <c r="FV165" s="1333"/>
      <c r="FW165" s="1333"/>
      <c r="FX165" s="1333"/>
      <c r="FY165" s="1333"/>
      <c r="FZ165" s="1333"/>
      <c r="GA165" s="1333"/>
      <c r="GB165" s="1333"/>
      <c r="GC165" s="1333"/>
      <c r="GD165" s="1333"/>
      <c r="GE165" s="1333"/>
      <c r="GF165" s="1333"/>
      <c r="GG165" s="1333"/>
      <c r="GH165" s="1333"/>
      <c r="GI165" s="1333"/>
      <c r="GJ165" s="1333"/>
      <c r="GK165" s="1333"/>
      <c r="GL165" s="1333"/>
      <c r="GM165" s="1333"/>
      <c r="GN165" s="1333"/>
      <c r="GO165" s="1333"/>
      <c r="GP165" s="1333"/>
      <c r="GQ165" s="1333"/>
      <c r="GR165" s="1333"/>
      <c r="GS165" s="1333"/>
      <c r="GT165" s="1333"/>
      <c r="GU165" s="1333"/>
      <c r="GV165" s="1333"/>
      <c r="GW165" s="1333"/>
      <c r="GX165" s="1333"/>
    </row>
    <row r="166" spans="1:206" s="607" customFormat="1">
      <c r="A166" s="607">
        <f t="shared" si="4"/>
        <v>1984</v>
      </c>
      <c r="B166" s="607">
        <f t="shared" si="5"/>
        <v>1</v>
      </c>
      <c r="C166" s="666">
        <v>30713</v>
      </c>
      <c r="D166" s="957">
        <v>0.93463333333333343</v>
      </c>
      <c r="E166" s="920"/>
      <c r="F166" s="920"/>
      <c r="G166" s="920"/>
      <c r="H166" s="920"/>
      <c r="I166" s="954">
        <v>386.8</v>
      </c>
      <c r="J166" s="954">
        <v>413.4</v>
      </c>
      <c r="K166" s="954"/>
      <c r="L166" s="920"/>
      <c r="M166" s="917">
        <v>4235.497770707394</v>
      </c>
      <c r="N166" s="917">
        <v>4531.72128539612</v>
      </c>
      <c r="O166" s="1334"/>
      <c r="P166" s="1334"/>
      <c r="Q166" s="1334"/>
      <c r="R166" s="1334"/>
      <c r="S166" s="1334"/>
      <c r="T166" s="1334"/>
      <c r="U166" s="920"/>
      <c r="V166" s="920"/>
      <c r="W166" s="920"/>
      <c r="X166" s="920"/>
      <c r="Y166" s="920"/>
      <c r="Z166" s="920"/>
      <c r="AA166" s="920"/>
      <c r="AB166" s="920"/>
      <c r="AC166" s="920"/>
      <c r="AD166" s="920"/>
      <c r="AE166" s="920"/>
      <c r="AF166" s="920"/>
      <c r="AG166" s="920"/>
      <c r="AH166" s="920"/>
      <c r="AI166" s="920"/>
      <c r="AJ166" s="920"/>
      <c r="AK166" s="920">
        <v>29.88</v>
      </c>
      <c r="AL166" s="920">
        <v>31.969756410713643</v>
      </c>
      <c r="AM166" s="920"/>
      <c r="AN166" s="1711"/>
      <c r="AO166" s="920"/>
      <c r="AP166" s="920"/>
      <c r="AS166" s="1167"/>
      <c r="AT166" s="1167"/>
      <c r="AU166" s="1168"/>
      <c r="AV166" s="1168"/>
      <c r="AW166" s="1169"/>
      <c r="AX166" s="1169"/>
      <c r="AY166" s="1169"/>
      <c r="AZ166" s="1169"/>
      <c r="BA166" s="1799" t="s">
        <v>3</v>
      </c>
      <c r="BB166" s="1802">
        <v>2010</v>
      </c>
      <c r="BC166" s="1799" t="s">
        <v>20</v>
      </c>
      <c r="BD166" s="1799">
        <v>2</v>
      </c>
      <c r="BE166" s="1800">
        <v>393952409</v>
      </c>
      <c r="BF166" s="1801">
        <v>0.105</v>
      </c>
      <c r="BG166" s="1799"/>
      <c r="BH166" s="1799" t="s">
        <v>3</v>
      </c>
      <c r="BI166" s="1799" t="s">
        <v>319</v>
      </c>
      <c r="BJ166" s="1799" t="s">
        <v>21</v>
      </c>
      <c r="BK166" s="1799">
        <v>1</v>
      </c>
      <c r="BL166" s="1800">
        <v>1291490021.8</v>
      </c>
      <c r="BM166" s="1801">
        <v>0.42067218433241715</v>
      </c>
      <c r="BN166" s="1799">
        <v>2014</v>
      </c>
      <c r="BO166" s="1684"/>
      <c r="BP166" s="1696"/>
      <c r="BQ166" s="1169"/>
      <c r="BR166" s="1169"/>
      <c r="BS166" s="1169"/>
      <c r="BT166" s="1169"/>
      <c r="BU166" s="1169"/>
      <c r="BV166" s="1169"/>
      <c r="BW166" s="1169"/>
      <c r="BX166" s="1169"/>
      <c r="BY166" s="1169"/>
      <c r="BZ166" s="1169"/>
      <c r="CA166" s="1169"/>
      <c r="CB166" s="1169"/>
      <c r="CC166" s="1169"/>
      <c r="CD166" s="1169"/>
      <c r="CE166" s="1169"/>
      <c r="CF166" s="1169"/>
      <c r="CG166" s="1169"/>
      <c r="CH166" s="1169"/>
      <c r="CI166" s="1169"/>
      <c r="CJ166" s="1169"/>
      <c r="CK166" s="1169"/>
      <c r="CL166" s="1169"/>
      <c r="CM166" s="1169"/>
      <c r="CN166" s="1169"/>
      <c r="CO166" s="1169"/>
      <c r="CP166" s="1169"/>
      <c r="CQ166" s="1169"/>
      <c r="CR166" s="1169"/>
      <c r="CS166" s="1169"/>
      <c r="CT166" s="1169"/>
      <c r="CU166" s="1169"/>
      <c r="CV166" s="1169"/>
      <c r="CW166" s="1169"/>
      <c r="CX166" s="1169"/>
      <c r="CY166" s="1169"/>
      <c r="CZ166" s="1169"/>
      <c r="DA166" s="1168"/>
      <c r="DB166" s="1168"/>
      <c r="DC166" s="1168"/>
      <c r="DD166" s="1168"/>
      <c r="DE166" s="1168"/>
      <c r="DF166" s="1168"/>
      <c r="DG166" s="1168"/>
      <c r="DH166" s="1168"/>
      <c r="DI166" s="1168"/>
      <c r="DJ166" s="1168"/>
      <c r="DK166" s="1168"/>
      <c r="DL166" s="1168"/>
      <c r="DM166" s="1168"/>
      <c r="DN166" s="1168"/>
      <c r="DO166" s="1168"/>
      <c r="DP166" s="1168"/>
      <c r="DQ166" s="1168"/>
      <c r="DR166" s="1168"/>
      <c r="DS166" s="1168"/>
      <c r="DT166" s="1168"/>
      <c r="DU166" s="1168"/>
      <c r="DV166" s="1168"/>
      <c r="DW166" s="1168"/>
      <c r="DX166" s="1168"/>
      <c r="DY166" s="1168"/>
      <c r="DZ166" s="1168"/>
      <c r="EA166" s="1168"/>
      <c r="EB166" s="1168"/>
      <c r="EC166" s="1168"/>
      <c r="ED166" s="1168"/>
      <c r="EE166" s="1168"/>
      <c r="EF166" s="1168"/>
      <c r="EG166" s="1168"/>
      <c r="EH166" s="1168"/>
      <c r="EI166" s="1170"/>
      <c r="EJ166" s="1170"/>
      <c r="EK166" s="1170"/>
      <c r="EL166" s="1170"/>
      <c r="EM166" s="1170"/>
      <c r="EN166" s="1170"/>
      <c r="EO166" s="1170"/>
      <c r="EP166" s="1170"/>
      <c r="EQ166" s="1170"/>
      <c r="ER166" s="1170"/>
      <c r="ES166" s="1333"/>
      <c r="ET166" s="1333"/>
      <c r="EU166" s="1333"/>
      <c r="EV166" s="1333"/>
      <c r="EW166" s="1333"/>
      <c r="EX166" s="1333"/>
      <c r="EY166" s="1333"/>
      <c r="EZ166" s="1333"/>
      <c r="FA166" s="1333"/>
      <c r="FB166" s="1333"/>
      <c r="FC166" s="1333"/>
      <c r="FD166" s="1333"/>
      <c r="FE166" s="1333"/>
      <c r="FF166" s="1333"/>
      <c r="FG166" s="1333"/>
      <c r="FH166" s="1333"/>
      <c r="FI166" s="1333"/>
      <c r="FJ166" s="1333"/>
      <c r="FK166" s="1333"/>
      <c r="FL166" s="1333"/>
      <c r="FM166" s="1333"/>
      <c r="FN166" s="1333"/>
      <c r="FO166" s="1333"/>
      <c r="FP166" s="1333"/>
      <c r="FQ166" s="1333"/>
      <c r="FR166" s="1333"/>
      <c r="FS166" s="1333"/>
      <c r="FT166" s="1333"/>
      <c r="FU166" s="1333"/>
      <c r="FV166" s="1333"/>
      <c r="FW166" s="1333"/>
      <c r="FX166" s="1333"/>
      <c r="FY166" s="1333"/>
      <c r="FZ166" s="1333"/>
      <c r="GA166" s="1333"/>
      <c r="GB166" s="1333"/>
      <c r="GC166" s="1333"/>
      <c r="GD166" s="1333"/>
      <c r="GE166" s="1333"/>
      <c r="GF166" s="1333"/>
      <c r="GG166" s="1333"/>
      <c r="GH166" s="1333"/>
      <c r="GI166" s="1333"/>
      <c r="GJ166" s="1333"/>
      <c r="GK166" s="1333"/>
      <c r="GL166" s="1333"/>
      <c r="GM166" s="1333"/>
      <c r="GN166" s="1333"/>
      <c r="GO166" s="1333"/>
      <c r="GP166" s="1333"/>
      <c r="GQ166" s="1333"/>
      <c r="GR166" s="1333"/>
      <c r="GS166" s="1333"/>
      <c r="GT166" s="1333"/>
      <c r="GU166" s="1333"/>
      <c r="GV166" s="1333"/>
      <c r="GW166" s="1333"/>
      <c r="GX166" s="1333"/>
    </row>
    <row r="167" spans="1:206" s="607" customFormat="1">
      <c r="A167" s="607">
        <f t="shared" si="4"/>
        <v>1984</v>
      </c>
      <c r="B167" s="607">
        <f t="shared" si="5"/>
        <v>1</v>
      </c>
      <c r="C167" s="666">
        <v>30742</v>
      </c>
      <c r="D167" s="1709">
        <v>0.95094545454545454</v>
      </c>
      <c r="E167" s="1117"/>
      <c r="F167" s="1117"/>
      <c r="G167" s="1117"/>
      <c r="H167" s="1117"/>
      <c r="I167" s="959">
        <v>394.8</v>
      </c>
      <c r="J167" s="959">
        <v>415.45</v>
      </c>
      <c r="K167" s="960"/>
      <c r="L167" s="1121"/>
      <c r="M167" s="916">
        <v>4231.0258465726756</v>
      </c>
      <c r="N167" s="916">
        <v>4449.2834224598901</v>
      </c>
      <c r="O167" s="1332"/>
      <c r="P167" s="1332"/>
      <c r="Q167" s="1332"/>
      <c r="R167" s="1332"/>
      <c r="S167" s="1332"/>
      <c r="T167" s="1332"/>
      <c r="U167" s="1120"/>
      <c r="V167" s="1120"/>
      <c r="W167" s="1120"/>
      <c r="X167" s="1120"/>
      <c r="Y167" s="1119"/>
      <c r="Z167" s="1119"/>
      <c r="AA167" s="1119"/>
      <c r="AB167" s="1119"/>
      <c r="AC167" s="1178"/>
      <c r="AD167" s="1178"/>
      <c r="AE167" s="1178"/>
      <c r="AF167" s="1178"/>
      <c r="AG167" s="1178"/>
      <c r="AH167" s="1178"/>
      <c r="AI167" s="1178"/>
      <c r="AJ167" s="1178"/>
      <c r="AK167" s="919">
        <v>30.08</v>
      </c>
      <c r="AL167" s="919">
        <v>31.631677564911474</v>
      </c>
      <c r="AM167" s="919"/>
      <c r="AN167" s="1710"/>
      <c r="AO167" s="919"/>
      <c r="AP167" s="919"/>
      <c r="AS167" s="1167"/>
      <c r="AT167" s="1167"/>
      <c r="AU167" s="1168"/>
      <c r="AV167" s="1168"/>
      <c r="AW167" s="1169"/>
      <c r="AX167" s="1169"/>
      <c r="AY167" s="1169"/>
      <c r="AZ167" s="1169"/>
      <c r="BA167" s="1799" t="s">
        <v>3</v>
      </c>
      <c r="BB167" s="1802">
        <v>2010</v>
      </c>
      <c r="BC167" s="1799" t="s">
        <v>431</v>
      </c>
      <c r="BD167" s="1799">
        <v>3</v>
      </c>
      <c r="BE167" s="1800">
        <v>359072790</v>
      </c>
      <c r="BF167" s="1801">
        <v>9.5000000000000001E-2</v>
      </c>
      <c r="BG167" s="1799"/>
      <c r="BH167" s="1799" t="s">
        <v>3</v>
      </c>
      <c r="BI167" s="1799" t="s">
        <v>319</v>
      </c>
      <c r="BJ167" s="1799" t="s">
        <v>15</v>
      </c>
      <c r="BK167" s="1799">
        <v>2</v>
      </c>
      <c r="BL167" s="1800">
        <v>937935434.1700002</v>
      </c>
      <c r="BM167" s="1801">
        <v>0.3055101790915502</v>
      </c>
      <c r="BN167" s="1799">
        <v>2014</v>
      </c>
      <c r="BO167" s="1684"/>
      <c r="BP167" s="1697"/>
      <c r="BQ167" s="1169"/>
      <c r="BR167" s="1169"/>
      <c r="BS167" s="1169"/>
      <c r="BT167" s="1169"/>
      <c r="BU167" s="1169"/>
      <c r="BV167" s="1169"/>
      <c r="BW167" s="1169"/>
      <c r="BX167" s="1169"/>
      <c r="BY167" s="1169"/>
      <c r="BZ167" s="1169"/>
      <c r="CA167" s="1169"/>
      <c r="CB167" s="1169"/>
      <c r="CC167" s="1169"/>
      <c r="CD167" s="1169"/>
      <c r="CE167" s="1169"/>
      <c r="CF167" s="1169"/>
      <c r="CG167" s="1169"/>
      <c r="CH167" s="1169"/>
      <c r="CI167" s="1169"/>
      <c r="CJ167" s="1169"/>
      <c r="CK167" s="1169"/>
      <c r="CL167" s="1169"/>
      <c r="CM167" s="1169"/>
      <c r="CN167" s="1169"/>
      <c r="CO167" s="1169"/>
      <c r="CP167" s="1169"/>
      <c r="CQ167" s="1169"/>
      <c r="CR167" s="1169"/>
      <c r="CS167" s="1169"/>
      <c r="CT167" s="1169"/>
      <c r="CU167" s="1169"/>
      <c r="CV167" s="1169"/>
      <c r="CW167" s="1169"/>
      <c r="CX167" s="1169"/>
      <c r="CY167" s="1169"/>
      <c r="CZ167" s="1169"/>
      <c r="DA167" s="1168"/>
      <c r="DB167" s="1168"/>
      <c r="DC167" s="1168"/>
      <c r="DD167" s="1168"/>
      <c r="DE167" s="1168"/>
      <c r="DF167" s="1168"/>
      <c r="DG167" s="1168"/>
      <c r="DH167" s="1168"/>
      <c r="DI167" s="1168"/>
      <c r="DJ167" s="1168"/>
      <c r="DK167" s="1168"/>
      <c r="DL167" s="1168"/>
      <c r="DM167" s="1168"/>
      <c r="DN167" s="1168"/>
      <c r="DO167" s="1168"/>
      <c r="DP167" s="1168"/>
      <c r="DQ167" s="1168"/>
      <c r="DR167" s="1168"/>
      <c r="DS167" s="1168"/>
      <c r="DT167" s="1168"/>
      <c r="DU167" s="1168"/>
      <c r="DV167" s="1168"/>
      <c r="DW167" s="1168"/>
      <c r="DX167" s="1168"/>
      <c r="DY167" s="1168"/>
      <c r="DZ167" s="1168"/>
      <c r="EA167" s="1168"/>
      <c r="EB167" s="1168"/>
      <c r="EC167" s="1168"/>
      <c r="ED167" s="1168"/>
      <c r="EE167" s="1168"/>
      <c r="EF167" s="1168"/>
      <c r="EG167" s="1168"/>
      <c r="EH167" s="1168"/>
      <c r="EI167" s="1170"/>
      <c r="EJ167" s="1170"/>
      <c r="EK167" s="1170"/>
      <c r="EL167" s="1170"/>
      <c r="EM167" s="1170"/>
      <c r="EN167" s="1170"/>
      <c r="EO167" s="1170"/>
      <c r="EP167" s="1170"/>
      <c r="EQ167" s="1170"/>
      <c r="ER167" s="1170"/>
      <c r="ES167" s="1333"/>
      <c r="ET167" s="1333"/>
      <c r="EU167" s="1333"/>
      <c r="EV167" s="1333"/>
      <c r="EW167" s="1333"/>
      <c r="EX167" s="1333"/>
      <c r="EY167" s="1333"/>
      <c r="EZ167" s="1333"/>
      <c r="FA167" s="1333"/>
      <c r="FB167" s="1333"/>
      <c r="FC167" s="1333"/>
      <c r="FD167" s="1333"/>
      <c r="FE167" s="1333"/>
      <c r="FF167" s="1333"/>
      <c r="FG167" s="1333"/>
      <c r="FH167" s="1333"/>
      <c r="FI167" s="1333"/>
      <c r="FJ167" s="1333"/>
      <c r="FK167" s="1333"/>
      <c r="FL167" s="1333"/>
      <c r="FM167" s="1333"/>
      <c r="FN167" s="1333"/>
      <c r="FO167" s="1333"/>
      <c r="FP167" s="1333"/>
      <c r="FQ167" s="1333"/>
      <c r="FR167" s="1333"/>
      <c r="FS167" s="1333"/>
      <c r="FT167" s="1333"/>
      <c r="FU167" s="1333"/>
      <c r="FV167" s="1333"/>
      <c r="FW167" s="1333"/>
      <c r="FX167" s="1333"/>
      <c r="FY167" s="1333"/>
      <c r="FZ167" s="1333"/>
      <c r="GA167" s="1333"/>
      <c r="GB167" s="1333"/>
      <c r="GC167" s="1333"/>
      <c r="GD167" s="1333"/>
      <c r="GE167" s="1333"/>
      <c r="GF167" s="1333"/>
      <c r="GG167" s="1333"/>
      <c r="GH167" s="1333"/>
      <c r="GI167" s="1333"/>
      <c r="GJ167" s="1333"/>
      <c r="GK167" s="1333"/>
      <c r="GL167" s="1333"/>
      <c r="GM167" s="1333"/>
      <c r="GN167" s="1333"/>
      <c r="GO167" s="1333"/>
      <c r="GP167" s="1333"/>
      <c r="GQ167" s="1333"/>
      <c r="GR167" s="1333"/>
      <c r="GS167" s="1333"/>
      <c r="GT167" s="1333"/>
      <c r="GU167" s="1333"/>
      <c r="GV167" s="1333"/>
      <c r="GW167" s="1333"/>
      <c r="GX167" s="1333"/>
    </row>
    <row r="168" spans="1:206" s="607" customFormat="1">
      <c r="A168" s="607">
        <f t="shared" si="4"/>
        <v>1984</v>
      </c>
      <c r="B168" s="607">
        <f t="shared" si="5"/>
        <v>2</v>
      </c>
      <c r="C168" s="666">
        <v>30773</v>
      </c>
      <c r="D168" s="957">
        <v>0.92357777777777783</v>
      </c>
      <c r="E168" s="920"/>
      <c r="F168" s="920"/>
      <c r="G168" s="920"/>
      <c r="H168" s="920"/>
      <c r="I168" s="954">
        <v>381.55</v>
      </c>
      <c r="J168" s="954">
        <v>413.95</v>
      </c>
      <c r="K168" s="954"/>
      <c r="L168" s="920"/>
      <c r="M168" s="917">
        <v>4218.4447622842954</v>
      </c>
      <c r="N168" s="917">
        <v>4567.5035322247604</v>
      </c>
      <c r="O168" s="1334"/>
      <c r="P168" s="1334"/>
      <c r="Q168" s="1334"/>
      <c r="R168" s="1334"/>
      <c r="S168" s="1334"/>
      <c r="T168" s="1334"/>
      <c r="U168" s="920"/>
      <c r="V168" s="920"/>
      <c r="W168" s="920"/>
      <c r="X168" s="920"/>
      <c r="Y168" s="920"/>
      <c r="Z168" s="920"/>
      <c r="AA168" s="920"/>
      <c r="AB168" s="920"/>
      <c r="AC168" s="920"/>
      <c r="AD168" s="920"/>
      <c r="AE168" s="920"/>
      <c r="AF168" s="920"/>
      <c r="AG168" s="920"/>
      <c r="AH168" s="920"/>
      <c r="AI168" s="920"/>
      <c r="AJ168" s="920"/>
      <c r="AK168" s="920">
        <v>30.13</v>
      </c>
      <c r="AL168" s="920">
        <v>32.623132263420032</v>
      </c>
      <c r="AM168" s="920"/>
      <c r="AN168" s="1711"/>
      <c r="AO168" s="920"/>
      <c r="AP168" s="920"/>
      <c r="AS168" s="1167"/>
      <c r="AT168" s="1167"/>
      <c r="AU168" s="1168"/>
      <c r="AV168" s="1168"/>
      <c r="AW168" s="1169"/>
      <c r="AX168" s="1169"/>
      <c r="AY168" s="1169"/>
      <c r="AZ168" s="1169"/>
      <c r="BA168" s="1799" t="s">
        <v>3</v>
      </c>
      <c r="BB168" s="1802">
        <v>2010</v>
      </c>
      <c r="BC168" s="1799" t="s">
        <v>23</v>
      </c>
      <c r="BD168" s="1799">
        <v>4</v>
      </c>
      <c r="BE168" s="1800">
        <v>246173510</v>
      </c>
      <c r="BF168" s="1801">
        <v>6.5000000000000002E-2</v>
      </c>
      <c r="BG168" s="1799"/>
      <c r="BH168" s="1799" t="s">
        <v>3</v>
      </c>
      <c r="BI168" s="1799" t="s">
        <v>319</v>
      </c>
      <c r="BJ168" s="1799" t="s">
        <v>49</v>
      </c>
      <c r="BK168" s="1799">
        <v>3</v>
      </c>
      <c r="BL168" s="1800">
        <v>152833050.53999999</v>
      </c>
      <c r="BM168" s="1801">
        <v>4.9781734371622463E-2</v>
      </c>
      <c r="BN168" s="1799">
        <v>2014</v>
      </c>
      <c r="BO168" s="1684"/>
      <c r="BP168" s="1696"/>
      <c r="BQ168" s="1169"/>
      <c r="BR168" s="1169"/>
      <c r="BS168" s="1169"/>
      <c r="BT168" s="1169"/>
      <c r="BU168" s="1169"/>
      <c r="BV168" s="1169"/>
      <c r="BW168" s="1169"/>
      <c r="BX168" s="1169"/>
      <c r="BY168" s="1169"/>
      <c r="BZ168" s="1169"/>
      <c r="CA168" s="1169"/>
      <c r="CB168" s="1169"/>
      <c r="CC168" s="1169"/>
      <c r="CD168" s="1169"/>
      <c r="CE168" s="1169"/>
      <c r="CF168" s="1169"/>
      <c r="CG168" s="1169"/>
      <c r="CH168" s="1169"/>
      <c r="CI168" s="1169"/>
      <c r="CJ168" s="1169"/>
      <c r="CK168" s="1169"/>
      <c r="CL168" s="1169"/>
      <c r="CM168" s="1169"/>
      <c r="CN168" s="1169"/>
      <c r="CO168" s="1169"/>
      <c r="CP168" s="1169"/>
      <c r="CQ168" s="1169"/>
      <c r="CR168" s="1169"/>
      <c r="CS168" s="1169"/>
      <c r="CT168" s="1169"/>
      <c r="CU168" s="1169"/>
      <c r="CV168" s="1169"/>
      <c r="CW168" s="1169"/>
      <c r="CX168" s="1169"/>
      <c r="CY168" s="1169"/>
      <c r="CZ168" s="1169"/>
      <c r="DA168" s="1168"/>
      <c r="DB168" s="1168"/>
      <c r="DC168" s="1168"/>
      <c r="DD168" s="1168"/>
      <c r="DE168" s="1168"/>
      <c r="DF168" s="1168"/>
      <c r="DG168" s="1168"/>
      <c r="DH168" s="1168"/>
      <c r="DI168" s="1168"/>
      <c r="DJ168" s="1168"/>
      <c r="DK168" s="1168"/>
      <c r="DL168" s="1168"/>
      <c r="DM168" s="1168"/>
      <c r="DN168" s="1168"/>
      <c r="DO168" s="1168"/>
      <c r="DP168" s="1168"/>
      <c r="DQ168" s="1168"/>
      <c r="DR168" s="1168"/>
      <c r="DS168" s="1168"/>
      <c r="DT168" s="1168"/>
      <c r="DU168" s="1168"/>
      <c r="DV168" s="1168"/>
      <c r="DW168" s="1168"/>
      <c r="DX168" s="1168"/>
      <c r="DY168" s="1168"/>
      <c r="DZ168" s="1168"/>
      <c r="EA168" s="1168"/>
      <c r="EB168" s="1168"/>
      <c r="EC168" s="1168"/>
      <c r="ED168" s="1168"/>
      <c r="EE168" s="1168"/>
      <c r="EF168" s="1168"/>
      <c r="EG168" s="1168"/>
      <c r="EH168" s="1168"/>
      <c r="EI168" s="1170"/>
      <c r="EJ168" s="1170"/>
      <c r="EK168" s="1170"/>
      <c r="EL168" s="1170"/>
      <c r="EM168" s="1170"/>
      <c r="EN168" s="1170"/>
      <c r="EO168" s="1170"/>
      <c r="EP168" s="1170"/>
      <c r="EQ168" s="1170"/>
      <c r="ER168" s="1170"/>
      <c r="ES168" s="1171"/>
      <c r="ET168" s="1171"/>
      <c r="EU168" s="1171"/>
      <c r="EV168" s="1171"/>
      <c r="EW168" s="1171"/>
      <c r="EX168" s="1171"/>
      <c r="EY168" s="1171"/>
      <c r="EZ168" s="1171"/>
      <c r="FA168" s="1171"/>
      <c r="FB168" s="1171"/>
      <c r="FC168" s="1171"/>
      <c r="FD168" s="1171"/>
      <c r="FE168" s="1171"/>
      <c r="FF168" s="1171"/>
      <c r="FG168" s="1171"/>
      <c r="FH168" s="1171"/>
      <c r="FI168" s="1171"/>
      <c r="FJ168" s="1171"/>
      <c r="FK168" s="1171"/>
      <c r="FL168" s="1171"/>
      <c r="FM168" s="1171"/>
      <c r="FN168" s="1171"/>
      <c r="FO168" s="1171"/>
      <c r="FP168" s="1171"/>
    </row>
    <row r="169" spans="1:206" s="607" customFormat="1">
      <c r="A169" s="607">
        <f t="shared" si="4"/>
        <v>1984</v>
      </c>
      <c r="B169" s="607">
        <f t="shared" si="5"/>
        <v>2</v>
      </c>
      <c r="C169" s="666">
        <v>30803</v>
      </c>
      <c r="D169" s="1709">
        <v>0.90598695652173933</v>
      </c>
      <c r="E169" s="1117"/>
      <c r="F169" s="1117"/>
      <c r="G169" s="1117"/>
      <c r="H169" s="1117"/>
      <c r="I169" s="959">
        <v>377.45</v>
      </c>
      <c r="J169" s="959">
        <v>417</v>
      </c>
      <c r="K169" s="960"/>
      <c r="L169" s="1121"/>
      <c r="M169" s="916">
        <v>4438.3486901400247</v>
      </c>
      <c r="N169" s="916">
        <v>4898.91014234875</v>
      </c>
      <c r="O169" s="1332"/>
      <c r="P169" s="1332"/>
      <c r="Q169" s="1332"/>
      <c r="R169" s="1332"/>
      <c r="S169" s="1332"/>
      <c r="T169" s="1332"/>
      <c r="U169" s="1120"/>
      <c r="V169" s="1120"/>
      <c r="W169" s="1120"/>
      <c r="X169" s="1120"/>
      <c r="Y169" s="1119"/>
      <c r="Z169" s="1119"/>
      <c r="AA169" s="1119"/>
      <c r="AB169" s="1119"/>
      <c r="AC169" s="1178"/>
      <c r="AD169" s="1178"/>
      <c r="AE169" s="1178"/>
      <c r="AF169" s="1178"/>
      <c r="AG169" s="1178"/>
      <c r="AH169" s="1178"/>
      <c r="AI169" s="1178"/>
      <c r="AJ169" s="1178"/>
      <c r="AK169" s="919">
        <v>30.13</v>
      </c>
      <c r="AL169" s="919">
        <v>33.256549427240039</v>
      </c>
      <c r="AM169" s="919"/>
      <c r="AN169" s="1710"/>
      <c r="AO169" s="919"/>
      <c r="AP169" s="919"/>
      <c r="AS169" s="1167"/>
      <c r="AT169" s="1167"/>
      <c r="AU169" s="1168"/>
      <c r="AV169" s="1168"/>
      <c r="AW169" s="1169"/>
      <c r="AX169" s="1169"/>
      <c r="AY169" s="1169"/>
      <c r="AZ169" s="1169"/>
      <c r="BA169" s="1799" t="s">
        <v>3</v>
      </c>
      <c r="BB169" s="1802">
        <v>2010</v>
      </c>
      <c r="BC169" s="1799" t="s">
        <v>44</v>
      </c>
      <c r="BD169" s="1799">
        <v>5</v>
      </c>
      <c r="BE169" s="1800">
        <v>243363404</v>
      </c>
      <c r="BF169" s="1801">
        <v>6.5000000000000002E-2</v>
      </c>
      <c r="BG169" s="1799"/>
      <c r="BH169" s="1799" t="s">
        <v>3</v>
      </c>
      <c r="BI169" s="1799" t="s">
        <v>319</v>
      </c>
      <c r="BJ169" s="1799" t="s">
        <v>431</v>
      </c>
      <c r="BK169" s="1799">
        <v>4</v>
      </c>
      <c r="BL169" s="1800">
        <v>138234697.10000002</v>
      </c>
      <c r="BM169" s="1801">
        <v>4.5026667645901797E-2</v>
      </c>
      <c r="BN169" s="1799">
        <v>2014</v>
      </c>
      <c r="BO169" s="1684"/>
      <c r="BP169" s="1696"/>
      <c r="BQ169" s="1169"/>
      <c r="BR169" s="1169"/>
      <c r="BS169" s="1169"/>
      <c r="BT169" s="1169"/>
      <c r="BU169" s="1169"/>
      <c r="BV169" s="1169"/>
      <c r="BW169" s="1169"/>
      <c r="BX169" s="1169"/>
      <c r="BY169" s="1169"/>
      <c r="BZ169" s="1169"/>
      <c r="CA169" s="1169"/>
      <c r="CB169" s="1169"/>
      <c r="CC169" s="1169"/>
      <c r="CD169" s="1169"/>
      <c r="CE169" s="1169"/>
      <c r="CF169" s="1169"/>
      <c r="CG169" s="1169"/>
      <c r="CH169" s="1169"/>
      <c r="CI169" s="1169"/>
      <c r="CJ169" s="1169"/>
      <c r="CK169" s="1169"/>
      <c r="CL169" s="1169"/>
      <c r="CM169" s="1169"/>
      <c r="CN169" s="1169"/>
      <c r="CO169" s="1169"/>
      <c r="CP169" s="1169"/>
      <c r="CQ169" s="1169"/>
      <c r="CR169" s="1169"/>
      <c r="CS169" s="1169"/>
      <c r="CT169" s="1169"/>
      <c r="CU169" s="1169"/>
      <c r="CV169" s="1169"/>
      <c r="CW169" s="1169"/>
      <c r="CX169" s="1169"/>
      <c r="CY169" s="1169"/>
      <c r="CZ169" s="1169"/>
      <c r="DA169" s="1168"/>
      <c r="DB169" s="1168"/>
      <c r="DC169" s="1168"/>
      <c r="DD169" s="1168"/>
      <c r="DE169" s="1168"/>
      <c r="DF169" s="1168"/>
      <c r="DG169" s="1168"/>
      <c r="DH169" s="1168"/>
      <c r="DI169" s="1168"/>
      <c r="DJ169" s="1168"/>
      <c r="DK169" s="1168"/>
      <c r="DL169" s="1168"/>
      <c r="DM169" s="1168"/>
      <c r="DN169" s="1168"/>
      <c r="DO169" s="1168"/>
      <c r="DP169" s="1168"/>
      <c r="DQ169" s="1168"/>
      <c r="DR169" s="1168"/>
      <c r="DS169" s="1168"/>
      <c r="DT169" s="1168"/>
      <c r="DU169" s="1168"/>
      <c r="DV169" s="1168"/>
      <c r="DW169" s="1168"/>
      <c r="DX169" s="1168"/>
      <c r="DY169" s="1168"/>
      <c r="DZ169" s="1168"/>
      <c r="EA169" s="1168"/>
      <c r="EB169" s="1168"/>
      <c r="EC169" s="1168"/>
      <c r="ED169" s="1168"/>
      <c r="EE169" s="1168"/>
      <c r="EF169" s="1168"/>
      <c r="EG169" s="1168"/>
      <c r="EH169" s="1168"/>
      <c r="EI169" s="1170"/>
      <c r="EJ169" s="1170"/>
      <c r="EK169" s="1170"/>
      <c r="EL169" s="1170"/>
      <c r="EM169" s="1170"/>
      <c r="EN169" s="1170"/>
      <c r="EO169" s="1170"/>
      <c r="EP169" s="1170"/>
      <c r="EQ169" s="1170"/>
      <c r="ER169" s="1170"/>
      <c r="ES169" s="1171"/>
      <c r="ET169" s="1171"/>
      <c r="EU169" s="1171"/>
      <c r="EV169" s="1171"/>
      <c r="EW169" s="1171"/>
      <c r="EX169" s="1171"/>
      <c r="EY169" s="1171"/>
      <c r="EZ169" s="1171"/>
      <c r="FA169" s="1171"/>
      <c r="FB169" s="1171"/>
      <c r="FC169" s="1171"/>
      <c r="FD169" s="1171"/>
      <c r="FE169" s="1171"/>
      <c r="FF169" s="1171"/>
      <c r="FG169" s="1171"/>
      <c r="FH169" s="1171"/>
      <c r="FI169" s="1171"/>
      <c r="FJ169" s="1171"/>
      <c r="FK169" s="1171"/>
      <c r="FL169" s="1171"/>
      <c r="FM169" s="1171"/>
      <c r="FN169" s="1171"/>
      <c r="FO169" s="1171"/>
      <c r="FP169" s="1171"/>
    </row>
    <row r="170" spans="1:206" s="607" customFormat="1">
      <c r="A170" s="607">
        <f t="shared" si="4"/>
        <v>1984</v>
      </c>
      <c r="B170" s="607">
        <f t="shared" si="5"/>
        <v>2</v>
      </c>
      <c r="C170" s="666">
        <v>30834</v>
      </c>
      <c r="D170" s="957">
        <v>0.88285499999999983</v>
      </c>
      <c r="E170" s="920"/>
      <c r="F170" s="920"/>
      <c r="G170" s="920"/>
      <c r="H170" s="920"/>
      <c r="I170" s="954">
        <v>378.1</v>
      </c>
      <c r="J170" s="954">
        <v>428.8</v>
      </c>
      <c r="K170" s="954"/>
      <c r="L170" s="920"/>
      <c r="M170" s="917">
        <v>4719.0255167189098</v>
      </c>
      <c r="N170" s="917">
        <v>5345.1875072564699</v>
      </c>
      <c r="O170" s="1334"/>
      <c r="P170" s="1334"/>
      <c r="Q170" s="1334"/>
      <c r="R170" s="1334"/>
      <c r="S170" s="1334"/>
      <c r="T170" s="1334"/>
      <c r="U170" s="920"/>
      <c r="V170" s="920"/>
      <c r="W170" s="920"/>
      <c r="X170" s="920"/>
      <c r="Y170" s="920"/>
      <c r="Z170" s="920"/>
      <c r="AA170" s="920"/>
      <c r="AB170" s="920"/>
      <c r="AC170" s="920"/>
      <c r="AD170" s="920"/>
      <c r="AE170" s="920"/>
      <c r="AF170" s="920"/>
      <c r="AG170" s="920"/>
      <c r="AH170" s="920"/>
      <c r="AI170" s="920"/>
      <c r="AJ170" s="920"/>
      <c r="AK170" s="920">
        <v>29.2</v>
      </c>
      <c r="AL170" s="920">
        <v>33.074513934904381</v>
      </c>
      <c r="AM170" s="920"/>
      <c r="AN170" s="1711"/>
      <c r="AO170" s="920"/>
      <c r="AP170" s="920"/>
      <c r="AS170" s="1167"/>
      <c r="AT170" s="1167"/>
      <c r="AU170" s="1168"/>
      <c r="AV170" s="1168"/>
      <c r="AW170" s="1169"/>
      <c r="AX170" s="1169"/>
      <c r="AY170" s="1169"/>
      <c r="AZ170" s="1169"/>
      <c r="BA170" s="1799" t="s">
        <v>3</v>
      </c>
      <c r="BB170" s="1802">
        <v>2010</v>
      </c>
      <c r="BC170" s="1799" t="s">
        <v>45</v>
      </c>
      <c r="BD170" s="1799">
        <v>6</v>
      </c>
      <c r="BE170" s="1800">
        <v>228272869</v>
      </c>
      <c r="BF170" s="1801">
        <v>6.0999999999999999E-2</v>
      </c>
      <c r="BG170" s="1799"/>
      <c r="BH170" s="1799" t="s">
        <v>3</v>
      </c>
      <c r="BI170" s="1799" t="s">
        <v>319</v>
      </c>
      <c r="BJ170" s="1799" t="s">
        <v>20</v>
      </c>
      <c r="BK170" s="1799">
        <v>5</v>
      </c>
      <c r="BL170" s="1800">
        <v>135760164.75999999</v>
      </c>
      <c r="BM170" s="1801">
        <v>4.4220647539592199E-2</v>
      </c>
      <c r="BN170" s="1799">
        <v>2014</v>
      </c>
      <c r="BO170" s="1684"/>
      <c r="BP170" s="1697"/>
      <c r="BQ170" s="1169"/>
      <c r="BR170" s="1169"/>
      <c r="BS170" s="1169"/>
      <c r="BT170" s="1169"/>
      <c r="BU170" s="1169"/>
      <c r="BV170" s="1169"/>
      <c r="BW170" s="1169"/>
      <c r="BX170" s="1169"/>
      <c r="BY170" s="1169"/>
      <c r="BZ170" s="1169"/>
      <c r="CA170" s="1169"/>
      <c r="CB170" s="1169"/>
      <c r="CC170" s="1169"/>
      <c r="CD170" s="1169"/>
      <c r="CE170" s="1169"/>
      <c r="CF170" s="1169"/>
      <c r="CG170" s="1169"/>
      <c r="CH170" s="1169"/>
      <c r="CI170" s="1169"/>
      <c r="CJ170" s="1169"/>
      <c r="CK170" s="1169"/>
      <c r="CL170" s="1169"/>
      <c r="CM170" s="1169"/>
      <c r="CN170" s="1169"/>
      <c r="CO170" s="1169"/>
      <c r="CP170" s="1169"/>
      <c r="CQ170" s="1169"/>
      <c r="CR170" s="1169"/>
      <c r="CS170" s="1169"/>
      <c r="CT170" s="1169"/>
      <c r="CU170" s="1169"/>
      <c r="CV170" s="1169"/>
      <c r="CW170" s="1169"/>
      <c r="CX170" s="1169"/>
      <c r="CY170" s="1169"/>
      <c r="CZ170" s="1169"/>
      <c r="DA170" s="1168"/>
      <c r="DB170" s="1168"/>
      <c r="DC170" s="1168"/>
      <c r="DD170" s="1168"/>
      <c r="DE170" s="1168"/>
      <c r="DF170" s="1168"/>
      <c r="DG170" s="1168"/>
      <c r="DH170" s="1168"/>
      <c r="DI170" s="1168"/>
      <c r="DJ170" s="1168"/>
      <c r="DK170" s="1168"/>
      <c r="DL170" s="1168"/>
      <c r="DM170" s="1168"/>
      <c r="DN170" s="1168"/>
      <c r="DO170" s="1168"/>
      <c r="DP170" s="1168"/>
      <c r="DQ170" s="1168"/>
      <c r="DR170" s="1168"/>
      <c r="DS170" s="1168"/>
      <c r="DT170" s="1168"/>
      <c r="DU170" s="1168"/>
      <c r="DV170" s="1168"/>
      <c r="DW170" s="1168"/>
      <c r="DX170" s="1168"/>
      <c r="DY170" s="1168"/>
      <c r="DZ170" s="1168"/>
      <c r="EA170" s="1168"/>
      <c r="EB170" s="1168"/>
      <c r="EC170" s="1168"/>
      <c r="ED170" s="1168"/>
      <c r="EE170" s="1168"/>
      <c r="EF170" s="1168"/>
      <c r="EG170" s="1168"/>
      <c r="EH170" s="1168"/>
      <c r="EI170" s="1170"/>
      <c r="EJ170" s="1170"/>
      <c r="EK170" s="1170"/>
      <c r="EL170" s="1170"/>
      <c r="EM170" s="1170"/>
      <c r="EN170" s="1170"/>
      <c r="EO170" s="1170"/>
      <c r="EP170" s="1170"/>
      <c r="EQ170" s="1170"/>
      <c r="ER170" s="1170"/>
      <c r="ES170" s="1171"/>
      <c r="ET170" s="1171"/>
      <c r="EU170" s="1171"/>
      <c r="EV170" s="1171"/>
      <c r="EW170" s="1171"/>
      <c r="EX170" s="1171"/>
      <c r="EY170" s="1171"/>
      <c r="EZ170" s="1171"/>
      <c r="FA170" s="1171"/>
      <c r="FB170" s="1171"/>
      <c r="FC170" s="1171"/>
      <c r="FD170" s="1171"/>
      <c r="FE170" s="1171"/>
      <c r="FF170" s="1171"/>
      <c r="FG170" s="1171"/>
      <c r="FH170" s="1171"/>
      <c r="FI170" s="1171"/>
      <c r="FJ170" s="1171"/>
      <c r="FK170" s="1171"/>
      <c r="FL170" s="1171"/>
      <c r="FM170" s="1171"/>
      <c r="FN170" s="1171"/>
      <c r="FO170" s="1171"/>
      <c r="FP170" s="1171"/>
    </row>
    <row r="171" spans="1:206" s="607" customFormat="1">
      <c r="A171" s="607">
        <f t="shared" si="4"/>
        <v>1984</v>
      </c>
      <c r="B171" s="607">
        <f t="shared" si="5"/>
        <v>3</v>
      </c>
      <c r="C171" s="666">
        <v>30864</v>
      </c>
      <c r="D171" s="1709">
        <v>0.83583636363636349</v>
      </c>
      <c r="E171" s="1117"/>
      <c r="F171" s="1117"/>
      <c r="G171" s="1117"/>
      <c r="H171" s="1117"/>
      <c r="I171" s="959">
        <v>347.8</v>
      </c>
      <c r="J171" s="959">
        <v>417.1</v>
      </c>
      <c r="K171" s="960"/>
      <c r="L171" s="1121"/>
      <c r="M171" s="916">
        <v>4629.032977217963</v>
      </c>
      <c r="N171" s="916">
        <v>5538.2048192771099</v>
      </c>
      <c r="O171" s="1332"/>
      <c r="P171" s="1332"/>
      <c r="Q171" s="1332"/>
      <c r="R171" s="1332"/>
      <c r="S171" s="1332"/>
      <c r="T171" s="1332"/>
      <c r="U171" s="1120"/>
      <c r="V171" s="1120"/>
      <c r="W171" s="1120"/>
      <c r="X171" s="1120"/>
      <c r="Y171" s="1119"/>
      <c r="Z171" s="1119"/>
      <c r="AA171" s="1119"/>
      <c r="AB171" s="1119"/>
      <c r="AC171" s="1178"/>
      <c r="AD171" s="1178"/>
      <c r="AE171" s="1178"/>
      <c r="AF171" s="1178"/>
      <c r="AG171" s="1178"/>
      <c r="AH171" s="1178"/>
      <c r="AI171" s="1178"/>
      <c r="AJ171" s="1178"/>
      <c r="AK171" s="919">
        <v>29.2</v>
      </c>
      <c r="AL171" s="919">
        <v>34.935067760109639</v>
      </c>
      <c r="AM171" s="919"/>
      <c r="AN171" s="1710"/>
      <c r="AO171" s="919"/>
      <c r="AP171" s="919"/>
      <c r="AS171" s="1167"/>
      <c r="AT171" s="1167"/>
      <c r="AU171" s="1168"/>
      <c r="AV171" s="1168"/>
      <c r="AW171" s="1169"/>
      <c r="AX171" s="1169"/>
      <c r="AY171" s="1169"/>
      <c r="AZ171" s="1169"/>
      <c r="BA171" s="1799" t="s">
        <v>3</v>
      </c>
      <c r="BB171" s="1802">
        <v>2010</v>
      </c>
      <c r="BC171" s="1799" t="s">
        <v>42</v>
      </c>
      <c r="BD171" s="1799">
        <v>7</v>
      </c>
      <c r="BE171" s="1800">
        <v>141229782</v>
      </c>
      <c r="BF171" s="1801">
        <v>3.7999999999999999E-2</v>
      </c>
      <c r="BG171" s="1799"/>
      <c r="BH171" s="1799" t="s">
        <v>3</v>
      </c>
      <c r="BI171" s="1799" t="s">
        <v>319</v>
      </c>
      <c r="BJ171" s="1799" t="s">
        <v>18</v>
      </c>
      <c r="BK171" s="1799">
        <v>6</v>
      </c>
      <c r="BL171" s="1800">
        <v>71562506.309999987</v>
      </c>
      <c r="BM171" s="1801">
        <v>2.3309785857867076E-2</v>
      </c>
      <c r="BN171" s="1799">
        <v>2014</v>
      </c>
      <c r="BO171" s="1684"/>
      <c r="BP171" s="1696"/>
      <c r="BQ171" s="1169"/>
      <c r="BR171" s="1169"/>
      <c r="BS171" s="1169"/>
      <c r="BT171" s="1169"/>
      <c r="BU171" s="1169"/>
      <c r="BV171" s="1169"/>
      <c r="BW171" s="1169"/>
      <c r="BX171" s="1169"/>
      <c r="BY171" s="1169"/>
      <c r="BZ171" s="1169"/>
      <c r="CA171" s="1169"/>
      <c r="CB171" s="1169"/>
      <c r="CC171" s="1169"/>
      <c r="CD171" s="1169"/>
      <c r="CE171" s="1169"/>
      <c r="CF171" s="1169"/>
      <c r="CG171" s="1169"/>
      <c r="CH171" s="1169"/>
      <c r="CI171" s="1169"/>
      <c r="CJ171" s="1169"/>
      <c r="CK171" s="1169"/>
      <c r="CL171" s="1169"/>
      <c r="CM171" s="1169"/>
      <c r="CN171" s="1169"/>
      <c r="CO171" s="1169"/>
      <c r="CP171" s="1169"/>
      <c r="CQ171" s="1169"/>
      <c r="CR171" s="1169"/>
      <c r="CS171" s="1169"/>
      <c r="CT171" s="1169"/>
      <c r="CU171" s="1169"/>
      <c r="CV171" s="1169"/>
      <c r="CW171" s="1169"/>
      <c r="CX171" s="1169"/>
      <c r="CY171" s="1169"/>
      <c r="CZ171" s="1169"/>
      <c r="DA171" s="1168"/>
      <c r="DB171" s="1168"/>
      <c r="DC171" s="1168"/>
      <c r="DD171" s="1168"/>
      <c r="DE171" s="1168"/>
      <c r="DF171" s="1168"/>
      <c r="DG171" s="1168"/>
      <c r="DH171" s="1168"/>
      <c r="DI171" s="1168"/>
      <c r="DJ171" s="1168"/>
      <c r="DK171" s="1168"/>
      <c r="DL171" s="1168"/>
      <c r="DM171" s="1168"/>
      <c r="DN171" s="1168"/>
      <c r="DO171" s="1168"/>
      <c r="DP171" s="1168"/>
      <c r="DQ171" s="1168"/>
      <c r="DR171" s="1168"/>
      <c r="DS171" s="1168"/>
      <c r="DT171" s="1168"/>
      <c r="DU171" s="1168"/>
      <c r="DV171" s="1168"/>
      <c r="DW171" s="1168"/>
      <c r="DX171" s="1168"/>
      <c r="DY171" s="1168"/>
      <c r="DZ171" s="1168"/>
      <c r="EA171" s="1168"/>
      <c r="EB171" s="1168"/>
      <c r="EC171" s="1168"/>
      <c r="ED171" s="1168"/>
      <c r="EE171" s="1168"/>
      <c r="EF171" s="1168"/>
      <c r="EG171" s="1168"/>
      <c r="EH171" s="1168"/>
      <c r="EI171" s="1170"/>
      <c r="EJ171" s="1170"/>
      <c r="EK171" s="1170"/>
      <c r="EL171" s="1170"/>
      <c r="EM171" s="1170"/>
      <c r="EN171" s="1170"/>
      <c r="EO171" s="1170"/>
      <c r="EP171" s="1170"/>
      <c r="EQ171" s="1170"/>
      <c r="ER171" s="1170"/>
      <c r="ES171" s="1171"/>
      <c r="ET171" s="1171"/>
      <c r="EU171" s="1171"/>
      <c r="EV171" s="1171"/>
      <c r="EW171" s="1171"/>
      <c r="EX171" s="1171"/>
      <c r="EY171" s="1171"/>
      <c r="EZ171" s="1171"/>
      <c r="FA171" s="1171"/>
      <c r="FB171" s="1171"/>
      <c r="FC171" s="1171"/>
      <c r="FD171" s="1171"/>
      <c r="FE171" s="1171"/>
      <c r="FF171" s="1171"/>
      <c r="FG171" s="1171"/>
      <c r="FH171" s="1171"/>
      <c r="FI171" s="1171"/>
      <c r="FJ171" s="1171"/>
      <c r="FK171" s="1171"/>
      <c r="FL171" s="1171"/>
      <c r="FM171" s="1171"/>
      <c r="FN171" s="1171"/>
      <c r="FO171" s="1171"/>
      <c r="FP171" s="1171"/>
    </row>
    <row r="172" spans="1:206" s="607" customFormat="1">
      <c r="A172" s="607">
        <f t="shared" si="4"/>
        <v>1984</v>
      </c>
      <c r="B172" s="607">
        <f t="shared" si="5"/>
        <v>3</v>
      </c>
      <c r="C172" s="666">
        <v>30895</v>
      </c>
      <c r="D172" s="957">
        <v>0.84626086956521751</v>
      </c>
      <c r="E172" s="920"/>
      <c r="F172" s="920"/>
      <c r="G172" s="920"/>
      <c r="H172" s="920"/>
      <c r="I172" s="954">
        <v>347.85</v>
      </c>
      <c r="J172" s="954">
        <v>411.05</v>
      </c>
      <c r="K172" s="954"/>
      <c r="L172" s="920"/>
      <c r="M172" s="917">
        <v>4722.6102282506272</v>
      </c>
      <c r="N172" s="917">
        <v>5580.5607917059397</v>
      </c>
      <c r="O172" s="1334"/>
      <c r="P172" s="1334"/>
      <c r="Q172" s="1334"/>
      <c r="R172" s="1334"/>
      <c r="S172" s="1334"/>
      <c r="T172" s="1334"/>
      <c r="U172" s="920"/>
      <c r="V172" s="920"/>
      <c r="W172" s="920"/>
      <c r="X172" s="920"/>
      <c r="Y172" s="920"/>
      <c r="Z172" s="920"/>
      <c r="AA172" s="920"/>
      <c r="AB172" s="920"/>
      <c r="AC172" s="920"/>
      <c r="AD172" s="920"/>
      <c r="AE172" s="920"/>
      <c r="AF172" s="920"/>
      <c r="AG172" s="920"/>
      <c r="AH172" s="920"/>
      <c r="AI172" s="920"/>
      <c r="AJ172" s="920"/>
      <c r="AK172" s="920">
        <v>27.91</v>
      </c>
      <c r="AL172" s="920">
        <v>32.980374023838877</v>
      </c>
      <c r="AM172" s="920"/>
      <c r="AN172" s="1711"/>
      <c r="AO172" s="920"/>
      <c r="AP172" s="920"/>
      <c r="AS172" s="1167"/>
      <c r="AT172" s="1167"/>
      <c r="AU172" s="1168"/>
      <c r="AV172" s="1168"/>
      <c r="AW172" s="1169"/>
      <c r="AX172" s="1169"/>
      <c r="AY172" s="1169"/>
      <c r="AZ172" s="1169"/>
      <c r="BA172" s="1799" t="s">
        <v>3</v>
      </c>
      <c r="BB172" s="1802">
        <v>2010</v>
      </c>
      <c r="BC172" s="1799" t="s">
        <v>581</v>
      </c>
      <c r="BD172" s="1799">
        <v>8</v>
      </c>
      <c r="BE172" s="1800">
        <v>122486708</v>
      </c>
      <c r="BF172" s="1801">
        <v>3.3000000000000002E-2</v>
      </c>
      <c r="BG172" s="1799"/>
      <c r="BH172" s="1799" t="s">
        <v>3</v>
      </c>
      <c r="BI172" s="1799" t="s">
        <v>319</v>
      </c>
      <c r="BJ172" s="1799" t="s">
        <v>23</v>
      </c>
      <c r="BK172" s="1799">
        <v>7</v>
      </c>
      <c r="BL172" s="1800">
        <v>67993580.810000002</v>
      </c>
      <c r="BM172" s="1801">
        <v>2.2147293186253424E-2</v>
      </c>
      <c r="BN172" s="1799">
        <v>2014</v>
      </c>
      <c r="BO172" s="1684"/>
      <c r="BP172" s="1696"/>
      <c r="BQ172" s="1169"/>
      <c r="BR172" s="1169"/>
      <c r="BS172" s="1169"/>
      <c r="BT172" s="1169"/>
      <c r="BU172" s="1169"/>
      <c r="BV172" s="1169"/>
      <c r="BW172" s="1169"/>
      <c r="BX172" s="1169"/>
      <c r="BY172" s="1169"/>
      <c r="BZ172" s="1169"/>
      <c r="CA172" s="1169"/>
      <c r="CB172" s="1169"/>
      <c r="CC172" s="1169"/>
      <c r="CD172" s="1169"/>
      <c r="CE172" s="1169"/>
      <c r="CF172" s="1169"/>
      <c r="CG172" s="1169"/>
      <c r="CH172" s="1169"/>
      <c r="CI172" s="1169"/>
      <c r="CJ172" s="1169"/>
      <c r="CK172" s="1169"/>
      <c r="CL172" s="1169"/>
      <c r="CM172" s="1169"/>
      <c r="CN172" s="1169"/>
      <c r="CO172" s="1169"/>
      <c r="CP172" s="1169"/>
      <c r="CQ172" s="1169"/>
      <c r="CR172" s="1169"/>
      <c r="CS172" s="1169"/>
      <c r="CT172" s="1169"/>
      <c r="CU172" s="1169"/>
      <c r="CV172" s="1169"/>
      <c r="CW172" s="1169"/>
      <c r="CX172" s="1169"/>
      <c r="CY172" s="1169"/>
      <c r="CZ172" s="1169"/>
      <c r="DA172" s="1168"/>
      <c r="DB172" s="1168"/>
      <c r="DC172" s="1168"/>
      <c r="DD172" s="1168"/>
      <c r="DE172" s="1168"/>
      <c r="DF172" s="1168"/>
      <c r="DG172" s="1168"/>
      <c r="DH172" s="1168"/>
      <c r="DI172" s="1168"/>
      <c r="DJ172" s="1168"/>
      <c r="DK172" s="1168"/>
      <c r="DL172" s="1168"/>
      <c r="DM172" s="1168"/>
      <c r="DN172" s="1168"/>
      <c r="DO172" s="1168"/>
      <c r="DP172" s="1168"/>
      <c r="DQ172" s="1168"/>
      <c r="DR172" s="1168"/>
      <c r="DS172" s="1168"/>
      <c r="DT172" s="1168"/>
      <c r="DU172" s="1168"/>
      <c r="DV172" s="1168"/>
      <c r="DW172" s="1168"/>
      <c r="DX172" s="1168"/>
      <c r="DY172" s="1168"/>
      <c r="DZ172" s="1168"/>
      <c r="EA172" s="1168"/>
      <c r="EB172" s="1168"/>
      <c r="EC172" s="1168"/>
      <c r="ED172" s="1168"/>
      <c r="EE172" s="1168"/>
      <c r="EF172" s="1168"/>
      <c r="EG172" s="1168"/>
      <c r="EH172" s="1168"/>
      <c r="EI172" s="1170"/>
      <c r="EJ172" s="1170"/>
      <c r="EK172" s="1170"/>
      <c r="EL172" s="1170"/>
      <c r="EM172" s="1170"/>
      <c r="EN172" s="1170"/>
      <c r="EO172" s="1170"/>
      <c r="EP172" s="1170"/>
      <c r="EQ172" s="1170"/>
      <c r="ER172" s="1170"/>
      <c r="ES172" s="1171"/>
      <c r="ET172" s="1171"/>
      <c r="EU172" s="1171"/>
      <c r="EV172" s="1171"/>
      <c r="EW172" s="1171"/>
      <c r="EX172" s="1171"/>
      <c r="EY172" s="1171"/>
      <c r="EZ172" s="1171"/>
      <c r="FA172" s="1171"/>
      <c r="FB172" s="1171"/>
      <c r="FC172" s="1171"/>
      <c r="FD172" s="1171"/>
      <c r="FE172" s="1171"/>
      <c r="FF172" s="1171"/>
      <c r="FG172" s="1171"/>
      <c r="FH172" s="1171"/>
      <c r="FI172" s="1171"/>
      <c r="FJ172" s="1171"/>
      <c r="FK172" s="1171"/>
      <c r="FL172" s="1171"/>
      <c r="FM172" s="1171"/>
      <c r="FN172" s="1171"/>
      <c r="FO172" s="1171"/>
      <c r="FP172" s="1171"/>
    </row>
    <row r="173" spans="1:206" s="607" customFormat="1">
      <c r="A173" s="607">
        <f t="shared" si="4"/>
        <v>1984</v>
      </c>
      <c r="B173" s="607">
        <f t="shared" si="5"/>
        <v>3</v>
      </c>
      <c r="C173" s="666">
        <v>30926</v>
      </c>
      <c r="D173" s="1709">
        <v>0.83260000000000001</v>
      </c>
      <c r="E173" s="1117"/>
      <c r="F173" s="1117"/>
      <c r="G173" s="1117"/>
      <c r="H173" s="1117"/>
      <c r="I173" s="959">
        <v>341.7</v>
      </c>
      <c r="J173" s="959">
        <v>411.25</v>
      </c>
      <c r="K173" s="960"/>
      <c r="L173" s="1121"/>
      <c r="M173" s="916">
        <v>4704.0900480192058</v>
      </c>
      <c r="N173" s="916">
        <v>5649.8799519807899</v>
      </c>
      <c r="O173" s="1332"/>
      <c r="P173" s="1332"/>
      <c r="Q173" s="1332"/>
      <c r="R173" s="1332"/>
      <c r="S173" s="1332"/>
      <c r="T173" s="1332"/>
      <c r="U173" s="1120"/>
      <c r="V173" s="1120"/>
      <c r="W173" s="1120"/>
      <c r="X173" s="1120"/>
      <c r="Y173" s="1119"/>
      <c r="Z173" s="1119"/>
      <c r="AA173" s="1119"/>
      <c r="AB173" s="1119"/>
      <c r="AC173" s="1178"/>
      <c r="AD173" s="1178"/>
      <c r="AE173" s="1178"/>
      <c r="AF173" s="1178"/>
      <c r="AG173" s="1178"/>
      <c r="AH173" s="1178"/>
      <c r="AI173" s="1178"/>
      <c r="AJ173" s="1178"/>
      <c r="AK173" s="919">
        <v>28.36</v>
      </c>
      <c r="AL173" s="919">
        <v>34.06197453759308</v>
      </c>
      <c r="AM173" s="919"/>
      <c r="AN173" s="1710"/>
      <c r="AO173" s="919"/>
      <c r="AP173" s="919"/>
      <c r="AS173" s="1167"/>
      <c r="AT173" s="1167"/>
      <c r="AU173" s="1168"/>
      <c r="AV173" s="1168"/>
      <c r="AW173" s="1169"/>
      <c r="AX173" s="1169"/>
      <c r="AY173" s="1169"/>
      <c r="AZ173" s="1169"/>
      <c r="BA173" s="1799" t="s">
        <v>3</v>
      </c>
      <c r="BB173" s="1802">
        <v>2010</v>
      </c>
      <c r="BC173" s="1799" t="s">
        <v>49</v>
      </c>
      <c r="BD173" s="1799">
        <v>9</v>
      </c>
      <c r="BE173" s="1800">
        <v>69857491</v>
      </c>
      <c r="BF173" s="1801">
        <v>1.9E-2</v>
      </c>
      <c r="BG173" s="1799"/>
      <c r="BH173" s="1799" t="s">
        <v>3</v>
      </c>
      <c r="BI173" s="1799" t="s">
        <v>319</v>
      </c>
      <c r="BJ173" s="1799" t="s">
        <v>48</v>
      </c>
      <c r="BK173" s="1799">
        <v>8</v>
      </c>
      <c r="BL173" s="1800">
        <v>61350512.039999999</v>
      </c>
      <c r="BM173" s="1801">
        <v>1.9983471396711847E-2</v>
      </c>
      <c r="BN173" s="1799">
        <v>2014</v>
      </c>
      <c r="BO173" s="1684"/>
      <c r="BP173" s="1697"/>
      <c r="BQ173" s="1169"/>
      <c r="BR173" s="1169"/>
      <c r="BS173" s="1169"/>
      <c r="BT173" s="1169"/>
      <c r="BU173" s="1169"/>
      <c r="BV173" s="1169"/>
      <c r="BW173" s="1169"/>
      <c r="BX173" s="1169"/>
      <c r="BY173" s="1169"/>
      <c r="BZ173" s="1169"/>
      <c r="CA173" s="1169"/>
      <c r="CB173" s="1169"/>
      <c r="CC173" s="1169"/>
      <c r="CD173" s="1169"/>
      <c r="CE173" s="1169"/>
      <c r="CF173" s="1169"/>
      <c r="CG173" s="1169"/>
      <c r="CH173" s="1169"/>
      <c r="CI173" s="1169"/>
      <c r="CJ173" s="1169"/>
      <c r="CK173" s="1169"/>
      <c r="CL173" s="1169"/>
      <c r="CM173" s="1169"/>
      <c r="CN173" s="1169"/>
      <c r="CO173" s="1169"/>
      <c r="CP173" s="1169"/>
      <c r="CQ173" s="1169"/>
      <c r="CR173" s="1169"/>
      <c r="CS173" s="1169"/>
      <c r="CT173" s="1169"/>
      <c r="CU173" s="1169"/>
      <c r="CV173" s="1169"/>
      <c r="CW173" s="1169"/>
      <c r="CX173" s="1169"/>
      <c r="CY173" s="1169"/>
      <c r="CZ173" s="1169"/>
      <c r="DA173" s="1168"/>
      <c r="DB173" s="1168"/>
      <c r="DC173" s="1168"/>
      <c r="DD173" s="1168"/>
      <c r="DE173" s="1168"/>
      <c r="DF173" s="1168"/>
      <c r="DG173" s="1168"/>
      <c r="DH173" s="1168"/>
      <c r="DI173" s="1168"/>
      <c r="DJ173" s="1168"/>
      <c r="DK173" s="1168"/>
      <c r="DL173" s="1168"/>
      <c r="DM173" s="1168"/>
      <c r="DN173" s="1168"/>
      <c r="DO173" s="1168"/>
      <c r="DP173" s="1168"/>
      <c r="DQ173" s="1168"/>
      <c r="DR173" s="1168"/>
      <c r="DS173" s="1168"/>
      <c r="DT173" s="1168"/>
      <c r="DU173" s="1168"/>
      <c r="DV173" s="1168"/>
      <c r="DW173" s="1168"/>
      <c r="DX173" s="1168"/>
      <c r="DY173" s="1168"/>
      <c r="DZ173" s="1168"/>
      <c r="EA173" s="1168"/>
      <c r="EB173" s="1168"/>
      <c r="EC173" s="1168"/>
      <c r="ED173" s="1168"/>
      <c r="EE173" s="1168"/>
      <c r="EF173" s="1168"/>
      <c r="EG173" s="1168"/>
      <c r="EH173" s="1168"/>
      <c r="EI173" s="1170"/>
      <c r="EJ173" s="1170"/>
      <c r="EK173" s="1170"/>
      <c r="EL173" s="1170"/>
      <c r="EM173" s="1170"/>
      <c r="EN173" s="1170"/>
      <c r="EO173" s="1170"/>
      <c r="EP173" s="1170"/>
      <c r="EQ173" s="1170"/>
      <c r="ER173" s="1170"/>
      <c r="ES173" s="1171"/>
      <c r="ET173" s="1171"/>
      <c r="EU173" s="1171"/>
      <c r="EV173" s="1171"/>
      <c r="EW173" s="1171"/>
      <c r="EX173" s="1171"/>
      <c r="EY173" s="1171"/>
      <c r="EZ173" s="1171"/>
      <c r="FA173" s="1171"/>
      <c r="FB173" s="1171"/>
      <c r="FC173" s="1171"/>
      <c r="FD173" s="1171"/>
      <c r="FE173" s="1171"/>
      <c r="FF173" s="1171"/>
      <c r="FG173" s="1171"/>
      <c r="FH173" s="1171"/>
      <c r="FI173" s="1171"/>
      <c r="FJ173" s="1171"/>
      <c r="FK173" s="1171"/>
      <c r="FL173" s="1171"/>
      <c r="FM173" s="1171"/>
      <c r="FN173" s="1171"/>
      <c r="FO173" s="1171"/>
      <c r="FP173" s="1171"/>
    </row>
    <row r="174" spans="1:206" s="607" customFormat="1">
      <c r="A174" s="607">
        <f t="shared" si="4"/>
        <v>1984</v>
      </c>
      <c r="B174" s="607">
        <f t="shared" si="5"/>
        <v>4</v>
      </c>
      <c r="C174" s="666">
        <v>30956</v>
      </c>
      <c r="D174" s="957">
        <v>0.83570434782608694</v>
      </c>
      <c r="E174" s="920"/>
      <c r="F174" s="920"/>
      <c r="G174" s="920"/>
      <c r="H174" s="920"/>
      <c r="I174" s="954">
        <v>339.95</v>
      </c>
      <c r="J174" s="954">
        <v>406.75</v>
      </c>
      <c r="K174" s="954"/>
      <c r="L174" s="920"/>
      <c r="M174" s="917">
        <v>4678.3590008247902</v>
      </c>
      <c r="N174" s="917">
        <v>5598.1029810298096</v>
      </c>
      <c r="O174" s="1334"/>
      <c r="P174" s="1334"/>
      <c r="Q174" s="1334"/>
      <c r="R174" s="1334"/>
      <c r="S174" s="1334"/>
      <c r="T174" s="1334"/>
      <c r="U174" s="920"/>
      <c r="V174" s="920"/>
      <c r="W174" s="920"/>
      <c r="X174" s="920"/>
      <c r="Y174" s="920"/>
      <c r="Z174" s="920"/>
      <c r="AA174" s="920"/>
      <c r="AB174" s="920"/>
      <c r="AC174" s="920"/>
      <c r="AD174" s="920"/>
      <c r="AE174" s="920"/>
      <c r="AF174" s="920"/>
      <c r="AG174" s="920"/>
      <c r="AH174" s="920"/>
      <c r="AI174" s="920"/>
      <c r="AJ174" s="920"/>
      <c r="AK174" s="920">
        <v>28.36</v>
      </c>
      <c r="AL174" s="920">
        <v>33.935446278067964</v>
      </c>
      <c r="AM174" s="920"/>
      <c r="AN174" s="1711"/>
      <c r="AO174" s="920"/>
      <c r="AP174" s="920"/>
      <c r="AS174" s="1167"/>
      <c r="AT174" s="1167"/>
      <c r="AU174" s="1168"/>
      <c r="AV174" s="1168"/>
      <c r="AW174" s="1169"/>
      <c r="AX174" s="1169"/>
      <c r="AY174" s="1169"/>
      <c r="AZ174" s="1169"/>
      <c r="BA174" s="1799" t="s">
        <v>3</v>
      </c>
      <c r="BB174" s="1802">
        <v>2010</v>
      </c>
      <c r="BC174" s="1799" t="s">
        <v>18</v>
      </c>
      <c r="BD174" s="1799">
        <v>10</v>
      </c>
      <c r="BE174" s="1800">
        <v>69688636</v>
      </c>
      <c r="BF174" s="1801">
        <v>1.9E-2</v>
      </c>
      <c r="BG174" s="1799"/>
      <c r="BH174" s="1799" t="s">
        <v>3</v>
      </c>
      <c r="BI174" s="1799" t="s">
        <v>319</v>
      </c>
      <c r="BJ174" s="1799" t="s">
        <v>51</v>
      </c>
      <c r="BK174" s="1799">
        <v>9</v>
      </c>
      <c r="BL174" s="1800">
        <v>45119506.329999998</v>
      </c>
      <c r="BM174" s="1801">
        <v>1.4696606991502366E-2</v>
      </c>
      <c r="BN174" s="1799">
        <v>2014</v>
      </c>
      <c r="BO174" s="1684"/>
      <c r="BP174" s="1696"/>
      <c r="BQ174" s="1169"/>
      <c r="BR174" s="1169"/>
      <c r="BS174" s="1169"/>
      <c r="BT174" s="1169"/>
      <c r="BU174" s="1169"/>
      <c r="BV174" s="1169"/>
      <c r="BW174" s="1169"/>
      <c r="BX174" s="1169"/>
      <c r="BY174" s="1169"/>
      <c r="BZ174" s="1169"/>
      <c r="CA174" s="1169"/>
      <c r="CB174" s="1169"/>
      <c r="CC174" s="1169"/>
      <c r="CD174" s="1169"/>
      <c r="CE174" s="1169"/>
      <c r="CF174" s="1169"/>
      <c r="CG174" s="1169"/>
      <c r="CH174" s="1169"/>
      <c r="CI174" s="1169"/>
      <c r="CJ174" s="1169"/>
      <c r="CK174" s="1169"/>
      <c r="CL174" s="1169"/>
      <c r="CM174" s="1169"/>
      <c r="CN174" s="1169"/>
      <c r="CO174" s="1169"/>
      <c r="CP174" s="1169"/>
      <c r="CQ174" s="1169"/>
      <c r="CR174" s="1169"/>
      <c r="CS174" s="1169"/>
      <c r="CT174" s="1169"/>
      <c r="CU174" s="1169"/>
      <c r="CV174" s="1169"/>
      <c r="CW174" s="1169"/>
      <c r="CX174" s="1169"/>
      <c r="CY174" s="1169"/>
      <c r="CZ174" s="1169"/>
      <c r="DA174" s="1168"/>
      <c r="DB174" s="1168"/>
      <c r="DC174" s="1168"/>
      <c r="DD174" s="1168"/>
      <c r="DE174" s="1168"/>
      <c r="DF174" s="1168"/>
      <c r="DG174" s="1168"/>
      <c r="DH174" s="1168"/>
      <c r="DI174" s="1168"/>
      <c r="DJ174" s="1168"/>
      <c r="DK174" s="1168"/>
      <c r="DL174" s="1168"/>
      <c r="DM174" s="1168"/>
      <c r="DN174" s="1168"/>
      <c r="DO174" s="1168"/>
      <c r="DP174" s="1168"/>
      <c r="DQ174" s="1168"/>
      <c r="DR174" s="1168"/>
      <c r="DS174" s="1168"/>
      <c r="DT174" s="1168"/>
      <c r="DU174" s="1168"/>
      <c r="DV174" s="1168"/>
      <c r="DW174" s="1168"/>
      <c r="DX174" s="1168"/>
      <c r="DY174" s="1168"/>
      <c r="DZ174" s="1168"/>
      <c r="EA174" s="1168"/>
      <c r="EB174" s="1168"/>
      <c r="EC174" s="1168"/>
      <c r="ED174" s="1168"/>
      <c r="EE174" s="1168"/>
      <c r="EF174" s="1168"/>
      <c r="EG174" s="1168"/>
      <c r="EH174" s="1168"/>
      <c r="EI174" s="1170"/>
      <c r="EJ174" s="1170"/>
      <c r="EK174" s="1170"/>
      <c r="EL174" s="1170"/>
      <c r="EM174" s="1170"/>
      <c r="EN174" s="1170"/>
      <c r="EO174" s="1170"/>
      <c r="EP174" s="1170"/>
      <c r="EQ174" s="1170"/>
      <c r="ER174" s="1170"/>
      <c r="ES174" s="1171"/>
      <c r="ET174" s="1171"/>
      <c r="EU174" s="1171"/>
      <c r="EV174" s="1171"/>
      <c r="EW174" s="1171"/>
      <c r="EX174" s="1171"/>
      <c r="EY174" s="1171"/>
      <c r="EZ174" s="1171"/>
      <c r="FA174" s="1171"/>
      <c r="FB174" s="1171"/>
      <c r="FC174" s="1171"/>
      <c r="FD174" s="1171"/>
      <c r="FE174" s="1171"/>
      <c r="FF174" s="1171"/>
      <c r="FG174" s="1171"/>
      <c r="FH174" s="1171"/>
      <c r="FI174" s="1171"/>
      <c r="FJ174" s="1171"/>
      <c r="FK174" s="1171"/>
      <c r="FL174" s="1171"/>
      <c r="FM174" s="1171"/>
      <c r="FN174" s="1171"/>
      <c r="FO174" s="1171"/>
      <c r="FP174" s="1171"/>
    </row>
    <row r="175" spans="1:206" s="607" customFormat="1">
      <c r="A175" s="607">
        <f t="shared" si="4"/>
        <v>1984</v>
      </c>
      <c r="B175" s="607">
        <f t="shared" si="5"/>
        <v>4</v>
      </c>
      <c r="C175" s="666">
        <v>30987</v>
      </c>
      <c r="D175" s="1709">
        <v>0.85942272727272728</v>
      </c>
      <c r="E175" s="1117"/>
      <c r="F175" s="1117"/>
      <c r="G175" s="1117"/>
      <c r="H175" s="1117"/>
      <c r="I175" s="959">
        <v>341.3</v>
      </c>
      <c r="J175" s="959">
        <v>396</v>
      </c>
      <c r="K175" s="960"/>
      <c r="L175" s="1121"/>
      <c r="M175" s="916">
        <v>4758.0685554063211</v>
      </c>
      <c r="N175" s="916">
        <v>5536.3541181945102</v>
      </c>
      <c r="O175" s="1332"/>
      <c r="P175" s="1332"/>
      <c r="Q175" s="1332"/>
      <c r="R175" s="1332"/>
      <c r="S175" s="1332"/>
      <c r="T175" s="1332"/>
      <c r="U175" s="1120"/>
      <c r="V175" s="1120"/>
      <c r="W175" s="1120"/>
      <c r="X175" s="1120"/>
      <c r="Y175" s="1119"/>
      <c r="Z175" s="1119"/>
      <c r="AA175" s="1119"/>
      <c r="AB175" s="1119"/>
      <c r="AC175" s="1178"/>
      <c r="AD175" s="1178"/>
      <c r="AE175" s="1178"/>
      <c r="AF175" s="1178"/>
      <c r="AG175" s="1178"/>
      <c r="AH175" s="1178"/>
      <c r="AI175" s="1178"/>
      <c r="AJ175" s="1178"/>
      <c r="AK175" s="919">
        <v>27.7</v>
      </c>
      <c r="AL175" s="919">
        <v>32.230937257038285</v>
      </c>
      <c r="AM175" s="919"/>
      <c r="AN175" s="1710"/>
      <c r="AO175" s="919"/>
      <c r="AP175" s="919"/>
      <c r="AS175" s="1167"/>
      <c r="AT175" s="1167"/>
      <c r="AU175" s="1168"/>
      <c r="AV175" s="1168"/>
      <c r="AW175" s="1169"/>
      <c r="AX175" s="1169"/>
      <c r="AY175" s="1169"/>
      <c r="AZ175" s="1169"/>
      <c r="BA175" s="1799" t="s">
        <v>3</v>
      </c>
      <c r="BB175" s="1802">
        <v>2010</v>
      </c>
      <c r="BC175" s="1799" t="s">
        <v>32</v>
      </c>
      <c r="BD175" s="1799"/>
      <c r="BE175" s="1800">
        <v>233892528</v>
      </c>
      <c r="BF175" s="1801">
        <v>6.2E-2</v>
      </c>
      <c r="BG175" s="1799"/>
      <c r="BH175" s="1799" t="s">
        <v>3</v>
      </c>
      <c r="BI175" s="1799" t="s">
        <v>319</v>
      </c>
      <c r="BJ175" s="1799" t="s">
        <v>43</v>
      </c>
      <c r="BK175" s="1799">
        <v>10</v>
      </c>
      <c r="BL175" s="1800">
        <v>41625626.519999996</v>
      </c>
      <c r="BM175" s="1801">
        <v>1.3558558670061102E-2</v>
      </c>
      <c r="BN175" s="1799">
        <v>2014</v>
      </c>
      <c r="BO175" s="1684"/>
      <c r="BP175" s="1696"/>
      <c r="BQ175" s="1169"/>
      <c r="BR175" s="1169"/>
      <c r="BS175" s="1169"/>
      <c r="BT175" s="1169"/>
      <c r="BU175" s="1169"/>
      <c r="BV175" s="1169"/>
      <c r="BW175" s="1169"/>
      <c r="BX175" s="1169"/>
      <c r="BY175" s="1169"/>
      <c r="BZ175" s="1169"/>
      <c r="CA175" s="1169"/>
      <c r="CB175" s="1169"/>
      <c r="CC175" s="1169"/>
      <c r="CD175" s="1169"/>
      <c r="CE175" s="1169"/>
      <c r="CF175" s="1169"/>
      <c r="CG175" s="1169"/>
      <c r="CH175" s="1169"/>
      <c r="CI175" s="1169"/>
      <c r="CJ175" s="1169"/>
      <c r="CK175" s="1169"/>
      <c r="CL175" s="1169"/>
      <c r="CM175" s="1169"/>
      <c r="CN175" s="1169"/>
      <c r="CO175" s="1169"/>
      <c r="CP175" s="1169"/>
      <c r="CQ175" s="1169"/>
      <c r="CR175" s="1169"/>
      <c r="CS175" s="1169"/>
      <c r="CT175" s="1169"/>
      <c r="CU175" s="1169"/>
      <c r="CV175" s="1169"/>
      <c r="CW175" s="1169"/>
      <c r="CX175" s="1169"/>
      <c r="CY175" s="1169"/>
      <c r="CZ175" s="1169"/>
      <c r="DA175" s="1168"/>
      <c r="DB175" s="1168"/>
      <c r="DC175" s="1168"/>
      <c r="DD175" s="1168"/>
      <c r="DE175" s="1168"/>
      <c r="DF175" s="1168"/>
      <c r="DG175" s="1168"/>
      <c r="DH175" s="1168"/>
      <c r="DI175" s="1168"/>
      <c r="DJ175" s="1168"/>
      <c r="DK175" s="1168"/>
      <c r="DL175" s="1168"/>
      <c r="DM175" s="1168"/>
      <c r="DN175" s="1168"/>
      <c r="DO175" s="1168"/>
      <c r="DP175" s="1168"/>
      <c r="DQ175" s="1168"/>
      <c r="DR175" s="1168"/>
      <c r="DS175" s="1168"/>
      <c r="DT175" s="1168"/>
      <c r="DU175" s="1168"/>
      <c r="DV175" s="1168"/>
      <c r="DW175" s="1168"/>
      <c r="DX175" s="1168"/>
      <c r="DY175" s="1168"/>
      <c r="DZ175" s="1168"/>
      <c r="EA175" s="1168"/>
      <c r="EB175" s="1168"/>
      <c r="EC175" s="1168"/>
      <c r="ED175" s="1168"/>
      <c r="EE175" s="1168"/>
      <c r="EF175" s="1168"/>
      <c r="EG175" s="1168"/>
      <c r="EH175" s="1168"/>
      <c r="EI175" s="1170"/>
      <c r="EJ175" s="1170"/>
      <c r="EK175" s="1170"/>
      <c r="EL175" s="1170"/>
      <c r="EM175" s="1170"/>
      <c r="EN175" s="1170"/>
      <c r="EO175" s="1170"/>
      <c r="EP175" s="1170"/>
      <c r="EQ175" s="1170"/>
      <c r="ER175" s="1170"/>
      <c r="ES175" s="1171"/>
      <c r="ET175" s="1171"/>
      <c r="EU175" s="1171"/>
      <c r="EV175" s="1171"/>
      <c r="EW175" s="1171"/>
      <c r="EX175" s="1171"/>
      <c r="EY175" s="1171"/>
      <c r="EZ175" s="1171"/>
      <c r="FA175" s="1171"/>
      <c r="FB175" s="1171"/>
      <c r="FC175" s="1171"/>
      <c r="FD175" s="1171"/>
      <c r="FE175" s="1171"/>
      <c r="FF175" s="1171"/>
      <c r="FG175" s="1171"/>
      <c r="FH175" s="1171"/>
      <c r="FI175" s="1171"/>
      <c r="FJ175" s="1171"/>
      <c r="FK175" s="1171"/>
      <c r="FL175" s="1171"/>
      <c r="FM175" s="1171"/>
      <c r="FN175" s="1171"/>
      <c r="FO175" s="1171"/>
      <c r="FP175" s="1171"/>
    </row>
    <row r="176" spans="1:206" s="607" customFormat="1">
      <c r="A176" s="607">
        <f t="shared" si="4"/>
        <v>1984</v>
      </c>
      <c r="B176" s="607">
        <f t="shared" si="5"/>
        <v>4</v>
      </c>
      <c r="C176" s="666">
        <v>31017</v>
      </c>
      <c r="D176" s="957">
        <v>0.84187222222222236</v>
      </c>
      <c r="E176" s="920"/>
      <c r="F176" s="920"/>
      <c r="G176" s="920"/>
      <c r="H176" s="920"/>
      <c r="I176" s="954">
        <v>319.8</v>
      </c>
      <c r="J176" s="954">
        <v>380.2</v>
      </c>
      <c r="K176" s="954"/>
      <c r="L176" s="920"/>
      <c r="M176" s="917">
        <v>4942.434722155107</v>
      </c>
      <c r="N176" s="917">
        <v>5870.76588547958</v>
      </c>
      <c r="O176" s="1334"/>
      <c r="P176" s="1334"/>
      <c r="Q176" s="1334"/>
      <c r="R176" s="1334"/>
      <c r="S176" s="1334"/>
      <c r="T176" s="1334"/>
      <c r="U176" s="920"/>
      <c r="V176" s="920"/>
      <c r="W176" s="920"/>
      <c r="X176" s="920"/>
      <c r="Y176" s="920"/>
      <c r="Z176" s="920"/>
      <c r="AA176" s="920"/>
      <c r="AB176" s="920"/>
      <c r="AC176" s="920"/>
      <c r="AD176" s="920"/>
      <c r="AE176" s="920"/>
      <c r="AF176" s="920"/>
      <c r="AG176" s="920"/>
      <c r="AH176" s="920"/>
      <c r="AI176" s="920"/>
      <c r="AJ176" s="920"/>
      <c r="AK176" s="920">
        <v>27.7</v>
      </c>
      <c r="AL176" s="920">
        <v>32.902855408250126</v>
      </c>
      <c r="AM176" s="920"/>
      <c r="AN176" s="1711"/>
      <c r="AO176" s="920"/>
      <c r="AP176" s="920"/>
      <c r="AS176" s="1167"/>
      <c r="AT176" s="1167"/>
      <c r="AU176" s="1168"/>
      <c r="AV176" s="1168"/>
      <c r="AW176" s="1169"/>
      <c r="AX176" s="1169"/>
      <c r="AY176" s="1169"/>
      <c r="AZ176" s="1169"/>
      <c r="BA176" s="1799" t="s">
        <v>3</v>
      </c>
      <c r="BB176" s="1802">
        <v>2010</v>
      </c>
      <c r="BC176" s="1799" t="s">
        <v>249</v>
      </c>
      <c r="BD176" s="1799"/>
      <c r="BE176" s="1800">
        <v>3764664252</v>
      </c>
      <c r="BF176" s="1801"/>
      <c r="BG176" s="1799"/>
      <c r="BH176" s="1799" t="s">
        <v>3</v>
      </c>
      <c r="BI176" s="1799" t="s">
        <v>319</v>
      </c>
      <c r="BJ176" s="1799" t="s">
        <v>32</v>
      </c>
      <c r="BK176" s="1799"/>
      <c r="BL176" s="1800">
        <v>126157694.12000084</v>
      </c>
      <c r="BM176" s="1801">
        <v>4.1092870916520537E-2</v>
      </c>
      <c r="BN176" s="1799">
        <v>2014</v>
      </c>
      <c r="BO176" s="1684"/>
      <c r="BP176" s="1697"/>
      <c r="BQ176" s="1169"/>
      <c r="BR176" s="1169"/>
      <c r="BS176" s="1169"/>
      <c r="BT176" s="1169"/>
      <c r="BU176" s="1169"/>
      <c r="BV176" s="1169"/>
      <c r="BW176" s="1169"/>
      <c r="BX176" s="1169"/>
      <c r="BY176" s="1169"/>
      <c r="BZ176" s="1169"/>
      <c r="CA176" s="1169"/>
      <c r="CB176" s="1169"/>
      <c r="CC176" s="1169"/>
      <c r="CD176" s="1169"/>
      <c r="CE176" s="1169"/>
      <c r="CF176" s="1169"/>
      <c r="CG176" s="1169"/>
      <c r="CH176" s="1169"/>
      <c r="CI176" s="1169"/>
      <c r="CJ176" s="1169"/>
      <c r="CK176" s="1169"/>
      <c r="CL176" s="1169"/>
      <c r="CM176" s="1169"/>
      <c r="CN176" s="1169"/>
      <c r="CO176" s="1169"/>
      <c r="CP176" s="1169"/>
      <c r="CQ176" s="1169"/>
      <c r="CR176" s="1169"/>
      <c r="CS176" s="1169"/>
      <c r="CT176" s="1169"/>
      <c r="CU176" s="1169"/>
      <c r="CV176" s="1169"/>
      <c r="CW176" s="1169"/>
      <c r="CX176" s="1169"/>
      <c r="CY176" s="1169"/>
      <c r="CZ176" s="1169"/>
      <c r="DA176" s="1168"/>
      <c r="DB176" s="1168"/>
      <c r="DC176" s="1168"/>
      <c r="DD176" s="1168"/>
      <c r="DE176" s="1168"/>
      <c r="DF176" s="1168"/>
      <c r="DG176" s="1168"/>
      <c r="DH176" s="1168"/>
      <c r="DI176" s="1168"/>
      <c r="DJ176" s="1168"/>
      <c r="DK176" s="1168"/>
      <c r="DL176" s="1168"/>
      <c r="DM176" s="1168"/>
      <c r="DN176" s="1168"/>
      <c r="DO176" s="1168"/>
      <c r="DP176" s="1168"/>
      <c r="DQ176" s="1168"/>
      <c r="DR176" s="1168"/>
      <c r="DS176" s="1168"/>
      <c r="DT176" s="1168"/>
      <c r="DU176" s="1168"/>
      <c r="DV176" s="1168"/>
      <c r="DW176" s="1168"/>
      <c r="DX176" s="1168"/>
      <c r="DY176" s="1168"/>
      <c r="DZ176" s="1168"/>
      <c r="EA176" s="1168"/>
      <c r="EB176" s="1168"/>
      <c r="EC176" s="1168"/>
      <c r="ED176" s="1168"/>
      <c r="EE176" s="1168"/>
      <c r="EF176" s="1168"/>
      <c r="EG176" s="1168"/>
      <c r="EH176" s="1168"/>
      <c r="EI176" s="1170"/>
      <c r="EJ176" s="1170"/>
      <c r="EK176" s="1170"/>
      <c r="EL176" s="1170"/>
      <c r="EM176" s="1170"/>
      <c r="EN176" s="1170"/>
      <c r="EO176" s="1170"/>
      <c r="EP176" s="1170"/>
      <c r="EQ176" s="1170"/>
      <c r="ER176" s="1170"/>
      <c r="ES176" s="1171"/>
      <c r="ET176" s="1171"/>
      <c r="EU176" s="1171"/>
      <c r="EV176" s="1171"/>
      <c r="EW176" s="1171"/>
      <c r="EX176" s="1171"/>
      <c r="EY176" s="1171"/>
      <c r="EZ176" s="1171"/>
      <c r="FA176" s="1171"/>
      <c r="FB176" s="1171"/>
      <c r="FC176" s="1171"/>
      <c r="FD176" s="1171"/>
      <c r="FE176" s="1171"/>
      <c r="FF176" s="1171"/>
      <c r="FG176" s="1171"/>
      <c r="FH176" s="1171"/>
      <c r="FI176" s="1171"/>
      <c r="FJ176" s="1171"/>
      <c r="FK176" s="1171"/>
      <c r="FL176" s="1171"/>
      <c r="FM176" s="1171"/>
      <c r="FN176" s="1171"/>
      <c r="FO176" s="1171"/>
      <c r="FP176" s="1171"/>
    </row>
    <row r="177" spans="1:172" s="607" customFormat="1">
      <c r="A177" s="607">
        <f t="shared" si="4"/>
        <v>1985</v>
      </c>
      <c r="B177" s="607">
        <f t="shared" si="5"/>
        <v>1</v>
      </c>
      <c r="C177" s="666">
        <v>31048</v>
      </c>
      <c r="D177" s="1709">
        <v>0.81582380952380973</v>
      </c>
      <c r="E177" s="1117"/>
      <c r="F177" s="1117"/>
      <c r="G177" s="1117"/>
      <c r="H177" s="1117"/>
      <c r="I177" s="959">
        <v>302.2</v>
      </c>
      <c r="J177" s="959">
        <v>370.35</v>
      </c>
      <c r="K177" s="960"/>
      <c r="L177" s="1121"/>
      <c r="M177" s="916">
        <v>4953.0215042944801</v>
      </c>
      <c r="N177" s="916">
        <v>6071.19018404908</v>
      </c>
      <c r="O177" s="1332"/>
      <c r="P177" s="1332"/>
      <c r="Q177" s="1332"/>
      <c r="R177" s="1332"/>
      <c r="S177" s="1332"/>
      <c r="T177" s="1332"/>
      <c r="U177" s="1120"/>
      <c r="V177" s="1120"/>
      <c r="W177" s="1120"/>
      <c r="X177" s="1120"/>
      <c r="Y177" s="1119"/>
      <c r="Z177" s="1119"/>
      <c r="AA177" s="1119"/>
      <c r="AB177" s="1119"/>
      <c r="AC177" s="1178"/>
      <c r="AD177" s="1178"/>
      <c r="AE177" s="1178"/>
      <c r="AF177" s="1178"/>
      <c r="AG177" s="1178"/>
      <c r="AH177" s="1178"/>
      <c r="AI177" s="1178"/>
      <c r="AJ177" s="1178"/>
      <c r="AK177" s="919">
        <v>26.98</v>
      </c>
      <c r="AL177" s="919">
        <v>33.070866141732274</v>
      </c>
      <c r="AM177" s="919"/>
      <c r="AN177" s="1710"/>
      <c r="AO177" s="919"/>
      <c r="AP177" s="919"/>
      <c r="AS177" s="1167"/>
      <c r="AT177" s="1167"/>
      <c r="AU177" s="1168"/>
      <c r="AV177" s="1168"/>
      <c r="AW177" s="1169"/>
      <c r="AX177" s="1169"/>
      <c r="AY177" s="1169"/>
      <c r="AZ177" s="1169"/>
      <c r="BA177" s="1799" t="s">
        <v>3</v>
      </c>
      <c r="BB177" s="1802">
        <v>2009</v>
      </c>
      <c r="BC177" s="1799" t="s">
        <v>15</v>
      </c>
      <c r="BD177" s="1799">
        <v>1</v>
      </c>
      <c r="BE177" s="1800">
        <v>1213482549.51</v>
      </c>
      <c r="BF177" s="1801">
        <v>0.4054860969400842</v>
      </c>
      <c r="BG177" s="1799"/>
      <c r="BH177" s="1799" t="s">
        <v>3</v>
      </c>
      <c r="BI177" s="1799" t="s">
        <v>319</v>
      </c>
      <c r="BJ177" s="1799" t="s">
        <v>249</v>
      </c>
      <c r="BK177" s="1799"/>
      <c r="BL177" s="1800">
        <v>3070062794.5000005</v>
      </c>
      <c r="BM177" s="1801"/>
      <c r="BN177" s="1799">
        <v>2014</v>
      </c>
      <c r="BO177" s="1684"/>
      <c r="BP177" s="1696"/>
      <c r="BQ177" s="1169"/>
      <c r="BR177" s="1169"/>
      <c r="BS177" s="1169"/>
      <c r="BT177" s="1169"/>
      <c r="BU177" s="1169"/>
      <c r="BV177" s="1169"/>
      <c r="BW177" s="1169"/>
      <c r="BX177" s="1169"/>
      <c r="BY177" s="1169"/>
      <c r="BZ177" s="1169"/>
      <c r="CA177" s="1169"/>
      <c r="CB177" s="1169"/>
      <c r="CC177" s="1169"/>
      <c r="CD177" s="1169"/>
      <c r="CE177" s="1169"/>
      <c r="CF177" s="1169"/>
      <c r="CG177" s="1169"/>
      <c r="CH177" s="1169"/>
      <c r="CI177" s="1169"/>
      <c r="CJ177" s="1169"/>
      <c r="CK177" s="1169"/>
      <c r="CL177" s="1169"/>
      <c r="CM177" s="1169"/>
      <c r="CN177" s="1169"/>
      <c r="CO177" s="1169"/>
      <c r="CP177" s="1169"/>
      <c r="CQ177" s="1169"/>
      <c r="CR177" s="1169"/>
      <c r="CS177" s="1169"/>
      <c r="CT177" s="1169"/>
      <c r="CU177" s="1169"/>
      <c r="CV177" s="1169"/>
      <c r="CW177" s="1169"/>
      <c r="CX177" s="1169"/>
      <c r="CY177" s="1169"/>
      <c r="CZ177" s="1169"/>
      <c r="DA177" s="1168"/>
      <c r="DB177" s="1168"/>
      <c r="DC177" s="1168"/>
      <c r="DD177" s="1168"/>
      <c r="DE177" s="1168"/>
      <c r="DF177" s="1168"/>
      <c r="DG177" s="1168"/>
      <c r="DH177" s="1168"/>
      <c r="DI177" s="1168"/>
      <c r="DJ177" s="1168"/>
      <c r="DK177" s="1168"/>
      <c r="DL177" s="1168"/>
      <c r="DM177" s="1168"/>
      <c r="DN177" s="1168"/>
      <c r="DO177" s="1168"/>
      <c r="DP177" s="1168"/>
      <c r="DQ177" s="1168"/>
      <c r="DR177" s="1168"/>
      <c r="DS177" s="1168"/>
      <c r="DT177" s="1168"/>
      <c r="DU177" s="1168"/>
      <c r="DV177" s="1168"/>
      <c r="DW177" s="1168"/>
      <c r="DX177" s="1168"/>
      <c r="DY177" s="1168"/>
      <c r="DZ177" s="1168"/>
      <c r="EA177" s="1168"/>
      <c r="EB177" s="1168"/>
      <c r="EC177" s="1168"/>
      <c r="ED177" s="1168"/>
      <c r="EE177" s="1168"/>
      <c r="EF177" s="1168"/>
      <c r="EG177" s="1168"/>
      <c r="EH177" s="1168"/>
      <c r="EI177" s="1170"/>
      <c r="EJ177" s="1170"/>
      <c r="EK177" s="1170"/>
      <c r="EL177" s="1170"/>
      <c r="EM177" s="1170"/>
      <c r="EN177" s="1170"/>
      <c r="EO177" s="1170"/>
      <c r="EP177" s="1170"/>
      <c r="EQ177" s="1170"/>
      <c r="ER177" s="1170"/>
      <c r="ES177" s="1171"/>
      <c r="ET177" s="1171"/>
      <c r="EU177" s="1171"/>
      <c r="EV177" s="1171"/>
      <c r="EW177" s="1171"/>
      <c r="EX177" s="1171"/>
      <c r="EY177" s="1171"/>
      <c r="EZ177" s="1171"/>
      <c r="FA177" s="1171"/>
      <c r="FB177" s="1171"/>
      <c r="FC177" s="1171"/>
      <c r="FD177" s="1171"/>
      <c r="FE177" s="1171"/>
      <c r="FF177" s="1171"/>
      <c r="FG177" s="1171"/>
      <c r="FH177" s="1171"/>
      <c r="FI177" s="1171"/>
      <c r="FJ177" s="1171"/>
      <c r="FK177" s="1171"/>
      <c r="FL177" s="1171"/>
      <c r="FM177" s="1171"/>
      <c r="FN177" s="1171"/>
      <c r="FO177" s="1171"/>
      <c r="FP177" s="1171"/>
    </row>
    <row r="178" spans="1:172" s="607" customFormat="1">
      <c r="A178" s="607">
        <f t="shared" si="4"/>
        <v>1985</v>
      </c>
      <c r="B178" s="607">
        <f t="shared" si="5"/>
        <v>1</v>
      </c>
      <c r="C178" s="666">
        <v>31079</v>
      </c>
      <c r="D178" s="957">
        <v>0.74158499999999994</v>
      </c>
      <c r="E178" s="920"/>
      <c r="F178" s="920"/>
      <c r="G178" s="920"/>
      <c r="H178" s="920"/>
      <c r="I178" s="954">
        <v>298.5</v>
      </c>
      <c r="J178" s="954">
        <v>394.1</v>
      </c>
      <c r="K178" s="954"/>
      <c r="L178" s="920"/>
      <c r="M178" s="917">
        <v>5248.2982363407145</v>
      </c>
      <c r="N178" s="917">
        <v>7077.1364527879005</v>
      </c>
      <c r="O178" s="1334"/>
      <c r="P178" s="1334"/>
      <c r="Q178" s="1334"/>
      <c r="R178" s="1334"/>
      <c r="S178" s="1334"/>
      <c r="T178" s="1334"/>
      <c r="U178" s="920"/>
      <c r="V178" s="920"/>
      <c r="W178" s="920"/>
      <c r="X178" s="920"/>
      <c r="Y178" s="920"/>
      <c r="Z178" s="920"/>
      <c r="AA178" s="920"/>
      <c r="AB178" s="920"/>
      <c r="AC178" s="920"/>
      <c r="AD178" s="920"/>
      <c r="AE178" s="920"/>
      <c r="AF178" s="920"/>
      <c r="AG178" s="920"/>
      <c r="AH178" s="920"/>
      <c r="AI178" s="920"/>
      <c r="AJ178" s="920"/>
      <c r="AK178" s="920">
        <v>28.2</v>
      </c>
      <c r="AL178" s="920">
        <v>38.026659115273368</v>
      </c>
      <c r="AM178" s="920"/>
      <c r="AN178" s="1711"/>
      <c r="AO178" s="920"/>
      <c r="AP178" s="920"/>
      <c r="AS178" s="1167"/>
      <c r="AT178" s="1167"/>
      <c r="AU178" s="1168"/>
      <c r="AV178" s="1168"/>
      <c r="AW178" s="1169"/>
      <c r="AX178" s="1169"/>
      <c r="AY178" s="1169"/>
      <c r="AZ178" s="1169"/>
      <c r="BA178" s="1799" t="s">
        <v>3</v>
      </c>
      <c r="BB178" s="1802">
        <v>2009</v>
      </c>
      <c r="BC178" s="1799" t="s">
        <v>49</v>
      </c>
      <c r="BD178" s="1799">
        <v>2</v>
      </c>
      <c r="BE178" s="1800">
        <v>457380898.68000001</v>
      </c>
      <c r="BF178" s="1801">
        <v>0.15283416765703806</v>
      </c>
      <c r="BG178" s="1799"/>
      <c r="BH178" s="1799" t="s">
        <v>3</v>
      </c>
      <c r="BI178" s="1799" t="s">
        <v>318</v>
      </c>
      <c r="BJ178" s="1799" t="s">
        <v>15</v>
      </c>
      <c r="BK178" s="1799">
        <v>1</v>
      </c>
      <c r="BL178" s="1800">
        <v>1239872650.7600002</v>
      </c>
      <c r="BM178" s="1801">
        <v>0.3920191180482227</v>
      </c>
      <c r="BN178" s="1799">
        <v>2013</v>
      </c>
      <c r="BO178" s="1684"/>
      <c r="BP178" s="1696"/>
      <c r="BQ178" s="1169"/>
      <c r="BR178" s="1169"/>
      <c r="BS178" s="1169"/>
      <c r="BT178" s="1169"/>
      <c r="BU178" s="1169"/>
      <c r="BV178" s="1169"/>
      <c r="BW178" s="1169"/>
      <c r="BX178" s="1169"/>
      <c r="BY178" s="1169"/>
      <c r="BZ178" s="1169"/>
      <c r="CA178" s="1169"/>
      <c r="CB178" s="1169"/>
      <c r="CC178" s="1169"/>
      <c r="CD178" s="1169"/>
      <c r="CE178" s="1169"/>
      <c r="CF178" s="1169"/>
      <c r="CG178" s="1169"/>
      <c r="CH178" s="1169"/>
      <c r="CI178" s="1169"/>
      <c r="CJ178" s="1169"/>
      <c r="CK178" s="1169"/>
      <c r="CL178" s="1169"/>
      <c r="CM178" s="1169"/>
      <c r="CN178" s="1169"/>
      <c r="CO178" s="1169"/>
      <c r="CP178" s="1169"/>
      <c r="CQ178" s="1169"/>
      <c r="CR178" s="1169"/>
      <c r="CS178" s="1169"/>
      <c r="CT178" s="1169"/>
      <c r="CU178" s="1169"/>
      <c r="CV178" s="1169"/>
      <c r="CW178" s="1169"/>
      <c r="CX178" s="1169"/>
      <c r="CY178" s="1169"/>
      <c r="CZ178" s="1169"/>
      <c r="DA178" s="1168"/>
      <c r="DB178" s="1168"/>
      <c r="DC178" s="1168"/>
      <c r="DD178" s="1168"/>
      <c r="DE178" s="1168"/>
      <c r="DF178" s="1168"/>
      <c r="DG178" s="1168"/>
      <c r="DH178" s="1168"/>
      <c r="DI178" s="1168"/>
      <c r="DJ178" s="1168"/>
      <c r="DK178" s="1168"/>
      <c r="DL178" s="1168"/>
      <c r="DM178" s="1168"/>
      <c r="DN178" s="1168"/>
      <c r="DO178" s="1168"/>
      <c r="DP178" s="1168"/>
      <c r="DQ178" s="1168"/>
      <c r="DR178" s="1168"/>
      <c r="DS178" s="1168"/>
      <c r="DT178" s="1168"/>
      <c r="DU178" s="1168"/>
      <c r="DV178" s="1168"/>
      <c r="DW178" s="1168"/>
      <c r="DX178" s="1168"/>
      <c r="DY178" s="1168"/>
      <c r="DZ178" s="1168"/>
      <c r="EA178" s="1168"/>
      <c r="EB178" s="1168"/>
      <c r="EC178" s="1168"/>
      <c r="ED178" s="1168"/>
      <c r="EE178" s="1168"/>
      <c r="EF178" s="1168"/>
      <c r="EG178" s="1168"/>
      <c r="EH178" s="1168"/>
      <c r="EI178" s="1170"/>
      <c r="EJ178" s="1170"/>
      <c r="EK178" s="1170"/>
      <c r="EL178" s="1170"/>
      <c r="EM178" s="1170"/>
      <c r="EN178" s="1170"/>
      <c r="EO178" s="1170"/>
      <c r="EP178" s="1170"/>
      <c r="EQ178" s="1170"/>
      <c r="ER178" s="1170"/>
      <c r="ES178" s="1171"/>
      <c r="ET178" s="1171"/>
      <c r="EU178" s="1171"/>
      <c r="EV178" s="1171"/>
      <c r="EW178" s="1171"/>
      <c r="EX178" s="1171"/>
      <c r="EY178" s="1171"/>
      <c r="EZ178" s="1171"/>
      <c r="FA178" s="1171"/>
      <c r="FB178" s="1171"/>
      <c r="FC178" s="1171"/>
      <c r="FD178" s="1171"/>
      <c r="FE178" s="1171"/>
      <c r="FF178" s="1171"/>
      <c r="FG178" s="1171"/>
      <c r="FH178" s="1171"/>
      <c r="FI178" s="1171"/>
      <c r="FJ178" s="1171"/>
      <c r="FK178" s="1171"/>
      <c r="FL178" s="1171"/>
      <c r="FM178" s="1171"/>
      <c r="FN178" s="1171"/>
      <c r="FO178" s="1171"/>
      <c r="FP178" s="1171"/>
    </row>
    <row r="179" spans="1:172" s="607" customFormat="1">
      <c r="A179" s="607">
        <f t="shared" si="4"/>
        <v>1985</v>
      </c>
      <c r="B179" s="607">
        <f t="shared" si="5"/>
        <v>1</v>
      </c>
      <c r="C179" s="666">
        <v>31107</v>
      </c>
      <c r="D179" s="1709">
        <v>0.69642380952380945</v>
      </c>
      <c r="E179" s="1117"/>
      <c r="F179" s="1117"/>
      <c r="G179" s="1117"/>
      <c r="H179" s="1117"/>
      <c r="I179" s="959">
        <v>304.3</v>
      </c>
      <c r="J179" s="959">
        <v>438.15</v>
      </c>
      <c r="K179" s="960"/>
      <c r="L179" s="1121"/>
      <c r="M179" s="916">
        <v>5148.4791916040313</v>
      </c>
      <c r="N179" s="916">
        <v>7392.7386186356598</v>
      </c>
      <c r="O179" s="1332"/>
      <c r="P179" s="1332"/>
      <c r="Q179" s="1332"/>
      <c r="R179" s="1332"/>
      <c r="S179" s="1332"/>
      <c r="T179" s="1332"/>
      <c r="U179" s="1120"/>
      <c r="V179" s="1120"/>
      <c r="W179" s="1120"/>
      <c r="X179" s="1120"/>
      <c r="Y179" s="1119"/>
      <c r="Z179" s="1119"/>
      <c r="AA179" s="1119"/>
      <c r="AB179" s="1119"/>
      <c r="AC179" s="1178"/>
      <c r="AD179" s="1178"/>
      <c r="AE179" s="1178"/>
      <c r="AF179" s="1178"/>
      <c r="AG179" s="1178"/>
      <c r="AH179" s="1178"/>
      <c r="AI179" s="1178"/>
      <c r="AJ179" s="1178"/>
      <c r="AK179" s="919">
        <v>28.1</v>
      </c>
      <c r="AL179" s="919">
        <v>40.348993839274122</v>
      </c>
      <c r="AM179" s="919"/>
      <c r="AN179" s="1710"/>
      <c r="AO179" s="919"/>
      <c r="AP179" s="919"/>
      <c r="AS179" s="1167"/>
      <c r="AT179" s="1167"/>
      <c r="AU179" s="1168"/>
      <c r="AV179" s="1168"/>
      <c r="AW179" s="1169"/>
      <c r="AX179" s="1169"/>
      <c r="AY179" s="1169"/>
      <c r="AZ179" s="1169"/>
      <c r="BA179" s="1799" t="s">
        <v>3</v>
      </c>
      <c r="BB179" s="1802">
        <v>2009</v>
      </c>
      <c r="BC179" s="1799" t="s">
        <v>45</v>
      </c>
      <c r="BD179" s="1799">
        <v>3</v>
      </c>
      <c r="BE179" s="1800">
        <v>214798012.16999999</v>
      </c>
      <c r="BF179" s="1801">
        <v>7.1774915610011619E-2</v>
      </c>
      <c r="BG179" s="1799"/>
      <c r="BH179" s="1799" t="s">
        <v>3</v>
      </c>
      <c r="BI179" s="1799" t="s">
        <v>318</v>
      </c>
      <c r="BJ179" s="1799" t="s">
        <v>21</v>
      </c>
      <c r="BK179" s="1799">
        <v>2</v>
      </c>
      <c r="BL179" s="1800">
        <v>909222193.91999996</v>
      </c>
      <c r="BM179" s="1801">
        <v>0.2874750744376105</v>
      </c>
      <c r="BN179" s="1799">
        <v>2013</v>
      </c>
      <c r="BO179" s="1684"/>
      <c r="BP179" s="1697"/>
      <c r="BQ179" s="1169"/>
      <c r="BR179" s="1169"/>
      <c r="BS179" s="1169"/>
      <c r="BT179" s="1169"/>
      <c r="BU179" s="1169"/>
      <c r="BV179" s="1169"/>
      <c r="BW179" s="1169"/>
      <c r="BX179" s="1169"/>
      <c r="BY179" s="1169"/>
      <c r="BZ179" s="1169"/>
      <c r="CA179" s="1169"/>
      <c r="CB179" s="1169"/>
      <c r="CC179" s="1169"/>
      <c r="CD179" s="1169"/>
      <c r="CE179" s="1169"/>
      <c r="CF179" s="1169"/>
      <c r="CG179" s="1169"/>
      <c r="CH179" s="1169"/>
      <c r="CI179" s="1169"/>
      <c r="CJ179" s="1169"/>
      <c r="CK179" s="1169"/>
      <c r="CL179" s="1169"/>
      <c r="CM179" s="1169"/>
      <c r="CN179" s="1169"/>
      <c r="CO179" s="1169"/>
      <c r="CP179" s="1169"/>
      <c r="CQ179" s="1169"/>
      <c r="CR179" s="1169"/>
      <c r="CS179" s="1169"/>
      <c r="CT179" s="1169"/>
      <c r="CU179" s="1169"/>
      <c r="CV179" s="1169"/>
      <c r="CW179" s="1169"/>
      <c r="CX179" s="1169"/>
      <c r="CY179" s="1169"/>
      <c r="CZ179" s="1169"/>
      <c r="DA179" s="1168"/>
      <c r="DB179" s="1168"/>
      <c r="DC179" s="1168"/>
      <c r="DD179" s="1168"/>
      <c r="DE179" s="1168"/>
      <c r="DF179" s="1168"/>
      <c r="DG179" s="1168"/>
      <c r="DH179" s="1168"/>
      <c r="DI179" s="1168"/>
      <c r="DJ179" s="1168"/>
      <c r="DK179" s="1168"/>
      <c r="DL179" s="1168"/>
      <c r="DM179" s="1168"/>
      <c r="DN179" s="1168"/>
      <c r="DO179" s="1168"/>
      <c r="DP179" s="1168"/>
      <c r="DQ179" s="1168"/>
      <c r="DR179" s="1168"/>
      <c r="DS179" s="1168"/>
      <c r="DT179" s="1168"/>
      <c r="DU179" s="1168"/>
      <c r="DV179" s="1168"/>
      <c r="DW179" s="1168"/>
      <c r="DX179" s="1168"/>
      <c r="DY179" s="1168"/>
      <c r="DZ179" s="1168"/>
      <c r="EA179" s="1168"/>
      <c r="EB179" s="1168"/>
      <c r="EC179" s="1168"/>
      <c r="ED179" s="1168"/>
      <c r="EE179" s="1168"/>
      <c r="EF179" s="1168"/>
      <c r="EG179" s="1168"/>
      <c r="EH179" s="1168"/>
      <c r="EI179" s="1170"/>
      <c r="EJ179" s="1170"/>
      <c r="EK179" s="1170"/>
      <c r="EL179" s="1170"/>
      <c r="EM179" s="1170"/>
      <c r="EN179" s="1170"/>
      <c r="EO179" s="1170"/>
      <c r="EP179" s="1170"/>
      <c r="EQ179" s="1170"/>
      <c r="ER179" s="1170"/>
      <c r="ES179" s="1171"/>
      <c r="ET179" s="1171"/>
      <c r="EU179" s="1171"/>
      <c r="EV179" s="1171"/>
      <c r="EW179" s="1171"/>
      <c r="EX179" s="1171"/>
      <c r="EY179" s="1171"/>
      <c r="EZ179" s="1171"/>
      <c r="FA179" s="1171"/>
      <c r="FB179" s="1171"/>
      <c r="FC179" s="1171"/>
      <c r="FD179" s="1171"/>
      <c r="FE179" s="1171"/>
      <c r="FF179" s="1171"/>
      <c r="FG179" s="1171"/>
      <c r="FH179" s="1171"/>
      <c r="FI179" s="1171"/>
      <c r="FJ179" s="1171"/>
      <c r="FK179" s="1171"/>
      <c r="FL179" s="1171"/>
      <c r="FM179" s="1171"/>
      <c r="FN179" s="1171"/>
      <c r="FO179" s="1171"/>
      <c r="FP179" s="1171"/>
    </row>
    <row r="180" spans="1:172" s="607" customFormat="1">
      <c r="A180" s="607">
        <f t="shared" si="4"/>
        <v>1985</v>
      </c>
      <c r="B180" s="607">
        <f t="shared" si="5"/>
        <v>2</v>
      </c>
      <c r="C180" s="666">
        <v>31138</v>
      </c>
      <c r="D180" s="957">
        <v>0.65927368421052646</v>
      </c>
      <c r="E180" s="920"/>
      <c r="F180" s="920"/>
      <c r="G180" s="920"/>
      <c r="H180" s="920"/>
      <c r="I180" s="954">
        <v>325.55</v>
      </c>
      <c r="J180" s="954">
        <v>490.9</v>
      </c>
      <c r="K180" s="954"/>
      <c r="L180" s="920"/>
      <c r="M180" s="917">
        <v>5549.1479372584472</v>
      </c>
      <c r="N180" s="917">
        <v>8417.0627012110999</v>
      </c>
      <c r="O180" s="1334"/>
      <c r="P180" s="1334"/>
      <c r="Q180" s="1334"/>
      <c r="R180" s="1334"/>
      <c r="S180" s="1334"/>
      <c r="T180" s="1334"/>
      <c r="U180" s="920"/>
      <c r="V180" s="920"/>
      <c r="W180" s="920"/>
      <c r="X180" s="920"/>
      <c r="Y180" s="920"/>
      <c r="Z180" s="920"/>
      <c r="AA180" s="920"/>
      <c r="AB180" s="920"/>
      <c r="AC180" s="920"/>
      <c r="AD180" s="920"/>
      <c r="AE180" s="920"/>
      <c r="AF180" s="920"/>
      <c r="AG180" s="920"/>
      <c r="AH180" s="920"/>
      <c r="AI180" s="920"/>
      <c r="AJ180" s="920"/>
      <c r="AK180" s="920">
        <v>27.9</v>
      </c>
      <c r="AL180" s="920">
        <v>42.319298749820362</v>
      </c>
      <c r="AM180" s="920"/>
      <c r="AN180" s="1711"/>
      <c r="AO180" s="920"/>
      <c r="AP180" s="920"/>
      <c r="AS180" s="1167"/>
      <c r="AT180" s="1167"/>
      <c r="AU180" s="1168"/>
      <c r="AV180" s="1168"/>
      <c r="AW180" s="1169"/>
      <c r="AX180" s="1169"/>
      <c r="AY180" s="1169"/>
      <c r="AZ180" s="1169"/>
      <c r="BA180" s="1799" t="s">
        <v>3</v>
      </c>
      <c r="BB180" s="1802">
        <v>2009</v>
      </c>
      <c r="BC180" s="1799" t="s">
        <v>23</v>
      </c>
      <c r="BD180" s="1799">
        <v>4</v>
      </c>
      <c r="BE180" s="1800">
        <v>201130346.72000003</v>
      </c>
      <c r="BF180" s="1801">
        <v>6.7207855029007654E-2</v>
      </c>
      <c r="BG180" s="1799"/>
      <c r="BH180" s="1799" t="s">
        <v>3</v>
      </c>
      <c r="BI180" s="1799" t="s">
        <v>318</v>
      </c>
      <c r="BJ180" s="1799" t="s">
        <v>49</v>
      </c>
      <c r="BK180" s="1799">
        <v>3</v>
      </c>
      <c r="BL180" s="1800">
        <v>285916599.99000007</v>
      </c>
      <c r="BM180" s="1801">
        <v>9.0400230454895605E-2</v>
      </c>
      <c r="BN180" s="1799">
        <v>2013</v>
      </c>
      <c r="BO180" s="1684"/>
      <c r="BP180" s="1696"/>
      <c r="BQ180" s="1169"/>
      <c r="BR180" s="1169"/>
      <c r="BS180" s="1169"/>
      <c r="BT180" s="1169"/>
      <c r="BU180" s="1169"/>
      <c r="BV180" s="1169"/>
      <c r="BW180" s="1169"/>
      <c r="BX180" s="1169"/>
      <c r="BY180" s="1169"/>
      <c r="BZ180" s="1169"/>
      <c r="CA180" s="1169"/>
      <c r="CB180" s="1169"/>
      <c r="CC180" s="1169"/>
      <c r="CD180" s="1169"/>
      <c r="CE180" s="1169"/>
      <c r="CF180" s="1169"/>
      <c r="CG180" s="1169"/>
      <c r="CH180" s="1169"/>
      <c r="CI180" s="1169"/>
      <c r="CJ180" s="1169"/>
      <c r="CK180" s="1169"/>
      <c r="CL180" s="1169"/>
      <c r="CM180" s="1169"/>
      <c r="CN180" s="1169"/>
      <c r="CO180" s="1169"/>
      <c r="CP180" s="1169"/>
      <c r="CQ180" s="1169"/>
      <c r="CR180" s="1169"/>
      <c r="CS180" s="1169"/>
      <c r="CT180" s="1169"/>
      <c r="CU180" s="1169"/>
      <c r="CV180" s="1169"/>
      <c r="CW180" s="1169"/>
      <c r="CX180" s="1169"/>
      <c r="CY180" s="1169"/>
      <c r="CZ180" s="1169"/>
      <c r="DA180" s="1168"/>
      <c r="DB180" s="1168"/>
      <c r="DC180" s="1168"/>
      <c r="DD180" s="1168"/>
      <c r="DE180" s="1168"/>
      <c r="DF180" s="1168"/>
      <c r="DG180" s="1168"/>
      <c r="DH180" s="1168"/>
      <c r="DI180" s="1168"/>
      <c r="DJ180" s="1168"/>
      <c r="DK180" s="1168"/>
      <c r="DL180" s="1168"/>
      <c r="DM180" s="1168"/>
      <c r="DN180" s="1168"/>
      <c r="DO180" s="1168"/>
      <c r="DP180" s="1168"/>
      <c r="DQ180" s="1168"/>
      <c r="DR180" s="1168"/>
      <c r="DS180" s="1168"/>
      <c r="DT180" s="1168"/>
      <c r="DU180" s="1168"/>
      <c r="DV180" s="1168"/>
      <c r="DW180" s="1168"/>
      <c r="DX180" s="1168"/>
      <c r="DY180" s="1168"/>
      <c r="DZ180" s="1168"/>
      <c r="EA180" s="1168"/>
      <c r="EB180" s="1168"/>
      <c r="EC180" s="1168"/>
      <c r="ED180" s="1168"/>
      <c r="EE180" s="1168"/>
      <c r="EF180" s="1168"/>
      <c r="EG180" s="1168"/>
      <c r="EH180" s="1168"/>
      <c r="EI180" s="1170"/>
      <c r="EJ180" s="1170"/>
      <c r="EK180" s="1170"/>
      <c r="EL180" s="1170"/>
      <c r="EM180" s="1170"/>
      <c r="EN180" s="1170"/>
      <c r="EO180" s="1170"/>
      <c r="EP180" s="1170"/>
      <c r="EQ180" s="1170"/>
      <c r="ER180" s="1170"/>
      <c r="ES180" s="1171"/>
      <c r="ET180" s="1171"/>
      <c r="EU180" s="1171"/>
      <c r="EV180" s="1171"/>
      <c r="EW180" s="1171"/>
      <c r="EX180" s="1171"/>
      <c r="EY180" s="1171"/>
      <c r="EZ180" s="1171"/>
      <c r="FA180" s="1171"/>
      <c r="FB180" s="1171"/>
      <c r="FC180" s="1171"/>
      <c r="FD180" s="1171"/>
      <c r="FE180" s="1171"/>
      <c r="FF180" s="1171"/>
      <c r="FG180" s="1171"/>
      <c r="FH180" s="1171"/>
      <c r="FI180" s="1171"/>
      <c r="FJ180" s="1171"/>
      <c r="FK180" s="1171"/>
      <c r="FL180" s="1171"/>
      <c r="FM180" s="1171"/>
      <c r="FN180" s="1171"/>
      <c r="FO180" s="1171"/>
      <c r="FP180" s="1171"/>
    </row>
    <row r="181" spans="1:172" s="607" customFormat="1">
      <c r="A181" s="607">
        <f t="shared" si="4"/>
        <v>1985</v>
      </c>
      <c r="B181" s="607">
        <f t="shared" si="5"/>
        <v>2</v>
      </c>
      <c r="C181" s="666">
        <v>31168</v>
      </c>
      <c r="D181" s="1709">
        <v>0.67629565217391308</v>
      </c>
      <c r="E181" s="1117"/>
      <c r="F181" s="1117"/>
      <c r="G181" s="1117"/>
      <c r="H181" s="1117"/>
      <c r="I181" s="959">
        <v>316.2</v>
      </c>
      <c r="J181" s="959">
        <v>469.9</v>
      </c>
      <c r="K181" s="960"/>
      <c r="L181" s="1121"/>
      <c r="M181" s="916">
        <v>5760.9597613321012</v>
      </c>
      <c r="N181" s="916">
        <v>8518.4042553191503</v>
      </c>
      <c r="O181" s="1332"/>
      <c r="P181" s="1332"/>
      <c r="Q181" s="1332"/>
      <c r="R181" s="1332"/>
      <c r="S181" s="1332"/>
      <c r="T181" s="1332"/>
      <c r="U181" s="1120"/>
      <c r="V181" s="1120"/>
      <c r="W181" s="1120"/>
      <c r="X181" s="1120"/>
      <c r="Y181" s="1119"/>
      <c r="Z181" s="1119"/>
      <c r="AA181" s="1119"/>
      <c r="AB181" s="1119"/>
      <c r="AC181" s="1178"/>
      <c r="AD181" s="1178"/>
      <c r="AE181" s="1178"/>
      <c r="AF181" s="1178"/>
      <c r="AG181" s="1178"/>
      <c r="AH181" s="1178"/>
      <c r="AI181" s="1178"/>
      <c r="AJ181" s="1178"/>
      <c r="AK181" s="919">
        <v>27.9</v>
      </c>
      <c r="AL181" s="919">
        <v>41.254146629979168</v>
      </c>
      <c r="AM181" s="919"/>
      <c r="AN181" s="1710"/>
      <c r="AO181" s="919"/>
      <c r="AP181" s="919"/>
      <c r="AS181" s="1167"/>
      <c r="AT181" s="1167"/>
      <c r="AU181" s="1168"/>
      <c r="AV181" s="1168"/>
      <c r="AW181" s="1169"/>
      <c r="AX181" s="1169"/>
      <c r="AY181" s="1169"/>
      <c r="AZ181" s="1169"/>
      <c r="BA181" s="1799" t="s">
        <v>3</v>
      </c>
      <c r="BB181" s="1802">
        <v>2009</v>
      </c>
      <c r="BC181" s="1799" t="s">
        <v>44</v>
      </c>
      <c r="BD181" s="1799">
        <v>5</v>
      </c>
      <c r="BE181" s="1800">
        <v>188120023.25000003</v>
      </c>
      <c r="BF181" s="1801">
        <v>6.2860445759786179E-2</v>
      </c>
      <c r="BG181" s="1799"/>
      <c r="BH181" s="1799" t="s">
        <v>3</v>
      </c>
      <c r="BI181" s="1799" t="s">
        <v>318</v>
      </c>
      <c r="BJ181" s="1799" t="s">
        <v>20</v>
      </c>
      <c r="BK181" s="1799">
        <v>4</v>
      </c>
      <c r="BL181" s="1800">
        <v>252945302.12</v>
      </c>
      <c r="BM181" s="1801">
        <v>7.9975466989083324E-2</v>
      </c>
      <c r="BN181" s="1799">
        <v>2013</v>
      </c>
      <c r="BO181" s="1684"/>
      <c r="BP181" s="1696"/>
      <c r="BQ181" s="1169"/>
      <c r="BR181" s="1169"/>
      <c r="BS181" s="1169"/>
      <c r="BT181" s="1169"/>
      <c r="BU181" s="1169"/>
      <c r="BV181" s="1169"/>
      <c r="BW181" s="1169"/>
      <c r="BX181" s="1169"/>
      <c r="BY181" s="1169"/>
      <c r="BZ181" s="1169"/>
      <c r="CA181" s="1169"/>
      <c r="CB181" s="1169"/>
      <c r="CC181" s="1169"/>
      <c r="CD181" s="1169"/>
      <c r="CE181" s="1169"/>
      <c r="CF181" s="1169"/>
      <c r="CG181" s="1169"/>
      <c r="CH181" s="1169"/>
      <c r="CI181" s="1169"/>
      <c r="CJ181" s="1169"/>
      <c r="CK181" s="1169"/>
      <c r="CL181" s="1169"/>
      <c r="CM181" s="1169"/>
      <c r="CN181" s="1169"/>
      <c r="CO181" s="1169"/>
      <c r="CP181" s="1169"/>
      <c r="CQ181" s="1169"/>
      <c r="CR181" s="1169"/>
      <c r="CS181" s="1169"/>
      <c r="CT181" s="1169"/>
      <c r="CU181" s="1169"/>
      <c r="CV181" s="1169"/>
      <c r="CW181" s="1169"/>
      <c r="CX181" s="1169"/>
      <c r="CY181" s="1169"/>
      <c r="CZ181" s="1169"/>
      <c r="DA181" s="1168"/>
      <c r="DB181" s="1168"/>
      <c r="DC181" s="1168"/>
      <c r="DD181" s="1168"/>
      <c r="DE181" s="1168"/>
      <c r="DF181" s="1168"/>
      <c r="DG181" s="1168"/>
      <c r="DH181" s="1168"/>
      <c r="DI181" s="1168"/>
      <c r="DJ181" s="1168"/>
      <c r="DK181" s="1168"/>
      <c r="DL181" s="1168"/>
      <c r="DM181" s="1168"/>
      <c r="DN181" s="1168"/>
      <c r="DO181" s="1168"/>
      <c r="DP181" s="1168"/>
      <c r="DQ181" s="1168"/>
      <c r="DR181" s="1168"/>
      <c r="DS181" s="1168"/>
      <c r="DT181" s="1168"/>
      <c r="DU181" s="1168"/>
      <c r="DV181" s="1168"/>
      <c r="DW181" s="1168"/>
      <c r="DX181" s="1168"/>
      <c r="DY181" s="1168"/>
      <c r="DZ181" s="1168"/>
      <c r="EA181" s="1168"/>
      <c r="EB181" s="1168"/>
      <c r="EC181" s="1168"/>
      <c r="ED181" s="1168"/>
      <c r="EE181" s="1168"/>
      <c r="EF181" s="1168"/>
      <c r="EG181" s="1168"/>
      <c r="EH181" s="1168"/>
      <c r="EI181" s="1170"/>
      <c r="EJ181" s="1170"/>
      <c r="EK181" s="1170"/>
      <c r="EL181" s="1170"/>
      <c r="EM181" s="1170"/>
      <c r="EN181" s="1170"/>
      <c r="EO181" s="1170"/>
      <c r="EP181" s="1170"/>
      <c r="EQ181" s="1170"/>
      <c r="ER181" s="1170"/>
      <c r="ES181" s="1171"/>
      <c r="ET181" s="1171"/>
      <c r="EU181" s="1171"/>
      <c r="EV181" s="1171"/>
      <c r="EW181" s="1171"/>
      <c r="EX181" s="1171"/>
      <c r="EY181" s="1171"/>
      <c r="EZ181" s="1171"/>
      <c r="FA181" s="1171"/>
      <c r="FB181" s="1171"/>
      <c r="FC181" s="1171"/>
      <c r="FD181" s="1171"/>
      <c r="FE181" s="1171"/>
      <c r="FF181" s="1171"/>
      <c r="FG181" s="1171"/>
      <c r="FH181" s="1171"/>
      <c r="FI181" s="1171"/>
      <c r="FJ181" s="1171"/>
      <c r="FK181" s="1171"/>
      <c r="FL181" s="1171"/>
      <c r="FM181" s="1171"/>
      <c r="FN181" s="1171"/>
      <c r="FO181" s="1171"/>
      <c r="FP181" s="1171"/>
    </row>
    <row r="182" spans="1:172" s="607" customFormat="1">
      <c r="A182" s="607">
        <f t="shared" si="4"/>
        <v>1985</v>
      </c>
      <c r="B182" s="607">
        <f t="shared" si="5"/>
        <v>2</v>
      </c>
      <c r="C182" s="666">
        <v>31199</v>
      </c>
      <c r="D182" s="957">
        <v>0.66438421052631569</v>
      </c>
      <c r="E182" s="920"/>
      <c r="F182" s="920"/>
      <c r="G182" s="920"/>
      <c r="H182" s="920"/>
      <c r="I182" s="954">
        <v>317.55</v>
      </c>
      <c r="J182" s="954">
        <v>478</v>
      </c>
      <c r="K182" s="954"/>
      <c r="L182" s="920"/>
      <c r="M182" s="917">
        <v>5545.0873913559262</v>
      </c>
      <c r="N182" s="917">
        <v>8346.2058602554498</v>
      </c>
      <c r="O182" s="1334"/>
      <c r="P182" s="1334"/>
      <c r="Q182" s="1334"/>
      <c r="R182" s="1334"/>
      <c r="S182" s="1334"/>
      <c r="T182" s="1334"/>
      <c r="U182" s="920"/>
      <c r="V182" s="920"/>
      <c r="W182" s="920"/>
      <c r="X182" s="920"/>
      <c r="Y182" s="920"/>
      <c r="Z182" s="920"/>
      <c r="AA182" s="920"/>
      <c r="AB182" s="920"/>
      <c r="AC182" s="920"/>
      <c r="AD182" s="920"/>
      <c r="AE182" s="920"/>
      <c r="AF182" s="920"/>
      <c r="AG182" s="920"/>
      <c r="AH182" s="920"/>
      <c r="AI182" s="920"/>
      <c r="AJ182" s="920"/>
      <c r="AK182" s="920">
        <v>26.45</v>
      </c>
      <c r="AL182" s="920">
        <v>39.811301323742605</v>
      </c>
      <c r="AM182" s="920"/>
      <c r="AN182" s="1711"/>
      <c r="AO182" s="920"/>
      <c r="AP182" s="920"/>
      <c r="AS182" s="1167"/>
      <c r="AT182" s="1167"/>
      <c r="AU182" s="1168"/>
      <c r="AV182" s="1168"/>
      <c r="AW182" s="1169"/>
      <c r="AX182" s="1169"/>
      <c r="AY182" s="1169"/>
      <c r="AZ182" s="1169"/>
      <c r="BA182" s="1799" t="s">
        <v>3</v>
      </c>
      <c r="BB182" s="1802">
        <v>2009</v>
      </c>
      <c r="BC182" s="1799" t="s">
        <v>431</v>
      </c>
      <c r="BD182" s="1799">
        <v>6</v>
      </c>
      <c r="BE182" s="1800">
        <v>162349321.26999998</v>
      </c>
      <c r="BF182" s="1801">
        <v>5.4249146515725474E-2</v>
      </c>
      <c r="BG182" s="1799"/>
      <c r="BH182" s="1799" t="s">
        <v>3</v>
      </c>
      <c r="BI182" s="1799" t="s">
        <v>318</v>
      </c>
      <c r="BJ182" s="1799" t="s">
        <v>431</v>
      </c>
      <c r="BK182" s="1799">
        <v>5</v>
      </c>
      <c r="BL182" s="1800">
        <v>116781893.86</v>
      </c>
      <c r="BM182" s="1801">
        <v>3.6923739713861987E-2</v>
      </c>
      <c r="BN182" s="1799">
        <v>2013</v>
      </c>
      <c r="BO182" s="1684"/>
      <c r="BP182" s="1697"/>
      <c r="BQ182" s="1169"/>
      <c r="BR182" s="1169"/>
      <c r="BS182" s="1169"/>
      <c r="BT182" s="1169"/>
      <c r="BU182" s="1169"/>
      <c r="BV182" s="1169"/>
      <c r="BW182" s="1169"/>
      <c r="BX182" s="1169"/>
      <c r="BY182" s="1169"/>
      <c r="BZ182" s="1169"/>
      <c r="CA182" s="1169"/>
      <c r="CB182" s="1169"/>
      <c r="CC182" s="1169"/>
      <c r="CD182" s="1169"/>
      <c r="CE182" s="1169"/>
      <c r="CF182" s="1169"/>
      <c r="CG182" s="1169"/>
      <c r="CH182" s="1169"/>
      <c r="CI182" s="1169"/>
      <c r="CJ182" s="1169"/>
      <c r="CK182" s="1169"/>
      <c r="CL182" s="1169"/>
      <c r="CM182" s="1169"/>
      <c r="CN182" s="1169"/>
      <c r="CO182" s="1169"/>
      <c r="CP182" s="1169"/>
      <c r="CQ182" s="1169"/>
      <c r="CR182" s="1169"/>
      <c r="CS182" s="1169"/>
      <c r="CT182" s="1169"/>
      <c r="CU182" s="1169"/>
      <c r="CV182" s="1169"/>
      <c r="CW182" s="1169"/>
      <c r="CX182" s="1169"/>
      <c r="CY182" s="1169"/>
      <c r="CZ182" s="1169"/>
      <c r="DA182" s="1168"/>
      <c r="DB182" s="1168"/>
      <c r="DC182" s="1168"/>
      <c r="DD182" s="1168"/>
      <c r="DE182" s="1168"/>
      <c r="DF182" s="1168"/>
      <c r="DG182" s="1168"/>
      <c r="DH182" s="1168"/>
      <c r="DI182" s="1168"/>
      <c r="DJ182" s="1168"/>
      <c r="DK182" s="1168"/>
      <c r="DL182" s="1168"/>
      <c r="DM182" s="1168"/>
      <c r="DN182" s="1168"/>
      <c r="DO182" s="1168"/>
      <c r="DP182" s="1168"/>
      <c r="DQ182" s="1168"/>
      <c r="DR182" s="1168"/>
      <c r="DS182" s="1168"/>
      <c r="DT182" s="1168"/>
      <c r="DU182" s="1168"/>
      <c r="DV182" s="1168"/>
      <c r="DW182" s="1168"/>
      <c r="DX182" s="1168"/>
      <c r="DY182" s="1168"/>
      <c r="DZ182" s="1168"/>
      <c r="EA182" s="1168"/>
      <c r="EB182" s="1168"/>
      <c r="EC182" s="1168"/>
      <c r="ED182" s="1168"/>
      <c r="EE182" s="1168"/>
      <c r="EF182" s="1168"/>
      <c r="EG182" s="1168"/>
      <c r="EH182" s="1168"/>
      <c r="EI182" s="1170"/>
      <c r="EJ182" s="1170"/>
      <c r="EK182" s="1170"/>
      <c r="EL182" s="1170"/>
      <c r="EM182" s="1170"/>
      <c r="EN182" s="1170"/>
      <c r="EO182" s="1170"/>
      <c r="EP182" s="1170"/>
      <c r="EQ182" s="1170"/>
      <c r="ER182" s="1170"/>
      <c r="ES182" s="1171"/>
      <c r="ET182" s="1171"/>
      <c r="EU182" s="1171"/>
      <c r="EV182" s="1171"/>
      <c r="EW182" s="1171"/>
      <c r="EX182" s="1171"/>
      <c r="EY182" s="1171"/>
      <c r="EZ182" s="1171"/>
      <c r="FA182" s="1171"/>
      <c r="FB182" s="1171"/>
      <c r="FC182" s="1171"/>
      <c r="FD182" s="1171"/>
      <c r="FE182" s="1171"/>
      <c r="FF182" s="1171"/>
      <c r="FG182" s="1171"/>
      <c r="FH182" s="1171"/>
      <c r="FI182" s="1171"/>
      <c r="FJ182" s="1171"/>
      <c r="FK182" s="1171"/>
      <c r="FL182" s="1171"/>
      <c r="FM182" s="1171"/>
      <c r="FN182" s="1171"/>
      <c r="FO182" s="1171"/>
      <c r="FP182" s="1171"/>
    </row>
    <row r="183" spans="1:172" s="607" customFormat="1">
      <c r="A183" s="607">
        <f t="shared" si="4"/>
        <v>1985</v>
      </c>
      <c r="B183" s="607">
        <f t="shared" si="5"/>
        <v>3</v>
      </c>
      <c r="C183" s="666">
        <v>31229</v>
      </c>
      <c r="D183" s="1709">
        <v>0.69697826086956527</v>
      </c>
      <c r="E183" s="1117"/>
      <c r="F183" s="1117"/>
      <c r="G183" s="1117"/>
      <c r="H183" s="1117"/>
      <c r="I183" s="959">
        <v>316.75</v>
      </c>
      <c r="J183" s="959">
        <v>456.7</v>
      </c>
      <c r="K183" s="960"/>
      <c r="L183" s="1121"/>
      <c r="M183" s="916">
        <v>4880.429471157011</v>
      </c>
      <c r="N183" s="916">
        <v>7002.2692889561304</v>
      </c>
      <c r="O183" s="1332"/>
      <c r="P183" s="1332"/>
      <c r="Q183" s="1332"/>
      <c r="R183" s="1332"/>
      <c r="S183" s="1332"/>
      <c r="T183" s="1332"/>
      <c r="U183" s="1120"/>
      <c r="V183" s="1120"/>
      <c r="W183" s="1120"/>
      <c r="X183" s="1120"/>
      <c r="Y183" s="1119"/>
      <c r="Z183" s="1119"/>
      <c r="AA183" s="1119"/>
      <c r="AB183" s="1119"/>
      <c r="AC183" s="1178"/>
      <c r="AD183" s="1178"/>
      <c r="AE183" s="1178"/>
      <c r="AF183" s="1178"/>
      <c r="AG183" s="1178"/>
      <c r="AH183" s="1178"/>
      <c r="AI183" s="1178"/>
      <c r="AJ183" s="1178"/>
      <c r="AK183" s="919">
        <v>26.45</v>
      </c>
      <c r="AL183" s="919">
        <v>37.949533701381739</v>
      </c>
      <c r="AM183" s="919"/>
      <c r="AN183" s="1710"/>
      <c r="AO183" s="919"/>
      <c r="AP183" s="919"/>
      <c r="AS183" s="1167"/>
      <c r="AT183" s="1167"/>
      <c r="AU183" s="1168"/>
      <c r="AV183" s="1168"/>
      <c r="AW183" s="1169"/>
      <c r="AX183" s="1169"/>
      <c r="AY183" s="1169"/>
      <c r="AZ183" s="1169"/>
      <c r="BA183" s="1799" t="s">
        <v>3</v>
      </c>
      <c r="BB183" s="1802">
        <v>2009</v>
      </c>
      <c r="BC183" s="1799" t="s">
        <v>20</v>
      </c>
      <c r="BD183" s="1799">
        <v>7</v>
      </c>
      <c r="BE183" s="1800">
        <v>159326068.90000001</v>
      </c>
      <c r="BF183" s="1801">
        <v>5.3238924486516112E-2</v>
      </c>
      <c r="BG183" s="1799"/>
      <c r="BH183" s="1799" t="s">
        <v>3</v>
      </c>
      <c r="BI183" s="1799" t="s">
        <v>318</v>
      </c>
      <c r="BJ183" s="1799" t="s">
        <v>23</v>
      </c>
      <c r="BK183" s="1799">
        <v>6</v>
      </c>
      <c r="BL183" s="1800">
        <v>77323263.299999982</v>
      </c>
      <c r="BM183" s="1801">
        <v>2.4447831367920038E-2</v>
      </c>
      <c r="BN183" s="1799">
        <v>2013</v>
      </c>
      <c r="BO183" s="1684"/>
      <c r="BP183" s="1696"/>
      <c r="BQ183" s="1169"/>
      <c r="BR183" s="1169"/>
      <c r="BS183" s="1169"/>
      <c r="BT183" s="1169"/>
      <c r="BU183" s="1169"/>
      <c r="BV183" s="1169"/>
      <c r="BW183" s="1169"/>
      <c r="BX183" s="1169"/>
      <c r="BY183" s="1169"/>
      <c r="BZ183" s="1169"/>
      <c r="CA183" s="1169"/>
      <c r="CB183" s="1169"/>
      <c r="CC183" s="1169"/>
      <c r="CD183" s="1169"/>
      <c r="CE183" s="1169"/>
      <c r="CF183" s="1169"/>
      <c r="CG183" s="1169"/>
      <c r="CH183" s="1169"/>
      <c r="CI183" s="1169"/>
      <c r="CJ183" s="1169"/>
      <c r="CK183" s="1169"/>
      <c r="CL183" s="1169"/>
      <c r="CM183" s="1169"/>
      <c r="CN183" s="1169"/>
      <c r="CO183" s="1169"/>
      <c r="CP183" s="1169"/>
      <c r="CQ183" s="1169"/>
      <c r="CR183" s="1169"/>
      <c r="CS183" s="1169"/>
      <c r="CT183" s="1169"/>
      <c r="CU183" s="1169"/>
      <c r="CV183" s="1169"/>
      <c r="CW183" s="1169"/>
      <c r="CX183" s="1169"/>
      <c r="CY183" s="1169"/>
      <c r="CZ183" s="1169"/>
      <c r="DA183" s="1168"/>
      <c r="DB183" s="1168"/>
      <c r="DC183" s="1168"/>
      <c r="DD183" s="1168"/>
      <c r="DE183" s="1168"/>
      <c r="DF183" s="1168"/>
      <c r="DG183" s="1168"/>
      <c r="DH183" s="1168"/>
      <c r="DI183" s="1168"/>
      <c r="DJ183" s="1168"/>
      <c r="DK183" s="1168"/>
      <c r="DL183" s="1168"/>
      <c r="DM183" s="1168"/>
      <c r="DN183" s="1168"/>
      <c r="DO183" s="1168"/>
      <c r="DP183" s="1168"/>
      <c r="DQ183" s="1168"/>
      <c r="DR183" s="1168"/>
      <c r="DS183" s="1168"/>
      <c r="DT183" s="1168"/>
      <c r="DU183" s="1168"/>
      <c r="DV183" s="1168"/>
      <c r="DW183" s="1168"/>
      <c r="DX183" s="1168"/>
      <c r="DY183" s="1168"/>
      <c r="DZ183" s="1168"/>
      <c r="EA183" s="1168"/>
      <c r="EB183" s="1168"/>
      <c r="EC183" s="1168"/>
      <c r="ED183" s="1168"/>
      <c r="EE183" s="1168"/>
      <c r="EF183" s="1168"/>
      <c r="EG183" s="1168"/>
      <c r="EH183" s="1168"/>
      <c r="EI183" s="1170"/>
      <c r="EJ183" s="1170"/>
      <c r="EK183" s="1170"/>
      <c r="EL183" s="1170"/>
      <c r="EM183" s="1170"/>
      <c r="EN183" s="1170"/>
      <c r="EO183" s="1170"/>
      <c r="EP183" s="1170"/>
      <c r="EQ183" s="1170"/>
      <c r="ER183" s="1170"/>
      <c r="ES183" s="1171"/>
      <c r="ET183" s="1171"/>
      <c r="EU183" s="1171"/>
      <c r="EV183" s="1171"/>
      <c r="EW183" s="1171"/>
      <c r="EX183" s="1171"/>
      <c r="EY183" s="1171"/>
      <c r="EZ183" s="1171"/>
      <c r="FA183" s="1171"/>
      <c r="FB183" s="1171"/>
      <c r="FC183" s="1171"/>
      <c r="FD183" s="1171"/>
      <c r="FE183" s="1171"/>
      <c r="FF183" s="1171"/>
      <c r="FG183" s="1171"/>
      <c r="FH183" s="1171"/>
      <c r="FI183" s="1171"/>
      <c r="FJ183" s="1171"/>
      <c r="FK183" s="1171"/>
      <c r="FL183" s="1171"/>
      <c r="FM183" s="1171"/>
      <c r="FN183" s="1171"/>
      <c r="FO183" s="1171"/>
      <c r="FP183" s="1171"/>
    </row>
    <row r="184" spans="1:172" s="607" customFormat="1">
      <c r="A184" s="607">
        <f t="shared" si="4"/>
        <v>1985</v>
      </c>
      <c r="B184" s="607">
        <f t="shared" si="5"/>
        <v>3</v>
      </c>
      <c r="C184" s="666">
        <v>31260</v>
      </c>
      <c r="D184" s="957">
        <v>0.70724090909090931</v>
      </c>
      <c r="E184" s="920"/>
      <c r="F184" s="920"/>
      <c r="G184" s="920"/>
      <c r="H184" s="920"/>
      <c r="I184" s="954">
        <v>330.05</v>
      </c>
      <c r="J184" s="954">
        <v>455.85</v>
      </c>
      <c r="K184" s="954"/>
      <c r="L184" s="920"/>
      <c r="M184" s="917">
        <v>4935.1318898467234</v>
      </c>
      <c r="N184" s="917">
        <v>6978.00682399773</v>
      </c>
      <c r="O184" s="1334"/>
      <c r="P184" s="1334"/>
      <c r="Q184" s="1334"/>
      <c r="R184" s="1334"/>
      <c r="S184" s="1334"/>
      <c r="T184" s="1334"/>
      <c r="U184" s="920"/>
      <c r="V184" s="920"/>
      <c r="W184" s="920"/>
      <c r="X184" s="920"/>
      <c r="Y184" s="920"/>
      <c r="Z184" s="920"/>
      <c r="AA184" s="920"/>
      <c r="AB184" s="920"/>
      <c r="AC184" s="920"/>
      <c r="AD184" s="920"/>
      <c r="AE184" s="920"/>
      <c r="AF184" s="920"/>
      <c r="AG184" s="920"/>
      <c r="AH184" s="920"/>
      <c r="AI184" s="920"/>
      <c r="AJ184" s="920"/>
      <c r="AK184" s="920">
        <v>27.15</v>
      </c>
      <c r="AL184" s="920">
        <v>38.38861645446773</v>
      </c>
      <c r="AM184" s="920"/>
      <c r="AN184" s="1711"/>
      <c r="AO184" s="920"/>
      <c r="AP184" s="920"/>
      <c r="AS184" s="1167"/>
      <c r="AT184" s="1167"/>
      <c r="AU184" s="1168"/>
      <c r="AV184" s="1168"/>
      <c r="AW184" s="1169"/>
      <c r="AX184" s="1169"/>
      <c r="AY184" s="1169"/>
      <c r="AZ184" s="1169"/>
      <c r="BA184" s="1799" t="s">
        <v>3</v>
      </c>
      <c r="BB184" s="1802">
        <v>2009</v>
      </c>
      <c r="BC184" s="1799" t="s">
        <v>581</v>
      </c>
      <c r="BD184" s="1799">
        <v>8</v>
      </c>
      <c r="BE184" s="1800">
        <v>120662460.69</v>
      </c>
      <c r="BF184" s="1801">
        <v>4.0319451031356791E-2</v>
      </c>
      <c r="BG184" s="1799"/>
      <c r="BH184" s="1799" t="s">
        <v>3</v>
      </c>
      <c r="BI184" s="1799" t="s">
        <v>318</v>
      </c>
      <c r="BJ184" s="1799" t="s">
        <v>43</v>
      </c>
      <c r="BK184" s="1799">
        <v>7</v>
      </c>
      <c r="BL184" s="1800">
        <v>72243564.560000002</v>
      </c>
      <c r="BM184" s="1801">
        <v>2.2841747857016852E-2</v>
      </c>
      <c r="BN184" s="1799">
        <v>2013</v>
      </c>
      <c r="BO184" s="1684"/>
      <c r="BP184" s="1696"/>
      <c r="BQ184" s="1169"/>
      <c r="BR184" s="1169"/>
      <c r="BS184" s="1169"/>
      <c r="BT184" s="1169"/>
      <c r="BU184" s="1169"/>
      <c r="BV184" s="1169"/>
      <c r="BW184" s="1169"/>
      <c r="BX184" s="1169"/>
      <c r="BY184" s="1169"/>
      <c r="BZ184" s="1169"/>
      <c r="CA184" s="1169"/>
      <c r="CB184" s="1169"/>
      <c r="CC184" s="1169"/>
      <c r="CD184" s="1169"/>
      <c r="CE184" s="1169"/>
      <c r="CF184" s="1169"/>
      <c r="CG184" s="1169"/>
      <c r="CH184" s="1169"/>
      <c r="CI184" s="1169"/>
      <c r="CJ184" s="1169"/>
      <c r="CK184" s="1169"/>
      <c r="CL184" s="1169"/>
      <c r="CM184" s="1169"/>
      <c r="CN184" s="1169"/>
      <c r="CO184" s="1169"/>
      <c r="CP184" s="1169"/>
      <c r="CQ184" s="1169"/>
      <c r="CR184" s="1169"/>
      <c r="CS184" s="1169"/>
      <c r="CT184" s="1169"/>
      <c r="CU184" s="1169"/>
      <c r="CV184" s="1169"/>
      <c r="CW184" s="1169"/>
      <c r="CX184" s="1169"/>
      <c r="CY184" s="1169"/>
      <c r="CZ184" s="1169"/>
      <c r="DA184" s="1168"/>
      <c r="DB184" s="1168"/>
      <c r="DC184" s="1168"/>
      <c r="DD184" s="1168"/>
      <c r="DE184" s="1168"/>
      <c r="DF184" s="1168"/>
      <c r="DG184" s="1168"/>
      <c r="DH184" s="1168"/>
      <c r="DI184" s="1168"/>
      <c r="DJ184" s="1168"/>
      <c r="DK184" s="1168"/>
      <c r="DL184" s="1168"/>
      <c r="DM184" s="1168"/>
      <c r="DN184" s="1168"/>
      <c r="DO184" s="1168"/>
      <c r="DP184" s="1168"/>
      <c r="DQ184" s="1168"/>
      <c r="DR184" s="1168"/>
      <c r="DS184" s="1168"/>
      <c r="DT184" s="1168"/>
      <c r="DU184" s="1168"/>
      <c r="DV184" s="1168"/>
      <c r="DW184" s="1168"/>
      <c r="DX184" s="1168"/>
      <c r="DY184" s="1168"/>
      <c r="DZ184" s="1168"/>
      <c r="EA184" s="1168"/>
      <c r="EB184" s="1168"/>
      <c r="EC184" s="1168"/>
      <c r="ED184" s="1168"/>
      <c r="EE184" s="1168"/>
      <c r="EF184" s="1168"/>
      <c r="EG184" s="1168"/>
      <c r="EH184" s="1168"/>
      <c r="EI184" s="1170"/>
      <c r="EJ184" s="1170"/>
      <c r="EK184" s="1170"/>
      <c r="EL184" s="1170"/>
      <c r="EM184" s="1170"/>
      <c r="EN184" s="1170"/>
      <c r="EO184" s="1170"/>
      <c r="EP184" s="1170"/>
      <c r="EQ184" s="1170"/>
      <c r="ER184" s="1170"/>
      <c r="ES184" s="1171"/>
      <c r="ET184" s="1171"/>
      <c r="EU184" s="1171"/>
      <c r="EV184" s="1171"/>
      <c r="EW184" s="1171"/>
      <c r="EX184" s="1171"/>
      <c r="EY184" s="1171"/>
      <c r="EZ184" s="1171"/>
      <c r="FA184" s="1171"/>
      <c r="FB184" s="1171"/>
      <c r="FC184" s="1171"/>
      <c r="FD184" s="1171"/>
      <c r="FE184" s="1171"/>
      <c r="FF184" s="1171"/>
      <c r="FG184" s="1171"/>
      <c r="FH184" s="1171"/>
      <c r="FI184" s="1171"/>
      <c r="FJ184" s="1171"/>
      <c r="FK184" s="1171"/>
      <c r="FL184" s="1171"/>
      <c r="FM184" s="1171"/>
      <c r="FN184" s="1171"/>
      <c r="FO184" s="1171"/>
      <c r="FP184" s="1171"/>
    </row>
    <row r="185" spans="1:172" s="607" customFormat="1">
      <c r="A185" s="607">
        <f t="shared" si="4"/>
        <v>1985</v>
      </c>
      <c r="B185" s="607">
        <f t="shared" si="5"/>
        <v>3</v>
      </c>
      <c r="C185" s="666">
        <v>31291</v>
      </c>
      <c r="D185" s="1709">
        <v>0.68957619047619056</v>
      </c>
      <c r="E185" s="1117"/>
      <c r="F185" s="1117"/>
      <c r="G185" s="1117"/>
      <c r="H185" s="1117"/>
      <c r="I185" s="959">
        <v>323.95</v>
      </c>
      <c r="J185" s="959">
        <v>471.15</v>
      </c>
      <c r="K185" s="960"/>
      <c r="L185" s="1121"/>
      <c r="M185" s="916">
        <v>4453.9099609735085</v>
      </c>
      <c r="N185" s="916">
        <v>6458.90914229193</v>
      </c>
      <c r="O185" s="1332"/>
      <c r="P185" s="1332"/>
      <c r="Q185" s="1332"/>
      <c r="R185" s="1332"/>
      <c r="S185" s="1332"/>
      <c r="T185" s="1332"/>
      <c r="U185" s="1120"/>
      <c r="V185" s="1120"/>
      <c r="W185" s="1120"/>
      <c r="X185" s="1120"/>
      <c r="Y185" s="1119"/>
      <c r="Z185" s="1119"/>
      <c r="AA185" s="1119"/>
      <c r="AB185" s="1119"/>
      <c r="AC185" s="1178"/>
      <c r="AD185" s="1178"/>
      <c r="AE185" s="1178"/>
      <c r="AF185" s="1178"/>
      <c r="AG185" s="1178"/>
      <c r="AH185" s="1178"/>
      <c r="AI185" s="1178"/>
      <c r="AJ185" s="1178"/>
      <c r="AK185" s="919">
        <v>27.15</v>
      </c>
      <c r="AL185" s="919">
        <v>39.372009032462998</v>
      </c>
      <c r="AM185" s="919"/>
      <c r="AN185" s="1710"/>
      <c r="AO185" s="919"/>
      <c r="AP185" s="919"/>
      <c r="AS185" s="1167"/>
      <c r="AT185" s="1167"/>
      <c r="AU185" s="1168"/>
      <c r="AV185" s="1168"/>
      <c r="AW185" s="1169"/>
      <c r="AX185" s="1169"/>
      <c r="AY185" s="1169"/>
      <c r="AZ185" s="1169"/>
      <c r="BA185" s="1799" t="s">
        <v>3</v>
      </c>
      <c r="BB185" s="1802">
        <v>2009</v>
      </c>
      <c r="BC185" s="1799" t="s">
        <v>18</v>
      </c>
      <c r="BD185" s="1799">
        <v>9</v>
      </c>
      <c r="BE185" s="1800">
        <v>73300326.280000001</v>
      </c>
      <c r="BF185" s="1801">
        <v>2.4493358573399862E-2</v>
      </c>
      <c r="BG185" s="1799"/>
      <c r="BH185" s="1799" t="s">
        <v>3</v>
      </c>
      <c r="BI185" s="1799" t="s">
        <v>318</v>
      </c>
      <c r="BJ185" s="1799" t="s">
        <v>51</v>
      </c>
      <c r="BK185" s="1799">
        <v>8</v>
      </c>
      <c r="BL185" s="1800">
        <v>42226945.059999995</v>
      </c>
      <c r="BM185" s="1801">
        <v>1.3351185502918424E-2</v>
      </c>
      <c r="BN185" s="1799">
        <v>2013</v>
      </c>
      <c r="BO185" s="1684"/>
      <c r="BP185" s="1697"/>
      <c r="BQ185" s="1169"/>
      <c r="BR185" s="1169"/>
      <c r="BS185" s="1169"/>
      <c r="BT185" s="1169"/>
      <c r="BU185" s="1169"/>
      <c r="BV185" s="1169"/>
      <c r="BW185" s="1169"/>
      <c r="BX185" s="1169"/>
      <c r="BY185" s="1169"/>
      <c r="BZ185" s="1169"/>
      <c r="CA185" s="1169"/>
      <c r="CB185" s="1169"/>
      <c r="CC185" s="1169"/>
      <c r="CD185" s="1169"/>
      <c r="CE185" s="1169"/>
      <c r="CF185" s="1169"/>
      <c r="CG185" s="1169"/>
      <c r="CH185" s="1169"/>
      <c r="CI185" s="1169"/>
      <c r="CJ185" s="1169"/>
      <c r="CK185" s="1169"/>
      <c r="CL185" s="1169"/>
      <c r="CM185" s="1169"/>
      <c r="CN185" s="1169"/>
      <c r="CO185" s="1169"/>
      <c r="CP185" s="1169"/>
      <c r="CQ185" s="1169"/>
      <c r="CR185" s="1169"/>
      <c r="CS185" s="1169"/>
      <c r="CT185" s="1169"/>
      <c r="CU185" s="1169"/>
      <c r="CV185" s="1169"/>
      <c r="CW185" s="1169"/>
      <c r="CX185" s="1169"/>
      <c r="CY185" s="1169"/>
      <c r="CZ185" s="1169"/>
      <c r="DA185" s="1168"/>
      <c r="DB185" s="1168"/>
      <c r="DC185" s="1168"/>
      <c r="DD185" s="1168"/>
      <c r="DE185" s="1168"/>
      <c r="DF185" s="1168"/>
      <c r="DG185" s="1168"/>
      <c r="DH185" s="1168"/>
      <c r="DI185" s="1168"/>
      <c r="DJ185" s="1168"/>
      <c r="DK185" s="1168"/>
      <c r="DL185" s="1168"/>
      <c r="DM185" s="1168"/>
      <c r="DN185" s="1168"/>
      <c r="DO185" s="1168"/>
      <c r="DP185" s="1168"/>
      <c r="DQ185" s="1168"/>
      <c r="DR185" s="1168"/>
      <c r="DS185" s="1168"/>
      <c r="DT185" s="1168"/>
      <c r="DU185" s="1168"/>
      <c r="DV185" s="1168"/>
      <c r="DW185" s="1168"/>
      <c r="DX185" s="1168"/>
      <c r="DY185" s="1168"/>
      <c r="DZ185" s="1168"/>
      <c r="EA185" s="1168"/>
      <c r="EB185" s="1168"/>
      <c r="EC185" s="1168"/>
      <c r="ED185" s="1168"/>
      <c r="EE185" s="1168"/>
      <c r="EF185" s="1168"/>
      <c r="EG185" s="1168"/>
      <c r="EH185" s="1168"/>
      <c r="EI185" s="1170"/>
      <c r="EJ185" s="1170"/>
      <c r="EK185" s="1170"/>
      <c r="EL185" s="1170"/>
      <c r="EM185" s="1170"/>
      <c r="EN185" s="1170"/>
      <c r="EO185" s="1170"/>
      <c r="EP185" s="1170"/>
      <c r="EQ185" s="1170"/>
      <c r="ER185" s="1170"/>
      <c r="ES185" s="1171"/>
      <c r="ET185" s="1171"/>
      <c r="EU185" s="1171"/>
      <c r="EV185" s="1171"/>
      <c r="EW185" s="1171"/>
      <c r="EX185" s="1171"/>
      <c r="EY185" s="1171"/>
      <c r="EZ185" s="1171"/>
      <c r="FA185" s="1171"/>
      <c r="FB185" s="1171"/>
      <c r="FC185" s="1171"/>
      <c r="FD185" s="1171"/>
      <c r="FE185" s="1171"/>
      <c r="FF185" s="1171"/>
      <c r="FG185" s="1171"/>
      <c r="FH185" s="1171"/>
      <c r="FI185" s="1171"/>
      <c r="FJ185" s="1171"/>
      <c r="FK185" s="1171"/>
      <c r="FL185" s="1171"/>
      <c r="FM185" s="1171"/>
      <c r="FN185" s="1171"/>
      <c r="FO185" s="1171"/>
      <c r="FP185" s="1171"/>
    </row>
    <row r="186" spans="1:172" s="607" customFormat="1">
      <c r="A186" s="607">
        <f t="shared" si="4"/>
        <v>1985</v>
      </c>
      <c r="B186" s="607">
        <f t="shared" si="5"/>
        <v>4</v>
      </c>
      <c r="C186" s="666">
        <v>31321</v>
      </c>
      <c r="D186" s="957">
        <v>0.70307391304347844</v>
      </c>
      <c r="E186" s="920"/>
      <c r="F186" s="920"/>
      <c r="G186" s="920"/>
      <c r="H186" s="920"/>
      <c r="I186" s="954">
        <v>323.95</v>
      </c>
      <c r="J186" s="954">
        <v>464.95</v>
      </c>
      <c r="K186" s="954"/>
      <c r="L186" s="920"/>
      <c r="M186" s="917">
        <v>4257.6236326267026</v>
      </c>
      <c r="N186" s="917">
        <v>6055.7269351613804</v>
      </c>
      <c r="O186" s="1334"/>
      <c r="P186" s="1334"/>
      <c r="Q186" s="1334"/>
      <c r="R186" s="1334"/>
      <c r="S186" s="1334"/>
      <c r="T186" s="1334"/>
      <c r="U186" s="920"/>
      <c r="V186" s="920"/>
      <c r="W186" s="920"/>
      <c r="X186" s="920"/>
      <c r="Y186" s="920"/>
      <c r="Z186" s="920"/>
      <c r="AA186" s="920"/>
      <c r="AB186" s="920"/>
      <c r="AC186" s="920"/>
      <c r="AD186" s="920"/>
      <c r="AE186" s="920"/>
      <c r="AF186" s="920"/>
      <c r="AG186" s="920"/>
      <c r="AH186" s="920"/>
      <c r="AI186" s="920"/>
      <c r="AJ186" s="920"/>
      <c r="AK186" s="920">
        <v>27.15</v>
      </c>
      <c r="AL186" s="920">
        <v>38.616139066336018</v>
      </c>
      <c r="AM186" s="920"/>
      <c r="AN186" s="1711"/>
      <c r="AO186" s="920"/>
      <c r="AP186" s="920"/>
      <c r="AS186" s="1167"/>
      <c r="AT186" s="1167"/>
      <c r="AU186" s="1168"/>
      <c r="AV186" s="1168"/>
      <c r="AW186" s="1169"/>
      <c r="AX186" s="1169"/>
      <c r="AY186" s="1169"/>
      <c r="AZ186" s="1169"/>
      <c r="BA186" s="1799" t="s">
        <v>3</v>
      </c>
      <c r="BB186" s="1802">
        <v>2009</v>
      </c>
      <c r="BC186" s="1799" t="s">
        <v>42</v>
      </c>
      <c r="BD186" s="1799">
        <v>10</v>
      </c>
      <c r="BE186" s="1800">
        <v>52755004.419999994</v>
      </c>
      <c r="BF186" s="1801">
        <v>1.7628123984939435E-2</v>
      </c>
      <c r="BG186" s="1799"/>
      <c r="BH186" s="1799" t="s">
        <v>3</v>
      </c>
      <c r="BI186" s="1799" t="s">
        <v>318</v>
      </c>
      <c r="BJ186" s="1799" t="s">
        <v>48</v>
      </c>
      <c r="BK186" s="1799">
        <v>9</v>
      </c>
      <c r="BL186" s="1800">
        <v>41440494.329999998</v>
      </c>
      <c r="BM186" s="1801">
        <v>1.3102527932018703E-2</v>
      </c>
      <c r="BN186" s="1799">
        <v>2013</v>
      </c>
      <c r="BO186" s="1684"/>
      <c r="BP186" s="1696"/>
      <c r="BQ186" s="1169"/>
      <c r="BR186" s="1169"/>
      <c r="BS186" s="1169"/>
      <c r="BT186" s="1169"/>
      <c r="BU186" s="1169"/>
      <c r="BV186" s="1169"/>
      <c r="BW186" s="1169"/>
      <c r="BX186" s="1169"/>
      <c r="BY186" s="1169"/>
      <c r="BZ186" s="1169"/>
      <c r="CA186" s="1169"/>
      <c r="CB186" s="1169"/>
      <c r="CC186" s="1169"/>
      <c r="CD186" s="1169"/>
      <c r="CE186" s="1169"/>
      <c r="CF186" s="1169"/>
      <c r="CG186" s="1169"/>
      <c r="CH186" s="1169"/>
      <c r="CI186" s="1169"/>
      <c r="CJ186" s="1169"/>
      <c r="CK186" s="1169"/>
      <c r="CL186" s="1169"/>
      <c r="CM186" s="1169"/>
      <c r="CN186" s="1169"/>
      <c r="CO186" s="1169"/>
      <c r="CP186" s="1169"/>
      <c r="CQ186" s="1169"/>
      <c r="CR186" s="1169"/>
      <c r="CS186" s="1169"/>
      <c r="CT186" s="1169"/>
      <c r="CU186" s="1169"/>
      <c r="CV186" s="1169"/>
      <c r="CW186" s="1169"/>
      <c r="CX186" s="1169"/>
      <c r="CY186" s="1169"/>
      <c r="CZ186" s="1169"/>
      <c r="DA186" s="1168"/>
      <c r="DB186" s="1168"/>
      <c r="DC186" s="1168"/>
      <c r="DD186" s="1168"/>
      <c r="DE186" s="1168"/>
      <c r="DF186" s="1168"/>
      <c r="DG186" s="1168"/>
      <c r="DH186" s="1168"/>
      <c r="DI186" s="1168"/>
      <c r="DJ186" s="1168"/>
      <c r="DK186" s="1168"/>
      <c r="DL186" s="1168"/>
      <c r="DM186" s="1168"/>
      <c r="DN186" s="1168"/>
      <c r="DO186" s="1168"/>
      <c r="DP186" s="1168"/>
      <c r="DQ186" s="1168"/>
      <c r="DR186" s="1168"/>
      <c r="DS186" s="1168"/>
      <c r="DT186" s="1168"/>
      <c r="DU186" s="1168"/>
      <c r="DV186" s="1168"/>
      <c r="DW186" s="1168"/>
      <c r="DX186" s="1168"/>
      <c r="DY186" s="1168"/>
      <c r="DZ186" s="1168"/>
      <c r="EA186" s="1168"/>
      <c r="EB186" s="1168"/>
      <c r="EC186" s="1168"/>
      <c r="ED186" s="1168"/>
      <c r="EE186" s="1168"/>
      <c r="EF186" s="1168"/>
      <c r="EG186" s="1168"/>
      <c r="EH186" s="1168"/>
      <c r="EI186" s="1170"/>
      <c r="EJ186" s="1170"/>
      <c r="EK186" s="1170"/>
      <c r="EL186" s="1170"/>
      <c r="EM186" s="1170"/>
      <c r="EN186" s="1170"/>
      <c r="EO186" s="1170"/>
      <c r="EP186" s="1170"/>
      <c r="EQ186" s="1170"/>
      <c r="ER186" s="1170"/>
      <c r="ES186" s="1171"/>
      <c r="ET186" s="1171"/>
      <c r="EU186" s="1171"/>
      <c r="EV186" s="1171"/>
      <c r="EW186" s="1171"/>
      <c r="EX186" s="1171"/>
      <c r="EY186" s="1171"/>
      <c r="EZ186" s="1171"/>
      <c r="FA186" s="1171"/>
      <c r="FB186" s="1171"/>
      <c r="FC186" s="1171"/>
      <c r="FD186" s="1171"/>
      <c r="FE186" s="1171"/>
      <c r="FF186" s="1171"/>
      <c r="FG186" s="1171"/>
      <c r="FH186" s="1171"/>
      <c r="FI186" s="1171"/>
      <c r="FJ186" s="1171"/>
      <c r="FK186" s="1171"/>
      <c r="FL186" s="1171"/>
      <c r="FM186" s="1171"/>
      <c r="FN186" s="1171"/>
      <c r="FO186" s="1171"/>
      <c r="FP186" s="1171"/>
    </row>
    <row r="187" spans="1:172" s="607" customFormat="1">
      <c r="A187" s="607">
        <f t="shared" si="4"/>
        <v>1985</v>
      </c>
      <c r="B187" s="607">
        <f t="shared" si="5"/>
        <v>4</v>
      </c>
      <c r="C187" s="666">
        <v>31352</v>
      </c>
      <c r="D187" s="1709">
        <v>0.67785714285714282</v>
      </c>
      <c r="E187" s="1117"/>
      <c r="F187" s="1117"/>
      <c r="G187" s="1117"/>
      <c r="H187" s="1117"/>
      <c r="I187" s="959">
        <v>325.60000000000002</v>
      </c>
      <c r="J187" s="959">
        <v>480.8</v>
      </c>
      <c r="K187" s="960"/>
      <c r="L187" s="1121"/>
      <c r="M187" s="916">
        <v>3993.0733576642338</v>
      </c>
      <c r="N187" s="916">
        <v>5890.7299270072999</v>
      </c>
      <c r="O187" s="1332"/>
      <c r="P187" s="1332"/>
      <c r="Q187" s="1332"/>
      <c r="R187" s="1332"/>
      <c r="S187" s="1332"/>
      <c r="T187" s="1332"/>
      <c r="U187" s="1120"/>
      <c r="V187" s="1120"/>
      <c r="W187" s="1120"/>
      <c r="X187" s="1120"/>
      <c r="Y187" s="1119"/>
      <c r="Z187" s="1119"/>
      <c r="AA187" s="1119"/>
      <c r="AB187" s="1119"/>
      <c r="AC187" s="1178"/>
      <c r="AD187" s="1178"/>
      <c r="AE187" s="1178"/>
      <c r="AF187" s="1178"/>
      <c r="AG187" s="1178"/>
      <c r="AH187" s="1178"/>
      <c r="AI187" s="1178"/>
      <c r="AJ187" s="1178"/>
      <c r="AK187" s="919">
        <v>29.35</v>
      </c>
      <c r="AL187" s="919">
        <v>43.298208640674396</v>
      </c>
      <c r="AM187" s="919"/>
      <c r="AN187" s="1710"/>
      <c r="AO187" s="919"/>
      <c r="AP187" s="919"/>
      <c r="AS187" s="1167"/>
      <c r="AT187" s="1167"/>
      <c r="AU187" s="1168"/>
      <c r="AV187" s="1168"/>
      <c r="AW187" s="1169"/>
      <c r="AX187" s="1169"/>
      <c r="AY187" s="1169"/>
      <c r="AZ187" s="1169"/>
      <c r="BA187" s="1799" t="s">
        <v>3</v>
      </c>
      <c r="BB187" s="1802">
        <v>2009</v>
      </c>
      <c r="BC187" s="1799" t="s">
        <v>32</v>
      </c>
      <c r="BD187" s="1799"/>
      <c r="BE187" s="1800">
        <v>149356286.89999866</v>
      </c>
      <c r="BF187" s="1801">
        <v>4.9907514412134368E-2</v>
      </c>
      <c r="BG187" s="1799"/>
      <c r="BH187" s="1799" t="s">
        <v>3</v>
      </c>
      <c r="BI187" s="1799" t="s">
        <v>318</v>
      </c>
      <c r="BJ187" s="1799" t="s">
        <v>18</v>
      </c>
      <c r="BK187" s="1799">
        <v>10</v>
      </c>
      <c r="BL187" s="1800">
        <v>27893807.25</v>
      </c>
      <c r="BM187" s="1801">
        <v>8.8193781114934595E-3</v>
      </c>
      <c r="BN187" s="1799">
        <v>2013</v>
      </c>
      <c r="BO187" s="1684"/>
      <c r="BP187" s="1696"/>
      <c r="BQ187" s="1169"/>
      <c r="BR187" s="1169"/>
      <c r="BS187" s="1169"/>
      <c r="BT187" s="1169"/>
      <c r="BU187" s="1169"/>
      <c r="BV187" s="1169"/>
      <c r="BW187" s="1169"/>
      <c r="BX187" s="1169"/>
      <c r="BY187" s="1169"/>
      <c r="BZ187" s="1169"/>
      <c r="CA187" s="1169"/>
      <c r="CB187" s="1169"/>
      <c r="CC187" s="1169"/>
      <c r="CD187" s="1169"/>
      <c r="CE187" s="1169"/>
      <c r="CF187" s="1169"/>
      <c r="CG187" s="1169"/>
      <c r="CH187" s="1169"/>
      <c r="CI187" s="1169"/>
      <c r="CJ187" s="1169"/>
      <c r="CK187" s="1169"/>
      <c r="CL187" s="1169"/>
      <c r="CM187" s="1169"/>
      <c r="CN187" s="1169"/>
      <c r="CO187" s="1169"/>
      <c r="CP187" s="1169"/>
      <c r="CQ187" s="1169"/>
      <c r="CR187" s="1169"/>
      <c r="CS187" s="1169"/>
      <c r="CT187" s="1169"/>
      <c r="CU187" s="1169"/>
      <c r="CV187" s="1169"/>
      <c r="CW187" s="1169"/>
      <c r="CX187" s="1169"/>
      <c r="CY187" s="1169"/>
      <c r="CZ187" s="1169"/>
      <c r="DA187" s="1168"/>
      <c r="DB187" s="1168"/>
      <c r="DC187" s="1168"/>
      <c r="DD187" s="1168"/>
      <c r="DE187" s="1168"/>
      <c r="DF187" s="1168"/>
      <c r="DG187" s="1168"/>
      <c r="DH187" s="1168"/>
      <c r="DI187" s="1168"/>
      <c r="DJ187" s="1168"/>
      <c r="DK187" s="1168"/>
      <c r="DL187" s="1168"/>
      <c r="DM187" s="1168"/>
      <c r="DN187" s="1168"/>
      <c r="DO187" s="1168"/>
      <c r="DP187" s="1168"/>
      <c r="DQ187" s="1168"/>
      <c r="DR187" s="1168"/>
      <c r="DS187" s="1168"/>
      <c r="DT187" s="1168"/>
      <c r="DU187" s="1168"/>
      <c r="DV187" s="1168"/>
      <c r="DW187" s="1168"/>
      <c r="DX187" s="1168"/>
      <c r="DY187" s="1168"/>
      <c r="DZ187" s="1168"/>
      <c r="EA187" s="1168"/>
      <c r="EB187" s="1168"/>
      <c r="EC187" s="1168"/>
      <c r="ED187" s="1168"/>
      <c r="EE187" s="1168"/>
      <c r="EF187" s="1168"/>
      <c r="EG187" s="1168"/>
      <c r="EH187" s="1168"/>
      <c r="EI187" s="1170"/>
      <c r="EJ187" s="1170"/>
      <c r="EK187" s="1170"/>
      <c r="EL187" s="1170"/>
      <c r="EM187" s="1170"/>
      <c r="EN187" s="1170"/>
      <c r="EO187" s="1170"/>
      <c r="EP187" s="1170"/>
      <c r="EQ187" s="1170"/>
      <c r="ER187" s="1170"/>
      <c r="ES187" s="1171"/>
      <c r="ET187" s="1171"/>
      <c r="EU187" s="1171"/>
      <c r="EV187" s="1171"/>
      <c r="EW187" s="1171"/>
      <c r="EX187" s="1171"/>
      <c r="EY187" s="1171"/>
      <c r="EZ187" s="1171"/>
      <c r="FA187" s="1171"/>
      <c r="FB187" s="1171"/>
      <c r="FC187" s="1171"/>
      <c r="FD187" s="1171"/>
      <c r="FE187" s="1171"/>
      <c r="FF187" s="1171"/>
      <c r="FG187" s="1171"/>
      <c r="FH187" s="1171"/>
      <c r="FI187" s="1171"/>
      <c r="FJ187" s="1171"/>
      <c r="FK187" s="1171"/>
      <c r="FL187" s="1171"/>
      <c r="FM187" s="1171"/>
      <c r="FN187" s="1171"/>
      <c r="FO187" s="1171"/>
      <c r="FP187" s="1171"/>
    </row>
    <row r="188" spans="1:172" s="607" customFormat="1">
      <c r="A188" s="607">
        <f t="shared" si="4"/>
        <v>1985</v>
      </c>
      <c r="B188" s="607">
        <f t="shared" si="5"/>
        <v>4</v>
      </c>
      <c r="C188" s="666">
        <v>31382</v>
      </c>
      <c r="D188" s="957">
        <v>0.68111500000000003</v>
      </c>
      <c r="E188" s="920"/>
      <c r="F188" s="920"/>
      <c r="G188" s="920"/>
      <c r="H188" s="920"/>
      <c r="I188" s="954">
        <v>322.10000000000002</v>
      </c>
      <c r="J188" s="954">
        <v>474.1</v>
      </c>
      <c r="K188" s="954"/>
      <c r="L188" s="920"/>
      <c r="M188" s="917">
        <v>4091.5715409017462</v>
      </c>
      <c r="N188" s="917">
        <v>6007.1669848729598</v>
      </c>
      <c r="O188" s="1334"/>
      <c r="P188" s="1334"/>
      <c r="Q188" s="1334"/>
      <c r="R188" s="1334"/>
      <c r="S188" s="1334"/>
      <c r="T188" s="1334"/>
      <c r="U188" s="920"/>
      <c r="V188" s="920"/>
      <c r="W188" s="920"/>
      <c r="X188" s="920"/>
      <c r="Y188" s="920"/>
      <c r="Z188" s="920"/>
      <c r="AA188" s="920"/>
      <c r="AB188" s="920"/>
      <c r="AC188" s="920"/>
      <c r="AD188" s="920"/>
      <c r="AE188" s="920"/>
      <c r="AF188" s="920"/>
      <c r="AG188" s="920"/>
      <c r="AH188" s="920"/>
      <c r="AI188" s="920"/>
      <c r="AJ188" s="920"/>
      <c r="AK188" s="920">
        <v>29.35</v>
      </c>
      <c r="AL188" s="920">
        <v>43.091107962678841</v>
      </c>
      <c r="AM188" s="920"/>
      <c r="AN188" s="1711"/>
      <c r="AO188" s="920"/>
      <c r="AP188" s="920"/>
      <c r="AS188" s="1167"/>
      <c r="AT188" s="1167"/>
      <c r="AU188" s="1168"/>
      <c r="AV188" s="1168"/>
      <c r="AW188" s="1169"/>
      <c r="AX188" s="1169"/>
      <c r="AY188" s="1169"/>
      <c r="AZ188" s="1169"/>
      <c r="BA188" s="1799" t="s">
        <v>3</v>
      </c>
      <c r="BB188" s="1802">
        <v>2009</v>
      </c>
      <c r="BC188" s="1799" t="s">
        <v>249</v>
      </c>
      <c r="BD188" s="1799"/>
      <c r="BE188" s="1800">
        <v>2992661298.7899995</v>
      </c>
      <c r="BF188" s="1801"/>
      <c r="BG188" s="1799"/>
      <c r="BH188" s="1799" t="s">
        <v>3</v>
      </c>
      <c r="BI188" s="1799" t="s">
        <v>318</v>
      </c>
      <c r="BJ188" s="1799" t="s">
        <v>32</v>
      </c>
      <c r="BK188" s="1799"/>
      <c r="BL188" s="1800">
        <v>96919469.699999809</v>
      </c>
      <c r="BM188" s="1801">
        <v>3.0643699584958304E-2</v>
      </c>
      <c r="BN188" s="1799">
        <v>2013</v>
      </c>
      <c r="BO188" s="1684"/>
      <c r="BP188" s="1697"/>
      <c r="BQ188" s="1169"/>
      <c r="BR188" s="1169"/>
      <c r="BS188" s="1169"/>
      <c r="BT188" s="1169"/>
      <c r="BU188" s="1169"/>
      <c r="BV188" s="1169"/>
      <c r="BW188" s="1169"/>
      <c r="BX188" s="1169"/>
      <c r="BY188" s="1169"/>
      <c r="BZ188" s="1169"/>
      <c r="CA188" s="1169"/>
      <c r="CB188" s="1169"/>
      <c r="CC188" s="1169"/>
      <c r="CD188" s="1169"/>
      <c r="CE188" s="1169"/>
      <c r="CF188" s="1169"/>
      <c r="CG188" s="1169"/>
      <c r="CH188" s="1169"/>
      <c r="CI188" s="1169"/>
      <c r="CJ188" s="1169"/>
      <c r="CK188" s="1169"/>
      <c r="CL188" s="1169"/>
      <c r="CM188" s="1169"/>
      <c r="CN188" s="1169"/>
      <c r="CO188" s="1169"/>
      <c r="CP188" s="1169"/>
      <c r="CQ188" s="1169"/>
      <c r="CR188" s="1169"/>
      <c r="CS188" s="1169"/>
      <c r="CT188" s="1169"/>
      <c r="CU188" s="1169"/>
      <c r="CV188" s="1169"/>
      <c r="CW188" s="1169"/>
      <c r="CX188" s="1169"/>
      <c r="CY188" s="1169"/>
      <c r="CZ188" s="1169"/>
      <c r="DA188" s="1168"/>
      <c r="DB188" s="1168"/>
      <c r="DC188" s="1168"/>
      <c r="DD188" s="1168"/>
      <c r="DE188" s="1168"/>
      <c r="DF188" s="1168"/>
      <c r="DG188" s="1168"/>
      <c r="DH188" s="1168"/>
      <c r="DI188" s="1168"/>
      <c r="DJ188" s="1168"/>
      <c r="DK188" s="1168"/>
      <c r="DL188" s="1168"/>
      <c r="DM188" s="1168"/>
      <c r="DN188" s="1168"/>
      <c r="DO188" s="1168"/>
      <c r="DP188" s="1168"/>
      <c r="DQ188" s="1168"/>
      <c r="DR188" s="1168"/>
      <c r="DS188" s="1168"/>
      <c r="DT188" s="1168"/>
      <c r="DU188" s="1168"/>
      <c r="DV188" s="1168"/>
      <c r="DW188" s="1168"/>
      <c r="DX188" s="1168"/>
      <c r="DY188" s="1168"/>
      <c r="DZ188" s="1168"/>
      <c r="EA188" s="1168"/>
      <c r="EB188" s="1168"/>
      <c r="EC188" s="1168"/>
      <c r="ED188" s="1168"/>
      <c r="EE188" s="1168"/>
      <c r="EF188" s="1168"/>
      <c r="EG188" s="1168"/>
      <c r="EH188" s="1168"/>
      <c r="EI188" s="1170"/>
      <c r="EJ188" s="1170"/>
      <c r="EK188" s="1170"/>
      <c r="EL188" s="1170"/>
      <c r="EM188" s="1170"/>
      <c r="EN188" s="1170"/>
      <c r="EO188" s="1170"/>
      <c r="EP188" s="1170"/>
      <c r="EQ188" s="1170"/>
      <c r="ER188" s="1170"/>
      <c r="ES188" s="1171"/>
      <c r="ET188" s="1171"/>
      <c r="EU188" s="1171"/>
      <c r="EV188" s="1171"/>
      <c r="EW188" s="1171"/>
      <c r="EX188" s="1171"/>
      <c r="EY188" s="1171"/>
      <c r="EZ188" s="1171"/>
      <c r="FA188" s="1171"/>
      <c r="FB188" s="1171"/>
      <c r="FC188" s="1171"/>
      <c r="FD188" s="1171"/>
      <c r="FE188" s="1171"/>
      <c r="FF188" s="1171"/>
      <c r="FG188" s="1171"/>
      <c r="FH188" s="1171"/>
      <c r="FI188" s="1171"/>
      <c r="FJ188" s="1171"/>
      <c r="FK188" s="1171"/>
      <c r="FL188" s="1171"/>
      <c r="FM188" s="1171"/>
      <c r="FN188" s="1171"/>
      <c r="FO188" s="1171"/>
      <c r="FP188" s="1171"/>
    </row>
    <row r="189" spans="1:172" s="607" customFormat="1">
      <c r="A189" s="607">
        <f t="shared" si="4"/>
        <v>1986</v>
      </c>
      <c r="B189" s="607">
        <f t="shared" si="5"/>
        <v>1</v>
      </c>
      <c r="C189" s="666">
        <v>31413</v>
      </c>
      <c r="D189" s="1709">
        <v>0.69740476190476197</v>
      </c>
      <c r="E189" s="1117">
        <v>127.4212899142328</v>
      </c>
      <c r="F189" s="1117">
        <v>182.70780022524929</v>
      </c>
      <c r="G189" s="1117"/>
      <c r="H189" s="1117"/>
      <c r="I189" s="959">
        <v>343.7</v>
      </c>
      <c r="J189" s="959">
        <v>493.2</v>
      </c>
      <c r="K189" s="960"/>
      <c r="L189" s="1121"/>
      <c r="M189" s="916">
        <v>3933.0996855345888</v>
      </c>
      <c r="N189" s="916">
        <v>5639.6226415094297</v>
      </c>
      <c r="O189" s="1174">
        <v>1418.3325929711241</v>
      </c>
      <c r="P189" s="1174">
        <v>2033.7294358262677</v>
      </c>
      <c r="Q189" s="1174">
        <v>368.165662</v>
      </c>
      <c r="R189" s="1174">
        <v>527.90815622546165</v>
      </c>
      <c r="S189" s="1174">
        <v>643.47059100000001</v>
      </c>
      <c r="T189" s="1174">
        <v>922.66446423816183</v>
      </c>
      <c r="U189" s="1120">
        <v>118.55880952380953</v>
      </c>
      <c r="V189" s="1120">
        <v>170</v>
      </c>
      <c r="W189" s="1120"/>
      <c r="X189" s="1120"/>
      <c r="Y189" s="1119"/>
      <c r="Z189" s="1119"/>
      <c r="AA189" s="1119"/>
      <c r="AB189" s="1119"/>
      <c r="AC189" s="1178"/>
      <c r="AD189" s="1178"/>
      <c r="AE189" s="1178"/>
      <c r="AF189" s="1178"/>
      <c r="AG189" s="1178"/>
      <c r="AH189" s="1178"/>
      <c r="AI189" s="1178"/>
      <c r="AJ189" s="1178"/>
      <c r="AK189" s="919">
        <v>26.3</v>
      </c>
      <c r="AL189" s="919">
        <v>37.711242361134815</v>
      </c>
      <c r="AM189" s="919"/>
      <c r="AN189" s="1710"/>
      <c r="AO189" s="919"/>
      <c r="AP189" s="919"/>
      <c r="AS189" s="1167"/>
      <c r="AT189" s="1167"/>
      <c r="AU189" s="1168"/>
      <c r="AV189" s="1168"/>
      <c r="AW189" s="1169"/>
      <c r="AX189" s="1169"/>
      <c r="AY189" s="1169"/>
      <c r="AZ189" s="1169"/>
      <c r="BA189" s="1799" t="s">
        <v>3</v>
      </c>
      <c r="BB189" s="1802">
        <v>2008</v>
      </c>
      <c r="BC189" s="1799" t="s">
        <v>15</v>
      </c>
      <c r="BD189" s="1799">
        <v>1</v>
      </c>
      <c r="BE189" s="1800">
        <v>1132994377.54</v>
      </c>
      <c r="BF189" s="1801">
        <v>0.28739276902443622</v>
      </c>
      <c r="BG189" s="1799"/>
      <c r="BH189" s="1799" t="s">
        <v>3</v>
      </c>
      <c r="BI189" s="1799" t="s">
        <v>318</v>
      </c>
      <c r="BJ189" s="1799" t="s">
        <v>249</v>
      </c>
      <c r="BK189" s="1799"/>
      <c r="BL189" s="1800">
        <v>3162786184.8500004</v>
      </c>
      <c r="BM189" s="1801"/>
      <c r="BN189" s="1799">
        <v>2013</v>
      </c>
      <c r="BO189" s="1684"/>
      <c r="BP189" s="1696"/>
      <c r="BQ189" s="1169"/>
      <c r="BR189" s="1169"/>
      <c r="BS189" s="1169"/>
      <c r="BT189" s="1169"/>
      <c r="BU189" s="1169"/>
      <c r="BV189" s="1169"/>
      <c r="BW189" s="1169"/>
      <c r="BX189" s="1169"/>
      <c r="BY189" s="1169"/>
      <c r="BZ189" s="1169"/>
      <c r="CA189" s="1169"/>
      <c r="CB189" s="1169"/>
      <c r="CC189" s="1169"/>
      <c r="CD189" s="1169"/>
      <c r="CE189" s="1169"/>
      <c r="CF189" s="1169"/>
      <c r="CG189" s="1169"/>
      <c r="CH189" s="1169"/>
      <c r="CI189" s="1169"/>
      <c r="CJ189" s="1169"/>
      <c r="CK189" s="1169"/>
      <c r="CL189" s="1169"/>
      <c r="CM189" s="1169"/>
      <c r="CN189" s="1169"/>
      <c r="CO189" s="1169"/>
      <c r="CP189" s="1169"/>
      <c r="CQ189" s="1169"/>
      <c r="CR189" s="1169"/>
      <c r="CS189" s="1169"/>
      <c r="CT189" s="1169"/>
      <c r="CU189" s="1169"/>
      <c r="CV189" s="1169"/>
      <c r="CW189" s="1169"/>
      <c r="CX189" s="1169"/>
      <c r="CY189" s="1169"/>
      <c r="CZ189" s="1169"/>
      <c r="DA189" s="1168"/>
      <c r="DB189" s="1168"/>
      <c r="DC189" s="1168"/>
      <c r="DD189" s="1168"/>
      <c r="DE189" s="1168"/>
      <c r="DF189" s="1168"/>
      <c r="DG189" s="1168"/>
      <c r="DH189" s="1168"/>
      <c r="DI189" s="1168"/>
      <c r="DJ189" s="1168"/>
      <c r="DK189" s="1168"/>
      <c r="DL189" s="1168"/>
      <c r="DM189" s="1168"/>
      <c r="DN189" s="1168"/>
      <c r="DO189" s="1168"/>
      <c r="DP189" s="1168"/>
      <c r="DQ189" s="1168"/>
      <c r="DR189" s="1168"/>
      <c r="DS189" s="1168"/>
      <c r="DT189" s="1168"/>
      <c r="DU189" s="1168"/>
      <c r="DV189" s="1168"/>
      <c r="DW189" s="1168"/>
      <c r="DX189" s="1168"/>
      <c r="DY189" s="1168"/>
      <c r="DZ189" s="1168"/>
      <c r="EA189" s="1168"/>
      <c r="EB189" s="1168"/>
      <c r="EC189" s="1168"/>
      <c r="ED189" s="1168"/>
      <c r="EE189" s="1168"/>
      <c r="EF189" s="1168"/>
      <c r="EG189" s="1168"/>
      <c r="EH189" s="1168"/>
      <c r="EI189" s="1170"/>
      <c r="EJ189" s="1170"/>
      <c r="EK189" s="1170"/>
      <c r="EL189" s="1170"/>
      <c r="EM189" s="1170"/>
      <c r="EN189" s="1170"/>
      <c r="EO189" s="1170"/>
      <c r="EP189" s="1170"/>
      <c r="EQ189" s="1170"/>
      <c r="ER189" s="1170"/>
      <c r="ES189" s="1171"/>
      <c r="ET189" s="1171"/>
      <c r="EU189" s="1171"/>
      <c r="EV189" s="1171"/>
      <c r="EW189" s="1171"/>
      <c r="EX189" s="1171"/>
      <c r="EY189" s="1171"/>
      <c r="EZ189" s="1171"/>
      <c r="FA189" s="1171"/>
      <c r="FB189" s="1171"/>
      <c r="FC189" s="1171"/>
      <c r="FD189" s="1171"/>
      <c r="FE189" s="1171"/>
      <c r="FF189" s="1171"/>
      <c r="FG189" s="1171"/>
      <c r="FH189" s="1171"/>
      <c r="FI189" s="1171"/>
      <c r="FJ189" s="1171"/>
      <c r="FK189" s="1171"/>
      <c r="FL189" s="1171"/>
      <c r="FM189" s="1171"/>
      <c r="FN189" s="1171"/>
      <c r="FO189" s="1171"/>
      <c r="FP189" s="1171"/>
    </row>
    <row r="190" spans="1:172" s="607" customFormat="1">
      <c r="A190" s="607">
        <f t="shared" si="4"/>
        <v>1986</v>
      </c>
      <c r="B190" s="607">
        <f t="shared" si="5"/>
        <v>1</v>
      </c>
      <c r="C190" s="666">
        <v>31444</v>
      </c>
      <c r="D190" s="957">
        <v>0.69983499999999998</v>
      </c>
      <c r="E190" s="920">
        <v>122.85535415979888</v>
      </c>
      <c r="F190" s="920">
        <v>175.54902821350586</v>
      </c>
      <c r="G190" s="920"/>
      <c r="H190" s="920"/>
      <c r="I190" s="954">
        <v>339.85</v>
      </c>
      <c r="J190" s="954">
        <v>487.4</v>
      </c>
      <c r="K190" s="954"/>
      <c r="L190" s="920"/>
      <c r="M190" s="917">
        <v>3934.1965080576147</v>
      </c>
      <c r="N190" s="917">
        <v>5621.6058185966904</v>
      </c>
      <c r="O190" s="1175">
        <v>1405.1375006762164</v>
      </c>
      <c r="P190" s="1175">
        <v>2007.8125567829795</v>
      </c>
      <c r="Q190" s="1175">
        <v>366.82948799999997</v>
      </c>
      <c r="R190" s="1175">
        <v>524.16567905291959</v>
      </c>
      <c r="S190" s="1175">
        <v>608.07964200000004</v>
      </c>
      <c r="T190" s="1175">
        <v>868.89001264583806</v>
      </c>
      <c r="U190" s="920">
        <v>118.97194999999999</v>
      </c>
      <c r="V190" s="920">
        <v>170</v>
      </c>
      <c r="W190" s="920"/>
      <c r="X190" s="920"/>
      <c r="Y190" s="920"/>
      <c r="Z190" s="920"/>
      <c r="AA190" s="920"/>
      <c r="AB190" s="920"/>
      <c r="AC190" s="920"/>
      <c r="AD190" s="920"/>
      <c r="AE190" s="920"/>
      <c r="AF190" s="920"/>
      <c r="AG190" s="920"/>
      <c r="AH190" s="920"/>
      <c r="AI190" s="920"/>
      <c r="AJ190" s="920"/>
      <c r="AK190" s="920">
        <v>16.7</v>
      </c>
      <c r="AL190" s="920">
        <v>23.862767652375201</v>
      </c>
      <c r="AM190" s="920"/>
      <c r="AN190" s="1711"/>
      <c r="AO190" s="920"/>
      <c r="AP190" s="920"/>
      <c r="AS190" s="1167"/>
      <c r="AT190" s="1167"/>
      <c r="AU190" s="1168"/>
      <c r="AV190" s="1168"/>
      <c r="AW190" s="1169"/>
      <c r="AX190" s="1169"/>
      <c r="AY190" s="1169"/>
      <c r="AZ190" s="1169"/>
      <c r="BA190" s="1799" t="s">
        <v>3</v>
      </c>
      <c r="BB190" s="1802">
        <v>2008</v>
      </c>
      <c r="BC190" s="1799" t="s">
        <v>45</v>
      </c>
      <c r="BD190" s="1799">
        <v>2</v>
      </c>
      <c r="BE190" s="1800">
        <v>916226599.57000041</v>
      </c>
      <c r="BF190" s="1801">
        <v>0.23240794899264133</v>
      </c>
      <c r="BG190" s="1799"/>
      <c r="BH190" s="1799" t="s">
        <v>3</v>
      </c>
      <c r="BI190" s="1799" t="s">
        <v>317</v>
      </c>
      <c r="BJ190" s="1799" t="s">
        <v>15</v>
      </c>
      <c r="BK190" s="1799">
        <v>1</v>
      </c>
      <c r="BL190" s="1800">
        <v>1201341767</v>
      </c>
      <c r="BM190" s="1801">
        <v>0.34899999999999998</v>
      </c>
      <c r="BN190" s="1799">
        <v>2012</v>
      </c>
      <c r="BO190" s="1684"/>
      <c r="BP190" s="1696"/>
      <c r="BQ190" s="1169"/>
      <c r="BR190" s="1169"/>
      <c r="BS190" s="1169"/>
      <c r="BT190" s="1169"/>
      <c r="BU190" s="1169"/>
      <c r="BV190" s="1169"/>
      <c r="BW190" s="1169"/>
      <c r="BX190" s="1169"/>
      <c r="BY190" s="1169"/>
      <c r="BZ190" s="1169"/>
      <c r="CA190" s="1169"/>
      <c r="CB190" s="1169"/>
      <c r="CC190" s="1169"/>
      <c r="CD190" s="1169"/>
      <c r="CE190" s="1169"/>
      <c r="CF190" s="1169"/>
      <c r="CG190" s="1169"/>
      <c r="CH190" s="1169"/>
      <c r="CI190" s="1169"/>
      <c r="CJ190" s="1169"/>
      <c r="CK190" s="1169"/>
      <c r="CL190" s="1169"/>
      <c r="CM190" s="1169"/>
      <c r="CN190" s="1169"/>
      <c r="CO190" s="1169"/>
      <c r="CP190" s="1169"/>
      <c r="CQ190" s="1169"/>
      <c r="CR190" s="1169"/>
      <c r="CS190" s="1169"/>
      <c r="CT190" s="1169"/>
      <c r="CU190" s="1169"/>
      <c r="CV190" s="1169"/>
      <c r="CW190" s="1169"/>
      <c r="CX190" s="1169"/>
      <c r="CY190" s="1169"/>
      <c r="CZ190" s="1169"/>
      <c r="DA190" s="1168"/>
      <c r="DB190" s="1168"/>
      <c r="DC190" s="1168"/>
      <c r="DD190" s="1168"/>
      <c r="DE190" s="1168"/>
      <c r="DF190" s="1168"/>
      <c r="DG190" s="1168"/>
      <c r="DH190" s="1168"/>
      <c r="DI190" s="1168"/>
      <c r="DJ190" s="1168"/>
      <c r="DK190" s="1168"/>
      <c r="DL190" s="1168"/>
      <c r="DM190" s="1168"/>
      <c r="DN190" s="1168"/>
      <c r="DO190" s="1168"/>
      <c r="DP190" s="1168"/>
      <c r="DQ190" s="1168"/>
      <c r="DR190" s="1168"/>
      <c r="DS190" s="1168"/>
      <c r="DT190" s="1168"/>
      <c r="DU190" s="1168"/>
      <c r="DV190" s="1168"/>
      <c r="DW190" s="1168"/>
      <c r="DX190" s="1168"/>
      <c r="DY190" s="1168"/>
      <c r="DZ190" s="1168"/>
      <c r="EA190" s="1168"/>
      <c r="EB190" s="1168"/>
      <c r="EC190" s="1168"/>
      <c r="ED190" s="1168"/>
      <c r="EE190" s="1168"/>
      <c r="EF190" s="1168"/>
      <c r="EG190" s="1168"/>
      <c r="EH190" s="1168"/>
      <c r="EI190" s="1170"/>
      <c r="EJ190" s="1170"/>
      <c r="EK190" s="1170"/>
      <c r="EL190" s="1170"/>
      <c r="EM190" s="1170"/>
      <c r="EN190" s="1170"/>
      <c r="EO190" s="1170"/>
      <c r="EP190" s="1170"/>
      <c r="EQ190" s="1170"/>
      <c r="ER190" s="1170"/>
      <c r="ES190" s="1171"/>
      <c r="ET190" s="1171"/>
      <c r="EU190" s="1171"/>
      <c r="EV190" s="1171"/>
      <c r="EW190" s="1171"/>
      <c r="EX190" s="1171"/>
      <c r="EY190" s="1171"/>
      <c r="EZ190" s="1171"/>
      <c r="FA190" s="1171"/>
      <c r="FB190" s="1171"/>
      <c r="FC190" s="1171"/>
      <c r="FD190" s="1171"/>
      <c r="FE190" s="1171"/>
      <c r="FF190" s="1171"/>
      <c r="FG190" s="1171"/>
      <c r="FH190" s="1171"/>
      <c r="FI190" s="1171"/>
      <c r="FJ190" s="1171"/>
      <c r="FK190" s="1171"/>
      <c r="FL190" s="1171"/>
      <c r="FM190" s="1171"/>
      <c r="FN190" s="1171"/>
      <c r="FO190" s="1171"/>
      <c r="FP190" s="1171"/>
    </row>
    <row r="191" spans="1:172" s="607" customFormat="1">
      <c r="A191" s="607">
        <f t="shared" si="4"/>
        <v>1986</v>
      </c>
      <c r="B191" s="607">
        <f t="shared" si="5"/>
        <v>1</v>
      </c>
      <c r="C191" s="666">
        <v>31472</v>
      </c>
      <c r="D191" s="1709">
        <v>0.70736842105263154</v>
      </c>
      <c r="E191" s="1117">
        <v>123.27309473684211</v>
      </c>
      <c r="F191" s="1117">
        <v>174.27</v>
      </c>
      <c r="G191" s="1117"/>
      <c r="H191" s="1117"/>
      <c r="I191" s="959">
        <v>346.7</v>
      </c>
      <c r="J191" s="959">
        <v>490.55</v>
      </c>
      <c r="K191" s="960"/>
      <c r="L191" s="1121"/>
      <c r="M191" s="916">
        <v>4058.1127154168616</v>
      </c>
      <c r="N191" s="916">
        <v>5736.9152970922896</v>
      </c>
      <c r="O191" s="1174">
        <v>1443.5403922874689</v>
      </c>
      <c r="P191" s="1174">
        <v>2040.7193045730587</v>
      </c>
      <c r="Q191" s="1174">
        <v>366.51201599999996</v>
      </c>
      <c r="R191" s="1174">
        <v>518.13454642857141</v>
      </c>
      <c r="S191" s="1174">
        <v>624.64240800000005</v>
      </c>
      <c r="T191" s="1174">
        <v>883.05102321428581</v>
      </c>
      <c r="U191" s="1120">
        <v>120.25263157894736</v>
      </c>
      <c r="V191" s="1120">
        <v>170</v>
      </c>
      <c r="W191" s="1120"/>
      <c r="X191" s="1120"/>
      <c r="Y191" s="1119"/>
      <c r="Z191" s="1119"/>
      <c r="AA191" s="1119"/>
      <c r="AB191" s="1119"/>
      <c r="AC191" s="1178"/>
      <c r="AD191" s="1178"/>
      <c r="AE191" s="1178"/>
      <c r="AF191" s="1178"/>
      <c r="AG191" s="1178"/>
      <c r="AH191" s="1178"/>
      <c r="AI191" s="1178"/>
      <c r="AJ191" s="1178"/>
      <c r="AK191" s="919">
        <v>16.7</v>
      </c>
      <c r="AL191" s="919">
        <v>23.608630952380953</v>
      </c>
      <c r="AM191" s="919"/>
      <c r="AN191" s="1710"/>
      <c r="AO191" s="919"/>
      <c r="AP191" s="919"/>
      <c r="AS191" s="1167"/>
      <c r="AT191" s="1167"/>
      <c r="AU191" s="1168"/>
      <c r="AV191" s="1168"/>
      <c r="AW191" s="1169"/>
      <c r="AX191" s="1169"/>
      <c r="AY191" s="1169"/>
      <c r="AZ191" s="1169"/>
      <c r="BA191" s="1799" t="s">
        <v>3</v>
      </c>
      <c r="BB191" s="1802">
        <v>2008</v>
      </c>
      <c r="BC191" s="1799" t="s">
        <v>23</v>
      </c>
      <c r="BD191" s="1799">
        <v>3</v>
      </c>
      <c r="BE191" s="1800">
        <v>433537841.49999988</v>
      </c>
      <c r="BF191" s="1801">
        <v>0.10997021981352532</v>
      </c>
      <c r="BG191" s="1799"/>
      <c r="BH191" s="1799" t="s">
        <v>3</v>
      </c>
      <c r="BI191" s="1799" t="s">
        <v>317</v>
      </c>
      <c r="BJ191" s="1799" t="s">
        <v>21</v>
      </c>
      <c r="BK191" s="1799">
        <v>2</v>
      </c>
      <c r="BL191" s="1800">
        <v>890845573</v>
      </c>
      <c r="BM191" s="1801">
        <v>0.25900000000000001</v>
      </c>
      <c r="BN191" s="1799">
        <v>2012</v>
      </c>
      <c r="BO191" s="1684"/>
      <c r="BP191" s="1696"/>
      <c r="BQ191" s="1169"/>
      <c r="BR191" s="1169"/>
      <c r="BS191" s="1169"/>
      <c r="BT191" s="1169"/>
      <c r="BU191" s="1169"/>
      <c r="BV191" s="1169"/>
      <c r="BW191" s="1169"/>
      <c r="BX191" s="1169"/>
      <c r="BY191" s="1169"/>
      <c r="BZ191" s="1169"/>
      <c r="CA191" s="1169"/>
      <c r="CB191" s="1169"/>
      <c r="CC191" s="1169"/>
      <c r="CD191" s="1169"/>
      <c r="CE191" s="1169"/>
      <c r="CF191" s="1169"/>
      <c r="CG191" s="1169"/>
      <c r="CH191" s="1169"/>
      <c r="CI191" s="1169"/>
      <c r="CJ191" s="1169"/>
      <c r="CK191" s="1169"/>
      <c r="CL191" s="1169"/>
      <c r="CM191" s="1169"/>
      <c r="CN191" s="1169"/>
      <c r="CO191" s="1169"/>
      <c r="CP191" s="1169"/>
      <c r="CQ191" s="1169"/>
      <c r="CR191" s="1169"/>
      <c r="CS191" s="1169"/>
      <c r="CT191" s="1169"/>
      <c r="CU191" s="1169"/>
      <c r="CV191" s="1169"/>
      <c r="CW191" s="1169"/>
      <c r="CX191" s="1169"/>
      <c r="CY191" s="1169"/>
      <c r="CZ191" s="1169"/>
      <c r="DA191" s="1168"/>
      <c r="DB191" s="1168"/>
      <c r="DC191" s="1168"/>
      <c r="DD191" s="1168"/>
      <c r="DE191" s="1168"/>
      <c r="DF191" s="1168"/>
      <c r="DG191" s="1168"/>
      <c r="DH191" s="1168"/>
      <c r="DI191" s="1168"/>
      <c r="DJ191" s="1168"/>
      <c r="DK191" s="1168"/>
      <c r="DL191" s="1168"/>
      <c r="DM191" s="1168"/>
      <c r="DN191" s="1168"/>
      <c r="DO191" s="1168"/>
      <c r="DP191" s="1168"/>
      <c r="DQ191" s="1168"/>
      <c r="DR191" s="1168"/>
      <c r="DS191" s="1168"/>
      <c r="DT191" s="1168"/>
      <c r="DU191" s="1168"/>
      <c r="DV191" s="1168"/>
      <c r="DW191" s="1168"/>
      <c r="DX191" s="1168"/>
      <c r="DY191" s="1168"/>
      <c r="DZ191" s="1168"/>
      <c r="EA191" s="1168"/>
      <c r="EB191" s="1168"/>
      <c r="EC191" s="1168"/>
      <c r="ED191" s="1168"/>
      <c r="EE191" s="1168"/>
      <c r="EF191" s="1168"/>
      <c r="EG191" s="1168"/>
      <c r="EH191" s="1168"/>
      <c r="EI191" s="1170"/>
      <c r="EJ191" s="1170"/>
      <c r="EK191" s="1170"/>
      <c r="EL191" s="1170"/>
      <c r="EM191" s="1170"/>
      <c r="EN191" s="1170"/>
      <c r="EO191" s="1170"/>
      <c r="EP191" s="1170"/>
      <c r="EQ191" s="1170"/>
      <c r="ER191" s="1170"/>
      <c r="ES191" s="1171"/>
      <c r="ET191" s="1171"/>
      <c r="EU191" s="1171"/>
      <c r="EV191" s="1171"/>
      <c r="EW191" s="1171"/>
      <c r="EX191" s="1171"/>
      <c r="EY191" s="1171"/>
      <c r="EZ191" s="1171"/>
      <c r="FA191" s="1171"/>
      <c r="FB191" s="1171"/>
      <c r="FC191" s="1171"/>
      <c r="FD191" s="1171"/>
      <c r="FE191" s="1171"/>
      <c r="FF191" s="1171"/>
      <c r="FG191" s="1171"/>
      <c r="FH191" s="1171"/>
      <c r="FI191" s="1171"/>
      <c r="FJ191" s="1171"/>
      <c r="FK191" s="1171"/>
      <c r="FL191" s="1171"/>
      <c r="FM191" s="1171"/>
      <c r="FN191" s="1171"/>
      <c r="FO191" s="1171"/>
      <c r="FP191" s="1171"/>
    </row>
    <row r="192" spans="1:172" s="607" customFormat="1">
      <c r="A192" s="607">
        <f t="shared" si="4"/>
        <v>1986</v>
      </c>
      <c r="B192" s="607">
        <f t="shared" si="5"/>
        <v>2</v>
      </c>
      <c r="C192" s="666">
        <v>31503</v>
      </c>
      <c r="D192" s="957">
        <v>0.72187142857142861</v>
      </c>
      <c r="E192" s="920">
        <v>130.79588414285715</v>
      </c>
      <c r="F192" s="920">
        <v>181.19</v>
      </c>
      <c r="G192" s="920"/>
      <c r="H192" s="920"/>
      <c r="I192" s="954">
        <v>341</v>
      </c>
      <c r="J192" s="954">
        <v>473.2</v>
      </c>
      <c r="K192" s="954"/>
      <c r="L192" s="920"/>
      <c r="M192" s="917">
        <v>3903.3212377988662</v>
      </c>
      <c r="N192" s="917">
        <v>5407.2250033824903</v>
      </c>
      <c r="O192" s="1175">
        <v>1432.8137695987516</v>
      </c>
      <c r="P192" s="1175">
        <v>1984.8600635632108</v>
      </c>
      <c r="Q192" s="1175">
        <v>368.70674400000001</v>
      </c>
      <c r="R192" s="1175">
        <v>510.7651160673646</v>
      </c>
      <c r="S192" s="1175">
        <v>658.81651999999997</v>
      </c>
      <c r="T192" s="1175">
        <v>912.65077675090527</v>
      </c>
      <c r="U192" s="920">
        <v>122.71814285714287</v>
      </c>
      <c r="V192" s="920">
        <v>170</v>
      </c>
      <c r="W192" s="920"/>
      <c r="X192" s="920"/>
      <c r="Y192" s="920"/>
      <c r="Z192" s="920"/>
      <c r="AA192" s="920"/>
      <c r="AB192" s="920"/>
      <c r="AC192" s="920"/>
      <c r="AD192" s="920"/>
      <c r="AE192" s="920"/>
      <c r="AF192" s="920"/>
      <c r="AG192" s="920"/>
      <c r="AH192" s="920"/>
      <c r="AI192" s="920"/>
      <c r="AJ192" s="920"/>
      <c r="AK192" s="920">
        <v>12.35</v>
      </c>
      <c r="AL192" s="920">
        <v>17.108309750450218</v>
      </c>
      <c r="AM192" s="920"/>
      <c r="AN192" s="1711"/>
      <c r="AO192" s="920"/>
      <c r="AP192" s="920"/>
      <c r="AS192" s="1167"/>
      <c r="AT192" s="1167"/>
      <c r="AU192" s="1168"/>
      <c r="AV192" s="1168"/>
      <c r="AW192" s="1169"/>
      <c r="AX192" s="1169"/>
      <c r="AY192" s="1169"/>
      <c r="AZ192" s="1169"/>
      <c r="BA192" s="1799" t="s">
        <v>3</v>
      </c>
      <c r="BB192" s="1802">
        <v>2008</v>
      </c>
      <c r="BC192" s="1799" t="s">
        <v>431</v>
      </c>
      <c r="BD192" s="1799">
        <v>4</v>
      </c>
      <c r="BE192" s="1800">
        <v>339067595.53999996</v>
      </c>
      <c r="BF192" s="1801">
        <v>8.6007112745145012E-2</v>
      </c>
      <c r="BG192" s="1799"/>
      <c r="BH192" s="1799" t="s">
        <v>3</v>
      </c>
      <c r="BI192" s="1799" t="s">
        <v>317</v>
      </c>
      <c r="BJ192" s="1799" t="s">
        <v>49</v>
      </c>
      <c r="BK192" s="1799">
        <v>3</v>
      </c>
      <c r="BL192" s="1800">
        <v>319004019</v>
      </c>
      <c r="BM192" s="1801">
        <v>9.2999999999999999E-2</v>
      </c>
      <c r="BN192" s="1799">
        <v>2012</v>
      </c>
      <c r="BO192" s="1684"/>
      <c r="BP192" s="1696"/>
      <c r="BQ192" s="1169"/>
      <c r="BR192" s="1169"/>
      <c r="BS192" s="1169"/>
      <c r="BT192" s="1169"/>
      <c r="BU192" s="1169"/>
      <c r="BV192" s="1169"/>
      <c r="BW192" s="1169"/>
      <c r="BX192" s="1169"/>
      <c r="BY192" s="1169"/>
      <c r="BZ192" s="1169"/>
      <c r="CA192" s="1169"/>
      <c r="CB192" s="1169"/>
      <c r="CC192" s="1169"/>
      <c r="CD192" s="1169"/>
      <c r="CE192" s="1169"/>
      <c r="CF192" s="1169"/>
      <c r="CG192" s="1169"/>
      <c r="CH192" s="1169"/>
      <c r="CI192" s="1169"/>
      <c r="CJ192" s="1169"/>
      <c r="CK192" s="1169"/>
      <c r="CL192" s="1169"/>
      <c r="CM192" s="1169"/>
      <c r="CN192" s="1169"/>
      <c r="CO192" s="1169"/>
      <c r="CP192" s="1169"/>
      <c r="CQ192" s="1169"/>
      <c r="CR192" s="1169"/>
      <c r="CS192" s="1169"/>
      <c r="CT192" s="1169"/>
      <c r="CU192" s="1169"/>
      <c r="CV192" s="1169"/>
      <c r="CW192" s="1169"/>
      <c r="CX192" s="1169"/>
      <c r="CY192" s="1169"/>
      <c r="CZ192" s="1169"/>
      <c r="DA192" s="1168"/>
      <c r="DB192" s="1168"/>
      <c r="DC192" s="1168"/>
      <c r="DD192" s="1168"/>
      <c r="DE192" s="1168"/>
      <c r="DF192" s="1168"/>
      <c r="DG192" s="1168"/>
      <c r="DH192" s="1168"/>
      <c r="DI192" s="1168"/>
      <c r="DJ192" s="1168"/>
      <c r="DK192" s="1168"/>
      <c r="DL192" s="1168"/>
      <c r="DM192" s="1168"/>
      <c r="DN192" s="1168"/>
      <c r="DO192" s="1168"/>
      <c r="DP192" s="1168"/>
      <c r="DQ192" s="1168"/>
      <c r="DR192" s="1168"/>
      <c r="DS192" s="1168"/>
      <c r="DT192" s="1168"/>
      <c r="DU192" s="1168"/>
      <c r="DV192" s="1168"/>
      <c r="DW192" s="1168"/>
      <c r="DX192" s="1168"/>
      <c r="DY192" s="1168"/>
      <c r="DZ192" s="1168"/>
      <c r="EA192" s="1168"/>
      <c r="EB192" s="1168"/>
      <c r="EC192" s="1168"/>
      <c r="ED192" s="1168"/>
      <c r="EE192" s="1168"/>
      <c r="EF192" s="1168"/>
      <c r="EG192" s="1168"/>
      <c r="EH192" s="1168"/>
      <c r="EI192" s="1170"/>
      <c r="EJ192" s="1170"/>
      <c r="EK192" s="1170"/>
      <c r="EL192" s="1170"/>
      <c r="EM192" s="1170"/>
      <c r="EN192" s="1170"/>
      <c r="EO192" s="1170"/>
      <c r="EP192" s="1170"/>
      <c r="EQ192" s="1170"/>
      <c r="ER192" s="1170"/>
      <c r="ES192" s="1171"/>
      <c r="ET192" s="1171"/>
      <c r="EU192" s="1171"/>
      <c r="EV192" s="1171"/>
      <c r="EW192" s="1171"/>
      <c r="EX192" s="1171"/>
      <c r="EY192" s="1171"/>
      <c r="EZ192" s="1171"/>
      <c r="FA192" s="1171"/>
      <c r="FB192" s="1171"/>
      <c r="FC192" s="1171"/>
      <c r="FD192" s="1171"/>
      <c r="FE192" s="1171"/>
      <c r="FF192" s="1171"/>
      <c r="FG192" s="1171"/>
      <c r="FH192" s="1171"/>
      <c r="FI192" s="1171"/>
      <c r="FJ192" s="1171"/>
      <c r="FK192" s="1171"/>
      <c r="FL192" s="1171"/>
      <c r="FM192" s="1171"/>
      <c r="FN192" s="1171"/>
      <c r="FO192" s="1171"/>
      <c r="FP192" s="1171"/>
    </row>
    <row r="193" spans="1:172" s="607" customFormat="1">
      <c r="A193" s="607">
        <f t="shared" si="4"/>
        <v>1986</v>
      </c>
      <c r="B193" s="607">
        <f t="shared" si="5"/>
        <v>2</v>
      </c>
      <c r="C193" s="666">
        <v>31533</v>
      </c>
      <c r="D193" s="1709">
        <v>0.72724999999999995</v>
      </c>
      <c r="E193" s="1117">
        <v>133.55218999999997</v>
      </c>
      <c r="F193" s="1117">
        <v>183.64</v>
      </c>
      <c r="G193" s="1117"/>
      <c r="H193" s="1117"/>
      <c r="I193" s="959">
        <v>342.45</v>
      </c>
      <c r="J193" s="959">
        <v>471.55</v>
      </c>
      <c r="K193" s="960"/>
      <c r="L193" s="1121"/>
      <c r="M193" s="916">
        <v>4133.0350230253971</v>
      </c>
      <c r="N193" s="916">
        <v>5683.1007535584704</v>
      </c>
      <c r="O193" s="1174">
        <v>1419.4918764541733</v>
      </c>
      <c r="P193" s="1174">
        <v>1951.8623258221703</v>
      </c>
      <c r="Q193" s="1174">
        <v>376.38671999999997</v>
      </c>
      <c r="R193" s="1174">
        <v>517.5479133722929</v>
      </c>
      <c r="S193" s="1174">
        <v>707.53699399999994</v>
      </c>
      <c r="T193" s="1174">
        <v>972.89376968030251</v>
      </c>
      <c r="U193" s="1120">
        <v>127.26875</v>
      </c>
      <c r="V193" s="1120">
        <v>175</v>
      </c>
      <c r="W193" s="1120"/>
      <c r="X193" s="1120"/>
      <c r="Y193" s="1119"/>
      <c r="Z193" s="1119"/>
      <c r="AA193" s="1119"/>
      <c r="AB193" s="1119"/>
      <c r="AC193" s="1178"/>
      <c r="AD193" s="1178"/>
      <c r="AE193" s="1178"/>
      <c r="AF193" s="1178"/>
      <c r="AG193" s="1178"/>
      <c r="AH193" s="1178"/>
      <c r="AI193" s="1178"/>
      <c r="AJ193" s="1178"/>
      <c r="AK193" s="919">
        <v>13.45</v>
      </c>
      <c r="AL193" s="919">
        <v>18.494327947748367</v>
      </c>
      <c r="AM193" s="919"/>
      <c r="AN193" s="1710"/>
      <c r="AO193" s="919"/>
      <c r="AP193" s="919"/>
      <c r="AS193" s="1167"/>
      <c r="AT193" s="1167"/>
      <c r="AU193" s="1168"/>
      <c r="AV193" s="1168"/>
      <c r="AW193" s="1169"/>
      <c r="AX193" s="1169"/>
      <c r="AY193" s="1169"/>
      <c r="AZ193" s="1169"/>
      <c r="BA193" s="1799" t="s">
        <v>3</v>
      </c>
      <c r="BB193" s="1802">
        <v>2008</v>
      </c>
      <c r="BC193" s="1799" t="s">
        <v>49</v>
      </c>
      <c r="BD193" s="1799">
        <v>5</v>
      </c>
      <c r="BE193" s="1800">
        <v>278600831.39000005</v>
      </c>
      <c r="BF193" s="1801">
        <v>7.0669251298076635E-2</v>
      </c>
      <c r="BG193" s="1799"/>
      <c r="BH193" s="1799" t="s">
        <v>3</v>
      </c>
      <c r="BI193" s="1799" t="s">
        <v>317</v>
      </c>
      <c r="BJ193" s="1799" t="s">
        <v>20</v>
      </c>
      <c r="BK193" s="1799">
        <v>4</v>
      </c>
      <c r="BL193" s="1800">
        <v>247388545</v>
      </c>
      <c r="BM193" s="1801">
        <v>7.1999999999999995E-2</v>
      </c>
      <c r="BN193" s="1799">
        <v>2012</v>
      </c>
      <c r="BO193" s="1684"/>
      <c r="BP193" s="1696"/>
      <c r="BQ193" s="1169"/>
      <c r="BR193" s="1169"/>
      <c r="BS193" s="1169"/>
      <c r="BT193" s="1169"/>
      <c r="BU193" s="1169"/>
      <c r="BV193" s="1169"/>
      <c r="BW193" s="1169"/>
      <c r="BX193" s="1169"/>
      <c r="BY193" s="1169"/>
      <c r="BZ193" s="1169"/>
      <c r="CA193" s="1169"/>
      <c r="CB193" s="1169"/>
      <c r="CC193" s="1169"/>
      <c r="CD193" s="1169"/>
      <c r="CE193" s="1169"/>
      <c r="CF193" s="1169"/>
      <c r="CG193" s="1169"/>
      <c r="CH193" s="1169"/>
      <c r="CI193" s="1169"/>
      <c r="CJ193" s="1169"/>
      <c r="CK193" s="1169"/>
      <c r="CL193" s="1169"/>
      <c r="CM193" s="1169"/>
      <c r="CN193" s="1169"/>
      <c r="CO193" s="1169"/>
      <c r="CP193" s="1169"/>
      <c r="CQ193" s="1169"/>
      <c r="CR193" s="1169"/>
      <c r="CS193" s="1169"/>
      <c r="CT193" s="1169"/>
      <c r="CU193" s="1169"/>
      <c r="CV193" s="1169"/>
      <c r="CW193" s="1169"/>
      <c r="CX193" s="1169"/>
      <c r="CY193" s="1169"/>
      <c r="CZ193" s="1169"/>
      <c r="DA193" s="1168"/>
      <c r="DB193" s="1168"/>
      <c r="DC193" s="1168"/>
      <c r="DD193" s="1168"/>
      <c r="DE193" s="1168"/>
      <c r="DF193" s="1168"/>
      <c r="DG193" s="1168"/>
      <c r="DH193" s="1168"/>
      <c r="DI193" s="1168"/>
      <c r="DJ193" s="1168"/>
      <c r="DK193" s="1168"/>
      <c r="DL193" s="1168"/>
      <c r="DM193" s="1168"/>
      <c r="DN193" s="1168"/>
      <c r="DO193" s="1168"/>
      <c r="DP193" s="1168"/>
      <c r="DQ193" s="1168"/>
      <c r="DR193" s="1168"/>
      <c r="DS193" s="1168"/>
      <c r="DT193" s="1168"/>
      <c r="DU193" s="1168"/>
      <c r="DV193" s="1168"/>
      <c r="DW193" s="1168"/>
      <c r="DX193" s="1168"/>
      <c r="DY193" s="1168"/>
      <c r="DZ193" s="1168"/>
      <c r="EA193" s="1168"/>
      <c r="EB193" s="1168"/>
      <c r="EC193" s="1168"/>
      <c r="ED193" s="1168"/>
      <c r="EE193" s="1168"/>
      <c r="EF193" s="1168"/>
      <c r="EG193" s="1168"/>
      <c r="EH193" s="1168"/>
      <c r="EI193" s="1170"/>
      <c r="EJ193" s="1170"/>
      <c r="EK193" s="1170"/>
      <c r="EL193" s="1170"/>
      <c r="EM193" s="1170"/>
      <c r="EN193" s="1170"/>
      <c r="EO193" s="1170"/>
      <c r="EP193" s="1170"/>
      <c r="EQ193" s="1170"/>
      <c r="ER193" s="1170"/>
      <c r="ES193" s="1171"/>
      <c r="ET193" s="1171"/>
      <c r="EU193" s="1171"/>
      <c r="EV193" s="1171"/>
      <c r="EW193" s="1171"/>
      <c r="EX193" s="1171"/>
      <c r="EY193" s="1171"/>
      <c r="EZ193" s="1171"/>
      <c r="FA193" s="1171"/>
      <c r="FB193" s="1171"/>
      <c r="FC193" s="1171"/>
      <c r="FD193" s="1171"/>
      <c r="FE193" s="1171"/>
      <c r="FF193" s="1171"/>
      <c r="FG193" s="1171"/>
      <c r="FH193" s="1171"/>
      <c r="FI193" s="1171"/>
      <c r="FJ193" s="1171"/>
      <c r="FK193" s="1171"/>
      <c r="FL193" s="1171"/>
      <c r="FM193" s="1171"/>
      <c r="FN193" s="1171"/>
      <c r="FO193" s="1171"/>
      <c r="FP193" s="1171"/>
    </row>
    <row r="194" spans="1:172" s="607" customFormat="1">
      <c r="A194" s="607">
        <f t="shared" si="4"/>
        <v>1986</v>
      </c>
      <c r="B194" s="607">
        <f t="shared" si="5"/>
        <v>2</v>
      </c>
      <c r="C194" s="666">
        <v>31564</v>
      </c>
      <c r="D194" s="957">
        <v>0.68976500000000007</v>
      </c>
      <c r="E194" s="920">
        <v>117.26005000000001</v>
      </c>
      <c r="F194" s="920">
        <v>170</v>
      </c>
      <c r="G194" s="920"/>
      <c r="H194" s="920"/>
      <c r="I194" s="954">
        <v>341.5</v>
      </c>
      <c r="J194" s="954">
        <v>499</v>
      </c>
      <c r="K194" s="954"/>
      <c r="L194" s="920"/>
      <c r="M194" s="917">
        <v>4176.6228191080909</v>
      </c>
      <c r="N194" s="917">
        <v>6055.1388068517399</v>
      </c>
      <c r="O194" s="1175">
        <v>1411.90399529098</v>
      </c>
      <c r="P194" s="1175">
        <v>2046.9348188020265</v>
      </c>
      <c r="Q194" s="1175">
        <v>417.42880399999996</v>
      </c>
      <c r="R194" s="1175">
        <v>605.17539161888453</v>
      </c>
      <c r="S194" s="1175">
        <v>802.76276799999994</v>
      </c>
      <c r="T194" s="1175">
        <v>1163.820675157481</v>
      </c>
      <c r="U194" s="920">
        <v>120.70887500000001</v>
      </c>
      <c r="V194" s="920">
        <v>175</v>
      </c>
      <c r="W194" s="920"/>
      <c r="X194" s="920"/>
      <c r="Y194" s="920"/>
      <c r="Z194" s="920"/>
      <c r="AA194" s="920"/>
      <c r="AB194" s="920"/>
      <c r="AC194" s="920"/>
      <c r="AD194" s="920"/>
      <c r="AE194" s="920"/>
      <c r="AF194" s="920"/>
      <c r="AG194" s="920"/>
      <c r="AH194" s="920"/>
      <c r="AI194" s="920"/>
      <c r="AJ194" s="920"/>
      <c r="AK194" s="920">
        <v>11.5</v>
      </c>
      <c r="AL194" s="920">
        <v>16.672344929070043</v>
      </c>
      <c r="AM194" s="920"/>
      <c r="AN194" s="1711"/>
      <c r="AO194" s="920"/>
      <c r="AP194" s="920"/>
      <c r="AS194" s="1167"/>
      <c r="AT194" s="1167"/>
      <c r="AU194" s="1168"/>
      <c r="AV194" s="1168"/>
      <c r="AW194" s="1169"/>
      <c r="AX194" s="1169"/>
      <c r="AY194" s="1169"/>
      <c r="AZ194" s="1169"/>
      <c r="BA194" s="1799" t="s">
        <v>3</v>
      </c>
      <c r="BB194" s="1802">
        <v>2008</v>
      </c>
      <c r="BC194" s="1799" t="s">
        <v>20</v>
      </c>
      <c r="BD194" s="1799">
        <v>6</v>
      </c>
      <c r="BE194" s="1800">
        <v>235449737</v>
      </c>
      <c r="BF194" s="1801">
        <v>5.9723643138834825E-2</v>
      </c>
      <c r="BG194" s="1799"/>
      <c r="BH194" s="1799" t="s">
        <v>3</v>
      </c>
      <c r="BI194" s="1799" t="s">
        <v>317</v>
      </c>
      <c r="BJ194" s="1799" t="s">
        <v>44</v>
      </c>
      <c r="BK194" s="1799">
        <v>5</v>
      </c>
      <c r="BL194" s="1800">
        <v>167046806</v>
      </c>
      <c r="BM194" s="1801">
        <v>4.9000000000000002E-2</v>
      </c>
      <c r="BN194" s="1799">
        <v>2012</v>
      </c>
      <c r="BO194" s="1684"/>
      <c r="BP194" s="1696"/>
      <c r="BQ194" s="1169"/>
      <c r="BR194" s="1169"/>
      <c r="BS194" s="1169"/>
      <c r="BT194" s="1169"/>
      <c r="BU194" s="1169"/>
      <c r="BV194" s="1169"/>
      <c r="BW194" s="1169"/>
      <c r="BX194" s="1169"/>
      <c r="BY194" s="1169"/>
      <c r="BZ194" s="1169"/>
      <c r="CA194" s="1169"/>
      <c r="CB194" s="1169"/>
      <c r="CC194" s="1169"/>
      <c r="CD194" s="1169"/>
      <c r="CE194" s="1169"/>
      <c r="CF194" s="1169"/>
      <c r="CG194" s="1169"/>
      <c r="CH194" s="1169"/>
      <c r="CI194" s="1169"/>
      <c r="CJ194" s="1169"/>
      <c r="CK194" s="1169"/>
      <c r="CL194" s="1169"/>
      <c r="CM194" s="1169"/>
      <c r="CN194" s="1169"/>
      <c r="CO194" s="1169"/>
      <c r="CP194" s="1169"/>
      <c r="CQ194" s="1169"/>
      <c r="CR194" s="1169"/>
      <c r="CS194" s="1169"/>
      <c r="CT194" s="1169"/>
      <c r="CU194" s="1169"/>
      <c r="CV194" s="1169"/>
      <c r="CW194" s="1169"/>
      <c r="CX194" s="1169"/>
      <c r="CY194" s="1169"/>
      <c r="CZ194" s="1169"/>
      <c r="DA194" s="1168"/>
      <c r="DB194" s="1168"/>
      <c r="DC194" s="1168"/>
      <c r="DD194" s="1168"/>
      <c r="DE194" s="1168"/>
      <c r="DF194" s="1168"/>
      <c r="DG194" s="1168"/>
      <c r="DH194" s="1168"/>
      <c r="DI194" s="1168"/>
      <c r="DJ194" s="1168"/>
      <c r="DK194" s="1168"/>
      <c r="DL194" s="1168"/>
      <c r="DM194" s="1168"/>
      <c r="DN194" s="1168"/>
      <c r="DO194" s="1168"/>
      <c r="DP194" s="1168"/>
      <c r="DQ194" s="1168"/>
      <c r="DR194" s="1168"/>
      <c r="DS194" s="1168"/>
      <c r="DT194" s="1168"/>
      <c r="DU194" s="1168"/>
      <c r="DV194" s="1168"/>
      <c r="DW194" s="1168"/>
      <c r="DX194" s="1168"/>
      <c r="DY194" s="1168"/>
      <c r="DZ194" s="1168"/>
      <c r="EA194" s="1168"/>
      <c r="EB194" s="1168"/>
      <c r="EC194" s="1168"/>
      <c r="ED194" s="1168"/>
      <c r="EE194" s="1168"/>
      <c r="EF194" s="1168"/>
      <c r="EG194" s="1168"/>
      <c r="EH194" s="1168"/>
      <c r="EI194" s="1170"/>
      <c r="EJ194" s="1170"/>
      <c r="EK194" s="1170"/>
      <c r="EL194" s="1170"/>
      <c r="EM194" s="1170"/>
      <c r="EN194" s="1170"/>
      <c r="EO194" s="1170"/>
      <c r="EP194" s="1170"/>
      <c r="EQ194" s="1170"/>
      <c r="ER194" s="1170"/>
      <c r="ES194" s="1171"/>
      <c r="ET194" s="1171"/>
      <c r="EU194" s="1171"/>
      <c r="EV194" s="1171"/>
      <c r="EW194" s="1171"/>
      <c r="EX194" s="1171"/>
      <c r="EY194" s="1171"/>
      <c r="EZ194" s="1171"/>
      <c r="FA194" s="1171"/>
      <c r="FB194" s="1171"/>
      <c r="FC194" s="1171"/>
      <c r="FD194" s="1171"/>
      <c r="FE194" s="1171"/>
      <c r="FF194" s="1171"/>
      <c r="FG194" s="1171"/>
      <c r="FH194" s="1171"/>
      <c r="FI194" s="1171"/>
      <c r="FJ194" s="1171"/>
      <c r="FK194" s="1171"/>
      <c r="FL194" s="1171"/>
      <c r="FM194" s="1171"/>
      <c r="FN194" s="1171"/>
      <c r="FO194" s="1171"/>
      <c r="FP194" s="1171"/>
    </row>
    <row r="195" spans="1:172" s="607" customFormat="1">
      <c r="A195" s="607">
        <f t="shared" si="4"/>
        <v>1986</v>
      </c>
      <c r="B195" s="607">
        <f t="shared" si="5"/>
        <v>3</v>
      </c>
      <c r="C195" s="666">
        <v>31594</v>
      </c>
      <c r="D195" s="1709">
        <v>0.63187391304347829</v>
      </c>
      <c r="E195" s="1117">
        <v>114.67247773913043</v>
      </c>
      <c r="F195" s="1117">
        <v>181.48</v>
      </c>
      <c r="G195" s="1117"/>
      <c r="H195" s="1117"/>
      <c r="I195" s="959">
        <v>348.5</v>
      </c>
      <c r="J195" s="959">
        <v>552.6</v>
      </c>
      <c r="K195" s="960"/>
      <c r="L195" s="1121"/>
      <c r="M195" s="916">
        <v>4188.6900562745359</v>
      </c>
      <c r="N195" s="916">
        <v>6628.9966555183901</v>
      </c>
      <c r="O195" s="1174">
        <v>1345.8004149787266</v>
      </c>
      <c r="P195" s="1174">
        <v>2129.8559525848382</v>
      </c>
      <c r="Q195" s="1174">
        <v>379.99646100000001</v>
      </c>
      <c r="R195" s="1174">
        <v>601.38020126469917</v>
      </c>
      <c r="S195" s="1174">
        <v>807.55096500000002</v>
      </c>
      <c r="T195" s="1174">
        <v>1278.0254863036791</v>
      </c>
      <c r="U195" s="1120">
        <v>110.57793478260869</v>
      </c>
      <c r="V195" s="1120">
        <v>175</v>
      </c>
      <c r="W195" s="1120"/>
      <c r="X195" s="1120"/>
      <c r="Y195" s="1119"/>
      <c r="Z195" s="1119"/>
      <c r="AA195" s="1119"/>
      <c r="AB195" s="1119"/>
      <c r="AC195" s="1178"/>
      <c r="AD195" s="1178"/>
      <c r="AE195" s="1178"/>
      <c r="AF195" s="1178"/>
      <c r="AG195" s="1178"/>
      <c r="AH195" s="1178"/>
      <c r="AI195" s="1178"/>
      <c r="AJ195" s="1178"/>
      <c r="AK195" s="919">
        <v>11.5</v>
      </c>
      <c r="AL195" s="919">
        <v>18.199833483565101</v>
      </c>
      <c r="AM195" s="919"/>
      <c r="AN195" s="1710"/>
      <c r="AO195" s="919"/>
      <c r="AP195" s="919"/>
      <c r="AS195" s="1167"/>
      <c r="AT195" s="1167"/>
      <c r="AU195" s="1168"/>
      <c r="AV195" s="1168"/>
      <c r="AW195" s="1169"/>
      <c r="AX195" s="1169"/>
      <c r="AY195" s="1169"/>
      <c r="AZ195" s="1169"/>
      <c r="BA195" s="1799" t="s">
        <v>3</v>
      </c>
      <c r="BB195" s="1802">
        <v>2008</v>
      </c>
      <c r="BC195" s="1799" t="s">
        <v>42</v>
      </c>
      <c r="BD195" s="1799">
        <v>7</v>
      </c>
      <c r="BE195" s="1800">
        <v>211900040.71000004</v>
      </c>
      <c r="BF195" s="1801">
        <v>5.3750080903545938E-2</v>
      </c>
      <c r="BG195" s="1799"/>
      <c r="BH195" s="1799" t="s">
        <v>3</v>
      </c>
      <c r="BI195" s="1799" t="s">
        <v>317</v>
      </c>
      <c r="BJ195" s="1799" t="s">
        <v>431</v>
      </c>
      <c r="BK195" s="1799">
        <v>6</v>
      </c>
      <c r="BL195" s="1800">
        <v>161955945</v>
      </c>
      <c r="BM195" s="1801">
        <v>4.7E-2</v>
      </c>
      <c r="BN195" s="1799">
        <v>2012</v>
      </c>
      <c r="BO195" s="1684"/>
      <c r="BP195" s="1696"/>
      <c r="BQ195" s="1169"/>
      <c r="BR195" s="1169"/>
      <c r="BS195" s="1169"/>
      <c r="BT195" s="1169"/>
      <c r="BU195" s="1169"/>
      <c r="BV195" s="1169"/>
      <c r="BW195" s="1169"/>
      <c r="BX195" s="1169"/>
      <c r="BY195" s="1169"/>
      <c r="BZ195" s="1169"/>
      <c r="CA195" s="1169"/>
      <c r="CB195" s="1169"/>
      <c r="CC195" s="1169"/>
      <c r="CD195" s="1169"/>
      <c r="CE195" s="1169"/>
      <c r="CF195" s="1169"/>
      <c r="CG195" s="1169"/>
      <c r="CH195" s="1169"/>
      <c r="CI195" s="1169"/>
      <c r="CJ195" s="1169"/>
      <c r="CK195" s="1169"/>
      <c r="CL195" s="1169"/>
      <c r="CM195" s="1169"/>
      <c r="CN195" s="1169"/>
      <c r="CO195" s="1169"/>
      <c r="CP195" s="1169"/>
      <c r="CQ195" s="1169"/>
      <c r="CR195" s="1169"/>
      <c r="CS195" s="1169"/>
      <c r="CT195" s="1169"/>
      <c r="CU195" s="1169"/>
      <c r="CV195" s="1169"/>
      <c r="CW195" s="1169"/>
      <c r="CX195" s="1169"/>
      <c r="CY195" s="1169"/>
      <c r="CZ195" s="1169"/>
      <c r="DA195" s="1168"/>
      <c r="DB195" s="1168"/>
      <c r="DC195" s="1168"/>
      <c r="DD195" s="1168"/>
      <c r="DE195" s="1168"/>
      <c r="DF195" s="1168"/>
      <c r="DG195" s="1168"/>
      <c r="DH195" s="1168"/>
      <c r="DI195" s="1168"/>
      <c r="DJ195" s="1168"/>
      <c r="DK195" s="1168"/>
      <c r="DL195" s="1168"/>
      <c r="DM195" s="1168"/>
      <c r="DN195" s="1168"/>
      <c r="DO195" s="1168"/>
      <c r="DP195" s="1168"/>
      <c r="DQ195" s="1168"/>
      <c r="DR195" s="1168"/>
      <c r="DS195" s="1168"/>
      <c r="DT195" s="1168"/>
      <c r="DU195" s="1168"/>
      <c r="DV195" s="1168"/>
      <c r="DW195" s="1168"/>
      <c r="DX195" s="1168"/>
      <c r="DY195" s="1168"/>
      <c r="DZ195" s="1168"/>
      <c r="EA195" s="1168"/>
      <c r="EB195" s="1168"/>
      <c r="EC195" s="1168"/>
      <c r="ED195" s="1168"/>
      <c r="EE195" s="1168"/>
      <c r="EF195" s="1168"/>
      <c r="EG195" s="1168"/>
      <c r="EH195" s="1168"/>
      <c r="EI195" s="1170"/>
      <c r="EJ195" s="1170"/>
      <c r="EK195" s="1170"/>
      <c r="EL195" s="1170"/>
      <c r="EM195" s="1170"/>
      <c r="EN195" s="1170"/>
      <c r="EO195" s="1170"/>
      <c r="EP195" s="1170"/>
      <c r="EQ195" s="1170"/>
      <c r="ER195" s="1170"/>
      <c r="ES195" s="1171"/>
      <c r="ET195" s="1171"/>
      <c r="EU195" s="1171"/>
      <c r="EV195" s="1171"/>
      <c r="EW195" s="1171"/>
      <c r="EX195" s="1171"/>
      <c r="EY195" s="1171"/>
      <c r="EZ195" s="1171"/>
      <c r="FA195" s="1171"/>
      <c r="FB195" s="1171"/>
      <c r="FC195" s="1171"/>
      <c r="FD195" s="1171"/>
      <c r="FE195" s="1171"/>
      <c r="FF195" s="1171"/>
      <c r="FG195" s="1171"/>
      <c r="FH195" s="1171"/>
      <c r="FI195" s="1171"/>
      <c r="FJ195" s="1171"/>
      <c r="FK195" s="1171"/>
      <c r="FL195" s="1171"/>
      <c r="FM195" s="1171"/>
      <c r="FN195" s="1171"/>
      <c r="FO195" s="1171"/>
      <c r="FP195" s="1171"/>
    </row>
    <row r="196" spans="1:172" s="607" customFormat="1">
      <c r="A196" s="607">
        <f t="shared" si="4"/>
        <v>1986</v>
      </c>
      <c r="B196" s="607">
        <f t="shared" si="5"/>
        <v>3</v>
      </c>
      <c r="C196" s="666">
        <v>31625</v>
      </c>
      <c r="D196" s="957">
        <v>0.61216190476190468</v>
      </c>
      <c r="E196" s="920">
        <v>121.75900285714285</v>
      </c>
      <c r="F196" s="920">
        <v>198.9</v>
      </c>
      <c r="G196" s="920"/>
      <c r="H196" s="920"/>
      <c r="I196" s="954">
        <v>375.8</v>
      </c>
      <c r="J196" s="954">
        <v>616.15</v>
      </c>
      <c r="K196" s="954"/>
      <c r="L196" s="920"/>
      <c r="M196" s="917">
        <v>3819.8802255350774</v>
      </c>
      <c r="N196" s="917">
        <v>6239.9835661462603</v>
      </c>
      <c r="O196" s="1175">
        <v>1302.7731893191572</v>
      </c>
      <c r="P196" s="1175">
        <v>2128.1513586276819</v>
      </c>
      <c r="Q196" s="1175">
        <v>391.84476799999999</v>
      </c>
      <c r="R196" s="1175">
        <v>640.09989016288876</v>
      </c>
      <c r="S196" s="1175">
        <v>816.09305599999993</v>
      </c>
      <c r="T196" s="1175">
        <v>1333.1327050111238</v>
      </c>
      <c r="U196" s="920">
        <v>107.12833333333332</v>
      </c>
      <c r="V196" s="920">
        <v>175</v>
      </c>
      <c r="W196" s="920"/>
      <c r="X196" s="920"/>
      <c r="Y196" s="920"/>
      <c r="Z196" s="920"/>
      <c r="AA196" s="920"/>
      <c r="AB196" s="920"/>
      <c r="AC196" s="920"/>
      <c r="AD196" s="920"/>
      <c r="AE196" s="920"/>
      <c r="AF196" s="920"/>
      <c r="AG196" s="920"/>
      <c r="AH196" s="920"/>
      <c r="AI196" s="920"/>
      <c r="AJ196" s="920"/>
      <c r="AK196" s="920">
        <v>14.9</v>
      </c>
      <c r="AL196" s="920">
        <v>24.339966084291429</v>
      </c>
      <c r="AM196" s="920"/>
      <c r="AN196" s="1711"/>
      <c r="AO196" s="920"/>
      <c r="AP196" s="920"/>
      <c r="AS196" s="1167"/>
      <c r="AT196" s="1167"/>
      <c r="AU196" s="1168"/>
      <c r="AV196" s="1168"/>
      <c r="AW196" s="1169"/>
      <c r="AX196" s="1169"/>
      <c r="AY196" s="1169"/>
      <c r="AZ196" s="1169"/>
      <c r="BA196" s="1799" t="s">
        <v>3</v>
      </c>
      <c r="BB196" s="1802">
        <v>2008</v>
      </c>
      <c r="BC196" s="1799" t="s">
        <v>581</v>
      </c>
      <c r="BD196" s="1799">
        <v>8</v>
      </c>
      <c r="BE196" s="1800">
        <v>106707286.03999999</v>
      </c>
      <c r="BF196" s="1801">
        <v>2.7067126737824857E-2</v>
      </c>
      <c r="BG196" s="1799"/>
      <c r="BH196" s="1799" t="s">
        <v>3</v>
      </c>
      <c r="BI196" s="1799" t="s">
        <v>317</v>
      </c>
      <c r="BJ196" s="1799" t="s">
        <v>48</v>
      </c>
      <c r="BK196" s="1799">
        <v>7</v>
      </c>
      <c r="BL196" s="1800">
        <v>90611835</v>
      </c>
      <c r="BM196" s="1801">
        <v>2.5999999999999999E-2</v>
      </c>
      <c r="BN196" s="1799">
        <v>2012</v>
      </c>
      <c r="BO196" s="1684"/>
      <c r="BP196" s="1696"/>
      <c r="BQ196" s="1169"/>
      <c r="BR196" s="1169"/>
      <c r="BS196" s="1169"/>
      <c r="BT196" s="1169"/>
      <c r="BU196" s="1169"/>
      <c r="BV196" s="1169"/>
      <c r="BW196" s="1169"/>
      <c r="BX196" s="1169"/>
      <c r="BY196" s="1169"/>
      <c r="BZ196" s="1169"/>
      <c r="CA196" s="1169"/>
      <c r="CB196" s="1169"/>
      <c r="CC196" s="1169"/>
      <c r="CD196" s="1169"/>
      <c r="CE196" s="1169"/>
      <c r="CF196" s="1169"/>
      <c r="CG196" s="1169"/>
      <c r="CH196" s="1169"/>
      <c r="CI196" s="1169"/>
      <c r="CJ196" s="1169"/>
      <c r="CK196" s="1169"/>
      <c r="CL196" s="1169"/>
      <c r="CM196" s="1169"/>
      <c r="CN196" s="1169"/>
      <c r="CO196" s="1169"/>
      <c r="CP196" s="1169"/>
      <c r="CQ196" s="1169"/>
      <c r="CR196" s="1169"/>
      <c r="CS196" s="1169"/>
      <c r="CT196" s="1169"/>
      <c r="CU196" s="1169"/>
      <c r="CV196" s="1169"/>
      <c r="CW196" s="1169"/>
      <c r="CX196" s="1169"/>
      <c r="CY196" s="1169"/>
      <c r="CZ196" s="1169"/>
      <c r="DA196" s="1168"/>
      <c r="DB196" s="1168"/>
      <c r="DC196" s="1168"/>
      <c r="DD196" s="1168"/>
      <c r="DE196" s="1168"/>
      <c r="DF196" s="1168"/>
      <c r="DG196" s="1168"/>
      <c r="DH196" s="1168"/>
      <c r="DI196" s="1168"/>
      <c r="DJ196" s="1168"/>
      <c r="DK196" s="1168"/>
      <c r="DL196" s="1168"/>
      <c r="DM196" s="1168"/>
      <c r="DN196" s="1168"/>
      <c r="DO196" s="1168"/>
      <c r="DP196" s="1168"/>
      <c r="DQ196" s="1168"/>
      <c r="DR196" s="1168"/>
      <c r="DS196" s="1168"/>
      <c r="DT196" s="1168"/>
      <c r="DU196" s="1168"/>
      <c r="DV196" s="1168"/>
      <c r="DW196" s="1168"/>
      <c r="DX196" s="1168"/>
      <c r="DY196" s="1168"/>
      <c r="DZ196" s="1168"/>
      <c r="EA196" s="1168"/>
      <c r="EB196" s="1168"/>
      <c r="EC196" s="1168"/>
      <c r="ED196" s="1168"/>
      <c r="EE196" s="1168"/>
      <c r="EF196" s="1168"/>
      <c r="EG196" s="1168"/>
      <c r="EH196" s="1168"/>
      <c r="EI196" s="1170"/>
      <c r="EJ196" s="1170"/>
      <c r="EK196" s="1170"/>
      <c r="EL196" s="1170"/>
      <c r="EM196" s="1170"/>
      <c r="EN196" s="1170"/>
      <c r="EO196" s="1170"/>
      <c r="EP196" s="1170"/>
      <c r="EQ196" s="1170"/>
      <c r="ER196" s="1170"/>
      <c r="ES196" s="1171"/>
      <c r="ET196" s="1171"/>
      <c r="EU196" s="1171"/>
      <c r="EV196" s="1171"/>
      <c r="EW196" s="1171"/>
      <c r="EX196" s="1171"/>
      <c r="EY196" s="1171"/>
      <c r="EZ196" s="1171"/>
      <c r="FA196" s="1171"/>
      <c r="FB196" s="1171"/>
      <c r="FC196" s="1171"/>
      <c r="FD196" s="1171"/>
      <c r="FE196" s="1171"/>
      <c r="FF196" s="1171"/>
      <c r="FG196" s="1171"/>
      <c r="FH196" s="1171"/>
      <c r="FI196" s="1171"/>
      <c r="FJ196" s="1171"/>
      <c r="FK196" s="1171"/>
      <c r="FL196" s="1171"/>
      <c r="FM196" s="1171"/>
      <c r="FN196" s="1171"/>
      <c r="FO196" s="1171"/>
      <c r="FP196" s="1171"/>
    </row>
    <row r="197" spans="1:172" s="607" customFormat="1">
      <c r="A197" s="607">
        <f t="shared" si="4"/>
        <v>1986</v>
      </c>
      <c r="B197" s="607">
        <f t="shared" si="5"/>
        <v>3</v>
      </c>
      <c r="C197" s="666">
        <v>31656</v>
      </c>
      <c r="D197" s="1709">
        <v>0.62096818181818181</v>
      </c>
      <c r="E197" s="1117">
        <v>121.66629586363636</v>
      </c>
      <c r="F197" s="1117">
        <v>195.93</v>
      </c>
      <c r="G197" s="1117"/>
      <c r="H197" s="1117"/>
      <c r="I197" s="959">
        <v>415.9</v>
      </c>
      <c r="J197" s="959">
        <v>673.85</v>
      </c>
      <c r="K197" s="960"/>
      <c r="L197" s="1121"/>
      <c r="M197" s="916">
        <v>3700.6298901672135</v>
      </c>
      <c r="N197" s="916">
        <v>5959.4517054510698</v>
      </c>
      <c r="O197" s="1174">
        <v>1349.2640235570757</v>
      </c>
      <c r="P197" s="1174">
        <v>2172.8392260074565</v>
      </c>
      <c r="Q197" s="1174">
        <v>407.59740000000005</v>
      </c>
      <c r="R197" s="1174">
        <v>656.3901532065031</v>
      </c>
      <c r="S197" s="1174">
        <v>872.103792</v>
      </c>
      <c r="T197" s="1174">
        <v>1404.4258909474208</v>
      </c>
      <c r="U197" s="1120">
        <v>108.66943181818182</v>
      </c>
      <c r="V197" s="1120">
        <v>175</v>
      </c>
      <c r="W197" s="1120"/>
      <c r="X197" s="1120"/>
      <c r="Y197" s="1119"/>
      <c r="Z197" s="1119"/>
      <c r="AA197" s="1119"/>
      <c r="AB197" s="1119"/>
      <c r="AC197" s="1178"/>
      <c r="AD197" s="1178"/>
      <c r="AE197" s="1178"/>
      <c r="AF197" s="1178"/>
      <c r="AG197" s="1178"/>
      <c r="AH197" s="1178"/>
      <c r="AI197" s="1178"/>
      <c r="AJ197" s="1178"/>
      <c r="AK197" s="919">
        <v>14.05</v>
      </c>
      <c r="AL197" s="919">
        <v>22.625957998140734</v>
      </c>
      <c r="AM197" s="919"/>
      <c r="AN197" s="1710"/>
      <c r="AO197" s="919"/>
      <c r="AP197" s="919"/>
      <c r="AS197" s="1167"/>
      <c r="AT197" s="1167"/>
      <c r="AU197" s="1168"/>
      <c r="AV197" s="1168"/>
      <c r="AW197" s="1169"/>
      <c r="AX197" s="1169"/>
      <c r="AY197" s="1169"/>
      <c r="AZ197" s="1169"/>
      <c r="BA197" s="1799" t="s">
        <v>3</v>
      </c>
      <c r="BB197" s="1802">
        <v>2008</v>
      </c>
      <c r="BC197" s="1799" t="s">
        <v>51</v>
      </c>
      <c r="BD197" s="1799">
        <v>9</v>
      </c>
      <c r="BE197" s="1800">
        <v>103209904.44</v>
      </c>
      <c r="BF197" s="1801">
        <v>2.617998889999951E-2</v>
      </c>
      <c r="BG197" s="1799"/>
      <c r="BH197" s="1799" t="s">
        <v>3</v>
      </c>
      <c r="BI197" s="1799" t="s">
        <v>317</v>
      </c>
      <c r="BJ197" s="1799" t="s">
        <v>45</v>
      </c>
      <c r="BK197" s="1799">
        <v>8</v>
      </c>
      <c r="BL197" s="1800">
        <v>75525872</v>
      </c>
      <c r="BM197" s="1801">
        <v>2.1999999999999999E-2</v>
      </c>
      <c r="BN197" s="1799">
        <v>2012</v>
      </c>
      <c r="BO197" s="1684"/>
      <c r="BP197" s="1696"/>
      <c r="BQ197" s="1169"/>
      <c r="BR197" s="1169"/>
      <c r="BS197" s="1169"/>
      <c r="BT197" s="1169"/>
      <c r="BU197" s="1169"/>
      <c r="BV197" s="1169"/>
      <c r="BW197" s="1169"/>
      <c r="BX197" s="1169"/>
      <c r="BY197" s="1169"/>
      <c r="BZ197" s="1169"/>
      <c r="CA197" s="1169"/>
      <c r="CB197" s="1169"/>
      <c r="CC197" s="1169"/>
      <c r="CD197" s="1169"/>
      <c r="CE197" s="1169"/>
      <c r="CF197" s="1169"/>
      <c r="CG197" s="1169"/>
      <c r="CH197" s="1169"/>
      <c r="CI197" s="1169"/>
      <c r="CJ197" s="1169"/>
      <c r="CK197" s="1169"/>
      <c r="CL197" s="1169"/>
      <c r="CM197" s="1169"/>
      <c r="CN197" s="1169"/>
      <c r="CO197" s="1169"/>
      <c r="CP197" s="1169"/>
      <c r="CQ197" s="1169"/>
      <c r="CR197" s="1169"/>
      <c r="CS197" s="1169"/>
      <c r="CT197" s="1169"/>
      <c r="CU197" s="1169"/>
      <c r="CV197" s="1169"/>
      <c r="CW197" s="1169"/>
      <c r="CX197" s="1169"/>
      <c r="CY197" s="1169"/>
      <c r="CZ197" s="1169"/>
      <c r="DA197" s="1168"/>
      <c r="DB197" s="1168"/>
      <c r="DC197" s="1168"/>
      <c r="DD197" s="1168"/>
      <c r="DE197" s="1168"/>
      <c r="DF197" s="1168"/>
      <c r="DG197" s="1168"/>
      <c r="DH197" s="1168"/>
      <c r="DI197" s="1168"/>
      <c r="DJ197" s="1168"/>
      <c r="DK197" s="1168"/>
      <c r="DL197" s="1168"/>
      <c r="DM197" s="1168"/>
      <c r="DN197" s="1168"/>
      <c r="DO197" s="1168"/>
      <c r="DP197" s="1168"/>
      <c r="DQ197" s="1168"/>
      <c r="DR197" s="1168"/>
      <c r="DS197" s="1168"/>
      <c r="DT197" s="1168"/>
      <c r="DU197" s="1168"/>
      <c r="DV197" s="1168"/>
      <c r="DW197" s="1168"/>
      <c r="DX197" s="1168"/>
      <c r="DY197" s="1168"/>
      <c r="DZ197" s="1168"/>
      <c r="EA197" s="1168"/>
      <c r="EB197" s="1168"/>
      <c r="EC197" s="1168"/>
      <c r="ED197" s="1168"/>
      <c r="EE197" s="1168"/>
      <c r="EF197" s="1168"/>
      <c r="EG197" s="1168"/>
      <c r="EH197" s="1168"/>
      <c r="EI197" s="1170"/>
      <c r="EJ197" s="1170"/>
      <c r="EK197" s="1170"/>
      <c r="EL197" s="1170"/>
      <c r="EM197" s="1170"/>
      <c r="EN197" s="1170"/>
      <c r="EO197" s="1170"/>
      <c r="EP197" s="1170"/>
      <c r="EQ197" s="1170"/>
      <c r="ER197" s="1170"/>
      <c r="ES197" s="1171"/>
      <c r="ET197" s="1171"/>
      <c r="EU197" s="1171"/>
      <c r="EV197" s="1171"/>
      <c r="EW197" s="1171"/>
      <c r="EX197" s="1171"/>
      <c r="EY197" s="1171"/>
      <c r="EZ197" s="1171"/>
      <c r="FA197" s="1171"/>
      <c r="FB197" s="1171"/>
      <c r="FC197" s="1171"/>
      <c r="FD197" s="1171"/>
      <c r="FE197" s="1171"/>
      <c r="FF197" s="1171"/>
      <c r="FG197" s="1171"/>
      <c r="FH197" s="1171"/>
      <c r="FI197" s="1171"/>
      <c r="FJ197" s="1171"/>
      <c r="FK197" s="1171"/>
      <c r="FL197" s="1171"/>
      <c r="FM197" s="1171"/>
      <c r="FN197" s="1171"/>
      <c r="FO197" s="1171"/>
      <c r="FP197" s="1171"/>
    </row>
    <row r="198" spans="1:172" s="607" customFormat="1">
      <c r="A198" s="607">
        <f t="shared" si="4"/>
        <v>1986</v>
      </c>
      <c r="B198" s="607">
        <f t="shared" si="5"/>
        <v>4</v>
      </c>
      <c r="C198" s="666">
        <v>31686</v>
      </c>
      <c r="D198" s="957">
        <v>0.63819130434782612</v>
      </c>
      <c r="E198" s="920">
        <v>127.84886400000002</v>
      </c>
      <c r="F198" s="920">
        <v>200.33</v>
      </c>
      <c r="G198" s="920"/>
      <c r="H198" s="920"/>
      <c r="I198" s="954">
        <v>424.6</v>
      </c>
      <c r="J198" s="954">
        <v>668.1</v>
      </c>
      <c r="K198" s="954"/>
      <c r="L198" s="920"/>
      <c r="M198" s="917">
        <v>3644.629025599349</v>
      </c>
      <c r="N198" s="917">
        <v>5710.8722741433003</v>
      </c>
      <c r="O198" s="1175">
        <v>1317.6332765093305</v>
      </c>
      <c r="P198" s="1175">
        <v>2064.6368377830418</v>
      </c>
      <c r="Q198" s="1175">
        <v>434.55092999999999</v>
      </c>
      <c r="R198" s="1175">
        <v>680.91013938848914</v>
      </c>
      <c r="S198" s="1175">
        <v>886.3639619999999</v>
      </c>
      <c r="T198" s="1175">
        <v>1388.8687544964027</v>
      </c>
      <c r="U198" s="920">
        <v>111.68347826086956</v>
      </c>
      <c r="V198" s="920">
        <v>175</v>
      </c>
      <c r="W198" s="920"/>
      <c r="X198" s="920"/>
      <c r="Y198" s="920"/>
      <c r="Z198" s="920"/>
      <c r="AA198" s="920"/>
      <c r="AB198" s="920"/>
      <c r="AC198" s="920"/>
      <c r="AD198" s="920"/>
      <c r="AE198" s="920"/>
      <c r="AF198" s="920"/>
      <c r="AG198" s="920"/>
      <c r="AH198" s="920"/>
      <c r="AI198" s="920"/>
      <c r="AJ198" s="920"/>
      <c r="AK198" s="920">
        <v>14.05</v>
      </c>
      <c r="AL198" s="920">
        <v>22.015342271637234</v>
      </c>
      <c r="AM198" s="920"/>
      <c r="AN198" s="1711"/>
      <c r="AO198" s="920"/>
      <c r="AP198" s="920"/>
      <c r="AS198" s="1167"/>
      <c r="AT198" s="1167"/>
      <c r="AU198" s="1168"/>
      <c r="AV198" s="1168"/>
      <c r="AW198" s="1169"/>
      <c r="AX198" s="1169"/>
      <c r="AY198" s="1169"/>
      <c r="AZ198" s="1169"/>
      <c r="BA198" s="1799" t="s">
        <v>3</v>
      </c>
      <c r="BB198" s="1802">
        <v>2008</v>
      </c>
      <c r="BC198" s="1799" t="s">
        <v>47</v>
      </c>
      <c r="BD198" s="1799">
        <v>10</v>
      </c>
      <c r="BE198" s="1800">
        <v>70966647.609999999</v>
      </c>
      <c r="BF198" s="1801">
        <v>1.8001237931385267E-2</v>
      </c>
      <c r="BG198" s="1799"/>
      <c r="BH198" s="1799" t="s">
        <v>3</v>
      </c>
      <c r="BI198" s="1799" t="s">
        <v>317</v>
      </c>
      <c r="BJ198" s="1799" t="s">
        <v>23</v>
      </c>
      <c r="BK198" s="1799">
        <v>9</v>
      </c>
      <c r="BL198" s="1800">
        <v>64850186</v>
      </c>
      <c r="BM198" s="1801">
        <v>1.9E-2</v>
      </c>
      <c r="BN198" s="1799">
        <v>2012</v>
      </c>
      <c r="BO198" s="1684"/>
      <c r="BP198" s="1696"/>
      <c r="BQ198" s="1169"/>
      <c r="BR198" s="1169"/>
      <c r="BS198" s="1169"/>
      <c r="BT198" s="1169"/>
      <c r="BU198" s="1169"/>
      <c r="BV198" s="1169"/>
      <c r="BW198" s="1169"/>
      <c r="BX198" s="1169"/>
      <c r="BY198" s="1169"/>
      <c r="BZ198" s="1169"/>
      <c r="CA198" s="1169"/>
      <c r="CB198" s="1169"/>
      <c r="CC198" s="1169"/>
      <c r="CD198" s="1169"/>
      <c r="CE198" s="1169"/>
      <c r="CF198" s="1169"/>
      <c r="CG198" s="1169"/>
      <c r="CH198" s="1169"/>
      <c r="CI198" s="1169"/>
      <c r="CJ198" s="1169"/>
      <c r="CK198" s="1169"/>
      <c r="CL198" s="1169"/>
      <c r="CM198" s="1169"/>
      <c r="CN198" s="1169"/>
      <c r="CO198" s="1169"/>
      <c r="CP198" s="1169"/>
      <c r="CQ198" s="1169"/>
      <c r="CR198" s="1169"/>
      <c r="CS198" s="1169"/>
      <c r="CT198" s="1169"/>
      <c r="CU198" s="1169"/>
      <c r="CV198" s="1169"/>
      <c r="CW198" s="1169"/>
      <c r="CX198" s="1169"/>
      <c r="CY198" s="1169"/>
      <c r="CZ198" s="1169"/>
      <c r="DA198" s="1168"/>
      <c r="DB198" s="1168"/>
      <c r="DC198" s="1168"/>
      <c r="DD198" s="1168"/>
      <c r="DE198" s="1168"/>
      <c r="DF198" s="1168"/>
      <c r="DG198" s="1168"/>
      <c r="DH198" s="1168"/>
      <c r="DI198" s="1168"/>
      <c r="DJ198" s="1168"/>
      <c r="DK198" s="1168"/>
      <c r="DL198" s="1168"/>
      <c r="DM198" s="1168"/>
      <c r="DN198" s="1168"/>
      <c r="DO198" s="1168"/>
      <c r="DP198" s="1168"/>
      <c r="DQ198" s="1168"/>
      <c r="DR198" s="1168"/>
      <c r="DS198" s="1168"/>
      <c r="DT198" s="1168"/>
      <c r="DU198" s="1168"/>
      <c r="DV198" s="1168"/>
      <c r="DW198" s="1168"/>
      <c r="DX198" s="1168"/>
      <c r="DY198" s="1168"/>
      <c r="DZ198" s="1168"/>
      <c r="EA198" s="1168"/>
      <c r="EB198" s="1168"/>
      <c r="EC198" s="1168"/>
      <c r="ED198" s="1168"/>
      <c r="EE198" s="1168"/>
      <c r="EF198" s="1168"/>
      <c r="EG198" s="1168"/>
      <c r="EH198" s="1168"/>
      <c r="EI198" s="1170"/>
      <c r="EJ198" s="1170"/>
      <c r="EK198" s="1170"/>
      <c r="EL198" s="1170"/>
      <c r="EM198" s="1170"/>
      <c r="EN198" s="1170"/>
      <c r="EO198" s="1170"/>
      <c r="EP198" s="1170"/>
      <c r="EQ198" s="1170"/>
      <c r="ER198" s="1170"/>
      <c r="ES198" s="1171"/>
      <c r="ET198" s="1171"/>
      <c r="EU198" s="1171"/>
      <c r="EV198" s="1171"/>
      <c r="EW198" s="1171"/>
      <c r="EX198" s="1171"/>
      <c r="EY198" s="1171"/>
      <c r="EZ198" s="1171"/>
      <c r="FA198" s="1171"/>
      <c r="FB198" s="1171"/>
      <c r="FC198" s="1171"/>
      <c r="FD198" s="1171"/>
      <c r="FE198" s="1171"/>
      <c r="FF198" s="1171"/>
      <c r="FG198" s="1171"/>
      <c r="FH198" s="1171"/>
      <c r="FI198" s="1171"/>
      <c r="FJ198" s="1171"/>
      <c r="FK198" s="1171"/>
      <c r="FL198" s="1171"/>
      <c r="FM198" s="1171"/>
      <c r="FN198" s="1171"/>
      <c r="FO198" s="1171"/>
      <c r="FP198" s="1171"/>
    </row>
    <row r="199" spans="1:172" s="607" customFormat="1">
      <c r="A199" s="607">
        <f t="shared" si="4"/>
        <v>1986</v>
      </c>
      <c r="B199" s="607">
        <f t="shared" si="5"/>
        <v>4</v>
      </c>
      <c r="C199" s="666">
        <v>31717</v>
      </c>
      <c r="D199" s="1709">
        <v>0.64464500000000013</v>
      </c>
      <c r="E199" s="1117">
        <v>127.65443098033799</v>
      </c>
      <c r="F199" s="1117">
        <v>198.0228357938679</v>
      </c>
      <c r="G199" s="1117"/>
      <c r="H199" s="1117"/>
      <c r="I199" s="959">
        <v>397.1</v>
      </c>
      <c r="J199" s="959">
        <v>619.75</v>
      </c>
      <c r="K199" s="960"/>
      <c r="L199" s="1121"/>
      <c r="M199" s="916">
        <v>3639.7602603267578</v>
      </c>
      <c r="N199" s="916">
        <v>5646.1467324290998</v>
      </c>
      <c r="O199" s="1174">
        <v>1302.7794192626395</v>
      </c>
      <c r="P199" s="1174">
        <v>2020.9253453647189</v>
      </c>
      <c r="Q199" s="1174">
        <v>472.90093199999995</v>
      </c>
      <c r="R199" s="1174">
        <v>733.58349479170681</v>
      </c>
      <c r="S199" s="1174">
        <v>819.45385199999987</v>
      </c>
      <c r="T199" s="1174">
        <v>1271.1707249726589</v>
      </c>
      <c r="U199" s="1120">
        <v>112.81287500000002</v>
      </c>
      <c r="V199" s="1120">
        <v>175</v>
      </c>
      <c r="W199" s="1120"/>
      <c r="X199" s="1120"/>
      <c r="Y199" s="1119"/>
      <c r="Z199" s="1119"/>
      <c r="AA199" s="1119"/>
      <c r="AB199" s="1119"/>
      <c r="AC199" s="1178"/>
      <c r="AD199" s="1178"/>
      <c r="AE199" s="1178"/>
      <c r="AF199" s="1178"/>
      <c r="AG199" s="1178"/>
      <c r="AH199" s="1178"/>
      <c r="AI199" s="1178"/>
      <c r="AJ199" s="1178"/>
      <c r="AK199" s="919">
        <v>14.55</v>
      </c>
      <c r="AL199" s="919">
        <v>22.570562092314372</v>
      </c>
      <c r="AM199" s="919"/>
      <c r="AN199" s="1710"/>
      <c r="AO199" s="919"/>
      <c r="AP199" s="919"/>
      <c r="AS199" s="1167"/>
      <c r="AT199" s="1167"/>
      <c r="AU199" s="1168"/>
      <c r="AV199" s="1168"/>
      <c r="AW199" s="1169"/>
      <c r="AX199" s="1169"/>
      <c r="AY199" s="1169"/>
      <c r="AZ199" s="1169"/>
      <c r="BA199" s="1799" t="s">
        <v>3</v>
      </c>
      <c r="BB199" s="1802">
        <v>2008</v>
      </c>
      <c r="BC199" s="1799" t="s">
        <v>32</v>
      </c>
      <c r="BD199" s="1799"/>
      <c r="BE199" s="1800">
        <v>113659543.54000092</v>
      </c>
      <c r="BF199" s="1801">
        <v>2.8830620514585129E-2</v>
      </c>
      <c r="BG199" s="1799"/>
      <c r="BH199" s="1799" t="s">
        <v>3</v>
      </c>
      <c r="BI199" s="1799" t="s">
        <v>317</v>
      </c>
      <c r="BJ199" s="1799" t="s">
        <v>51</v>
      </c>
      <c r="BK199" s="1799">
        <v>10</v>
      </c>
      <c r="BL199" s="1800">
        <v>62252837</v>
      </c>
      <c r="BM199" s="1801">
        <v>1.7999999999999999E-2</v>
      </c>
      <c r="BN199" s="1799">
        <v>2012</v>
      </c>
      <c r="BO199" s="1684"/>
      <c r="BP199" s="1696"/>
      <c r="BQ199" s="1169"/>
      <c r="BR199" s="1169"/>
      <c r="BS199" s="1169"/>
      <c r="BT199" s="1169"/>
      <c r="BU199" s="1169"/>
      <c r="BV199" s="1169"/>
      <c r="BW199" s="1169"/>
      <c r="BX199" s="1169"/>
      <c r="BY199" s="1169"/>
      <c r="BZ199" s="1169"/>
      <c r="CA199" s="1169"/>
      <c r="CB199" s="1169"/>
      <c r="CC199" s="1169"/>
      <c r="CD199" s="1169"/>
      <c r="CE199" s="1169"/>
      <c r="CF199" s="1169"/>
      <c r="CG199" s="1169"/>
      <c r="CH199" s="1169"/>
      <c r="CI199" s="1169"/>
      <c r="CJ199" s="1169"/>
      <c r="CK199" s="1169"/>
      <c r="CL199" s="1169"/>
      <c r="CM199" s="1169"/>
      <c r="CN199" s="1169"/>
      <c r="CO199" s="1169"/>
      <c r="CP199" s="1169"/>
      <c r="CQ199" s="1169"/>
      <c r="CR199" s="1169"/>
      <c r="CS199" s="1169"/>
      <c r="CT199" s="1169"/>
      <c r="CU199" s="1169"/>
      <c r="CV199" s="1169"/>
      <c r="CW199" s="1169"/>
      <c r="CX199" s="1169"/>
      <c r="CY199" s="1169"/>
      <c r="CZ199" s="1169"/>
      <c r="DA199" s="1168"/>
      <c r="DB199" s="1168"/>
      <c r="DC199" s="1168"/>
      <c r="DD199" s="1168"/>
      <c r="DE199" s="1168"/>
      <c r="DF199" s="1168"/>
      <c r="DG199" s="1168"/>
      <c r="DH199" s="1168"/>
      <c r="DI199" s="1168"/>
      <c r="DJ199" s="1168"/>
      <c r="DK199" s="1168"/>
      <c r="DL199" s="1168"/>
      <c r="DM199" s="1168"/>
      <c r="DN199" s="1168"/>
      <c r="DO199" s="1168"/>
      <c r="DP199" s="1168"/>
      <c r="DQ199" s="1168"/>
      <c r="DR199" s="1168"/>
      <c r="DS199" s="1168"/>
      <c r="DT199" s="1168"/>
      <c r="DU199" s="1168"/>
      <c r="DV199" s="1168"/>
      <c r="DW199" s="1168"/>
      <c r="DX199" s="1168"/>
      <c r="DY199" s="1168"/>
      <c r="DZ199" s="1168"/>
      <c r="EA199" s="1168"/>
      <c r="EB199" s="1168"/>
      <c r="EC199" s="1168"/>
      <c r="ED199" s="1168"/>
      <c r="EE199" s="1168"/>
      <c r="EF199" s="1168"/>
      <c r="EG199" s="1168"/>
      <c r="EH199" s="1168"/>
      <c r="EI199" s="1170"/>
      <c r="EJ199" s="1170"/>
      <c r="EK199" s="1170"/>
      <c r="EL199" s="1170"/>
      <c r="EM199" s="1170"/>
      <c r="EN199" s="1170"/>
      <c r="EO199" s="1170"/>
      <c r="EP199" s="1170"/>
      <c r="EQ199" s="1170"/>
      <c r="ER199" s="1170"/>
      <c r="ES199" s="1171"/>
      <c r="ET199" s="1171"/>
      <c r="EU199" s="1171"/>
      <c r="EV199" s="1171"/>
      <c r="EW199" s="1171"/>
      <c r="EX199" s="1171"/>
      <c r="EY199" s="1171"/>
      <c r="EZ199" s="1171"/>
      <c r="FA199" s="1171"/>
      <c r="FB199" s="1171"/>
      <c r="FC199" s="1171"/>
      <c r="FD199" s="1171"/>
      <c r="FE199" s="1171"/>
      <c r="FF199" s="1171"/>
      <c r="FG199" s="1171"/>
      <c r="FH199" s="1171"/>
      <c r="FI199" s="1171"/>
      <c r="FJ199" s="1171"/>
      <c r="FK199" s="1171"/>
      <c r="FL199" s="1171"/>
      <c r="FM199" s="1171"/>
      <c r="FN199" s="1171"/>
      <c r="FO199" s="1171"/>
      <c r="FP199" s="1171"/>
    </row>
    <row r="200" spans="1:172" s="607" customFormat="1">
      <c r="A200" s="607">
        <f t="shared" si="4"/>
        <v>1986</v>
      </c>
      <c r="B200" s="607">
        <f t="shared" si="5"/>
        <v>4</v>
      </c>
      <c r="C200" s="666">
        <v>31747</v>
      </c>
      <c r="D200" s="957">
        <v>0.65964285714285709</v>
      </c>
      <c r="E200" s="920">
        <v>131.23594642857142</v>
      </c>
      <c r="F200" s="920">
        <v>198.95</v>
      </c>
      <c r="G200" s="920"/>
      <c r="H200" s="920"/>
      <c r="I200" s="954">
        <v>391.55</v>
      </c>
      <c r="J200" s="954">
        <v>596.20000000000005</v>
      </c>
      <c r="K200" s="954"/>
      <c r="L200" s="920"/>
      <c r="M200" s="917">
        <v>3534.0504985387638</v>
      </c>
      <c r="N200" s="917">
        <v>5357.5210589650997</v>
      </c>
      <c r="O200" s="1175">
        <v>1332.7139306985334</v>
      </c>
      <c r="P200" s="1175">
        <v>2020.3567980270134</v>
      </c>
      <c r="Q200" s="1175">
        <v>516.78098999999997</v>
      </c>
      <c r="R200" s="1175">
        <v>783.4254315105577</v>
      </c>
      <c r="S200" s="1175">
        <v>796.20477300000016</v>
      </c>
      <c r="T200" s="1175">
        <v>1207.0240197076344</v>
      </c>
      <c r="U200" s="920">
        <v>155.01607142857142</v>
      </c>
      <c r="V200" s="920">
        <v>235</v>
      </c>
      <c r="W200" s="920"/>
      <c r="X200" s="920"/>
      <c r="Y200" s="920"/>
      <c r="Z200" s="920"/>
      <c r="AA200" s="920"/>
      <c r="AB200" s="920"/>
      <c r="AC200" s="920"/>
      <c r="AD200" s="920"/>
      <c r="AE200" s="920"/>
      <c r="AF200" s="920"/>
      <c r="AG200" s="920"/>
      <c r="AH200" s="920"/>
      <c r="AI200" s="920"/>
      <c r="AJ200" s="920"/>
      <c r="AK200" s="920">
        <v>14.55</v>
      </c>
      <c r="AL200" s="920">
        <v>22.057390362750407</v>
      </c>
      <c r="AM200" s="920">
        <v>14.85</v>
      </c>
      <c r="AN200" s="920">
        <v>22.51218191662155</v>
      </c>
      <c r="AO200" s="920"/>
      <c r="AP200" s="920"/>
      <c r="AS200" s="1167"/>
      <c r="AT200" s="1167"/>
      <c r="AU200" s="1168"/>
      <c r="AV200" s="1168"/>
      <c r="AW200" s="1169"/>
      <c r="AX200" s="1169"/>
      <c r="AY200" s="1169"/>
      <c r="AZ200" s="1169"/>
      <c r="BA200" s="1799" t="s">
        <v>3</v>
      </c>
      <c r="BB200" s="1802">
        <v>2008</v>
      </c>
      <c r="BC200" s="1799" t="s">
        <v>249</v>
      </c>
      <c r="BD200" s="1799"/>
      <c r="BE200" s="1800">
        <v>3942320404.8800011</v>
      </c>
      <c r="BF200" s="1801"/>
      <c r="BG200" s="1799"/>
      <c r="BH200" s="1799" t="s">
        <v>3</v>
      </c>
      <c r="BI200" s="1799" t="s">
        <v>317</v>
      </c>
      <c r="BJ200" s="1799" t="s">
        <v>32</v>
      </c>
      <c r="BK200" s="1799"/>
      <c r="BL200" s="1800">
        <v>157086442</v>
      </c>
      <c r="BM200" s="1801">
        <v>4.5999999999999999E-2</v>
      </c>
      <c r="BN200" s="1799">
        <v>2012</v>
      </c>
      <c r="BO200" s="1684"/>
      <c r="BP200" s="1696"/>
      <c r="BQ200" s="1169"/>
      <c r="BR200" s="1169"/>
      <c r="BS200" s="1169"/>
      <c r="BT200" s="1169"/>
      <c r="BU200" s="1169"/>
      <c r="BV200" s="1169"/>
      <c r="BW200" s="1169"/>
      <c r="BX200" s="1169"/>
      <c r="BY200" s="1169"/>
      <c r="BZ200" s="1169"/>
      <c r="CA200" s="1169"/>
      <c r="CB200" s="1169"/>
      <c r="CC200" s="1169"/>
      <c r="CD200" s="1169"/>
      <c r="CE200" s="1169"/>
      <c r="CF200" s="1169"/>
      <c r="CG200" s="1169"/>
      <c r="CH200" s="1169"/>
      <c r="CI200" s="1169"/>
      <c r="CJ200" s="1169"/>
      <c r="CK200" s="1169"/>
      <c r="CL200" s="1169"/>
      <c r="CM200" s="1169"/>
      <c r="CN200" s="1169"/>
      <c r="CO200" s="1169"/>
      <c r="CP200" s="1169"/>
      <c r="CQ200" s="1169"/>
      <c r="CR200" s="1169"/>
      <c r="CS200" s="1169"/>
      <c r="CT200" s="1169"/>
      <c r="CU200" s="1169"/>
      <c r="CV200" s="1169"/>
      <c r="CW200" s="1169"/>
      <c r="CX200" s="1169"/>
      <c r="CY200" s="1169"/>
      <c r="CZ200" s="1169"/>
      <c r="DA200" s="1168"/>
      <c r="DB200" s="1168"/>
      <c r="DC200" s="1168"/>
      <c r="DD200" s="1168"/>
      <c r="DE200" s="1168"/>
      <c r="DF200" s="1168"/>
      <c r="DG200" s="1168"/>
      <c r="DH200" s="1168"/>
      <c r="DI200" s="1168"/>
      <c r="DJ200" s="1168"/>
      <c r="DK200" s="1168"/>
      <c r="DL200" s="1168"/>
      <c r="DM200" s="1168"/>
      <c r="DN200" s="1168"/>
      <c r="DO200" s="1168"/>
      <c r="DP200" s="1168"/>
      <c r="DQ200" s="1168"/>
      <c r="DR200" s="1168"/>
      <c r="DS200" s="1168"/>
      <c r="DT200" s="1168"/>
      <c r="DU200" s="1168"/>
      <c r="DV200" s="1168"/>
      <c r="DW200" s="1168"/>
      <c r="DX200" s="1168"/>
      <c r="DY200" s="1168"/>
      <c r="DZ200" s="1168"/>
      <c r="EA200" s="1168"/>
      <c r="EB200" s="1168"/>
      <c r="EC200" s="1168"/>
      <c r="ED200" s="1168"/>
      <c r="EE200" s="1168"/>
      <c r="EF200" s="1168"/>
      <c r="EG200" s="1168"/>
      <c r="EH200" s="1168"/>
      <c r="EI200" s="1170"/>
      <c r="EJ200" s="1170"/>
      <c r="EK200" s="1170"/>
      <c r="EL200" s="1170"/>
      <c r="EM200" s="1170"/>
      <c r="EN200" s="1170"/>
      <c r="EO200" s="1170"/>
      <c r="EP200" s="1170"/>
      <c r="EQ200" s="1170"/>
      <c r="ER200" s="1170"/>
      <c r="ES200" s="1171"/>
      <c r="ET200" s="1171"/>
      <c r="EU200" s="1171"/>
      <c r="EV200" s="1171"/>
      <c r="EW200" s="1171"/>
      <c r="EX200" s="1171"/>
      <c r="EY200" s="1171"/>
      <c r="EZ200" s="1171"/>
      <c r="FA200" s="1171"/>
      <c r="FB200" s="1171"/>
      <c r="FC200" s="1171"/>
      <c r="FD200" s="1171"/>
      <c r="FE200" s="1171"/>
      <c r="FF200" s="1171"/>
      <c r="FG200" s="1171"/>
      <c r="FH200" s="1171"/>
      <c r="FI200" s="1171"/>
      <c r="FJ200" s="1171"/>
      <c r="FK200" s="1171"/>
      <c r="FL200" s="1171"/>
      <c r="FM200" s="1171"/>
      <c r="FN200" s="1171"/>
      <c r="FO200" s="1171"/>
      <c r="FP200" s="1171"/>
    </row>
    <row r="201" spans="1:172" s="607" customFormat="1">
      <c r="A201" s="607">
        <f t="shared" ref="A201:A264" si="6">YEAR(C201)</f>
        <v>1987</v>
      </c>
      <c r="B201" s="607">
        <f t="shared" ref="B201:B264" si="7">IF(OR(MONTH(C201)=1,MONTH(C201)=2,MONTH(C201)=3),1,IF(OR(MONTH(C201)=4,MONTH(C201)=5,MONTH(C201)=6),2,IF(OR(MONTH(C201)=7,MONTH(C201)=8,MONTH(C201)=9),3,4)))</f>
        <v>1</v>
      </c>
      <c r="C201" s="666">
        <v>31778</v>
      </c>
      <c r="D201" s="1709">
        <v>0.66017999999999999</v>
      </c>
      <c r="E201" s="1117">
        <v>126.64510803461201</v>
      </c>
      <c r="F201" s="1117">
        <v>191.83420890455938</v>
      </c>
      <c r="G201" s="1117"/>
      <c r="H201" s="1117"/>
      <c r="I201" s="959">
        <v>408.7</v>
      </c>
      <c r="J201" s="959">
        <v>620.20000000000005</v>
      </c>
      <c r="K201" s="960"/>
      <c r="L201" s="1121"/>
      <c r="M201" s="916">
        <v>3525.4191455811106</v>
      </c>
      <c r="N201" s="916">
        <v>5340.0877723970898</v>
      </c>
      <c r="O201" s="1174">
        <v>1346.3337891399876</v>
      </c>
      <c r="P201" s="1174">
        <v>2039.343495925335</v>
      </c>
      <c r="Q201" s="1174">
        <v>463.75964399999998</v>
      </c>
      <c r="R201" s="1174">
        <v>702.47454330637095</v>
      </c>
      <c r="S201" s="1174">
        <v>759.41620799999998</v>
      </c>
      <c r="T201" s="1174">
        <v>1150.3168953921659</v>
      </c>
      <c r="U201" s="1120">
        <v>155.14230000000001</v>
      </c>
      <c r="V201" s="1120">
        <v>235</v>
      </c>
      <c r="W201" s="1120"/>
      <c r="X201" s="1120"/>
      <c r="Y201" s="1119"/>
      <c r="Z201" s="1119"/>
      <c r="AA201" s="1119"/>
      <c r="AB201" s="1119"/>
      <c r="AC201" s="1178"/>
      <c r="AD201" s="1178"/>
      <c r="AE201" s="1178"/>
      <c r="AF201" s="1178"/>
      <c r="AG201" s="1178"/>
      <c r="AH201" s="1178"/>
      <c r="AI201" s="1178"/>
      <c r="AJ201" s="1178"/>
      <c r="AK201" s="919">
        <v>18.350000000000001</v>
      </c>
      <c r="AL201" s="919">
        <v>27.795449725832352</v>
      </c>
      <c r="AM201" s="919">
        <v>16</v>
      </c>
      <c r="AN201" s="919">
        <v>24.235814474840197</v>
      </c>
      <c r="AO201" s="919"/>
      <c r="AP201" s="919"/>
      <c r="AS201" s="1167"/>
      <c r="AT201" s="1167"/>
      <c r="AU201" s="1168"/>
      <c r="AV201" s="1168"/>
      <c r="AW201" s="1169"/>
      <c r="AX201" s="1169"/>
      <c r="AY201" s="1169"/>
      <c r="AZ201" s="1169"/>
      <c r="BA201" s="1799" t="s">
        <v>280</v>
      </c>
      <c r="BB201" s="1802">
        <v>2015</v>
      </c>
      <c r="BC201" s="1799" t="s">
        <v>431</v>
      </c>
      <c r="BD201" s="1799">
        <v>1</v>
      </c>
      <c r="BE201" s="1800">
        <v>211880679</v>
      </c>
      <c r="BF201" s="1801">
        <v>0.25700000000000001</v>
      </c>
      <c r="BG201" s="1799"/>
      <c r="BH201" s="1799" t="s">
        <v>3</v>
      </c>
      <c r="BI201" s="1799" t="s">
        <v>317</v>
      </c>
      <c r="BJ201" s="1799" t="s">
        <v>249</v>
      </c>
      <c r="BK201" s="1799"/>
      <c r="BL201" s="1800">
        <v>3437909828</v>
      </c>
      <c r="BM201" s="1801"/>
      <c r="BN201" s="1799">
        <v>2012</v>
      </c>
      <c r="BO201" s="1684"/>
      <c r="BP201" s="1696"/>
      <c r="BQ201" s="1169"/>
      <c r="BR201" s="1169"/>
      <c r="BS201" s="1169"/>
      <c r="BT201" s="1169"/>
      <c r="BU201" s="1169"/>
      <c r="BV201" s="1169"/>
      <c r="BW201" s="1169"/>
      <c r="BX201" s="1169"/>
      <c r="BY201" s="1169"/>
      <c r="BZ201" s="1169"/>
      <c r="CA201" s="1169"/>
      <c r="CB201" s="1169"/>
      <c r="CC201" s="1169"/>
      <c r="CD201" s="1169"/>
      <c r="CE201" s="1169"/>
      <c r="CF201" s="1169"/>
      <c r="CG201" s="1169"/>
      <c r="CH201" s="1169"/>
      <c r="CI201" s="1169"/>
      <c r="CJ201" s="1169"/>
      <c r="CK201" s="1169"/>
      <c r="CL201" s="1169"/>
      <c r="CM201" s="1169"/>
      <c r="CN201" s="1169"/>
      <c r="CO201" s="1169"/>
      <c r="CP201" s="1169"/>
      <c r="CQ201" s="1169"/>
      <c r="CR201" s="1169"/>
      <c r="CS201" s="1169"/>
      <c r="CT201" s="1169"/>
      <c r="CU201" s="1169"/>
      <c r="CV201" s="1169"/>
      <c r="CW201" s="1169"/>
      <c r="CX201" s="1169"/>
      <c r="CY201" s="1169"/>
      <c r="CZ201" s="1169"/>
      <c r="DA201" s="1168"/>
      <c r="DB201" s="1168"/>
      <c r="DC201" s="1168"/>
      <c r="DD201" s="1168"/>
      <c r="DE201" s="1168"/>
      <c r="DF201" s="1168"/>
      <c r="DG201" s="1168"/>
      <c r="DH201" s="1168"/>
      <c r="DI201" s="1168"/>
      <c r="DJ201" s="1168"/>
      <c r="DK201" s="1168"/>
      <c r="DL201" s="1168"/>
      <c r="DM201" s="1168"/>
      <c r="DN201" s="1168"/>
      <c r="DO201" s="1168"/>
      <c r="DP201" s="1168"/>
      <c r="DQ201" s="1168"/>
      <c r="DR201" s="1168"/>
      <c r="DS201" s="1168"/>
      <c r="DT201" s="1168"/>
      <c r="DU201" s="1168"/>
      <c r="DV201" s="1168"/>
      <c r="DW201" s="1168"/>
      <c r="DX201" s="1168"/>
      <c r="DY201" s="1168"/>
      <c r="DZ201" s="1168"/>
      <c r="EA201" s="1168"/>
      <c r="EB201" s="1168"/>
      <c r="EC201" s="1168"/>
      <c r="ED201" s="1168"/>
      <c r="EE201" s="1168"/>
      <c r="EF201" s="1168"/>
      <c r="EG201" s="1168"/>
      <c r="EH201" s="1168"/>
      <c r="EI201" s="1170"/>
      <c r="EJ201" s="1170"/>
      <c r="EK201" s="1170"/>
      <c r="EL201" s="1170"/>
      <c r="EM201" s="1170"/>
      <c r="EN201" s="1170"/>
      <c r="EO201" s="1170"/>
      <c r="EP201" s="1170"/>
      <c r="EQ201" s="1170"/>
      <c r="ER201" s="1170"/>
      <c r="ES201" s="1171"/>
      <c r="ET201" s="1171"/>
      <c r="EU201" s="1171"/>
      <c r="EV201" s="1171"/>
      <c r="EW201" s="1171"/>
      <c r="EX201" s="1171"/>
      <c r="EY201" s="1171"/>
      <c r="EZ201" s="1171"/>
      <c r="FA201" s="1171"/>
      <c r="FB201" s="1171"/>
      <c r="FC201" s="1171"/>
      <c r="FD201" s="1171"/>
      <c r="FE201" s="1171"/>
      <c r="FF201" s="1171"/>
      <c r="FG201" s="1171"/>
      <c r="FH201" s="1171"/>
      <c r="FI201" s="1171"/>
      <c r="FJ201" s="1171"/>
      <c r="FK201" s="1171"/>
      <c r="FL201" s="1171"/>
      <c r="FM201" s="1171"/>
      <c r="FN201" s="1171"/>
      <c r="FO201" s="1171"/>
      <c r="FP201" s="1171"/>
    </row>
    <row r="202" spans="1:172" s="607" customFormat="1">
      <c r="A202" s="607">
        <f t="shared" si="6"/>
        <v>1987</v>
      </c>
      <c r="B202" s="607">
        <f t="shared" si="7"/>
        <v>1</v>
      </c>
      <c r="C202" s="666">
        <v>31809</v>
      </c>
      <c r="D202" s="957">
        <v>0.66630999999999996</v>
      </c>
      <c r="E202" s="920">
        <v>123.56524244162911</v>
      </c>
      <c r="F202" s="920">
        <v>185.44707784909295</v>
      </c>
      <c r="G202" s="920"/>
      <c r="H202" s="920"/>
      <c r="I202" s="954">
        <v>401.1</v>
      </c>
      <c r="J202" s="954">
        <v>603.4</v>
      </c>
      <c r="K202" s="954"/>
      <c r="L202" s="920"/>
      <c r="M202" s="917">
        <v>3686.675061499704</v>
      </c>
      <c r="N202" s="917">
        <v>5532.9727326615302</v>
      </c>
      <c r="O202" s="1175">
        <v>1378.0048438220647</v>
      </c>
      <c r="P202" s="1175">
        <v>2068.1137065661101</v>
      </c>
      <c r="Q202" s="1175">
        <v>459.52229499999993</v>
      </c>
      <c r="R202" s="1175">
        <v>689.65240653749754</v>
      </c>
      <c r="S202" s="1175">
        <v>739.03971000000001</v>
      </c>
      <c r="T202" s="1175">
        <v>1109.1529618345817</v>
      </c>
      <c r="U202" s="920">
        <v>156.58284999999998</v>
      </c>
      <c r="V202" s="920">
        <v>235</v>
      </c>
      <c r="W202" s="920"/>
      <c r="X202" s="920"/>
      <c r="Y202" s="920"/>
      <c r="Z202" s="920"/>
      <c r="AA202" s="920"/>
      <c r="AB202" s="920"/>
      <c r="AC202" s="920"/>
      <c r="AD202" s="920"/>
      <c r="AE202" s="920"/>
      <c r="AF202" s="920"/>
      <c r="AG202" s="920"/>
      <c r="AH202" s="920"/>
      <c r="AI202" s="920"/>
      <c r="AJ202" s="920"/>
      <c r="AK202" s="920">
        <v>16.2</v>
      </c>
      <c r="AL202" s="920">
        <v>24.313007458990562</v>
      </c>
      <c r="AM202" s="920">
        <v>19</v>
      </c>
      <c r="AN202" s="920">
        <v>28.515255661779054</v>
      </c>
      <c r="AO202" s="920"/>
      <c r="AP202" s="920"/>
      <c r="AS202" s="1167"/>
      <c r="AT202" s="1167"/>
      <c r="AU202" s="1168"/>
      <c r="AV202" s="1168"/>
      <c r="AW202" s="1169"/>
      <c r="AX202" s="1169"/>
      <c r="AY202" s="1169"/>
      <c r="AZ202" s="1169"/>
      <c r="BA202" s="1799" t="s">
        <v>280</v>
      </c>
      <c r="BB202" s="1802">
        <v>2015</v>
      </c>
      <c r="BC202" s="1799" t="s">
        <v>15</v>
      </c>
      <c r="BD202" s="1799">
        <v>2</v>
      </c>
      <c r="BE202" s="1800">
        <v>209903005</v>
      </c>
      <c r="BF202" s="1801">
        <v>0.254</v>
      </c>
      <c r="BG202" s="1799"/>
      <c r="BH202" s="1799" t="s">
        <v>3</v>
      </c>
      <c r="BI202" s="1799" t="s">
        <v>316</v>
      </c>
      <c r="BJ202" s="1799" t="s">
        <v>15</v>
      </c>
      <c r="BK202" s="1799">
        <v>1</v>
      </c>
      <c r="BL202" s="1800">
        <v>1306656559</v>
      </c>
      <c r="BM202" s="1801">
        <v>0.38484148935604851</v>
      </c>
      <c r="BN202" s="1799">
        <v>2011</v>
      </c>
      <c r="BO202" s="1684"/>
      <c r="BP202" s="1696"/>
      <c r="BQ202" s="1169"/>
      <c r="BR202" s="1169"/>
      <c r="BS202" s="1169"/>
      <c r="BT202" s="1169"/>
      <c r="BU202" s="1169"/>
      <c r="BV202" s="1169"/>
      <c r="BW202" s="1169"/>
      <c r="BX202" s="1169"/>
      <c r="BY202" s="1169"/>
      <c r="BZ202" s="1169"/>
      <c r="CA202" s="1169"/>
      <c r="CB202" s="1169"/>
      <c r="CC202" s="1169"/>
      <c r="CD202" s="1169"/>
      <c r="CE202" s="1169"/>
      <c r="CF202" s="1169"/>
      <c r="CG202" s="1169"/>
      <c r="CH202" s="1169"/>
      <c r="CI202" s="1169"/>
      <c r="CJ202" s="1169"/>
      <c r="CK202" s="1169"/>
      <c r="CL202" s="1169"/>
      <c r="CM202" s="1169"/>
      <c r="CN202" s="1169"/>
      <c r="CO202" s="1169"/>
      <c r="CP202" s="1169"/>
      <c r="CQ202" s="1169"/>
      <c r="CR202" s="1169"/>
      <c r="CS202" s="1169"/>
      <c r="CT202" s="1169"/>
      <c r="CU202" s="1169"/>
      <c r="CV202" s="1169"/>
      <c r="CW202" s="1169"/>
      <c r="CX202" s="1169"/>
      <c r="CY202" s="1169"/>
      <c r="CZ202" s="1169"/>
      <c r="DA202" s="1168"/>
      <c r="DB202" s="1168"/>
      <c r="DC202" s="1168"/>
      <c r="DD202" s="1168"/>
      <c r="DE202" s="1168"/>
      <c r="DF202" s="1168"/>
      <c r="DG202" s="1168"/>
      <c r="DH202" s="1168"/>
      <c r="DI202" s="1168"/>
      <c r="DJ202" s="1168"/>
      <c r="DK202" s="1168"/>
      <c r="DL202" s="1168"/>
      <c r="DM202" s="1168"/>
      <c r="DN202" s="1168"/>
      <c r="DO202" s="1168"/>
      <c r="DP202" s="1168"/>
      <c r="DQ202" s="1168"/>
      <c r="DR202" s="1168"/>
      <c r="DS202" s="1168"/>
      <c r="DT202" s="1168"/>
      <c r="DU202" s="1168"/>
      <c r="DV202" s="1168"/>
      <c r="DW202" s="1168"/>
      <c r="DX202" s="1168"/>
      <c r="DY202" s="1168"/>
      <c r="DZ202" s="1168"/>
      <c r="EA202" s="1168"/>
      <c r="EB202" s="1168"/>
      <c r="EC202" s="1168"/>
      <c r="ED202" s="1168"/>
      <c r="EE202" s="1168"/>
      <c r="EF202" s="1168"/>
      <c r="EG202" s="1168"/>
      <c r="EH202" s="1168"/>
      <c r="EI202" s="1170"/>
      <c r="EJ202" s="1170"/>
      <c r="EK202" s="1170"/>
      <c r="EL202" s="1170"/>
      <c r="EM202" s="1170"/>
      <c r="EN202" s="1170"/>
      <c r="EO202" s="1170"/>
      <c r="EP202" s="1170"/>
      <c r="EQ202" s="1170"/>
      <c r="ER202" s="1170"/>
      <c r="ES202" s="1171"/>
      <c r="ET202" s="1171"/>
      <c r="EU202" s="1171"/>
      <c r="EV202" s="1171"/>
      <c r="EW202" s="1171"/>
      <c r="EX202" s="1171"/>
      <c r="EY202" s="1171"/>
      <c r="EZ202" s="1171"/>
      <c r="FA202" s="1171"/>
      <c r="FB202" s="1171"/>
      <c r="FC202" s="1171"/>
      <c r="FD202" s="1171"/>
      <c r="FE202" s="1171"/>
      <c r="FF202" s="1171"/>
      <c r="FG202" s="1171"/>
      <c r="FH202" s="1171"/>
      <c r="FI202" s="1171"/>
      <c r="FJ202" s="1171"/>
      <c r="FK202" s="1171"/>
      <c r="FL202" s="1171"/>
      <c r="FM202" s="1171"/>
      <c r="FN202" s="1171"/>
      <c r="FO202" s="1171"/>
      <c r="FP202" s="1171"/>
    </row>
    <row r="203" spans="1:172" s="607" customFormat="1">
      <c r="A203" s="607">
        <f t="shared" si="6"/>
        <v>1987</v>
      </c>
      <c r="B203" s="607">
        <f t="shared" si="7"/>
        <v>1</v>
      </c>
      <c r="C203" s="666">
        <v>31837</v>
      </c>
      <c r="D203" s="1709">
        <v>0.68700909090909079</v>
      </c>
      <c r="E203" s="1117">
        <v>122.54575931551993</v>
      </c>
      <c r="F203" s="1117">
        <v>178.37574631415748</v>
      </c>
      <c r="G203" s="1117"/>
      <c r="H203" s="1117"/>
      <c r="I203" s="959">
        <v>409.05</v>
      </c>
      <c r="J203" s="959">
        <v>600.20000000000005</v>
      </c>
      <c r="K203" s="960"/>
      <c r="L203" s="1121"/>
      <c r="M203" s="916">
        <v>3641.4111797687601</v>
      </c>
      <c r="N203" s="916">
        <v>5300.3828158230499</v>
      </c>
      <c r="O203" s="1174">
        <v>1465.0460161897288</v>
      </c>
      <c r="P203" s="1174">
        <v>2132.4987333880749</v>
      </c>
      <c r="Q203" s="1174">
        <v>486.55911100000003</v>
      </c>
      <c r="R203" s="1174">
        <v>708.22805322147406</v>
      </c>
      <c r="S203" s="1174">
        <v>731.02493000000004</v>
      </c>
      <c r="T203" s="1174">
        <v>1064.0687869685464</v>
      </c>
      <c r="U203" s="1120">
        <v>161.44713636363633</v>
      </c>
      <c r="V203" s="1120">
        <v>235</v>
      </c>
      <c r="W203" s="1120"/>
      <c r="X203" s="1120"/>
      <c r="Y203" s="1119"/>
      <c r="Z203" s="1119"/>
      <c r="AA203" s="1119"/>
      <c r="AB203" s="1119"/>
      <c r="AC203" s="1178"/>
      <c r="AD203" s="1178"/>
      <c r="AE203" s="1178"/>
      <c r="AF203" s="1178"/>
      <c r="AG203" s="1178"/>
      <c r="AH203" s="1178"/>
      <c r="AI203" s="1178"/>
      <c r="AJ203" s="1178"/>
      <c r="AK203" s="919">
        <v>16.2</v>
      </c>
      <c r="AL203" s="919">
        <v>23.58047399134589</v>
      </c>
      <c r="AM203" s="919">
        <v>18.2</v>
      </c>
      <c r="AN203" s="919">
        <v>26.491643619907112</v>
      </c>
      <c r="AO203" s="919"/>
      <c r="AP203" s="919"/>
      <c r="AS203" s="1167"/>
      <c r="AT203" s="1167"/>
      <c r="AU203" s="1168"/>
      <c r="AV203" s="1168"/>
      <c r="AW203" s="1169"/>
      <c r="AX203" s="1169"/>
      <c r="AY203" s="1169"/>
      <c r="AZ203" s="1169"/>
      <c r="BA203" s="1799" t="s">
        <v>280</v>
      </c>
      <c r="BB203" s="1802">
        <v>2015</v>
      </c>
      <c r="BC203" s="1799" t="s">
        <v>23</v>
      </c>
      <c r="BD203" s="1799">
        <v>3</v>
      </c>
      <c r="BE203" s="1800">
        <v>75853581</v>
      </c>
      <c r="BF203" s="1801">
        <v>9.1999999999999998E-2</v>
      </c>
      <c r="BG203" s="1799"/>
      <c r="BH203" s="1799" t="s">
        <v>3</v>
      </c>
      <c r="BI203" s="1799" t="s">
        <v>316</v>
      </c>
      <c r="BJ203" s="1799" t="s">
        <v>44</v>
      </c>
      <c r="BK203" s="1799">
        <v>2</v>
      </c>
      <c r="BL203" s="1800">
        <v>350719023.30000001</v>
      </c>
      <c r="BM203" s="1801">
        <v>0.10329510868224302</v>
      </c>
      <c r="BN203" s="1799">
        <v>2011</v>
      </c>
      <c r="BO203" s="1684"/>
      <c r="BP203" s="1696"/>
      <c r="BQ203" s="1169"/>
      <c r="BR203" s="1169"/>
      <c r="BS203" s="1169"/>
      <c r="BT203" s="1169"/>
      <c r="BU203" s="1169"/>
      <c r="BV203" s="1169"/>
      <c r="BW203" s="1169"/>
      <c r="BX203" s="1169"/>
      <c r="BY203" s="1169"/>
      <c r="BZ203" s="1169"/>
      <c r="CA203" s="1169"/>
      <c r="CB203" s="1169"/>
      <c r="CC203" s="1169"/>
      <c r="CD203" s="1169"/>
      <c r="CE203" s="1169"/>
      <c r="CF203" s="1169"/>
      <c r="CG203" s="1169"/>
      <c r="CH203" s="1169"/>
      <c r="CI203" s="1169"/>
      <c r="CJ203" s="1169"/>
      <c r="CK203" s="1169"/>
      <c r="CL203" s="1169"/>
      <c r="CM203" s="1169"/>
      <c r="CN203" s="1169"/>
      <c r="CO203" s="1169"/>
      <c r="CP203" s="1169"/>
      <c r="CQ203" s="1169"/>
      <c r="CR203" s="1169"/>
      <c r="CS203" s="1169"/>
      <c r="CT203" s="1169"/>
      <c r="CU203" s="1169"/>
      <c r="CV203" s="1169"/>
      <c r="CW203" s="1169"/>
      <c r="CX203" s="1169"/>
      <c r="CY203" s="1169"/>
      <c r="CZ203" s="1169"/>
      <c r="DA203" s="1168"/>
      <c r="DB203" s="1168"/>
      <c r="DC203" s="1168"/>
      <c r="DD203" s="1168"/>
      <c r="DE203" s="1168"/>
      <c r="DF203" s="1168"/>
      <c r="DG203" s="1168"/>
      <c r="DH203" s="1168"/>
      <c r="DI203" s="1168"/>
      <c r="DJ203" s="1168"/>
      <c r="DK203" s="1168"/>
      <c r="DL203" s="1168"/>
      <c r="DM203" s="1168"/>
      <c r="DN203" s="1168"/>
      <c r="DO203" s="1168"/>
      <c r="DP203" s="1168"/>
      <c r="DQ203" s="1168"/>
      <c r="DR203" s="1168"/>
      <c r="DS203" s="1168"/>
      <c r="DT203" s="1168"/>
      <c r="DU203" s="1168"/>
      <c r="DV203" s="1168"/>
      <c r="DW203" s="1168"/>
      <c r="DX203" s="1168"/>
      <c r="DY203" s="1168"/>
      <c r="DZ203" s="1168"/>
      <c r="EA203" s="1168"/>
      <c r="EB203" s="1168"/>
      <c r="EC203" s="1168"/>
      <c r="ED203" s="1168"/>
      <c r="EE203" s="1168"/>
      <c r="EF203" s="1168"/>
      <c r="EG203" s="1168"/>
      <c r="EH203" s="1168"/>
      <c r="EI203" s="1170"/>
      <c r="EJ203" s="1170"/>
      <c r="EK203" s="1170"/>
      <c r="EL203" s="1170"/>
      <c r="EM203" s="1170"/>
      <c r="EN203" s="1170"/>
      <c r="EO203" s="1170"/>
      <c r="EP203" s="1170"/>
      <c r="EQ203" s="1170"/>
      <c r="ER203" s="1170"/>
      <c r="ES203" s="1171"/>
      <c r="ET203" s="1171"/>
      <c r="EU203" s="1171"/>
      <c r="EV203" s="1171"/>
      <c r="EW203" s="1171"/>
      <c r="EX203" s="1171"/>
      <c r="EY203" s="1171"/>
      <c r="EZ203" s="1171"/>
      <c r="FA203" s="1171"/>
      <c r="FB203" s="1171"/>
      <c r="FC203" s="1171"/>
      <c r="FD203" s="1171"/>
      <c r="FE203" s="1171"/>
      <c r="FF203" s="1171"/>
      <c r="FG203" s="1171"/>
      <c r="FH203" s="1171"/>
      <c r="FI203" s="1171"/>
      <c r="FJ203" s="1171"/>
      <c r="FK203" s="1171"/>
      <c r="FL203" s="1171"/>
      <c r="FM203" s="1171"/>
      <c r="FN203" s="1171"/>
      <c r="FO203" s="1171"/>
      <c r="FP203" s="1171"/>
    </row>
    <row r="204" spans="1:172" s="607" customFormat="1">
      <c r="A204" s="607">
        <f t="shared" si="6"/>
        <v>1987</v>
      </c>
      <c r="B204" s="607">
        <f t="shared" si="7"/>
        <v>2</v>
      </c>
      <c r="C204" s="666">
        <v>31868</v>
      </c>
      <c r="D204" s="957">
        <v>0.71102999999999994</v>
      </c>
      <c r="E204" s="920">
        <v>131.45619830054062</v>
      </c>
      <c r="F204" s="920">
        <v>184.88136689104627</v>
      </c>
      <c r="G204" s="920"/>
      <c r="H204" s="920"/>
      <c r="I204" s="954">
        <v>436.8</v>
      </c>
      <c r="J204" s="954">
        <v>616.79999999999995</v>
      </c>
      <c r="K204" s="954"/>
      <c r="L204" s="920"/>
      <c r="M204" s="917">
        <v>3943.5834291997753</v>
      </c>
      <c r="N204" s="917">
        <v>5546.2968217934203</v>
      </c>
      <c r="O204" s="1175">
        <v>1482.525574616215</v>
      </c>
      <c r="P204" s="1175">
        <v>2085.0394141122247</v>
      </c>
      <c r="Q204" s="1175">
        <v>554.5968640000001</v>
      </c>
      <c r="R204" s="1175">
        <v>779.99080770150363</v>
      </c>
      <c r="S204" s="1175">
        <v>760.85876800000005</v>
      </c>
      <c r="T204" s="1175">
        <v>1070.0796984656065</v>
      </c>
      <c r="U204" s="920">
        <v>167.09204999999997</v>
      </c>
      <c r="V204" s="920">
        <v>235</v>
      </c>
      <c r="W204" s="920"/>
      <c r="X204" s="920"/>
      <c r="Y204" s="920"/>
      <c r="Z204" s="920"/>
      <c r="AA204" s="920"/>
      <c r="AB204" s="920"/>
      <c r="AC204" s="920"/>
      <c r="AD204" s="920"/>
      <c r="AE204" s="920"/>
      <c r="AF204" s="920"/>
      <c r="AG204" s="920"/>
      <c r="AH204" s="920"/>
      <c r="AI204" s="920"/>
      <c r="AJ204" s="920"/>
      <c r="AK204" s="920">
        <v>18.25</v>
      </c>
      <c r="AL204" s="920">
        <v>25.666990141062968</v>
      </c>
      <c r="AM204" s="920">
        <v>18.600000000000001</v>
      </c>
      <c r="AN204" s="920">
        <v>26.159233787603902</v>
      </c>
      <c r="AO204" s="920"/>
      <c r="AP204" s="920"/>
      <c r="AS204" s="1167"/>
      <c r="AT204" s="1167"/>
      <c r="AU204" s="1168"/>
      <c r="AV204" s="1168"/>
      <c r="AW204" s="1169"/>
      <c r="AX204" s="1169"/>
      <c r="AY204" s="1169"/>
      <c r="AZ204" s="1169"/>
      <c r="BA204" s="1799" t="s">
        <v>280</v>
      </c>
      <c r="BB204" s="1802">
        <v>2015</v>
      </c>
      <c r="BC204" s="1799" t="s">
        <v>51</v>
      </c>
      <c r="BD204" s="1799">
        <v>4</v>
      </c>
      <c r="BE204" s="1800">
        <v>71698669</v>
      </c>
      <c r="BF204" s="1801">
        <v>8.6999999999999994E-2</v>
      </c>
      <c r="BG204" s="1799"/>
      <c r="BH204" s="1799" t="s">
        <v>3</v>
      </c>
      <c r="BI204" s="1799" t="s">
        <v>316</v>
      </c>
      <c r="BJ204" s="1799" t="s">
        <v>20</v>
      </c>
      <c r="BK204" s="1799">
        <v>3</v>
      </c>
      <c r="BL204" s="1800">
        <v>306821318.5</v>
      </c>
      <c r="BM204" s="1801">
        <v>9.0366188700795796E-2</v>
      </c>
      <c r="BN204" s="1799">
        <v>2011</v>
      </c>
      <c r="BO204" s="1684"/>
      <c r="BP204" s="1696"/>
      <c r="BQ204" s="1169"/>
      <c r="BR204" s="1169"/>
      <c r="BS204" s="1169"/>
      <c r="BT204" s="1169"/>
      <c r="BU204" s="1169"/>
      <c r="BV204" s="1169"/>
      <c r="BW204" s="1169"/>
      <c r="BX204" s="1169"/>
      <c r="BY204" s="1169"/>
      <c r="BZ204" s="1169"/>
      <c r="CA204" s="1169"/>
      <c r="CB204" s="1169"/>
      <c r="CC204" s="1169"/>
      <c r="CD204" s="1169"/>
      <c r="CE204" s="1169"/>
      <c r="CF204" s="1169"/>
      <c r="CG204" s="1169"/>
      <c r="CH204" s="1169"/>
      <c r="CI204" s="1169"/>
      <c r="CJ204" s="1169"/>
      <c r="CK204" s="1169"/>
      <c r="CL204" s="1169"/>
      <c r="CM204" s="1169"/>
      <c r="CN204" s="1169"/>
      <c r="CO204" s="1169"/>
      <c r="CP204" s="1169"/>
      <c r="CQ204" s="1169"/>
      <c r="CR204" s="1169"/>
      <c r="CS204" s="1169"/>
      <c r="CT204" s="1169"/>
      <c r="CU204" s="1169"/>
      <c r="CV204" s="1169"/>
      <c r="CW204" s="1169"/>
      <c r="CX204" s="1169"/>
      <c r="CY204" s="1169"/>
      <c r="CZ204" s="1169"/>
      <c r="DA204" s="1168"/>
      <c r="DB204" s="1168"/>
      <c r="DC204" s="1168"/>
      <c r="DD204" s="1168"/>
      <c r="DE204" s="1168"/>
      <c r="DF204" s="1168"/>
      <c r="DG204" s="1168"/>
      <c r="DH204" s="1168"/>
      <c r="DI204" s="1168"/>
      <c r="DJ204" s="1168"/>
      <c r="DK204" s="1168"/>
      <c r="DL204" s="1168"/>
      <c r="DM204" s="1168"/>
      <c r="DN204" s="1168"/>
      <c r="DO204" s="1168"/>
      <c r="DP204" s="1168"/>
      <c r="DQ204" s="1168"/>
      <c r="DR204" s="1168"/>
      <c r="DS204" s="1168"/>
      <c r="DT204" s="1168"/>
      <c r="DU204" s="1168"/>
      <c r="DV204" s="1168"/>
      <c r="DW204" s="1168"/>
      <c r="DX204" s="1168"/>
      <c r="DY204" s="1168"/>
      <c r="DZ204" s="1168"/>
      <c r="EA204" s="1168"/>
      <c r="EB204" s="1168"/>
      <c r="EC204" s="1168"/>
      <c r="ED204" s="1168"/>
      <c r="EE204" s="1168"/>
      <c r="EF204" s="1168"/>
      <c r="EG204" s="1168"/>
      <c r="EH204" s="1168"/>
      <c r="EI204" s="1170"/>
      <c r="EJ204" s="1170"/>
      <c r="EK204" s="1170"/>
      <c r="EL204" s="1170"/>
      <c r="EM204" s="1170"/>
      <c r="EN204" s="1170"/>
      <c r="EO204" s="1170"/>
      <c r="EP204" s="1170"/>
      <c r="EQ204" s="1170"/>
      <c r="ER204" s="1170"/>
      <c r="ES204" s="1171"/>
      <c r="ET204" s="1171"/>
      <c r="EU204" s="1171"/>
      <c r="EV204" s="1171"/>
      <c r="EW204" s="1171"/>
      <c r="EX204" s="1171"/>
      <c r="EY204" s="1171"/>
      <c r="EZ204" s="1171"/>
      <c r="FA204" s="1171"/>
      <c r="FB204" s="1171"/>
      <c r="FC204" s="1171"/>
      <c r="FD204" s="1171"/>
      <c r="FE204" s="1171"/>
      <c r="FF204" s="1171"/>
      <c r="FG204" s="1171"/>
      <c r="FH204" s="1171"/>
      <c r="FI204" s="1171"/>
      <c r="FJ204" s="1171"/>
      <c r="FK204" s="1171"/>
      <c r="FL204" s="1171"/>
      <c r="FM204" s="1171"/>
      <c r="FN204" s="1171"/>
      <c r="FO204" s="1171"/>
      <c r="FP204" s="1171"/>
    </row>
    <row r="205" spans="1:172" s="607" customFormat="1">
      <c r="A205" s="607">
        <f t="shared" si="6"/>
        <v>1987</v>
      </c>
      <c r="B205" s="607">
        <f t="shared" si="7"/>
        <v>2</v>
      </c>
      <c r="C205" s="666">
        <v>31898</v>
      </c>
      <c r="D205" s="1709">
        <v>0.71409999999999996</v>
      </c>
      <c r="E205" s="1117">
        <v>124.29924475214622</v>
      </c>
      <c r="F205" s="1117">
        <v>174.06419934483438</v>
      </c>
      <c r="G205" s="1117"/>
      <c r="H205" s="1117"/>
      <c r="I205" s="959">
        <v>461.8</v>
      </c>
      <c r="J205" s="959">
        <v>648.95000000000005</v>
      </c>
      <c r="K205" s="960"/>
      <c r="L205" s="1121"/>
      <c r="M205" s="916">
        <v>4419.9258021577707</v>
      </c>
      <c r="N205" s="916">
        <v>6189.5053944234296</v>
      </c>
      <c r="O205" s="1174">
        <v>1520.5127559987664</v>
      </c>
      <c r="P205" s="1174">
        <v>2129.2714689802078</v>
      </c>
      <c r="Q205" s="1174">
        <v>692.64615000000003</v>
      </c>
      <c r="R205" s="1174">
        <v>969.95679876767974</v>
      </c>
      <c r="S205" s="1174">
        <v>838.35230000000001</v>
      </c>
      <c r="T205" s="1174">
        <v>1173.9984595994958</v>
      </c>
      <c r="U205" s="1120">
        <v>167.81349999999998</v>
      </c>
      <c r="V205" s="1120">
        <v>235</v>
      </c>
      <c r="W205" s="1120"/>
      <c r="X205" s="1120"/>
      <c r="Y205" s="1119"/>
      <c r="Z205" s="1119"/>
      <c r="AA205" s="1119"/>
      <c r="AB205" s="1119"/>
      <c r="AC205" s="1178"/>
      <c r="AD205" s="1178"/>
      <c r="AE205" s="1178"/>
      <c r="AF205" s="1178"/>
      <c r="AG205" s="1178"/>
      <c r="AH205" s="1178"/>
      <c r="AI205" s="1178"/>
      <c r="AJ205" s="1178"/>
      <c r="AK205" s="919">
        <v>18.579999999999998</v>
      </c>
      <c r="AL205" s="919">
        <v>26.018764878868506</v>
      </c>
      <c r="AM205" s="919">
        <v>18.600000000000001</v>
      </c>
      <c r="AN205" s="919">
        <v>26.046772160761801</v>
      </c>
      <c r="AO205" s="919"/>
      <c r="AP205" s="919"/>
      <c r="AS205" s="1167"/>
      <c r="AT205" s="1167"/>
      <c r="AU205" s="1168"/>
      <c r="AV205" s="1168"/>
      <c r="AW205" s="1169"/>
      <c r="AX205" s="1169"/>
      <c r="AY205" s="1169"/>
      <c r="AZ205" s="1169"/>
      <c r="BA205" s="1799" t="s">
        <v>280</v>
      </c>
      <c r="BB205" s="1802">
        <v>2015</v>
      </c>
      <c r="BC205" s="1799" t="s">
        <v>26</v>
      </c>
      <c r="BD205" s="1799">
        <v>5</v>
      </c>
      <c r="BE205" s="1800">
        <v>47454536</v>
      </c>
      <c r="BF205" s="1801">
        <v>5.7000000000000002E-2</v>
      </c>
      <c r="BG205" s="1799"/>
      <c r="BH205" s="1799" t="s">
        <v>3</v>
      </c>
      <c r="BI205" s="1799" t="s">
        <v>316</v>
      </c>
      <c r="BJ205" s="1799" t="s">
        <v>431</v>
      </c>
      <c r="BK205" s="1799">
        <v>4</v>
      </c>
      <c r="BL205" s="1800">
        <v>278704769.19999999</v>
      </c>
      <c r="BM205" s="1801">
        <v>8.2085195019911697E-2</v>
      </c>
      <c r="BN205" s="1799">
        <v>2011</v>
      </c>
      <c r="BO205" s="1684"/>
      <c r="BP205" s="1696"/>
      <c r="BQ205" s="1169"/>
      <c r="BR205" s="1169"/>
      <c r="BS205" s="1169"/>
      <c r="BT205" s="1169"/>
      <c r="BU205" s="1169"/>
      <c r="BV205" s="1169"/>
      <c r="BW205" s="1169"/>
      <c r="BX205" s="1169"/>
      <c r="BY205" s="1169"/>
      <c r="BZ205" s="1169"/>
      <c r="CA205" s="1169"/>
      <c r="CB205" s="1169"/>
      <c r="CC205" s="1169"/>
      <c r="CD205" s="1169"/>
      <c r="CE205" s="1169"/>
      <c r="CF205" s="1169"/>
      <c r="CG205" s="1169"/>
      <c r="CH205" s="1169"/>
      <c r="CI205" s="1169"/>
      <c r="CJ205" s="1169"/>
      <c r="CK205" s="1169"/>
      <c r="CL205" s="1169"/>
      <c r="CM205" s="1169"/>
      <c r="CN205" s="1169"/>
      <c r="CO205" s="1169"/>
      <c r="CP205" s="1169"/>
      <c r="CQ205" s="1169"/>
      <c r="CR205" s="1169"/>
      <c r="CS205" s="1169"/>
      <c r="CT205" s="1169"/>
      <c r="CU205" s="1169"/>
      <c r="CV205" s="1169"/>
      <c r="CW205" s="1169"/>
      <c r="CX205" s="1169"/>
      <c r="CY205" s="1169"/>
      <c r="CZ205" s="1169"/>
      <c r="DA205" s="1168"/>
      <c r="DB205" s="1168"/>
      <c r="DC205" s="1168"/>
      <c r="DD205" s="1168"/>
      <c r="DE205" s="1168"/>
      <c r="DF205" s="1168"/>
      <c r="DG205" s="1168"/>
      <c r="DH205" s="1168"/>
      <c r="DI205" s="1168"/>
      <c r="DJ205" s="1168"/>
      <c r="DK205" s="1168"/>
      <c r="DL205" s="1168"/>
      <c r="DM205" s="1168"/>
      <c r="DN205" s="1168"/>
      <c r="DO205" s="1168"/>
      <c r="DP205" s="1168"/>
      <c r="DQ205" s="1168"/>
      <c r="DR205" s="1168"/>
      <c r="DS205" s="1168"/>
      <c r="DT205" s="1168"/>
      <c r="DU205" s="1168"/>
      <c r="DV205" s="1168"/>
      <c r="DW205" s="1168"/>
      <c r="DX205" s="1168"/>
      <c r="DY205" s="1168"/>
      <c r="DZ205" s="1168"/>
      <c r="EA205" s="1168"/>
      <c r="EB205" s="1168"/>
      <c r="EC205" s="1168"/>
      <c r="ED205" s="1168"/>
      <c r="EE205" s="1168"/>
      <c r="EF205" s="1168"/>
      <c r="EG205" s="1168"/>
      <c r="EH205" s="1168"/>
      <c r="EI205" s="1170"/>
      <c r="EJ205" s="1170"/>
      <c r="EK205" s="1170"/>
      <c r="EL205" s="1170"/>
      <c r="EM205" s="1170"/>
      <c r="EN205" s="1170"/>
      <c r="EO205" s="1170"/>
      <c r="EP205" s="1170"/>
      <c r="EQ205" s="1170"/>
      <c r="ER205" s="1170"/>
      <c r="ES205" s="1171"/>
      <c r="ET205" s="1171"/>
      <c r="EU205" s="1171"/>
      <c r="EV205" s="1171"/>
      <c r="EW205" s="1171"/>
      <c r="EX205" s="1171"/>
      <c r="EY205" s="1171"/>
      <c r="EZ205" s="1171"/>
      <c r="FA205" s="1171"/>
      <c r="FB205" s="1171"/>
      <c r="FC205" s="1171"/>
      <c r="FD205" s="1171"/>
      <c r="FE205" s="1171"/>
      <c r="FF205" s="1171"/>
      <c r="FG205" s="1171"/>
      <c r="FH205" s="1171"/>
      <c r="FI205" s="1171"/>
      <c r="FJ205" s="1171"/>
      <c r="FK205" s="1171"/>
      <c r="FL205" s="1171"/>
      <c r="FM205" s="1171"/>
      <c r="FN205" s="1171"/>
      <c r="FO205" s="1171"/>
      <c r="FP205" s="1171"/>
    </row>
    <row r="206" spans="1:172" s="607" customFormat="1">
      <c r="A206" s="607">
        <f t="shared" si="6"/>
        <v>1987</v>
      </c>
      <c r="B206" s="607">
        <f t="shared" si="7"/>
        <v>2</v>
      </c>
      <c r="C206" s="666">
        <v>31929</v>
      </c>
      <c r="D206" s="957">
        <v>0.71756190476190473</v>
      </c>
      <c r="E206" s="920">
        <v>141.05401980024371</v>
      </c>
      <c r="F206" s="920">
        <v>196.57400826908034</v>
      </c>
      <c r="G206" s="920"/>
      <c r="H206" s="920"/>
      <c r="I206" s="954">
        <v>449.43</v>
      </c>
      <c r="J206" s="954">
        <v>628.23</v>
      </c>
      <c r="K206" s="954"/>
      <c r="L206" s="920"/>
      <c r="M206" s="917">
        <v>4411.6658270694115</v>
      </c>
      <c r="N206" s="917">
        <v>6148.1327224767501</v>
      </c>
      <c r="O206" s="1175">
        <v>1572.5568108581979</v>
      </c>
      <c r="P206" s="1175">
        <v>2191.5277280222817</v>
      </c>
      <c r="Q206" s="1175">
        <v>629.08386100000007</v>
      </c>
      <c r="R206" s="1175">
        <v>876.69629174187742</v>
      </c>
      <c r="S206" s="1175">
        <v>878.19370100000003</v>
      </c>
      <c r="T206" s="1175">
        <v>1223.8577538357401</v>
      </c>
      <c r="U206" s="920">
        <v>211.68076190476191</v>
      </c>
      <c r="V206" s="920">
        <v>295</v>
      </c>
      <c r="W206" s="920"/>
      <c r="X206" s="920"/>
      <c r="Y206" s="920"/>
      <c r="Z206" s="920"/>
      <c r="AA206" s="920"/>
      <c r="AB206" s="920"/>
      <c r="AC206" s="920"/>
      <c r="AD206" s="920"/>
      <c r="AE206" s="920"/>
      <c r="AF206" s="920"/>
      <c r="AG206" s="920"/>
      <c r="AH206" s="920"/>
      <c r="AI206" s="920"/>
      <c r="AJ206" s="920"/>
      <c r="AK206" s="920">
        <v>19.079999999999998</v>
      </c>
      <c r="AL206" s="920">
        <v>26.59004034826927</v>
      </c>
      <c r="AM206" s="920">
        <v>18.899999999999999</v>
      </c>
      <c r="AN206" s="920">
        <v>26.339190911021447</v>
      </c>
      <c r="AO206" s="920"/>
      <c r="AP206" s="920"/>
      <c r="AS206" s="1167"/>
      <c r="AT206" s="1167"/>
      <c r="AU206" s="1168"/>
      <c r="AV206" s="1168"/>
      <c r="AW206" s="1169"/>
      <c r="AX206" s="1169"/>
      <c r="AY206" s="1169"/>
      <c r="AZ206" s="1169"/>
      <c r="BA206" s="1799" t="s">
        <v>280</v>
      </c>
      <c r="BB206" s="1802">
        <v>2015</v>
      </c>
      <c r="BC206" s="1799" t="s">
        <v>18</v>
      </c>
      <c r="BD206" s="1799">
        <v>6</v>
      </c>
      <c r="BE206" s="1800">
        <v>43094645</v>
      </c>
      <c r="BF206" s="1801">
        <v>5.1999999999999998E-2</v>
      </c>
      <c r="BG206" s="1799"/>
      <c r="BH206" s="1799" t="s">
        <v>3</v>
      </c>
      <c r="BI206" s="1799" t="s">
        <v>316</v>
      </c>
      <c r="BJ206" s="1799" t="s">
        <v>21</v>
      </c>
      <c r="BK206" s="1799">
        <v>5</v>
      </c>
      <c r="BL206" s="1800">
        <v>194245387.30000001</v>
      </c>
      <c r="BM206" s="1801">
        <v>5.7209894699709288E-2</v>
      </c>
      <c r="BN206" s="1799">
        <v>2011</v>
      </c>
      <c r="BO206" s="1684"/>
      <c r="BP206" s="1696"/>
      <c r="BQ206" s="1169"/>
      <c r="BR206" s="1169"/>
      <c r="BS206" s="1169"/>
      <c r="BT206" s="1169"/>
      <c r="BU206" s="1169"/>
      <c r="BV206" s="1169"/>
      <c r="BW206" s="1169"/>
      <c r="BX206" s="1169"/>
      <c r="BY206" s="1169"/>
      <c r="BZ206" s="1169"/>
      <c r="CA206" s="1169"/>
      <c r="CB206" s="1169"/>
      <c r="CC206" s="1169"/>
      <c r="CD206" s="1169"/>
      <c r="CE206" s="1169"/>
      <c r="CF206" s="1169"/>
      <c r="CG206" s="1169"/>
      <c r="CH206" s="1169"/>
      <c r="CI206" s="1169"/>
      <c r="CJ206" s="1169"/>
      <c r="CK206" s="1169"/>
      <c r="CL206" s="1169"/>
      <c r="CM206" s="1169"/>
      <c r="CN206" s="1169"/>
      <c r="CO206" s="1169"/>
      <c r="CP206" s="1169"/>
      <c r="CQ206" s="1169"/>
      <c r="CR206" s="1169"/>
      <c r="CS206" s="1169"/>
      <c r="CT206" s="1169"/>
      <c r="CU206" s="1169"/>
      <c r="CV206" s="1169"/>
      <c r="CW206" s="1169"/>
      <c r="CX206" s="1169"/>
      <c r="CY206" s="1169"/>
      <c r="CZ206" s="1169"/>
      <c r="DA206" s="1168"/>
      <c r="DB206" s="1168"/>
      <c r="DC206" s="1168"/>
      <c r="DD206" s="1168"/>
      <c r="DE206" s="1168"/>
      <c r="DF206" s="1168"/>
      <c r="DG206" s="1168"/>
      <c r="DH206" s="1168"/>
      <c r="DI206" s="1168"/>
      <c r="DJ206" s="1168"/>
      <c r="DK206" s="1168"/>
      <c r="DL206" s="1168"/>
      <c r="DM206" s="1168"/>
      <c r="DN206" s="1168"/>
      <c r="DO206" s="1168"/>
      <c r="DP206" s="1168"/>
      <c r="DQ206" s="1168"/>
      <c r="DR206" s="1168"/>
      <c r="DS206" s="1168"/>
      <c r="DT206" s="1168"/>
      <c r="DU206" s="1168"/>
      <c r="DV206" s="1168"/>
      <c r="DW206" s="1168"/>
      <c r="DX206" s="1168"/>
      <c r="DY206" s="1168"/>
      <c r="DZ206" s="1168"/>
      <c r="EA206" s="1168"/>
      <c r="EB206" s="1168"/>
      <c r="EC206" s="1168"/>
      <c r="ED206" s="1168"/>
      <c r="EE206" s="1168"/>
      <c r="EF206" s="1168"/>
      <c r="EG206" s="1168"/>
      <c r="EH206" s="1168"/>
      <c r="EI206" s="1170"/>
      <c r="EJ206" s="1170"/>
      <c r="EK206" s="1170"/>
      <c r="EL206" s="1170"/>
      <c r="EM206" s="1170"/>
      <c r="EN206" s="1170"/>
      <c r="EO206" s="1170"/>
      <c r="EP206" s="1170"/>
      <c r="EQ206" s="1170"/>
      <c r="ER206" s="1170"/>
      <c r="ES206" s="1171"/>
      <c r="ET206" s="1171"/>
      <c r="EU206" s="1171"/>
      <c r="EV206" s="1171"/>
      <c r="EW206" s="1171"/>
      <c r="EX206" s="1171"/>
      <c r="EY206" s="1171"/>
      <c r="EZ206" s="1171"/>
      <c r="FA206" s="1171"/>
      <c r="FB206" s="1171"/>
      <c r="FC206" s="1171"/>
      <c r="FD206" s="1171"/>
      <c r="FE206" s="1171"/>
      <c r="FF206" s="1171"/>
      <c r="FG206" s="1171"/>
      <c r="FH206" s="1171"/>
      <c r="FI206" s="1171"/>
      <c r="FJ206" s="1171"/>
      <c r="FK206" s="1171"/>
      <c r="FL206" s="1171"/>
      <c r="FM206" s="1171"/>
      <c r="FN206" s="1171"/>
      <c r="FO206" s="1171"/>
      <c r="FP206" s="1171"/>
    </row>
    <row r="207" spans="1:172" s="607" customFormat="1">
      <c r="A207" s="607">
        <f t="shared" si="6"/>
        <v>1987</v>
      </c>
      <c r="B207" s="607">
        <f t="shared" si="7"/>
        <v>3</v>
      </c>
      <c r="C207" s="666">
        <v>31959</v>
      </c>
      <c r="D207" s="1709">
        <v>0.70850434782608696</v>
      </c>
      <c r="E207" s="1117">
        <v>129.91693291556331</v>
      </c>
      <c r="F207" s="1117">
        <v>183.36786967389699</v>
      </c>
      <c r="G207" s="1117"/>
      <c r="H207" s="1117"/>
      <c r="I207" s="959">
        <v>450.4</v>
      </c>
      <c r="J207" s="959">
        <v>637.9</v>
      </c>
      <c r="K207" s="960"/>
      <c r="L207" s="1121"/>
      <c r="M207" s="916">
        <v>4808.4884359539901</v>
      </c>
      <c r="N207" s="916">
        <v>6786.8157065061596</v>
      </c>
      <c r="O207" s="1174">
        <v>1694.839047521024</v>
      </c>
      <c r="P207" s="1174">
        <v>2392.1364106251717</v>
      </c>
      <c r="Q207" s="1174">
        <v>663.198305</v>
      </c>
      <c r="R207" s="1174">
        <v>936.05396640811023</v>
      </c>
      <c r="S207" s="1174">
        <v>829.27558900000008</v>
      </c>
      <c r="T207" s="1174">
        <v>1170.4594213775499</v>
      </c>
      <c r="U207" s="1120">
        <v>209.00878260869564</v>
      </c>
      <c r="V207" s="1120">
        <v>295</v>
      </c>
      <c r="W207" s="1120"/>
      <c r="X207" s="1120"/>
      <c r="Y207" s="1119"/>
      <c r="Z207" s="1119"/>
      <c r="AA207" s="1119"/>
      <c r="AB207" s="1119"/>
      <c r="AC207" s="1178"/>
      <c r="AD207" s="1178"/>
      <c r="AE207" s="1178"/>
      <c r="AF207" s="1178"/>
      <c r="AG207" s="1178"/>
      <c r="AH207" s="1178"/>
      <c r="AI207" s="1178"/>
      <c r="AJ207" s="1178"/>
      <c r="AK207" s="919">
        <v>19.079999999999998</v>
      </c>
      <c r="AL207" s="919">
        <v>26.929968825940744</v>
      </c>
      <c r="AM207" s="919">
        <v>18.899999999999999</v>
      </c>
      <c r="AN207" s="919">
        <v>26.675912516262056</v>
      </c>
      <c r="AO207" s="919"/>
      <c r="AP207" s="919"/>
      <c r="AS207" s="1167"/>
      <c r="AT207" s="1167"/>
      <c r="AU207" s="1168"/>
      <c r="AV207" s="1168"/>
      <c r="AW207" s="1169"/>
      <c r="AX207" s="1169"/>
      <c r="AY207" s="1169"/>
      <c r="AZ207" s="1169"/>
      <c r="BA207" s="1799" t="s">
        <v>280</v>
      </c>
      <c r="BB207" s="1802">
        <v>2015</v>
      </c>
      <c r="BC207" s="1799" t="s">
        <v>583</v>
      </c>
      <c r="BD207" s="1799">
        <v>7</v>
      </c>
      <c r="BE207" s="1800">
        <v>20761451</v>
      </c>
      <c r="BF207" s="1801">
        <v>2.5000000000000001E-2</v>
      </c>
      <c r="BG207" s="1799"/>
      <c r="BH207" s="1799" t="s">
        <v>3</v>
      </c>
      <c r="BI207" s="1799" t="s">
        <v>316</v>
      </c>
      <c r="BJ207" s="1799" t="s">
        <v>23</v>
      </c>
      <c r="BK207" s="1799">
        <v>6</v>
      </c>
      <c r="BL207" s="1800">
        <v>176459091</v>
      </c>
      <c r="BM207" s="1801">
        <v>5.197140665855296E-2</v>
      </c>
      <c r="BN207" s="1799">
        <v>2011</v>
      </c>
      <c r="BO207" s="1684"/>
      <c r="BP207" s="1696"/>
      <c r="BQ207" s="1169"/>
      <c r="BR207" s="1169"/>
      <c r="BS207" s="1169"/>
      <c r="BT207" s="1169"/>
      <c r="BU207" s="1169"/>
      <c r="BV207" s="1169"/>
      <c r="BW207" s="1169"/>
      <c r="BX207" s="1169"/>
      <c r="BY207" s="1169"/>
      <c r="BZ207" s="1169"/>
      <c r="CA207" s="1169"/>
      <c r="CB207" s="1169"/>
      <c r="CC207" s="1169"/>
      <c r="CD207" s="1169"/>
      <c r="CE207" s="1169"/>
      <c r="CF207" s="1169"/>
      <c r="CG207" s="1169"/>
      <c r="CH207" s="1169"/>
      <c r="CI207" s="1169"/>
      <c r="CJ207" s="1169"/>
      <c r="CK207" s="1169"/>
      <c r="CL207" s="1169"/>
      <c r="CM207" s="1169"/>
      <c r="CN207" s="1169"/>
      <c r="CO207" s="1169"/>
      <c r="CP207" s="1169"/>
      <c r="CQ207" s="1169"/>
      <c r="CR207" s="1169"/>
      <c r="CS207" s="1169"/>
      <c r="CT207" s="1169"/>
      <c r="CU207" s="1169"/>
      <c r="CV207" s="1169"/>
      <c r="CW207" s="1169"/>
      <c r="CX207" s="1169"/>
      <c r="CY207" s="1169"/>
      <c r="CZ207" s="1169"/>
      <c r="DA207" s="1168"/>
      <c r="DB207" s="1168"/>
      <c r="DC207" s="1168"/>
      <c r="DD207" s="1168"/>
      <c r="DE207" s="1168"/>
      <c r="DF207" s="1168"/>
      <c r="DG207" s="1168"/>
      <c r="DH207" s="1168"/>
      <c r="DI207" s="1168"/>
      <c r="DJ207" s="1168"/>
      <c r="DK207" s="1168"/>
      <c r="DL207" s="1168"/>
      <c r="DM207" s="1168"/>
      <c r="DN207" s="1168"/>
      <c r="DO207" s="1168"/>
      <c r="DP207" s="1168"/>
      <c r="DQ207" s="1168"/>
      <c r="DR207" s="1168"/>
      <c r="DS207" s="1168"/>
      <c r="DT207" s="1168"/>
      <c r="DU207" s="1168"/>
      <c r="DV207" s="1168"/>
      <c r="DW207" s="1168"/>
      <c r="DX207" s="1168"/>
      <c r="DY207" s="1168"/>
      <c r="DZ207" s="1168"/>
      <c r="EA207" s="1168"/>
      <c r="EB207" s="1168"/>
      <c r="EC207" s="1168"/>
      <c r="ED207" s="1168"/>
      <c r="EE207" s="1168"/>
      <c r="EF207" s="1168"/>
      <c r="EG207" s="1168"/>
      <c r="EH207" s="1168"/>
      <c r="EI207" s="1170"/>
      <c r="EJ207" s="1170"/>
      <c r="EK207" s="1170"/>
      <c r="EL207" s="1170"/>
      <c r="EM207" s="1170"/>
      <c r="EN207" s="1170"/>
      <c r="EO207" s="1170"/>
      <c r="EP207" s="1170"/>
      <c r="EQ207" s="1170"/>
      <c r="ER207" s="1170"/>
      <c r="ES207" s="1171"/>
      <c r="ET207" s="1171"/>
      <c r="EU207" s="1171"/>
      <c r="EV207" s="1171"/>
      <c r="EW207" s="1171"/>
      <c r="EX207" s="1171"/>
      <c r="EY207" s="1171"/>
      <c r="EZ207" s="1171"/>
      <c r="FA207" s="1171"/>
      <c r="FB207" s="1171"/>
      <c r="FC207" s="1171"/>
      <c r="FD207" s="1171"/>
      <c r="FE207" s="1171"/>
      <c r="FF207" s="1171"/>
      <c r="FG207" s="1171"/>
      <c r="FH207" s="1171"/>
      <c r="FI207" s="1171"/>
      <c r="FJ207" s="1171"/>
      <c r="FK207" s="1171"/>
      <c r="FL207" s="1171"/>
      <c r="FM207" s="1171"/>
      <c r="FN207" s="1171"/>
      <c r="FO207" s="1171"/>
      <c r="FP207" s="1171"/>
    </row>
    <row r="208" spans="1:172" s="607" customFormat="1">
      <c r="A208" s="607">
        <f t="shared" si="6"/>
        <v>1987</v>
      </c>
      <c r="B208" s="607">
        <f t="shared" si="7"/>
        <v>3</v>
      </c>
      <c r="C208" s="666">
        <v>31990</v>
      </c>
      <c r="D208" s="957">
        <v>0.70737142857142865</v>
      </c>
      <c r="E208" s="920">
        <v>127.73751566971416</v>
      </c>
      <c r="F208" s="920">
        <v>180.58054158009512</v>
      </c>
      <c r="G208" s="920"/>
      <c r="H208" s="920"/>
      <c r="I208" s="954">
        <v>461.9</v>
      </c>
      <c r="J208" s="954">
        <v>656.25</v>
      </c>
      <c r="K208" s="954"/>
      <c r="L208" s="920"/>
      <c r="M208" s="917">
        <v>5252.8881984438949</v>
      </c>
      <c r="N208" s="917">
        <v>7425.92644581696</v>
      </c>
      <c r="O208" s="1175">
        <v>1750.8418194672097</v>
      </c>
      <c r="P208" s="1175">
        <v>2475.1378819513825</v>
      </c>
      <c r="Q208" s="1175">
        <v>656.84882200000004</v>
      </c>
      <c r="R208" s="1175">
        <v>928.57697592697309</v>
      </c>
      <c r="S208" s="1175">
        <v>801.25537799999995</v>
      </c>
      <c r="T208" s="1175">
        <v>1132.7222808789077</v>
      </c>
      <c r="U208" s="920">
        <v>208.67457142857145</v>
      </c>
      <c r="V208" s="920">
        <v>295</v>
      </c>
      <c r="W208" s="920"/>
      <c r="X208" s="920"/>
      <c r="Y208" s="920"/>
      <c r="Z208" s="920"/>
      <c r="AA208" s="920"/>
      <c r="AB208" s="920"/>
      <c r="AC208" s="920"/>
      <c r="AD208" s="920"/>
      <c r="AE208" s="920"/>
      <c r="AF208" s="920"/>
      <c r="AG208" s="920"/>
      <c r="AH208" s="920"/>
      <c r="AI208" s="920"/>
      <c r="AJ208" s="920"/>
      <c r="AK208" s="920">
        <v>20.03</v>
      </c>
      <c r="AL208" s="920">
        <v>28.316099846514255</v>
      </c>
      <c r="AM208" s="920">
        <v>19.7</v>
      </c>
      <c r="AN208" s="920">
        <v>27.849583972857253</v>
      </c>
      <c r="AO208" s="920"/>
      <c r="AP208" s="920"/>
      <c r="AS208" s="1167"/>
      <c r="AT208" s="1167"/>
      <c r="AU208" s="1168"/>
      <c r="AV208" s="1168"/>
      <c r="AW208" s="1169"/>
      <c r="AX208" s="1169"/>
      <c r="AY208" s="1169"/>
      <c r="AZ208" s="1169"/>
      <c r="BA208" s="1799" t="s">
        <v>280</v>
      </c>
      <c r="BB208" s="1802">
        <v>2015</v>
      </c>
      <c r="BC208" s="1799" t="s">
        <v>54</v>
      </c>
      <c r="BD208" s="1799">
        <v>8</v>
      </c>
      <c r="BE208" s="1800">
        <v>19236583</v>
      </c>
      <c r="BF208" s="1801">
        <v>2.3E-2</v>
      </c>
      <c r="BG208" s="1799"/>
      <c r="BH208" s="1799" t="s">
        <v>3</v>
      </c>
      <c r="BI208" s="1799" t="s">
        <v>316</v>
      </c>
      <c r="BJ208" s="1799" t="s">
        <v>48</v>
      </c>
      <c r="BK208" s="1799">
        <v>7</v>
      </c>
      <c r="BL208" s="1800">
        <v>154439391</v>
      </c>
      <c r="BM208" s="1801">
        <v>4.5486080361596466E-2</v>
      </c>
      <c r="BN208" s="1799">
        <v>2011</v>
      </c>
      <c r="BO208" s="1684"/>
      <c r="BP208" s="1696"/>
      <c r="BQ208" s="1169"/>
      <c r="BR208" s="1169"/>
      <c r="BS208" s="1169"/>
      <c r="BT208" s="1169"/>
      <c r="BU208" s="1169"/>
      <c r="BV208" s="1169"/>
      <c r="BW208" s="1169"/>
      <c r="BX208" s="1169"/>
      <c r="BY208" s="1169"/>
      <c r="BZ208" s="1169"/>
      <c r="CA208" s="1169"/>
      <c r="CB208" s="1169"/>
      <c r="CC208" s="1169"/>
      <c r="CD208" s="1169"/>
      <c r="CE208" s="1169"/>
      <c r="CF208" s="1169"/>
      <c r="CG208" s="1169"/>
      <c r="CH208" s="1169"/>
      <c r="CI208" s="1169"/>
      <c r="CJ208" s="1169"/>
      <c r="CK208" s="1169"/>
      <c r="CL208" s="1169"/>
      <c r="CM208" s="1169"/>
      <c r="CN208" s="1169"/>
      <c r="CO208" s="1169"/>
      <c r="CP208" s="1169"/>
      <c r="CQ208" s="1169"/>
      <c r="CR208" s="1169"/>
      <c r="CS208" s="1169"/>
      <c r="CT208" s="1169"/>
      <c r="CU208" s="1169"/>
      <c r="CV208" s="1169"/>
      <c r="CW208" s="1169"/>
      <c r="CX208" s="1169"/>
      <c r="CY208" s="1169"/>
      <c r="CZ208" s="1169"/>
      <c r="DA208" s="1168"/>
      <c r="DB208" s="1168"/>
      <c r="DC208" s="1168"/>
      <c r="DD208" s="1168"/>
      <c r="DE208" s="1168"/>
      <c r="DF208" s="1168"/>
      <c r="DG208" s="1168"/>
      <c r="DH208" s="1168"/>
      <c r="DI208" s="1168"/>
      <c r="DJ208" s="1168"/>
      <c r="DK208" s="1168"/>
      <c r="DL208" s="1168"/>
      <c r="DM208" s="1168"/>
      <c r="DN208" s="1168"/>
      <c r="DO208" s="1168"/>
      <c r="DP208" s="1168"/>
      <c r="DQ208" s="1168"/>
      <c r="DR208" s="1168"/>
      <c r="DS208" s="1168"/>
      <c r="DT208" s="1168"/>
      <c r="DU208" s="1168"/>
      <c r="DV208" s="1168"/>
      <c r="DW208" s="1168"/>
      <c r="DX208" s="1168"/>
      <c r="DY208" s="1168"/>
      <c r="DZ208" s="1168"/>
      <c r="EA208" s="1168"/>
      <c r="EB208" s="1168"/>
      <c r="EC208" s="1168"/>
      <c r="ED208" s="1168"/>
      <c r="EE208" s="1168"/>
      <c r="EF208" s="1168"/>
      <c r="EG208" s="1168"/>
      <c r="EH208" s="1168"/>
      <c r="EI208" s="1170"/>
      <c r="EJ208" s="1170"/>
      <c r="EK208" s="1170"/>
      <c r="EL208" s="1170"/>
      <c r="EM208" s="1170"/>
      <c r="EN208" s="1170"/>
      <c r="EO208" s="1170"/>
      <c r="EP208" s="1170"/>
      <c r="EQ208" s="1170"/>
      <c r="ER208" s="1170"/>
      <c r="ES208" s="1171"/>
      <c r="ET208" s="1171"/>
      <c r="EU208" s="1171"/>
      <c r="EV208" s="1171"/>
      <c r="EW208" s="1171"/>
      <c r="EX208" s="1171"/>
      <c r="EY208" s="1171"/>
      <c r="EZ208" s="1171"/>
      <c r="FA208" s="1171"/>
      <c r="FB208" s="1171"/>
      <c r="FC208" s="1171"/>
      <c r="FD208" s="1171"/>
      <c r="FE208" s="1171"/>
      <c r="FF208" s="1171"/>
      <c r="FG208" s="1171"/>
      <c r="FH208" s="1171"/>
      <c r="FI208" s="1171"/>
      <c r="FJ208" s="1171"/>
      <c r="FK208" s="1171"/>
      <c r="FL208" s="1171"/>
      <c r="FM208" s="1171"/>
      <c r="FN208" s="1171"/>
      <c r="FO208" s="1171"/>
      <c r="FP208" s="1171"/>
    </row>
    <row r="209" spans="1:172" s="607" customFormat="1">
      <c r="A209" s="607">
        <f t="shared" si="6"/>
        <v>1987</v>
      </c>
      <c r="B209" s="607">
        <f t="shared" si="7"/>
        <v>3</v>
      </c>
      <c r="C209" s="666">
        <v>32021</v>
      </c>
      <c r="D209" s="1709">
        <v>0.72691363636363626</v>
      </c>
      <c r="E209" s="1117">
        <v>140.26103919361634</v>
      </c>
      <c r="F209" s="1117">
        <v>192.95420002748608</v>
      </c>
      <c r="G209" s="1117"/>
      <c r="H209" s="1117"/>
      <c r="I209" s="959">
        <v>459.9</v>
      </c>
      <c r="J209" s="959">
        <v>634.4</v>
      </c>
      <c r="K209" s="960"/>
      <c r="L209" s="1121"/>
      <c r="M209" s="916">
        <v>5367.6620528470658</v>
      </c>
      <c r="N209" s="916">
        <v>7384.1812621629097</v>
      </c>
      <c r="O209" s="1174">
        <v>1810.1505084223131</v>
      </c>
      <c r="P209" s="1174">
        <v>2490.1864786545166</v>
      </c>
      <c r="Q209" s="1174">
        <v>646.10760500000004</v>
      </c>
      <c r="R209" s="1174">
        <v>888.83682005490232</v>
      </c>
      <c r="S209" s="1174">
        <v>755.77931000000001</v>
      </c>
      <c r="T209" s="1174">
        <v>1039.7099080170835</v>
      </c>
      <c r="U209" s="1120">
        <v>214.4395227272727</v>
      </c>
      <c r="V209" s="1120">
        <v>295</v>
      </c>
      <c r="W209" s="1120"/>
      <c r="X209" s="1120"/>
      <c r="Y209" s="1119"/>
      <c r="Z209" s="1119"/>
      <c r="AA209" s="1119"/>
      <c r="AB209" s="1119"/>
      <c r="AC209" s="1178"/>
      <c r="AD209" s="1178"/>
      <c r="AE209" s="1178"/>
      <c r="AF209" s="1178"/>
      <c r="AG209" s="1178"/>
      <c r="AH209" s="1178"/>
      <c r="AI209" s="1178"/>
      <c r="AJ209" s="1178"/>
      <c r="AK209" s="919">
        <v>18.48</v>
      </c>
      <c r="AL209" s="919">
        <v>25.422552385240216</v>
      </c>
      <c r="AM209" s="919">
        <v>18.899999999999999</v>
      </c>
      <c r="AN209" s="919">
        <v>26.000337666722945</v>
      </c>
      <c r="AO209" s="919"/>
      <c r="AP209" s="919"/>
      <c r="AS209" s="1167"/>
      <c r="AT209" s="1167"/>
      <c r="AU209" s="1168"/>
      <c r="AV209" s="1168"/>
      <c r="AW209" s="1169"/>
      <c r="AX209" s="1169"/>
      <c r="AY209" s="1169"/>
      <c r="AZ209" s="1169"/>
      <c r="BA209" s="1799" t="s">
        <v>280</v>
      </c>
      <c r="BB209" s="1802">
        <v>2015</v>
      </c>
      <c r="BC209" s="1799" t="s">
        <v>20</v>
      </c>
      <c r="BD209" s="1799">
        <v>9</v>
      </c>
      <c r="BE209" s="1800">
        <v>18266306</v>
      </c>
      <c r="BF209" s="1801">
        <v>2.1999999999999999E-2</v>
      </c>
      <c r="BG209" s="1799"/>
      <c r="BH209" s="1799" t="s">
        <v>3</v>
      </c>
      <c r="BI209" s="1799" t="s">
        <v>316</v>
      </c>
      <c r="BJ209" s="1799" t="s">
        <v>45</v>
      </c>
      <c r="BK209" s="1799">
        <v>8</v>
      </c>
      <c r="BL209" s="1800">
        <v>148469866.09999999</v>
      </c>
      <c r="BM209" s="1801">
        <v>4.3727913047132298E-2</v>
      </c>
      <c r="BN209" s="1799">
        <v>2011</v>
      </c>
      <c r="BO209" s="1684"/>
      <c r="BP209" s="1696"/>
      <c r="BQ209" s="1169"/>
      <c r="BR209" s="1169"/>
      <c r="BS209" s="1169"/>
      <c r="BT209" s="1169"/>
      <c r="BU209" s="1169"/>
      <c r="BV209" s="1169"/>
      <c r="BW209" s="1169"/>
      <c r="BX209" s="1169"/>
      <c r="BY209" s="1169"/>
      <c r="BZ209" s="1169"/>
      <c r="CA209" s="1169"/>
      <c r="CB209" s="1169"/>
      <c r="CC209" s="1169"/>
      <c r="CD209" s="1169"/>
      <c r="CE209" s="1169"/>
      <c r="CF209" s="1169"/>
      <c r="CG209" s="1169"/>
      <c r="CH209" s="1169"/>
      <c r="CI209" s="1169"/>
      <c r="CJ209" s="1169"/>
      <c r="CK209" s="1169"/>
      <c r="CL209" s="1169"/>
      <c r="CM209" s="1169"/>
      <c r="CN209" s="1169"/>
      <c r="CO209" s="1169"/>
      <c r="CP209" s="1169"/>
      <c r="CQ209" s="1169"/>
      <c r="CR209" s="1169"/>
      <c r="CS209" s="1169"/>
      <c r="CT209" s="1169"/>
      <c r="CU209" s="1169"/>
      <c r="CV209" s="1169"/>
      <c r="CW209" s="1169"/>
      <c r="CX209" s="1169"/>
      <c r="CY209" s="1169"/>
      <c r="CZ209" s="1169"/>
      <c r="DA209" s="1168"/>
      <c r="DB209" s="1168"/>
      <c r="DC209" s="1168"/>
      <c r="DD209" s="1168"/>
      <c r="DE209" s="1168"/>
      <c r="DF209" s="1168"/>
      <c r="DG209" s="1168"/>
      <c r="DH209" s="1168"/>
      <c r="DI209" s="1168"/>
      <c r="DJ209" s="1168"/>
      <c r="DK209" s="1168"/>
      <c r="DL209" s="1168"/>
      <c r="DM209" s="1168"/>
      <c r="DN209" s="1168"/>
      <c r="DO209" s="1168"/>
      <c r="DP209" s="1168"/>
      <c r="DQ209" s="1168"/>
      <c r="DR209" s="1168"/>
      <c r="DS209" s="1168"/>
      <c r="DT209" s="1168"/>
      <c r="DU209" s="1168"/>
      <c r="DV209" s="1168"/>
      <c r="DW209" s="1168"/>
      <c r="DX209" s="1168"/>
      <c r="DY209" s="1168"/>
      <c r="DZ209" s="1168"/>
      <c r="EA209" s="1168"/>
      <c r="EB209" s="1168"/>
      <c r="EC209" s="1168"/>
      <c r="ED209" s="1168"/>
      <c r="EE209" s="1168"/>
      <c r="EF209" s="1168"/>
      <c r="EG209" s="1168"/>
      <c r="EH209" s="1168"/>
      <c r="EI209" s="1170"/>
      <c r="EJ209" s="1170"/>
      <c r="EK209" s="1170"/>
      <c r="EL209" s="1170"/>
      <c r="EM209" s="1170"/>
      <c r="EN209" s="1170"/>
      <c r="EO209" s="1170"/>
      <c r="EP209" s="1170"/>
      <c r="EQ209" s="1170"/>
      <c r="ER209" s="1170"/>
      <c r="ES209" s="1171"/>
      <c r="ET209" s="1171"/>
      <c r="EU209" s="1171"/>
      <c r="EV209" s="1171"/>
      <c r="EW209" s="1171"/>
      <c r="EX209" s="1171"/>
      <c r="EY209" s="1171"/>
      <c r="EZ209" s="1171"/>
      <c r="FA209" s="1171"/>
      <c r="FB209" s="1171"/>
      <c r="FC209" s="1171"/>
      <c r="FD209" s="1171"/>
      <c r="FE209" s="1171"/>
      <c r="FF209" s="1171"/>
      <c r="FG209" s="1171"/>
      <c r="FH209" s="1171"/>
      <c r="FI209" s="1171"/>
      <c r="FJ209" s="1171"/>
      <c r="FK209" s="1171"/>
      <c r="FL209" s="1171"/>
      <c r="FM209" s="1171"/>
      <c r="FN209" s="1171"/>
      <c r="FO209" s="1171"/>
      <c r="FP209" s="1171"/>
    </row>
    <row r="210" spans="1:172" s="607" customFormat="1">
      <c r="A210" s="607">
        <f t="shared" si="6"/>
        <v>1987</v>
      </c>
      <c r="B210" s="607">
        <f t="shared" si="7"/>
        <v>4</v>
      </c>
      <c r="C210" s="666">
        <v>32051</v>
      </c>
      <c r="D210" s="957">
        <v>0.71397272727272731</v>
      </c>
      <c r="E210" s="920">
        <v>134.39755015677025</v>
      </c>
      <c r="F210" s="920">
        <v>188.23905315004043</v>
      </c>
      <c r="G210" s="920"/>
      <c r="H210" s="920"/>
      <c r="I210" s="954">
        <v>465.1</v>
      </c>
      <c r="J210" s="954">
        <v>653</v>
      </c>
      <c r="K210" s="954"/>
      <c r="L210" s="920"/>
      <c r="M210" s="917">
        <v>5990.3653753010331</v>
      </c>
      <c r="N210" s="917">
        <v>8390.1879532336807</v>
      </c>
      <c r="O210" s="1175">
        <v>1964.6149801298182</v>
      </c>
      <c r="P210" s="1175">
        <v>2751.6667025004772</v>
      </c>
      <c r="Q210" s="1175">
        <v>600.43781700000011</v>
      </c>
      <c r="R210" s="1175">
        <v>840.98144657931937</v>
      </c>
      <c r="S210" s="1175">
        <v>768.75707999999997</v>
      </c>
      <c r="T210" s="1175">
        <v>1076.7317162611253</v>
      </c>
      <c r="U210" s="920">
        <v>210.62195454545457</v>
      </c>
      <c r="V210" s="920">
        <v>295</v>
      </c>
      <c r="W210" s="920"/>
      <c r="X210" s="920"/>
      <c r="Y210" s="920"/>
      <c r="Z210" s="920"/>
      <c r="AA210" s="920"/>
      <c r="AB210" s="920"/>
      <c r="AC210" s="920"/>
      <c r="AD210" s="920"/>
      <c r="AE210" s="920"/>
      <c r="AF210" s="920"/>
      <c r="AG210" s="920"/>
      <c r="AH210" s="920"/>
      <c r="AI210" s="920"/>
      <c r="AJ210" s="920"/>
      <c r="AK210" s="920">
        <v>18.8</v>
      </c>
      <c r="AL210" s="920">
        <v>26.331538001196886</v>
      </c>
      <c r="AM210" s="920">
        <v>18.75</v>
      </c>
      <c r="AN210" s="920">
        <v>26.26150731502349</v>
      </c>
      <c r="AO210" s="920"/>
      <c r="AP210" s="920"/>
      <c r="AS210" s="1167"/>
      <c r="AT210" s="1167"/>
      <c r="AU210" s="1168"/>
      <c r="AV210" s="1168"/>
      <c r="AW210" s="1169"/>
      <c r="AX210" s="1169"/>
      <c r="AY210" s="1169"/>
      <c r="AZ210" s="1169"/>
      <c r="BA210" s="1799" t="s">
        <v>280</v>
      </c>
      <c r="BB210" s="1802">
        <v>2015</v>
      </c>
      <c r="BC210" s="1799" t="s">
        <v>28</v>
      </c>
      <c r="BD210" s="1799">
        <v>10</v>
      </c>
      <c r="BE210" s="1800">
        <v>18025222</v>
      </c>
      <c r="BF210" s="1801">
        <v>2.1999999999999999E-2</v>
      </c>
      <c r="BG210" s="1799"/>
      <c r="BH210" s="1799" t="s">
        <v>3</v>
      </c>
      <c r="BI210" s="1799" t="s">
        <v>316</v>
      </c>
      <c r="BJ210" s="1799" t="s">
        <v>42</v>
      </c>
      <c r="BK210" s="1799">
        <v>9</v>
      </c>
      <c r="BL210" s="1800">
        <v>84380468.950000003</v>
      </c>
      <c r="BM210" s="1801">
        <v>2.4852058576227458E-2</v>
      </c>
      <c r="BN210" s="1799">
        <v>2011</v>
      </c>
      <c r="BO210" s="1684"/>
      <c r="BP210" s="1696"/>
      <c r="BQ210" s="1169"/>
      <c r="BR210" s="1169"/>
      <c r="BS210" s="1169"/>
      <c r="BT210" s="1169"/>
      <c r="BU210" s="1169"/>
      <c r="BV210" s="1169"/>
      <c r="BW210" s="1169"/>
      <c r="BX210" s="1169"/>
      <c r="BY210" s="1169"/>
      <c r="BZ210" s="1169"/>
      <c r="CA210" s="1169"/>
      <c r="CB210" s="1169"/>
      <c r="CC210" s="1169"/>
      <c r="CD210" s="1169"/>
      <c r="CE210" s="1169"/>
      <c r="CF210" s="1169"/>
      <c r="CG210" s="1169"/>
      <c r="CH210" s="1169"/>
      <c r="CI210" s="1169"/>
      <c r="CJ210" s="1169"/>
      <c r="CK210" s="1169"/>
      <c r="CL210" s="1169"/>
      <c r="CM210" s="1169"/>
      <c r="CN210" s="1169"/>
      <c r="CO210" s="1169"/>
      <c r="CP210" s="1169"/>
      <c r="CQ210" s="1169"/>
      <c r="CR210" s="1169"/>
      <c r="CS210" s="1169"/>
      <c r="CT210" s="1169"/>
      <c r="CU210" s="1169"/>
      <c r="CV210" s="1169"/>
      <c r="CW210" s="1169"/>
      <c r="CX210" s="1169"/>
      <c r="CY210" s="1169"/>
      <c r="CZ210" s="1169"/>
      <c r="DA210" s="1168"/>
      <c r="DB210" s="1168"/>
      <c r="DC210" s="1168"/>
      <c r="DD210" s="1168"/>
      <c r="DE210" s="1168"/>
      <c r="DF210" s="1168"/>
      <c r="DG210" s="1168"/>
      <c r="DH210" s="1168"/>
      <c r="DI210" s="1168"/>
      <c r="DJ210" s="1168"/>
      <c r="DK210" s="1168"/>
      <c r="DL210" s="1168"/>
      <c r="DM210" s="1168"/>
      <c r="DN210" s="1168"/>
      <c r="DO210" s="1168"/>
      <c r="DP210" s="1168"/>
      <c r="DQ210" s="1168"/>
      <c r="DR210" s="1168"/>
      <c r="DS210" s="1168"/>
      <c r="DT210" s="1168"/>
      <c r="DU210" s="1168"/>
      <c r="DV210" s="1168"/>
      <c r="DW210" s="1168"/>
      <c r="DX210" s="1168"/>
      <c r="DY210" s="1168"/>
      <c r="DZ210" s="1168"/>
      <c r="EA210" s="1168"/>
      <c r="EB210" s="1168"/>
      <c r="EC210" s="1168"/>
      <c r="ED210" s="1168"/>
      <c r="EE210" s="1168"/>
      <c r="EF210" s="1168"/>
      <c r="EG210" s="1168"/>
      <c r="EH210" s="1168"/>
      <c r="EI210" s="1170"/>
      <c r="EJ210" s="1170"/>
      <c r="EK210" s="1170"/>
      <c r="EL210" s="1170"/>
      <c r="EM210" s="1170"/>
      <c r="EN210" s="1170"/>
      <c r="EO210" s="1170"/>
      <c r="EP210" s="1170"/>
      <c r="EQ210" s="1170"/>
      <c r="ER210" s="1170"/>
      <c r="ES210" s="1171"/>
      <c r="ET210" s="1171"/>
      <c r="EU210" s="1171"/>
      <c r="EV210" s="1171"/>
      <c r="EW210" s="1171"/>
      <c r="EX210" s="1171"/>
      <c r="EY210" s="1171"/>
      <c r="EZ210" s="1171"/>
      <c r="FA210" s="1171"/>
      <c r="FB210" s="1171"/>
      <c r="FC210" s="1171"/>
      <c r="FD210" s="1171"/>
      <c r="FE210" s="1171"/>
      <c r="FF210" s="1171"/>
      <c r="FG210" s="1171"/>
      <c r="FH210" s="1171"/>
      <c r="FI210" s="1171"/>
      <c r="FJ210" s="1171"/>
      <c r="FK210" s="1171"/>
      <c r="FL210" s="1171"/>
      <c r="FM210" s="1171"/>
      <c r="FN210" s="1171"/>
      <c r="FO210" s="1171"/>
      <c r="FP210" s="1171"/>
    </row>
    <row r="211" spans="1:172" s="607" customFormat="1">
      <c r="A211" s="607">
        <f t="shared" si="6"/>
        <v>1987</v>
      </c>
      <c r="B211" s="607">
        <f t="shared" si="7"/>
        <v>4</v>
      </c>
      <c r="C211" s="666">
        <v>32082</v>
      </c>
      <c r="D211" s="1709">
        <v>0.68669999999999998</v>
      </c>
      <c r="E211" s="1117">
        <v>130.19558399717278</v>
      </c>
      <c r="F211" s="1117">
        <v>189.59601572327477</v>
      </c>
      <c r="G211" s="1117"/>
      <c r="H211" s="1117"/>
      <c r="I211" s="959">
        <v>467.95</v>
      </c>
      <c r="J211" s="959">
        <v>685.45</v>
      </c>
      <c r="K211" s="960"/>
      <c r="L211" s="1121"/>
      <c r="M211" s="916">
        <v>5803.549815655133</v>
      </c>
      <c r="N211" s="916">
        <v>8451.3613159387405</v>
      </c>
      <c r="O211" s="1174">
        <v>2520.5836134154638</v>
      </c>
      <c r="P211" s="1174">
        <v>3670.5746518355377</v>
      </c>
      <c r="Q211" s="1174">
        <v>641.46852000000001</v>
      </c>
      <c r="R211" s="1174">
        <v>934.13211009174313</v>
      </c>
      <c r="S211" s="1174">
        <v>846.96567199999993</v>
      </c>
      <c r="T211" s="1174">
        <v>1233.3852803261977</v>
      </c>
      <c r="U211" s="1120">
        <v>202.57649999999998</v>
      </c>
      <c r="V211" s="1120">
        <v>295</v>
      </c>
      <c r="W211" s="1120"/>
      <c r="X211" s="1120"/>
      <c r="Y211" s="1119"/>
      <c r="Z211" s="1119"/>
      <c r="AA211" s="1119"/>
      <c r="AB211" s="1119"/>
      <c r="AC211" s="1178"/>
      <c r="AD211" s="1178"/>
      <c r="AE211" s="1178"/>
      <c r="AF211" s="1178"/>
      <c r="AG211" s="1178"/>
      <c r="AH211" s="1178"/>
      <c r="AI211" s="1178"/>
      <c r="AJ211" s="1178"/>
      <c r="AK211" s="919">
        <v>17.7</v>
      </c>
      <c r="AL211" s="919">
        <v>25.775447793796417</v>
      </c>
      <c r="AM211" s="919">
        <v>18.8</v>
      </c>
      <c r="AN211" s="919">
        <v>27.377311780981508</v>
      </c>
      <c r="AO211" s="919"/>
      <c r="AP211" s="919"/>
      <c r="AS211" s="1167"/>
      <c r="AT211" s="1167"/>
      <c r="AU211" s="1168"/>
      <c r="AV211" s="1168"/>
      <c r="AW211" s="1169"/>
      <c r="AX211" s="1169"/>
      <c r="AY211" s="1169"/>
      <c r="AZ211" s="1169"/>
      <c r="BA211" s="1799" t="s">
        <v>280</v>
      </c>
      <c r="BB211" s="1802">
        <v>2015</v>
      </c>
      <c r="BC211" s="1799" t="s">
        <v>32</v>
      </c>
      <c r="BD211" s="1799"/>
      <c r="BE211" s="1800">
        <v>89740829</v>
      </c>
      <c r="BF211" s="1801">
        <v>0.109</v>
      </c>
      <c r="BG211" s="1799"/>
      <c r="BH211" s="1799" t="s">
        <v>3</v>
      </c>
      <c r="BI211" s="1799" t="s">
        <v>316</v>
      </c>
      <c r="BJ211" s="1799" t="s">
        <v>49</v>
      </c>
      <c r="BK211" s="1799">
        <v>10</v>
      </c>
      <c r="BL211" s="1800">
        <v>71716279.379999995</v>
      </c>
      <c r="BM211" s="1801">
        <v>2.1122153007670067E-2</v>
      </c>
      <c r="BN211" s="1799">
        <v>2011</v>
      </c>
      <c r="BO211" s="1684"/>
      <c r="BP211" s="1696"/>
      <c r="BQ211" s="1169"/>
      <c r="BR211" s="1169"/>
      <c r="BS211" s="1169"/>
      <c r="BT211" s="1169"/>
      <c r="BU211" s="1169"/>
      <c r="BV211" s="1169"/>
      <c r="BW211" s="1169"/>
      <c r="BX211" s="1169"/>
      <c r="BY211" s="1169"/>
      <c r="BZ211" s="1169"/>
      <c r="CA211" s="1169"/>
      <c r="CB211" s="1169"/>
      <c r="CC211" s="1169"/>
      <c r="CD211" s="1169"/>
      <c r="CE211" s="1169"/>
      <c r="CF211" s="1169"/>
      <c r="CG211" s="1169"/>
      <c r="CH211" s="1169"/>
      <c r="CI211" s="1169"/>
      <c r="CJ211" s="1169"/>
      <c r="CK211" s="1169"/>
      <c r="CL211" s="1169"/>
      <c r="CM211" s="1169"/>
      <c r="CN211" s="1169"/>
      <c r="CO211" s="1169"/>
      <c r="CP211" s="1169"/>
      <c r="CQ211" s="1169"/>
      <c r="CR211" s="1169"/>
      <c r="CS211" s="1169"/>
      <c r="CT211" s="1169"/>
      <c r="CU211" s="1169"/>
      <c r="CV211" s="1169"/>
      <c r="CW211" s="1169"/>
      <c r="CX211" s="1169"/>
      <c r="CY211" s="1169"/>
      <c r="CZ211" s="1169"/>
      <c r="DA211" s="1168"/>
      <c r="DB211" s="1168"/>
      <c r="DC211" s="1168"/>
      <c r="DD211" s="1168"/>
      <c r="DE211" s="1168"/>
      <c r="DF211" s="1168"/>
      <c r="DG211" s="1168"/>
      <c r="DH211" s="1168"/>
      <c r="DI211" s="1168"/>
      <c r="DJ211" s="1168"/>
      <c r="DK211" s="1168"/>
      <c r="DL211" s="1168"/>
      <c r="DM211" s="1168"/>
      <c r="DN211" s="1168"/>
      <c r="DO211" s="1168"/>
      <c r="DP211" s="1168"/>
      <c r="DQ211" s="1168"/>
      <c r="DR211" s="1168"/>
      <c r="DS211" s="1168"/>
      <c r="DT211" s="1168"/>
      <c r="DU211" s="1168"/>
      <c r="DV211" s="1168"/>
      <c r="DW211" s="1168"/>
      <c r="DX211" s="1168"/>
      <c r="DY211" s="1168"/>
      <c r="DZ211" s="1168"/>
      <c r="EA211" s="1168"/>
      <c r="EB211" s="1168"/>
      <c r="EC211" s="1168"/>
      <c r="ED211" s="1168"/>
      <c r="EE211" s="1168"/>
      <c r="EF211" s="1168"/>
      <c r="EG211" s="1168"/>
      <c r="EH211" s="1168"/>
      <c r="EI211" s="1170"/>
      <c r="EJ211" s="1170"/>
      <c r="EK211" s="1170"/>
      <c r="EL211" s="1170"/>
      <c r="EM211" s="1170"/>
      <c r="EN211" s="1170"/>
      <c r="EO211" s="1170"/>
      <c r="EP211" s="1170"/>
      <c r="EQ211" s="1170"/>
      <c r="ER211" s="1170"/>
      <c r="ES211" s="1171"/>
      <c r="ET211" s="1171"/>
      <c r="EU211" s="1171"/>
      <c r="EV211" s="1171"/>
      <c r="EW211" s="1171"/>
      <c r="EX211" s="1171"/>
      <c r="EY211" s="1171"/>
      <c r="EZ211" s="1171"/>
      <c r="FA211" s="1171"/>
      <c r="FB211" s="1171"/>
      <c r="FC211" s="1171"/>
      <c r="FD211" s="1171"/>
      <c r="FE211" s="1171"/>
      <c r="FF211" s="1171"/>
      <c r="FG211" s="1171"/>
      <c r="FH211" s="1171"/>
      <c r="FI211" s="1171"/>
      <c r="FJ211" s="1171"/>
      <c r="FK211" s="1171"/>
      <c r="FL211" s="1171"/>
      <c r="FM211" s="1171"/>
      <c r="FN211" s="1171"/>
      <c r="FO211" s="1171"/>
      <c r="FP211" s="1171"/>
    </row>
    <row r="212" spans="1:172" s="607" customFormat="1">
      <c r="A212" s="607">
        <f t="shared" si="6"/>
        <v>1987</v>
      </c>
      <c r="B212" s="607">
        <f t="shared" si="7"/>
        <v>4</v>
      </c>
      <c r="C212" s="666">
        <v>32112</v>
      </c>
      <c r="D212" s="957">
        <v>0.71088181818181817</v>
      </c>
      <c r="E212" s="920">
        <v>135.21431754937066</v>
      </c>
      <c r="F212" s="920">
        <v>190.20646483152515</v>
      </c>
      <c r="G212" s="920"/>
      <c r="H212" s="920"/>
      <c r="I212" s="954">
        <v>489.49</v>
      </c>
      <c r="J212" s="954">
        <v>686.37</v>
      </c>
      <c r="K212" s="954"/>
      <c r="L212" s="920"/>
      <c r="M212" s="917">
        <v>7458.2516389244211</v>
      </c>
      <c r="N212" s="917">
        <v>10491.549295774599</v>
      </c>
      <c r="O212" s="1175">
        <v>2863.4420590240493</v>
      </c>
      <c r="P212" s="1175">
        <v>4028.014201218019</v>
      </c>
      <c r="Q212" s="1175">
        <v>657.934888</v>
      </c>
      <c r="R212" s="1175">
        <v>925.51936365845233</v>
      </c>
      <c r="S212" s="1175">
        <v>864.91496000000006</v>
      </c>
      <c r="T212" s="1175">
        <v>1216.6789723390923</v>
      </c>
      <c r="U212" s="920">
        <v>209.71013636363637</v>
      </c>
      <c r="V212" s="920">
        <v>295</v>
      </c>
      <c r="W212" s="920"/>
      <c r="X212" s="920"/>
      <c r="Y212" s="920"/>
      <c r="Z212" s="920"/>
      <c r="AA212" s="920"/>
      <c r="AB212" s="920"/>
      <c r="AC212" s="920"/>
      <c r="AD212" s="920"/>
      <c r="AE212" s="920"/>
      <c r="AF212" s="920"/>
      <c r="AG212" s="920"/>
      <c r="AH212" s="920"/>
      <c r="AI212" s="920"/>
      <c r="AJ212" s="920"/>
      <c r="AK212" s="920">
        <v>17.7</v>
      </c>
      <c r="AL212" s="920">
        <v>24.898653401025616</v>
      </c>
      <c r="AM212" s="920">
        <v>18.399999999999999</v>
      </c>
      <c r="AN212" s="920">
        <v>25.883345908410806</v>
      </c>
      <c r="AO212" s="920"/>
      <c r="AP212" s="920"/>
      <c r="AS212" s="1167"/>
      <c r="AT212" s="1167"/>
      <c r="AU212" s="1168"/>
      <c r="AV212" s="1168"/>
      <c r="AW212" s="1169"/>
      <c r="AX212" s="1169"/>
      <c r="AY212" s="1169"/>
      <c r="AZ212" s="1169"/>
      <c r="BA212" s="1799" t="s">
        <v>280</v>
      </c>
      <c r="BB212" s="1802">
        <v>2015</v>
      </c>
      <c r="BC212" s="1799" t="s">
        <v>249</v>
      </c>
      <c r="BD212" s="1799"/>
      <c r="BE212" s="1800">
        <v>825915506</v>
      </c>
      <c r="BF212" s="1801"/>
      <c r="BG212" s="1799"/>
      <c r="BH212" s="1799" t="s">
        <v>3</v>
      </c>
      <c r="BI212" s="1799" t="s">
        <v>316</v>
      </c>
      <c r="BJ212" s="1799" t="s">
        <v>32</v>
      </c>
      <c r="BK212" s="1799"/>
      <c r="BL212" s="1800">
        <v>322698890.26999998</v>
      </c>
      <c r="BM212" s="1801">
        <v>9.5042511890112411E-2</v>
      </c>
      <c r="BN212" s="1799">
        <v>2011</v>
      </c>
      <c r="BO212" s="1684"/>
      <c r="BP212" s="1696"/>
      <c r="BQ212" s="1169"/>
      <c r="BR212" s="1169"/>
      <c r="BS212" s="1169"/>
      <c r="BT212" s="1169"/>
      <c r="BU212" s="1169"/>
      <c r="BV212" s="1169"/>
      <c r="BW212" s="1169"/>
      <c r="BX212" s="1169"/>
      <c r="BY212" s="1169"/>
      <c r="BZ212" s="1169"/>
      <c r="CA212" s="1169"/>
      <c r="CB212" s="1169"/>
      <c r="CC212" s="1169"/>
      <c r="CD212" s="1169"/>
      <c r="CE212" s="1169"/>
      <c r="CF212" s="1169"/>
      <c r="CG212" s="1169"/>
      <c r="CH212" s="1169"/>
      <c r="CI212" s="1169"/>
      <c r="CJ212" s="1169"/>
      <c r="CK212" s="1169"/>
      <c r="CL212" s="1169"/>
      <c r="CM212" s="1169"/>
      <c r="CN212" s="1169"/>
      <c r="CO212" s="1169"/>
      <c r="CP212" s="1169"/>
      <c r="CQ212" s="1169"/>
      <c r="CR212" s="1169"/>
      <c r="CS212" s="1169"/>
      <c r="CT212" s="1169"/>
      <c r="CU212" s="1169"/>
      <c r="CV212" s="1169"/>
      <c r="CW212" s="1169"/>
      <c r="CX212" s="1169"/>
      <c r="CY212" s="1169"/>
      <c r="CZ212" s="1169"/>
      <c r="DA212" s="1168"/>
      <c r="DB212" s="1168"/>
      <c r="DC212" s="1168"/>
      <c r="DD212" s="1168"/>
      <c r="DE212" s="1168"/>
      <c r="DF212" s="1168"/>
      <c r="DG212" s="1168"/>
      <c r="DH212" s="1168"/>
      <c r="DI212" s="1168"/>
      <c r="DJ212" s="1168"/>
      <c r="DK212" s="1168"/>
      <c r="DL212" s="1168"/>
      <c r="DM212" s="1168"/>
      <c r="DN212" s="1168"/>
      <c r="DO212" s="1168"/>
      <c r="DP212" s="1168"/>
      <c r="DQ212" s="1168"/>
      <c r="DR212" s="1168"/>
      <c r="DS212" s="1168"/>
      <c r="DT212" s="1168"/>
      <c r="DU212" s="1168"/>
      <c r="DV212" s="1168"/>
      <c r="DW212" s="1168"/>
      <c r="DX212" s="1168"/>
      <c r="DY212" s="1168"/>
      <c r="DZ212" s="1168"/>
      <c r="EA212" s="1168"/>
      <c r="EB212" s="1168"/>
      <c r="EC212" s="1168"/>
      <c r="ED212" s="1168"/>
      <c r="EE212" s="1168"/>
      <c r="EF212" s="1168"/>
      <c r="EG212" s="1168"/>
      <c r="EH212" s="1168"/>
      <c r="EI212" s="1170"/>
      <c r="EJ212" s="1170"/>
      <c r="EK212" s="1170"/>
      <c r="EL212" s="1170"/>
      <c r="EM212" s="1170"/>
      <c r="EN212" s="1170"/>
      <c r="EO212" s="1170"/>
      <c r="EP212" s="1170"/>
      <c r="EQ212" s="1170"/>
      <c r="ER212" s="1170"/>
      <c r="ES212" s="1171"/>
      <c r="ET212" s="1171"/>
      <c r="EU212" s="1171"/>
      <c r="EV212" s="1171"/>
      <c r="EW212" s="1171"/>
      <c r="EX212" s="1171"/>
      <c r="EY212" s="1171"/>
      <c r="EZ212" s="1171"/>
      <c r="FA212" s="1171"/>
      <c r="FB212" s="1171"/>
      <c r="FC212" s="1171"/>
      <c r="FD212" s="1171"/>
      <c r="FE212" s="1171"/>
      <c r="FF212" s="1171"/>
      <c r="FG212" s="1171"/>
      <c r="FH212" s="1171"/>
      <c r="FI212" s="1171"/>
      <c r="FJ212" s="1171"/>
      <c r="FK212" s="1171"/>
      <c r="FL212" s="1171"/>
      <c r="FM212" s="1171"/>
      <c r="FN212" s="1171"/>
      <c r="FO212" s="1171"/>
      <c r="FP212" s="1171"/>
    </row>
    <row r="213" spans="1:172" s="607" customFormat="1">
      <c r="A213" s="607">
        <f t="shared" si="6"/>
        <v>1988</v>
      </c>
      <c r="B213" s="607">
        <f t="shared" si="7"/>
        <v>1</v>
      </c>
      <c r="C213" s="666">
        <v>32143</v>
      </c>
      <c r="D213" s="1709">
        <v>0.71235263157894746</v>
      </c>
      <c r="E213" s="1117">
        <v>147.44987121052634</v>
      </c>
      <c r="F213" s="1117">
        <v>206.99</v>
      </c>
      <c r="G213" s="1117"/>
      <c r="H213" s="1117"/>
      <c r="I213" s="959">
        <v>477.15</v>
      </c>
      <c r="J213" s="959">
        <v>675.95</v>
      </c>
      <c r="K213" s="960"/>
      <c r="L213" s="1121"/>
      <c r="M213" s="916">
        <v>7964.2325768391775</v>
      </c>
      <c r="N213" s="916">
        <v>11180.182712579101</v>
      </c>
      <c r="O213" s="1174">
        <v>2689.7</v>
      </c>
      <c r="P213" s="1174">
        <v>3775.7985031068283</v>
      </c>
      <c r="Q213" s="1174">
        <v>667.31</v>
      </c>
      <c r="R213" s="1174">
        <v>936.76919325880863</v>
      </c>
      <c r="S213" s="1174">
        <v>877.29</v>
      </c>
      <c r="T213" s="1174">
        <v>1231.5389332604341</v>
      </c>
      <c r="U213" s="1120">
        <v>156.71757894736845</v>
      </c>
      <c r="V213" s="1120">
        <v>220</v>
      </c>
      <c r="W213" s="1120">
        <v>1795.1154652969592</v>
      </c>
      <c r="X213" s="1120">
        <v>2519.9815171848818</v>
      </c>
      <c r="Y213" s="1119"/>
      <c r="Z213" s="1119"/>
      <c r="AA213" s="1119"/>
      <c r="AB213" s="1119"/>
      <c r="AC213" s="1178"/>
      <c r="AD213" s="1178">
        <v>9.6697118763176384</v>
      </c>
      <c r="AE213" s="1178"/>
      <c r="AF213" s="1178"/>
      <c r="AG213" s="1178"/>
      <c r="AH213" s="1178"/>
      <c r="AI213" s="1178"/>
      <c r="AJ213" s="1178"/>
      <c r="AK213" s="919">
        <v>16.28</v>
      </c>
      <c r="AL213" s="919">
        <v>22.853849734386429</v>
      </c>
      <c r="AM213" s="919">
        <v>17.3</v>
      </c>
      <c r="AN213" s="919">
        <v>24.285724840594913</v>
      </c>
      <c r="AO213" s="919"/>
      <c r="AP213" s="919"/>
      <c r="AS213" s="1167"/>
      <c r="AT213" s="1167"/>
      <c r="AU213" s="1168"/>
      <c r="AV213" s="1168"/>
      <c r="AW213" s="1169"/>
      <c r="AX213" s="1169"/>
      <c r="AY213" s="1169"/>
      <c r="AZ213" s="1169"/>
      <c r="BA213" s="1799" t="s">
        <v>280</v>
      </c>
      <c r="BB213" s="1802">
        <v>2014</v>
      </c>
      <c r="BC213" s="1799" t="s">
        <v>15</v>
      </c>
      <c r="BD213" s="1799">
        <v>1</v>
      </c>
      <c r="BE213" s="1800">
        <v>202748311</v>
      </c>
      <c r="BF213" s="1801">
        <v>0.35</v>
      </c>
      <c r="BG213" s="1799"/>
      <c r="BH213" s="1799" t="s">
        <v>3</v>
      </c>
      <c r="BI213" s="1799" t="s">
        <v>316</v>
      </c>
      <c r="BJ213" s="1799" t="s">
        <v>249</v>
      </c>
      <c r="BK213" s="1799"/>
      <c r="BL213" s="1800">
        <v>3395311044</v>
      </c>
      <c r="BM213" s="1801"/>
      <c r="BN213" s="1799">
        <v>2011</v>
      </c>
      <c r="BO213" s="1684"/>
      <c r="BP213" s="1696"/>
      <c r="BQ213" s="1169"/>
      <c r="BR213" s="1169"/>
      <c r="BS213" s="1169"/>
      <c r="BT213" s="1169"/>
      <c r="BU213" s="1169"/>
      <c r="BV213" s="1169"/>
      <c r="BW213" s="1169"/>
      <c r="BX213" s="1169"/>
      <c r="BY213" s="1169"/>
      <c r="BZ213" s="1169"/>
      <c r="CA213" s="1169"/>
      <c r="CB213" s="1169"/>
      <c r="CC213" s="1169"/>
      <c r="CD213" s="1169"/>
      <c r="CE213" s="1169"/>
      <c r="CF213" s="1169"/>
      <c r="CG213" s="1169"/>
      <c r="CH213" s="1169"/>
      <c r="CI213" s="1169"/>
      <c r="CJ213" s="1169"/>
      <c r="CK213" s="1169"/>
      <c r="CL213" s="1169"/>
      <c r="CM213" s="1169"/>
      <c r="CN213" s="1169"/>
      <c r="CO213" s="1169"/>
      <c r="CP213" s="1169"/>
      <c r="CQ213" s="1169"/>
      <c r="CR213" s="1169"/>
      <c r="CS213" s="1169"/>
      <c r="CT213" s="1169"/>
      <c r="CU213" s="1169"/>
      <c r="CV213" s="1169"/>
      <c r="CW213" s="1169"/>
      <c r="CX213" s="1169"/>
      <c r="CY213" s="1169"/>
      <c r="CZ213" s="1169"/>
      <c r="DA213" s="1168"/>
      <c r="DB213" s="1168"/>
      <c r="DC213" s="1168"/>
      <c r="DD213" s="1168"/>
      <c r="DE213" s="1168"/>
      <c r="DF213" s="1168"/>
      <c r="DG213" s="1168"/>
      <c r="DH213" s="1168"/>
      <c r="DI213" s="1168"/>
      <c r="DJ213" s="1168"/>
      <c r="DK213" s="1168"/>
      <c r="DL213" s="1168"/>
      <c r="DM213" s="1168"/>
      <c r="DN213" s="1168"/>
      <c r="DO213" s="1168"/>
      <c r="DP213" s="1168"/>
      <c r="DQ213" s="1168"/>
      <c r="DR213" s="1168"/>
      <c r="DS213" s="1168"/>
      <c r="DT213" s="1168"/>
      <c r="DU213" s="1168"/>
      <c r="DV213" s="1168"/>
      <c r="DW213" s="1168"/>
      <c r="DX213" s="1168"/>
      <c r="DY213" s="1168"/>
      <c r="DZ213" s="1168"/>
      <c r="EA213" s="1168"/>
      <c r="EB213" s="1168"/>
      <c r="EC213" s="1168"/>
      <c r="ED213" s="1168"/>
      <c r="EE213" s="1168"/>
      <c r="EF213" s="1168"/>
      <c r="EG213" s="1168"/>
      <c r="EH213" s="1168"/>
      <c r="EI213" s="1170"/>
      <c r="EJ213" s="1170"/>
      <c r="EK213" s="1170"/>
      <c r="EL213" s="1170"/>
      <c r="EM213" s="1170"/>
      <c r="EN213" s="1170"/>
      <c r="EO213" s="1170"/>
      <c r="EP213" s="1170"/>
      <c r="EQ213" s="1170"/>
      <c r="ER213" s="1170"/>
      <c r="ES213" s="1171"/>
      <c r="ET213" s="1171"/>
      <c r="EU213" s="1171"/>
      <c r="EV213" s="1171"/>
      <c r="EW213" s="1171"/>
      <c r="EX213" s="1171"/>
      <c r="EY213" s="1171"/>
      <c r="EZ213" s="1171"/>
      <c r="FA213" s="1171"/>
      <c r="FB213" s="1171"/>
      <c r="FC213" s="1171"/>
      <c r="FD213" s="1171"/>
      <c r="FE213" s="1171"/>
      <c r="FF213" s="1171"/>
      <c r="FG213" s="1171"/>
      <c r="FH213" s="1171"/>
      <c r="FI213" s="1171"/>
      <c r="FJ213" s="1171"/>
      <c r="FK213" s="1171"/>
      <c r="FL213" s="1171"/>
      <c r="FM213" s="1171"/>
      <c r="FN213" s="1171"/>
      <c r="FO213" s="1171"/>
      <c r="FP213" s="1171"/>
    </row>
    <row r="214" spans="1:172" s="607" customFormat="1">
      <c r="A214" s="607">
        <f t="shared" si="6"/>
        <v>1988</v>
      </c>
      <c r="B214" s="607">
        <f t="shared" si="7"/>
        <v>1</v>
      </c>
      <c r="C214" s="666">
        <v>32174</v>
      </c>
      <c r="D214" s="957">
        <v>0.71414285714285719</v>
      </c>
      <c r="E214" s="920">
        <v>149.94143428571431</v>
      </c>
      <c r="F214" s="920">
        <v>209.96</v>
      </c>
      <c r="G214" s="920"/>
      <c r="H214" s="920"/>
      <c r="I214" s="954">
        <v>443.37</v>
      </c>
      <c r="J214" s="954">
        <v>623.07000000000005</v>
      </c>
      <c r="K214" s="954"/>
      <c r="L214" s="920"/>
      <c r="M214" s="917">
        <v>8926.7857142857156</v>
      </c>
      <c r="N214" s="917">
        <v>12500</v>
      </c>
      <c r="O214" s="1175">
        <v>2327.6</v>
      </c>
      <c r="P214" s="1175">
        <v>3259.2918583716742</v>
      </c>
      <c r="Q214" s="1175">
        <v>655.19000000000005</v>
      </c>
      <c r="R214" s="1175">
        <v>917.44948989797956</v>
      </c>
      <c r="S214" s="1175">
        <v>875</v>
      </c>
      <c r="T214" s="1175">
        <v>1225.245049009802</v>
      </c>
      <c r="U214" s="920">
        <v>157.11142857142858</v>
      </c>
      <c r="V214" s="920">
        <v>220</v>
      </c>
      <c r="W214" s="920">
        <v>1827.8656235555177</v>
      </c>
      <c r="X214" s="920">
        <v>2559.5237777332713</v>
      </c>
      <c r="Y214" s="920"/>
      <c r="Z214" s="920"/>
      <c r="AA214" s="920"/>
      <c r="AB214" s="920"/>
      <c r="AC214" s="920"/>
      <c r="AD214" s="920">
        <v>9.080685971324149</v>
      </c>
      <c r="AE214" s="920"/>
      <c r="AF214" s="920"/>
      <c r="AG214" s="920"/>
      <c r="AH214" s="920"/>
      <c r="AI214" s="920"/>
      <c r="AJ214" s="920"/>
      <c r="AK214" s="920">
        <v>14.73</v>
      </c>
      <c r="AL214" s="920">
        <v>20.626125225045008</v>
      </c>
      <c r="AM214" s="920">
        <v>17.7</v>
      </c>
      <c r="AN214" s="920">
        <v>24.784956991398278</v>
      </c>
      <c r="AO214" s="920"/>
      <c r="AP214" s="920"/>
      <c r="AS214" s="1167"/>
      <c r="AT214" s="1167"/>
      <c r="AU214" s="1168"/>
      <c r="AV214" s="1168"/>
      <c r="AW214" s="1169"/>
      <c r="AX214" s="1169"/>
      <c r="AY214" s="1169"/>
      <c r="AZ214" s="1169"/>
      <c r="BA214" s="1799" t="s">
        <v>280</v>
      </c>
      <c r="BB214" s="1802">
        <v>2014</v>
      </c>
      <c r="BC214" s="1799" t="s">
        <v>431</v>
      </c>
      <c r="BD214" s="1799">
        <v>2</v>
      </c>
      <c r="BE214" s="1800">
        <v>121817703</v>
      </c>
      <c r="BF214" s="1801">
        <v>0.21</v>
      </c>
      <c r="BG214" s="1799"/>
      <c r="BH214" s="1799" t="s">
        <v>3</v>
      </c>
      <c r="BI214" s="1799" t="s">
        <v>315</v>
      </c>
      <c r="BJ214" s="1799" t="s">
        <v>15</v>
      </c>
      <c r="BK214" s="1799">
        <v>1</v>
      </c>
      <c r="BL214" s="1800">
        <v>1822792946</v>
      </c>
      <c r="BM214" s="1801">
        <v>0.47899999999999998</v>
      </c>
      <c r="BN214" s="1799">
        <v>2010</v>
      </c>
      <c r="BO214" s="1684"/>
      <c r="BP214" s="1696"/>
      <c r="BQ214" s="1169"/>
      <c r="BR214" s="1169"/>
      <c r="BS214" s="1169"/>
      <c r="BT214" s="1169"/>
      <c r="BU214" s="1169"/>
      <c r="BV214" s="1169"/>
      <c r="BW214" s="1169"/>
      <c r="BX214" s="1169"/>
      <c r="BY214" s="1169"/>
      <c r="BZ214" s="1169"/>
      <c r="CA214" s="1169"/>
      <c r="CB214" s="1169"/>
      <c r="CC214" s="1169"/>
      <c r="CD214" s="1169"/>
      <c r="CE214" s="1169"/>
      <c r="CF214" s="1169"/>
      <c r="CG214" s="1169"/>
      <c r="CH214" s="1169"/>
      <c r="CI214" s="1169"/>
      <c r="CJ214" s="1169"/>
      <c r="CK214" s="1169"/>
      <c r="CL214" s="1169"/>
      <c r="CM214" s="1169"/>
      <c r="CN214" s="1169"/>
      <c r="CO214" s="1169"/>
      <c r="CP214" s="1169"/>
      <c r="CQ214" s="1169"/>
      <c r="CR214" s="1169"/>
      <c r="CS214" s="1169"/>
      <c r="CT214" s="1169"/>
      <c r="CU214" s="1169"/>
      <c r="CV214" s="1169"/>
      <c r="CW214" s="1169"/>
      <c r="CX214" s="1169"/>
      <c r="CY214" s="1169"/>
      <c r="CZ214" s="1169"/>
      <c r="DA214" s="1168"/>
      <c r="DB214" s="1168"/>
      <c r="DC214" s="1168"/>
      <c r="DD214" s="1168"/>
      <c r="DE214" s="1168"/>
      <c r="DF214" s="1168"/>
      <c r="DG214" s="1168"/>
      <c r="DH214" s="1168"/>
      <c r="DI214" s="1168"/>
      <c r="DJ214" s="1168"/>
      <c r="DK214" s="1168"/>
      <c r="DL214" s="1168"/>
      <c r="DM214" s="1168"/>
      <c r="DN214" s="1168"/>
      <c r="DO214" s="1168"/>
      <c r="DP214" s="1168"/>
      <c r="DQ214" s="1168"/>
      <c r="DR214" s="1168"/>
      <c r="DS214" s="1168"/>
      <c r="DT214" s="1168"/>
      <c r="DU214" s="1168"/>
      <c r="DV214" s="1168"/>
      <c r="DW214" s="1168"/>
      <c r="DX214" s="1168"/>
      <c r="DY214" s="1168"/>
      <c r="DZ214" s="1168"/>
      <c r="EA214" s="1168"/>
      <c r="EB214" s="1168"/>
      <c r="EC214" s="1168"/>
      <c r="ED214" s="1168"/>
      <c r="EE214" s="1168"/>
      <c r="EF214" s="1168"/>
      <c r="EG214" s="1168"/>
      <c r="EH214" s="1168"/>
      <c r="EI214" s="1170"/>
      <c r="EJ214" s="1170"/>
      <c r="EK214" s="1170"/>
      <c r="EL214" s="1170"/>
      <c r="EM214" s="1170"/>
      <c r="EN214" s="1170"/>
      <c r="EO214" s="1170"/>
      <c r="EP214" s="1170"/>
      <c r="EQ214" s="1170"/>
      <c r="ER214" s="1170"/>
      <c r="ES214" s="1171"/>
      <c r="ET214" s="1171"/>
      <c r="EU214" s="1171"/>
      <c r="EV214" s="1171"/>
      <c r="EW214" s="1171"/>
      <c r="EX214" s="1171"/>
      <c r="EY214" s="1171"/>
      <c r="EZ214" s="1171"/>
      <c r="FA214" s="1171"/>
      <c r="FB214" s="1171"/>
      <c r="FC214" s="1171"/>
      <c r="FD214" s="1171"/>
      <c r="FE214" s="1171"/>
      <c r="FF214" s="1171"/>
      <c r="FG214" s="1171"/>
      <c r="FH214" s="1171"/>
      <c r="FI214" s="1171"/>
      <c r="FJ214" s="1171"/>
      <c r="FK214" s="1171"/>
      <c r="FL214" s="1171"/>
      <c r="FM214" s="1171"/>
      <c r="FN214" s="1171"/>
      <c r="FO214" s="1171"/>
      <c r="FP214" s="1171"/>
    </row>
    <row r="215" spans="1:172" s="607" customFormat="1">
      <c r="A215" s="607">
        <f t="shared" si="6"/>
        <v>1988</v>
      </c>
      <c r="B215" s="607">
        <f t="shared" si="7"/>
        <v>1</v>
      </c>
      <c r="C215" s="666">
        <v>32203</v>
      </c>
      <c r="D215" s="1709">
        <v>0.73236086956521762</v>
      </c>
      <c r="E215" s="1117">
        <v>158.4975393913044</v>
      </c>
      <c r="F215" s="1117">
        <v>216.42</v>
      </c>
      <c r="G215" s="1117"/>
      <c r="H215" s="1117"/>
      <c r="I215" s="959">
        <v>443.87</v>
      </c>
      <c r="J215" s="959">
        <v>607.74</v>
      </c>
      <c r="K215" s="960"/>
      <c r="L215" s="1121"/>
      <c r="M215" s="916">
        <v>14826.668392585771</v>
      </c>
      <c r="N215" s="916">
        <v>20245.030843043201</v>
      </c>
      <c r="O215" s="1174">
        <v>2468</v>
      </c>
      <c r="P215" s="1174">
        <v>3369.9233568625577</v>
      </c>
      <c r="Q215" s="1174">
        <v>678.2</v>
      </c>
      <c r="R215" s="1174">
        <v>926.04619960461378</v>
      </c>
      <c r="S215" s="1174">
        <v>1027.3</v>
      </c>
      <c r="T215" s="1174">
        <v>1402.7237700587136</v>
      </c>
      <c r="U215" s="1120">
        <v>161.11939130434789</v>
      </c>
      <c r="V215" s="1120">
        <v>220</v>
      </c>
      <c r="W215" s="1120">
        <v>1820.2674762411195</v>
      </c>
      <c r="X215" s="1120">
        <v>2485.4788832748013</v>
      </c>
      <c r="Y215" s="1119"/>
      <c r="Z215" s="1119"/>
      <c r="AA215" s="1119"/>
      <c r="AB215" s="1119"/>
      <c r="AC215" s="1178"/>
      <c r="AD215" s="1178">
        <v>8.951336531871144</v>
      </c>
      <c r="AE215" s="1178"/>
      <c r="AF215" s="1178"/>
      <c r="AG215" s="1178"/>
      <c r="AH215" s="1178"/>
      <c r="AI215" s="1178"/>
      <c r="AJ215" s="1178"/>
      <c r="AK215" s="919">
        <v>14.73</v>
      </c>
      <c r="AL215" s="919">
        <v>20.113035270091359</v>
      </c>
      <c r="AM215" s="919">
        <v>17.5</v>
      </c>
      <c r="AN215" s="919">
        <v>23.895323640638072</v>
      </c>
      <c r="AO215" s="919"/>
      <c r="AP215" s="919"/>
      <c r="AS215" s="1167"/>
      <c r="AT215" s="1167"/>
      <c r="AU215" s="1168"/>
      <c r="AV215" s="1168"/>
      <c r="AW215" s="1169"/>
      <c r="AX215" s="1169"/>
      <c r="AY215" s="1169"/>
      <c r="AZ215" s="1169"/>
      <c r="BA215" s="1799" t="s">
        <v>280</v>
      </c>
      <c r="BB215" s="1802">
        <v>2014</v>
      </c>
      <c r="BC215" s="1799" t="s">
        <v>23</v>
      </c>
      <c r="BD215" s="1799">
        <v>3</v>
      </c>
      <c r="BE215" s="1800">
        <v>63088829</v>
      </c>
      <c r="BF215" s="1801">
        <v>0.109</v>
      </c>
      <c r="BG215" s="1799"/>
      <c r="BH215" s="1799" t="s">
        <v>3</v>
      </c>
      <c r="BI215" s="1799" t="s">
        <v>315</v>
      </c>
      <c r="BJ215" s="1799" t="s">
        <v>20</v>
      </c>
      <c r="BK215" s="1799">
        <v>2</v>
      </c>
      <c r="BL215" s="1800">
        <v>374661771</v>
      </c>
      <c r="BM215" s="1801">
        <v>9.8000000000000004E-2</v>
      </c>
      <c r="BN215" s="1799">
        <v>2010</v>
      </c>
      <c r="BO215" s="1684"/>
      <c r="BP215" s="1696"/>
      <c r="BQ215" s="1169"/>
      <c r="BR215" s="1169"/>
      <c r="BS215" s="1169"/>
      <c r="BT215" s="1169"/>
      <c r="BU215" s="1169"/>
      <c r="BV215" s="1169"/>
      <c r="BW215" s="1169"/>
      <c r="BX215" s="1169"/>
      <c r="BY215" s="1169"/>
      <c r="BZ215" s="1169"/>
      <c r="CA215" s="1169"/>
      <c r="CB215" s="1169"/>
      <c r="CC215" s="1169"/>
      <c r="CD215" s="1169"/>
      <c r="CE215" s="1169"/>
      <c r="CF215" s="1169"/>
      <c r="CG215" s="1169"/>
      <c r="CH215" s="1169"/>
      <c r="CI215" s="1169"/>
      <c r="CJ215" s="1169"/>
      <c r="CK215" s="1169"/>
      <c r="CL215" s="1169"/>
      <c r="CM215" s="1169"/>
      <c r="CN215" s="1169"/>
      <c r="CO215" s="1169"/>
      <c r="CP215" s="1169"/>
      <c r="CQ215" s="1169"/>
      <c r="CR215" s="1169"/>
      <c r="CS215" s="1169"/>
      <c r="CT215" s="1169"/>
      <c r="CU215" s="1169"/>
      <c r="CV215" s="1169"/>
      <c r="CW215" s="1169"/>
      <c r="CX215" s="1169"/>
      <c r="CY215" s="1169"/>
      <c r="CZ215" s="1169"/>
      <c r="DA215" s="1168"/>
      <c r="DB215" s="1168"/>
      <c r="DC215" s="1168"/>
      <c r="DD215" s="1168"/>
      <c r="DE215" s="1168"/>
      <c r="DF215" s="1168"/>
      <c r="DG215" s="1168"/>
      <c r="DH215" s="1168"/>
      <c r="DI215" s="1168"/>
      <c r="DJ215" s="1168"/>
      <c r="DK215" s="1168"/>
      <c r="DL215" s="1168"/>
      <c r="DM215" s="1168"/>
      <c r="DN215" s="1168"/>
      <c r="DO215" s="1168"/>
      <c r="DP215" s="1168"/>
      <c r="DQ215" s="1168"/>
      <c r="DR215" s="1168"/>
      <c r="DS215" s="1168"/>
      <c r="DT215" s="1168"/>
      <c r="DU215" s="1168"/>
      <c r="DV215" s="1168"/>
      <c r="DW215" s="1168"/>
      <c r="DX215" s="1168"/>
      <c r="DY215" s="1168"/>
      <c r="DZ215" s="1168"/>
      <c r="EA215" s="1168"/>
      <c r="EB215" s="1168"/>
      <c r="EC215" s="1168"/>
      <c r="ED215" s="1168"/>
      <c r="EE215" s="1168"/>
      <c r="EF215" s="1168"/>
      <c r="EG215" s="1168"/>
      <c r="EH215" s="1168"/>
      <c r="EI215" s="1170"/>
      <c r="EJ215" s="1170"/>
      <c r="EK215" s="1170"/>
      <c r="EL215" s="1170"/>
      <c r="EM215" s="1170"/>
      <c r="EN215" s="1170"/>
      <c r="EO215" s="1170"/>
      <c r="EP215" s="1170"/>
      <c r="EQ215" s="1170"/>
      <c r="ER215" s="1170"/>
      <c r="ES215" s="1171"/>
      <c r="ET215" s="1171"/>
      <c r="EU215" s="1171"/>
      <c r="EV215" s="1171"/>
      <c r="EW215" s="1171"/>
      <c r="EX215" s="1171"/>
      <c r="EY215" s="1171"/>
      <c r="EZ215" s="1171"/>
      <c r="FA215" s="1171"/>
      <c r="FB215" s="1171"/>
      <c r="FC215" s="1171"/>
      <c r="FD215" s="1171"/>
      <c r="FE215" s="1171"/>
      <c r="FF215" s="1171"/>
      <c r="FG215" s="1171"/>
      <c r="FH215" s="1171"/>
      <c r="FI215" s="1171"/>
      <c r="FJ215" s="1171"/>
      <c r="FK215" s="1171"/>
      <c r="FL215" s="1171"/>
      <c r="FM215" s="1171"/>
      <c r="FN215" s="1171"/>
      <c r="FO215" s="1171"/>
      <c r="FP215" s="1171"/>
    </row>
    <row r="216" spans="1:172" s="607" customFormat="1">
      <c r="A216" s="607">
        <f t="shared" si="6"/>
        <v>1988</v>
      </c>
      <c r="B216" s="607">
        <f t="shared" si="7"/>
        <v>2</v>
      </c>
      <c r="C216" s="666">
        <v>32234</v>
      </c>
      <c r="D216" s="957">
        <v>0.74780555555555561</v>
      </c>
      <c r="E216" s="920">
        <v>167.53835666666669</v>
      </c>
      <c r="F216" s="920">
        <v>224.04</v>
      </c>
      <c r="G216" s="920"/>
      <c r="H216" s="920"/>
      <c r="I216" s="954">
        <v>451.85</v>
      </c>
      <c r="J216" s="954">
        <v>606.4</v>
      </c>
      <c r="K216" s="954"/>
      <c r="L216" s="920"/>
      <c r="M216" s="917">
        <v>18702.1633640484</v>
      </c>
      <c r="N216" s="917">
        <v>25009.393451422398</v>
      </c>
      <c r="O216" s="1175">
        <v>1956</v>
      </c>
      <c r="P216" s="1175">
        <v>2615.6532075331525</v>
      </c>
      <c r="Q216" s="1175">
        <v>557.07000000000005</v>
      </c>
      <c r="R216" s="1175">
        <v>744.93963820066119</v>
      </c>
      <c r="S216" s="1175">
        <v>1070.7</v>
      </c>
      <c r="T216" s="1175">
        <v>1431.7893094610156</v>
      </c>
      <c r="U216" s="920">
        <v>254.25388888888889</v>
      </c>
      <c r="V216" s="920">
        <v>340</v>
      </c>
      <c r="W216" s="920">
        <v>1904.9095941530838</v>
      </c>
      <c r="X216" s="920">
        <v>2547.3327658523463</v>
      </c>
      <c r="Y216" s="920"/>
      <c r="Z216" s="920"/>
      <c r="AA216" s="920"/>
      <c r="AB216" s="920"/>
      <c r="AC216" s="920"/>
      <c r="AD216" s="920">
        <v>8.829844337090714</v>
      </c>
      <c r="AE216" s="920"/>
      <c r="AF216" s="920"/>
      <c r="AG216" s="920"/>
      <c r="AH216" s="920"/>
      <c r="AI216" s="920"/>
      <c r="AJ216" s="920"/>
      <c r="AK216" s="920">
        <v>16.600000000000001</v>
      </c>
      <c r="AL216" s="920">
        <v>22.198283867612645</v>
      </c>
      <c r="AM216" s="920">
        <v>16.3</v>
      </c>
      <c r="AN216" s="920">
        <v>21.79711006277627</v>
      </c>
      <c r="AO216" s="920"/>
      <c r="AP216" s="920"/>
      <c r="AS216" s="1167"/>
      <c r="AT216" s="1167"/>
      <c r="AU216" s="1168"/>
      <c r="AV216" s="1168"/>
      <c r="AW216" s="1169"/>
      <c r="AX216" s="1169"/>
      <c r="AY216" s="1169"/>
      <c r="AZ216" s="1169"/>
      <c r="BA216" s="1799" t="s">
        <v>280</v>
      </c>
      <c r="BB216" s="1802">
        <v>2014</v>
      </c>
      <c r="BC216" s="1799" t="s">
        <v>51</v>
      </c>
      <c r="BD216" s="1799">
        <v>4</v>
      </c>
      <c r="BE216" s="1800">
        <v>38611341</v>
      </c>
      <c r="BF216" s="1801">
        <v>6.7000000000000004E-2</v>
      </c>
      <c r="BG216" s="1799"/>
      <c r="BH216" s="1799" t="s">
        <v>3</v>
      </c>
      <c r="BI216" s="1799" t="s">
        <v>315</v>
      </c>
      <c r="BJ216" s="1799" t="s">
        <v>431</v>
      </c>
      <c r="BK216" s="1799">
        <v>3</v>
      </c>
      <c r="BL216" s="1800">
        <v>362551199</v>
      </c>
      <c r="BM216" s="1801">
        <v>9.5000000000000001E-2</v>
      </c>
      <c r="BN216" s="1799">
        <v>2010</v>
      </c>
      <c r="BO216" s="1684"/>
      <c r="BP216" s="1696"/>
      <c r="BQ216" s="1169"/>
      <c r="BR216" s="1169"/>
      <c r="BS216" s="1169"/>
      <c r="BT216" s="1169"/>
      <c r="BU216" s="1169"/>
      <c r="BV216" s="1169"/>
      <c r="BW216" s="1169"/>
      <c r="BX216" s="1169"/>
      <c r="BY216" s="1169"/>
      <c r="BZ216" s="1169"/>
      <c r="CA216" s="1169"/>
      <c r="CB216" s="1169"/>
      <c r="CC216" s="1169"/>
      <c r="CD216" s="1169"/>
      <c r="CE216" s="1169"/>
      <c r="CF216" s="1169"/>
      <c r="CG216" s="1169"/>
      <c r="CH216" s="1169"/>
      <c r="CI216" s="1169"/>
      <c r="CJ216" s="1169"/>
      <c r="CK216" s="1169"/>
      <c r="CL216" s="1169"/>
      <c r="CM216" s="1169"/>
      <c r="CN216" s="1169"/>
      <c r="CO216" s="1169"/>
      <c r="CP216" s="1169"/>
      <c r="CQ216" s="1169"/>
      <c r="CR216" s="1169"/>
      <c r="CS216" s="1169"/>
      <c r="CT216" s="1169"/>
      <c r="CU216" s="1169"/>
      <c r="CV216" s="1169"/>
      <c r="CW216" s="1169"/>
      <c r="CX216" s="1169"/>
      <c r="CY216" s="1169"/>
      <c r="CZ216" s="1169"/>
      <c r="DA216" s="1168"/>
      <c r="DB216" s="1168"/>
      <c r="DC216" s="1168"/>
      <c r="DD216" s="1168"/>
      <c r="DE216" s="1168"/>
      <c r="DF216" s="1168"/>
      <c r="DG216" s="1168"/>
      <c r="DH216" s="1168"/>
      <c r="DI216" s="1168"/>
      <c r="DJ216" s="1168"/>
      <c r="DK216" s="1168"/>
      <c r="DL216" s="1168"/>
      <c r="DM216" s="1168"/>
      <c r="DN216" s="1168"/>
      <c r="DO216" s="1168"/>
      <c r="DP216" s="1168"/>
      <c r="DQ216" s="1168"/>
      <c r="DR216" s="1168"/>
      <c r="DS216" s="1168"/>
      <c r="DT216" s="1168"/>
      <c r="DU216" s="1168"/>
      <c r="DV216" s="1168"/>
      <c r="DW216" s="1168"/>
      <c r="DX216" s="1168"/>
      <c r="DY216" s="1168"/>
      <c r="DZ216" s="1168"/>
      <c r="EA216" s="1168"/>
      <c r="EB216" s="1168"/>
      <c r="EC216" s="1168"/>
      <c r="ED216" s="1168"/>
      <c r="EE216" s="1168"/>
      <c r="EF216" s="1168"/>
      <c r="EG216" s="1168"/>
      <c r="EH216" s="1168"/>
      <c r="EI216" s="1170"/>
      <c r="EJ216" s="1170"/>
      <c r="EK216" s="1170"/>
      <c r="EL216" s="1170"/>
      <c r="EM216" s="1170"/>
      <c r="EN216" s="1170"/>
      <c r="EO216" s="1170"/>
      <c r="EP216" s="1170"/>
      <c r="EQ216" s="1170"/>
      <c r="ER216" s="1170"/>
      <c r="ES216" s="1171"/>
      <c r="ET216" s="1171"/>
      <c r="EU216" s="1171"/>
      <c r="EV216" s="1171"/>
      <c r="EW216" s="1171"/>
      <c r="EX216" s="1171"/>
      <c r="EY216" s="1171"/>
      <c r="EZ216" s="1171"/>
      <c r="FA216" s="1171"/>
      <c r="FB216" s="1171"/>
      <c r="FC216" s="1171"/>
      <c r="FD216" s="1171"/>
      <c r="FE216" s="1171"/>
      <c r="FF216" s="1171"/>
      <c r="FG216" s="1171"/>
      <c r="FH216" s="1171"/>
      <c r="FI216" s="1171"/>
      <c r="FJ216" s="1171"/>
      <c r="FK216" s="1171"/>
      <c r="FL216" s="1171"/>
      <c r="FM216" s="1171"/>
      <c r="FN216" s="1171"/>
      <c r="FO216" s="1171"/>
      <c r="FP216" s="1171"/>
    </row>
    <row r="217" spans="1:172" s="607" customFormat="1">
      <c r="A217" s="607">
        <f t="shared" si="6"/>
        <v>1988</v>
      </c>
      <c r="B217" s="607">
        <f t="shared" si="7"/>
        <v>2</v>
      </c>
      <c r="C217" s="666">
        <v>32264</v>
      </c>
      <c r="D217" s="1709">
        <v>0.77879090909090898</v>
      </c>
      <c r="E217" s="1117">
        <v>170.29820809090904</v>
      </c>
      <c r="F217" s="1117">
        <v>218.67</v>
      </c>
      <c r="G217" s="1117"/>
      <c r="H217" s="1117"/>
      <c r="I217" s="959">
        <v>451.44</v>
      </c>
      <c r="J217" s="959">
        <v>582.62</v>
      </c>
      <c r="K217" s="960"/>
      <c r="L217" s="1121"/>
      <c r="M217" s="916">
        <v>17167.434564150532</v>
      </c>
      <c r="N217" s="916">
        <v>22043.701799485902</v>
      </c>
      <c r="O217" s="1174">
        <v>2324.3000000000002</v>
      </c>
      <c r="P217" s="1174">
        <v>2984.4981147933281</v>
      </c>
      <c r="Q217" s="1174">
        <v>637.23</v>
      </c>
      <c r="R217" s="1174">
        <v>818.22989015606959</v>
      </c>
      <c r="S217" s="1174">
        <v>1177.5999999999999</v>
      </c>
      <c r="T217" s="1174">
        <v>1512.0875016050522</v>
      </c>
      <c r="U217" s="1120">
        <v>264.78890909090904</v>
      </c>
      <c r="V217" s="1120">
        <v>340</v>
      </c>
      <c r="W217" s="1120">
        <v>1920.7600949356329</v>
      </c>
      <c r="X217" s="1120">
        <v>2466.3360505552855</v>
      </c>
      <c r="Y217" s="1119"/>
      <c r="Z217" s="1119"/>
      <c r="AA217" s="1119"/>
      <c r="AB217" s="1119"/>
      <c r="AC217" s="1178"/>
      <c r="AD217" s="1178">
        <v>8.5861182519280206</v>
      </c>
      <c r="AE217" s="1178"/>
      <c r="AF217" s="1178"/>
      <c r="AG217" s="1178"/>
      <c r="AH217" s="1178"/>
      <c r="AI217" s="1178"/>
      <c r="AJ217" s="1178"/>
      <c r="AK217" s="919">
        <v>16.600000000000001</v>
      </c>
      <c r="AL217" s="919">
        <v>21.315092159174483</v>
      </c>
      <c r="AM217" s="919">
        <v>17.75</v>
      </c>
      <c r="AN217" s="919">
        <v>22.791740109960664</v>
      </c>
      <c r="AO217" s="919"/>
      <c r="AP217" s="919"/>
      <c r="AS217" s="1167"/>
      <c r="AT217" s="1167"/>
      <c r="AU217" s="1168"/>
      <c r="AV217" s="1168"/>
      <c r="AW217" s="1169"/>
      <c r="AX217" s="1169"/>
      <c r="AY217" s="1169"/>
      <c r="AZ217" s="1169"/>
      <c r="BA217" s="1799" t="s">
        <v>280</v>
      </c>
      <c r="BB217" s="1802">
        <v>2014</v>
      </c>
      <c r="BC217" s="1799" t="s">
        <v>18</v>
      </c>
      <c r="BD217" s="1799">
        <v>5</v>
      </c>
      <c r="BE217" s="1800">
        <v>36727188</v>
      </c>
      <c r="BF217" s="1801">
        <v>6.3E-2</v>
      </c>
      <c r="BG217" s="1799"/>
      <c r="BH217" s="1799" t="s">
        <v>3</v>
      </c>
      <c r="BI217" s="1799" t="s">
        <v>315</v>
      </c>
      <c r="BJ217" s="1799" t="s">
        <v>44</v>
      </c>
      <c r="BK217" s="1799">
        <v>4</v>
      </c>
      <c r="BL217" s="1800">
        <v>279950512</v>
      </c>
      <c r="BM217" s="1801">
        <v>7.3999999999999996E-2</v>
      </c>
      <c r="BN217" s="1799">
        <v>2010</v>
      </c>
      <c r="BO217" s="1684"/>
      <c r="BP217" s="1696"/>
      <c r="BQ217" s="1169"/>
      <c r="BR217" s="1169"/>
      <c r="BS217" s="1169"/>
      <c r="BT217" s="1169"/>
      <c r="BU217" s="1169"/>
      <c r="BV217" s="1169"/>
      <c r="BW217" s="1169"/>
      <c r="BX217" s="1169"/>
      <c r="BY217" s="1169"/>
      <c r="BZ217" s="1169"/>
      <c r="CA217" s="1169"/>
      <c r="CB217" s="1169"/>
      <c r="CC217" s="1169"/>
      <c r="CD217" s="1169"/>
      <c r="CE217" s="1169"/>
      <c r="CF217" s="1169"/>
      <c r="CG217" s="1169"/>
      <c r="CH217" s="1169"/>
      <c r="CI217" s="1169"/>
      <c r="CJ217" s="1169"/>
      <c r="CK217" s="1169"/>
      <c r="CL217" s="1169"/>
      <c r="CM217" s="1169"/>
      <c r="CN217" s="1169"/>
      <c r="CO217" s="1169"/>
      <c r="CP217" s="1169"/>
      <c r="CQ217" s="1169"/>
      <c r="CR217" s="1169"/>
      <c r="CS217" s="1169"/>
      <c r="CT217" s="1169"/>
      <c r="CU217" s="1169"/>
      <c r="CV217" s="1169"/>
      <c r="CW217" s="1169"/>
      <c r="CX217" s="1169"/>
      <c r="CY217" s="1169"/>
      <c r="CZ217" s="1169"/>
      <c r="DA217" s="1168"/>
      <c r="DB217" s="1168"/>
      <c r="DC217" s="1168"/>
      <c r="DD217" s="1168"/>
      <c r="DE217" s="1168"/>
      <c r="DF217" s="1168"/>
      <c r="DG217" s="1168"/>
      <c r="DH217" s="1168"/>
      <c r="DI217" s="1168"/>
      <c r="DJ217" s="1168"/>
      <c r="DK217" s="1168"/>
      <c r="DL217" s="1168"/>
      <c r="DM217" s="1168"/>
      <c r="DN217" s="1168"/>
      <c r="DO217" s="1168"/>
      <c r="DP217" s="1168"/>
      <c r="DQ217" s="1168"/>
      <c r="DR217" s="1168"/>
      <c r="DS217" s="1168"/>
      <c r="DT217" s="1168"/>
      <c r="DU217" s="1168"/>
      <c r="DV217" s="1168"/>
      <c r="DW217" s="1168"/>
      <c r="DX217" s="1168"/>
      <c r="DY217" s="1168"/>
      <c r="DZ217" s="1168"/>
      <c r="EA217" s="1168"/>
      <c r="EB217" s="1168"/>
      <c r="EC217" s="1168"/>
      <c r="ED217" s="1168"/>
      <c r="EE217" s="1168"/>
      <c r="EF217" s="1168"/>
      <c r="EG217" s="1168"/>
      <c r="EH217" s="1168"/>
      <c r="EI217" s="1170"/>
      <c r="EJ217" s="1170"/>
      <c r="EK217" s="1170"/>
      <c r="EL217" s="1170"/>
      <c r="EM217" s="1170"/>
      <c r="EN217" s="1170"/>
      <c r="EO217" s="1170"/>
      <c r="EP217" s="1170"/>
      <c r="EQ217" s="1170"/>
      <c r="ER217" s="1170"/>
      <c r="ES217" s="1171"/>
      <c r="ET217" s="1171"/>
      <c r="EU217" s="1171"/>
      <c r="EV217" s="1171"/>
      <c r="EW217" s="1171"/>
      <c r="EX217" s="1171"/>
      <c r="EY217" s="1171"/>
      <c r="EZ217" s="1171"/>
      <c r="FA217" s="1171"/>
      <c r="FB217" s="1171"/>
      <c r="FC217" s="1171"/>
      <c r="FD217" s="1171"/>
      <c r="FE217" s="1171"/>
      <c r="FF217" s="1171"/>
      <c r="FG217" s="1171"/>
      <c r="FH217" s="1171"/>
      <c r="FI217" s="1171"/>
      <c r="FJ217" s="1171"/>
      <c r="FK217" s="1171"/>
      <c r="FL217" s="1171"/>
      <c r="FM217" s="1171"/>
      <c r="FN217" s="1171"/>
      <c r="FO217" s="1171"/>
      <c r="FP217" s="1171"/>
    </row>
    <row r="218" spans="1:172" s="607" customFormat="1">
      <c r="A218" s="607">
        <f t="shared" si="6"/>
        <v>1988</v>
      </c>
      <c r="B218" s="607">
        <f t="shared" si="7"/>
        <v>2</v>
      </c>
      <c r="C218" s="666">
        <v>32295</v>
      </c>
      <c r="D218" s="957">
        <v>0.80833333333333335</v>
      </c>
      <c r="E218" s="920">
        <v>155.25658333333334</v>
      </c>
      <c r="F218" s="920">
        <v>192.07</v>
      </c>
      <c r="G218" s="920"/>
      <c r="H218" s="920"/>
      <c r="I218" s="954">
        <v>451.75</v>
      </c>
      <c r="J218" s="954">
        <v>560.03</v>
      </c>
      <c r="K218" s="954"/>
      <c r="L218" s="920"/>
      <c r="M218" s="917">
        <v>15799.105852228118</v>
      </c>
      <c r="N218" s="917">
        <v>19545.285590385301</v>
      </c>
      <c r="O218" s="1175">
        <v>2544</v>
      </c>
      <c r="P218" s="1175">
        <v>3147.2164948453606</v>
      </c>
      <c r="Q218" s="1175">
        <v>678.08</v>
      </c>
      <c r="R218" s="1175">
        <v>838.86185567010318</v>
      </c>
      <c r="S218" s="1175">
        <v>1368.1</v>
      </c>
      <c r="T218" s="1175">
        <v>1692.4948453608247</v>
      </c>
      <c r="U218" s="920">
        <v>274.83333333333331</v>
      </c>
      <c r="V218" s="920">
        <v>340</v>
      </c>
      <c r="W218" s="920">
        <v>1919.6513003557748</v>
      </c>
      <c r="X218" s="920">
        <v>2374.8263509555977</v>
      </c>
      <c r="Y218" s="920"/>
      <c r="Z218" s="920"/>
      <c r="AA218" s="920"/>
      <c r="AB218" s="920"/>
      <c r="AC218" s="920"/>
      <c r="AD218" s="920">
        <v>8.8588774625201339</v>
      </c>
      <c r="AE218" s="920"/>
      <c r="AF218" s="920"/>
      <c r="AG218" s="920"/>
      <c r="AH218" s="920"/>
      <c r="AI218" s="920"/>
      <c r="AJ218" s="920"/>
      <c r="AK218" s="920">
        <v>14.18</v>
      </c>
      <c r="AL218" s="920">
        <v>17.542268041237111</v>
      </c>
      <c r="AM218" s="920">
        <v>18.100000000000001</v>
      </c>
      <c r="AN218" s="920">
        <v>22.39175257731959</v>
      </c>
      <c r="AO218" s="920"/>
      <c r="AP218" s="920"/>
      <c r="AS218" s="1167"/>
      <c r="AT218" s="1167"/>
      <c r="AU218" s="1168"/>
      <c r="AV218" s="1168"/>
      <c r="AW218" s="1169"/>
      <c r="AX218" s="1169"/>
      <c r="AY218" s="1169"/>
      <c r="AZ218" s="1169"/>
      <c r="BA218" s="1799" t="s">
        <v>280</v>
      </c>
      <c r="BB218" s="1802">
        <v>2014</v>
      </c>
      <c r="BC218" s="1799" t="s">
        <v>21</v>
      </c>
      <c r="BD218" s="1799">
        <v>6</v>
      </c>
      <c r="BE218" s="1800">
        <v>17053371</v>
      </c>
      <c r="BF218" s="1801">
        <v>2.9000000000000001E-2</v>
      </c>
      <c r="BG218" s="1799"/>
      <c r="BH218" s="1799" t="s">
        <v>3</v>
      </c>
      <c r="BI218" s="1799" t="s">
        <v>315</v>
      </c>
      <c r="BJ218" s="1799" t="s">
        <v>23</v>
      </c>
      <c r="BK218" s="1799">
        <v>5</v>
      </c>
      <c r="BL218" s="1800">
        <v>232021189</v>
      </c>
      <c r="BM218" s="1801">
        <v>6.0999999999999999E-2</v>
      </c>
      <c r="BN218" s="1799">
        <v>2010</v>
      </c>
      <c r="BO218" s="1684"/>
      <c r="BP218" s="1696"/>
      <c r="BQ218" s="1169"/>
      <c r="BR218" s="1169"/>
      <c r="BS218" s="1169"/>
      <c r="BT218" s="1169"/>
      <c r="BU218" s="1169"/>
      <c r="BV218" s="1169"/>
      <c r="BW218" s="1169"/>
      <c r="BX218" s="1169"/>
      <c r="BY218" s="1169"/>
      <c r="BZ218" s="1169"/>
      <c r="CA218" s="1169"/>
      <c r="CB218" s="1169"/>
      <c r="CC218" s="1169"/>
      <c r="CD218" s="1169"/>
      <c r="CE218" s="1169"/>
      <c r="CF218" s="1169"/>
      <c r="CG218" s="1169"/>
      <c r="CH218" s="1169"/>
      <c r="CI218" s="1169"/>
      <c r="CJ218" s="1169"/>
      <c r="CK218" s="1169"/>
      <c r="CL218" s="1169"/>
      <c r="CM218" s="1169"/>
      <c r="CN218" s="1169"/>
      <c r="CO218" s="1169"/>
      <c r="CP218" s="1169"/>
      <c r="CQ218" s="1169"/>
      <c r="CR218" s="1169"/>
      <c r="CS218" s="1169"/>
      <c r="CT218" s="1169"/>
      <c r="CU218" s="1169"/>
      <c r="CV218" s="1169"/>
      <c r="CW218" s="1169"/>
      <c r="CX218" s="1169"/>
      <c r="CY218" s="1169"/>
      <c r="CZ218" s="1169"/>
      <c r="DA218" s="1168"/>
      <c r="DB218" s="1168"/>
      <c r="DC218" s="1168"/>
      <c r="DD218" s="1168"/>
      <c r="DE218" s="1168"/>
      <c r="DF218" s="1168"/>
      <c r="DG218" s="1168"/>
      <c r="DH218" s="1168"/>
      <c r="DI218" s="1168"/>
      <c r="DJ218" s="1168"/>
      <c r="DK218" s="1168"/>
      <c r="DL218" s="1168"/>
      <c r="DM218" s="1168"/>
      <c r="DN218" s="1168"/>
      <c r="DO218" s="1168"/>
      <c r="DP218" s="1168"/>
      <c r="DQ218" s="1168"/>
      <c r="DR218" s="1168"/>
      <c r="DS218" s="1168"/>
      <c r="DT218" s="1168"/>
      <c r="DU218" s="1168"/>
      <c r="DV218" s="1168"/>
      <c r="DW218" s="1168"/>
      <c r="DX218" s="1168"/>
      <c r="DY218" s="1168"/>
      <c r="DZ218" s="1168"/>
      <c r="EA218" s="1168"/>
      <c r="EB218" s="1168"/>
      <c r="EC218" s="1168"/>
      <c r="ED218" s="1168"/>
      <c r="EE218" s="1168"/>
      <c r="EF218" s="1168"/>
      <c r="EG218" s="1168"/>
      <c r="EH218" s="1168"/>
      <c r="EI218" s="1170"/>
      <c r="EJ218" s="1170"/>
      <c r="EK218" s="1170"/>
      <c r="EL218" s="1170"/>
      <c r="EM218" s="1170"/>
      <c r="EN218" s="1170"/>
      <c r="EO218" s="1170"/>
      <c r="EP218" s="1170"/>
      <c r="EQ218" s="1170"/>
      <c r="ER218" s="1170"/>
      <c r="ES218" s="1171"/>
      <c r="ET218" s="1171"/>
      <c r="EU218" s="1171"/>
      <c r="EV218" s="1171"/>
      <c r="EW218" s="1171"/>
      <c r="EX218" s="1171"/>
      <c r="EY218" s="1171"/>
      <c r="EZ218" s="1171"/>
      <c r="FA218" s="1171"/>
      <c r="FB218" s="1171"/>
      <c r="FC218" s="1171"/>
      <c r="FD218" s="1171"/>
      <c r="FE218" s="1171"/>
      <c r="FF218" s="1171"/>
      <c r="FG218" s="1171"/>
      <c r="FH218" s="1171"/>
      <c r="FI218" s="1171"/>
      <c r="FJ218" s="1171"/>
      <c r="FK218" s="1171"/>
      <c r="FL218" s="1171"/>
      <c r="FM218" s="1171"/>
      <c r="FN218" s="1171"/>
      <c r="FO218" s="1171"/>
      <c r="FP218" s="1171"/>
    </row>
    <row r="219" spans="1:172" s="607" customFormat="1">
      <c r="A219" s="607">
        <f t="shared" si="6"/>
        <v>1988</v>
      </c>
      <c r="B219" s="607">
        <f t="shared" si="7"/>
        <v>3</v>
      </c>
      <c r="C219" s="666">
        <v>32325</v>
      </c>
      <c r="D219" s="1709">
        <v>0.7993285714285715</v>
      </c>
      <c r="E219" s="1117">
        <v>177.84261385714288</v>
      </c>
      <c r="F219" s="1117">
        <v>222.49</v>
      </c>
      <c r="G219" s="1117"/>
      <c r="H219" s="1117"/>
      <c r="I219" s="959">
        <v>437.94</v>
      </c>
      <c r="J219" s="959">
        <v>549.46</v>
      </c>
      <c r="K219" s="960"/>
      <c r="L219" s="1121"/>
      <c r="M219" s="916">
        <v>14562.5</v>
      </c>
      <c r="N219" s="916">
        <v>18218.415455828999</v>
      </c>
      <c r="O219" s="1174">
        <v>2213.1999999999998</v>
      </c>
      <c r="P219" s="1174">
        <v>2768.8238342894924</v>
      </c>
      <c r="Q219" s="1174">
        <v>619.16999999999996</v>
      </c>
      <c r="R219" s="1174">
        <v>774.61262130716841</v>
      </c>
      <c r="S219" s="1174">
        <v>1237.2</v>
      </c>
      <c r="T219" s="1174">
        <v>1547.7990456275802</v>
      </c>
      <c r="U219" s="1120">
        <v>271.77171428571432</v>
      </c>
      <c r="V219" s="1120">
        <v>340</v>
      </c>
      <c r="W219" s="1120">
        <v>1935.4213428848966</v>
      </c>
      <c r="X219" s="1120">
        <v>2421.3088485325675</v>
      </c>
      <c r="Y219" s="1119"/>
      <c r="Z219" s="1119"/>
      <c r="AA219" s="1119"/>
      <c r="AB219" s="1119"/>
      <c r="AC219" s="1178"/>
      <c r="AD219" s="1178">
        <v>9.0490988191423245</v>
      </c>
      <c r="AE219" s="1178"/>
      <c r="AF219" s="1178"/>
      <c r="AG219" s="1178"/>
      <c r="AH219" s="1178"/>
      <c r="AI219" s="1178"/>
      <c r="AJ219" s="1178"/>
      <c r="AK219" s="919">
        <v>15.75</v>
      </c>
      <c r="AL219" s="919">
        <v>19.704037317033936</v>
      </c>
      <c r="AM219" s="919">
        <v>15.65</v>
      </c>
      <c r="AN219" s="919">
        <v>19.578932318195626</v>
      </c>
      <c r="AO219" s="919"/>
      <c r="AP219" s="919"/>
      <c r="AS219" s="1167"/>
      <c r="AT219" s="1167"/>
      <c r="AU219" s="1168"/>
      <c r="AV219" s="1168"/>
      <c r="AW219" s="1169"/>
      <c r="AX219" s="1169"/>
      <c r="AY219" s="1169"/>
      <c r="AZ219" s="1169"/>
      <c r="BA219" s="1799" t="s">
        <v>280</v>
      </c>
      <c r="BB219" s="1802">
        <v>2014</v>
      </c>
      <c r="BC219" s="1799" t="s">
        <v>20</v>
      </c>
      <c r="BD219" s="1799">
        <v>7</v>
      </c>
      <c r="BE219" s="1800">
        <v>13456446</v>
      </c>
      <c r="BF219" s="1801">
        <v>2.3E-2</v>
      </c>
      <c r="BG219" s="1799"/>
      <c r="BH219" s="1799" t="s">
        <v>3</v>
      </c>
      <c r="BI219" s="1799" t="s">
        <v>315</v>
      </c>
      <c r="BJ219" s="1799" t="s">
        <v>45</v>
      </c>
      <c r="BK219" s="1799">
        <v>6</v>
      </c>
      <c r="BL219" s="1800">
        <v>166813133</v>
      </c>
      <c r="BM219" s="1801">
        <v>4.3999999999999997E-2</v>
      </c>
      <c r="BN219" s="1799">
        <v>2010</v>
      </c>
      <c r="BO219" s="1684"/>
      <c r="BP219" s="1696"/>
      <c r="BQ219" s="1169"/>
      <c r="BR219" s="1169"/>
      <c r="BS219" s="1169"/>
      <c r="BT219" s="1169"/>
      <c r="BU219" s="1169"/>
      <c r="BV219" s="1169"/>
      <c r="BW219" s="1169"/>
      <c r="BX219" s="1169"/>
      <c r="BY219" s="1169"/>
      <c r="BZ219" s="1169"/>
      <c r="CA219" s="1169"/>
      <c r="CB219" s="1169"/>
      <c r="CC219" s="1169"/>
      <c r="CD219" s="1169"/>
      <c r="CE219" s="1169"/>
      <c r="CF219" s="1169"/>
      <c r="CG219" s="1169"/>
      <c r="CH219" s="1169"/>
      <c r="CI219" s="1169"/>
      <c r="CJ219" s="1169"/>
      <c r="CK219" s="1169"/>
      <c r="CL219" s="1169"/>
      <c r="CM219" s="1169"/>
      <c r="CN219" s="1169"/>
      <c r="CO219" s="1169"/>
      <c r="CP219" s="1169"/>
      <c r="CQ219" s="1169"/>
      <c r="CR219" s="1169"/>
      <c r="CS219" s="1169"/>
      <c r="CT219" s="1169"/>
      <c r="CU219" s="1169"/>
      <c r="CV219" s="1169"/>
      <c r="CW219" s="1169"/>
      <c r="CX219" s="1169"/>
      <c r="CY219" s="1169"/>
      <c r="CZ219" s="1169"/>
      <c r="DA219" s="1168"/>
      <c r="DB219" s="1168"/>
      <c r="DC219" s="1168"/>
      <c r="DD219" s="1168"/>
      <c r="DE219" s="1168"/>
      <c r="DF219" s="1168"/>
      <c r="DG219" s="1168"/>
      <c r="DH219" s="1168"/>
      <c r="DI219" s="1168"/>
      <c r="DJ219" s="1168"/>
      <c r="DK219" s="1168"/>
      <c r="DL219" s="1168"/>
      <c r="DM219" s="1168"/>
      <c r="DN219" s="1168"/>
      <c r="DO219" s="1168"/>
      <c r="DP219" s="1168"/>
      <c r="DQ219" s="1168"/>
      <c r="DR219" s="1168"/>
      <c r="DS219" s="1168"/>
      <c r="DT219" s="1168"/>
      <c r="DU219" s="1168"/>
      <c r="DV219" s="1168"/>
      <c r="DW219" s="1168"/>
      <c r="DX219" s="1168"/>
      <c r="DY219" s="1168"/>
      <c r="DZ219" s="1168"/>
      <c r="EA219" s="1168"/>
      <c r="EB219" s="1168"/>
      <c r="EC219" s="1168"/>
      <c r="ED219" s="1168"/>
      <c r="EE219" s="1168"/>
      <c r="EF219" s="1168"/>
      <c r="EG219" s="1168"/>
      <c r="EH219" s="1168"/>
      <c r="EI219" s="1170"/>
      <c r="EJ219" s="1170"/>
      <c r="EK219" s="1170"/>
      <c r="EL219" s="1170"/>
      <c r="EM219" s="1170"/>
      <c r="EN219" s="1170"/>
      <c r="EO219" s="1170"/>
      <c r="EP219" s="1170"/>
      <c r="EQ219" s="1170"/>
      <c r="ER219" s="1170"/>
      <c r="ES219" s="1171"/>
      <c r="ET219" s="1171"/>
      <c r="EU219" s="1171"/>
      <c r="EV219" s="1171"/>
      <c r="EW219" s="1171"/>
      <c r="EX219" s="1171"/>
      <c r="EY219" s="1171"/>
      <c r="EZ219" s="1171"/>
      <c r="FA219" s="1171"/>
      <c r="FB219" s="1171"/>
      <c r="FC219" s="1171"/>
      <c r="FD219" s="1171"/>
      <c r="FE219" s="1171"/>
      <c r="FF219" s="1171"/>
      <c r="FG219" s="1171"/>
      <c r="FH219" s="1171"/>
      <c r="FI219" s="1171"/>
      <c r="FJ219" s="1171"/>
      <c r="FK219" s="1171"/>
      <c r="FL219" s="1171"/>
      <c r="FM219" s="1171"/>
      <c r="FN219" s="1171"/>
      <c r="FO219" s="1171"/>
      <c r="FP219" s="1171"/>
    </row>
    <row r="220" spans="1:172" s="607" customFormat="1">
      <c r="A220" s="607">
        <f t="shared" si="6"/>
        <v>1988</v>
      </c>
      <c r="B220" s="607">
        <f t="shared" si="7"/>
        <v>3</v>
      </c>
      <c r="C220" s="666">
        <v>32356</v>
      </c>
      <c r="D220" s="957">
        <v>0.80611739130434767</v>
      </c>
      <c r="E220" s="920">
        <v>186.7854607391304</v>
      </c>
      <c r="F220" s="920">
        <v>231.71</v>
      </c>
      <c r="G220" s="920"/>
      <c r="H220" s="920"/>
      <c r="I220" s="954">
        <v>431.69</v>
      </c>
      <c r="J220" s="954">
        <v>537.20000000000005</v>
      </c>
      <c r="K220" s="954"/>
      <c r="L220" s="920"/>
      <c r="M220" s="917">
        <v>14247.5</v>
      </c>
      <c r="N220" s="917">
        <v>17674.224813518373</v>
      </c>
      <c r="O220" s="1175">
        <v>2209</v>
      </c>
      <c r="P220" s="1175">
        <v>2740.2956738418729</v>
      </c>
      <c r="Q220" s="1175">
        <v>602.82000000000005</v>
      </c>
      <c r="R220" s="1175">
        <v>747.80671711424077</v>
      </c>
      <c r="S220" s="1175">
        <v>1313.1</v>
      </c>
      <c r="T220" s="1175">
        <v>1628.9190807251077</v>
      </c>
      <c r="U220" s="920">
        <v>274.0799130434782</v>
      </c>
      <c r="V220" s="920">
        <v>340</v>
      </c>
      <c r="W220" s="920">
        <v>1944.4555261421076</v>
      </c>
      <c r="X220" s="920">
        <v>2412.1245207175825</v>
      </c>
      <c r="Y220" s="920"/>
      <c r="Z220" s="920"/>
      <c r="AA220" s="920"/>
      <c r="AB220" s="920"/>
      <c r="AC220" s="920"/>
      <c r="AD220" s="920">
        <v>8.551245507497832</v>
      </c>
      <c r="AE220" s="920"/>
      <c r="AF220" s="920"/>
      <c r="AG220" s="920"/>
      <c r="AH220" s="920"/>
      <c r="AI220" s="920"/>
      <c r="AJ220" s="920"/>
      <c r="AK220" s="920">
        <v>15.75</v>
      </c>
      <c r="AL220" s="920">
        <v>19.53809726709348</v>
      </c>
      <c r="AM220" s="920">
        <v>15.1</v>
      </c>
      <c r="AN220" s="920">
        <v>18.73176309416581</v>
      </c>
      <c r="AO220" s="920"/>
      <c r="AP220" s="920"/>
      <c r="AS220" s="1167"/>
      <c r="AT220" s="1167"/>
      <c r="AU220" s="1168"/>
      <c r="AV220" s="1168"/>
      <c r="AW220" s="1169"/>
      <c r="AX220" s="1169"/>
      <c r="AY220" s="1169"/>
      <c r="AZ220" s="1169"/>
      <c r="BA220" s="1799" t="s">
        <v>280</v>
      </c>
      <c r="BB220" s="1802">
        <v>2014</v>
      </c>
      <c r="BC220" s="1799" t="s">
        <v>54</v>
      </c>
      <c r="BD220" s="1799">
        <v>8</v>
      </c>
      <c r="BE220" s="1800">
        <v>12405372</v>
      </c>
      <c r="BF220" s="1801">
        <v>2.1000000000000001E-2</v>
      </c>
      <c r="BG220" s="1799"/>
      <c r="BH220" s="1799" t="s">
        <v>3</v>
      </c>
      <c r="BI220" s="1799" t="s">
        <v>315</v>
      </c>
      <c r="BJ220" s="1799" t="s">
        <v>42</v>
      </c>
      <c r="BK220" s="1799">
        <v>7</v>
      </c>
      <c r="BL220" s="1800">
        <v>146245697</v>
      </c>
      <c r="BM220" s="1801">
        <v>3.7999999999999999E-2</v>
      </c>
      <c r="BN220" s="1799">
        <v>2010</v>
      </c>
      <c r="BO220" s="1684"/>
      <c r="BP220" s="1696"/>
      <c r="BQ220" s="1169"/>
      <c r="BR220" s="1169"/>
      <c r="BS220" s="1169"/>
      <c r="BT220" s="1169"/>
      <c r="BU220" s="1169"/>
      <c r="BV220" s="1169"/>
      <c r="BW220" s="1169"/>
      <c r="BX220" s="1169"/>
      <c r="BY220" s="1169"/>
      <c r="BZ220" s="1169"/>
      <c r="CA220" s="1169"/>
      <c r="CB220" s="1169"/>
      <c r="CC220" s="1169"/>
      <c r="CD220" s="1169"/>
      <c r="CE220" s="1169"/>
      <c r="CF220" s="1169"/>
      <c r="CG220" s="1169"/>
      <c r="CH220" s="1169"/>
      <c r="CI220" s="1169"/>
      <c r="CJ220" s="1169"/>
      <c r="CK220" s="1169"/>
      <c r="CL220" s="1169"/>
      <c r="CM220" s="1169"/>
      <c r="CN220" s="1169"/>
      <c r="CO220" s="1169"/>
      <c r="CP220" s="1169"/>
      <c r="CQ220" s="1169"/>
      <c r="CR220" s="1169"/>
      <c r="CS220" s="1169"/>
      <c r="CT220" s="1169"/>
      <c r="CU220" s="1169"/>
      <c r="CV220" s="1169"/>
      <c r="CW220" s="1169"/>
      <c r="CX220" s="1169"/>
      <c r="CY220" s="1169"/>
      <c r="CZ220" s="1169"/>
      <c r="DA220" s="1168"/>
      <c r="DB220" s="1168"/>
      <c r="DC220" s="1168"/>
      <c r="DD220" s="1168"/>
      <c r="DE220" s="1168"/>
      <c r="DF220" s="1168"/>
      <c r="DG220" s="1168"/>
      <c r="DH220" s="1168"/>
      <c r="DI220" s="1168"/>
      <c r="DJ220" s="1168"/>
      <c r="DK220" s="1168"/>
      <c r="DL220" s="1168"/>
      <c r="DM220" s="1168"/>
      <c r="DN220" s="1168"/>
      <c r="DO220" s="1168"/>
      <c r="DP220" s="1168"/>
      <c r="DQ220" s="1168"/>
      <c r="DR220" s="1168"/>
      <c r="DS220" s="1168"/>
      <c r="DT220" s="1168"/>
      <c r="DU220" s="1168"/>
      <c r="DV220" s="1168"/>
      <c r="DW220" s="1168"/>
      <c r="DX220" s="1168"/>
      <c r="DY220" s="1168"/>
      <c r="DZ220" s="1168"/>
      <c r="EA220" s="1168"/>
      <c r="EB220" s="1168"/>
      <c r="EC220" s="1168"/>
      <c r="ED220" s="1168"/>
      <c r="EE220" s="1168"/>
      <c r="EF220" s="1168"/>
      <c r="EG220" s="1168"/>
      <c r="EH220" s="1168"/>
      <c r="EI220" s="1170"/>
      <c r="EJ220" s="1170"/>
      <c r="EK220" s="1170"/>
      <c r="EL220" s="1170"/>
      <c r="EM220" s="1170"/>
      <c r="EN220" s="1170"/>
      <c r="EO220" s="1170"/>
      <c r="EP220" s="1170"/>
      <c r="EQ220" s="1170"/>
      <c r="ER220" s="1170"/>
      <c r="ES220" s="1171"/>
      <c r="ET220" s="1171"/>
      <c r="EU220" s="1171"/>
      <c r="EV220" s="1171"/>
      <c r="EW220" s="1171"/>
      <c r="EX220" s="1171"/>
      <c r="EY220" s="1171"/>
      <c r="EZ220" s="1171"/>
      <c r="FA220" s="1171"/>
      <c r="FB220" s="1171"/>
      <c r="FC220" s="1171"/>
      <c r="FD220" s="1171"/>
      <c r="FE220" s="1171"/>
      <c r="FF220" s="1171"/>
      <c r="FG220" s="1171"/>
      <c r="FH220" s="1171"/>
      <c r="FI220" s="1171"/>
      <c r="FJ220" s="1171"/>
      <c r="FK220" s="1171"/>
      <c r="FL220" s="1171"/>
      <c r="FM220" s="1171"/>
      <c r="FN220" s="1171"/>
      <c r="FO220" s="1171"/>
      <c r="FP220" s="1171"/>
    </row>
    <row r="221" spans="1:172" s="607" customFormat="1">
      <c r="A221" s="607">
        <f t="shared" si="6"/>
        <v>1988</v>
      </c>
      <c r="B221" s="607">
        <f t="shared" si="7"/>
        <v>3</v>
      </c>
      <c r="C221" s="666">
        <v>32387</v>
      </c>
      <c r="D221" s="1709">
        <v>0.79291818181818197</v>
      </c>
      <c r="E221" s="1117">
        <v>166.98856909090912</v>
      </c>
      <c r="F221" s="1117">
        <v>210.6</v>
      </c>
      <c r="G221" s="1117"/>
      <c r="H221" s="1117"/>
      <c r="I221" s="959">
        <v>415.08</v>
      </c>
      <c r="J221" s="959">
        <v>524.69000000000005</v>
      </c>
      <c r="K221" s="960"/>
      <c r="L221" s="1121"/>
      <c r="M221" s="916">
        <v>11907</v>
      </c>
      <c r="N221" s="916">
        <v>15016.681762419597</v>
      </c>
      <c r="O221" s="1174">
        <v>2434</v>
      </c>
      <c r="P221" s="1174">
        <v>3069.6735877827582</v>
      </c>
      <c r="Q221" s="1174">
        <v>609.48</v>
      </c>
      <c r="R221" s="1174">
        <v>768.65433783148546</v>
      </c>
      <c r="S221" s="1174">
        <v>1330.3</v>
      </c>
      <c r="T221" s="1174">
        <v>1677.7266942594097</v>
      </c>
      <c r="U221" s="1120">
        <v>269.59218181818187</v>
      </c>
      <c r="V221" s="1120">
        <v>340</v>
      </c>
      <c r="W221" s="1120">
        <v>2074.2457765344934</v>
      </c>
      <c r="X221" s="1120">
        <v>2615.9644514370875</v>
      </c>
      <c r="Y221" s="1119"/>
      <c r="Z221" s="1119"/>
      <c r="AA221" s="1119"/>
      <c r="AB221" s="1119"/>
      <c r="AC221" s="1178"/>
      <c r="AD221" s="1178">
        <v>8.2386000766381393</v>
      </c>
      <c r="AE221" s="1178"/>
      <c r="AF221" s="1178"/>
      <c r="AG221" s="1178"/>
      <c r="AH221" s="1178"/>
      <c r="AI221" s="1178"/>
      <c r="AJ221" s="1178"/>
      <c r="AK221" s="919">
        <v>11.93</v>
      </c>
      <c r="AL221" s="919">
        <v>15.045688538310724</v>
      </c>
      <c r="AM221" s="919">
        <v>14.55</v>
      </c>
      <c r="AN221" s="919">
        <v>18.349938661560859</v>
      </c>
      <c r="AO221" s="919"/>
      <c r="AP221" s="919"/>
      <c r="AS221" s="1167"/>
      <c r="AT221" s="1167"/>
      <c r="AU221" s="1168"/>
      <c r="AV221" s="1168"/>
      <c r="AW221" s="1169"/>
      <c r="AX221" s="1169"/>
      <c r="AY221" s="1169"/>
      <c r="AZ221" s="1169"/>
      <c r="BA221" s="1799" t="s">
        <v>280</v>
      </c>
      <c r="BB221" s="1802">
        <v>2014</v>
      </c>
      <c r="BC221" s="1799" t="s">
        <v>52</v>
      </c>
      <c r="BD221" s="1799">
        <v>9</v>
      </c>
      <c r="BE221" s="1800">
        <v>11455485</v>
      </c>
      <c r="BF221" s="1801">
        <v>0.02</v>
      </c>
      <c r="BG221" s="1799"/>
      <c r="BH221" s="1799" t="s">
        <v>3</v>
      </c>
      <c r="BI221" s="1799" t="s">
        <v>315</v>
      </c>
      <c r="BJ221" s="1799" t="s">
        <v>18</v>
      </c>
      <c r="BK221" s="1799">
        <v>8</v>
      </c>
      <c r="BL221" s="1800">
        <v>95138490</v>
      </c>
      <c r="BM221" s="1801">
        <v>2.5000000000000001E-2</v>
      </c>
      <c r="BN221" s="1799">
        <v>2010</v>
      </c>
      <c r="BO221" s="1684"/>
      <c r="BP221" s="1696"/>
      <c r="BQ221" s="1169"/>
      <c r="BR221" s="1169"/>
      <c r="BS221" s="1169"/>
      <c r="BT221" s="1169"/>
      <c r="BU221" s="1169"/>
      <c r="BV221" s="1169"/>
      <c r="BW221" s="1169"/>
      <c r="BX221" s="1169"/>
      <c r="BY221" s="1169"/>
      <c r="BZ221" s="1169"/>
      <c r="CA221" s="1169"/>
      <c r="CB221" s="1169"/>
      <c r="CC221" s="1169"/>
      <c r="CD221" s="1169"/>
      <c r="CE221" s="1169"/>
      <c r="CF221" s="1169"/>
      <c r="CG221" s="1169"/>
      <c r="CH221" s="1169"/>
      <c r="CI221" s="1169"/>
      <c r="CJ221" s="1169"/>
      <c r="CK221" s="1169"/>
      <c r="CL221" s="1169"/>
      <c r="CM221" s="1169"/>
      <c r="CN221" s="1169"/>
      <c r="CO221" s="1169"/>
      <c r="CP221" s="1169"/>
      <c r="CQ221" s="1169"/>
      <c r="CR221" s="1169"/>
      <c r="CS221" s="1169"/>
      <c r="CT221" s="1169"/>
      <c r="CU221" s="1169"/>
      <c r="CV221" s="1169"/>
      <c r="CW221" s="1169"/>
      <c r="CX221" s="1169"/>
      <c r="CY221" s="1169"/>
      <c r="CZ221" s="1169"/>
      <c r="DA221" s="1168"/>
      <c r="DB221" s="1168"/>
      <c r="DC221" s="1168"/>
      <c r="DD221" s="1168"/>
      <c r="DE221" s="1168"/>
      <c r="DF221" s="1168"/>
      <c r="DG221" s="1168"/>
      <c r="DH221" s="1168"/>
      <c r="DI221" s="1168"/>
      <c r="DJ221" s="1168"/>
      <c r="DK221" s="1168"/>
      <c r="DL221" s="1168"/>
      <c r="DM221" s="1168"/>
      <c r="DN221" s="1168"/>
      <c r="DO221" s="1168"/>
      <c r="DP221" s="1168"/>
      <c r="DQ221" s="1168"/>
      <c r="DR221" s="1168"/>
      <c r="DS221" s="1168"/>
      <c r="DT221" s="1168"/>
      <c r="DU221" s="1168"/>
      <c r="DV221" s="1168"/>
      <c r="DW221" s="1168"/>
      <c r="DX221" s="1168"/>
      <c r="DY221" s="1168"/>
      <c r="DZ221" s="1168"/>
      <c r="EA221" s="1168"/>
      <c r="EB221" s="1168"/>
      <c r="EC221" s="1168"/>
      <c r="ED221" s="1168"/>
      <c r="EE221" s="1168"/>
      <c r="EF221" s="1168"/>
      <c r="EG221" s="1168"/>
      <c r="EH221" s="1168"/>
      <c r="EI221" s="1170"/>
      <c r="EJ221" s="1170"/>
      <c r="EK221" s="1170"/>
      <c r="EL221" s="1170"/>
      <c r="EM221" s="1170"/>
      <c r="EN221" s="1170"/>
      <c r="EO221" s="1170"/>
      <c r="EP221" s="1170"/>
      <c r="EQ221" s="1170"/>
      <c r="ER221" s="1170"/>
      <c r="ES221" s="1171"/>
      <c r="ET221" s="1171"/>
      <c r="EU221" s="1171"/>
      <c r="EV221" s="1171"/>
      <c r="EW221" s="1171"/>
      <c r="EX221" s="1171"/>
      <c r="EY221" s="1171"/>
      <c r="EZ221" s="1171"/>
      <c r="FA221" s="1171"/>
      <c r="FB221" s="1171"/>
      <c r="FC221" s="1171"/>
      <c r="FD221" s="1171"/>
      <c r="FE221" s="1171"/>
      <c r="FF221" s="1171"/>
      <c r="FG221" s="1171"/>
      <c r="FH221" s="1171"/>
      <c r="FI221" s="1171"/>
      <c r="FJ221" s="1171"/>
      <c r="FK221" s="1171"/>
      <c r="FL221" s="1171"/>
      <c r="FM221" s="1171"/>
      <c r="FN221" s="1171"/>
      <c r="FO221" s="1171"/>
      <c r="FP221" s="1171"/>
    </row>
    <row r="222" spans="1:172" s="607" customFormat="1">
      <c r="A222" s="607">
        <f t="shared" si="6"/>
        <v>1988</v>
      </c>
      <c r="B222" s="607">
        <f t="shared" si="7"/>
        <v>4</v>
      </c>
      <c r="C222" s="666">
        <v>32417</v>
      </c>
      <c r="D222" s="957">
        <v>0.80899047619047626</v>
      </c>
      <c r="E222" s="920">
        <v>169.56440380952381</v>
      </c>
      <c r="F222" s="920">
        <v>209.6</v>
      </c>
      <c r="G222" s="920"/>
      <c r="H222" s="920"/>
      <c r="I222" s="954">
        <v>406.46</v>
      </c>
      <c r="J222" s="954">
        <v>504.44</v>
      </c>
      <c r="K222" s="954"/>
      <c r="L222" s="920"/>
      <c r="M222" s="917">
        <v>11623.8</v>
      </c>
      <c r="N222" s="917">
        <v>14368.277924279524</v>
      </c>
      <c r="O222" s="1175">
        <v>2942.2</v>
      </c>
      <c r="P222" s="1175">
        <v>3636.8784140139383</v>
      </c>
      <c r="Q222" s="1175">
        <v>655.22</v>
      </c>
      <c r="R222" s="1175">
        <v>809.92300809945368</v>
      </c>
      <c r="S222" s="1175">
        <v>1519.9</v>
      </c>
      <c r="T222" s="1175">
        <v>1878.7613015633829</v>
      </c>
      <c r="U222" s="920">
        <v>275.05676190476191</v>
      </c>
      <c r="V222" s="920">
        <v>340</v>
      </c>
      <c r="W222" s="920">
        <v>2025.9637805860327</v>
      </c>
      <c r="X222" s="920">
        <v>2504.3110397618834</v>
      </c>
      <c r="Y222" s="920"/>
      <c r="Z222" s="920"/>
      <c r="AA222" s="920"/>
      <c r="AB222" s="920"/>
      <c r="AC222" s="920"/>
      <c r="AD222" s="920">
        <v>7.9941860465116275</v>
      </c>
      <c r="AE222" s="920"/>
      <c r="AF222" s="920"/>
      <c r="AG222" s="920"/>
      <c r="AH222" s="920"/>
      <c r="AI222" s="920"/>
      <c r="AJ222" s="920"/>
      <c r="AK222" s="920">
        <v>11.93</v>
      </c>
      <c r="AL222" s="920">
        <v>14.746774345451119</v>
      </c>
      <c r="AM222" s="920">
        <v>13.5</v>
      </c>
      <c r="AN222" s="920">
        <v>16.687464682614426</v>
      </c>
      <c r="AO222" s="920"/>
      <c r="AP222" s="920"/>
      <c r="AS222" s="1167"/>
      <c r="AT222" s="1167"/>
      <c r="AU222" s="1168"/>
      <c r="AV222" s="1168"/>
      <c r="AW222" s="1169"/>
      <c r="AX222" s="1169"/>
      <c r="AY222" s="1169"/>
      <c r="AZ222" s="1169"/>
      <c r="BA222" s="1799" t="s">
        <v>280</v>
      </c>
      <c r="BB222" s="1802">
        <v>2014</v>
      </c>
      <c r="BC222" s="1799" t="s">
        <v>19</v>
      </c>
      <c r="BD222" s="1799">
        <v>10</v>
      </c>
      <c r="BE222" s="1800">
        <v>8229269</v>
      </c>
      <c r="BF222" s="1801">
        <v>1.4E-2</v>
      </c>
      <c r="BG222" s="1799"/>
      <c r="BH222" s="1799" t="s">
        <v>3</v>
      </c>
      <c r="BI222" s="1799" t="s">
        <v>315</v>
      </c>
      <c r="BJ222" s="1799" t="s">
        <v>581</v>
      </c>
      <c r="BK222" s="1799">
        <v>9</v>
      </c>
      <c r="BL222" s="1800">
        <v>81844720</v>
      </c>
      <c r="BM222" s="1801">
        <v>2.1999999999999999E-2</v>
      </c>
      <c r="BN222" s="1799">
        <v>2010</v>
      </c>
      <c r="BO222" s="1684"/>
      <c r="BP222" s="1696"/>
      <c r="BQ222" s="1169"/>
      <c r="BR222" s="1169"/>
      <c r="BS222" s="1169"/>
      <c r="BT222" s="1169"/>
      <c r="BU222" s="1169"/>
      <c r="BV222" s="1169"/>
      <c r="BW222" s="1169"/>
      <c r="BX222" s="1169"/>
      <c r="BY222" s="1169"/>
      <c r="BZ222" s="1169"/>
      <c r="CA222" s="1169"/>
      <c r="CB222" s="1169"/>
      <c r="CC222" s="1169"/>
      <c r="CD222" s="1169"/>
      <c r="CE222" s="1169"/>
      <c r="CF222" s="1169"/>
      <c r="CG222" s="1169"/>
      <c r="CH222" s="1169"/>
      <c r="CI222" s="1169"/>
      <c r="CJ222" s="1169"/>
      <c r="CK222" s="1169"/>
      <c r="CL222" s="1169"/>
      <c r="CM222" s="1169"/>
      <c r="CN222" s="1169"/>
      <c r="CO222" s="1169"/>
      <c r="CP222" s="1169"/>
      <c r="CQ222" s="1169"/>
      <c r="CR222" s="1169"/>
      <c r="CS222" s="1169"/>
      <c r="CT222" s="1169"/>
      <c r="CU222" s="1169"/>
      <c r="CV222" s="1169"/>
      <c r="CW222" s="1169"/>
      <c r="CX222" s="1169"/>
      <c r="CY222" s="1169"/>
      <c r="CZ222" s="1169"/>
      <c r="DA222" s="1168"/>
      <c r="DB222" s="1168"/>
      <c r="DC222" s="1168"/>
      <c r="DD222" s="1168"/>
      <c r="DE222" s="1168"/>
      <c r="DF222" s="1168"/>
      <c r="DG222" s="1168"/>
      <c r="DH222" s="1168"/>
      <c r="DI222" s="1168"/>
      <c r="DJ222" s="1168"/>
      <c r="DK222" s="1168"/>
      <c r="DL222" s="1168"/>
      <c r="DM222" s="1168"/>
      <c r="DN222" s="1168"/>
      <c r="DO222" s="1168"/>
      <c r="DP222" s="1168"/>
      <c r="DQ222" s="1168"/>
      <c r="DR222" s="1168"/>
      <c r="DS222" s="1168"/>
      <c r="DT222" s="1168"/>
      <c r="DU222" s="1168"/>
      <c r="DV222" s="1168"/>
      <c r="DW222" s="1168"/>
      <c r="DX222" s="1168"/>
      <c r="DY222" s="1168"/>
      <c r="DZ222" s="1168"/>
      <c r="EA222" s="1168"/>
      <c r="EB222" s="1168"/>
      <c r="EC222" s="1168"/>
      <c r="ED222" s="1168"/>
      <c r="EE222" s="1168"/>
      <c r="EF222" s="1168"/>
      <c r="EG222" s="1168"/>
      <c r="EH222" s="1168"/>
      <c r="EI222" s="1170"/>
      <c r="EJ222" s="1170"/>
      <c r="EK222" s="1170"/>
      <c r="EL222" s="1170"/>
      <c r="EM222" s="1170"/>
      <c r="EN222" s="1170"/>
      <c r="EO222" s="1170"/>
      <c r="EP222" s="1170"/>
      <c r="EQ222" s="1170"/>
      <c r="ER222" s="1170"/>
      <c r="ES222" s="1171"/>
      <c r="ET222" s="1171"/>
      <c r="EU222" s="1171"/>
      <c r="EV222" s="1171"/>
      <c r="EW222" s="1171"/>
      <c r="EX222" s="1171"/>
      <c r="EY222" s="1171"/>
      <c r="EZ222" s="1171"/>
      <c r="FA222" s="1171"/>
      <c r="FB222" s="1171"/>
      <c r="FC222" s="1171"/>
      <c r="FD222" s="1171"/>
      <c r="FE222" s="1171"/>
      <c r="FF222" s="1171"/>
      <c r="FG222" s="1171"/>
      <c r="FH222" s="1171"/>
      <c r="FI222" s="1171"/>
      <c r="FJ222" s="1171"/>
      <c r="FK222" s="1171"/>
      <c r="FL222" s="1171"/>
      <c r="FM222" s="1171"/>
      <c r="FN222" s="1171"/>
      <c r="FO222" s="1171"/>
      <c r="FP222" s="1171"/>
    </row>
    <row r="223" spans="1:172" s="607" customFormat="1">
      <c r="A223" s="607">
        <f t="shared" si="6"/>
        <v>1988</v>
      </c>
      <c r="B223" s="607">
        <f t="shared" si="7"/>
        <v>4</v>
      </c>
      <c r="C223" s="666">
        <v>32448</v>
      </c>
      <c r="D223" s="1709">
        <v>0.84956818181818183</v>
      </c>
      <c r="E223" s="1117">
        <v>185.97047500000002</v>
      </c>
      <c r="F223" s="1117">
        <v>218.9</v>
      </c>
      <c r="G223" s="1117"/>
      <c r="H223" s="1117"/>
      <c r="I223" s="959">
        <v>420.18</v>
      </c>
      <c r="J223" s="959">
        <v>495.98</v>
      </c>
      <c r="K223" s="960"/>
      <c r="L223" s="1121"/>
      <c r="M223" s="916">
        <v>13100</v>
      </c>
      <c r="N223" s="916">
        <v>15419.59819159466</v>
      </c>
      <c r="O223" s="1174">
        <v>3298.3</v>
      </c>
      <c r="P223" s="1174">
        <v>3882.3252454455474</v>
      </c>
      <c r="Q223" s="1174">
        <v>691.07</v>
      </c>
      <c r="R223" s="1174">
        <v>813.4367726920093</v>
      </c>
      <c r="S223" s="1174">
        <v>1560.5</v>
      </c>
      <c r="T223" s="1174">
        <v>1836.8154945025547</v>
      </c>
      <c r="U223" s="1120">
        <v>288.85318181818184</v>
      </c>
      <c r="V223" s="1120">
        <v>340</v>
      </c>
      <c r="W223" s="1120">
        <v>2150.4994780599336</v>
      </c>
      <c r="X223" s="1120">
        <v>2531.2853330471917</v>
      </c>
      <c r="Y223" s="1119"/>
      <c r="Z223" s="1119"/>
      <c r="AA223" s="1119"/>
      <c r="AB223" s="1119"/>
      <c r="AC223" s="1178"/>
      <c r="AD223" s="1178">
        <v>7.6187222412025974</v>
      </c>
      <c r="AE223" s="1178"/>
      <c r="AF223" s="1178"/>
      <c r="AG223" s="1178"/>
      <c r="AH223" s="1178"/>
      <c r="AI223" s="1178"/>
      <c r="AJ223" s="1178"/>
      <c r="AK223" s="919">
        <v>14.35</v>
      </c>
      <c r="AL223" s="919">
        <v>16.890933896899494</v>
      </c>
      <c r="AM223" s="919">
        <v>12.6</v>
      </c>
      <c r="AN223" s="919">
        <v>14.831063909472727</v>
      </c>
      <c r="AO223" s="919"/>
      <c r="AP223" s="919"/>
      <c r="AS223" s="1167"/>
      <c r="AT223" s="1167"/>
      <c r="AU223" s="1168"/>
      <c r="AV223" s="1168"/>
      <c r="AW223" s="1169"/>
      <c r="AX223" s="1169"/>
      <c r="AY223" s="1169"/>
      <c r="AZ223" s="1169"/>
      <c r="BA223" s="1799" t="s">
        <v>280</v>
      </c>
      <c r="BB223" s="1802">
        <v>2014</v>
      </c>
      <c r="BC223" s="1799" t="s">
        <v>32</v>
      </c>
      <c r="BD223" s="1799"/>
      <c r="BE223" s="1800">
        <v>54338895</v>
      </c>
      <c r="BF223" s="1801">
        <v>9.4E-2</v>
      </c>
      <c r="BG223" s="1799"/>
      <c r="BH223" s="1799" t="s">
        <v>3</v>
      </c>
      <c r="BI223" s="1799" t="s">
        <v>315</v>
      </c>
      <c r="BJ223" s="1799" t="s">
        <v>51</v>
      </c>
      <c r="BK223" s="1799">
        <v>10</v>
      </c>
      <c r="BL223" s="1800">
        <v>44762343</v>
      </c>
      <c r="BM223" s="1801">
        <v>1.2E-2</v>
      </c>
      <c r="BN223" s="1799">
        <v>2010</v>
      </c>
      <c r="BO223" s="1684"/>
      <c r="BP223" s="1696"/>
      <c r="BQ223" s="1169"/>
      <c r="BR223" s="1169"/>
      <c r="BS223" s="1169"/>
      <c r="BT223" s="1169"/>
      <c r="BU223" s="1169"/>
      <c r="BV223" s="1169"/>
      <c r="BW223" s="1169"/>
      <c r="BX223" s="1169"/>
      <c r="BY223" s="1169"/>
      <c r="BZ223" s="1169"/>
      <c r="CA223" s="1169"/>
      <c r="CB223" s="1169"/>
      <c r="CC223" s="1169"/>
      <c r="CD223" s="1169"/>
      <c r="CE223" s="1169"/>
      <c r="CF223" s="1169"/>
      <c r="CG223" s="1169"/>
      <c r="CH223" s="1169"/>
      <c r="CI223" s="1169"/>
      <c r="CJ223" s="1169"/>
      <c r="CK223" s="1169"/>
      <c r="CL223" s="1169"/>
      <c r="CM223" s="1169"/>
      <c r="CN223" s="1169"/>
      <c r="CO223" s="1169"/>
      <c r="CP223" s="1169"/>
      <c r="CQ223" s="1169"/>
      <c r="CR223" s="1169"/>
      <c r="CS223" s="1169"/>
      <c r="CT223" s="1169"/>
      <c r="CU223" s="1169"/>
      <c r="CV223" s="1169"/>
      <c r="CW223" s="1169"/>
      <c r="CX223" s="1169"/>
      <c r="CY223" s="1169"/>
      <c r="CZ223" s="1169"/>
      <c r="DA223" s="1168"/>
      <c r="DB223" s="1168"/>
      <c r="DC223" s="1168"/>
      <c r="DD223" s="1168"/>
      <c r="DE223" s="1168"/>
      <c r="DF223" s="1168"/>
      <c r="DG223" s="1168"/>
      <c r="DH223" s="1168"/>
      <c r="DI223" s="1168"/>
      <c r="DJ223" s="1168"/>
      <c r="DK223" s="1168"/>
      <c r="DL223" s="1168"/>
      <c r="DM223" s="1168"/>
      <c r="DN223" s="1168"/>
      <c r="DO223" s="1168"/>
      <c r="DP223" s="1168"/>
      <c r="DQ223" s="1168"/>
      <c r="DR223" s="1168"/>
      <c r="DS223" s="1168"/>
      <c r="DT223" s="1168"/>
      <c r="DU223" s="1168"/>
      <c r="DV223" s="1168"/>
      <c r="DW223" s="1168"/>
      <c r="DX223" s="1168"/>
      <c r="DY223" s="1168"/>
      <c r="DZ223" s="1168"/>
      <c r="EA223" s="1168"/>
      <c r="EB223" s="1168"/>
      <c r="EC223" s="1168"/>
      <c r="ED223" s="1168"/>
      <c r="EE223" s="1168"/>
      <c r="EF223" s="1168"/>
      <c r="EG223" s="1168"/>
      <c r="EH223" s="1168"/>
      <c r="EI223" s="1170"/>
      <c r="EJ223" s="1170"/>
      <c r="EK223" s="1170"/>
      <c r="EL223" s="1170"/>
      <c r="EM223" s="1170"/>
      <c r="EN223" s="1170"/>
      <c r="EO223" s="1170"/>
      <c r="EP223" s="1170"/>
      <c r="EQ223" s="1170"/>
      <c r="ER223" s="1170"/>
      <c r="ES223" s="1171"/>
      <c r="ET223" s="1171"/>
      <c r="EU223" s="1171"/>
      <c r="EV223" s="1171"/>
      <c r="EW223" s="1171"/>
      <c r="EX223" s="1171"/>
      <c r="EY223" s="1171"/>
      <c r="EZ223" s="1171"/>
      <c r="FA223" s="1171"/>
      <c r="FB223" s="1171"/>
      <c r="FC223" s="1171"/>
      <c r="FD223" s="1171"/>
      <c r="FE223" s="1171"/>
      <c r="FF223" s="1171"/>
      <c r="FG223" s="1171"/>
      <c r="FH223" s="1171"/>
      <c r="FI223" s="1171"/>
      <c r="FJ223" s="1171"/>
      <c r="FK223" s="1171"/>
      <c r="FL223" s="1171"/>
      <c r="FM223" s="1171"/>
      <c r="FN223" s="1171"/>
      <c r="FO223" s="1171"/>
      <c r="FP223" s="1171"/>
    </row>
    <row r="224" spans="1:172" s="607" customFormat="1">
      <c r="A224" s="607">
        <f t="shared" si="6"/>
        <v>1988</v>
      </c>
      <c r="B224" s="607">
        <f t="shared" si="7"/>
        <v>4</v>
      </c>
      <c r="C224" s="666">
        <v>32478</v>
      </c>
      <c r="D224" s="957">
        <v>0.85897500000000004</v>
      </c>
      <c r="E224" s="920">
        <v>194.94437625</v>
      </c>
      <c r="F224" s="920">
        <v>226.95</v>
      </c>
      <c r="G224" s="920"/>
      <c r="H224" s="920"/>
      <c r="I224" s="954">
        <v>419.4</v>
      </c>
      <c r="J224" s="954">
        <v>488.33</v>
      </c>
      <c r="K224" s="954"/>
      <c r="L224" s="920"/>
      <c r="M224" s="917">
        <v>16712.5</v>
      </c>
      <c r="N224" s="917">
        <v>19456.328763933758</v>
      </c>
      <c r="O224" s="1175">
        <v>3505.2</v>
      </c>
      <c r="P224" s="1175">
        <v>4080.6775517331698</v>
      </c>
      <c r="Q224" s="1175">
        <v>730.16</v>
      </c>
      <c r="R224" s="1175">
        <v>850.03638056986517</v>
      </c>
      <c r="S224" s="1175">
        <v>1597.8</v>
      </c>
      <c r="T224" s="1175">
        <v>1860.1239849821006</v>
      </c>
      <c r="U224" s="920">
        <v>292.05150000000003</v>
      </c>
      <c r="V224" s="920">
        <v>340</v>
      </c>
      <c r="W224" s="920">
        <v>2122.9027959722885</v>
      </c>
      <c r="X224" s="920">
        <v>2471.437231551894</v>
      </c>
      <c r="Y224" s="920"/>
      <c r="Z224" s="920"/>
      <c r="AA224" s="920"/>
      <c r="AB224" s="920"/>
      <c r="AC224" s="920"/>
      <c r="AD224" s="920">
        <v>7.3056691992986558</v>
      </c>
      <c r="AE224" s="920"/>
      <c r="AF224" s="920"/>
      <c r="AG224" s="920"/>
      <c r="AH224" s="920"/>
      <c r="AI224" s="920"/>
      <c r="AJ224" s="920"/>
      <c r="AK224" s="920">
        <v>16.23</v>
      </c>
      <c r="AL224" s="920">
        <v>18.894612765214355</v>
      </c>
      <c r="AM224" s="920">
        <v>14</v>
      </c>
      <c r="AN224" s="920">
        <v>16.298495299630371</v>
      </c>
      <c r="AO224" s="920"/>
      <c r="AP224" s="920"/>
      <c r="AS224" s="1167"/>
      <c r="AT224" s="1167"/>
      <c r="AU224" s="1168"/>
      <c r="AV224" s="1168"/>
      <c r="AW224" s="1169"/>
      <c r="AX224" s="1169"/>
      <c r="AY224" s="1169"/>
      <c r="AZ224" s="1169"/>
      <c r="BA224" s="1799" t="s">
        <v>280</v>
      </c>
      <c r="BB224" s="1802">
        <v>2014</v>
      </c>
      <c r="BC224" s="1799" t="s">
        <v>249</v>
      </c>
      <c r="BD224" s="1799"/>
      <c r="BE224" s="1800">
        <v>579932210</v>
      </c>
      <c r="BF224" s="1801"/>
      <c r="BG224" s="1799"/>
      <c r="BH224" s="1799" t="s">
        <v>3</v>
      </c>
      <c r="BI224" s="1799" t="s">
        <v>315</v>
      </c>
      <c r="BJ224" s="1799" t="s">
        <v>32</v>
      </c>
      <c r="BK224" s="1799"/>
      <c r="BL224" s="1800">
        <v>196970585</v>
      </c>
      <c r="BM224" s="1801">
        <v>5.1999999999999998E-2</v>
      </c>
      <c r="BN224" s="1799">
        <v>2010</v>
      </c>
      <c r="BO224" s="1684"/>
      <c r="BP224" s="1696"/>
      <c r="BQ224" s="1169"/>
      <c r="BR224" s="1169"/>
      <c r="BS224" s="1169"/>
      <c r="BT224" s="1169"/>
      <c r="BU224" s="1169"/>
      <c r="BV224" s="1169"/>
      <c r="BW224" s="1169"/>
      <c r="BX224" s="1169"/>
      <c r="BY224" s="1169"/>
      <c r="BZ224" s="1169"/>
      <c r="CA224" s="1169"/>
      <c r="CB224" s="1169"/>
      <c r="CC224" s="1169"/>
      <c r="CD224" s="1169"/>
      <c r="CE224" s="1169"/>
      <c r="CF224" s="1169"/>
      <c r="CG224" s="1169"/>
      <c r="CH224" s="1169"/>
      <c r="CI224" s="1169"/>
      <c r="CJ224" s="1169"/>
      <c r="CK224" s="1169"/>
      <c r="CL224" s="1169"/>
      <c r="CM224" s="1169"/>
      <c r="CN224" s="1169"/>
      <c r="CO224" s="1169"/>
      <c r="CP224" s="1169"/>
      <c r="CQ224" s="1169"/>
      <c r="CR224" s="1169"/>
      <c r="CS224" s="1169"/>
      <c r="CT224" s="1169"/>
      <c r="CU224" s="1169"/>
      <c r="CV224" s="1169"/>
      <c r="CW224" s="1169"/>
      <c r="CX224" s="1169"/>
      <c r="CY224" s="1169"/>
      <c r="CZ224" s="1169"/>
      <c r="DA224" s="1168"/>
      <c r="DB224" s="1168"/>
      <c r="DC224" s="1168"/>
      <c r="DD224" s="1168"/>
      <c r="DE224" s="1168"/>
      <c r="DF224" s="1168"/>
      <c r="DG224" s="1168"/>
      <c r="DH224" s="1168"/>
      <c r="DI224" s="1168"/>
      <c r="DJ224" s="1168"/>
      <c r="DK224" s="1168"/>
      <c r="DL224" s="1168"/>
      <c r="DM224" s="1168"/>
      <c r="DN224" s="1168"/>
      <c r="DO224" s="1168"/>
      <c r="DP224" s="1168"/>
      <c r="DQ224" s="1168"/>
      <c r="DR224" s="1168"/>
      <c r="DS224" s="1168"/>
      <c r="DT224" s="1168"/>
      <c r="DU224" s="1168"/>
      <c r="DV224" s="1168"/>
      <c r="DW224" s="1168"/>
      <c r="DX224" s="1168"/>
      <c r="DY224" s="1168"/>
      <c r="DZ224" s="1168"/>
      <c r="EA224" s="1168"/>
      <c r="EB224" s="1168"/>
      <c r="EC224" s="1168"/>
      <c r="ED224" s="1168"/>
      <c r="EE224" s="1168"/>
      <c r="EF224" s="1168"/>
      <c r="EG224" s="1168"/>
      <c r="EH224" s="1168"/>
      <c r="EI224" s="1170"/>
      <c r="EJ224" s="1170"/>
      <c r="EK224" s="1170"/>
      <c r="EL224" s="1170"/>
      <c r="EM224" s="1170"/>
      <c r="EN224" s="1170"/>
      <c r="EO224" s="1170"/>
      <c r="EP224" s="1170"/>
      <c r="EQ224" s="1170"/>
      <c r="ER224" s="1170"/>
      <c r="ES224" s="1171"/>
      <c r="ET224" s="1171"/>
      <c r="EU224" s="1171"/>
      <c r="EV224" s="1171"/>
      <c r="EW224" s="1171"/>
      <c r="EX224" s="1171"/>
      <c r="EY224" s="1171"/>
      <c r="EZ224" s="1171"/>
      <c r="FA224" s="1171"/>
      <c r="FB224" s="1171"/>
      <c r="FC224" s="1171"/>
      <c r="FD224" s="1171"/>
      <c r="FE224" s="1171"/>
      <c r="FF224" s="1171"/>
      <c r="FG224" s="1171"/>
      <c r="FH224" s="1171"/>
      <c r="FI224" s="1171"/>
      <c r="FJ224" s="1171"/>
      <c r="FK224" s="1171"/>
      <c r="FL224" s="1171"/>
      <c r="FM224" s="1171"/>
      <c r="FN224" s="1171"/>
      <c r="FO224" s="1171"/>
      <c r="FP224" s="1171"/>
    </row>
    <row r="225" spans="1:172" s="607" customFormat="1">
      <c r="A225" s="607">
        <f t="shared" si="6"/>
        <v>1989</v>
      </c>
      <c r="B225" s="607">
        <f t="shared" si="7"/>
        <v>1</v>
      </c>
      <c r="C225" s="666">
        <v>32509</v>
      </c>
      <c r="D225" s="1709">
        <v>0.87009047619047608</v>
      </c>
      <c r="E225" s="1117">
        <v>273.15620409523808</v>
      </c>
      <c r="F225" s="1117">
        <v>313.94</v>
      </c>
      <c r="G225" s="1117"/>
      <c r="H225" s="1117"/>
      <c r="I225" s="959">
        <v>405</v>
      </c>
      <c r="J225" s="959">
        <v>466.99</v>
      </c>
      <c r="K225" s="960"/>
      <c r="L225" s="1121"/>
      <c r="M225" s="916">
        <v>17900</v>
      </c>
      <c r="N225" s="916">
        <v>20572.573186149228</v>
      </c>
      <c r="O225" s="1174">
        <v>3398</v>
      </c>
      <c r="P225" s="1174">
        <v>3905.3409880745849</v>
      </c>
      <c r="Q225" s="1174">
        <v>678.06</v>
      </c>
      <c r="R225" s="1174">
        <v>779.29826673744935</v>
      </c>
      <c r="S225" s="1174">
        <v>1766.5</v>
      </c>
      <c r="T225" s="1174">
        <v>2030.2486331470732</v>
      </c>
      <c r="U225" s="1120">
        <v>295.83076190476186</v>
      </c>
      <c r="V225" s="1120">
        <v>340</v>
      </c>
      <c r="W225" s="1120">
        <v>2116.7607609866154</v>
      </c>
      <c r="X225" s="1120">
        <v>2432.8053448584401</v>
      </c>
      <c r="Y225" s="1119"/>
      <c r="Z225" s="1119"/>
      <c r="AA225" s="1119"/>
      <c r="AB225" s="1119"/>
      <c r="AC225" s="1178"/>
      <c r="AD225" s="1178">
        <v>7.0866141732283463</v>
      </c>
      <c r="AE225" s="1178"/>
      <c r="AF225" s="1178"/>
      <c r="AG225" s="1178"/>
      <c r="AH225" s="1178"/>
      <c r="AI225" s="1178"/>
      <c r="AJ225" s="1178"/>
      <c r="AK225" s="919">
        <v>16.23</v>
      </c>
      <c r="AL225" s="919">
        <v>18.653232559285026</v>
      </c>
      <c r="AM225" s="919">
        <v>16.2</v>
      </c>
      <c r="AN225" s="919">
        <v>18.618753386347343</v>
      </c>
      <c r="AO225" s="919"/>
      <c r="AP225" s="919"/>
      <c r="AS225" s="1167"/>
      <c r="AT225" s="1167"/>
      <c r="AU225" s="1168"/>
      <c r="AV225" s="1168"/>
      <c r="AW225" s="1169"/>
      <c r="AX225" s="1169"/>
      <c r="AY225" s="1169"/>
      <c r="AZ225" s="1169"/>
      <c r="BA225" s="1799" t="s">
        <v>280</v>
      </c>
      <c r="BB225" s="1802">
        <v>2013</v>
      </c>
      <c r="BC225" s="1799" t="s">
        <v>431</v>
      </c>
      <c r="BD225" s="1799">
        <v>1</v>
      </c>
      <c r="BE225" s="1800">
        <v>225964567</v>
      </c>
      <c r="BF225" s="1801">
        <v>0.26600000000000001</v>
      </c>
      <c r="BG225" s="1799"/>
      <c r="BH225" s="1799" t="s">
        <v>3</v>
      </c>
      <c r="BI225" s="1799" t="s">
        <v>315</v>
      </c>
      <c r="BJ225" s="1799" t="s">
        <v>249</v>
      </c>
      <c r="BK225" s="1799"/>
      <c r="BL225" s="1800">
        <v>3803752585</v>
      </c>
      <c r="BM225" s="1801"/>
      <c r="BN225" s="1799">
        <v>2010</v>
      </c>
      <c r="BO225" s="1684"/>
      <c r="BP225" s="1696"/>
      <c r="BQ225" s="1169"/>
      <c r="BR225" s="1169"/>
      <c r="BS225" s="1169"/>
      <c r="BT225" s="1169"/>
      <c r="BU225" s="1169"/>
      <c r="BV225" s="1169"/>
      <c r="BW225" s="1169"/>
      <c r="BX225" s="1169"/>
      <c r="BY225" s="1169"/>
      <c r="BZ225" s="1169"/>
      <c r="CA225" s="1169"/>
      <c r="CB225" s="1169"/>
      <c r="CC225" s="1169"/>
      <c r="CD225" s="1169"/>
      <c r="CE225" s="1169"/>
      <c r="CF225" s="1169"/>
      <c r="CG225" s="1169"/>
      <c r="CH225" s="1169"/>
      <c r="CI225" s="1169"/>
      <c r="CJ225" s="1169"/>
      <c r="CK225" s="1169"/>
      <c r="CL225" s="1169"/>
      <c r="CM225" s="1169"/>
      <c r="CN225" s="1169"/>
      <c r="CO225" s="1169"/>
      <c r="CP225" s="1169"/>
      <c r="CQ225" s="1169"/>
      <c r="CR225" s="1169"/>
      <c r="CS225" s="1169"/>
      <c r="CT225" s="1169"/>
      <c r="CU225" s="1169"/>
      <c r="CV225" s="1169"/>
      <c r="CW225" s="1169"/>
      <c r="CX225" s="1169"/>
      <c r="CY225" s="1169"/>
      <c r="CZ225" s="1169"/>
      <c r="DA225" s="1168"/>
      <c r="DB225" s="1168"/>
      <c r="DC225" s="1168"/>
      <c r="DD225" s="1168"/>
      <c r="DE225" s="1168"/>
      <c r="DF225" s="1168"/>
      <c r="DG225" s="1168"/>
      <c r="DH225" s="1168"/>
      <c r="DI225" s="1168"/>
      <c r="DJ225" s="1168"/>
      <c r="DK225" s="1168"/>
      <c r="DL225" s="1168"/>
      <c r="DM225" s="1168"/>
      <c r="DN225" s="1168"/>
      <c r="DO225" s="1168"/>
      <c r="DP225" s="1168"/>
      <c r="DQ225" s="1168"/>
      <c r="DR225" s="1168"/>
      <c r="DS225" s="1168"/>
      <c r="DT225" s="1168"/>
      <c r="DU225" s="1168"/>
      <c r="DV225" s="1168"/>
      <c r="DW225" s="1168"/>
      <c r="DX225" s="1168"/>
      <c r="DY225" s="1168"/>
      <c r="DZ225" s="1168"/>
      <c r="EA225" s="1168"/>
      <c r="EB225" s="1168"/>
      <c r="EC225" s="1168"/>
      <c r="ED225" s="1168"/>
      <c r="EE225" s="1168"/>
      <c r="EF225" s="1168"/>
      <c r="EG225" s="1168"/>
      <c r="EH225" s="1168"/>
      <c r="EI225" s="1170"/>
      <c r="EJ225" s="1170"/>
      <c r="EK225" s="1170"/>
      <c r="EL225" s="1170"/>
      <c r="EM225" s="1170"/>
      <c r="EN225" s="1170"/>
      <c r="EO225" s="1170"/>
      <c r="EP225" s="1170"/>
      <c r="EQ225" s="1170"/>
      <c r="ER225" s="1170"/>
      <c r="ES225" s="1171"/>
      <c r="ET225" s="1171"/>
      <c r="EU225" s="1171"/>
      <c r="EV225" s="1171"/>
      <c r="EW225" s="1171"/>
      <c r="EX225" s="1171"/>
      <c r="EY225" s="1171"/>
      <c r="EZ225" s="1171"/>
      <c r="FA225" s="1171"/>
      <c r="FB225" s="1171"/>
      <c r="FC225" s="1171"/>
      <c r="FD225" s="1171"/>
      <c r="FE225" s="1171"/>
      <c r="FF225" s="1171"/>
      <c r="FG225" s="1171"/>
      <c r="FH225" s="1171"/>
      <c r="FI225" s="1171"/>
      <c r="FJ225" s="1171"/>
      <c r="FK225" s="1171"/>
      <c r="FL225" s="1171"/>
      <c r="FM225" s="1171"/>
      <c r="FN225" s="1171"/>
      <c r="FO225" s="1171"/>
      <c r="FP225" s="1171"/>
    </row>
    <row r="226" spans="1:172" s="607" customFormat="1">
      <c r="A226" s="607">
        <f t="shared" si="6"/>
        <v>1989</v>
      </c>
      <c r="B226" s="607">
        <f t="shared" si="7"/>
        <v>1</v>
      </c>
      <c r="C226" s="666">
        <v>32540</v>
      </c>
      <c r="D226" s="957">
        <v>0.85656000000000021</v>
      </c>
      <c r="E226" s="920">
        <v>241.29295200000004</v>
      </c>
      <c r="F226" s="920">
        <v>281.7</v>
      </c>
      <c r="G226" s="920"/>
      <c r="H226" s="920"/>
      <c r="I226" s="954">
        <v>387.78</v>
      </c>
      <c r="J226" s="954">
        <v>454.97</v>
      </c>
      <c r="K226" s="954"/>
      <c r="L226" s="920"/>
      <c r="M226" s="917">
        <v>18306.3</v>
      </c>
      <c r="N226" s="917">
        <v>21371.882880358637</v>
      </c>
      <c r="O226" s="1175">
        <v>3097.9</v>
      </c>
      <c r="P226" s="1175">
        <v>3616.6760063509846</v>
      </c>
      <c r="Q226" s="1175">
        <v>621.89</v>
      </c>
      <c r="R226" s="1175">
        <v>726.0320351172129</v>
      </c>
      <c r="S226" s="1175">
        <v>2006.3</v>
      </c>
      <c r="T226" s="1175">
        <v>2342.2760810684595</v>
      </c>
      <c r="U226" s="920">
        <v>291.23040000000009</v>
      </c>
      <c r="V226" s="920">
        <v>340</v>
      </c>
      <c r="W226" s="920">
        <v>2147.4599013872767</v>
      </c>
      <c r="X226" s="920">
        <v>2507.0746957449287</v>
      </c>
      <c r="Y226" s="920"/>
      <c r="Z226" s="920"/>
      <c r="AA226" s="920"/>
      <c r="AB226" s="920"/>
      <c r="AC226" s="920"/>
      <c r="AD226" s="920">
        <v>7.0337922403003752</v>
      </c>
      <c r="AE226" s="920"/>
      <c r="AF226" s="920"/>
      <c r="AG226" s="920"/>
      <c r="AH226" s="920"/>
      <c r="AI226" s="920"/>
      <c r="AJ226" s="920"/>
      <c r="AK226" s="920">
        <v>17.23</v>
      </c>
      <c r="AL226" s="920">
        <v>20.115345101335571</v>
      </c>
      <c r="AM226" s="920">
        <v>18.600000000000001</v>
      </c>
      <c r="AN226" s="920">
        <v>21.714766040907815</v>
      </c>
      <c r="AO226" s="920"/>
      <c r="AP226" s="920"/>
      <c r="AS226" s="1167"/>
      <c r="AT226" s="1167"/>
      <c r="AU226" s="1168"/>
      <c r="AV226" s="1168"/>
      <c r="AW226" s="1169"/>
      <c r="AX226" s="1169"/>
      <c r="AY226" s="1169"/>
      <c r="AZ226" s="1169"/>
      <c r="BA226" s="1799" t="s">
        <v>280</v>
      </c>
      <c r="BB226" s="1802">
        <v>2013</v>
      </c>
      <c r="BC226" s="1799" t="s">
        <v>15</v>
      </c>
      <c r="BD226" s="1799">
        <v>2</v>
      </c>
      <c r="BE226" s="1800">
        <v>189897651</v>
      </c>
      <c r="BF226" s="1801">
        <v>0.223</v>
      </c>
      <c r="BG226" s="1799"/>
      <c r="BH226" s="1799" t="s">
        <v>3</v>
      </c>
      <c r="BI226" s="1799" t="s">
        <v>313</v>
      </c>
      <c r="BJ226" s="1799" t="s">
        <v>15</v>
      </c>
      <c r="BK226" s="1799">
        <v>1</v>
      </c>
      <c r="BL226" s="1800">
        <v>992572586.31999969</v>
      </c>
      <c r="BM226" s="1801">
        <v>0.38739111959364708</v>
      </c>
      <c r="BN226" s="1799">
        <v>2008</v>
      </c>
      <c r="BO226" s="1684"/>
      <c r="BP226" s="1696"/>
      <c r="BQ226" s="1169"/>
      <c r="BR226" s="1169"/>
      <c r="BS226" s="1169"/>
      <c r="BT226" s="1169"/>
      <c r="BU226" s="1169"/>
      <c r="BV226" s="1169"/>
      <c r="BW226" s="1169"/>
      <c r="BX226" s="1169"/>
      <c r="BY226" s="1169"/>
      <c r="BZ226" s="1169"/>
      <c r="CA226" s="1169"/>
      <c r="CB226" s="1169"/>
      <c r="CC226" s="1169"/>
      <c r="CD226" s="1169"/>
      <c r="CE226" s="1169"/>
      <c r="CF226" s="1169"/>
      <c r="CG226" s="1169"/>
      <c r="CH226" s="1169"/>
      <c r="CI226" s="1169"/>
      <c r="CJ226" s="1169"/>
      <c r="CK226" s="1169"/>
      <c r="CL226" s="1169"/>
      <c r="CM226" s="1169"/>
      <c r="CN226" s="1169"/>
      <c r="CO226" s="1169"/>
      <c r="CP226" s="1169"/>
      <c r="CQ226" s="1169"/>
      <c r="CR226" s="1169"/>
      <c r="CS226" s="1169"/>
      <c r="CT226" s="1169"/>
      <c r="CU226" s="1169"/>
      <c r="CV226" s="1169"/>
      <c r="CW226" s="1169"/>
      <c r="CX226" s="1169"/>
      <c r="CY226" s="1169"/>
      <c r="CZ226" s="1169"/>
      <c r="DA226" s="1168"/>
      <c r="DB226" s="1168"/>
      <c r="DC226" s="1168"/>
      <c r="DD226" s="1168"/>
      <c r="DE226" s="1168"/>
      <c r="DF226" s="1168"/>
      <c r="DG226" s="1168"/>
      <c r="DH226" s="1168"/>
      <c r="DI226" s="1168"/>
      <c r="DJ226" s="1168"/>
      <c r="DK226" s="1168"/>
      <c r="DL226" s="1168"/>
      <c r="DM226" s="1168"/>
      <c r="DN226" s="1168"/>
      <c r="DO226" s="1168"/>
      <c r="DP226" s="1168"/>
      <c r="DQ226" s="1168"/>
      <c r="DR226" s="1168"/>
      <c r="DS226" s="1168"/>
      <c r="DT226" s="1168"/>
      <c r="DU226" s="1168"/>
      <c r="DV226" s="1168"/>
      <c r="DW226" s="1168"/>
      <c r="DX226" s="1168"/>
      <c r="DY226" s="1168"/>
      <c r="DZ226" s="1168"/>
      <c r="EA226" s="1168"/>
      <c r="EB226" s="1168"/>
      <c r="EC226" s="1168"/>
      <c r="ED226" s="1168"/>
      <c r="EE226" s="1168"/>
      <c r="EF226" s="1168"/>
      <c r="EG226" s="1168"/>
      <c r="EH226" s="1168"/>
      <c r="EI226" s="1170"/>
      <c r="EJ226" s="1170"/>
      <c r="EK226" s="1170"/>
      <c r="EL226" s="1170"/>
      <c r="EM226" s="1170"/>
      <c r="EN226" s="1170"/>
      <c r="EO226" s="1170"/>
      <c r="EP226" s="1170"/>
      <c r="EQ226" s="1170"/>
      <c r="ER226" s="1170"/>
      <c r="ES226" s="1171"/>
      <c r="ET226" s="1171"/>
      <c r="EU226" s="1171"/>
      <c r="EV226" s="1171"/>
      <c r="EW226" s="1171"/>
      <c r="EX226" s="1171"/>
      <c r="EY226" s="1171"/>
      <c r="EZ226" s="1171"/>
      <c r="FA226" s="1171"/>
      <c r="FB226" s="1171"/>
      <c r="FC226" s="1171"/>
      <c r="FD226" s="1171"/>
      <c r="FE226" s="1171"/>
      <c r="FF226" s="1171"/>
      <c r="FG226" s="1171"/>
      <c r="FH226" s="1171"/>
      <c r="FI226" s="1171"/>
      <c r="FJ226" s="1171"/>
      <c r="FK226" s="1171"/>
      <c r="FL226" s="1171"/>
      <c r="FM226" s="1171"/>
      <c r="FN226" s="1171"/>
      <c r="FO226" s="1171"/>
      <c r="FP226" s="1171"/>
    </row>
    <row r="227" spans="1:172" s="607" customFormat="1">
      <c r="A227" s="607">
        <f t="shared" si="6"/>
        <v>1989</v>
      </c>
      <c r="B227" s="607">
        <f t="shared" si="7"/>
        <v>1</v>
      </c>
      <c r="C227" s="666">
        <v>32568</v>
      </c>
      <c r="D227" s="1709">
        <v>0.8157619047619048</v>
      </c>
      <c r="E227" s="1117">
        <v>290.5336023809524</v>
      </c>
      <c r="F227" s="1117">
        <v>356.15</v>
      </c>
      <c r="G227" s="1117"/>
      <c r="H227" s="1117"/>
      <c r="I227" s="959">
        <v>390.03</v>
      </c>
      <c r="J227" s="959">
        <v>479.89</v>
      </c>
      <c r="K227" s="960"/>
      <c r="L227" s="1121"/>
      <c r="M227" s="916">
        <v>16800</v>
      </c>
      <c r="N227" s="916">
        <v>20594.244352343703</v>
      </c>
      <c r="O227" s="1174">
        <v>3269.7</v>
      </c>
      <c r="P227" s="1174">
        <v>4008.1548070748931</v>
      </c>
      <c r="Q227" s="1174">
        <v>590.88</v>
      </c>
      <c r="R227" s="1174">
        <v>724.32899422100286</v>
      </c>
      <c r="S227" s="1174">
        <v>1964.7</v>
      </c>
      <c r="T227" s="1174">
        <v>2408.4233261339091</v>
      </c>
      <c r="U227" s="1120">
        <v>448.66904761904766</v>
      </c>
      <c r="V227" s="1120">
        <v>550</v>
      </c>
      <c r="W227" s="1120">
        <v>2257.2761625795188</v>
      </c>
      <c r="X227" s="1120">
        <v>2767.0771942192455</v>
      </c>
      <c r="Y227" s="1119"/>
      <c r="Z227" s="1119"/>
      <c r="AA227" s="1119"/>
      <c r="AB227" s="1119"/>
      <c r="AC227" s="1178"/>
      <c r="AD227" s="1178">
        <v>7.4932877715401505</v>
      </c>
      <c r="AE227" s="1178"/>
      <c r="AF227" s="1178"/>
      <c r="AG227" s="1178"/>
      <c r="AH227" s="1178"/>
      <c r="AI227" s="1178"/>
      <c r="AJ227" s="1178"/>
      <c r="AK227" s="919">
        <v>17.23</v>
      </c>
      <c r="AL227" s="919">
        <v>21.121358939933454</v>
      </c>
      <c r="AM227" s="919">
        <v>18.2</v>
      </c>
      <c r="AN227" s="919">
        <v>22.310431381705676</v>
      </c>
      <c r="AO227" s="919"/>
      <c r="AP227" s="919"/>
      <c r="AS227" s="1167"/>
      <c r="AT227" s="1167"/>
      <c r="AU227" s="1168"/>
      <c r="AV227" s="1168"/>
      <c r="AW227" s="1169"/>
      <c r="AX227" s="1169"/>
      <c r="AY227" s="1169"/>
      <c r="AZ227" s="1169"/>
      <c r="BA227" s="1799" t="s">
        <v>280</v>
      </c>
      <c r="BB227" s="1802">
        <v>2013</v>
      </c>
      <c r="BC227" s="1799" t="s">
        <v>23</v>
      </c>
      <c r="BD227" s="1799">
        <v>3</v>
      </c>
      <c r="BE227" s="1800">
        <v>87930926</v>
      </c>
      <c r="BF227" s="1801">
        <v>0.10299999999999999</v>
      </c>
      <c r="BG227" s="1799"/>
      <c r="BH227" s="1799" t="s">
        <v>3</v>
      </c>
      <c r="BI227" s="1799" t="s">
        <v>313</v>
      </c>
      <c r="BJ227" s="1799" t="s">
        <v>45</v>
      </c>
      <c r="BK227" s="1799">
        <v>2</v>
      </c>
      <c r="BL227" s="1800">
        <v>436361434.19999999</v>
      </c>
      <c r="BM227" s="1801">
        <v>0.17030748871370624</v>
      </c>
      <c r="BN227" s="1799">
        <v>2008</v>
      </c>
      <c r="BO227" s="1684"/>
      <c r="BP227" s="1696"/>
      <c r="BQ227" s="1169"/>
      <c r="BR227" s="1169"/>
      <c r="BS227" s="1169"/>
      <c r="BT227" s="1169"/>
      <c r="BU227" s="1169"/>
      <c r="BV227" s="1169"/>
      <c r="BW227" s="1169"/>
      <c r="BX227" s="1169"/>
      <c r="BY227" s="1169"/>
      <c r="BZ227" s="1169"/>
      <c r="CA227" s="1169"/>
      <c r="CB227" s="1169"/>
      <c r="CC227" s="1169"/>
      <c r="CD227" s="1169"/>
      <c r="CE227" s="1169"/>
      <c r="CF227" s="1169"/>
      <c r="CG227" s="1169"/>
      <c r="CH227" s="1169"/>
      <c r="CI227" s="1169"/>
      <c r="CJ227" s="1169"/>
      <c r="CK227" s="1169"/>
      <c r="CL227" s="1169"/>
      <c r="CM227" s="1169"/>
      <c r="CN227" s="1169"/>
      <c r="CO227" s="1169"/>
      <c r="CP227" s="1169"/>
      <c r="CQ227" s="1169"/>
      <c r="CR227" s="1169"/>
      <c r="CS227" s="1169"/>
      <c r="CT227" s="1169"/>
      <c r="CU227" s="1169"/>
      <c r="CV227" s="1169"/>
      <c r="CW227" s="1169"/>
      <c r="CX227" s="1169"/>
      <c r="CY227" s="1169"/>
      <c r="CZ227" s="1169"/>
      <c r="DA227" s="1168"/>
      <c r="DB227" s="1168"/>
      <c r="DC227" s="1168"/>
      <c r="DD227" s="1168"/>
      <c r="DE227" s="1168"/>
      <c r="DF227" s="1168"/>
      <c r="DG227" s="1168"/>
      <c r="DH227" s="1168"/>
      <c r="DI227" s="1168"/>
      <c r="DJ227" s="1168"/>
      <c r="DK227" s="1168"/>
      <c r="DL227" s="1168"/>
      <c r="DM227" s="1168"/>
      <c r="DN227" s="1168"/>
      <c r="DO227" s="1168"/>
      <c r="DP227" s="1168"/>
      <c r="DQ227" s="1168"/>
      <c r="DR227" s="1168"/>
      <c r="DS227" s="1168"/>
      <c r="DT227" s="1168"/>
      <c r="DU227" s="1168"/>
      <c r="DV227" s="1168"/>
      <c r="DW227" s="1168"/>
      <c r="DX227" s="1168"/>
      <c r="DY227" s="1168"/>
      <c r="DZ227" s="1168"/>
      <c r="EA227" s="1168"/>
      <c r="EB227" s="1168"/>
      <c r="EC227" s="1168"/>
      <c r="ED227" s="1168"/>
      <c r="EE227" s="1168"/>
      <c r="EF227" s="1168"/>
      <c r="EG227" s="1168"/>
      <c r="EH227" s="1168"/>
      <c r="EI227" s="1170"/>
      <c r="EJ227" s="1170"/>
      <c r="EK227" s="1170"/>
      <c r="EL227" s="1170"/>
      <c r="EM227" s="1170"/>
      <c r="EN227" s="1170"/>
      <c r="EO227" s="1170"/>
      <c r="EP227" s="1170"/>
      <c r="EQ227" s="1170"/>
      <c r="ER227" s="1170"/>
      <c r="ES227" s="1171"/>
      <c r="ET227" s="1171"/>
      <c r="EU227" s="1171"/>
      <c r="EV227" s="1171"/>
      <c r="EW227" s="1171"/>
      <c r="EX227" s="1171"/>
      <c r="EY227" s="1171"/>
      <c r="EZ227" s="1171"/>
      <c r="FA227" s="1171"/>
      <c r="FB227" s="1171"/>
      <c r="FC227" s="1171"/>
      <c r="FD227" s="1171"/>
      <c r="FE227" s="1171"/>
      <c r="FF227" s="1171"/>
      <c r="FG227" s="1171"/>
      <c r="FH227" s="1171"/>
      <c r="FI227" s="1171"/>
      <c r="FJ227" s="1171"/>
      <c r="FK227" s="1171"/>
      <c r="FL227" s="1171"/>
      <c r="FM227" s="1171"/>
      <c r="FN227" s="1171"/>
      <c r="FO227" s="1171"/>
      <c r="FP227" s="1171"/>
    </row>
    <row r="228" spans="1:172" s="607" customFormat="1">
      <c r="A228" s="607">
        <f t="shared" si="6"/>
        <v>1989</v>
      </c>
      <c r="B228" s="607">
        <f t="shared" si="7"/>
        <v>2</v>
      </c>
      <c r="C228" s="666">
        <v>32599</v>
      </c>
      <c r="D228" s="957">
        <v>0.8044</v>
      </c>
      <c r="E228" s="920">
        <v>251.04519599999998</v>
      </c>
      <c r="F228" s="920">
        <v>312.08999999999997</v>
      </c>
      <c r="G228" s="920"/>
      <c r="H228" s="920"/>
      <c r="I228" s="954">
        <v>384.85</v>
      </c>
      <c r="J228" s="954">
        <v>479.87</v>
      </c>
      <c r="K228" s="954"/>
      <c r="L228" s="920"/>
      <c r="M228" s="917">
        <v>15206.3</v>
      </c>
      <c r="N228" s="917">
        <v>18903.9035305818</v>
      </c>
      <c r="O228" s="1175">
        <v>3118.4</v>
      </c>
      <c r="P228" s="1175">
        <v>3876.678269517653</v>
      </c>
      <c r="Q228" s="1175">
        <v>608.21</v>
      </c>
      <c r="R228" s="1175">
        <v>756.10392839383394</v>
      </c>
      <c r="S228" s="1175">
        <v>1679.7</v>
      </c>
      <c r="T228" s="1175">
        <v>2088.1402287419196</v>
      </c>
      <c r="U228" s="920">
        <v>442.42</v>
      </c>
      <c r="V228" s="920">
        <v>550</v>
      </c>
      <c r="W228" s="920">
        <v>2169.591571072147</v>
      </c>
      <c r="X228" s="920">
        <v>2697.1551107311625</v>
      </c>
      <c r="Y228" s="920"/>
      <c r="Z228" s="920"/>
      <c r="AA228" s="920"/>
      <c r="AB228" s="920"/>
      <c r="AC228" s="920"/>
      <c r="AD228" s="920">
        <v>7.4022698612862543</v>
      </c>
      <c r="AE228" s="920"/>
      <c r="AF228" s="920"/>
      <c r="AG228" s="920"/>
      <c r="AH228" s="920"/>
      <c r="AI228" s="920"/>
      <c r="AJ228" s="920"/>
      <c r="AK228" s="920">
        <v>20.149999999999999</v>
      </c>
      <c r="AL228" s="920">
        <v>25.049726504226751</v>
      </c>
      <c r="AM228" s="920">
        <v>19.45</v>
      </c>
      <c r="AN228" s="920">
        <v>24.179512680258576</v>
      </c>
      <c r="AO228" s="920"/>
      <c r="AP228" s="920"/>
      <c r="AS228" s="1167"/>
      <c r="AT228" s="1167"/>
      <c r="AU228" s="1168"/>
      <c r="AV228" s="1168"/>
      <c r="AW228" s="1169"/>
      <c r="AX228" s="1169"/>
      <c r="AY228" s="1169"/>
      <c r="AZ228" s="1169"/>
      <c r="BA228" s="1799" t="s">
        <v>280</v>
      </c>
      <c r="BB228" s="1802">
        <v>2013</v>
      </c>
      <c r="BC228" s="1799" t="s">
        <v>583</v>
      </c>
      <c r="BD228" s="1799">
        <v>4</v>
      </c>
      <c r="BE228" s="1800">
        <v>50545932</v>
      </c>
      <c r="BF228" s="1801">
        <v>5.8999999999999997E-2</v>
      </c>
      <c r="BG228" s="1799"/>
      <c r="BH228" s="1799" t="s">
        <v>3</v>
      </c>
      <c r="BI228" s="1799" t="s">
        <v>313</v>
      </c>
      <c r="BJ228" s="1799" t="s">
        <v>49</v>
      </c>
      <c r="BK228" s="1799">
        <v>3</v>
      </c>
      <c r="BL228" s="1800">
        <v>392232149.0800001</v>
      </c>
      <c r="BM228" s="1801">
        <v>0.15308427158569199</v>
      </c>
      <c r="BN228" s="1799">
        <v>2008</v>
      </c>
      <c r="BO228" s="1684"/>
      <c r="BP228" s="1696"/>
      <c r="BQ228" s="1169"/>
      <c r="BR228" s="1169"/>
      <c r="BS228" s="1169"/>
      <c r="BT228" s="1169"/>
      <c r="BU228" s="1169"/>
      <c r="BV228" s="1169"/>
      <c r="BW228" s="1169"/>
      <c r="BX228" s="1169"/>
      <c r="BY228" s="1169"/>
      <c r="BZ228" s="1169"/>
      <c r="CA228" s="1169"/>
      <c r="CB228" s="1169"/>
      <c r="CC228" s="1169"/>
      <c r="CD228" s="1169"/>
      <c r="CE228" s="1169"/>
      <c r="CF228" s="1169"/>
      <c r="CG228" s="1169"/>
      <c r="CH228" s="1169"/>
      <c r="CI228" s="1169"/>
      <c r="CJ228" s="1169"/>
      <c r="CK228" s="1169"/>
      <c r="CL228" s="1169"/>
      <c r="CM228" s="1169"/>
      <c r="CN228" s="1169"/>
      <c r="CO228" s="1169"/>
      <c r="CP228" s="1169"/>
      <c r="CQ228" s="1169"/>
      <c r="CR228" s="1169"/>
      <c r="CS228" s="1169"/>
      <c r="CT228" s="1169"/>
      <c r="CU228" s="1169"/>
      <c r="CV228" s="1169"/>
      <c r="CW228" s="1169"/>
      <c r="CX228" s="1169"/>
      <c r="CY228" s="1169"/>
      <c r="CZ228" s="1169"/>
      <c r="DA228" s="1168"/>
      <c r="DB228" s="1168"/>
      <c r="DC228" s="1168"/>
      <c r="DD228" s="1168"/>
      <c r="DE228" s="1168"/>
      <c r="DF228" s="1168"/>
      <c r="DG228" s="1168"/>
      <c r="DH228" s="1168"/>
      <c r="DI228" s="1168"/>
      <c r="DJ228" s="1168"/>
      <c r="DK228" s="1168"/>
      <c r="DL228" s="1168"/>
      <c r="DM228" s="1168"/>
      <c r="DN228" s="1168"/>
      <c r="DO228" s="1168"/>
      <c r="DP228" s="1168"/>
      <c r="DQ228" s="1168"/>
      <c r="DR228" s="1168"/>
      <c r="DS228" s="1168"/>
      <c r="DT228" s="1168"/>
      <c r="DU228" s="1168"/>
      <c r="DV228" s="1168"/>
      <c r="DW228" s="1168"/>
      <c r="DX228" s="1168"/>
      <c r="DY228" s="1168"/>
      <c r="DZ228" s="1168"/>
      <c r="EA228" s="1168"/>
      <c r="EB228" s="1168"/>
      <c r="EC228" s="1168"/>
      <c r="ED228" s="1168"/>
      <c r="EE228" s="1168"/>
      <c r="EF228" s="1168"/>
      <c r="EG228" s="1168"/>
      <c r="EH228" s="1168"/>
      <c r="EI228" s="1170"/>
      <c r="EJ228" s="1170"/>
      <c r="EK228" s="1170"/>
      <c r="EL228" s="1170"/>
      <c r="EM228" s="1170"/>
      <c r="EN228" s="1170"/>
      <c r="EO228" s="1170"/>
      <c r="EP228" s="1170"/>
      <c r="EQ228" s="1170"/>
      <c r="ER228" s="1170"/>
      <c r="ES228" s="1171"/>
      <c r="ET228" s="1171"/>
      <c r="EU228" s="1171"/>
      <c r="EV228" s="1171"/>
      <c r="EW228" s="1171"/>
      <c r="EX228" s="1171"/>
      <c r="EY228" s="1171"/>
      <c r="EZ228" s="1171"/>
      <c r="FA228" s="1171"/>
      <c r="FB228" s="1171"/>
      <c r="FC228" s="1171"/>
      <c r="FD228" s="1171"/>
      <c r="FE228" s="1171"/>
      <c r="FF228" s="1171"/>
      <c r="FG228" s="1171"/>
      <c r="FH228" s="1171"/>
      <c r="FI228" s="1171"/>
      <c r="FJ228" s="1171"/>
      <c r="FK228" s="1171"/>
      <c r="FL228" s="1171"/>
      <c r="FM228" s="1171"/>
      <c r="FN228" s="1171"/>
      <c r="FO228" s="1171"/>
      <c r="FP228" s="1171"/>
    </row>
    <row r="229" spans="1:172" s="607" customFormat="1">
      <c r="A229" s="607">
        <f t="shared" si="6"/>
        <v>1989</v>
      </c>
      <c r="B229" s="607">
        <f t="shared" si="7"/>
        <v>2</v>
      </c>
      <c r="C229" s="666">
        <v>32629</v>
      </c>
      <c r="D229" s="1709">
        <v>0.77321739130434775</v>
      </c>
      <c r="E229" s="1117">
        <v>249.2852869565217</v>
      </c>
      <c r="F229" s="1117">
        <v>322.39999999999998</v>
      </c>
      <c r="G229" s="1117"/>
      <c r="H229" s="1117"/>
      <c r="I229" s="959">
        <v>371.44</v>
      </c>
      <c r="J229" s="959">
        <v>482.03</v>
      </c>
      <c r="K229" s="960"/>
      <c r="L229" s="1121"/>
      <c r="M229" s="916">
        <v>13487.5</v>
      </c>
      <c r="N229" s="916">
        <v>17443.347953216376</v>
      </c>
      <c r="O229" s="1174">
        <v>2753.3</v>
      </c>
      <c r="P229" s="1174">
        <v>3560.8355825461094</v>
      </c>
      <c r="Q229" s="1174">
        <v>643.77</v>
      </c>
      <c r="R229" s="1174">
        <v>832.58603238866408</v>
      </c>
      <c r="S229" s="1174">
        <v>1727.7</v>
      </c>
      <c r="T229" s="1174">
        <v>2234.4298245614036</v>
      </c>
      <c r="U229" s="1120">
        <v>425.26956521739123</v>
      </c>
      <c r="V229" s="1120">
        <v>550</v>
      </c>
      <c r="W229" s="1120">
        <v>2178.6743526076216</v>
      </c>
      <c r="X229" s="1120">
        <v>2817.6737578708562</v>
      </c>
      <c r="Y229" s="1119"/>
      <c r="Z229" s="1119"/>
      <c r="AA229" s="1119"/>
      <c r="AB229" s="1119"/>
      <c r="AC229" s="1178"/>
      <c r="AD229" s="1178">
        <v>7.2459893048128343</v>
      </c>
      <c r="AE229" s="1178"/>
      <c r="AF229" s="1178"/>
      <c r="AG229" s="1178"/>
      <c r="AH229" s="1178"/>
      <c r="AI229" s="1178"/>
      <c r="AJ229" s="1178"/>
      <c r="AK229" s="919">
        <v>20.149999999999999</v>
      </c>
      <c r="AL229" s="919">
        <v>26.059941520467838</v>
      </c>
      <c r="AM229" s="919">
        <v>20.3</v>
      </c>
      <c r="AN229" s="919">
        <v>26.253936122357178</v>
      </c>
      <c r="AO229" s="919"/>
      <c r="AP229" s="919"/>
      <c r="AS229" s="1167"/>
      <c r="AT229" s="1167"/>
      <c r="AU229" s="1168"/>
      <c r="AV229" s="1168"/>
      <c r="AW229" s="1169"/>
      <c r="AX229" s="1169"/>
      <c r="AY229" s="1169"/>
      <c r="AZ229" s="1169"/>
      <c r="BA229" s="1799" t="s">
        <v>280</v>
      </c>
      <c r="BB229" s="1802">
        <v>2013</v>
      </c>
      <c r="BC229" s="1799" t="s">
        <v>18</v>
      </c>
      <c r="BD229" s="1799">
        <v>5</v>
      </c>
      <c r="BE229" s="1800">
        <v>41081580</v>
      </c>
      <c r="BF229" s="1801">
        <v>4.8000000000000001E-2</v>
      </c>
      <c r="BG229" s="1799"/>
      <c r="BH229" s="1799" t="s">
        <v>3</v>
      </c>
      <c r="BI229" s="1799" t="s">
        <v>313</v>
      </c>
      <c r="BJ229" s="1799" t="s">
        <v>20</v>
      </c>
      <c r="BK229" s="1799">
        <v>4</v>
      </c>
      <c r="BL229" s="1800">
        <v>127821627.56999999</v>
      </c>
      <c r="BM229" s="1801">
        <v>4.9887498501455185E-2</v>
      </c>
      <c r="BN229" s="1799">
        <v>2008</v>
      </c>
      <c r="BO229" s="1684"/>
      <c r="BP229" s="1696"/>
      <c r="BQ229" s="1169"/>
      <c r="BR229" s="1169"/>
      <c r="BS229" s="1169"/>
      <c r="BT229" s="1169"/>
      <c r="BU229" s="1169"/>
      <c r="BV229" s="1169"/>
      <c r="BW229" s="1169"/>
      <c r="BX229" s="1169"/>
      <c r="BY229" s="1169"/>
      <c r="BZ229" s="1169"/>
      <c r="CA229" s="1169"/>
      <c r="CB229" s="1169"/>
      <c r="CC229" s="1169"/>
      <c r="CD229" s="1169"/>
      <c r="CE229" s="1169"/>
      <c r="CF229" s="1169"/>
      <c r="CG229" s="1169"/>
      <c r="CH229" s="1169"/>
      <c r="CI229" s="1169"/>
      <c r="CJ229" s="1169"/>
      <c r="CK229" s="1169"/>
      <c r="CL229" s="1169"/>
      <c r="CM229" s="1169"/>
      <c r="CN229" s="1169"/>
      <c r="CO229" s="1169"/>
      <c r="CP229" s="1169"/>
      <c r="CQ229" s="1169"/>
      <c r="CR229" s="1169"/>
      <c r="CS229" s="1169"/>
      <c r="CT229" s="1169"/>
      <c r="CU229" s="1169"/>
      <c r="CV229" s="1169"/>
      <c r="CW229" s="1169"/>
      <c r="CX229" s="1169"/>
      <c r="CY229" s="1169"/>
      <c r="CZ229" s="1169"/>
      <c r="DA229" s="1168"/>
      <c r="DB229" s="1168"/>
      <c r="DC229" s="1168"/>
      <c r="DD229" s="1168"/>
      <c r="DE229" s="1168"/>
      <c r="DF229" s="1168"/>
      <c r="DG229" s="1168"/>
      <c r="DH229" s="1168"/>
      <c r="DI229" s="1168"/>
      <c r="DJ229" s="1168"/>
      <c r="DK229" s="1168"/>
      <c r="DL229" s="1168"/>
      <c r="DM229" s="1168"/>
      <c r="DN229" s="1168"/>
      <c r="DO229" s="1168"/>
      <c r="DP229" s="1168"/>
      <c r="DQ229" s="1168"/>
      <c r="DR229" s="1168"/>
      <c r="DS229" s="1168"/>
      <c r="DT229" s="1168"/>
      <c r="DU229" s="1168"/>
      <c r="DV229" s="1168"/>
      <c r="DW229" s="1168"/>
      <c r="DX229" s="1168"/>
      <c r="DY229" s="1168"/>
      <c r="DZ229" s="1168"/>
      <c r="EA229" s="1168"/>
      <c r="EB229" s="1168"/>
      <c r="EC229" s="1168"/>
      <c r="ED229" s="1168"/>
      <c r="EE229" s="1168"/>
      <c r="EF229" s="1168"/>
      <c r="EG229" s="1168"/>
      <c r="EH229" s="1168"/>
      <c r="EI229" s="1170"/>
      <c r="EJ229" s="1170"/>
      <c r="EK229" s="1170"/>
      <c r="EL229" s="1170"/>
      <c r="EM229" s="1170"/>
      <c r="EN229" s="1170"/>
      <c r="EO229" s="1170"/>
      <c r="EP229" s="1170"/>
      <c r="EQ229" s="1170"/>
      <c r="ER229" s="1170"/>
      <c r="ES229" s="1171"/>
      <c r="ET229" s="1171"/>
      <c r="EU229" s="1171"/>
      <c r="EV229" s="1171"/>
      <c r="EW229" s="1171"/>
      <c r="EX229" s="1171"/>
      <c r="EY229" s="1171"/>
      <c r="EZ229" s="1171"/>
      <c r="FA229" s="1171"/>
      <c r="FB229" s="1171"/>
      <c r="FC229" s="1171"/>
      <c r="FD229" s="1171"/>
      <c r="FE229" s="1171"/>
      <c r="FF229" s="1171"/>
      <c r="FG229" s="1171"/>
      <c r="FH229" s="1171"/>
      <c r="FI229" s="1171"/>
      <c r="FJ229" s="1171"/>
      <c r="FK229" s="1171"/>
      <c r="FL229" s="1171"/>
      <c r="FM229" s="1171"/>
      <c r="FN229" s="1171"/>
      <c r="FO229" s="1171"/>
      <c r="FP229" s="1171"/>
    </row>
    <row r="230" spans="1:172" s="607" customFormat="1">
      <c r="A230" s="607">
        <f t="shared" si="6"/>
        <v>1989</v>
      </c>
      <c r="B230" s="607">
        <f t="shared" si="7"/>
        <v>2</v>
      </c>
      <c r="C230" s="666">
        <v>32660</v>
      </c>
      <c r="D230" s="957">
        <v>0.75559523809523821</v>
      </c>
      <c r="E230" s="920">
        <v>239.44057500000002</v>
      </c>
      <c r="F230" s="920">
        <v>316.89</v>
      </c>
      <c r="G230" s="920"/>
      <c r="H230" s="920"/>
      <c r="I230" s="954">
        <v>368.1</v>
      </c>
      <c r="J230" s="954">
        <v>488.82</v>
      </c>
      <c r="K230" s="954"/>
      <c r="L230" s="920"/>
      <c r="M230" s="917">
        <v>12052.5</v>
      </c>
      <c r="N230" s="917">
        <v>15951.000472664249</v>
      </c>
      <c r="O230" s="1175">
        <v>2547.8000000000002</v>
      </c>
      <c r="P230" s="1175">
        <v>3371.9111391208444</v>
      </c>
      <c r="Q230" s="1175">
        <v>666.72</v>
      </c>
      <c r="R230" s="1175">
        <v>882.37718607215993</v>
      </c>
      <c r="S230" s="1175">
        <v>1669.7</v>
      </c>
      <c r="T230" s="1175">
        <v>2209.7809988971167</v>
      </c>
      <c r="U230" s="920">
        <v>415.57738095238102</v>
      </c>
      <c r="V230" s="920">
        <v>550</v>
      </c>
      <c r="W230" s="920">
        <v>2195.2859695460343</v>
      </c>
      <c r="X230" s="920">
        <v>2905.3729548111996</v>
      </c>
      <c r="Y230" s="920"/>
      <c r="Z230" s="920"/>
      <c r="AA230" s="920"/>
      <c r="AB230" s="920"/>
      <c r="AC230" s="920"/>
      <c r="AD230" s="920">
        <v>7.1883289124668437</v>
      </c>
      <c r="AE230" s="920"/>
      <c r="AF230" s="920"/>
      <c r="AG230" s="920"/>
      <c r="AH230" s="920"/>
      <c r="AI230" s="920"/>
      <c r="AJ230" s="920"/>
      <c r="AK230" s="920">
        <v>18.28</v>
      </c>
      <c r="AL230" s="920">
        <v>24.192847014337481</v>
      </c>
      <c r="AM230" s="920">
        <v>19.100000000000001</v>
      </c>
      <c r="AN230" s="920">
        <v>25.278084134236646</v>
      </c>
      <c r="AO230" s="920"/>
      <c r="AP230" s="920"/>
      <c r="AS230" s="1167"/>
      <c r="AT230" s="1167"/>
      <c r="AU230" s="1168"/>
      <c r="AV230" s="1168"/>
      <c r="AW230" s="1169"/>
      <c r="AX230" s="1169"/>
      <c r="AY230" s="1169"/>
      <c r="AZ230" s="1169"/>
      <c r="BA230" s="1799" t="s">
        <v>280</v>
      </c>
      <c r="BB230" s="1802">
        <v>2013</v>
      </c>
      <c r="BC230" s="1799" t="s">
        <v>54</v>
      </c>
      <c r="BD230" s="1799">
        <v>6</v>
      </c>
      <c r="BE230" s="1800">
        <v>36300436</v>
      </c>
      <c r="BF230" s="1801">
        <v>4.2999999999999997E-2</v>
      </c>
      <c r="BG230" s="1799"/>
      <c r="BH230" s="1799" t="s">
        <v>3</v>
      </c>
      <c r="BI230" s="1799" t="s">
        <v>313</v>
      </c>
      <c r="BJ230" s="1799" t="s">
        <v>23</v>
      </c>
      <c r="BK230" s="1799">
        <v>5</v>
      </c>
      <c r="BL230" s="1800">
        <v>124076253.78</v>
      </c>
      <c r="BM230" s="1801">
        <v>4.8425716697482385E-2</v>
      </c>
      <c r="BN230" s="1799">
        <v>2008</v>
      </c>
      <c r="BO230" s="1684"/>
      <c r="BP230" s="1696"/>
      <c r="BQ230" s="1169"/>
      <c r="BR230" s="1169"/>
      <c r="BS230" s="1169"/>
      <c r="BT230" s="1169"/>
      <c r="BU230" s="1169"/>
      <c r="BV230" s="1169"/>
      <c r="BW230" s="1169"/>
      <c r="BX230" s="1169"/>
      <c r="BY230" s="1169"/>
      <c r="BZ230" s="1169"/>
      <c r="CA230" s="1169"/>
      <c r="CB230" s="1169"/>
      <c r="CC230" s="1169"/>
      <c r="CD230" s="1169"/>
      <c r="CE230" s="1169"/>
      <c r="CF230" s="1169"/>
      <c r="CG230" s="1169"/>
      <c r="CH230" s="1169"/>
      <c r="CI230" s="1169"/>
      <c r="CJ230" s="1169"/>
      <c r="CK230" s="1169"/>
      <c r="CL230" s="1169"/>
      <c r="CM230" s="1169"/>
      <c r="CN230" s="1169"/>
      <c r="CO230" s="1169"/>
      <c r="CP230" s="1169"/>
      <c r="CQ230" s="1169"/>
      <c r="CR230" s="1169"/>
      <c r="CS230" s="1169"/>
      <c r="CT230" s="1169"/>
      <c r="CU230" s="1169"/>
      <c r="CV230" s="1169"/>
      <c r="CW230" s="1169"/>
      <c r="CX230" s="1169"/>
      <c r="CY230" s="1169"/>
      <c r="CZ230" s="1169"/>
      <c r="DA230" s="1168"/>
      <c r="DB230" s="1168"/>
      <c r="DC230" s="1168"/>
      <c r="DD230" s="1168"/>
      <c r="DE230" s="1168"/>
      <c r="DF230" s="1168"/>
      <c r="DG230" s="1168"/>
      <c r="DH230" s="1168"/>
      <c r="DI230" s="1168"/>
      <c r="DJ230" s="1168"/>
      <c r="DK230" s="1168"/>
      <c r="DL230" s="1168"/>
      <c r="DM230" s="1168"/>
      <c r="DN230" s="1168"/>
      <c r="DO230" s="1168"/>
      <c r="DP230" s="1168"/>
      <c r="DQ230" s="1168"/>
      <c r="DR230" s="1168"/>
      <c r="DS230" s="1168"/>
      <c r="DT230" s="1168"/>
      <c r="DU230" s="1168"/>
      <c r="DV230" s="1168"/>
      <c r="DW230" s="1168"/>
      <c r="DX230" s="1168"/>
      <c r="DY230" s="1168"/>
      <c r="DZ230" s="1168"/>
      <c r="EA230" s="1168"/>
      <c r="EB230" s="1168"/>
      <c r="EC230" s="1168"/>
      <c r="ED230" s="1168"/>
      <c r="EE230" s="1168"/>
      <c r="EF230" s="1168"/>
      <c r="EG230" s="1168"/>
      <c r="EH230" s="1168"/>
      <c r="EI230" s="1170"/>
      <c r="EJ230" s="1170"/>
      <c r="EK230" s="1170"/>
      <c r="EL230" s="1170"/>
      <c r="EM230" s="1170"/>
      <c r="EN230" s="1170"/>
      <c r="EO230" s="1170"/>
      <c r="EP230" s="1170"/>
      <c r="EQ230" s="1170"/>
      <c r="ER230" s="1170"/>
      <c r="ES230" s="1171"/>
      <c r="ET230" s="1171"/>
      <c r="EU230" s="1171"/>
      <c r="EV230" s="1171"/>
      <c r="EW230" s="1171"/>
      <c r="EX230" s="1171"/>
      <c r="EY230" s="1171"/>
      <c r="EZ230" s="1171"/>
      <c r="FA230" s="1171"/>
      <c r="FB230" s="1171"/>
      <c r="FC230" s="1171"/>
      <c r="FD230" s="1171"/>
      <c r="FE230" s="1171"/>
      <c r="FF230" s="1171"/>
      <c r="FG230" s="1171"/>
      <c r="FH230" s="1171"/>
      <c r="FI230" s="1171"/>
      <c r="FJ230" s="1171"/>
      <c r="FK230" s="1171"/>
      <c r="FL230" s="1171"/>
      <c r="FM230" s="1171"/>
      <c r="FN230" s="1171"/>
      <c r="FO230" s="1171"/>
      <c r="FP230" s="1171"/>
    </row>
    <row r="231" spans="1:172" s="607" customFormat="1">
      <c r="A231" s="607">
        <f t="shared" si="6"/>
        <v>1989</v>
      </c>
      <c r="B231" s="607">
        <f t="shared" si="7"/>
        <v>3</v>
      </c>
      <c r="C231" s="666">
        <v>32690</v>
      </c>
      <c r="D231" s="1709">
        <v>0.75712857142857148</v>
      </c>
      <c r="E231" s="1117">
        <v>248.68645057142857</v>
      </c>
      <c r="F231" s="1117">
        <v>328.46</v>
      </c>
      <c r="G231" s="1117"/>
      <c r="H231" s="1117"/>
      <c r="I231" s="959">
        <v>375.44</v>
      </c>
      <c r="J231" s="959">
        <v>497.02</v>
      </c>
      <c r="K231" s="960"/>
      <c r="L231" s="1121"/>
      <c r="M231" s="916">
        <v>12168.8</v>
      </c>
      <c r="N231" s="916">
        <v>16072.303251004734</v>
      </c>
      <c r="O231" s="1174">
        <v>2500.3000000000002</v>
      </c>
      <c r="P231" s="1174">
        <v>3302.3453272703259</v>
      </c>
      <c r="Q231" s="1174">
        <v>690.15</v>
      </c>
      <c r="R231" s="1174">
        <v>911.53606671823991</v>
      </c>
      <c r="S231" s="1174">
        <v>1669.1</v>
      </c>
      <c r="T231" s="1174">
        <v>2204.5132927036357</v>
      </c>
      <c r="U231" s="1120">
        <v>416.42071428571433</v>
      </c>
      <c r="V231" s="1120">
        <v>550</v>
      </c>
      <c r="W231" s="1120">
        <v>2182.6764470999315</v>
      </c>
      <c r="X231" s="1120">
        <v>2882.8346062566311</v>
      </c>
      <c r="Y231" s="1119"/>
      <c r="Z231" s="1119"/>
      <c r="AA231" s="1119"/>
      <c r="AB231" s="1119"/>
      <c r="AC231" s="1178"/>
      <c r="AD231" s="1178">
        <v>7.0972886762360448</v>
      </c>
      <c r="AE231" s="1178"/>
      <c r="AF231" s="1178"/>
      <c r="AG231" s="1178"/>
      <c r="AH231" s="1178"/>
      <c r="AI231" s="1178"/>
      <c r="AJ231" s="1178"/>
      <c r="AK231" s="919">
        <v>18.28</v>
      </c>
      <c r="AL231" s="919">
        <v>24.143851770788128</v>
      </c>
      <c r="AM231" s="919">
        <v>19.100000000000001</v>
      </c>
      <c r="AN231" s="919">
        <v>25.226891073416478</v>
      </c>
      <c r="AO231" s="919"/>
      <c r="AP231" s="919"/>
      <c r="AS231" s="1167"/>
      <c r="AT231" s="1167"/>
      <c r="AU231" s="1168"/>
      <c r="AV231" s="1168"/>
      <c r="AW231" s="1169"/>
      <c r="AX231" s="1169"/>
      <c r="AY231" s="1169"/>
      <c r="AZ231" s="1169"/>
      <c r="BA231" s="1799" t="s">
        <v>280</v>
      </c>
      <c r="BB231" s="1802">
        <v>2013</v>
      </c>
      <c r="BC231" s="1799" t="s">
        <v>42</v>
      </c>
      <c r="BD231" s="1799">
        <v>7</v>
      </c>
      <c r="BE231" s="1800">
        <v>34536190</v>
      </c>
      <c r="BF231" s="1801">
        <v>4.1000000000000002E-2</v>
      </c>
      <c r="BG231" s="1799"/>
      <c r="BH231" s="1799" t="s">
        <v>3</v>
      </c>
      <c r="BI231" s="1799" t="s">
        <v>313</v>
      </c>
      <c r="BJ231" s="1799" t="s">
        <v>447</v>
      </c>
      <c r="BK231" s="1799">
        <v>6</v>
      </c>
      <c r="BL231" s="1800">
        <v>119545095.16</v>
      </c>
      <c r="BM231" s="1801">
        <v>4.6657250960013087E-2</v>
      </c>
      <c r="BN231" s="1799">
        <v>2008</v>
      </c>
      <c r="BO231" s="1684"/>
      <c r="BP231" s="1696"/>
      <c r="BQ231" s="1169"/>
      <c r="BR231" s="1169"/>
      <c r="BS231" s="1169"/>
      <c r="BT231" s="1169"/>
      <c r="BU231" s="1169"/>
      <c r="BV231" s="1169"/>
      <c r="BW231" s="1169"/>
      <c r="BX231" s="1169"/>
      <c r="BY231" s="1169"/>
      <c r="BZ231" s="1169"/>
      <c r="CA231" s="1169"/>
      <c r="CB231" s="1169"/>
      <c r="CC231" s="1169"/>
      <c r="CD231" s="1169"/>
      <c r="CE231" s="1169"/>
      <c r="CF231" s="1169"/>
      <c r="CG231" s="1169"/>
      <c r="CH231" s="1169"/>
      <c r="CI231" s="1169"/>
      <c r="CJ231" s="1169"/>
      <c r="CK231" s="1169"/>
      <c r="CL231" s="1169"/>
      <c r="CM231" s="1169"/>
      <c r="CN231" s="1169"/>
      <c r="CO231" s="1169"/>
      <c r="CP231" s="1169"/>
      <c r="CQ231" s="1169"/>
      <c r="CR231" s="1169"/>
      <c r="CS231" s="1169"/>
      <c r="CT231" s="1169"/>
      <c r="CU231" s="1169"/>
      <c r="CV231" s="1169"/>
      <c r="CW231" s="1169"/>
      <c r="CX231" s="1169"/>
      <c r="CY231" s="1169"/>
      <c r="CZ231" s="1169"/>
      <c r="DA231" s="1168"/>
      <c r="DB231" s="1168"/>
      <c r="DC231" s="1168"/>
      <c r="DD231" s="1168"/>
      <c r="DE231" s="1168"/>
      <c r="DF231" s="1168"/>
      <c r="DG231" s="1168"/>
      <c r="DH231" s="1168"/>
      <c r="DI231" s="1168"/>
      <c r="DJ231" s="1168"/>
      <c r="DK231" s="1168"/>
      <c r="DL231" s="1168"/>
      <c r="DM231" s="1168"/>
      <c r="DN231" s="1168"/>
      <c r="DO231" s="1168"/>
      <c r="DP231" s="1168"/>
      <c r="DQ231" s="1168"/>
      <c r="DR231" s="1168"/>
      <c r="DS231" s="1168"/>
      <c r="DT231" s="1168"/>
      <c r="DU231" s="1168"/>
      <c r="DV231" s="1168"/>
      <c r="DW231" s="1168"/>
      <c r="DX231" s="1168"/>
      <c r="DY231" s="1168"/>
      <c r="DZ231" s="1168"/>
      <c r="EA231" s="1168"/>
      <c r="EB231" s="1168"/>
      <c r="EC231" s="1168"/>
      <c r="ED231" s="1168"/>
      <c r="EE231" s="1168"/>
      <c r="EF231" s="1168"/>
      <c r="EG231" s="1168"/>
      <c r="EH231" s="1168"/>
      <c r="EI231" s="1170"/>
      <c r="EJ231" s="1170"/>
      <c r="EK231" s="1170"/>
      <c r="EL231" s="1170"/>
      <c r="EM231" s="1170"/>
      <c r="EN231" s="1170"/>
      <c r="EO231" s="1170"/>
      <c r="EP231" s="1170"/>
      <c r="EQ231" s="1170"/>
      <c r="ER231" s="1170"/>
      <c r="ES231" s="1171"/>
      <c r="ET231" s="1171"/>
      <c r="EU231" s="1171"/>
      <c r="EV231" s="1171"/>
      <c r="EW231" s="1171"/>
      <c r="EX231" s="1171"/>
      <c r="EY231" s="1171"/>
      <c r="EZ231" s="1171"/>
      <c r="FA231" s="1171"/>
      <c r="FB231" s="1171"/>
      <c r="FC231" s="1171"/>
      <c r="FD231" s="1171"/>
      <c r="FE231" s="1171"/>
      <c r="FF231" s="1171"/>
      <c r="FG231" s="1171"/>
      <c r="FH231" s="1171"/>
      <c r="FI231" s="1171"/>
      <c r="FJ231" s="1171"/>
      <c r="FK231" s="1171"/>
      <c r="FL231" s="1171"/>
      <c r="FM231" s="1171"/>
      <c r="FN231" s="1171"/>
      <c r="FO231" s="1171"/>
      <c r="FP231" s="1171"/>
    </row>
    <row r="232" spans="1:172" s="607" customFormat="1">
      <c r="A232" s="607">
        <f t="shared" si="6"/>
        <v>1989</v>
      </c>
      <c r="B232" s="607">
        <f t="shared" si="7"/>
        <v>3</v>
      </c>
      <c r="C232" s="666">
        <v>32721</v>
      </c>
      <c r="D232" s="957">
        <v>0.76210869565217398</v>
      </c>
      <c r="E232" s="920">
        <v>218.77092217391308</v>
      </c>
      <c r="F232" s="920">
        <v>287.06</v>
      </c>
      <c r="G232" s="920"/>
      <c r="H232" s="920"/>
      <c r="I232" s="954">
        <v>366.05</v>
      </c>
      <c r="J232" s="954">
        <v>481.72</v>
      </c>
      <c r="K232" s="954"/>
      <c r="L232" s="920"/>
      <c r="M232" s="917">
        <v>12747.5</v>
      </c>
      <c r="N232" s="917">
        <v>16726.616652879595</v>
      </c>
      <c r="O232" s="1175">
        <v>2772.3</v>
      </c>
      <c r="P232" s="1175">
        <v>3637.6700801551756</v>
      </c>
      <c r="Q232" s="1175">
        <v>701.58</v>
      </c>
      <c r="R232" s="1175">
        <v>920.57734546595543</v>
      </c>
      <c r="S232" s="1175">
        <v>1812.3</v>
      </c>
      <c r="T232" s="1175">
        <v>2378.0072453432977</v>
      </c>
      <c r="U232" s="920">
        <v>419.15978260869571</v>
      </c>
      <c r="V232" s="920">
        <v>550</v>
      </c>
      <c r="W232" s="920">
        <v>2341.1956643313229</v>
      </c>
      <c r="X232" s="920">
        <v>3071.9970493550745</v>
      </c>
      <c r="Y232" s="920"/>
      <c r="Z232" s="920"/>
      <c r="AA232" s="920"/>
      <c r="AB232" s="920"/>
      <c r="AC232" s="920"/>
      <c r="AD232" s="920">
        <v>7.0010449320794157</v>
      </c>
      <c r="AE232" s="920"/>
      <c r="AF232" s="920"/>
      <c r="AG232" s="920"/>
      <c r="AH232" s="920"/>
      <c r="AI232" s="920"/>
      <c r="AJ232" s="920"/>
      <c r="AK232" s="920">
        <v>16.3</v>
      </c>
      <c r="AL232" s="920">
        <v>21.388025216076674</v>
      </c>
      <c r="AM232" s="920">
        <v>18.399999999999999</v>
      </c>
      <c r="AN232" s="920">
        <v>24.143537667227655</v>
      </c>
      <c r="AO232" s="920"/>
      <c r="AP232" s="920"/>
      <c r="AS232" s="1167"/>
      <c r="AT232" s="1167"/>
      <c r="AU232" s="1168"/>
      <c r="AV232" s="1168"/>
      <c r="AW232" s="1169"/>
      <c r="AX232" s="1169"/>
      <c r="AY232" s="1169"/>
      <c r="AZ232" s="1169"/>
      <c r="BA232" s="1799" t="s">
        <v>280</v>
      </c>
      <c r="BB232" s="1802">
        <v>2013</v>
      </c>
      <c r="BC232" s="1799" t="s">
        <v>21</v>
      </c>
      <c r="BD232" s="1799">
        <v>8</v>
      </c>
      <c r="BE232" s="1800">
        <v>31212475</v>
      </c>
      <c r="BF232" s="1801">
        <v>3.6999999999999998E-2</v>
      </c>
      <c r="BG232" s="1799"/>
      <c r="BH232" s="1799" t="s">
        <v>3</v>
      </c>
      <c r="BI232" s="1799" t="s">
        <v>313</v>
      </c>
      <c r="BJ232" s="1799" t="s">
        <v>42</v>
      </c>
      <c r="BK232" s="1799">
        <v>7</v>
      </c>
      <c r="BL232" s="1800">
        <v>100771927.95999998</v>
      </c>
      <c r="BM232" s="1801">
        <v>3.9330272197794773E-2</v>
      </c>
      <c r="BN232" s="1799">
        <v>2008</v>
      </c>
      <c r="BO232" s="1684"/>
      <c r="BP232" s="1696"/>
      <c r="BQ232" s="1169"/>
      <c r="BR232" s="1169"/>
      <c r="BS232" s="1169"/>
      <c r="BT232" s="1169"/>
      <c r="BU232" s="1169"/>
      <c r="BV232" s="1169"/>
      <c r="BW232" s="1169"/>
      <c r="BX232" s="1169"/>
      <c r="BY232" s="1169"/>
      <c r="BZ232" s="1169"/>
      <c r="CA232" s="1169"/>
      <c r="CB232" s="1169"/>
      <c r="CC232" s="1169"/>
      <c r="CD232" s="1169"/>
      <c r="CE232" s="1169"/>
      <c r="CF232" s="1169"/>
      <c r="CG232" s="1169"/>
      <c r="CH232" s="1169"/>
      <c r="CI232" s="1169"/>
      <c r="CJ232" s="1169"/>
      <c r="CK232" s="1169"/>
      <c r="CL232" s="1169"/>
      <c r="CM232" s="1169"/>
      <c r="CN232" s="1169"/>
      <c r="CO232" s="1169"/>
      <c r="CP232" s="1169"/>
      <c r="CQ232" s="1169"/>
      <c r="CR232" s="1169"/>
      <c r="CS232" s="1169"/>
      <c r="CT232" s="1169"/>
      <c r="CU232" s="1169"/>
      <c r="CV232" s="1169"/>
      <c r="CW232" s="1169"/>
      <c r="CX232" s="1169"/>
      <c r="CY232" s="1169"/>
      <c r="CZ232" s="1169"/>
      <c r="DA232" s="1168"/>
      <c r="DB232" s="1168"/>
      <c r="DC232" s="1168"/>
      <c r="DD232" s="1168"/>
      <c r="DE232" s="1168"/>
      <c r="DF232" s="1168"/>
      <c r="DG232" s="1168"/>
      <c r="DH232" s="1168"/>
      <c r="DI232" s="1168"/>
      <c r="DJ232" s="1168"/>
      <c r="DK232" s="1168"/>
      <c r="DL232" s="1168"/>
      <c r="DM232" s="1168"/>
      <c r="DN232" s="1168"/>
      <c r="DO232" s="1168"/>
      <c r="DP232" s="1168"/>
      <c r="DQ232" s="1168"/>
      <c r="DR232" s="1168"/>
      <c r="DS232" s="1168"/>
      <c r="DT232" s="1168"/>
      <c r="DU232" s="1168"/>
      <c r="DV232" s="1168"/>
      <c r="DW232" s="1168"/>
      <c r="DX232" s="1168"/>
      <c r="DY232" s="1168"/>
      <c r="DZ232" s="1168"/>
      <c r="EA232" s="1168"/>
      <c r="EB232" s="1168"/>
      <c r="EC232" s="1168"/>
      <c r="ED232" s="1168"/>
      <c r="EE232" s="1168"/>
      <c r="EF232" s="1168"/>
      <c r="EG232" s="1168"/>
      <c r="EH232" s="1168"/>
      <c r="EI232" s="1170"/>
      <c r="EJ232" s="1170"/>
      <c r="EK232" s="1170"/>
      <c r="EL232" s="1170"/>
      <c r="EM232" s="1170"/>
      <c r="EN232" s="1170"/>
      <c r="EO232" s="1170"/>
      <c r="EP232" s="1170"/>
      <c r="EQ232" s="1170"/>
      <c r="ER232" s="1170"/>
      <c r="ES232" s="1171"/>
      <c r="ET232" s="1171"/>
      <c r="EU232" s="1171"/>
      <c r="EV232" s="1171"/>
      <c r="EW232" s="1171"/>
      <c r="EX232" s="1171"/>
      <c r="EY232" s="1171"/>
      <c r="EZ232" s="1171"/>
      <c r="FA232" s="1171"/>
      <c r="FB232" s="1171"/>
      <c r="FC232" s="1171"/>
      <c r="FD232" s="1171"/>
      <c r="FE232" s="1171"/>
      <c r="FF232" s="1171"/>
      <c r="FG232" s="1171"/>
      <c r="FH232" s="1171"/>
      <c r="FI232" s="1171"/>
      <c r="FJ232" s="1171"/>
      <c r="FK232" s="1171"/>
      <c r="FL232" s="1171"/>
      <c r="FM232" s="1171"/>
      <c r="FN232" s="1171"/>
      <c r="FO232" s="1171"/>
      <c r="FP232" s="1171"/>
    </row>
    <row r="233" spans="1:172" s="607" customFormat="1">
      <c r="A233" s="607">
        <f t="shared" si="6"/>
        <v>1989</v>
      </c>
      <c r="B233" s="607">
        <f t="shared" si="7"/>
        <v>3</v>
      </c>
      <c r="C233" s="666">
        <v>32752</v>
      </c>
      <c r="D233" s="1709">
        <v>0.77211904761904748</v>
      </c>
      <c r="E233" s="1117">
        <v>251.67992476190472</v>
      </c>
      <c r="F233" s="1117">
        <v>325.95999999999998</v>
      </c>
      <c r="G233" s="1117"/>
      <c r="H233" s="1117"/>
      <c r="I233" s="959">
        <v>361.86</v>
      </c>
      <c r="J233" s="959">
        <v>470.25</v>
      </c>
      <c r="K233" s="960"/>
      <c r="L233" s="1121"/>
      <c r="M233" s="916">
        <v>11075</v>
      </c>
      <c r="N233" s="916">
        <v>14343.643035554598</v>
      </c>
      <c r="O233" s="1174">
        <v>2885.9</v>
      </c>
      <c r="P233" s="1174">
        <v>3737.6360664837034</v>
      </c>
      <c r="Q233" s="1174">
        <v>728.85</v>
      </c>
      <c r="R233" s="1174">
        <v>943.96065250239008</v>
      </c>
      <c r="S233" s="1174">
        <v>1667.1</v>
      </c>
      <c r="T233" s="1174">
        <v>2159.1230071849272</v>
      </c>
      <c r="U233" s="1120">
        <v>424.66547619047611</v>
      </c>
      <c r="V233" s="1120">
        <v>550</v>
      </c>
      <c r="W233" s="1120">
        <v>2263.728773072341</v>
      </c>
      <c r="X233" s="1120">
        <v>2931.8390474278681</v>
      </c>
      <c r="Y233" s="1119"/>
      <c r="Z233" s="1119"/>
      <c r="AA233" s="1119"/>
      <c r="AB233" s="1119"/>
      <c r="AC233" s="1178"/>
      <c r="AD233" s="1178">
        <v>6.8134981968057708</v>
      </c>
      <c r="AE233" s="1178"/>
      <c r="AF233" s="1178"/>
      <c r="AG233" s="1178"/>
      <c r="AH233" s="1178"/>
      <c r="AI233" s="1178"/>
      <c r="AJ233" s="1178"/>
      <c r="AK233" s="919">
        <v>18.23</v>
      </c>
      <c r="AL233" s="919">
        <v>23.61034876191064</v>
      </c>
      <c r="AM233" s="919">
        <v>17.600000000000001</v>
      </c>
      <c r="AN233" s="919">
        <v>22.794412408646586</v>
      </c>
      <c r="AO233" s="919"/>
      <c r="AP233" s="919"/>
      <c r="AS233" s="1167"/>
      <c r="AT233" s="1167"/>
      <c r="AU233" s="1168"/>
      <c r="AV233" s="1168"/>
      <c r="AW233" s="1169"/>
      <c r="AX233" s="1169"/>
      <c r="AY233" s="1169"/>
      <c r="AZ233" s="1169"/>
      <c r="BA233" s="1799" t="s">
        <v>280</v>
      </c>
      <c r="BB233" s="1802">
        <v>2013</v>
      </c>
      <c r="BC233" s="1799" t="s">
        <v>20</v>
      </c>
      <c r="BD233" s="1799">
        <v>9</v>
      </c>
      <c r="BE233" s="1800">
        <v>24921572</v>
      </c>
      <c r="BF233" s="1801">
        <v>2.9000000000000001E-2</v>
      </c>
      <c r="BG233" s="1799"/>
      <c r="BH233" s="1799" t="s">
        <v>3</v>
      </c>
      <c r="BI233" s="1799" t="s">
        <v>313</v>
      </c>
      <c r="BJ233" s="1799" t="s">
        <v>581</v>
      </c>
      <c r="BK233" s="1799">
        <v>8</v>
      </c>
      <c r="BL233" s="1800">
        <v>89570929.170000017</v>
      </c>
      <c r="BM233" s="1801">
        <v>3.4958634776381801E-2</v>
      </c>
      <c r="BN233" s="1799">
        <v>2008</v>
      </c>
      <c r="BO233" s="1684"/>
      <c r="BP233" s="1696"/>
      <c r="BQ233" s="1169"/>
      <c r="BR233" s="1169"/>
      <c r="BS233" s="1169"/>
      <c r="BT233" s="1169"/>
      <c r="BU233" s="1169"/>
      <c r="BV233" s="1169"/>
      <c r="BW233" s="1169"/>
      <c r="BX233" s="1169"/>
      <c r="BY233" s="1169"/>
      <c r="BZ233" s="1169"/>
      <c r="CA233" s="1169"/>
      <c r="CB233" s="1169"/>
      <c r="CC233" s="1169"/>
      <c r="CD233" s="1169"/>
      <c r="CE233" s="1169"/>
      <c r="CF233" s="1169"/>
      <c r="CG233" s="1169"/>
      <c r="CH233" s="1169"/>
      <c r="CI233" s="1169"/>
      <c r="CJ233" s="1169"/>
      <c r="CK233" s="1169"/>
      <c r="CL233" s="1169"/>
      <c r="CM233" s="1169"/>
      <c r="CN233" s="1169"/>
      <c r="CO233" s="1169"/>
      <c r="CP233" s="1169"/>
      <c r="CQ233" s="1169"/>
      <c r="CR233" s="1169"/>
      <c r="CS233" s="1169"/>
      <c r="CT233" s="1169"/>
      <c r="CU233" s="1169"/>
      <c r="CV233" s="1169"/>
      <c r="CW233" s="1169"/>
      <c r="CX233" s="1169"/>
      <c r="CY233" s="1169"/>
      <c r="CZ233" s="1169"/>
      <c r="DA233" s="1168"/>
      <c r="DB233" s="1168"/>
      <c r="DC233" s="1168"/>
      <c r="DD233" s="1168"/>
      <c r="DE233" s="1168"/>
      <c r="DF233" s="1168"/>
      <c r="DG233" s="1168"/>
      <c r="DH233" s="1168"/>
      <c r="DI233" s="1168"/>
      <c r="DJ233" s="1168"/>
      <c r="DK233" s="1168"/>
      <c r="DL233" s="1168"/>
      <c r="DM233" s="1168"/>
      <c r="DN233" s="1168"/>
      <c r="DO233" s="1168"/>
      <c r="DP233" s="1168"/>
      <c r="DQ233" s="1168"/>
      <c r="DR233" s="1168"/>
      <c r="DS233" s="1168"/>
      <c r="DT233" s="1168"/>
      <c r="DU233" s="1168"/>
      <c r="DV233" s="1168"/>
      <c r="DW233" s="1168"/>
      <c r="DX233" s="1168"/>
      <c r="DY233" s="1168"/>
      <c r="DZ233" s="1168"/>
      <c r="EA233" s="1168"/>
      <c r="EB233" s="1168"/>
      <c r="EC233" s="1168"/>
      <c r="ED233" s="1168"/>
      <c r="EE233" s="1168"/>
      <c r="EF233" s="1168"/>
      <c r="EG233" s="1168"/>
      <c r="EH233" s="1168"/>
      <c r="EI233" s="1170"/>
      <c r="EJ233" s="1170"/>
      <c r="EK233" s="1170"/>
      <c r="EL233" s="1170"/>
      <c r="EM233" s="1170"/>
      <c r="EN233" s="1170"/>
      <c r="EO233" s="1170"/>
      <c r="EP233" s="1170"/>
      <c r="EQ233" s="1170"/>
      <c r="ER233" s="1170"/>
      <c r="ES233" s="1171"/>
      <c r="ET233" s="1171"/>
      <c r="EU233" s="1171"/>
      <c r="EV233" s="1171"/>
      <c r="EW233" s="1171"/>
      <c r="EX233" s="1171"/>
      <c r="EY233" s="1171"/>
      <c r="EZ233" s="1171"/>
      <c r="FA233" s="1171"/>
      <c r="FB233" s="1171"/>
      <c r="FC233" s="1171"/>
      <c r="FD233" s="1171"/>
      <c r="FE233" s="1171"/>
      <c r="FF233" s="1171"/>
      <c r="FG233" s="1171"/>
      <c r="FH233" s="1171"/>
      <c r="FI233" s="1171"/>
      <c r="FJ233" s="1171"/>
      <c r="FK233" s="1171"/>
      <c r="FL233" s="1171"/>
      <c r="FM233" s="1171"/>
      <c r="FN233" s="1171"/>
      <c r="FO233" s="1171"/>
      <c r="FP233" s="1171"/>
    </row>
    <row r="234" spans="1:172" s="607" customFormat="1">
      <c r="A234" s="607">
        <f t="shared" si="6"/>
        <v>1989</v>
      </c>
      <c r="B234" s="607">
        <f t="shared" si="7"/>
        <v>4</v>
      </c>
      <c r="C234" s="666">
        <v>32782</v>
      </c>
      <c r="D234" s="957">
        <v>0.77485000000000004</v>
      </c>
      <c r="E234" s="920">
        <v>230.3241625</v>
      </c>
      <c r="F234" s="920">
        <v>297.25</v>
      </c>
      <c r="G234" s="920"/>
      <c r="H234" s="920"/>
      <c r="I234" s="954">
        <v>367.18</v>
      </c>
      <c r="J234" s="954">
        <v>476.01</v>
      </c>
      <c r="K234" s="954"/>
      <c r="L234" s="920"/>
      <c r="M234" s="917">
        <v>10357.5</v>
      </c>
      <c r="N234" s="917">
        <v>13367.103310318125</v>
      </c>
      <c r="O234" s="1175">
        <v>2858.5</v>
      </c>
      <c r="P234" s="1175">
        <v>3689.1011163450989</v>
      </c>
      <c r="Q234" s="1175">
        <v>751.14</v>
      </c>
      <c r="R234" s="1175">
        <v>969.40052913467116</v>
      </c>
      <c r="S234" s="1175">
        <v>1630.6</v>
      </c>
      <c r="T234" s="1175">
        <v>2104.4073046396074</v>
      </c>
      <c r="U234" s="920">
        <v>426.16750000000002</v>
      </c>
      <c r="V234" s="920">
        <v>550</v>
      </c>
      <c r="W234" s="920">
        <v>2242.905686461781</v>
      </c>
      <c r="X234" s="920">
        <v>2894.6321048742088</v>
      </c>
      <c r="Y234" s="920"/>
      <c r="Z234" s="920"/>
      <c r="AA234" s="920"/>
      <c r="AB234" s="920"/>
      <c r="AC234" s="920"/>
      <c r="AD234" s="920">
        <v>6.8445920061294858</v>
      </c>
      <c r="AE234" s="920"/>
      <c r="AF234" s="920"/>
      <c r="AG234" s="920"/>
      <c r="AH234" s="920"/>
      <c r="AI234" s="920"/>
      <c r="AJ234" s="920"/>
      <c r="AK234" s="920">
        <v>18.23</v>
      </c>
      <c r="AL234" s="920">
        <v>23.527134284054977</v>
      </c>
      <c r="AM234" s="920">
        <v>18.5</v>
      </c>
      <c r="AN234" s="920">
        <v>23.875588823643284</v>
      </c>
      <c r="AO234" s="920"/>
      <c r="AP234" s="920"/>
      <c r="AS234" s="1167"/>
      <c r="AT234" s="1167"/>
      <c r="AU234" s="1168"/>
      <c r="AV234" s="1168"/>
      <c r="AW234" s="1169"/>
      <c r="AX234" s="1169"/>
      <c r="AY234" s="1169"/>
      <c r="AZ234" s="1169"/>
      <c r="BA234" s="1799" t="s">
        <v>280</v>
      </c>
      <c r="BB234" s="1802">
        <v>2013</v>
      </c>
      <c r="BC234" s="1799" t="s">
        <v>27</v>
      </c>
      <c r="BD234" s="1799">
        <v>10</v>
      </c>
      <c r="BE234" s="1800">
        <v>23450586</v>
      </c>
      <c r="BF234" s="1801">
        <v>2.8000000000000001E-2</v>
      </c>
      <c r="BG234" s="1799"/>
      <c r="BH234" s="1799" t="s">
        <v>3</v>
      </c>
      <c r="BI234" s="1799" t="s">
        <v>313</v>
      </c>
      <c r="BJ234" s="1799" t="s">
        <v>44</v>
      </c>
      <c r="BK234" s="1799">
        <v>9</v>
      </c>
      <c r="BL234" s="1800">
        <v>85419740.810000002</v>
      </c>
      <c r="BM234" s="1801">
        <v>3.333846761824303E-2</v>
      </c>
      <c r="BN234" s="1799">
        <v>2008</v>
      </c>
      <c r="BO234" s="1684"/>
      <c r="BP234" s="1696"/>
      <c r="BQ234" s="1169"/>
      <c r="BR234" s="1169"/>
      <c r="BS234" s="1169"/>
      <c r="BT234" s="1169"/>
      <c r="BU234" s="1169"/>
      <c r="BV234" s="1169"/>
      <c r="BW234" s="1169"/>
      <c r="BX234" s="1169"/>
      <c r="BY234" s="1169"/>
      <c r="BZ234" s="1169"/>
      <c r="CA234" s="1169"/>
      <c r="CB234" s="1169"/>
      <c r="CC234" s="1169"/>
      <c r="CD234" s="1169"/>
      <c r="CE234" s="1169"/>
      <c r="CF234" s="1169"/>
      <c r="CG234" s="1169"/>
      <c r="CH234" s="1169"/>
      <c r="CI234" s="1169"/>
      <c r="CJ234" s="1169"/>
      <c r="CK234" s="1169"/>
      <c r="CL234" s="1169"/>
      <c r="CM234" s="1169"/>
      <c r="CN234" s="1169"/>
      <c r="CO234" s="1169"/>
      <c r="CP234" s="1169"/>
      <c r="CQ234" s="1169"/>
      <c r="CR234" s="1169"/>
      <c r="CS234" s="1169"/>
      <c r="CT234" s="1169"/>
      <c r="CU234" s="1169"/>
      <c r="CV234" s="1169"/>
      <c r="CW234" s="1169"/>
      <c r="CX234" s="1169"/>
      <c r="CY234" s="1169"/>
      <c r="CZ234" s="1169"/>
      <c r="DA234" s="1168"/>
      <c r="DB234" s="1168"/>
      <c r="DC234" s="1168"/>
      <c r="DD234" s="1168"/>
      <c r="DE234" s="1168"/>
      <c r="DF234" s="1168"/>
      <c r="DG234" s="1168"/>
      <c r="DH234" s="1168"/>
      <c r="DI234" s="1168"/>
      <c r="DJ234" s="1168"/>
      <c r="DK234" s="1168"/>
      <c r="DL234" s="1168"/>
      <c r="DM234" s="1168"/>
      <c r="DN234" s="1168"/>
      <c r="DO234" s="1168"/>
      <c r="DP234" s="1168"/>
      <c r="DQ234" s="1168"/>
      <c r="DR234" s="1168"/>
      <c r="DS234" s="1168"/>
      <c r="DT234" s="1168"/>
      <c r="DU234" s="1168"/>
      <c r="DV234" s="1168"/>
      <c r="DW234" s="1168"/>
      <c r="DX234" s="1168"/>
      <c r="DY234" s="1168"/>
      <c r="DZ234" s="1168"/>
      <c r="EA234" s="1168"/>
      <c r="EB234" s="1168"/>
      <c r="EC234" s="1168"/>
      <c r="ED234" s="1168"/>
      <c r="EE234" s="1168"/>
      <c r="EF234" s="1168"/>
      <c r="EG234" s="1168"/>
      <c r="EH234" s="1168"/>
      <c r="EI234" s="1170"/>
      <c r="EJ234" s="1170"/>
      <c r="EK234" s="1170"/>
      <c r="EL234" s="1170"/>
      <c r="EM234" s="1170"/>
      <c r="EN234" s="1170"/>
      <c r="EO234" s="1170"/>
      <c r="EP234" s="1170"/>
      <c r="EQ234" s="1170"/>
      <c r="ER234" s="1170"/>
      <c r="ES234" s="1171"/>
      <c r="ET234" s="1171"/>
      <c r="EU234" s="1171"/>
      <c r="EV234" s="1171"/>
      <c r="EW234" s="1171"/>
      <c r="EX234" s="1171"/>
      <c r="EY234" s="1171"/>
      <c r="EZ234" s="1171"/>
      <c r="FA234" s="1171"/>
      <c r="FB234" s="1171"/>
      <c r="FC234" s="1171"/>
      <c r="FD234" s="1171"/>
      <c r="FE234" s="1171"/>
      <c r="FF234" s="1171"/>
      <c r="FG234" s="1171"/>
      <c r="FH234" s="1171"/>
      <c r="FI234" s="1171"/>
      <c r="FJ234" s="1171"/>
      <c r="FK234" s="1171"/>
      <c r="FL234" s="1171"/>
      <c r="FM234" s="1171"/>
      <c r="FN234" s="1171"/>
      <c r="FO234" s="1171"/>
      <c r="FP234" s="1171"/>
    </row>
    <row r="235" spans="1:172" s="607" customFormat="1">
      <c r="A235" s="607">
        <f t="shared" si="6"/>
        <v>1989</v>
      </c>
      <c r="B235" s="607">
        <f t="shared" si="7"/>
        <v>4</v>
      </c>
      <c r="C235" s="666">
        <v>32813</v>
      </c>
      <c r="D235" s="1709">
        <v>0.78262727272727273</v>
      </c>
      <c r="E235" s="1117">
        <v>252.24859627272727</v>
      </c>
      <c r="F235" s="1117">
        <v>322.31</v>
      </c>
      <c r="G235" s="1117"/>
      <c r="H235" s="1117"/>
      <c r="I235" s="959">
        <v>394.51</v>
      </c>
      <c r="J235" s="959">
        <v>505.15</v>
      </c>
      <c r="K235" s="960"/>
      <c r="L235" s="1121"/>
      <c r="M235" s="916">
        <v>9896.9</v>
      </c>
      <c r="N235" s="916">
        <v>12645.73871226289</v>
      </c>
      <c r="O235" s="1174">
        <v>2589.9</v>
      </c>
      <c r="P235" s="1174">
        <v>3309.2381140447678</v>
      </c>
      <c r="Q235" s="1174">
        <v>692.85</v>
      </c>
      <c r="R235" s="1174">
        <v>885.28731893737881</v>
      </c>
      <c r="S235" s="1174">
        <v>1450.1</v>
      </c>
      <c r="T235" s="1174">
        <v>1852.861573487902</v>
      </c>
      <c r="U235" s="1120">
        <v>430.44499999999999</v>
      </c>
      <c r="V235" s="1120">
        <v>550</v>
      </c>
      <c r="W235" s="1120">
        <v>2259.2615779672374</v>
      </c>
      <c r="X235" s="1120">
        <v>2886.7657142770404</v>
      </c>
      <c r="Y235" s="1119"/>
      <c r="Z235" s="1119"/>
      <c r="AA235" s="1119"/>
      <c r="AB235" s="1119"/>
      <c r="AC235" s="1178"/>
      <c r="AD235" s="1178">
        <v>7.1529110684580939</v>
      </c>
      <c r="AE235" s="1178"/>
      <c r="AF235" s="1178"/>
      <c r="AG235" s="1178"/>
      <c r="AH235" s="1178"/>
      <c r="AI235" s="1178"/>
      <c r="AJ235" s="1178"/>
      <c r="AK235" s="919">
        <v>18.48</v>
      </c>
      <c r="AL235" s="919">
        <v>23.612772828119738</v>
      </c>
      <c r="AM235" s="919">
        <v>19.3</v>
      </c>
      <c r="AN235" s="919">
        <v>24.660525734995179</v>
      </c>
      <c r="AO235" s="919"/>
      <c r="AP235" s="919"/>
      <c r="AS235" s="1167"/>
      <c r="AT235" s="1167"/>
      <c r="AU235" s="1168"/>
      <c r="AV235" s="1168"/>
      <c r="AW235" s="1169"/>
      <c r="AX235" s="1169"/>
      <c r="AY235" s="1169"/>
      <c r="AZ235" s="1169"/>
      <c r="BA235" s="1799" t="s">
        <v>280</v>
      </c>
      <c r="BB235" s="1802">
        <v>2013</v>
      </c>
      <c r="BC235" s="1799" t="s">
        <v>32</v>
      </c>
      <c r="BD235" s="1799"/>
      <c r="BE235" s="1800">
        <v>105014211</v>
      </c>
      <c r="BF235" s="1801">
        <v>0.123</v>
      </c>
      <c r="BG235" s="1799"/>
      <c r="BH235" s="1799" t="s">
        <v>3</v>
      </c>
      <c r="BI235" s="1799" t="s">
        <v>313</v>
      </c>
      <c r="BJ235" s="1799" t="s">
        <v>32</v>
      </c>
      <c r="BK235" s="1799"/>
      <c r="BL235" s="1800">
        <v>93825828.680000305</v>
      </c>
      <c r="BM235" s="1801">
        <v>3.6619279355584462E-2</v>
      </c>
      <c r="BN235" s="1799">
        <v>2008</v>
      </c>
      <c r="BO235" s="1684"/>
      <c r="BP235" s="1696"/>
      <c r="BQ235" s="1169"/>
      <c r="BR235" s="1169"/>
      <c r="BS235" s="1169"/>
      <c r="BT235" s="1169"/>
      <c r="BU235" s="1169"/>
      <c r="BV235" s="1169"/>
      <c r="BW235" s="1169"/>
      <c r="BX235" s="1169"/>
      <c r="BY235" s="1169"/>
      <c r="BZ235" s="1169"/>
      <c r="CA235" s="1169"/>
      <c r="CB235" s="1169"/>
      <c r="CC235" s="1169"/>
      <c r="CD235" s="1169"/>
      <c r="CE235" s="1169"/>
      <c r="CF235" s="1169"/>
      <c r="CG235" s="1169"/>
      <c r="CH235" s="1169"/>
      <c r="CI235" s="1169"/>
      <c r="CJ235" s="1169"/>
      <c r="CK235" s="1169"/>
      <c r="CL235" s="1169"/>
      <c r="CM235" s="1169"/>
      <c r="CN235" s="1169"/>
      <c r="CO235" s="1169"/>
      <c r="CP235" s="1169"/>
      <c r="CQ235" s="1169"/>
      <c r="CR235" s="1169"/>
      <c r="CS235" s="1169"/>
      <c r="CT235" s="1169"/>
      <c r="CU235" s="1169"/>
      <c r="CV235" s="1169"/>
      <c r="CW235" s="1169"/>
      <c r="CX235" s="1169"/>
      <c r="CY235" s="1169"/>
      <c r="CZ235" s="1169"/>
      <c r="DA235" s="1168"/>
      <c r="DB235" s="1168"/>
      <c r="DC235" s="1168"/>
      <c r="DD235" s="1168"/>
      <c r="DE235" s="1168"/>
      <c r="DF235" s="1168"/>
      <c r="DG235" s="1168"/>
      <c r="DH235" s="1168"/>
      <c r="DI235" s="1168"/>
      <c r="DJ235" s="1168"/>
      <c r="DK235" s="1168"/>
      <c r="DL235" s="1168"/>
      <c r="DM235" s="1168"/>
      <c r="DN235" s="1168"/>
      <c r="DO235" s="1168"/>
      <c r="DP235" s="1168"/>
      <c r="DQ235" s="1168"/>
      <c r="DR235" s="1168"/>
      <c r="DS235" s="1168"/>
      <c r="DT235" s="1168"/>
      <c r="DU235" s="1168"/>
      <c r="DV235" s="1168"/>
      <c r="DW235" s="1168"/>
      <c r="DX235" s="1168"/>
      <c r="DY235" s="1168"/>
      <c r="DZ235" s="1168"/>
      <c r="EA235" s="1168"/>
      <c r="EB235" s="1168"/>
      <c r="EC235" s="1168"/>
      <c r="ED235" s="1168"/>
      <c r="EE235" s="1168"/>
      <c r="EF235" s="1168"/>
      <c r="EG235" s="1168"/>
      <c r="EH235" s="1168"/>
      <c r="EI235" s="1170"/>
      <c r="EJ235" s="1170"/>
      <c r="EK235" s="1170"/>
      <c r="EL235" s="1170"/>
      <c r="EM235" s="1170"/>
      <c r="EN235" s="1170"/>
      <c r="EO235" s="1170"/>
      <c r="EP235" s="1170"/>
      <c r="EQ235" s="1170"/>
      <c r="ER235" s="1170"/>
      <c r="ES235" s="1171"/>
      <c r="ET235" s="1171"/>
      <c r="EU235" s="1171"/>
      <c r="EV235" s="1171"/>
      <c r="EW235" s="1171"/>
      <c r="EX235" s="1171"/>
      <c r="EY235" s="1171"/>
      <c r="EZ235" s="1171"/>
      <c r="FA235" s="1171"/>
      <c r="FB235" s="1171"/>
      <c r="FC235" s="1171"/>
      <c r="FD235" s="1171"/>
      <c r="FE235" s="1171"/>
      <c r="FF235" s="1171"/>
      <c r="FG235" s="1171"/>
      <c r="FH235" s="1171"/>
      <c r="FI235" s="1171"/>
      <c r="FJ235" s="1171"/>
      <c r="FK235" s="1171"/>
      <c r="FL235" s="1171"/>
      <c r="FM235" s="1171"/>
      <c r="FN235" s="1171"/>
      <c r="FO235" s="1171"/>
      <c r="FP235" s="1171"/>
    </row>
    <row r="236" spans="1:172" s="607" customFormat="1">
      <c r="A236" s="607">
        <f t="shared" si="6"/>
        <v>1989</v>
      </c>
      <c r="B236" s="607">
        <f t="shared" si="7"/>
        <v>4</v>
      </c>
      <c r="C236" s="666">
        <v>32843</v>
      </c>
      <c r="D236" s="957">
        <v>0.78585789473684209</v>
      </c>
      <c r="E236" s="920">
        <v>261.18772989473683</v>
      </c>
      <c r="F236" s="920">
        <v>332.36</v>
      </c>
      <c r="G236" s="920"/>
      <c r="H236" s="920"/>
      <c r="I236" s="954">
        <v>409.74</v>
      </c>
      <c r="J236" s="954">
        <v>523.1</v>
      </c>
      <c r="K236" s="954"/>
      <c r="L236" s="920"/>
      <c r="M236" s="917">
        <v>8838.1</v>
      </c>
      <c r="N236" s="917">
        <v>11246.435340526277</v>
      </c>
      <c r="O236" s="1175">
        <v>2185.6999999999998</v>
      </c>
      <c r="P236" s="1175">
        <v>2781.2916490861476</v>
      </c>
      <c r="Q236" s="1175">
        <v>713.46</v>
      </c>
      <c r="R236" s="1175">
        <v>907.87406320949958</v>
      </c>
      <c r="S236" s="1175">
        <v>1487.5</v>
      </c>
      <c r="T236" s="1175">
        <v>1892.8358548820263</v>
      </c>
      <c r="U236" s="920">
        <v>432.22184210526314</v>
      </c>
      <c r="V236" s="920">
        <v>550</v>
      </c>
      <c r="W236" s="920">
        <v>2681.3997148559124</v>
      </c>
      <c r="X236" s="920">
        <v>3412.0669052435042</v>
      </c>
      <c r="Y236" s="920"/>
      <c r="Z236" s="920"/>
      <c r="AA236" s="920"/>
      <c r="AB236" s="920"/>
      <c r="AC236" s="920"/>
      <c r="AD236" s="920">
        <v>7.3041503721458314</v>
      </c>
      <c r="AE236" s="920"/>
      <c r="AF236" s="920"/>
      <c r="AG236" s="920"/>
      <c r="AH236" s="920"/>
      <c r="AI236" s="920"/>
      <c r="AJ236" s="920"/>
      <c r="AK236" s="920">
        <v>21.05</v>
      </c>
      <c r="AL236" s="920">
        <v>26.786013274128845</v>
      </c>
      <c r="AM236" s="920">
        <v>19.45</v>
      </c>
      <c r="AN236" s="920">
        <v>24.750021766356578</v>
      </c>
      <c r="AO236" s="920"/>
      <c r="AP236" s="920"/>
      <c r="AS236" s="1167"/>
      <c r="AT236" s="1167"/>
      <c r="AU236" s="1168"/>
      <c r="AV236" s="1168"/>
      <c r="AW236" s="1169"/>
      <c r="AX236" s="1169"/>
      <c r="AY236" s="1169"/>
      <c r="AZ236" s="1169"/>
      <c r="BA236" s="1799" t="s">
        <v>280</v>
      </c>
      <c r="BB236" s="1802">
        <v>2013</v>
      </c>
      <c r="BC236" s="1799" t="s">
        <v>249</v>
      </c>
      <c r="BD236" s="1799"/>
      <c r="BE236" s="1800">
        <v>850856127</v>
      </c>
      <c r="BF236" s="1801"/>
      <c r="BG236" s="1799"/>
      <c r="BH236" s="1799" t="s">
        <v>3</v>
      </c>
      <c r="BI236" s="1799" t="s">
        <v>313</v>
      </c>
      <c r="BJ236" s="1799" t="s">
        <v>249</v>
      </c>
      <c r="BK236" s="1799"/>
      <c r="BL236" s="1800">
        <v>2562197572.73</v>
      </c>
      <c r="BM236" s="1801"/>
      <c r="BN236" s="1799">
        <v>2008</v>
      </c>
      <c r="BO236" s="1684"/>
      <c r="BP236" s="1696"/>
      <c r="BQ236" s="1169"/>
      <c r="BR236" s="1169"/>
      <c r="BS236" s="1169"/>
      <c r="BT236" s="1169"/>
      <c r="BU236" s="1169"/>
      <c r="BV236" s="1169"/>
      <c r="BW236" s="1169"/>
      <c r="BX236" s="1169"/>
      <c r="BY236" s="1169"/>
      <c r="BZ236" s="1169"/>
      <c r="CA236" s="1169"/>
      <c r="CB236" s="1169"/>
      <c r="CC236" s="1169"/>
      <c r="CD236" s="1169"/>
      <c r="CE236" s="1169"/>
      <c r="CF236" s="1169"/>
      <c r="CG236" s="1169"/>
      <c r="CH236" s="1169"/>
      <c r="CI236" s="1169"/>
      <c r="CJ236" s="1169"/>
      <c r="CK236" s="1169"/>
      <c r="CL236" s="1169"/>
      <c r="CM236" s="1169"/>
      <c r="CN236" s="1169"/>
      <c r="CO236" s="1169"/>
      <c r="CP236" s="1169"/>
      <c r="CQ236" s="1169"/>
      <c r="CR236" s="1169"/>
      <c r="CS236" s="1169"/>
      <c r="CT236" s="1169"/>
      <c r="CU236" s="1169"/>
      <c r="CV236" s="1169"/>
      <c r="CW236" s="1169"/>
      <c r="CX236" s="1169"/>
      <c r="CY236" s="1169"/>
      <c r="CZ236" s="1169"/>
      <c r="DA236" s="1168"/>
      <c r="DB236" s="1168"/>
      <c r="DC236" s="1168"/>
      <c r="DD236" s="1168"/>
      <c r="DE236" s="1168"/>
      <c r="DF236" s="1168"/>
      <c r="DG236" s="1168"/>
      <c r="DH236" s="1168"/>
      <c r="DI236" s="1168"/>
      <c r="DJ236" s="1168"/>
      <c r="DK236" s="1168"/>
      <c r="DL236" s="1168"/>
      <c r="DM236" s="1168"/>
      <c r="DN236" s="1168"/>
      <c r="DO236" s="1168"/>
      <c r="DP236" s="1168"/>
      <c r="DQ236" s="1168"/>
      <c r="DR236" s="1168"/>
      <c r="DS236" s="1168"/>
      <c r="DT236" s="1168"/>
      <c r="DU236" s="1168"/>
      <c r="DV236" s="1168"/>
      <c r="DW236" s="1168"/>
      <c r="DX236" s="1168"/>
      <c r="DY236" s="1168"/>
      <c r="DZ236" s="1168"/>
      <c r="EA236" s="1168"/>
      <c r="EB236" s="1168"/>
      <c r="EC236" s="1168"/>
      <c r="ED236" s="1168"/>
      <c r="EE236" s="1168"/>
      <c r="EF236" s="1168"/>
      <c r="EG236" s="1168"/>
      <c r="EH236" s="1168"/>
      <c r="EI236" s="1170"/>
      <c r="EJ236" s="1170"/>
      <c r="EK236" s="1170"/>
      <c r="EL236" s="1170"/>
      <c r="EM236" s="1170"/>
      <c r="EN236" s="1170"/>
      <c r="EO236" s="1170"/>
      <c r="EP236" s="1170"/>
      <c r="EQ236" s="1170"/>
      <c r="ER236" s="1170"/>
      <c r="ES236" s="1171"/>
      <c r="ET236" s="1171"/>
      <c r="EU236" s="1171"/>
      <c r="EV236" s="1171"/>
      <c r="EW236" s="1171"/>
      <c r="EX236" s="1171"/>
      <c r="EY236" s="1171"/>
      <c r="EZ236" s="1171"/>
      <c r="FA236" s="1171"/>
      <c r="FB236" s="1171"/>
      <c r="FC236" s="1171"/>
      <c r="FD236" s="1171"/>
      <c r="FE236" s="1171"/>
      <c r="FF236" s="1171"/>
      <c r="FG236" s="1171"/>
      <c r="FH236" s="1171"/>
      <c r="FI236" s="1171"/>
      <c r="FJ236" s="1171"/>
      <c r="FK236" s="1171"/>
      <c r="FL236" s="1171"/>
      <c r="FM236" s="1171"/>
      <c r="FN236" s="1171"/>
      <c r="FO236" s="1171"/>
      <c r="FP236" s="1171"/>
    </row>
    <row r="237" spans="1:172" s="607" customFormat="1">
      <c r="A237" s="607">
        <f t="shared" si="6"/>
        <v>1990</v>
      </c>
      <c r="B237" s="607">
        <f t="shared" si="7"/>
        <v>1</v>
      </c>
      <c r="C237" s="666">
        <v>32874</v>
      </c>
      <c r="D237" s="1709">
        <v>0.78219545454545458</v>
      </c>
      <c r="E237" s="1117">
        <v>259.42294445454547</v>
      </c>
      <c r="F237" s="1117">
        <v>331.66</v>
      </c>
      <c r="G237" s="1117"/>
      <c r="H237" s="1117"/>
      <c r="I237" s="959">
        <v>409.37</v>
      </c>
      <c r="J237" s="959">
        <v>523.67999999999995</v>
      </c>
      <c r="K237" s="960"/>
      <c r="L237" s="1121"/>
      <c r="M237" s="916">
        <v>7208.8</v>
      </c>
      <c r="N237" s="916">
        <v>9216.1108302388966</v>
      </c>
      <c r="O237" s="1174">
        <v>2369.1999999999998</v>
      </c>
      <c r="P237" s="1174">
        <v>3028.9104676231814</v>
      </c>
      <c r="Q237" s="1174">
        <v>708.19</v>
      </c>
      <c r="R237" s="1174">
        <v>905.38751648913603</v>
      </c>
      <c r="S237" s="1174">
        <v>1296.4000000000001</v>
      </c>
      <c r="T237" s="1174">
        <v>1657.3862612808935</v>
      </c>
      <c r="U237" s="1120">
        <v>430.20750000000004</v>
      </c>
      <c r="V237" s="1120">
        <v>550</v>
      </c>
      <c r="W237" s="1120">
        <v>2367.4206321519951</v>
      </c>
      <c r="X237" s="1120">
        <v>3026.6356297451744</v>
      </c>
      <c r="Y237" s="1119"/>
      <c r="Z237" s="1119"/>
      <c r="AA237" s="1119"/>
      <c r="AB237" s="1119"/>
      <c r="AC237" s="1178"/>
      <c r="AD237" s="1178">
        <v>6.8759730150492988</v>
      </c>
      <c r="AE237" s="1178"/>
      <c r="AF237" s="1178"/>
      <c r="AG237" s="1178"/>
      <c r="AH237" s="1178"/>
      <c r="AI237" s="1178"/>
      <c r="AJ237" s="1178"/>
      <c r="AK237" s="919">
        <v>21.05</v>
      </c>
      <c r="AL237" s="919">
        <v>26.91143227396082</v>
      </c>
      <c r="AM237" s="919">
        <v>20</v>
      </c>
      <c r="AN237" s="919">
        <v>25.569056792361824</v>
      </c>
      <c r="AO237" s="919"/>
      <c r="AP237" s="919"/>
      <c r="AS237" s="1167"/>
      <c r="AT237" s="1167"/>
      <c r="AU237" s="1168"/>
      <c r="AV237" s="1168"/>
      <c r="AW237" s="1169"/>
      <c r="AX237" s="1169"/>
      <c r="AY237" s="1169"/>
      <c r="AZ237" s="1169"/>
      <c r="BA237" s="1799" t="s">
        <v>280</v>
      </c>
      <c r="BB237" s="1802">
        <v>2012</v>
      </c>
      <c r="BC237" s="1799" t="s">
        <v>15</v>
      </c>
      <c r="BD237" s="1799">
        <v>1</v>
      </c>
      <c r="BE237" s="1800">
        <v>309596224</v>
      </c>
      <c r="BF237" s="1801">
        <v>0.26900000000000002</v>
      </c>
      <c r="BG237" s="1799"/>
      <c r="BH237" s="1799" t="s">
        <v>3</v>
      </c>
      <c r="BI237" s="1799" t="s">
        <v>312</v>
      </c>
      <c r="BJ237" s="1799" t="s">
        <v>15</v>
      </c>
      <c r="BK237" s="1799">
        <v>1</v>
      </c>
      <c r="BL237" s="1800">
        <v>1687573968.4100001</v>
      </c>
      <c r="BM237" s="1801">
        <v>0.33308314254469773</v>
      </c>
      <c r="BN237" s="1799">
        <v>2007</v>
      </c>
      <c r="BO237" s="1684"/>
      <c r="BP237" s="1696"/>
      <c r="BQ237" s="1169"/>
      <c r="BR237" s="1169"/>
      <c r="BS237" s="1169"/>
      <c r="BT237" s="1169"/>
      <c r="BU237" s="1169"/>
      <c r="BV237" s="1169"/>
      <c r="BW237" s="1169"/>
      <c r="BX237" s="1169"/>
      <c r="BY237" s="1169"/>
      <c r="BZ237" s="1169"/>
      <c r="CA237" s="1169"/>
      <c r="CB237" s="1169"/>
      <c r="CC237" s="1169"/>
      <c r="CD237" s="1169"/>
      <c r="CE237" s="1169"/>
      <c r="CF237" s="1169"/>
      <c r="CG237" s="1169"/>
      <c r="CH237" s="1169"/>
      <c r="CI237" s="1169"/>
      <c r="CJ237" s="1169"/>
      <c r="CK237" s="1169"/>
      <c r="CL237" s="1169"/>
      <c r="CM237" s="1169"/>
      <c r="CN237" s="1169"/>
      <c r="CO237" s="1169"/>
      <c r="CP237" s="1169"/>
      <c r="CQ237" s="1169"/>
      <c r="CR237" s="1169"/>
      <c r="CS237" s="1169"/>
      <c r="CT237" s="1169"/>
      <c r="CU237" s="1169"/>
      <c r="CV237" s="1169"/>
      <c r="CW237" s="1169"/>
      <c r="CX237" s="1169"/>
      <c r="CY237" s="1169"/>
      <c r="CZ237" s="1169"/>
      <c r="DA237" s="1168"/>
      <c r="DB237" s="1168"/>
      <c r="DC237" s="1168"/>
      <c r="DD237" s="1168"/>
      <c r="DE237" s="1168"/>
      <c r="DF237" s="1168"/>
      <c r="DG237" s="1168"/>
      <c r="DH237" s="1168"/>
      <c r="DI237" s="1168"/>
      <c r="DJ237" s="1168"/>
      <c r="DK237" s="1168"/>
      <c r="DL237" s="1168"/>
      <c r="DM237" s="1168"/>
      <c r="DN237" s="1168"/>
      <c r="DO237" s="1168"/>
      <c r="DP237" s="1168"/>
      <c r="DQ237" s="1168"/>
      <c r="DR237" s="1168"/>
      <c r="DS237" s="1168"/>
      <c r="DT237" s="1168"/>
      <c r="DU237" s="1168"/>
      <c r="DV237" s="1168"/>
      <c r="DW237" s="1168"/>
      <c r="DX237" s="1168"/>
      <c r="DY237" s="1168"/>
      <c r="DZ237" s="1168"/>
      <c r="EA237" s="1168"/>
      <c r="EB237" s="1168"/>
      <c r="EC237" s="1168"/>
      <c r="ED237" s="1168"/>
      <c r="EE237" s="1168"/>
      <c r="EF237" s="1168"/>
      <c r="EG237" s="1168"/>
      <c r="EH237" s="1168"/>
      <c r="EI237" s="1170"/>
      <c r="EJ237" s="1170"/>
      <c r="EK237" s="1170"/>
      <c r="EL237" s="1170"/>
      <c r="EM237" s="1170"/>
      <c r="EN237" s="1170"/>
      <c r="EO237" s="1170"/>
      <c r="EP237" s="1170"/>
      <c r="EQ237" s="1170"/>
      <c r="ER237" s="1170"/>
      <c r="ES237" s="1171"/>
      <c r="ET237" s="1171"/>
      <c r="EU237" s="1171"/>
      <c r="EV237" s="1171"/>
      <c r="EW237" s="1171"/>
      <c r="EX237" s="1171"/>
      <c r="EY237" s="1171"/>
      <c r="EZ237" s="1171"/>
      <c r="FA237" s="1171"/>
      <c r="FB237" s="1171"/>
      <c r="FC237" s="1171"/>
      <c r="FD237" s="1171"/>
      <c r="FE237" s="1171"/>
      <c r="FF237" s="1171"/>
      <c r="FG237" s="1171"/>
      <c r="FH237" s="1171"/>
      <c r="FI237" s="1171"/>
      <c r="FJ237" s="1171"/>
      <c r="FK237" s="1171"/>
      <c r="FL237" s="1171"/>
      <c r="FM237" s="1171"/>
      <c r="FN237" s="1171"/>
      <c r="FO237" s="1171"/>
      <c r="FP237" s="1171"/>
    </row>
    <row r="238" spans="1:172" s="607" customFormat="1">
      <c r="A238" s="607">
        <f t="shared" si="6"/>
        <v>1990</v>
      </c>
      <c r="B238" s="607">
        <f t="shared" si="7"/>
        <v>1</v>
      </c>
      <c r="C238" s="666">
        <v>32905</v>
      </c>
      <c r="D238" s="957">
        <v>0.75976500000000013</v>
      </c>
      <c r="E238" s="920">
        <v>256.30672275000006</v>
      </c>
      <c r="F238" s="920">
        <v>337.35</v>
      </c>
      <c r="G238" s="920"/>
      <c r="H238" s="920"/>
      <c r="I238" s="954">
        <v>417.14</v>
      </c>
      <c r="J238" s="954">
        <v>550.19000000000005</v>
      </c>
      <c r="K238" s="954"/>
      <c r="L238" s="920"/>
      <c r="M238" s="917">
        <v>6770</v>
      </c>
      <c r="N238" s="917">
        <v>8910.6500036195393</v>
      </c>
      <c r="O238" s="1175">
        <v>2359.9</v>
      </c>
      <c r="P238" s="1175">
        <v>3106.0920152942022</v>
      </c>
      <c r="Q238" s="1175">
        <v>779.8</v>
      </c>
      <c r="R238" s="1175">
        <v>1026.3699959856006</v>
      </c>
      <c r="S238" s="1175">
        <v>1393.6</v>
      </c>
      <c r="T238" s="1175">
        <v>1834.2513803610323</v>
      </c>
      <c r="U238" s="920">
        <v>417.8707500000001</v>
      </c>
      <c r="V238" s="920">
        <v>550</v>
      </c>
      <c r="W238" s="920">
        <v>2281.6652682020904</v>
      </c>
      <c r="X238" s="920">
        <v>3003.1197386061349</v>
      </c>
      <c r="Y238" s="920"/>
      <c r="Z238" s="920"/>
      <c r="AA238" s="920"/>
      <c r="AB238" s="920"/>
      <c r="AC238" s="920"/>
      <c r="AD238" s="920">
        <v>7.1503818804319197</v>
      </c>
      <c r="AE238" s="920"/>
      <c r="AF238" s="920"/>
      <c r="AG238" s="920"/>
      <c r="AH238" s="920"/>
      <c r="AI238" s="920"/>
      <c r="AJ238" s="920"/>
      <c r="AK238" s="920">
        <v>19.489999999999998</v>
      </c>
      <c r="AL238" s="920">
        <v>25.6526689173626</v>
      </c>
      <c r="AM238" s="920">
        <v>21</v>
      </c>
      <c r="AN238" s="920">
        <v>27.640125565141847</v>
      </c>
      <c r="AO238" s="920"/>
      <c r="AP238" s="920"/>
      <c r="AS238" s="1167"/>
      <c r="AT238" s="1167"/>
      <c r="AU238" s="1168"/>
      <c r="AV238" s="1168"/>
      <c r="AW238" s="1169"/>
      <c r="AX238" s="1169"/>
      <c r="AY238" s="1169"/>
      <c r="AZ238" s="1169"/>
      <c r="BA238" s="1799" t="s">
        <v>280</v>
      </c>
      <c r="BB238" s="1802">
        <v>2012</v>
      </c>
      <c r="BC238" s="1799" t="s">
        <v>431</v>
      </c>
      <c r="BD238" s="1799">
        <v>2</v>
      </c>
      <c r="BE238" s="1800">
        <v>242214929</v>
      </c>
      <c r="BF238" s="1801">
        <v>0.21099999999999999</v>
      </c>
      <c r="BG238" s="1799"/>
      <c r="BH238" s="1799" t="s">
        <v>3</v>
      </c>
      <c r="BI238" s="1799" t="s">
        <v>312</v>
      </c>
      <c r="BJ238" s="1799" t="s">
        <v>45</v>
      </c>
      <c r="BK238" s="1799">
        <v>2</v>
      </c>
      <c r="BL238" s="1800">
        <v>995377094.42999983</v>
      </c>
      <c r="BM238" s="1801">
        <v>0.19646151033138326</v>
      </c>
      <c r="BN238" s="1799">
        <v>2007</v>
      </c>
      <c r="BO238" s="1684"/>
      <c r="BP238" s="1696"/>
      <c r="BQ238" s="1169"/>
      <c r="BR238" s="1169"/>
      <c r="BS238" s="1169"/>
      <c r="BT238" s="1169"/>
      <c r="BU238" s="1169"/>
      <c r="BV238" s="1169"/>
      <c r="BW238" s="1169"/>
      <c r="BX238" s="1169"/>
      <c r="BY238" s="1169"/>
      <c r="BZ238" s="1169"/>
      <c r="CA238" s="1169"/>
      <c r="CB238" s="1169"/>
      <c r="CC238" s="1169"/>
      <c r="CD238" s="1169"/>
      <c r="CE238" s="1169"/>
      <c r="CF238" s="1169"/>
      <c r="CG238" s="1169"/>
      <c r="CH238" s="1169"/>
      <c r="CI238" s="1169"/>
      <c r="CJ238" s="1169"/>
      <c r="CK238" s="1169"/>
      <c r="CL238" s="1169"/>
      <c r="CM238" s="1169"/>
      <c r="CN238" s="1169"/>
      <c r="CO238" s="1169"/>
      <c r="CP238" s="1169"/>
      <c r="CQ238" s="1169"/>
      <c r="CR238" s="1169"/>
      <c r="CS238" s="1169"/>
      <c r="CT238" s="1169"/>
      <c r="CU238" s="1169"/>
      <c r="CV238" s="1169"/>
      <c r="CW238" s="1169"/>
      <c r="CX238" s="1169"/>
      <c r="CY238" s="1169"/>
      <c r="CZ238" s="1169"/>
      <c r="DA238" s="1168"/>
      <c r="DB238" s="1168"/>
      <c r="DC238" s="1168"/>
      <c r="DD238" s="1168"/>
      <c r="DE238" s="1168"/>
      <c r="DF238" s="1168"/>
      <c r="DG238" s="1168"/>
      <c r="DH238" s="1168"/>
      <c r="DI238" s="1168"/>
      <c r="DJ238" s="1168"/>
      <c r="DK238" s="1168"/>
      <c r="DL238" s="1168"/>
      <c r="DM238" s="1168"/>
      <c r="DN238" s="1168"/>
      <c r="DO238" s="1168"/>
      <c r="DP238" s="1168"/>
      <c r="DQ238" s="1168"/>
      <c r="DR238" s="1168"/>
      <c r="DS238" s="1168"/>
      <c r="DT238" s="1168"/>
      <c r="DU238" s="1168"/>
      <c r="DV238" s="1168"/>
      <c r="DW238" s="1168"/>
      <c r="DX238" s="1168"/>
      <c r="DY238" s="1168"/>
      <c r="DZ238" s="1168"/>
      <c r="EA238" s="1168"/>
      <c r="EB238" s="1168"/>
      <c r="EC238" s="1168"/>
      <c r="ED238" s="1168"/>
      <c r="EE238" s="1168"/>
      <c r="EF238" s="1168"/>
      <c r="EG238" s="1168"/>
      <c r="EH238" s="1168"/>
      <c r="EI238" s="1170"/>
      <c r="EJ238" s="1170"/>
      <c r="EK238" s="1170"/>
      <c r="EL238" s="1170"/>
      <c r="EM238" s="1170"/>
      <c r="EN238" s="1170"/>
      <c r="EO238" s="1170"/>
      <c r="EP238" s="1170"/>
      <c r="EQ238" s="1170"/>
      <c r="ER238" s="1170"/>
      <c r="ES238" s="1171"/>
      <c r="ET238" s="1171"/>
      <c r="EU238" s="1171"/>
      <c r="EV238" s="1171"/>
      <c r="EW238" s="1171"/>
      <c r="EX238" s="1171"/>
      <c r="EY238" s="1171"/>
      <c r="EZ238" s="1171"/>
      <c r="FA238" s="1171"/>
      <c r="FB238" s="1171"/>
      <c r="FC238" s="1171"/>
      <c r="FD238" s="1171"/>
      <c r="FE238" s="1171"/>
      <c r="FF238" s="1171"/>
      <c r="FG238" s="1171"/>
      <c r="FH238" s="1171"/>
      <c r="FI238" s="1171"/>
      <c r="FJ238" s="1171"/>
      <c r="FK238" s="1171"/>
      <c r="FL238" s="1171"/>
      <c r="FM238" s="1171"/>
      <c r="FN238" s="1171"/>
      <c r="FO238" s="1171"/>
      <c r="FP238" s="1171"/>
    </row>
    <row r="239" spans="1:172" s="607" customFormat="1">
      <c r="A239" s="607">
        <f t="shared" si="6"/>
        <v>1990</v>
      </c>
      <c r="B239" s="607">
        <f t="shared" si="7"/>
        <v>1</v>
      </c>
      <c r="C239" s="666">
        <v>32933</v>
      </c>
      <c r="D239" s="1709">
        <v>0.75575909090909088</v>
      </c>
      <c r="E239" s="1117">
        <v>258.65099127272725</v>
      </c>
      <c r="F239" s="1117">
        <v>342.24</v>
      </c>
      <c r="G239" s="1117"/>
      <c r="H239" s="1117"/>
      <c r="I239" s="959">
        <v>393.86</v>
      </c>
      <c r="J239" s="959">
        <v>522.61</v>
      </c>
      <c r="K239" s="960"/>
      <c r="L239" s="1121"/>
      <c r="M239" s="916">
        <v>9196</v>
      </c>
      <c r="N239" s="916">
        <v>12167.898620892902</v>
      </c>
      <c r="O239" s="1174">
        <v>2625.7</v>
      </c>
      <c r="P239" s="1174">
        <v>3474.2552641233679</v>
      </c>
      <c r="Q239" s="1174">
        <v>1061.5999999999999</v>
      </c>
      <c r="R239" s="1174">
        <v>1404.6804236559269</v>
      </c>
      <c r="S239" s="1174">
        <v>1667.2</v>
      </c>
      <c r="T239" s="1174">
        <v>2205.9939735485696</v>
      </c>
      <c r="U239" s="1120">
        <v>457.23424999999997</v>
      </c>
      <c r="V239" s="1120">
        <v>605</v>
      </c>
      <c r="W239" s="1120">
        <v>2223.3416601852941</v>
      </c>
      <c r="X239" s="1120">
        <v>2941.8655851177009</v>
      </c>
      <c r="Y239" s="1119"/>
      <c r="Z239" s="1119"/>
      <c r="AA239" s="1119"/>
      <c r="AB239" s="1119"/>
      <c r="AC239" s="1178"/>
      <c r="AD239" s="1178">
        <v>6.9345001325908253</v>
      </c>
      <c r="AE239" s="1178"/>
      <c r="AF239" s="1178"/>
      <c r="AG239" s="1178"/>
      <c r="AH239" s="1178"/>
      <c r="AI239" s="1178"/>
      <c r="AJ239" s="1178"/>
      <c r="AK239" s="919">
        <v>18.29</v>
      </c>
      <c r="AL239" s="919">
        <v>24.20083359897033</v>
      </c>
      <c r="AM239" s="919">
        <v>20.6</v>
      </c>
      <c r="AN239" s="919">
        <v>27.257363156850129</v>
      </c>
      <c r="AO239" s="919"/>
      <c r="AP239" s="919"/>
      <c r="AS239" s="1167"/>
      <c r="AT239" s="1167"/>
      <c r="AU239" s="1168"/>
      <c r="AV239" s="1168"/>
      <c r="AW239" s="1169"/>
      <c r="AX239" s="1169"/>
      <c r="AY239" s="1169"/>
      <c r="AZ239" s="1169"/>
      <c r="BA239" s="1799" t="s">
        <v>280</v>
      </c>
      <c r="BB239" s="1802">
        <v>2012</v>
      </c>
      <c r="BC239" s="1799" t="s">
        <v>23</v>
      </c>
      <c r="BD239" s="1799">
        <v>3</v>
      </c>
      <c r="BE239" s="1800">
        <v>140002097</v>
      </c>
      <c r="BF239" s="1801">
        <v>0.122</v>
      </c>
      <c r="BG239" s="1799"/>
      <c r="BH239" s="1799" t="s">
        <v>3</v>
      </c>
      <c r="BI239" s="1799" t="s">
        <v>312</v>
      </c>
      <c r="BJ239" s="1799" t="s">
        <v>23</v>
      </c>
      <c r="BK239" s="1799">
        <v>3</v>
      </c>
      <c r="BL239" s="1800">
        <v>664375540.18999982</v>
      </c>
      <c r="BM239" s="1801">
        <v>0.1311304256279881</v>
      </c>
      <c r="BN239" s="1799">
        <v>2007</v>
      </c>
      <c r="BO239" s="1684"/>
      <c r="BP239" s="1696"/>
      <c r="BQ239" s="1169"/>
      <c r="BR239" s="1169"/>
      <c r="BS239" s="1169"/>
      <c r="BT239" s="1169"/>
      <c r="BU239" s="1169"/>
      <c r="BV239" s="1169"/>
      <c r="BW239" s="1169"/>
      <c r="BX239" s="1169"/>
      <c r="BY239" s="1169"/>
      <c r="BZ239" s="1169"/>
      <c r="CA239" s="1169"/>
      <c r="CB239" s="1169"/>
      <c r="CC239" s="1169"/>
      <c r="CD239" s="1169"/>
      <c r="CE239" s="1169"/>
      <c r="CF239" s="1169"/>
      <c r="CG239" s="1169"/>
      <c r="CH239" s="1169"/>
      <c r="CI239" s="1169"/>
      <c r="CJ239" s="1169"/>
      <c r="CK239" s="1169"/>
      <c r="CL239" s="1169"/>
      <c r="CM239" s="1169"/>
      <c r="CN239" s="1169"/>
      <c r="CO239" s="1169"/>
      <c r="CP239" s="1169"/>
      <c r="CQ239" s="1169"/>
      <c r="CR239" s="1169"/>
      <c r="CS239" s="1169"/>
      <c r="CT239" s="1169"/>
      <c r="CU239" s="1169"/>
      <c r="CV239" s="1169"/>
      <c r="CW239" s="1169"/>
      <c r="CX239" s="1169"/>
      <c r="CY239" s="1169"/>
      <c r="CZ239" s="1169"/>
      <c r="DA239" s="1168"/>
      <c r="DB239" s="1168"/>
      <c r="DC239" s="1168"/>
      <c r="DD239" s="1168"/>
      <c r="DE239" s="1168"/>
      <c r="DF239" s="1168"/>
      <c r="DG239" s="1168"/>
      <c r="DH239" s="1168"/>
      <c r="DI239" s="1168"/>
      <c r="DJ239" s="1168"/>
      <c r="DK239" s="1168"/>
      <c r="DL239" s="1168"/>
      <c r="DM239" s="1168"/>
      <c r="DN239" s="1168"/>
      <c r="DO239" s="1168"/>
      <c r="DP239" s="1168"/>
      <c r="DQ239" s="1168"/>
      <c r="DR239" s="1168"/>
      <c r="DS239" s="1168"/>
      <c r="DT239" s="1168"/>
      <c r="DU239" s="1168"/>
      <c r="DV239" s="1168"/>
      <c r="DW239" s="1168"/>
      <c r="DX239" s="1168"/>
      <c r="DY239" s="1168"/>
      <c r="DZ239" s="1168"/>
      <c r="EA239" s="1168"/>
      <c r="EB239" s="1168"/>
      <c r="EC239" s="1168"/>
      <c r="ED239" s="1168"/>
      <c r="EE239" s="1168"/>
      <c r="EF239" s="1168"/>
      <c r="EG239" s="1168"/>
      <c r="EH239" s="1168"/>
      <c r="EI239" s="1170"/>
      <c r="EJ239" s="1170"/>
      <c r="EK239" s="1170"/>
      <c r="EL239" s="1170"/>
      <c r="EM239" s="1170"/>
      <c r="EN239" s="1170"/>
      <c r="EO239" s="1170"/>
      <c r="EP239" s="1170"/>
      <c r="EQ239" s="1170"/>
      <c r="ER239" s="1170"/>
      <c r="ES239" s="1171"/>
      <c r="ET239" s="1171"/>
      <c r="EU239" s="1171"/>
      <c r="EV239" s="1171"/>
      <c r="EW239" s="1171"/>
      <c r="EX239" s="1171"/>
      <c r="EY239" s="1171"/>
      <c r="EZ239" s="1171"/>
      <c r="FA239" s="1171"/>
      <c r="FB239" s="1171"/>
      <c r="FC239" s="1171"/>
      <c r="FD239" s="1171"/>
      <c r="FE239" s="1171"/>
      <c r="FF239" s="1171"/>
      <c r="FG239" s="1171"/>
      <c r="FH239" s="1171"/>
      <c r="FI239" s="1171"/>
      <c r="FJ239" s="1171"/>
      <c r="FK239" s="1171"/>
      <c r="FL239" s="1171"/>
      <c r="FM239" s="1171"/>
      <c r="FN239" s="1171"/>
      <c r="FO239" s="1171"/>
      <c r="FP239" s="1171"/>
    </row>
    <row r="240" spans="1:172" s="607" customFormat="1">
      <c r="A240" s="607">
        <f t="shared" si="6"/>
        <v>1990</v>
      </c>
      <c r="B240" s="607">
        <f t="shared" si="7"/>
        <v>2</v>
      </c>
      <c r="C240" s="666">
        <v>32964</v>
      </c>
      <c r="D240" s="957">
        <v>0.76405000000000001</v>
      </c>
      <c r="E240" s="920">
        <v>261.96982350000002</v>
      </c>
      <c r="F240" s="920">
        <v>342.87</v>
      </c>
      <c r="G240" s="920"/>
      <c r="H240" s="920"/>
      <c r="I240" s="954">
        <v>374.59</v>
      </c>
      <c r="J240" s="954">
        <v>492.31</v>
      </c>
      <c r="K240" s="954"/>
      <c r="L240" s="920"/>
      <c r="M240" s="917">
        <v>8927.5</v>
      </c>
      <c r="N240" s="917">
        <v>11684.444735292192</v>
      </c>
      <c r="O240" s="1175">
        <v>2698.2</v>
      </c>
      <c r="P240" s="1175">
        <v>3531.4442772069888</v>
      </c>
      <c r="Q240" s="1175">
        <v>832.44</v>
      </c>
      <c r="R240" s="1175">
        <v>1089.5098488318829</v>
      </c>
      <c r="S240" s="1175">
        <v>1685</v>
      </c>
      <c r="T240" s="1175">
        <v>2205.3530528106799</v>
      </c>
      <c r="U240" s="920">
        <v>462.25024999999999</v>
      </c>
      <c r="V240" s="920">
        <v>605</v>
      </c>
      <c r="W240" s="920">
        <v>2209.3739724557522</v>
      </c>
      <c r="X240" s="920">
        <v>2891.6615044247787</v>
      </c>
      <c r="Y240" s="920"/>
      <c r="Z240" s="920"/>
      <c r="AA240" s="920"/>
      <c r="AB240" s="920"/>
      <c r="AC240" s="920"/>
      <c r="AD240" s="920">
        <v>6.8051671327740051</v>
      </c>
      <c r="AE240" s="920"/>
      <c r="AF240" s="920"/>
      <c r="AG240" s="920"/>
      <c r="AH240" s="920"/>
      <c r="AI240" s="920"/>
      <c r="AJ240" s="920"/>
      <c r="AK240" s="920">
        <v>17.190000000000001</v>
      </c>
      <c r="AL240" s="920">
        <v>22.498527583273347</v>
      </c>
      <c r="AM240" s="920">
        <v>19.5</v>
      </c>
      <c r="AN240" s="920">
        <v>25.521889928669591</v>
      </c>
      <c r="AO240" s="920"/>
      <c r="AP240" s="920"/>
      <c r="AS240" s="1167"/>
      <c r="AT240" s="1167"/>
      <c r="AU240" s="1168"/>
      <c r="AV240" s="1168"/>
      <c r="AW240" s="1169"/>
      <c r="AX240" s="1169"/>
      <c r="AY240" s="1169"/>
      <c r="AZ240" s="1169"/>
      <c r="BA240" s="1799" t="s">
        <v>280</v>
      </c>
      <c r="BB240" s="1802">
        <v>2012</v>
      </c>
      <c r="BC240" s="1799" t="s">
        <v>20</v>
      </c>
      <c r="BD240" s="1799">
        <v>4</v>
      </c>
      <c r="BE240" s="1800">
        <v>67532476</v>
      </c>
      <c r="BF240" s="1801">
        <v>5.8999999999999997E-2</v>
      </c>
      <c r="BG240" s="1799"/>
      <c r="BH240" s="1799" t="s">
        <v>3</v>
      </c>
      <c r="BI240" s="1799" t="s">
        <v>312</v>
      </c>
      <c r="BJ240" s="1799" t="s">
        <v>20</v>
      </c>
      <c r="BK240" s="1799">
        <v>4</v>
      </c>
      <c r="BL240" s="1800">
        <v>396739027.13</v>
      </c>
      <c r="BM240" s="1801">
        <v>7.8305949487412957E-2</v>
      </c>
      <c r="BN240" s="1799">
        <v>2007</v>
      </c>
      <c r="BO240" s="1684"/>
      <c r="BP240" s="1696"/>
      <c r="BQ240" s="1169"/>
      <c r="BR240" s="1169"/>
      <c r="BS240" s="1169"/>
      <c r="BT240" s="1169"/>
      <c r="BU240" s="1169"/>
      <c r="BV240" s="1169"/>
      <c r="BW240" s="1169"/>
      <c r="BX240" s="1169"/>
      <c r="BY240" s="1169"/>
      <c r="BZ240" s="1169"/>
      <c r="CA240" s="1169"/>
      <c r="CB240" s="1169"/>
      <c r="CC240" s="1169"/>
      <c r="CD240" s="1169"/>
      <c r="CE240" s="1169"/>
      <c r="CF240" s="1169"/>
      <c r="CG240" s="1169"/>
      <c r="CH240" s="1169"/>
      <c r="CI240" s="1169"/>
      <c r="CJ240" s="1169"/>
      <c r="CK240" s="1169"/>
      <c r="CL240" s="1169"/>
      <c r="CM240" s="1169"/>
      <c r="CN240" s="1169"/>
      <c r="CO240" s="1169"/>
      <c r="CP240" s="1169"/>
      <c r="CQ240" s="1169"/>
      <c r="CR240" s="1169"/>
      <c r="CS240" s="1169"/>
      <c r="CT240" s="1169"/>
      <c r="CU240" s="1169"/>
      <c r="CV240" s="1169"/>
      <c r="CW240" s="1169"/>
      <c r="CX240" s="1169"/>
      <c r="CY240" s="1169"/>
      <c r="CZ240" s="1169"/>
      <c r="DA240" s="1168"/>
      <c r="DB240" s="1168"/>
      <c r="DC240" s="1168"/>
      <c r="DD240" s="1168"/>
      <c r="DE240" s="1168"/>
      <c r="DF240" s="1168"/>
      <c r="DG240" s="1168"/>
      <c r="DH240" s="1168"/>
      <c r="DI240" s="1168"/>
      <c r="DJ240" s="1168"/>
      <c r="DK240" s="1168"/>
      <c r="DL240" s="1168"/>
      <c r="DM240" s="1168"/>
      <c r="DN240" s="1168"/>
      <c r="DO240" s="1168"/>
      <c r="DP240" s="1168"/>
      <c r="DQ240" s="1168"/>
      <c r="DR240" s="1168"/>
      <c r="DS240" s="1168"/>
      <c r="DT240" s="1168"/>
      <c r="DU240" s="1168"/>
      <c r="DV240" s="1168"/>
      <c r="DW240" s="1168"/>
      <c r="DX240" s="1168"/>
      <c r="DY240" s="1168"/>
      <c r="DZ240" s="1168"/>
      <c r="EA240" s="1168"/>
      <c r="EB240" s="1168"/>
      <c r="EC240" s="1168"/>
      <c r="ED240" s="1168"/>
      <c r="EE240" s="1168"/>
      <c r="EF240" s="1168"/>
      <c r="EG240" s="1168"/>
      <c r="EH240" s="1168"/>
      <c r="EI240" s="1170"/>
      <c r="EJ240" s="1170"/>
      <c r="EK240" s="1170"/>
      <c r="EL240" s="1170"/>
      <c r="EM240" s="1170"/>
      <c r="EN240" s="1170"/>
      <c r="EO240" s="1170"/>
      <c r="EP240" s="1170"/>
      <c r="EQ240" s="1170"/>
      <c r="ER240" s="1170"/>
      <c r="ES240" s="1171"/>
      <c r="ET240" s="1171"/>
      <c r="EU240" s="1171"/>
      <c r="EV240" s="1171"/>
      <c r="EW240" s="1171"/>
      <c r="EX240" s="1171"/>
      <c r="EY240" s="1171"/>
      <c r="EZ240" s="1171"/>
      <c r="FA240" s="1171"/>
      <c r="FB240" s="1171"/>
      <c r="FC240" s="1171"/>
      <c r="FD240" s="1171"/>
      <c r="FE240" s="1171"/>
      <c r="FF240" s="1171"/>
      <c r="FG240" s="1171"/>
      <c r="FH240" s="1171"/>
      <c r="FI240" s="1171"/>
      <c r="FJ240" s="1171"/>
      <c r="FK240" s="1171"/>
      <c r="FL240" s="1171"/>
      <c r="FM240" s="1171"/>
      <c r="FN240" s="1171"/>
      <c r="FO240" s="1171"/>
      <c r="FP240" s="1171"/>
    </row>
    <row r="241" spans="1:172" s="607" customFormat="1">
      <c r="A241" s="607">
        <f t="shared" si="6"/>
        <v>1990</v>
      </c>
      <c r="B241" s="607">
        <f t="shared" si="7"/>
        <v>2</v>
      </c>
      <c r="C241" s="666">
        <v>32994</v>
      </c>
      <c r="D241" s="1709">
        <v>0.76180000000000003</v>
      </c>
      <c r="E241" s="1117">
        <v>275.80207200000001</v>
      </c>
      <c r="F241" s="1117">
        <v>362.04</v>
      </c>
      <c r="G241" s="1117"/>
      <c r="H241" s="1117"/>
      <c r="I241" s="959">
        <v>369.9</v>
      </c>
      <c r="J241" s="959">
        <v>490.37</v>
      </c>
      <c r="K241" s="960"/>
      <c r="L241" s="1121"/>
      <c r="M241" s="916">
        <v>8834.4</v>
      </c>
      <c r="N241" s="916">
        <v>11596.744552375951</v>
      </c>
      <c r="O241" s="1174">
        <v>2742.7</v>
      </c>
      <c r="P241" s="1174">
        <v>3600.2887897085843</v>
      </c>
      <c r="Q241" s="1174">
        <v>824.93</v>
      </c>
      <c r="R241" s="1174">
        <v>1082.8695195589391</v>
      </c>
      <c r="S241" s="1174">
        <v>1772.3</v>
      </c>
      <c r="T241" s="1174">
        <v>2326.4636387503278</v>
      </c>
      <c r="U241" s="1120">
        <v>460.88900000000001</v>
      </c>
      <c r="V241" s="1120">
        <v>605</v>
      </c>
      <c r="W241" s="1120">
        <v>2223.32827418952</v>
      </c>
      <c r="X241" s="1120">
        <v>2918.5196563264899</v>
      </c>
      <c r="Y241" s="1119"/>
      <c r="Z241" s="1119"/>
      <c r="AA241" s="1119"/>
      <c r="AB241" s="1119"/>
      <c r="AC241" s="1178"/>
      <c r="AD241" s="1178">
        <v>6.8781692887790928</v>
      </c>
      <c r="AE241" s="1178"/>
      <c r="AF241" s="1178"/>
      <c r="AG241" s="1178"/>
      <c r="AH241" s="1178"/>
      <c r="AI241" s="1178"/>
      <c r="AJ241" s="1178"/>
      <c r="AK241" s="919">
        <v>17.190000000000001</v>
      </c>
      <c r="AL241" s="919">
        <v>22.564977684431611</v>
      </c>
      <c r="AM241" s="919">
        <v>17.600000000000001</v>
      </c>
      <c r="AN241" s="919">
        <v>23.103176686794434</v>
      </c>
      <c r="AO241" s="919"/>
      <c r="AP241" s="919"/>
      <c r="AS241" s="1167"/>
      <c r="AT241" s="1167"/>
      <c r="AU241" s="1168"/>
      <c r="AV241" s="1168"/>
      <c r="AW241" s="1169"/>
      <c r="AX241" s="1169"/>
      <c r="AY241" s="1169"/>
      <c r="AZ241" s="1169"/>
      <c r="BA241" s="1799" t="s">
        <v>280</v>
      </c>
      <c r="BB241" s="1802">
        <v>2012</v>
      </c>
      <c r="BC241" s="1799" t="s">
        <v>21</v>
      </c>
      <c r="BD241" s="1799">
        <v>5</v>
      </c>
      <c r="BE241" s="1800">
        <v>48647201</v>
      </c>
      <c r="BF241" s="1801">
        <v>4.2000000000000003E-2</v>
      </c>
      <c r="BG241" s="1799"/>
      <c r="BH241" s="1799" t="s">
        <v>3</v>
      </c>
      <c r="BI241" s="1799" t="s">
        <v>312</v>
      </c>
      <c r="BJ241" s="1799" t="s">
        <v>447</v>
      </c>
      <c r="BK241" s="1799">
        <v>5</v>
      </c>
      <c r="BL241" s="1800">
        <v>325244859.28999996</v>
      </c>
      <c r="BM241" s="1801">
        <v>6.4194863073700426E-2</v>
      </c>
      <c r="BN241" s="1799">
        <v>2007</v>
      </c>
      <c r="BO241" s="1684"/>
      <c r="BP241" s="1696"/>
      <c r="BQ241" s="1169"/>
      <c r="BR241" s="1169"/>
      <c r="BS241" s="1169"/>
      <c r="BT241" s="1169"/>
      <c r="BU241" s="1169"/>
      <c r="BV241" s="1169"/>
      <c r="BW241" s="1169"/>
      <c r="BX241" s="1169"/>
      <c r="BY241" s="1169"/>
      <c r="BZ241" s="1169"/>
      <c r="CA241" s="1169"/>
      <c r="CB241" s="1169"/>
      <c r="CC241" s="1169"/>
      <c r="CD241" s="1169"/>
      <c r="CE241" s="1169"/>
      <c r="CF241" s="1169"/>
      <c r="CG241" s="1169"/>
      <c r="CH241" s="1169"/>
      <c r="CI241" s="1169"/>
      <c r="CJ241" s="1169"/>
      <c r="CK241" s="1169"/>
      <c r="CL241" s="1169"/>
      <c r="CM241" s="1169"/>
      <c r="CN241" s="1169"/>
      <c r="CO241" s="1169"/>
      <c r="CP241" s="1169"/>
      <c r="CQ241" s="1169"/>
      <c r="CR241" s="1169"/>
      <c r="CS241" s="1169"/>
      <c r="CT241" s="1169"/>
      <c r="CU241" s="1169"/>
      <c r="CV241" s="1169"/>
      <c r="CW241" s="1169"/>
      <c r="CX241" s="1169"/>
      <c r="CY241" s="1169"/>
      <c r="CZ241" s="1169"/>
      <c r="DA241" s="1168"/>
      <c r="DB241" s="1168"/>
      <c r="DC241" s="1168"/>
      <c r="DD241" s="1168"/>
      <c r="DE241" s="1168"/>
      <c r="DF241" s="1168"/>
      <c r="DG241" s="1168"/>
      <c r="DH241" s="1168"/>
      <c r="DI241" s="1168"/>
      <c r="DJ241" s="1168"/>
      <c r="DK241" s="1168"/>
      <c r="DL241" s="1168"/>
      <c r="DM241" s="1168"/>
      <c r="DN241" s="1168"/>
      <c r="DO241" s="1168"/>
      <c r="DP241" s="1168"/>
      <c r="DQ241" s="1168"/>
      <c r="DR241" s="1168"/>
      <c r="DS241" s="1168"/>
      <c r="DT241" s="1168"/>
      <c r="DU241" s="1168"/>
      <c r="DV241" s="1168"/>
      <c r="DW241" s="1168"/>
      <c r="DX241" s="1168"/>
      <c r="DY241" s="1168"/>
      <c r="DZ241" s="1168"/>
      <c r="EA241" s="1168"/>
      <c r="EB241" s="1168"/>
      <c r="EC241" s="1168"/>
      <c r="ED241" s="1168"/>
      <c r="EE241" s="1168"/>
      <c r="EF241" s="1168"/>
      <c r="EG241" s="1168"/>
      <c r="EH241" s="1168"/>
      <c r="EI241" s="1170"/>
      <c r="EJ241" s="1170"/>
      <c r="EK241" s="1170"/>
      <c r="EL241" s="1170"/>
      <c r="EM241" s="1170"/>
      <c r="EN241" s="1170"/>
      <c r="EO241" s="1170"/>
      <c r="EP241" s="1170"/>
      <c r="EQ241" s="1170"/>
      <c r="ER241" s="1170"/>
      <c r="ES241" s="1171"/>
      <c r="ET241" s="1171"/>
      <c r="EU241" s="1171"/>
      <c r="EV241" s="1171"/>
      <c r="EW241" s="1171"/>
      <c r="EX241" s="1171"/>
      <c r="EY241" s="1171"/>
      <c r="EZ241" s="1171"/>
      <c r="FA241" s="1171"/>
      <c r="FB241" s="1171"/>
      <c r="FC241" s="1171"/>
      <c r="FD241" s="1171"/>
      <c r="FE241" s="1171"/>
      <c r="FF241" s="1171"/>
      <c r="FG241" s="1171"/>
      <c r="FH241" s="1171"/>
      <c r="FI241" s="1171"/>
      <c r="FJ241" s="1171"/>
      <c r="FK241" s="1171"/>
      <c r="FL241" s="1171"/>
      <c r="FM241" s="1171"/>
      <c r="FN241" s="1171"/>
      <c r="FO241" s="1171"/>
      <c r="FP241" s="1171"/>
    </row>
    <row r="242" spans="1:172" s="607" customFormat="1">
      <c r="A242" s="607">
        <f t="shared" si="6"/>
        <v>1990</v>
      </c>
      <c r="B242" s="607">
        <f t="shared" si="7"/>
        <v>2</v>
      </c>
      <c r="C242" s="666">
        <v>33025</v>
      </c>
      <c r="D242" s="957">
        <v>0.77834499999999995</v>
      </c>
      <c r="E242" s="920">
        <v>271.47116909999994</v>
      </c>
      <c r="F242" s="920">
        <v>348.78</v>
      </c>
      <c r="G242" s="920"/>
      <c r="H242" s="920"/>
      <c r="I242" s="954">
        <v>352.91</v>
      </c>
      <c r="J242" s="954">
        <v>454.68</v>
      </c>
      <c r="K242" s="954"/>
      <c r="L242" s="920"/>
      <c r="M242" s="917">
        <v>8392.5</v>
      </c>
      <c r="N242" s="917">
        <v>10782.493624292571</v>
      </c>
      <c r="O242" s="1175">
        <v>2583.5</v>
      </c>
      <c r="P242" s="1175">
        <v>3319.2221958129107</v>
      </c>
      <c r="Q242" s="1175">
        <v>837.82</v>
      </c>
      <c r="R242" s="1175">
        <v>1076.4121308674175</v>
      </c>
      <c r="S242" s="1175">
        <v>1715.7</v>
      </c>
      <c r="T242" s="1175">
        <v>2204.2924410126616</v>
      </c>
      <c r="U242" s="920">
        <v>470.89872499999996</v>
      </c>
      <c r="V242" s="920">
        <v>605</v>
      </c>
      <c r="W242" s="920">
        <v>2152.4722980190518</v>
      </c>
      <c r="X242" s="920">
        <v>2765.4475817523744</v>
      </c>
      <c r="Y242" s="920"/>
      <c r="Z242" s="920"/>
      <c r="AA242" s="920"/>
      <c r="AB242" s="920"/>
      <c r="AC242" s="920"/>
      <c r="AD242" s="920">
        <v>6.5272496831432196</v>
      </c>
      <c r="AE242" s="920"/>
      <c r="AF242" s="920"/>
      <c r="AG242" s="920"/>
      <c r="AH242" s="920"/>
      <c r="AI242" s="920"/>
      <c r="AJ242" s="920"/>
      <c r="AK242" s="920">
        <v>16.29</v>
      </c>
      <c r="AL242" s="920">
        <v>20.929022477179142</v>
      </c>
      <c r="AM242" s="920">
        <v>16</v>
      </c>
      <c r="AN242" s="920">
        <v>20.556437055547349</v>
      </c>
      <c r="AO242" s="920"/>
      <c r="AP242" s="920"/>
      <c r="AS242" s="1167"/>
      <c r="AT242" s="1167"/>
      <c r="AU242" s="1168"/>
      <c r="AV242" s="1168"/>
      <c r="AW242" s="1169"/>
      <c r="AX242" s="1169"/>
      <c r="AY242" s="1169"/>
      <c r="AZ242" s="1169"/>
      <c r="BA242" s="1799" t="s">
        <v>280</v>
      </c>
      <c r="BB242" s="1802">
        <v>2012</v>
      </c>
      <c r="BC242" s="1799" t="s">
        <v>51</v>
      </c>
      <c r="BD242" s="1799">
        <v>6</v>
      </c>
      <c r="BE242" s="1800">
        <v>47358418</v>
      </c>
      <c r="BF242" s="1801">
        <v>4.1000000000000002E-2</v>
      </c>
      <c r="BG242" s="1799"/>
      <c r="BH242" s="1799" t="s">
        <v>3</v>
      </c>
      <c r="BI242" s="1799" t="s">
        <v>312</v>
      </c>
      <c r="BJ242" s="1799" t="s">
        <v>42</v>
      </c>
      <c r="BK242" s="1799">
        <v>6</v>
      </c>
      <c r="BL242" s="1800">
        <v>228784102.14000002</v>
      </c>
      <c r="BM242" s="1801">
        <v>4.5156022273119309E-2</v>
      </c>
      <c r="BN242" s="1799">
        <v>2007</v>
      </c>
      <c r="BO242" s="1684"/>
      <c r="BP242" s="1696"/>
      <c r="BQ242" s="1169"/>
      <c r="BR242" s="1169"/>
      <c r="BS242" s="1169"/>
      <c r="BT242" s="1169"/>
      <c r="BU242" s="1169"/>
      <c r="BV242" s="1169"/>
      <c r="BW242" s="1169"/>
      <c r="BX242" s="1169"/>
      <c r="BY242" s="1169"/>
      <c r="BZ242" s="1169"/>
      <c r="CA242" s="1169"/>
      <c r="CB242" s="1169"/>
      <c r="CC242" s="1169"/>
      <c r="CD242" s="1169"/>
      <c r="CE242" s="1169"/>
      <c r="CF242" s="1169"/>
      <c r="CG242" s="1169"/>
      <c r="CH242" s="1169"/>
      <c r="CI242" s="1169"/>
      <c r="CJ242" s="1169"/>
      <c r="CK242" s="1169"/>
      <c r="CL242" s="1169"/>
      <c r="CM242" s="1169"/>
      <c r="CN242" s="1169"/>
      <c r="CO242" s="1169"/>
      <c r="CP242" s="1169"/>
      <c r="CQ242" s="1169"/>
      <c r="CR242" s="1169"/>
      <c r="CS242" s="1169"/>
      <c r="CT242" s="1169"/>
      <c r="CU242" s="1169"/>
      <c r="CV242" s="1169"/>
      <c r="CW242" s="1169"/>
      <c r="CX242" s="1169"/>
      <c r="CY242" s="1169"/>
      <c r="CZ242" s="1169"/>
      <c r="DA242" s="1168"/>
      <c r="DB242" s="1168"/>
      <c r="DC242" s="1168"/>
      <c r="DD242" s="1168"/>
      <c r="DE242" s="1168"/>
      <c r="DF242" s="1168"/>
      <c r="DG242" s="1168"/>
      <c r="DH242" s="1168"/>
      <c r="DI242" s="1168"/>
      <c r="DJ242" s="1168"/>
      <c r="DK242" s="1168"/>
      <c r="DL242" s="1168"/>
      <c r="DM242" s="1168"/>
      <c r="DN242" s="1168"/>
      <c r="DO242" s="1168"/>
      <c r="DP242" s="1168"/>
      <c r="DQ242" s="1168"/>
      <c r="DR242" s="1168"/>
      <c r="DS242" s="1168"/>
      <c r="DT242" s="1168"/>
      <c r="DU242" s="1168"/>
      <c r="DV242" s="1168"/>
      <c r="DW242" s="1168"/>
      <c r="DX242" s="1168"/>
      <c r="DY242" s="1168"/>
      <c r="DZ242" s="1168"/>
      <c r="EA242" s="1168"/>
      <c r="EB242" s="1168"/>
      <c r="EC242" s="1168"/>
      <c r="ED242" s="1168"/>
      <c r="EE242" s="1168"/>
      <c r="EF242" s="1168"/>
      <c r="EG242" s="1168"/>
      <c r="EH242" s="1168"/>
      <c r="EI242" s="1170"/>
      <c r="EJ242" s="1170"/>
      <c r="EK242" s="1170"/>
      <c r="EL242" s="1170"/>
      <c r="EM242" s="1170"/>
      <c r="EN242" s="1170"/>
      <c r="EO242" s="1170"/>
      <c r="EP242" s="1170"/>
      <c r="EQ242" s="1170"/>
      <c r="ER242" s="1170"/>
      <c r="ES242" s="1171"/>
      <c r="ET242" s="1171"/>
      <c r="EU242" s="1171"/>
      <c r="EV242" s="1171"/>
      <c r="EW242" s="1171"/>
      <c r="EX242" s="1171"/>
      <c r="EY242" s="1171"/>
      <c r="EZ242" s="1171"/>
      <c r="FA242" s="1171"/>
      <c r="FB242" s="1171"/>
      <c r="FC242" s="1171"/>
      <c r="FD242" s="1171"/>
      <c r="FE242" s="1171"/>
      <c r="FF242" s="1171"/>
      <c r="FG242" s="1171"/>
      <c r="FH242" s="1171"/>
      <c r="FI242" s="1171"/>
      <c r="FJ242" s="1171"/>
      <c r="FK242" s="1171"/>
      <c r="FL242" s="1171"/>
      <c r="FM242" s="1171"/>
      <c r="FN242" s="1171"/>
      <c r="FO242" s="1171"/>
      <c r="FP242" s="1171"/>
    </row>
    <row r="243" spans="1:172" s="607" customFormat="1">
      <c r="A243" s="607">
        <f t="shared" si="6"/>
        <v>1990</v>
      </c>
      <c r="B243" s="607">
        <f t="shared" si="7"/>
        <v>3</v>
      </c>
      <c r="C243" s="666">
        <v>33055</v>
      </c>
      <c r="D243" s="1709">
        <v>0.79258181818181805</v>
      </c>
      <c r="E243" s="1117">
        <v>258.47678254545451</v>
      </c>
      <c r="F243" s="1117">
        <v>326.12</v>
      </c>
      <c r="G243" s="1117"/>
      <c r="H243" s="1117"/>
      <c r="I243" s="959">
        <v>362.28</v>
      </c>
      <c r="J243" s="959">
        <v>458.28</v>
      </c>
      <c r="K243" s="960"/>
      <c r="L243" s="1121"/>
      <c r="M243" s="916">
        <v>9234.4</v>
      </c>
      <c r="N243" s="916">
        <v>11651.036887502296</v>
      </c>
      <c r="O243" s="1174">
        <v>2770.4</v>
      </c>
      <c r="P243" s="1174">
        <v>3495.4120022022398</v>
      </c>
      <c r="Q243" s="1174">
        <v>872.99</v>
      </c>
      <c r="R243" s="1174">
        <v>1101.4509543035422</v>
      </c>
      <c r="S243" s="1174">
        <v>1638.9</v>
      </c>
      <c r="T243" s="1174">
        <v>2067.7991374564144</v>
      </c>
      <c r="U243" s="1120">
        <v>498.53396363636358</v>
      </c>
      <c r="V243" s="1120">
        <v>629</v>
      </c>
      <c r="W243" s="1120">
        <v>2070.7531955330323</v>
      </c>
      <c r="X243" s="1120">
        <v>2612.6680527233621</v>
      </c>
      <c r="Y243" s="1119"/>
      <c r="Z243" s="1119"/>
      <c r="AA243" s="1119"/>
      <c r="AB243" s="1119"/>
      <c r="AC243" s="1178"/>
      <c r="AD243" s="1178">
        <v>6.3409694975319573</v>
      </c>
      <c r="AE243" s="1178"/>
      <c r="AF243" s="1178"/>
      <c r="AG243" s="1178"/>
      <c r="AH243" s="1178"/>
      <c r="AI243" s="1178"/>
      <c r="AJ243" s="1178"/>
      <c r="AK243" s="919">
        <v>16.29</v>
      </c>
      <c r="AL243" s="919">
        <v>20.553083134520097</v>
      </c>
      <c r="AM243" s="919">
        <v>15.4</v>
      </c>
      <c r="AN243" s="919">
        <v>19.430170673518081</v>
      </c>
      <c r="AO243" s="919"/>
      <c r="AP243" s="919"/>
      <c r="AS243" s="1167"/>
      <c r="AT243" s="1167"/>
      <c r="AU243" s="1168"/>
      <c r="AV243" s="1168"/>
      <c r="AW243" s="1169"/>
      <c r="AX243" s="1169"/>
      <c r="AY243" s="1169"/>
      <c r="AZ243" s="1169"/>
      <c r="BA243" s="1799" t="s">
        <v>280</v>
      </c>
      <c r="BB243" s="1802">
        <v>2012</v>
      </c>
      <c r="BC243" s="1799" t="s">
        <v>42</v>
      </c>
      <c r="BD243" s="1799">
        <v>7</v>
      </c>
      <c r="BE243" s="1800">
        <v>42498341</v>
      </c>
      <c r="BF243" s="1801">
        <v>3.6999999999999998E-2</v>
      </c>
      <c r="BG243" s="1799"/>
      <c r="BH243" s="1799" t="s">
        <v>3</v>
      </c>
      <c r="BI243" s="1799" t="s">
        <v>312</v>
      </c>
      <c r="BJ243" s="1799" t="s">
        <v>47</v>
      </c>
      <c r="BK243" s="1799">
        <v>7</v>
      </c>
      <c r="BL243" s="1800">
        <v>130666627.83000001</v>
      </c>
      <c r="BM243" s="1801">
        <v>2.5790188660199147E-2</v>
      </c>
      <c r="BN243" s="1799">
        <v>2007</v>
      </c>
      <c r="BO243" s="1684"/>
      <c r="BP243" s="1696"/>
      <c r="BQ243" s="1169"/>
      <c r="BR243" s="1169"/>
      <c r="BS243" s="1169"/>
      <c r="BT243" s="1169"/>
      <c r="BU243" s="1169"/>
      <c r="BV243" s="1169"/>
      <c r="BW243" s="1169"/>
      <c r="BX243" s="1169"/>
      <c r="BY243" s="1169"/>
      <c r="BZ243" s="1169"/>
      <c r="CA243" s="1169"/>
      <c r="CB243" s="1169"/>
      <c r="CC243" s="1169"/>
      <c r="CD243" s="1169"/>
      <c r="CE243" s="1169"/>
      <c r="CF243" s="1169"/>
      <c r="CG243" s="1169"/>
      <c r="CH243" s="1169"/>
      <c r="CI243" s="1169"/>
      <c r="CJ243" s="1169"/>
      <c r="CK243" s="1169"/>
      <c r="CL243" s="1169"/>
      <c r="CM243" s="1169"/>
      <c r="CN243" s="1169"/>
      <c r="CO243" s="1169"/>
      <c r="CP243" s="1169"/>
      <c r="CQ243" s="1169"/>
      <c r="CR243" s="1169"/>
      <c r="CS243" s="1169"/>
      <c r="CT243" s="1169"/>
      <c r="CU243" s="1169"/>
      <c r="CV243" s="1169"/>
      <c r="CW243" s="1169"/>
      <c r="CX243" s="1169"/>
      <c r="CY243" s="1169"/>
      <c r="CZ243" s="1169"/>
      <c r="DA243" s="1168"/>
      <c r="DB243" s="1168"/>
      <c r="DC243" s="1168"/>
      <c r="DD243" s="1168"/>
      <c r="DE243" s="1168"/>
      <c r="DF243" s="1168"/>
      <c r="DG243" s="1168"/>
      <c r="DH243" s="1168"/>
      <c r="DI243" s="1168"/>
      <c r="DJ243" s="1168"/>
      <c r="DK243" s="1168"/>
      <c r="DL243" s="1168"/>
      <c r="DM243" s="1168"/>
      <c r="DN243" s="1168"/>
      <c r="DO243" s="1168"/>
      <c r="DP243" s="1168"/>
      <c r="DQ243" s="1168"/>
      <c r="DR243" s="1168"/>
      <c r="DS243" s="1168"/>
      <c r="DT243" s="1168"/>
      <c r="DU243" s="1168"/>
      <c r="DV243" s="1168"/>
      <c r="DW243" s="1168"/>
      <c r="DX243" s="1168"/>
      <c r="DY243" s="1168"/>
      <c r="DZ243" s="1168"/>
      <c r="EA243" s="1168"/>
      <c r="EB243" s="1168"/>
      <c r="EC243" s="1168"/>
      <c r="ED243" s="1168"/>
      <c r="EE243" s="1168"/>
      <c r="EF243" s="1168"/>
      <c r="EG243" s="1168"/>
      <c r="EH243" s="1168"/>
      <c r="EI243" s="1170"/>
      <c r="EJ243" s="1170"/>
      <c r="EK243" s="1170"/>
      <c r="EL243" s="1170"/>
      <c r="EM243" s="1170"/>
      <c r="EN243" s="1170"/>
      <c r="EO243" s="1170"/>
      <c r="EP243" s="1170"/>
      <c r="EQ243" s="1170"/>
      <c r="ER243" s="1170"/>
      <c r="ES243" s="1171"/>
      <c r="ET243" s="1171"/>
      <c r="EU243" s="1171"/>
      <c r="EV243" s="1171"/>
      <c r="EW243" s="1171"/>
      <c r="EX243" s="1171"/>
      <c r="EY243" s="1171"/>
      <c r="EZ243" s="1171"/>
      <c r="FA243" s="1171"/>
      <c r="FB243" s="1171"/>
      <c r="FC243" s="1171"/>
      <c r="FD243" s="1171"/>
      <c r="FE243" s="1171"/>
      <c r="FF243" s="1171"/>
      <c r="FG243" s="1171"/>
      <c r="FH243" s="1171"/>
      <c r="FI243" s="1171"/>
      <c r="FJ243" s="1171"/>
      <c r="FK243" s="1171"/>
      <c r="FL243" s="1171"/>
      <c r="FM243" s="1171"/>
      <c r="FN243" s="1171"/>
      <c r="FO243" s="1171"/>
      <c r="FP243" s="1171"/>
    </row>
    <row r="244" spans="1:172" s="607" customFormat="1">
      <c r="A244" s="607">
        <f t="shared" si="6"/>
        <v>1990</v>
      </c>
      <c r="B244" s="607">
        <f t="shared" si="7"/>
        <v>3</v>
      </c>
      <c r="C244" s="666">
        <v>33086</v>
      </c>
      <c r="D244" s="957">
        <v>0.80877391304347834</v>
      </c>
      <c r="E244" s="920">
        <v>265.46386147826092</v>
      </c>
      <c r="F244" s="920">
        <v>328.23</v>
      </c>
      <c r="G244" s="920"/>
      <c r="H244" s="920"/>
      <c r="I244" s="954">
        <v>394.15</v>
      </c>
      <c r="J244" s="954">
        <v>490.13</v>
      </c>
      <c r="K244" s="954"/>
      <c r="L244" s="920"/>
      <c r="M244" s="917">
        <v>10915</v>
      </c>
      <c r="N244" s="917">
        <v>13495.736971690911</v>
      </c>
      <c r="O244" s="1175">
        <v>2953.3</v>
      </c>
      <c r="P244" s="1175">
        <v>3651.5767291337397</v>
      </c>
      <c r="Q244" s="1175">
        <v>876.54</v>
      </c>
      <c r="R244" s="1175">
        <v>1083.7886656130052</v>
      </c>
      <c r="S244" s="1175">
        <v>1617.2</v>
      </c>
      <c r="T244" s="1175">
        <v>1999.5699340923995</v>
      </c>
      <c r="U244" s="920">
        <v>508.71879130434786</v>
      </c>
      <c r="V244" s="920">
        <v>629</v>
      </c>
      <c r="W244" s="920">
        <v>2104.9811621864842</v>
      </c>
      <c r="X244" s="920">
        <v>2602.681822742376</v>
      </c>
      <c r="Y244" s="920"/>
      <c r="Z244" s="920"/>
      <c r="AA244" s="920"/>
      <c r="AB244" s="920"/>
      <c r="AC244" s="920"/>
      <c r="AD244" s="920">
        <v>6.3464837049742702</v>
      </c>
      <c r="AE244" s="920"/>
      <c r="AF244" s="920"/>
      <c r="AG244" s="920"/>
      <c r="AH244" s="920"/>
      <c r="AI244" s="920"/>
      <c r="AJ244" s="920"/>
      <c r="AK244" s="920">
        <v>19.690000000000001</v>
      </c>
      <c r="AL244" s="920">
        <v>24.345493446870734</v>
      </c>
      <c r="AM244" s="920">
        <v>18</v>
      </c>
      <c r="AN244" s="920">
        <v>22.25591071831758</v>
      </c>
      <c r="AO244" s="920"/>
      <c r="AP244" s="920"/>
      <c r="AS244" s="1167"/>
      <c r="AT244" s="1167"/>
      <c r="AU244" s="1168"/>
      <c r="AV244" s="1168"/>
      <c r="AW244" s="1169"/>
      <c r="AX244" s="1169"/>
      <c r="AY244" s="1169"/>
      <c r="AZ244" s="1169"/>
      <c r="BA244" s="1799" t="s">
        <v>280</v>
      </c>
      <c r="BB244" s="1802">
        <v>2012</v>
      </c>
      <c r="BC244" s="1799" t="s">
        <v>583</v>
      </c>
      <c r="BD244" s="1799">
        <v>8</v>
      </c>
      <c r="BE244" s="1800">
        <v>42436740</v>
      </c>
      <c r="BF244" s="1801">
        <v>3.6999999999999998E-2</v>
      </c>
      <c r="BG244" s="1799"/>
      <c r="BH244" s="1799" t="s">
        <v>3</v>
      </c>
      <c r="BI244" s="1799" t="s">
        <v>312</v>
      </c>
      <c r="BJ244" s="1799" t="s">
        <v>581</v>
      </c>
      <c r="BK244" s="1799">
        <v>8</v>
      </c>
      <c r="BL244" s="1800">
        <v>126192126.90000001</v>
      </c>
      <c r="BM244" s="1801">
        <v>2.4907038730784332E-2</v>
      </c>
      <c r="BN244" s="1799">
        <v>2007</v>
      </c>
      <c r="BO244" s="1684"/>
      <c r="BP244" s="1696"/>
      <c r="BQ244" s="1169"/>
      <c r="BR244" s="1169"/>
      <c r="BS244" s="1169"/>
      <c r="BT244" s="1169"/>
      <c r="BU244" s="1169"/>
      <c r="BV244" s="1169"/>
      <c r="BW244" s="1169"/>
      <c r="BX244" s="1169"/>
      <c r="BY244" s="1169"/>
      <c r="BZ244" s="1169"/>
      <c r="CA244" s="1169"/>
      <c r="CB244" s="1169"/>
      <c r="CC244" s="1169"/>
      <c r="CD244" s="1169"/>
      <c r="CE244" s="1169"/>
      <c r="CF244" s="1169"/>
      <c r="CG244" s="1169"/>
      <c r="CH244" s="1169"/>
      <c r="CI244" s="1169"/>
      <c r="CJ244" s="1169"/>
      <c r="CK244" s="1169"/>
      <c r="CL244" s="1169"/>
      <c r="CM244" s="1169"/>
      <c r="CN244" s="1169"/>
      <c r="CO244" s="1169"/>
      <c r="CP244" s="1169"/>
      <c r="CQ244" s="1169"/>
      <c r="CR244" s="1169"/>
      <c r="CS244" s="1169"/>
      <c r="CT244" s="1169"/>
      <c r="CU244" s="1169"/>
      <c r="CV244" s="1169"/>
      <c r="CW244" s="1169"/>
      <c r="CX244" s="1169"/>
      <c r="CY244" s="1169"/>
      <c r="CZ244" s="1169"/>
      <c r="DA244" s="1168"/>
      <c r="DB244" s="1168"/>
      <c r="DC244" s="1168"/>
      <c r="DD244" s="1168"/>
      <c r="DE244" s="1168"/>
      <c r="DF244" s="1168"/>
      <c r="DG244" s="1168"/>
      <c r="DH244" s="1168"/>
      <c r="DI244" s="1168"/>
      <c r="DJ244" s="1168"/>
      <c r="DK244" s="1168"/>
      <c r="DL244" s="1168"/>
      <c r="DM244" s="1168"/>
      <c r="DN244" s="1168"/>
      <c r="DO244" s="1168"/>
      <c r="DP244" s="1168"/>
      <c r="DQ244" s="1168"/>
      <c r="DR244" s="1168"/>
      <c r="DS244" s="1168"/>
      <c r="DT244" s="1168"/>
      <c r="DU244" s="1168"/>
      <c r="DV244" s="1168"/>
      <c r="DW244" s="1168"/>
      <c r="DX244" s="1168"/>
      <c r="DY244" s="1168"/>
      <c r="DZ244" s="1168"/>
      <c r="EA244" s="1168"/>
      <c r="EB244" s="1168"/>
      <c r="EC244" s="1168"/>
      <c r="ED244" s="1168"/>
      <c r="EE244" s="1168"/>
      <c r="EF244" s="1168"/>
      <c r="EG244" s="1168"/>
      <c r="EH244" s="1168"/>
      <c r="EI244" s="1170"/>
      <c r="EJ244" s="1170"/>
      <c r="EK244" s="1170"/>
      <c r="EL244" s="1170"/>
      <c r="EM244" s="1170"/>
      <c r="EN244" s="1170"/>
      <c r="EO244" s="1170"/>
      <c r="EP244" s="1170"/>
      <c r="EQ244" s="1170"/>
      <c r="ER244" s="1170"/>
      <c r="ES244" s="1171"/>
      <c r="ET244" s="1171"/>
      <c r="EU244" s="1171"/>
      <c r="EV244" s="1171"/>
      <c r="EW244" s="1171"/>
      <c r="EX244" s="1171"/>
      <c r="EY244" s="1171"/>
      <c r="EZ244" s="1171"/>
      <c r="FA244" s="1171"/>
      <c r="FB244" s="1171"/>
      <c r="FC244" s="1171"/>
      <c r="FD244" s="1171"/>
      <c r="FE244" s="1171"/>
      <c r="FF244" s="1171"/>
      <c r="FG244" s="1171"/>
      <c r="FH244" s="1171"/>
      <c r="FI244" s="1171"/>
      <c r="FJ244" s="1171"/>
      <c r="FK244" s="1171"/>
      <c r="FL244" s="1171"/>
      <c r="FM244" s="1171"/>
      <c r="FN244" s="1171"/>
      <c r="FO244" s="1171"/>
      <c r="FP244" s="1171"/>
    </row>
    <row r="245" spans="1:172" s="607" customFormat="1">
      <c r="A245" s="607">
        <f t="shared" si="6"/>
        <v>1990</v>
      </c>
      <c r="B245" s="607">
        <f t="shared" si="7"/>
        <v>3</v>
      </c>
      <c r="C245" s="666">
        <v>33117</v>
      </c>
      <c r="D245" s="1709">
        <v>0.82486500000000018</v>
      </c>
      <c r="E245" s="1117">
        <v>271.46307150000007</v>
      </c>
      <c r="F245" s="1117">
        <v>329.1</v>
      </c>
      <c r="G245" s="1117"/>
      <c r="H245" s="1117"/>
      <c r="I245" s="959">
        <v>389.95</v>
      </c>
      <c r="J245" s="959">
        <v>474.36</v>
      </c>
      <c r="K245" s="960"/>
      <c r="L245" s="1121"/>
      <c r="M245" s="916">
        <v>10812</v>
      </c>
      <c r="N245" s="916">
        <v>13107.599425360511</v>
      </c>
      <c r="O245" s="1174">
        <v>3034.7</v>
      </c>
      <c r="P245" s="1174">
        <v>3679.0262649039528</v>
      </c>
      <c r="Q245" s="1174">
        <v>838.36</v>
      </c>
      <c r="R245" s="1174">
        <v>1016.3602528898666</v>
      </c>
      <c r="S245" s="1174">
        <v>1539</v>
      </c>
      <c r="T245" s="1174">
        <v>1865.7598516120815</v>
      </c>
      <c r="U245" s="1120">
        <v>518.84008500000016</v>
      </c>
      <c r="V245" s="1120">
        <v>629</v>
      </c>
      <c r="W245" s="1120">
        <v>2011.3787575602462</v>
      </c>
      <c r="X245" s="1120">
        <v>2438.4338741009083</v>
      </c>
      <c r="Y245" s="1119"/>
      <c r="Z245" s="1119"/>
      <c r="AA245" s="1119"/>
      <c r="AB245" s="1119"/>
      <c r="AC245" s="1178"/>
      <c r="AD245" s="1178">
        <v>6.0375075620084697</v>
      </c>
      <c r="AE245" s="1178"/>
      <c r="AF245" s="1178"/>
      <c r="AG245" s="1178"/>
      <c r="AH245" s="1178"/>
      <c r="AI245" s="1178"/>
      <c r="AJ245" s="1178"/>
      <c r="AK245" s="919">
        <v>39.06</v>
      </c>
      <c r="AL245" s="919">
        <v>47.353203251441137</v>
      </c>
      <c r="AM245" s="919">
        <v>27</v>
      </c>
      <c r="AN245" s="919">
        <v>32.732628975650556</v>
      </c>
      <c r="AO245" s="919"/>
      <c r="AP245" s="919"/>
      <c r="AS245" s="1167"/>
      <c r="AT245" s="1167"/>
      <c r="AU245" s="1168"/>
      <c r="AV245" s="1168"/>
      <c r="AW245" s="1169"/>
      <c r="AX245" s="1169"/>
      <c r="AY245" s="1169"/>
      <c r="AZ245" s="1169"/>
      <c r="BA245" s="1799" t="s">
        <v>280</v>
      </c>
      <c r="BB245" s="1802">
        <v>2012</v>
      </c>
      <c r="BC245" s="1799" t="s">
        <v>18</v>
      </c>
      <c r="BD245" s="1799">
        <v>9</v>
      </c>
      <c r="BE245" s="1800">
        <v>35454652</v>
      </c>
      <c r="BF245" s="1801">
        <v>3.1E-2</v>
      </c>
      <c r="BG245" s="1799"/>
      <c r="BH245" s="1799" t="s">
        <v>3</v>
      </c>
      <c r="BI245" s="1799" t="s">
        <v>312</v>
      </c>
      <c r="BJ245" s="1799" t="s">
        <v>51</v>
      </c>
      <c r="BK245" s="1799">
        <v>9</v>
      </c>
      <c r="BL245" s="1800">
        <v>125557708.87</v>
      </c>
      <c r="BM245" s="1801">
        <v>2.4781821137318777E-2</v>
      </c>
      <c r="BN245" s="1799">
        <v>2007</v>
      </c>
      <c r="BO245" s="1684"/>
      <c r="BP245" s="1696"/>
      <c r="BQ245" s="1169"/>
      <c r="BR245" s="1169"/>
      <c r="BS245" s="1169"/>
      <c r="BT245" s="1169"/>
      <c r="BU245" s="1169"/>
      <c r="BV245" s="1169"/>
      <c r="BW245" s="1169"/>
      <c r="BX245" s="1169"/>
      <c r="BY245" s="1169"/>
      <c r="BZ245" s="1169"/>
      <c r="CA245" s="1169"/>
      <c r="CB245" s="1169"/>
      <c r="CC245" s="1169"/>
      <c r="CD245" s="1169"/>
      <c r="CE245" s="1169"/>
      <c r="CF245" s="1169"/>
      <c r="CG245" s="1169"/>
      <c r="CH245" s="1169"/>
      <c r="CI245" s="1169"/>
      <c r="CJ245" s="1169"/>
      <c r="CK245" s="1169"/>
      <c r="CL245" s="1169"/>
      <c r="CM245" s="1169"/>
      <c r="CN245" s="1169"/>
      <c r="CO245" s="1169"/>
      <c r="CP245" s="1169"/>
      <c r="CQ245" s="1169"/>
      <c r="CR245" s="1169"/>
      <c r="CS245" s="1169"/>
      <c r="CT245" s="1169"/>
      <c r="CU245" s="1169"/>
      <c r="CV245" s="1169"/>
      <c r="CW245" s="1169"/>
      <c r="CX245" s="1169"/>
      <c r="CY245" s="1169"/>
      <c r="CZ245" s="1169"/>
      <c r="DA245" s="1168"/>
      <c r="DB245" s="1168"/>
      <c r="DC245" s="1168"/>
      <c r="DD245" s="1168"/>
      <c r="DE245" s="1168"/>
      <c r="DF245" s="1168"/>
      <c r="DG245" s="1168"/>
      <c r="DH245" s="1168"/>
      <c r="DI245" s="1168"/>
      <c r="DJ245" s="1168"/>
      <c r="DK245" s="1168"/>
      <c r="DL245" s="1168"/>
      <c r="DM245" s="1168"/>
      <c r="DN245" s="1168"/>
      <c r="DO245" s="1168"/>
      <c r="DP245" s="1168"/>
      <c r="DQ245" s="1168"/>
      <c r="DR245" s="1168"/>
      <c r="DS245" s="1168"/>
      <c r="DT245" s="1168"/>
      <c r="DU245" s="1168"/>
      <c r="DV245" s="1168"/>
      <c r="DW245" s="1168"/>
      <c r="DX245" s="1168"/>
      <c r="DY245" s="1168"/>
      <c r="DZ245" s="1168"/>
      <c r="EA245" s="1168"/>
      <c r="EB245" s="1168"/>
      <c r="EC245" s="1168"/>
      <c r="ED245" s="1168"/>
      <c r="EE245" s="1168"/>
      <c r="EF245" s="1168"/>
      <c r="EG245" s="1168"/>
      <c r="EH245" s="1168"/>
      <c r="EI245" s="1170"/>
      <c r="EJ245" s="1170"/>
      <c r="EK245" s="1170"/>
      <c r="EL245" s="1170"/>
      <c r="EM245" s="1170"/>
      <c r="EN245" s="1170"/>
      <c r="EO245" s="1170"/>
      <c r="EP245" s="1170"/>
      <c r="EQ245" s="1170"/>
      <c r="ER245" s="1170"/>
      <c r="ES245" s="1171"/>
      <c r="ET245" s="1171"/>
      <c r="EU245" s="1171"/>
      <c r="EV245" s="1171"/>
      <c r="EW245" s="1171"/>
      <c r="EX245" s="1171"/>
      <c r="EY245" s="1171"/>
      <c r="EZ245" s="1171"/>
      <c r="FA245" s="1171"/>
      <c r="FB245" s="1171"/>
      <c r="FC245" s="1171"/>
      <c r="FD245" s="1171"/>
      <c r="FE245" s="1171"/>
      <c r="FF245" s="1171"/>
      <c r="FG245" s="1171"/>
      <c r="FH245" s="1171"/>
      <c r="FI245" s="1171"/>
      <c r="FJ245" s="1171"/>
      <c r="FK245" s="1171"/>
      <c r="FL245" s="1171"/>
      <c r="FM245" s="1171"/>
      <c r="FN245" s="1171"/>
      <c r="FO245" s="1171"/>
      <c r="FP245" s="1171"/>
    </row>
    <row r="246" spans="1:172" s="607" customFormat="1">
      <c r="A246" s="607">
        <f t="shared" si="6"/>
        <v>1990</v>
      </c>
      <c r="B246" s="607">
        <f t="shared" si="7"/>
        <v>4</v>
      </c>
      <c r="C246" s="666">
        <v>33147</v>
      </c>
      <c r="D246" s="957">
        <v>0.80295652173913057</v>
      </c>
      <c r="E246" s="920">
        <v>261.53899826086962</v>
      </c>
      <c r="F246" s="920">
        <v>325.72000000000003</v>
      </c>
      <c r="G246" s="920"/>
      <c r="H246" s="920"/>
      <c r="I246" s="954">
        <v>379.98</v>
      </c>
      <c r="J246" s="954">
        <v>475.67</v>
      </c>
      <c r="K246" s="954"/>
      <c r="L246" s="920"/>
      <c r="M246" s="917">
        <v>9140</v>
      </c>
      <c r="N246" s="917">
        <v>11382.93264024258</v>
      </c>
      <c r="O246" s="1175">
        <v>2747.4</v>
      </c>
      <c r="P246" s="1175">
        <v>3421.6049382716046</v>
      </c>
      <c r="Q246" s="1175">
        <v>762.02</v>
      </c>
      <c r="R246" s="1175">
        <v>949.01776045050883</v>
      </c>
      <c r="S246" s="1175">
        <v>1353.4</v>
      </c>
      <c r="T246" s="1175">
        <v>1685.5209010179769</v>
      </c>
      <c r="U246" s="920">
        <v>397.46347826086964</v>
      </c>
      <c r="V246" s="920">
        <v>495</v>
      </c>
      <c r="W246" s="920">
        <v>2098.9458909349655</v>
      </c>
      <c r="X246" s="920">
        <v>2614.0218481429606</v>
      </c>
      <c r="Y246" s="920"/>
      <c r="Z246" s="920"/>
      <c r="AA246" s="920"/>
      <c r="AB246" s="920"/>
      <c r="AC246" s="920"/>
      <c r="AD246" s="920">
        <v>5.6582133299350081</v>
      </c>
      <c r="AE246" s="920"/>
      <c r="AF246" s="920"/>
      <c r="AG246" s="920"/>
      <c r="AH246" s="920"/>
      <c r="AI246" s="920"/>
      <c r="AJ246" s="920"/>
      <c r="AK246" s="920">
        <v>39.06</v>
      </c>
      <c r="AL246" s="920">
        <v>48.645224171539958</v>
      </c>
      <c r="AM246" s="920">
        <v>39</v>
      </c>
      <c r="AN246" s="920">
        <v>48.570500324886282</v>
      </c>
      <c r="AO246" s="920"/>
      <c r="AP246" s="920"/>
      <c r="AS246" s="1167"/>
      <c r="AT246" s="1167"/>
      <c r="AU246" s="1168"/>
      <c r="AV246" s="1168"/>
      <c r="AW246" s="1169"/>
      <c r="AX246" s="1169"/>
      <c r="AY246" s="1169"/>
      <c r="AZ246" s="1169"/>
      <c r="BA246" s="1799" t="s">
        <v>280</v>
      </c>
      <c r="BB246" s="1802">
        <v>2012</v>
      </c>
      <c r="BC246" s="1799" t="s">
        <v>26</v>
      </c>
      <c r="BD246" s="1799">
        <v>10</v>
      </c>
      <c r="BE246" s="1800">
        <v>34189181</v>
      </c>
      <c r="BF246" s="1801">
        <v>0.03</v>
      </c>
      <c r="BG246" s="1799"/>
      <c r="BH246" s="1799" t="s">
        <v>3</v>
      </c>
      <c r="BI246" s="1799" t="s">
        <v>312</v>
      </c>
      <c r="BJ246" s="1799" t="s">
        <v>44</v>
      </c>
      <c r="BK246" s="1799">
        <v>10</v>
      </c>
      <c r="BL246" s="1800">
        <v>44814173.819999993</v>
      </c>
      <c r="BM246" s="1801">
        <v>8.845150568762155E-3</v>
      </c>
      <c r="BN246" s="1799">
        <v>2007</v>
      </c>
      <c r="BO246" s="1684"/>
      <c r="BP246" s="1696"/>
      <c r="BQ246" s="1169"/>
      <c r="BR246" s="1169"/>
      <c r="BS246" s="1169"/>
      <c r="BT246" s="1169"/>
      <c r="BU246" s="1169"/>
      <c r="BV246" s="1169"/>
      <c r="BW246" s="1169"/>
      <c r="BX246" s="1169"/>
      <c r="BY246" s="1169"/>
      <c r="BZ246" s="1169"/>
      <c r="CA246" s="1169"/>
      <c r="CB246" s="1169"/>
      <c r="CC246" s="1169"/>
      <c r="CD246" s="1169"/>
      <c r="CE246" s="1169"/>
      <c r="CF246" s="1169"/>
      <c r="CG246" s="1169"/>
      <c r="CH246" s="1169"/>
      <c r="CI246" s="1169"/>
      <c r="CJ246" s="1169"/>
      <c r="CK246" s="1169"/>
      <c r="CL246" s="1169"/>
      <c r="CM246" s="1169"/>
      <c r="CN246" s="1169"/>
      <c r="CO246" s="1169"/>
      <c r="CP246" s="1169"/>
      <c r="CQ246" s="1169"/>
      <c r="CR246" s="1169"/>
      <c r="CS246" s="1169"/>
      <c r="CT246" s="1169"/>
      <c r="CU246" s="1169"/>
      <c r="CV246" s="1169"/>
      <c r="CW246" s="1169"/>
      <c r="CX246" s="1169"/>
      <c r="CY246" s="1169"/>
      <c r="CZ246" s="1169"/>
      <c r="DA246" s="1168"/>
      <c r="DB246" s="1168"/>
      <c r="DC246" s="1168"/>
      <c r="DD246" s="1168"/>
      <c r="DE246" s="1168"/>
      <c r="DF246" s="1168"/>
      <c r="DG246" s="1168"/>
      <c r="DH246" s="1168"/>
      <c r="DI246" s="1168"/>
      <c r="DJ246" s="1168"/>
      <c r="DK246" s="1168"/>
      <c r="DL246" s="1168"/>
      <c r="DM246" s="1168"/>
      <c r="DN246" s="1168"/>
      <c r="DO246" s="1168"/>
      <c r="DP246" s="1168"/>
      <c r="DQ246" s="1168"/>
      <c r="DR246" s="1168"/>
      <c r="DS246" s="1168"/>
      <c r="DT246" s="1168"/>
      <c r="DU246" s="1168"/>
      <c r="DV246" s="1168"/>
      <c r="DW246" s="1168"/>
      <c r="DX246" s="1168"/>
      <c r="DY246" s="1168"/>
      <c r="DZ246" s="1168"/>
      <c r="EA246" s="1168"/>
      <c r="EB246" s="1168"/>
      <c r="EC246" s="1168"/>
      <c r="ED246" s="1168"/>
      <c r="EE246" s="1168"/>
      <c r="EF246" s="1168"/>
      <c r="EG246" s="1168"/>
      <c r="EH246" s="1168"/>
      <c r="EI246" s="1170"/>
      <c r="EJ246" s="1170"/>
      <c r="EK246" s="1170"/>
      <c r="EL246" s="1170"/>
      <c r="EM246" s="1170"/>
      <c r="EN246" s="1170"/>
      <c r="EO246" s="1170"/>
      <c r="EP246" s="1170"/>
      <c r="EQ246" s="1170"/>
      <c r="ER246" s="1170"/>
      <c r="ES246" s="1171"/>
      <c r="ET246" s="1171"/>
      <c r="EU246" s="1171"/>
      <c r="EV246" s="1171"/>
      <c r="EW246" s="1171"/>
      <c r="EX246" s="1171"/>
      <c r="EY246" s="1171"/>
      <c r="EZ246" s="1171"/>
      <c r="FA246" s="1171"/>
      <c r="FB246" s="1171"/>
      <c r="FC246" s="1171"/>
      <c r="FD246" s="1171"/>
      <c r="FE246" s="1171"/>
      <c r="FF246" s="1171"/>
      <c r="FG246" s="1171"/>
      <c r="FH246" s="1171"/>
      <c r="FI246" s="1171"/>
      <c r="FJ246" s="1171"/>
      <c r="FK246" s="1171"/>
      <c r="FL246" s="1171"/>
      <c r="FM246" s="1171"/>
      <c r="FN246" s="1171"/>
      <c r="FO246" s="1171"/>
      <c r="FP246" s="1171"/>
    </row>
    <row r="247" spans="1:172" s="607" customFormat="1">
      <c r="A247" s="607">
        <f t="shared" si="6"/>
        <v>1990</v>
      </c>
      <c r="B247" s="607">
        <f t="shared" si="7"/>
        <v>4</v>
      </c>
      <c r="C247" s="666">
        <v>33178</v>
      </c>
      <c r="D247" s="1709">
        <v>0.77446363636363635</v>
      </c>
      <c r="E247" s="1117">
        <v>263.98367509090912</v>
      </c>
      <c r="F247" s="1117">
        <v>340.86</v>
      </c>
      <c r="G247" s="1117"/>
      <c r="H247" s="1117"/>
      <c r="I247" s="959">
        <v>382.14</v>
      </c>
      <c r="J247" s="959">
        <v>494.64</v>
      </c>
      <c r="K247" s="960"/>
      <c r="L247" s="1121"/>
      <c r="M247" s="916">
        <v>8571</v>
      </c>
      <c r="N247" s="916">
        <v>11067.014121209988</v>
      </c>
      <c r="O247" s="1174">
        <v>2584.5</v>
      </c>
      <c r="P247" s="1174">
        <v>3337.1482903123569</v>
      </c>
      <c r="Q247" s="1174">
        <v>700.74</v>
      </c>
      <c r="R247" s="1174">
        <v>904.80684579356978</v>
      </c>
      <c r="S247" s="1174">
        <v>1278.7</v>
      </c>
      <c r="T247" s="1174">
        <v>1651.0781655339181</v>
      </c>
      <c r="U247" s="1120">
        <v>383.35949999999997</v>
      </c>
      <c r="V247" s="1120">
        <v>495</v>
      </c>
      <c r="W247" s="1120">
        <v>1986.4253339080612</v>
      </c>
      <c r="X247" s="1120">
        <v>2564.9045876898585</v>
      </c>
      <c r="Y247" s="1119"/>
      <c r="Z247" s="1119"/>
      <c r="AA247" s="1119"/>
      <c r="AB247" s="1119"/>
      <c r="AC247" s="1178"/>
      <c r="AD247" s="1178">
        <v>5.5648805681084568</v>
      </c>
      <c r="AE247" s="1178"/>
      <c r="AF247" s="1178"/>
      <c r="AG247" s="1178"/>
      <c r="AH247" s="1178"/>
      <c r="AI247" s="1178"/>
      <c r="AJ247" s="1178"/>
      <c r="AK247" s="919">
        <v>29.81</v>
      </c>
      <c r="AL247" s="919">
        <v>38.491155168973251</v>
      </c>
      <c r="AM247" s="919">
        <v>38</v>
      </c>
      <c r="AN247" s="919">
        <v>49.066215914826685</v>
      </c>
      <c r="AO247" s="919"/>
      <c r="AP247" s="919"/>
      <c r="AS247" s="1167"/>
      <c r="AT247" s="1167"/>
      <c r="AU247" s="1168"/>
      <c r="AV247" s="1168"/>
      <c r="AW247" s="1169"/>
      <c r="AX247" s="1169"/>
      <c r="AY247" s="1169"/>
      <c r="AZ247" s="1169"/>
      <c r="BA247" s="1799" t="s">
        <v>280</v>
      </c>
      <c r="BB247" s="1802">
        <v>2012</v>
      </c>
      <c r="BC247" s="1799" t="s">
        <v>32</v>
      </c>
      <c r="BD247" s="1799"/>
      <c r="BE247" s="1800">
        <v>140423081</v>
      </c>
      <c r="BF247" s="1801">
        <v>0.122</v>
      </c>
      <c r="BG247" s="1799"/>
      <c r="BH247" s="1799" t="s">
        <v>3</v>
      </c>
      <c r="BI247" s="1799" t="s">
        <v>312</v>
      </c>
      <c r="BJ247" s="1799" t="s">
        <v>32</v>
      </c>
      <c r="BK247" s="1799"/>
      <c r="BL247" s="1800">
        <v>466757178.51999938</v>
      </c>
      <c r="BM247" s="1801">
        <v>9.2125708701952636E-2</v>
      </c>
      <c r="BN247" s="1799">
        <v>2007</v>
      </c>
      <c r="BO247" s="1684"/>
      <c r="BP247" s="1696"/>
      <c r="BQ247" s="1169"/>
      <c r="BR247" s="1169"/>
      <c r="BS247" s="1169"/>
      <c r="BT247" s="1169"/>
      <c r="BU247" s="1169"/>
      <c r="BV247" s="1169"/>
      <c r="BW247" s="1169"/>
      <c r="BX247" s="1169"/>
      <c r="BY247" s="1169"/>
      <c r="BZ247" s="1169"/>
      <c r="CA247" s="1169"/>
      <c r="CB247" s="1169"/>
      <c r="CC247" s="1169"/>
      <c r="CD247" s="1169"/>
      <c r="CE247" s="1169"/>
      <c r="CF247" s="1169"/>
      <c r="CG247" s="1169"/>
      <c r="CH247" s="1169"/>
      <c r="CI247" s="1169"/>
      <c r="CJ247" s="1169"/>
      <c r="CK247" s="1169"/>
      <c r="CL247" s="1169"/>
      <c r="CM247" s="1169"/>
      <c r="CN247" s="1169"/>
      <c r="CO247" s="1169"/>
      <c r="CP247" s="1169"/>
      <c r="CQ247" s="1169"/>
      <c r="CR247" s="1169"/>
      <c r="CS247" s="1169"/>
      <c r="CT247" s="1169"/>
      <c r="CU247" s="1169"/>
      <c r="CV247" s="1169"/>
      <c r="CW247" s="1169"/>
      <c r="CX247" s="1169"/>
      <c r="CY247" s="1169"/>
      <c r="CZ247" s="1169"/>
      <c r="DA247" s="1168"/>
      <c r="DB247" s="1168"/>
      <c r="DC247" s="1168"/>
      <c r="DD247" s="1168"/>
      <c r="DE247" s="1168"/>
      <c r="DF247" s="1168"/>
      <c r="DG247" s="1168"/>
      <c r="DH247" s="1168"/>
      <c r="DI247" s="1168"/>
      <c r="DJ247" s="1168"/>
      <c r="DK247" s="1168"/>
      <c r="DL247" s="1168"/>
      <c r="DM247" s="1168"/>
      <c r="DN247" s="1168"/>
      <c r="DO247" s="1168"/>
      <c r="DP247" s="1168"/>
      <c r="DQ247" s="1168"/>
      <c r="DR247" s="1168"/>
      <c r="DS247" s="1168"/>
      <c r="DT247" s="1168"/>
      <c r="DU247" s="1168"/>
      <c r="DV247" s="1168"/>
      <c r="DW247" s="1168"/>
      <c r="DX247" s="1168"/>
      <c r="DY247" s="1168"/>
      <c r="DZ247" s="1168"/>
      <c r="EA247" s="1168"/>
      <c r="EB247" s="1168"/>
      <c r="EC247" s="1168"/>
      <c r="ED247" s="1168"/>
      <c r="EE247" s="1168"/>
      <c r="EF247" s="1168"/>
      <c r="EG247" s="1168"/>
      <c r="EH247" s="1168"/>
      <c r="EI247" s="1170"/>
      <c r="EJ247" s="1170"/>
      <c r="EK247" s="1170"/>
      <c r="EL247" s="1170"/>
      <c r="EM247" s="1170"/>
      <c r="EN247" s="1170"/>
      <c r="EO247" s="1170"/>
      <c r="EP247" s="1170"/>
      <c r="EQ247" s="1170"/>
      <c r="ER247" s="1170"/>
      <c r="ES247" s="1171"/>
      <c r="ET247" s="1171"/>
      <c r="EU247" s="1171"/>
      <c r="EV247" s="1171"/>
      <c r="EW247" s="1171"/>
      <c r="EX247" s="1171"/>
      <c r="EY247" s="1171"/>
      <c r="EZ247" s="1171"/>
      <c r="FA247" s="1171"/>
      <c r="FB247" s="1171"/>
      <c r="FC247" s="1171"/>
      <c r="FD247" s="1171"/>
      <c r="FE247" s="1171"/>
      <c r="FF247" s="1171"/>
      <c r="FG247" s="1171"/>
      <c r="FH247" s="1171"/>
      <c r="FI247" s="1171"/>
      <c r="FJ247" s="1171"/>
      <c r="FK247" s="1171"/>
      <c r="FL247" s="1171"/>
      <c r="FM247" s="1171"/>
      <c r="FN247" s="1171"/>
      <c r="FO247" s="1171"/>
      <c r="FP247" s="1171"/>
    </row>
    <row r="248" spans="1:172" s="607" customFormat="1">
      <c r="A248" s="607">
        <f t="shared" si="6"/>
        <v>1990</v>
      </c>
      <c r="B248" s="607">
        <f t="shared" si="7"/>
        <v>4</v>
      </c>
      <c r="C248" s="666">
        <v>33208</v>
      </c>
      <c r="D248" s="957">
        <v>0.76991578947368422</v>
      </c>
      <c r="E248" s="920">
        <v>261.30941894736839</v>
      </c>
      <c r="F248" s="920">
        <v>339.4</v>
      </c>
      <c r="G248" s="920"/>
      <c r="H248" s="920"/>
      <c r="I248" s="954">
        <v>377.78</v>
      </c>
      <c r="J248" s="954">
        <v>492.36</v>
      </c>
      <c r="K248" s="954"/>
      <c r="L248" s="920"/>
      <c r="M248" s="917">
        <v>8195.6</v>
      </c>
      <c r="N248" s="917">
        <v>10644.800525006152</v>
      </c>
      <c r="O248" s="1175">
        <v>2490.4</v>
      </c>
      <c r="P248" s="1175">
        <v>3234.6394684312709</v>
      </c>
      <c r="Q248" s="1175">
        <v>621.87</v>
      </c>
      <c r="R248" s="1175">
        <v>807.71171146536869</v>
      </c>
      <c r="S248" s="1175">
        <v>1264.2</v>
      </c>
      <c r="T248" s="1175">
        <v>1641.9977577862242</v>
      </c>
      <c r="U248" s="920">
        <v>381.10831578947369</v>
      </c>
      <c r="V248" s="920">
        <v>495</v>
      </c>
      <c r="W248" s="920">
        <v>1911.975843243278</v>
      </c>
      <c r="X248" s="920">
        <v>2483.3571013659921</v>
      </c>
      <c r="Y248" s="920"/>
      <c r="Z248" s="920"/>
      <c r="AA248" s="920"/>
      <c r="AB248" s="920"/>
      <c r="AC248" s="920"/>
      <c r="AD248" s="920">
        <v>5.4700633648002075</v>
      </c>
      <c r="AE248" s="920"/>
      <c r="AF248" s="920"/>
      <c r="AG248" s="920"/>
      <c r="AH248" s="920"/>
      <c r="AI248" s="920"/>
      <c r="AJ248" s="920"/>
      <c r="AK248" s="920">
        <v>29.81</v>
      </c>
      <c r="AL248" s="920">
        <v>38.718520138907877</v>
      </c>
      <c r="AM248" s="920">
        <v>32</v>
      </c>
      <c r="AN248" s="920">
        <v>41.562987066254685</v>
      </c>
      <c r="AO248" s="920"/>
      <c r="AP248" s="920"/>
      <c r="AS248" s="1167"/>
      <c r="AT248" s="1167"/>
      <c r="AU248" s="1168"/>
      <c r="AV248" s="1168"/>
      <c r="AW248" s="1169"/>
      <c r="AX248" s="1169"/>
      <c r="AY248" s="1169"/>
      <c r="AZ248" s="1169"/>
      <c r="BA248" s="1799" t="s">
        <v>280</v>
      </c>
      <c r="BB248" s="1802">
        <v>2012</v>
      </c>
      <c r="BC248" s="1799" t="s">
        <v>249</v>
      </c>
      <c r="BD248" s="1799"/>
      <c r="BE248" s="1800">
        <v>1150353341</v>
      </c>
      <c r="BF248" s="1801"/>
      <c r="BG248" s="1799"/>
      <c r="BH248" s="1799" t="s">
        <v>3</v>
      </c>
      <c r="BI248" s="1799" t="s">
        <v>312</v>
      </c>
      <c r="BJ248" s="1799" t="s">
        <v>249</v>
      </c>
      <c r="BK248" s="1799"/>
      <c r="BL248" s="1800">
        <v>5192082407.5299988</v>
      </c>
      <c r="BM248" s="1801"/>
      <c r="BN248" s="1799">
        <v>2007</v>
      </c>
      <c r="BO248" s="1684"/>
      <c r="BP248" s="1696"/>
      <c r="BQ248" s="1169"/>
      <c r="BR248" s="1169"/>
      <c r="BS248" s="1169"/>
      <c r="BT248" s="1169"/>
      <c r="BU248" s="1169"/>
      <c r="BV248" s="1169"/>
      <c r="BW248" s="1169"/>
      <c r="BX248" s="1169"/>
      <c r="BY248" s="1169"/>
      <c r="BZ248" s="1169"/>
      <c r="CA248" s="1169"/>
      <c r="CB248" s="1169"/>
      <c r="CC248" s="1169"/>
      <c r="CD248" s="1169"/>
      <c r="CE248" s="1169"/>
      <c r="CF248" s="1169"/>
      <c r="CG248" s="1169"/>
      <c r="CH248" s="1169"/>
      <c r="CI248" s="1169"/>
      <c r="CJ248" s="1169"/>
      <c r="CK248" s="1169"/>
      <c r="CL248" s="1169"/>
      <c r="CM248" s="1169"/>
      <c r="CN248" s="1169"/>
      <c r="CO248" s="1169"/>
      <c r="CP248" s="1169"/>
      <c r="CQ248" s="1169"/>
      <c r="CR248" s="1169"/>
      <c r="CS248" s="1169"/>
      <c r="CT248" s="1169"/>
      <c r="CU248" s="1169"/>
      <c r="CV248" s="1169"/>
      <c r="CW248" s="1169"/>
      <c r="CX248" s="1169"/>
      <c r="CY248" s="1169"/>
      <c r="CZ248" s="1169"/>
      <c r="DA248" s="1168"/>
      <c r="DB248" s="1168"/>
      <c r="DC248" s="1168"/>
      <c r="DD248" s="1168"/>
      <c r="DE248" s="1168"/>
      <c r="DF248" s="1168"/>
      <c r="DG248" s="1168"/>
      <c r="DH248" s="1168"/>
      <c r="DI248" s="1168"/>
      <c r="DJ248" s="1168"/>
      <c r="DK248" s="1168"/>
      <c r="DL248" s="1168"/>
      <c r="DM248" s="1168"/>
      <c r="DN248" s="1168"/>
      <c r="DO248" s="1168"/>
      <c r="DP248" s="1168"/>
      <c r="DQ248" s="1168"/>
      <c r="DR248" s="1168"/>
      <c r="DS248" s="1168"/>
      <c r="DT248" s="1168"/>
      <c r="DU248" s="1168"/>
      <c r="DV248" s="1168"/>
      <c r="DW248" s="1168"/>
      <c r="DX248" s="1168"/>
      <c r="DY248" s="1168"/>
      <c r="DZ248" s="1168"/>
      <c r="EA248" s="1168"/>
      <c r="EB248" s="1168"/>
      <c r="EC248" s="1168"/>
      <c r="ED248" s="1168"/>
      <c r="EE248" s="1168"/>
      <c r="EF248" s="1168"/>
      <c r="EG248" s="1168"/>
      <c r="EH248" s="1168"/>
      <c r="EI248" s="1170"/>
      <c r="EJ248" s="1170"/>
      <c r="EK248" s="1170"/>
      <c r="EL248" s="1170"/>
      <c r="EM248" s="1170"/>
      <c r="EN248" s="1170"/>
      <c r="EO248" s="1170"/>
      <c r="EP248" s="1170"/>
      <c r="EQ248" s="1170"/>
      <c r="ER248" s="1170"/>
      <c r="ES248" s="1171"/>
      <c r="ET248" s="1171"/>
      <c r="EU248" s="1171"/>
      <c r="EV248" s="1171"/>
      <c r="EW248" s="1171"/>
      <c r="EX248" s="1171"/>
      <c r="EY248" s="1171"/>
      <c r="EZ248" s="1171"/>
      <c r="FA248" s="1171"/>
      <c r="FB248" s="1171"/>
      <c r="FC248" s="1171"/>
      <c r="FD248" s="1171"/>
      <c r="FE248" s="1171"/>
      <c r="FF248" s="1171"/>
      <c r="FG248" s="1171"/>
      <c r="FH248" s="1171"/>
      <c r="FI248" s="1171"/>
      <c r="FJ248" s="1171"/>
      <c r="FK248" s="1171"/>
      <c r="FL248" s="1171"/>
      <c r="FM248" s="1171"/>
      <c r="FN248" s="1171"/>
      <c r="FO248" s="1171"/>
      <c r="FP248" s="1171"/>
    </row>
    <row r="249" spans="1:172" s="607" customFormat="1">
      <c r="A249" s="607">
        <f t="shared" si="6"/>
        <v>1991</v>
      </c>
      <c r="B249" s="607">
        <f t="shared" si="7"/>
        <v>1</v>
      </c>
      <c r="C249" s="666">
        <v>33239</v>
      </c>
      <c r="D249" s="1709">
        <v>0.77916666666666667</v>
      </c>
      <c r="E249" s="1117">
        <v>232.82279166666666</v>
      </c>
      <c r="F249" s="1117">
        <v>298.81</v>
      </c>
      <c r="G249" s="1117"/>
      <c r="H249" s="1117"/>
      <c r="I249" s="959">
        <v>386.57</v>
      </c>
      <c r="J249" s="959">
        <v>498.04</v>
      </c>
      <c r="K249" s="960"/>
      <c r="L249" s="1121"/>
      <c r="M249" s="916">
        <v>8511.8799999999992</v>
      </c>
      <c r="N249" s="916">
        <v>10924.337967914438</v>
      </c>
      <c r="O249" s="1174">
        <v>2453.4</v>
      </c>
      <c r="P249" s="1174">
        <v>3148.7486631016045</v>
      </c>
      <c r="Q249" s="1174">
        <v>601.27</v>
      </c>
      <c r="R249" s="1174">
        <v>771.68342245989299</v>
      </c>
      <c r="S249" s="1174">
        <v>1209.4000000000001</v>
      </c>
      <c r="T249" s="1174">
        <v>1552.1711229946525</v>
      </c>
      <c r="U249" s="1120">
        <v>375.55833333333334</v>
      </c>
      <c r="V249" s="1120">
        <v>482</v>
      </c>
      <c r="W249" s="1120">
        <v>1929.9286547962224</v>
      </c>
      <c r="X249" s="1120">
        <v>2476.9137815566492</v>
      </c>
      <c r="Y249" s="1119"/>
      <c r="Z249" s="1119"/>
      <c r="AA249" s="1119"/>
      <c r="AB249" s="1119"/>
      <c r="AC249" s="1178"/>
      <c r="AD249" s="1178">
        <v>5.4401834628615102</v>
      </c>
      <c r="AE249" s="1178"/>
      <c r="AF249" s="1178"/>
      <c r="AG249" s="1178"/>
      <c r="AH249" s="1178"/>
      <c r="AI249" s="1178"/>
      <c r="AJ249" s="1178"/>
      <c r="AK249" s="919">
        <v>27.76</v>
      </c>
      <c r="AL249" s="919">
        <v>35.627807486631021</v>
      </c>
      <c r="AM249" s="919">
        <v>27.5</v>
      </c>
      <c r="AN249" s="919">
        <v>35.294117647058826</v>
      </c>
      <c r="AO249" s="919"/>
      <c r="AP249" s="919"/>
      <c r="AS249" s="1167"/>
      <c r="AT249" s="1167"/>
      <c r="AU249" s="1168"/>
      <c r="AV249" s="1168"/>
      <c r="AW249" s="1169"/>
      <c r="AX249" s="1169"/>
      <c r="AY249" s="1169"/>
      <c r="AZ249" s="1169"/>
      <c r="BA249" s="1799" t="s">
        <v>280</v>
      </c>
      <c r="BB249" s="1802">
        <v>2011</v>
      </c>
      <c r="BC249" s="1799" t="s">
        <v>15</v>
      </c>
      <c r="BD249" s="1799">
        <v>1</v>
      </c>
      <c r="BE249" s="1800">
        <v>257661911.24999997</v>
      </c>
      <c r="BF249" s="1801">
        <v>0.27677527780839778</v>
      </c>
      <c r="BG249" s="1799"/>
      <c r="BH249" s="1799" t="s">
        <v>3</v>
      </c>
      <c r="BI249" s="1799" t="s">
        <v>311</v>
      </c>
      <c r="BJ249" s="1799" t="s">
        <v>15</v>
      </c>
      <c r="BK249" s="1799">
        <v>1</v>
      </c>
      <c r="BL249" s="1800">
        <v>3195107458.9328957</v>
      </c>
      <c r="BM249" s="1801">
        <v>0.40018278338624153</v>
      </c>
      <c r="BN249" s="1799">
        <v>2006</v>
      </c>
      <c r="BO249" s="1684"/>
      <c r="BP249" s="1696"/>
      <c r="BQ249" s="1169"/>
      <c r="BR249" s="1169"/>
      <c r="BS249" s="1169"/>
      <c r="BT249" s="1169"/>
      <c r="BU249" s="1169"/>
      <c r="BV249" s="1169"/>
      <c r="BW249" s="1169"/>
      <c r="BX249" s="1169"/>
      <c r="BY249" s="1169"/>
      <c r="BZ249" s="1169"/>
      <c r="CA249" s="1169"/>
      <c r="CB249" s="1169"/>
      <c r="CC249" s="1169"/>
      <c r="CD249" s="1169"/>
      <c r="CE249" s="1169"/>
      <c r="CF249" s="1169"/>
      <c r="CG249" s="1169"/>
      <c r="CH249" s="1169"/>
      <c r="CI249" s="1169"/>
      <c r="CJ249" s="1169"/>
      <c r="CK249" s="1169"/>
      <c r="CL249" s="1169"/>
      <c r="CM249" s="1169"/>
      <c r="CN249" s="1169"/>
      <c r="CO249" s="1169"/>
      <c r="CP249" s="1169"/>
      <c r="CQ249" s="1169"/>
      <c r="CR249" s="1169"/>
      <c r="CS249" s="1169"/>
      <c r="CT249" s="1169"/>
      <c r="CU249" s="1169"/>
      <c r="CV249" s="1169"/>
      <c r="CW249" s="1169"/>
      <c r="CX249" s="1169"/>
      <c r="CY249" s="1169"/>
      <c r="CZ249" s="1169"/>
      <c r="DA249" s="1168"/>
      <c r="DB249" s="1168"/>
      <c r="DC249" s="1168"/>
      <c r="DD249" s="1168"/>
      <c r="DE249" s="1168"/>
      <c r="DF249" s="1168"/>
      <c r="DG249" s="1168"/>
      <c r="DH249" s="1168"/>
      <c r="DI249" s="1168"/>
      <c r="DJ249" s="1168"/>
      <c r="DK249" s="1168"/>
      <c r="DL249" s="1168"/>
      <c r="DM249" s="1168"/>
      <c r="DN249" s="1168"/>
      <c r="DO249" s="1168"/>
      <c r="DP249" s="1168"/>
      <c r="DQ249" s="1168"/>
      <c r="DR249" s="1168"/>
      <c r="DS249" s="1168"/>
      <c r="DT249" s="1168"/>
      <c r="DU249" s="1168"/>
      <c r="DV249" s="1168"/>
      <c r="DW249" s="1168"/>
      <c r="DX249" s="1168"/>
      <c r="DY249" s="1168"/>
      <c r="DZ249" s="1168"/>
      <c r="EA249" s="1168"/>
      <c r="EB249" s="1168"/>
      <c r="EC249" s="1168"/>
      <c r="ED249" s="1168"/>
      <c r="EE249" s="1168"/>
      <c r="EF249" s="1168"/>
      <c r="EG249" s="1168"/>
      <c r="EH249" s="1168"/>
      <c r="EI249" s="1170"/>
      <c r="EJ249" s="1170"/>
      <c r="EK249" s="1170"/>
      <c r="EL249" s="1170"/>
      <c r="EM249" s="1170"/>
      <c r="EN249" s="1170"/>
      <c r="EO249" s="1170"/>
      <c r="EP249" s="1170"/>
      <c r="EQ249" s="1170"/>
      <c r="ER249" s="1170"/>
      <c r="ES249" s="1171"/>
      <c r="ET249" s="1171"/>
      <c r="EU249" s="1171"/>
      <c r="EV249" s="1171"/>
      <c r="EW249" s="1171"/>
      <c r="EX249" s="1171"/>
      <c r="EY249" s="1171"/>
      <c r="EZ249" s="1171"/>
      <c r="FA249" s="1171"/>
      <c r="FB249" s="1171"/>
      <c r="FC249" s="1171"/>
      <c r="FD249" s="1171"/>
      <c r="FE249" s="1171"/>
      <c r="FF249" s="1171"/>
      <c r="FG249" s="1171"/>
      <c r="FH249" s="1171"/>
      <c r="FI249" s="1171"/>
      <c r="FJ249" s="1171"/>
      <c r="FK249" s="1171"/>
      <c r="FL249" s="1171"/>
      <c r="FM249" s="1171"/>
      <c r="FN249" s="1171"/>
      <c r="FO249" s="1171"/>
      <c r="FP249" s="1171"/>
    </row>
    <row r="250" spans="1:172" s="607" customFormat="1">
      <c r="A250" s="607">
        <f t="shared" si="6"/>
        <v>1991</v>
      </c>
      <c r="B250" s="607">
        <f t="shared" si="7"/>
        <v>1</v>
      </c>
      <c r="C250" s="666">
        <v>33270</v>
      </c>
      <c r="D250" s="957">
        <v>0.78427000000000002</v>
      </c>
      <c r="E250" s="920">
        <v>226.84225480000001</v>
      </c>
      <c r="F250" s="920">
        <v>289.24</v>
      </c>
      <c r="G250" s="920"/>
      <c r="H250" s="920"/>
      <c r="I250" s="954">
        <v>364.04</v>
      </c>
      <c r="J250" s="954">
        <v>466.07</v>
      </c>
      <c r="K250" s="954"/>
      <c r="L250" s="920"/>
      <c r="M250" s="917">
        <v>8623.1299999999992</v>
      </c>
      <c r="N250" s="917">
        <v>10995.103727032782</v>
      </c>
      <c r="O250" s="1175">
        <v>2450</v>
      </c>
      <c r="P250" s="1175">
        <v>3123.9241587718516</v>
      </c>
      <c r="Q250" s="1175">
        <v>592.04999999999995</v>
      </c>
      <c r="R250" s="1175">
        <v>754.90583600035689</v>
      </c>
      <c r="S250" s="1175">
        <v>1191.3</v>
      </c>
      <c r="T250" s="1175">
        <v>1518.9921838142475</v>
      </c>
      <c r="U250" s="920">
        <v>378.01814000000002</v>
      </c>
      <c r="V250" s="920">
        <v>482</v>
      </c>
      <c r="W250" s="920">
        <v>1854.0046993264448</v>
      </c>
      <c r="X250" s="920">
        <v>2363.9877839601727</v>
      </c>
      <c r="Y250" s="920"/>
      <c r="Z250" s="920"/>
      <c r="AA250" s="920"/>
      <c r="AB250" s="920"/>
      <c r="AC250" s="920"/>
      <c r="AD250" s="920">
        <v>5.0057317539166988</v>
      </c>
      <c r="AE250" s="920"/>
      <c r="AF250" s="920"/>
      <c r="AG250" s="920"/>
      <c r="AH250" s="920"/>
      <c r="AI250" s="920"/>
      <c r="AJ250" s="920"/>
      <c r="AK250" s="920">
        <v>18.809999999999999</v>
      </c>
      <c r="AL250" s="920">
        <v>23.984087112856539</v>
      </c>
      <c r="AM250" s="920">
        <v>23.5</v>
      </c>
      <c r="AN250" s="920">
        <v>29.964170502505514</v>
      </c>
      <c r="AO250" s="920"/>
      <c r="AP250" s="920"/>
      <c r="AS250" s="1167"/>
      <c r="AT250" s="1167"/>
      <c r="AU250" s="1168"/>
      <c r="AV250" s="1168"/>
      <c r="AW250" s="1169"/>
      <c r="AX250" s="1169"/>
      <c r="AY250" s="1169"/>
      <c r="AZ250" s="1169"/>
      <c r="BA250" s="1799" t="s">
        <v>280</v>
      </c>
      <c r="BB250" s="1802">
        <v>2011</v>
      </c>
      <c r="BC250" s="1799" t="s">
        <v>431</v>
      </c>
      <c r="BD250" s="1799">
        <v>2</v>
      </c>
      <c r="BE250" s="1800">
        <v>169969730.33000001</v>
      </c>
      <c r="BF250" s="1801">
        <v>0.18257808887189264</v>
      </c>
      <c r="BG250" s="1799"/>
      <c r="BH250" s="1799" t="s">
        <v>3</v>
      </c>
      <c r="BI250" s="1799" t="s">
        <v>311</v>
      </c>
      <c r="BJ250" s="1799" t="s">
        <v>45</v>
      </c>
      <c r="BK250" s="1799">
        <v>2</v>
      </c>
      <c r="BL250" s="1800">
        <v>1790361050.6323795</v>
      </c>
      <c r="BM250" s="1801">
        <v>0.22424024159352346</v>
      </c>
      <c r="BN250" s="1799">
        <v>2006</v>
      </c>
      <c r="BO250" s="1684"/>
      <c r="BP250" s="1696"/>
      <c r="BQ250" s="1169"/>
      <c r="BR250" s="1169"/>
      <c r="BS250" s="1169"/>
      <c r="BT250" s="1169"/>
      <c r="BU250" s="1169"/>
      <c r="BV250" s="1169"/>
      <c r="BW250" s="1169"/>
      <c r="BX250" s="1169"/>
      <c r="BY250" s="1169"/>
      <c r="BZ250" s="1169"/>
      <c r="CA250" s="1169"/>
      <c r="CB250" s="1169"/>
      <c r="CC250" s="1169"/>
      <c r="CD250" s="1169"/>
      <c r="CE250" s="1169"/>
      <c r="CF250" s="1169"/>
      <c r="CG250" s="1169"/>
      <c r="CH250" s="1169"/>
      <c r="CI250" s="1169"/>
      <c r="CJ250" s="1169"/>
      <c r="CK250" s="1169"/>
      <c r="CL250" s="1169"/>
      <c r="CM250" s="1169"/>
      <c r="CN250" s="1169"/>
      <c r="CO250" s="1169"/>
      <c r="CP250" s="1169"/>
      <c r="CQ250" s="1169"/>
      <c r="CR250" s="1169"/>
      <c r="CS250" s="1169"/>
      <c r="CT250" s="1169"/>
      <c r="CU250" s="1169"/>
      <c r="CV250" s="1169"/>
      <c r="CW250" s="1169"/>
      <c r="CX250" s="1169"/>
      <c r="CY250" s="1169"/>
      <c r="CZ250" s="1169"/>
      <c r="DA250" s="1168"/>
      <c r="DB250" s="1168"/>
      <c r="DC250" s="1168"/>
      <c r="DD250" s="1168"/>
      <c r="DE250" s="1168"/>
      <c r="DF250" s="1168"/>
      <c r="DG250" s="1168"/>
      <c r="DH250" s="1168"/>
      <c r="DI250" s="1168"/>
      <c r="DJ250" s="1168"/>
      <c r="DK250" s="1168"/>
      <c r="DL250" s="1168"/>
      <c r="DM250" s="1168"/>
      <c r="DN250" s="1168"/>
      <c r="DO250" s="1168"/>
      <c r="DP250" s="1168"/>
      <c r="DQ250" s="1168"/>
      <c r="DR250" s="1168"/>
      <c r="DS250" s="1168"/>
      <c r="DT250" s="1168"/>
      <c r="DU250" s="1168"/>
      <c r="DV250" s="1168"/>
      <c r="DW250" s="1168"/>
      <c r="DX250" s="1168"/>
      <c r="DY250" s="1168"/>
      <c r="DZ250" s="1168"/>
      <c r="EA250" s="1168"/>
      <c r="EB250" s="1168"/>
      <c r="EC250" s="1168"/>
      <c r="ED250" s="1168"/>
      <c r="EE250" s="1168"/>
      <c r="EF250" s="1168"/>
      <c r="EG250" s="1168"/>
      <c r="EH250" s="1168"/>
      <c r="EI250" s="1170"/>
      <c r="EJ250" s="1170"/>
      <c r="EK250" s="1170"/>
      <c r="EL250" s="1170"/>
      <c r="EM250" s="1170"/>
      <c r="EN250" s="1170"/>
      <c r="EO250" s="1170"/>
      <c r="EP250" s="1170"/>
      <c r="EQ250" s="1170"/>
      <c r="ER250" s="1170"/>
      <c r="ES250" s="1171"/>
      <c r="ET250" s="1171"/>
      <c r="EU250" s="1171"/>
      <c r="EV250" s="1171"/>
      <c r="EW250" s="1171"/>
      <c r="EX250" s="1171"/>
      <c r="EY250" s="1171"/>
      <c r="EZ250" s="1171"/>
      <c r="FA250" s="1171"/>
      <c r="FB250" s="1171"/>
      <c r="FC250" s="1171"/>
      <c r="FD250" s="1171"/>
      <c r="FE250" s="1171"/>
      <c r="FF250" s="1171"/>
      <c r="FG250" s="1171"/>
      <c r="FH250" s="1171"/>
      <c r="FI250" s="1171"/>
      <c r="FJ250" s="1171"/>
      <c r="FK250" s="1171"/>
      <c r="FL250" s="1171"/>
      <c r="FM250" s="1171"/>
      <c r="FN250" s="1171"/>
      <c r="FO250" s="1171"/>
      <c r="FP250" s="1171"/>
    </row>
    <row r="251" spans="1:172" s="607" customFormat="1">
      <c r="A251" s="607">
        <f t="shared" si="6"/>
        <v>1991</v>
      </c>
      <c r="B251" s="607">
        <f t="shared" si="7"/>
        <v>1</v>
      </c>
      <c r="C251" s="666">
        <v>33298</v>
      </c>
      <c r="D251" s="1709">
        <v>0.77187000000000006</v>
      </c>
      <c r="E251" s="1117">
        <v>217.02668790000004</v>
      </c>
      <c r="F251" s="1117">
        <v>281.17</v>
      </c>
      <c r="G251" s="1117"/>
      <c r="H251" s="1117"/>
      <c r="I251" s="959">
        <v>363.66</v>
      </c>
      <c r="J251" s="959">
        <v>473.36</v>
      </c>
      <c r="K251" s="960"/>
      <c r="L251" s="1121"/>
      <c r="M251" s="916">
        <v>8711</v>
      </c>
      <c r="N251" s="916">
        <v>11285.579177840827</v>
      </c>
      <c r="O251" s="1174">
        <v>2421.6999999999998</v>
      </c>
      <c r="P251" s="1174">
        <v>3137.4454247476901</v>
      </c>
      <c r="Q251" s="1174">
        <v>606.29</v>
      </c>
      <c r="R251" s="1174">
        <v>785.48201121950581</v>
      </c>
      <c r="S251" s="1174">
        <v>1200.5999999999999</v>
      </c>
      <c r="T251" s="1174">
        <v>1555.4432741264718</v>
      </c>
      <c r="U251" s="1120">
        <v>372.04134000000005</v>
      </c>
      <c r="V251" s="1120">
        <v>482</v>
      </c>
      <c r="W251" s="1120">
        <v>1615.5389959430156</v>
      </c>
      <c r="X251" s="1120">
        <v>2093.0195446681637</v>
      </c>
      <c r="Y251" s="1119"/>
      <c r="Z251" s="1119"/>
      <c r="AA251" s="1119"/>
      <c r="AB251" s="1119"/>
      <c r="AC251" s="1178"/>
      <c r="AD251" s="1178">
        <v>5.3534571723426216</v>
      </c>
      <c r="AE251" s="1178"/>
      <c r="AF251" s="1178"/>
      <c r="AG251" s="1178"/>
      <c r="AH251" s="1178"/>
      <c r="AI251" s="1178"/>
      <c r="AJ251" s="1178"/>
      <c r="AK251" s="919">
        <v>18.16</v>
      </c>
      <c r="AL251" s="919">
        <v>23.527277909492529</v>
      </c>
      <c r="AM251" s="919">
        <v>19.5</v>
      </c>
      <c r="AN251" s="919">
        <v>25.263321543783277</v>
      </c>
      <c r="AO251" s="919"/>
      <c r="AP251" s="919"/>
      <c r="AS251" s="1167"/>
      <c r="AT251" s="1167"/>
      <c r="AU251" s="1168"/>
      <c r="AV251" s="1168"/>
      <c r="AW251" s="1169"/>
      <c r="AX251" s="1169"/>
      <c r="AY251" s="1169"/>
      <c r="AZ251" s="1169"/>
      <c r="BA251" s="1799" t="s">
        <v>280</v>
      </c>
      <c r="BB251" s="1802">
        <v>2011</v>
      </c>
      <c r="BC251" s="1799" t="s">
        <v>23</v>
      </c>
      <c r="BD251" s="1799">
        <v>3</v>
      </c>
      <c r="BE251" s="1800">
        <v>101503781.13999997</v>
      </c>
      <c r="BF251" s="1801">
        <v>0.10903333398147454</v>
      </c>
      <c r="BG251" s="1799"/>
      <c r="BH251" s="1799" t="s">
        <v>3</v>
      </c>
      <c r="BI251" s="1799" t="s">
        <v>311</v>
      </c>
      <c r="BJ251" s="1799" t="s">
        <v>20</v>
      </c>
      <c r="BK251" s="1799">
        <v>3</v>
      </c>
      <c r="BL251" s="1800">
        <v>1246926532.082185</v>
      </c>
      <c r="BM251" s="1801">
        <v>0.15617582090758797</v>
      </c>
      <c r="BN251" s="1799">
        <v>2006</v>
      </c>
      <c r="BO251" s="1684"/>
      <c r="BP251" s="1696"/>
      <c r="BQ251" s="1169"/>
      <c r="BR251" s="1169"/>
      <c r="BS251" s="1169"/>
      <c r="BT251" s="1169"/>
      <c r="BU251" s="1169"/>
      <c r="BV251" s="1169"/>
      <c r="BW251" s="1169"/>
      <c r="BX251" s="1169"/>
      <c r="BY251" s="1169"/>
      <c r="BZ251" s="1169"/>
      <c r="CA251" s="1169"/>
      <c r="CB251" s="1169"/>
      <c r="CC251" s="1169"/>
      <c r="CD251" s="1169"/>
      <c r="CE251" s="1169"/>
      <c r="CF251" s="1169"/>
      <c r="CG251" s="1169"/>
      <c r="CH251" s="1169"/>
      <c r="CI251" s="1169"/>
      <c r="CJ251" s="1169"/>
      <c r="CK251" s="1169"/>
      <c r="CL251" s="1169"/>
      <c r="CM251" s="1169"/>
      <c r="CN251" s="1169"/>
      <c r="CO251" s="1169"/>
      <c r="CP251" s="1169"/>
      <c r="CQ251" s="1169"/>
      <c r="CR251" s="1169"/>
      <c r="CS251" s="1169"/>
      <c r="CT251" s="1169"/>
      <c r="CU251" s="1169"/>
      <c r="CV251" s="1169"/>
      <c r="CW251" s="1169"/>
      <c r="CX251" s="1169"/>
      <c r="CY251" s="1169"/>
      <c r="CZ251" s="1169"/>
      <c r="DA251" s="1168"/>
      <c r="DB251" s="1168"/>
      <c r="DC251" s="1168"/>
      <c r="DD251" s="1168"/>
      <c r="DE251" s="1168"/>
      <c r="DF251" s="1168"/>
      <c r="DG251" s="1168"/>
      <c r="DH251" s="1168"/>
      <c r="DI251" s="1168"/>
      <c r="DJ251" s="1168"/>
      <c r="DK251" s="1168"/>
      <c r="DL251" s="1168"/>
      <c r="DM251" s="1168"/>
      <c r="DN251" s="1168"/>
      <c r="DO251" s="1168"/>
      <c r="DP251" s="1168"/>
      <c r="DQ251" s="1168"/>
      <c r="DR251" s="1168"/>
      <c r="DS251" s="1168"/>
      <c r="DT251" s="1168"/>
      <c r="DU251" s="1168"/>
      <c r="DV251" s="1168"/>
      <c r="DW251" s="1168"/>
      <c r="DX251" s="1168"/>
      <c r="DY251" s="1168"/>
      <c r="DZ251" s="1168"/>
      <c r="EA251" s="1168"/>
      <c r="EB251" s="1168"/>
      <c r="EC251" s="1168"/>
      <c r="ED251" s="1168"/>
      <c r="EE251" s="1168"/>
      <c r="EF251" s="1168"/>
      <c r="EG251" s="1168"/>
      <c r="EH251" s="1168"/>
      <c r="EI251" s="1170"/>
      <c r="EJ251" s="1170"/>
      <c r="EK251" s="1170"/>
      <c r="EL251" s="1170"/>
      <c r="EM251" s="1170"/>
      <c r="EN251" s="1170"/>
      <c r="EO251" s="1170"/>
      <c r="EP251" s="1170"/>
      <c r="EQ251" s="1170"/>
      <c r="ER251" s="1170"/>
      <c r="ES251" s="1171"/>
      <c r="ET251" s="1171"/>
      <c r="EU251" s="1171"/>
      <c r="EV251" s="1171"/>
      <c r="EW251" s="1171"/>
      <c r="EX251" s="1171"/>
      <c r="EY251" s="1171"/>
      <c r="EZ251" s="1171"/>
      <c r="FA251" s="1171"/>
      <c r="FB251" s="1171"/>
      <c r="FC251" s="1171"/>
      <c r="FD251" s="1171"/>
      <c r="FE251" s="1171"/>
      <c r="FF251" s="1171"/>
      <c r="FG251" s="1171"/>
      <c r="FH251" s="1171"/>
      <c r="FI251" s="1171"/>
      <c r="FJ251" s="1171"/>
      <c r="FK251" s="1171"/>
      <c r="FL251" s="1171"/>
      <c r="FM251" s="1171"/>
      <c r="FN251" s="1171"/>
      <c r="FO251" s="1171"/>
      <c r="FP251" s="1171"/>
    </row>
    <row r="252" spans="1:172" s="607" customFormat="1">
      <c r="A252" s="607">
        <f t="shared" si="6"/>
        <v>1991</v>
      </c>
      <c r="B252" s="607">
        <f t="shared" si="7"/>
        <v>2</v>
      </c>
      <c r="C252" s="666">
        <v>33329</v>
      </c>
      <c r="D252" s="957">
        <v>0.779775</v>
      </c>
      <c r="E252" s="920">
        <v>219.58464000000001</v>
      </c>
      <c r="F252" s="920">
        <v>281.60000000000002</v>
      </c>
      <c r="G252" s="920"/>
      <c r="H252" s="920"/>
      <c r="I252" s="954">
        <v>358.77</v>
      </c>
      <c r="J252" s="954">
        <v>462.02</v>
      </c>
      <c r="K252" s="954"/>
      <c r="L252" s="920"/>
      <c r="M252" s="917">
        <v>9004.3799999999992</v>
      </c>
      <c r="N252" s="917">
        <v>11547.407906126766</v>
      </c>
      <c r="O252" s="1175">
        <v>2469.6999999999998</v>
      </c>
      <c r="P252" s="1175">
        <v>3167.1956654163059</v>
      </c>
      <c r="Q252" s="1175">
        <v>600.09</v>
      </c>
      <c r="R252" s="1175">
        <v>769.56814465711273</v>
      </c>
      <c r="S252" s="1175">
        <v>1246.3</v>
      </c>
      <c r="T252" s="1175">
        <v>1598.2815555769291</v>
      </c>
      <c r="U252" s="920">
        <v>339.20212500000002</v>
      </c>
      <c r="V252" s="920">
        <v>435</v>
      </c>
      <c r="W252" s="920">
        <v>1709.5421847765942</v>
      </c>
      <c r="X252" s="920">
        <v>2192.353159278759</v>
      </c>
      <c r="Y252" s="920"/>
      <c r="Z252" s="920"/>
      <c r="AA252" s="920"/>
      <c r="AB252" s="920"/>
      <c r="AC252" s="920"/>
      <c r="AD252" s="920">
        <v>5.385697838045286</v>
      </c>
      <c r="AE252" s="920"/>
      <c r="AF252" s="920"/>
      <c r="AG252" s="920"/>
      <c r="AH252" s="920"/>
      <c r="AI252" s="920"/>
      <c r="AJ252" s="920"/>
      <c r="AK252" s="920">
        <v>19.489999999999998</v>
      </c>
      <c r="AL252" s="920">
        <v>24.994389407200792</v>
      </c>
      <c r="AM252" s="920">
        <v>19</v>
      </c>
      <c r="AN252" s="920">
        <v>24.366003013689845</v>
      </c>
      <c r="AO252" s="920"/>
      <c r="AP252" s="920"/>
      <c r="AS252" s="1167"/>
      <c r="AT252" s="1167"/>
      <c r="AU252" s="1168"/>
      <c r="AV252" s="1168"/>
      <c r="AW252" s="1169"/>
      <c r="AX252" s="1169"/>
      <c r="AY252" s="1169"/>
      <c r="AZ252" s="1169"/>
      <c r="BA252" s="1799" t="s">
        <v>280</v>
      </c>
      <c r="BB252" s="1802">
        <v>2011</v>
      </c>
      <c r="BC252" s="1799" t="s">
        <v>54</v>
      </c>
      <c r="BD252" s="1799">
        <v>4</v>
      </c>
      <c r="BE252" s="1800">
        <v>91865617.050000012</v>
      </c>
      <c r="BF252" s="1801">
        <v>9.8680210655519005E-2</v>
      </c>
      <c r="BG252" s="1799"/>
      <c r="BH252" s="1799" t="s">
        <v>3</v>
      </c>
      <c r="BI252" s="1799" t="s">
        <v>311</v>
      </c>
      <c r="BJ252" s="1799" t="s">
        <v>23</v>
      </c>
      <c r="BK252" s="1799">
        <v>4</v>
      </c>
      <c r="BL252" s="1800">
        <v>443782098.31849658</v>
      </c>
      <c r="BM252" s="1801">
        <v>5.5583093089894266E-2</v>
      </c>
      <c r="BN252" s="1799">
        <v>2006</v>
      </c>
      <c r="BO252" s="1684"/>
      <c r="BP252" s="1696"/>
      <c r="BQ252" s="1169"/>
      <c r="BR252" s="1169"/>
      <c r="BS252" s="1169"/>
      <c r="BT252" s="1169"/>
      <c r="BU252" s="1169"/>
      <c r="BV252" s="1169"/>
      <c r="BW252" s="1169"/>
      <c r="BX252" s="1169"/>
      <c r="BY252" s="1169"/>
      <c r="BZ252" s="1169"/>
      <c r="CA252" s="1169"/>
      <c r="CB252" s="1169"/>
      <c r="CC252" s="1169"/>
      <c r="CD252" s="1169"/>
      <c r="CE252" s="1169"/>
      <c r="CF252" s="1169"/>
      <c r="CG252" s="1169"/>
      <c r="CH252" s="1169"/>
      <c r="CI252" s="1169"/>
      <c r="CJ252" s="1169"/>
      <c r="CK252" s="1169"/>
      <c r="CL252" s="1169"/>
      <c r="CM252" s="1169"/>
      <c r="CN252" s="1169"/>
      <c r="CO252" s="1169"/>
      <c r="CP252" s="1169"/>
      <c r="CQ252" s="1169"/>
      <c r="CR252" s="1169"/>
      <c r="CS252" s="1169"/>
      <c r="CT252" s="1169"/>
      <c r="CU252" s="1169"/>
      <c r="CV252" s="1169"/>
      <c r="CW252" s="1169"/>
      <c r="CX252" s="1169"/>
      <c r="CY252" s="1169"/>
      <c r="CZ252" s="1169"/>
      <c r="DA252" s="1168"/>
      <c r="DB252" s="1168"/>
      <c r="DC252" s="1168"/>
      <c r="DD252" s="1168"/>
      <c r="DE252" s="1168"/>
      <c r="DF252" s="1168"/>
      <c r="DG252" s="1168"/>
      <c r="DH252" s="1168"/>
      <c r="DI252" s="1168"/>
      <c r="DJ252" s="1168"/>
      <c r="DK252" s="1168"/>
      <c r="DL252" s="1168"/>
      <c r="DM252" s="1168"/>
      <c r="DN252" s="1168"/>
      <c r="DO252" s="1168"/>
      <c r="DP252" s="1168"/>
      <c r="DQ252" s="1168"/>
      <c r="DR252" s="1168"/>
      <c r="DS252" s="1168"/>
      <c r="DT252" s="1168"/>
      <c r="DU252" s="1168"/>
      <c r="DV252" s="1168"/>
      <c r="DW252" s="1168"/>
      <c r="DX252" s="1168"/>
      <c r="DY252" s="1168"/>
      <c r="DZ252" s="1168"/>
      <c r="EA252" s="1168"/>
      <c r="EB252" s="1168"/>
      <c r="EC252" s="1168"/>
      <c r="ED252" s="1168"/>
      <c r="EE252" s="1168"/>
      <c r="EF252" s="1168"/>
      <c r="EG252" s="1168"/>
      <c r="EH252" s="1168"/>
      <c r="EI252" s="1170"/>
      <c r="EJ252" s="1170"/>
      <c r="EK252" s="1170"/>
      <c r="EL252" s="1170"/>
      <c r="EM252" s="1170"/>
      <c r="EN252" s="1170"/>
      <c r="EO252" s="1170"/>
      <c r="EP252" s="1170"/>
      <c r="EQ252" s="1170"/>
      <c r="ER252" s="1170"/>
      <c r="ES252" s="1171"/>
      <c r="ET252" s="1171"/>
      <c r="EU252" s="1171"/>
      <c r="EV252" s="1171"/>
      <c r="EW252" s="1171"/>
      <c r="EX252" s="1171"/>
      <c r="EY252" s="1171"/>
      <c r="EZ252" s="1171"/>
      <c r="FA252" s="1171"/>
      <c r="FB252" s="1171"/>
      <c r="FC252" s="1171"/>
      <c r="FD252" s="1171"/>
      <c r="FE252" s="1171"/>
      <c r="FF252" s="1171"/>
      <c r="FG252" s="1171"/>
      <c r="FH252" s="1171"/>
      <c r="FI252" s="1171"/>
      <c r="FJ252" s="1171"/>
      <c r="FK252" s="1171"/>
      <c r="FL252" s="1171"/>
      <c r="FM252" s="1171"/>
      <c r="FN252" s="1171"/>
      <c r="FO252" s="1171"/>
      <c r="FP252" s="1171"/>
    </row>
    <row r="253" spans="1:172" s="607" customFormat="1">
      <c r="A253" s="607">
        <f t="shared" si="6"/>
        <v>1991</v>
      </c>
      <c r="B253" s="607">
        <f t="shared" si="7"/>
        <v>2</v>
      </c>
      <c r="C253" s="666">
        <v>33359</v>
      </c>
      <c r="D253" s="1709">
        <v>0.77461304347826099</v>
      </c>
      <c r="E253" s="1117">
        <v>206.55831417391309</v>
      </c>
      <c r="F253" s="1117">
        <v>266.66000000000003</v>
      </c>
      <c r="G253" s="1117"/>
      <c r="H253" s="1117"/>
      <c r="I253" s="959">
        <v>357.14</v>
      </c>
      <c r="J253" s="959">
        <v>462.98</v>
      </c>
      <c r="K253" s="960"/>
      <c r="L253" s="1121"/>
      <c r="M253" s="916">
        <v>8426.5</v>
      </c>
      <c r="N253" s="916">
        <v>10878.334764623009</v>
      </c>
      <c r="O253" s="1174">
        <v>2328.3000000000002</v>
      </c>
      <c r="P253" s="1174">
        <v>3005.7588361089124</v>
      </c>
      <c r="Q253" s="1174">
        <v>558.62</v>
      </c>
      <c r="R253" s="1174">
        <v>721.160074314805</v>
      </c>
      <c r="S253" s="1174">
        <v>1093.3</v>
      </c>
      <c r="T253" s="1174">
        <v>1411.4143948451117</v>
      </c>
      <c r="U253" s="1120">
        <v>336.95667391304352</v>
      </c>
      <c r="V253" s="1120">
        <v>435</v>
      </c>
      <c r="W253" s="1120">
        <v>1654.1531553634602</v>
      </c>
      <c r="X253" s="1120">
        <v>2135.4573993949057</v>
      </c>
      <c r="Y253" s="1119"/>
      <c r="Z253" s="1119"/>
      <c r="AA253" s="1119"/>
      <c r="AB253" s="1119"/>
      <c r="AC253" s="1178"/>
      <c r="AD253" s="1178">
        <v>5.5066368773820482</v>
      </c>
      <c r="AE253" s="1178"/>
      <c r="AF253" s="1178"/>
      <c r="AG253" s="1178"/>
      <c r="AH253" s="1178"/>
      <c r="AI253" s="1178"/>
      <c r="AJ253" s="1178"/>
      <c r="AK253" s="919">
        <v>19.489999999999998</v>
      </c>
      <c r="AL253" s="919">
        <v>25.160949927312931</v>
      </c>
      <c r="AM253" s="919">
        <v>19.2</v>
      </c>
      <c r="AN253" s="919">
        <v>24.786569451226693</v>
      </c>
      <c r="AO253" s="919"/>
      <c r="AP253" s="919"/>
      <c r="AS253" s="1167"/>
      <c r="AT253" s="1167"/>
      <c r="AU253" s="1168"/>
      <c r="AV253" s="1168"/>
      <c r="AW253" s="1169"/>
      <c r="AX253" s="1169"/>
      <c r="AY253" s="1169"/>
      <c r="AZ253" s="1169"/>
      <c r="BA253" s="1799" t="s">
        <v>280</v>
      </c>
      <c r="BB253" s="1802">
        <v>2011</v>
      </c>
      <c r="BC253" s="1799" t="s">
        <v>51</v>
      </c>
      <c r="BD253" s="1799">
        <v>5</v>
      </c>
      <c r="BE253" s="1800">
        <v>56477506.440000005</v>
      </c>
      <c r="BF253" s="1801">
        <v>6.0667009178899653E-2</v>
      </c>
      <c r="BG253" s="1799"/>
      <c r="BH253" s="1799" t="s">
        <v>3</v>
      </c>
      <c r="BI253" s="1799" t="s">
        <v>311</v>
      </c>
      <c r="BJ253" s="1799" t="s">
        <v>447</v>
      </c>
      <c r="BK253" s="1799">
        <v>5</v>
      </c>
      <c r="BL253" s="1800">
        <v>308903069.50406635</v>
      </c>
      <c r="BM253" s="1801">
        <v>3.8689681564568354E-2</v>
      </c>
      <c r="BN253" s="1799">
        <v>2006</v>
      </c>
      <c r="BO253" s="1684"/>
      <c r="BP253" s="1696"/>
      <c r="BQ253" s="1169"/>
      <c r="BR253" s="1169"/>
      <c r="BS253" s="1169"/>
      <c r="BT253" s="1169"/>
      <c r="BU253" s="1169"/>
      <c r="BV253" s="1169"/>
      <c r="BW253" s="1169"/>
      <c r="BX253" s="1169"/>
      <c r="BY253" s="1169"/>
      <c r="BZ253" s="1169"/>
      <c r="CA253" s="1169"/>
      <c r="CB253" s="1169"/>
      <c r="CC253" s="1169"/>
      <c r="CD253" s="1169"/>
      <c r="CE253" s="1169"/>
      <c r="CF253" s="1169"/>
      <c r="CG253" s="1169"/>
      <c r="CH253" s="1169"/>
      <c r="CI253" s="1169"/>
      <c r="CJ253" s="1169"/>
      <c r="CK253" s="1169"/>
      <c r="CL253" s="1169"/>
      <c r="CM253" s="1169"/>
      <c r="CN253" s="1169"/>
      <c r="CO253" s="1169"/>
      <c r="CP253" s="1169"/>
      <c r="CQ253" s="1169"/>
      <c r="CR253" s="1169"/>
      <c r="CS253" s="1169"/>
      <c r="CT253" s="1169"/>
      <c r="CU253" s="1169"/>
      <c r="CV253" s="1169"/>
      <c r="CW253" s="1169"/>
      <c r="CX253" s="1169"/>
      <c r="CY253" s="1169"/>
      <c r="CZ253" s="1169"/>
      <c r="DA253" s="1168"/>
      <c r="DB253" s="1168"/>
      <c r="DC253" s="1168"/>
      <c r="DD253" s="1168"/>
      <c r="DE253" s="1168"/>
      <c r="DF253" s="1168"/>
      <c r="DG253" s="1168"/>
      <c r="DH253" s="1168"/>
      <c r="DI253" s="1168"/>
      <c r="DJ253" s="1168"/>
      <c r="DK253" s="1168"/>
      <c r="DL253" s="1168"/>
      <c r="DM253" s="1168"/>
      <c r="DN253" s="1168"/>
      <c r="DO253" s="1168"/>
      <c r="DP253" s="1168"/>
      <c r="DQ253" s="1168"/>
      <c r="DR253" s="1168"/>
      <c r="DS253" s="1168"/>
      <c r="DT253" s="1168"/>
      <c r="DU253" s="1168"/>
      <c r="DV253" s="1168"/>
      <c r="DW253" s="1168"/>
      <c r="DX253" s="1168"/>
      <c r="DY253" s="1168"/>
      <c r="DZ253" s="1168"/>
      <c r="EA253" s="1168"/>
      <c r="EB253" s="1168"/>
      <c r="EC253" s="1168"/>
      <c r="ED253" s="1168"/>
      <c r="EE253" s="1168"/>
      <c r="EF253" s="1168"/>
      <c r="EG253" s="1168"/>
      <c r="EH253" s="1168"/>
      <c r="EI253" s="1170"/>
      <c r="EJ253" s="1170"/>
      <c r="EK253" s="1170"/>
      <c r="EL253" s="1170"/>
      <c r="EM253" s="1170"/>
      <c r="EN253" s="1170"/>
      <c r="EO253" s="1170"/>
      <c r="EP253" s="1170"/>
      <c r="EQ253" s="1170"/>
      <c r="ER253" s="1170"/>
      <c r="ES253" s="1171"/>
      <c r="ET253" s="1171"/>
      <c r="EU253" s="1171"/>
      <c r="EV253" s="1171"/>
      <c r="EW253" s="1171"/>
      <c r="EX253" s="1171"/>
      <c r="EY253" s="1171"/>
      <c r="EZ253" s="1171"/>
      <c r="FA253" s="1171"/>
      <c r="FB253" s="1171"/>
      <c r="FC253" s="1171"/>
      <c r="FD253" s="1171"/>
      <c r="FE253" s="1171"/>
      <c r="FF253" s="1171"/>
      <c r="FG253" s="1171"/>
      <c r="FH253" s="1171"/>
      <c r="FI253" s="1171"/>
      <c r="FJ253" s="1171"/>
      <c r="FK253" s="1171"/>
      <c r="FL253" s="1171"/>
      <c r="FM253" s="1171"/>
      <c r="FN253" s="1171"/>
      <c r="FO253" s="1171"/>
      <c r="FP253" s="1171"/>
    </row>
    <row r="254" spans="1:172" s="607" customFormat="1">
      <c r="A254" s="607">
        <f t="shared" si="6"/>
        <v>1991</v>
      </c>
      <c r="B254" s="607">
        <f t="shared" si="7"/>
        <v>2</v>
      </c>
      <c r="C254" s="666">
        <v>33390</v>
      </c>
      <c r="D254" s="957">
        <v>0.76043157894736835</v>
      </c>
      <c r="E254" s="920">
        <v>214.24399305263157</v>
      </c>
      <c r="F254" s="920">
        <v>281.74</v>
      </c>
      <c r="G254" s="920"/>
      <c r="H254" s="920"/>
      <c r="I254" s="954">
        <v>366.49</v>
      </c>
      <c r="J254" s="954">
        <v>483.83</v>
      </c>
      <c r="K254" s="954"/>
      <c r="L254" s="920"/>
      <c r="M254" s="917">
        <v>8296.25</v>
      </c>
      <c r="N254" s="917">
        <v>10909.923035395414</v>
      </c>
      <c r="O254" s="1175">
        <v>2219.4</v>
      </c>
      <c r="P254" s="1175">
        <v>2918.6057778823665</v>
      </c>
      <c r="Q254" s="1175">
        <v>549.48</v>
      </c>
      <c r="R254" s="1175">
        <v>722.58966514859992</v>
      </c>
      <c r="S254" s="1175">
        <v>1062.4000000000001</v>
      </c>
      <c r="T254" s="1175">
        <v>1397.1013690286682</v>
      </c>
      <c r="U254" s="920">
        <v>330.78773684210523</v>
      </c>
      <c r="V254" s="920">
        <v>435</v>
      </c>
      <c r="W254" s="920">
        <v>1630.061905109563</v>
      </c>
      <c r="X254" s="920">
        <v>2143.6010158415374</v>
      </c>
      <c r="Y254" s="920"/>
      <c r="Z254" s="920"/>
      <c r="AA254" s="920"/>
      <c r="AB254" s="920"/>
      <c r="AC254" s="920"/>
      <c r="AD254" s="920">
        <v>6.0018226793386278</v>
      </c>
      <c r="AE254" s="920"/>
      <c r="AF254" s="920"/>
      <c r="AG254" s="920"/>
      <c r="AH254" s="920"/>
      <c r="AI254" s="920"/>
      <c r="AJ254" s="920"/>
      <c r="AK254" s="920">
        <v>18.34</v>
      </c>
      <c r="AL254" s="920">
        <v>24.117883196522751</v>
      </c>
      <c r="AM254" s="920">
        <v>20</v>
      </c>
      <c r="AN254" s="920">
        <v>26.300854085630046</v>
      </c>
      <c r="AO254" s="920"/>
      <c r="AP254" s="920"/>
      <c r="AS254" s="1167"/>
      <c r="AT254" s="1167"/>
      <c r="AU254" s="1168"/>
      <c r="AV254" s="1168"/>
      <c r="AW254" s="1169"/>
      <c r="AX254" s="1169"/>
      <c r="AY254" s="1169"/>
      <c r="AZ254" s="1169"/>
      <c r="BA254" s="1799" t="s">
        <v>280</v>
      </c>
      <c r="BB254" s="1802">
        <v>2011</v>
      </c>
      <c r="BC254" s="1799" t="s">
        <v>20</v>
      </c>
      <c r="BD254" s="1799">
        <v>6</v>
      </c>
      <c r="BE254" s="1800">
        <v>34798913.290000007</v>
      </c>
      <c r="BF254" s="1801">
        <v>3.7380297485742953E-2</v>
      </c>
      <c r="BG254" s="1799"/>
      <c r="BH254" s="1799" t="s">
        <v>3</v>
      </c>
      <c r="BI254" s="1799" t="s">
        <v>311</v>
      </c>
      <c r="BJ254" s="1799" t="s">
        <v>42</v>
      </c>
      <c r="BK254" s="1799">
        <v>6</v>
      </c>
      <c r="BL254" s="1800">
        <v>253738823.90317833</v>
      </c>
      <c r="BM254" s="1801">
        <v>3.1780436216263704E-2</v>
      </c>
      <c r="BN254" s="1799">
        <v>2006</v>
      </c>
      <c r="BO254" s="1684"/>
      <c r="BP254" s="1696"/>
      <c r="BQ254" s="1169"/>
      <c r="BR254" s="1169"/>
      <c r="BS254" s="1169"/>
      <c r="BT254" s="1169"/>
      <c r="BU254" s="1169"/>
      <c r="BV254" s="1169"/>
      <c r="BW254" s="1169"/>
      <c r="BX254" s="1169"/>
      <c r="BY254" s="1169"/>
      <c r="BZ254" s="1169"/>
      <c r="CA254" s="1169"/>
      <c r="CB254" s="1169"/>
      <c r="CC254" s="1169"/>
      <c r="CD254" s="1169"/>
      <c r="CE254" s="1169"/>
      <c r="CF254" s="1169"/>
      <c r="CG254" s="1169"/>
      <c r="CH254" s="1169"/>
      <c r="CI254" s="1169"/>
      <c r="CJ254" s="1169"/>
      <c r="CK254" s="1169"/>
      <c r="CL254" s="1169"/>
      <c r="CM254" s="1169"/>
      <c r="CN254" s="1169"/>
      <c r="CO254" s="1169"/>
      <c r="CP254" s="1169"/>
      <c r="CQ254" s="1169"/>
      <c r="CR254" s="1169"/>
      <c r="CS254" s="1169"/>
      <c r="CT254" s="1169"/>
      <c r="CU254" s="1169"/>
      <c r="CV254" s="1169"/>
      <c r="CW254" s="1169"/>
      <c r="CX254" s="1169"/>
      <c r="CY254" s="1169"/>
      <c r="CZ254" s="1169"/>
      <c r="DA254" s="1168"/>
      <c r="DB254" s="1168"/>
      <c r="DC254" s="1168"/>
      <c r="DD254" s="1168"/>
      <c r="DE254" s="1168"/>
      <c r="DF254" s="1168"/>
      <c r="DG254" s="1168"/>
      <c r="DH254" s="1168"/>
      <c r="DI254" s="1168"/>
      <c r="DJ254" s="1168"/>
      <c r="DK254" s="1168"/>
      <c r="DL254" s="1168"/>
      <c r="DM254" s="1168"/>
      <c r="DN254" s="1168"/>
      <c r="DO254" s="1168"/>
      <c r="DP254" s="1168"/>
      <c r="DQ254" s="1168"/>
      <c r="DR254" s="1168"/>
      <c r="DS254" s="1168"/>
      <c r="DT254" s="1168"/>
      <c r="DU254" s="1168"/>
      <c r="DV254" s="1168"/>
      <c r="DW254" s="1168"/>
      <c r="DX254" s="1168"/>
      <c r="DY254" s="1168"/>
      <c r="DZ254" s="1168"/>
      <c r="EA254" s="1168"/>
      <c r="EB254" s="1168"/>
      <c r="EC254" s="1168"/>
      <c r="ED254" s="1168"/>
      <c r="EE254" s="1168"/>
      <c r="EF254" s="1168"/>
      <c r="EG254" s="1168"/>
      <c r="EH254" s="1168"/>
      <c r="EI254" s="1170"/>
      <c r="EJ254" s="1170"/>
      <c r="EK254" s="1170"/>
      <c r="EL254" s="1170"/>
      <c r="EM254" s="1170"/>
      <c r="EN254" s="1170"/>
      <c r="EO254" s="1170"/>
      <c r="EP254" s="1170"/>
      <c r="EQ254" s="1170"/>
      <c r="ER254" s="1170"/>
      <c r="ES254" s="1171"/>
      <c r="ET254" s="1171"/>
      <c r="EU254" s="1171"/>
      <c r="EV254" s="1171"/>
      <c r="EW254" s="1171"/>
      <c r="EX254" s="1171"/>
      <c r="EY254" s="1171"/>
      <c r="EZ254" s="1171"/>
      <c r="FA254" s="1171"/>
      <c r="FB254" s="1171"/>
      <c r="FC254" s="1171"/>
      <c r="FD254" s="1171"/>
      <c r="FE254" s="1171"/>
      <c r="FF254" s="1171"/>
      <c r="FG254" s="1171"/>
      <c r="FH254" s="1171"/>
      <c r="FI254" s="1171"/>
      <c r="FJ254" s="1171"/>
      <c r="FK254" s="1171"/>
      <c r="FL254" s="1171"/>
      <c r="FM254" s="1171"/>
      <c r="FN254" s="1171"/>
      <c r="FO254" s="1171"/>
      <c r="FP254" s="1171"/>
    </row>
    <row r="255" spans="1:172" s="607" customFormat="1">
      <c r="A255" s="607">
        <f t="shared" si="6"/>
        <v>1991</v>
      </c>
      <c r="B255" s="607">
        <f t="shared" si="7"/>
        <v>3</v>
      </c>
      <c r="C255" s="666">
        <v>33420</v>
      </c>
      <c r="D255" s="1709">
        <v>0.77106521739130451</v>
      </c>
      <c r="E255" s="1117">
        <v>202.76702021739138</v>
      </c>
      <c r="F255" s="1117">
        <v>262.97000000000003</v>
      </c>
      <c r="G255" s="1117"/>
      <c r="H255" s="1117"/>
      <c r="I255" s="959">
        <v>368</v>
      </c>
      <c r="J255" s="959">
        <v>479</v>
      </c>
      <c r="K255" s="960"/>
      <c r="L255" s="1121"/>
      <c r="M255" s="916">
        <v>8541.2999999999993</v>
      </c>
      <c r="N255" s="916">
        <v>11077.273111731367</v>
      </c>
      <c r="O255" s="1174">
        <v>2231.3000000000002</v>
      </c>
      <c r="P255" s="1174">
        <v>2893.7889424567929</v>
      </c>
      <c r="Q255" s="1174">
        <v>546.96</v>
      </c>
      <c r="R255" s="1174">
        <v>709.3563393385773</v>
      </c>
      <c r="S255" s="1174">
        <v>1064.0999999999999</v>
      </c>
      <c r="T255" s="1174">
        <v>1380.0389072147505</v>
      </c>
      <c r="U255" s="1120">
        <v>288.37839130434787</v>
      </c>
      <c r="V255" s="1120">
        <v>374</v>
      </c>
      <c r="W255" s="1120">
        <v>1625.5320853234921</v>
      </c>
      <c r="X255" s="1120">
        <v>2108.164197605814</v>
      </c>
      <c r="Y255" s="1119"/>
      <c r="Z255" s="1119"/>
      <c r="AA255" s="1119"/>
      <c r="AB255" s="1119"/>
      <c r="AC255" s="1178"/>
      <c r="AD255" s="1178">
        <v>5.903536977491961</v>
      </c>
      <c r="AE255" s="1178"/>
      <c r="AF255" s="1178"/>
      <c r="AG255" s="1178"/>
      <c r="AH255" s="1178"/>
      <c r="AI255" s="1178"/>
      <c r="AJ255" s="1178"/>
      <c r="AK255" s="919">
        <v>18.34</v>
      </c>
      <c r="AL255" s="919">
        <v>23.785277284389181</v>
      </c>
      <c r="AM255" s="919">
        <v>20.2</v>
      </c>
      <c r="AN255" s="919">
        <v>26.197524598945552</v>
      </c>
      <c r="AO255" s="919"/>
      <c r="AP255" s="919"/>
      <c r="AS255" s="1167"/>
      <c r="AT255" s="1167"/>
      <c r="AU255" s="1168"/>
      <c r="AV255" s="1168"/>
      <c r="AW255" s="1169"/>
      <c r="AX255" s="1169"/>
      <c r="AY255" s="1169"/>
      <c r="AZ255" s="1169"/>
      <c r="BA255" s="1799" t="s">
        <v>280</v>
      </c>
      <c r="BB255" s="1802">
        <v>2011</v>
      </c>
      <c r="BC255" s="1799" t="s">
        <v>21</v>
      </c>
      <c r="BD255" s="1799">
        <v>7</v>
      </c>
      <c r="BE255" s="1800">
        <v>29775230.719999995</v>
      </c>
      <c r="BF255" s="1801">
        <v>3.1983958026070645E-2</v>
      </c>
      <c r="BG255" s="1799"/>
      <c r="BH255" s="1799" t="s">
        <v>3</v>
      </c>
      <c r="BI255" s="1799" t="s">
        <v>311</v>
      </c>
      <c r="BJ255" s="1799" t="s">
        <v>47</v>
      </c>
      <c r="BK255" s="1799">
        <v>7</v>
      </c>
      <c r="BL255" s="1800">
        <v>145024295.43139207</v>
      </c>
      <c r="BM255" s="1801">
        <v>1.8164092115933419E-2</v>
      </c>
      <c r="BN255" s="1799">
        <v>2006</v>
      </c>
      <c r="BO255" s="1684"/>
      <c r="BP255" s="1696"/>
      <c r="BQ255" s="1169"/>
      <c r="BR255" s="1169"/>
      <c r="BS255" s="1169"/>
      <c r="BT255" s="1169"/>
      <c r="BU255" s="1169"/>
      <c r="BV255" s="1169"/>
      <c r="BW255" s="1169"/>
      <c r="BX255" s="1169"/>
      <c r="BY255" s="1169"/>
      <c r="BZ255" s="1169"/>
      <c r="CA255" s="1169"/>
      <c r="CB255" s="1169"/>
      <c r="CC255" s="1169"/>
      <c r="CD255" s="1169"/>
      <c r="CE255" s="1169"/>
      <c r="CF255" s="1169"/>
      <c r="CG255" s="1169"/>
      <c r="CH255" s="1169"/>
      <c r="CI255" s="1169"/>
      <c r="CJ255" s="1169"/>
      <c r="CK255" s="1169"/>
      <c r="CL255" s="1169"/>
      <c r="CM255" s="1169"/>
      <c r="CN255" s="1169"/>
      <c r="CO255" s="1169"/>
      <c r="CP255" s="1169"/>
      <c r="CQ255" s="1169"/>
      <c r="CR255" s="1169"/>
      <c r="CS255" s="1169"/>
      <c r="CT255" s="1169"/>
      <c r="CU255" s="1169"/>
      <c r="CV255" s="1169"/>
      <c r="CW255" s="1169"/>
      <c r="CX255" s="1169"/>
      <c r="CY255" s="1169"/>
      <c r="CZ255" s="1169"/>
      <c r="DA255" s="1168"/>
      <c r="DB255" s="1168"/>
      <c r="DC255" s="1168"/>
      <c r="DD255" s="1168"/>
      <c r="DE255" s="1168"/>
      <c r="DF255" s="1168"/>
      <c r="DG255" s="1168"/>
      <c r="DH255" s="1168"/>
      <c r="DI255" s="1168"/>
      <c r="DJ255" s="1168"/>
      <c r="DK255" s="1168"/>
      <c r="DL255" s="1168"/>
      <c r="DM255" s="1168"/>
      <c r="DN255" s="1168"/>
      <c r="DO255" s="1168"/>
      <c r="DP255" s="1168"/>
      <c r="DQ255" s="1168"/>
      <c r="DR255" s="1168"/>
      <c r="DS255" s="1168"/>
      <c r="DT255" s="1168"/>
      <c r="DU255" s="1168"/>
      <c r="DV255" s="1168"/>
      <c r="DW255" s="1168"/>
      <c r="DX255" s="1168"/>
      <c r="DY255" s="1168"/>
      <c r="DZ255" s="1168"/>
      <c r="EA255" s="1168"/>
      <c r="EB255" s="1168"/>
      <c r="EC255" s="1168"/>
      <c r="ED255" s="1168"/>
      <c r="EE255" s="1168"/>
      <c r="EF255" s="1168"/>
      <c r="EG255" s="1168"/>
      <c r="EH255" s="1168"/>
      <c r="EI255" s="1170"/>
      <c r="EJ255" s="1170"/>
      <c r="EK255" s="1170"/>
      <c r="EL255" s="1170"/>
      <c r="EM255" s="1170"/>
      <c r="EN255" s="1170"/>
      <c r="EO255" s="1170"/>
      <c r="EP255" s="1170"/>
      <c r="EQ255" s="1170"/>
      <c r="ER255" s="1170"/>
      <c r="ES255" s="1171"/>
      <c r="ET255" s="1171"/>
      <c r="EU255" s="1171"/>
      <c r="EV255" s="1171"/>
      <c r="EW255" s="1171"/>
      <c r="EX255" s="1171"/>
      <c r="EY255" s="1171"/>
      <c r="EZ255" s="1171"/>
      <c r="FA255" s="1171"/>
      <c r="FB255" s="1171"/>
      <c r="FC255" s="1171"/>
      <c r="FD255" s="1171"/>
      <c r="FE255" s="1171"/>
      <c r="FF255" s="1171"/>
      <c r="FG255" s="1171"/>
      <c r="FH255" s="1171"/>
      <c r="FI255" s="1171"/>
      <c r="FJ255" s="1171"/>
      <c r="FK255" s="1171"/>
      <c r="FL255" s="1171"/>
      <c r="FM255" s="1171"/>
      <c r="FN255" s="1171"/>
      <c r="FO255" s="1171"/>
      <c r="FP255" s="1171"/>
    </row>
    <row r="256" spans="1:172" s="607" customFormat="1">
      <c r="A256" s="607">
        <f t="shared" si="6"/>
        <v>1991</v>
      </c>
      <c r="B256" s="607">
        <f t="shared" si="7"/>
        <v>3</v>
      </c>
      <c r="C256" s="666">
        <v>33451</v>
      </c>
      <c r="D256" s="957">
        <v>0.78238636363636371</v>
      </c>
      <c r="E256" s="920">
        <v>200.51780113636366</v>
      </c>
      <c r="F256" s="920">
        <v>256.29000000000002</v>
      </c>
      <c r="G256" s="920"/>
      <c r="H256" s="920"/>
      <c r="I256" s="954">
        <v>357.21</v>
      </c>
      <c r="J256" s="954">
        <v>458.42</v>
      </c>
      <c r="K256" s="954"/>
      <c r="L256" s="920"/>
      <c r="M256" s="917">
        <v>8144.71</v>
      </c>
      <c r="N256" s="917">
        <v>10410.086855482932</v>
      </c>
      <c r="O256" s="1175">
        <v>2231.4</v>
      </c>
      <c r="P256" s="1175">
        <v>2852.0435729847495</v>
      </c>
      <c r="Q256" s="1175">
        <v>538.36</v>
      </c>
      <c r="R256" s="1175">
        <v>688.09992737835876</v>
      </c>
      <c r="S256" s="1175">
        <v>1046.2</v>
      </c>
      <c r="T256" s="1175">
        <v>1337.1909949164851</v>
      </c>
      <c r="U256" s="920">
        <v>292.61250000000001</v>
      </c>
      <c r="V256" s="920">
        <v>374</v>
      </c>
      <c r="W256" s="920">
        <v>1611.6466219661377</v>
      </c>
      <c r="X256" s="920">
        <v>2059.9114412929571</v>
      </c>
      <c r="Y256" s="920"/>
      <c r="Z256" s="920"/>
      <c r="AA256" s="920"/>
      <c r="AB256" s="920"/>
      <c r="AC256" s="920"/>
      <c r="AD256" s="920">
        <v>5.3161652218255995</v>
      </c>
      <c r="AE256" s="920"/>
      <c r="AF256" s="920"/>
      <c r="AG256" s="920"/>
      <c r="AH256" s="920"/>
      <c r="AI256" s="920"/>
      <c r="AJ256" s="920"/>
      <c r="AK256" s="920">
        <v>20.49</v>
      </c>
      <c r="AL256" s="920">
        <v>26.189106753812631</v>
      </c>
      <c r="AM256" s="920">
        <v>20.2</v>
      </c>
      <c r="AN256" s="920">
        <v>25.818445896877265</v>
      </c>
      <c r="AO256" s="920"/>
      <c r="AP256" s="920"/>
      <c r="AS256" s="1167"/>
      <c r="AT256" s="1167"/>
      <c r="AU256" s="1168"/>
      <c r="AV256" s="1168"/>
      <c r="AW256" s="1169"/>
      <c r="AX256" s="1169"/>
      <c r="AY256" s="1169"/>
      <c r="AZ256" s="1169"/>
      <c r="BA256" s="1799" t="s">
        <v>280</v>
      </c>
      <c r="BB256" s="1802">
        <v>2011</v>
      </c>
      <c r="BC256" s="1799" t="s">
        <v>583</v>
      </c>
      <c r="BD256" s="1799">
        <v>8</v>
      </c>
      <c r="BE256" s="1800">
        <v>27238459.690000005</v>
      </c>
      <c r="BF256" s="1801">
        <v>2.9259009262171638E-2</v>
      </c>
      <c r="BG256" s="1799"/>
      <c r="BH256" s="1799" t="s">
        <v>3</v>
      </c>
      <c r="BI256" s="1799" t="s">
        <v>311</v>
      </c>
      <c r="BJ256" s="1799" t="s">
        <v>44</v>
      </c>
      <c r="BK256" s="1799">
        <v>8</v>
      </c>
      <c r="BL256" s="1800">
        <v>123012672.22183648</v>
      </c>
      <c r="BM256" s="1801">
        <v>1.5407166799314779E-2</v>
      </c>
      <c r="BN256" s="1799">
        <v>2006</v>
      </c>
      <c r="BO256" s="1684"/>
      <c r="BP256" s="1696"/>
      <c r="BQ256" s="1169"/>
      <c r="BR256" s="1169"/>
      <c r="BS256" s="1169"/>
      <c r="BT256" s="1169"/>
      <c r="BU256" s="1169"/>
      <c r="BV256" s="1169"/>
      <c r="BW256" s="1169"/>
      <c r="BX256" s="1169"/>
      <c r="BY256" s="1169"/>
      <c r="BZ256" s="1169"/>
      <c r="CA256" s="1169"/>
      <c r="CB256" s="1169"/>
      <c r="CC256" s="1169"/>
      <c r="CD256" s="1169"/>
      <c r="CE256" s="1169"/>
      <c r="CF256" s="1169"/>
      <c r="CG256" s="1169"/>
      <c r="CH256" s="1169"/>
      <c r="CI256" s="1169"/>
      <c r="CJ256" s="1169"/>
      <c r="CK256" s="1169"/>
      <c r="CL256" s="1169"/>
      <c r="CM256" s="1169"/>
      <c r="CN256" s="1169"/>
      <c r="CO256" s="1169"/>
      <c r="CP256" s="1169"/>
      <c r="CQ256" s="1169"/>
      <c r="CR256" s="1169"/>
      <c r="CS256" s="1169"/>
      <c r="CT256" s="1169"/>
      <c r="CU256" s="1169"/>
      <c r="CV256" s="1169"/>
      <c r="CW256" s="1169"/>
      <c r="CX256" s="1169"/>
      <c r="CY256" s="1169"/>
      <c r="CZ256" s="1169"/>
      <c r="DA256" s="1168"/>
      <c r="DB256" s="1168"/>
      <c r="DC256" s="1168"/>
      <c r="DD256" s="1168"/>
      <c r="DE256" s="1168"/>
      <c r="DF256" s="1168"/>
      <c r="DG256" s="1168"/>
      <c r="DH256" s="1168"/>
      <c r="DI256" s="1168"/>
      <c r="DJ256" s="1168"/>
      <c r="DK256" s="1168"/>
      <c r="DL256" s="1168"/>
      <c r="DM256" s="1168"/>
      <c r="DN256" s="1168"/>
      <c r="DO256" s="1168"/>
      <c r="DP256" s="1168"/>
      <c r="DQ256" s="1168"/>
      <c r="DR256" s="1168"/>
      <c r="DS256" s="1168"/>
      <c r="DT256" s="1168"/>
      <c r="DU256" s="1168"/>
      <c r="DV256" s="1168"/>
      <c r="DW256" s="1168"/>
      <c r="DX256" s="1168"/>
      <c r="DY256" s="1168"/>
      <c r="DZ256" s="1168"/>
      <c r="EA256" s="1168"/>
      <c r="EB256" s="1168"/>
      <c r="EC256" s="1168"/>
      <c r="ED256" s="1168"/>
      <c r="EE256" s="1168"/>
      <c r="EF256" s="1168"/>
      <c r="EG256" s="1168"/>
      <c r="EH256" s="1168"/>
      <c r="EI256" s="1170"/>
      <c r="EJ256" s="1170"/>
      <c r="EK256" s="1170"/>
      <c r="EL256" s="1170"/>
      <c r="EM256" s="1170"/>
      <c r="EN256" s="1170"/>
      <c r="EO256" s="1170"/>
      <c r="EP256" s="1170"/>
      <c r="EQ256" s="1170"/>
      <c r="ER256" s="1170"/>
      <c r="ES256" s="1171"/>
      <c r="ET256" s="1171"/>
      <c r="EU256" s="1171"/>
      <c r="EV256" s="1171"/>
      <c r="EW256" s="1171"/>
      <c r="EX256" s="1171"/>
      <c r="EY256" s="1171"/>
      <c r="EZ256" s="1171"/>
      <c r="FA256" s="1171"/>
      <c r="FB256" s="1171"/>
      <c r="FC256" s="1171"/>
      <c r="FD256" s="1171"/>
      <c r="FE256" s="1171"/>
      <c r="FF256" s="1171"/>
      <c r="FG256" s="1171"/>
      <c r="FH256" s="1171"/>
      <c r="FI256" s="1171"/>
      <c r="FJ256" s="1171"/>
      <c r="FK256" s="1171"/>
      <c r="FL256" s="1171"/>
      <c r="FM256" s="1171"/>
      <c r="FN256" s="1171"/>
      <c r="FO256" s="1171"/>
      <c r="FP256" s="1171"/>
    </row>
    <row r="257" spans="1:172" s="607" customFormat="1">
      <c r="A257" s="607">
        <f t="shared" si="6"/>
        <v>1991</v>
      </c>
      <c r="B257" s="607">
        <f t="shared" si="7"/>
        <v>3</v>
      </c>
      <c r="C257" s="666">
        <v>33482</v>
      </c>
      <c r="D257" s="1709">
        <v>0.79273809523809513</v>
      </c>
      <c r="E257" s="1117">
        <v>205.11305476190475</v>
      </c>
      <c r="F257" s="1117">
        <v>258.74</v>
      </c>
      <c r="G257" s="1117"/>
      <c r="H257" s="1117"/>
      <c r="I257" s="959">
        <v>348.56</v>
      </c>
      <c r="J257" s="959">
        <v>441.66</v>
      </c>
      <c r="K257" s="960"/>
      <c r="L257" s="1121"/>
      <c r="M257" s="916">
        <v>7688.75</v>
      </c>
      <c r="N257" s="916">
        <v>9698.9788256494976</v>
      </c>
      <c r="O257" s="1174">
        <v>2322.5</v>
      </c>
      <c r="P257" s="1174">
        <v>2929.7191770536119</v>
      </c>
      <c r="Q257" s="1174">
        <v>539.34</v>
      </c>
      <c r="R257" s="1174">
        <v>680.35080342393769</v>
      </c>
      <c r="S257" s="1174">
        <v>1023.6</v>
      </c>
      <c r="T257" s="1174">
        <v>1291.2209040396458</v>
      </c>
      <c r="U257" s="1120">
        <v>296.4840476190476</v>
      </c>
      <c r="V257" s="1120">
        <v>374</v>
      </c>
      <c r="W257" s="1120">
        <v>1611.4582208590523</v>
      </c>
      <c r="X257" s="1120">
        <v>2032.775049589434</v>
      </c>
      <c r="Y257" s="1119"/>
      <c r="Z257" s="1119"/>
      <c r="AA257" s="1119"/>
      <c r="AB257" s="1119"/>
      <c r="AC257" s="1178"/>
      <c r="AD257" s="1178">
        <v>5.3132832080200503</v>
      </c>
      <c r="AE257" s="1178"/>
      <c r="AF257" s="1178"/>
      <c r="AG257" s="1178"/>
      <c r="AH257" s="1178"/>
      <c r="AI257" s="1178"/>
      <c r="AJ257" s="1178"/>
      <c r="AK257" s="919">
        <v>20.99</v>
      </c>
      <c r="AL257" s="919">
        <v>26.477849526956</v>
      </c>
      <c r="AM257" s="919">
        <v>20.7</v>
      </c>
      <c r="AN257" s="919">
        <v>26.112028833158135</v>
      </c>
      <c r="AO257" s="919"/>
      <c r="AP257" s="919"/>
      <c r="AS257" s="1167"/>
      <c r="AT257" s="1167"/>
      <c r="AU257" s="1168"/>
      <c r="AV257" s="1168"/>
      <c r="AW257" s="1169"/>
      <c r="AX257" s="1169"/>
      <c r="AY257" s="1169"/>
      <c r="AZ257" s="1169"/>
      <c r="BA257" s="1799" t="s">
        <v>280</v>
      </c>
      <c r="BB257" s="1802">
        <v>2011</v>
      </c>
      <c r="BC257" s="1799" t="s">
        <v>47</v>
      </c>
      <c r="BD257" s="1799">
        <v>9</v>
      </c>
      <c r="BE257" s="1800">
        <v>26375176.350000001</v>
      </c>
      <c r="BF257" s="1801">
        <v>2.8331687543968469E-2</v>
      </c>
      <c r="BG257" s="1799"/>
      <c r="BH257" s="1799" t="s">
        <v>3</v>
      </c>
      <c r="BI257" s="1799" t="s">
        <v>311</v>
      </c>
      <c r="BJ257" s="1799" t="s">
        <v>581</v>
      </c>
      <c r="BK257" s="1799">
        <v>9</v>
      </c>
      <c r="BL257" s="1800">
        <v>121713774.95107523</v>
      </c>
      <c r="BM257" s="1801">
        <v>1.5244481715377216E-2</v>
      </c>
      <c r="BN257" s="1799">
        <v>2006</v>
      </c>
      <c r="BO257" s="1684"/>
      <c r="BP257" s="1696"/>
      <c r="BQ257" s="1169"/>
      <c r="BR257" s="1169"/>
      <c r="BS257" s="1169"/>
      <c r="BT257" s="1169"/>
      <c r="BU257" s="1169"/>
      <c r="BV257" s="1169"/>
      <c r="BW257" s="1169"/>
      <c r="BX257" s="1169"/>
      <c r="BY257" s="1169"/>
      <c r="BZ257" s="1169"/>
      <c r="CA257" s="1169"/>
      <c r="CB257" s="1169"/>
      <c r="CC257" s="1169"/>
      <c r="CD257" s="1169"/>
      <c r="CE257" s="1169"/>
      <c r="CF257" s="1169"/>
      <c r="CG257" s="1169"/>
      <c r="CH257" s="1169"/>
      <c r="CI257" s="1169"/>
      <c r="CJ257" s="1169"/>
      <c r="CK257" s="1169"/>
      <c r="CL257" s="1169"/>
      <c r="CM257" s="1169"/>
      <c r="CN257" s="1169"/>
      <c r="CO257" s="1169"/>
      <c r="CP257" s="1169"/>
      <c r="CQ257" s="1169"/>
      <c r="CR257" s="1169"/>
      <c r="CS257" s="1169"/>
      <c r="CT257" s="1169"/>
      <c r="CU257" s="1169"/>
      <c r="CV257" s="1169"/>
      <c r="CW257" s="1169"/>
      <c r="CX257" s="1169"/>
      <c r="CY257" s="1169"/>
      <c r="CZ257" s="1169"/>
      <c r="DA257" s="1168"/>
      <c r="DB257" s="1168"/>
      <c r="DC257" s="1168"/>
      <c r="DD257" s="1168"/>
      <c r="DE257" s="1168"/>
      <c r="DF257" s="1168"/>
      <c r="DG257" s="1168"/>
      <c r="DH257" s="1168"/>
      <c r="DI257" s="1168"/>
      <c r="DJ257" s="1168"/>
      <c r="DK257" s="1168"/>
      <c r="DL257" s="1168"/>
      <c r="DM257" s="1168"/>
      <c r="DN257" s="1168"/>
      <c r="DO257" s="1168"/>
      <c r="DP257" s="1168"/>
      <c r="DQ257" s="1168"/>
      <c r="DR257" s="1168"/>
      <c r="DS257" s="1168"/>
      <c r="DT257" s="1168"/>
      <c r="DU257" s="1168"/>
      <c r="DV257" s="1168"/>
      <c r="DW257" s="1168"/>
      <c r="DX257" s="1168"/>
      <c r="DY257" s="1168"/>
      <c r="DZ257" s="1168"/>
      <c r="EA257" s="1168"/>
      <c r="EB257" s="1168"/>
      <c r="EC257" s="1168"/>
      <c r="ED257" s="1168"/>
      <c r="EE257" s="1168"/>
      <c r="EF257" s="1168"/>
      <c r="EG257" s="1168"/>
      <c r="EH257" s="1168"/>
      <c r="EI257" s="1170"/>
      <c r="EJ257" s="1170"/>
      <c r="EK257" s="1170"/>
      <c r="EL257" s="1170"/>
      <c r="EM257" s="1170"/>
      <c r="EN257" s="1170"/>
      <c r="EO257" s="1170"/>
      <c r="EP257" s="1170"/>
      <c r="EQ257" s="1170"/>
      <c r="ER257" s="1170"/>
      <c r="ES257" s="1171"/>
      <c r="ET257" s="1171"/>
      <c r="EU257" s="1171"/>
      <c r="EV257" s="1171"/>
      <c r="EW257" s="1171"/>
      <c r="EX257" s="1171"/>
      <c r="EY257" s="1171"/>
      <c r="EZ257" s="1171"/>
      <c r="FA257" s="1171"/>
      <c r="FB257" s="1171"/>
      <c r="FC257" s="1171"/>
      <c r="FD257" s="1171"/>
      <c r="FE257" s="1171"/>
      <c r="FF257" s="1171"/>
      <c r="FG257" s="1171"/>
      <c r="FH257" s="1171"/>
      <c r="FI257" s="1171"/>
      <c r="FJ257" s="1171"/>
      <c r="FK257" s="1171"/>
      <c r="FL257" s="1171"/>
      <c r="FM257" s="1171"/>
      <c r="FN257" s="1171"/>
      <c r="FO257" s="1171"/>
      <c r="FP257" s="1171"/>
    </row>
    <row r="258" spans="1:172" s="607" customFormat="1">
      <c r="A258" s="607">
        <f t="shared" si="6"/>
        <v>1991</v>
      </c>
      <c r="B258" s="607">
        <f t="shared" si="7"/>
        <v>4</v>
      </c>
      <c r="C258" s="666">
        <v>33512</v>
      </c>
      <c r="D258" s="957">
        <v>0.79377391304347822</v>
      </c>
      <c r="E258" s="920">
        <v>195.54620347826085</v>
      </c>
      <c r="F258" s="920">
        <v>246.35</v>
      </c>
      <c r="G258" s="920"/>
      <c r="H258" s="920"/>
      <c r="I258" s="954">
        <v>358.95</v>
      </c>
      <c r="J258" s="954">
        <v>453.87</v>
      </c>
      <c r="K258" s="954"/>
      <c r="L258" s="920"/>
      <c r="M258" s="917">
        <v>7444.8</v>
      </c>
      <c r="N258" s="917">
        <v>9378.9930327330094</v>
      </c>
      <c r="O258" s="1175">
        <v>2360.9</v>
      </c>
      <c r="P258" s="1175">
        <v>2974.2725997984317</v>
      </c>
      <c r="Q258" s="1175">
        <v>521.79999999999995</v>
      </c>
      <c r="R258" s="1175">
        <v>657.36602252311468</v>
      </c>
      <c r="S258" s="1175">
        <v>992.09</v>
      </c>
      <c r="T258" s="1175">
        <v>1249.8395118531178</v>
      </c>
      <c r="U258" s="920">
        <v>247.6574608695652</v>
      </c>
      <c r="V258" s="920">
        <v>312</v>
      </c>
      <c r="W258" s="920">
        <v>1593.9464797784626</v>
      </c>
      <c r="X258" s="920">
        <v>2008.0610531366199</v>
      </c>
      <c r="Y258" s="920"/>
      <c r="Z258" s="920"/>
      <c r="AA258" s="920"/>
      <c r="AB258" s="920"/>
      <c r="AC258" s="920"/>
      <c r="AD258" s="920">
        <v>5.4378350778657136</v>
      </c>
      <c r="AE258" s="920"/>
      <c r="AF258" s="920"/>
      <c r="AG258" s="920"/>
      <c r="AH258" s="920"/>
      <c r="AI258" s="920"/>
      <c r="AJ258" s="920"/>
      <c r="AK258" s="920">
        <v>20.99</v>
      </c>
      <c r="AL258" s="920">
        <v>26.443297839709039</v>
      </c>
      <c r="AM258" s="920">
        <v>22</v>
      </c>
      <c r="AN258" s="920">
        <v>27.71570045133868</v>
      </c>
      <c r="AO258" s="920"/>
      <c r="AP258" s="920"/>
      <c r="AS258" s="1167"/>
      <c r="AT258" s="1167"/>
      <c r="AU258" s="1168"/>
      <c r="AV258" s="1168"/>
      <c r="AW258" s="1169"/>
      <c r="AX258" s="1169"/>
      <c r="AY258" s="1169"/>
      <c r="AZ258" s="1169"/>
      <c r="BA258" s="1799" t="s">
        <v>280</v>
      </c>
      <c r="BB258" s="1802">
        <v>2011</v>
      </c>
      <c r="BC258" s="1799" t="s">
        <v>18</v>
      </c>
      <c r="BD258" s="1799">
        <v>10</v>
      </c>
      <c r="BE258" s="1800">
        <v>25441316.079999998</v>
      </c>
      <c r="BF258" s="1801">
        <v>2.7328553497459388E-2</v>
      </c>
      <c r="BG258" s="1799"/>
      <c r="BH258" s="1799" t="s">
        <v>3</v>
      </c>
      <c r="BI258" s="1799" t="s">
        <v>311</v>
      </c>
      <c r="BJ258" s="1799" t="s">
        <v>583</v>
      </c>
      <c r="BK258" s="1799">
        <v>10</v>
      </c>
      <c r="BL258" s="1800">
        <v>72627375.023722231</v>
      </c>
      <c r="BM258" s="1801">
        <v>9.0964781186847633E-3</v>
      </c>
      <c r="BN258" s="1799">
        <v>2006</v>
      </c>
      <c r="BO258" s="1684"/>
      <c r="BP258" s="1696"/>
      <c r="BQ258" s="1169"/>
      <c r="BR258" s="1169"/>
      <c r="BS258" s="1169"/>
      <c r="BT258" s="1169"/>
      <c r="BU258" s="1169"/>
      <c r="BV258" s="1169"/>
      <c r="BW258" s="1169"/>
      <c r="BX258" s="1169"/>
      <c r="BY258" s="1169"/>
      <c r="BZ258" s="1169"/>
      <c r="CA258" s="1169"/>
      <c r="CB258" s="1169"/>
      <c r="CC258" s="1169"/>
      <c r="CD258" s="1169"/>
      <c r="CE258" s="1169"/>
      <c r="CF258" s="1169"/>
      <c r="CG258" s="1169"/>
      <c r="CH258" s="1169"/>
      <c r="CI258" s="1169"/>
      <c r="CJ258" s="1169"/>
      <c r="CK258" s="1169"/>
      <c r="CL258" s="1169"/>
      <c r="CM258" s="1169"/>
      <c r="CN258" s="1169"/>
      <c r="CO258" s="1169"/>
      <c r="CP258" s="1169"/>
      <c r="CQ258" s="1169"/>
      <c r="CR258" s="1169"/>
      <c r="CS258" s="1169"/>
      <c r="CT258" s="1169"/>
      <c r="CU258" s="1169"/>
      <c r="CV258" s="1169"/>
      <c r="CW258" s="1169"/>
      <c r="CX258" s="1169"/>
      <c r="CY258" s="1169"/>
      <c r="CZ258" s="1169"/>
      <c r="DA258" s="1168"/>
      <c r="DB258" s="1168"/>
      <c r="DC258" s="1168"/>
      <c r="DD258" s="1168"/>
      <c r="DE258" s="1168"/>
      <c r="DF258" s="1168"/>
      <c r="DG258" s="1168"/>
      <c r="DH258" s="1168"/>
      <c r="DI258" s="1168"/>
      <c r="DJ258" s="1168"/>
      <c r="DK258" s="1168"/>
      <c r="DL258" s="1168"/>
      <c r="DM258" s="1168"/>
      <c r="DN258" s="1168"/>
      <c r="DO258" s="1168"/>
      <c r="DP258" s="1168"/>
      <c r="DQ258" s="1168"/>
      <c r="DR258" s="1168"/>
      <c r="DS258" s="1168"/>
      <c r="DT258" s="1168"/>
      <c r="DU258" s="1168"/>
      <c r="DV258" s="1168"/>
      <c r="DW258" s="1168"/>
      <c r="DX258" s="1168"/>
      <c r="DY258" s="1168"/>
      <c r="DZ258" s="1168"/>
      <c r="EA258" s="1168"/>
      <c r="EB258" s="1168"/>
      <c r="EC258" s="1168"/>
      <c r="ED258" s="1168"/>
      <c r="EE258" s="1168"/>
      <c r="EF258" s="1168"/>
      <c r="EG258" s="1168"/>
      <c r="EH258" s="1168"/>
      <c r="EI258" s="1170"/>
      <c r="EJ258" s="1170"/>
      <c r="EK258" s="1170"/>
      <c r="EL258" s="1170"/>
      <c r="EM258" s="1170"/>
      <c r="EN258" s="1170"/>
      <c r="EO258" s="1170"/>
      <c r="EP258" s="1170"/>
      <c r="EQ258" s="1170"/>
      <c r="ER258" s="1170"/>
      <c r="ES258" s="1171"/>
      <c r="ET258" s="1171"/>
      <c r="EU258" s="1171"/>
      <c r="EV258" s="1171"/>
      <c r="EW258" s="1171"/>
      <c r="EX258" s="1171"/>
      <c r="EY258" s="1171"/>
      <c r="EZ258" s="1171"/>
      <c r="FA258" s="1171"/>
      <c r="FB258" s="1171"/>
      <c r="FC258" s="1171"/>
      <c r="FD258" s="1171"/>
      <c r="FE258" s="1171"/>
      <c r="FF258" s="1171"/>
      <c r="FG258" s="1171"/>
      <c r="FH258" s="1171"/>
      <c r="FI258" s="1171"/>
      <c r="FJ258" s="1171"/>
      <c r="FK258" s="1171"/>
      <c r="FL258" s="1171"/>
      <c r="FM258" s="1171"/>
      <c r="FN258" s="1171"/>
      <c r="FO258" s="1171"/>
      <c r="FP258" s="1171"/>
    </row>
    <row r="259" spans="1:172" s="607" customFormat="1">
      <c r="A259" s="607">
        <f t="shared" si="6"/>
        <v>1991</v>
      </c>
      <c r="B259" s="607">
        <f t="shared" si="7"/>
        <v>4</v>
      </c>
      <c r="C259" s="666">
        <v>33543</v>
      </c>
      <c r="D259" s="1709">
        <v>0.78635238095238114</v>
      </c>
      <c r="E259" s="1117">
        <v>193.96954180952383</v>
      </c>
      <c r="F259" s="1117">
        <v>246.67</v>
      </c>
      <c r="G259" s="1117"/>
      <c r="H259" s="1117"/>
      <c r="I259" s="959">
        <v>359.81</v>
      </c>
      <c r="J259" s="959">
        <v>459.82</v>
      </c>
      <c r="K259" s="960"/>
      <c r="L259" s="1121"/>
      <c r="M259" s="916">
        <v>7260.8</v>
      </c>
      <c r="N259" s="916">
        <v>9233.5194448145121</v>
      </c>
      <c r="O259" s="1174">
        <v>2377.3000000000002</v>
      </c>
      <c r="P259" s="1174">
        <v>3023.1993411411336</v>
      </c>
      <c r="Q259" s="1174">
        <v>506.55</v>
      </c>
      <c r="R259" s="1174">
        <v>644.17685031550127</v>
      </c>
      <c r="S259" s="1174">
        <v>1093.7</v>
      </c>
      <c r="T259" s="1174">
        <v>1390.8522775442971</v>
      </c>
      <c r="U259" s="1120">
        <v>245.34194285714293</v>
      </c>
      <c r="V259" s="1120">
        <v>312</v>
      </c>
      <c r="W259" s="1120">
        <v>1632.3956373635217</v>
      </c>
      <c r="X259" s="1120">
        <v>2075.9085581790514</v>
      </c>
      <c r="Y259" s="1119"/>
      <c r="Z259" s="1119"/>
      <c r="AA259" s="1119"/>
      <c r="AB259" s="1119"/>
      <c r="AC259" s="1178"/>
      <c r="AD259" s="1178">
        <v>5.4436511983681788</v>
      </c>
      <c r="AE259" s="1178"/>
      <c r="AF259" s="1178"/>
      <c r="AG259" s="1178"/>
      <c r="AH259" s="1178"/>
      <c r="AI259" s="1178"/>
      <c r="AJ259" s="1178"/>
      <c r="AK259" s="919">
        <v>20.190000000000001</v>
      </c>
      <c r="AL259" s="919">
        <v>25.675512008429514</v>
      </c>
      <c r="AM259" s="919">
        <v>23.1</v>
      </c>
      <c r="AN259" s="919">
        <v>29.376143011130349</v>
      </c>
      <c r="AO259" s="919"/>
      <c r="AP259" s="919"/>
      <c r="AS259" s="1167"/>
      <c r="AT259" s="1167"/>
      <c r="AU259" s="1168"/>
      <c r="AV259" s="1168"/>
      <c r="AW259" s="1169"/>
      <c r="AX259" s="1169"/>
      <c r="AY259" s="1169"/>
      <c r="AZ259" s="1169"/>
      <c r="BA259" s="1799" t="s">
        <v>280</v>
      </c>
      <c r="BB259" s="1802">
        <v>2011</v>
      </c>
      <c r="BC259" s="1799" t="s">
        <v>52</v>
      </c>
      <c r="BD259" s="1799">
        <v>11</v>
      </c>
      <c r="BE259" s="1800">
        <v>21942313.099999998</v>
      </c>
      <c r="BF259" s="1801">
        <v>2.3569994395170216E-2</v>
      </c>
      <c r="BG259" s="1799"/>
      <c r="BH259" s="1799" t="s">
        <v>3</v>
      </c>
      <c r="BI259" s="1799" t="s">
        <v>311</v>
      </c>
      <c r="BJ259" s="1799" t="s">
        <v>32</v>
      </c>
      <c r="BK259" s="1799"/>
      <c r="BL259" s="1800">
        <v>282923084.99877071</v>
      </c>
      <c r="BM259" s="1801">
        <v>3.5435724492610302E-2</v>
      </c>
      <c r="BN259" s="1799">
        <v>2006</v>
      </c>
      <c r="BO259" s="1684"/>
      <c r="BP259" s="1696"/>
      <c r="BQ259" s="1169"/>
      <c r="BR259" s="1169"/>
      <c r="BS259" s="1169"/>
      <c r="BT259" s="1169"/>
      <c r="BU259" s="1169"/>
      <c r="BV259" s="1169"/>
      <c r="BW259" s="1169"/>
      <c r="BX259" s="1169"/>
      <c r="BY259" s="1169"/>
      <c r="BZ259" s="1169"/>
      <c r="CA259" s="1169"/>
      <c r="CB259" s="1169"/>
      <c r="CC259" s="1169"/>
      <c r="CD259" s="1169"/>
      <c r="CE259" s="1169"/>
      <c r="CF259" s="1169"/>
      <c r="CG259" s="1169"/>
      <c r="CH259" s="1169"/>
      <c r="CI259" s="1169"/>
      <c r="CJ259" s="1169"/>
      <c r="CK259" s="1169"/>
      <c r="CL259" s="1169"/>
      <c r="CM259" s="1169"/>
      <c r="CN259" s="1169"/>
      <c r="CO259" s="1169"/>
      <c r="CP259" s="1169"/>
      <c r="CQ259" s="1169"/>
      <c r="CR259" s="1169"/>
      <c r="CS259" s="1169"/>
      <c r="CT259" s="1169"/>
      <c r="CU259" s="1169"/>
      <c r="CV259" s="1169"/>
      <c r="CW259" s="1169"/>
      <c r="CX259" s="1169"/>
      <c r="CY259" s="1169"/>
      <c r="CZ259" s="1169"/>
      <c r="DA259" s="1168"/>
      <c r="DB259" s="1168"/>
      <c r="DC259" s="1168"/>
      <c r="DD259" s="1168"/>
      <c r="DE259" s="1168"/>
      <c r="DF259" s="1168"/>
      <c r="DG259" s="1168"/>
      <c r="DH259" s="1168"/>
      <c r="DI259" s="1168"/>
      <c r="DJ259" s="1168"/>
      <c r="DK259" s="1168"/>
      <c r="DL259" s="1168"/>
      <c r="DM259" s="1168"/>
      <c r="DN259" s="1168"/>
      <c r="DO259" s="1168"/>
      <c r="DP259" s="1168"/>
      <c r="DQ259" s="1168"/>
      <c r="DR259" s="1168"/>
      <c r="DS259" s="1168"/>
      <c r="DT259" s="1168"/>
      <c r="DU259" s="1168"/>
      <c r="DV259" s="1168"/>
      <c r="DW259" s="1168"/>
      <c r="DX259" s="1168"/>
      <c r="DY259" s="1168"/>
      <c r="DZ259" s="1168"/>
      <c r="EA259" s="1168"/>
      <c r="EB259" s="1168"/>
      <c r="EC259" s="1168"/>
      <c r="ED259" s="1168"/>
      <c r="EE259" s="1168"/>
      <c r="EF259" s="1168"/>
      <c r="EG259" s="1168"/>
      <c r="EH259" s="1168"/>
      <c r="EI259" s="1170"/>
      <c r="EJ259" s="1170"/>
      <c r="EK259" s="1170"/>
      <c r="EL259" s="1170"/>
      <c r="EM259" s="1170"/>
      <c r="EN259" s="1170"/>
      <c r="EO259" s="1170"/>
      <c r="EP259" s="1170"/>
      <c r="EQ259" s="1170"/>
      <c r="ER259" s="1170"/>
      <c r="ES259" s="1171"/>
      <c r="ET259" s="1171"/>
      <c r="EU259" s="1171"/>
      <c r="EV259" s="1171"/>
      <c r="EW259" s="1171"/>
      <c r="EX259" s="1171"/>
      <c r="EY259" s="1171"/>
      <c r="EZ259" s="1171"/>
      <c r="FA259" s="1171"/>
      <c r="FB259" s="1171"/>
      <c r="FC259" s="1171"/>
      <c r="FD259" s="1171"/>
      <c r="FE259" s="1171"/>
      <c r="FF259" s="1171"/>
      <c r="FG259" s="1171"/>
      <c r="FH259" s="1171"/>
      <c r="FI259" s="1171"/>
      <c r="FJ259" s="1171"/>
      <c r="FK259" s="1171"/>
      <c r="FL259" s="1171"/>
      <c r="FM259" s="1171"/>
      <c r="FN259" s="1171"/>
      <c r="FO259" s="1171"/>
      <c r="FP259" s="1171"/>
    </row>
    <row r="260" spans="1:172" s="607" customFormat="1">
      <c r="A260" s="607">
        <f t="shared" si="6"/>
        <v>1991</v>
      </c>
      <c r="B260" s="607">
        <f t="shared" si="7"/>
        <v>4</v>
      </c>
      <c r="C260" s="666">
        <v>33573</v>
      </c>
      <c r="D260" s="957">
        <v>0.7723000000000001</v>
      </c>
      <c r="E260" s="920">
        <v>195.83211100000003</v>
      </c>
      <c r="F260" s="920">
        <v>253.57</v>
      </c>
      <c r="G260" s="920"/>
      <c r="H260" s="920"/>
      <c r="I260" s="954">
        <v>361.72</v>
      </c>
      <c r="J260" s="954">
        <v>470.01</v>
      </c>
      <c r="K260" s="954"/>
      <c r="L260" s="920"/>
      <c r="M260" s="917">
        <v>7123.75</v>
      </c>
      <c r="N260" s="917">
        <v>9224.0709568820403</v>
      </c>
      <c r="O260" s="1175">
        <v>2211.3000000000002</v>
      </c>
      <c r="P260" s="1175">
        <v>2863.2655703742066</v>
      </c>
      <c r="Q260" s="1175">
        <v>533.13</v>
      </c>
      <c r="R260" s="1175">
        <v>690.31464456817287</v>
      </c>
      <c r="S260" s="1175">
        <v>1185.5</v>
      </c>
      <c r="T260" s="1175">
        <v>1535.0252492554705</v>
      </c>
      <c r="U260" s="920">
        <v>240.95760000000004</v>
      </c>
      <c r="V260" s="920">
        <v>312</v>
      </c>
      <c r="W260" s="920">
        <v>1635.3345423308126</v>
      </c>
      <c r="X260" s="920">
        <v>2117.4861353500096</v>
      </c>
      <c r="Y260" s="920"/>
      <c r="Z260" s="920"/>
      <c r="AA260" s="920"/>
      <c r="AB260" s="920"/>
      <c r="AC260" s="920"/>
      <c r="AD260" s="920">
        <v>5.3853058084369794</v>
      </c>
      <c r="AE260" s="920"/>
      <c r="AF260" s="920"/>
      <c r="AG260" s="920"/>
      <c r="AH260" s="920"/>
      <c r="AI260" s="920"/>
      <c r="AJ260" s="920"/>
      <c r="AK260" s="920">
        <v>20.190000000000001</v>
      </c>
      <c r="AL260" s="920">
        <v>26.142690664249642</v>
      </c>
      <c r="AM260" s="920">
        <v>24.1</v>
      </c>
      <c r="AN260" s="920">
        <v>31.205490094522851</v>
      </c>
      <c r="AO260" s="920"/>
      <c r="AP260" s="920"/>
      <c r="AS260" s="1167"/>
      <c r="AT260" s="1167"/>
      <c r="AU260" s="1168"/>
      <c r="AV260" s="1168"/>
      <c r="AW260" s="1169"/>
      <c r="AX260" s="1169"/>
      <c r="AY260" s="1169"/>
      <c r="AZ260" s="1169"/>
      <c r="BA260" s="1799" t="s">
        <v>280</v>
      </c>
      <c r="BB260" s="1802">
        <v>2011</v>
      </c>
      <c r="BC260" s="1799" t="s">
        <v>581</v>
      </c>
      <c r="BD260" s="1799">
        <v>12</v>
      </c>
      <c r="BE260" s="1800">
        <v>15986432.130000003</v>
      </c>
      <c r="BF260" s="1801">
        <v>1.7172306036544033E-2</v>
      </c>
      <c r="BG260" s="1799"/>
      <c r="BH260" s="1799" t="s">
        <v>3</v>
      </c>
      <c r="BI260" s="1799" t="s">
        <v>311</v>
      </c>
      <c r="BJ260" s="1799" t="s">
        <v>249</v>
      </c>
      <c r="BK260" s="1799"/>
      <c r="BL260" s="1800">
        <v>7984120235.9999981</v>
      </c>
      <c r="BM260" s="1801"/>
      <c r="BN260" s="1799">
        <v>2006</v>
      </c>
      <c r="BO260" s="1684"/>
      <c r="BP260" s="1696"/>
      <c r="BQ260" s="1169"/>
      <c r="BR260" s="1169"/>
      <c r="BS260" s="1169"/>
      <c r="BT260" s="1169"/>
      <c r="BU260" s="1169"/>
      <c r="BV260" s="1169"/>
      <c r="BW260" s="1169"/>
      <c r="BX260" s="1169"/>
      <c r="BY260" s="1169"/>
      <c r="BZ260" s="1169"/>
      <c r="CA260" s="1169"/>
      <c r="CB260" s="1169"/>
      <c r="CC260" s="1169"/>
      <c r="CD260" s="1169"/>
      <c r="CE260" s="1169"/>
      <c r="CF260" s="1169"/>
      <c r="CG260" s="1169"/>
      <c r="CH260" s="1169"/>
      <c r="CI260" s="1169"/>
      <c r="CJ260" s="1169"/>
      <c r="CK260" s="1169"/>
      <c r="CL260" s="1169"/>
      <c r="CM260" s="1169"/>
      <c r="CN260" s="1169"/>
      <c r="CO260" s="1169"/>
      <c r="CP260" s="1169"/>
      <c r="CQ260" s="1169"/>
      <c r="CR260" s="1169"/>
      <c r="CS260" s="1169"/>
      <c r="CT260" s="1169"/>
      <c r="CU260" s="1169"/>
      <c r="CV260" s="1169"/>
      <c r="CW260" s="1169"/>
      <c r="CX260" s="1169"/>
      <c r="CY260" s="1169"/>
      <c r="CZ260" s="1169"/>
      <c r="DA260" s="1168"/>
      <c r="DB260" s="1168"/>
      <c r="DC260" s="1168"/>
      <c r="DD260" s="1168"/>
      <c r="DE260" s="1168"/>
      <c r="DF260" s="1168"/>
      <c r="DG260" s="1168"/>
      <c r="DH260" s="1168"/>
      <c r="DI260" s="1168"/>
      <c r="DJ260" s="1168"/>
      <c r="DK260" s="1168"/>
      <c r="DL260" s="1168"/>
      <c r="DM260" s="1168"/>
      <c r="DN260" s="1168"/>
      <c r="DO260" s="1168"/>
      <c r="DP260" s="1168"/>
      <c r="DQ260" s="1168"/>
      <c r="DR260" s="1168"/>
      <c r="DS260" s="1168"/>
      <c r="DT260" s="1168"/>
      <c r="DU260" s="1168"/>
      <c r="DV260" s="1168"/>
      <c r="DW260" s="1168"/>
      <c r="DX260" s="1168"/>
      <c r="DY260" s="1168"/>
      <c r="DZ260" s="1168"/>
      <c r="EA260" s="1168"/>
      <c r="EB260" s="1168"/>
      <c r="EC260" s="1168"/>
      <c r="ED260" s="1168"/>
      <c r="EE260" s="1168"/>
      <c r="EF260" s="1168"/>
      <c r="EG260" s="1168"/>
      <c r="EH260" s="1168"/>
      <c r="EI260" s="1170"/>
      <c r="EJ260" s="1170"/>
      <c r="EK260" s="1170"/>
      <c r="EL260" s="1170"/>
      <c r="EM260" s="1170"/>
      <c r="EN260" s="1170"/>
      <c r="EO260" s="1170"/>
      <c r="EP260" s="1170"/>
      <c r="EQ260" s="1170"/>
      <c r="ER260" s="1170"/>
      <c r="ES260" s="1171"/>
      <c r="ET260" s="1171"/>
      <c r="EU260" s="1171"/>
      <c r="EV260" s="1171"/>
      <c r="EW260" s="1171"/>
      <c r="EX260" s="1171"/>
      <c r="EY260" s="1171"/>
      <c r="EZ260" s="1171"/>
      <c r="FA260" s="1171"/>
      <c r="FB260" s="1171"/>
      <c r="FC260" s="1171"/>
      <c r="FD260" s="1171"/>
      <c r="FE260" s="1171"/>
      <c r="FF260" s="1171"/>
      <c r="FG260" s="1171"/>
      <c r="FH260" s="1171"/>
      <c r="FI260" s="1171"/>
      <c r="FJ260" s="1171"/>
      <c r="FK260" s="1171"/>
      <c r="FL260" s="1171"/>
      <c r="FM260" s="1171"/>
      <c r="FN260" s="1171"/>
      <c r="FO260" s="1171"/>
      <c r="FP260" s="1171"/>
    </row>
    <row r="261" spans="1:172" s="607" customFormat="1">
      <c r="A261" s="607">
        <f t="shared" si="6"/>
        <v>1992</v>
      </c>
      <c r="B261" s="607">
        <f t="shared" si="7"/>
        <v>1</v>
      </c>
      <c r="C261" s="666">
        <v>33604</v>
      </c>
      <c r="D261" s="1709">
        <v>0.74845714285714271</v>
      </c>
      <c r="E261" s="1117">
        <v>180.24344914285712</v>
      </c>
      <c r="F261" s="1117">
        <v>240.82</v>
      </c>
      <c r="G261" s="1117"/>
      <c r="H261" s="1117"/>
      <c r="I261" s="959">
        <v>354.4</v>
      </c>
      <c r="J261" s="959">
        <v>475.18</v>
      </c>
      <c r="K261" s="960"/>
      <c r="L261" s="1121"/>
      <c r="M261" s="916">
        <v>7486.4</v>
      </c>
      <c r="N261" s="916">
        <v>10002.44312108719</v>
      </c>
      <c r="O261" s="1174">
        <v>2138.1</v>
      </c>
      <c r="P261" s="1174">
        <v>2856.6765918460837</v>
      </c>
      <c r="Q261" s="1174">
        <v>515.6</v>
      </c>
      <c r="R261" s="1174">
        <v>688.88379905329077</v>
      </c>
      <c r="S261" s="1174">
        <v>1155.3</v>
      </c>
      <c r="T261" s="1174">
        <v>1543.5753550160332</v>
      </c>
      <c r="U261" s="1120">
        <v>190.85657142857139</v>
      </c>
      <c r="V261" s="1120">
        <v>255</v>
      </c>
      <c r="W261" s="1120">
        <v>1650.0843182963283</v>
      </c>
      <c r="X261" s="1120">
        <v>2204.6476996629831</v>
      </c>
      <c r="Y261" s="1119"/>
      <c r="Z261" s="1119"/>
      <c r="AA261" s="1119"/>
      <c r="AB261" s="1119"/>
      <c r="AC261" s="1178"/>
      <c r="AD261" s="1178">
        <v>5.758952431854623</v>
      </c>
      <c r="AE261" s="1178"/>
      <c r="AF261" s="1178"/>
      <c r="AG261" s="1178"/>
      <c r="AH261" s="1178"/>
      <c r="AI261" s="1178"/>
      <c r="AJ261" s="1178"/>
      <c r="AK261" s="919">
        <v>18.553636377507988</v>
      </c>
      <c r="AL261" s="919">
        <v>24.789176714489987</v>
      </c>
      <c r="AM261" s="919">
        <v>20.218181696805086</v>
      </c>
      <c r="AN261" s="919">
        <v>27.01314549504421</v>
      </c>
      <c r="AO261" s="919"/>
      <c r="AP261" s="919"/>
      <c r="AS261" s="1167"/>
      <c r="AT261" s="1167"/>
      <c r="AU261" s="1168"/>
      <c r="AV261" s="1168"/>
      <c r="AW261" s="1169"/>
      <c r="AX261" s="1169"/>
      <c r="AY261" s="1169"/>
      <c r="AZ261" s="1169"/>
      <c r="BA261" s="1799" t="s">
        <v>280</v>
      </c>
      <c r="BB261" s="1802">
        <v>2011</v>
      </c>
      <c r="BC261" s="1799" t="s">
        <v>32</v>
      </c>
      <c r="BD261" s="1799"/>
      <c r="BE261" s="1800">
        <v>71906264.859999895</v>
      </c>
      <c r="BF261" s="1801">
        <v>7.7240273256688821E-2</v>
      </c>
      <c r="BG261" s="1799"/>
      <c r="BH261" s="1799" t="s">
        <v>3</v>
      </c>
      <c r="BI261" s="1799" t="s">
        <v>310</v>
      </c>
      <c r="BJ261" s="1799" t="s">
        <v>15</v>
      </c>
      <c r="BK261" s="1799">
        <v>1</v>
      </c>
      <c r="BL261" s="1800">
        <v>670589913.6869092</v>
      </c>
      <c r="BM261" s="1801">
        <v>0.22617286576121345</v>
      </c>
      <c r="BN261" s="1799">
        <v>2005</v>
      </c>
      <c r="BO261" s="1684"/>
      <c r="BP261" s="1696"/>
      <c r="BQ261" s="1169"/>
      <c r="BR261" s="1169"/>
      <c r="BS261" s="1169"/>
      <c r="BT261" s="1169"/>
      <c r="BU261" s="1169"/>
      <c r="BV261" s="1169"/>
      <c r="BW261" s="1169"/>
      <c r="BX261" s="1169"/>
      <c r="BY261" s="1169"/>
      <c r="BZ261" s="1169"/>
      <c r="CA261" s="1169"/>
      <c r="CB261" s="1169"/>
      <c r="CC261" s="1169"/>
      <c r="CD261" s="1169"/>
      <c r="CE261" s="1169"/>
      <c r="CF261" s="1169"/>
      <c r="CG261" s="1169"/>
      <c r="CH261" s="1169"/>
      <c r="CI261" s="1169"/>
      <c r="CJ261" s="1169"/>
      <c r="CK261" s="1169"/>
      <c r="CL261" s="1169"/>
      <c r="CM261" s="1169"/>
      <c r="CN261" s="1169"/>
      <c r="CO261" s="1169"/>
      <c r="CP261" s="1169"/>
      <c r="CQ261" s="1169"/>
      <c r="CR261" s="1169"/>
      <c r="CS261" s="1169"/>
      <c r="CT261" s="1169"/>
      <c r="CU261" s="1169"/>
      <c r="CV261" s="1169"/>
      <c r="CW261" s="1169"/>
      <c r="CX261" s="1169"/>
      <c r="CY261" s="1169"/>
      <c r="CZ261" s="1169"/>
      <c r="DA261" s="1168"/>
      <c r="DB261" s="1168"/>
      <c r="DC261" s="1168"/>
      <c r="DD261" s="1168"/>
      <c r="DE261" s="1168"/>
      <c r="DF261" s="1168"/>
      <c r="DG261" s="1168"/>
      <c r="DH261" s="1168"/>
      <c r="DI261" s="1168"/>
      <c r="DJ261" s="1168"/>
      <c r="DK261" s="1168"/>
      <c r="DL261" s="1168"/>
      <c r="DM261" s="1168"/>
      <c r="DN261" s="1168"/>
      <c r="DO261" s="1168"/>
      <c r="DP261" s="1168"/>
      <c r="DQ261" s="1168"/>
      <c r="DR261" s="1168"/>
      <c r="DS261" s="1168"/>
      <c r="DT261" s="1168"/>
      <c r="DU261" s="1168"/>
      <c r="DV261" s="1168"/>
      <c r="DW261" s="1168"/>
      <c r="DX261" s="1168"/>
      <c r="DY261" s="1168"/>
      <c r="DZ261" s="1168"/>
      <c r="EA261" s="1168"/>
      <c r="EB261" s="1168"/>
      <c r="EC261" s="1168"/>
      <c r="ED261" s="1168"/>
      <c r="EE261" s="1168"/>
      <c r="EF261" s="1168"/>
      <c r="EG261" s="1168"/>
      <c r="EH261" s="1168"/>
      <c r="EI261" s="1170"/>
      <c r="EJ261" s="1170"/>
      <c r="EK261" s="1170"/>
      <c r="EL261" s="1170"/>
      <c r="EM261" s="1170"/>
      <c r="EN261" s="1170"/>
      <c r="EO261" s="1170"/>
      <c r="EP261" s="1170"/>
      <c r="EQ261" s="1170"/>
      <c r="ER261" s="1170"/>
      <c r="ES261" s="1171"/>
      <c r="ET261" s="1171"/>
      <c r="EU261" s="1171"/>
      <c r="EV261" s="1171"/>
      <c r="EW261" s="1171"/>
      <c r="EX261" s="1171"/>
      <c r="EY261" s="1171"/>
      <c r="EZ261" s="1171"/>
      <c r="FA261" s="1171"/>
      <c r="FB261" s="1171"/>
      <c r="FC261" s="1171"/>
      <c r="FD261" s="1171"/>
      <c r="FE261" s="1171"/>
      <c r="FF261" s="1171"/>
      <c r="FG261" s="1171"/>
      <c r="FH261" s="1171"/>
      <c r="FI261" s="1171"/>
      <c r="FJ261" s="1171"/>
      <c r="FK261" s="1171"/>
      <c r="FL261" s="1171"/>
      <c r="FM261" s="1171"/>
      <c r="FN261" s="1171"/>
      <c r="FO261" s="1171"/>
      <c r="FP261" s="1171"/>
    </row>
    <row r="262" spans="1:172" s="607" customFormat="1">
      <c r="A262" s="607">
        <f t="shared" si="6"/>
        <v>1992</v>
      </c>
      <c r="B262" s="607">
        <f t="shared" si="7"/>
        <v>1</v>
      </c>
      <c r="C262" s="666">
        <v>33635</v>
      </c>
      <c r="D262" s="957">
        <v>0.75186500000000023</v>
      </c>
      <c r="E262" s="920">
        <v>172.57557345000006</v>
      </c>
      <c r="F262" s="920">
        <v>229.53</v>
      </c>
      <c r="G262" s="920"/>
      <c r="H262" s="920"/>
      <c r="I262" s="954">
        <v>354.42</v>
      </c>
      <c r="J262" s="954">
        <v>473.18</v>
      </c>
      <c r="K262" s="954"/>
      <c r="L262" s="920"/>
      <c r="M262" s="917">
        <v>7796.13</v>
      </c>
      <c r="N262" s="917">
        <v>10369.05561503727</v>
      </c>
      <c r="O262" s="1175">
        <v>2204.5</v>
      </c>
      <c r="P262" s="1175">
        <v>2932.0423214273828</v>
      </c>
      <c r="Q262" s="1175">
        <v>504.76</v>
      </c>
      <c r="R262" s="1175">
        <v>671.3439247737291</v>
      </c>
      <c r="S262" s="1175">
        <v>1131.0999999999999</v>
      </c>
      <c r="T262" s="1175">
        <v>1504.3924108716319</v>
      </c>
      <c r="U262" s="920">
        <v>191.72557500000005</v>
      </c>
      <c r="V262" s="920">
        <v>255</v>
      </c>
      <c r="W262" s="920">
        <v>1626.6738488790561</v>
      </c>
      <c r="X262" s="920">
        <v>2163.5185157961278</v>
      </c>
      <c r="Y262" s="920"/>
      <c r="Z262" s="920"/>
      <c r="AA262" s="920"/>
      <c r="AB262" s="920"/>
      <c r="AC262" s="920"/>
      <c r="AD262" s="920">
        <v>5.7529162248144221</v>
      </c>
      <c r="AE262" s="920"/>
      <c r="AF262" s="920"/>
      <c r="AG262" s="920"/>
      <c r="AH262" s="920"/>
      <c r="AI262" s="920"/>
      <c r="AJ262" s="920"/>
      <c r="AK262" s="920">
        <v>18.482000064849853</v>
      </c>
      <c r="AL262" s="920">
        <v>24.581540655370109</v>
      </c>
      <c r="AM262" s="920">
        <v>19.287500000000001</v>
      </c>
      <c r="AN262" s="920">
        <v>25.652876513735837</v>
      </c>
      <c r="AO262" s="920"/>
      <c r="AP262" s="920"/>
      <c r="AS262" s="1167"/>
      <c r="AT262" s="1167"/>
      <c r="AU262" s="1168"/>
      <c r="AV262" s="1168"/>
      <c r="AW262" s="1169"/>
      <c r="AX262" s="1169"/>
      <c r="AY262" s="1169"/>
      <c r="AZ262" s="1169"/>
      <c r="BA262" s="1799" t="s">
        <v>280</v>
      </c>
      <c r="BB262" s="1802">
        <v>2011</v>
      </c>
      <c r="BC262" s="1799" t="s">
        <v>249</v>
      </c>
      <c r="BD262" s="1799"/>
      <c r="BE262" s="1800">
        <v>930942652.43000007</v>
      </c>
      <c r="BF262" s="1801"/>
      <c r="BG262" s="1799"/>
      <c r="BH262" s="1799" t="s">
        <v>3</v>
      </c>
      <c r="BI262" s="1799" t="s">
        <v>310</v>
      </c>
      <c r="BJ262" s="1799" t="s">
        <v>44</v>
      </c>
      <c r="BK262" s="1799">
        <v>2</v>
      </c>
      <c r="BL262" s="1800">
        <v>534556422.10000002</v>
      </c>
      <c r="BM262" s="1801">
        <v>0.1802922403540142</v>
      </c>
      <c r="BN262" s="1799">
        <v>2005</v>
      </c>
      <c r="BO262" s="1684"/>
      <c r="BP262" s="1696"/>
      <c r="BQ262" s="1169"/>
      <c r="BR262" s="1169"/>
      <c r="BS262" s="1169"/>
      <c r="BT262" s="1169"/>
      <c r="BU262" s="1169"/>
      <c r="BV262" s="1169"/>
      <c r="BW262" s="1169"/>
      <c r="BX262" s="1169"/>
      <c r="BY262" s="1169"/>
      <c r="BZ262" s="1169"/>
      <c r="CA262" s="1169"/>
      <c r="CB262" s="1169"/>
      <c r="CC262" s="1169"/>
      <c r="CD262" s="1169"/>
      <c r="CE262" s="1169"/>
      <c r="CF262" s="1169"/>
      <c r="CG262" s="1169"/>
      <c r="CH262" s="1169"/>
      <c r="CI262" s="1169"/>
      <c r="CJ262" s="1169"/>
      <c r="CK262" s="1169"/>
      <c r="CL262" s="1169"/>
      <c r="CM262" s="1169"/>
      <c r="CN262" s="1169"/>
      <c r="CO262" s="1169"/>
      <c r="CP262" s="1169"/>
      <c r="CQ262" s="1169"/>
      <c r="CR262" s="1169"/>
      <c r="CS262" s="1169"/>
      <c r="CT262" s="1169"/>
      <c r="CU262" s="1169"/>
      <c r="CV262" s="1169"/>
      <c r="CW262" s="1169"/>
      <c r="CX262" s="1169"/>
      <c r="CY262" s="1169"/>
      <c r="CZ262" s="1169"/>
      <c r="DA262" s="1168"/>
      <c r="DB262" s="1168"/>
      <c r="DC262" s="1168"/>
      <c r="DD262" s="1168"/>
      <c r="DE262" s="1168"/>
      <c r="DF262" s="1168"/>
      <c r="DG262" s="1168"/>
      <c r="DH262" s="1168"/>
      <c r="DI262" s="1168"/>
      <c r="DJ262" s="1168"/>
      <c r="DK262" s="1168"/>
      <c r="DL262" s="1168"/>
      <c r="DM262" s="1168"/>
      <c r="DN262" s="1168"/>
      <c r="DO262" s="1168"/>
      <c r="DP262" s="1168"/>
      <c r="DQ262" s="1168"/>
      <c r="DR262" s="1168"/>
      <c r="DS262" s="1168"/>
      <c r="DT262" s="1168"/>
      <c r="DU262" s="1168"/>
      <c r="DV262" s="1168"/>
      <c r="DW262" s="1168"/>
      <c r="DX262" s="1168"/>
      <c r="DY262" s="1168"/>
      <c r="DZ262" s="1168"/>
      <c r="EA262" s="1168"/>
      <c r="EB262" s="1168"/>
      <c r="EC262" s="1168"/>
      <c r="ED262" s="1168"/>
      <c r="EE262" s="1168"/>
      <c r="EF262" s="1168"/>
      <c r="EG262" s="1168"/>
      <c r="EH262" s="1168"/>
      <c r="EI262" s="1170"/>
      <c r="EJ262" s="1170"/>
      <c r="EK262" s="1170"/>
      <c r="EL262" s="1170"/>
      <c r="EM262" s="1170"/>
      <c r="EN262" s="1170"/>
      <c r="EO262" s="1170"/>
      <c r="EP262" s="1170"/>
      <c r="EQ262" s="1170"/>
      <c r="ER262" s="1170"/>
      <c r="ES262" s="1171"/>
      <c r="ET262" s="1171"/>
      <c r="EU262" s="1171"/>
      <c r="EV262" s="1171"/>
      <c r="EW262" s="1171"/>
      <c r="EX262" s="1171"/>
      <c r="EY262" s="1171"/>
      <c r="EZ262" s="1171"/>
      <c r="FA262" s="1171"/>
      <c r="FB262" s="1171"/>
      <c r="FC262" s="1171"/>
      <c r="FD262" s="1171"/>
      <c r="FE262" s="1171"/>
      <c r="FF262" s="1171"/>
      <c r="FG262" s="1171"/>
      <c r="FH262" s="1171"/>
      <c r="FI262" s="1171"/>
      <c r="FJ262" s="1171"/>
      <c r="FK262" s="1171"/>
      <c r="FL262" s="1171"/>
      <c r="FM262" s="1171"/>
      <c r="FN262" s="1171"/>
      <c r="FO262" s="1171"/>
      <c r="FP262" s="1171"/>
    </row>
    <row r="263" spans="1:172" s="607" customFormat="1">
      <c r="A263" s="607">
        <f t="shared" si="6"/>
        <v>1992</v>
      </c>
      <c r="B263" s="607">
        <f t="shared" si="7"/>
        <v>1</v>
      </c>
      <c r="C263" s="666">
        <v>33664</v>
      </c>
      <c r="D263" s="1709">
        <v>0.7588454545454546</v>
      </c>
      <c r="E263" s="1117">
        <v>171.06653081818183</v>
      </c>
      <c r="F263" s="1117">
        <v>225.43</v>
      </c>
      <c r="G263" s="1117"/>
      <c r="H263" s="1117"/>
      <c r="I263" s="959">
        <v>344.8</v>
      </c>
      <c r="J263" s="959">
        <v>456.4</v>
      </c>
      <c r="K263" s="960"/>
      <c r="L263" s="1121"/>
      <c r="M263" s="916">
        <v>7394.75</v>
      </c>
      <c r="N263" s="916">
        <v>9744.7378194146604</v>
      </c>
      <c r="O263" s="1174">
        <v>2228.8000000000002</v>
      </c>
      <c r="P263" s="1174">
        <v>2937.0934314089586</v>
      </c>
      <c r="Q263" s="1174">
        <v>521.58000000000004</v>
      </c>
      <c r="R263" s="1174">
        <v>687.3336288380674</v>
      </c>
      <c r="S263" s="1174">
        <v>1214.9000000000001</v>
      </c>
      <c r="T263" s="1174">
        <v>1600.9847495597378</v>
      </c>
      <c r="U263" s="1120">
        <v>193.50559090909093</v>
      </c>
      <c r="V263" s="1120">
        <v>255</v>
      </c>
      <c r="W263" s="1120">
        <v>1712.4910560786777</v>
      </c>
      <c r="X263" s="1120">
        <v>2256.7059548435368</v>
      </c>
      <c r="Y263" s="1119"/>
      <c r="Z263" s="1119"/>
      <c r="AA263" s="1119"/>
      <c r="AB263" s="1119"/>
      <c r="AC263" s="1178"/>
      <c r="AD263" s="1178">
        <v>5.6611140031233731</v>
      </c>
      <c r="AE263" s="1178"/>
      <c r="AF263" s="1178"/>
      <c r="AG263" s="1178"/>
      <c r="AH263" s="1178"/>
      <c r="AI263" s="1178"/>
      <c r="AJ263" s="1178"/>
      <c r="AK263" s="919">
        <v>17.589090954173695</v>
      </c>
      <c r="AL263" s="919">
        <v>23.178752470368938</v>
      </c>
      <c r="AM263" s="919">
        <v>18.400454434481535</v>
      </c>
      <c r="AN263" s="919">
        <v>24.247960272099586</v>
      </c>
      <c r="AO263" s="919"/>
      <c r="AP263" s="919"/>
      <c r="AS263" s="1167"/>
      <c r="AT263" s="1167"/>
      <c r="AU263" s="1168"/>
      <c r="AV263" s="1168"/>
      <c r="AW263" s="1169"/>
      <c r="AX263" s="1169"/>
      <c r="AY263" s="1169"/>
      <c r="AZ263" s="1169"/>
      <c r="BA263" s="1799" t="s">
        <v>280</v>
      </c>
      <c r="BB263" s="1802">
        <v>2010</v>
      </c>
      <c r="BC263" s="1799" t="s">
        <v>15</v>
      </c>
      <c r="BD263" s="1799">
        <v>1</v>
      </c>
      <c r="BE263" s="1800">
        <v>174050973</v>
      </c>
      <c r="BF263" s="1801">
        <v>0.26300000000000001</v>
      </c>
      <c r="BG263" s="1799"/>
      <c r="BH263" s="1799" t="s">
        <v>3</v>
      </c>
      <c r="BI263" s="1799" t="s">
        <v>310</v>
      </c>
      <c r="BJ263" s="1799" t="s">
        <v>251</v>
      </c>
      <c r="BK263" s="1799">
        <v>3</v>
      </c>
      <c r="BL263" s="1800">
        <v>477572114.13000005</v>
      </c>
      <c r="BM263" s="1801">
        <v>0.16107288740232059</v>
      </c>
      <c r="BN263" s="1799">
        <v>2005</v>
      </c>
      <c r="BO263" s="1684"/>
      <c r="BP263" s="1696"/>
      <c r="BQ263" s="1169"/>
      <c r="BR263" s="1169"/>
      <c r="BS263" s="1169"/>
      <c r="BT263" s="1169"/>
      <c r="BU263" s="1169"/>
      <c r="BV263" s="1169"/>
      <c r="BW263" s="1169"/>
      <c r="BX263" s="1169"/>
      <c r="BY263" s="1169"/>
      <c r="BZ263" s="1169"/>
      <c r="CA263" s="1169"/>
      <c r="CB263" s="1169"/>
      <c r="CC263" s="1169"/>
      <c r="CD263" s="1169"/>
      <c r="CE263" s="1169"/>
      <c r="CF263" s="1169"/>
      <c r="CG263" s="1169"/>
      <c r="CH263" s="1169"/>
      <c r="CI263" s="1169"/>
      <c r="CJ263" s="1169"/>
      <c r="CK263" s="1169"/>
      <c r="CL263" s="1169"/>
      <c r="CM263" s="1169"/>
      <c r="CN263" s="1169"/>
      <c r="CO263" s="1169"/>
      <c r="CP263" s="1169"/>
      <c r="CQ263" s="1169"/>
      <c r="CR263" s="1169"/>
      <c r="CS263" s="1169"/>
      <c r="CT263" s="1169"/>
      <c r="CU263" s="1169"/>
      <c r="CV263" s="1169"/>
      <c r="CW263" s="1169"/>
      <c r="CX263" s="1169"/>
      <c r="CY263" s="1169"/>
      <c r="CZ263" s="1169"/>
      <c r="DA263" s="1168"/>
      <c r="DB263" s="1168"/>
      <c r="DC263" s="1168"/>
      <c r="DD263" s="1168"/>
      <c r="DE263" s="1168"/>
      <c r="DF263" s="1168"/>
      <c r="DG263" s="1168"/>
      <c r="DH263" s="1168"/>
      <c r="DI263" s="1168"/>
      <c r="DJ263" s="1168"/>
      <c r="DK263" s="1168"/>
      <c r="DL263" s="1168"/>
      <c r="DM263" s="1168"/>
      <c r="DN263" s="1168"/>
      <c r="DO263" s="1168"/>
      <c r="DP263" s="1168"/>
      <c r="DQ263" s="1168"/>
      <c r="DR263" s="1168"/>
      <c r="DS263" s="1168"/>
      <c r="DT263" s="1168"/>
      <c r="DU263" s="1168"/>
      <c r="DV263" s="1168"/>
      <c r="DW263" s="1168"/>
      <c r="DX263" s="1168"/>
      <c r="DY263" s="1168"/>
      <c r="DZ263" s="1168"/>
      <c r="EA263" s="1168"/>
      <c r="EB263" s="1168"/>
      <c r="EC263" s="1168"/>
      <c r="ED263" s="1168"/>
      <c r="EE263" s="1168"/>
      <c r="EF263" s="1168"/>
      <c r="EG263" s="1168"/>
      <c r="EH263" s="1168"/>
      <c r="EI263" s="1170"/>
      <c r="EJ263" s="1170"/>
      <c r="EK263" s="1170"/>
      <c r="EL263" s="1170"/>
      <c r="EM263" s="1170"/>
      <c r="EN263" s="1170"/>
      <c r="EO263" s="1170"/>
      <c r="EP263" s="1170"/>
      <c r="EQ263" s="1170"/>
      <c r="ER263" s="1170"/>
      <c r="ES263" s="1171"/>
      <c r="ET263" s="1171"/>
      <c r="EU263" s="1171"/>
      <c r="EV263" s="1171"/>
      <c r="EW263" s="1171"/>
      <c r="EX263" s="1171"/>
      <c r="EY263" s="1171"/>
      <c r="EZ263" s="1171"/>
      <c r="FA263" s="1171"/>
      <c r="FB263" s="1171"/>
      <c r="FC263" s="1171"/>
      <c r="FD263" s="1171"/>
      <c r="FE263" s="1171"/>
      <c r="FF263" s="1171"/>
      <c r="FG263" s="1171"/>
      <c r="FH263" s="1171"/>
      <c r="FI263" s="1171"/>
      <c r="FJ263" s="1171"/>
      <c r="FK263" s="1171"/>
      <c r="FL263" s="1171"/>
      <c r="FM263" s="1171"/>
      <c r="FN263" s="1171"/>
      <c r="FO263" s="1171"/>
      <c r="FP263" s="1171"/>
    </row>
    <row r="264" spans="1:172" s="607" customFormat="1">
      <c r="A264" s="607">
        <f t="shared" si="6"/>
        <v>1992</v>
      </c>
      <c r="B264" s="607">
        <f t="shared" si="7"/>
        <v>2</v>
      </c>
      <c r="C264" s="666">
        <v>33695</v>
      </c>
      <c r="D264" s="957">
        <v>0.76270999999999989</v>
      </c>
      <c r="E264" s="920">
        <v>170.60297279999997</v>
      </c>
      <c r="F264" s="920">
        <v>223.68</v>
      </c>
      <c r="G264" s="920"/>
      <c r="H264" s="920"/>
      <c r="I264" s="954">
        <v>339.07</v>
      </c>
      <c r="J264" s="954">
        <v>446.01</v>
      </c>
      <c r="K264" s="954"/>
      <c r="L264" s="920"/>
      <c r="M264" s="917">
        <v>7418.63</v>
      </c>
      <c r="N264" s="917">
        <v>9726.671998531554</v>
      </c>
      <c r="O264" s="1175">
        <v>2214.1999999999998</v>
      </c>
      <c r="P264" s="1175">
        <v>2903.0693186138901</v>
      </c>
      <c r="Q264" s="1175">
        <v>532.41999999999996</v>
      </c>
      <c r="R264" s="1175">
        <v>698.06348415518357</v>
      </c>
      <c r="S264" s="1175">
        <v>1304.5</v>
      </c>
      <c r="T264" s="1175">
        <v>1710.34862529664</v>
      </c>
      <c r="U264" s="920">
        <v>173.13516999999999</v>
      </c>
      <c r="V264" s="920">
        <v>227</v>
      </c>
      <c r="W264" s="920">
        <v>1632.1239074736789</v>
      </c>
      <c r="X264" s="920">
        <v>2139.9010206679854</v>
      </c>
      <c r="Y264" s="920"/>
      <c r="Z264" s="920"/>
      <c r="AA264" s="920"/>
      <c r="AB264" s="920"/>
      <c r="AC264" s="920"/>
      <c r="AD264" s="920">
        <v>5.5972606347952061</v>
      </c>
      <c r="AE264" s="920"/>
      <c r="AF264" s="920"/>
      <c r="AG264" s="920"/>
      <c r="AH264" s="920"/>
      <c r="AI264" s="920"/>
      <c r="AJ264" s="920"/>
      <c r="AK264" s="920">
        <v>19.056666692097981</v>
      </c>
      <c r="AL264" s="920">
        <v>24.985468516340397</v>
      </c>
      <c r="AM264" s="920">
        <v>18.856818459250711</v>
      </c>
      <c r="AN264" s="920">
        <v>24.723444637215604</v>
      </c>
      <c r="AO264" s="920"/>
      <c r="AP264" s="920"/>
      <c r="AS264" s="1167"/>
      <c r="AT264" s="1167"/>
      <c r="AU264" s="1168"/>
      <c r="AV264" s="1168"/>
      <c r="AW264" s="1169"/>
      <c r="AX264" s="1169"/>
      <c r="AY264" s="1169"/>
      <c r="AZ264" s="1169"/>
      <c r="BA264" s="1799" t="s">
        <v>280</v>
      </c>
      <c r="BB264" s="1802">
        <v>2010</v>
      </c>
      <c r="BC264" s="1799" t="s">
        <v>431</v>
      </c>
      <c r="BD264" s="1799">
        <v>2</v>
      </c>
      <c r="BE264" s="1800">
        <v>112624882</v>
      </c>
      <c r="BF264" s="1801">
        <v>0.17</v>
      </c>
      <c r="BG264" s="1799"/>
      <c r="BH264" s="1799" t="s">
        <v>3</v>
      </c>
      <c r="BI264" s="1799" t="s">
        <v>310</v>
      </c>
      <c r="BJ264" s="1799" t="s">
        <v>45</v>
      </c>
      <c r="BK264" s="1799">
        <v>4</v>
      </c>
      <c r="BL264" s="1800">
        <v>447970713.64971399</v>
      </c>
      <c r="BM264" s="1801">
        <v>0.15108909038938567</v>
      </c>
      <c r="BN264" s="1799">
        <v>2005</v>
      </c>
      <c r="BO264" s="1684"/>
      <c r="BP264" s="1696"/>
      <c r="BQ264" s="1169"/>
      <c r="BR264" s="1169"/>
      <c r="BS264" s="1169"/>
      <c r="BT264" s="1169"/>
      <c r="BU264" s="1169"/>
      <c r="BV264" s="1169"/>
      <c r="BW264" s="1169"/>
      <c r="BX264" s="1169"/>
      <c r="BY264" s="1169"/>
      <c r="BZ264" s="1169"/>
      <c r="CA264" s="1169"/>
      <c r="CB264" s="1169"/>
      <c r="CC264" s="1169"/>
      <c r="CD264" s="1169"/>
      <c r="CE264" s="1169"/>
      <c r="CF264" s="1169"/>
      <c r="CG264" s="1169"/>
      <c r="CH264" s="1169"/>
      <c r="CI264" s="1169"/>
      <c r="CJ264" s="1169"/>
      <c r="CK264" s="1169"/>
      <c r="CL264" s="1169"/>
      <c r="CM264" s="1169"/>
      <c r="CN264" s="1169"/>
      <c r="CO264" s="1169"/>
      <c r="CP264" s="1169"/>
      <c r="CQ264" s="1169"/>
      <c r="CR264" s="1169"/>
      <c r="CS264" s="1169"/>
      <c r="CT264" s="1169"/>
      <c r="CU264" s="1169"/>
      <c r="CV264" s="1169"/>
      <c r="CW264" s="1169"/>
      <c r="CX264" s="1169"/>
      <c r="CY264" s="1169"/>
      <c r="CZ264" s="1169"/>
      <c r="DA264" s="1168"/>
      <c r="DB264" s="1168"/>
      <c r="DC264" s="1168"/>
      <c r="DD264" s="1168"/>
      <c r="DE264" s="1168"/>
      <c r="DF264" s="1168"/>
      <c r="DG264" s="1168"/>
      <c r="DH264" s="1168"/>
      <c r="DI264" s="1168"/>
      <c r="DJ264" s="1168"/>
      <c r="DK264" s="1168"/>
      <c r="DL264" s="1168"/>
      <c r="DM264" s="1168"/>
      <c r="DN264" s="1168"/>
      <c r="DO264" s="1168"/>
      <c r="DP264" s="1168"/>
      <c r="DQ264" s="1168"/>
      <c r="DR264" s="1168"/>
      <c r="DS264" s="1168"/>
      <c r="DT264" s="1168"/>
      <c r="DU264" s="1168"/>
      <c r="DV264" s="1168"/>
      <c r="DW264" s="1168"/>
      <c r="DX264" s="1168"/>
      <c r="DY264" s="1168"/>
      <c r="DZ264" s="1168"/>
      <c r="EA264" s="1168"/>
      <c r="EB264" s="1168"/>
      <c r="EC264" s="1168"/>
      <c r="ED264" s="1168"/>
      <c r="EE264" s="1168"/>
      <c r="EF264" s="1168"/>
      <c r="EG264" s="1168"/>
      <c r="EH264" s="1168"/>
      <c r="EI264" s="1170"/>
      <c r="EJ264" s="1170"/>
      <c r="EK264" s="1170"/>
      <c r="EL264" s="1170"/>
      <c r="EM264" s="1170"/>
      <c r="EN264" s="1170"/>
      <c r="EO264" s="1170"/>
      <c r="EP264" s="1170"/>
      <c r="EQ264" s="1170"/>
      <c r="ER264" s="1170"/>
      <c r="ES264" s="1171"/>
      <c r="ET264" s="1171"/>
      <c r="EU264" s="1171"/>
      <c r="EV264" s="1171"/>
      <c r="EW264" s="1171"/>
      <c r="EX264" s="1171"/>
      <c r="EY264" s="1171"/>
      <c r="EZ264" s="1171"/>
      <c r="FA264" s="1171"/>
      <c r="FB264" s="1171"/>
      <c r="FC264" s="1171"/>
      <c r="FD264" s="1171"/>
      <c r="FE264" s="1171"/>
      <c r="FF264" s="1171"/>
      <c r="FG264" s="1171"/>
      <c r="FH264" s="1171"/>
      <c r="FI264" s="1171"/>
      <c r="FJ264" s="1171"/>
      <c r="FK264" s="1171"/>
      <c r="FL264" s="1171"/>
      <c r="FM264" s="1171"/>
      <c r="FN264" s="1171"/>
      <c r="FO264" s="1171"/>
      <c r="FP264" s="1171"/>
    </row>
    <row r="265" spans="1:172" s="607" customFormat="1">
      <c r="A265" s="607">
        <f t="shared" ref="A265:A328" si="8">YEAR(C265)</f>
        <v>1992</v>
      </c>
      <c r="B265" s="607">
        <f t="shared" ref="B265:B328" si="9">IF(OR(MONTH(C265)=1,MONTH(C265)=2,MONTH(C265)=3),1,IF(OR(MONTH(C265)=4,MONTH(C265)=5,MONTH(C265)=6),2,IF(OR(MONTH(C265)=7,MONTH(C265)=8,MONTH(C265)=9),3,4)))</f>
        <v>2</v>
      </c>
      <c r="C265" s="666">
        <v>33725</v>
      </c>
      <c r="D265" s="1709">
        <v>0.75632380952380962</v>
      </c>
      <c r="E265" s="1117">
        <v>179.37731790476192</v>
      </c>
      <c r="F265" s="1117">
        <v>237.17</v>
      </c>
      <c r="G265" s="1117"/>
      <c r="H265" s="1117"/>
      <c r="I265" s="959">
        <v>337.3</v>
      </c>
      <c r="J265" s="959">
        <v>447.75</v>
      </c>
      <c r="K265" s="960"/>
      <c r="L265" s="1121"/>
      <c r="M265" s="916">
        <v>7352.7</v>
      </c>
      <c r="N265" s="916">
        <v>9721.6296874606469</v>
      </c>
      <c r="O265" s="1174">
        <v>2219.4</v>
      </c>
      <c r="P265" s="1174">
        <v>2934.4574004583574</v>
      </c>
      <c r="Q265" s="1174">
        <v>520.69000000000005</v>
      </c>
      <c r="R265" s="1174">
        <v>688.44851033822749</v>
      </c>
      <c r="S265" s="1174">
        <v>1373.5</v>
      </c>
      <c r="T265" s="1174">
        <v>1816.0211045911299</v>
      </c>
      <c r="U265" s="1120">
        <v>171.68550476190478</v>
      </c>
      <c r="V265" s="1120">
        <v>227</v>
      </c>
      <c r="W265" s="1120">
        <v>1606.9667984126984</v>
      </c>
      <c r="X265" s="1120">
        <v>2124.70740465577</v>
      </c>
      <c r="Y265" s="1119"/>
      <c r="Z265" s="1119"/>
      <c r="AA265" s="1119"/>
      <c r="AB265" s="1119"/>
      <c r="AC265" s="1178"/>
      <c r="AD265" s="1178">
        <v>5.6302742616033754</v>
      </c>
      <c r="AE265" s="1178"/>
      <c r="AF265" s="1178"/>
      <c r="AG265" s="1178"/>
      <c r="AH265" s="1178"/>
      <c r="AI265" s="1178"/>
      <c r="AJ265" s="1178"/>
      <c r="AK265" s="919">
        <v>20.02849988937378</v>
      </c>
      <c r="AL265" s="919">
        <v>26.481382229635159</v>
      </c>
      <c r="AM265" s="919">
        <v>20.33095241728283</v>
      </c>
      <c r="AN265" s="919">
        <v>26.881280426810097</v>
      </c>
      <c r="AO265" s="919"/>
      <c r="AP265" s="919"/>
      <c r="AS265" s="1167"/>
      <c r="AT265" s="1167"/>
      <c r="AU265" s="1168"/>
      <c r="AV265" s="1168"/>
      <c r="AW265" s="1169"/>
      <c r="AX265" s="1169"/>
      <c r="AY265" s="1169"/>
      <c r="AZ265" s="1169"/>
      <c r="BA265" s="1799" t="s">
        <v>280</v>
      </c>
      <c r="BB265" s="1802">
        <v>2010</v>
      </c>
      <c r="BC265" s="1799" t="s">
        <v>23</v>
      </c>
      <c r="BD265" s="1799">
        <v>3</v>
      </c>
      <c r="BE265" s="1800">
        <v>63363439</v>
      </c>
      <c r="BF265" s="1801">
        <v>9.6000000000000002E-2</v>
      </c>
      <c r="BG265" s="1799"/>
      <c r="BH265" s="1799" t="s">
        <v>3</v>
      </c>
      <c r="BI265" s="1799" t="s">
        <v>310</v>
      </c>
      <c r="BJ265" s="1799" t="s">
        <v>20</v>
      </c>
      <c r="BK265" s="1799">
        <v>5</v>
      </c>
      <c r="BL265" s="1800">
        <v>210501410.90205574</v>
      </c>
      <c r="BM265" s="1801">
        <v>7.0996754318504579E-2</v>
      </c>
      <c r="BN265" s="1799">
        <v>2005</v>
      </c>
      <c r="BO265" s="1684"/>
      <c r="BP265" s="1696"/>
      <c r="BQ265" s="1169"/>
      <c r="BR265" s="1169"/>
      <c r="BS265" s="1169"/>
      <c r="BT265" s="1169"/>
      <c r="BU265" s="1169"/>
      <c r="BV265" s="1169"/>
      <c r="BW265" s="1169"/>
      <c r="BX265" s="1169"/>
      <c r="BY265" s="1169"/>
      <c r="BZ265" s="1169"/>
      <c r="CA265" s="1169"/>
      <c r="CB265" s="1169"/>
      <c r="CC265" s="1169"/>
      <c r="CD265" s="1169"/>
      <c r="CE265" s="1169"/>
      <c r="CF265" s="1169"/>
      <c r="CG265" s="1169"/>
      <c r="CH265" s="1169"/>
      <c r="CI265" s="1169"/>
      <c r="CJ265" s="1169"/>
      <c r="CK265" s="1169"/>
      <c r="CL265" s="1169"/>
      <c r="CM265" s="1169"/>
      <c r="CN265" s="1169"/>
      <c r="CO265" s="1169"/>
      <c r="CP265" s="1169"/>
      <c r="CQ265" s="1169"/>
      <c r="CR265" s="1169"/>
      <c r="CS265" s="1169"/>
      <c r="CT265" s="1169"/>
      <c r="CU265" s="1169"/>
      <c r="CV265" s="1169"/>
      <c r="CW265" s="1169"/>
      <c r="CX265" s="1169"/>
      <c r="CY265" s="1169"/>
      <c r="CZ265" s="1169"/>
      <c r="DA265" s="1168"/>
      <c r="DB265" s="1168"/>
      <c r="DC265" s="1168"/>
      <c r="DD265" s="1168"/>
      <c r="DE265" s="1168"/>
      <c r="DF265" s="1168"/>
      <c r="DG265" s="1168"/>
      <c r="DH265" s="1168"/>
      <c r="DI265" s="1168"/>
      <c r="DJ265" s="1168"/>
      <c r="DK265" s="1168"/>
      <c r="DL265" s="1168"/>
      <c r="DM265" s="1168"/>
      <c r="DN265" s="1168"/>
      <c r="DO265" s="1168"/>
      <c r="DP265" s="1168"/>
      <c r="DQ265" s="1168"/>
      <c r="DR265" s="1168"/>
      <c r="DS265" s="1168"/>
      <c r="DT265" s="1168"/>
      <c r="DU265" s="1168"/>
      <c r="DV265" s="1168"/>
      <c r="DW265" s="1168"/>
      <c r="DX265" s="1168"/>
      <c r="DY265" s="1168"/>
      <c r="DZ265" s="1168"/>
      <c r="EA265" s="1168"/>
      <c r="EB265" s="1168"/>
      <c r="EC265" s="1168"/>
      <c r="ED265" s="1168"/>
      <c r="EE265" s="1168"/>
      <c r="EF265" s="1168"/>
      <c r="EG265" s="1168"/>
      <c r="EH265" s="1168"/>
      <c r="EI265" s="1170"/>
      <c r="EJ265" s="1170"/>
      <c r="EK265" s="1170"/>
      <c r="EL265" s="1170"/>
      <c r="EM265" s="1170"/>
      <c r="EN265" s="1170"/>
      <c r="EO265" s="1170"/>
      <c r="EP265" s="1170"/>
      <c r="EQ265" s="1170"/>
      <c r="ER265" s="1170"/>
      <c r="ES265" s="1171"/>
      <c r="ET265" s="1171"/>
      <c r="EU265" s="1171"/>
      <c r="EV265" s="1171"/>
      <c r="EW265" s="1171"/>
      <c r="EX265" s="1171"/>
      <c r="EY265" s="1171"/>
      <c r="EZ265" s="1171"/>
      <c r="FA265" s="1171"/>
      <c r="FB265" s="1171"/>
      <c r="FC265" s="1171"/>
      <c r="FD265" s="1171"/>
      <c r="FE265" s="1171"/>
      <c r="FF265" s="1171"/>
      <c r="FG265" s="1171"/>
      <c r="FH265" s="1171"/>
      <c r="FI265" s="1171"/>
      <c r="FJ265" s="1171"/>
      <c r="FK265" s="1171"/>
      <c r="FL265" s="1171"/>
      <c r="FM265" s="1171"/>
      <c r="FN265" s="1171"/>
      <c r="FO265" s="1171"/>
      <c r="FP265" s="1171"/>
    </row>
    <row r="266" spans="1:172" s="607" customFormat="1">
      <c r="A266" s="607">
        <f t="shared" si="8"/>
        <v>1992</v>
      </c>
      <c r="B266" s="607">
        <f t="shared" si="9"/>
        <v>2</v>
      </c>
      <c r="C266" s="666">
        <v>33756</v>
      </c>
      <c r="D266" s="957">
        <v>0.75602380952380932</v>
      </c>
      <c r="E266" s="920">
        <v>169.24348999999995</v>
      </c>
      <c r="F266" s="920">
        <v>223.86</v>
      </c>
      <c r="G266" s="920"/>
      <c r="H266" s="920"/>
      <c r="I266" s="954">
        <v>340.89</v>
      </c>
      <c r="J266" s="954">
        <v>453.09</v>
      </c>
      <c r="K266" s="954"/>
      <c r="L266" s="920"/>
      <c r="M266" s="917">
        <v>7178.3</v>
      </c>
      <c r="N266" s="917">
        <v>9494.8067899096168</v>
      </c>
      <c r="O266" s="1175">
        <v>2300.4</v>
      </c>
      <c r="P266" s="1175">
        <v>3042.7613138916017</v>
      </c>
      <c r="Q266" s="1175">
        <v>548.35</v>
      </c>
      <c r="R266" s="1175">
        <v>725.30784492803855</v>
      </c>
      <c r="S266" s="1175">
        <v>1386</v>
      </c>
      <c r="T266" s="1175">
        <v>1833.275596006677</v>
      </c>
      <c r="U266" s="920">
        <v>171.61740476190471</v>
      </c>
      <c r="V266" s="920">
        <v>227</v>
      </c>
      <c r="W266" s="920">
        <v>1606.390843416717</v>
      </c>
      <c r="X266" s="920">
        <v>2124.7886947218258</v>
      </c>
      <c r="Y266" s="920"/>
      <c r="Z266" s="920"/>
      <c r="AA266" s="920"/>
      <c r="AB266" s="920"/>
      <c r="AC266" s="920"/>
      <c r="AD266" s="920">
        <v>5.625334045964725</v>
      </c>
      <c r="AE266" s="920"/>
      <c r="AF266" s="920"/>
      <c r="AG266" s="920"/>
      <c r="AH266" s="920"/>
      <c r="AI266" s="920"/>
      <c r="AJ266" s="920"/>
      <c r="AK266" s="920">
        <v>21.277727387168191</v>
      </c>
      <c r="AL266" s="920">
        <v>28.144255669104158</v>
      </c>
      <c r="AM266" s="920">
        <v>22.495454441417348</v>
      </c>
      <c r="AN266" s="920">
        <v>29.754955013369724</v>
      </c>
      <c r="AO266" s="920"/>
      <c r="AP266" s="920"/>
      <c r="AS266" s="1167"/>
      <c r="AT266" s="1167"/>
      <c r="AU266" s="1168"/>
      <c r="AV266" s="1168"/>
      <c r="AW266" s="1169"/>
      <c r="AX266" s="1169"/>
      <c r="AY266" s="1169"/>
      <c r="AZ266" s="1169"/>
      <c r="BA266" s="1799" t="s">
        <v>280</v>
      </c>
      <c r="BB266" s="1802">
        <v>2010</v>
      </c>
      <c r="BC266" s="1799" t="s">
        <v>583</v>
      </c>
      <c r="BD266" s="1799">
        <v>4</v>
      </c>
      <c r="BE266" s="1800">
        <v>45342680</v>
      </c>
      <c r="BF266" s="1801">
        <v>6.9000000000000006E-2</v>
      </c>
      <c r="BG266" s="1799"/>
      <c r="BH266" s="1799" t="s">
        <v>3</v>
      </c>
      <c r="BI266" s="1799" t="s">
        <v>310</v>
      </c>
      <c r="BJ266" s="1799" t="s">
        <v>581</v>
      </c>
      <c r="BK266" s="1799">
        <v>6</v>
      </c>
      <c r="BL266" s="1800">
        <v>186489750.94</v>
      </c>
      <c r="BM266" s="1801">
        <v>6.2898234143270476E-2</v>
      </c>
      <c r="BN266" s="1799">
        <v>2005</v>
      </c>
      <c r="BO266" s="1684"/>
      <c r="BP266" s="1696"/>
      <c r="BQ266" s="1169"/>
      <c r="BR266" s="1169"/>
      <c r="BS266" s="1169"/>
      <c r="BT266" s="1169"/>
      <c r="BU266" s="1169"/>
      <c r="BV266" s="1169"/>
      <c r="BW266" s="1169"/>
      <c r="BX266" s="1169"/>
      <c r="BY266" s="1169"/>
      <c r="BZ266" s="1169"/>
      <c r="CA266" s="1169"/>
      <c r="CB266" s="1169"/>
      <c r="CC266" s="1169"/>
      <c r="CD266" s="1169"/>
      <c r="CE266" s="1169"/>
      <c r="CF266" s="1169"/>
      <c r="CG266" s="1169"/>
      <c r="CH266" s="1169"/>
      <c r="CI266" s="1169"/>
      <c r="CJ266" s="1169"/>
      <c r="CK266" s="1169"/>
      <c r="CL266" s="1169"/>
      <c r="CM266" s="1169"/>
      <c r="CN266" s="1169"/>
      <c r="CO266" s="1169"/>
      <c r="CP266" s="1169"/>
      <c r="CQ266" s="1169"/>
      <c r="CR266" s="1169"/>
      <c r="CS266" s="1169"/>
      <c r="CT266" s="1169"/>
      <c r="CU266" s="1169"/>
      <c r="CV266" s="1169"/>
      <c r="CW266" s="1169"/>
      <c r="CX266" s="1169"/>
      <c r="CY266" s="1169"/>
      <c r="CZ266" s="1169"/>
      <c r="DA266" s="1168"/>
      <c r="DB266" s="1168"/>
      <c r="DC266" s="1168"/>
      <c r="DD266" s="1168"/>
      <c r="DE266" s="1168"/>
      <c r="DF266" s="1168"/>
      <c r="DG266" s="1168"/>
      <c r="DH266" s="1168"/>
      <c r="DI266" s="1168"/>
      <c r="DJ266" s="1168"/>
      <c r="DK266" s="1168"/>
      <c r="DL266" s="1168"/>
      <c r="DM266" s="1168"/>
      <c r="DN266" s="1168"/>
      <c r="DO266" s="1168"/>
      <c r="DP266" s="1168"/>
      <c r="DQ266" s="1168"/>
      <c r="DR266" s="1168"/>
      <c r="DS266" s="1168"/>
      <c r="DT266" s="1168"/>
      <c r="DU266" s="1168"/>
      <c r="DV266" s="1168"/>
      <c r="DW266" s="1168"/>
      <c r="DX266" s="1168"/>
      <c r="DY266" s="1168"/>
      <c r="DZ266" s="1168"/>
      <c r="EA266" s="1168"/>
      <c r="EB266" s="1168"/>
      <c r="EC266" s="1168"/>
      <c r="ED266" s="1168"/>
      <c r="EE266" s="1168"/>
      <c r="EF266" s="1168"/>
      <c r="EG266" s="1168"/>
      <c r="EH266" s="1168"/>
      <c r="EI266" s="1170"/>
      <c r="EJ266" s="1170"/>
      <c r="EK266" s="1170"/>
      <c r="EL266" s="1170"/>
      <c r="EM266" s="1170"/>
      <c r="EN266" s="1170"/>
      <c r="EO266" s="1170"/>
      <c r="EP266" s="1170"/>
      <c r="EQ266" s="1170"/>
      <c r="ER266" s="1170"/>
      <c r="ES266" s="1171"/>
      <c r="ET266" s="1171"/>
      <c r="EU266" s="1171"/>
      <c r="EV266" s="1171"/>
      <c r="EW266" s="1171"/>
      <c r="EX266" s="1171"/>
      <c r="EY266" s="1171"/>
      <c r="EZ266" s="1171"/>
      <c r="FA266" s="1171"/>
      <c r="FB266" s="1171"/>
      <c r="FC266" s="1171"/>
      <c r="FD266" s="1171"/>
      <c r="FE266" s="1171"/>
      <c r="FF266" s="1171"/>
      <c r="FG266" s="1171"/>
      <c r="FH266" s="1171"/>
      <c r="FI266" s="1171"/>
      <c r="FJ266" s="1171"/>
      <c r="FK266" s="1171"/>
      <c r="FL266" s="1171"/>
      <c r="FM266" s="1171"/>
      <c r="FN266" s="1171"/>
      <c r="FO266" s="1171"/>
      <c r="FP266" s="1171"/>
    </row>
    <row r="267" spans="1:172" s="607" customFormat="1">
      <c r="A267" s="607">
        <f t="shared" si="8"/>
        <v>1992</v>
      </c>
      <c r="B267" s="607">
        <f t="shared" si="9"/>
        <v>3</v>
      </c>
      <c r="C267" s="666">
        <v>33786</v>
      </c>
      <c r="D267" s="1709">
        <v>0.74541304347826076</v>
      </c>
      <c r="E267" s="1117">
        <v>177.00578130434781</v>
      </c>
      <c r="F267" s="1117">
        <v>237.46</v>
      </c>
      <c r="G267" s="1117"/>
      <c r="H267" s="1117"/>
      <c r="I267" s="959">
        <v>352.45</v>
      </c>
      <c r="J267" s="959">
        <v>475.17</v>
      </c>
      <c r="K267" s="960"/>
      <c r="L267" s="1121"/>
      <c r="M267" s="916">
        <v>7522</v>
      </c>
      <c r="N267" s="916">
        <v>10091.049607745927</v>
      </c>
      <c r="O267" s="1174">
        <v>2522.9</v>
      </c>
      <c r="P267" s="1174">
        <v>3384.5664790457586</v>
      </c>
      <c r="Q267" s="1174">
        <v>626.77</v>
      </c>
      <c r="R267" s="1174">
        <v>840.83583656566259</v>
      </c>
      <c r="S267" s="1174">
        <v>1320.6</v>
      </c>
      <c r="T267" s="1174">
        <v>1771.6352182915805</v>
      </c>
      <c r="U267" s="1120">
        <v>155.7913260869565</v>
      </c>
      <c r="V267" s="1120">
        <v>209</v>
      </c>
      <c r="W267" s="1120">
        <v>1700.8480701081426</v>
      </c>
      <c r="X267" s="1120">
        <v>2281.7524927812001</v>
      </c>
      <c r="Y267" s="1119"/>
      <c r="Z267" s="1119"/>
      <c r="AA267" s="1119"/>
      <c r="AB267" s="1119"/>
      <c r="AC267" s="1178"/>
      <c r="AD267" s="1178">
        <v>5.5630206933619997</v>
      </c>
      <c r="AE267" s="1178"/>
      <c r="AF267" s="1178"/>
      <c r="AG267" s="1178"/>
      <c r="AH267" s="1178"/>
      <c r="AI267" s="1178"/>
      <c r="AJ267" s="1178"/>
      <c r="AK267" s="919">
        <v>20.336521646250848</v>
      </c>
      <c r="AL267" s="919">
        <v>27.282218662764709</v>
      </c>
      <c r="AM267" s="919">
        <v>22.919565200805664</v>
      </c>
      <c r="AN267" s="919">
        <v>30.747470011871467</v>
      </c>
      <c r="AO267" s="919"/>
      <c r="AP267" s="919"/>
      <c r="AS267" s="1167"/>
      <c r="AT267" s="1167"/>
      <c r="AU267" s="1168"/>
      <c r="AV267" s="1168"/>
      <c r="AW267" s="1169"/>
      <c r="AX267" s="1169"/>
      <c r="AY267" s="1169"/>
      <c r="AZ267" s="1169"/>
      <c r="BA267" s="1799" t="s">
        <v>280</v>
      </c>
      <c r="BB267" s="1802">
        <v>2010</v>
      </c>
      <c r="BC267" s="1799" t="s">
        <v>51</v>
      </c>
      <c r="BD267" s="1799">
        <v>5</v>
      </c>
      <c r="BE267" s="1800">
        <v>35138410</v>
      </c>
      <c r="BF267" s="1801">
        <v>5.2999999999999999E-2</v>
      </c>
      <c r="BG267" s="1799"/>
      <c r="BH267" s="1799" t="s">
        <v>3</v>
      </c>
      <c r="BI267" s="1799" t="s">
        <v>310</v>
      </c>
      <c r="BJ267" s="1799" t="s">
        <v>583</v>
      </c>
      <c r="BK267" s="1799">
        <v>7</v>
      </c>
      <c r="BL267" s="1800">
        <v>165285113.75999999</v>
      </c>
      <c r="BM267" s="1801">
        <v>5.5746451122766327E-2</v>
      </c>
      <c r="BN267" s="1799">
        <v>2005</v>
      </c>
      <c r="BO267" s="1684"/>
      <c r="BP267" s="1696"/>
      <c r="BQ267" s="1169"/>
      <c r="BR267" s="1169"/>
      <c r="BS267" s="1169"/>
      <c r="BT267" s="1169"/>
      <c r="BU267" s="1169"/>
      <c r="BV267" s="1169"/>
      <c r="BW267" s="1169"/>
      <c r="BX267" s="1169"/>
      <c r="BY267" s="1169"/>
      <c r="BZ267" s="1169"/>
      <c r="CA267" s="1169"/>
      <c r="CB267" s="1169"/>
      <c r="CC267" s="1169"/>
      <c r="CD267" s="1169"/>
      <c r="CE267" s="1169"/>
      <c r="CF267" s="1169"/>
      <c r="CG267" s="1169"/>
      <c r="CH267" s="1169"/>
      <c r="CI267" s="1169"/>
      <c r="CJ267" s="1169"/>
      <c r="CK267" s="1169"/>
      <c r="CL267" s="1169"/>
      <c r="CM267" s="1169"/>
      <c r="CN267" s="1169"/>
      <c r="CO267" s="1169"/>
      <c r="CP267" s="1169"/>
      <c r="CQ267" s="1169"/>
      <c r="CR267" s="1169"/>
      <c r="CS267" s="1169"/>
      <c r="CT267" s="1169"/>
      <c r="CU267" s="1169"/>
      <c r="CV267" s="1169"/>
      <c r="CW267" s="1169"/>
      <c r="CX267" s="1169"/>
      <c r="CY267" s="1169"/>
      <c r="CZ267" s="1169"/>
      <c r="DA267" s="1168"/>
      <c r="DB267" s="1168"/>
      <c r="DC267" s="1168"/>
      <c r="DD267" s="1168"/>
      <c r="DE267" s="1168"/>
      <c r="DF267" s="1168"/>
      <c r="DG267" s="1168"/>
      <c r="DH267" s="1168"/>
      <c r="DI267" s="1168"/>
      <c r="DJ267" s="1168"/>
      <c r="DK267" s="1168"/>
      <c r="DL267" s="1168"/>
      <c r="DM267" s="1168"/>
      <c r="DN267" s="1168"/>
      <c r="DO267" s="1168"/>
      <c r="DP267" s="1168"/>
      <c r="DQ267" s="1168"/>
      <c r="DR267" s="1168"/>
      <c r="DS267" s="1168"/>
      <c r="DT267" s="1168"/>
      <c r="DU267" s="1168"/>
      <c r="DV267" s="1168"/>
      <c r="DW267" s="1168"/>
      <c r="DX267" s="1168"/>
      <c r="DY267" s="1168"/>
      <c r="DZ267" s="1168"/>
      <c r="EA267" s="1168"/>
      <c r="EB267" s="1168"/>
      <c r="EC267" s="1168"/>
      <c r="ED267" s="1168"/>
      <c r="EE267" s="1168"/>
      <c r="EF267" s="1168"/>
      <c r="EG267" s="1168"/>
      <c r="EH267" s="1168"/>
      <c r="EI267" s="1170"/>
      <c r="EJ267" s="1170"/>
      <c r="EK267" s="1170"/>
      <c r="EL267" s="1170"/>
      <c r="EM267" s="1170"/>
      <c r="EN267" s="1170"/>
      <c r="EO267" s="1170"/>
      <c r="EP267" s="1170"/>
      <c r="EQ267" s="1170"/>
      <c r="ER267" s="1170"/>
      <c r="ES267" s="1171"/>
      <c r="ET267" s="1171"/>
      <c r="EU267" s="1171"/>
      <c r="EV267" s="1171"/>
      <c r="EW267" s="1171"/>
      <c r="EX267" s="1171"/>
      <c r="EY267" s="1171"/>
      <c r="EZ267" s="1171"/>
      <c r="FA267" s="1171"/>
      <c r="FB267" s="1171"/>
      <c r="FC267" s="1171"/>
      <c r="FD267" s="1171"/>
      <c r="FE267" s="1171"/>
      <c r="FF267" s="1171"/>
      <c r="FG267" s="1171"/>
      <c r="FH267" s="1171"/>
      <c r="FI267" s="1171"/>
      <c r="FJ267" s="1171"/>
      <c r="FK267" s="1171"/>
      <c r="FL267" s="1171"/>
      <c r="FM267" s="1171"/>
      <c r="FN267" s="1171"/>
      <c r="FO267" s="1171"/>
      <c r="FP267" s="1171"/>
    </row>
    <row r="268" spans="1:172" s="607" customFormat="1">
      <c r="A268" s="607">
        <f t="shared" si="8"/>
        <v>1992</v>
      </c>
      <c r="B268" s="607">
        <f t="shared" si="9"/>
        <v>3</v>
      </c>
      <c r="C268" s="666">
        <v>33817</v>
      </c>
      <c r="D268" s="957">
        <v>0.72580476190476195</v>
      </c>
      <c r="E268" s="920">
        <v>170.25928104761906</v>
      </c>
      <c r="F268" s="920">
        <v>234.58</v>
      </c>
      <c r="G268" s="920"/>
      <c r="H268" s="920"/>
      <c r="I268" s="954">
        <v>343.6</v>
      </c>
      <c r="J268" s="954">
        <v>475.5</v>
      </c>
      <c r="K268" s="954"/>
      <c r="L268" s="920"/>
      <c r="M268" s="917">
        <v>7272.88</v>
      </c>
      <c r="N268" s="917">
        <v>10020.435772443068</v>
      </c>
      <c r="O268" s="1175">
        <v>2646.5</v>
      </c>
      <c r="P268" s="1175">
        <v>3646.2973776235244</v>
      </c>
      <c r="Q268" s="1175">
        <v>688.11</v>
      </c>
      <c r="R268" s="1175">
        <v>948.06487380182261</v>
      </c>
      <c r="S268" s="1175">
        <v>1431.5</v>
      </c>
      <c r="T268" s="1175">
        <v>1972.2934804715946</v>
      </c>
      <c r="U268" s="920">
        <v>151.69319523809526</v>
      </c>
      <c r="V268" s="920">
        <v>209</v>
      </c>
      <c r="W268" s="920">
        <v>1603.8021337113883</v>
      </c>
      <c r="X268" s="920">
        <v>2209.6880840275262</v>
      </c>
      <c r="Y268" s="920"/>
      <c r="Z268" s="920"/>
      <c r="AA268" s="920"/>
      <c r="AB268" s="920"/>
      <c r="AC268" s="920"/>
      <c r="AD268" s="920">
        <v>5.5368657134847208</v>
      </c>
      <c r="AE268" s="920"/>
      <c r="AF268" s="920"/>
      <c r="AG268" s="920"/>
      <c r="AH268" s="920"/>
      <c r="AI268" s="920"/>
      <c r="AJ268" s="920"/>
      <c r="AK268" s="920">
        <v>19.774761835734051</v>
      </c>
      <c r="AL268" s="920">
        <v>27.245290846312798</v>
      </c>
      <c r="AM268" s="920">
        <v>22.388095129103888</v>
      </c>
      <c r="AN268" s="920">
        <v>30.845891766195923</v>
      </c>
      <c r="AO268" s="920"/>
      <c r="AP268" s="920"/>
      <c r="AS268" s="1167"/>
      <c r="AT268" s="1167"/>
      <c r="AU268" s="1168"/>
      <c r="AV268" s="1168"/>
      <c r="AW268" s="1169"/>
      <c r="AX268" s="1169"/>
      <c r="AY268" s="1169"/>
      <c r="AZ268" s="1169"/>
      <c r="BA268" s="1799" t="s">
        <v>280</v>
      </c>
      <c r="BB268" s="1802">
        <v>2010</v>
      </c>
      <c r="BC268" s="1799" t="s">
        <v>54</v>
      </c>
      <c r="BD268" s="1799">
        <v>6</v>
      </c>
      <c r="BE268" s="1800">
        <v>30226497</v>
      </c>
      <c r="BF268" s="1801">
        <v>4.5999999999999999E-2</v>
      </c>
      <c r="BG268" s="1799"/>
      <c r="BH268" s="1799" t="s">
        <v>3</v>
      </c>
      <c r="BI268" s="1799" t="s">
        <v>310</v>
      </c>
      <c r="BJ268" s="1799" t="s">
        <v>447</v>
      </c>
      <c r="BK268" s="1799">
        <v>8</v>
      </c>
      <c r="BL268" s="1800">
        <v>147979653.22</v>
      </c>
      <c r="BM268" s="1801">
        <v>4.9909760883675124E-2</v>
      </c>
      <c r="BN268" s="1799">
        <v>2005</v>
      </c>
      <c r="BO268" s="1684"/>
      <c r="BP268" s="1696"/>
      <c r="BQ268" s="1169"/>
      <c r="BR268" s="1169"/>
      <c r="BS268" s="1169"/>
      <c r="BT268" s="1169"/>
      <c r="BU268" s="1169"/>
      <c r="BV268" s="1169"/>
      <c r="BW268" s="1169"/>
      <c r="BX268" s="1169"/>
      <c r="BY268" s="1169"/>
      <c r="BZ268" s="1169"/>
      <c r="CA268" s="1169"/>
      <c r="CB268" s="1169"/>
      <c r="CC268" s="1169"/>
      <c r="CD268" s="1169"/>
      <c r="CE268" s="1169"/>
      <c r="CF268" s="1169"/>
      <c r="CG268" s="1169"/>
      <c r="CH268" s="1169"/>
      <c r="CI268" s="1169"/>
      <c r="CJ268" s="1169"/>
      <c r="CK268" s="1169"/>
      <c r="CL268" s="1169"/>
      <c r="CM268" s="1169"/>
      <c r="CN268" s="1169"/>
      <c r="CO268" s="1169"/>
      <c r="CP268" s="1169"/>
      <c r="CQ268" s="1169"/>
      <c r="CR268" s="1169"/>
      <c r="CS268" s="1169"/>
      <c r="CT268" s="1169"/>
      <c r="CU268" s="1169"/>
      <c r="CV268" s="1169"/>
      <c r="CW268" s="1169"/>
      <c r="CX268" s="1169"/>
      <c r="CY268" s="1169"/>
      <c r="CZ268" s="1169"/>
      <c r="DA268" s="1168"/>
      <c r="DB268" s="1168"/>
      <c r="DC268" s="1168"/>
      <c r="DD268" s="1168"/>
      <c r="DE268" s="1168"/>
      <c r="DF268" s="1168"/>
      <c r="DG268" s="1168"/>
      <c r="DH268" s="1168"/>
      <c r="DI268" s="1168"/>
      <c r="DJ268" s="1168"/>
      <c r="DK268" s="1168"/>
      <c r="DL268" s="1168"/>
      <c r="DM268" s="1168"/>
      <c r="DN268" s="1168"/>
      <c r="DO268" s="1168"/>
      <c r="DP268" s="1168"/>
      <c r="DQ268" s="1168"/>
      <c r="DR268" s="1168"/>
      <c r="DS268" s="1168"/>
      <c r="DT268" s="1168"/>
      <c r="DU268" s="1168"/>
      <c r="DV268" s="1168"/>
      <c r="DW268" s="1168"/>
      <c r="DX268" s="1168"/>
      <c r="DY268" s="1168"/>
      <c r="DZ268" s="1168"/>
      <c r="EA268" s="1168"/>
      <c r="EB268" s="1168"/>
      <c r="EC268" s="1168"/>
      <c r="ED268" s="1168"/>
      <c r="EE268" s="1168"/>
      <c r="EF268" s="1168"/>
      <c r="EG268" s="1168"/>
      <c r="EH268" s="1168"/>
      <c r="EI268" s="1170"/>
      <c r="EJ268" s="1170"/>
      <c r="EK268" s="1170"/>
      <c r="EL268" s="1170"/>
      <c r="EM268" s="1170"/>
      <c r="EN268" s="1170"/>
      <c r="EO268" s="1170"/>
      <c r="EP268" s="1170"/>
      <c r="EQ268" s="1170"/>
      <c r="ER268" s="1170"/>
      <c r="ES268" s="1171"/>
      <c r="ET268" s="1171"/>
      <c r="EU268" s="1171"/>
      <c r="EV268" s="1171"/>
      <c r="EW268" s="1171"/>
      <c r="EX268" s="1171"/>
      <c r="EY268" s="1171"/>
      <c r="EZ268" s="1171"/>
      <c r="FA268" s="1171"/>
      <c r="FB268" s="1171"/>
      <c r="FC268" s="1171"/>
      <c r="FD268" s="1171"/>
      <c r="FE268" s="1171"/>
      <c r="FF268" s="1171"/>
      <c r="FG268" s="1171"/>
      <c r="FH268" s="1171"/>
      <c r="FI268" s="1171"/>
      <c r="FJ268" s="1171"/>
      <c r="FK268" s="1171"/>
      <c r="FL268" s="1171"/>
      <c r="FM268" s="1171"/>
      <c r="FN268" s="1171"/>
      <c r="FO268" s="1171"/>
      <c r="FP268" s="1171"/>
    </row>
    <row r="269" spans="1:172" s="607" customFormat="1">
      <c r="A269" s="607">
        <f t="shared" si="8"/>
        <v>1992</v>
      </c>
      <c r="B269" s="607">
        <f t="shared" si="9"/>
        <v>3</v>
      </c>
      <c r="C269" s="666">
        <v>33848</v>
      </c>
      <c r="D269" s="1709">
        <v>0.72248181818181834</v>
      </c>
      <c r="E269" s="1117">
        <v>173.77132690909096</v>
      </c>
      <c r="F269" s="1117">
        <v>240.52</v>
      </c>
      <c r="G269" s="1117"/>
      <c r="H269" s="1117"/>
      <c r="I269" s="959">
        <v>345.3</v>
      </c>
      <c r="J269" s="959">
        <v>480.16</v>
      </c>
      <c r="K269" s="960"/>
      <c r="L269" s="1121"/>
      <c r="M269" s="916">
        <v>6945.67</v>
      </c>
      <c r="N269" s="916">
        <v>9613.6260113497647</v>
      </c>
      <c r="O269" s="1174">
        <v>2528.1999999999998</v>
      </c>
      <c r="P269" s="1174">
        <v>3499.3268153964227</v>
      </c>
      <c r="Q269" s="1174">
        <v>651.47</v>
      </c>
      <c r="R269" s="1174">
        <v>901.71127301095953</v>
      </c>
      <c r="S269" s="1174">
        <v>1428.6</v>
      </c>
      <c r="T269" s="1174">
        <v>1977.3507983843565</v>
      </c>
      <c r="U269" s="1120">
        <v>150.99870000000004</v>
      </c>
      <c r="V269" s="1120">
        <v>209</v>
      </c>
      <c r="W269" s="1120">
        <v>1591.923977694003</v>
      </c>
      <c r="X269" s="1120">
        <v>2203.4104355735949</v>
      </c>
      <c r="Y269" s="1119"/>
      <c r="Z269" s="1119"/>
      <c r="AA269" s="1119"/>
      <c r="AB269" s="1119"/>
      <c r="AC269" s="1178"/>
      <c r="AD269" s="1178">
        <v>5.4481792717086837</v>
      </c>
      <c r="AE269" s="1178"/>
      <c r="AF269" s="1178"/>
      <c r="AG269" s="1178"/>
      <c r="AH269" s="1178"/>
      <c r="AI269" s="1178"/>
      <c r="AJ269" s="1178"/>
      <c r="AK269" s="919">
        <v>20.312272592024371</v>
      </c>
      <c r="AL269" s="919">
        <v>28.114579607195907</v>
      </c>
      <c r="AM269" s="919">
        <v>21.693181818181817</v>
      </c>
      <c r="AN269" s="919">
        <v>30.025920752960115</v>
      </c>
      <c r="AO269" s="919"/>
      <c r="AP269" s="919"/>
      <c r="AS269" s="1167"/>
      <c r="AT269" s="1167"/>
      <c r="AU269" s="1168"/>
      <c r="AV269" s="1168"/>
      <c r="AW269" s="1169"/>
      <c r="AX269" s="1169"/>
      <c r="AY269" s="1169"/>
      <c r="AZ269" s="1169"/>
      <c r="BA269" s="1799" t="s">
        <v>280</v>
      </c>
      <c r="BB269" s="1802">
        <v>2010</v>
      </c>
      <c r="BC269" s="1799" t="s">
        <v>18</v>
      </c>
      <c r="BD269" s="1799">
        <v>7</v>
      </c>
      <c r="BE269" s="1800">
        <v>28431387</v>
      </c>
      <c r="BF269" s="1801">
        <v>4.2999999999999997E-2</v>
      </c>
      <c r="BG269" s="1799"/>
      <c r="BH269" s="1799" t="s">
        <v>3</v>
      </c>
      <c r="BI269" s="1799" t="s">
        <v>310</v>
      </c>
      <c r="BJ269" s="1799" t="s">
        <v>32</v>
      </c>
      <c r="BK269" s="1799"/>
      <c r="BL269" s="1800">
        <v>123999050.8</v>
      </c>
      <c r="BM269" s="1801">
        <v>4.1821715624849501E-2</v>
      </c>
      <c r="BN269" s="1799">
        <v>2005</v>
      </c>
      <c r="BO269" s="1684"/>
      <c r="BP269" s="1696"/>
      <c r="BQ269" s="1169"/>
      <c r="BR269" s="1169"/>
      <c r="BS269" s="1169"/>
      <c r="BT269" s="1169"/>
      <c r="BU269" s="1169"/>
      <c r="BV269" s="1169"/>
      <c r="BW269" s="1169"/>
      <c r="BX269" s="1169"/>
      <c r="BY269" s="1169"/>
      <c r="BZ269" s="1169"/>
      <c r="CA269" s="1169"/>
      <c r="CB269" s="1169"/>
      <c r="CC269" s="1169"/>
      <c r="CD269" s="1169"/>
      <c r="CE269" s="1169"/>
      <c r="CF269" s="1169"/>
      <c r="CG269" s="1169"/>
      <c r="CH269" s="1169"/>
      <c r="CI269" s="1169"/>
      <c r="CJ269" s="1169"/>
      <c r="CK269" s="1169"/>
      <c r="CL269" s="1169"/>
      <c r="CM269" s="1169"/>
      <c r="CN269" s="1169"/>
      <c r="CO269" s="1169"/>
      <c r="CP269" s="1169"/>
      <c r="CQ269" s="1169"/>
      <c r="CR269" s="1169"/>
      <c r="CS269" s="1169"/>
      <c r="CT269" s="1169"/>
      <c r="CU269" s="1169"/>
      <c r="CV269" s="1169"/>
      <c r="CW269" s="1169"/>
      <c r="CX269" s="1169"/>
      <c r="CY269" s="1169"/>
      <c r="CZ269" s="1169"/>
      <c r="DA269" s="1168"/>
      <c r="DB269" s="1168"/>
      <c r="DC269" s="1168"/>
      <c r="DD269" s="1168"/>
      <c r="DE269" s="1168"/>
      <c r="DF269" s="1168"/>
      <c r="DG269" s="1168"/>
      <c r="DH269" s="1168"/>
      <c r="DI269" s="1168"/>
      <c r="DJ269" s="1168"/>
      <c r="DK269" s="1168"/>
      <c r="DL269" s="1168"/>
      <c r="DM269" s="1168"/>
      <c r="DN269" s="1168"/>
      <c r="DO269" s="1168"/>
      <c r="DP269" s="1168"/>
      <c r="DQ269" s="1168"/>
      <c r="DR269" s="1168"/>
      <c r="DS269" s="1168"/>
      <c r="DT269" s="1168"/>
      <c r="DU269" s="1168"/>
      <c r="DV269" s="1168"/>
      <c r="DW269" s="1168"/>
      <c r="DX269" s="1168"/>
      <c r="DY269" s="1168"/>
      <c r="DZ269" s="1168"/>
      <c r="EA269" s="1168"/>
      <c r="EB269" s="1168"/>
      <c r="EC269" s="1168"/>
      <c r="ED269" s="1168"/>
      <c r="EE269" s="1168"/>
      <c r="EF269" s="1168"/>
      <c r="EG269" s="1168"/>
      <c r="EH269" s="1168"/>
      <c r="EI269" s="1170"/>
      <c r="EJ269" s="1170"/>
      <c r="EK269" s="1170"/>
      <c r="EL269" s="1170"/>
      <c r="EM269" s="1170"/>
      <c r="EN269" s="1170"/>
      <c r="EO269" s="1170"/>
      <c r="EP269" s="1170"/>
      <c r="EQ269" s="1170"/>
      <c r="ER269" s="1170"/>
      <c r="ES269" s="1171"/>
      <c r="ET269" s="1171"/>
      <c r="EU269" s="1171"/>
      <c r="EV269" s="1171"/>
      <c r="EW269" s="1171"/>
      <c r="EX269" s="1171"/>
      <c r="EY269" s="1171"/>
      <c r="EZ269" s="1171"/>
      <c r="FA269" s="1171"/>
      <c r="FB269" s="1171"/>
      <c r="FC269" s="1171"/>
      <c r="FD269" s="1171"/>
      <c r="FE269" s="1171"/>
      <c r="FF269" s="1171"/>
      <c r="FG269" s="1171"/>
      <c r="FH269" s="1171"/>
      <c r="FI269" s="1171"/>
      <c r="FJ269" s="1171"/>
      <c r="FK269" s="1171"/>
      <c r="FL269" s="1171"/>
      <c r="FM269" s="1171"/>
      <c r="FN269" s="1171"/>
      <c r="FO269" s="1171"/>
      <c r="FP269" s="1171"/>
    </row>
    <row r="270" spans="1:172" s="607" customFormat="1">
      <c r="A270" s="607">
        <f t="shared" si="8"/>
        <v>1992</v>
      </c>
      <c r="B270" s="607">
        <f t="shared" si="9"/>
        <v>4</v>
      </c>
      <c r="C270" s="666">
        <v>33878</v>
      </c>
      <c r="D270" s="957">
        <v>0.71581363636363615</v>
      </c>
      <c r="E270" s="920">
        <v>170.37796172727269</v>
      </c>
      <c r="F270" s="920">
        <v>238.02</v>
      </c>
      <c r="G270" s="920"/>
      <c r="H270" s="920"/>
      <c r="I270" s="954">
        <v>344.27</v>
      </c>
      <c r="J270" s="954">
        <v>482.75</v>
      </c>
      <c r="K270" s="954"/>
      <c r="L270" s="920"/>
      <c r="M270" s="917">
        <v>6338.5</v>
      </c>
      <c r="N270" s="917">
        <v>8854.9584389029678</v>
      </c>
      <c r="O270" s="1175">
        <v>2249.6</v>
      </c>
      <c r="P270" s="1175">
        <v>3142.7174416906391</v>
      </c>
      <c r="Q270" s="1175">
        <v>538.26</v>
      </c>
      <c r="R270" s="1175">
        <v>751.95549882841544</v>
      </c>
      <c r="S270" s="1175">
        <v>1164</v>
      </c>
      <c r="T270" s="1175">
        <v>1626.1215781151777</v>
      </c>
      <c r="U270" s="920">
        <v>125.98319999999997</v>
      </c>
      <c r="V270" s="920">
        <v>176</v>
      </c>
      <c r="W270" s="920">
        <v>1658.4236652547768</v>
      </c>
      <c r="X270" s="920">
        <v>2316.8372059515937</v>
      </c>
      <c r="Y270" s="920"/>
      <c r="Z270" s="920"/>
      <c r="AA270" s="920"/>
      <c r="AB270" s="920"/>
      <c r="AC270" s="920"/>
      <c r="AD270" s="920">
        <v>5.4788610871440895</v>
      </c>
      <c r="AE270" s="920"/>
      <c r="AF270" s="920"/>
      <c r="AG270" s="920"/>
      <c r="AH270" s="920"/>
      <c r="AI270" s="920"/>
      <c r="AJ270" s="920"/>
      <c r="AK270" s="920">
        <v>20.264545440673828</v>
      </c>
      <c r="AL270" s="920">
        <v>28.309806367504514</v>
      </c>
      <c r="AM270" s="920">
        <v>21.654999906366523</v>
      </c>
      <c r="AN270" s="920">
        <v>30.252287475794464</v>
      </c>
      <c r="AO270" s="920"/>
      <c r="AP270" s="920"/>
      <c r="AS270" s="1167"/>
      <c r="AT270" s="1167"/>
      <c r="AU270" s="1168"/>
      <c r="AV270" s="1168"/>
      <c r="AW270" s="1169"/>
      <c r="AX270" s="1169"/>
      <c r="AY270" s="1169"/>
      <c r="AZ270" s="1169"/>
      <c r="BA270" s="1799" t="s">
        <v>280</v>
      </c>
      <c r="BB270" s="1802">
        <v>2010</v>
      </c>
      <c r="BC270" s="1799" t="s">
        <v>21</v>
      </c>
      <c r="BD270" s="1799">
        <v>8</v>
      </c>
      <c r="BE270" s="1800">
        <v>26061563</v>
      </c>
      <c r="BF270" s="1801">
        <v>3.9E-2</v>
      </c>
      <c r="BG270" s="1799"/>
      <c r="BH270" s="1799" t="s">
        <v>3</v>
      </c>
      <c r="BI270" s="1799" t="s">
        <v>310</v>
      </c>
      <c r="BJ270" s="1799" t="s">
        <v>249</v>
      </c>
      <c r="BK270" s="1799"/>
      <c r="BL270" s="1800">
        <v>2964944143.1886792</v>
      </c>
      <c r="BM270" s="1801"/>
      <c r="BN270" s="1799">
        <v>2005</v>
      </c>
      <c r="BO270" s="1684"/>
      <c r="BP270" s="1696"/>
      <c r="BQ270" s="1169"/>
      <c r="BR270" s="1169"/>
      <c r="BS270" s="1169"/>
      <c r="BT270" s="1169"/>
      <c r="BU270" s="1169"/>
      <c r="BV270" s="1169"/>
      <c r="BW270" s="1169"/>
      <c r="BX270" s="1169"/>
      <c r="BY270" s="1169"/>
      <c r="BZ270" s="1169"/>
      <c r="CA270" s="1169"/>
      <c r="CB270" s="1169"/>
      <c r="CC270" s="1169"/>
      <c r="CD270" s="1169"/>
      <c r="CE270" s="1169"/>
      <c r="CF270" s="1169"/>
      <c r="CG270" s="1169"/>
      <c r="CH270" s="1169"/>
      <c r="CI270" s="1169"/>
      <c r="CJ270" s="1169"/>
      <c r="CK270" s="1169"/>
      <c r="CL270" s="1169"/>
      <c r="CM270" s="1169"/>
      <c r="CN270" s="1169"/>
      <c r="CO270" s="1169"/>
      <c r="CP270" s="1169"/>
      <c r="CQ270" s="1169"/>
      <c r="CR270" s="1169"/>
      <c r="CS270" s="1169"/>
      <c r="CT270" s="1169"/>
      <c r="CU270" s="1169"/>
      <c r="CV270" s="1169"/>
      <c r="CW270" s="1169"/>
      <c r="CX270" s="1169"/>
      <c r="CY270" s="1169"/>
      <c r="CZ270" s="1169"/>
      <c r="DA270" s="1168"/>
      <c r="DB270" s="1168"/>
      <c r="DC270" s="1168"/>
      <c r="DD270" s="1168"/>
      <c r="DE270" s="1168"/>
      <c r="DF270" s="1168"/>
      <c r="DG270" s="1168"/>
      <c r="DH270" s="1168"/>
      <c r="DI270" s="1168"/>
      <c r="DJ270" s="1168"/>
      <c r="DK270" s="1168"/>
      <c r="DL270" s="1168"/>
      <c r="DM270" s="1168"/>
      <c r="DN270" s="1168"/>
      <c r="DO270" s="1168"/>
      <c r="DP270" s="1168"/>
      <c r="DQ270" s="1168"/>
      <c r="DR270" s="1168"/>
      <c r="DS270" s="1168"/>
      <c r="DT270" s="1168"/>
      <c r="DU270" s="1168"/>
      <c r="DV270" s="1168"/>
      <c r="DW270" s="1168"/>
      <c r="DX270" s="1168"/>
      <c r="DY270" s="1168"/>
      <c r="DZ270" s="1168"/>
      <c r="EA270" s="1168"/>
      <c r="EB270" s="1168"/>
      <c r="EC270" s="1168"/>
      <c r="ED270" s="1168"/>
      <c r="EE270" s="1168"/>
      <c r="EF270" s="1168"/>
      <c r="EG270" s="1168"/>
      <c r="EH270" s="1168"/>
      <c r="EI270" s="1170"/>
      <c r="EJ270" s="1170"/>
      <c r="EK270" s="1170"/>
      <c r="EL270" s="1170"/>
      <c r="EM270" s="1170"/>
      <c r="EN270" s="1170"/>
      <c r="EO270" s="1170"/>
      <c r="EP270" s="1170"/>
      <c r="EQ270" s="1170"/>
      <c r="ER270" s="1170"/>
      <c r="ES270" s="1171"/>
      <c r="ET270" s="1171"/>
      <c r="EU270" s="1171"/>
      <c r="EV270" s="1171"/>
      <c r="EW270" s="1171"/>
      <c r="EX270" s="1171"/>
      <c r="EY270" s="1171"/>
      <c r="EZ270" s="1171"/>
      <c r="FA270" s="1171"/>
      <c r="FB270" s="1171"/>
      <c r="FC270" s="1171"/>
      <c r="FD270" s="1171"/>
      <c r="FE270" s="1171"/>
      <c r="FF270" s="1171"/>
      <c r="FG270" s="1171"/>
      <c r="FH270" s="1171"/>
      <c r="FI270" s="1171"/>
      <c r="FJ270" s="1171"/>
      <c r="FK270" s="1171"/>
      <c r="FL270" s="1171"/>
      <c r="FM270" s="1171"/>
      <c r="FN270" s="1171"/>
      <c r="FO270" s="1171"/>
      <c r="FP270" s="1171"/>
    </row>
    <row r="271" spans="1:172" s="607" customFormat="1">
      <c r="A271" s="607">
        <f t="shared" si="8"/>
        <v>1992</v>
      </c>
      <c r="B271" s="607">
        <f t="shared" si="9"/>
        <v>4</v>
      </c>
      <c r="C271" s="666">
        <v>33909</v>
      </c>
      <c r="D271" s="1709">
        <v>0.69018571428571429</v>
      </c>
      <c r="E271" s="1117">
        <v>166.29334600000001</v>
      </c>
      <c r="F271" s="1117">
        <v>240.94</v>
      </c>
      <c r="G271" s="1117"/>
      <c r="H271" s="1117"/>
      <c r="I271" s="959">
        <v>334.92</v>
      </c>
      <c r="J271" s="959">
        <v>485.91</v>
      </c>
      <c r="K271" s="960"/>
      <c r="L271" s="1121"/>
      <c r="M271" s="916">
        <v>5671.63</v>
      </c>
      <c r="N271" s="916">
        <v>8217.5418624386821</v>
      </c>
      <c r="O271" s="1174">
        <v>2158.5</v>
      </c>
      <c r="P271" s="1174">
        <v>3127.4191211475172</v>
      </c>
      <c r="Q271" s="1174">
        <v>460.48</v>
      </c>
      <c r="R271" s="1174">
        <v>667.18274584480366</v>
      </c>
      <c r="S271" s="1174">
        <v>1047.3</v>
      </c>
      <c r="T271" s="1174">
        <v>1517.4176722621239</v>
      </c>
      <c r="U271" s="1120">
        <v>121.47268571428572</v>
      </c>
      <c r="V271" s="1120">
        <v>176</v>
      </c>
      <c r="W271" s="1120">
        <v>1596.7350816118221</v>
      </c>
      <c r="X271" s="1120">
        <v>2313.4861365021329</v>
      </c>
      <c r="Y271" s="1119"/>
      <c r="Z271" s="1119"/>
      <c r="AA271" s="1119"/>
      <c r="AB271" s="1119"/>
      <c r="AC271" s="1178"/>
      <c r="AD271" s="1178">
        <v>5.7159607210904291</v>
      </c>
      <c r="AE271" s="1178"/>
      <c r="AF271" s="1178"/>
      <c r="AG271" s="1178"/>
      <c r="AH271" s="1178"/>
      <c r="AI271" s="1178"/>
      <c r="AJ271" s="1178"/>
      <c r="AK271" s="919">
        <v>19.151428404308501</v>
      </c>
      <c r="AL271" s="919">
        <v>27.748224873255541</v>
      </c>
      <c r="AM271" s="919">
        <v>21.020952315557572</v>
      </c>
      <c r="AN271" s="919">
        <v>30.45695076043777</v>
      </c>
      <c r="AO271" s="919"/>
      <c r="AP271" s="919"/>
      <c r="AS271" s="1167"/>
      <c r="AT271" s="1167"/>
      <c r="AU271" s="1168"/>
      <c r="AV271" s="1168"/>
      <c r="AW271" s="1169"/>
      <c r="AX271" s="1169"/>
      <c r="AY271" s="1169"/>
      <c r="AZ271" s="1169"/>
      <c r="BA271" s="1799" t="s">
        <v>280</v>
      </c>
      <c r="BB271" s="1802">
        <v>2010</v>
      </c>
      <c r="BC271" s="1799" t="s">
        <v>49</v>
      </c>
      <c r="BD271" s="1799">
        <v>9</v>
      </c>
      <c r="BE271" s="1800">
        <v>21340156</v>
      </c>
      <c r="BF271" s="1801">
        <v>3.2000000000000001E-2</v>
      </c>
      <c r="BG271" s="1799"/>
      <c r="BH271" s="1799" t="s">
        <v>3</v>
      </c>
      <c r="BI271" s="1799" t="s">
        <v>289</v>
      </c>
      <c r="BJ271" s="1799" t="s">
        <v>44</v>
      </c>
      <c r="BK271" s="1799">
        <v>1</v>
      </c>
      <c r="BL271" s="1800">
        <v>676007499.02399993</v>
      </c>
      <c r="BM271" s="1801">
        <v>0.22348479180077857</v>
      </c>
      <c r="BN271" s="1799">
        <v>2004</v>
      </c>
      <c r="BO271" s="1684"/>
      <c r="BP271" s="1696"/>
      <c r="BQ271" s="1169"/>
      <c r="BR271" s="1169"/>
      <c r="BS271" s="1169"/>
      <c r="BT271" s="1169"/>
      <c r="BU271" s="1169"/>
      <c r="BV271" s="1169"/>
      <c r="BW271" s="1169"/>
      <c r="BX271" s="1169"/>
      <c r="BY271" s="1169"/>
      <c r="BZ271" s="1169"/>
      <c r="CA271" s="1169"/>
      <c r="CB271" s="1169"/>
      <c r="CC271" s="1169"/>
      <c r="CD271" s="1169"/>
      <c r="CE271" s="1169"/>
      <c r="CF271" s="1169"/>
      <c r="CG271" s="1169"/>
      <c r="CH271" s="1169"/>
      <c r="CI271" s="1169"/>
      <c r="CJ271" s="1169"/>
      <c r="CK271" s="1169"/>
      <c r="CL271" s="1169"/>
      <c r="CM271" s="1169"/>
      <c r="CN271" s="1169"/>
      <c r="CO271" s="1169"/>
      <c r="CP271" s="1169"/>
      <c r="CQ271" s="1169"/>
      <c r="CR271" s="1169"/>
      <c r="CS271" s="1169"/>
      <c r="CT271" s="1169"/>
      <c r="CU271" s="1169"/>
      <c r="CV271" s="1169"/>
      <c r="CW271" s="1169"/>
      <c r="CX271" s="1169"/>
      <c r="CY271" s="1169"/>
      <c r="CZ271" s="1169"/>
      <c r="DA271" s="1168"/>
      <c r="DB271" s="1168"/>
      <c r="DC271" s="1168"/>
      <c r="DD271" s="1168"/>
      <c r="DE271" s="1168"/>
      <c r="DF271" s="1168"/>
      <c r="DG271" s="1168"/>
      <c r="DH271" s="1168"/>
      <c r="DI271" s="1168"/>
      <c r="DJ271" s="1168"/>
      <c r="DK271" s="1168"/>
      <c r="DL271" s="1168"/>
      <c r="DM271" s="1168"/>
      <c r="DN271" s="1168"/>
      <c r="DO271" s="1168"/>
      <c r="DP271" s="1168"/>
      <c r="DQ271" s="1168"/>
      <c r="DR271" s="1168"/>
      <c r="DS271" s="1168"/>
      <c r="DT271" s="1168"/>
      <c r="DU271" s="1168"/>
      <c r="DV271" s="1168"/>
      <c r="DW271" s="1168"/>
      <c r="DX271" s="1168"/>
      <c r="DY271" s="1168"/>
      <c r="DZ271" s="1168"/>
      <c r="EA271" s="1168"/>
      <c r="EB271" s="1168"/>
      <c r="EC271" s="1168"/>
      <c r="ED271" s="1168"/>
      <c r="EE271" s="1168"/>
      <c r="EF271" s="1168"/>
      <c r="EG271" s="1168"/>
      <c r="EH271" s="1168"/>
      <c r="EI271" s="1170"/>
      <c r="EJ271" s="1170"/>
      <c r="EK271" s="1170"/>
      <c r="EL271" s="1170"/>
      <c r="EM271" s="1170"/>
      <c r="EN271" s="1170"/>
      <c r="EO271" s="1170"/>
      <c r="EP271" s="1170"/>
      <c r="EQ271" s="1170"/>
      <c r="ER271" s="1170"/>
      <c r="ES271" s="1171"/>
      <c r="ET271" s="1171"/>
      <c r="EU271" s="1171"/>
      <c r="EV271" s="1171"/>
      <c r="EW271" s="1171"/>
      <c r="EX271" s="1171"/>
      <c r="EY271" s="1171"/>
      <c r="EZ271" s="1171"/>
      <c r="FA271" s="1171"/>
      <c r="FB271" s="1171"/>
      <c r="FC271" s="1171"/>
      <c r="FD271" s="1171"/>
      <c r="FE271" s="1171"/>
      <c r="FF271" s="1171"/>
      <c r="FG271" s="1171"/>
      <c r="FH271" s="1171"/>
      <c r="FI271" s="1171"/>
      <c r="FJ271" s="1171"/>
      <c r="FK271" s="1171"/>
      <c r="FL271" s="1171"/>
      <c r="FM271" s="1171"/>
      <c r="FN271" s="1171"/>
      <c r="FO271" s="1171"/>
      <c r="FP271" s="1171"/>
    </row>
    <row r="272" spans="1:172" s="607" customFormat="1">
      <c r="A272" s="607">
        <f t="shared" si="8"/>
        <v>1992</v>
      </c>
      <c r="B272" s="607">
        <f t="shared" si="9"/>
        <v>4</v>
      </c>
      <c r="C272" s="666">
        <v>33939</v>
      </c>
      <c r="D272" s="957">
        <v>0.6895714285714285</v>
      </c>
      <c r="E272" s="920">
        <v>168.67606714285714</v>
      </c>
      <c r="F272" s="920">
        <v>244.61</v>
      </c>
      <c r="G272" s="920"/>
      <c r="H272" s="920"/>
      <c r="I272" s="954">
        <v>334.65</v>
      </c>
      <c r="J272" s="954">
        <v>486.08</v>
      </c>
      <c r="K272" s="954"/>
      <c r="L272" s="920"/>
      <c r="M272" s="917">
        <v>5686.08</v>
      </c>
      <c r="N272" s="917">
        <v>8245.8172778123062</v>
      </c>
      <c r="O272" s="1175">
        <v>2209.1999999999998</v>
      </c>
      <c r="P272" s="1175">
        <v>3203.7290242386575</v>
      </c>
      <c r="Q272" s="1175">
        <v>454.16</v>
      </c>
      <c r="R272" s="1175">
        <v>658.61197431116648</v>
      </c>
      <c r="S272" s="1175">
        <v>1058.4000000000001</v>
      </c>
      <c r="T272" s="1175">
        <v>1534.8663766314485</v>
      </c>
      <c r="U272" s="920">
        <v>121.36457142857142</v>
      </c>
      <c r="V272" s="920">
        <v>176</v>
      </c>
      <c r="W272" s="920">
        <v>1476.3365171269486</v>
      </c>
      <c r="X272" s="920">
        <v>2140.947922081757</v>
      </c>
      <c r="Y272" s="920"/>
      <c r="Z272" s="920"/>
      <c r="AA272" s="920"/>
      <c r="AB272" s="920"/>
      <c r="AC272" s="920"/>
      <c r="AD272" s="920">
        <v>5.6976744186046515</v>
      </c>
      <c r="AE272" s="920"/>
      <c r="AF272" s="920"/>
      <c r="AG272" s="920"/>
      <c r="AH272" s="920"/>
      <c r="AI272" s="920"/>
      <c r="AJ272" s="920"/>
      <c r="AK272" s="920">
        <v>18.145454666831277</v>
      </c>
      <c r="AL272" s="920">
        <v>26.314104551029409</v>
      </c>
      <c r="AM272" s="920">
        <v>19.980434832365617</v>
      </c>
      <c r="AN272" s="920">
        <v>28.975148917870175</v>
      </c>
      <c r="AO272" s="920"/>
      <c r="AP272" s="920"/>
      <c r="AS272" s="1167"/>
      <c r="AT272" s="1167"/>
      <c r="AU272" s="1168"/>
      <c r="AV272" s="1168"/>
      <c r="AW272" s="1169"/>
      <c r="AX272" s="1169"/>
      <c r="AY272" s="1169"/>
      <c r="AZ272" s="1169"/>
      <c r="BA272" s="1799" t="s">
        <v>280</v>
      </c>
      <c r="BB272" s="1802">
        <v>2010</v>
      </c>
      <c r="BC272" s="1799" t="s">
        <v>52</v>
      </c>
      <c r="BD272" s="1799">
        <v>10</v>
      </c>
      <c r="BE272" s="1800">
        <v>20559499</v>
      </c>
      <c r="BF272" s="1801">
        <v>3.1E-2</v>
      </c>
      <c r="BG272" s="1799"/>
      <c r="BH272" s="1799" t="s">
        <v>3</v>
      </c>
      <c r="BI272" s="1799" t="s">
        <v>289</v>
      </c>
      <c r="BJ272" s="1799" t="s">
        <v>45</v>
      </c>
      <c r="BK272" s="1799">
        <v>2</v>
      </c>
      <c r="BL272" s="1800">
        <v>593087715.92404997</v>
      </c>
      <c r="BM272" s="1801">
        <v>0.19607191474096342</v>
      </c>
      <c r="BN272" s="1799">
        <v>2004</v>
      </c>
      <c r="BO272" s="1684"/>
      <c r="BP272" s="1696"/>
      <c r="BQ272" s="1169"/>
      <c r="BR272" s="1169"/>
      <c r="BS272" s="1169"/>
      <c r="BT272" s="1169"/>
      <c r="BU272" s="1169"/>
      <c r="BV272" s="1169"/>
      <c r="BW272" s="1169"/>
      <c r="BX272" s="1169"/>
      <c r="BY272" s="1169"/>
      <c r="BZ272" s="1169"/>
      <c r="CA272" s="1169"/>
      <c r="CB272" s="1169"/>
      <c r="CC272" s="1169"/>
      <c r="CD272" s="1169"/>
      <c r="CE272" s="1169"/>
      <c r="CF272" s="1169"/>
      <c r="CG272" s="1169"/>
      <c r="CH272" s="1169"/>
      <c r="CI272" s="1169"/>
      <c r="CJ272" s="1169"/>
      <c r="CK272" s="1169"/>
      <c r="CL272" s="1169"/>
      <c r="CM272" s="1169"/>
      <c r="CN272" s="1169"/>
      <c r="CO272" s="1169"/>
      <c r="CP272" s="1169"/>
      <c r="CQ272" s="1169"/>
      <c r="CR272" s="1169"/>
      <c r="CS272" s="1169"/>
      <c r="CT272" s="1169"/>
      <c r="CU272" s="1169"/>
      <c r="CV272" s="1169"/>
      <c r="CW272" s="1169"/>
      <c r="CX272" s="1169"/>
      <c r="CY272" s="1169"/>
      <c r="CZ272" s="1169"/>
      <c r="DA272" s="1168"/>
      <c r="DB272" s="1168"/>
      <c r="DC272" s="1168"/>
      <c r="DD272" s="1168"/>
      <c r="DE272" s="1168"/>
      <c r="DF272" s="1168"/>
      <c r="DG272" s="1168"/>
      <c r="DH272" s="1168"/>
      <c r="DI272" s="1168"/>
      <c r="DJ272" s="1168"/>
      <c r="DK272" s="1168"/>
      <c r="DL272" s="1168"/>
      <c r="DM272" s="1168"/>
      <c r="DN272" s="1168"/>
      <c r="DO272" s="1168"/>
      <c r="DP272" s="1168"/>
      <c r="DQ272" s="1168"/>
      <c r="DR272" s="1168"/>
      <c r="DS272" s="1168"/>
      <c r="DT272" s="1168"/>
      <c r="DU272" s="1168"/>
      <c r="DV272" s="1168"/>
      <c r="DW272" s="1168"/>
      <c r="DX272" s="1168"/>
      <c r="DY272" s="1168"/>
      <c r="DZ272" s="1168"/>
      <c r="EA272" s="1168"/>
      <c r="EB272" s="1168"/>
      <c r="EC272" s="1168"/>
      <c r="ED272" s="1168"/>
      <c r="EE272" s="1168"/>
      <c r="EF272" s="1168"/>
      <c r="EG272" s="1168"/>
      <c r="EH272" s="1168"/>
      <c r="EI272" s="1170"/>
      <c r="EJ272" s="1170"/>
      <c r="EK272" s="1170"/>
      <c r="EL272" s="1170"/>
      <c r="EM272" s="1170"/>
      <c r="EN272" s="1170"/>
      <c r="EO272" s="1170"/>
      <c r="EP272" s="1170"/>
      <c r="EQ272" s="1170"/>
      <c r="ER272" s="1170"/>
      <c r="ES272" s="1171"/>
      <c r="ET272" s="1171"/>
      <c r="EU272" s="1171"/>
      <c r="EV272" s="1171"/>
      <c r="EW272" s="1171"/>
      <c r="EX272" s="1171"/>
      <c r="EY272" s="1171"/>
      <c r="EZ272" s="1171"/>
      <c r="FA272" s="1171"/>
      <c r="FB272" s="1171"/>
      <c r="FC272" s="1171"/>
      <c r="FD272" s="1171"/>
      <c r="FE272" s="1171"/>
      <c r="FF272" s="1171"/>
      <c r="FG272" s="1171"/>
      <c r="FH272" s="1171"/>
      <c r="FI272" s="1171"/>
      <c r="FJ272" s="1171"/>
      <c r="FK272" s="1171"/>
      <c r="FL272" s="1171"/>
      <c r="FM272" s="1171"/>
      <c r="FN272" s="1171"/>
      <c r="FO272" s="1171"/>
      <c r="FP272" s="1171"/>
    </row>
    <row r="273" spans="1:172" s="607" customFormat="1">
      <c r="A273" s="607">
        <f t="shared" si="8"/>
        <v>1993</v>
      </c>
      <c r="B273" s="607">
        <f t="shared" si="9"/>
        <v>1</v>
      </c>
      <c r="C273" s="666">
        <v>33970</v>
      </c>
      <c r="D273" s="1709">
        <v>0.6739750000000001</v>
      </c>
      <c r="E273" s="1117">
        <v>170.40783900000002</v>
      </c>
      <c r="F273" s="1117">
        <v>252.84</v>
      </c>
      <c r="G273" s="1117"/>
      <c r="H273" s="1117"/>
      <c r="I273" s="959">
        <v>328.99</v>
      </c>
      <c r="J273" s="959">
        <v>489.16</v>
      </c>
      <c r="K273" s="960"/>
      <c r="L273" s="1121"/>
      <c r="M273" s="916">
        <v>5845.75</v>
      </c>
      <c r="N273" s="916">
        <v>8673.54130346081</v>
      </c>
      <c r="O273" s="1174">
        <v>2258.6999999999998</v>
      </c>
      <c r="P273" s="1174">
        <v>3351.3112504172996</v>
      </c>
      <c r="Q273" s="1174">
        <v>437.25</v>
      </c>
      <c r="R273" s="1174">
        <v>648.76293631069393</v>
      </c>
      <c r="S273" s="1174">
        <v>1061.2</v>
      </c>
      <c r="T273" s="1174">
        <v>1574.5391149523348</v>
      </c>
      <c r="U273" s="1120">
        <v>124.68537500000002</v>
      </c>
      <c r="V273" s="1120">
        <v>185</v>
      </c>
      <c r="W273" s="1120">
        <v>1527.3042857251726</v>
      </c>
      <c r="X273" s="1120">
        <v>2266.1141521943282</v>
      </c>
      <c r="Y273" s="1119"/>
      <c r="Z273" s="1119"/>
      <c r="AA273" s="1119"/>
      <c r="AB273" s="1119"/>
      <c r="AC273" s="1178"/>
      <c r="AD273" s="1178">
        <v>5.7193396226415096</v>
      </c>
      <c r="AE273" s="1178"/>
      <c r="AF273" s="1178"/>
      <c r="AG273" s="1178"/>
      <c r="AH273" s="1178"/>
      <c r="AI273" s="1178"/>
      <c r="AJ273" s="1178"/>
      <c r="AK273" s="919">
        <v>17.351999950408935</v>
      </c>
      <c r="AL273" s="919">
        <v>25.745762009583341</v>
      </c>
      <c r="AM273" s="919">
        <v>18.921499824523927</v>
      </c>
      <c r="AN273" s="919">
        <v>28.074483214546422</v>
      </c>
      <c r="AO273" s="919"/>
      <c r="AP273" s="919"/>
      <c r="AS273" s="1167"/>
      <c r="AT273" s="1167"/>
      <c r="AU273" s="1168"/>
      <c r="AV273" s="1168"/>
      <c r="AW273" s="1169"/>
      <c r="AX273" s="1169"/>
      <c r="AY273" s="1169"/>
      <c r="AZ273" s="1169"/>
      <c r="BA273" s="1799" t="s">
        <v>280</v>
      </c>
      <c r="BB273" s="1802">
        <v>2010</v>
      </c>
      <c r="BC273" s="1799" t="s">
        <v>32</v>
      </c>
      <c r="BD273" s="1799"/>
      <c r="BE273" s="1800">
        <v>104483885</v>
      </c>
      <c r="BF273" s="1801">
        <v>0.158</v>
      </c>
      <c r="BG273" s="1799"/>
      <c r="BH273" s="1799" t="s">
        <v>3</v>
      </c>
      <c r="BI273" s="1799" t="s">
        <v>289</v>
      </c>
      <c r="BJ273" s="1799" t="s">
        <v>20</v>
      </c>
      <c r="BK273" s="1799">
        <v>3</v>
      </c>
      <c r="BL273" s="1800">
        <v>453335315.47582501</v>
      </c>
      <c r="BM273" s="1801">
        <v>0.14987045075879868</v>
      </c>
      <c r="BN273" s="1799">
        <v>2004</v>
      </c>
      <c r="BO273" s="1684"/>
      <c r="BP273" s="1696"/>
      <c r="BQ273" s="1169"/>
      <c r="BR273" s="1169"/>
      <c r="BS273" s="1169"/>
      <c r="BT273" s="1169"/>
      <c r="BU273" s="1169"/>
      <c r="BV273" s="1169"/>
      <c r="BW273" s="1169"/>
      <c r="BX273" s="1169"/>
      <c r="BY273" s="1169"/>
      <c r="BZ273" s="1169"/>
      <c r="CA273" s="1169"/>
      <c r="CB273" s="1169"/>
      <c r="CC273" s="1169"/>
      <c r="CD273" s="1169"/>
      <c r="CE273" s="1169"/>
      <c r="CF273" s="1169"/>
      <c r="CG273" s="1169"/>
      <c r="CH273" s="1169"/>
      <c r="CI273" s="1169"/>
      <c r="CJ273" s="1169"/>
      <c r="CK273" s="1169"/>
      <c r="CL273" s="1169"/>
      <c r="CM273" s="1169"/>
      <c r="CN273" s="1169"/>
      <c r="CO273" s="1169"/>
      <c r="CP273" s="1169"/>
      <c r="CQ273" s="1169"/>
      <c r="CR273" s="1169"/>
      <c r="CS273" s="1169"/>
      <c r="CT273" s="1169"/>
      <c r="CU273" s="1169"/>
      <c r="CV273" s="1169"/>
      <c r="CW273" s="1169"/>
      <c r="CX273" s="1169"/>
      <c r="CY273" s="1169"/>
      <c r="CZ273" s="1169"/>
      <c r="DA273" s="1168"/>
      <c r="DB273" s="1168"/>
      <c r="DC273" s="1168"/>
      <c r="DD273" s="1168"/>
      <c r="DE273" s="1168"/>
      <c r="DF273" s="1168"/>
      <c r="DG273" s="1168"/>
      <c r="DH273" s="1168"/>
      <c r="DI273" s="1168"/>
      <c r="DJ273" s="1168"/>
      <c r="DK273" s="1168"/>
      <c r="DL273" s="1168"/>
      <c r="DM273" s="1168"/>
      <c r="DN273" s="1168"/>
      <c r="DO273" s="1168"/>
      <c r="DP273" s="1168"/>
      <c r="DQ273" s="1168"/>
      <c r="DR273" s="1168"/>
      <c r="DS273" s="1168"/>
      <c r="DT273" s="1168"/>
      <c r="DU273" s="1168"/>
      <c r="DV273" s="1168"/>
      <c r="DW273" s="1168"/>
      <c r="DX273" s="1168"/>
      <c r="DY273" s="1168"/>
      <c r="DZ273" s="1168"/>
      <c r="EA273" s="1168"/>
      <c r="EB273" s="1168"/>
      <c r="EC273" s="1168"/>
      <c r="ED273" s="1168"/>
      <c r="EE273" s="1168"/>
      <c r="EF273" s="1168"/>
      <c r="EG273" s="1168"/>
      <c r="EH273" s="1168"/>
      <c r="EI273" s="1170"/>
      <c r="EJ273" s="1170"/>
      <c r="EK273" s="1170"/>
      <c r="EL273" s="1170"/>
      <c r="EM273" s="1170"/>
      <c r="EN273" s="1170"/>
      <c r="EO273" s="1170"/>
      <c r="EP273" s="1170"/>
      <c r="EQ273" s="1170"/>
      <c r="ER273" s="1170"/>
      <c r="ES273" s="1171"/>
      <c r="ET273" s="1171"/>
      <c r="EU273" s="1171"/>
      <c r="EV273" s="1171"/>
      <c r="EW273" s="1171"/>
      <c r="EX273" s="1171"/>
      <c r="EY273" s="1171"/>
      <c r="EZ273" s="1171"/>
      <c r="FA273" s="1171"/>
      <c r="FB273" s="1171"/>
      <c r="FC273" s="1171"/>
      <c r="FD273" s="1171"/>
      <c r="FE273" s="1171"/>
      <c r="FF273" s="1171"/>
      <c r="FG273" s="1171"/>
      <c r="FH273" s="1171"/>
      <c r="FI273" s="1171"/>
      <c r="FJ273" s="1171"/>
      <c r="FK273" s="1171"/>
      <c r="FL273" s="1171"/>
      <c r="FM273" s="1171"/>
      <c r="FN273" s="1171"/>
      <c r="FO273" s="1171"/>
      <c r="FP273" s="1171"/>
    </row>
    <row r="274" spans="1:172" s="607" customFormat="1">
      <c r="A274" s="607">
        <f t="shared" si="8"/>
        <v>1993</v>
      </c>
      <c r="B274" s="607">
        <f t="shared" si="9"/>
        <v>1</v>
      </c>
      <c r="C274" s="666">
        <v>34001</v>
      </c>
      <c r="D274" s="957">
        <v>0.68123499999999992</v>
      </c>
      <c r="E274" s="920">
        <v>175.75181764999999</v>
      </c>
      <c r="F274" s="920">
        <v>257.99</v>
      </c>
      <c r="G274" s="920"/>
      <c r="H274" s="920"/>
      <c r="I274" s="954">
        <v>329.31</v>
      </c>
      <c r="J274" s="954">
        <v>483.92</v>
      </c>
      <c r="K274" s="954"/>
      <c r="L274" s="920"/>
      <c r="M274" s="917">
        <v>6052.38</v>
      </c>
      <c r="N274" s="917">
        <v>8884.4231432618708</v>
      </c>
      <c r="O274" s="1175">
        <v>2211</v>
      </c>
      <c r="P274" s="1175">
        <v>3245.5760493809044</v>
      </c>
      <c r="Q274" s="1175">
        <v>413.71</v>
      </c>
      <c r="R274" s="1175">
        <v>607.29410555828758</v>
      </c>
      <c r="S274" s="1175">
        <v>1072.5</v>
      </c>
      <c r="T274" s="1175">
        <v>1574.3465911176027</v>
      </c>
      <c r="U274" s="920">
        <v>126.02847499999999</v>
      </c>
      <c r="V274" s="920">
        <v>185</v>
      </c>
      <c r="W274" s="920">
        <v>1528.6185876795478</v>
      </c>
      <c r="X274" s="920">
        <v>2243.893205251562</v>
      </c>
      <c r="Y274" s="920"/>
      <c r="Z274" s="920"/>
      <c r="AA274" s="920"/>
      <c r="AB274" s="920"/>
      <c r="AC274" s="920"/>
      <c r="AD274" s="920">
        <v>5.6226632154155878</v>
      </c>
      <c r="AE274" s="920"/>
      <c r="AF274" s="920"/>
      <c r="AG274" s="920"/>
      <c r="AH274" s="920"/>
      <c r="AI274" s="920"/>
      <c r="AJ274" s="920"/>
      <c r="AK274" s="920">
        <v>18.482000160217286</v>
      </c>
      <c r="AL274" s="920">
        <v>27.130138880441091</v>
      </c>
      <c r="AM274" s="920">
        <v>19.648999977111817</v>
      </c>
      <c r="AN274" s="920">
        <v>28.843203853459993</v>
      </c>
      <c r="AO274" s="920"/>
      <c r="AP274" s="920"/>
      <c r="AS274" s="1167"/>
      <c r="AT274" s="1167"/>
      <c r="AU274" s="1168"/>
      <c r="AV274" s="1168"/>
      <c r="AW274" s="1169"/>
      <c r="AX274" s="1169"/>
      <c r="AY274" s="1169"/>
      <c r="AZ274" s="1169"/>
      <c r="BA274" s="1799" t="s">
        <v>280</v>
      </c>
      <c r="BB274" s="1802">
        <v>2010</v>
      </c>
      <c r="BC274" s="1799" t="s">
        <v>249</v>
      </c>
      <c r="BD274" s="1799"/>
      <c r="BE274" s="1800">
        <v>661623371</v>
      </c>
      <c r="BF274" s="1801"/>
      <c r="BG274" s="1799"/>
      <c r="BH274" s="1799" t="s">
        <v>3</v>
      </c>
      <c r="BI274" s="1799" t="s">
        <v>289</v>
      </c>
      <c r="BJ274" s="1799" t="s">
        <v>251</v>
      </c>
      <c r="BK274" s="1799">
        <v>4</v>
      </c>
      <c r="BL274" s="1800">
        <v>446530529.08579999</v>
      </c>
      <c r="BM274" s="1801">
        <v>0.14762082146945033</v>
      </c>
      <c r="BN274" s="1799">
        <v>2004</v>
      </c>
      <c r="BO274" s="1684"/>
      <c r="BP274" s="1696"/>
      <c r="BQ274" s="1169"/>
      <c r="BR274" s="1169"/>
      <c r="BS274" s="1169"/>
      <c r="BT274" s="1169"/>
      <c r="BU274" s="1169"/>
      <c r="BV274" s="1169"/>
      <c r="BW274" s="1169"/>
      <c r="BX274" s="1169"/>
      <c r="BY274" s="1169"/>
      <c r="BZ274" s="1169"/>
      <c r="CA274" s="1169"/>
      <c r="CB274" s="1169"/>
      <c r="CC274" s="1169"/>
      <c r="CD274" s="1169"/>
      <c r="CE274" s="1169"/>
      <c r="CF274" s="1169"/>
      <c r="CG274" s="1169"/>
      <c r="CH274" s="1169"/>
      <c r="CI274" s="1169"/>
      <c r="CJ274" s="1169"/>
      <c r="CK274" s="1169"/>
      <c r="CL274" s="1169"/>
      <c r="CM274" s="1169"/>
      <c r="CN274" s="1169"/>
      <c r="CO274" s="1169"/>
      <c r="CP274" s="1169"/>
      <c r="CQ274" s="1169"/>
      <c r="CR274" s="1169"/>
      <c r="CS274" s="1169"/>
      <c r="CT274" s="1169"/>
      <c r="CU274" s="1169"/>
      <c r="CV274" s="1169"/>
      <c r="CW274" s="1169"/>
      <c r="CX274" s="1169"/>
      <c r="CY274" s="1169"/>
      <c r="CZ274" s="1169"/>
      <c r="DA274" s="1168"/>
      <c r="DB274" s="1168"/>
      <c r="DC274" s="1168"/>
      <c r="DD274" s="1168"/>
      <c r="DE274" s="1168"/>
      <c r="DF274" s="1168"/>
      <c r="DG274" s="1168"/>
      <c r="DH274" s="1168"/>
      <c r="DI274" s="1168"/>
      <c r="DJ274" s="1168"/>
      <c r="DK274" s="1168"/>
      <c r="DL274" s="1168"/>
      <c r="DM274" s="1168"/>
      <c r="DN274" s="1168"/>
      <c r="DO274" s="1168"/>
      <c r="DP274" s="1168"/>
      <c r="DQ274" s="1168"/>
      <c r="DR274" s="1168"/>
      <c r="DS274" s="1168"/>
      <c r="DT274" s="1168"/>
      <c r="DU274" s="1168"/>
      <c r="DV274" s="1168"/>
      <c r="DW274" s="1168"/>
      <c r="DX274" s="1168"/>
      <c r="DY274" s="1168"/>
      <c r="DZ274" s="1168"/>
      <c r="EA274" s="1168"/>
      <c r="EB274" s="1168"/>
      <c r="EC274" s="1168"/>
      <c r="ED274" s="1168"/>
      <c r="EE274" s="1168"/>
      <c r="EF274" s="1168"/>
      <c r="EG274" s="1168"/>
      <c r="EH274" s="1168"/>
      <c r="EI274" s="1170"/>
      <c r="EJ274" s="1170"/>
      <c r="EK274" s="1170"/>
      <c r="EL274" s="1170"/>
      <c r="EM274" s="1170"/>
      <c r="EN274" s="1170"/>
      <c r="EO274" s="1170"/>
      <c r="EP274" s="1170"/>
      <c r="EQ274" s="1170"/>
      <c r="ER274" s="1170"/>
      <c r="ES274" s="1171"/>
      <c r="ET274" s="1171"/>
      <c r="EU274" s="1171"/>
      <c r="EV274" s="1171"/>
      <c r="EW274" s="1171"/>
      <c r="EX274" s="1171"/>
      <c r="EY274" s="1171"/>
      <c r="EZ274" s="1171"/>
      <c r="FA274" s="1171"/>
      <c r="FB274" s="1171"/>
      <c r="FC274" s="1171"/>
      <c r="FD274" s="1171"/>
      <c r="FE274" s="1171"/>
      <c r="FF274" s="1171"/>
      <c r="FG274" s="1171"/>
      <c r="FH274" s="1171"/>
      <c r="FI274" s="1171"/>
      <c r="FJ274" s="1171"/>
      <c r="FK274" s="1171"/>
      <c r="FL274" s="1171"/>
      <c r="FM274" s="1171"/>
      <c r="FN274" s="1171"/>
      <c r="FO274" s="1171"/>
      <c r="FP274" s="1171"/>
    </row>
    <row r="275" spans="1:172" s="607" customFormat="1">
      <c r="A275" s="607">
        <f t="shared" si="8"/>
        <v>1993</v>
      </c>
      <c r="B275" s="607">
        <f t="shared" si="9"/>
        <v>1</v>
      </c>
      <c r="C275" s="666">
        <v>34029</v>
      </c>
      <c r="D275" s="1709">
        <v>0.70733043478260882</v>
      </c>
      <c r="E275" s="1117">
        <v>166.18728565217393</v>
      </c>
      <c r="F275" s="1117">
        <v>234.95</v>
      </c>
      <c r="G275" s="1117"/>
      <c r="H275" s="1117"/>
      <c r="I275" s="959">
        <v>329.97</v>
      </c>
      <c r="J275" s="959">
        <v>467.03</v>
      </c>
      <c r="K275" s="960"/>
      <c r="L275" s="1121"/>
      <c r="M275" s="916">
        <v>5982.42</v>
      </c>
      <c r="N275" s="916">
        <v>8457.7443664482489</v>
      </c>
      <c r="O275" s="1174">
        <v>2152.6</v>
      </c>
      <c r="P275" s="1174">
        <v>3043.2735453573137</v>
      </c>
      <c r="Q275" s="1174">
        <v>405.84</v>
      </c>
      <c r="R275" s="1174">
        <v>573.76295440296019</v>
      </c>
      <c r="S275" s="1174">
        <v>996.39</v>
      </c>
      <c r="T275" s="1174">
        <v>1408.6626999250086</v>
      </c>
      <c r="U275" s="1120">
        <v>130.85613043478264</v>
      </c>
      <c r="V275" s="1120">
        <v>185</v>
      </c>
      <c r="W275" s="1120">
        <v>1614.638753710004</v>
      </c>
      <c r="X275" s="1120">
        <v>2282.7220126704256</v>
      </c>
      <c r="Y275" s="1119"/>
      <c r="Z275" s="1119"/>
      <c r="AA275" s="1119"/>
      <c r="AB275" s="1119"/>
      <c r="AC275" s="1178"/>
      <c r="AD275" s="1178">
        <v>5.387014459880918</v>
      </c>
      <c r="AE275" s="1178"/>
      <c r="AF275" s="1178"/>
      <c r="AG275" s="1178"/>
      <c r="AH275" s="1178"/>
      <c r="AI275" s="1178"/>
      <c r="AJ275" s="1178"/>
      <c r="AK275" s="919">
        <v>18.746086701102879</v>
      </c>
      <c r="AL275" s="919">
        <v>26.502587446084245</v>
      </c>
      <c r="AM275" s="919">
        <v>20.81347830399223</v>
      </c>
      <c r="AN275" s="919">
        <v>29.425396222896943</v>
      </c>
      <c r="AO275" s="919"/>
      <c r="AP275" s="919"/>
      <c r="AS275" s="1167"/>
      <c r="AT275" s="1167"/>
      <c r="AU275" s="1168"/>
      <c r="AV275" s="1168"/>
      <c r="AW275" s="1169"/>
      <c r="AX275" s="1169"/>
      <c r="AY275" s="1169"/>
      <c r="AZ275" s="1169"/>
      <c r="BA275" s="1799" t="s">
        <v>280</v>
      </c>
      <c r="BB275" s="1802">
        <v>2009</v>
      </c>
      <c r="BC275" s="1799" t="s">
        <v>15</v>
      </c>
      <c r="BD275" s="1799">
        <v>1</v>
      </c>
      <c r="BE275" s="1800">
        <v>209836492</v>
      </c>
      <c r="BF275" s="1801">
        <v>0.29699999999999999</v>
      </c>
      <c r="BG275" s="1799"/>
      <c r="BH275" s="1799" t="s">
        <v>3</v>
      </c>
      <c r="BI275" s="1799" t="s">
        <v>289</v>
      </c>
      <c r="BJ275" s="1799" t="s">
        <v>15</v>
      </c>
      <c r="BK275" s="1799">
        <v>5</v>
      </c>
      <c r="BL275" s="1800">
        <v>253224077.28597003</v>
      </c>
      <c r="BM275" s="1801">
        <v>8.3714648540001074E-2</v>
      </c>
      <c r="BN275" s="1799">
        <v>2004</v>
      </c>
      <c r="BO275" s="1684"/>
      <c r="BP275" s="1696"/>
      <c r="BQ275" s="1169"/>
      <c r="BR275" s="1169"/>
      <c r="BS275" s="1169"/>
      <c r="BT275" s="1169"/>
      <c r="BU275" s="1169"/>
      <c r="BV275" s="1169"/>
      <c r="BW275" s="1169"/>
      <c r="BX275" s="1169"/>
      <c r="BY275" s="1169"/>
      <c r="BZ275" s="1169"/>
      <c r="CA275" s="1169"/>
      <c r="CB275" s="1169"/>
      <c r="CC275" s="1169"/>
      <c r="CD275" s="1169"/>
      <c r="CE275" s="1169"/>
      <c r="CF275" s="1169"/>
      <c r="CG275" s="1169"/>
      <c r="CH275" s="1169"/>
      <c r="CI275" s="1169"/>
      <c r="CJ275" s="1169"/>
      <c r="CK275" s="1169"/>
      <c r="CL275" s="1169"/>
      <c r="CM275" s="1169"/>
      <c r="CN275" s="1169"/>
      <c r="CO275" s="1169"/>
      <c r="CP275" s="1169"/>
      <c r="CQ275" s="1169"/>
      <c r="CR275" s="1169"/>
      <c r="CS275" s="1169"/>
      <c r="CT275" s="1169"/>
      <c r="CU275" s="1169"/>
      <c r="CV275" s="1169"/>
      <c r="CW275" s="1169"/>
      <c r="CX275" s="1169"/>
      <c r="CY275" s="1169"/>
      <c r="CZ275" s="1169"/>
      <c r="DA275" s="1168"/>
      <c r="DB275" s="1168"/>
      <c r="DC275" s="1168"/>
      <c r="DD275" s="1168"/>
      <c r="DE275" s="1168"/>
      <c r="DF275" s="1168"/>
      <c r="DG275" s="1168"/>
      <c r="DH275" s="1168"/>
      <c r="DI275" s="1168"/>
      <c r="DJ275" s="1168"/>
      <c r="DK275" s="1168"/>
      <c r="DL275" s="1168"/>
      <c r="DM275" s="1168"/>
      <c r="DN275" s="1168"/>
      <c r="DO275" s="1168"/>
      <c r="DP275" s="1168"/>
      <c r="DQ275" s="1168"/>
      <c r="DR275" s="1168"/>
      <c r="DS275" s="1168"/>
      <c r="DT275" s="1168"/>
      <c r="DU275" s="1168"/>
      <c r="DV275" s="1168"/>
      <c r="DW275" s="1168"/>
      <c r="DX275" s="1168"/>
      <c r="DY275" s="1168"/>
      <c r="DZ275" s="1168"/>
      <c r="EA275" s="1168"/>
      <c r="EB275" s="1168"/>
      <c r="EC275" s="1168"/>
      <c r="ED275" s="1168"/>
      <c r="EE275" s="1168"/>
      <c r="EF275" s="1168"/>
      <c r="EG275" s="1168"/>
      <c r="EH275" s="1168"/>
      <c r="EI275" s="1170"/>
      <c r="EJ275" s="1170"/>
      <c r="EK275" s="1170"/>
      <c r="EL275" s="1170"/>
      <c r="EM275" s="1170"/>
      <c r="EN275" s="1170"/>
      <c r="EO275" s="1170"/>
      <c r="EP275" s="1170"/>
      <c r="EQ275" s="1170"/>
      <c r="ER275" s="1170"/>
      <c r="ES275" s="1171"/>
      <c r="ET275" s="1171"/>
      <c r="EU275" s="1171"/>
      <c r="EV275" s="1171"/>
      <c r="EW275" s="1171"/>
      <c r="EX275" s="1171"/>
      <c r="EY275" s="1171"/>
      <c r="EZ275" s="1171"/>
      <c r="FA275" s="1171"/>
      <c r="FB275" s="1171"/>
      <c r="FC275" s="1171"/>
      <c r="FD275" s="1171"/>
      <c r="FE275" s="1171"/>
      <c r="FF275" s="1171"/>
      <c r="FG275" s="1171"/>
      <c r="FH275" s="1171"/>
      <c r="FI275" s="1171"/>
      <c r="FJ275" s="1171"/>
      <c r="FK275" s="1171"/>
      <c r="FL275" s="1171"/>
      <c r="FM275" s="1171"/>
      <c r="FN275" s="1171"/>
      <c r="FO275" s="1171"/>
      <c r="FP275" s="1171"/>
    </row>
    <row r="276" spans="1:172" s="607" customFormat="1">
      <c r="A276" s="607">
        <f t="shared" si="8"/>
        <v>1993</v>
      </c>
      <c r="B276" s="607">
        <f t="shared" si="9"/>
        <v>2</v>
      </c>
      <c r="C276" s="666">
        <v>34060</v>
      </c>
      <c r="D276" s="957">
        <v>0.71178000000000019</v>
      </c>
      <c r="E276" s="920">
        <v>170.05847760000003</v>
      </c>
      <c r="F276" s="920">
        <v>238.92</v>
      </c>
      <c r="G276" s="920"/>
      <c r="H276" s="920"/>
      <c r="I276" s="954">
        <v>341.94</v>
      </c>
      <c r="J276" s="954">
        <v>480.75</v>
      </c>
      <c r="K276" s="954"/>
      <c r="L276" s="920"/>
      <c r="M276" s="917">
        <v>5975.88</v>
      </c>
      <c r="N276" s="917">
        <v>8395.6840596813599</v>
      </c>
      <c r="O276" s="1175">
        <v>1960.3</v>
      </c>
      <c r="P276" s="1175">
        <v>2754.0813172609505</v>
      </c>
      <c r="Q276" s="1175">
        <v>423.1</v>
      </c>
      <c r="R276" s="1175">
        <v>594.42524375509277</v>
      </c>
      <c r="S276" s="1175">
        <v>1004.2</v>
      </c>
      <c r="T276" s="1175">
        <v>1410.8291887942901</v>
      </c>
      <c r="U276" s="920">
        <v>111.74946000000003</v>
      </c>
      <c r="V276" s="920">
        <v>157</v>
      </c>
      <c r="W276" s="920">
        <v>1594.7940547696476</v>
      </c>
      <c r="X276" s="920">
        <v>2240.5716018568196</v>
      </c>
      <c r="Y276" s="920"/>
      <c r="Z276" s="920"/>
      <c r="AA276" s="920"/>
      <c r="AB276" s="920"/>
      <c r="AC276" s="920"/>
      <c r="AD276" s="920">
        <v>5.7913972448692714</v>
      </c>
      <c r="AE276" s="920"/>
      <c r="AF276" s="920"/>
      <c r="AG276" s="920"/>
      <c r="AH276" s="920"/>
      <c r="AI276" s="920"/>
      <c r="AJ276" s="920"/>
      <c r="AK276" s="920">
        <v>18.627618971325102</v>
      </c>
      <c r="AL276" s="920">
        <v>26.170472577657559</v>
      </c>
      <c r="AM276" s="920">
        <v>20.692272619767621</v>
      </c>
      <c r="AN276" s="920">
        <v>29.071163308561093</v>
      </c>
      <c r="AO276" s="920"/>
      <c r="AP276" s="920"/>
      <c r="AS276" s="1167"/>
      <c r="AT276" s="1167"/>
      <c r="AU276" s="1168"/>
      <c r="AV276" s="1168"/>
      <c r="AW276" s="1169"/>
      <c r="AX276" s="1169"/>
      <c r="AY276" s="1169"/>
      <c r="AZ276" s="1169"/>
      <c r="BA276" s="1799" t="s">
        <v>280</v>
      </c>
      <c r="BB276" s="1802">
        <v>2009</v>
      </c>
      <c r="BC276" s="1799" t="s">
        <v>431</v>
      </c>
      <c r="BD276" s="1799">
        <v>2</v>
      </c>
      <c r="BE276" s="1800">
        <v>99411560</v>
      </c>
      <c r="BF276" s="1801">
        <v>0.14099999999999999</v>
      </c>
      <c r="BG276" s="1799"/>
      <c r="BH276" s="1799" t="s">
        <v>3</v>
      </c>
      <c r="BI276" s="1799" t="s">
        <v>289</v>
      </c>
      <c r="BJ276" s="1799" t="s">
        <v>447</v>
      </c>
      <c r="BK276" s="1799">
        <v>6</v>
      </c>
      <c r="BL276" s="1800">
        <v>205715736.69999999</v>
      </c>
      <c r="BM276" s="1801">
        <v>6.800862217197251E-2</v>
      </c>
      <c r="BN276" s="1799">
        <v>2004</v>
      </c>
      <c r="BO276" s="1684"/>
      <c r="BP276" s="1696"/>
      <c r="BQ276" s="1169"/>
      <c r="BR276" s="1169"/>
      <c r="BS276" s="1169"/>
      <c r="BT276" s="1169"/>
      <c r="BU276" s="1169"/>
      <c r="BV276" s="1169"/>
      <c r="BW276" s="1169"/>
      <c r="BX276" s="1169"/>
      <c r="BY276" s="1169"/>
      <c r="BZ276" s="1169"/>
      <c r="CA276" s="1169"/>
      <c r="CB276" s="1169"/>
      <c r="CC276" s="1169"/>
      <c r="CD276" s="1169"/>
      <c r="CE276" s="1169"/>
      <c r="CF276" s="1169"/>
      <c r="CG276" s="1169"/>
      <c r="CH276" s="1169"/>
      <c r="CI276" s="1169"/>
      <c r="CJ276" s="1169"/>
      <c r="CK276" s="1169"/>
      <c r="CL276" s="1169"/>
      <c r="CM276" s="1169"/>
      <c r="CN276" s="1169"/>
      <c r="CO276" s="1169"/>
      <c r="CP276" s="1169"/>
      <c r="CQ276" s="1169"/>
      <c r="CR276" s="1169"/>
      <c r="CS276" s="1169"/>
      <c r="CT276" s="1169"/>
      <c r="CU276" s="1169"/>
      <c r="CV276" s="1169"/>
      <c r="CW276" s="1169"/>
      <c r="CX276" s="1169"/>
      <c r="CY276" s="1169"/>
      <c r="CZ276" s="1169"/>
      <c r="DA276" s="1168"/>
      <c r="DB276" s="1168"/>
      <c r="DC276" s="1168"/>
      <c r="DD276" s="1168"/>
      <c r="DE276" s="1168"/>
      <c r="DF276" s="1168"/>
      <c r="DG276" s="1168"/>
      <c r="DH276" s="1168"/>
      <c r="DI276" s="1168"/>
      <c r="DJ276" s="1168"/>
      <c r="DK276" s="1168"/>
      <c r="DL276" s="1168"/>
      <c r="DM276" s="1168"/>
      <c r="DN276" s="1168"/>
      <c r="DO276" s="1168"/>
      <c r="DP276" s="1168"/>
      <c r="DQ276" s="1168"/>
      <c r="DR276" s="1168"/>
      <c r="DS276" s="1168"/>
      <c r="DT276" s="1168"/>
      <c r="DU276" s="1168"/>
      <c r="DV276" s="1168"/>
      <c r="DW276" s="1168"/>
      <c r="DX276" s="1168"/>
      <c r="DY276" s="1168"/>
      <c r="DZ276" s="1168"/>
      <c r="EA276" s="1168"/>
      <c r="EB276" s="1168"/>
      <c r="EC276" s="1168"/>
      <c r="ED276" s="1168"/>
      <c r="EE276" s="1168"/>
      <c r="EF276" s="1168"/>
      <c r="EG276" s="1168"/>
      <c r="EH276" s="1168"/>
      <c r="EI276" s="1170"/>
      <c r="EJ276" s="1170"/>
      <c r="EK276" s="1170"/>
      <c r="EL276" s="1170"/>
      <c r="EM276" s="1170"/>
      <c r="EN276" s="1170"/>
      <c r="EO276" s="1170"/>
      <c r="EP276" s="1170"/>
      <c r="EQ276" s="1170"/>
      <c r="ER276" s="1170"/>
      <c r="ES276" s="1171"/>
      <c r="ET276" s="1171"/>
      <c r="EU276" s="1171"/>
      <c r="EV276" s="1171"/>
      <c r="EW276" s="1171"/>
      <c r="EX276" s="1171"/>
      <c r="EY276" s="1171"/>
      <c r="EZ276" s="1171"/>
      <c r="FA276" s="1171"/>
      <c r="FB276" s="1171"/>
      <c r="FC276" s="1171"/>
      <c r="FD276" s="1171"/>
      <c r="FE276" s="1171"/>
      <c r="FF276" s="1171"/>
      <c r="FG276" s="1171"/>
      <c r="FH276" s="1171"/>
      <c r="FI276" s="1171"/>
      <c r="FJ276" s="1171"/>
      <c r="FK276" s="1171"/>
      <c r="FL276" s="1171"/>
      <c r="FM276" s="1171"/>
      <c r="FN276" s="1171"/>
      <c r="FO276" s="1171"/>
      <c r="FP276" s="1171"/>
    </row>
    <row r="277" spans="1:172" s="607" customFormat="1">
      <c r="A277" s="607">
        <f t="shared" si="8"/>
        <v>1993</v>
      </c>
      <c r="B277" s="607">
        <f t="shared" si="9"/>
        <v>2</v>
      </c>
      <c r="C277" s="666">
        <v>34090</v>
      </c>
      <c r="D277" s="1709">
        <v>0.69787142857142848</v>
      </c>
      <c r="E277" s="1117">
        <v>167.09135614285714</v>
      </c>
      <c r="F277" s="1117">
        <v>239.43</v>
      </c>
      <c r="G277" s="1117"/>
      <c r="H277" s="1117"/>
      <c r="I277" s="959">
        <v>367.04</v>
      </c>
      <c r="J277" s="959">
        <v>525.61</v>
      </c>
      <c r="K277" s="960"/>
      <c r="L277" s="1121"/>
      <c r="M277" s="916">
        <v>5788.13</v>
      </c>
      <c r="N277" s="916">
        <v>8293.9776053714377</v>
      </c>
      <c r="O277" s="1174">
        <v>1796.9</v>
      </c>
      <c r="P277" s="1174">
        <v>2574.8295838365648</v>
      </c>
      <c r="Q277" s="1174">
        <v>407.26</v>
      </c>
      <c r="R277" s="1174">
        <v>583.57454299809626</v>
      </c>
      <c r="S277" s="1174">
        <v>980.45</v>
      </c>
      <c r="T277" s="1174">
        <v>1404.9149454463575</v>
      </c>
      <c r="U277" s="1120">
        <v>109.56581428571427</v>
      </c>
      <c r="V277" s="1120">
        <v>157</v>
      </c>
      <c r="W277" s="1120">
        <v>1513.0353553802247</v>
      </c>
      <c r="X277" s="1120">
        <v>2168.0717872022219</v>
      </c>
      <c r="Y277" s="1119"/>
      <c r="Z277" s="1119"/>
      <c r="AA277" s="1119"/>
      <c r="AB277" s="1119"/>
      <c r="AC277" s="1178"/>
      <c r="AD277" s="1178">
        <v>6.6002310803004045</v>
      </c>
      <c r="AE277" s="1178"/>
      <c r="AF277" s="1178"/>
      <c r="AG277" s="1178"/>
      <c r="AH277" s="1178"/>
      <c r="AI277" s="1178"/>
      <c r="AJ277" s="1178"/>
      <c r="AK277" s="919">
        <v>18.510999774932863</v>
      </c>
      <c r="AL277" s="919">
        <v>26.52494287210703</v>
      </c>
      <c r="AM277" s="919">
        <v>20.25952366420201</v>
      </c>
      <c r="AN277" s="919">
        <v>29.030452938407421</v>
      </c>
      <c r="AO277" s="919"/>
      <c r="AP277" s="919"/>
      <c r="AS277" s="1167"/>
      <c r="AT277" s="1167"/>
      <c r="AU277" s="1168"/>
      <c r="AV277" s="1168"/>
      <c r="AW277" s="1169"/>
      <c r="AX277" s="1169"/>
      <c r="AY277" s="1169"/>
      <c r="AZ277" s="1169"/>
      <c r="BA277" s="1799" t="s">
        <v>280</v>
      </c>
      <c r="BB277" s="1802">
        <v>2009</v>
      </c>
      <c r="BC277" s="1799" t="s">
        <v>26</v>
      </c>
      <c r="BD277" s="1799">
        <v>3</v>
      </c>
      <c r="BE277" s="1800">
        <v>70198914</v>
      </c>
      <c r="BF277" s="1801">
        <v>9.9000000000000005E-2</v>
      </c>
      <c r="BG277" s="1799"/>
      <c r="BH277" s="1799" t="s">
        <v>3</v>
      </c>
      <c r="BI277" s="1799" t="s">
        <v>289</v>
      </c>
      <c r="BJ277" s="1799" t="s">
        <v>583</v>
      </c>
      <c r="BK277" s="1799">
        <v>7</v>
      </c>
      <c r="BL277" s="1800">
        <v>168121515.56709999</v>
      </c>
      <c r="BM277" s="1801">
        <v>5.5580155483468646E-2</v>
      </c>
      <c r="BN277" s="1799">
        <v>2004</v>
      </c>
      <c r="BO277" s="1684"/>
      <c r="BP277" s="1696"/>
      <c r="BQ277" s="1169"/>
      <c r="BR277" s="1169"/>
      <c r="BS277" s="1169"/>
      <c r="BT277" s="1169"/>
      <c r="BU277" s="1169"/>
      <c r="BV277" s="1169"/>
      <c r="BW277" s="1169"/>
      <c r="BX277" s="1169"/>
      <c r="BY277" s="1169"/>
      <c r="BZ277" s="1169"/>
      <c r="CA277" s="1169"/>
      <c r="CB277" s="1169"/>
      <c r="CC277" s="1169"/>
      <c r="CD277" s="1169"/>
      <c r="CE277" s="1169"/>
      <c r="CF277" s="1169"/>
      <c r="CG277" s="1169"/>
      <c r="CH277" s="1169"/>
      <c r="CI277" s="1169"/>
      <c r="CJ277" s="1169"/>
      <c r="CK277" s="1169"/>
      <c r="CL277" s="1169"/>
      <c r="CM277" s="1169"/>
      <c r="CN277" s="1169"/>
      <c r="CO277" s="1169"/>
      <c r="CP277" s="1169"/>
      <c r="CQ277" s="1169"/>
      <c r="CR277" s="1169"/>
      <c r="CS277" s="1169"/>
      <c r="CT277" s="1169"/>
      <c r="CU277" s="1169"/>
      <c r="CV277" s="1169"/>
      <c r="CW277" s="1169"/>
      <c r="CX277" s="1169"/>
      <c r="CY277" s="1169"/>
      <c r="CZ277" s="1169"/>
      <c r="DA277" s="1168"/>
      <c r="DB277" s="1168"/>
      <c r="DC277" s="1168"/>
      <c r="DD277" s="1168"/>
      <c r="DE277" s="1168"/>
      <c r="DF277" s="1168"/>
      <c r="DG277" s="1168"/>
      <c r="DH277" s="1168"/>
      <c r="DI277" s="1168"/>
      <c r="DJ277" s="1168"/>
      <c r="DK277" s="1168"/>
      <c r="DL277" s="1168"/>
      <c r="DM277" s="1168"/>
      <c r="DN277" s="1168"/>
      <c r="DO277" s="1168"/>
      <c r="DP277" s="1168"/>
      <c r="DQ277" s="1168"/>
      <c r="DR277" s="1168"/>
      <c r="DS277" s="1168"/>
      <c r="DT277" s="1168"/>
      <c r="DU277" s="1168"/>
      <c r="DV277" s="1168"/>
      <c r="DW277" s="1168"/>
      <c r="DX277" s="1168"/>
      <c r="DY277" s="1168"/>
      <c r="DZ277" s="1168"/>
      <c r="EA277" s="1168"/>
      <c r="EB277" s="1168"/>
      <c r="EC277" s="1168"/>
      <c r="ED277" s="1168"/>
      <c r="EE277" s="1168"/>
      <c r="EF277" s="1168"/>
      <c r="EG277" s="1168"/>
      <c r="EH277" s="1168"/>
      <c r="EI277" s="1170"/>
      <c r="EJ277" s="1170"/>
      <c r="EK277" s="1170"/>
      <c r="EL277" s="1170"/>
      <c r="EM277" s="1170"/>
      <c r="EN277" s="1170"/>
      <c r="EO277" s="1170"/>
      <c r="EP277" s="1170"/>
      <c r="EQ277" s="1170"/>
      <c r="ER277" s="1170"/>
      <c r="ES277" s="1171"/>
      <c r="ET277" s="1171"/>
      <c r="EU277" s="1171"/>
      <c r="EV277" s="1171"/>
      <c r="EW277" s="1171"/>
      <c r="EX277" s="1171"/>
      <c r="EY277" s="1171"/>
      <c r="EZ277" s="1171"/>
      <c r="FA277" s="1171"/>
      <c r="FB277" s="1171"/>
      <c r="FC277" s="1171"/>
      <c r="FD277" s="1171"/>
      <c r="FE277" s="1171"/>
      <c r="FF277" s="1171"/>
      <c r="FG277" s="1171"/>
      <c r="FH277" s="1171"/>
      <c r="FI277" s="1171"/>
      <c r="FJ277" s="1171"/>
      <c r="FK277" s="1171"/>
      <c r="FL277" s="1171"/>
      <c r="FM277" s="1171"/>
      <c r="FN277" s="1171"/>
      <c r="FO277" s="1171"/>
      <c r="FP277" s="1171"/>
    </row>
    <row r="278" spans="1:172" s="607" customFormat="1">
      <c r="A278" s="607">
        <f t="shared" si="8"/>
        <v>1993</v>
      </c>
      <c r="B278" s="607">
        <f t="shared" si="9"/>
        <v>2</v>
      </c>
      <c r="C278" s="666">
        <v>34121</v>
      </c>
      <c r="D278" s="957">
        <v>0.67494545454545463</v>
      </c>
      <c r="E278" s="920">
        <v>167.92642909090912</v>
      </c>
      <c r="F278" s="920">
        <v>248.8</v>
      </c>
      <c r="G278" s="920"/>
      <c r="H278" s="920"/>
      <c r="I278" s="954">
        <v>371.91</v>
      </c>
      <c r="J278" s="954">
        <v>551.71</v>
      </c>
      <c r="K278" s="954"/>
      <c r="L278" s="920"/>
      <c r="M278" s="917">
        <v>5548.25</v>
      </c>
      <c r="N278" s="917">
        <v>8220.2938958030263</v>
      </c>
      <c r="O278" s="1175">
        <v>1854.3</v>
      </c>
      <c r="P278" s="1175">
        <v>2747.3331178277031</v>
      </c>
      <c r="Q278" s="1175">
        <v>394.25</v>
      </c>
      <c r="R278" s="1175">
        <v>584.12127579333003</v>
      </c>
      <c r="S278" s="1175">
        <v>926.34</v>
      </c>
      <c r="T278" s="1175">
        <v>1372.466461936318</v>
      </c>
      <c r="U278" s="920">
        <v>105.96643636363638</v>
      </c>
      <c r="V278" s="920">
        <v>157</v>
      </c>
      <c r="W278" s="920">
        <v>1510.5266336374705</v>
      </c>
      <c r="X278" s="920">
        <v>2237.9980833484419</v>
      </c>
      <c r="Y278" s="920"/>
      <c r="Z278" s="920"/>
      <c r="AA278" s="920"/>
      <c r="AB278" s="920"/>
      <c r="AC278" s="920"/>
      <c r="AD278" s="920">
        <v>6.7519333729922666</v>
      </c>
      <c r="AE278" s="920"/>
      <c r="AF278" s="920"/>
      <c r="AG278" s="920"/>
      <c r="AH278" s="920"/>
      <c r="AI278" s="920"/>
      <c r="AJ278" s="920"/>
      <c r="AK278" s="920">
        <v>17.593636426058683</v>
      </c>
      <c r="AL278" s="920">
        <v>26.066752961403683</v>
      </c>
      <c r="AM278" s="920">
        <v>19.134090596979316</v>
      </c>
      <c r="AN278" s="920">
        <v>28.349091720108351</v>
      </c>
      <c r="AO278" s="920"/>
      <c r="AP278" s="920"/>
      <c r="AS278" s="1167"/>
      <c r="AT278" s="1167"/>
      <c r="AU278" s="1168"/>
      <c r="AV278" s="1168"/>
      <c r="AW278" s="1169"/>
      <c r="AX278" s="1169"/>
      <c r="AY278" s="1169"/>
      <c r="AZ278" s="1169"/>
      <c r="BA278" s="1799" t="s">
        <v>280</v>
      </c>
      <c r="BB278" s="1802">
        <v>2009</v>
      </c>
      <c r="BC278" s="1799" t="s">
        <v>52</v>
      </c>
      <c r="BD278" s="1799">
        <v>4</v>
      </c>
      <c r="BE278" s="1800">
        <v>50286074</v>
      </c>
      <c r="BF278" s="1801">
        <v>7.0999999999999994E-2</v>
      </c>
      <c r="BG278" s="1799"/>
      <c r="BH278" s="1799" t="s">
        <v>3</v>
      </c>
      <c r="BI278" s="1799" t="s">
        <v>289</v>
      </c>
      <c r="BJ278" s="1799" t="s">
        <v>581</v>
      </c>
      <c r="BK278" s="1799">
        <v>8</v>
      </c>
      <c r="BL278" s="1800">
        <v>132393526.52408001</v>
      </c>
      <c r="BM278" s="1801">
        <v>4.3768656048524743E-2</v>
      </c>
      <c r="BN278" s="1799">
        <v>2004</v>
      </c>
      <c r="BO278" s="1684"/>
      <c r="BP278" s="1696"/>
      <c r="BQ278" s="1169"/>
      <c r="BR278" s="1169"/>
      <c r="BS278" s="1169"/>
      <c r="BT278" s="1169"/>
      <c r="BU278" s="1169"/>
      <c r="BV278" s="1169"/>
      <c r="BW278" s="1169"/>
      <c r="BX278" s="1169"/>
      <c r="BY278" s="1169"/>
      <c r="BZ278" s="1169"/>
      <c r="CA278" s="1169"/>
      <c r="CB278" s="1169"/>
      <c r="CC278" s="1169"/>
      <c r="CD278" s="1169"/>
      <c r="CE278" s="1169"/>
      <c r="CF278" s="1169"/>
      <c r="CG278" s="1169"/>
      <c r="CH278" s="1169"/>
      <c r="CI278" s="1169"/>
      <c r="CJ278" s="1169"/>
      <c r="CK278" s="1169"/>
      <c r="CL278" s="1169"/>
      <c r="CM278" s="1169"/>
      <c r="CN278" s="1169"/>
      <c r="CO278" s="1169"/>
      <c r="CP278" s="1169"/>
      <c r="CQ278" s="1169"/>
      <c r="CR278" s="1169"/>
      <c r="CS278" s="1169"/>
      <c r="CT278" s="1169"/>
      <c r="CU278" s="1169"/>
      <c r="CV278" s="1169"/>
      <c r="CW278" s="1169"/>
      <c r="CX278" s="1169"/>
      <c r="CY278" s="1169"/>
      <c r="CZ278" s="1169"/>
      <c r="DA278" s="1168"/>
      <c r="DB278" s="1168"/>
      <c r="DC278" s="1168"/>
      <c r="DD278" s="1168"/>
      <c r="DE278" s="1168"/>
      <c r="DF278" s="1168"/>
      <c r="DG278" s="1168"/>
      <c r="DH278" s="1168"/>
      <c r="DI278" s="1168"/>
      <c r="DJ278" s="1168"/>
      <c r="DK278" s="1168"/>
      <c r="DL278" s="1168"/>
      <c r="DM278" s="1168"/>
      <c r="DN278" s="1168"/>
      <c r="DO278" s="1168"/>
      <c r="DP278" s="1168"/>
      <c r="DQ278" s="1168"/>
      <c r="DR278" s="1168"/>
      <c r="DS278" s="1168"/>
      <c r="DT278" s="1168"/>
      <c r="DU278" s="1168"/>
      <c r="DV278" s="1168"/>
      <c r="DW278" s="1168"/>
      <c r="DX278" s="1168"/>
      <c r="DY278" s="1168"/>
      <c r="DZ278" s="1168"/>
      <c r="EA278" s="1168"/>
      <c r="EB278" s="1168"/>
      <c r="EC278" s="1168"/>
      <c r="ED278" s="1168"/>
      <c r="EE278" s="1168"/>
      <c r="EF278" s="1168"/>
      <c r="EG278" s="1168"/>
      <c r="EH278" s="1168"/>
      <c r="EI278" s="1170"/>
      <c r="EJ278" s="1170"/>
      <c r="EK278" s="1170"/>
      <c r="EL278" s="1170"/>
      <c r="EM278" s="1170"/>
      <c r="EN278" s="1170"/>
      <c r="EO278" s="1170"/>
      <c r="EP278" s="1170"/>
      <c r="EQ278" s="1170"/>
      <c r="ER278" s="1170"/>
      <c r="ES278" s="1171"/>
      <c r="ET278" s="1171"/>
      <c r="EU278" s="1171"/>
      <c r="EV278" s="1171"/>
      <c r="EW278" s="1171"/>
      <c r="EX278" s="1171"/>
      <c r="EY278" s="1171"/>
      <c r="EZ278" s="1171"/>
      <c r="FA278" s="1171"/>
      <c r="FB278" s="1171"/>
      <c r="FC278" s="1171"/>
      <c r="FD278" s="1171"/>
      <c r="FE278" s="1171"/>
      <c r="FF278" s="1171"/>
      <c r="FG278" s="1171"/>
      <c r="FH278" s="1171"/>
      <c r="FI278" s="1171"/>
      <c r="FJ278" s="1171"/>
      <c r="FK278" s="1171"/>
      <c r="FL278" s="1171"/>
      <c r="FM278" s="1171"/>
      <c r="FN278" s="1171"/>
      <c r="FO278" s="1171"/>
      <c r="FP278" s="1171"/>
    </row>
    <row r="279" spans="1:172" s="607" customFormat="1">
      <c r="A279" s="607">
        <f t="shared" si="8"/>
        <v>1993</v>
      </c>
      <c r="B279" s="607">
        <f t="shared" si="9"/>
        <v>3</v>
      </c>
      <c r="C279" s="666">
        <v>34151</v>
      </c>
      <c r="D279" s="1709">
        <v>0.67747272727272734</v>
      </c>
      <c r="E279" s="1117">
        <v>167.05799981818183</v>
      </c>
      <c r="F279" s="1117">
        <v>246.59</v>
      </c>
      <c r="G279" s="1117"/>
      <c r="H279" s="1117"/>
      <c r="I279" s="959">
        <v>392.03</v>
      </c>
      <c r="J279" s="959">
        <v>578.71</v>
      </c>
      <c r="K279" s="960"/>
      <c r="L279" s="1121"/>
      <c r="M279" s="916">
        <v>5039</v>
      </c>
      <c r="N279" s="916">
        <v>7437.9377901827638</v>
      </c>
      <c r="O279" s="1174">
        <v>1927.2</v>
      </c>
      <c r="P279" s="1174">
        <v>2844.6901586108797</v>
      </c>
      <c r="Q279" s="1174">
        <v>388.25</v>
      </c>
      <c r="R279" s="1174">
        <v>573.08580016639371</v>
      </c>
      <c r="S279" s="1174">
        <v>927.91</v>
      </c>
      <c r="T279" s="1174">
        <v>1369.6639918413352</v>
      </c>
      <c r="U279" s="1120">
        <v>108.39563636363637</v>
      </c>
      <c r="V279" s="1120">
        <v>160</v>
      </c>
      <c r="W279" s="1120">
        <v>1565.412709029584</v>
      </c>
      <c r="X279" s="1120">
        <v>2310.6652799610079</v>
      </c>
      <c r="Y279" s="1119"/>
      <c r="Z279" s="1119"/>
      <c r="AA279" s="1119"/>
      <c r="AB279" s="1119"/>
      <c r="AC279" s="1178"/>
      <c r="AD279" s="1178">
        <v>7.609013754755634</v>
      </c>
      <c r="AE279" s="1178"/>
      <c r="AF279" s="1178"/>
      <c r="AG279" s="1178"/>
      <c r="AH279" s="1178"/>
      <c r="AI279" s="1178"/>
      <c r="AJ279" s="1178"/>
      <c r="AK279" s="919">
        <v>16.76499990983443</v>
      </c>
      <c r="AL279" s="919">
        <v>24.746383485169307</v>
      </c>
      <c r="AM279" s="919">
        <v>18.761905034383137</v>
      </c>
      <c r="AN279" s="919">
        <v>27.69396357830097</v>
      </c>
      <c r="AO279" s="919"/>
      <c r="AP279" s="919"/>
      <c r="AS279" s="1167"/>
      <c r="AT279" s="1167"/>
      <c r="AU279" s="1168"/>
      <c r="AV279" s="1168"/>
      <c r="AW279" s="1169"/>
      <c r="AX279" s="1169"/>
      <c r="AY279" s="1169"/>
      <c r="AZ279" s="1169"/>
      <c r="BA279" s="1799" t="s">
        <v>280</v>
      </c>
      <c r="BB279" s="1802">
        <v>2009</v>
      </c>
      <c r="BC279" s="1799" t="s">
        <v>20</v>
      </c>
      <c r="BD279" s="1799">
        <v>5</v>
      </c>
      <c r="BE279" s="1800">
        <v>41974327</v>
      </c>
      <c r="BF279" s="1801">
        <v>5.8999999999999997E-2</v>
      </c>
      <c r="BG279" s="1799"/>
      <c r="BH279" s="1799" t="s">
        <v>3</v>
      </c>
      <c r="BI279" s="1799" t="s">
        <v>289</v>
      </c>
      <c r="BJ279" s="1799" t="s">
        <v>32</v>
      </c>
      <c r="BK279" s="1799"/>
      <c r="BL279" s="1800">
        <v>96431965.9039855</v>
      </c>
      <c r="BM279" s="1801">
        <v>3.1879938986042022E-2</v>
      </c>
      <c r="BN279" s="1799">
        <v>2004</v>
      </c>
      <c r="BO279" s="1684"/>
      <c r="BP279" s="1696"/>
      <c r="BQ279" s="1169"/>
      <c r="BR279" s="1169"/>
      <c r="BS279" s="1169"/>
      <c r="BT279" s="1169"/>
      <c r="BU279" s="1169"/>
      <c r="BV279" s="1169"/>
      <c r="BW279" s="1169"/>
      <c r="BX279" s="1169"/>
      <c r="BY279" s="1169"/>
      <c r="BZ279" s="1169"/>
      <c r="CA279" s="1169"/>
      <c r="CB279" s="1169"/>
      <c r="CC279" s="1169"/>
      <c r="CD279" s="1169"/>
      <c r="CE279" s="1169"/>
      <c r="CF279" s="1169"/>
      <c r="CG279" s="1169"/>
      <c r="CH279" s="1169"/>
      <c r="CI279" s="1169"/>
      <c r="CJ279" s="1169"/>
      <c r="CK279" s="1169"/>
      <c r="CL279" s="1169"/>
      <c r="CM279" s="1169"/>
      <c r="CN279" s="1169"/>
      <c r="CO279" s="1169"/>
      <c r="CP279" s="1169"/>
      <c r="CQ279" s="1169"/>
      <c r="CR279" s="1169"/>
      <c r="CS279" s="1169"/>
      <c r="CT279" s="1169"/>
      <c r="CU279" s="1169"/>
      <c r="CV279" s="1169"/>
      <c r="CW279" s="1169"/>
      <c r="CX279" s="1169"/>
      <c r="CY279" s="1169"/>
      <c r="CZ279" s="1169"/>
      <c r="DA279" s="1168"/>
      <c r="DB279" s="1168"/>
      <c r="DC279" s="1168"/>
      <c r="DD279" s="1168"/>
      <c r="DE279" s="1168"/>
      <c r="DF279" s="1168"/>
      <c r="DG279" s="1168"/>
      <c r="DH279" s="1168"/>
      <c r="DI279" s="1168"/>
      <c r="DJ279" s="1168"/>
      <c r="DK279" s="1168"/>
      <c r="DL279" s="1168"/>
      <c r="DM279" s="1168"/>
      <c r="DN279" s="1168"/>
      <c r="DO279" s="1168"/>
      <c r="DP279" s="1168"/>
      <c r="DQ279" s="1168"/>
      <c r="DR279" s="1168"/>
      <c r="DS279" s="1168"/>
      <c r="DT279" s="1168"/>
      <c r="DU279" s="1168"/>
      <c r="DV279" s="1168"/>
      <c r="DW279" s="1168"/>
      <c r="DX279" s="1168"/>
      <c r="DY279" s="1168"/>
      <c r="DZ279" s="1168"/>
      <c r="EA279" s="1168"/>
      <c r="EB279" s="1168"/>
      <c r="EC279" s="1168"/>
      <c r="ED279" s="1168"/>
      <c r="EE279" s="1168"/>
      <c r="EF279" s="1168"/>
      <c r="EG279" s="1168"/>
      <c r="EH279" s="1168"/>
      <c r="EI279" s="1170"/>
      <c r="EJ279" s="1170"/>
      <c r="EK279" s="1170"/>
      <c r="EL279" s="1170"/>
      <c r="EM279" s="1170"/>
      <c r="EN279" s="1170"/>
      <c r="EO279" s="1170"/>
      <c r="EP279" s="1170"/>
      <c r="EQ279" s="1170"/>
      <c r="ER279" s="1170"/>
      <c r="ES279" s="1171"/>
      <c r="ET279" s="1171"/>
      <c r="EU279" s="1171"/>
      <c r="EV279" s="1171"/>
      <c r="EW279" s="1171"/>
      <c r="EX279" s="1171"/>
      <c r="EY279" s="1171"/>
      <c r="EZ279" s="1171"/>
      <c r="FA279" s="1171"/>
      <c r="FB279" s="1171"/>
      <c r="FC279" s="1171"/>
      <c r="FD279" s="1171"/>
      <c r="FE279" s="1171"/>
      <c r="FF279" s="1171"/>
      <c r="FG279" s="1171"/>
      <c r="FH279" s="1171"/>
      <c r="FI279" s="1171"/>
      <c r="FJ279" s="1171"/>
      <c r="FK279" s="1171"/>
      <c r="FL279" s="1171"/>
      <c r="FM279" s="1171"/>
      <c r="FN279" s="1171"/>
      <c r="FO279" s="1171"/>
      <c r="FP279" s="1171"/>
    </row>
    <row r="280" spans="1:172" s="607" customFormat="1">
      <c r="A280" s="607">
        <f t="shared" si="8"/>
        <v>1993</v>
      </c>
      <c r="B280" s="607">
        <f t="shared" si="9"/>
        <v>3</v>
      </c>
      <c r="C280" s="666">
        <v>34182</v>
      </c>
      <c r="D280" s="957">
        <v>0.67846818181818191</v>
      </c>
      <c r="E280" s="920">
        <v>164.50818004545457</v>
      </c>
      <c r="F280" s="920">
        <v>242.47</v>
      </c>
      <c r="G280" s="920"/>
      <c r="H280" s="920"/>
      <c r="I280" s="954">
        <v>379.79</v>
      </c>
      <c r="J280" s="954">
        <v>559.66999999999996</v>
      </c>
      <c r="K280" s="954"/>
      <c r="L280" s="920"/>
      <c r="M280" s="917">
        <v>4723</v>
      </c>
      <c r="N280" s="917">
        <v>6961.2697051513087</v>
      </c>
      <c r="O280" s="1175">
        <v>1948.2</v>
      </c>
      <c r="P280" s="1175">
        <v>2871.4684818072792</v>
      </c>
      <c r="Q280" s="1175">
        <v>388.18</v>
      </c>
      <c r="R280" s="1175">
        <v>572.14178999484125</v>
      </c>
      <c r="S280" s="1175">
        <v>884.09</v>
      </c>
      <c r="T280" s="1175">
        <v>1303.0677394933773</v>
      </c>
      <c r="U280" s="920">
        <v>108.55490909090911</v>
      </c>
      <c r="V280" s="920">
        <v>160</v>
      </c>
      <c r="W280" s="920">
        <v>1578.5651145685333</v>
      </c>
      <c r="X280" s="920">
        <v>2326.6604932573864</v>
      </c>
      <c r="Y280" s="920"/>
      <c r="Z280" s="920"/>
      <c r="AA280" s="920"/>
      <c r="AB280" s="920"/>
      <c r="AC280" s="920"/>
      <c r="AD280" s="920">
        <v>7.4537865235539655</v>
      </c>
      <c r="AE280" s="920"/>
      <c r="AF280" s="920"/>
      <c r="AG280" s="920"/>
      <c r="AH280" s="920"/>
      <c r="AI280" s="920"/>
      <c r="AJ280" s="920"/>
      <c r="AK280" s="920">
        <v>16.706190472557431</v>
      </c>
      <c r="AL280" s="920">
        <v>24.623395643680176</v>
      </c>
      <c r="AM280" s="920">
        <v>19.047619138445175</v>
      </c>
      <c r="AN280" s="920">
        <v>28.074447186897878</v>
      </c>
      <c r="AO280" s="920"/>
      <c r="AP280" s="920"/>
      <c r="AS280" s="1167"/>
      <c r="AT280" s="1167"/>
      <c r="AU280" s="1168"/>
      <c r="AV280" s="1168"/>
      <c r="AW280" s="1169"/>
      <c r="AX280" s="1169"/>
      <c r="AY280" s="1169"/>
      <c r="AZ280" s="1169"/>
      <c r="BA280" s="1799" t="s">
        <v>280</v>
      </c>
      <c r="BB280" s="1802">
        <v>2009</v>
      </c>
      <c r="BC280" s="1799" t="s">
        <v>23</v>
      </c>
      <c r="BD280" s="1799">
        <v>6</v>
      </c>
      <c r="BE280" s="1800">
        <v>33689089</v>
      </c>
      <c r="BF280" s="1801">
        <v>4.8000000000000001E-2</v>
      </c>
      <c r="BG280" s="1799"/>
      <c r="BH280" s="1799" t="s">
        <v>3</v>
      </c>
      <c r="BI280" s="1799" t="s">
        <v>289</v>
      </c>
      <c r="BJ280" s="1799" t="s">
        <v>249</v>
      </c>
      <c r="BK280" s="1799"/>
      <c r="BL280" s="1800">
        <v>3024847881.4908104</v>
      </c>
      <c r="BM280" s="1801"/>
      <c r="BN280" s="1799">
        <v>2004</v>
      </c>
      <c r="BO280" s="1684"/>
      <c r="BP280" s="1696"/>
      <c r="BQ280" s="1169"/>
      <c r="BR280" s="1169"/>
      <c r="BS280" s="1169"/>
      <c r="BT280" s="1169"/>
      <c r="BU280" s="1169"/>
      <c r="BV280" s="1169"/>
      <c r="BW280" s="1169"/>
      <c r="BX280" s="1169"/>
      <c r="BY280" s="1169"/>
      <c r="BZ280" s="1169"/>
      <c r="CA280" s="1169"/>
      <c r="CB280" s="1169"/>
      <c r="CC280" s="1169"/>
      <c r="CD280" s="1169"/>
      <c r="CE280" s="1169"/>
      <c r="CF280" s="1169"/>
      <c r="CG280" s="1169"/>
      <c r="CH280" s="1169"/>
      <c r="CI280" s="1169"/>
      <c r="CJ280" s="1169"/>
      <c r="CK280" s="1169"/>
      <c r="CL280" s="1169"/>
      <c r="CM280" s="1169"/>
      <c r="CN280" s="1169"/>
      <c r="CO280" s="1169"/>
      <c r="CP280" s="1169"/>
      <c r="CQ280" s="1169"/>
      <c r="CR280" s="1169"/>
      <c r="CS280" s="1169"/>
      <c r="CT280" s="1169"/>
      <c r="CU280" s="1169"/>
      <c r="CV280" s="1169"/>
      <c r="CW280" s="1169"/>
      <c r="CX280" s="1169"/>
      <c r="CY280" s="1169"/>
      <c r="CZ280" s="1169"/>
      <c r="DA280" s="1168"/>
      <c r="DB280" s="1168"/>
      <c r="DC280" s="1168"/>
      <c r="DD280" s="1168"/>
      <c r="DE280" s="1168"/>
      <c r="DF280" s="1168"/>
      <c r="DG280" s="1168"/>
      <c r="DH280" s="1168"/>
      <c r="DI280" s="1168"/>
      <c r="DJ280" s="1168"/>
      <c r="DK280" s="1168"/>
      <c r="DL280" s="1168"/>
      <c r="DM280" s="1168"/>
      <c r="DN280" s="1168"/>
      <c r="DO280" s="1168"/>
      <c r="DP280" s="1168"/>
      <c r="DQ280" s="1168"/>
      <c r="DR280" s="1168"/>
      <c r="DS280" s="1168"/>
      <c r="DT280" s="1168"/>
      <c r="DU280" s="1168"/>
      <c r="DV280" s="1168"/>
      <c r="DW280" s="1168"/>
      <c r="DX280" s="1168"/>
      <c r="DY280" s="1168"/>
      <c r="DZ280" s="1168"/>
      <c r="EA280" s="1168"/>
      <c r="EB280" s="1168"/>
      <c r="EC280" s="1168"/>
      <c r="ED280" s="1168"/>
      <c r="EE280" s="1168"/>
      <c r="EF280" s="1168"/>
      <c r="EG280" s="1168"/>
      <c r="EH280" s="1168"/>
      <c r="EI280" s="1170"/>
      <c r="EJ280" s="1170"/>
      <c r="EK280" s="1170"/>
      <c r="EL280" s="1170"/>
      <c r="EM280" s="1170"/>
      <c r="EN280" s="1170"/>
      <c r="EO280" s="1170"/>
      <c r="EP280" s="1170"/>
      <c r="EQ280" s="1170"/>
      <c r="ER280" s="1170"/>
      <c r="ES280" s="1171"/>
      <c r="ET280" s="1171"/>
      <c r="EU280" s="1171"/>
      <c r="EV280" s="1171"/>
      <c r="EW280" s="1171"/>
      <c r="EX280" s="1171"/>
      <c r="EY280" s="1171"/>
      <c r="EZ280" s="1171"/>
      <c r="FA280" s="1171"/>
      <c r="FB280" s="1171"/>
      <c r="FC280" s="1171"/>
      <c r="FD280" s="1171"/>
      <c r="FE280" s="1171"/>
      <c r="FF280" s="1171"/>
      <c r="FG280" s="1171"/>
      <c r="FH280" s="1171"/>
      <c r="FI280" s="1171"/>
      <c r="FJ280" s="1171"/>
      <c r="FK280" s="1171"/>
      <c r="FL280" s="1171"/>
      <c r="FM280" s="1171"/>
      <c r="FN280" s="1171"/>
      <c r="FO280" s="1171"/>
      <c r="FP280" s="1171"/>
    </row>
    <row r="281" spans="1:172" s="607" customFormat="1">
      <c r="A281" s="607">
        <f t="shared" si="8"/>
        <v>1993</v>
      </c>
      <c r="B281" s="607">
        <f t="shared" si="9"/>
        <v>3</v>
      </c>
      <c r="C281" s="666">
        <v>34213</v>
      </c>
      <c r="D281" s="1709">
        <v>0.6521136363636364</v>
      </c>
      <c r="E281" s="1117">
        <v>162.81973272727274</v>
      </c>
      <c r="F281" s="1117">
        <v>249.68</v>
      </c>
      <c r="G281" s="1117"/>
      <c r="H281" s="1117"/>
      <c r="I281" s="959">
        <v>355.56</v>
      </c>
      <c r="J281" s="959">
        <v>545.63</v>
      </c>
      <c r="K281" s="960"/>
      <c r="L281" s="1121"/>
      <c r="M281" s="916">
        <v>4355</v>
      </c>
      <c r="N281" s="916">
        <v>6678.2839019970024</v>
      </c>
      <c r="O281" s="1174">
        <v>1861.9</v>
      </c>
      <c r="P281" s="1174">
        <v>2855.1772209249643</v>
      </c>
      <c r="Q281" s="1174">
        <v>375.73</v>
      </c>
      <c r="R281" s="1174">
        <v>576.17258564806752</v>
      </c>
      <c r="S281" s="1174">
        <v>874.55</v>
      </c>
      <c r="T281" s="1174">
        <v>1341.100616875196</v>
      </c>
      <c r="U281" s="1120">
        <v>104.33818181818182</v>
      </c>
      <c r="V281" s="1120">
        <v>160</v>
      </c>
      <c r="W281" s="1120">
        <v>1542.708974035942</v>
      </c>
      <c r="X281" s="1120">
        <v>2365.7057420827882</v>
      </c>
      <c r="Y281" s="1119"/>
      <c r="Z281" s="1119"/>
      <c r="AA281" s="1119"/>
      <c r="AB281" s="1119"/>
      <c r="AC281" s="1178"/>
      <c r="AD281" s="1178">
        <v>6.7565473423214018</v>
      </c>
      <c r="AE281" s="1178"/>
      <c r="AF281" s="1178"/>
      <c r="AG281" s="1178"/>
      <c r="AH281" s="1178"/>
      <c r="AI281" s="1178"/>
      <c r="AJ281" s="1178"/>
      <c r="AK281" s="919">
        <v>15.992272680455988</v>
      </c>
      <c r="AL281" s="919">
        <v>24.523751365840567</v>
      </c>
      <c r="AM281" s="919">
        <v>18.415908900174227</v>
      </c>
      <c r="AN281" s="919">
        <v>28.240337072026833</v>
      </c>
      <c r="AO281" s="919"/>
      <c r="AP281" s="919"/>
      <c r="AS281" s="1167"/>
      <c r="AT281" s="1167"/>
      <c r="AU281" s="1168"/>
      <c r="AV281" s="1168"/>
      <c r="AW281" s="1169"/>
      <c r="AX281" s="1169"/>
      <c r="AY281" s="1169"/>
      <c r="AZ281" s="1169"/>
      <c r="BA281" s="1799" t="s">
        <v>280</v>
      </c>
      <c r="BB281" s="1802">
        <v>2009</v>
      </c>
      <c r="BC281" s="1799" t="s">
        <v>51</v>
      </c>
      <c r="BD281" s="1799">
        <v>7</v>
      </c>
      <c r="BE281" s="1800">
        <v>33671932</v>
      </c>
      <c r="BF281" s="1801">
        <v>4.8000000000000001E-2</v>
      </c>
      <c r="BG281" s="1799"/>
      <c r="BH281" s="1799" t="s">
        <v>280</v>
      </c>
      <c r="BI281" s="1799" t="s">
        <v>320</v>
      </c>
      <c r="BJ281" s="1799" t="s">
        <v>15</v>
      </c>
      <c r="BK281" s="1799">
        <v>1</v>
      </c>
      <c r="BL281" s="1800">
        <v>180417494</v>
      </c>
      <c r="BM281" s="1801">
        <v>0.214</v>
      </c>
      <c r="BN281" s="1799">
        <v>2015</v>
      </c>
      <c r="BO281" s="1684"/>
      <c r="BP281" s="1696"/>
      <c r="BQ281" s="1169"/>
      <c r="BR281" s="1169"/>
      <c r="BS281" s="1169"/>
      <c r="BT281" s="1169"/>
      <c r="BU281" s="1169"/>
      <c r="BV281" s="1169"/>
      <c r="BW281" s="1169"/>
      <c r="BX281" s="1169"/>
      <c r="BY281" s="1169"/>
      <c r="BZ281" s="1169"/>
      <c r="CA281" s="1169"/>
      <c r="CB281" s="1169"/>
      <c r="CC281" s="1169"/>
      <c r="CD281" s="1169"/>
      <c r="CE281" s="1169"/>
      <c r="CF281" s="1169"/>
      <c r="CG281" s="1169"/>
      <c r="CH281" s="1169"/>
      <c r="CI281" s="1169"/>
      <c r="CJ281" s="1169"/>
      <c r="CK281" s="1169"/>
      <c r="CL281" s="1169"/>
      <c r="CM281" s="1169"/>
      <c r="CN281" s="1169"/>
      <c r="CO281" s="1169"/>
      <c r="CP281" s="1169"/>
      <c r="CQ281" s="1169"/>
      <c r="CR281" s="1169"/>
      <c r="CS281" s="1169"/>
      <c r="CT281" s="1169"/>
      <c r="CU281" s="1169"/>
      <c r="CV281" s="1169"/>
      <c r="CW281" s="1169"/>
      <c r="CX281" s="1169"/>
      <c r="CY281" s="1169"/>
      <c r="CZ281" s="1169"/>
      <c r="DA281" s="1168"/>
      <c r="DB281" s="1168"/>
      <c r="DC281" s="1168"/>
      <c r="DD281" s="1168"/>
      <c r="DE281" s="1168"/>
      <c r="DF281" s="1168"/>
      <c r="DG281" s="1168"/>
      <c r="DH281" s="1168"/>
      <c r="DI281" s="1168"/>
      <c r="DJ281" s="1168"/>
      <c r="DK281" s="1168"/>
      <c r="DL281" s="1168"/>
      <c r="DM281" s="1168"/>
      <c r="DN281" s="1168"/>
      <c r="DO281" s="1168"/>
      <c r="DP281" s="1168"/>
      <c r="DQ281" s="1168"/>
      <c r="DR281" s="1168"/>
      <c r="DS281" s="1168"/>
      <c r="DT281" s="1168"/>
      <c r="DU281" s="1168"/>
      <c r="DV281" s="1168"/>
      <c r="DW281" s="1168"/>
      <c r="DX281" s="1168"/>
      <c r="DY281" s="1168"/>
      <c r="DZ281" s="1168"/>
      <c r="EA281" s="1168"/>
      <c r="EB281" s="1168"/>
      <c r="EC281" s="1168"/>
      <c r="ED281" s="1168"/>
      <c r="EE281" s="1168"/>
      <c r="EF281" s="1168"/>
      <c r="EG281" s="1168"/>
      <c r="EH281" s="1168"/>
      <c r="EI281" s="1170"/>
      <c r="EJ281" s="1170"/>
      <c r="EK281" s="1170"/>
      <c r="EL281" s="1170"/>
      <c r="EM281" s="1170"/>
      <c r="EN281" s="1170"/>
      <c r="EO281" s="1170"/>
      <c r="EP281" s="1170"/>
      <c r="EQ281" s="1170"/>
      <c r="ER281" s="1170"/>
      <c r="ES281" s="1171"/>
      <c r="ET281" s="1171"/>
      <c r="EU281" s="1171"/>
      <c r="EV281" s="1171"/>
      <c r="EW281" s="1171"/>
      <c r="EX281" s="1171"/>
      <c r="EY281" s="1171"/>
      <c r="EZ281" s="1171"/>
      <c r="FA281" s="1171"/>
      <c r="FB281" s="1171"/>
      <c r="FC281" s="1171"/>
      <c r="FD281" s="1171"/>
      <c r="FE281" s="1171"/>
      <c r="FF281" s="1171"/>
      <c r="FG281" s="1171"/>
      <c r="FH281" s="1171"/>
      <c r="FI281" s="1171"/>
      <c r="FJ281" s="1171"/>
      <c r="FK281" s="1171"/>
      <c r="FL281" s="1171"/>
      <c r="FM281" s="1171"/>
      <c r="FN281" s="1171"/>
      <c r="FO281" s="1171"/>
      <c r="FP281" s="1171"/>
    </row>
    <row r="282" spans="1:172" s="607" customFormat="1">
      <c r="A282" s="607">
        <f t="shared" si="8"/>
        <v>1993</v>
      </c>
      <c r="B282" s="607">
        <f t="shared" si="9"/>
        <v>4</v>
      </c>
      <c r="C282" s="666">
        <v>34243</v>
      </c>
      <c r="D282" s="957">
        <v>0.66031904761904758</v>
      </c>
      <c r="E282" s="920">
        <v>162.39226338095239</v>
      </c>
      <c r="F282" s="920">
        <v>245.93</v>
      </c>
      <c r="G282" s="920"/>
      <c r="H282" s="920"/>
      <c r="I282" s="954">
        <v>364</v>
      </c>
      <c r="J282" s="954">
        <v>551.63</v>
      </c>
      <c r="K282" s="954"/>
      <c r="L282" s="920"/>
      <c r="M282" s="917">
        <v>4451</v>
      </c>
      <c r="N282" s="917">
        <v>6740.680911824732</v>
      </c>
      <c r="O282" s="1175">
        <v>1646.4</v>
      </c>
      <c r="P282" s="1175">
        <v>2493.3401602399995</v>
      </c>
      <c r="Q282" s="1175">
        <v>384.3</v>
      </c>
      <c r="R282" s="1175">
        <v>581.99138944377546</v>
      </c>
      <c r="S282" s="1175">
        <v>915.2</v>
      </c>
      <c r="T282" s="1175">
        <v>1385.9966682772399</v>
      </c>
      <c r="U282" s="920">
        <v>115.55583333333333</v>
      </c>
      <c r="V282" s="920">
        <v>175</v>
      </c>
      <c r="W282" s="920">
        <v>1467.6503033100028</v>
      </c>
      <c r="X282" s="920">
        <v>2222.6381453056647</v>
      </c>
      <c r="Y282" s="920"/>
      <c r="Z282" s="920"/>
      <c r="AA282" s="920"/>
      <c r="AB282" s="920"/>
      <c r="AC282" s="920"/>
      <c r="AD282" s="920">
        <v>6.8157934244107485</v>
      </c>
      <c r="AE282" s="920"/>
      <c r="AF282" s="920"/>
      <c r="AG282" s="920"/>
      <c r="AH282" s="920"/>
      <c r="AI282" s="920"/>
      <c r="AJ282" s="920"/>
      <c r="AK282" s="920">
        <v>16.558571633838472</v>
      </c>
      <c r="AL282" s="920">
        <v>25.076622722825757</v>
      </c>
      <c r="AM282" s="920">
        <v>18.226190294538224</v>
      </c>
      <c r="AN282" s="920">
        <v>27.602096835245785</v>
      </c>
      <c r="AO282" s="920"/>
      <c r="AP282" s="920"/>
      <c r="AS282" s="1167"/>
      <c r="AT282" s="1167"/>
      <c r="AU282" s="1168"/>
      <c r="AV282" s="1168"/>
      <c r="AW282" s="1169"/>
      <c r="AX282" s="1169"/>
      <c r="AY282" s="1169"/>
      <c r="AZ282" s="1169"/>
      <c r="BA282" s="1799" t="s">
        <v>280</v>
      </c>
      <c r="BB282" s="1802">
        <v>2009</v>
      </c>
      <c r="BC282" s="1799" t="s">
        <v>21</v>
      </c>
      <c r="BD282" s="1799">
        <v>8</v>
      </c>
      <c r="BE282" s="1800">
        <v>31465232</v>
      </c>
      <c r="BF282" s="1801">
        <v>4.4999999999999998E-2</v>
      </c>
      <c r="BG282" s="1799"/>
      <c r="BH282" s="1799" t="s">
        <v>280</v>
      </c>
      <c r="BI282" s="1799" t="s">
        <v>320</v>
      </c>
      <c r="BJ282" s="1799" t="s">
        <v>431</v>
      </c>
      <c r="BK282" s="1799">
        <v>2</v>
      </c>
      <c r="BL282" s="1800">
        <v>147808693</v>
      </c>
      <c r="BM282" s="1801">
        <v>0.17599999999999999</v>
      </c>
      <c r="BN282" s="1799">
        <v>2015</v>
      </c>
      <c r="BO282" s="1684"/>
      <c r="BP282" s="1696"/>
      <c r="BQ282" s="1169"/>
      <c r="BR282" s="1169"/>
      <c r="BS282" s="1169"/>
      <c r="BT282" s="1169"/>
      <c r="BU282" s="1169"/>
      <c r="BV282" s="1169"/>
      <c r="BW282" s="1169"/>
      <c r="BX282" s="1169"/>
      <c r="BY282" s="1169"/>
      <c r="BZ282" s="1169"/>
      <c r="CA282" s="1169"/>
      <c r="CB282" s="1169"/>
      <c r="CC282" s="1169"/>
      <c r="CD282" s="1169"/>
      <c r="CE282" s="1169"/>
      <c r="CF282" s="1169"/>
      <c r="CG282" s="1169"/>
      <c r="CH282" s="1169"/>
      <c r="CI282" s="1169"/>
      <c r="CJ282" s="1169"/>
      <c r="CK282" s="1169"/>
      <c r="CL282" s="1169"/>
      <c r="CM282" s="1169"/>
      <c r="CN282" s="1169"/>
      <c r="CO282" s="1169"/>
      <c r="CP282" s="1169"/>
      <c r="CQ282" s="1169"/>
      <c r="CR282" s="1169"/>
      <c r="CS282" s="1169"/>
      <c r="CT282" s="1169"/>
      <c r="CU282" s="1169"/>
      <c r="CV282" s="1169"/>
      <c r="CW282" s="1169"/>
      <c r="CX282" s="1169"/>
      <c r="CY282" s="1169"/>
      <c r="CZ282" s="1169"/>
      <c r="DA282" s="1168"/>
      <c r="DB282" s="1168"/>
      <c r="DC282" s="1168"/>
      <c r="DD282" s="1168"/>
      <c r="DE282" s="1168"/>
      <c r="DF282" s="1168"/>
      <c r="DG282" s="1168"/>
      <c r="DH282" s="1168"/>
      <c r="DI282" s="1168"/>
      <c r="DJ282" s="1168"/>
      <c r="DK282" s="1168"/>
      <c r="DL282" s="1168"/>
      <c r="DM282" s="1168"/>
      <c r="DN282" s="1168"/>
      <c r="DO282" s="1168"/>
      <c r="DP282" s="1168"/>
      <c r="DQ282" s="1168"/>
      <c r="DR282" s="1168"/>
      <c r="DS282" s="1168"/>
      <c r="DT282" s="1168"/>
      <c r="DU282" s="1168"/>
      <c r="DV282" s="1168"/>
      <c r="DW282" s="1168"/>
      <c r="DX282" s="1168"/>
      <c r="DY282" s="1168"/>
      <c r="DZ282" s="1168"/>
      <c r="EA282" s="1168"/>
      <c r="EB282" s="1168"/>
      <c r="EC282" s="1168"/>
      <c r="ED282" s="1168"/>
      <c r="EE282" s="1168"/>
      <c r="EF282" s="1168"/>
      <c r="EG282" s="1168"/>
      <c r="EH282" s="1168"/>
      <c r="EI282" s="1170"/>
      <c r="EJ282" s="1170"/>
      <c r="EK282" s="1170"/>
      <c r="EL282" s="1170"/>
      <c r="EM282" s="1170"/>
      <c r="EN282" s="1170"/>
      <c r="EO282" s="1170"/>
      <c r="EP282" s="1170"/>
      <c r="EQ282" s="1170"/>
      <c r="ER282" s="1170"/>
      <c r="ES282" s="1171"/>
      <c r="ET282" s="1171"/>
      <c r="EU282" s="1171"/>
      <c r="EV282" s="1171"/>
      <c r="EW282" s="1171"/>
      <c r="EX282" s="1171"/>
      <c r="EY282" s="1171"/>
      <c r="EZ282" s="1171"/>
      <c r="FA282" s="1171"/>
      <c r="FB282" s="1171"/>
      <c r="FC282" s="1171"/>
      <c r="FD282" s="1171"/>
      <c r="FE282" s="1171"/>
      <c r="FF282" s="1171"/>
      <c r="FG282" s="1171"/>
      <c r="FH282" s="1171"/>
      <c r="FI282" s="1171"/>
      <c r="FJ282" s="1171"/>
      <c r="FK282" s="1171"/>
      <c r="FL282" s="1171"/>
      <c r="FM282" s="1171"/>
      <c r="FN282" s="1171"/>
      <c r="FO282" s="1171"/>
      <c r="FP282" s="1171"/>
    </row>
    <row r="283" spans="1:172" s="607" customFormat="1">
      <c r="A283" s="607">
        <f t="shared" si="8"/>
        <v>1993</v>
      </c>
      <c r="B283" s="607">
        <f t="shared" si="9"/>
        <v>4</v>
      </c>
      <c r="C283" s="666">
        <v>34274</v>
      </c>
      <c r="D283" s="1709">
        <v>0.66488636363636366</v>
      </c>
      <c r="E283" s="1117">
        <v>162.45168522727275</v>
      </c>
      <c r="F283" s="1117">
        <v>244.33</v>
      </c>
      <c r="G283" s="1117"/>
      <c r="H283" s="1117"/>
      <c r="I283" s="959">
        <v>373.93</v>
      </c>
      <c r="J283" s="959">
        <v>563.12</v>
      </c>
      <c r="K283" s="960"/>
      <c r="L283" s="1121"/>
      <c r="M283" s="916">
        <v>4633.8900000000003</v>
      </c>
      <c r="N283" s="916">
        <v>6969.4465903264399</v>
      </c>
      <c r="O283" s="1174">
        <v>1630</v>
      </c>
      <c r="P283" s="1174">
        <v>2451.5467441462997</v>
      </c>
      <c r="Q283" s="1174">
        <v>400.25</v>
      </c>
      <c r="R283" s="1174">
        <v>601.98256708254996</v>
      </c>
      <c r="S283" s="1174">
        <v>928.75</v>
      </c>
      <c r="T283" s="1174">
        <v>1396.8552384207828</v>
      </c>
      <c r="U283" s="1120">
        <v>116.35511363636364</v>
      </c>
      <c r="V283" s="1120">
        <v>175</v>
      </c>
      <c r="W283" s="1120">
        <v>1509.5100448555033</v>
      </c>
      <c r="X283" s="1120">
        <v>2270.3278746758551</v>
      </c>
      <c r="Y283" s="1119"/>
      <c r="Z283" s="1119"/>
      <c r="AA283" s="1119"/>
      <c r="AB283" s="1119"/>
      <c r="AC283" s="1178"/>
      <c r="AD283" s="1178">
        <v>7.0756149407834803</v>
      </c>
      <c r="AE283" s="1178"/>
      <c r="AF283" s="1178"/>
      <c r="AG283" s="1178"/>
      <c r="AH283" s="1178"/>
      <c r="AI283" s="1178"/>
      <c r="AJ283" s="1178"/>
      <c r="AK283" s="919">
        <v>15.084545395591043</v>
      </c>
      <c r="AL283" s="919">
        <v>22.68740377391919</v>
      </c>
      <c r="AM283" s="919">
        <v>17.113636276938699</v>
      </c>
      <c r="AN283" s="919">
        <v>25.739189751676729</v>
      </c>
      <c r="AO283" s="919"/>
      <c r="AP283" s="919"/>
      <c r="AS283" s="1167"/>
      <c r="AT283" s="1167"/>
      <c r="AU283" s="1168"/>
      <c r="AV283" s="1168"/>
      <c r="AW283" s="1169"/>
      <c r="AX283" s="1169"/>
      <c r="AY283" s="1169"/>
      <c r="AZ283" s="1169"/>
      <c r="BA283" s="1799" t="s">
        <v>280</v>
      </c>
      <c r="BB283" s="1802">
        <v>2009</v>
      </c>
      <c r="BC283" s="1799" t="s">
        <v>583</v>
      </c>
      <c r="BD283" s="1799">
        <v>9</v>
      </c>
      <c r="BE283" s="1800">
        <v>27556065</v>
      </c>
      <c r="BF283" s="1801">
        <v>3.9E-2</v>
      </c>
      <c r="BG283" s="1799"/>
      <c r="BH283" s="1799" t="s">
        <v>280</v>
      </c>
      <c r="BI283" s="1799" t="s">
        <v>320</v>
      </c>
      <c r="BJ283" s="1799" t="s">
        <v>51</v>
      </c>
      <c r="BK283" s="1799">
        <v>3</v>
      </c>
      <c r="BL283" s="1800">
        <v>92891709</v>
      </c>
      <c r="BM283" s="1801">
        <v>0.11</v>
      </c>
      <c r="BN283" s="1799">
        <v>2015</v>
      </c>
      <c r="BO283" s="1684"/>
      <c r="BP283" s="1696"/>
      <c r="BQ283" s="1169"/>
      <c r="BR283" s="1169"/>
      <c r="BS283" s="1169"/>
      <c r="BT283" s="1169"/>
      <c r="BU283" s="1169"/>
      <c r="BV283" s="1169"/>
      <c r="BW283" s="1169"/>
      <c r="BX283" s="1169"/>
      <c r="BY283" s="1169"/>
      <c r="BZ283" s="1169"/>
      <c r="CA283" s="1169"/>
      <c r="CB283" s="1169"/>
      <c r="CC283" s="1169"/>
      <c r="CD283" s="1169"/>
      <c r="CE283" s="1169"/>
      <c r="CF283" s="1169"/>
      <c r="CG283" s="1169"/>
      <c r="CH283" s="1169"/>
      <c r="CI283" s="1169"/>
      <c r="CJ283" s="1169"/>
      <c r="CK283" s="1169"/>
      <c r="CL283" s="1169"/>
      <c r="CM283" s="1169"/>
      <c r="CN283" s="1169"/>
      <c r="CO283" s="1169"/>
      <c r="CP283" s="1169"/>
      <c r="CQ283" s="1169"/>
      <c r="CR283" s="1169"/>
      <c r="CS283" s="1169"/>
      <c r="CT283" s="1169"/>
      <c r="CU283" s="1169"/>
      <c r="CV283" s="1169"/>
      <c r="CW283" s="1169"/>
      <c r="CX283" s="1169"/>
      <c r="CY283" s="1169"/>
      <c r="CZ283" s="1169"/>
      <c r="DA283" s="1168"/>
      <c r="DB283" s="1168"/>
      <c r="DC283" s="1168"/>
      <c r="DD283" s="1168"/>
      <c r="DE283" s="1168"/>
      <c r="DF283" s="1168"/>
      <c r="DG283" s="1168"/>
      <c r="DH283" s="1168"/>
      <c r="DI283" s="1168"/>
      <c r="DJ283" s="1168"/>
      <c r="DK283" s="1168"/>
      <c r="DL283" s="1168"/>
      <c r="DM283" s="1168"/>
      <c r="DN283" s="1168"/>
      <c r="DO283" s="1168"/>
      <c r="DP283" s="1168"/>
      <c r="DQ283" s="1168"/>
      <c r="DR283" s="1168"/>
      <c r="DS283" s="1168"/>
      <c r="DT283" s="1168"/>
      <c r="DU283" s="1168"/>
      <c r="DV283" s="1168"/>
      <c r="DW283" s="1168"/>
      <c r="DX283" s="1168"/>
      <c r="DY283" s="1168"/>
      <c r="DZ283" s="1168"/>
      <c r="EA283" s="1168"/>
      <c r="EB283" s="1168"/>
      <c r="EC283" s="1168"/>
      <c r="ED283" s="1168"/>
      <c r="EE283" s="1168"/>
      <c r="EF283" s="1168"/>
      <c r="EG283" s="1168"/>
      <c r="EH283" s="1168"/>
      <c r="EI283" s="1170"/>
      <c r="EJ283" s="1170"/>
      <c r="EK283" s="1170"/>
      <c r="EL283" s="1170"/>
      <c r="EM283" s="1170"/>
      <c r="EN283" s="1170"/>
      <c r="EO283" s="1170"/>
      <c r="EP283" s="1170"/>
      <c r="EQ283" s="1170"/>
      <c r="ER283" s="1170"/>
      <c r="ES283" s="1171"/>
      <c r="ET283" s="1171"/>
      <c r="EU283" s="1171"/>
      <c r="EV283" s="1171"/>
      <c r="EW283" s="1171"/>
      <c r="EX283" s="1171"/>
      <c r="EY283" s="1171"/>
      <c r="EZ283" s="1171"/>
      <c r="FA283" s="1171"/>
      <c r="FB283" s="1171"/>
      <c r="FC283" s="1171"/>
      <c r="FD283" s="1171"/>
      <c r="FE283" s="1171"/>
      <c r="FF283" s="1171"/>
      <c r="FG283" s="1171"/>
      <c r="FH283" s="1171"/>
      <c r="FI283" s="1171"/>
      <c r="FJ283" s="1171"/>
      <c r="FK283" s="1171"/>
      <c r="FL283" s="1171"/>
      <c r="FM283" s="1171"/>
      <c r="FN283" s="1171"/>
      <c r="FO283" s="1171"/>
      <c r="FP283" s="1171"/>
    </row>
    <row r="284" spans="1:172" s="607" customFormat="1">
      <c r="A284" s="607">
        <f t="shared" si="8"/>
        <v>1993</v>
      </c>
      <c r="B284" s="607">
        <f t="shared" si="9"/>
        <v>4</v>
      </c>
      <c r="C284" s="666">
        <v>34304</v>
      </c>
      <c r="D284" s="957">
        <v>0.67280476190476179</v>
      </c>
      <c r="E284" s="920">
        <v>158.42533728571425</v>
      </c>
      <c r="F284" s="920">
        <v>235.47</v>
      </c>
      <c r="G284" s="920"/>
      <c r="H284" s="920"/>
      <c r="I284" s="954">
        <v>383.24</v>
      </c>
      <c r="J284" s="954">
        <v>570.38</v>
      </c>
      <c r="K284" s="954"/>
      <c r="L284" s="920"/>
      <c r="M284" s="917">
        <v>5119.12</v>
      </c>
      <c r="N284" s="917">
        <v>7608.6262907940472</v>
      </c>
      <c r="O284" s="1175">
        <v>1728.8</v>
      </c>
      <c r="P284" s="1175">
        <v>2569.5418610082884</v>
      </c>
      <c r="Q284" s="1175">
        <v>461.87</v>
      </c>
      <c r="R284" s="1175">
        <v>686.48443969452694</v>
      </c>
      <c r="S284" s="1175">
        <v>975.7</v>
      </c>
      <c r="T284" s="1175">
        <v>1450.1978214864571</v>
      </c>
      <c r="U284" s="920">
        <v>117.74083333333331</v>
      </c>
      <c r="V284" s="920">
        <v>175</v>
      </c>
      <c r="W284" s="920">
        <v>1465.5425197990121</v>
      </c>
      <c r="X284" s="920">
        <v>2178.2582448583585</v>
      </c>
      <c r="Y284" s="920"/>
      <c r="Z284" s="920"/>
      <c r="AA284" s="920"/>
      <c r="AB284" s="920"/>
      <c r="AC284" s="920"/>
      <c r="AD284" s="920">
        <v>7.6059666223600653</v>
      </c>
      <c r="AE284" s="920"/>
      <c r="AF284" s="920"/>
      <c r="AG284" s="920"/>
      <c r="AH284" s="920"/>
      <c r="AI284" s="920"/>
      <c r="AJ284" s="920"/>
      <c r="AK284" s="920">
        <v>13.557391249615213</v>
      </c>
      <c r="AL284" s="920">
        <v>20.150557810014899</v>
      </c>
      <c r="AM284" s="920">
        <v>15.643043518066406</v>
      </c>
      <c r="AN284" s="920">
        <v>23.250494651345441</v>
      </c>
      <c r="AO284" s="920"/>
      <c r="AP284" s="920"/>
      <c r="AS284" s="1167"/>
      <c r="AT284" s="1167"/>
      <c r="AU284" s="1168"/>
      <c r="AV284" s="1168"/>
      <c r="AW284" s="1169"/>
      <c r="AX284" s="1169"/>
      <c r="AY284" s="1169"/>
      <c r="AZ284" s="1169"/>
      <c r="BA284" s="1799" t="s">
        <v>280</v>
      </c>
      <c r="BB284" s="1802">
        <v>2009</v>
      </c>
      <c r="BC284" s="1799" t="s">
        <v>18</v>
      </c>
      <c r="BD284" s="1799">
        <v>10</v>
      </c>
      <c r="BE284" s="1800">
        <v>19569631</v>
      </c>
      <c r="BF284" s="1801">
        <v>2.8000000000000001E-2</v>
      </c>
      <c r="BG284" s="1799"/>
      <c r="BH284" s="1799" t="s">
        <v>280</v>
      </c>
      <c r="BI284" s="1799" t="s">
        <v>320</v>
      </c>
      <c r="BJ284" s="1799" t="s">
        <v>23</v>
      </c>
      <c r="BK284" s="1799">
        <v>4</v>
      </c>
      <c r="BL284" s="1800">
        <v>83218121</v>
      </c>
      <c r="BM284" s="1801">
        <v>9.9000000000000005E-2</v>
      </c>
      <c r="BN284" s="1799">
        <v>2015</v>
      </c>
      <c r="BO284" s="1684"/>
      <c r="BP284" s="1696"/>
      <c r="BQ284" s="1169"/>
      <c r="BR284" s="1169"/>
      <c r="BS284" s="1169"/>
      <c r="BT284" s="1169"/>
      <c r="BU284" s="1169"/>
      <c r="BV284" s="1169"/>
      <c r="BW284" s="1169"/>
      <c r="BX284" s="1169"/>
      <c r="BY284" s="1169"/>
      <c r="BZ284" s="1169"/>
      <c r="CA284" s="1169"/>
      <c r="CB284" s="1169"/>
      <c r="CC284" s="1169"/>
      <c r="CD284" s="1169"/>
      <c r="CE284" s="1169"/>
      <c r="CF284" s="1169"/>
      <c r="CG284" s="1169"/>
      <c r="CH284" s="1169"/>
      <c r="CI284" s="1169"/>
      <c r="CJ284" s="1169"/>
      <c r="CK284" s="1169"/>
      <c r="CL284" s="1169"/>
      <c r="CM284" s="1169"/>
      <c r="CN284" s="1169"/>
      <c r="CO284" s="1169"/>
      <c r="CP284" s="1169"/>
      <c r="CQ284" s="1169"/>
      <c r="CR284" s="1169"/>
      <c r="CS284" s="1169"/>
      <c r="CT284" s="1169"/>
      <c r="CU284" s="1169"/>
      <c r="CV284" s="1169"/>
      <c r="CW284" s="1169"/>
      <c r="CX284" s="1169"/>
      <c r="CY284" s="1169"/>
      <c r="CZ284" s="1169"/>
      <c r="DA284" s="1168"/>
      <c r="DB284" s="1168"/>
      <c r="DC284" s="1168"/>
      <c r="DD284" s="1168"/>
      <c r="DE284" s="1168"/>
      <c r="DF284" s="1168"/>
      <c r="DG284" s="1168"/>
      <c r="DH284" s="1168"/>
      <c r="DI284" s="1168"/>
      <c r="DJ284" s="1168"/>
      <c r="DK284" s="1168"/>
      <c r="DL284" s="1168"/>
      <c r="DM284" s="1168"/>
      <c r="DN284" s="1168"/>
      <c r="DO284" s="1168"/>
      <c r="DP284" s="1168"/>
      <c r="DQ284" s="1168"/>
      <c r="DR284" s="1168"/>
      <c r="DS284" s="1168"/>
      <c r="DT284" s="1168"/>
      <c r="DU284" s="1168"/>
      <c r="DV284" s="1168"/>
      <c r="DW284" s="1168"/>
      <c r="DX284" s="1168"/>
      <c r="DY284" s="1168"/>
      <c r="DZ284" s="1168"/>
      <c r="EA284" s="1168"/>
      <c r="EB284" s="1168"/>
      <c r="EC284" s="1168"/>
      <c r="ED284" s="1168"/>
      <c r="EE284" s="1168"/>
      <c r="EF284" s="1168"/>
      <c r="EG284" s="1168"/>
      <c r="EH284" s="1168"/>
      <c r="EI284" s="1170"/>
      <c r="EJ284" s="1170"/>
      <c r="EK284" s="1170"/>
      <c r="EL284" s="1170"/>
      <c r="EM284" s="1170"/>
      <c r="EN284" s="1170"/>
      <c r="EO284" s="1170"/>
      <c r="EP284" s="1170"/>
      <c r="EQ284" s="1170"/>
      <c r="ER284" s="1170"/>
      <c r="ES284" s="1171"/>
      <c r="ET284" s="1171"/>
      <c r="EU284" s="1171"/>
      <c r="EV284" s="1171"/>
      <c r="EW284" s="1171"/>
      <c r="EX284" s="1171"/>
      <c r="EY284" s="1171"/>
      <c r="EZ284" s="1171"/>
      <c r="FA284" s="1171"/>
      <c r="FB284" s="1171"/>
      <c r="FC284" s="1171"/>
      <c r="FD284" s="1171"/>
      <c r="FE284" s="1171"/>
      <c r="FF284" s="1171"/>
      <c r="FG284" s="1171"/>
      <c r="FH284" s="1171"/>
      <c r="FI284" s="1171"/>
      <c r="FJ284" s="1171"/>
      <c r="FK284" s="1171"/>
      <c r="FL284" s="1171"/>
      <c r="FM284" s="1171"/>
      <c r="FN284" s="1171"/>
      <c r="FO284" s="1171"/>
      <c r="FP284" s="1171"/>
    </row>
    <row r="285" spans="1:172" s="607" customFormat="1">
      <c r="A285" s="607">
        <f t="shared" si="8"/>
        <v>1994</v>
      </c>
      <c r="B285" s="607">
        <f t="shared" si="9"/>
        <v>1</v>
      </c>
      <c r="C285" s="666">
        <v>34335</v>
      </c>
      <c r="D285" s="1709">
        <v>0.69560526315789473</v>
      </c>
      <c r="E285" s="1117">
        <v>151.44717789473683</v>
      </c>
      <c r="F285" s="1117">
        <v>217.72</v>
      </c>
      <c r="G285" s="1117"/>
      <c r="H285" s="1117"/>
      <c r="I285" s="959">
        <v>387.11</v>
      </c>
      <c r="J285" s="959">
        <v>556.50815268792803</v>
      </c>
      <c r="K285" s="960"/>
      <c r="L285" s="1121"/>
      <c r="M285" s="916">
        <v>5580</v>
      </c>
      <c r="N285" s="916">
        <v>8021.7909431392582</v>
      </c>
      <c r="O285" s="1174">
        <v>1803.1</v>
      </c>
      <c r="P285" s="1174">
        <v>2592.1310483108236</v>
      </c>
      <c r="Q285" s="1174">
        <v>489.52</v>
      </c>
      <c r="R285" s="1174">
        <v>703.73245564256797</v>
      </c>
      <c r="S285" s="1174">
        <v>997.43</v>
      </c>
      <c r="T285" s="1174">
        <v>1433.9023190708583</v>
      </c>
      <c r="U285" s="1120">
        <v>141.90347368421052</v>
      </c>
      <c r="V285" s="1120">
        <v>204</v>
      </c>
      <c r="W285" s="1120">
        <v>1648.5844736842105</v>
      </c>
      <c r="X285" s="1120">
        <v>2370</v>
      </c>
      <c r="Y285" s="1119"/>
      <c r="Z285" s="1119"/>
      <c r="AA285" s="1119"/>
      <c r="AB285" s="1119"/>
      <c r="AC285" s="1178"/>
      <c r="AD285" s="1178">
        <v>7.6631046119235089</v>
      </c>
      <c r="AE285" s="1178"/>
      <c r="AF285" s="1178"/>
      <c r="AG285" s="1178"/>
      <c r="AH285" s="1178"/>
      <c r="AI285" s="1178"/>
      <c r="AJ285" s="1178"/>
      <c r="AK285" s="919">
        <v>14.217142877124605</v>
      </c>
      <c r="AL285" s="919">
        <v>20.438521141404117</v>
      </c>
      <c r="AM285" s="919">
        <v>16.229523658752441</v>
      </c>
      <c r="AN285" s="919">
        <v>23.331513601656745</v>
      </c>
      <c r="AO285" s="919"/>
      <c r="AP285" s="919"/>
      <c r="AS285" s="1167"/>
      <c r="AT285" s="1167"/>
      <c r="AU285" s="1168"/>
      <c r="AV285" s="1168"/>
      <c r="AW285" s="1169"/>
      <c r="AX285" s="1169"/>
      <c r="AY285" s="1169"/>
      <c r="AZ285" s="1169"/>
      <c r="BA285" s="1799" t="s">
        <v>280</v>
      </c>
      <c r="BB285" s="1802">
        <v>2009</v>
      </c>
      <c r="BC285" s="1799" t="s">
        <v>32</v>
      </c>
      <c r="BD285" s="1799"/>
      <c r="BE285" s="1800">
        <v>87941336</v>
      </c>
      <c r="BF285" s="1801">
        <v>0.125</v>
      </c>
      <c r="BG285" s="1799"/>
      <c r="BH285" s="1799" t="s">
        <v>280</v>
      </c>
      <c r="BI285" s="1799" t="s">
        <v>320</v>
      </c>
      <c r="BJ285" s="1799" t="s">
        <v>26</v>
      </c>
      <c r="BK285" s="1799">
        <v>5</v>
      </c>
      <c r="BL285" s="1800">
        <v>81449096</v>
      </c>
      <c r="BM285" s="1801">
        <v>9.7000000000000003E-2</v>
      </c>
      <c r="BN285" s="1799">
        <v>2015</v>
      </c>
      <c r="BO285" s="1684"/>
      <c r="BP285" s="1696"/>
      <c r="BQ285" s="1169"/>
      <c r="BR285" s="1169"/>
      <c r="BS285" s="1169"/>
      <c r="BT285" s="1169"/>
      <c r="BU285" s="1169"/>
      <c r="BV285" s="1169"/>
      <c r="BW285" s="1169"/>
      <c r="BX285" s="1169"/>
      <c r="BY285" s="1169"/>
      <c r="BZ285" s="1169"/>
      <c r="CA285" s="1169"/>
      <c r="CB285" s="1169"/>
      <c r="CC285" s="1169"/>
      <c r="CD285" s="1169"/>
      <c r="CE285" s="1169"/>
      <c r="CF285" s="1169"/>
      <c r="CG285" s="1169"/>
      <c r="CH285" s="1169"/>
      <c r="CI285" s="1169"/>
      <c r="CJ285" s="1169"/>
      <c r="CK285" s="1169"/>
      <c r="CL285" s="1169"/>
      <c r="CM285" s="1169"/>
      <c r="CN285" s="1169"/>
      <c r="CO285" s="1169"/>
      <c r="CP285" s="1169"/>
      <c r="CQ285" s="1169"/>
      <c r="CR285" s="1169"/>
      <c r="CS285" s="1169"/>
      <c r="CT285" s="1169"/>
      <c r="CU285" s="1169"/>
      <c r="CV285" s="1169"/>
      <c r="CW285" s="1169"/>
      <c r="CX285" s="1169"/>
      <c r="CY285" s="1169"/>
      <c r="CZ285" s="1169"/>
      <c r="DA285" s="1168"/>
      <c r="DB285" s="1168"/>
      <c r="DC285" s="1168"/>
      <c r="DD285" s="1168"/>
      <c r="DE285" s="1168"/>
      <c r="DF285" s="1168"/>
      <c r="DG285" s="1168"/>
      <c r="DH285" s="1168"/>
      <c r="DI285" s="1168"/>
      <c r="DJ285" s="1168"/>
      <c r="DK285" s="1168"/>
      <c r="DL285" s="1168"/>
      <c r="DM285" s="1168"/>
      <c r="DN285" s="1168"/>
      <c r="DO285" s="1168"/>
      <c r="DP285" s="1168"/>
      <c r="DQ285" s="1168"/>
      <c r="DR285" s="1168"/>
      <c r="DS285" s="1168"/>
      <c r="DT285" s="1168"/>
      <c r="DU285" s="1168"/>
      <c r="DV285" s="1168"/>
      <c r="DW285" s="1168"/>
      <c r="DX285" s="1168"/>
      <c r="DY285" s="1168"/>
      <c r="DZ285" s="1168"/>
      <c r="EA285" s="1168"/>
      <c r="EB285" s="1168"/>
      <c r="EC285" s="1168"/>
      <c r="ED285" s="1168"/>
      <c r="EE285" s="1168"/>
      <c r="EF285" s="1168"/>
      <c r="EG285" s="1168"/>
      <c r="EH285" s="1168"/>
      <c r="EI285" s="1170"/>
      <c r="EJ285" s="1170"/>
      <c r="EK285" s="1170"/>
      <c r="EL285" s="1170"/>
      <c r="EM285" s="1170"/>
      <c r="EN285" s="1170"/>
      <c r="EO285" s="1170"/>
      <c r="EP285" s="1170"/>
      <c r="EQ285" s="1170"/>
      <c r="ER285" s="1170"/>
      <c r="ES285" s="1171"/>
      <c r="ET285" s="1171"/>
      <c r="EU285" s="1171"/>
      <c r="EV285" s="1171"/>
      <c r="EW285" s="1171"/>
      <c r="EX285" s="1171"/>
      <c r="EY285" s="1171"/>
      <c r="EZ285" s="1171"/>
      <c r="FA285" s="1171"/>
      <c r="FB285" s="1171"/>
      <c r="FC285" s="1171"/>
      <c r="FD285" s="1171"/>
      <c r="FE285" s="1171"/>
      <c r="FF285" s="1171"/>
      <c r="FG285" s="1171"/>
      <c r="FH285" s="1171"/>
      <c r="FI285" s="1171"/>
      <c r="FJ285" s="1171"/>
      <c r="FK285" s="1171"/>
      <c r="FL285" s="1171"/>
      <c r="FM285" s="1171"/>
      <c r="FN285" s="1171"/>
      <c r="FO285" s="1171"/>
      <c r="FP285" s="1171"/>
    </row>
    <row r="286" spans="1:172" s="607" customFormat="1">
      <c r="A286" s="607">
        <f t="shared" si="8"/>
        <v>1994</v>
      </c>
      <c r="B286" s="607">
        <f t="shared" si="9"/>
        <v>1</v>
      </c>
      <c r="C286" s="666">
        <v>34366</v>
      </c>
      <c r="D286" s="957">
        <v>0.71609</v>
      </c>
      <c r="E286" s="920">
        <v>142.17966950000002</v>
      </c>
      <c r="F286" s="920">
        <v>198.55</v>
      </c>
      <c r="G286" s="920"/>
      <c r="H286" s="920"/>
      <c r="I286" s="954">
        <v>381.66</v>
      </c>
      <c r="J286" s="954">
        <v>532.97769833400832</v>
      </c>
      <c r="K286" s="954"/>
      <c r="L286" s="920"/>
      <c r="M286" s="917">
        <v>5824.95</v>
      </c>
      <c r="N286" s="917">
        <v>8134.3825496795089</v>
      </c>
      <c r="O286" s="1175">
        <v>1866.4</v>
      </c>
      <c r="P286" s="1175">
        <v>2606.3762934826627</v>
      </c>
      <c r="Q286" s="1175">
        <v>485.43</v>
      </c>
      <c r="R286" s="1175">
        <v>677.88965074222517</v>
      </c>
      <c r="S286" s="1175">
        <v>969.2</v>
      </c>
      <c r="T286" s="1175">
        <v>1353.4611571171222</v>
      </c>
      <c r="U286" s="920">
        <v>146.08235999999999</v>
      </c>
      <c r="V286" s="920">
        <v>204</v>
      </c>
      <c r="W286" s="920">
        <v>1697.1333</v>
      </c>
      <c r="X286" s="920">
        <v>2370</v>
      </c>
      <c r="Y286" s="920"/>
      <c r="Z286" s="920"/>
      <c r="AA286" s="920"/>
      <c r="AB286" s="920"/>
      <c r="AC286" s="920"/>
      <c r="AD286" s="920">
        <v>7.5647812761214821</v>
      </c>
      <c r="AE286" s="920"/>
      <c r="AF286" s="920"/>
      <c r="AG286" s="920"/>
      <c r="AH286" s="920"/>
      <c r="AI286" s="920"/>
      <c r="AJ286" s="920"/>
      <c r="AK286" s="920">
        <v>13.752000093460083</v>
      </c>
      <c r="AL286" s="920">
        <v>19.204290094066504</v>
      </c>
      <c r="AM286" s="920">
        <v>16.652499961853028</v>
      </c>
      <c r="AN286" s="920">
        <v>23.25475842680812</v>
      </c>
      <c r="AO286" s="920"/>
      <c r="AP286" s="920"/>
      <c r="AS286" s="1167"/>
      <c r="AT286" s="1167"/>
      <c r="AU286" s="1168"/>
      <c r="AV286" s="1168"/>
      <c r="AW286" s="1169"/>
      <c r="AX286" s="1169"/>
      <c r="AY286" s="1169"/>
      <c r="AZ286" s="1169"/>
      <c r="BA286" s="1799" t="s">
        <v>280</v>
      </c>
      <c r="BB286" s="1802">
        <v>2009</v>
      </c>
      <c r="BC286" s="1799" t="s">
        <v>249</v>
      </c>
      <c r="BD286" s="1799"/>
      <c r="BE286" s="1800">
        <v>705600652</v>
      </c>
      <c r="BF286" s="1801">
        <v>1</v>
      </c>
      <c r="BG286" s="1799"/>
      <c r="BH286" s="1799" t="s">
        <v>280</v>
      </c>
      <c r="BI286" s="1799" t="s">
        <v>320</v>
      </c>
      <c r="BJ286" s="1799" t="s">
        <v>54</v>
      </c>
      <c r="BK286" s="1799">
        <v>6</v>
      </c>
      <c r="BL286" s="1800">
        <v>56969116</v>
      </c>
      <c r="BM286" s="1801">
        <v>6.8000000000000005E-2</v>
      </c>
      <c r="BN286" s="1799">
        <v>2015</v>
      </c>
      <c r="BO286" s="1684"/>
      <c r="BP286" s="1696"/>
      <c r="BQ286" s="1169"/>
      <c r="BR286" s="1169"/>
      <c r="BS286" s="1169"/>
      <c r="BT286" s="1169"/>
      <c r="BU286" s="1169"/>
      <c r="BV286" s="1169"/>
      <c r="BW286" s="1169"/>
      <c r="BX286" s="1169"/>
      <c r="BY286" s="1169"/>
      <c r="BZ286" s="1169"/>
      <c r="CA286" s="1169"/>
      <c r="CB286" s="1169"/>
      <c r="CC286" s="1169"/>
      <c r="CD286" s="1169"/>
      <c r="CE286" s="1169"/>
      <c r="CF286" s="1169"/>
      <c r="CG286" s="1169"/>
      <c r="CH286" s="1169"/>
      <c r="CI286" s="1169"/>
      <c r="CJ286" s="1169"/>
      <c r="CK286" s="1169"/>
      <c r="CL286" s="1169"/>
      <c r="CM286" s="1169"/>
      <c r="CN286" s="1169"/>
      <c r="CO286" s="1169"/>
      <c r="CP286" s="1169"/>
      <c r="CQ286" s="1169"/>
      <c r="CR286" s="1169"/>
      <c r="CS286" s="1169"/>
      <c r="CT286" s="1169"/>
      <c r="CU286" s="1169"/>
      <c r="CV286" s="1169"/>
      <c r="CW286" s="1169"/>
      <c r="CX286" s="1169"/>
      <c r="CY286" s="1169"/>
      <c r="CZ286" s="1169"/>
      <c r="DA286" s="1168"/>
      <c r="DB286" s="1168"/>
      <c r="DC286" s="1168"/>
      <c r="DD286" s="1168"/>
      <c r="DE286" s="1168"/>
      <c r="DF286" s="1168"/>
      <c r="DG286" s="1168"/>
      <c r="DH286" s="1168"/>
      <c r="DI286" s="1168"/>
      <c r="DJ286" s="1168"/>
      <c r="DK286" s="1168"/>
      <c r="DL286" s="1168"/>
      <c r="DM286" s="1168"/>
      <c r="DN286" s="1168"/>
      <c r="DO286" s="1168"/>
      <c r="DP286" s="1168"/>
      <c r="DQ286" s="1168"/>
      <c r="DR286" s="1168"/>
      <c r="DS286" s="1168"/>
      <c r="DT286" s="1168"/>
      <c r="DU286" s="1168"/>
      <c r="DV286" s="1168"/>
      <c r="DW286" s="1168"/>
      <c r="DX286" s="1168"/>
      <c r="DY286" s="1168"/>
      <c r="DZ286" s="1168"/>
      <c r="EA286" s="1168"/>
      <c r="EB286" s="1168"/>
      <c r="EC286" s="1168"/>
      <c r="ED286" s="1168"/>
      <c r="EE286" s="1168"/>
      <c r="EF286" s="1168"/>
      <c r="EG286" s="1168"/>
      <c r="EH286" s="1168"/>
      <c r="EI286" s="1170"/>
      <c r="EJ286" s="1170"/>
      <c r="EK286" s="1170"/>
      <c r="EL286" s="1170"/>
      <c r="EM286" s="1170"/>
      <c r="EN286" s="1170"/>
      <c r="EO286" s="1170"/>
      <c r="EP286" s="1170"/>
      <c r="EQ286" s="1170"/>
      <c r="ER286" s="1170"/>
      <c r="ES286" s="1171"/>
      <c r="ET286" s="1171"/>
      <c r="EU286" s="1171"/>
      <c r="EV286" s="1171"/>
      <c r="EW286" s="1171"/>
      <c r="EX286" s="1171"/>
      <c r="EY286" s="1171"/>
      <c r="EZ286" s="1171"/>
      <c r="FA286" s="1171"/>
      <c r="FB286" s="1171"/>
      <c r="FC286" s="1171"/>
      <c r="FD286" s="1171"/>
      <c r="FE286" s="1171"/>
      <c r="FF286" s="1171"/>
      <c r="FG286" s="1171"/>
      <c r="FH286" s="1171"/>
      <c r="FI286" s="1171"/>
      <c r="FJ286" s="1171"/>
      <c r="FK286" s="1171"/>
      <c r="FL286" s="1171"/>
      <c r="FM286" s="1171"/>
      <c r="FN286" s="1171"/>
      <c r="FO286" s="1171"/>
      <c r="FP286" s="1171"/>
    </row>
    <row r="287" spans="1:172" s="607" customFormat="1">
      <c r="A287" s="607">
        <f t="shared" si="8"/>
        <v>1994</v>
      </c>
      <c r="B287" s="607">
        <f t="shared" si="9"/>
        <v>1</v>
      </c>
      <c r="C287" s="666">
        <v>34394</v>
      </c>
      <c r="D287" s="1709">
        <v>0.71167391304347827</v>
      </c>
      <c r="E287" s="1117">
        <v>145.71523369565219</v>
      </c>
      <c r="F287" s="1117">
        <v>204.75</v>
      </c>
      <c r="G287" s="1117"/>
      <c r="H287" s="1117"/>
      <c r="I287" s="959">
        <v>384</v>
      </c>
      <c r="J287" s="959">
        <v>539.57296025903406</v>
      </c>
      <c r="K287" s="960"/>
      <c r="L287" s="1121"/>
      <c r="M287" s="916">
        <v>5587.54</v>
      </c>
      <c r="N287" s="916">
        <v>7851.264318660842</v>
      </c>
      <c r="O287" s="1174">
        <v>1914.8</v>
      </c>
      <c r="P287" s="1174">
        <v>2690.5580841249962</v>
      </c>
      <c r="Q287" s="1174">
        <v>451.46</v>
      </c>
      <c r="R287" s="1174">
        <v>634.36356416287379</v>
      </c>
      <c r="S287" s="1174">
        <v>936.22</v>
      </c>
      <c r="T287" s="1174">
        <v>1315.5182209732109</v>
      </c>
      <c r="U287" s="1120">
        <v>145.18147826086957</v>
      </c>
      <c r="V287" s="1120">
        <v>204</v>
      </c>
      <c r="W287" s="1120">
        <v>1686.6671739130436</v>
      </c>
      <c r="X287" s="1120">
        <v>2370</v>
      </c>
      <c r="Y287" s="1119"/>
      <c r="Z287" s="1119"/>
      <c r="AA287" s="1119"/>
      <c r="AB287" s="1119"/>
      <c r="AC287" s="1178"/>
      <c r="AD287" s="1178">
        <v>7.862442922374429</v>
      </c>
      <c r="AE287" s="1178"/>
      <c r="AF287" s="1178"/>
      <c r="AG287" s="1178"/>
      <c r="AH287" s="1178"/>
      <c r="AI287" s="1178"/>
      <c r="AJ287" s="1178"/>
      <c r="AK287" s="919">
        <v>13.877391359080439</v>
      </c>
      <c r="AL287" s="919">
        <v>19.499648792427536</v>
      </c>
      <c r="AM287" s="919">
        <v>15.83913044307543</v>
      </c>
      <c r="AN287" s="919">
        <v>22.256162763279157</v>
      </c>
      <c r="AO287" s="919"/>
      <c r="AP287" s="919"/>
      <c r="AS287" s="1167"/>
      <c r="AT287" s="1167"/>
      <c r="AU287" s="1168"/>
      <c r="AV287" s="1168"/>
      <c r="AW287" s="1169"/>
      <c r="AX287" s="1169"/>
      <c r="AY287" s="1169"/>
      <c r="AZ287" s="1169"/>
      <c r="BA287" s="1799" t="s">
        <v>280</v>
      </c>
      <c r="BB287" s="1802">
        <v>2008</v>
      </c>
      <c r="BC287" s="1799" t="s">
        <v>15</v>
      </c>
      <c r="BD287" s="1799">
        <v>1</v>
      </c>
      <c r="BE287" s="1800">
        <v>149292229.32000002</v>
      </c>
      <c r="BF287" s="1801">
        <v>0.16082568528040042</v>
      </c>
      <c r="BG287" s="1799"/>
      <c r="BH287" s="1799" t="s">
        <v>280</v>
      </c>
      <c r="BI287" s="1799" t="s">
        <v>320</v>
      </c>
      <c r="BJ287" s="1799" t="s">
        <v>18</v>
      </c>
      <c r="BK287" s="1799">
        <v>7</v>
      </c>
      <c r="BL287" s="1800">
        <v>43508105</v>
      </c>
      <c r="BM287" s="1801">
        <v>5.1999999999999998E-2</v>
      </c>
      <c r="BN287" s="1799">
        <v>2015</v>
      </c>
      <c r="BO287" s="1684"/>
      <c r="BP287" s="1696"/>
      <c r="BQ287" s="1169"/>
      <c r="BR287" s="1169"/>
      <c r="BS287" s="1169"/>
      <c r="BT287" s="1169"/>
      <c r="BU287" s="1169"/>
      <c r="BV287" s="1169"/>
      <c r="BW287" s="1169"/>
      <c r="BX287" s="1169"/>
      <c r="BY287" s="1169"/>
      <c r="BZ287" s="1169"/>
      <c r="CA287" s="1169"/>
      <c r="CB287" s="1169"/>
      <c r="CC287" s="1169"/>
      <c r="CD287" s="1169"/>
      <c r="CE287" s="1169"/>
      <c r="CF287" s="1169"/>
      <c r="CG287" s="1169"/>
      <c r="CH287" s="1169"/>
      <c r="CI287" s="1169"/>
      <c r="CJ287" s="1169"/>
      <c r="CK287" s="1169"/>
      <c r="CL287" s="1169"/>
      <c r="CM287" s="1169"/>
      <c r="CN287" s="1169"/>
      <c r="CO287" s="1169"/>
      <c r="CP287" s="1169"/>
      <c r="CQ287" s="1169"/>
      <c r="CR287" s="1169"/>
      <c r="CS287" s="1169"/>
      <c r="CT287" s="1169"/>
      <c r="CU287" s="1169"/>
      <c r="CV287" s="1169"/>
      <c r="CW287" s="1169"/>
      <c r="CX287" s="1169"/>
      <c r="CY287" s="1169"/>
      <c r="CZ287" s="1169"/>
      <c r="DA287" s="1168"/>
      <c r="DB287" s="1168"/>
      <c r="DC287" s="1168"/>
      <c r="DD287" s="1168"/>
      <c r="DE287" s="1168"/>
      <c r="DF287" s="1168"/>
      <c r="DG287" s="1168"/>
      <c r="DH287" s="1168"/>
      <c r="DI287" s="1168"/>
      <c r="DJ287" s="1168"/>
      <c r="DK287" s="1168"/>
      <c r="DL287" s="1168"/>
      <c r="DM287" s="1168"/>
      <c r="DN287" s="1168"/>
      <c r="DO287" s="1168"/>
      <c r="DP287" s="1168"/>
      <c r="DQ287" s="1168"/>
      <c r="DR287" s="1168"/>
      <c r="DS287" s="1168"/>
      <c r="DT287" s="1168"/>
      <c r="DU287" s="1168"/>
      <c r="DV287" s="1168"/>
      <c r="DW287" s="1168"/>
      <c r="DX287" s="1168"/>
      <c r="DY287" s="1168"/>
      <c r="DZ287" s="1168"/>
      <c r="EA287" s="1168"/>
      <c r="EB287" s="1168"/>
      <c r="EC287" s="1168"/>
      <c r="ED287" s="1168"/>
      <c r="EE287" s="1168"/>
      <c r="EF287" s="1168"/>
      <c r="EG287" s="1168"/>
      <c r="EH287" s="1168"/>
      <c r="EI287" s="1170"/>
      <c r="EJ287" s="1170"/>
      <c r="EK287" s="1170"/>
      <c r="EL287" s="1170"/>
      <c r="EM287" s="1170"/>
      <c r="EN287" s="1170"/>
      <c r="EO287" s="1170"/>
      <c r="EP287" s="1170"/>
      <c r="EQ287" s="1170"/>
      <c r="ER287" s="1170"/>
      <c r="ES287" s="1171"/>
      <c r="ET287" s="1171"/>
      <c r="EU287" s="1171"/>
      <c r="EV287" s="1171"/>
      <c r="EW287" s="1171"/>
      <c r="EX287" s="1171"/>
      <c r="EY287" s="1171"/>
      <c r="EZ287" s="1171"/>
      <c r="FA287" s="1171"/>
      <c r="FB287" s="1171"/>
      <c r="FC287" s="1171"/>
      <c r="FD287" s="1171"/>
      <c r="FE287" s="1171"/>
      <c r="FF287" s="1171"/>
      <c r="FG287" s="1171"/>
      <c r="FH287" s="1171"/>
      <c r="FI287" s="1171"/>
      <c r="FJ287" s="1171"/>
      <c r="FK287" s="1171"/>
      <c r="FL287" s="1171"/>
      <c r="FM287" s="1171"/>
      <c r="FN287" s="1171"/>
      <c r="FO287" s="1171"/>
      <c r="FP287" s="1171"/>
    </row>
    <row r="288" spans="1:172" s="607" customFormat="1">
      <c r="A288" s="607">
        <f t="shared" si="8"/>
        <v>1994</v>
      </c>
      <c r="B288" s="607">
        <f t="shared" si="9"/>
        <v>2</v>
      </c>
      <c r="C288" s="666">
        <v>34425</v>
      </c>
      <c r="D288" s="957">
        <v>0.71648333333333336</v>
      </c>
      <c r="E288" s="920">
        <v>148.47684116666667</v>
      </c>
      <c r="F288" s="920">
        <v>207.23</v>
      </c>
      <c r="G288" s="920"/>
      <c r="H288" s="920"/>
      <c r="I288" s="954">
        <v>377.92</v>
      </c>
      <c r="J288" s="954">
        <v>527.46516550745537</v>
      </c>
      <c r="K288" s="954"/>
      <c r="L288" s="920"/>
      <c r="M288" s="917">
        <v>5407.97</v>
      </c>
      <c r="N288" s="917">
        <v>7547.9355183884254</v>
      </c>
      <c r="O288" s="1175">
        <v>1882.6</v>
      </c>
      <c r="P288" s="1175">
        <v>2627.5558863895412</v>
      </c>
      <c r="Q288" s="1175">
        <v>440.42</v>
      </c>
      <c r="R288" s="1175">
        <v>614.69678289795058</v>
      </c>
      <c r="S288" s="1175">
        <v>925.35</v>
      </c>
      <c r="T288" s="1175">
        <v>1291.5164344367163</v>
      </c>
      <c r="U288" s="920">
        <v>164.79116666666667</v>
      </c>
      <c r="V288" s="920">
        <v>230</v>
      </c>
      <c r="W288" s="920">
        <v>1905.8456666666668</v>
      </c>
      <c r="X288" s="920">
        <v>2660</v>
      </c>
      <c r="Y288" s="920"/>
      <c r="Z288" s="920"/>
      <c r="AA288" s="920"/>
      <c r="AB288" s="920"/>
      <c r="AC288" s="920"/>
      <c r="AD288" s="920">
        <v>7.7203818079730482</v>
      </c>
      <c r="AE288" s="920"/>
      <c r="AF288" s="920"/>
      <c r="AG288" s="920"/>
      <c r="AH288" s="920"/>
      <c r="AI288" s="920"/>
      <c r="AJ288" s="920"/>
      <c r="AK288" s="920">
        <v>15.151500129699707</v>
      </c>
      <c r="AL288" s="920">
        <v>21.147037795296061</v>
      </c>
      <c r="AM288" s="920">
        <v>15.990476244971866</v>
      </c>
      <c r="AN288" s="920">
        <v>22.318001691091023</v>
      </c>
      <c r="AO288" s="920"/>
      <c r="AP288" s="920"/>
      <c r="AS288" s="1167"/>
      <c r="AT288" s="1167"/>
      <c r="AU288" s="1168"/>
      <c r="AV288" s="1168"/>
      <c r="AW288" s="1169"/>
      <c r="AX288" s="1169"/>
      <c r="AY288" s="1169"/>
      <c r="AZ288" s="1169"/>
      <c r="BA288" s="1799" t="s">
        <v>280</v>
      </c>
      <c r="BB288" s="1802">
        <v>2008</v>
      </c>
      <c r="BC288" s="1799" t="s">
        <v>431</v>
      </c>
      <c r="BD288" s="1799">
        <v>2</v>
      </c>
      <c r="BE288" s="1800">
        <v>143673284.38</v>
      </c>
      <c r="BF288" s="1801">
        <v>0.15477265308546032</v>
      </c>
      <c r="BG288" s="1799"/>
      <c r="BH288" s="1799" t="s">
        <v>280</v>
      </c>
      <c r="BI288" s="1799" t="s">
        <v>320</v>
      </c>
      <c r="BJ288" s="1799" t="s">
        <v>21</v>
      </c>
      <c r="BK288" s="1799">
        <v>8</v>
      </c>
      <c r="BL288" s="1800">
        <v>30288335</v>
      </c>
      <c r="BM288" s="1801">
        <v>3.5999999999999997E-2</v>
      </c>
      <c r="BN288" s="1799">
        <v>2015</v>
      </c>
      <c r="BO288" s="1684"/>
      <c r="BP288" s="1696"/>
      <c r="BQ288" s="1169"/>
      <c r="BR288" s="1169"/>
      <c r="BS288" s="1169"/>
      <c r="BT288" s="1169"/>
      <c r="BU288" s="1169"/>
      <c r="BV288" s="1169"/>
      <c r="BW288" s="1169"/>
      <c r="BX288" s="1169"/>
      <c r="BY288" s="1169"/>
      <c r="BZ288" s="1169"/>
      <c r="CA288" s="1169"/>
      <c r="CB288" s="1169"/>
      <c r="CC288" s="1169"/>
      <c r="CD288" s="1169"/>
      <c r="CE288" s="1169"/>
      <c r="CF288" s="1169"/>
      <c r="CG288" s="1169"/>
      <c r="CH288" s="1169"/>
      <c r="CI288" s="1169"/>
      <c r="CJ288" s="1169"/>
      <c r="CK288" s="1169"/>
      <c r="CL288" s="1169"/>
      <c r="CM288" s="1169"/>
      <c r="CN288" s="1169"/>
      <c r="CO288" s="1169"/>
      <c r="CP288" s="1169"/>
      <c r="CQ288" s="1169"/>
      <c r="CR288" s="1169"/>
      <c r="CS288" s="1169"/>
      <c r="CT288" s="1169"/>
      <c r="CU288" s="1169"/>
      <c r="CV288" s="1169"/>
      <c r="CW288" s="1169"/>
      <c r="CX288" s="1169"/>
      <c r="CY288" s="1169"/>
      <c r="CZ288" s="1169"/>
      <c r="DA288" s="1168"/>
      <c r="DB288" s="1168"/>
      <c r="DC288" s="1168"/>
      <c r="DD288" s="1168"/>
      <c r="DE288" s="1168"/>
      <c r="DF288" s="1168"/>
      <c r="DG288" s="1168"/>
      <c r="DH288" s="1168"/>
      <c r="DI288" s="1168"/>
      <c r="DJ288" s="1168"/>
      <c r="DK288" s="1168"/>
      <c r="DL288" s="1168"/>
      <c r="DM288" s="1168"/>
      <c r="DN288" s="1168"/>
      <c r="DO288" s="1168"/>
      <c r="DP288" s="1168"/>
      <c r="DQ288" s="1168"/>
      <c r="DR288" s="1168"/>
      <c r="DS288" s="1168"/>
      <c r="DT288" s="1168"/>
      <c r="DU288" s="1168"/>
      <c r="DV288" s="1168"/>
      <c r="DW288" s="1168"/>
      <c r="DX288" s="1168"/>
      <c r="DY288" s="1168"/>
      <c r="DZ288" s="1168"/>
      <c r="EA288" s="1168"/>
      <c r="EB288" s="1168"/>
      <c r="EC288" s="1168"/>
      <c r="ED288" s="1168"/>
      <c r="EE288" s="1168"/>
      <c r="EF288" s="1168"/>
      <c r="EG288" s="1168"/>
      <c r="EH288" s="1168"/>
      <c r="EI288" s="1170"/>
      <c r="EJ288" s="1170"/>
      <c r="EK288" s="1170"/>
      <c r="EL288" s="1170"/>
      <c r="EM288" s="1170"/>
      <c r="EN288" s="1170"/>
      <c r="EO288" s="1170"/>
      <c r="EP288" s="1170"/>
      <c r="EQ288" s="1170"/>
      <c r="ER288" s="1170"/>
      <c r="ES288" s="1171"/>
      <c r="ET288" s="1171"/>
      <c r="EU288" s="1171"/>
      <c r="EV288" s="1171"/>
      <c r="EW288" s="1171"/>
      <c r="EX288" s="1171"/>
      <c r="EY288" s="1171"/>
      <c r="EZ288" s="1171"/>
      <c r="FA288" s="1171"/>
      <c r="FB288" s="1171"/>
      <c r="FC288" s="1171"/>
      <c r="FD288" s="1171"/>
      <c r="FE288" s="1171"/>
      <c r="FF288" s="1171"/>
      <c r="FG288" s="1171"/>
      <c r="FH288" s="1171"/>
      <c r="FI288" s="1171"/>
      <c r="FJ288" s="1171"/>
      <c r="FK288" s="1171"/>
      <c r="FL288" s="1171"/>
      <c r="FM288" s="1171"/>
      <c r="FN288" s="1171"/>
      <c r="FO288" s="1171"/>
      <c r="FP288" s="1171"/>
    </row>
    <row r="289" spans="1:172" s="607" customFormat="1">
      <c r="A289" s="607">
        <f t="shared" si="8"/>
        <v>1994</v>
      </c>
      <c r="B289" s="607">
        <f t="shared" si="9"/>
        <v>2</v>
      </c>
      <c r="C289" s="666">
        <v>34455</v>
      </c>
      <c r="D289" s="1709">
        <v>0.72404090909090912</v>
      </c>
      <c r="E289" s="1117">
        <v>148.71800272727273</v>
      </c>
      <c r="F289" s="1117">
        <v>205.4</v>
      </c>
      <c r="G289" s="1117"/>
      <c r="H289" s="1117"/>
      <c r="I289" s="959">
        <v>381.34</v>
      </c>
      <c r="J289" s="959">
        <v>526.68294734727442</v>
      </c>
      <c r="K289" s="960"/>
      <c r="L289" s="1121"/>
      <c r="M289" s="916">
        <v>6086.65</v>
      </c>
      <c r="N289" s="916">
        <v>8406.5001349747927</v>
      </c>
      <c r="O289" s="1174">
        <v>2143.4</v>
      </c>
      <c r="P289" s="1174">
        <v>2960.3299662876907</v>
      </c>
      <c r="Q289" s="1174">
        <v>473.06</v>
      </c>
      <c r="R289" s="1174">
        <v>653.36087237662355</v>
      </c>
      <c r="S289" s="1174">
        <v>954.47</v>
      </c>
      <c r="T289" s="1174">
        <v>1318.2542422891725</v>
      </c>
      <c r="U289" s="1120">
        <v>166.5294090909091</v>
      </c>
      <c r="V289" s="1120">
        <v>230</v>
      </c>
      <c r="W289" s="1120">
        <v>1925.9488181818183</v>
      </c>
      <c r="X289" s="1120">
        <v>2660</v>
      </c>
      <c r="Y289" s="1119"/>
      <c r="Z289" s="1119"/>
      <c r="AA289" s="1119"/>
      <c r="AB289" s="1119"/>
      <c r="AC289" s="1178"/>
      <c r="AD289" s="1178">
        <v>7.7299279989131922</v>
      </c>
      <c r="AE289" s="1178"/>
      <c r="AF289" s="1178"/>
      <c r="AG289" s="1178"/>
      <c r="AH289" s="1178"/>
      <c r="AI289" s="1178"/>
      <c r="AJ289" s="1178"/>
      <c r="AK289" s="919">
        <v>16.258571443103609</v>
      </c>
      <c r="AL289" s="919">
        <v>22.45532156949189</v>
      </c>
      <c r="AM289" s="919">
        <v>16.671686236820523</v>
      </c>
      <c r="AN289" s="919">
        <v>23.025889873754718</v>
      </c>
      <c r="AO289" s="919"/>
      <c r="AP289" s="919"/>
      <c r="AS289" s="1167"/>
      <c r="AT289" s="1167"/>
      <c r="AU289" s="1168"/>
      <c r="AV289" s="1168"/>
      <c r="AW289" s="1169"/>
      <c r="AX289" s="1169"/>
      <c r="AY289" s="1169"/>
      <c r="AZ289" s="1169"/>
      <c r="BA289" s="1799" t="s">
        <v>280</v>
      </c>
      <c r="BB289" s="1802">
        <v>2008</v>
      </c>
      <c r="BC289" s="1799" t="s">
        <v>51</v>
      </c>
      <c r="BD289" s="1799">
        <v>3</v>
      </c>
      <c r="BE289" s="1800">
        <v>88634117.160000011</v>
      </c>
      <c r="BF289" s="1801">
        <v>9.5481477478149432E-2</v>
      </c>
      <c r="BG289" s="1799"/>
      <c r="BH289" s="1799" t="s">
        <v>280</v>
      </c>
      <c r="BI289" s="1799" t="s">
        <v>320</v>
      </c>
      <c r="BJ289" s="1799" t="s">
        <v>42</v>
      </c>
      <c r="BK289" s="1799">
        <v>9</v>
      </c>
      <c r="BL289" s="1800">
        <v>22709081</v>
      </c>
      <c r="BM289" s="1801">
        <v>2.7E-2</v>
      </c>
      <c r="BN289" s="1799">
        <v>2015</v>
      </c>
      <c r="BO289" s="1684"/>
      <c r="BP289" s="1696"/>
      <c r="BQ289" s="1169"/>
      <c r="BR289" s="1169"/>
      <c r="BS289" s="1169"/>
      <c r="BT289" s="1169"/>
      <c r="BU289" s="1169"/>
      <c r="BV289" s="1169"/>
      <c r="BW289" s="1169"/>
      <c r="BX289" s="1169"/>
      <c r="BY289" s="1169"/>
      <c r="BZ289" s="1169"/>
      <c r="CA289" s="1169"/>
      <c r="CB289" s="1169"/>
      <c r="CC289" s="1169"/>
      <c r="CD289" s="1169"/>
      <c r="CE289" s="1169"/>
      <c r="CF289" s="1169"/>
      <c r="CG289" s="1169"/>
      <c r="CH289" s="1169"/>
      <c r="CI289" s="1169"/>
      <c r="CJ289" s="1169"/>
      <c r="CK289" s="1169"/>
      <c r="CL289" s="1169"/>
      <c r="CM289" s="1169"/>
      <c r="CN289" s="1169"/>
      <c r="CO289" s="1169"/>
      <c r="CP289" s="1169"/>
      <c r="CQ289" s="1169"/>
      <c r="CR289" s="1169"/>
      <c r="CS289" s="1169"/>
      <c r="CT289" s="1169"/>
      <c r="CU289" s="1169"/>
      <c r="CV289" s="1169"/>
      <c r="CW289" s="1169"/>
      <c r="CX289" s="1169"/>
      <c r="CY289" s="1169"/>
      <c r="CZ289" s="1169"/>
      <c r="DA289" s="1168"/>
      <c r="DB289" s="1168"/>
      <c r="DC289" s="1168"/>
      <c r="DD289" s="1168"/>
      <c r="DE289" s="1168"/>
      <c r="DF289" s="1168"/>
      <c r="DG289" s="1168"/>
      <c r="DH289" s="1168"/>
      <c r="DI289" s="1168"/>
      <c r="DJ289" s="1168"/>
      <c r="DK289" s="1168"/>
      <c r="DL289" s="1168"/>
      <c r="DM289" s="1168"/>
      <c r="DN289" s="1168"/>
      <c r="DO289" s="1168"/>
      <c r="DP289" s="1168"/>
      <c r="DQ289" s="1168"/>
      <c r="DR289" s="1168"/>
      <c r="DS289" s="1168"/>
      <c r="DT289" s="1168"/>
      <c r="DU289" s="1168"/>
      <c r="DV289" s="1168"/>
      <c r="DW289" s="1168"/>
      <c r="DX289" s="1168"/>
      <c r="DY289" s="1168"/>
      <c r="DZ289" s="1168"/>
      <c r="EA289" s="1168"/>
      <c r="EB289" s="1168"/>
      <c r="EC289" s="1168"/>
      <c r="ED289" s="1168"/>
      <c r="EE289" s="1168"/>
      <c r="EF289" s="1168"/>
      <c r="EG289" s="1168"/>
      <c r="EH289" s="1168"/>
      <c r="EI289" s="1170"/>
      <c r="EJ289" s="1170"/>
      <c r="EK289" s="1170"/>
      <c r="EL289" s="1170"/>
      <c r="EM289" s="1170"/>
      <c r="EN289" s="1170"/>
      <c r="EO289" s="1170"/>
      <c r="EP289" s="1170"/>
      <c r="EQ289" s="1170"/>
      <c r="ER289" s="1170"/>
      <c r="ES289" s="1171"/>
      <c r="ET289" s="1171"/>
      <c r="EU289" s="1171"/>
      <c r="EV289" s="1171"/>
      <c r="EW289" s="1171"/>
      <c r="EX289" s="1171"/>
      <c r="EY289" s="1171"/>
      <c r="EZ289" s="1171"/>
      <c r="FA289" s="1171"/>
      <c r="FB289" s="1171"/>
      <c r="FC289" s="1171"/>
      <c r="FD289" s="1171"/>
      <c r="FE289" s="1171"/>
      <c r="FF289" s="1171"/>
      <c r="FG289" s="1171"/>
      <c r="FH289" s="1171"/>
      <c r="FI289" s="1171"/>
      <c r="FJ289" s="1171"/>
      <c r="FK289" s="1171"/>
      <c r="FL289" s="1171"/>
      <c r="FM289" s="1171"/>
      <c r="FN289" s="1171"/>
      <c r="FO289" s="1171"/>
      <c r="FP289" s="1171"/>
    </row>
    <row r="290" spans="1:172" s="607" customFormat="1">
      <c r="A290" s="607">
        <f t="shared" si="8"/>
        <v>1994</v>
      </c>
      <c r="B290" s="607">
        <f t="shared" si="9"/>
        <v>2</v>
      </c>
      <c r="C290" s="666">
        <v>34486</v>
      </c>
      <c r="D290" s="957">
        <v>0.73330476190476201</v>
      </c>
      <c r="E290" s="920">
        <v>150.29081095238098</v>
      </c>
      <c r="F290" s="920">
        <v>204.95</v>
      </c>
      <c r="G290" s="920"/>
      <c r="H290" s="920"/>
      <c r="I290" s="954">
        <v>385.9</v>
      </c>
      <c r="J290" s="954">
        <v>526.24777588737209</v>
      </c>
      <c r="K290" s="954"/>
      <c r="L290" s="920"/>
      <c r="M290" s="917">
        <v>6281.84</v>
      </c>
      <c r="N290" s="917">
        <v>8566.4792134758482</v>
      </c>
      <c r="O290" s="1175">
        <v>2369.5</v>
      </c>
      <c r="P290" s="1175">
        <v>3231.2622569710502</v>
      </c>
      <c r="Q290" s="1175">
        <v>526.11</v>
      </c>
      <c r="R290" s="1175">
        <v>717.45067989661925</v>
      </c>
      <c r="S290" s="1175">
        <v>966.23</v>
      </c>
      <c r="T290" s="1175">
        <v>1317.6377001701362</v>
      </c>
      <c r="U290" s="920">
        <v>168.66009523809527</v>
      </c>
      <c r="V290" s="920">
        <v>230</v>
      </c>
      <c r="W290" s="920">
        <v>1950.5906666666669</v>
      </c>
      <c r="X290" s="920">
        <v>2660</v>
      </c>
      <c r="Y290" s="920"/>
      <c r="Z290" s="920"/>
      <c r="AA290" s="920"/>
      <c r="AB290" s="920"/>
      <c r="AC290" s="920"/>
      <c r="AD290" s="920">
        <v>7.6258400768070222</v>
      </c>
      <c r="AE290" s="920"/>
      <c r="AF290" s="920"/>
      <c r="AG290" s="920"/>
      <c r="AH290" s="920"/>
      <c r="AI290" s="920"/>
      <c r="AJ290" s="920"/>
      <c r="AK290" s="920">
        <v>16.744090860540215</v>
      </c>
      <c r="AL290" s="920">
        <v>22.833740799728851</v>
      </c>
      <c r="AM290" s="920">
        <v>17.63409068367698</v>
      </c>
      <c r="AN290" s="920">
        <v>24.047424208554652</v>
      </c>
      <c r="AO290" s="920"/>
      <c r="AP290" s="920"/>
      <c r="AS290" s="1167"/>
      <c r="AT290" s="1167"/>
      <c r="AU290" s="1168"/>
      <c r="AV290" s="1168"/>
      <c r="AW290" s="1169"/>
      <c r="AX290" s="1169"/>
      <c r="AY290" s="1169"/>
      <c r="AZ290" s="1169"/>
      <c r="BA290" s="1799" t="s">
        <v>280</v>
      </c>
      <c r="BB290" s="1802">
        <v>2008</v>
      </c>
      <c r="BC290" s="1799" t="s">
        <v>20</v>
      </c>
      <c r="BD290" s="1799">
        <v>4</v>
      </c>
      <c r="BE290" s="1800">
        <v>74598607.569999993</v>
      </c>
      <c r="BF290" s="1801">
        <v>8.0361665426625664E-2</v>
      </c>
      <c r="BG290" s="1799"/>
      <c r="BH290" s="1799" t="s">
        <v>280</v>
      </c>
      <c r="BI290" s="1799" t="s">
        <v>320</v>
      </c>
      <c r="BJ290" s="1799" t="s">
        <v>581</v>
      </c>
      <c r="BK290" s="1799">
        <v>10</v>
      </c>
      <c r="BL290" s="1800">
        <v>16973993</v>
      </c>
      <c r="BM290" s="1801">
        <v>0.02</v>
      </c>
      <c r="BN290" s="1799">
        <v>2015</v>
      </c>
      <c r="BO290" s="1684"/>
      <c r="BP290" s="1696"/>
      <c r="BQ290" s="1169"/>
      <c r="BR290" s="1169"/>
      <c r="BS290" s="1169"/>
      <c r="BT290" s="1169"/>
      <c r="BU290" s="1169"/>
      <c r="BV290" s="1169"/>
      <c r="BW290" s="1169"/>
      <c r="BX290" s="1169"/>
      <c r="BY290" s="1169"/>
      <c r="BZ290" s="1169"/>
      <c r="CA290" s="1169"/>
      <c r="CB290" s="1169"/>
      <c r="CC290" s="1169"/>
      <c r="CD290" s="1169"/>
      <c r="CE290" s="1169"/>
      <c r="CF290" s="1169"/>
      <c r="CG290" s="1169"/>
      <c r="CH290" s="1169"/>
      <c r="CI290" s="1169"/>
      <c r="CJ290" s="1169"/>
      <c r="CK290" s="1169"/>
      <c r="CL290" s="1169"/>
      <c r="CM290" s="1169"/>
      <c r="CN290" s="1169"/>
      <c r="CO290" s="1169"/>
      <c r="CP290" s="1169"/>
      <c r="CQ290" s="1169"/>
      <c r="CR290" s="1169"/>
      <c r="CS290" s="1169"/>
      <c r="CT290" s="1169"/>
      <c r="CU290" s="1169"/>
      <c r="CV290" s="1169"/>
      <c r="CW290" s="1169"/>
      <c r="CX290" s="1169"/>
      <c r="CY290" s="1169"/>
      <c r="CZ290" s="1169"/>
      <c r="DA290" s="1168"/>
      <c r="DB290" s="1168"/>
      <c r="DC290" s="1168"/>
      <c r="DD290" s="1168"/>
      <c r="DE290" s="1168"/>
      <c r="DF290" s="1168"/>
      <c r="DG290" s="1168"/>
      <c r="DH290" s="1168"/>
      <c r="DI290" s="1168"/>
      <c r="DJ290" s="1168"/>
      <c r="DK290" s="1168"/>
      <c r="DL290" s="1168"/>
      <c r="DM290" s="1168"/>
      <c r="DN290" s="1168"/>
      <c r="DO290" s="1168"/>
      <c r="DP290" s="1168"/>
      <c r="DQ290" s="1168"/>
      <c r="DR290" s="1168"/>
      <c r="DS290" s="1168"/>
      <c r="DT290" s="1168"/>
      <c r="DU290" s="1168"/>
      <c r="DV290" s="1168"/>
      <c r="DW290" s="1168"/>
      <c r="DX290" s="1168"/>
      <c r="DY290" s="1168"/>
      <c r="DZ290" s="1168"/>
      <c r="EA290" s="1168"/>
      <c r="EB290" s="1168"/>
      <c r="EC290" s="1168"/>
      <c r="ED290" s="1168"/>
      <c r="EE290" s="1168"/>
      <c r="EF290" s="1168"/>
      <c r="EG290" s="1168"/>
      <c r="EH290" s="1168"/>
      <c r="EI290" s="1170"/>
      <c r="EJ290" s="1170"/>
      <c r="EK290" s="1170"/>
      <c r="EL290" s="1170"/>
      <c r="EM290" s="1170"/>
      <c r="EN290" s="1170"/>
      <c r="EO290" s="1170"/>
      <c r="EP290" s="1170"/>
      <c r="EQ290" s="1170"/>
      <c r="ER290" s="1170"/>
      <c r="ES290" s="1171"/>
      <c r="ET290" s="1171"/>
      <c r="EU290" s="1171"/>
      <c r="EV290" s="1171"/>
      <c r="EW290" s="1171"/>
      <c r="EX290" s="1171"/>
      <c r="EY290" s="1171"/>
      <c r="EZ290" s="1171"/>
      <c r="FA290" s="1171"/>
      <c r="FB290" s="1171"/>
      <c r="FC290" s="1171"/>
      <c r="FD290" s="1171"/>
      <c r="FE290" s="1171"/>
      <c r="FF290" s="1171"/>
      <c r="FG290" s="1171"/>
      <c r="FH290" s="1171"/>
      <c r="FI290" s="1171"/>
      <c r="FJ290" s="1171"/>
      <c r="FK290" s="1171"/>
      <c r="FL290" s="1171"/>
      <c r="FM290" s="1171"/>
      <c r="FN290" s="1171"/>
      <c r="FO290" s="1171"/>
      <c r="FP290" s="1171"/>
    </row>
    <row r="291" spans="1:172" s="607" customFormat="1">
      <c r="A291" s="607">
        <f t="shared" si="8"/>
        <v>1994</v>
      </c>
      <c r="B291" s="607">
        <f t="shared" si="9"/>
        <v>3</v>
      </c>
      <c r="C291" s="666">
        <v>34516</v>
      </c>
      <c r="D291" s="1709">
        <v>0.73492857142857138</v>
      </c>
      <c r="E291" s="1117">
        <v>149.6461557142857</v>
      </c>
      <c r="F291" s="1117">
        <v>203.62</v>
      </c>
      <c r="G291" s="1117"/>
      <c r="H291" s="1117"/>
      <c r="I291" s="959">
        <v>385.43</v>
      </c>
      <c r="J291" s="959">
        <v>524.44552434638945</v>
      </c>
      <c r="K291" s="960"/>
      <c r="L291" s="1121"/>
      <c r="M291" s="916">
        <v>6226.76</v>
      </c>
      <c r="N291" s="916">
        <v>8472.6056954028591</v>
      </c>
      <c r="O291" s="1174">
        <v>2458.1</v>
      </c>
      <c r="P291" s="1174">
        <v>3344.6787831664888</v>
      </c>
      <c r="Q291" s="1174">
        <v>580.14</v>
      </c>
      <c r="R291" s="1174">
        <v>789.38283603848777</v>
      </c>
      <c r="S291" s="1174">
        <v>964.4</v>
      </c>
      <c r="T291" s="1174">
        <v>1312.2363689377005</v>
      </c>
      <c r="U291" s="1120">
        <v>177.1177857142857</v>
      </c>
      <c r="V291" s="1120">
        <v>241</v>
      </c>
      <c r="W291" s="1120">
        <v>2013.7042857142856</v>
      </c>
      <c r="X291" s="1120">
        <v>2740</v>
      </c>
      <c r="Y291" s="1119"/>
      <c r="Z291" s="1119"/>
      <c r="AA291" s="1119"/>
      <c r="AB291" s="1119"/>
      <c r="AC291" s="1178"/>
      <c r="AD291" s="1178">
        <v>7.4665223860408494</v>
      </c>
      <c r="AE291" s="1178"/>
      <c r="AF291" s="1178"/>
      <c r="AG291" s="1178"/>
      <c r="AH291" s="1178"/>
      <c r="AI291" s="1178"/>
      <c r="AJ291" s="1178"/>
      <c r="AK291" s="919">
        <v>17.627142951602028</v>
      </c>
      <c r="AL291" s="919">
        <v>23.984838305221928</v>
      </c>
      <c r="AM291" s="919">
        <v>18.68571444920131</v>
      </c>
      <c r="AN291" s="919">
        <v>25.425211613258661</v>
      </c>
      <c r="AO291" s="919"/>
      <c r="AP291" s="919"/>
      <c r="AS291" s="1167"/>
      <c r="AT291" s="1167"/>
      <c r="AU291" s="1168"/>
      <c r="AV291" s="1168"/>
      <c r="AW291" s="1169"/>
      <c r="AX291" s="1169"/>
      <c r="AY291" s="1169"/>
      <c r="AZ291" s="1169"/>
      <c r="BA291" s="1799" t="s">
        <v>280</v>
      </c>
      <c r="BB291" s="1802">
        <v>2008</v>
      </c>
      <c r="BC291" s="1799" t="s">
        <v>47</v>
      </c>
      <c r="BD291" s="1799">
        <v>5</v>
      </c>
      <c r="BE291" s="1800">
        <v>69070542.060000002</v>
      </c>
      <c r="BF291" s="1801">
        <v>7.440653348191438E-2</v>
      </c>
      <c r="BG291" s="1799"/>
      <c r="BH291" s="1799" t="s">
        <v>280</v>
      </c>
      <c r="BI291" s="1799" t="s">
        <v>320</v>
      </c>
      <c r="BJ291" s="1799" t="s">
        <v>32</v>
      </c>
      <c r="BK291" s="1799"/>
      <c r="BL291" s="1800">
        <v>84899598</v>
      </c>
      <c r="BM291" s="1801">
        <v>0.10100000000000001</v>
      </c>
      <c r="BN291" s="1799">
        <v>2015</v>
      </c>
      <c r="BO291" s="1684"/>
      <c r="BP291" s="1696"/>
      <c r="BQ291" s="1169"/>
      <c r="BR291" s="1169"/>
      <c r="BS291" s="1169"/>
      <c r="BT291" s="1169"/>
      <c r="BU291" s="1169"/>
      <c r="BV291" s="1169"/>
      <c r="BW291" s="1169"/>
      <c r="BX291" s="1169"/>
      <c r="BY291" s="1169"/>
      <c r="BZ291" s="1169"/>
      <c r="CA291" s="1169"/>
      <c r="CB291" s="1169"/>
      <c r="CC291" s="1169"/>
      <c r="CD291" s="1169"/>
      <c r="CE291" s="1169"/>
      <c r="CF291" s="1169"/>
      <c r="CG291" s="1169"/>
      <c r="CH291" s="1169"/>
      <c r="CI291" s="1169"/>
      <c r="CJ291" s="1169"/>
      <c r="CK291" s="1169"/>
      <c r="CL291" s="1169"/>
      <c r="CM291" s="1169"/>
      <c r="CN291" s="1169"/>
      <c r="CO291" s="1169"/>
      <c r="CP291" s="1169"/>
      <c r="CQ291" s="1169"/>
      <c r="CR291" s="1169"/>
      <c r="CS291" s="1169"/>
      <c r="CT291" s="1169"/>
      <c r="CU291" s="1169"/>
      <c r="CV291" s="1169"/>
      <c r="CW291" s="1169"/>
      <c r="CX291" s="1169"/>
      <c r="CY291" s="1169"/>
      <c r="CZ291" s="1169"/>
      <c r="DA291" s="1168"/>
      <c r="DB291" s="1168"/>
      <c r="DC291" s="1168"/>
      <c r="DD291" s="1168"/>
      <c r="DE291" s="1168"/>
      <c r="DF291" s="1168"/>
      <c r="DG291" s="1168"/>
      <c r="DH291" s="1168"/>
      <c r="DI291" s="1168"/>
      <c r="DJ291" s="1168"/>
      <c r="DK291" s="1168"/>
      <c r="DL291" s="1168"/>
      <c r="DM291" s="1168"/>
      <c r="DN291" s="1168"/>
      <c r="DO291" s="1168"/>
      <c r="DP291" s="1168"/>
      <c r="DQ291" s="1168"/>
      <c r="DR291" s="1168"/>
      <c r="DS291" s="1168"/>
      <c r="DT291" s="1168"/>
      <c r="DU291" s="1168"/>
      <c r="DV291" s="1168"/>
      <c r="DW291" s="1168"/>
      <c r="DX291" s="1168"/>
      <c r="DY291" s="1168"/>
      <c r="DZ291" s="1168"/>
      <c r="EA291" s="1168"/>
      <c r="EB291" s="1168"/>
      <c r="EC291" s="1168"/>
      <c r="ED291" s="1168"/>
      <c r="EE291" s="1168"/>
      <c r="EF291" s="1168"/>
      <c r="EG291" s="1168"/>
      <c r="EH291" s="1168"/>
      <c r="EI291" s="1170"/>
      <c r="EJ291" s="1170"/>
      <c r="EK291" s="1170"/>
      <c r="EL291" s="1170"/>
      <c r="EM291" s="1170"/>
      <c r="EN291" s="1170"/>
      <c r="EO291" s="1170"/>
      <c r="EP291" s="1170"/>
      <c r="EQ291" s="1170"/>
      <c r="ER291" s="1170"/>
      <c r="ES291" s="1171"/>
      <c r="ET291" s="1171"/>
      <c r="EU291" s="1171"/>
      <c r="EV291" s="1171"/>
      <c r="EW291" s="1171"/>
      <c r="EX291" s="1171"/>
      <c r="EY291" s="1171"/>
      <c r="EZ291" s="1171"/>
      <c r="FA291" s="1171"/>
      <c r="FB291" s="1171"/>
      <c r="FC291" s="1171"/>
      <c r="FD291" s="1171"/>
      <c r="FE291" s="1171"/>
      <c r="FF291" s="1171"/>
      <c r="FG291" s="1171"/>
      <c r="FH291" s="1171"/>
      <c r="FI291" s="1171"/>
      <c r="FJ291" s="1171"/>
      <c r="FK291" s="1171"/>
      <c r="FL291" s="1171"/>
      <c r="FM291" s="1171"/>
      <c r="FN291" s="1171"/>
      <c r="FO291" s="1171"/>
      <c r="FP291" s="1171"/>
    </row>
    <row r="292" spans="1:172" s="607" customFormat="1">
      <c r="A292" s="607">
        <f t="shared" si="8"/>
        <v>1994</v>
      </c>
      <c r="B292" s="607">
        <f t="shared" si="9"/>
        <v>3</v>
      </c>
      <c r="C292" s="666">
        <v>34547</v>
      </c>
      <c r="D292" s="957">
        <v>0.74044347826086965</v>
      </c>
      <c r="E292" s="920">
        <v>156.49272913043478</v>
      </c>
      <c r="F292" s="920">
        <v>211.35</v>
      </c>
      <c r="G292" s="920"/>
      <c r="H292" s="920"/>
      <c r="I292" s="954">
        <v>380.26</v>
      </c>
      <c r="J292" s="954">
        <v>513.55709269415502</v>
      </c>
      <c r="K292" s="954"/>
      <c r="L292" s="920"/>
      <c r="M292" s="917">
        <v>5859.5</v>
      </c>
      <c r="N292" s="917">
        <v>7913.5007222463619</v>
      </c>
      <c r="O292" s="1175">
        <v>2406.1</v>
      </c>
      <c r="P292" s="1175">
        <v>3249.5390541508609</v>
      </c>
      <c r="Q292" s="1175">
        <v>570.95000000000005</v>
      </c>
      <c r="R292" s="1175">
        <v>771.09194254911858</v>
      </c>
      <c r="S292" s="1175">
        <v>946.2</v>
      </c>
      <c r="T292" s="1175">
        <v>1277.8828199316508</v>
      </c>
      <c r="U292" s="920">
        <v>178.4468782608696</v>
      </c>
      <c r="V292" s="920">
        <v>241</v>
      </c>
      <c r="W292" s="920">
        <v>2028.8151304347828</v>
      </c>
      <c r="X292" s="920">
        <v>2740</v>
      </c>
      <c r="Y292" s="920"/>
      <c r="Z292" s="920"/>
      <c r="AA292" s="920"/>
      <c r="AB292" s="920"/>
      <c r="AC292" s="920"/>
      <c r="AD292" s="920">
        <v>7.2727272727272725</v>
      </c>
      <c r="AE292" s="920"/>
      <c r="AF292" s="920"/>
      <c r="AG292" s="920"/>
      <c r="AH292" s="920"/>
      <c r="AI292" s="920"/>
      <c r="AJ292" s="920"/>
      <c r="AK292" s="920">
        <v>16.816363594748758</v>
      </c>
      <c r="AL292" s="920">
        <v>22.711204958204917</v>
      </c>
      <c r="AM292" s="920">
        <v>18.713042632393215</v>
      </c>
      <c r="AN292" s="920">
        <v>25.272749618034073</v>
      </c>
      <c r="AO292" s="920"/>
      <c r="AP292" s="920"/>
      <c r="AS292" s="1167"/>
      <c r="AT292" s="1167"/>
      <c r="AU292" s="1168"/>
      <c r="AV292" s="1168"/>
      <c r="AW292" s="1169"/>
      <c r="AX292" s="1169"/>
      <c r="AY292" s="1169"/>
      <c r="AZ292" s="1169"/>
      <c r="BA292" s="1799" t="s">
        <v>280</v>
      </c>
      <c r="BB292" s="1802">
        <v>2008</v>
      </c>
      <c r="BC292" s="1799" t="s">
        <v>23</v>
      </c>
      <c r="BD292" s="1799">
        <v>6</v>
      </c>
      <c r="BE292" s="1800">
        <v>66171521.980000004</v>
      </c>
      <c r="BF292" s="1801">
        <v>7.1283551842941814E-2</v>
      </c>
      <c r="BG292" s="1799"/>
      <c r="BH292" s="1799" t="s">
        <v>280</v>
      </c>
      <c r="BI292" s="1799" t="s">
        <v>320</v>
      </c>
      <c r="BJ292" s="1799" t="s">
        <v>249</v>
      </c>
      <c r="BK292" s="1799"/>
      <c r="BL292" s="1800">
        <v>841133341</v>
      </c>
      <c r="BM292" s="1801"/>
      <c r="BN292" s="1799">
        <v>2015</v>
      </c>
      <c r="BO292" s="1684"/>
      <c r="BP292" s="1696"/>
      <c r="BQ292" s="1169"/>
      <c r="BR292" s="1169"/>
      <c r="BS292" s="1169"/>
      <c r="BT292" s="1169"/>
      <c r="BU292" s="1169"/>
      <c r="BV292" s="1169"/>
      <c r="BW292" s="1169"/>
      <c r="BX292" s="1169"/>
      <c r="BY292" s="1169"/>
      <c r="BZ292" s="1169"/>
      <c r="CA292" s="1169"/>
      <c r="CB292" s="1169"/>
      <c r="CC292" s="1169"/>
      <c r="CD292" s="1169"/>
      <c r="CE292" s="1169"/>
      <c r="CF292" s="1169"/>
      <c r="CG292" s="1169"/>
      <c r="CH292" s="1169"/>
      <c r="CI292" s="1169"/>
      <c r="CJ292" s="1169"/>
      <c r="CK292" s="1169"/>
      <c r="CL292" s="1169"/>
      <c r="CM292" s="1169"/>
      <c r="CN292" s="1169"/>
      <c r="CO292" s="1169"/>
      <c r="CP292" s="1169"/>
      <c r="CQ292" s="1169"/>
      <c r="CR292" s="1169"/>
      <c r="CS292" s="1169"/>
      <c r="CT292" s="1169"/>
      <c r="CU292" s="1169"/>
      <c r="CV292" s="1169"/>
      <c r="CW292" s="1169"/>
      <c r="CX292" s="1169"/>
      <c r="CY292" s="1169"/>
      <c r="CZ292" s="1169"/>
      <c r="DA292" s="1168"/>
      <c r="DB292" s="1168"/>
      <c r="DC292" s="1168"/>
      <c r="DD292" s="1168"/>
      <c r="DE292" s="1168"/>
      <c r="DF292" s="1168"/>
      <c r="DG292" s="1168"/>
      <c r="DH292" s="1168"/>
      <c r="DI292" s="1168"/>
      <c r="DJ292" s="1168"/>
      <c r="DK292" s="1168"/>
      <c r="DL292" s="1168"/>
      <c r="DM292" s="1168"/>
      <c r="DN292" s="1168"/>
      <c r="DO292" s="1168"/>
      <c r="DP292" s="1168"/>
      <c r="DQ292" s="1168"/>
      <c r="DR292" s="1168"/>
      <c r="DS292" s="1168"/>
      <c r="DT292" s="1168"/>
      <c r="DU292" s="1168"/>
      <c r="DV292" s="1168"/>
      <c r="DW292" s="1168"/>
      <c r="DX292" s="1168"/>
      <c r="DY292" s="1168"/>
      <c r="DZ292" s="1168"/>
      <c r="EA292" s="1168"/>
      <c r="EB292" s="1168"/>
      <c r="EC292" s="1168"/>
      <c r="ED292" s="1168"/>
      <c r="EE292" s="1168"/>
      <c r="EF292" s="1168"/>
      <c r="EG292" s="1168"/>
      <c r="EH292" s="1168"/>
      <c r="EI292" s="1170"/>
      <c r="EJ292" s="1170"/>
      <c r="EK292" s="1170"/>
      <c r="EL292" s="1170"/>
      <c r="EM292" s="1170"/>
      <c r="EN292" s="1170"/>
      <c r="EO292" s="1170"/>
      <c r="EP292" s="1170"/>
      <c r="EQ292" s="1170"/>
      <c r="ER292" s="1170"/>
      <c r="ES292" s="1171"/>
      <c r="ET292" s="1171"/>
      <c r="EU292" s="1171"/>
      <c r="EV292" s="1171"/>
      <c r="EW292" s="1171"/>
      <c r="EX292" s="1171"/>
      <c r="EY292" s="1171"/>
      <c r="EZ292" s="1171"/>
      <c r="FA292" s="1171"/>
      <c r="FB292" s="1171"/>
      <c r="FC292" s="1171"/>
      <c r="FD292" s="1171"/>
      <c r="FE292" s="1171"/>
      <c r="FF292" s="1171"/>
      <c r="FG292" s="1171"/>
      <c r="FH292" s="1171"/>
      <c r="FI292" s="1171"/>
      <c r="FJ292" s="1171"/>
      <c r="FK292" s="1171"/>
      <c r="FL292" s="1171"/>
      <c r="FM292" s="1171"/>
      <c r="FN292" s="1171"/>
      <c r="FO292" s="1171"/>
      <c r="FP292" s="1171"/>
    </row>
    <row r="293" spans="1:172" s="607" customFormat="1">
      <c r="A293" s="607">
        <f t="shared" si="8"/>
        <v>1994</v>
      </c>
      <c r="B293" s="607">
        <f t="shared" si="9"/>
        <v>3</v>
      </c>
      <c r="C293" s="666">
        <v>34578</v>
      </c>
      <c r="D293" s="1709">
        <v>0.74142272727272729</v>
      </c>
      <c r="E293" s="1117">
        <v>155.88412840909092</v>
      </c>
      <c r="F293" s="1117">
        <v>210.25</v>
      </c>
      <c r="G293" s="1117"/>
      <c r="H293" s="1117"/>
      <c r="I293" s="959">
        <v>391.35</v>
      </c>
      <c r="J293" s="959">
        <v>449.41786306704853</v>
      </c>
      <c r="K293" s="960"/>
      <c r="L293" s="1121"/>
      <c r="M293" s="916">
        <v>6364.75</v>
      </c>
      <c r="N293" s="916">
        <v>8584.5088987389117</v>
      </c>
      <c r="O293" s="1174">
        <v>2506.6</v>
      </c>
      <c r="P293" s="1174">
        <v>3380.7973613384584</v>
      </c>
      <c r="Q293" s="1174">
        <v>614.28</v>
      </c>
      <c r="R293" s="1174">
        <v>828.51520111824311</v>
      </c>
      <c r="S293" s="1174">
        <v>993.33</v>
      </c>
      <c r="T293" s="1174">
        <v>1339.7620054808631</v>
      </c>
      <c r="U293" s="1120">
        <v>178.68287727272727</v>
      </c>
      <c r="V293" s="1120">
        <v>241</v>
      </c>
      <c r="W293" s="1120">
        <v>2031.4982727272727</v>
      </c>
      <c r="X293" s="1120">
        <v>2740</v>
      </c>
      <c r="Y293" s="1119"/>
      <c r="Z293" s="1119"/>
      <c r="AA293" s="1119"/>
      <c r="AB293" s="1119"/>
      <c r="AC293" s="1178"/>
      <c r="AD293" s="1178">
        <v>7.6839826839826841</v>
      </c>
      <c r="AE293" s="1178"/>
      <c r="AF293" s="1178"/>
      <c r="AG293" s="1178"/>
      <c r="AH293" s="1178"/>
      <c r="AI293" s="1178"/>
      <c r="AJ293" s="1178"/>
      <c r="AK293" s="919">
        <v>15.855000062422318</v>
      </c>
      <c r="AL293" s="919">
        <v>21.3845617071166</v>
      </c>
      <c r="AM293" s="919">
        <v>17.568181558088824</v>
      </c>
      <c r="AN293" s="919">
        <v>23.695229336592064</v>
      </c>
      <c r="AO293" s="919"/>
      <c r="AP293" s="919"/>
      <c r="AS293" s="1167"/>
      <c r="AT293" s="1167"/>
      <c r="AU293" s="1168"/>
      <c r="AV293" s="1168"/>
      <c r="AW293" s="1169"/>
      <c r="AX293" s="1169"/>
      <c r="AY293" s="1169"/>
      <c r="AZ293" s="1169"/>
      <c r="BA293" s="1799" t="s">
        <v>280</v>
      </c>
      <c r="BB293" s="1802">
        <v>2008</v>
      </c>
      <c r="BC293" s="1799" t="s">
        <v>26</v>
      </c>
      <c r="BD293" s="1799">
        <v>7</v>
      </c>
      <c r="BE293" s="1800">
        <v>64614850.18</v>
      </c>
      <c r="BF293" s="1801">
        <v>6.9606620564388419E-2</v>
      </c>
      <c r="BG293" s="1799"/>
      <c r="BH293" s="1799" t="s">
        <v>280</v>
      </c>
      <c r="BI293" s="1799" t="s">
        <v>319</v>
      </c>
      <c r="BJ293" s="1799" t="s">
        <v>431</v>
      </c>
      <c r="BK293" s="1799">
        <v>1</v>
      </c>
      <c r="BL293" s="1800">
        <v>219174301</v>
      </c>
      <c r="BM293" s="1801">
        <v>0.32600000000000001</v>
      </c>
      <c r="BN293" s="1799">
        <v>2014</v>
      </c>
      <c r="BO293" s="1684"/>
      <c r="BP293" s="1696"/>
      <c r="BQ293" s="1169"/>
      <c r="BR293" s="1169"/>
      <c r="BS293" s="1169"/>
      <c r="BT293" s="1169"/>
      <c r="BU293" s="1169"/>
      <c r="BV293" s="1169"/>
      <c r="BW293" s="1169"/>
      <c r="BX293" s="1169"/>
      <c r="BY293" s="1169"/>
      <c r="BZ293" s="1169"/>
      <c r="CA293" s="1169"/>
      <c r="CB293" s="1169"/>
      <c r="CC293" s="1169"/>
      <c r="CD293" s="1169"/>
      <c r="CE293" s="1169"/>
      <c r="CF293" s="1169"/>
      <c r="CG293" s="1169"/>
      <c r="CH293" s="1169"/>
      <c r="CI293" s="1169"/>
      <c r="CJ293" s="1169"/>
      <c r="CK293" s="1169"/>
      <c r="CL293" s="1169"/>
      <c r="CM293" s="1169"/>
      <c r="CN293" s="1169"/>
      <c r="CO293" s="1169"/>
      <c r="CP293" s="1169"/>
      <c r="CQ293" s="1169"/>
      <c r="CR293" s="1169"/>
      <c r="CS293" s="1169"/>
      <c r="CT293" s="1169"/>
      <c r="CU293" s="1169"/>
      <c r="CV293" s="1169"/>
      <c r="CW293" s="1169"/>
      <c r="CX293" s="1169"/>
      <c r="CY293" s="1169"/>
      <c r="CZ293" s="1169"/>
      <c r="DA293" s="1168"/>
      <c r="DB293" s="1168"/>
      <c r="DC293" s="1168"/>
      <c r="DD293" s="1168"/>
      <c r="DE293" s="1168"/>
      <c r="DF293" s="1168"/>
      <c r="DG293" s="1168"/>
      <c r="DH293" s="1168"/>
      <c r="DI293" s="1168"/>
      <c r="DJ293" s="1168"/>
      <c r="DK293" s="1168"/>
      <c r="DL293" s="1168"/>
      <c r="DM293" s="1168"/>
      <c r="DN293" s="1168"/>
      <c r="DO293" s="1168"/>
      <c r="DP293" s="1168"/>
      <c r="DQ293" s="1168"/>
      <c r="DR293" s="1168"/>
      <c r="DS293" s="1168"/>
      <c r="DT293" s="1168"/>
      <c r="DU293" s="1168"/>
      <c r="DV293" s="1168"/>
      <c r="DW293" s="1168"/>
      <c r="DX293" s="1168"/>
      <c r="DY293" s="1168"/>
      <c r="DZ293" s="1168"/>
      <c r="EA293" s="1168"/>
      <c r="EB293" s="1168"/>
      <c r="EC293" s="1168"/>
      <c r="ED293" s="1168"/>
      <c r="EE293" s="1168"/>
      <c r="EF293" s="1168"/>
      <c r="EG293" s="1168"/>
      <c r="EH293" s="1168"/>
      <c r="EI293" s="1170"/>
      <c r="EJ293" s="1170"/>
      <c r="EK293" s="1170"/>
      <c r="EL293" s="1170"/>
      <c r="EM293" s="1170"/>
      <c r="EN293" s="1170"/>
      <c r="EO293" s="1170"/>
      <c r="EP293" s="1170"/>
      <c r="EQ293" s="1170"/>
      <c r="ER293" s="1170"/>
      <c r="ES293" s="1171"/>
      <c r="ET293" s="1171"/>
      <c r="EU293" s="1171"/>
      <c r="EV293" s="1171"/>
      <c r="EW293" s="1171"/>
      <c r="EX293" s="1171"/>
      <c r="EY293" s="1171"/>
      <c r="EZ293" s="1171"/>
      <c r="FA293" s="1171"/>
      <c r="FB293" s="1171"/>
      <c r="FC293" s="1171"/>
      <c r="FD293" s="1171"/>
      <c r="FE293" s="1171"/>
      <c r="FF293" s="1171"/>
      <c r="FG293" s="1171"/>
      <c r="FH293" s="1171"/>
      <c r="FI293" s="1171"/>
      <c r="FJ293" s="1171"/>
      <c r="FK293" s="1171"/>
      <c r="FL293" s="1171"/>
      <c r="FM293" s="1171"/>
      <c r="FN293" s="1171"/>
      <c r="FO293" s="1171"/>
      <c r="FP293" s="1171"/>
    </row>
    <row r="294" spans="1:172" s="607" customFormat="1">
      <c r="A294" s="607">
        <f t="shared" si="8"/>
        <v>1994</v>
      </c>
      <c r="B294" s="607">
        <f t="shared" si="9"/>
        <v>4</v>
      </c>
      <c r="C294" s="666">
        <v>34608</v>
      </c>
      <c r="D294" s="957">
        <v>0.7382333333333333</v>
      </c>
      <c r="E294" s="920">
        <v>151.85459666666665</v>
      </c>
      <c r="F294" s="920">
        <v>205.7</v>
      </c>
      <c r="G294" s="920"/>
      <c r="H294" s="920"/>
      <c r="I294" s="954">
        <v>390.16</v>
      </c>
      <c r="J294" s="954">
        <v>441.90916788526755</v>
      </c>
      <c r="K294" s="954"/>
      <c r="L294" s="920"/>
      <c r="M294" s="917">
        <v>6748.29</v>
      </c>
      <c r="N294" s="917">
        <v>9141.1342394003714</v>
      </c>
      <c r="O294" s="1175">
        <v>2547.6</v>
      </c>
      <c r="P294" s="1175">
        <v>3450.9414367634445</v>
      </c>
      <c r="Q294" s="1175">
        <v>641.83000000000004</v>
      </c>
      <c r="R294" s="1175">
        <v>869.41346457759528</v>
      </c>
      <c r="S294" s="1175">
        <v>1058.9000000000001</v>
      </c>
      <c r="T294" s="1175">
        <v>1434.3703436131307</v>
      </c>
      <c r="U294" s="920">
        <v>194.15536666666665</v>
      </c>
      <c r="V294" s="920">
        <v>263</v>
      </c>
      <c r="W294" s="920">
        <v>1985.8476666666666</v>
      </c>
      <c r="X294" s="920">
        <v>2690</v>
      </c>
      <c r="Y294" s="920"/>
      <c r="Z294" s="920"/>
      <c r="AA294" s="920"/>
      <c r="AB294" s="920"/>
      <c r="AC294" s="920"/>
      <c r="AD294" s="920">
        <v>7.6798706548100251</v>
      </c>
      <c r="AE294" s="920"/>
      <c r="AF294" s="920"/>
      <c r="AG294" s="920"/>
      <c r="AH294" s="920"/>
      <c r="AI294" s="920"/>
      <c r="AJ294" s="920"/>
      <c r="AK294" s="920">
        <v>16.427140054248628</v>
      </c>
      <c r="AL294" s="920">
        <v>22.251961964485432</v>
      </c>
      <c r="AM294" s="920">
        <v>17.535714558192662</v>
      </c>
      <c r="AN294" s="920">
        <v>23.753620659492476</v>
      </c>
      <c r="AO294" s="920"/>
      <c r="AP294" s="920"/>
      <c r="AS294" s="1167"/>
      <c r="AT294" s="1167"/>
      <c r="AU294" s="1168"/>
      <c r="AV294" s="1168"/>
      <c r="AW294" s="1169"/>
      <c r="AX294" s="1169"/>
      <c r="AY294" s="1169"/>
      <c r="AZ294" s="1169"/>
      <c r="BA294" s="1799" t="s">
        <v>280</v>
      </c>
      <c r="BB294" s="1802">
        <v>2008</v>
      </c>
      <c r="BC294" s="1799" t="s">
        <v>251</v>
      </c>
      <c r="BD294" s="1799">
        <v>8</v>
      </c>
      <c r="BE294" s="1800">
        <v>55218097.929999985</v>
      </c>
      <c r="BF294" s="1801">
        <v>5.9483929471222843E-2</v>
      </c>
      <c r="BG294" s="1799"/>
      <c r="BH294" s="1799" t="s">
        <v>280</v>
      </c>
      <c r="BI294" s="1799" t="s">
        <v>319</v>
      </c>
      <c r="BJ294" s="1799" t="s">
        <v>15</v>
      </c>
      <c r="BK294" s="1799">
        <v>2</v>
      </c>
      <c r="BL294" s="1800">
        <v>140776205</v>
      </c>
      <c r="BM294" s="1801">
        <v>0.20899999999999999</v>
      </c>
      <c r="BN294" s="1799">
        <v>2014</v>
      </c>
      <c r="BO294" s="1684"/>
      <c r="BP294" s="1696"/>
      <c r="BQ294" s="1169"/>
      <c r="BR294" s="1169"/>
      <c r="BS294" s="1169"/>
      <c r="BT294" s="1169"/>
      <c r="BU294" s="1169"/>
      <c r="BV294" s="1169"/>
      <c r="BW294" s="1169"/>
      <c r="BX294" s="1169"/>
      <c r="BY294" s="1169"/>
      <c r="BZ294" s="1169"/>
      <c r="CA294" s="1169"/>
      <c r="CB294" s="1169"/>
      <c r="CC294" s="1169"/>
      <c r="CD294" s="1169"/>
      <c r="CE294" s="1169"/>
      <c r="CF294" s="1169"/>
      <c r="CG294" s="1169"/>
      <c r="CH294" s="1169"/>
      <c r="CI294" s="1169"/>
      <c r="CJ294" s="1169"/>
      <c r="CK294" s="1169"/>
      <c r="CL294" s="1169"/>
      <c r="CM294" s="1169"/>
      <c r="CN294" s="1169"/>
      <c r="CO294" s="1169"/>
      <c r="CP294" s="1169"/>
      <c r="CQ294" s="1169"/>
      <c r="CR294" s="1169"/>
      <c r="CS294" s="1169"/>
      <c r="CT294" s="1169"/>
      <c r="CU294" s="1169"/>
      <c r="CV294" s="1169"/>
      <c r="CW294" s="1169"/>
      <c r="CX294" s="1169"/>
      <c r="CY294" s="1169"/>
      <c r="CZ294" s="1169"/>
      <c r="DA294" s="1168"/>
      <c r="DB294" s="1168"/>
      <c r="DC294" s="1168"/>
      <c r="DD294" s="1168"/>
      <c r="DE294" s="1168"/>
      <c r="DF294" s="1168"/>
      <c r="DG294" s="1168"/>
      <c r="DH294" s="1168"/>
      <c r="DI294" s="1168"/>
      <c r="DJ294" s="1168"/>
      <c r="DK294" s="1168"/>
      <c r="DL294" s="1168"/>
      <c r="DM294" s="1168"/>
      <c r="DN294" s="1168"/>
      <c r="DO294" s="1168"/>
      <c r="DP294" s="1168"/>
      <c r="DQ294" s="1168"/>
      <c r="DR294" s="1168"/>
      <c r="DS294" s="1168"/>
      <c r="DT294" s="1168"/>
      <c r="DU294" s="1168"/>
      <c r="DV294" s="1168"/>
      <c r="DW294" s="1168"/>
      <c r="DX294" s="1168"/>
      <c r="DY294" s="1168"/>
      <c r="DZ294" s="1168"/>
      <c r="EA294" s="1168"/>
      <c r="EB294" s="1168"/>
      <c r="EC294" s="1168"/>
      <c r="ED294" s="1168"/>
      <c r="EE294" s="1168"/>
      <c r="EF294" s="1168"/>
      <c r="EG294" s="1168"/>
      <c r="EH294" s="1168"/>
      <c r="EI294" s="1170"/>
      <c r="EJ294" s="1170"/>
      <c r="EK294" s="1170"/>
      <c r="EL294" s="1170"/>
      <c r="EM294" s="1170"/>
      <c r="EN294" s="1170"/>
      <c r="EO294" s="1170"/>
      <c r="EP294" s="1170"/>
      <c r="EQ294" s="1170"/>
      <c r="ER294" s="1170"/>
      <c r="ES294" s="1171"/>
      <c r="ET294" s="1171"/>
      <c r="EU294" s="1171"/>
      <c r="EV294" s="1171"/>
      <c r="EW294" s="1171"/>
      <c r="EX294" s="1171"/>
      <c r="EY294" s="1171"/>
      <c r="EZ294" s="1171"/>
      <c r="FA294" s="1171"/>
      <c r="FB294" s="1171"/>
      <c r="FC294" s="1171"/>
      <c r="FD294" s="1171"/>
      <c r="FE294" s="1171"/>
      <c r="FF294" s="1171"/>
      <c r="FG294" s="1171"/>
      <c r="FH294" s="1171"/>
      <c r="FI294" s="1171"/>
      <c r="FJ294" s="1171"/>
      <c r="FK294" s="1171"/>
      <c r="FL294" s="1171"/>
      <c r="FM294" s="1171"/>
      <c r="FN294" s="1171"/>
      <c r="FO294" s="1171"/>
      <c r="FP294" s="1171"/>
    </row>
    <row r="295" spans="1:172" s="607" customFormat="1">
      <c r="A295" s="607">
        <f t="shared" si="8"/>
        <v>1994</v>
      </c>
      <c r="B295" s="607">
        <f t="shared" si="9"/>
        <v>4</v>
      </c>
      <c r="C295" s="666">
        <v>34639</v>
      </c>
      <c r="D295" s="1709">
        <v>0.75390909090909086</v>
      </c>
      <c r="E295" s="1117">
        <v>161.75873454545453</v>
      </c>
      <c r="F295" s="1117">
        <v>214.56</v>
      </c>
      <c r="G295" s="1117"/>
      <c r="H295" s="1117"/>
      <c r="I295" s="959">
        <v>384.38</v>
      </c>
      <c r="J295" s="959">
        <v>431.87345005572155</v>
      </c>
      <c r="K295" s="960"/>
      <c r="L295" s="1121"/>
      <c r="M295" s="916">
        <v>7561.7780000000002</v>
      </c>
      <c r="N295" s="916">
        <v>10030.092608223804</v>
      </c>
      <c r="O295" s="1174">
        <v>2802.4</v>
      </c>
      <c r="P295" s="1174">
        <v>3717.1590498010373</v>
      </c>
      <c r="Q295" s="1174">
        <v>667.18</v>
      </c>
      <c r="R295" s="1174">
        <v>884.96081032195832</v>
      </c>
      <c r="S295" s="1174">
        <v>1152</v>
      </c>
      <c r="T295" s="1174">
        <v>1528.0356927529242</v>
      </c>
      <c r="U295" s="1120">
        <v>198.27809090909091</v>
      </c>
      <c r="V295" s="1120">
        <v>263</v>
      </c>
      <c r="W295" s="1120">
        <v>2028.0154545454545</v>
      </c>
      <c r="X295" s="1120">
        <v>2690</v>
      </c>
      <c r="Y295" s="1119"/>
      <c r="Z295" s="1119"/>
      <c r="AA295" s="1119"/>
      <c r="AB295" s="1119"/>
      <c r="AC295" s="1178"/>
      <c r="AD295" s="1178">
        <v>7.1540265832681786</v>
      </c>
      <c r="AE295" s="1178"/>
      <c r="AF295" s="1178"/>
      <c r="AG295" s="1178"/>
      <c r="AH295" s="1178"/>
      <c r="AI295" s="1178"/>
      <c r="AJ295" s="1178"/>
      <c r="AK295" s="919">
        <v>17.304089199412953</v>
      </c>
      <c r="AL295" s="919">
        <v>22.952487784100143</v>
      </c>
      <c r="AM295" s="919">
        <v>17.431817401539195</v>
      </c>
      <c r="AN295" s="919">
        <v>23.12190900963839</v>
      </c>
      <c r="AO295" s="919"/>
      <c r="AP295" s="919"/>
      <c r="AS295" s="1167"/>
      <c r="AT295" s="1167"/>
      <c r="AU295" s="1168"/>
      <c r="AV295" s="1168"/>
      <c r="AW295" s="1169"/>
      <c r="AX295" s="1169"/>
      <c r="AY295" s="1169"/>
      <c r="AZ295" s="1169"/>
      <c r="BA295" s="1799" t="s">
        <v>280</v>
      </c>
      <c r="BB295" s="1802">
        <v>2008</v>
      </c>
      <c r="BC295" s="1799" t="s">
        <v>583</v>
      </c>
      <c r="BD295" s="1799">
        <v>9</v>
      </c>
      <c r="BE295" s="1800">
        <v>44761978.759999998</v>
      </c>
      <c r="BF295" s="1801">
        <v>4.8220030884215129E-2</v>
      </c>
      <c r="BG295" s="1799"/>
      <c r="BH295" s="1799" t="s">
        <v>280</v>
      </c>
      <c r="BI295" s="1799" t="s">
        <v>319</v>
      </c>
      <c r="BJ295" s="1799" t="s">
        <v>23</v>
      </c>
      <c r="BK295" s="1799">
        <v>3</v>
      </c>
      <c r="BL295" s="1800">
        <v>66026579</v>
      </c>
      <c r="BM295" s="1801">
        <v>9.8000000000000004E-2</v>
      </c>
      <c r="BN295" s="1799">
        <v>2014</v>
      </c>
      <c r="BO295" s="1684"/>
      <c r="BP295" s="1696"/>
      <c r="BQ295" s="1169"/>
      <c r="BR295" s="1169"/>
      <c r="BS295" s="1169"/>
      <c r="BT295" s="1169"/>
      <c r="BU295" s="1169"/>
      <c r="BV295" s="1169"/>
      <c r="BW295" s="1169"/>
      <c r="BX295" s="1169"/>
      <c r="BY295" s="1169"/>
      <c r="BZ295" s="1169"/>
      <c r="CA295" s="1169"/>
      <c r="CB295" s="1169"/>
      <c r="CC295" s="1169"/>
      <c r="CD295" s="1169"/>
      <c r="CE295" s="1169"/>
      <c r="CF295" s="1169"/>
      <c r="CG295" s="1169"/>
      <c r="CH295" s="1169"/>
      <c r="CI295" s="1169"/>
      <c r="CJ295" s="1169"/>
      <c r="CK295" s="1169"/>
      <c r="CL295" s="1169"/>
      <c r="CM295" s="1169"/>
      <c r="CN295" s="1169"/>
      <c r="CO295" s="1169"/>
      <c r="CP295" s="1169"/>
      <c r="CQ295" s="1169"/>
      <c r="CR295" s="1169"/>
      <c r="CS295" s="1169"/>
      <c r="CT295" s="1169"/>
      <c r="CU295" s="1169"/>
      <c r="CV295" s="1169"/>
      <c r="CW295" s="1169"/>
      <c r="CX295" s="1169"/>
      <c r="CY295" s="1169"/>
      <c r="CZ295" s="1169"/>
      <c r="DA295" s="1168"/>
      <c r="DB295" s="1168"/>
      <c r="DC295" s="1168"/>
      <c r="DD295" s="1168"/>
      <c r="DE295" s="1168"/>
      <c r="DF295" s="1168"/>
      <c r="DG295" s="1168"/>
      <c r="DH295" s="1168"/>
      <c r="DI295" s="1168"/>
      <c r="DJ295" s="1168"/>
      <c r="DK295" s="1168"/>
      <c r="DL295" s="1168"/>
      <c r="DM295" s="1168"/>
      <c r="DN295" s="1168"/>
      <c r="DO295" s="1168"/>
      <c r="DP295" s="1168"/>
      <c r="DQ295" s="1168"/>
      <c r="DR295" s="1168"/>
      <c r="DS295" s="1168"/>
      <c r="DT295" s="1168"/>
      <c r="DU295" s="1168"/>
      <c r="DV295" s="1168"/>
      <c r="DW295" s="1168"/>
      <c r="DX295" s="1168"/>
      <c r="DY295" s="1168"/>
      <c r="DZ295" s="1168"/>
      <c r="EA295" s="1168"/>
      <c r="EB295" s="1168"/>
      <c r="EC295" s="1168"/>
      <c r="ED295" s="1168"/>
      <c r="EE295" s="1168"/>
      <c r="EF295" s="1168"/>
      <c r="EG295" s="1168"/>
      <c r="EH295" s="1168"/>
      <c r="EI295" s="1170"/>
      <c r="EJ295" s="1170"/>
      <c r="EK295" s="1170"/>
      <c r="EL295" s="1170"/>
      <c r="EM295" s="1170"/>
      <c r="EN295" s="1170"/>
      <c r="EO295" s="1170"/>
      <c r="EP295" s="1170"/>
      <c r="EQ295" s="1170"/>
      <c r="ER295" s="1170"/>
      <c r="ES295" s="1171"/>
      <c r="ET295" s="1171"/>
      <c r="EU295" s="1171"/>
      <c r="EV295" s="1171"/>
      <c r="EW295" s="1171"/>
      <c r="EX295" s="1171"/>
      <c r="EY295" s="1171"/>
      <c r="EZ295" s="1171"/>
      <c r="FA295" s="1171"/>
      <c r="FB295" s="1171"/>
      <c r="FC295" s="1171"/>
      <c r="FD295" s="1171"/>
      <c r="FE295" s="1171"/>
      <c r="FF295" s="1171"/>
      <c r="FG295" s="1171"/>
      <c r="FH295" s="1171"/>
      <c r="FI295" s="1171"/>
      <c r="FJ295" s="1171"/>
      <c r="FK295" s="1171"/>
      <c r="FL295" s="1171"/>
      <c r="FM295" s="1171"/>
      <c r="FN295" s="1171"/>
      <c r="FO295" s="1171"/>
      <c r="FP295" s="1171"/>
    </row>
    <row r="296" spans="1:172" s="607" customFormat="1">
      <c r="A296" s="607">
        <f t="shared" si="8"/>
        <v>1994</v>
      </c>
      <c r="B296" s="607">
        <f t="shared" si="9"/>
        <v>4</v>
      </c>
      <c r="C296" s="666">
        <v>34669</v>
      </c>
      <c r="D296" s="957">
        <v>0.77394999999999992</v>
      </c>
      <c r="E296" s="920">
        <v>159.37952349999998</v>
      </c>
      <c r="F296" s="920">
        <v>205.93</v>
      </c>
      <c r="G296" s="920"/>
      <c r="H296" s="920"/>
      <c r="I296" s="954">
        <v>379.5</v>
      </c>
      <c r="J296" s="954">
        <v>420.36750184869015</v>
      </c>
      <c r="K296" s="954"/>
      <c r="L296" s="920"/>
      <c r="M296" s="917">
        <v>8553.848</v>
      </c>
      <c r="N296" s="917">
        <v>11052.197170359843</v>
      </c>
      <c r="O296" s="1175">
        <v>2985.7</v>
      </c>
      <c r="P296" s="1175">
        <v>3857.7427482395506</v>
      </c>
      <c r="Q296" s="1175">
        <v>634.82000000000005</v>
      </c>
      <c r="R296" s="1175">
        <v>820.23386523677254</v>
      </c>
      <c r="S296" s="1175">
        <v>1113.9000000000001</v>
      </c>
      <c r="T296" s="1175">
        <v>1439.2402609987728</v>
      </c>
      <c r="U296" s="920">
        <v>203.54884999999999</v>
      </c>
      <c r="V296" s="920">
        <v>263</v>
      </c>
      <c r="W296" s="920">
        <v>2081.9254999999998</v>
      </c>
      <c r="X296" s="920">
        <v>2690</v>
      </c>
      <c r="Y296" s="920"/>
      <c r="Z296" s="920"/>
      <c r="AA296" s="920"/>
      <c r="AB296" s="920"/>
      <c r="AC296" s="920"/>
      <c r="AD296" s="920">
        <v>6.4752832131822862</v>
      </c>
      <c r="AE296" s="920"/>
      <c r="AF296" s="920"/>
      <c r="AG296" s="920"/>
      <c r="AH296" s="920"/>
      <c r="AI296" s="920"/>
      <c r="AJ296" s="920"/>
      <c r="AK296" s="920">
        <v>15.881904374985467</v>
      </c>
      <c r="AL296" s="920">
        <v>20.520581917417751</v>
      </c>
      <c r="AM296" s="920">
        <v>17.073809124174574</v>
      </c>
      <c r="AN296" s="920">
        <v>22.060610018960624</v>
      </c>
      <c r="AO296" s="920"/>
      <c r="AP296" s="920"/>
      <c r="AS296" s="1167"/>
      <c r="AT296" s="1167"/>
      <c r="AU296" s="1168"/>
      <c r="AV296" s="1168"/>
      <c r="AW296" s="1169"/>
      <c r="AX296" s="1169"/>
      <c r="AY296" s="1169"/>
      <c r="AZ296" s="1169"/>
      <c r="BA296" s="1799" t="s">
        <v>280</v>
      </c>
      <c r="BB296" s="1802">
        <v>2008</v>
      </c>
      <c r="BC296" s="1799" t="s">
        <v>253</v>
      </c>
      <c r="BD296" s="1799">
        <v>10</v>
      </c>
      <c r="BE296" s="1800">
        <v>35841945.059999995</v>
      </c>
      <c r="BF296" s="1801">
        <v>3.8610886864724067E-2</v>
      </c>
      <c r="BG296" s="1799"/>
      <c r="BH296" s="1799" t="s">
        <v>280</v>
      </c>
      <c r="BI296" s="1799" t="s">
        <v>319</v>
      </c>
      <c r="BJ296" s="1799" t="s">
        <v>51</v>
      </c>
      <c r="BK296" s="1799">
        <v>4</v>
      </c>
      <c r="BL296" s="1800">
        <v>61145279</v>
      </c>
      <c r="BM296" s="1801">
        <v>9.0999999999999998E-2</v>
      </c>
      <c r="BN296" s="1799">
        <v>2014</v>
      </c>
      <c r="BO296" s="1684"/>
      <c r="BP296" s="1696"/>
      <c r="BQ296" s="1169"/>
      <c r="BR296" s="1169"/>
      <c r="BS296" s="1169"/>
      <c r="BT296" s="1169"/>
      <c r="BU296" s="1169"/>
      <c r="BV296" s="1169"/>
      <c r="BW296" s="1169"/>
      <c r="BX296" s="1169"/>
      <c r="BY296" s="1169"/>
      <c r="BZ296" s="1169"/>
      <c r="CA296" s="1169"/>
      <c r="CB296" s="1169"/>
      <c r="CC296" s="1169"/>
      <c r="CD296" s="1169"/>
      <c r="CE296" s="1169"/>
      <c r="CF296" s="1169"/>
      <c r="CG296" s="1169"/>
      <c r="CH296" s="1169"/>
      <c r="CI296" s="1169"/>
      <c r="CJ296" s="1169"/>
      <c r="CK296" s="1169"/>
      <c r="CL296" s="1169"/>
      <c r="CM296" s="1169"/>
      <c r="CN296" s="1169"/>
      <c r="CO296" s="1169"/>
      <c r="CP296" s="1169"/>
      <c r="CQ296" s="1169"/>
      <c r="CR296" s="1169"/>
      <c r="CS296" s="1169"/>
      <c r="CT296" s="1169"/>
      <c r="CU296" s="1169"/>
      <c r="CV296" s="1169"/>
      <c r="CW296" s="1169"/>
      <c r="CX296" s="1169"/>
      <c r="CY296" s="1169"/>
      <c r="CZ296" s="1169"/>
      <c r="DA296" s="1168"/>
      <c r="DB296" s="1168"/>
      <c r="DC296" s="1168"/>
      <c r="DD296" s="1168"/>
      <c r="DE296" s="1168"/>
      <c r="DF296" s="1168"/>
      <c r="DG296" s="1168"/>
      <c r="DH296" s="1168"/>
      <c r="DI296" s="1168"/>
      <c r="DJ296" s="1168"/>
      <c r="DK296" s="1168"/>
      <c r="DL296" s="1168"/>
      <c r="DM296" s="1168"/>
      <c r="DN296" s="1168"/>
      <c r="DO296" s="1168"/>
      <c r="DP296" s="1168"/>
      <c r="DQ296" s="1168"/>
      <c r="DR296" s="1168"/>
      <c r="DS296" s="1168"/>
      <c r="DT296" s="1168"/>
      <c r="DU296" s="1168"/>
      <c r="DV296" s="1168"/>
      <c r="DW296" s="1168"/>
      <c r="DX296" s="1168"/>
      <c r="DY296" s="1168"/>
      <c r="DZ296" s="1168"/>
      <c r="EA296" s="1168"/>
      <c r="EB296" s="1168"/>
      <c r="EC296" s="1168"/>
      <c r="ED296" s="1168"/>
      <c r="EE296" s="1168"/>
      <c r="EF296" s="1168"/>
      <c r="EG296" s="1168"/>
      <c r="EH296" s="1168"/>
      <c r="EI296" s="1170"/>
      <c r="EJ296" s="1170"/>
      <c r="EK296" s="1170"/>
      <c r="EL296" s="1170"/>
      <c r="EM296" s="1170"/>
      <c r="EN296" s="1170"/>
      <c r="EO296" s="1170"/>
      <c r="EP296" s="1170"/>
      <c r="EQ296" s="1170"/>
      <c r="ER296" s="1170"/>
      <c r="ES296" s="1171"/>
      <c r="ET296" s="1171"/>
      <c r="EU296" s="1171"/>
      <c r="EV296" s="1171"/>
      <c r="EW296" s="1171"/>
      <c r="EX296" s="1171"/>
      <c r="EY296" s="1171"/>
      <c r="EZ296" s="1171"/>
      <c r="FA296" s="1171"/>
      <c r="FB296" s="1171"/>
      <c r="FC296" s="1171"/>
      <c r="FD296" s="1171"/>
      <c r="FE296" s="1171"/>
      <c r="FF296" s="1171"/>
      <c r="FG296" s="1171"/>
      <c r="FH296" s="1171"/>
      <c r="FI296" s="1171"/>
      <c r="FJ296" s="1171"/>
      <c r="FK296" s="1171"/>
      <c r="FL296" s="1171"/>
      <c r="FM296" s="1171"/>
      <c r="FN296" s="1171"/>
      <c r="FO296" s="1171"/>
      <c r="FP296" s="1171"/>
    </row>
    <row r="297" spans="1:172" s="607" customFormat="1">
      <c r="A297" s="607">
        <f t="shared" si="8"/>
        <v>1995</v>
      </c>
      <c r="B297" s="607">
        <f t="shared" si="9"/>
        <v>1</v>
      </c>
      <c r="C297" s="666">
        <v>34700</v>
      </c>
      <c r="D297" s="1709">
        <v>0.76631428571428573</v>
      </c>
      <c r="E297" s="1117">
        <v>160.765074</v>
      </c>
      <c r="F297" s="1117">
        <v>209.79</v>
      </c>
      <c r="G297" s="1117"/>
      <c r="H297" s="1117"/>
      <c r="I297" s="959">
        <v>378.74</v>
      </c>
      <c r="J297" s="959">
        <v>494.23585996047871</v>
      </c>
      <c r="K297" s="960"/>
      <c r="L297" s="1121"/>
      <c r="M297" s="916">
        <v>9592.5499999999993</v>
      </c>
      <c r="N297" s="916">
        <v>12517.775250736362</v>
      </c>
      <c r="O297" s="1174">
        <v>3010.3</v>
      </c>
      <c r="P297" s="1174">
        <v>3928.2838074643005</v>
      </c>
      <c r="Q297" s="1174">
        <v>665.93</v>
      </c>
      <c r="R297" s="1174">
        <v>869.00376570597655</v>
      </c>
      <c r="S297" s="1174">
        <v>1155.8</v>
      </c>
      <c r="T297" s="1174">
        <v>1508.2584541963386</v>
      </c>
      <c r="U297" s="1120">
        <v>218.39957142857142</v>
      </c>
      <c r="V297" s="1120">
        <v>285</v>
      </c>
      <c r="W297" s="1120">
        <v>1954.1014285714286</v>
      </c>
      <c r="X297" s="1120">
        <v>2550</v>
      </c>
      <c r="Y297" s="1119"/>
      <c r="Z297" s="1119"/>
      <c r="AA297" s="1119"/>
      <c r="AB297" s="1119"/>
      <c r="AC297" s="1178"/>
      <c r="AD297" s="1178">
        <v>6.5013846762495051</v>
      </c>
      <c r="AE297" s="1178">
        <v>66016.747000000003</v>
      </c>
      <c r="AF297" s="1178">
        <v>86148.396592222518</v>
      </c>
      <c r="AG297" s="1178"/>
      <c r="AH297" s="1178"/>
      <c r="AI297" s="1178"/>
      <c r="AJ297" s="1178"/>
      <c r="AK297" s="919">
        <v>16.549046289353143</v>
      </c>
      <c r="AL297" s="919">
        <v>21.595638496974757</v>
      </c>
      <c r="AM297" s="919">
        <v>18.502172553020976</v>
      </c>
      <c r="AN297" s="919">
        <v>24.144365957858923</v>
      </c>
      <c r="AO297" s="919"/>
      <c r="AP297" s="919"/>
      <c r="AS297" s="1167"/>
      <c r="AT297" s="1167"/>
      <c r="AU297" s="1168"/>
      <c r="AV297" s="1168"/>
      <c r="AW297" s="1169"/>
      <c r="AX297" s="1169"/>
      <c r="AY297" s="1169"/>
      <c r="AZ297" s="1169"/>
      <c r="BA297" s="1799" t="s">
        <v>280</v>
      </c>
      <c r="BB297" s="1802">
        <v>2008</v>
      </c>
      <c r="BC297" s="1799" t="s">
        <v>54</v>
      </c>
      <c r="BD297" s="1799">
        <v>11</v>
      </c>
      <c r="BE297" s="1800">
        <v>33437899.27</v>
      </c>
      <c r="BF297" s="1801">
        <v>3.6021118372530914E-2</v>
      </c>
      <c r="BG297" s="1799"/>
      <c r="BH297" s="1799" t="s">
        <v>280</v>
      </c>
      <c r="BI297" s="1799" t="s">
        <v>319</v>
      </c>
      <c r="BJ297" s="1799" t="s">
        <v>18</v>
      </c>
      <c r="BK297" s="1799">
        <v>5</v>
      </c>
      <c r="BL297" s="1800">
        <v>39026663</v>
      </c>
      <c r="BM297" s="1801">
        <v>5.8000000000000003E-2</v>
      </c>
      <c r="BN297" s="1799">
        <v>2014</v>
      </c>
      <c r="BO297" s="1684"/>
      <c r="BP297" s="1696"/>
      <c r="BQ297" s="1169"/>
      <c r="BR297" s="1169"/>
      <c r="BS297" s="1169"/>
      <c r="BT297" s="1169"/>
      <c r="BU297" s="1169"/>
      <c r="BV297" s="1169"/>
      <c r="BW297" s="1169"/>
      <c r="BX297" s="1169"/>
      <c r="BY297" s="1169"/>
      <c r="BZ297" s="1169"/>
      <c r="CA297" s="1169"/>
      <c r="CB297" s="1169"/>
      <c r="CC297" s="1169"/>
      <c r="CD297" s="1169"/>
      <c r="CE297" s="1169"/>
      <c r="CF297" s="1169"/>
      <c r="CG297" s="1169"/>
      <c r="CH297" s="1169"/>
      <c r="CI297" s="1169"/>
      <c r="CJ297" s="1169"/>
      <c r="CK297" s="1169"/>
      <c r="CL297" s="1169"/>
      <c r="CM297" s="1169"/>
      <c r="CN297" s="1169"/>
      <c r="CO297" s="1169"/>
      <c r="CP297" s="1169"/>
      <c r="CQ297" s="1169"/>
      <c r="CR297" s="1169"/>
      <c r="CS297" s="1169"/>
      <c r="CT297" s="1169"/>
      <c r="CU297" s="1169"/>
      <c r="CV297" s="1169"/>
      <c r="CW297" s="1169"/>
      <c r="CX297" s="1169"/>
      <c r="CY297" s="1169"/>
      <c r="CZ297" s="1169"/>
      <c r="DA297" s="1168"/>
      <c r="DB297" s="1168"/>
      <c r="DC297" s="1168"/>
      <c r="DD297" s="1168"/>
      <c r="DE297" s="1168"/>
      <c r="DF297" s="1168"/>
      <c r="DG297" s="1168"/>
      <c r="DH297" s="1168"/>
      <c r="DI297" s="1168"/>
      <c r="DJ297" s="1168"/>
      <c r="DK297" s="1168"/>
      <c r="DL297" s="1168"/>
      <c r="DM297" s="1168"/>
      <c r="DN297" s="1168"/>
      <c r="DO297" s="1168"/>
      <c r="DP297" s="1168"/>
      <c r="DQ297" s="1168"/>
      <c r="DR297" s="1168"/>
      <c r="DS297" s="1168"/>
      <c r="DT297" s="1168"/>
      <c r="DU297" s="1168"/>
      <c r="DV297" s="1168"/>
      <c r="DW297" s="1168"/>
      <c r="DX297" s="1168"/>
      <c r="DY297" s="1168"/>
      <c r="DZ297" s="1168"/>
      <c r="EA297" s="1168"/>
      <c r="EB297" s="1168"/>
      <c r="EC297" s="1168"/>
      <c r="ED297" s="1168"/>
      <c r="EE297" s="1168"/>
      <c r="EF297" s="1168"/>
      <c r="EG297" s="1168"/>
      <c r="EH297" s="1168"/>
      <c r="EI297" s="1170"/>
      <c r="EJ297" s="1170"/>
      <c r="EK297" s="1170"/>
      <c r="EL297" s="1170"/>
      <c r="EM297" s="1170"/>
      <c r="EN297" s="1170"/>
      <c r="EO297" s="1170"/>
      <c r="EP297" s="1170"/>
      <c r="EQ297" s="1170"/>
      <c r="ER297" s="1170"/>
      <c r="ES297" s="1171"/>
      <c r="ET297" s="1171"/>
      <c r="EU297" s="1171"/>
      <c r="EV297" s="1171"/>
      <c r="EW297" s="1171"/>
      <c r="EX297" s="1171"/>
      <c r="EY297" s="1171"/>
      <c r="EZ297" s="1171"/>
      <c r="FA297" s="1171"/>
      <c r="FB297" s="1171"/>
      <c r="FC297" s="1171"/>
      <c r="FD297" s="1171"/>
      <c r="FE297" s="1171"/>
      <c r="FF297" s="1171"/>
      <c r="FG297" s="1171"/>
      <c r="FH297" s="1171"/>
      <c r="FI297" s="1171"/>
      <c r="FJ297" s="1171"/>
      <c r="FK297" s="1171"/>
      <c r="FL297" s="1171"/>
      <c r="FM297" s="1171"/>
      <c r="FN297" s="1171"/>
      <c r="FO297" s="1171"/>
      <c r="FP297" s="1171"/>
    </row>
    <row r="298" spans="1:172" s="607" customFormat="1">
      <c r="A298" s="607">
        <f t="shared" si="8"/>
        <v>1995</v>
      </c>
      <c r="B298" s="607">
        <f t="shared" si="9"/>
        <v>1</v>
      </c>
      <c r="C298" s="666">
        <v>34731</v>
      </c>
      <c r="D298" s="957">
        <v>0.74529000000000001</v>
      </c>
      <c r="E298" s="920">
        <v>162.4285026</v>
      </c>
      <c r="F298" s="920">
        <v>217.94</v>
      </c>
      <c r="G298" s="920"/>
      <c r="H298" s="920"/>
      <c r="I298" s="954">
        <v>376.4</v>
      </c>
      <c r="J298" s="954">
        <v>505.0383072361094</v>
      </c>
      <c r="K298" s="954"/>
      <c r="L298" s="920"/>
      <c r="M298" s="917">
        <v>8505.4500000000007</v>
      </c>
      <c r="N298" s="917">
        <v>11412.269049631688</v>
      </c>
      <c r="O298" s="1175">
        <v>2877.6</v>
      </c>
      <c r="P298" s="1175">
        <v>3861.0473775308938</v>
      </c>
      <c r="Q298" s="1175">
        <v>579.85</v>
      </c>
      <c r="R298" s="1175">
        <v>778.01929450281102</v>
      </c>
      <c r="S298" s="1175">
        <v>1032.5999999999999</v>
      </c>
      <c r="T298" s="1175">
        <v>1385.5009459405062</v>
      </c>
      <c r="U298" s="920">
        <v>212.40764999999999</v>
      </c>
      <c r="V298" s="920">
        <v>285</v>
      </c>
      <c r="W298" s="920">
        <v>1900.4894999999999</v>
      </c>
      <c r="X298" s="920">
        <v>2550</v>
      </c>
      <c r="Y298" s="920"/>
      <c r="Z298" s="920"/>
      <c r="AA298" s="920"/>
      <c r="AB298" s="920"/>
      <c r="AC298" s="920"/>
      <c r="AD298" s="920">
        <v>6.626098715348208</v>
      </c>
      <c r="AE298" s="920">
        <v>66005.724000000002</v>
      </c>
      <c r="AF298" s="920">
        <v>88563.812744032519</v>
      </c>
      <c r="AG298" s="920"/>
      <c r="AH298" s="920"/>
      <c r="AI298" s="920"/>
      <c r="AJ298" s="920"/>
      <c r="AK298" s="920">
        <v>17.139000034332277</v>
      </c>
      <c r="AL298" s="920">
        <v>22.996417547977668</v>
      </c>
      <c r="AM298" s="920">
        <v>18.882499980926514</v>
      </c>
      <c r="AN298" s="920">
        <v>25.335775310183305</v>
      </c>
      <c r="AO298" s="920"/>
      <c r="AP298" s="920"/>
      <c r="AS298" s="1167"/>
      <c r="AT298" s="1167"/>
      <c r="AU298" s="1168"/>
      <c r="AV298" s="1168"/>
      <c r="AW298" s="1169"/>
      <c r="AX298" s="1169"/>
      <c r="AY298" s="1169"/>
      <c r="AZ298" s="1169"/>
      <c r="BA298" s="1799" t="s">
        <v>280</v>
      </c>
      <c r="BB298" s="1802">
        <v>2008</v>
      </c>
      <c r="BC298" s="1799" t="s">
        <v>21</v>
      </c>
      <c r="BD298" s="1799">
        <v>12</v>
      </c>
      <c r="BE298" s="1800">
        <v>32033099.390000004</v>
      </c>
      <c r="BF298" s="1801">
        <v>3.450779176195054E-2</v>
      </c>
      <c r="BG298" s="1799"/>
      <c r="BH298" s="1799" t="s">
        <v>280</v>
      </c>
      <c r="BI298" s="1799" t="s">
        <v>319</v>
      </c>
      <c r="BJ298" s="1799" t="s">
        <v>26</v>
      </c>
      <c r="BK298" s="1799">
        <v>6</v>
      </c>
      <c r="BL298" s="1800">
        <v>24561816</v>
      </c>
      <c r="BM298" s="1801">
        <v>3.6999999999999998E-2</v>
      </c>
      <c r="BN298" s="1799">
        <v>2014</v>
      </c>
      <c r="BO298" s="1684"/>
      <c r="BP298" s="1696"/>
      <c r="BQ298" s="1169"/>
      <c r="BR298" s="1169"/>
      <c r="BS298" s="1169"/>
      <c r="BT298" s="1169"/>
      <c r="BU298" s="1169"/>
      <c r="BV298" s="1169"/>
      <c r="BW298" s="1169"/>
      <c r="BX298" s="1169"/>
      <c r="BY298" s="1169"/>
      <c r="BZ298" s="1169"/>
      <c r="CA298" s="1169"/>
      <c r="CB298" s="1169"/>
      <c r="CC298" s="1169"/>
      <c r="CD298" s="1169"/>
      <c r="CE298" s="1169"/>
      <c r="CF298" s="1169"/>
      <c r="CG298" s="1169"/>
      <c r="CH298" s="1169"/>
      <c r="CI298" s="1169"/>
      <c r="CJ298" s="1169"/>
      <c r="CK298" s="1169"/>
      <c r="CL298" s="1169"/>
      <c r="CM298" s="1169"/>
      <c r="CN298" s="1169"/>
      <c r="CO298" s="1169"/>
      <c r="CP298" s="1169"/>
      <c r="CQ298" s="1169"/>
      <c r="CR298" s="1169"/>
      <c r="CS298" s="1169"/>
      <c r="CT298" s="1169"/>
      <c r="CU298" s="1169"/>
      <c r="CV298" s="1169"/>
      <c r="CW298" s="1169"/>
      <c r="CX298" s="1169"/>
      <c r="CY298" s="1169"/>
      <c r="CZ298" s="1169"/>
      <c r="DA298" s="1168"/>
      <c r="DB298" s="1168"/>
      <c r="DC298" s="1168"/>
      <c r="DD298" s="1168"/>
      <c r="DE298" s="1168"/>
      <c r="DF298" s="1168"/>
      <c r="DG298" s="1168"/>
      <c r="DH298" s="1168"/>
      <c r="DI298" s="1168"/>
      <c r="DJ298" s="1168"/>
      <c r="DK298" s="1168"/>
      <c r="DL298" s="1168"/>
      <c r="DM298" s="1168"/>
      <c r="DN298" s="1168"/>
      <c r="DO298" s="1168"/>
      <c r="DP298" s="1168"/>
      <c r="DQ298" s="1168"/>
      <c r="DR298" s="1168"/>
      <c r="DS298" s="1168"/>
      <c r="DT298" s="1168"/>
      <c r="DU298" s="1168"/>
      <c r="DV298" s="1168"/>
      <c r="DW298" s="1168"/>
      <c r="DX298" s="1168"/>
      <c r="DY298" s="1168"/>
      <c r="DZ298" s="1168"/>
      <c r="EA298" s="1168"/>
      <c r="EB298" s="1168"/>
      <c r="EC298" s="1168"/>
      <c r="ED298" s="1168"/>
      <c r="EE298" s="1168"/>
      <c r="EF298" s="1168"/>
      <c r="EG298" s="1168"/>
      <c r="EH298" s="1168"/>
      <c r="EI298" s="1170"/>
      <c r="EJ298" s="1170"/>
      <c r="EK298" s="1170"/>
      <c r="EL298" s="1170"/>
      <c r="EM298" s="1170"/>
      <c r="EN298" s="1170"/>
      <c r="EO298" s="1170"/>
      <c r="EP298" s="1170"/>
      <c r="EQ298" s="1170"/>
      <c r="ER298" s="1170"/>
      <c r="ES298" s="1171"/>
      <c r="ET298" s="1171"/>
      <c r="EU298" s="1171"/>
      <c r="EV298" s="1171"/>
      <c r="EW298" s="1171"/>
      <c r="EX298" s="1171"/>
      <c r="EY298" s="1171"/>
      <c r="EZ298" s="1171"/>
      <c r="FA298" s="1171"/>
      <c r="FB298" s="1171"/>
      <c r="FC298" s="1171"/>
      <c r="FD298" s="1171"/>
      <c r="FE298" s="1171"/>
      <c r="FF298" s="1171"/>
      <c r="FG298" s="1171"/>
      <c r="FH298" s="1171"/>
      <c r="FI298" s="1171"/>
      <c r="FJ298" s="1171"/>
      <c r="FK298" s="1171"/>
      <c r="FL298" s="1171"/>
      <c r="FM298" s="1171"/>
      <c r="FN298" s="1171"/>
      <c r="FO298" s="1171"/>
      <c r="FP298" s="1171"/>
    </row>
    <row r="299" spans="1:172" s="607" customFormat="1">
      <c r="A299" s="607">
        <f t="shared" si="8"/>
        <v>1995</v>
      </c>
      <c r="B299" s="607">
        <f t="shared" si="9"/>
        <v>1</v>
      </c>
      <c r="C299" s="666">
        <v>34759</v>
      </c>
      <c r="D299" s="1709">
        <v>0.73461304347826084</v>
      </c>
      <c r="E299" s="1117">
        <v>155.23842834782607</v>
      </c>
      <c r="F299" s="1117">
        <v>211.32</v>
      </c>
      <c r="G299" s="1117"/>
      <c r="H299" s="1117"/>
      <c r="I299" s="959">
        <v>385.37</v>
      </c>
      <c r="J299" s="959">
        <v>524.58910636182316</v>
      </c>
      <c r="K299" s="960"/>
      <c r="L299" s="1121"/>
      <c r="M299" s="916">
        <v>7531.91</v>
      </c>
      <c r="N299" s="916">
        <v>10252.894454933386</v>
      </c>
      <c r="O299" s="1174">
        <v>2924</v>
      </c>
      <c r="P299" s="1174">
        <v>3980.3268209823568</v>
      </c>
      <c r="Q299" s="1174">
        <v>585.55999999999995</v>
      </c>
      <c r="R299" s="1174">
        <v>797.09992246731485</v>
      </c>
      <c r="S299" s="1174">
        <v>1022.6</v>
      </c>
      <c r="T299" s="1174">
        <v>1392.0253786376738</v>
      </c>
      <c r="U299" s="1120">
        <v>209.36471739130434</v>
      </c>
      <c r="V299" s="1120">
        <v>285</v>
      </c>
      <c r="W299" s="1120">
        <v>1873.2632608695651</v>
      </c>
      <c r="X299" s="1120">
        <v>2550</v>
      </c>
      <c r="Y299" s="1119"/>
      <c r="Z299" s="1119"/>
      <c r="AA299" s="1119"/>
      <c r="AB299" s="1119"/>
      <c r="AC299" s="1178"/>
      <c r="AD299" s="1178">
        <v>6.5384615384615383</v>
      </c>
      <c r="AE299" s="1178">
        <v>63007.467999999993</v>
      </c>
      <c r="AF299" s="1178">
        <v>85769.601505672908</v>
      </c>
      <c r="AG299" s="1178"/>
      <c r="AH299" s="1178"/>
      <c r="AI299" s="1178"/>
      <c r="AJ299" s="1178"/>
      <c r="AK299" s="919">
        <v>17.016518883083176</v>
      </c>
      <c r="AL299" s="919">
        <v>23.163921515078219</v>
      </c>
      <c r="AM299" s="919">
        <v>18.48695655491041</v>
      </c>
      <c r="AN299" s="919">
        <v>25.165570798168776</v>
      </c>
      <c r="AO299" s="919"/>
      <c r="AP299" s="919"/>
      <c r="AS299" s="1167"/>
      <c r="AT299" s="1167"/>
      <c r="AU299" s="1168"/>
      <c r="AV299" s="1168"/>
      <c r="AW299" s="1169"/>
      <c r="AX299" s="1169"/>
      <c r="AY299" s="1169"/>
      <c r="AZ299" s="1169"/>
      <c r="BA299" s="1799" t="s">
        <v>280</v>
      </c>
      <c r="BB299" s="1802">
        <v>2008</v>
      </c>
      <c r="BC299" s="1799" t="s">
        <v>32</v>
      </c>
      <c r="BD299" s="1799"/>
      <c r="BE299" s="1800">
        <v>70937809.740000248</v>
      </c>
      <c r="BF299" s="1801">
        <v>7.6418055485476241E-2</v>
      </c>
      <c r="BG299" s="1799"/>
      <c r="BH299" s="1799" t="s">
        <v>280</v>
      </c>
      <c r="BI299" s="1799" t="s">
        <v>319</v>
      </c>
      <c r="BJ299" s="1799" t="s">
        <v>583</v>
      </c>
      <c r="BK299" s="1799">
        <v>7</v>
      </c>
      <c r="BL299" s="1800">
        <v>22232225</v>
      </c>
      <c r="BM299" s="1801">
        <v>3.3000000000000002E-2</v>
      </c>
      <c r="BN299" s="1799">
        <v>2014</v>
      </c>
      <c r="BO299" s="1684"/>
      <c r="BP299" s="1696"/>
      <c r="BQ299" s="1169"/>
      <c r="BR299" s="1169"/>
      <c r="BS299" s="1169"/>
      <c r="BT299" s="1169"/>
      <c r="BU299" s="1169"/>
      <c r="BV299" s="1169"/>
      <c r="BW299" s="1169"/>
      <c r="BX299" s="1169"/>
      <c r="BY299" s="1169"/>
      <c r="BZ299" s="1169"/>
      <c r="CA299" s="1169"/>
      <c r="CB299" s="1169"/>
      <c r="CC299" s="1169"/>
      <c r="CD299" s="1169"/>
      <c r="CE299" s="1169"/>
      <c r="CF299" s="1169"/>
      <c r="CG299" s="1169"/>
      <c r="CH299" s="1169"/>
      <c r="CI299" s="1169"/>
      <c r="CJ299" s="1169"/>
      <c r="CK299" s="1169"/>
      <c r="CL299" s="1169"/>
      <c r="CM299" s="1169"/>
      <c r="CN299" s="1169"/>
      <c r="CO299" s="1169"/>
      <c r="CP299" s="1169"/>
      <c r="CQ299" s="1169"/>
      <c r="CR299" s="1169"/>
      <c r="CS299" s="1169"/>
      <c r="CT299" s="1169"/>
      <c r="CU299" s="1169"/>
      <c r="CV299" s="1169"/>
      <c r="CW299" s="1169"/>
      <c r="CX299" s="1169"/>
      <c r="CY299" s="1169"/>
      <c r="CZ299" s="1169"/>
      <c r="DA299" s="1168"/>
      <c r="DB299" s="1168"/>
      <c r="DC299" s="1168"/>
      <c r="DD299" s="1168"/>
      <c r="DE299" s="1168"/>
      <c r="DF299" s="1168"/>
      <c r="DG299" s="1168"/>
      <c r="DH299" s="1168"/>
      <c r="DI299" s="1168"/>
      <c r="DJ299" s="1168"/>
      <c r="DK299" s="1168"/>
      <c r="DL299" s="1168"/>
      <c r="DM299" s="1168"/>
      <c r="DN299" s="1168"/>
      <c r="DO299" s="1168"/>
      <c r="DP299" s="1168"/>
      <c r="DQ299" s="1168"/>
      <c r="DR299" s="1168"/>
      <c r="DS299" s="1168"/>
      <c r="DT299" s="1168"/>
      <c r="DU299" s="1168"/>
      <c r="DV299" s="1168"/>
      <c r="DW299" s="1168"/>
      <c r="DX299" s="1168"/>
      <c r="DY299" s="1168"/>
      <c r="DZ299" s="1168"/>
      <c r="EA299" s="1168"/>
      <c r="EB299" s="1168"/>
      <c r="EC299" s="1168"/>
      <c r="ED299" s="1168"/>
      <c r="EE299" s="1168"/>
      <c r="EF299" s="1168"/>
      <c r="EG299" s="1168"/>
      <c r="EH299" s="1168"/>
      <c r="EI299" s="1170"/>
      <c r="EJ299" s="1170"/>
      <c r="EK299" s="1170"/>
      <c r="EL299" s="1170"/>
      <c r="EM299" s="1170"/>
      <c r="EN299" s="1170"/>
      <c r="EO299" s="1170"/>
      <c r="EP299" s="1170"/>
      <c r="EQ299" s="1170"/>
      <c r="ER299" s="1170"/>
      <c r="ES299" s="1171"/>
      <c r="ET299" s="1171"/>
      <c r="EU299" s="1171"/>
      <c r="EV299" s="1171"/>
      <c r="EW299" s="1171"/>
      <c r="EX299" s="1171"/>
      <c r="EY299" s="1171"/>
      <c r="EZ299" s="1171"/>
      <c r="FA299" s="1171"/>
      <c r="FB299" s="1171"/>
      <c r="FC299" s="1171"/>
      <c r="FD299" s="1171"/>
      <c r="FE299" s="1171"/>
      <c r="FF299" s="1171"/>
      <c r="FG299" s="1171"/>
      <c r="FH299" s="1171"/>
      <c r="FI299" s="1171"/>
      <c r="FJ299" s="1171"/>
      <c r="FK299" s="1171"/>
      <c r="FL299" s="1171"/>
      <c r="FM299" s="1171"/>
      <c r="FN299" s="1171"/>
      <c r="FO299" s="1171"/>
      <c r="FP299" s="1171"/>
    </row>
    <row r="300" spans="1:172" s="607" customFormat="1">
      <c r="A300" s="607">
        <f t="shared" si="8"/>
        <v>1995</v>
      </c>
      <c r="B300" s="607">
        <f t="shared" si="9"/>
        <v>2</v>
      </c>
      <c r="C300" s="666">
        <v>34790</v>
      </c>
      <c r="D300" s="957">
        <v>0.73606470588235307</v>
      </c>
      <c r="E300" s="920">
        <v>166.89531141176474</v>
      </c>
      <c r="F300" s="920">
        <v>226.74</v>
      </c>
      <c r="G300" s="920"/>
      <c r="H300" s="920"/>
      <c r="I300" s="954">
        <v>389.95</v>
      </c>
      <c r="J300" s="954">
        <v>529.77679391997174</v>
      </c>
      <c r="K300" s="954"/>
      <c r="L300" s="920"/>
      <c r="M300" s="917">
        <v>7397.83</v>
      </c>
      <c r="N300" s="917">
        <v>10050.515859379369</v>
      </c>
      <c r="O300" s="1175">
        <v>2906.6</v>
      </c>
      <c r="P300" s="1175">
        <v>3948.8376181761505</v>
      </c>
      <c r="Q300" s="1175">
        <v>608</v>
      </c>
      <c r="R300" s="1175">
        <v>826.01433697485027</v>
      </c>
      <c r="S300" s="1175">
        <v>1060</v>
      </c>
      <c r="T300" s="1175">
        <v>1440.0907848574691</v>
      </c>
      <c r="U300" s="920">
        <v>236.27677058823534</v>
      </c>
      <c r="V300" s="920">
        <v>321</v>
      </c>
      <c r="W300" s="920">
        <v>1960.8763764705886</v>
      </c>
      <c r="X300" s="920">
        <v>2664</v>
      </c>
      <c r="Y300" s="920"/>
      <c r="Z300" s="920"/>
      <c r="AA300" s="920"/>
      <c r="AB300" s="920"/>
      <c r="AC300" s="920"/>
      <c r="AD300" s="920">
        <v>7.6859843814221129</v>
      </c>
      <c r="AE300" s="920">
        <v>60626.5</v>
      </c>
      <c r="AF300" s="920">
        <v>82365.720724680519</v>
      </c>
      <c r="AG300" s="920"/>
      <c r="AH300" s="920"/>
      <c r="AI300" s="920"/>
      <c r="AJ300" s="920"/>
      <c r="AK300" s="920">
        <v>18.742218865288628</v>
      </c>
      <c r="AL300" s="920">
        <v>25.4627327129094</v>
      </c>
      <c r="AM300" s="920">
        <v>19.065789373297442</v>
      </c>
      <c r="AN300" s="920">
        <v>25.902327908036895</v>
      </c>
      <c r="AO300" s="920"/>
      <c r="AP300" s="920"/>
      <c r="AS300" s="1167"/>
      <c r="AT300" s="1167"/>
      <c r="AU300" s="1168"/>
      <c r="AV300" s="1168"/>
      <c r="AW300" s="1169"/>
      <c r="AX300" s="1169"/>
      <c r="AY300" s="1169"/>
      <c r="AZ300" s="1169"/>
      <c r="BA300" s="1799" t="s">
        <v>280</v>
      </c>
      <c r="BB300" s="1802">
        <v>2008</v>
      </c>
      <c r="BC300" s="1799" t="s">
        <v>249</v>
      </c>
      <c r="BD300" s="1799"/>
      <c r="BE300" s="1800">
        <v>928285982.80000007</v>
      </c>
      <c r="BF300" s="1801"/>
      <c r="BG300" s="1799"/>
      <c r="BH300" s="1799" t="s">
        <v>280</v>
      </c>
      <c r="BI300" s="1799" t="s">
        <v>319</v>
      </c>
      <c r="BJ300" s="1799" t="s">
        <v>21</v>
      </c>
      <c r="BK300" s="1799">
        <v>8</v>
      </c>
      <c r="BL300" s="1800">
        <v>15818131</v>
      </c>
      <c r="BM300" s="1801">
        <v>2.4E-2</v>
      </c>
      <c r="BN300" s="1799">
        <v>2014</v>
      </c>
      <c r="BO300" s="1684"/>
      <c r="BP300" s="1696"/>
      <c r="BQ300" s="1169"/>
      <c r="BR300" s="1169"/>
      <c r="BS300" s="1169"/>
      <c r="BT300" s="1169"/>
      <c r="BU300" s="1169"/>
      <c r="BV300" s="1169"/>
      <c r="BW300" s="1169"/>
      <c r="BX300" s="1169"/>
      <c r="BY300" s="1169"/>
      <c r="BZ300" s="1169"/>
      <c r="CA300" s="1169"/>
      <c r="CB300" s="1169"/>
      <c r="CC300" s="1169"/>
      <c r="CD300" s="1169"/>
      <c r="CE300" s="1169"/>
      <c r="CF300" s="1169"/>
      <c r="CG300" s="1169"/>
      <c r="CH300" s="1169"/>
      <c r="CI300" s="1169"/>
      <c r="CJ300" s="1169"/>
      <c r="CK300" s="1169"/>
      <c r="CL300" s="1169"/>
      <c r="CM300" s="1169"/>
      <c r="CN300" s="1169"/>
      <c r="CO300" s="1169"/>
      <c r="CP300" s="1169"/>
      <c r="CQ300" s="1169"/>
      <c r="CR300" s="1169"/>
      <c r="CS300" s="1169"/>
      <c r="CT300" s="1169"/>
      <c r="CU300" s="1169"/>
      <c r="CV300" s="1169"/>
      <c r="CW300" s="1169"/>
      <c r="CX300" s="1169"/>
      <c r="CY300" s="1169"/>
      <c r="CZ300" s="1169"/>
      <c r="DA300" s="1168"/>
      <c r="DB300" s="1168"/>
      <c r="DC300" s="1168"/>
      <c r="DD300" s="1168"/>
      <c r="DE300" s="1168"/>
      <c r="DF300" s="1168"/>
      <c r="DG300" s="1168"/>
      <c r="DH300" s="1168"/>
      <c r="DI300" s="1168"/>
      <c r="DJ300" s="1168"/>
      <c r="DK300" s="1168"/>
      <c r="DL300" s="1168"/>
      <c r="DM300" s="1168"/>
      <c r="DN300" s="1168"/>
      <c r="DO300" s="1168"/>
      <c r="DP300" s="1168"/>
      <c r="DQ300" s="1168"/>
      <c r="DR300" s="1168"/>
      <c r="DS300" s="1168"/>
      <c r="DT300" s="1168"/>
      <c r="DU300" s="1168"/>
      <c r="DV300" s="1168"/>
      <c r="DW300" s="1168"/>
      <c r="DX300" s="1168"/>
      <c r="DY300" s="1168"/>
      <c r="DZ300" s="1168"/>
      <c r="EA300" s="1168"/>
      <c r="EB300" s="1168"/>
      <c r="EC300" s="1168"/>
      <c r="ED300" s="1168"/>
      <c r="EE300" s="1168"/>
      <c r="EF300" s="1168"/>
      <c r="EG300" s="1168"/>
      <c r="EH300" s="1168"/>
      <c r="EI300" s="1170"/>
      <c r="EJ300" s="1170"/>
      <c r="EK300" s="1170"/>
      <c r="EL300" s="1170"/>
      <c r="EM300" s="1170"/>
      <c r="EN300" s="1170"/>
      <c r="EO300" s="1170"/>
      <c r="EP300" s="1170"/>
      <c r="EQ300" s="1170"/>
      <c r="ER300" s="1170"/>
      <c r="ES300" s="1171"/>
      <c r="ET300" s="1171"/>
      <c r="EU300" s="1171"/>
      <c r="EV300" s="1171"/>
      <c r="EW300" s="1171"/>
      <c r="EX300" s="1171"/>
      <c r="EY300" s="1171"/>
      <c r="EZ300" s="1171"/>
      <c r="FA300" s="1171"/>
      <c r="FB300" s="1171"/>
      <c r="FC300" s="1171"/>
      <c r="FD300" s="1171"/>
      <c r="FE300" s="1171"/>
      <c r="FF300" s="1171"/>
      <c r="FG300" s="1171"/>
      <c r="FH300" s="1171"/>
      <c r="FI300" s="1171"/>
      <c r="FJ300" s="1171"/>
      <c r="FK300" s="1171"/>
      <c r="FL300" s="1171"/>
      <c r="FM300" s="1171"/>
      <c r="FN300" s="1171"/>
      <c r="FO300" s="1171"/>
      <c r="FP300" s="1171"/>
    </row>
    <row r="301" spans="1:172" s="607" customFormat="1">
      <c r="A301" s="607">
        <f t="shared" si="8"/>
        <v>1995</v>
      </c>
      <c r="B301" s="607">
        <f t="shared" si="9"/>
        <v>2</v>
      </c>
      <c r="C301" s="666">
        <v>34820</v>
      </c>
      <c r="D301" s="1709">
        <v>0.72783478260869561</v>
      </c>
      <c r="E301" s="1117">
        <v>170.95383373913043</v>
      </c>
      <c r="F301" s="1117">
        <v>234.88</v>
      </c>
      <c r="G301" s="1117"/>
      <c r="H301" s="1117"/>
      <c r="I301" s="959">
        <v>384.3</v>
      </c>
      <c r="J301" s="959">
        <v>528.00444439134549</v>
      </c>
      <c r="K301" s="960"/>
      <c r="L301" s="1121"/>
      <c r="M301" s="916">
        <v>7232</v>
      </c>
      <c r="N301" s="916">
        <v>9936.3209519599532</v>
      </c>
      <c r="O301" s="1174">
        <v>2774.1</v>
      </c>
      <c r="P301" s="1174">
        <v>3811.4419182566517</v>
      </c>
      <c r="Q301" s="1174">
        <v>596.96</v>
      </c>
      <c r="R301" s="1174">
        <v>820.18613875580945</v>
      </c>
      <c r="S301" s="1174">
        <v>1036.5</v>
      </c>
      <c r="T301" s="1174">
        <v>1424.0869284715834</v>
      </c>
      <c r="U301" s="1120">
        <v>233.63496521739128</v>
      </c>
      <c r="V301" s="1120">
        <v>321</v>
      </c>
      <c r="W301" s="1120">
        <v>1938.9518608695651</v>
      </c>
      <c r="X301" s="1120">
        <v>2664</v>
      </c>
      <c r="Y301" s="1119"/>
      <c r="Z301" s="1119"/>
      <c r="AA301" s="1119"/>
      <c r="AB301" s="1119"/>
      <c r="AC301" s="1178"/>
      <c r="AD301" s="1178">
        <v>7.9293919865508551</v>
      </c>
      <c r="AE301" s="1178">
        <v>63558.617999999995</v>
      </c>
      <c r="AF301" s="1178">
        <v>87325.612238802409</v>
      </c>
      <c r="AG301" s="1178"/>
      <c r="AH301" s="1178"/>
      <c r="AI301" s="1178"/>
      <c r="AJ301" s="1178"/>
      <c r="AK301" s="919">
        <v>18.317353657313756</v>
      </c>
      <c r="AL301" s="919">
        <v>25.166911632968329</v>
      </c>
      <c r="AM301" s="919">
        <v>19.307726513255727</v>
      </c>
      <c r="AN301" s="919">
        <v>26.527622716866091</v>
      </c>
      <c r="AO301" s="919"/>
      <c r="AP301" s="919"/>
      <c r="AS301" s="1167"/>
      <c r="AT301" s="1167"/>
      <c r="AU301" s="1168"/>
      <c r="AV301" s="1168"/>
      <c r="AW301" s="1169"/>
      <c r="AX301" s="1169"/>
      <c r="AY301" s="1169"/>
      <c r="AZ301" s="1169"/>
      <c r="BA301" s="1840" t="s">
        <v>1</v>
      </c>
      <c r="BB301" s="1841">
        <v>2002</v>
      </c>
      <c r="BC301" s="1840" t="s">
        <v>51</v>
      </c>
      <c r="BD301" s="1840">
        <v>1</v>
      </c>
      <c r="BE301" s="1842">
        <v>1029318000</v>
      </c>
      <c r="BF301" s="1801">
        <v>0.26879031588381191</v>
      </c>
      <c r="BG301" s="1799"/>
      <c r="BH301" s="1799" t="s">
        <v>280</v>
      </c>
      <c r="BI301" s="1799" t="s">
        <v>319</v>
      </c>
      <c r="BJ301" s="1799" t="s">
        <v>20</v>
      </c>
      <c r="BK301" s="1799">
        <v>9</v>
      </c>
      <c r="BL301" s="1800">
        <v>15358603</v>
      </c>
      <c r="BM301" s="1801">
        <v>2.3E-2</v>
      </c>
      <c r="BN301" s="1799">
        <v>2014</v>
      </c>
      <c r="BO301" s="1684"/>
      <c r="BP301" s="1696"/>
      <c r="BQ301" s="1169"/>
      <c r="BR301" s="1169"/>
      <c r="BS301" s="1169"/>
      <c r="BT301" s="1169"/>
      <c r="BU301" s="1169"/>
      <c r="BV301" s="1169"/>
      <c r="BW301" s="1169"/>
      <c r="BX301" s="1169"/>
      <c r="BY301" s="1169"/>
      <c r="BZ301" s="1169"/>
      <c r="CA301" s="1169"/>
      <c r="CB301" s="1169"/>
      <c r="CC301" s="1169"/>
      <c r="CD301" s="1169"/>
      <c r="CE301" s="1169"/>
      <c r="CF301" s="1169"/>
      <c r="CG301" s="1169"/>
      <c r="CH301" s="1169"/>
      <c r="CI301" s="1169"/>
      <c r="CJ301" s="1169"/>
      <c r="CK301" s="1169"/>
      <c r="CL301" s="1169"/>
      <c r="CM301" s="1169"/>
      <c r="CN301" s="1169"/>
      <c r="CO301" s="1169"/>
      <c r="CP301" s="1169"/>
      <c r="CQ301" s="1169"/>
      <c r="CR301" s="1169"/>
      <c r="CS301" s="1169"/>
      <c r="CT301" s="1169"/>
      <c r="CU301" s="1169"/>
      <c r="CV301" s="1169"/>
      <c r="CW301" s="1169"/>
      <c r="CX301" s="1169"/>
      <c r="CY301" s="1169"/>
      <c r="CZ301" s="1169"/>
      <c r="DA301" s="1168"/>
      <c r="DB301" s="1168"/>
      <c r="DC301" s="1168"/>
      <c r="DD301" s="1168"/>
      <c r="DE301" s="1168"/>
      <c r="DF301" s="1168"/>
      <c r="DG301" s="1168"/>
      <c r="DH301" s="1168"/>
      <c r="DI301" s="1168"/>
      <c r="DJ301" s="1168"/>
      <c r="DK301" s="1168"/>
      <c r="DL301" s="1168"/>
      <c r="DM301" s="1168"/>
      <c r="DN301" s="1168"/>
      <c r="DO301" s="1168"/>
      <c r="DP301" s="1168"/>
      <c r="DQ301" s="1168"/>
      <c r="DR301" s="1168"/>
      <c r="DS301" s="1168"/>
      <c r="DT301" s="1168"/>
      <c r="DU301" s="1168"/>
      <c r="DV301" s="1168"/>
      <c r="DW301" s="1168"/>
      <c r="DX301" s="1168"/>
      <c r="DY301" s="1168"/>
      <c r="DZ301" s="1168"/>
      <c r="EA301" s="1168"/>
      <c r="EB301" s="1168"/>
      <c r="EC301" s="1168"/>
      <c r="ED301" s="1168"/>
      <c r="EE301" s="1168"/>
      <c r="EF301" s="1168"/>
      <c r="EG301" s="1168"/>
      <c r="EH301" s="1168"/>
      <c r="EI301" s="1170"/>
      <c r="EJ301" s="1170"/>
      <c r="EK301" s="1170"/>
      <c r="EL301" s="1170"/>
      <c r="EM301" s="1170"/>
      <c r="EN301" s="1170"/>
      <c r="EO301" s="1170"/>
      <c r="EP301" s="1170"/>
      <c r="EQ301" s="1170"/>
      <c r="ER301" s="1170"/>
      <c r="ES301" s="1171"/>
      <c r="ET301" s="1171"/>
      <c r="EU301" s="1171"/>
      <c r="EV301" s="1171"/>
      <c r="EW301" s="1171"/>
      <c r="EX301" s="1171"/>
      <c r="EY301" s="1171"/>
      <c r="EZ301" s="1171"/>
      <c r="FA301" s="1171"/>
      <c r="FB301" s="1171"/>
      <c r="FC301" s="1171"/>
      <c r="FD301" s="1171"/>
      <c r="FE301" s="1171"/>
      <c r="FF301" s="1171"/>
      <c r="FG301" s="1171"/>
      <c r="FH301" s="1171"/>
      <c r="FI301" s="1171"/>
      <c r="FJ301" s="1171"/>
      <c r="FK301" s="1171"/>
      <c r="FL301" s="1171"/>
      <c r="FM301" s="1171"/>
      <c r="FN301" s="1171"/>
      <c r="FO301" s="1171"/>
      <c r="FP301" s="1171"/>
    </row>
    <row r="302" spans="1:172" s="607" customFormat="1">
      <c r="A302" s="607">
        <f t="shared" si="8"/>
        <v>1995</v>
      </c>
      <c r="B302" s="607">
        <f t="shared" si="9"/>
        <v>2</v>
      </c>
      <c r="C302" s="666">
        <v>34851</v>
      </c>
      <c r="D302" s="957">
        <v>0.7193272727272727</v>
      </c>
      <c r="E302" s="920">
        <v>174.65266181818183</v>
      </c>
      <c r="F302" s="920">
        <v>242.8</v>
      </c>
      <c r="G302" s="920"/>
      <c r="H302" s="920"/>
      <c r="I302" s="954">
        <v>387.62</v>
      </c>
      <c r="J302" s="954">
        <v>538.8645957081111</v>
      </c>
      <c r="K302" s="954"/>
      <c r="L302" s="920"/>
      <c r="M302" s="917">
        <v>7874.3</v>
      </c>
      <c r="N302" s="917">
        <v>10946.755807193591</v>
      </c>
      <c r="O302" s="1175">
        <v>2994.6</v>
      </c>
      <c r="P302" s="1175">
        <v>4163.0563910724668</v>
      </c>
      <c r="Q302" s="1175">
        <v>611.79999999999995</v>
      </c>
      <c r="R302" s="1175">
        <v>850.51689710082644</v>
      </c>
      <c r="S302" s="1175">
        <v>1010</v>
      </c>
      <c r="T302" s="1175">
        <v>1404.0896797512828</v>
      </c>
      <c r="U302" s="920">
        <v>230.90405454545453</v>
      </c>
      <c r="V302" s="920">
        <v>321</v>
      </c>
      <c r="W302" s="920">
        <v>1916.2878545454546</v>
      </c>
      <c r="X302" s="920">
        <v>2664</v>
      </c>
      <c r="Y302" s="920"/>
      <c r="Z302" s="920"/>
      <c r="AA302" s="920"/>
      <c r="AB302" s="920"/>
      <c r="AC302" s="920"/>
      <c r="AD302" s="920">
        <v>7.9733792016975578</v>
      </c>
      <c r="AE302" s="920">
        <v>62467.341</v>
      </c>
      <c r="AF302" s="920">
        <v>86841.335464954638</v>
      </c>
      <c r="AG302" s="920"/>
      <c r="AH302" s="920"/>
      <c r="AI302" s="920"/>
      <c r="AJ302" s="920"/>
      <c r="AK302" s="920">
        <v>17.345903136513449</v>
      </c>
      <c r="AL302" s="920">
        <v>24.114062950439546</v>
      </c>
      <c r="AM302" s="920">
        <v>18.280909191478383</v>
      </c>
      <c r="AN302" s="920">
        <v>25.413896962599175</v>
      </c>
      <c r="AO302" s="920"/>
      <c r="AP302" s="920"/>
      <c r="AS302" s="1167"/>
      <c r="AT302" s="1167"/>
      <c r="AU302" s="1168"/>
      <c r="AV302" s="1168"/>
      <c r="AW302" s="1169"/>
      <c r="AX302" s="1169"/>
      <c r="AY302" s="1169"/>
      <c r="AZ302" s="1169"/>
      <c r="BA302" s="1840" t="s">
        <v>1</v>
      </c>
      <c r="BB302" s="1841">
        <v>2002</v>
      </c>
      <c r="BC302" s="1840" t="s">
        <v>581</v>
      </c>
      <c r="BD302" s="1840">
        <v>2</v>
      </c>
      <c r="BE302" s="1842">
        <v>875472000</v>
      </c>
      <c r="BF302" s="1801">
        <v>0.22861583633768434</v>
      </c>
      <c r="BG302" s="1799"/>
      <c r="BH302" s="1799" t="s">
        <v>280</v>
      </c>
      <c r="BI302" s="1799" t="s">
        <v>319</v>
      </c>
      <c r="BJ302" s="1799" t="s">
        <v>28</v>
      </c>
      <c r="BK302" s="1799">
        <v>10</v>
      </c>
      <c r="BL302" s="1800">
        <v>14679500</v>
      </c>
      <c r="BM302" s="1801">
        <v>2.1999999999999999E-2</v>
      </c>
      <c r="BN302" s="1799">
        <v>2014</v>
      </c>
      <c r="BO302" s="1684"/>
      <c r="BP302" s="1696"/>
      <c r="BQ302" s="1169"/>
      <c r="BR302" s="1169"/>
      <c r="BS302" s="1169"/>
      <c r="BT302" s="1169"/>
      <c r="BU302" s="1169"/>
      <c r="BV302" s="1169"/>
      <c r="BW302" s="1169"/>
      <c r="BX302" s="1169"/>
      <c r="BY302" s="1169"/>
      <c r="BZ302" s="1169"/>
      <c r="CA302" s="1169"/>
      <c r="CB302" s="1169"/>
      <c r="CC302" s="1169"/>
      <c r="CD302" s="1169"/>
      <c r="CE302" s="1169"/>
      <c r="CF302" s="1169"/>
      <c r="CG302" s="1169"/>
      <c r="CH302" s="1169"/>
      <c r="CI302" s="1169"/>
      <c r="CJ302" s="1169"/>
      <c r="CK302" s="1169"/>
      <c r="CL302" s="1169"/>
      <c r="CM302" s="1169"/>
      <c r="CN302" s="1169"/>
      <c r="CO302" s="1169"/>
      <c r="CP302" s="1169"/>
      <c r="CQ302" s="1169"/>
      <c r="CR302" s="1169"/>
      <c r="CS302" s="1169"/>
      <c r="CT302" s="1169"/>
      <c r="CU302" s="1169"/>
      <c r="CV302" s="1169"/>
      <c r="CW302" s="1169"/>
      <c r="CX302" s="1169"/>
      <c r="CY302" s="1169"/>
      <c r="CZ302" s="1169"/>
      <c r="DA302" s="1168"/>
      <c r="DB302" s="1168"/>
      <c r="DC302" s="1168"/>
      <c r="DD302" s="1168"/>
      <c r="DE302" s="1168"/>
      <c r="DF302" s="1168"/>
      <c r="DG302" s="1168"/>
      <c r="DH302" s="1168"/>
      <c r="DI302" s="1168"/>
      <c r="DJ302" s="1168"/>
      <c r="DK302" s="1168"/>
      <c r="DL302" s="1168"/>
      <c r="DM302" s="1168"/>
      <c r="DN302" s="1168"/>
      <c r="DO302" s="1168"/>
      <c r="DP302" s="1168"/>
      <c r="DQ302" s="1168"/>
      <c r="DR302" s="1168"/>
      <c r="DS302" s="1168"/>
      <c r="DT302" s="1168"/>
      <c r="DU302" s="1168"/>
      <c r="DV302" s="1168"/>
      <c r="DW302" s="1168"/>
      <c r="DX302" s="1168"/>
      <c r="DY302" s="1168"/>
      <c r="DZ302" s="1168"/>
      <c r="EA302" s="1168"/>
      <c r="EB302" s="1168"/>
      <c r="EC302" s="1168"/>
      <c r="ED302" s="1168"/>
      <c r="EE302" s="1168"/>
      <c r="EF302" s="1168"/>
      <c r="EG302" s="1168"/>
      <c r="EH302" s="1168"/>
      <c r="EI302" s="1170"/>
      <c r="EJ302" s="1170"/>
      <c r="EK302" s="1170"/>
      <c r="EL302" s="1170"/>
      <c r="EM302" s="1170"/>
      <c r="EN302" s="1170"/>
      <c r="EO302" s="1170"/>
      <c r="EP302" s="1170"/>
      <c r="EQ302" s="1170"/>
      <c r="ER302" s="1170"/>
      <c r="ES302" s="1171"/>
      <c r="ET302" s="1171"/>
      <c r="EU302" s="1171"/>
      <c r="EV302" s="1171"/>
      <c r="EW302" s="1171"/>
      <c r="EX302" s="1171"/>
      <c r="EY302" s="1171"/>
      <c r="EZ302" s="1171"/>
      <c r="FA302" s="1171"/>
      <c r="FB302" s="1171"/>
      <c r="FC302" s="1171"/>
      <c r="FD302" s="1171"/>
      <c r="FE302" s="1171"/>
      <c r="FF302" s="1171"/>
      <c r="FG302" s="1171"/>
      <c r="FH302" s="1171"/>
      <c r="FI302" s="1171"/>
      <c r="FJ302" s="1171"/>
      <c r="FK302" s="1171"/>
      <c r="FL302" s="1171"/>
      <c r="FM302" s="1171"/>
      <c r="FN302" s="1171"/>
      <c r="FO302" s="1171"/>
      <c r="FP302" s="1171"/>
    </row>
    <row r="303" spans="1:172" s="607" customFormat="1">
      <c r="A303" s="607">
        <f t="shared" si="8"/>
        <v>1995</v>
      </c>
      <c r="B303" s="607">
        <f t="shared" si="9"/>
        <v>3</v>
      </c>
      <c r="C303" s="666">
        <v>34881</v>
      </c>
      <c r="D303" s="1709">
        <v>0.72684285714285723</v>
      </c>
      <c r="E303" s="1117">
        <v>184.92335971428574</v>
      </c>
      <c r="F303" s="1117">
        <v>254.42</v>
      </c>
      <c r="G303" s="1117"/>
      <c r="H303" s="1117"/>
      <c r="I303" s="959">
        <v>386.14</v>
      </c>
      <c r="J303" s="959">
        <v>531.25651054462537</v>
      </c>
      <c r="K303" s="960"/>
      <c r="L303" s="1121"/>
      <c r="M303" s="916">
        <v>8596.57</v>
      </c>
      <c r="N303" s="916">
        <v>11827.27451404312</v>
      </c>
      <c r="O303" s="1174">
        <v>3075.6</v>
      </c>
      <c r="P303" s="1174">
        <v>4231.4510898406015</v>
      </c>
      <c r="Q303" s="1174">
        <v>621.9</v>
      </c>
      <c r="R303" s="1174">
        <v>855.61823149039867</v>
      </c>
      <c r="S303" s="1174">
        <v>1027</v>
      </c>
      <c r="T303" s="1174">
        <v>1412.9601603805104</v>
      </c>
      <c r="U303" s="1120">
        <v>271.83922857142858</v>
      </c>
      <c r="V303" s="1120">
        <v>374</v>
      </c>
      <c r="W303" s="1120">
        <v>1987.9152142857145</v>
      </c>
      <c r="X303" s="1120">
        <v>2735</v>
      </c>
      <c r="Y303" s="1119"/>
      <c r="Z303" s="1119"/>
      <c r="AA303" s="1119"/>
      <c r="AB303" s="1119"/>
      <c r="AC303" s="1178"/>
      <c r="AD303" s="1178">
        <v>7.6518719758226563</v>
      </c>
      <c r="AE303" s="1178">
        <v>60295.81</v>
      </c>
      <c r="AF303" s="1178">
        <v>82955.771536390239</v>
      </c>
      <c r="AG303" s="1178"/>
      <c r="AH303" s="1178"/>
      <c r="AI303" s="1178"/>
      <c r="AJ303" s="1178"/>
      <c r="AK303" s="919">
        <v>15.85952345530192</v>
      </c>
      <c r="AL303" s="919">
        <v>21.819741776983317</v>
      </c>
      <c r="AM303" s="919">
        <v>17.260000047229585</v>
      </c>
      <c r="AN303" s="919">
        <v>23.746535963876468</v>
      </c>
      <c r="AO303" s="919"/>
      <c r="AP303" s="919"/>
      <c r="AS303" s="1167"/>
      <c r="AT303" s="1167"/>
      <c r="AU303" s="1168"/>
      <c r="AV303" s="1168"/>
      <c r="AW303" s="1169"/>
      <c r="AX303" s="1169"/>
      <c r="AY303" s="1169"/>
      <c r="AZ303" s="1169"/>
      <c r="BA303" s="1840" t="s">
        <v>1</v>
      </c>
      <c r="BB303" s="1841">
        <v>2002</v>
      </c>
      <c r="BC303" s="1840" t="s">
        <v>49</v>
      </c>
      <c r="BD303" s="1840">
        <v>3</v>
      </c>
      <c r="BE303" s="1842">
        <v>579074000</v>
      </c>
      <c r="BF303" s="1801">
        <v>0.15121612891264166</v>
      </c>
      <c r="BG303" s="1799"/>
      <c r="BH303" s="1799" t="s">
        <v>280</v>
      </c>
      <c r="BI303" s="1799" t="s">
        <v>319</v>
      </c>
      <c r="BJ303" s="1799" t="s">
        <v>32</v>
      </c>
      <c r="BK303" s="1799"/>
      <c r="BL303" s="1800">
        <v>53700797</v>
      </c>
      <c r="BM303" s="1801">
        <v>0.08</v>
      </c>
      <c r="BN303" s="1799">
        <v>2014</v>
      </c>
      <c r="BO303" s="1684"/>
      <c r="BP303" s="1696"/>
      <c r="BQ303" s="1169"/>
      <c r="BR303" s="1169"/>
      <c r="BS303" s="1169"/>
      <c r="BT303" s="1169"/>
      <c r="BU303" s="1169"/>
      <c r="BV303" s="1169"/>
      <c r="BW303" s="1169"/>
      <c r="BX303" s="1169"/>
      <c r="BY303" s="1169"/>
      <c r="BZ303" s="1169"/>
      <c r="CA303" s="1169"/>
      <c r="CB303" s="1169"/>
      <c r="CC303" s="1169"/>
      <c r="CD303" s="1169"/>
      <c r="CE303" s="1169"/>
      <c r="CF303" s="1169"/>
      <c r="CG303" s="1169"/>
      <c r="CH303" s="1169"/>
      <c r="CI303" s="1169"/>
      <c r="CJ303" s="1169"/>
      <c r="CK303" s="1169"/>
      <c r="CL303" s="1169"/>
      <c r="CM303" s="1169"/>
      <c r="CN303" s="1169"/>
      <c r="CO303" s="1169"/>
      <c r="CP303" s="1169"/>
      <c r="CQ303" s="1169"/>
      <c r="CR303" s="1169"/>
      <c r="CS303" s="1169"/>
      <c r="CT303" s="1169"/>
      <c r="CU303" s="1169"/>
      <c r="CV303" s="1169"/>
      <c r="CW303" s="1169"/>
      <c r="CX303" s="1169"/>
      <c r="CY303" s="1169"/>
      <c r="CZ303" s="1169"/>
      <c r="DA303" s="1168"/>
      <c r="DB303" s="1168"/>
      <c r="DC303" s="1168"/>
      <c r="DD303" s="1168"/>
      <c r="DE303" s="1168"/>
      <c r="DF303" s="1168"/>
      <c r="DG303" s="1168"/>
      <c r="DH303" s="1168"/>
      <c r="DI303" s="1168"/>
      <c r="DJ303" s="1168"/>
      <c r="DK303" s="1168"/>
      <c r="DL303" s="1168"/>
      <c r="DM303" s="1168"/>
      <c r="DN303" s="1168"/>
      <c r="DO303" s="1168"/>
      <c r="DP303" s="1168"/>
      <c r="DQ303" s="1168"/>
      <c r="DR303" s="1168"/>
      <c r="DS303" s="1168"/>
      <c r="DT303" s="1168"/>
      <c r="DU303" s="1168"/>
      <c r="DV303" s="1168"/>
      <c r="DW303" s="1168"/>
      <c r="DX303" s="1168"/>
      <c r="DY303" s="1168"/>
      <c r="DZ303" s="1168"/>
      <c r="EA303" s="1168"/>
      <c r="EB303" s="1168"/>
      <c r="EC303" s="1168"/>
      <c r="ED303" s="1168"/>
      <c r="EE303" s="1168"/>
      <c r="EF303" s="1168"/>
      <c r="EG303" s="1168"/>
      <c r="EH303" s="1168"/>
      <c r="EI303" s="1170"/>
      <c r="EJ303" s="1170"/>
      <c r="EK303" s="1170"/>
      <c r="EL303" s="1170"/>
      <c r="EM303" s="1170"/>
      <c r="EN303" s="1170"/>
      <c r="EO303" s="1170"/>
      <c r="EP303" s="1170"/>
      <c r="EQ303" s="1170"/>
      <c r="ER303" s="1170"/>
      <c r="ES303" s="1171"/>
      <c r="ET303" s="1171"/>
      <c r="EU303" s="1171"/>
      <c r="EV303" s="1171"/>
      <c r="EW303" s="1171"/>
      <c r="EX303" s="1171"/>
      <c r="EY303" s="1171"/>
      <c r="EZ303" s="1171"/>
      <c r="FA303" s="1171"/>
      <c r="FB303" s="1171"/>
      <c r="FC303" s="1171"/>
      <c r="FD303" s="1171"/>
      <c r="FE303" s="1171"/>
      <c r="FF303" s="1171"/>
      <c r="FG303" s="1171"/>
      <c r="FH303" s="1171"/>
      <c r="FI303" s="1171"/>
      <c r="FJ303" s="1171"/>
      <c r="FK303" s="1171"/>
      <c r="FL303" s="1171"/>
      <c r="FM303" s="1171"/>
      <c r="FN303" s="1171"/>
      <c r="FO303" s="1171"/>
      <c r="FP303" s="1171"/>
    </row>
    <row r="304" spans="1:172" s="607" customFormat="1">
      <c r="A304" s="607">
        <f t="shared" si="8"/>
        <v>1995</v>
      </c>
      <c r="B304" s="607">
        <f t="shared" si="9"/>
        <v>3</v>
      </c>
      <c r="C304" s="666">
        <v>34912</v>
      </c>
      <c r="D304" s="957">
        <v>0.74118695652173916</v>
      </c>
      <c r="E304" s="920">
        <v>178.50746660869567</v>
      </c>
      <c r="F304" s="920">
        <v>240.84</v>
      </c>
      <c r="G304" s="920"/>
      <c r="H304" s="920"/>
      <c r="I304" s="954">
        <v>383.5</v>
      </c>
      <c r="J304" s="954">
        <v>503.3</v>
      </c>
      <c r="K304" s="954"/>
      <c r="L304" s="920"/>
      <c r="M304" s="917">
        <v>8944.73</v>
      </c>
      <c r="N304" s="917">
        <v>12068.115771999084</v>
      </c>
      <c r="O304" s="1175">
        <v>3037.6</v>
      </c>
      <c r="P304" s="1175">
        <v>4098.2912250033723</v>
      </c>
      <c r="Q304" s="1175">
        <v>623.76</v>
      </c>
      <c r="R304" s="1175">
        <v>841.56904612460619</v>
      </c>
      <c r="S304" s="1175">
        <v>1014.5</v>
      </c>
      <c r="T304" s="1175">
        <v>1368.7504766150651</v>
      </c>
      <c r="U304" s="920">
        <v>277.20392173913046</v>
      </c>
      <c r="V304" s="920">
        <v>374</v>
      </c>
      <c r="W304" s="920">
        <v>2027.1463260869566</v>
      </c>
      <c r="X304" s="920">
        <v>2735</v>
      </c>
      <c r="Y304" s="920"/>
      <c r="Z304" s="920"/>
      <c r="AA304" s="920"/>
      <c r="AB304" s="920"/>
      <c r="AC304" s="920"/>
      <c r="AD304" s="920">
        <v>7.7804748661726171</v>
      </c>
      <c r="AE304" s="920">
        <v>61861.075999999994</v>
      </c>
      <c r="AF304" s="920">
        <v>83462.175711109667</v>
      </c>
      <c r="AG304" s="920"/>
      <c r="AH304" s="920"/>
      <c r="AI304" s="920"/>
      <c r="AJ304" s="920"/>
      <c r="AK304" s="920">
        <v>16.071299718773883</v>
      </c>
      <c r="AL304" s="920">
        <v>21.683192853519284</v>
      </c>
      <c r="AM304" s="920">
        <v>17.451739186825961</v>
      </c>
      <c r="AN304" s="920">
        <v>23.545664198846566</v>
      </c>
      <c r="AO304" s="920"/>
      <c r="AP304" s="920"/>
      <c r="AS304" s="1167"/>
      <c r="AT304" s="1167"/>
      <c r="AU304" s="1168"/>
      <c r="AV304" s="1168"/>
      <c r="AW304" s="1169"/>
      <c r="AX304" s="1169"/>
      <c r="AY304" s="1169"/>
      <c r="AZ304" s="1169"/>
      <c r="BA304" s="1840" t="s">
        <v>1</v>
      </c>
      <c r="BB304" s="1841">
        <v>2002</v>
      </c>
      <c r="BC304" s="1840" t="s">
        <v>20</v>
      </c>
      <c r="BD304" s="1840">
        <v>4</v>
      </c>
      <c r="BE304" s="1842">
        <v>314995000</v>
      </c>
      <c r="BF304" s="1801">
        <v>8.2256023456134392E-2</v>
      </c>
      <c r="BG304" s="1799"/>
      <c r="BH304" s="1799" t="s">
        <v>280</v>
      </c>
      <c r="BI304" s="1799" t="s">
        <v>319</v>
      </c>
      <c r="BJ304" s="1799" t="s">
        <v>249</v>
      </c>
      <c r="BK304" s="1799"/>
      <c r="BL304" s="1800">
        <v>672500097</v>
      </c>
      <c r="BM304" s="1801"/>
      <c r="BN304" s="1799">
        <v>2014</v>
      </c>
      <c r="BO304" s="1684"/>
      <c r="BP304" s="1696"/>
      <c r="BQ304" s="1169"/>
      <c r="BR304" s="1169"/>
      <c r="BS304" s="1169"/>
      <c r="BT304" s="1169"/>
      <c r="BU304" s="1169"/>
      <c r="BV304" s="1169"/>
      <c r="BW304" s="1169"/>
      <c r="BX304" s="1169"/>
      <c r="BY304" s="1169"/>
      <c r="BZ304" s="1169"/>
      <c r="CA304" s="1169"/>
      <c r="CB304" s="1169"/>
      <c r="CC304" s="1169"/>
      <c r="CD304" s="1169"/>
      <c r="CE304" s="1169"/>
      <c r="CF304" s="1169"/>
      <c r="CG304" s="1169"/>
      <c r="CH304" s="1169"/>
      <c r="CI304" s="1169"/>
      <c r="CJ304" s="1169"/>
      <c r="CK304" s="1169"/>
      <c r="CL304" s="1169"/>
      <c r="CM304" s="1169"/>
      <c r="CN304" s="1169"/>
      <c r="CO304" s="1169"/>
      <c r="CP304" s="1169"/>
      <c r="CQ304" s="1169"/>
      <c r="CR304" s="1169"/>
      <c r="CS304" s="1169"/>
      <c r="CT304" s="1169"/>
      <c r="CU304" s="1169"/>
      <c r="CV304" s="1169"/>
      <c r="CW304" s="1169"/>
      <c r="CX304" s="1169"/>
      <c r="CY304" s="1169"/>
      <c r="CZ304" s="1169"/>
      <c r="DA304" s="1168"/>
      <c r="DB304" s="1168"/>
      <c r="DC304" s="1168"/>
      <c r="DD304" s="1168"/>
      <c r="DE304" s="1168"/>
      <c r="DF304" s="1168"/>
      <c r="DG304" s="1168"/>
      <c r="DH304" s="1168"/>
      <c r="DI304" s="1168"/>
      <c r="DJ304" s="1168"/>
      <c r="DK304" s="1168"/>
      <c r="DL304" s="1168"/>
      <c r="DM304" s="1168"/>
      <c r="DN304" s="1168"/>
      <c r="DO304" s="1168"/>
      <c r="DP304" s="1168"/>
      <c r="DQ304" s="1168"/>
      <c r="DR304" s="1168"/>
      <c r="DS304" s="1168"/>
      <c r="DT304" s="1168"/>
      <c r="DU304" s="1168"/>
      <c r="DV304" s="1168"/>
      <c r="DW304" s="1168"/>
      <c r="DX304" s="1168"/>
      <c r="DY304" s="1168"/>
      <c r="DZ304" s="1168"/>
      <c r="EA304" s="1168"/>
      <c r="EB304" s="1168"/>
      <c r="EC304" s="1168"/>
      <c r="ED304" s="1168"/>
      <c r="EE304" s="1168"/>
      <c r="EF304" s="1168"/>
      <c r="EG304" s="1168"/>
      <c r="EH304" s="1168"/>
      <c r="EI304" s="1170"/>
      <c r="EJ304" s="1170"/>
      <c r="EK304" s="1170"/>
      <c r="EL304" s="1170"/>
      <c r="EM304" s="1170"/>
      <c r="EN304" s="1170"/>
      <c r="EO304" s="1170"/>
      <c r="EP304" s="1170"/>
      <c r="EQ304" s="1170"/>
      <c r="ER304" s="1170"/>
      <c r="ES304" s="1171"/>
      <c r="ET304" s="1171"/>
      <c r="EU304" s="1171"/>
      <c r="EV304" s="1171"/>
      <c r="EW304" s="1171"/>
      <c r="EX304" s="1171"/>
      <c r="EY304" s="1171"/>
      <c r="EZ304" s="1171"/>
      <c r="FA304" s="1171"/>
      <c r="FB304" s="1171"/>
      <c r="FC304" s="1171"/>
      <c r="FD304" s="1171"/>
      <c r="FE304" s="1171"/>
      <c r="FF304" s="1171"/>
      <c r="FG304" s="1171"/>
      <c r="FH304" s="1171"/>
      <c r="FI304" s="1171"/>
      <c r="FJ304" s="1171"/>
      <c r="FK304" s="1171"/>
      <c r="FL304" s="1171"/>
      <c r="FM304" s="1171"/>
      <c r="FN304" s="1171"/>
      <c r="FO304" s="1171"/>
      <c r="FP304" s="1171"/>
    </row>
    <row r="305" spans="1:172" s="607" customFormat="1">
      <c r="A305" s="607">
        <f t="shared" si="8"/>
        <v>1995</v>
      </c>
      <c r="B305" s="607">
        <f t="shared" si="9"/>
        <v>3</v>
      </c>
      <c r="C305" s="666">
        <v>34943</v>
      </c>
      <c r="D305" s="1709">
        <v>0.7541809523809524</v>
      </c>
      <c r="E305" s="1117">
        <v>180.52075276190479</v>
      </c>
      <c r="F305" s="1117">
        <v>239.36</v>
      </c>
      <c r="G305" s="1117"/>
      <c r="H305" s="1117"/>
      <c r="I305" s="959">
        <v>382.93</v>
      </c>
      <c r="J305" s="959">
        <v>510.4</v>
      </c>
      <c r="K305" s="960"/>
      <c r="L305" s="1121"/>
      <c r="M305" s="916">
        <v>8408</v>
      </c>
      <c r="N305" s="916">
        <v>11148.518102261678</v>
      </c>
      <c r="O305" s="1174">
        <v>2915.5</v>
      </c>
      <c r="P305" s="1174">
        <v>3865.7831264443294</v>
      </c>
      <c r="Q305" s="1174">
        <v>592.71</v>
      </c>
      <c r="R305" s="1174">
        <v>785.8989253557944</v>
      </c>
      <c r="S305" s="1174">
        <v>986.57</v>
      </c>
      <c r="T305" s="1174">
        <v>1308.1343368397127</v>
      </c>
      <c r="U305" s="1120">
        <v>282.0636761904762</v>
      </c>
      <c r="V305" s="1120">
        <v>374</v>
      </c>
      <c r="W305" s="1120">
        <v>2062.6849047619048</v>
      </c>
      <c r="X305" s="1120">
        <v>2735</v>
      </c>
      <c r="Y305" s="1119"/>
      <c r="Z305" s="1119"/>
      <c r="AA305" s="1119"/>
      <c r="AB305" s="1119"/>
      <c r="AC305" s="1178"/>
      <c r="AD305" s="1178">
        <v>7.6840226984101463</v>
      </c>
      <c r="AE305" s="1178">
        <v>63734.985999999997</v>
      </c>
      <c r="AF305" s="1178">
        <v>84508.877874452257</v>
      </c>
      <c r="AG305" s="1178"/>
      <c r="AH305" s="1178"/>
      <c r="AI305" s="1178"/>
      <c r="AJ305" s="1178"/>
      <c r="AK305" s="919">
        <v>16.658092498779297</v>
      </c>
      <c r="AL305" s="919">
        <v>22.087660058490776</v>
      </c>
      <c r="AM305" s="919">
        <v>17.496190661475772</v>
      </c>
      <c r="AN305" s="919">
        <v>23.198929389876827</v>
      </c>
      <c r="AO305" s="919"/>
      <c r="AP305" s="919"/>
      <c r="AS305" s="1167"/>
      <c r="AT305" s="1167"/>
      <c r="AU305" s="1168"/>
      <c r="AV305" s="1168"/>
      <c r="AW305" s="1169"/>
      <c r="AX305" s="1169"/>
      <c r="AY305" s="1169"/>
      <c r="AZ305" s="1169"/>
      <c r="BA305" s="1840" t="s">
        <v>1</v>
      </c>
      <c r="BB305" s="1841">
        <v>2002</v>
      </c>
      <c r="BC305" s="1840" t="s">
        <v>592</v>
      </c>
      <c r="BD305" s="1840">
        <v>5</v>
      </c>
      <c r="BE305" s="1842">
        <v>293728000</v>
      </c>
      <c r="BF305" s="1801">
        <v>7.6702478635290852E-2</v>
      </c>
      <c r="BG305" s="1799"/>
      <c r="BH305" s="1799" t="s">
        <v>280</v>
      </c>
      <c r="BI305" s="1799" t="s">
        <v>318</v>
      </c>
      <c r="BJ305" s="1799" t="s">
        <v>15</v>
      </c>
      <c r="BK305" s="1799">
        <v>1</v>
      </c>
      <c r="BL305" s="1800">
        <v>194756189</v>
      </c>
      <c r="BM305" s="1801">
        <v>0.28799999999999998</v>
      </c>
      <c r="BN305" s="1799">
        <v>2013</v>
      </c>
      <c r="BO305" s="1684"/>
      <c r="BP305" s="1696"/>
      <c r="BQ305" s="1169"/>
      <c r="BR305" s="1169"/>
      <c r="BS305" s="1169"/>
      <c r="BT305" s="1169"/>
      <c r="BU305" s="1169"/>
      <c r="BV305" s="1169"/>
      <c r="BW305" s="1169"/>
      <c r="BX305" s="1169"/>
      <c r="BY305" s="1169"/>
      <c r="BZ305" s="1169"/>
      <c r="CA305" s="1169"/>
      <c r="CB305" s="1169"/>
      <c r="CC305" s="1169"/>
      <c r="CD305" s="1169"/>
      <c r="CE305" s="1169"/>
      <c r="CF305" s="1169"/>
      <c r="CG305" s="1169"/>
      <c r="CH305" s="1169"/>
      <c r="CI305" s="1169"/>
      <c r="CJ305" s="1169"/>
      <c r="CK305" s="1169"/>
      <c r="CL305" s="1169"/>
      <c r="CM305" s="1169"/>
      <c r="CN305" s="1169"/>
      <c r="CO305" s="1169"/>
      <c r="CP305" s="1169"/>
      <c r="CQ305" s="1169"/>
      <c r="CR305" s="1169"/>
      <c r="CS305" s="1169"/>
      <c r="CT305" s="1169"/>
      <c r="CU305" s="1169"/>
      <c r="CV305" s="1169"/>
      <c r="CW305" s="1169"/>
      <c r="CX305" s="1169"/>
      <c r="CY305" s="1169"/>
      <c r="CZ305" s="1169"/>
      <c r="DA305" s="1168"/>
      <c r="DB305" s="1168"/>
      <c r="DC305" s="1168"/>
      <c r="DD305" s="1168"/>
      <c r="DE305" s="1168"/>
      <c r="DF305" s="1168"/>
      <c r="DG305" s="1168"/>
      <c r="DH305" s="1168"/>
      <c r="DI305" s="1168"/>
      <c r="DJ305" s="1168"/>
      <c r="DK305" s="1168"/>
      <c r="DL305" s="1168"/>
      <c r="DM305" s="1168"/>
      <c r="DN305" s="1168"/>
      <c r="DO305" s="1168"/>
      <c r="DP305" s="1168"/>
      <c r="DQ305" s="1168"/>
      <c r="DR305" s="1168"/>
      <c r="DS305" s="1168"/>
      <c r="DT305" s="1168"/>
      <c r="DU305" s="1168"/>
      <c r="DV305" s="1168"/>
      <c r="DW305" s="1168"/>
      <c r="DX305" s="1168"/>
      <c r="DY305" s="1168"/>
      <c r="DZ305" s="1168"/>
      <c r="EA305" s="1168"/>
      <c r="EB305" s="1168"/>
      <c r="EC305" s="1168"/>
      <c r="ED305" s="1168"/>
      <c r="EE305" s="1168"/>
      <c r="EF305" s="1168"/>
      <c r="EG305" s="1168"/>
      <c r="EH305" s="1168"/>
      <c r="EI305" s="1170"/>
      <c r="EJ305" s="1170"/>
      <c r="EK305" s="1170"/>
      <c r="EL305" s="1170"/>
      <c r="EM305" s="1170"/>
      <c r="EN305" s="1170"/>
      <c r="EO305" s="1170"/>
      <c r="EP305" s="1170"/>
      <c r="EQ305" s="1170"/>
      <c r="ER305" s="1170"/>
      <c r="ES305" s="1171"/>
      <c r="ET305" s="1171"/>
      <c r="EU305" s="1171"/>
      <c r="EV305" s="1171"/>
      <c r="EW305" s="1171"/>
      <c r="EX305" s="1171"/>
      <c r="EY305" s="1171"/>
      <c r="EZ305" s="1171"/>
      <c r="FA305" s="1171"/>
      <c r="FB305" s="1171"/>
      <c r="FC305" s="1171"/>
      <c r="FD305" s="1171"/>
      <c r="FE305" s="1171"/>
      <c r="FF305" s="1171"/>
      <c r="FG305" s="1171"/>
      <c r="FH305" s="1171"/>
      <c r="FI305" s="1171"/>
      <c r="FJ305" s="1171"/>
      <c r="FK305" s="1171"/>
      <c r="FL305" s="1171"/>
      <c r="FM305" s="1171"/>
      <c r="FN305" s="1171"/>
      <c r="FO305" s="1171"/>
      <c r="FP305" s="1171"/>
    </row>
    <row r="306" spans="1:172" s="607" customFormat="1">
      <c r="A306" s="607">
        <f t="shared" si="8"/>
        <v>1995</v>
      </c>
      <c r="B306" s="607">
        <f t="shared" si="9"/>
        <v>4</v>
      </c>
      <c r="C306" s="666">
        <v>34973</v>
      </c>
      <c r="D306" s="957">
        <v>0.7580318181818182</v>
      </c>
      <c r="E306" s="920">
        <v>173.87733845454545</v>
      </c>
      <c r="F306" s="920">
        <v>229.38</v>
      </c>
      <c r="G306" s="920"/>
      <c r="H306" s="920"/>
      <c r="I306" s="954">
        <v>383.2</v>
      </c>
      <c r="J306" s="954">
        <v>503.6</v>
      </c>
      <c r="K306" s="954"/>
      <c r="L306" s="920"/>
      <c r="M306" s="917">
        <v>8064.8</v>
      </c>
      <c r="N306" s="917">
        <v>10639.13124299172</v>
      </c>
      <c r="O306" s="1175">
        <v>2813.5</v>
      </c>
      <c r="P306" s="1175">
        <v>3711.585625453477</v>
      </c>
      <c r="Q306" s="1175">
        <v>639.09</v>
      </c>
      <c r="R306" s="1175">
        <v>843.09125906204463</v>
      </c>
      <c r="S306" s="1175">
        <v>979.5</v>
      </c>
      <c r="T306" s="1175">
        <v>1292.1621184047203</v>
      </c>
      <c r="U306" s="920">
        <v>325.19565</v>
      </c>
      <c r="V306" s="920">
        <v>429</v>
      </c>
      <c r="W306" s="920">
        <v>2037.5895272727273</v>
      </c>
      <c r="X306" s="920">
        <v>2688</v>
      </c>
      <c r="Y306" s="920"/>
      <c r="Z306" s="920"/>
      <c r="AA306" s="920"/>
      <c r="AB306" s="920"/>
      <c r="AC306" s="920"/>
      <c r="AD306" s="920">
        <v>7.6197212532351664</v>
      </c>
      <c r="AE306" s="920">
        <v>65608.896000000008</v>
      </c>
      <c r="AF306" s="920">
        <v>86551.638633542621</v>
      </c>
      <c r="AG306" s="920"/>
      <c r="AH306" s="920"/>
      <c r="AI306" s="920"/>
      <c r="AJ306" s="920"/>
      <c r="AK306" s="920">
        <v>16.116362268274482</v>
      </c>
      <c r="AL306" s="920">
        <v>21.260799193008125</v>
      </c>
      <c r="AM306" s="920">
        <v>17.28909093683416</v>
      </c>
      <c r="AN306" s="920">
        <v>22.807869699062255</v>
      </c>
      <c r="AO306" s="920"/>
      <c r="AP306" s="920"/>
      <c r="AS306" s="1167"/>
      <c r="AT306" s="1167"/>
      <c r="AU306" s="1168"/>
      <c r="AV306" s="1168"/>
      <c r="AW306" s="1169"/>
      <c r="AX306" s="1169"/>
      <c r="AY306" s="1169"/>
      <c r="AZ306" s="1169"/>
      <c r="BA306" s="1840" t="s">
        <v>1</v>
      </c>
      <c r="BB306" s="1841">
        <v>2002</v>
      </c>
      <c r="BC306" s="1840" t="s">
        <v>18</v>
      </c>
      <c r="BD306" s="1840">
        <v>6</v>
      </c>
      <c r="BE306" s="1842">
        <v>247070000</v>
      </c>
      <c r="BF306" s="1801">
        <v>6.4518470817972101E-2</v>
      </c>
      <c r="BG306" s="1799"/>
      <c r="BH306" s="1799" t="s">
        <v>280</v>
      </c>
      <c r="BI306" s="1799" t="s">
        <v>318</v>
      </c>
      <c r="BJ306" s="1799" t="s">
        <v>431</v>
      </c>
      <c r="BK306" s="1799">
        <v>2</v>
      </c>
      <c r="BL306" s="1800">
        <v>149251517</v>
      </c>
      <c r="BM306" s="1801">
        <v>0.221</v>
      </c>
      <c r="BN306" s="1799">
        <v>2013</v>
      </c>
      <c r="BO306" s="1684"/>
      <c r="BP306" s="1696"/>
      <c r="BQ306" s="1169"/>
      <c r="BR306" s="1169"/>
      <c r="BS306" s="1169"/>
      <c r="BT306" s="1169"/>
      <c r="BU306" s="1169"/>
      <c r="BV306" s="1169"/>
      <c r="BW306" s="1169"/>
      <c r="BX306" s="1169"/>
      <c r="BY306" s="1169"/>
      <c r="BZ306" s="1169"/>
      <c r="CA306" s="1169"/>
      <c r="CB306" s="1169"/>
      <c r="CC306" s="1169"/>
      <c r="CD306" s="1169"/>
      <c r="CE306" s="1169"/>
      <c r="CF306" s="1169"/>
      <c r="CG306" s="1169"/>
      <c r="CH306" s="1169"/>
      <c r="CI306" s="1169"/>
      <c r="CJ306" s="1169"/>
      <c r="CK306" s="1169"/>
      <c r="CL306" s="1169"/>
      <c r="CM306" s="1169"/>
      <c r="CN306" s="1169"/>
      <c r="CO306" s="1169"/>
      <c r="CP306" s="1169"/>
      <c r="CQ306" s="1169"/>
      <c r="CR306" s="1169"/>
      <c r="CS306" s="1169"/>
      <c r="CT306" s="1169"/>
      <c r="CU306" s="1169"/>
      <c r="CV306" s="1169"/>
      <c r="CW306" s="1169"/>
      <c r="CX306" s="1169"/>
      <c r="CY306" s="1169"/>
      <c r="CZ306" s="1169"/>
      <c r="DA306" s="1168"/>
      <c r="DB306" s="1168"/>
      <c r="DC306" s="1168"/>
      <c r="DD306" s="1168"/>
      <c r="DE306" s="1168"/>
      <c r="DF306" s="1168"/>
      <c r="DG306" s="1168"/>
      <c r="DH306" s="1168"/>
      <c r="DI306" s="1168"/>
      <c r="DJ306" s="1168"/>
      <c r="DK306" s="1168"/>
      <c r="DL306" s="1168"/>
      <c r="DM306" s="1168"/>
      <c r="DN306" s="1168"/>
      <c r="DO306" s="1168"/>
      <c r="DP306" s="1168"/>
      <c r="DQ306" s="1168"/>
      <c r="DR306" s="1168"/>
      <c r="DS306" s="1168"/>
      <c r="DT306" s="1168"/>
      <c r="DU306" s="1168"/>
      <c r="DV306" s="1168"/>
      <c r="DW306" s="1168"/>
      <c r="DX306" s="1168"/>
      <c r="DY306" s="1168"/>
      <c r="DZ306" s="1168"/>
      <c r="EA306" s="1168"/>
      <c r="EB306" s="1168"/>
      <c r="EC306" s="1168"/>
      <c r="ED306" s="1168"/>
      <c r="EE306" s="1168"/>
      <c r="EF306" s="1168"/>
      <c r="EG306" s="1168"/>
      <c r="EH306" s="1168"/>
      <c r="EI306" s="1170"/>
      <c r="EJ306" s="1170"/>
      <c r="EK306" s="1170"/>
      <c r="EL306" s="1170"/>
      <c r="EM306" s="1170"/>
      <c r="EN306" s="1170"/>
      <c r="EO306" s="1170"/>
      <c r="EP306" s="1170"/>
      <c r="EQ306" s="1170"/>
      <c r="ER306" s="1170"/>
      <c r="ES306" s="1171"/>
      <c r="ET306" s="1171"/>
      <c r="EU306" s="1171"/>
      <c r="EV306" s="1171"/>
      <c r="EW306" s="1171"/>
      <c r="EX306" s="1171"/>
      <c r="EY306" s="1171"/>
      <c r="EZ306" s="1171"/>
      <c r="FA306" s="1171"/>
      <c r="FB306" s="1171"/>
      <c r="FC306" s="1171"/>
      <c r="FD306" s="1171"/>
      <c r="FE306" s="1171"/>
      <c r="FF306" s="1171"/>
      <c r="FG306" s="1171"/>
      <c r="FH306" s="1171"/>
      <c r="FI306" s="1171"/>
      <c r="FJ306" s="1171"/>
      <c r="FK306" s="1171"/>
      <c r="FL306" s="1171"/>
      <c r="FM306" s="1171"/>
      <c r="FN306" s="1171"/>
      <c r="FO306" s="1171"/>
      <c r="FP306" s="1171"/>
    </row>
    <row r="307" spans="1:172" s="607" customFormat="1">
      <c r="A307" s="607">
        <f t="shared" si="8"/>
        <v>1995</v>
      </c>
      <c r="B307" s="607">
        <f t="shared" si="9"/>
        <v>4</v>
      </c>
      <c r="C307" s="666">
        <v>35004</v>
      </c>
      <c r="D307" s="1709">
        <v>0.74586818181818171</v>
      </c>
      <c r="E307" s="1117">
        <v>181.49210468181818</v>
      </c>
      <c r="F307" s="1117">
        <v>243.33</v>
      </c>
      <c r="G307" s="1117"/>
      <c r="H307" s="1117"/>
      <c r="I307" s="959">
        <v>385.21</v>
      </c>
      <c r="J307" s="959">
        <v>519.6</v>
      </c>
      <c r="K307" s="960"/>
      <c r="L307" s="1121"/>
      <c r="M307" s="916">
        <v>8509</v>
      </c>
      <c r="N307" s="916">
        <v>11408.182045328509</v>
      </c>
      <c r="O307" s="1174">
        <v>2977.3</v>
      </c>
      <c r="P307" s="1174">
        <v>3991.7241043079762</v>
      </c>
      <c r="Q307" s="1174">
        <v>713.59</v>
      </c>
      <c r="R307" s="1174">
        <v>956.72401289528386</v>
      </c>
      <c r="S307" s="1174">
        <v>1031</v>
      </c>
      <c r="T307" s="1174">
        <v>1382.2817826693727</v>
      </c>
      <c r="U307" s="1120">
        <v>319.97744999999998</v>
      </c>
      <c r="V307" s="1120">
        <v>429</v>
      </c>
      <c r="W307" s="1120">
        <v>2004.8936727272724</v>
      </c>
      <c r="X307" s="1120">
        <v>2688</v>
      </c>
      <c r="Y307" s="1119"/>
      <c r="Z307" s="1119"/>
      <c r="AA307" s="1119"/>
      <c r="AB307" s="1119"/>
      <c r="AC307" s="1178"/>
      <c r="AD307" s="1178">
        <v>7.6840226984101463</v>
      </c>
      <c r="AE307" s="1178">
        <v>69742.520999999993</v>
      </c>
      <c r="AF307" s="1178">
        <v>93505.156407115574</v>
      </c>
      <c r="AG307" s="1178"/>
      <c r="AH307" s="1178"/>
      <c r="AI307" s="1178"/>
      <c r="AJ307" s="1178"/>
      <c r="AK307" s="919">
        <v>16.877267317338422</v>
      </c>
      <c r="AL307" s="919">
        <v>22.627681041705234</v>
      </c>
      <c r="AM307" s="919">
        <v>18.20636341788552</v>
      </c>
      <c r="AN307" s="919">
        <v>24.409626072940107</v>
      </c>
      <c r="AO307" s="919"/>
      <c r="AP307" s="919"/>
      <c r="AS307" s="1167"/>
      <c r="AT307" s="1167"/>
      <c r="AU307" s="1168"/>
      <c r="AV307" s="1168"/>
      <c r="AW307" s="1169"/>
      <c r="AX307" s="1169"/>
      <c r="AY307" s="1169"/>
      <c r="AZ307" s="1169"/>
      <c r="BA307" s="1840" t="s">
        <v>1</v>
      </c>
      <c r="BB307" s="1841">
        <v>2002</v>
      </c>
      <c r="BC307" s="1840" t="s">
        <v>583</v>
      </c>
      <c r="BD307" s="1840">
        <v>7</v>
      </c>
      <c r="BE307" s="1842">
        <v>184127000</v>
      </c>
      <c r="BF307" s="1801">
        <v>4.8081889651923539E-2</v>
      </c>
      <c r="BG307" s="1799"/>
      <c r="BH307" s="1799" t="s">
        <v>280</v>
      </c>
      <c r="BI307" s="1799" t="s">
        <v>318</v>
      </c>
      <c r="BJ307" s="1799" t="s">
        <v>23</v>
      </c>
      <c r="BK307" s="1799">
        <v>3</v>
      </c>
      <c r="BL307" s="1800">
        <v>74636151</v>
      </c>
      <c r="BM307" s="1801">
        <v>0.111</v>
      </c>
      <c r="BN307" s="1799">
        <v>2013</v>
      </c>
      <c r="BO307" s="1684"/>
      <c r="BP307" s="1696"/>
      <c r="BQ307" s="1169"/>
      <c r="BR307" s="1169"/>
      <c r="BS307" s="1169"/>
      <c r="BT307" s="1169"/>
      <c r="BU307" s="1169"/>
      <c r="BV307" s="1169"/>
      <c r="BW307" s="1169"/>
      <c r="BX307" s="1169"/>
      <c r="BY307" s="1169"/>
      <c r="BZ307" s="1169"/>
      <c r="CA307" s="1169"/>
      <c r="CB307" s="1169"/>
      <c r="CC307" s="1169"/>
      <c r="CD307" s="1169"/>
      <c r="CE307" s="1169"/>
      <c r="CF307" s="1169"/>
      <c r="CG307" s="1169"/>
      <c r="CH307" s="1169"/>
      <c r="CI307" s="1169"/>
      <c r="CJ307" s="1169"/>
      <c r="CK307" s="1169"/>
      <c r="CL307" s="1169"/>
      <c r="CM307" s="1169"/>
      <c r="CN307" s="1169"/>
      <c r="CO307" s="1169"/>
      <c r="CP307" s="1169"/>
      <c r="CQ307" s="1169"/>
      <c r="CR307" s="1169"/>
      <c r="CS307" s="1169"/>
      <c r="CT307" s="1169"/>
      <c r="CU307" s="1169"/>
      <c r="CV307" s="1169"/>
      <c r="CW307" s="1169"/>
      <c r="CX307" s="1169"/>
      <c r="CY307" s="1169"/>
      <c r="CZ307" s="1169"/>
      <c r="DA307" s="1168"/>
      <c r="DB307" s="1168"/>
      <c r="DC307" s="1168"/>
      <c r="DD307" s="1168"/>
      <c r="DE307" s="1168"/>
      <c r="DF307" s="1168"/>
      <c r="DG307" s="1168"/>
      <c r="DH307" s="1168"/>
      <c r="DI307" s="1168"/>
      <c r="DJ307" s="1168"/>
      <c r="DK307" s="1168"/>
      <c r="DL307" s="1168"/>
      <c r="DM307" s="1168"/>
      <c r="DN307" s="1168"/>
      <c r="DO307" s="1168"/>
      <c r="DP307" s="1168"/>
      <c r="DQ307" s="1168"/>
      <c r="DR307" s="1168"/>
      <c r="DS307" s="1168"/>
      <c r="DT307" s="1168"/>
      <c r="DU307" s="1168"/>
      <c r="DV307" s="1168"/>
      <c r="DW307" s="1168"/>
      <c r="DX307" s="1168"/>
      <c r="DY307" s="1168"/>
      <c r="DZ307" s="1168"/>
      <c r="EA307" s="1168"/>
      <c r="EB307" s="1168"/>
      <c r="EC307" s="1168"/>
      <c r="ED307" s="1168"/>
      <c r="EE307" s="1168"/>
      <c r="EF307" s="1168"/>
      <c r="EG307" s="1168"/>
      <c r="EH307" s="1168"/>
      <c r="EI307" s="1170"/>
      <c r="EJ307" s="1170"/>
      <c r="EK307" s="1170"/>
      <c r="EL307" s="1170"/>
      <c r="EM307" s="1170"/>
      <c r="EN307" s="1170"/>
      <c r="EO307" s="1170"/>
      <c r="EP307" s="1170"/>
      <c r="EQ307" s="1170"/>
      <c r="ER307" s="1170"/>
      <c r="ES307" s="1171"/>
      <c r="ET307" s="1171"/>
      <c r="EU307" s="1171"/>
      <c r="EV307" s="1171"/>
      <c r="EW307" s="1171"/>
      <c r="EX307" s="1171"/>
      <c r="EY307" s="1171"/>
      <c r="EZ307" s="1171"/>
      <c r="FA307" s="1171"/>
      <c r="FB307" s="1171"/>
      <c r="FC307" s="1171"/>
      <c r="FD307" s="1171"/>
      <c r="FE307" s="1171"/>
      <c r="FF307" s="1171"/>
      <c r="FG307" s="1171"/>
      <c r="FH307" s="1171"/>
      <c r="FI307" s="1171"/>
      <c r="FJ307" s="1171"/>
      <c r="FK307" s="1171"/>
      <c r="FL307" s="1171"/>
      <c r="FM307" s="1171"/>
      <c r="FN307" s="1171"/>
      <c r="FO307" s="1171"/>
      <c r="FP307" s="1171"/>
    </row>
    <row r="308" spans="1:172" s="607" customFormat="1">
      <c r="A308" s="607">
        <f t="shared" si="8"/>
        <v>1995</v>
      </c>
      <c r="B308" s="607">
        <f t="shared" si="9"/>
        <v>4</v>
      </c>
      <c r="C308" s="666">
        <v>35034</v>
      </c>
      <c r="D308" s="957">
        <v>0.74157368421052638</v>
      </c>
      <c r="E308" s="920">
        <v>177.56981868421053</v>
      </c>
      <c r="F308" s="920">
        <v>239.45</v>
      </c>
      <c r="G308" s="920"/>
      <c r="H308" s="920"/>
      <c r="I308" s="954">
        <v>387.46</v>
      </c>
      <c r="J308" s="954">
        <v>520.6</v>
      </c>
      <c r="K308" s="954"/>
      <c r="L308" s="920"/>
      <c r="M308" s="917">
        <v>8146</v>
      </c>
      <c r="N308" s="917">
        <v>10984.747940013767</v>
      </c>
      <c r="O308" s="1175">
        <v>2934</v>
      </c>
      <c r="P308" s="1175">
        <v>3956.4510748834268</v>
      </c>
      <c r="Q308" s="1175">
        <v>756</v>
      </c>
      <c r="R308" s="1175">
        <v>1019.4536511969566</v>
      </c>
      <c r="S308" s="1175">
        <v>1023</v>
      </c>
      <c r="T308" s="1175">
        <v>1379.4987899133421</v>
      </c>
      <c r="U308" s="920">
        <v>318.13511052631583</v>
      </c>
      <c r="V308" s="920">
        <v>429</v>
      </c>
      <c r="W308" s="920">
        <v>1993.350063157895</v>
      </c>
      <c r="X308" s="920">
        <v>2688</v>
      </c>
      <c r="Y308" s="920"/>
      <c r="Z308" s="920"/>
      <c r="AA308" s="920"/>
      <c r="AB308" s="920"/>
      <c r="AC308" s="920"/>
      <c r="AD308" s="920">
        <v>7.4911183628852056</v>
      </c>
      <c r="AE308" s="920">
        <v>71847.914000000004</v>
      </c>
      <c r="AF308" s="920">
        <v>96885.738436752566</v>
      </c>
      <c r="AG308" s="920"/>
      <c r="AH308" s="920"/>
      <c r="AI308" s="920"/>
      <c r="AJ308" s="920"/>
      <c r="AK308" s="920">
        <v>17.959997749328615</v>
      </c>
      <c r="AL308" s="920">
        <v>24.218763599262143</v>
      </c>
      <c r="AM308" s="920">
        <v>19.606664748418901</v>
      </c>
      <c r="AN308" s="920">
        <v>26.439267150225273</v>
      </c>
      <c r="AO308" s="920"/>
      <c r="AP308" s="920"/>
      <c r="AS308" s="1167"/>
      <c r="AT308" s="1167"/>
      <c r="AU308" s="1168"/>
      <c r="AV308" s="1168"/>
      <c r="AW308" s="1169"/>
      <c r="AX308" s="1169"/>
      <c r="AY308" s="1169"/>
      <c r="AZ308" s="1169"/>
      <c r="BA308" s="1840" t="s">
        <v>1</v>
      </c>
      <c r="BB308" s="1841">
        <v>2002</v>
      </c>
      <c r="BC308" s="1840" t="s">
        <v>28</v>
      </c>
      <c r="BD308" s="1840">
        <v>8</v>
      </c>
      <c r="BE308" s="1842">
        <v>172653000</v>
      </c>
      <c r="BF308" s="1801">
        <v>4.508563379663795E-2</v>
      </c>
      <c r="BG308" s="1799"/>
      <c r="BH308" s="1799" t="s">
        <v>280</v>
      </c>
      <c r="BI308" s="1799" t="s">
        <v>318</v>
      </c>
      <c r="BJ308" s="1799" t="s">
        <v>54</v>
      </c>
      <c r="BK308" s="1799">
        <v>4</v>
      </c>
      <c r="BL308" s="1800">
        <v>39929734</v>
      </c>
      <c r="BM308" s="1801">
        <v>5.8999999999999997E-2</v>
      </c>
      <c r="BN308" s="1799">
        <v>2013</v>
      </c>
      <c r="BO308" s="1684"/>
      <c r="BP308" s="1696"/>
      <c r="BQ308" s="1169"/>
      <c r="BR308" s="1169"/>
      <c r="BS308" s="1169"/>
      <c r="BT308" s="1169"/>
      <c r="BU308" s="1169"/>
      <c r="BV308" s="1169"/>
      <c r="BW308" s="1169"/>
      <c r="BX308" s="1169"/>
      <c r="BY308" s="1169"/>
      <c r="BZ308" s="1169"/>
      <c r="CA308" s="1169"/>
      <c r="CB308" s="1169"/>
      <c r="CC308" s="1169"/>
      <c r="CD308" s="1169"/>
      <c r="CE308" s="1169"/>
      <c r="CF308" s="1169"/>
      <c r="CG308" s="1169"/>
      <c r="CH308" s="1169"/>
      <c r="CI308" s="1169"/>
      <c r="CJ308" s="1169"/>
      <c r="CK308" s="1169"/>
      <c r="CL308" s="1169"/>
      <c r="CM308" s="1169"/>
      <c r="CN308" s="1169"/>
      <c r="CO308" s="1169"/>
      <c r="CP308" s="1169"/>
      <c r="CQ308" s="1169"/>
      <c r="CR308" s="1169"/>
      <c r="CS308" s="1169"/>
      <c r="CT308" s="1169"/>
      <c r="CU308" s="1169"/>
      <c r="CV308" s="1169"/>
      <c r="CW308" s="1169"/>
      <c r="CX308" s="1169"/>
      <c r="CY308" s="1169"/>
      <c r="CZ308" s="1169"/>
      <c r="DA308" s="1168"/>
      <c r="DB308" s="1168"/>
      <c r="DC308" s="1168"/>
      <c r="DD308" s="1168"/>
      <c r="DE308" s="1168"/>
      <c r="DF308" s="1168"/>
      <c r="DG308" s="1168"/>
      <c r="DH308" s="1168"/>
      <c r="DI308" s="1168"/>
      <c r="DJ308" s="1168"/>
      <c r="DK308" s="1168"/>
      <c r="DL308" s="1168"/>
      <c r="DM308" s="1168"/>
      <c r="DN308" s="1168"/>
      <c r="DO308" s="1168"/>
      <c r="DP308" s="1168"/>
      <c r="DQ308" s="1168"/>
      <c r="DR308" s="1168"/>
      <c r="DS308" s="1168"/>
      <c r="DT308" s="1168"/>
      <c r="DU308" s="1168"/>
      <c r="DV308" s="1168"/>
      <c r="DW308" s="1168"/>
      <c r="DX308" s="1168"/>
      <c r="DY308" s="1168"/>
      <c r="DZ308" s="1168"/>
      <c r="EA308" s="1168"/>
      <c r="EB308" s="1168"/>
      <c r="EC308" s="1168"/>
      <c r="ED308" s="1168"/>
      <c r="EE308" s="1168"/>
      <c r="EF308" s="1168"/>
      <c r="EG308" s="1168"/>
      <c r="EH308" s="1168"/>
      <c r="EI308" s="1170"/>
      <c r="EJ308" s="1170"/>
      <c r="EK308" s="1170"/>
      <c r="EL308" s="1170"/>
      <c r="EM308" s="1170"/>
      <c r="EN308" s="1170"/>
      <c r="EO308" s="1170"/>
      <c r="EP308" s="1170"/>
      <c r="EQ308" s="1170"/>
      <c r="ER308" s="1170"/>
      <c r="ES308" s="1171"/>
      <c r="ET308" s="1171"/>
      <c r="EU308" s="1171"/>
      <c r="EV308" s="1171"/>
      <c r="EW308" s="1171"/>
      <c r="EX308" s="1171"/>
      <c r="EY308" s="1171"/>
      <c r="EZ308" s="1171"/>
      <c r="FA308" s="1171"/>
      <c r="FB308" s="1171"/>
      <c r="FC308" s="1171"/>
      <c r="FD308" s="1171"/>
      <c r="FE308" s="1171"/>
      <c r="FF308" s="1171"/>
      <c r="FG308" s="1171"/>
      <c r="FH308" s="1171"/>
      <c r="FI308" s="1171"/>
      <c r="FJ308" s="1171"/>
      <c r="FK308" s="1171"/>
      <c r="FL308" s="1171"/>
      <c r="FM308" s="1171"/>
      <c r="FN308" s="1171"/>
      <c r="FO308" s="1171"/>
      <c r="FP308" s="1171"/>
    </row>
    <row r="309" spans="1:172" s="607" customFormat="1">
      <c r="A309" s="607">
        <f t="shared" si="8"/>
        <v>1996</v>
      </c>
      <c r="B309" s="607">
        <f t="shared" si="9"/>
        <v>1</v>
      </c>
      <c r="C309" s="666">
        <v>35065</v>
      </c>
      <c r="D309" s="1709">
        <v>0.74198095238095241</v>
      </c>
      <c r="E309" s="1117">
        <v>197.13691923809523</v>
      </c>
      <c r="F309" s="1117">
        <v>265.69</v>
      </c>
      <c r="G309" s="1117"/>
      <c r="H309" s="1117"/>
      <c r="I309" s="959">
        <v>398.7</v>
      </c>
      <c r="J309" s="959">
        <v>544.1</v>
      </c>
      <c r="K309" s="960"/>
      <c r="L309" s="1121"/>
      <c r="M309" s="916">
        <v>7863.4</v>
      </c>
      <c r="N309" s="916">
        <v>10597.846177542742</v>
      </c>
      <c r="O309" s="1174">
        <v>2624.2</v>
      </c>
      <c r="P309" s="1174">
        <v>3536.748472557375</v>
      </c>
      <c r="Q309" s="1174">
        <v>709.74</v>
      </c>
      <c r="R309" s="1174">
        <v>956.54746624223446</v>
      </c>
      <c r="S309" s="1174">
        <v>1018.6</v>
      </c>
      <c r="T309" s="1174">
        <v>1372.8115212815114</v>
      </c>
      <c r="U309" s="1120">
        <v>400.66971428571429</v>
      </c>
      <c r="V309" s="1120">
        <v>540</v>
      </c>
      <c r="W309" s="1120">
        <v>1889.0835047619048</v>
      </c>
      <c r="X309" s="1120">
        <v>2546</v>
      </c>
      <c r="Y309" s="1119"/>
      <c r="Z309" s="1119"/>
      <c r="AA309" s="1119"/>
      <c r="AB309" s="1119"/>
      <c r="AC309" s="1178"/>
      <c r="AD309" s="1178">
        <v>7.9090777565225778</v>
      </c>
      <c r="AE309" s="1178">
        <v>71627.453999999998</v>
      </c>
      <c r="AF309" s="1178">
        <v>96535.435000256708</v>
      </c>
      <c r="AG309" s="1178"/>
      <c r="AH309" s="1178"/>
      <c r="AI309" s="1178"/>
      <c r="AJ309" s="1178"/>
      <c r="AK309" s="919">
        <v>17.943179043856535</v>
      </c>
      <c r="AL309" s="919">
        <v>24.182802787967038</v>
      </c>
      <c r="AM309" s="919">
        <v>20.383910054745883</v>
      </c>
      <c r="AN309" s="919">
        <v>27.472282124407219</v>
      </c>
      <c r="AO309" s="919"/>
      <c r="AP309" s="919"/>
      <c r="AS309" s="1167"/>
      <c r="AT309" s="1167"/>
      <c r="AU309" s="1168"/>
      <c r="AV309" s="1168"/>
      <c r="AW309" s="1169"/>
      <c r="AX309" s="1169"/>
      <c r="AY309" s="1169"/>
      <c r="AZ309" s="1169"/>
      <c r="BA309" s="1840" t="s">
        <v>1</v>
      </c>
      <c r="BB309" s="1841">
        <v>2002</v>
      </c>
      <c r="BC309" s="1840" t="s">
        <v>29</v>
      </c>
      <c r="BD309" s="1840">
        <v>9</v>
      </c>
      <c r="BE309" s="1842">
        <v>60342000</v>
      </c>
      <c r="BF309" s="1801">
        <v>1.5757370648391437E-2</v>
      </c>
      <c r="BG309" s="1799"/>
      <c r="BH309" s="1799" t="s">
        <v>280</v>
      </c>
      <c r="BI309" s="1799" t="s">
        <v>318</v>
      </c>
      <c r="BJ309" s="1799" t="s">
        <v>18</v>
      </c>
      <c r="BK309" s="1799">
        <v>5</v>
      </c>
      <c r="BL309" s="1800">
        <v>38625442</v>
      </c>
      <c r="BM309" s="1801">
        <v>5.7000000000000002E-2</v>
      </c>
      <c r="BN309" s="1799">
        <v>2013</v>
      </c>
      <c r="BO309" s="1684"/>
      <c r="BP309" s="1696"/>
      <c r="BQ309" s="1169"/>
      <c r="BR309" s="1169"/>
      <c r="BS309" s="1169"/>
      <c r="BT309" s="1169"/>
      <c r="BU309" s="1169"/>
      <c r="BV309" s="1169"/>
      <c r="BW309" s="1169"/>
      <c r="BX309" s="1169"/>
      <c r="BY309" s="1169"/>
      <c r="BZ309" s="1169"/>
      <c r="CA309" s="1169"/>
      <c r="CB309" s="1169"/>
      <c r="CC309" s="1169"/>
      <c r="CD309" s="1169"/>
      <c r="CE309" s="1169"/>
      <c r="CF309" s="1169"/>
      <c r="CG309" s="1169"/>
      <c r="CH309" s="1169"/>
      <c r="CI309" s="1169"/>
      <c r="CJ309" s="1169"/>
      <c r="CK309" s="1169"/>
      <c r="CL309" s="1169"/>
      <c r="CM309" s="1169"/>
      <c r="CN309" s="1169"/>
      <c r="CO309" s="1169"/>
      <c r="CP309" s="1169"/>
      <c r="CQ309" s="1169"/>
      <c r="CR309" s="1169"/>
      <c r="CS309" s="1169"/>
      <c r="CT309" s="1169"/>
      <c r="CU309" s="1169"/>
      <c r="CV309" s="1169"/>
      <c r="CW309" s="1169"/>
      <c r="CX309" s="1169"/>
      <c r="CY309" s="1169"/>
      <c r="CZ309" s="1169"/>
      <c r="DA309" s="1168"/>
      <c r="DB309" s="1168"/>
      <c r="DC309" s="1168"/>
      <c r="DD309" s="1168"/>
      <c r="DE309" s="1168"/>
      <c r="DF309" s="1168"/>
      <c r="DG309" s="1168"/>
      <c r="DH309" s="1168"/>
      <c r="DI309" s="1168"/>
      <c r="DJ309" s="1168"/>
      <c r="DK309" s="1168"/>
      <c r="DL309" s="1168"/>
      <c r="DM309" s="1168"/>
      <c r="DN309" s="1168"/>
      <c r="DO309" s="1168"/>
      <c r="DP309" s="1168"/>
      <c r="DQ309" s="1168"/>
      <c r="DR309" s="1168"/>
      <c r="DS309" s="1168"/>
      <c r="DT309" s="1168"/>
      <c r="DU309" s="1168"/>
      <c r="DV309" s="1168"/>
      <c r="DW309" s="1168"/>
      <c r="DX309" s="1168"/>
      <c r="DY309" s="1168"/>
      <c r="DZ309" s="1168"/>
      <c r="EA309" s="1168"/>
      <c r="EB309" s="1168"/>
      <c r="EC309" s="1168"/>
      <c r="ED309" s="1168"/>
      <c r="EE309" s="1168"/>
      <c r="EF309" s="1168"/>
      <c r="EG309" s="1168"/>
      <c r="EH309" s="1168"/>
      <c r="EI309" s="1170"/>
      <c r="EJ309" s="1170"/>
      <c r="EK309" s="1170"/>
      <c r="EL309" s="1170"/>
      <c r="EM309" s="1170"/>
      <c r="EN309" s="1170"/>
      <c r="EO309" s="1170"/>
      <c r="EP309" s="1170"/>
      <c r="EQ309" s="1170"/>
      <c r="ER309" s="1170"/>
      <c r="ES309" s="1171"/>
      <c r="ET309" s="1171"/>
      <c r="EU309" s="1171"/>
      <c r="EV309" s="1171"/>
      <c r="EW309" s="1171"/>
      <c r="EX309" s="1171"/>
      <c r="EY309" s="1171"/>
      <c r="EZ309" s="1171"/>
      <c r="FA309" s="1171"/>
      <c r="FB309" s="1171"/>
      <c r="FC309" s="1171"/>
      <c r="FD309" s="1171"/>
      <c r="FE309" s="1171"/>
      <c r="FF309" s="1171"/>
      <c r="FG309" s="1171"/>
      <c r="FH309" s="1171"/>
      <c r="FI309" s="1171"/>
      <c r="FJ309" s="1171"/>
      <c r="FK309" s="1171"/>
      <c r="FL309" s="1171"/>
      <c r="FM309" s="1171"/>
      <c r="FN309" s="1171"/>
      <c r="FO309" s="1171"/>
      <c r="FP309" s="1171"/>
    </row>
    <row r="310" spans="1:172" s="607" customFormat="1">
      <c r="A310" s="607">
        <f t="shared" si="8"/>
        <v>1996</v>
      </c>
      <c r="B310" s="607">
        <f t="shared" si="9"/>
        <v>1</v>
      </c>
      <c r="C310" s="666">
        <v>35096</v>
      </c>
      <c r="D310" s="957">
        <v>0.7555238095238096</v>
      </c>
      <c r="E310" s="920">
        <v>196.86683904761907</v>
      </c>
      <c r="F310" s="920">
        <v>260.57</v>
      </c>
      <c r="G310" s="920"/>
      <c r="H310" s="920"/>
      <c r="I310" s="954">
        <v>404.92</v>
      </c>
      <c r="J310" s="954">
        <v>525.54999999999995</v>
      </c>
      <c r="K310" s="954"/>
      <c r="L310" s="920"/>
      <c r="M310" s="917">
        <v>8218.6</v>
      </c>
      <c r="N310" s="917">
        <v>10878.015883020294</v>
      </c>
      <c r="O310" s="1175">
        <v>2537.6999999999998</v>
      </c>
      <c r="P310" s="1175">
        <v>3358.8617168788601</v>
      </c>
      <c r="Q310" s="1175">
        <v>769.67</v>
      </c>
      <c r="R310" s="1175">
        <v>1018.723685869154</v>
      </c>
      <c r="S310" s="1175">
        <v>1036.0999999999999</v>
      </c>
      <c r="T310" s="1175">
        <v>1371.3664439682336</v>
      </c>
      <c r="U310" s="920">
        <v>407.9828571428572</v>
      </c>
      <c r="V310" s="920">
        <v>540</v>
      </c>
      <c r="W310" s="920">
        <v>1923.5636190476193</v>
      </c>
      <c r="X310" s="920">
        <v>2546</v>
      </c>
      <c r="Y310" s="920"/>
      <c r="Z310" s="920"/>
      <c r="AA310" s="920"/>
      <c r="AB310" s="920"/>
      <c r="AC310" s="920"/>
      <c r="AD310" s="920">
        <v>8.0055299242850477</v>
      </c>
      <c r="AE310" s="920">
        <v>68364.645999999993</v>
      </c>
      <c r="AF310" s="920">
        <v>90486.421656372098</v>
      </c>
      <c r="AG310" s="920"/>
      <c r="AH310" s="920"/>
      <c r="AI310" s="920"/>
      <c r="AJ310" s="920"/>
      <c r="AK310" s="920">
        <v>17.974285852341424</v>
      </c>
      <c r="AL310" s="920">
        <v>23.79049558169481</v>
      </c>
      <c r="AM310" s="920">
        <v>20.378570738292876</v>
      </c>
      <c r="AN310" s="920">
        <v>26.972771051566266</v>
      </c>
      <c r="AO310" s="920"/>
      <c r="AP310" s="920"/>
      <c r="AS310" s="1167"/>
      <c r="AT310" s="1167"/>
      <c r="AU310" s="1168"/>
      <c r="AV310" s="1168"/>
      <c r="AW310" s="1169"/>
      <c r="AX310" s="1169"/>
      <c r="AY310" s="1169"/>
      <c r="AZ310" s="1169"/>
      <c r="BA310" s="1840" t="s">
        <v>1</v>
      </c>
      <c r="BB310" s="1841">
        <v>2002</v>
      </c>
      <c r="BC310" s="1840" t="s">
        <v>26</v>
      </c>
      <c r="BD310" s="1840">
        <v>10</v>
      </c>
      <c r="BE310" s="1842">
        <v>35869000</v>
      </c>
      <c r="BF310" s="1801">
        <v>9.3666290110893322E-3</v>
      </c>
      <c r="BG310" s="1799"/>
      <c r="BH310" s="1799" t="s">
        <v>280</v>
      </c>
      <c r="BI310" s="1799" t="s">
        <v>318</v>
      </c>
      <c r="BJ310" s="1799" t="s">
        <v>51</v>
      </c>
      <c r="BK310" s="1799">
        <v>6</v>
      </c>
      <c r="BL310" s="1800">
        <v>37228553</v>
      </c>
      <c r="BM310" s="1801">
        <v>5.5E-2</v>
      </c>
      <c r="BN310" s="1799">
        <v>2013</v>
      </c>
      <c r="BO310" s="1684"/>
      <c r="BP310" s="1696"/>
      <c r="BQ310" s="1169"/>
      <c r="BR310" s="1169"/>
      <c r="BS310" s="1169"/>
      <c r="BT310" s="1169"/>
      <c r="BU310" s="1169"/>
      <c r="BV310" s="1169"/>
      <c r="BW310" s="1169"/>
      <c r="BX310" s="1169"/>
      <c r="BY310" s="1169"/>
      <c r="BZ310" s="1169"/>
      <c r="CA310" s="1169"/>
      <c r="CB310" s="1169"/>
      <c r="CC310" s="1169"/>
      <c r="CD310" s="1169"/>
      <c r="CE310" s="1169"/>
      <c r="CF310" s="1169"/>
      <c r="CG310" s="1169"/>
      <c r="CH310" s="1169"/>
      <c r="CI310" s="1169"/>
      <c r="CJ310" s="1169"/>
      <c r="CK310" s="1169"/>
      <c r="CL310" s="1169"/>
      <c r="CM310" s="1169"/>
      <c r="CN310" s="1169"/>
      <c r="CO310" s="1169"/>
      <c r="CP310" s="1169"/>
      <c r="CQ310" s="1169"/>
      <c r="CR310" s="1169"/>
      <c r="CS310" s="1169"/>
      <c r="CT310" s="1169"/>
      <c r="CU310" s="1169"/>
      <c r="CV310" s="1169"/>
      <c r="CW310" s="1169"/>
      <c r="CX310" s="1169"/>
      <c r="CY310" s="1169"/>
      <c r="CZ310" s="1169"/>
      <c r="DA310" s="1168"/>
      <c r="DB310" s="1168"/>
      <c r="DC310" s="1168"/>
      <c r="DD310" s="1168"/>
      <c r="DE310" s="1168"/>
      <c r="DF310" s="1168"/>
      <c r="DG310" s="1168"/>
      <c r="DH310" s="1168"/>
      <c r="DI310" s="1168"/>
      <c r="DJ310" s="1168"/>
      <c r="DK310" s="1168"/>
      <c r="DL310" s="1168"/>
      <c r="DM310" s="1168"/>
      <c r="DN310" s="1168"/>
      <c r="DO310" s="1168"/>
      <c r="DP310" s="1168"/>
      <c r="DQ310" s="1168"/>
      <c r="DR310" s="1168"/>
      <c r="DS310" s="1168"/>
      <c r="DT310" s="1168"/>
      <c r="DU310" s="1168"/>
      <c r="DV310" s="1168"/>
      <c r="DW310" s="1168"/>
      <c r="DX310" s="1168"/>
      <c r="DY310" s="1168"/>
      <c r="DZ310" s="1168"/>
      <c r="EA310" s="1168"/>
      <c r="EB310" s="1168"/>
      <c r="EC310" s="1168"/>
      <c r="ED310" s="1168"/>
      <c r="EE310" s="1168"/>
      <c r="EF310" s="1168"/>
      <c r="EG310" s="1168"/>
      <c r="EH310" s="1168"/>
      <c r="EI310" s="1170"/>
      <c r="EJ310" s="1170"/>
      <c r="EK310" s="1170"/>
      <c r="EL310" s="1170"/>
      <c r="EM310" s="1170"/>
      <c r="EN310" s="1170"/>
      <c r="EO310" s="1170"/>
      <c r="EP310" s="1170"/>
      <c r="EQ310" s="1170"/>
      <c r="ER310" s="1170"/>
      <c r="ES310" s="1171"/>
      <c r="ET310" s="1171"/>
      <c r="EU310" s="1171"/>
      <c r="EV310" s="1171"/>
      <c r="EW310" s="1171"/>
      <c r="EX310" s="1171"/>
      <c r="EY310" s="1171"/>
      <c r="EZ310" s="1171"/>
      <c r="FA310" s="1171"/>
      <c r="FB310" s="1171"/>
      <c r="FC310" s="1171"/>
      <c r="FD310" s="1171"/>
      <c r="FE310" s="1171"/>
      <c r="FF310" s="1171"/>
      <c r="FG310" s="1171"/>
      <c r="FH310" s="1171"/>
      <c r="FI310" s="1171"/>
      <c r="FJ310" s="1171"/>
      <c r="FK310" s="1171"/>
      <c r="FL310" s="1171"/>
      <c r="FM310" s="1171"/>
      <c r="FN310" s="1171"/>
      <c r="FO310" s="1171"/>
      <c r="FP310" s="1171"/>
    </row>
    <row r="311" spans="1:172" s="607" customFormat="1">
      <c r="A311" s="607">
        <f t="shared" si="8"/>
        <v>1996</v>
      </c>
      <c r="B311" s="607">
        <f t="shared" si="9"/>
        <v>1</v>
      </c>
      <c r="C311" s="666">
        <v>35125</v>
      </c>
      <c r="D311" s="1709">
        <v>0.77142857142857124</v>
      </c>
      <c r="E311" s="1117">
        <v>195.30257142857138</v>
      </c>
      <c r="F311" s="1117">
        <v>253.17</v>
      </c>
      <c r="G311" s="1117"/>
      <c r="H311" s="1117"/>
      <c r="I311" s="959">
        <v>396.51</v>
      </c>
      <c r="J311" s="959">
        <v>524.54999999999995</v>
      </c>
      <c r="K311" s="960"/>
      <c r="L311" s="1121"/>
      <c r="M311" s="916">
        <v>8024.2</v>
      </c>
      <c r="N311" s="916">
        <v>10401.740740740743</v>
      </c>
      <c r="O311" s="1174">
        <v>2561</v>
      </c>
      <c r="P311" s="1174">
        <v>3319.8148148148157</v>
      </c>
      <c r="Q311" s="1174">
        <v>817.93</v>
      </c>
      <c r="R311" s="1174">
        <v>1060.2796296296299</v>
      </c>
      <c r="S311" s="1174">
        <v>1064.2</v>
      </c>
      <c r="T311" s="1174">
        <v>1379.5185185185189</v>
      </c>
      <c r="U311" s="1120">
        <v>416.5714285714285</v>
      </c>
      <c r="V311" s="1120">
        <v>540</v>
      </c>
      <c r="W311" s="1120">
        <v>1964.0571428571425</v>
      </c>
      <c r="X311" s="1120">
        <v>2546</v>
      </c>
      <c r="Y311" s="1119"/>
      <c r="Z311" s="1119"/>
      <c r="AA311" s="1119"/>
      <c r="AB311" s="1119"/>
      <c r="AC311" s="1178"/>
      <c r="AD311" s="1178">
        <v>7.6840226984101463</v>
      </c>
      <c r="AE311" s="1178">
        <v>64539.664999999994</v>
      </c>
      <c r="AF311" s="1178">
        <v>83662.52870370372</v>
      </c>
      <c r="AG311" s="1178"/>
      <c r="AH311" s="1178"/>
      <c r="AI311" s="1178"/>
      <c r="AJ311" s="1178"/>
      <c r="AK311" s="919">
        <v>19.988571530296689</v>
      </c>
      <c r="AL311" s="919">
        <v>25.911111242977196</v>
      </c>
      <c r="AM311" s="919">
        <v>20.962380182175409</v>
      </c>
      <c r="AN311" s="919">
        <v>27.173455791708868</v>
      </c>
      <c r="AO311" s="919"/>
      <c r="AP311" s="919"/>
      <c r="AS311" s="1167"/>
      <c r="AT311" s="1167"/>
      <c r="AU311" s="1168"/>
      <c r="AV311" s="1168"/>
      <c r="AW311" s="1169"/>
      <c r="AX311" s="1169"/>
      <c r="AY311" s="1169"/>
      <c r="AZ311" s="1169"/>
      <c r="BA311" s="1840" t="s">
        <v>1</v>
      </c>
      <c r="BB311" s="1841">
        <v>2002</v>
      </c>
      <c r="BC311" s="1840" t="s">
        <v>32</v>
      </c>
      <c r="BD311" s="1840"/>
      <c r="BE311" s="1842">
        <v>36798000</v>
      </c>
      <c r="BF311" s="1801">
        <v>9.6092228484224614E-3</v>
      </c>
      <c r="BG311" s="1799"/>
      <c r="BH311" s="1799" t="s">
        <v>280</v>
      </c>
      <c r="BI311" s="1799" t="s">
        <v>318</v>
      </c>
      <c r="BJ311" s="1799" t="s">
        <v>21</v>
      </c>
      <c r="BK311" s="1799">
        <v>7</v>
      </c>
      <c r="BL311" s="1800">
        <v>21112495</v>
      </c>
      <c r="BM311" s="1801">
        <v>3.1E-2</v>
      </c>
      <c r="BN311" s="1799">
        <v>2013</v>
      </c>
      <c r="BO311" s="1684"/>
      <c r="BP311" s="1696"/>
      <c r="BQ311" s="1169"/>
      <c r="BR311" s="1169"/>
      <c r="BS311" s="1169"/>
      <c r="BT311" s="1169"/>
      <c r="BU311" s="1169"/>
      <c r="BV311" s="1169"/>
      <c r="BW311" s="1169"/>
      <c r="BX311" s="1169"/>
      <c r="BY311" s="1169"/>
      <c r="BZ311" s="1169"/>
      <c r="CA311" s="1169"/>
      <c r="CB311" s="1169"/>
      <c r="CC311" s="1169"/>
      <c r="CD311" s="1169"/>
      <c r="CE311" s="1169"/>
      <c r="CF311" s="1169"/>
      <c r="CG311" s="1169"/>
      <c r="CH311" s="1169"/>
      <c r="CI311" s="1169"/>
      <c r="CJ311" s="1169"/>
      <c r="CK311" s="1169"/>
      <c r="CL311" s="1169"/>
      <c r="CM311" s="1169"/>
      <c r="CN311" s="1169"/>
      <c r="CO311" s="1169"/>
      <c r="CP311" s="1169"/>
      <c r="CQ311" s="1169"/>
      <c r="CR311" s="1169"/>
      <c r="CS311" s="1169"/>
      <c r="CT311" s="1169"/>
      <c r="CU311" s="1169"/>
      <c r="CV311" s="1169"/>
      <c r="CW311" s="1169"/>
      <c r="CX311" s="1169"/>
      <c r="CY311" s="1169"/>
      <c r="CZ311" s="1169"/>
      <c r="DA311" s="1168"/>
      <c r="DB311" s="1168"/>
      <c r="DC311" s="1168"/>
      <c r="DD311" s="1168"/>
      <c r="DE311" s="1168"/>
      <c r="DF311" s="1168"/>
      <c r="DG311" s="1168"/>
      <c r="DH311" s="1168"/>
      <c r="DI311" s="1168"/>
      <c r="DJ311" s="1168"/>
      <c r="DK311" s="1168"/>
      <c r="DL311" s="1168"/>
      <c r="DM311" s="1168"/>
      <c r="DN311" s="1168"/>
      <c r="DO311" s="1168"/>
      <c r="DP311" s="1168"/>
      <c r="DQ311" s="1168"/>
      <c r="DR311" s="1168"/>
      <c r="DS311" s="1168"/>
      <c r="DT311" s="1168"/>
      <c r="DU311" s="1168"/>
      <c r="DV311" s="1168"/>
      <c r="DW311" s="1168"/>
      <c r="DX311" s="1168"/>
      <c r="DY311" s="1168"/>
      <c r="DZ311" s="1168"/>
      <c r="EA311" s="1168"/>
      <c r="EB311" s="1168"/>
      <c r="EC311" s="1168"/>
      <c r="ED311" s="1168"/>
      <c r="EE311" s="1168"/>
      <c r="EF311" s="1168"/>
      <c r="EG311" s="1168"/>
      <c r="EH311" s="1168"/>
      <c r="EI311" s="1170"/>
      <c r="EJ311" s="1170"/>
      <c r="EK311" s="1170"/>
      <c r="EL311" s="1170"/>
      <c r="EM311" s="1170"/>
      <c r="EN311" s="1170"/>
      <c r="EO311" s="1170"/>
      <c r="EP311" s="1170"/>
      <c r="EQ311" s="1170"/>
      <c r="ER311" s="1170"/>
      <c r="ES311" s="1171"/>
      <c r="ET311" s="1171"/>
      <c r="EU311" s="1171"/>
      <c r="EV311" s="1171"/>
      <c r="EW311" s="1171"/>
      <c r="EX311" s="1171"/>
      <c r="EY311" s="1171"/>
      <c r="EZ311" s="1171"/>
      <c r="FA311" s="1171"/>
      <c r="FB311" s="1171"/>
      <c r="FC311" s="1171"/>
      <c r="FD311" s="1171"/>
      <c r="FE311" s="1171"/>
      <c r="FF311" s="1171"/>
      <c r="FG311" s="1171"/>
      <c r="FH311" s="1171"/>
      <c r="FI311" s="1171"/>
      <c r="FJ311" s="1171"/>
      <c r="FK311" s="1171"/>
      <c r="FL311" s="1171"/>
      <c r="FM311" s="1171"/>
      <c r="FN311" s="1171"/>
      <c r="FO311" s="1171"/>
      <c r="FP311" s="1171"/>
    </row>
    <row r="312" spans="1:172" s="607" customFormat="1">
      <c r="A312" s="607">
        <f t="shared" si="8"/>
        <v>1996</v>
      </c>
      <c r="B312" s="607">
        <f t="shared" si="9"/>
        <v>2</v>
      </c>
      <c r="C312" s="666">
        <v>35156</v>
      </c>
      <c r="D312" s="957">
        <v>0.7868421052631579</v>
      </c>
      <c r="E312" s="920">
        <v>195.36502631578946</v>
      </c>
      <c r="F312" s="920">
        <v>248.29</v>
      </c>
      <c r="G312" s="920"/>
      <c r="H312" s="920"/>
      <c r="I312" s="954">
        <v>392.87</v>
      </c>
      <c r="J312" s="954">
        <v>496.45</v>
      </c>
      <c r="K312" s="954"/>
      <c r="L312" s="920"/>
      <c r="M312" s="917">
        <v>8044.1</v>
      </c>
      <c r="N312" s="917">
        <v>10223.270903010034</v>
      </c>
      <c r="O312" s="1175">
        <v>2585.9</v>
      </c>
      <c r="P312" s="1175">
        <v>3286.4280936454852</v>
      </c>
      <c r="Q312" s="1175">
        <v>815.36</v>
      </c>
      <c r="R312" s="1175">
        <v>1036.2434782608696</v>
      </c>
      <c r="S312" s="1175">
        <v>1046.3</v>
      </c>
      <c r="T312" s="1175">
        <v>1329.7458193979933</v>
      </c>
      <c r="U312" s="920">
        <v>446.92631578947368</v>
      </c>
      <c r="V312" s="920">
        <v>568</v>
      </c>
      <c r="W312" s="920">
        <v>1828.621052631579</v>
      </c>
      <c r="X312" s="920">
        <v>2324</v>
      </c>
      <c r="Y312" s="920"/>
      <c r="Z312" s="920"/>
      <c r="AA312" s="920"/>
      <c r="AB312" s="920"/>
      <c r="AC312" s="920"/>
      <c r="AD312" s="920">
        <v>7.3946661951227357</v>
      </c>
      <c r="AE312" s="920">
        <v>63272.02</v>
      </c>
      <c r="AF312" s="920">
        <v>80412.60066889631</v>
      </c>
      <c r="AG312" s="920"/>
      <c r="AH312" s="920"/>
      <c r="AI312" s="920"/>
      <c r="AJ312" s="920"/>
      <c r="AK312" s="920">
        <v>21.014285768781388</v>
      </c>
      <c r="AL312" s="920">
        <v>26.707119037247249</v>
      </c>
      <c r="AM312" s="920">
        <v>20.609522319975355</v>
      </c>
      <c r="AN312" s="920">
        <v>26.192703951808141</v>
      </c>
      <c r="AO312" s="920"/>
      <c r="AP312" s="920"/>
      <c r="AS312" s="1167"/>
      <c r="AT312" s="1167"/>
      <c r="AU312" s="1168"/>
      <c r="AV312" s="1168"/>
      <c r="AW312" s="1169"/>
      <c r="AX312" s="1169"/>
      <c r="AY312" s="1169"/>
      <c r="AZ312" s="1169"/>
      <c r="BA312" s="1840" t="s">
        <v>1</v>
      </c>
      <c r="BB312" s="1841">
        <v>2002</v>
      </c>
      <c r="BC312" s="1840" t="s">
        <v>249</v>
      </c>
      <c r="BD312" s="1840"/>
      <c r="BE312" s="1842">
        <v>3829446000</v>
      </c>
      <c r="BF312" s="1801">
        <v>1</v>
      </c>
      <c r="BG312" s="1799"/>
      <c r="BH312" s="1799" t="s">
        <v>280</v>
      </c>
      <c r="BI312" s="1799" t="s">
        <v>318</v>
      </c>
      <c r="BJ312" s="1799" t="s">
        <v>583</v>
      </c>
      <c r="BK312" s="1799">
        <v>8</v>
      </c>
      <c r="BL312" s="1800">
        <v>20134229</v>
      </c>
      <c r="BM312" s="1801">
        <v>0.03</v>
      </c>
      <c r="BN312" s="1799">
        <v>2013</v>
      </c>
      <c r="BO312" s="1684"/>
      <c r="BP312" s="1696"/>
      <c r="BQ312" s="1169"/>
      <c r="BR312" s="1169"/>
      <c r="BS312" s="1169"/>
      <c r="BT312" s="1169"/>
      <c r="BU312" s="1169"/>
      <c r="BV312" s="1169"/>
      <c r="BW312" s="1169"/>
      <c r="BX312" s="1169"/>
      <c r="BY312" s="1169"/>
      <c r="BZ312" s="1169"/>
      <c r="CA312" s="1169"/>
      <c r="CB312" s="1169"/>
      <c r="CC312" s="1169"/>
      <c r="CD312" s="1169"/>
      <c r="CE312" s="1169"/>
      <c r="CF312" s="1169"/>
      <c r="CG312" s="1169"/>
      <c r="CH312" s="1169"/>
      <c r="CI312" s="1169"/>
      <c r="CJ312" s="1169"/>
      <c r="CK312" s="1169"/>
      <c r="CL312" s="1169"/>
      <c r="CM312" s="1169"/>
      <c r="CN312" s="1169"/>
      <c r="CO312" s="1169"/>
      <c r="CP312" s="1169"/>
      <c r="CQ312" s="1169"/>
      <c r="CR312" s="1169"/>
      <c r="CS312" s="1169"/>
      <c r="CT312" s="1169"/>
      <c r="CU312" s="1169"/>
      <c r="CV312" s="1169"/>
      <c r="CW312" s="1169"/>
      <c r="CX312" s="1169"/>
      <c r="CY312" s="1169"/>
      <c r="CZ312" s="1169"/>
      <c r="DA312" s="1168"/>
      <c r="DB312" s="1168"/>
      <c r="DC312" s="1168"/>
      <c r="DD312" s="1168"/>
      <c r="DE312" s="1168"/>
      <c r="DF312" s="1168"/>
      <c r="DG312" s="1168"/>
      <c r="DH312" s="1168"/>
      <c r="DI312" s="1168"/>
      <c r="DJ312" s="1168"/>
      <c r="DK312" s="1168"/>
      <c r="DL312" s="1168"/>
      <c r="DM312" s="1168"/>
      <c r="DN312" s="1168"/>
      <c r="DO312" s="1168"/>
      <c r="DP312" s="1168"/>
      <c r="DQ312" s="1168"/>
      <c r="DR312" s="1168"/>
      <c r="DS312" s="1168"/>
      <c r="DT312" s="1168"/>
      <c r="DU312" s="1168"/>
      <c r="DV312" s="1168"/>
      <c r="DW312" s="1168"/>
      <c r="DX312" s="1168"/>
      <c r="DY312" s="1168"/>
      <c r="DZ312" s="1168"/>
      <c r="EA312" s="1168"/>
      <c r="EB312" s="1168"/>
      <c r="EC312" s="1168"/>
      <c r="ED312" s="1168"/>
      <c r="EE312" s="1168"/>
      <c r="EF312" s="1168"/>
      <c r="EG312" s="1168"/>
      <c r="EH312" s="1168"/>
      <c r="EI312" s="1170"/>
      <c r="EJ312" s="1170"/>
      <c r="EK312" s="1170"/>
      <c r="EL312" s="1170"/>
      <c r="EM312" s="1170"/>
      <c r="EN312" s="1170"/>
      <c r="EO312" s="1170"/>
      <c r="EP312" s="1170"/>
      <c r="EQ312" s="1170"/>
      <c r="ER312" s="1170"/>
      <c r="ES312" s="1171"/>
      <c r="ET312" s="1171"/>
      <c r="EU312" s="1171"/>
      <c r="EV312" s="1171"/>
      <c r="EW312" s="1171"/>
      <c r="EX312" s="1171"/>
      <c r="EY312" s="1171"/>
      <c r="EZ312" s="1171"/>
      <c r="FA312" s="1171"/>
      <c r="FB312" s="1171"/>
      <c r="FC312" s="1171"/>
      <c r="FD312" s="1171"/>
      <c r="FE312" s="1171"/>
      <c r="FF312" s="1171"/>
      <c r="FG312" s="1171"/>
      <c r="FH312" s="1171"/>
      <c r="FI312" s="1171"/>
      <c r="FJ312" s="1171"/>
      <c r="FK312" s="1171"/>
      <c r="FL312" s="1171"/>
      <c r="FM312" s="1171"/>
      <c r="FN312" s="1171"/>
      <c r="FO312" s="1171"/>
      <c r="FP312" s="1171"/>
    </row>
    <row r="313" spans="1:172" s="607" customFormat="1">
      <c r="A313" s="607">
        <f t="shared" si="8"/>
        <v>1996</v>
      </c>
      <c r="B313" s="607">
        <f t="shared" si="9"/>
        <v>2</v>
      </c>
      <c r="C313" s="666">
        <v>35186</v>
      </c>
      <c r="D313" s="1709">
        <v>0.79696956521739137</v>
      </c>
      <c r="E313" s="1117">
        <v>199.67275486956524</v>
      </c>
      <c r="F313" s="1117">
        <v>250.54</v>
      </c>
      <c r="G313" s="1117"/>
      <c r="H313" s="1117"/>
      <c r="I313" s="959">
        <v>391.99</v>
      </c>
      <c r="J313" s="959">
        <v>490.95</v>
      </c>
      <c r="K313" s="960"/>
      <c r="L313" s="1121"/>
      <c r="M313" s="916">
        <v>8019.6</v>
      </c>
      <c r="N313" s="916">
        <v>10062.617633099295</v>
      </c>
      <c r="O313" s="1174">
        <v>2656.9</v>
      </c>
      <c r="P313" s="1174">
        <v>3333.7534028357418</v>
      </c>
      <c r="Q313" s="1174">
        <v>839.57</v>
      </c>
      <c r="R313" s="1174">
        <v>1053.4530258642794</v>
      </c>
      <c r="S313" s="1174">
        <v>1036.5</v>
      </c>
      <c r="T313" s="1174">
        <v>1300.5515458012142</v>
      </c>
      <c r="U313" s="1120">
        <v>452.6787130434783</v>
      </c>
      <c r="V313" s="1120">
        <v>568</v>
      </c>
      <c r="W313" s="1120">
        <v>1852.1572695652176</v>
      </c>
      <c r="X313" s="1120">
        <v>2324</v>
      </c>
      <c r="Y313" s="1119"/>
      <c r="Z313" s="1119"/>
      <c r="AA313" s="1119"/>
      <c r="AB313" s="1119"/>
      <c r="AC313" s="1178"/>
      <c r="AD313" s="1178">
        <v>7.2339125821852841</v>
      </c>
      <c r="AE313" s="1178">
        <v>62103.582000000002</v>
      </c>
      <c r="AF313" s="1178">
        <v>77924.659498207882</v>
      </c>
      <c r="AG313" s="1178"/>
      <c r="AH313" s="1178"/>
      <c r="AI313" s="1178"/>
      <c r="AJ313" s="1178"/>
      <c r="AK313" s="919">
        <v>19.145454580133613</v>
      </c>
      <c r="AL313" s="919">
        <v>24.022817703096681</v>
      </c>
      <c r="AM313" s="919">
        <v>20.160000013268512</v>
      </c>
      <c r="AN313" s="919">
        <v>25.295821688961759</v>
      </c>
      <c r="AO313" s="919"/>
      <c r="AP313" s="919"/>
      <c r="AS313" s="1167"/>
      <c r="AT313" s="1167"/>
      <c r="AU313" s="1168"/>
      <c r="AV313" s="1168"/>
      <c r="AW313" s="1169"/>
      <c r="AX313" s="1169"/>
      <c r="AY313" s="1169"/>
      <c r="AZ313" s="1169"/>
      <c r="BA313" s="1843" t="s">
        <v>1</v>
      </c>
      <c r="BB313" s="1844">
        <v>2003</v>
      </c>
      <c r="BC313" s="1843" t="s">
        <v>51</v>
      </c>
      <c r="BD313" s="1843">
        <v>1</v>
      </c>
      <c r="BE313" s="1845">
        <v>2650957000</v>
      </c>
      <c r="BF313" s="1801">
        <v>0.46160148188493871</v>
      </c>
      <c r="BG313" s="1799"/>
      <c r="BH313" s="1799" t="s">
        <v>280</v>
      </c>
      <c r="BI313" s="1799" t="s">
        <v>318</v>
      </c>
      <c r="BJ313" s="1799" t="s">
        <v>52</v>
      </c>
      <c r="BK313" s="1799">
        <v>9</v>
      </c>
      <c r="BL313" s="1800">
        <v>16076908</v>
      </c>
      <c r="BM313" s="1801">
        <v>2.4E-2</v>
      </c>
      <c r="BN313" s="1799">
        <v>2013</v>
      </c>
      <c r="BO313" s="1684"/>
      <c r="BP313" s="1696"/>
      <c r="BQ313" s="1169"/>
      <c r="BR313" s="1169"/>
      <c r="BS313" s="1169"/>
      <c r="BT313" s="1169"/>
      <c r="BU313" s="1169"/>
      <c r="BV313" s="1169"/>
      <c r="BW313" s="1169"/>
      <c r="BX313" s="1169"/>
      <c r="BY313" s="1169"/>
      <c r="BZ313" s="1169"/>
      <c r="CA313" s="1169"/>
      <c r="CB313" s="1169"/>
      <c r="CC313" s="1169"/>
      <c r="CD313" s="1169"/>
      <c r="CE313" s="1169"/>
      <c r="CF313" s="1169"/>
      <c r="CG313" s="1169"/>
      <c r="CH313" s="1169"/>
      <c r="CI313" s="1169"/>
      <c r="CJ313" s="1169"/>
      <c r="CK313" s="1169"/>
      <c r="CL313" s="1169"/>
      <c r="CM313" s="1169"/>
      <c r="CN313" s="1169"/>
      <c r="CO313" s="1169"/>
      <c r="CP313" s="1169"/>
      <c r="CQ313" s="1169"/>
      <c r="CR313" s="1169"/>
      <c r="CS313" s="1169"/>
      <c r="CT313" s="1169"/>
      <c r="CU313" s="1169"/>
      <c r="CV313" s="1169"/>
      <c r="CW313" s="1169"/>
      <c r="CX313" s="1169"/>
      <c r="CY313" s="1169"/>
      <c r="CZ313" s="1169"/>
      <c r="DA313" s="1168"/>
      <c r="DB313" s="1168"/>
      <c r="DC313" s="1168"/>
      <c r="DD313" s="1168"/>
      <c r="DE313" s="1168"/>
      <c r="DF313" s="1168"/>
      <c r="DG313" s="1168"/>
      <c r="DH313" s="1168"/>
      <c r="DI313" s="1168"/>
      <c r="DJ313" s="1168"/>
      <c r="DK313" s="1168"/>
      <c r="DL313" s="1168"/>
      <c r="DM313" s="1168"/>
      <c r="DN313" s="1168"/>
      <c r="DO313" s="1168"/>
      <c r="DP313" s="1168"/>
      <c r="DQ313" s="1168"/>
      <c r="DR313" s="1168"/>
      <c r="DS313" s="1168"/>
      <c r="DT313" s="1168"/>
      <c r="DU313" s="1168"/>
      <c r="DV313" s="1168"/>
      <c r="DW313" s="1168"/>
      <c r="DX313" s="1168"/>
      <c r="DY313" s="1168"/>
      <c r="DZ313" s="1168"/>
      <c r="EA313" s="1168"/>
      <c r="EB313" s="1168"/>
      <c r="EC313" s="1168"/>
      <c r="ED313" s="1168"/>
      <c r="EE313" s="1168"/>
      <c r="EF313" s="1168"/>
      <c r="EG313" s="1168"/>
      <c r="EH313" s="1168"/>
      <c r="EI313" s="1170"/>
      <c r="EJ313" s="1170"/>
      <c r="EK313" s="1170"/>
      <c r="EL313" s="1170"/>
      <c r="EM313" s="1170"/>
      <c r="EN313" s="1170"/>
      <c r="EO313" s="1170"/>
      <c r="EP313" s="1170"/>
      <c r="EQ313" s="1170"/>
      <c r="ER313" s="1170"/>
      <c r="ES313" s="1171"/>
      <c r="ET313" s="1171"/>
      <c r="EU313" s="1171"/>
      <c r="EV313" s="1171"/>
      <c r="EW313" s="1171"/>
      <c r="EX313" s="1171"/>
      <c r="EY313" s="1171"/>
      <c r="EZ313" s="1171"/>
      <c r="FA313" s="1171"/>
      <c r="FB313" s="1171"/>
      <c r="FC313" s="1171"/>
      <c r="FD313" s="1171"/>
      <c r="FE313" s="1171"/>
      <c r="FF313" s="1171"/>
      <c r="FG313" s="1171"/>
      <c r="FH313" s="1171"/>
      <c r="FI313" s="1171"/>
      <c r="FJ313" s="1171"/>
      <c r="FK313" s="1171"/>
      <c r="FL313" s="1171"/>
      <c r="FM313" s="1171"/>
      <c r="FN313" s="1171"/>
      <c r="FO313" s="1171"/>
      <c r="FP313" s="1171"/>
    </row>
    <row r="314" spans="1:172" s="607" customFormat="1">
      <c r="A314" s="607">
        <f t="shared" si="8"/>
        <v>1996</v>
      </c>
      <c r="B314" s="607">
        <f t="shared" si="9"/>
        <v>2</v>
      </c>
      <c r="C314" s="666">
        <v>35217</v>
      </c>
      <c r="D314" s="957">
        <v>0.79152631578947374</v>
      </c>
      <c r="E314" s="920">
        <v>194.73130421052633</v>
      </c>
      <c r="F314" s="920">
        <v>246.02</v>
      </c>
      <c r="G314" s="920"/>
      <c r="H314" s="920"/>
      <c r="I314" s="954">
        <v>385.24</v>
      </c>
      <c r="J314" s="954">
        <v>484.95</v>
      </c>
      <c r="K314" s="954"/>
      <c r="L314" s="920"/>
      <c r="M314" s="917">
        <v>7791.9</v>
      </c>
      <c r="N314" s="917">
        <v>9844.1452224217028</v>
      </c>
      <c r="O314" s="1175">
        <v>2173.4</v>
      </c>
      <c r="P314" s="1175">
        <v>2745.8341645056184</v>
      </c>
      <c r="Q314" s="1175">
        <v>796.5</v>
      </c>
      <c r="R314" s="1175">
        <v>1006.2836624775583</v>
      </c>
      <c r="S314" s="1175">
        <v>1008.8</v>
      </c>
      <c r="T314" s="1175">
        <v>1274.4996342841944</v>
      </c>
      <c r="U314" s="920">
        <v>449.58694736842108</v>
      </c>
      <c r="V314" s="920">
        <v>568</v>
      </c>
      <c r="W314" s="920">
        <v>1839.507157894737</v>
      </c>
      <c r="X314" s="920">
        <v>2324</v>
      </c>
      <c r="Y314" s="920"/>
      <c r="Z314" s="920"/>
      <c r="AA314" s="920"/>
      <c r="AB314" s="920"/>
      <c r="AC314" s="920"/>
      <c r="AD314" s="920">
        <v>7.0410082466603434</v>
      </c>
      <c r="AE314" s="920">
        <v>58399.853999999992</v>
      </c>
      <c r="AF314" s="920">
        <v>73781.316975862748</v>
      </c>
      <c r="AG314" s="920"/>
      <c r="AH314" s="920"/>
      <c r="AI314" s="920"/>
      <c r="AJ314" s="920"/>
      <c r="AK314" s="920">
        <v>18.266998291015625</v>
      </c>
      <c r="AL314" s="920">
        <v>23.07819452950973</v>
      </c>
      <c r="AM314" s="920">
        <v>20.493998622894289</v>
      </c>
      <c r="AN314" s="920">
        <v>25.891746381740237</v>
      </c>
      <c r="AO314" s="920"/>
      <c r="AP314" s="920"/>
      <c r="AS314" s="1167"/>
      <c r="AT314" s="1167"/>
      <c r="AU314" s="1168"/>
      <c r="AV314" s="1168"/>
      <c r="AW314" s="1169"/>
      <c r="AX314" s="1169"/>
      <c r="AY314" s="1169"/>
      <c r="AZ314" s="1169"/>
      <c r="BA314" s="1843" t="s">
        <v>1</v>
      </c>
      <c r="BB314" s="1844">
        <v>2003</v>
      </c>
      <c r="BC314" s="1843" t="s">
        <v>18</v>
      </c>
      <c r="BD314" s="1843">
        <v>2</v>
      </c>
      <c r="BE314" s="1845">
        <v>1152565000</v>
      </c>
      <c r="BF314" s="1801">
        <v>0.20069194331281662</v>
      </c>
      <c r="BG314" s="1799"/>
      <c r="BH314" s="1799" t="s">
        <v>280</v>
      </c>
      <c r="BI314" s="1799" t="s">
        <v>318</v>
      </c>
      <c r="BJ314" s="1799" t="s">
        <v>581</v>
      </c>
      <c r="BK314" s="1799">
        <v>10</v>
      </c>
      <c r="BL314" s="1800">
        <v>11445493</v>
      </c>
      <c r="BM314" s="1801">
        <v>1.7000000000000001E-2</v>
      </c>
      <c r="BN314" s="1799">
        <v>2013</v>
      </c>
      <c r="BO314" s="1684"/>
      <c r="BP314" s="1696"/>
      <c r="BQ314" s="1169"/>
      <c r="BR314" s="1169"/>
      <c r="BS314" s="1169"/>
      <c r="BT314" s="1169"/>
      <c r="BU314" s="1169"/>
      <c r="BV314" s="1169"/>
      <c r="BW314" s="1169"/>
      <c r="BX314" s="1169"/>
      <c r="BY314" s="1169"/>
      <c r="BZ314" s="1169"/>
      <c r="CA314" s="1169"/>
      <c r="CB314" s="1169"/>
      <c r="CC314" s="1169"/>
      <c r="CD314" s="1169"/>
      <c r="CE314" s="1169"/>
      <c r="CF314" s="1169"/>
      <c r="CG314" s="1169"/>
      <c r="CH314" s="1169"/>
      <c r="CI314" s="1169"/>
      <c r="CJ314" s="1169"/>
      <c r="CK314" s="1169"/>
      <c r="CL314" s="1169"/>
      <c r="CM314" s="1169"/>
      <c r="CN314" s="1169"/>
      <c r="CO314" s="1169"/>
      <c r="CP314" s="1169"/>
      <c r="CQ314" s="1169"/>
      <c r="CR314" s="1169"/>
      <c r="CS314" s="1169"/>
      <c r="CT314" s="1169"/>
      <c r="CU314" s="1169"/>
      <c r="CV314" s="1169"/>
      <c r="CW314" s="1169"/>
      <c r="CX314" s="1169"/>
      <c r="CY314" s="1169"/>
      <c r="CZ314" s="1169"/>
      <c r="DA314" s="1168"/>
      <c r="DB314" s="1168"/>
      <c r="DC314" s="1168"/>
      <c r="DD314" s="1168"/>
      <c r="DE314" s="1168"/>
      <c r="DF314" s="1168"/>
      <c r="DG314" s="1168"/>
      <c r="DH314" s="1168"/>
      <c r="DI314" s="1168"/>
      <c r="DJ314" s="1168"/>
      <c r="DK314" s="1168"/>
      <c r="DL314" s="1168"/>
      <c r="DM314" s="1168"/>
      <c r="DN314" s="1168"/>
      <c r="DO314" s="1168"/>
      <c r="DP314" s="1168"/>
      <c r="DQ314" s="1168"/>
      <c r="DR314" s="1168"/>
      <c r="DS314" s="1168"/>
      <c r="DT314" s="1168"/>
      <c r="DU314" s="1168"/>
      <c r="DV314" s="1168"/>
      <c r="DW314" s="1168"/>
      <c r="DX314" s="1168"/>
      <c r="DY314" s="1168"/>
      <c r="DZ314" s="1168"/>
      <c r="EA314" s="1168"/>
      <c r="EB314" s="1168"/>
      <c r="EC314" s="1168"/>
      <c r="ED314" s="1168"/>
      <c r="EE314" s="1168"/>
      <c r="EF314" s="1168"/>
      <c r="EG314" s="1168"/>
      <c r="EH314" s="1168"/>
      <c r="EI314" s="1170"/>
      <c r="EJ314" s="1170"/>
      <c r="EK314" s="1170"/>
      <c r="EL314" s="1170"/>
      <c r="EM314" s="1170"/>
      <c r="EN314" s="1170"/>
      <c r="EO314" s="1170"/>
      <c r="EP314" s="1170"/>
      <c r="EQ314" s="1170"/>
      <c r="ER314" s="1170"/>
      <c r="ES314" s="1171"/>
      <c r="ET314" s="1171"/>
      <c r="EU314" s="1171"/>
      <c r="EV314" s="1171"/>
      <c r="EW314" s="1171"/>
      <c r="EX314" s="1171"/>
      <c r="EY314" s="1171"/>
      <c r="EZ314" s="1171"/>
      <c r="FA314" s="1171"/>
      <c r="FB314" s="1171"/>
      <c r="FC314" s="1171"/>
      <c r="FD314" s="1171"/>
      <c r="FE314" s="1171"/>
      <c r="FF314" s="1171"/>
      <c r="FG314" s="1171"/>
      <c r="FH314" s="1171"/>
      <c r="FI314" s="1171"/>
      <c r="FJ314" s="1171"/>
      <c r="FK314" s="1171"/>
      <c r="FL314" s="1171"/>
      <c r="FM314" s="1171"/>
      <c r="FN314" s="1171"/>
      <c r="FO314" s="1171"/>
      <c r="FP314" s="1171"/>
    </row>
    <row r="315" spans="1:172" s="607" customFormat="1">
      <c r="A315" s="607">
        <f t="shared" si="8"/>
        <v>1996</v>
      </c>
      <c r="B315" s="607">
        <f t="shared" si="9"/>
        <v>3</v>
      </c>
      <c r="C315" s="666">
        <v>35247</v>
      </c>
      <c r="D315" s="1709">
        <v>0.78927391304347838</v>
      </c>
      <c r="E315" s="1117">
        <v>185.00580521739133</v>
      </c>
      <c r="F315" s="1117">
        <v>234.4</v>
      </c>
      <c r="G315" s="1117"/>
      <c r="H315" s="1117"/>
      <c r="I315" s="959">
        <v>384.45</v>
      </c>
      <c r="J315" s="959">
        <v>494.09</v>
      </c>
      <c r="K315" s="960"/>
      <c r="L315" s="1121"/>
      <c r="M315" s="916">
        <v>7206.5</v>
      </c>
      <c r="N315" s="916">
        <v>9130.5437578842393</v>
      </c>
      <c r="O315" s="1174">
        <v>1985.5</v>
      </c>
      <c r="P315" s="1174">
        <v>2515.6032236563046</v>
      </c>
      <c r="Q315" s="1174">
        <v>783.48</v>
      </c>
      <c r="R315" s="1174">
        <v>992.65918593313597</v>
      </c>
      <c r="S315" s="1174">
        <v>1000.3</v>
      </c>
      <c r="T315" s="1174">
        <v>1267.3673657131208</v>
      </c>
      <c r="U315" s="1120">
        <v>449.0968565217392</v>
      </c>
      <c r="V315" s="1120">
        <v>569</v>
      </c>
      <c r="W315" s="1120">
        <v>1666.9465043478262</v>
      </c>
      <c r="X315" s="1120">
        <v>2112</v>
      </c>
      <c r="Y315" s="1119"/>
      <c r="Z315" s="1119"/>
      <c r="AA315" s="1119"/>
      <c r="AB315" s="1119"/>
      <c r="AC315" s="1178"/>
      <c r="AD315" s="1178">
        <v>6.8802546337228927</v>
      </c>
      <c r="AE315" s="1178">
        <v>50154.65</v>
      </c>
      <c r="AF315" s="1178">
        <v>63545.303057846228</v>
      </c>
      <c r="AG315" s="1178"/>
      <c r="AH315" s="1178"/>
      <c r="AI315" s="1178"/>
      <c r="AJ315" s="1178"/>
      <c r="AK315" s="919">
        <v>19.610394021739129</v>
      </c>
      <c r="AL315" s="919">
        <v>24.846119576055038</v>
      </c>
      <c r="AM315" s="919">
        <v>20.72521732164466</v>
      </c>
      <c r="AN315" s="919">
        <v>26.258586504813291</v>
      </c>
      <c r="AO315" s="919"/>
      <c r="AP315" s="919"/>
      <c r="AS315" s="1167"/>
      <c r="AT315" s="1167"/>
      <c r="AU315" s="1168"/>
      <c r="AV315" s="1168"/>
      <c r="AW315" s="1169"/>
      <c r="AX315" s="1169"/>
      <c r="AY315" s="1169"/>
      <c r="AZ315" s="1169"/>
      <c r="BA315" s="1843" t="s">
        <v>1</v>
      </c>
      <c r="BB315" s="1844">
        <v>2003</v>
      </c>
      <c r="BC315" s="1843" t="s">
        <v>581</v>
      </c>
      <c r="BD315" s="1843">
        <v>3</v>
      </c>
      <c r="BE315" s="1845">
        <v>793707000</v>
      </c>
      <c r="BF315" s="1801">
        <v>0.13820530751062693</v>
      </c>
      <c r="BG315" s="1799"/>
      <c r="BH315" s="1799" t="s">
        <v>280</v>
      </c>
      <c r="BI315" s="1799" t="s">
        <v>318</v>
      </c>
      <c r="BJ315" s="1799" t="s">
        <v>32</v>
      </c>
      <c r="BK315" s="1799"/>
      <c r="BL315" s="1800">
        <v>72193928</v>
      </c>
      <c r="BM315" s="1801">
        <v>0.107</v>
      </c>
      <c r="BN315" s="1799">
        <v>2013</v>
      </c>
      <c r="BO315" s="1684"/>
      <c r="BP315" s="1696"/>
      <c r="BQ315" s="1169"/>
      <c r="BR315" s="1169"/>
      <c r="BS315" s="1169"/>
      <c r="BT315" s="1169"/>
      <c r="BU315" s="1169"/>
      <c r="BV315" s="1169"/>
      <c r="BW315" s="1169"/>
      <c r="BX315" s="1169"/>
      <c r="BY315" s="1169"/>
      <c r="BZ315" s="1169"/>
      <c r="CA315" s="1169"/>
      <c r="CB315" s="1169"/>
      <c r="CC315" s="1169"/>
      <c r="CD315" s="1169"/>
      <c r="CE315" s="1169"/>
      <c r="CF315" s="1169"/>
      <c r="CG315" s="1169"/>
      <c r="CH315" s="1169"/>
      <c r="CI315" s="1169"/>
      <c r="CJ315" s="1169"/>
      <c r="CK315" s="1169"/>
      <c r="CL315" s="1169"/>
      <c r="CM315" s="1169"/>
      <c r="CN315" s="1169"/>
      <c r="CO315" s="1169"/>
      <c r="CP315" s="1169"/>
      <c r="CQ315" s="1169"/>
      <c r="CR315" s="1169"/>
      <c r="CS315" s="1169"/>
      <c r="CT315" s="1169"/>
      <c r="CU315" s="1169"/>
      <c r="CV315" s="1169"/>
      <c r="CW315" s="1169"/>
      <c r="CX315" s="1169"/>
      <c r="CY315" s="1169"/>
      <c r="CZ315" s="1169"/>
      <c r="DA315" s="1168"/>
      <c r="DB315" s="1168"/>
      <c r="DC315" s="1168"/>
      <c r="DD315" s="1168"/>
      <c r="DE315" s="1168"/>
      <c r="DF315" s="1168"/>
      <c r="DG315" s="1168"/>
      <c r="DH315" s="1168"/>
      <c r="DI315" s="1168"/>
      <c r="DJ315" s="1168"/>
      <c r="DK315" s="1168"/>
      <c r="DL315" s="1168"/>
      <c r="DM315" s="1168"/>
      <c r="DN315" s="1168"/>
      <c r="DO315" s="1168"/>
      <c r="DP315" s="1168"/>
      <c r="DQ315" s="1168"/>
      <c r="DR315" s="1168"/>
      <c r="DS315" s="1168"/>
      <c r="DT315" s="1168"/>
      <c r="DU315" s="1168"/>
      <c r="DV315" s="1168"/>
      <c r="DW315" s="1168"/>
      <c r="DX315" s="1168"/>
      <c r="DY315" s="1168"/>
      <c r="DZ315" s="1168"/>
      <c r="EA315" s="1168"/>
      <c r="EB315" s="1168"/>
      <c r="EC315" s="1168"/>
      <c r="ED315" s="1168"/>
      <c r="EE315" s="1168"/>
      <c r="EF315" s="1168"/>
      <c r="EG315" s="1168"/>
      <c r="EH315" s="1168"/>
      <c r="EI315" s="1170"/>
      <c r="EJ315" s="1170"/>
      <c r="EK315" s="1170"/>
      <c r="EL315" s="1170"/>
      <c r="EM315" s="1170"/>
      <c r="EN315" s="1170"/>
      <c r="EO315" s="1170"/>
      <c r="EP315" s="1170"/>
      <c r="EQ315" s="1170"/>
      <c r="ER315" s="1170"/>
      <c r="ES315" s="1171"/>
      <c r="ET315" s="1171"/>
      <c r="EU315" s="1171"/>
      <c r="EV315" s="1171"/>
      <c r="EW315" s="1171"/>
      <c r="EX315" s="1171"/>
      <c r="EY315" s="1171"/>
      <c r="EZ315" s="1171"/>
      <c r="FA315" s="1171"/>
      <c r="FB315" s="1171"/>
      <c r="FC315" s="1171"/>
      <c r="FD315" s="1171"/>
      <c r="FE315" s="1171"/>
      <c r="FF315" s="1171"/>
      <c r="FG315" s="1171"/>
      <c r="FH315" s="1171"/>
      <c r="FI315" s="1171"/>
      <c r="FJ315" s="1171"/>
      <c r="FK315" s="1171"/>
      <c r="FL315" s="1171"/>
      <c r="FM315" s="1171"/>
      <c r="FN315" s="1171"/>
      <c r="FO315" s="1171"/>
      <c r="FP315" s="1171"/>
    </row>
    <row r="316" spans="1:172" s="607" customFormat="1">
      <c r="A316" s="607">
        <f t="shared" si="8"/>
        <v>1996</v>
      </c>
      <c r="B316" s="607">
        <f t="shared" si="9"/>
        <v>3</v>
      </c>
      <c r="C316" s="666">
        <v>35278</v>
      </c>
      <c r="D316" s="957">
        <v>0.78303636363636364</v>
      </c>
      <c r="E316" s="920">
        <v>188.59430818181818</v>
      </c>
      <c r="F316" s="920">
        <v>240.85</v>
      </c>
      <c r="G316" s="920"/>
      <c r="H316" s="920"/>
      <c r="I316" s="954">
        <v>387.51</v>
      </c>
      <c r="J316" s="954">
        <v>489.65</v>
      </c>
      <c r="K316" s="954"/>
      <c r="L316" s="920"/>
      <c r="M316" s="917">
        <v>7068.5</v>
      </c>
      <c r="N316" s="917">
        <v>9027.0392644019776</v>
      </c>
      <c r="O316" s="1175">
        <v>2006.7</v>
      </c>
      <c r="P316" s="1175">
        <v>2562.7162328464951</v>
      </c>
      <c r="Q316" s="1175">
        <v>815.68</v>
      </c>
      <c r="R316" s="1175">
        <v>1041.688531822509</v>
      </c>
      <c r="S316" s="1175">
        <v>1006.9</v>
      </c>
      <c r="T316" s="1175">
        <v>1285.891750063854</v>
      </c>
      <c r="U316" s="920">
        <v>445.54769090909093</v>
      </c>
      <c r="V316" s="920">
        <v>569</v>
      </c>
      <c r="W316" s="920">
        <v>1653.7728</v>
      </c>
      <c r="X316" s="920">
        <v>2112</v>
      </c>
      <c r="Y316" s="920"/>
      <c r="Z316" s="920"/>
      <c r="AA316" s="920"/>
      <c r="AB316" s="920"/>
      <c r="AC316" s="920"/>
      <c r="AD316" s="920">
        <v>7.0365071454980956</v>
      </c>
      <c r="AE316" s="920">
        <v>47465.038</v>
      </c>
      <c r="AF316" s="920">
        <v>60616.645923793163</v>
      </c>
      <c r="AG316" s="920"/>
      <c r="AH316" s="920"/>
      <c r="AI316" s="920"/>
      <c r="AJ316" s="920"/>
      <c r="AK316" s="920">
        <v>19.95619010925293</v>
      </c>
      <c r="AL316" s="920">
        <v>25.48564924440781</v>
      </c>
      <c r="AM316" s="920">
        <v>21.156815355474297</v>
      </c>
      <c r="AN316" s="920">
        <v>27.018943612303765</v>
      </c>
      <c r="AO316" s="920"/>
      <c r="AP316" s="920"/>
      <c r="AS316" s="1167"/>
      <c r="AT316" s="1167"/>
      <c r="AU316" s="1168"/>
      <c r="AV316" s="1168"/>
      <c r="AW316" s="1169"/>
      <c r="AX316" s="1169"/>
      <c r="AY316" s="1169"/>
      <c r="AZ316" s="1169"/>
      <c r="BA316" s="1843" t="s">
        <v>1</v>
      </c>
      <c r="BB316" s="1844">
        <v>2003</v>
      </c>
      <c r="BC316" s="1843" t="s">
        <v>49</v>
      </c>
      <c r="BD316" s="1843">
        <v>4</v>
      </c>
      <c r="BE316" s="1845">
        <v>366265000</v>
      </c>
      <c r="BF316" s="1801">
        <v>6.3776389719858551E-2</v>
      </c>
      <c r="BG316" s="1799"/>
      <c r="BH316" s="1799" t="s">
        <v>280</v>
      </c>
      <c r="BI316" s="1799" t="s">
        <v>318</v>
      </c>
      <c r="BJ316" s="1799" t="s">
        <v>249</v>
      </c>
      <c r="BK316" s="1799"/>
      <c r="BL316" s="1800">
        <v>675390639</v>
      </c>
      <c r="BM316" s="1801"/>
      <c r="BN316" s="1799">
        <v>2013</v>
      </c>
      <c r="BO316" s="1684"/>
      <c r="BP316" s="1696"/>
      <c r="BQ316" s="1169"/>
      <c r="BR316" s="1169"/>
      <c r="BS316" s="1169"/>
      <c r="BT316" s="1169"/>
      <c r="BU316" s="1169"/>
      <c r="BV316" s="1169"/>
      <c r="BW316" s="1169"/>
      <c r="BX316" s="1169"/>
      <c r="BY316" s="1169"/>
      <c r="BZ316" s="1169"/>
      <c r="CA316" s="1169"/>
      <c r="CB316" s="1169"/>
      <c r="CC316" s="1169"/>
      <c r="CD316" s="1169"/>
      <c r="CE316" s="1169"/>
      <c r="CF316" s="1169"/>
      <c r="CG316" s="1169"/>
      <c r="CH316" s="1169"/>
      <c r="CI316" s="1169"/>
      <c r="CJ316" s="1169"/>
      <c r="CK316" s="1169"/>
      <c r="CL316" s="1169"/>
      <c r="CM316" s="1169"/>
      <c r="CN316" s="1169"/>
      <c r="CO316" s="1169"/>
      <c r="CP316" s="1169"/>
      <c r="CQ316" s="1169"/>
      <c r="CR316" s="1169"/>
      <c r="CS316" s="1169"/>
      <c r="CT316" s="1169"/>
      <c r="CU316" s="1169"/>
      <c r="CV316" s="1169"/>
      <c r="CW316" s="1169"/>
      <c r="CX316" s="1169"/>
      <c r="CY316" s="1169"/>
      <c r="CZ316" s="1169"/>
      <c r="DA316" s="1168"/>
      <c r="DB316" s="1168"/>
      <c r="DC316" s="1168"/>
      <c r="DD316" s="1168"/>
      <c r="DE316" s="1168"/>
      <c r="DF316" s="1168"/>
      <c r="DG316" s="1168"/>
      <c r="DH316" s="1168"/>
      <c r="DI316" s="1168"/>
      <c r="DJ316" s="1168"/>
      <c r="DK316" s="1168"/>
      <c r="DL316" s="1168"/>
      <c r="DM316" s="1168"/>
      <c r="DN316" s="1168"/>
      <c r="DO316" s="1168"/>
      <c r="DP316" s="1168"/>
      <c r="DQ316" s="1168"/>
      <c r="DR316" s="1168"/>
      <c r="DS316" s="1168"/>
      <c r="DT316" s="1168"/>
      <c r="DU316" s="1168"/>
      <c r="DV316" s="1168"/>
      <c r="DW316" s="1168"/>
      <c r="DX316" s="1168"/>
      <c r="DY316" s="1168"/>
      <c r="DZ316" s="1168"/>
      <c r="EA316" s="1168"/>
      <c r="EB316" s="1168"/>
      <c r="EC316" s="1168"/>
      <c r="ED316" s="1168"/>
      <c r="EE316" s="1168"/>
      <c r="EF316" s="1168"/>
      <c r="EG316" s="1168"/>
      <c r="EH316" s="1168"/>
      <c r="EI316" s="1170"/>
      <c r="EJ316" s="1170"/>
      <c r="EK316" s="1170"/>
      <c r="EL316" s="1170"/>
      <c r="EM316" s="1170"/>
      <c r="EN316" s="1170"/>
      <c r="EO316" s="1170"/>
      <c r="EP316" s="1170"/>
      <c r="EQ316" s="1170"/>
      <c r="ER316" s="1170"/>
      <c r="ES316" s="1171"/>
      <c r="ET316" s="1171"/>
      <c r="EU316" s="1171"/>
      <c r="EV316" s="1171"/>
      <c r="EW316" s="1171"/>
      <c r="EX316" s="1171"/>
      <c r="EY316" s="1171"/>
      <c r="EZ316" s="1171"/>
      <c r="FA316" s="1171"/>
      <c r="FB316" s="1171"/>
      <c r="FC316" s="1171"/>
      <c r="FD316" s="1171"/>
      <c r="FE316" s="1171"/>
      <c r="FF316" s="1171"/>
      <c r="FG316" s="1171"/>
      <c r="FH316" s="1171"/>
      <c r="FI316" s="1171"/>
      <c r="FJ316" s="1171"/>
      <c r="FK316" s="1171"/>
      <c r="FL316" s="1171"/>
      <c r="FM316" s="1171"/>
      <c r="FN316" s="1171"/>
      <c r="FO316" s="1171"/>
      <c r="FP316" s="1171"/>
    </row>
    <row r="317" spans="1:172" s="607" customFormat="1">
      <c r="A317" s="607">
        <f t="shared" si="8"/>
        <v>1996</v>
      </c>
      <c r="B317" s="607">
        <f t="shared" si="9"/>
        <v>3</v>
      </c>
      <c r="C317" s="666">
        <v>35309</v>
      </c>
      <c r="D317" s="1709">
        <v>0.79293333333333338</v>
      </c>
      <c r="E317" s="1117">
        <v>189.59036</v>
      </c>
      <c r="F317" s="1117">
        <v>239.1</v>
      </c>
      <c r="G317" s="1117"/>
      <c r="H317" s="1117"/>
      <c r="I317" s="959">
        <v>383.29</v>
      </c>
      <c r="J317" s="959">
        <v>481.82</v>
      </c>
      <c r="K317" s="960"/>
      <c r="L317" s="1121"/>
      <c r="M317" s="916">
        <v>7320.6</v>
      </c>
      <c r="N317" s="916">
        <v>9232.3020010089112</v>
      </c>
      <c r="O317" s="1174">
        <v>1941.4</v>
      </c>
      <c r="P317" s="1174">
        <v>2448.3773331091306</v>
      </c>
      <c r="Q317" s="1174">
        <v>796.62</v>
      </c>
      <c r="R317" s="1174">
        <v>1004.6494030603665</v>
      </c>
      <c r="S317" s="1174">
        <v>1000.6</v>
      </c>
      <c r="T317" s="1174">
        <v>1261.8967546662182</v>
      </c>
      <c r="U317" s="1120">
        <v>451.1790666666667</v>
      </c>
      <c r="V317" s="1120">
        <v>569</v>
      </c>
      <c r="W317" s="1120">
        <v>1674.6752000000001</v>
      </c>
      <c r="X317" s="1120">
        <v>2112</v>
      </c>
      <c r="Y317" s="1119"/>
      <c r="Z317" s="1119"/>
      <c r="AA317" s="1119"/>
      <c r="AB317" s="1119"/>
      <c r="AC317" s="1178"/>
      <c r="AD317" s="1178">
        <v>6.8664298230102716</v>
      </c>
      <c r="AE317" s="1178">
        <v>51091.604999999996</v>
      </c>
      <c r="AF317" s="1178">
        <v>64433.670337985532</v>
      </c>
      <c r="AG317" s="1178"/>
      <c r="AH317" s="1178"/>
      <c r="AI317" s="1178"/>
      <c r="AJ317" s="1178"/>
      <c r="AK317" s="919">
        <v>22.055713926042831</v>
      </c>
      <c r="AL317" s="919">
        <v>27.815344618348952</v>
      </c>
      <c r="AM317" s="919">
        <v>22.957142057872954</v>
      </c>
      <c r="AN317" s="919">
        <v>28.952171756187514</v>
      </c>
      <c r="AO317" s="919"/>
      <c r="AP317" s="919"/>
      <c r="AS317" s="1167"/>
      <c r="AT317" s="1167"/>
      <c r="AU317" s="1168"/>
      <c r="AV317" s="1168"/>
      <c r="AW317" s="1169"/>
      <c r="AX317" s="1169"/>
      <c r="AY317" s="1169"/>
      <c r="AZ317" s="1169"/>
      <c r="BA317" s="1843" t="s">
        <v>1</v>
      </c>
      <c r="BB317" s="1844">
        <v>2003</v>
      </c>
      <c r="BC317" s="1843" t="s">
        <v>592</v>
      </c>
      <c r="BD317" s="1843">
        <v>5</v>
      </c>
      <c r="BE317" s="1845">
        <v>207320000</v>
      </c>
      <c r="BF317" s="1801">
        <v>3.609987609168519E-2</v>
      </c>
      <c r="BG317" s="1799"/>
      <c r="BH317" s="1799" t="s">
        <v>280</v>
      </c>
      <c r="BI317" s="1799" t="s">
        <v>317</v>
      </c>
      <c r="BJ317" s="1799" t="s">
        <v>15</v>
      </c>
      <c r="BK317" s="1799">
        <v>1</v>
      </c>
      <c r="BL317" s="1800">
        <v>246575715</v>
      </c>
      <c r="BM317" s="1801">
        <v>0.28100000000000003</v>
      </c>
      <c r="BN317" s="1799">
        <v>2012</v>
      </c>
      <c r="BO317" s="1684"/>
      <c r="BP317" s="1696"/>
      <c r="BQ317" s="1169"/>
      <c r="BR317" s="1169"/>
      <c r="BS317" s="1169"/>
      <c r="BT317" s="1169"/>
      <c r="BU317" s="1169"/>
      <c r="BV317" s="1169"/>
      <c r="BW317" s="1169"/>
      <c r="BX317" s="1169"/>
      <c r="BY317" s="1169"/>
      <c r="BZ317" s="1169"/>
      <c r="CA317" s="1169"/>
      <c r="CB317" s="1169"/>
      <c r="CC317" s="1169"/>
      <c r="CD317" s="1169"/>
      <c r="CE317" s="1169"/>
      <c r="CF317" s="1169"/>
      <c r="CG317" s="1169"/>
      <c r="CH317" s="1169"/>
      <c r="CI317" s="1169"/>
      <c r="CJ317" s="1169"/>
      <c r="CK317" s="1169"/>
      <c r="CL317" s="1169"/>
      <c r="CM317" s="1169"/>
      <c r="CN317" s="1169"/>
      <c r="CO317" s="1169"/>
      <c r="CP317" s="1169"/>
      <c r="CQ317" s="1169"/>
      <c r="CR317" s="1169"/>
      <c r="CS317" s="1169"/>
      <c r="CT317" s="1169"/>
      <c r="CU317" s="1169"/>
      <c r="CV317" s="1169"/>
      <c r="CW317" s="1169"/>
      <c r="CX317" s="1169"/>
      <c r="CY317" s="1169"/>
      <c r="CZ317" s="1169"/>
      <c r="DA317" s="1168"/>
      <c r="DB317" s="1168"/>
      <c r="DC317" s="1168"/>
      <c r="DD317" s="1168"/>
      <c r="DE317" s="1168"/>
      <c r="DF317" s="1168"/>
      <c r="DG317" s="1168"/>
      <c r="DH317" s="1168"/>
      <c r="DI317" s="1168"/>
      <c r="DJ317" s="1168"/>
      <c r="DK317" s="1168"/>
      <c r="DL317" s="1168"/>
      <c r="DM317" s="1168"/>
      <c r="DN317" s="1168"/>
      <c r="DO317" s="1168"/>
      <c r="DP317" s="1168"/>
      <c r="DQ317" s="1168"/>
      <c r="DR317" s="1168"/>
      <c r="DS317" s="1168"/>
      <c r="DT317" s="1168"/>
      <c r="DU317" s="1168"/>
      <c r="DV317" s="1168"/>
      <c r="DW317" s="1168"/>
      <c r="DX317" s="1168"/>
      <c r="DY317" s="1168"/>
      <c r="DZ317" s="1168"/>
      <c r="EA317" s="1168"/>
      <c r="EB317" s="1168"/>
      <c r="EC317" s="1168"/>
      <c r="ED317" s="1168"/>
      <c r="EE317" s="1168"/>
      <c r="EF317" s="1168"/>
      <c r="EG317" s="1168"/>
      <c r="EH317" s="1168"/>
      <c r="EI317" s="1170"/>
      <c r="EJ317" s="1170"/>
      <c r="EK317" s="1170"/>
      <c r="EL317" s="1170"/>
      <c r="EM317" s="1170"/>
      <c r="EN317" s="1170"/>
      <c r="EO317" s="1170"/>
      <c r="EP317" s="1170"/>
      <c r="EQ317" s="1170"/>
      <c r="ER317" s="1170"/>
      <c r="ES317" s="1171"/>
      <c r="ET317" s="1171"/>
      <c r="EU317" s="1171"/>
      <c r="EV317" s="1171"/>
      <c r="EW317" s="1171"/>
      <c r="EX317" s="1171"/>
      <c r="EY317" s="1171"/>
      <c r="EZ317" s="1171"/>
      <c r="FA317" s="1171"/>
      <c r="FB317" s="1171"/>
      <c r="FC317" s="1171"/>
      <c r="FD317" s="1171"/>
      <c r="FE317" s="1171"/>
      <c r="FF317" s="1171"/>
      <c r="FG317" s="1171"/>
      <c r="FH317" s="1171"/>
      <c r="FI317" s="1171"/>
      <c r="FJ317" s="1171"/>
      <c r="FK317" s="1171"/>
      <c r="FL317" s="1171"/>
      <c r="FM317" s="1171"/>
      <c r="FN317" s="1171"/>
      <c r="FO317" s="1171"/>
      <c r="FP317" s="1171"/>
    </row>
    <row r="318" spans="1:172" s="607" customFormat="1">
      <c r="A318" s="607">
        <f t="shared" si="8"/>
        <v>1996</v>
      </c>
      <c r="B318" s="607">
        <f t="shared" si="9"/>
        <v>4</v>
      </c>
      <c r="C318" s="666">
        <v>35339</v>
      </c>
      <c r="D318" s="957">
        <v>0.79183478260869544</v>
      </c>
      <c r="E318" s="920">
        <v>180.34037173913038</v>
      </c>
      <c r="F318" s="920">
        <v>227.75</v>
      </c>
      <c r="G318" s="920"/>
      <c r="H318" s="920"/>
      <c r="I318" s="954">
        <v>380.91</v>
      </c>
      <c r="J318" s="954">
        <v>480.81</v>
      </c>
      <c r="K318" s="954"/>
      <c r="L318" s="920"/>
      <c r="M318" s="917">
        <v>7304</v>
      </c>
      <c r="N318" s="917">
        <v>9224.1464512799139</v>
      </c>
      <c r="O318" s="1175">
        <v>1961.1</v>
      </c>
      <c r="P318" s="1175">
        <v>2476.6530128155855</v>
      </c>
      <c r="Q318" s="1175">
        <v>741.76</v>
      </c>
      <c r="R318" s="1175">
        <v>936.76107224827342</v>
      </c>
      <c r="S318" s="1175">
        <v>1003.4</v>
      </c>
      <c r="T318" s="1175">
        <v>1267.1835363108248</v>
      </c>
      <c r="U318" s="920">
        <v>460.05600869565205</v>
      </c>
      <c r="V318" s="920">
        <v>581</v>
      </c>
      <c r="W318" s="920">
        <v>1525.8656260869561</v>
      </c>
      <c r="X318" s="920">
        <v>1927</v>
      </c>
      <c r="Y318" s="920"/>
      <c r="Z318" s="920"/>
      <c r="AA318" s="920"/>
      <c r="AB318" s="920"/>
      <c r="AC318" s="920"/>
      <c r="AD318" s="920">
        <v>6.7069622389763213</v>
      </c>
      <c r="AE318" s="920">
        <v>48512.222999999998</v>
      </c>
      <c r="AF318" s="920">
        <v>61265.587298624014</v>
      </c>
      <c r="AG318" s="920"/>
      <c r="AH318" s="920"/>
      <c r="AI318" s="920"/>
      <c r="AJ318" s="920"/>
      <c r="AK318" s="920">
        <v>23.683478065159012</v>
      </c>
      <c r="AL318" s="920">
        <v>29.909620776109278</v>
      </c>
      <c r="AM318" s="920">
        <v>25.726085331128992</v>
      </c>
      <c r="AN318" s="920">
        <v>32.48920847651393</v>
      </c>
      <c r="AO318" s="920"/>
      <c r="AP318" s="920"/>
      <c r="AS318" s="1167"/>
      <c r="AT318" s="1167"/>
      <c r="AU318" s="1168"/>
      <c r="AV318" s="1168"/>
      <c r="AW318" s="1169"/>
      <c r="AX318" s="1169"/>
      <c r="AY318" s="1169"/>
      <c r="AZ318" s="1169"/>
      <c r="BA318" s="1843" t="s">
        <v>1</v>
      </c>
      <c r="BB318" s="1844">
        <v>2003</v>
      </c>
      <c r="BC318" s="1843" t="s">
        <v>28</v>
      </c>
      <c r="BD318" s="1843">
        <v>6</v>
      </c>
      <c r="BE318" s="1845">
        <v>201248000</v>
      </c>
      <c r="BF318" s="1801">
        <v>3.5042580859055858E-2</v>
      </c>
      <c r="BG318" s="1799"/>
      <c r="BH318" s="1799" t="s">
        <v>280</v>
      </c>
      <c r="BI318" s="1799" t="s">
        <v>317</v>
      </c>
      <c r="BJ318" s="1799" t="s">
        <v>431</v>
      </c>
      <c r="BK318" s="1799">
        <v>2</v>
      </c>
      <c r="BL318" s="1800">
        <v>232201911</v>
      </c>
      <c r="BM318" s="1801">
        <v>0.26400000000000001</v>
      </c>
      <c r="BN318" s="1799">
        <v>2012</v>
      </c>
      <c r="BO318" s="1684"/>
      <c r="BP318" s="1696"/>
      <c r="BQ318" s="1169"/>
      <c r="BR318" s="1169"/>
      <c r="BS318" s="1169"/>
      <c r="BT318" s="1169"/>
      <c r="BU318" s="1169"/>
      <c r="BV318" s="1169"/>
      <c r="BW318" s="1169"/>
      <c r="BX318" s="1169"/>
      <c r="BY318" s="1169"/>
      <c r="BZ318" s="1169"/>
      <c r="CA318" s="1169"/>
      <c r="CB318" s="1169"/>
      <c r="CC318" s="1169"/>
      <c r="CD318" s="1169"/>
      <c r="CE318" s="1169"/>
      <c r="CF318" s="1169"/>
      <c r="CG318" s="1169"/>
      <c r="CH318" s="1169"/>
      <c r="CI318" s="1169"/>
      <c r="CJ318" s="1169"/>
      <c r="CK318" s="1169"/>
      <c r="CL318" s="1169"/>
      <c r="CM318" s="1169"/>
      <c r="CN318" s="1169"/>
      <c r="CO318" s="1169"/>
      <c r="CP318" s="1169"/>
      <c r="CQ318" s="1169"/>
      <c r="CR318" s="1169"/>
      <c r="CS318" s="1169"/>
      <c r="CT318" s="1169"/>
      <c r="CU318" s="1169"/>
      <c r="CV318" s="1169"/>
      <c r="CW318" s="1169"/>
      <c r="CX318" s="1169"/>
      <c r="CY318" s="1169"/>
      <c r="CZ318" s="1169"/>
      <c r="DA318" s="1168"/>
      <c r="DB318" s="1168"/>
      <c r="DC318" s="1168"/>
      <c r="DD318" s="1168"/>
      <c r="DE318" s="1168"/>
      <c r="DF318" s="1168"/>
      <c r="DG318" s="1168"/>
      <c r="DH318" s="1168"/>
      <c r="DI318" s="1168"/>
      <c r="DJ318" s="1168"/>
      <c r="DK318" s="1168"/>
      <c r="DL318" s="1168"/>
      <c r="DM318" s="1168"/>
      <c r="DN318" s="1168"/>
      <c r="DO318" s="1168"/>
      <c r="DP318" s="1168"/>
      <c r="DQ318" s="1168"/>
      <c r="DR318" s="1168"/>
      <c r="DS318" s="1168"/>
      <c r="DT318" s="1168"/>
      <c r="DU318" s="1168"/>
      <c r="DV318" s="1168"/>
      <c r="DW318" s="1168"/>
      <c r="DX318" s="1168"/>
      <c r="DY318" s="1168"/>
      <c r="DZ318" s="1168"/>
      <c r="EA318" s="1168"/>
      <c r="EB318" s="1168"/>
      <c r="EC318" s="1168"/>
      <c r="ED318" s="1168"/>
      <c r="EE318" s="1168"/>
      <c r="EF318" s="1168"/>
      <c r="EG318" s="1168"/>
      <c r="EH318" s="1168"/>
      <c r="EI318" s="1170"/>
      <c r="EJ318" s="1170"/>
      <c r="EK318" s="1170"/>
      <c r="EL318" s="1170"/>
      <c r="EM318" s="1170"/>
      <c r="EN318" s="1170"/>
      <c r="EO318" s="1170"/>
      <c r="EP318" s="1170"/>
      <c r="EQ318" s="1170"/>
      <c r="ER318" s="1170"/>
      <c r="ES318" s="1171"/>
      <c r="ET318" s="1171"/>
      <c r="EU318" s="1171"/>
      <c r="EV318" s="1171"/>
      <c r="EW318" s="1171"/>
      <c r="EX318" s="1171"/>
      <c r="EY318" s="1171"/>
      <c r="EZ318" s="1171"/>
      <c r="FA318" s="1171"/>
      <c r="FB318" s="1171"/>
      <c r="FC318" s="1171"/>
      <c r="FD318" s="1171"/>
      <c r="FE318" s="1171"/>
      <c r="FF318" s="1171"/>
      <c r="FG318" s="1171"/>
      <c r="FH318" s="1171"/>
      <c r="FI318" s="1171"/>
      <c r="FJ318" s="1171"/>
      <c r="FK318" s="1171"/>
      <c r="FL318" s="1171"/>
      <c r="FM318" s="1171"/>
      <c r="FN318" s="1171"/>
      <c r="FO318" s="1171"/>
      <c r="FP318" s="1171"/>
    </row>
    <row r="319" spans="1:172" s="607" customFormat="1">
      <c r="A319" s="607">
        <f t="shared" si="8"/>
        <v>1996</v>
      </c>
      <c r="B319" s="607">
        <f t="shared" si="9"/>
        <v>4</v>
      </c>
      <c r="C319" s="666">
        <v>35370</v>
      </c>
      <c r="D319" s="1709">
        <v>0.79614285714285704</v>
      </c>
      <c r="E319" s="1117">
        <v>177.1417857142857</v>
      </c>
      <c r="F319" s="1117">
        <v>222.5</v>
      </c>
      <c r="G319" s="1117"/>
      <c r="H319" s="1117"/>
      <c r="I319" s="959">
        <v>377.87</v>
      </c>
      <c r="J319" s="959">
        <v>460.19</v>
      </c>
      <c r="K319" s="960"/>
      <c r="L319" s="1121"/>
      <c r="M319" s="916">
        <v>6945.6</v>
      </c>
      <c r="N319" s="916">
        <v>8724.0624439260737</v>
      </c>
      <c r="O319" s="1174">
        <v>2230.8000000000002</v>
      </c>
      <c r="P319" s="1174">
        <v>2802.0096895747361</v>
      </c>
      <c r="Q319" s="1174">
        <v>717.29</v>
      </c>
      <c r="R319" s="1174">
        <v>900.95639691369104</v>
      </c>
      <c r="S319" s="1174">
        <v>1046.8</v>
      </c>
      <c r="T319" s="1174">
        <v>1314.8394042705904</v>
      </c>
      <c r="U319" s="1120">
        <v>462.55899999999997</v>
      </c>
      <c r="V319" s="1120">
        <v>581</v>
      </c>
      <c r="W319" s="1120">
        <v>1534.1672857142855</v>
      </c>
      <c r="X319" s="1120">
        <v>1927</v>
      </c>
      <c r="Y319" s="1119"/>
      <c r="Z319" s="1119"/>
      <c r="AA319" s="1119"/>
      <c r="AB319" s="1119"/>
      <c r="AC319" s="1178"/>
      <c r="AD319" s="1178">
        <v>6.5442795826836209</v>
      </c>
      <c r="AE319" s="1178">
        <v>47156.394</v>
      </c>
      <c r="AF319" s="1178">
        <v>59231.070877444829</v>
      </c>
      <c r="AG319" s="1178"/>
      <c r="AH319" s="1178"/>
      <c r="AI319" s="1178"/>
      <c r="AJ319" s="1178"/>
      <c r="AK319" s="919">
        <v>22.275714874267578</v>
      </c>
      <c r="AL319" s="919">
        <v>27.979544970370188</v>
      </c>
      <c r="AM319" s="919">
        <v>24.763332911900111</v>
      </c>
      <c r="AN319" s="919">
        <v>31.10413249296623</v>
      </c>
      <c r="AO319" s="919"/>
      <c r="AP319" s="919"/>
      <c r="AS319" s="1167"/>
      <c r="AT319" s="1167"/>
      <c r="AU319" s="1168"/>
      <c r="AV319" s="1168"/>
      <c r="AW319" s="1169"/>
      <c r="AX319" s="1169"/>
      <c r="AY319" s="1169"/>
      <c r="AZ319" s="1169"/>
      <c r="BA319" s="1843" t="s">
        <v>1</v>
      </c>
      <c r="BB319" s="1844">
        <v>2003</v>
      </c>
      <c r="BC319" s="1843" t="s">
        <v>20</v>
      </c>
      <c r="BD319" s="1843">
        <v>7</v>
      </c>
      <c r="BE319" s="1845">
        <v>153579000</v>
      </c>
      <c r="BF319" s="1801">
        <v>2.6742151602763456E-2</v>
      </c>
      <c r="BG319" s="1799"/>
      <c r="BH319" s="1799" t="s">
        <v>280</v>
      </c>
      <c r="BI319" s="1799" t="s">
        <v>317</v>
      </c>
      <c r="BJ319" s="1799" t="s">
        <v>23</v>
      </c>
      <c r="BK319" s="1799">
        <v>3</v>
      </c>
      <c r="BL319" s="1800">
        <v>101341646</v>
      </c>
      <c r="BM319" s="1801">
        <v>0.115</v>
      </c>
      <c r="BN319" s="1799">
        <v>2012</v>
      </c>
      <c r="BO319" s="1684"/>
      <c r="BP319" s="1696"/>
      <c r="BQ319" s="1169"/>
      <c r="BR319" s="1169"/>
      <c r="BS319" s="1169"/>
      <c r="BT319" s="1169"/>
      <c r="BU319" s="1169"/>
      <c r="BV319" s="1169"/>
      <c r="BW319" s="1169"/>
      <c r="BX319" s="1169"/>
      <c r="BY319" s="1169"/>
      <c r="BZ319" s="1169"/>
      <c r="CA319" s="1169"/>
      <c r="CB319" s="1169"/>
      <c r="CC319" s="1169"/>
      <c r="CD319" s="1169"/>
      <c r="CE319" s="1169"/>
      <c r="CF319" s="1169"/>
      <c r="CG319" s="1169"/>
      <c r="CH319" s="1169"/>
      <c r="CI319" s="1169"/>
      <c r="CJ319" s="1169"/>
      <c r="CK319" s="1169"/>
      <c r="CL319" s="1169"/>
      <c r="CM319" s="1169"/>
      <c r="CN319" s="1169"/>
      <c r="CO319" s="1169"/>
      <c r="CP319" s="1169"/>
      <c r="CQ319" s="1169"/>
      <c r="CR319" s="1169"/>
      <c r="CS319" s="1169"/>
      <c r="CT319" s="1169"/>
      <c r="CU319" s="1169"/>
      <c r="CV319" s="1169"/>
      <c r="CW319" s="1169"/>
      <c r="CX319" s="1169"/>
      <c r="CY319" s="1169"/>
      <c r="CZ319" s="1169"/>
      <c r="DA319" s="1168"/>
      <c r="DB319" s="1168"/>
      <c r="DC319" s="1168"/>
      <c r="DD319" s="1168"/>
      <c r="DE319" s="1168"/>
      <c r="DF319" s="1168"/>
      <c r="DG319" s="1168"/>
      <c r="DH319" s="1168"/>
      <c r="DI319" s="1168"/>
      <c r="DJ319" s="1168"/>
      <c r="DK319" s="1168"/>
      <c r="DL319" s="1168"/>
      <c r="DM319" s="1168"/>
      <c r="DN319" s="1168"/>
      <c r="DO319" s="1168"/>
      <c r="DP319" s="1168"/>
      <c r="DQ319" s="1168"/>
      <c r="DR319" s="1168"/>
      <c r="DS319" s="1168"/>
      <c r="DT319" s="1168"/>
      <c r="DU319" s="1168"/>
      <c r="DV319" s="1168"/>
      <c r="DW319" s="1168"/>
      <c r="DX319" s="1168"/>
      <c r="DY319" s="1168"/>
      <c r="DZ319" s="1168"/>
      <c r="EA319" s="1168"/>
      <c r="EB319" s="1168"/>
      <c r="EC319" s="1168"/>
      <c r="ED319" s="1168"/>
      <c r="EE319" s="1168"/>
      <c r="EF319" s="1168"/>
      <c r="EG319" s="1168"/>
      <c r="EH319" s="1168"/>
      <c r="EI319" s="1170"/>
      <c r="EJ319" s="1170"/>
      <c r="EK319" s="1170"/>
      <c r="EL319" s="1170"/>
      <c r="EM319" s="1170"/>
      <c r="EN319" s="1170"/>
      <c r="EO319" s="1170"/>
      <c r="EP319" s="1170"/>
      <c r="EQ319" s="1170"/>
      <c r="ER319" s="1170"/>
      <c r="ES319" s="1171"/>
      <c r="ET319" s="1171"/>
      <c r="EU319" s="1171"/>
      <c r="EV319" s="1171"/>
      <c r="EW319" s="1171"/>
      <c r="EX319" s="1171"/>
      <c r="EY319" s="1171"/>
      <c r="EZ319" s="1171"/>
      <c r="FA319" s="1171"/>
      <c r="FB319" s="1171"/>
      <c r="FC319" s="1171"/>
      <c r="FD319" s="1171"/>
      <c r="FE319" s="1171"/>
      <c r="FF319" s="1171"/>
      <c r="FG319" s="1171"/>
      <c r="FH319" s="1171"/>
      <c r="FI319" s="1171"/>
      <c r="FJ319" s="1171"/>
      <c r="FK319" s="1171"/>
      <c r="FL319" s="1171"/>
      <c r="FM319" s="1171"/>
      <c r="FN319" s="1171"/>
      <c r="FO319" s="1171"/>
      <c r="FP319" s="1171"/>
    </row>
    <row r="320" spans="1:172" s="607" customFormat="1">
      <c r="A320" s="607">
        <f t="shared" si="8"/>
        <v>1996</v>
      </c>
      <c r="B320" s="607">
        <f t="shared" si="9"/>
        <v>4</v>
      </c>
      <c r="C320" s="666">
        <v>35400</v>
      </c>
      <c r="D320" s="957">
        <v>0.79786999999999997</v>
      </c>
      <c r="E320" s="920">
        <v>183.19893070000001</v>
      </c>
      <c r="F320" s="920">
        <v>229.61</v>
      </c>
      <c r="G320" s="920"/>
      <c r="H320" s="920"/>
      <c r="I320" s="954">
        <v>369.34</v>
      </c>
      <c r="J320" s="954">
        <v>464.45</v>
      </c>
      <c r="K320" s="954"/>
      <c r="L320" s="920"/>
      <c r="M320" s="917">
        <v>6570.5</v>
      </c>
      <c r="N320" s="917">
        <v>8235.0508228157469</v>
      </c>
      <c r="O320" s="1175">
        <v>2264.6999999999998</v>
      </c>
      <c r="P320" s="1175">
        <v>2838.4323260681563</v>
      </c>
      <c r="Q320" s="1175">
        <v>691.43</v>
      </c>
      <c r="R320" s="1175">
        <v>866.59480867810544</v>
      </c>
      <c r="S320" s="1175">
        <v>1037.8</v>
      </c>
      <c r="T320" s="1175">
        <v>1300.7131487585698</v>
      </c>
      <c r="U320" s="920">
        <v>463.56246999999996</v>
      </c>
      <c r="V320" s="920">
        <v>581</v>
      </c>
      <c r="W320" s="920">
        <v>1537.49549</v>
      </c>
      <c r="X320" s="920">
        <v>1927</v>
      </c>
      <c r="Y320" s="920"/>
      <c r="Z320" s="920"/>
      <c r="AA320" s="920"/>
      <c r="AB320" s="920"/>
      <c r="AC320" s="920"/>
      <c r="AD320" s="920">
        <v>6.5089137878373808</v>
      </c>
      <c r="AE320" s="920">
        <v>48005.164999999994</v>
      </c>
      <c r="AF320" s="920">
        <v>60166.649955506531</v>
      </c>
      <c r="AG320" s="920"/>
      <c r="AH320" s="920"/>
      <c r="AI320" s="920"/>
      <c r="AJ320" s="920"/>
      <c r="AK320" s="920">
        <v>23.521428698585147</v>
      </c>
      <c r="AL320" s="920">
        <v>29.480277111039577</v>
      </c>
      <c r="AM320" s="920">
        <v>25.399998710269021</v>
      </c>
      <c r="AN320" s="920">
        <v>31.834758432161909</v>
      </c>
      <c r="AO320" s="920"/>
      <c r="AP320" s="920"/>
      <c r="AS320" s="1167"/>
      <c r="AT320" s="1167"/>
      <c r="AU320" s="1168"/>
      <c r="AV320" s="1168"/>
      <c r="AW320" s="1169"/>
      <c r="AX320" s="1169"/>
      <c r="AY320" s="1169"/>
      <c r="AZ320" s="1169"/>
      <c r="BA320" s="1843" t="s">
        <v>1</v>
      </c>
      <c r="BB320" s="1844">
        <v>2003</v>
      </c>
      <c r="BC320" s="1843" t="s">
        <v>583</v>
      </c>
      <c r="BD320" s="1843">
        <v>8</v>
      </c>
      <c r="BE320" s="1845">
        <v>123002000</v>
      </c>
      <c r="BF320" s="1801">
        <v>2.1417890020400645E-2</v>
      </c>
      <c r="BG320" s="1799"/>
      <c r="BH320" s="1799" t="s">
        <v>280</v>
      </c>
      <c r="BI320" s="1799" t="s">
        <v>317</v>
      </c>
      <c r="BJ320" s="1799" t="s">
        <v>583</v>
      </c>
      <c r="BK320" s="1799">
        <v>4</v>
      </c>
      <c r="BL320" s="1800">
        <v>62073281</v>
      </c>
      <c r="BM320" s="1801">
        <v>7.0999999999999994E-2</v>
      </c>
      <c r="BN320" s="1799">
        <v>2012</v>
      </c>
      <c r="BO320" s="1684"/>
      <c r="BP320" s="1696"/>
      <c r="BQ320" s="1169"/>
      <c r="BR320" s="1169"/>
      <c r="BS320" s="1169"/>
      <c r="BT320" s="1169"/>
      <c r="BU320" s="1169"/>
      <c r="BV320" s="1169"/>
      <c r="BW320" s="1169"/>
      <c r="BX320" s="1169"/>
      <c r="BY320" s="1169"/>
      <c r="BZ320" s="1169"/>
      <c r="CA320" s="1169"/>
      <c r="CB320" s="1169"/>
      <c r="CC320" s="1169"/>
      <c r="CD320" s="1169"/>
      <c r="CE320" s="1169"/>
      <c r="CF320" s="1169"/>
      <c r="CG320" s="1169"/>
      <c r="CH320" s="1169"/>
      <c r="CI320" s="1169"/>
      <c r="CJ320" s="1169"/>
      <c r="CK320" s="1169"/>
      <c r="CL320" s="1169"/>
      <c r="CM320" s="1169"/>
      <c r="CN320" s="1169"/>
      <c r="CO320" s="1169"/>
      <c r="CP320" s="1169"/>
      <c r="CQ320" s="1169"/>
      <c r="CR320" s="1169"/>
      <c r="CS320" s="1169"/>
      <c r="CT320" s="1169"/>
      <c r="CU320" s="1169"/>
      <c r="CV320" s="1169"/>
      <c r="CW320" s="1169"/>
      <c r="CX320" s="1169"/>
      <c r="CY320" s="1169"/>
      <c r="CZ320" s="1169"/>
      <c r="DA320" s="1168"/>
      <c r="DB320" s="1168"/>
      <c r="DC320" s="1168"/>
      <c r="DD320" s="1168"/>
      <c r="DE320" s="1168"/>
      <c r="DF320" s="1168"/>
      <c r="DG320" s="1168"/>
      <c r="DH320" s="1168"/>
      <c r="DI320" s="1168"/>
      <c r="DJ320" s="1168"/>
      <c r="DK320" s="1168"/>
      <c r="DL320" s="1168"/>
      <c r="DM320" s="1168"/>
      <c r="DN320" s="1168"/>
      <c r="DO320" s="1168"/>
      <c r="DP320" s="1168"/>
      <c r="DQ320" s="1168"/>
      <c r="DR320" s="1168"/>
      <c r="DS320" s="1168"/>
      <c r="DT320" s="1168"/>
      <c r="DU320" s="1168"/>
      <c r="DV320" s="1168"/>
      <c r="DW320" s="1168"/>
      <c r="DX320" s="1168"/>
      <c r="DY320" s="1168"/>
      <c r="DZ320" s="1168"/>
      <c r="EA320" s="1168"/>
      <c r="EB320" s="1168"/>
      <c r="EC320" s="1168"/>
      <c r="ED320" s="1168"/>
      <c r="EE320" s="1168"/>
      <c r="EF320" s="1168"/>
      <c r="EG320" s="1168"/>
      <c r="EH320" s="1168"/>
      <c r="EI320" s="1170"/>
      <c r="EJ320" s="1170"/>
      <c r="EK320" s="1170"/>
      <c r="EL320" s="1170"/>
      <c r="EM320" s="1170"/>
      <c r="EN320" s="1170"/>
      <c r="EO320" s="1170"/>
      <c r="EP320" s="1170"/>
      <c r="EQ320" s="1170"/>
      <c r="ER320" s="1170"/>
      <c r="ES320" s="1171"/>
      <c r="ET320" s="1171"/>
      <c r="EU320" s="1171"/>
      <c r="EV320" s="1171"/>
      <c r="EW320" s="1171"/>
      <c r="EX320" s="1171"/>
      <c r="EY320" s="1171"/>
      <c r="EZ320" s="1171"/>
      <c r="FA320" s="1171"/>
      <c r="FB320" s="1171"/>
      <c r="FC320" s="1171"/>
      <c r="FD320" s="1171"/>
      <c r="FE320" s="1171"/>
      <c r="FF320" s="1171"/>
      <c r="FG320" s="1171"/>
      <c r="FH320" s="1171"/>
      <c r="FI320" s="1171"/>
      <c r="FJ320" s="1171"/>
      <c r="FK320" s="1171"/>
      <c r="FL320" s="1171"/>
      <c r="FM320" s="1171"/>
      <c r="FN320" s="1171"/>
      <c r="FO320" s="1171"/>
      <c r="FP320" s="1171"/>
    </row>
    <row r="321" spans="1:172" s="607" customFormat="1">
      <c r="A321" s="607">
        <f t="shared" si="8"/>
        <v>1997</v>
      </c>
      <c r="B321" s="607">
        <f t="shared" si="9"/>
        <v>1</v>
      </c>
      <c r="C321" s="666">
        <v>35431</v>
      </c>
      <c r="D321" s="1709">
        <v>0.77905714285714278</v>
      </c>
      <c r="E321" s="1117">
        <v>180.05568685714283</v>
      </c>
      <c r="F321" s="1117">
        <v>231.12</v>
      </c>
      <c r="G321" s="1117"/>
      <c r="H321" s="1117"/>
      <c r="I321" s="959">
        <v>355.02</v>
      </c>
      <c r="J321" s="959">
        <v>452.26</v>
      </c>
      <c r="K321" s="960"/>
      <c r="L321" s="1121"/>
      <c r="M321" s="916">
        <v>7042.3</v>
      </c>
      <c r="N321" s="916">
        <v>9039.5166318260181</v>
      </c>
      <c r="O321" s="1174">
        <v>2425.4</v>
      </c>
      <c r="P321" s="1174">
        <v>3113.2504492610119</v>
      </c>
      <c r="Q321" s="1174">
        <v>692.65</v>
      </c>
      <c r="R321" s="1174">
        <v>889.08754171709393</v>
      </c>
      <c r="S321" s="1174">
        <v>1085.0999999999999</v>
      </c>
      <c r="T321" s="1174">
        <v>1392.8374958741335</v>
      </c>
      <c r="U321" s="1120">
        <v>462.75994285714279</v>
      </c>
      <c r="V321" s="1120">
        <v>594</v>
      </c>
      <c r="W321" s="1120">
        <v>1479.429514285714</v>
      </c>
      <c r="X321" s="1120">
        <v>1899</v>
      </c>
      <c r="Y321" s="1119"/>
      <c r="Z321" s="1119"/>
      <c r="AA321" s="1119"/>
      <c r="AB321" s="1119"/>
      <c r="AC321" s="1178"/>
      <c r="AD321" s="1178">
        <v>6.5786808558522356</v>
      </c>
      <c r="AE321" s="1178">
        <v>46803.657999999996</v>
      </c>
      <c r="AF321" s="1178">
        <v>60077.310668573737</v>
      </c>
      <c r="AG321" s="1178"/>
      <c r="AH321" s="1178"/>
      <c r="AI321" s="1178"/>
      <c r="AJ321" s="1178"/>
      <c r="AK321" s="919">
        <v>23.468181523409758</v>
      </c>
      <c r="AL321" s="919">
        <v>30.123825625090461</v>
      </c>
      <c r="AM321" s="919">
        <v>26.009089556607332</v>
      </c>
      <c r="AN321" s="919">
        <v>33.38534251957519</v>
      </c>
      <c r="AO321" s="919"/>
      <c r="AP321" s="919"/>
      <c r="AS321" s="1167"/>
      <c r="AT321" s="1167"/>
      <c r="AU321" s="1168"/>
      <c r="AV321" s="1168"/>
      <c r="AW321" s="1169"/>
      <c r="AX321" s="1169"/>
      <c r="AY321" s="1169"/>
      <c r="AZ321" s="1169"/>
      <c r="BA321" s="1843" t="s">
        <v>1</v>
      </c>
      <c r="BB321" s="1844">
        <v>2003</v>
      </c>
      <c r="BC321" s="1843" t="s">
        <v>241</v>
      </c>
      <c r="BD321" s="1843">
        <v>9</v>
      </c>
      <c r="BE321" s="1845">
        <v>59570000</v>
      </c>
      <c r="BF321" s="1801">
        <v>1.0372707017083189E-2</v>
      </c>
      <c r="BG321" s="1799"/>
      <c r="BH321" s="1799" t="s">
        <v>280</v>
      </c>
      <c r="BI321" s="1799" t="s">
        <v>317</v>
      </c>
      <c r="BJ321" s="1799" t="s">
        <v>20</v>
      </c>
      <c r="BK321" s="1799">
        <v>5</v>
      </c>
      <c r="BL321" s="1800">
        <v>38089165</v>
      </c>
      <c r="BM321" s="1801">
        <v>4.2999999999999997E-2</v>
      </c>
      <c r="BN321" s="1799">
        <v>2012</v>
      </c>
      <c r="BO321" s="1684"/>
      <c r="BP321" s="1696"/>
      <c r="BQ321" s="1169"/>
      <c r="BR321" s="1169"/>
      <c r="BS321" s="1169"/>
      <c r="BT321" s="1169"/>
      <c r="BU321" s="1169"/>
      <c r="BV321" s="1169"/>
      <c r="BW321" s="1169"/>
      <c r="BX321" s="1169"/>
      <c r="BY321" s="1169"/>
      <c r="BZ321" s="1169"/>
      <c r="CA321" s="1169"/>
      <c r="CB321" s="1169"/>
      <c r="CC321" s="1169"/>
      <c r="CD321" s="1169"/>
      <c r="CE321" s="1169"/>
      <c r="CF321" s="1169"/>
      <c r="CG321" s="1169"/>
      <c r="CH321" s="1169"/>
      <c r="CI321" s="1169"/>
      <c r="CJ321" s="1169"/>
      <c r="CK321" s="1169"/>
      <c r="CL321" s="1169"/>
      <c r="CM321" s="1169"/>
      <c r="CN321" s="1169"/>
      <c r="CO321" s="1169"/>
      <c r="CP321" s="1169"/>
      <c r="CQ321" s="1169"/>
      <c r="CR321" s="1169"/>
      <c r="CS321" s="1169"/>
      <c r="CT321" s="1169"/>
      <c r="CU321" s="1169"/>
      <c r="CV321" s="1169"/>
      <c r="CW321" s="1169"/>
      <c r="CX321" s="1169"/>
      <c r="CY321" s="1169"/>
      <c r="CZ321" s="1169"/>
      <c r="DA321" s="1168"/>
      <c r="DB321" s="1168"/>
      <c r="DC321" s="1168"/>
      <c r="DD321" s="1168"/>
      <c r="DE321" s="1168"/>
      <c r="DF321" s="1168"/>
      <c r="DG321" s="1168"/>
      <c r="DH321" s="1168"/>
      <c r="DI321" s="1168"/>
      <c r="DJ321" s="1168"/>
      <c r="DK321" s="1168"/>
      <c r="DL321" s="1168"/>
      <c r="DM321" s="1168"/>
      <c r="DN321" s="1168"/>
      <c r="DO321" s="1168"/>
      <c r="DP321" s="1168"/>
      <c r="DQ321" s="1168"/>
      <c r="DR321" s="1168"/>
      <c r="DS321" s="1168"/>
      <c r="DT321" s="1168"/>
      <c r="DU321" s="1168"/>
      <c r="DV321" s="1168"/>
      <c r="DW321" s="1168"/>
      <c r="DX321" s="1168"/>
      <c r="DY321" s="1168"/>
      <c r="DZ321" s="1168"/>
      <c r="EA321" s="1168"/>
      <c r="EB321" s="1168"/>
      <c r="EC321" s="1168"/>
      <c r="ED321" s="1168"/>
      <c r="EE321" s="1168"/>
      <c r="EF321" s="1168"/>
      <c r="EG321" s="1168"/>
      <c r="EH321" s="1168"/>
      <c r="EI321" s="1170"/>
      <c r="EJ321" s="1170"/>
      <c r="EK321" s="1170"/>
      <c r="EL321" s="1170"/>
      <c r="EM321" s="1170"/>
      <c r="EN321" s="1170"/>
      <c r="EO321" s="1170"/>
      <c r="EP321" s="1170"/>
      <c r="EQ321" s="1170"/>
      <c r="ER321" s="1170"/>
      <c r="ES321" s="1171"/>
      <c r="ET321" s="1171"/>
      <c r="EU321" s="1171"/>
      <c r="EV321" s="1171"/>
      <c r="EW321" s="1171"/>
      <c r="EX321" s="1171"/>
      <c r="EY321" s="1171"/>
      <c r="EZ321" s="1171"/>
      <c r="FA321" s="1171"/>
      <c r="FB321" s="1171"/>
      <c r="FC321" s="1171"/>
      <c r="FD321" s="1171"/>
      <c r="FE321" s="1171"/>
      <c r="FF321" s="1171"/>
      <c r="FG321" s="1171"/>
      <c r="FH321" s="1171"/>
      <c r="FI321" s="1171"/>
      <c r="FJ321" s="1171"/>
      <c r="FK321" s="1171"/>
      <c r="FL321" s="1171"/>
      <c r="FM321" s="1171"/>
      <c r="FN321" s="1171"/>
      <c r="FO321" s="1171"/>
      <c r="FP321" s="1171"/>
    </row>
    <row r="322" spans="1:172" s="607" customFormat="1">
      <c r="A322" s="607">
        <f t="shared" si="8"/>
        <v>1997</v>
      </c>
      <c r="B322" s="607">
        <f t="shared" si="9"/>
        <v>1</v>
      </c>
      <c r="C322" s="666">
        <v>35462</v>
      </c>
      <c r="D322" s="957">
        <v>0.76702500000000007</v>
      </c>
      <c r="E322" s="920">
        <v>182.39087475000002</v>
      </c>
      <c r="F322" s="920">
        <v>237.79</v>
      </c>
      <c r="G322" s="920"/>
      <c r="H322" s="920"/>
      <c r="I322" s="954">
        <v>346.4</v>
      </c>
      <c r="J322" s="954">
        <v>463.44</v>
      </c>
      <c r="K322" s="954"/>
      <c r="L322" s="920"/>
      <c r="M322" s="917">
        <v>7737.3</v>
      </c>
      <c r="N322" s="917">
        <v>10087.415664417716</v>
      </c>
      <c r="O322" s="1175">
        <v>2405.8000000000002</v>
      </c>
      <c r="P322" s="1175">
        <v>3136.5340112773379</v>
      </c>
      <c r="Q322" s="1175">
        <v>660.22</v>
      </c>
      <c r="R322" s="1175">
        <v>860.75421270493132</v>
      </c>
      <c r="S322" s="1175">
        <v>1179.7</v>
      </c>
      <c r="T322" s="1175">
        <v>1538.0202731332095</v>
      </c>
      <c r="U322" s="920">
        <v>455.61285000000004</v>
      </c>
      <c r="V322" s="920">
        <v>594</v>
      </c>
      <c r="W322" s="920">
        <v>1456.5804750000002</v>
      </c>
      <c r="X322" s="920">
        <v>1899</v>
      </c>
      <c r="Y322" s="920"/>
      <c r="Z322" s="920"/>
      <c r="AA322" s="920"/>
      <c r="AB322" s="920"/>
      <c r="AC322" s="920"/>
      <c r="AD322" s="920">
        <v>7.0795891137653317</v>
      </c>
      <c r="AE322" s="920">
        <v>44114.046000000002</v>
      </c>
      <c r="AF322" s="920">
        <v>57513.178840324632</v>
      </c>
      <c r="AG322" s="920"/>
      <c r="AH322" s="920"/>
      <c r="AI322" s="920"/>
      <c r="AJ322" s="920"/>
      <c r="AK322" s="920">
        <v>20.83049659729004</v>
      </c>
      <c r="AL322" s="920">
        <v>27.157519764401471</v>
      </c>
      <c r="AM322" s="920">
        <v>23.56499719619751</v>
      </c>
      <c r="AN322" s="920">
        <v>30.722593391607194</v>
      </c>
      <c r="AO322" s="920"/>
      <c r="AP322" s="920"/>
      <c r="AS322" s="1167"/>
      <c r="AT322" s="1167"/>
      <c r="AU322" s="1168"/>
      <c r="AV322" s="1168"/>
      <c r="AW322" s="1169"/>
      <c r="AX322" s="1169"/>
      <c r="AY322" s="1169"/>
      <c r="AZ322" s="1169"/>
      <c r="BA322" s="1843" t="s">
        <v>1</v>
      </c>
      <c r="BB322" s="1844">
        <v>2003</v>
      </c>
      <c r="BC322" s="1843" t="s">
        <v>29</v>
      </c>
      <c r="BD322" s="1843">
        <v>10</v>
      </c>
      <c r="BE322" s="1845">
        <v>14674000</v>
      </c>
      <c r="BF322" s="1801">
        <v>2.555130145520878E-3</v>
      </c>
      <c r="BG322" s="1799"/>
      <c r="BH322" s="1799" t="s">
        <v>280</v>
      </c>
      <c r="BI322" s="1799" t="s">
        <v>317</v>
      </c>
      <c r="BJ322" s="1799" t="s">
        <v>18</v>
      </c>
      <c r="BK322" s="1799">
        <v>6</v>
      </c>
      <c r="BL322" s="1800">
        <v>37677938</v>
      </c>
      <c r="BM322" s="1801">
        <v>4.2999999999999997E-2</v>
      </c>
      <c r="BN322" s="1799">
        <v>2012</v>
      </c>
      <c r="BO322" s="1684"/>
      <c r="BP322" s="1696"/>
      <c r="BQ322" s="1169"/>
      <c r="BR322" s="1169"/>
      <c r="BS322" s="1169"/>
      <c r="BT322" s="1169"/>
      <c r="BU322" s="1169"/>
      <c r="BV322" s="1169"/>
      <c r="BW322" s="1169"/>
      <c r="BX322" s="1169"/>
      <c r="BY322" s="1169"/>
      <c r="BZ322" s="1169"/>
      <c r="CA322" s="1169"/>
      <c r="CB322" s="1169"/>
      <c r="CC322" s="1169"/>
      <c r="CD322" s="1169"/>
      <c r="CE322" s="1169"/>
      <c r="CF322" s="1169"/>
      <c r="CG322" s="1169"/>
      <c r="CH322" s="1169"/>
      <c r="CI322" s="1169"/>
      <c r="CJ322" s="1169"/>
      <c r="CK322" s="1169"/>
      <c r="CL322" s="1169"/>
      <c r="CM322" s="1169"/>
      <c r="CN322" s="1169"/>
      <c r="CO322" s="1169"/>
      <c r="CP322" s="1169"/>
      <c r="CQ322" s="1169"/>
      <c r="CR322" s="1169"/>
      <c r="CS322" s="1169"/>
      <c r="CT322" s="1169"/>
      <c r="CU322" s="1169"/>
      <c r="CV322" s="1169"/>
      <c r="CW322" s="1169"/>
      <c r="CX322" s="1169"/>
      <c r="CY322" s="1169"/>
      <c r="CZ322" s="1169"/>
      <c r="DA322" s="1168"/>
      <c r="DB322" s="1168"/>
      <c r="DC322" s="1168"/>
      <c r="DD322" s="1168"/>
      <c r="DE322" s="1168"/>
      <c r="DF322" s="1168"/>
      <c r="DG322" s="1168"/>
      <c r="DH322" s="1168"/>
      <c r="DI322" s="1168"/>
      <c r="DJ322" s="1168"/>
      <c r="DK322" s="1168"/>
      <c r="DL322" s="1168"/>
      <c r="DM322" s="1168"/>
      <c r="DN322" s="1168"/>
      <c r="DO322" s="1168"/>
      <c r="DP322" s="1168"/>
      <c r="DQ322" s="1168"/>
      <c r="DR322" s="1168"/>
      <c r="DS322" s="1168"/>
      <c r="DT322" s="1168"/>
      <c r="DU322" s="1168"/>
      <c r="DV322" s="1168"/>
      <c r="DW322" s="1168"/>
      <c r="DX322" s="1168"/>
      <c r="DY322" s="1168"/>
      <c r="DZ322" s="1168"/>
      <c r="EA322" s="1168"/>
      <c r="EB322" s="1168"/>
      <c r="EC322" s="1168"/>
      <c r="ED322" s="1168"/>
      <c r="EE322" s="1168"/>
      <c r="EF322" s="1168"/>
      <c r="EG322" s="1168"/>
      <c r="EH322" s="1168"/>
      <c r="EI322" s="1170"/>
      <c r="EJ322" s="1170"/>
      <c r="EK322" s="1170"/>
      <c r="EL322" s="1170"/>
      <c r="EM322" s="1170"/>
      <c r="EN322" s="1170"/>
      <c r="EO322" s="1170"/>
      <c r="EP322" s="1170"/>
      <c r="EQ322" s="1170"/>
      <c r="ER322" s="1170"/>
      <c r="ES322" s="1171"/>
      <c r="ET322" s="1171"/>
      <c r="EU322" s="1171"/>
      <c r="EV322" s="1171"/>
      <c r="EW322" s="1171"/>
      <c r="EX322" s="1171"/>
      <c r="EY322" s="1171"/>
      <c r="EZ322" s="1171"/>
      <c r="FA322" s="1171"/>
      <c r="FB322" s="1171"/>
      <c r="FC322" s="1171"/>
      <c r="FD322" s="1171"/>
      <c r="FE322" s="1171"/>
      <c r="FF322" s="1171"/>
      <c r="FG322" s="1171"/>
      <c r="FH322" s="1171"/>
      <c r="FI322" s="1171"/>
      <c r="FJ322" s="1171"/>
      <c r="FK322" s="1171"/>
      <c r="FL322" s="1171"/>
      <c r="FM322" s="1171"/>
      <c r="FN322" s="1171"/>
      <c r="FO322" s="1171"/>
      <c r="FP322" s="1171"/>
    </row>
    <row r="323" spans="1:172" s="607" customFormat="1">
      <c r="A323" s="607">
        <f t="shared" si="8"/>
        <v>1997</v>
      </c>
      <c r="B323" s="607">
        <f t="shared" si="9"/>
        <v>1</v>
      </c>
      <c r="C323" s="666">
        <v>35490</v>
      </c>
      <c r="D323" s="1709">
        <v>0.78882105263157898</v>
      </c>
      <c r="E323" s="1117">
        <v>184.15816294736842</v>
      </c>
      <c r="F323" s="1117">
        <v>233.46</v>
      </c>
      <c r="G323" s="1117"/>
      <c r="H323" s="1117"/>
      <c r="I323" s="959">
        <v>352.31</v>
      </c>
      <c r="J323" s="959">
        <v>446.91</v>
      </c>
      <c r="K323" s="960"/>
      <c r="L323" s="1121"/>
      <c r="M323" s="916">
        <v>7869.1</v>
      </c>
      <c r="N323" s="916">
        <v>9975.7733059329039</v>
      </c>
      <c r="O323" s="1174">
        <v>2420.4</v>
      </c>
      <c r="P323" s="1174">
        <v>3068.3765245936643</v>
      </c>
      <c r="Q323" s="1174">
        <v>694.71</v>
      </c>
      <c r="R323" s="1174">
        <v>880.69404040673624</v>
      </c>
      <c r="S323" s="1174">
        <v>1255.5</v>
      </c>
      <c r="T323" s="1174">
        <v>1591.6157356748245</v>
      </c>
      <c r="U323" s="1120">
        <v>468.55970526315792</v>
      </c>
      <c r="V323" s="1120">
        <v>594</v>
      </c>
      <c r="W323" s="1120">
        <v>1497.9711789473686</v>
      </c>
      <c r="X323" s="1120">
        <v>1899</v>
      </c>
      <c r="Y323" s="1119"/>
      <c r="Z323" s="1119"/>
      <c r="AA323" s="1119"/>
      <c r="AB323" s="1119"/>
      <c r="AC323" s="1178"/>
      <c r="AD323" s="1178">
        <v>7.1069172279646988</v>
      </c>
      <c r="AE323" s="1178">
        <v>43529.826999999997</v>
      </c>
      <c r="AF323" s="1178">
        <v>55183.399143291783</v>
      </c>
      <c r="AG323" s="1178"/>
      <c r="AH323" s="1178"/>
      <c r="AI323" s="1178"/>
      <c r="AJ323" s="1178"/>
      <c r="AK323" s="919">
        <v>20.062009210586545</v>
      </c>
      <c r="AL323" s="919">
        <v>25.432902866445886</v>
      </c>
      <c r="AM323" s="919">
        <v>22.973534200249649</v>
      </c>
      <c r="AN323" s="919">
        <v>29.123885732521771</v>
      </c>
      <c r="AO323" s="919"/>
      <c r="AP323" s="919"/>
      <c r="AS323" s="1167"/>
      <c r="AT323" s="1167"/>
      <c r="AU323" s="1168"/>
      <c r="AV323" s="1168"/>
      <c r="AW323" s="1169"/>
      <c r="AX323" s="1169"/>
      <c r="AY323" s="1169"/>
      <c r="AZ323" s="1169"/>
      <c r="BA323" s="1843" t="s">
        <v>1</v>
      </c>
      <c r="BB323" s="1844">
        <v>2003</v>
      </c>
      <c r="BC323" s="1843" t="s">
        <v>32</v>
      </c>
      <c r="BD323" s="1843"/>
      <c r="BE323" s="1845">
        <v>20069000</v>
      </c>
      <c r="BF323" s="1801">
        <v>3.4945418352500001E-3</v>
      </c>
      <c r="BG323" s="1799"/>
      <c r="BH323" s="1799" t="s">
        <v>280</v>
      </c>
      <c r="BI323" s="1799" t="s">
        <v>317</v>
      </c>
      <c r="BJ323" s="1799" t="s">
        <v>42</v>
      </c>
      <c r="BK323" s="1799">
        <v>7</v>
      </c>
      <c r="BL323" s="1800">
        <v>29113728</v>
      </c>
      <c r="BM323" s="1801">
        <v>3.3000000000000002E-2</v>
      </c>
      <c r="BN323" s="1799">
        <v>2012</v>
      </c>
      <c r="BO323" s="1684"/>
      <c r="BP323" s="1696"/>
      <c r="BQ323" s="1169"/>
      <c r="BR323" s="1169"/>
      <c r="BS323" s="1169"/>
      <c r="BT323" s="1169"/>
      <c r="BU323" s="1169"/>
      <c r="BV323" s="1169"/>
      <c r="BW323" s="1169"/>
      <c r="BX323" s="1169"/>
      <c r="BY323" s="1169"/>
      <c r="BZ323" s="1169"/>
      <c r="CA323" s="1169"/>
      <c r="CB323" s="1169"/>
      <c r="CC323" s="1169"/>
      <c r="CD323" s="1169"/>
      <c r="CE323" s="1169"/>
      <c r="CF323" s="1169"/>
      <c r="CG323" s="1169"/>
      <c r="CH323" s="1169"/>
      <c r="CI323" s="1169"/>
      <c r="CJ323" s="1169"/>
      <c r="CK323" s="1169"/>
      <c r="CL323" s="1169"/>
      <c r="CM323" s="1169"/>
      <c r="CN323" s="1169"/>
      <c r="CO323" s="1169"/>
      <c r="CP323" s="1169"/>
      <c r="CQ323" s="1169"/>
      <c r="CR323" s="1169"/>
      <c r="CS323" s="1169"/>
      <c r="CT323" s="1169"/>
      <c r="CU323" s="1169"/>
      <c r="CV323" s="1169"/>
      <c r="CW323" s="1169"/>
      <c r="CX323" s="1169"/>
      <c r="CY323" s="1169"/>
      <c r="CZ323" s="1169"/>
      <c r="DA323" s="1168"/>
      <c r="DB323" s="1168"/>
      <c r="DC323" s="1168"/>
      <c r="DD323" s="1168"/>
      <c r="DE323" s="1168"/>
      <c r="DF323" s="1168"/>
      <c r="DG323" s="1168"/>
      <c r="DH323" s="1168"/>
      <c r="DI323" s="1168"/>
      <c r="DJ323" s="1168"/>
      <c r="DK323" s="1168"/>
      <c r="DL323" s="1168"/>
      <c r="DM323" s="1168"/>
      <c r="DN323" s="1168"/>
      <c r="DO323" s="1168"/>
      <c r="DP323" s="1168"/>
      <c r="DQ323" s="1168"/>
      <c r="DR323" s="1168"/>
      <c r="DS323" s="1168"/>
      <c r="DT323" s="1168"/>
      <c r="DU323" s="1168"/>
      <c r="DV323" s="1168"/>
      <c r="DW323" s="1168"/>
      <c r="DX323" s="1168"/>
      <c r="DY323" s="1168"/>
      <c r="DZ323" s="1168"/>
      <c r="EA323" s="1168"/>
      <c r="EB323" s="1168"/>
      <c r="EC323" s="1168"/>
      <c r="ED323" s="1168"/>
      <c r="EE323" s="1168"/>
      <c r="EF323" s="1168"/>
      <c r="EG323" s="1168"/>
      <c r="EH323" s="1168"/>
      <c r="EI323" s="1170"/>
      <c r="EJ323" s="1170"/>
      <c r="EK323" s="1170"/>
      <c r="EL323" s="1170"/>
      <c r="EM323" s="1170"/>
      <c r="EN323" s="1170"/>
      <c r="EO323" s="1170"/>
      <c r="EP323" s="1170"/>
      <c r="EQ323" s="1170"/>
      <c r="ER323" s="1170"/>
      <c r="ES323" s="1171"/>
      <c r="ET323" s="1171"/>
      <c r="EU323" s="1171"/>
      <c r="EV323" s="1171"/>
      <c r="EW323" s="1171"/>
      <c r="EX323" s="1171"/>
      <c r="EY323" s="1171"/>
      <c r="EZ323" s="1171"/>
      <c r="FA323" s="1171"/>
      <c r="FB323" s="1171"/>
      <c r="FC323" s="1171"/>
      <c r="FD323" s="1171"/>
      <c r="FE323" s="1171"/>
      <c r="FF323" s="1171"/>
      <c r="FG323" s="1171"/>
      <c r="FH323" s="1171"/>
      <c r="FI323" s="1171"/>
      <c r="FJ323" s="1171"/>
      <c r="FK323" s="1171"/>
      <c r="FL323" s="1171"/>
      <c r="FM323" s="1171"/>
      <c r="FN323" s="1171"/>
      <c r="FO323" s="1171"/>
      <c r="FP323" s="1171"/>
    </row>
    <row r="324" spans="1:172" s="607" customFormat="1">
      <c r="A324" s="607">
        <f t="shared" si="8"/>
        <v>1997</v>
      </c>
      <c r="B324" s="607">
        <f t="shared" si="9"/>
        <v>2</v>
      </c>
      <c r="C324" s="666">
        <v>35521</v>
      </c>
      <c r="D324" s="957">
        <v>0.77897142857142854</v>
      </c>
      <c r="E324" s="920">
        <v>189.16542171428571</v>
      </c>
      <c r="F324" s="920">
        <v>242.84</v>
      </c>
      <c r="G324" s="920"/>
      <c r="H324" s="920"/>
      <c r="I324" s="954">
        <v>344.71</v>
      </c>
      <c r="J324" s="954">
        <v>435.09</v>
      </c>
      <c r="K324" s="954"/>
      <c r="L324" s="920"/>
      <c r="M324" s="917">
        <v>7317.9</v>
      </c>
      <c r="N324" s="917">
        <v>9394.3111795774639</v>
      </c>
      <c r="O324" s="1175">
        <v>2391.1999999999998</v>
      </c>
      <c r="P324" s="1175">
        <v>3069.68896713615</v>
      </c>
      <c r="Q324" s="1175">
        <v>642.52</v>
      </c>
      <c r="R324" s="1175">
        <v>824.83127934272306</v>
      </c>
      <c r="S324" s="1175">
        <v>1240.7</v>
      </c>
      <c r="T324" s="1175">
        <v>1592.7413438967137</v>
      </c>
      <c r="U324" s="920">
        <v>453.36137142857143</v>
      </c>
      <c r="V324" s="920">
        <v>582</v>
      </c>
      <c r="W324" s="920">
        <v>1516.6573714285714</v>
      </c>
      <c r="X324" s="920">
        <v>1947</v>
      </c>
      <c r="Y324" s="920"/>
      <c r="Z324" s="920"/>
      <c r="AA324" s="920"/>
      <c r="AB324" s="920"/>
      <c r="AC324" s="920"/>
      <c r="AD324" s="920">
        <v>6.633658591476844</v>
      </c>
      <c r="AE324" s="920">
        <v>51852.191999999995</v>
      </c>
      <c r="AF324" s="920">
        <v>66564.947183098586</v>
      </c>
      <c r="AG324" s="920"/>
      <c r="AH324" s="920"/>
      <c r="AI324" s="920"/>
      <c r="AJ324" s="920"/>
      <c r="AK324" s="920">
        <v>17.469087600708008</v>
      </c>
      <c r="AL324" s="920">
        <v>22.425838689289183</v>
      </c>
      <c r="AM324" s="920">
        <v>20.838093439737957</v>
      </c>
      <c r="AN324" s="920">
        <v>26.750780163982853</v>
      </c>
      <c r="AO324" s="920"/>
      <c r="AP324" s="920"/>
      <c r="AS324" s="1167"/>
      <c r="AT324" s="1167"/>
      <c r="AU324" s="1168"/>
      <c r="AV324" s="1168"/>
      <c r="AW324" s="1169"/>
      <c r="AX324" s="1169"/>
      <c r="AY324" s="1169"/>
      <c r="AZ324" s="1169"/>
      <c r="BA324" s="1843" t="s">
        <v>1</v>
      </c>
      <c r="BB324" s="1844">
        <v>2003</v>
      </c>
      <c r="BC324" s="1843" t="s">
        <v>249</v>
      </c>
      <c r="BD324" s="1843"/>
      <c r="BE324" s="1845">
        <v>5742956000</v>
      </c>
      <c r="BF324" s="1801">
        <v>1</v>
      </c>
      <c r="BG324" s="1799"/>
      <c r="BH324" s="1799" t="s">
        <v>280</v>
      </c>
      <c r="BI324" s="1799" t="s">
        <v>317</v>
      </c>
      <c r="BJ324" s="1799" t="s">
        <v>21</v>
      </c>
      <c r="BK324" s="1799">
        <v>8</v>
      </c>
      <c r="BL324" s="1800">
        <v>25055807</v>
      </c>
      <c r="BM324" s="1801">
        <v>2.9000000000000001E-2</v>
      </c>
      <c r="BN324" s="1799">
        <v>2012</v>
      </c>
      <c r="BO324" s="1684"/>
      <c r="BP324" s="1696"/>
      <c r="BQ324" s="1169"/>
      <c r="BR324" s="1169"/>
      <c r="BS324" s="1169"/>
      <c r="BT324" s="1169"/>
      <c r="BU324" s="1169"/>
      <c r="BV324" s="1169"/>
      <c r="BW324" s="1169"/>
      <c r="BX324" s="1169"/>
      <c r="BY324" s="1169"/>
      <c r="BZ324" s="1169"/>
      <c r="CA324" s="1169"/>
      <c r="CB324" s="1169"/>
      <c r="CC324" s="1169"/>
      <c r="CD324" s="1169"/>
      <c r="CE324" s="1169"/>
      <c r="CF324" s="1169"/>
      <c r="CG324" s="1169"/>
      <c r="CH324" s="1169"/>
      <c r="CI324" s="1169"/>
      <c r="CJ324" s="1169"/>
      <c r="CK324" s="1169"/>
      <c r="CL324" s="1169"/>
      <c r="CM324" s="1169"/>
      <c r="CN324" s="1169"/>
      <c r="CO324" s="1169"/>
      <c r="CP324" s="1169"/>
      <c r="CQ324" s="1169"/>
      <c r="CR324" s="1169"/>
      <c r="CS324" s="1169"/>
      <c r="CT324" s="1169"/>
      <c r="CU324" s="1169"/>
      <c r="CV324" s="1169"/>
      <c r="CW324" s="1169"/>
      <c r="CX324" s="1169"/>
      <c r="CY324" s="1169"/>
      <c r="CZ324" s="1169"/>
      <c r="DA324" s="1168"/>
      <c r="DB324" s="1168"/>
      <c r="DC324" s="1168"/>
      <c r="DD324" s="1168"/>
      <c r="DE324" s="1168"/>
      <c r="DF324" s="1168"/>
      <c r="DG324" s="1168"/>
      <c r="DH324" s="1168"/>
      <c r="DI324" s="1168"/>
      <c r="DJ324" s="1168"/>
      <c r="DK324" s="1168"/>
      <c r="DL324" s="1168"/>
      <c r="DM324" s="1168"/>
      <c r="DN324" s="1168"/>
      <c r="DO324" s="1168"/>
      <c r="DP324" s="1168"/>
      <c r="DQ324" s="1168"/>
      <c r="DR324" s="1168"/>
      <c r="DS324" s="1168"/>
      <c r="DT324" s="1168"/>
      <c r="DU324" s="1168"/>
      <c r="DV324" s="1168"/>
      <c r="DW324" s="1168"/>
      <c r="DX324" s="1168"/>
      <c r="DY324" s="1168"/>
      <c r="DZ324" s="1168"/>
      <c r="EA324" s="1168"/>
      <c r="EB324" s="1168"/>
      <c r="EC324" s="1168"/>
      <c r="ED324" s="1168"/>
      <c r="EE324" s="1168"/>
      <c r="EF324" s="1168"/>
      <c r="EG324" s="1168"/>
      <c r="EH324" s="1168"/>
      <c r="EI324" s="1170"/>
      <c r="EJ324" s="1170"/>
      <c r="EK324" s="1170"/>
      <c r="EL324" s="1170"/>
      <c r="EM324" s="1170"/>
      <c r="EN324" s="1170"/>
      <c r="EO324" s="1170"/>
      <c r="EP324" s="1170"/>
      <c r="EQ324" s="1170"/>
      <c r="ER324" s="1170"/>
      <c r="ES324" s="1171"/>
      <c r="ET324" s="1171"/>
      <c r="EU324" s="1171"/>
      <c r="EV324" s="1171"/>
      <c r="EW324" s="1171"/>
      <c r="EX324" s="1171"/>
      <c r="EY324" s="1171"/>
      <c r="EZ324" s="1171"/>
      <c r="FA324" s="1171"/>
      <c r="FB324" s="1171"/>
      <c r="FC324" s="1171"/>
      <c r="FD324" s="1171"/>
      <c r="FE324" s="1171"/>
      <c r="FF324" s="1171"/>
      <c r="FG324" s="1171"/>
      <c r="FH324" s="1171"/>
      <c r="FI324" s="1171"/>
      <c r="FJ324" s="1171"/>
      <c r="FK324" s="1171"/>
      <c r="FL324" s="1171"/>
      <c r="FM324" s="1171"/>
      <c r="FN324" s="1171"/>
      <c r="FO324" s="1171"/>
      <c r="FP324" s="1171"/>
    </row>
    <row r="325" spans="1:172" s="607" customFormat="1">
      <c r="A325" s="607">
        <f t="shared" si="8"/>
        <v>1997</v>
      </c>
      <c r="B325" s="607">
        <f t="shared" si="9"/>
        <v>2</v>
      </c>
      <c r="C325" s="666">
        <v>35551</v>
      </c>
      <c r="D325" s="1709">
        <v>0.77526818181818158</v>
      </c>
      <c r="E325" s="1117">
        <v>187.8474804545454</v>
      </c>
      <c r="F325" s="1117">
        <v>242.3</v>
      </c>
      <c r="G325" s="1117"/>
      <c r="H325" s="1117"/>
      <c r="I325" s="959">
        <v>344.1</v>
      </c>
      <c r="J325" s="959">
        <v>451.47</v>
      </c>
      <c r="K325" s="960"/>
      <c r="L325" s="1121"/>
      <c r="M325" s="916">
        <v>7472.7</v>
      </c>
      <c r="N325" s="916">
        <v>9638.8581077515719</v>
      </c>
      <c r="O325" s="1174">
        <v>2512.3000000000002</v>
      </c>
      <c r="P325" s="1174">
        <v>3240.5560539168278</v>
      </c>
      <c r="Q325" s="1174">
        <v>618.61</v>
      </c>
      <c r="R325" s="1174">
        <v>797.93033495740508</v>
      </c>
      <c r="S325" s="1174">
        <v>1309.2</v>
      </c>
      <c r="T325" s="1174">
        <v>1688.7059609871076</v>
      </c>
      <c r="U325" s="1120">
        <v>451.2060818181817</v>
      </c>
      <c r="V325" s="1120">
        <v>582</v>
      </c>
      <c r="W325" s="1120">
        <v>1509.4471499999995</v>
      </c>
      <c r="X325" s="1120">
        <v>1947</v>
      </c>
      <c r="Y325" s="1119"/>
      <c r="Z325" s="1119"/>
      <c r="AA325" s="1119"/>
      <c r="AB325" s="1119"/>
      <c r="AC325" s="1178"/>
      <c r="AD325" s="1178">
        <v>6.6024723905669784</v>
      </c>
      <c r="AE325" s="1178">
        <v>55247.275999999998</v>
      </c>
      <c r="AF325" s="1178">
        <v>71262.14811296972</v>
      </c>
      <c r="AG325" s="1178"/>
      <c r="AH325" s="1178"/>
      <c r="AI325" s="1178"/>
      <c r="AJ325" s="1178"/>
      <c r="AK325" s="919">
        <v>19.142499065399171</v>
      </c>
      <c r="AL325" s="919">
        <v>24.691454537068221</v>
      </c>
      <c r="AM325" s="919">
        <v>21.204997539520264</v>
      </c>
      <c r="AN325" s="919">
        <v>27.351822294305546</v>
      </c>
      <c r="AO325" s="919"/>
      <c r="AP325" s="919"/>
      <c r="AS325" s="1167"/>
      <c r="AT325" s="1167"/>
      <c r="AU325" s="1168"/>
      <c r="AV325" s="1168"/>
      <c r="AW325" s="1169"/>
      <c r="AX325" s="1169"/>
      <c r="AY325" s="1169"/>
      <c r="AZ325" s="1169"/>
      <c r="BA325" s="1846" t="s">
        <v>1</v>
      </c>
      <c r="BB325" s="1847">
        <v>2004</v>
      </c>
      <c r="BC325" s="1846" t="s">
        <v>18</v>
      </c>
      <c r="BD325" s="1846">
        <v>1</v>
      </c>
      <c r="BE325" s="1848">
        <v>2869654000</v>
      </c>
      <c r="BF325" s="1801">
        <v>0.51182475575702835</v>
      </c>
      <c r="BG325" s="1799"/>
      <c r="BH325" s="1799" t="s">
        <v>280</v>
      </c>
      <c r="BI325" s="1799" t="s">
        <v>317</v>
      </c>
      <c r="BJ325" s="1799" t="s">
        <v>27</v>
      </c>
      <c r="BK325" s="1799">
        <v>9</v>
      </c>
      <c r="BL325" s="1800">
        <v>15430241</v>
      </c>
      <c r="BM325" s="1801">
        <v>1.7999999999999999E-2</v>
      </c>
      <c r="BN325" s="1799">
        <v>2012</v>
      </c>
      <c r="BO325" s="1684"/>
      <c r="BP325" s="1696"/>
      <c r="BQ325" s="1169"/>
      <c r="BR325" s="1169"/>
      <c r="BS325" s="1169"/>
      <c r="BT325" s="1169"/>
      <c r="BU325" s="1169"/>
      <c r="BV325" s="1169"/>
      <c r="BW325" s="1169"/>
      <c r="BX325" s="1169"/>
      <c r="BY325" s="1169"/>
      <c r="BZ325" s="1169"/>
      <c r="CA325" s="1169"/>
      <c r="CB325" s="1169"/>
      <c r="CC325" s="1169"/>
      <c r="CD325" s="1169"/>
      <c r="CE325" s="1169"/>
      <c r="CF325" s="1169"/>
      <c r="CG325" s="1169"/>
      <c r="CH325" s="1169"/>
      <c r="CI325" s="1169"/>
      <c r="CJ325" s="1169"/>
      <c r="CK325" s="1169"/>
      <c r="CL325" s="1169"/>
      <c r="CM325" s="1169"/>
      <c r="CN325" s="1169"/>
      <c r="CO325" s="1169"/>
      <c r="CP325" s="1169"/>
      <c r="CQ325" s="1169"/>
      <c r="CR325" s="1169"/>
      <c r="CS325" s="1169"/>
      <c r="CT325" s="1169"/>
      <c r="CU325" s="1169"/>
      <c r="CV325" s="1169"/>
      <c r="CW325" s="1169"/>
      <c r="CX325" s="1169"/>
      <c r="CY325" s="1169"/>
      <c r="CZ325" s="1169"/>
      <c r="DA325" s="1168"/>
      <c r="DB325" s="1168"/>
      <c r="DC325" s="1168"/>
      <c r="DD325" s="1168"/>
      <c r="DE325" s="1168"/>
      <c r="DF325" s="1168"/>
      <c r="DG325" s="1168"/>
      <c r="DH325" s="1168"/>
      <c r="DI325" s="1168"/>
      <c r="DJ325" s="1168"/>
      <c r="DK325" s="1168"/>
      <c r="DL325" s="1168"/>
      <c r="DM325" s="1168"/>
      <c r="DN325" s="1168"/>
      <c r="DO325" s="1168"/>
      <c r="DP325" s="1168"/>
      <c r="DQ325" s="1168"/>
      <c r="DR325" s="1168"/>
      <c r="DS325" s="1168"/>
      <c r="DT325" s="1168"/>
      <c r="DU325" s="1168"/>
      <c r="DV325" s="1168"/>
      <c r="DW325" s="1168"/>
      <c r="DX325" s="1168"/>
      <c r="DY325" s="1168"/>
      <c r="DZ325" s="1168"/>
      <c r="EA325" s="1168"/>
      <c r="EB325" s="1168"/>
      <c r="EC325" s="1168"/>
      <c r="ED325" s="1168"/>
      <c r="EE325" s="1168"/>
      <c r="EF325" s="1168"/>
      <c r="EG325" s="1168"/>
      <c r="EH325" s="1168"/>
      <c r="EI325" s="1170"/>
      <c r="EJ325" s="1170"/>
      <c r="EK325" s="1170"/>
      <c r="EL325" s="1170"/>
      <c r="EM325" s="1170"/>
      <c r="EN325" s="1170"/>
      <c r="EO325" s="1170"/>
      <c r="EP325" s="1170"/>
      <c r="EQ325" s="1170"/>
      <c r="ER325" s="1170"/>
      <c r="ES325" s="1171"/>
      <c r="ET325" s="1171"/>
      <c r="EU325" s="1171"/>
      <c r="EV325" s="1171"/>
      <c r="EW325" s="1171"/>
      <c r="EX325" s="1171"/>
      <c r="EY325" s="1171"/>
      <c r="EZ325" s="1171"/>
      <c r="FA325" s="1171"/>
      <c r="FB325" s="1171"/>
      <c r="FC325" s="1171"/>
      <c r="FD325" s="1171"/>
      <c r="FE325" s="1171"/>
      <c r="FF325" s="1171"/>
      <c r="FG325" s="1171"/>
      <c r="FH325" s="1171"/>
      <c r="FI325" s="1171"/>
      <c r="FJ325" s="1171"/>
      <c r="FK325" s="1171"/>
      <c r="FL325" s="1171"/>
      <c r="FM325" s="1171"/>
      <c r="FN325" s="1171"/>
      <c r="FO325" s="1171"/>
      <c r="FP325" s="1171"/>
    </row>
    <row r="326" spans="1:172" s="607" customFormat="1">
      <c r="A326" s="607">
        <f t="shared" si="8"/>
        <v>1997</v>
      </c>
      <c r="B326" s="607">
        <f t="shared" si="9"/>
        <v>2</v>
      </c>
      <c r="C326" s="666">
        <v>35582</v>
      </c>
      <c r="D326" s="957">
        <v>0.75343499999999985</v>
      </c>
      <c r="E326" s="920">
        <v>191.20673429999997</v>
      </c>
      <c r="F326" s="920">
        <v>253.78</v>
      </c>
      <c r="G326" s="920"/>
      <c r="H326" s="920"/>
      <c r="I326" s="954">
        <v>340.8</v>
      </c>
      <c r="J326" s="954">
        <v>450.34</v>
      </c>
      <c r="K326" s="954"/>
      <c r="L326" s="920"/>
      <c r="M326" s="917">
        <v>7064.9</v>
      </c>
      <c r="N326" s="917">
        <v>9376.9203713658135</v>
      </c>
      <c r="O326" s="1175">
        <v>2162.6</v>
      </c>
      <c r="P326" s="1175">
        <v>2870.3205983263324</v>
      </c>
      <c r="Q326" s="1175">
        <v>614.91999999999996</v>
      </c>
      <c r="R326" s="1175">
        <v>816.15534186757986</v>
      </c>
      <c r="S326" s="1175">
        <v>1354.5</v>
      </c>
      <c r="T326" s="1175">
        <v>1797.7662306635611</v>
      </c>
      <c r="U326" s="920">
        <v>438.49916999999994</v>
      </c>
      <c r="V326" s="920">
        <v>582</v>
      </c>
      <c r="W326" s="920">
        <v>1466.9379449999997</v>
      </c>
      <c r="X326" s="920">
        <v>1947</v>
      </c>
      <c r="Y326" s="920"/>
      <c r="Z326" s="920"/>
      <c r="AA326" s="920"/>
      <c r="AB326" s="920"/>
      <c r="AC326" s="920"/>
      <c r="AD326" s="920">
        <v>6.789268088800295</v>
      </c>
      <c r="AE326" s="920">
        <v>51367.18</v>
      </c>
      <c r="AF326" s="920">
        <v>68177.321202227147</v>
      </c>
      <c r="AG326" s="920"/>
      <c r="AH326" s="920"/>
      <c r="AI326" s="920"/>
      <c r="AJ326" s="920"/>
      <c r="AK326" s="920">
        <v>17.553808121454146</v>
      </c>
      <c r="AL326" s="920">
        <v>23.298370956292381</v>
      </c>
      <c r="AM326" s="920">
        <v>19.919044312976656</v>
      </c>
      <c r="AN326" s="920">
        <v>26.437641353237716</v>
      </c>
      <c r="AO326" s="920"/>
      <c r="AP326" s="920"/>
      <c r="AS326" s="1167"/>
      <c r="AT326" s="1167"/>
      <c r="AU326" s="1168"/>
      <c r="AV326" s="1168"/>
      <c r="AW326" s="1169"/>
      <c r="AX326" s="1169"/>
      <c r="AY326" s="1169"/>
      <c r="AZ326" s="1169"/>
      <c r="BA326" s="1846" t="s">
        <v>1</v>
      </c>
      <c r="BB326" s="1847">
        <v>2004</v>
      </c>
      <c r="BC326" s="1846" t="s">
        <v>51</v>
      </c>
      <c r="BD326" s="1846">
        <v>2</v>
      </c>
      <c r="BE326" s="1848">
        <v>1005103000</v>
      </c>
      <c r="BF326" s="1801">
        <v>0.17926781329235389</v>
      </c>
      <c r="BG326" s="1799"/>
      <c r="BH326" s="1799" t="s">
        <v>280</v>
      </c>
      <c r="BI326" s="1799" t="s">
        <v>317</v>
      </c>
      <c r="BJ326" s="1799" t="s">
        <v>49</v>
      </c>
      <c r="BK326" s="1799">
        <v>10</v>
      </c>
      <c r="BL326" s="1800">
        <v>13544293</v>
      </c>
      <c r="BM326" s="1801">
        <v>1.4999999999999999E-2</v>
      </c>
      <c r="BN326" s="1799">
        <v>2012</v>
      </c>
      <c r="BO326" s="1684"/>
      <c r="BP326" s="1696"/>
      <c r="BQ326" s="1169"/>
      <c r="BR326" s="1169"/>
      <c r="BS326" s="1169"/>
      <c r="BT326" s="1169"/>
      <c r="BU326" s="1169"/>
      <c r="BV326" s="1169"/>
      <c r="BW326" s="1169"/>
      <c r="BX326" s="1169"/>
      <c r="BY326" s="1169"/>
      <c r="BZ326" s="1169"/>
      <c r="CA326" s="1169"/>
      <c r="CB326" s="1169"/>
      <c r="CC326" s="1169"/>
      <c r="CD326" s="1169"/>
      <c r="CE326" s="1169"/>
      <c r="CF326" s="1169"/>
      <c r="CG326" s="1169"/>
      <c r="CH326" s="1169"/>
      <c r="CI326" s="1169"/>
      <c r="CJ326" s="1169"/>
      <c r="CK326" s="1169"/>
      <c r="CL326" s="1169"/>
      <c r="CM326" s="1169"/>
      <c r="CN326" s="1169"/>
      <c r="CO326" s="1169"/>
      <c r="CP326" s="1169"/>
      <c r="CQ326" s="1169"/>
      <c r="CR326" s="1169"/>
      <c r="CS326" s="1169"/>
      <c r="CT326" s="1169"/>
      <c r="CU326" s="1169"/>
      <c r="CV326" s="1169"/>
      <c r="CW326" s="1169"/>
      <c r="CX326" s="1169"/>
      <c r="CY326" s="1169"/>
      <c r="CZ326" s="1169"/>
      <c r="DA326" s="1168"/>
      <c r="DB326" s="1168"/>
      <c r="DC326" s="1168"/>
      <c r="DD326" s="1168"/>
      <c r="DE326" s="1168"/>
      <c r="DF326" s="1168"/>
      <c r="DG326" s="1168"/>
      <c r="DH326" s="1168"/>
      <c r="DI326" s="1168"/>
      <c r="DJ326" s="1168"/>
      <c r="DK326" s="1168"/>
      <c r="DL326" s="1168"/>
      <c r="DM326" s="1168"/>
      <c r="DN326" s="1168"/>
      <c r="DO326" s="1168"/>
      <c r="DP326" s="1168"/>
      <c r="DQ326" s="1168"/>
      <c r="DR326" s="1168"/>
      <c r="DS326" s="1168"/>
      <c r="DT326" s="1168"/>
      <c r="DU326" s="1168"/>
      <c r="DV326" s="1168"/>
      <c r="DW326" s="1168"/>
      <c r="DX326" s="1168"/>
      <c r="DY326" s="1168"/>
      <c r="DZ326" s="1168"/>
      <c r="EA326" s="1168"/>
      <c r="EB326" s="1168"/>
      <c r="EC326" s="1168"/>
      <c r="ED326" s="1168"/>
      <c r="EE326" s="1168"/>
      <c r="EF326" s="1168"/>
      <c r="EG326" s="1168"/>
      <c r="EH326" s="1168"/>
      <c r="EI326" s="1170"/>
      <c r="EJ326" s="1170"/>
      <c r="EK326" s="1170"/>
      <c r="EL326" s="1170"/>
      <c r="EM326" s="1170"/>
      <c r="EN326" s="1170"/>
      <c r="EO326" s="1170"/>
      <c r="EP326" s="1170"/>
      <c r="EQ326" s="1170"/>
      <c r="ER326" s="1170"/>
      <c r="ES326" s="1171"/>
      <c r="ET326" s="1171"/>
      <c r="EU326" s="1171"/>
      <c r="EV326" s="1171"/>
      <c r="EW326" s="1171"/>
      <c r="EX326" s="1171"/>
      <c r="EY326" s="1171"/>
      <c r="EZ326" s="1171"/>
      <c r="FA326" s="1171"/>
      <c r="FB326" s="1171"/>
      <c r="FC326" s="1171"/>
      <c r="FD326" s="1171"/>
      <c r="FE326" s="1171"/>
      <c r="FF326" s="1171"/>
      <c r="FG326" s="1171"/>
      <c r="FH326" s="1171"/>
      <c r="FI326" s="1171"/>
      <c r="FJ326" s="1171"/>
      <c r="FK326" s="1171"/>
      <c r="FL326" s="1171"/>
      <c r="FM326" s="1171"/>
      <c r="FN326" s="1171"/>
      <c r="FO326" s="1171"/>
      <c r="FP326" s="1171"/>
    </row>
    <row r="327" spans="1:172" s="607" customFormat="1">
      <c r="A327" s="607">
        <f t="shared" si="8"/>
        <v>1997</v>
      </c>
      <c r="B327" s="607">
        <f t="shared" si="9"/>
        <v>3</v>
      </c>
      <c r="C327" s="666">
        <v>35612</v>
      </c>
      <c r="D327" s="1709">
        <v>0.74252173913043495</v>
      </c>
      <c r="E327" s="1117">
        <v>182.08860608695656</v>
      </c>
      <c r="F327" s="1117">
        <v>245.23</v>
      </c>
      <c r="G327" s="1117"/>
      <c r="H327" s="1117"/>
      <c r="I327" s="959">
        <v>324.05</v>
      </c>
      <c r="J327" s="959">
        <v>438.87</v>
      </c>
      <c r="K327" s="960"/>
      <c r="L327" s="1121"/>
      <c r="M327" s="916">
        <v>6838.2</v>
      </c>
      <c r="N327" s="916">
        <v>9209.4273334114041</v>
      </c>
      <c r="O327" s="1174">
        <v>2580.8000000000002</v>
      </c>
      <c r="P327" s="1174">
        <v>3475.7231525939801</v>
      </c>
      <c r="Q327" s="1174">
        <v>634.32000000000005</v>
      </c>
      <c r="R327" s="1174">
        <v>854.27801850333753</v>
      </c>
      <c r="S327" s="1174">
        <v>1518.8</v>
      </c>
      <c r="T327" s="1174">
        <v>2045.4619978920243</v>
      </c>
      <c r="U327" s="1120">
        <v>421.75234782608703</v>
      </c>
      <c r="V327" s="1120">
        <v>568</v>
      </c>
      <c r="W327" s="1120">
        <v>1613.499739130435</v>
      </c>
      <c r="X327" s="1120">
        <v>2173</v>
      </c>
      <c r="Y327" s="1119"/>
      <c r="Z327" s="1119"/>
      <c r="AA327" s="1119"/>
      <c r="AB327" s="1119"/>
      <c r="AC327" s="1178"/>
      <c r="AD327" s="1178">
        <v>6.3896346070377934</v>
      </c>
      <c r="AE327" s="1178">
        <v>50286.925999999992</v>
      </c>
      <c r="AF327" s="1178">
        <v>67724.516805246487</v>
      </c>
      <c r="AG327" s="1178"/>
      <c r="AH327" s="1178"/>
      <c r="AI327" s="1178"/>
      <c r="AJ327" s="1178"/>
      <c r="AK327" s="919">
        <v>18.434346738068953</v>
      </c>
      <c r="AL327" s="919">
        <v>24.826676131607087</v>
      </c>
      <c r="AM327" s="919">
        <v>18.970867074054219</v>
      </c>
      <c r="AN327" s="919">
        <v>25.549241287226078</v>
      </c>
      <c r="AO327" s="919"/>
      <c r="AP327" s="919"/>
      <c r="AS327" s="1167"/>
      <c r="AT327" s="1167"/>
      <c r="AU327" s="1168"/>
      <c r="AV327" s="1168"/>
      <c r="AW327" s="1169"/>
      <c r="AX327" s="1169"/>
      <c r="AY327" s="1169"/>
      <c r="AZ327" s="1169"/>
      <c r="BA327" s="1846" t="s">
        <v>1</v>
      </c>
      <c r="BB327" s="1847">
        <v>2004</v>
      </c>
      <c r="BC327" s="1846" t="s">
        <v>581</v>
      </c>
      <c r="BD327" s="1846">
        <v>3</v>
      </c>
      <c r="BE327" s="1848">
        <v>598923000</v>
      </c>
      <c r="BF327" s="1801">
        <v>0.10682250131627949</v>
      </c>
      <c r="BG327" s="1799"/>
      <c r="BH327" s="1799" t="s">
        <v>280</v>
      </c>
      <c r="BI327" s="1799" t="s">
        <v>317</v>
      </c>
      <c r="BJ327" s="1799" t="s">
        <v>32</v>
      </c>
      <c r="BK327" s="1799"/>
      <c r="BL327" s="1800">
        <v>77867599</v>
      </c>
      <c r="BM327" s="1801">
        <v>8.8999999999999996E-2</v>
      </c>
      <c r="BN327" s="1799">
        <v>2012</v>
      </c>
      <c r="BO327" s="1684"/>
      <c r="BP327" s="1696"/>
      <c r="BQ327" s="1169"/>
      <c r="BR327" s="1169"/>
      <c r="BS327" s="1169"/>
      <c r="BT327" s="1169"/>
      <c r="BU327" s="1169"/>
      <c r="BV327" s="1169"/>
      <c r="BW327" s="1169"/>
      <c r="BX327" s="1169"/>
      <c r="BY327" s="1169"/>
      <c r="BZ327" s="1169"/>
      <c r="CA327" s="1169"/>
      <c r="CB327" s="1169"/>
      <c r="CC327" s="1169"/>
      <c r="CD327" s="1169"/>
      <c r="CE327" s="1169"/>
      <c r="CF327" s="1169"/>
      <c r="CG327" s="1169"/>
      <c r="CH327" s="1169"/>
      <c r="CI327" s="1169"/>
      <c r="CJ327" s="1169"/>
      <c r="CK327" s="1169"/>
      <c r="CL327" s="1169"/>
      <c r="CM327" s="1169"/>
      <c r="CN327" s="1169"/>
      <c r="CO327" s="1169"/>
      <c r="CP327" s="1169"/>
      <c r="CQ327" s="1169"/>
      <c r="CR327" s="1169"/>
      <c r="CS327" s="1169"/>
      <c r="CT327" s="1169"/>
      <c r="CU327" s="1169"/>
      <c r="CV327" s="1169"/>
      <c r="CW327" s="1169"/>
      <c r="CX327" s="1169"/>
      <c r="CY327" s="1169"/>
      <c r="CZ327" s="1169"/>
      <c r="DA327" s="1168"/>
      <c r="DB327" s="1168"/>
      <c r="DC327" s="1168"/>
      <c r="DD327" s="1168"/>
      <c r="DE327" s="1168"/>
      <c r="DF327" s="1168"/>
      <c r="DG327" s="1168"/>
      <c r="DH327" s="1168"/>
      <c r="DI327" s="1168"/>
      <c r="DJ327" s="1168"/>
      <c r="DK327" s="1168"/>
      <c r="DL327" s="1168"/>
      <c r="DM327" s="1168"/>
      <c r="DN327" s="1168"/>
      <c r="DO327" s="1168"/>
      <c r="DP327" s="1168"/>
      <c r="DQ327" s="1168"/>
      <c r="DR327" s="1168"/>
      <c r="DS327" s="1168"/>
      <c r="DT327" s="1168"/>
      <c r="DU327" s="1168"/>
      <c r="DV327" s="1168"/>
      <c r="DW327" s="1168"/>
      <c r="DX327" s="1168"/>
      <c r="DY327" s="1168"/>
      <c r="DZ327" s="1168"/>
      <c r="EA327" s="1168"/>
      <c r="EB327" s="1168"/>
      <c r="EC327" s="1168"/>
      <c r="ED327" s="1168"/>
      <c r="EE327" s="1168"/>
      <c r="EF327" s="1168"/>
      <c r="EG327" s="1168"/>
      <c r="EH327" s="1168"/>
      <c r="EI327" s="1170"/>
      <c r="EJ327" s="1170"/>
      <c r="EK327" s="1170"/>
      <c r="EL327" s="1170"/>
      <c r="EM327" s="1170"/>
      <c r="EN327" s="1170"/>
      <c r="EO327" s="1170"/>
      <c r="EP327" s="1170"/>
      <c r="EQ327" s="1170"/>
      <c r="ER327" s="1170"/>
      <c r="ES327" s="1171"/>
      <c r="ET327" s="1171"/>
      <c r="EU327" s="1171"/>
      <c r="EV327" s="1171"/>
      <c r="EW327" s="1171"/>
      <c r="EX327" s="1171"/>
      <c r="EY327" s="1171"/>
      <c r="EZ327" s="1171"/>
      <c r="FA327" s="1171"/>
      <c r="FB327" s="1171"/>
      <c r="FC327" s="1171"/>
      <c r="FD327" s="1171"/>
      <c r="FE327" s="1171"/>
      <c r="FF327" s="1171"/>
      <c r="FG327" s="1171"/>
      <c r="FH327" s="1171"/>
      <c r="FI327" s="1171"/>
      <c r="FJ327" s="1171"/>
      <c r="FK327" s="1171"/>
      <c r="FL327" s="1171"/>
      <c r="FM327" s="1171"/>
      <c r="FN327" s="1171"/>
      <c r="FO327" s="1171"/>
      <c r="FP327" s="1171"/>
    </row>
    <row r="328" spans="1:172" s="607" customFormat="1">
      <c r="A328" s="607">
        <f t="shared" si="8"/>
        <v>1997</v>
      </c>
      <c r="B328" s="607">
        <f t="shared" si="9"/>
        <v>3</v>
      </c>
      <c r="C328" s="666">
        <v>35643</v>
      </c>
      <c r="D328" s="957">
        <v>0.74122380952380951</v>
      </c>
      <c r="E328" s="920">
        <v>188.7155819047619</v>
      </c>
      <c r="F328" s="920">
        <v>254.6</v>
      </c>
      <c r="G328" s="920"/>
      <c r="H328" s="920"/>
      <c r="I328" s="954">
        <v>324.01</v>
      </c>
      <c r="J328" s="954">
        <v>440.53</v>
      </c>
      <c r="K328" s="954"/>
      <c r="L328" s="920"/>
      <c r="M328" s="917">
        <v>6763</v>
      </c>
      <c r="N328" s="917">
        <v>9124.0997834983336</v>
      </c>
      <c r="O328" s="1175">
        <v>2251.1999999999998</v>
      </c>
      <c r="P328" s="1175">
        <v>3037.1393512659242</v>
      </c>
      <c r="Q328" s="1175">
        <v>608.08000000000004</v>
      </c>
      <c r="R328" s="1175">
        <v>820.37299960811276</v>
      </c>
      <c r="S328" s="1175">
        <v>1654.4</v>
      </c>
      <c r="T328" s="1175">
        <v>2231.9844272984833</v>
      </c>
      <c r="U328" s="920">
        <v>421.0151238095238</v>
      </c>
      <c r="V328" s="920">
        <v>568</v>
      </c>
      <c r="W328" s="920">
        <v>1610.6793380952381</v>
      </c>
      <c r="X328" s="920">
        <v>2173</v>
      </c>
      <c r="Y328" s="920"/>
      <c r="Z328" s="920"/>
      <c r="AA328" s="920"/>
      <c r="AB328" s="920"/>
      <c r="AC328" s="920"/>
      <c r="AD328" s="920">
        <v>6.5111643384185065</v>
      </c>
      <c r="AE328" s="920">
        <v>50353.063999999998</v>
      </c>
      <c r="AF328" s="920">
        <v>67932.334813082605</v>
      </c>
      <c r="AG328" s="920"/>
      <c r="AH328" s="920"/>
      <c r="AI328" s="920"/>
      <c r="AJ328" s="920"/>
      <c r="AK328" s="920">
        <v>18.691428229922341</v>
      </c>
      <c r="AL328" s="920">
        <v>25.216983035030172</v>
      </c>
      <c r="AM328" s="920">
        <v>20.137617746988933</v>
      </c>
      <c r="AN328" s="920">
        <v>27.168066497926056</v>
      </c>
      <c r="AO328" s="920"/>
      <c r="AP328" s="920"/>
      <c r="AS328" s="1167"/>
      <c r="AT328" s="1167"/>
      <c r="AU328" s="1168"/>
      <c r="AV328" s="1168"/>
      <c r="AW328" s="1169"/>
      <c r="AX328" s="1169"/>
      <c r="AY328" s="1169"/>
      <c r="AZ328" s="1169"/>
      <c r="BA328" s="1846" t="s">
        <v>1</v>
      </c>
      <c r="BB328" s="1847">
        <v>2004</v>
      </c>
      <c r="BC328" s="1846" t="s">
        <v>28</v>
      </c>
      <c r="BD328" s="1846">
        <v>4</v>
      </c>
      <c r="BE328" s="1848">
        <v>494200000</v>
      </c>
      <c r="BF328" s="1801">
        <v>8.8144352697267128E-2</v>
      </c>
      <c r="BG328" s="1799"/>
      <c r="BH328" s="1799" t="s">
        <v>280</v>
      </c>
      <c r="BI328" s="1799" t="s">
        <v>317</v>
      </c>
      <c r="BJ328" s="1799" t="s">
        <v>249</v>
      </c>
      <c r="BK328" s="1799"/>
      <c r="BL328" s="1800">
        <v>878971325</v>
      </c>
      <c r="BM328" s="1801"/>
      <c r="BN328" s="1799">
        <v>2012</v>
      </c>
      <c r="BO328" s="1684"/>
      <c r="BP328" s="1696"/>
      <c r="BQ328" s="1169"/>
      <c r="BR328" s="1169"/>
      <c r="BS328" s="1169"/>
      <c r="BT328" s="1169"/>
      <c r="BU328" s="1169"/>
      <c r="BV328" s="1169"/>
      <c r="BW328" s="1169"/>
      <c r="BX328" s="1169"/>
      <c r="BY328" s="1169"/>
      <c r="BZ328" s="1169"/>
      <c r="CA328" s="1169"/>
      <c r="CB328" s="1169"/>
      <c r="CC328" s="1169"/>
      <c r="CD328" s="1169"/>
      <c r="CE328" s="1169"/>
      <c r="CF328" s="1169"/>
      <c r="CG328" s="1169"/>
      <c r="CH328" s="1169"/>
      <c r="CI328" s="1169"/>
      <c r="CJ328" s="1169"/>
      <c r="CK328" s="1169"/>
      <c r="CL328" s="1169"/>
      <c r="CM328" s="1169"/>
      <c r="CN328" s="1169"/>
      <c r="CO328" s="1169"/>
      <c r="CP328" s="1169"/>
      <c r="CQ328" s="1169"/>
      <c r="CR328" s="1169"/>
      <c r="CS328" s="1169"/>
      <c r="CT328" s="1169"/>
      <c r="CU328" s="1169"/>
      <c r="CV328" s="1169"/>
      <c r="CW328" s="1169"/>
      <c r="CX328" s="1169"/>
      <c r="CY328" s="1169"/>
      <c r="CZ328" s="1169"/>
      <c r="DA328" s="1168"/>
      <c r="DB328" s="1168"/>
      <c r="DC328" s="1168"/>
      <c r="DD328" s="1168"/>
      <c r="DE328" s="1168"/>
      <c r="DF328" s="1168"/>
      <c r="DG328" s="1168"/>
      <c r="DH328" s="1168"/>
      <c r="DI328" s="1168"/>
      <c r="DJ328" s="1168"/>
      <c r="DK328" s="1168"/>
      <c r="DL328" s="1168"/>
      <c r="DM328" s="1168"/>
      <c r="DN328" s="1168"/>
      <c r="DO328" s="1168"/>
      <c r="DP328" s="1168"/>
      <c r="DQ328" s="1168"/>
      <c r="DR328" s="1168"/>
      <c r="DS328" s="1168"/>
      <c r="DT328" s="1168"/>
      <c r="DU328" s="1168"/>
      <c r="DV328" s="1168"/>
      <c r="DW328" s="1168"/>
      <c r="DX328" s="1168"/>
      <c r="DY328" s="1168"/>
      <c r="DZ328" s="1168"/>
      <c r="EA328" s="1168"/>
      <c r="EB328" s="1168"/>
      <c r="EC328" s="1168"/>
      <c r="ED328" s="1168"/>
      <c r="EE328" s="1168"/>
      <c r="EF328" s="1168"/>
      <c r="EG328" s="1168"/>
      <c r="EH328" s="1168"/>
      <c r="EI328" s="1170"/>
      <c r="EJ328" s="1170"/>
      <c r="EK328" s="1170"/>
      <c r="EL328" s="1170"/>
      <c r="EM328" s="1170"/>
      <c r="EN328" s="1170"/>
      <c r="EO328" s="1170"/>
      <c r="EP328" s="1170"/>
      <c r="EQ328" s="1170"/>
      <c r="ER328" s="1170"/>
      <c r="ES328" s="1171"/>
      <c r="ET328" s="1171"/>
      <c r="EU328" s="1171"/>
      <c r="EV328" s="1171"/>
      <c r="EW328" s="1171"/>
      <c r="EX328" s="1171"/>
      <c r="EY328" s="1171"/>
      <c r="EZ328" s="1171"/>
      <c r="FA328" s="1171"/>
      <c r="FB328" s="1171"/>
      <c r="FC328" s="1171"/>
      <c r="FD328" s="1171"/>
      <c r="FE328" s="1171"/>
      <c r="FF328" s="1171"/>
      <c r="FG328" s="1171"/>
      <c r="FH328" s="1171"/>
      <c r="FI328" s="1171"/>
      <c r="FJ328" s="1171"/>
      <c r="FK328" s="1171"/>
      <c r="FL328" s="1171"/>
      <c r="FM328" s="1171"/>
      <c r="FN328" s="1171"/>
      <c r="FO328" s="1171"/>
      <c r="FP328" s="1171"/>
    </row>
    <row r="329" spans="1:172" s="607" customFormat="1">
      <c r="A329" s="607">
        <f t="shared" ref="A329:A392" si="10">YEAR(C329)</f>
        <v>1997</v>
      </c>
      <c r="B329" s="607">
        <f t="shared" ref="B329:B392" si="11">IF(OR(MONTH(C329)=1,MONTH(C329)=2,MONTH(C329)=3),1,IF(OR(MONTH(C329)=4,MONTH(C329)=5,MONTH(C329)=6),2,IF(OR(MONTH(C329)=7,MONTH(C329)=8,MONTH(C329)=9),3,4)))</f>
        <v>3</v>
      </c>
      <c r="C329" s="666">
        <v>35674</v>
      </c>
      <c r="D329" s="1709">
        <v>0.72369090909090905</v>
      </c>
      <c r="E329" s="1117">
        <v>187.11752145454545</v>
      </c>
      <c r="F329" s="1117">
        <v>258.56</v>
      </c>
      <c r="G329" s="1117"/>
      <c r="H329" s="1117"/>
      <c r="I329" s="959">
        <v>322.82</v>
      </c>
      <c r="J329" s="959">
        <v>457.2</v>
      </c>
      <c r="K329" s="960"/>
      <c r="L329" s="1121"/>
      <c r="M329" s="916">
        <v>6506.5</v>
      </c>
      <c r="N329" s="916">
        <v>8990.7167801422002</v>
      </c>
      <c r="O329" s="1174">
        <v>2107.3000000000002</v>
      </c>
      <c r="P329" s="1174">
        <v>2911.8785016204811</v>
      </c>
      <c r="Q329" s="1174">
        <v>634.25</v>
      </c>
      <c r="R329" s="1174">
        <v>876.41006959274432</v>
      </c>
      <c r="S329" s="1174">
        <v>1641.7</v>
      </c>
      <c r="T329" s="1174">
        <v>2268.5099113132178</v>
      </c>
      <c r="U329" s="1120">
        <v>411.05643636363635</v>
      </c>
      <c r="V329" s="1120">
        <v>568</v>
      </c>
      <c r="W329" s="1120">
        <v>1572.5803454545453</v>
      </c>
      <c r="X329" s="1120">
        <v>2173</v>
      </c>
      <c r="Y329" s="1119"/>
      <c r="Z329" s="1119"/>
      <c r="AA329" s="1119"/>
      <c r="AB329" s="1119"/>
      <c r="AC329" s="1178"/>
      <c r="AD329" s="1178">
        <v>7.0014628578777307</v>
      </c>
      <c r="AE329" s="1178">
        <v>53670.986999999994</v>
      </c>
      <c r="AF329" s="1178">
        <v>74162.85920659246</v>
      </c>
      <c r="AG329" s="1178"/>
      <c r="AH329" s="1178"/>
      <c r="AI329" s="1178"/>
      <c r="AJ329" s="1178"/>
      <c r="AK329" s="919">
        <v>18.452271027998492</v>
      </c>
      <c r="AL329" s="919">
        <v>25.497447592892925</v>
      </c>
      <c r="AM329" s="919">
        <v>19.379544171420012</v>
      </c>
      <c r="AN329" s="919">
        <v>26.778758621915451</v>
      </c>
      <c r="AO329" s="919"/>
      <c r="AP329" s="919"/>
      <c r="AS329" s="1167"/>
      <c r="AT329" s="1167"/>
      <c r="AU329" s="1168"/>
      <c r="AV329" s="1168"/>
      <c r="AW329" s="1169"/>
      <c r="AX329" s="1169"/>
      <c r="AY329" s="1169"/>
      <c r="AZ329" s="1169"/>
      <c r="BA329" s="1846" t="s">
        <v>1</v>
      </c>
      <c r="BB329" s="1847">
        <v>2004</v>
      </c>
      <c r="BC329" s="1846" t="s">
        <v>49</v>
      </c>
      <c r="BD329" s="1846">
        <v>5</v>
      </c>
      <c r="BE329" s="1848">
        <v>268635000</v>
      </c>
      <c r="BF329" s="1801">
        <v>4.7913108431465713E-2</v>
      </c>
      <c r="BG329" s="1799"/>
      <c r="BH329" s="1799" t="s">
        <v>280</v>
      </c>
      <c r="BI329" s="1799" t="s">
        <v>316</v>
      </c>
      <c r="BJ329" s="1799" t="s">
        <v>15</v>
      </c>
      <c r="BK329" s="1799">
        <v>1</v>
      </c>
      <c r="BL329" s="1800">
        <v>354677085.05000013</v>
      </c>
      <c r="BM329" s="1801">
        <v>12475.451461484352</v>
      </c>
      <c r="BN329" s="1799">
        <v>2011</v>
      </c>
      <c r="BO329" s="1684"/>
      <c r="BP329" s="1696"/>
      <c r="BQ329" s="1169"/>
      <c r="BR329" s="1169"/>
      <c r="BS329" s="1169"/>
      <c r="BT329" s="1169"/>
      <c r="BU329" s="1169"/>
      <c r="BV329" s="1169"/>
      <c r="BW329" s="1169"/>
      <c r="BX329" s="1169"/>
      <c r="BY329" s="1169"/>
      <c r="BZ329" s="1169"/>
      <c r="CA329" s="1169"/>
      <c r="CB329" s="1169"/>
      <c r="CC329" s="1169"/>
      <c r="CD329" s="1169"/>
      <c r="CE329" s="1169"/>
      <c r="CF329" s="1169"/>
      <c r="CG329" s="1169"/>
      <c r="CH329" s="1169"/>
      <c r="CI329" s="1169"/>
      <c r="CJ329" s="1169"/>
      <c r="CK329" s="1169"/>
      <c r="CL329" s="1169"/>
      <c r="CM329" s="1169"/>
      <c r="CN329" s="1169"/>
      <c r="CO329" s="1169"/>
      <c r="CP329" s="1169"/>
      <c r="CQ329" s="1169"/>
      <c r="CR329" s="1169"/>
      <c r="CS329" s="1169"/>
      <c r="CT329" s="1169"/>
      <c r="CU329" s="1169"/>
      <c r="CV329" s="1169"/>
      <c r="CW329" s="1169"/>
      <c r="CX329" s="1169"/>
      <c r="CY329" s="1169"/>
      <c r="CZ329" s="1169"/>
      <c r="DA329" s="1168"/>
      <c r="DB329" s="1168"/>
      <c r="DC329" s="1168"/>
      <c r="DD329" s="1168"/>
      <c r="DE329" s="1168"/>
      <c r="DF329" s="1168"/>
      <c r="DG329" s="1168"/>
      <c r="DH329" s="1168"/>
      <c r="DI329" s="1168"/>
      <c r="DJ329" s="1168"/>
      <c r="DK329" s="1168"/>
      <c r="DL329" s="1168"/>
      <c r="DM329" s="1168"/>
      <c r="DN329" s="1168"/>
      <c r="DO329" s="1168"/>
      <c r="DP329" s="1168"/>
      <c r="DQ329" s="1168"/>
      <c r="DR329" s="1168"/>
      <c r="DS329" s="1168"/>
      <c r="DT329" s="1168"/>
      <c r="DU329" s="1168"/>
      <c r="DV329" s="1168"/>
      <c r="DW329" s="1168"/>
      <c r="DX329" s="1168"/>
      <c r="DY329" s="1168"/>
      <c r="DZ329" s="1168"/>
      <c r="EA329" s="1168"/>
      <c r="EB329" s="1168"/>
      <c r="EC329" s="1168"/>
      <c r="ED329" s="1168"/>
      <c r="EE329" s="1168"/>
      <c r="EF329" s="1168"/>
      <c r="EG329" s="1168"/>
      <c r="EH329" s="1168"/>
      <c r="EI329" s="1170"/>
      <c r="EJ329" s="1170"/>
      <c r="EK329" s="1170"/>
      <c r="EL329" s="1170"/>
      <c r="EM329" s="1170"/>
      <c r="EN329" s="1170"/>
      <c r="EO329" s="1170"/>
      <c r="EP329" s="1170"/>
      <c r="EQ329" s="1170"/>
      <c r="ER329" s="1170"/>
      <c r="ES329" s="1171"/>
      <c r="ET329" s="1171"/>
      <c r="EU329" s="1171"/>
      <c r="EV329" s="1171"/>
      <c r="EW329" s="1171"/>
      <c r="EX329" s="1171"/>
      <c r="EY329" s="1171"/>
      <c r="EZ329" s="1171"/>
      <c r="FA329" s="1171"/>
      <c r="FB329" s="1171"/>
      <c r="FC329" s="1171"/>
      <c r="FD329" s="1171"/>
      <c r="FE329" s="1171"/>
      <c r="FF329" s="1171"/>
      <c r="FG329" s="1171"/>
      <c r="FH329" s="1171"/>
      <c r="FI329" s="1171"/>
      <c r="FJ329" s="1171"/>
      <c r="FK329" s="1171"/>
      <c r="FL329" s="1171"/>
      <c r="FM329" s="1171"/>
      <c r="FN329" s="1171"/>
      <c r="FO329" s="1171"/>
      <c r="FP329" s="1171"/>
    </row>
    <row r="330" spans="1:172" s="607" customFormat="1">
      <c r="A330" s="607">
        <f t="shared" si="10"/>
        <v>1997</v>
      </c>
      <c r="B330" s="607">
        <f t="shared" si="11"/>
        <v>4</v>
      </c>
      <c r="C330" s="666">
        <v>35704</v>
      </c>
      <c r="D330" s="957">
        <v>0.72123913043478272</v>
      </c>
      <c r="E330" s="920">
        <v>186.51965152173918</v>
      </c>
      <c r="F330" s="920">
        <v>258.61</v>
      </c>
      <c r="G330" s="920"/>
      <c r="H330" s="920"/>
      <c r="I330" s="954">
        <v>324.87</v>
      </c>
      <c r="J330" s="954">
        <v>452.88</v>
      </c>
      <c r="K330" s="954"/>
      <c r="L330" s="920"/>
      <c r="M330" s="917">
        <v>6383.2</v>
      </c>
      <c r="N330" s="917">
        <v>8850.3240196521674</v>
      </c>
      <c r="O330" s="1175">
        <v>2052.1999999999998</v>
      </c>
      <c r="P330" s="1175">
        <v>2845.3808361214087</v>
      </c>
      <c r="Q330" s="1175">
        <v>600.26</v>
      </c>
      <c r="R330" s="1175">
        <v>832.26210929258207</v>
      </c>
      <c r="S330" s="1175">
        <v>1280.5</v>
      </c>
      <c r="T330" s="1175">
        <v>1775.4167043433702</v>
      </c>
      <c r="U330" s="920">
        <v>398.12400000000008</v>
      </c>
      <c r="V330" s="920">
        <v>552</v>
      </c>
      <c r="W330" s="920">
        <v>1798.0491521739134</v>
      </c>
      <c r="X330" s="920">
        <v>2493</v>
      </c>
      <c r="Y330" s="920"/>
      <c r="Z330" s="920"/>
      <c r="AA330" s="920"/>
      <c r="AB330" s="920"/>
      <c r="AC330" s="920"/>
      <c r="AD330" s="920">
        <v>7.5094442747600754</v>
      </c>
      <c r="AE330" s="920">
        <v>51885.260999999999</v>
      </c>
      <c r="AF330" s="920">
        <v>71939.05434487747</v>
      </c>
      <c r="AG330" s="920"/>
      <c r="AH330" s="920"/>
      <c r="AI330" s="920"/>
      <c r="AJ330" s="920"/>
      <c r="AK330" s="920">
        <v>20.051737412162449</v>
      </c>
      <c r="AL330" s="920">
        <v>27.801788014572519</v>
      </c>
      <c r="AM330" s="920">
        <v>21.19782530743143</v>
      </c>
      <c r="AN330" s="920">
        <v>29.39084197310925</v>
      </c>
      <c r="AO330" s="920"/>
      <c r="AP330" s="920"/>
      <c r="AS330" s="1167"/>
      <c r="AT330" s="1167"/>
      <c r="AU330" s="1168"/>
      <c r="AV330" s="1168"/>
      <c r="AW330" s="1169"/>
      <c r="AX330" s="1169"/>
      <c r="AY330" s="1169"/>
      <c r="AZ330" s="1169"/>
      <c r="BA330" s="1846" t="s">
        <v>1</v>
      </c>
      <c r="BB330" s="1847">
        <v>2004</v>
      </c>
      <c r="BC330" s="1846" t="s">
        <v>20</v>
      </c>
      <c r="BD330" s="1846">
        <v>6</v>
      </c>
      <c r="BE330" s="1848">
        <v>165666000</v>
      </c>
      <c r="BF330" s="1801">
        <v>2.9547799137890442E-2</v>
      </c>
      <c r="BG330" s="1799"/>
      <c r="BH330" s="1799" t="s">
        <v>280</v>
      </c>
      <c r="BI330" s="1799" t="s">
        <v>316</v>
      </c>
      <c r="BJ330" s="1799" t="s">
        <v>431</v>
      </c>
      <c r="BK330" s="1799">
        <v>2</v>
      </c>
      <c r="BL330" s="1800">
        <v>227760544.41</v>
      </c>
      <c r="BM330" s="1801">
        <v>8011.2748649314108</v>
      </c>
      <c r="BN330" s="1799">
        <v>2011</v>
      </c>
      <c r="BO330" s="1684"/>
      <c r="BP330" s="1696"/>
      <c r="BQ330" s="1169"/>
      <c r="BR330" s="1169"/>
      <c r="BS330" s="1169"/>
      <c r="BT330" s="1169"/>
      <c r="BU330" s="1169"/>
      <c r="BV330" s="1169"/>
      <c r="BW330" s="1169"/>
      <c r="BX330" s="1169"/>
      <c r="BY330" s="1169"/>
      <c r="BZ330" s="1169"/>
      <c r="CA330" s="1169"/>
      <c r="CB330" s="1169"/>
      <c r="CC330" s="1169"/>
      <c r="CD330" s="1169"/>
      <c r="CE330" s="1169"/>
      <c r="CF330" s="1169"/>
      <c r="CG330" s="1169"/>
      <c r="CH330" s="1169"/>
      <c r="CI330" s="1169"/>
      <c r="CJ330" s="1169"/>
      <c r="CK330" s="1169"/>
      <c r="CL330" s="1169"/>
      <c r="CM330" s="1169"/>
      <c r="CN330" s="1169"/>
      <c r="CO330" s="1169"/>
      <c r="CP330" s="1169"/>
      <c r="CQ330" s="1169"/>
      <c r="CR330" s="1169"/>
      <c r="CS330" s="1169"/>
      <c r="CT330" s="1169"/>
      <c r="CU330" s="1169"/>
      <c r="CV330" s="1169"/>
      <c r="CW330" s="1169"/>
      <c r="CX330" s="1169"/>
      <c r="CY330" s="1169"/>
      <c r="CZ330" s="1169"/>
      <c r="DA330" s="1168"/>
      <c r="DB330" s="1168"/>
      <c r="DC330" s="1168"/>
      <c r="DD330" s="1168"/>
      <c r="DE330" s="1168"/>
      <c r="DF330" s="1168"/>
      <c r="DG330" s="1168"/>
      <c r="DH330" s="1168"/>
      <c r="DI330" s="1168"/>
      <c r="DJ330" s="1168"/>
      <c r="DK330" s="1168"/>
      <c r="DL330" s="1168"/>
      <c r="DM330" s="1168"/>
      <c r="DN330" s="1168"/>
      <c r="DO330" s="1168"/>
      <c r="DP330" s="1168"/>
      <c r="DQ330" s="1168"/>
      <c r="DR330" s="1168"/>
      <c r="DS330" s="1168"/>
      <c r="DT330" s="1168"/>
      <c r="DU330" s="1168"/>
      <c r="DV330" s="1168"/>
      <c r="DW330" s="1168"/>
      <c r="DX330" s="1168"/>
      <c r="DY330" s="1168"/>
      <c r="DZ330" s="1168"/>
      <c r="EA330" s="1168"/>
      <c r="EB330" s="1168"/>
      <c r="EC330" s="1168"/>
      <c r="ED330" s="1168"/>
      <c r="EE330" s="1168"/>
      <c r="EF330" s="1168"/>
      <c r="EG330" s="1168"/>
      <c r="EH330" s="1168"/>
      <c r="EI330" s="1170"/>
      <c r="EJ330" s="1170"/>
      <c r="EK330" s="1170"/>
      <c r="EL330" s="1170"/>
      <c r="EM330" s="1170"/>
      <c r="EN330" s="1170"/>
      <c r="EO330" s="1170"/>
      <c r="EP330" s="1170"/>
      <c r="EQ330" s="1170"/>
      <c r="ER330" s="1170"/>
      <c r="ES330" s="1171"/>
      <c r="ET330" s="1171"/>
      <c r="EU330" s="1171"/>
      <c r="EV330" s="1171"/>
      <c r="EW330" s="1171"/>
      <c r="EX330" s="1171"/>
      <c r="EY330" s="1171"/>
      <c r="EZ330" s="1171"/>
      <c r="FA330" s="1171"/>
      <c r="FB330" s="1171"/>
      <c r="FC330" s="1171"/>
      <c r="FD330" s="1171"/>
      <c r="FE330" s="1171"/>
      <c r="FF330" s="1171"/>
      <c r="FG330" s="1171"/>
      <c r="FH330" s="1171"/>
      <c r="FI330" s="1171"/>
      <c r="FJ330" s="1171"/>
      <c r="FK330" s="1171"/>
      <c r="FL330" s="1171"/>
      <c r="FM330" s="1171"/>
      <c r="FN330" s="1171"/>
      <c r="FO330" s="1171"/>
      <c r="FP330" s="1171"/>
    </row>
    <row r="331" spans="1:172" s="607" customFormat="1">
      <c r="A331" s="607">
        <f t="shared" si="10"/>
        <v>1997</v>
      </c>
      <c r="B331" s="607">
        <f t="shared" si="11"/>
        <v>4</v>
      </c>
      <c r="C331" s="666">
        <v>35735</v>
      </c>
      <c r="D331" s="1709">
        <v>0.69540000000000002</v>
      </c>
      <c r="E331" s="1117">
        <v>188.73851400000001</v>
      </c>
      <c r="F331" s="1117">
        <v>271.41000000000003</v>
      </c>
      <c r="G331" s="1117"/>
      <c r="H331" s="1117"/>
      <c r="I331" s="959">
        <v>306.04000000000002</v>
      </c>
      <c r="J331" s="959">
        <v>437.59</v>
      </c>
      <c r="K331" s="960"/>
      <c r="L331" s="1121"/>
      <c r="M331" s="916">
        <v>6142.2</v>
      </c>
      <c r="N331" s="916">
        <v>8832.6143226919758</v>
      </c>
      <c r="O331" s="1174">
        <v>1917.4</v>
      </c>
      <c r="P331" s="1174">
        <v>2757.2620074777105</v>
      </c>
      <c r="Q331" s="1174">
        <v>563.4</v>
      </c>
      <c r="R331" s="1174">
        <v>810.18119068162207</v>
      </c>
      <c r="S331" s="1174">
        <v>1173.3</v>
      </c>
      <c r="T331" s="1174">
        <v>1687.2303710094909</v>
      </c>
      <c r="U331" s="1120">
        <v>383.86079999999998</v>
      </c>
      <c r="V331" s="1120">
        <v>552</v>
      </c>
      <c r="W331" s="1120">
        <v>1733.6322</v>
      </c>
      <c r="X331" s="1120">
        <v>2493</v>
      </c>
      <c r="Y331" s="1119"/>
      <c r="Z331" s="1119"/>
      <c r="AA331" s="1119"/>
      <c r="AB331" s="1119"/>
      <c r="AC331" s="1178"/>
      <c r="AD331" s="1178">
        <v>7.7933351552076138</v>
      </c>
      <c r="AE331" s="1178">
        <v>55324.436999999998</v>
      </c>
      <c r="AF331" s="1178">
        <v>79557.717860224322</v>
      </c>
      <c r="AG331" s="1178"/>
      <c r="AH331" s="1178"/>
      <c r="AI331" s="1178"/>
      <c r="AJ331" s="1178"/>
      <c r="AK331" s="919">
        <v>19.00249719619751</v>
      </c>
      <c r="AL331" s="919">
        <v>27.325995392863831</v>
      </c>
      <c r="AM331" s="919">
        <v>20.809499740600586</v>
      </c>
      <c r="AN331" s="919">
        <v>29.924503509635585</v>
      </c>
      <c r="AO331" s="919"/>
      <c r="AP331" s="919"/>
      <c r="AS331" s="1167"/>
      <c r="AT331" s="1167"/>
      <c r="AU331" s="1168"/>
      <c r="AV331" s="1168"/>
      <c r="AW331" s="1169"/>
      <c r="AX331" s="1169"/>
      <c r="AY331" s="1169"/>
      <c r="AZ331" s="1169"/>
      <c r="BA331" s="1846" t="s">
        <v>1</v>
      </c>
      <c r="BB331" s="1847">
        <v>2004</v>
      </c>
      <c r="BC331" s="1846" t="s">
        <v>21</v>
      </c>
      <c r="BD331" s="1846">
        <v>7</v>
      </c>
      <c r="BE331" s="1848">
        <v>68460000</v>
      </c>
      <c r="BF331" s="1801">
        <v>1.2210365005372132E-2</v>
      </c>
      <c r="BG331" s="1799"/>
      <c r="BH331" s="1799" t="s">
        <v>280</v>
      </c>
      <c r="BI331" s="1799" t="s">
        <v>316</v>
      </c>
      <c r="BJ331" s="1799" t="s">
        <v>23</v>
      </c>
      <c r="BK331" s="1799">
        <v>3</v>
      </c>
      <c r="BL331" s="1800">
        <v>147509859.25999999</v>
      </c>
      <c r="BM331" s="1801">
        <v>5188.528289131199</v>
      </c>
      <c r="BN331" s="1799">
        <v>2011</v>
      </c>
      <c r="BO331" s="1684"/>
      <c r="BP331" s="1696"/>
      <c r="BQ331" s="1169"/>
      <c r="BR331" s="1169"/>
      <c r="BS331" s="1169"/>
      <c r="BT331" s="1169"/>
      <c r="BU331" s="1169"/>
      <c r="BV331" s="1169"/>
      <c r="BW331" s="1169"/>
      <c r="BX331" s="1169"/>
      <c r="BY331" s="1169"/>
      <c r="BZ331" s="1169"/>
      <c r="CA331" s="1169"/>
      <c r="CB331" s="1169"/>
      <c r="CC331" s="1169"/>
      <c r="CD331" s="1169"/>
      <c r="CE331" s="1169"/>
      <c r="CF331" s="1169"/>
      <c r="CG331" s="1169"/>
      <c r="CH331" s="1169"/>
      <c r="CI331" s="1169"/>
      <c r="CJ331" s="1169"/>
      <c r="CK331" s="1169"/>
      <c r="CL331" s="1169"/>
      <c r="CM331" s="1169"/>
      <c r="CN331" s="1169"/>
      <c r="CO331" s="1169"/>
      <c r="CP331" s="1169"/>
      <c r="CQ331" s="1169"/>
      <c r="CR331" s="1169"/>
      <c r="CS331" s="1169"/>
      <c r="CT331" s="1169"/>
      <c r="CU331" s="1169"/>
      <c r="CV331" s="1169"/>
      <c r="CW331" s="1169"/>
      <c r="CX331" s="1169"/>
      <c r="CY331" s="1169"/>
      <c r="CZ331" s="1169"/>
      <c r="DA331" s="1168"/>
      <c r="DB331" s="1168"/>
      <c r="DC331" s="1168"/>
      <c r="DD331" s="1168"/>
      <c r="DE331" s="1168"/>
      <c r="DF331" s="1168"/>
      <c r="DG331" s="1168"/>
      <c r="DH331" s="1168"/>
      <c r="DI331" s="1168"/>
      <c r="DJ331" s="1168"/>
      <c r="DK331" s="1168"/>
      <c r="DL331" s="1168"/>
      <c r="DM331" s="1168"/>
      <c r="DN331" s="1168"/>
      <c r="DO331" s="1168"/>
      <c r="DP331" s="1168"/>
      <c r="DQ331" s="1168"/>
      <c r="DR331" s="1168"/>
      <c r="DS331" s="1168"/>
      <c r="DT331" s="1168"/>
      <c r="DU331" s="1168"/>
      <c r="DV331" s="1168"/>
      <c r="DW331" s="1168"/>
      <c r="DX331" s="1168"/>
      <c r="DY331" s="1168"/>
      <c r="DZ331" s="1168"/>
      <c r="EA331" s="1168"/>
      <c r="EB331" s="1168"/>
      <c r="EC331" s="1168"/>
      <c r="ED331" s="1168"/>
      <c r="EE331" s="1168"/>
      <c r="EF331" s="1168"/>
      <c r="EG331" s="1168"/>
      <c r="EH331" s="1168"/>
      <c r="EI331" s="1170"/>
      <c r="EJ331" s="1170"/>
      <c r="EK331" s="1170"/>
      <c r="EL331" s="1170"/>
      <c r="EM331" s="1170"/>
      <c r="EN331" s="1170"/>
      <c r="EO331" s="1170"/>
      <c r="EP331" s="1170"/>
      <c r="EQ331" s="1170"/>
      <c r="ER331" s="1170"/>
      <c r="ES331" s="1171"/>
      <c r="ET331" s="1171"/>
      <c r="EU331" s="1171"/>
      <c r="EV331" s="1171"/>
      <c r="EW331" s="1171"/>
      <c r="EX331" s="1171"/>
      <c r="EY331" s="1171"/>
      <c r="EZ331" s="1171"/>
      <c r="FA331" s="1171"/>
      <c r="FB331" s="1171"/>
      <c r="FC331" s="1171"/>
      <c r="FD331" s="1171"/>
      <c r="FE331" s="1171"/>
      <c r="FF331" s="1171"/>
      <c r="FG331" s="1171"/>
      <c r="FH331" s="1171"/>
      <c r="FI331" s="1171"/>
      <c r="FJ331" s="1171"/>
      <c r="FK331" s="1171"/>
      <c r="FL331" s="1171"/>
      <c r="FM331" s="1171"/>
      <c r="FN331" s="1171"/>
      <c r="FO331" s="1171"/>
      <c r="FP331" s="1171"/>
    </row>
    <row r="332" spans="1:172" s="607" customFormat="1">
      <c r="A332" s="607">
        <f t="shared" si="10"/>
        <v>1997</v>
      </c>
      <c r="B332" s="607">
        <f t="shared" si="11"/>
        <v>4</v>
      </c>
      <c r="C332" s="666">
        <v>35765</v>
      </c>
      <c r="D332" s="957">
        <v>0.66271904761904765</v>
      </c>
      <c r="E332" s="920">
        <v>187.13197747619049</v>
      </c>
      <c r="F332" s="920">
        <v>282.37</v>
      </c>
      <c r="G332" s="920"/>
      <c r="H332" s="920"/>
      <c r="I332" s="954">
        <v>288.89</v>
      </c>
      <c r="J332" s="954">
        <v>444.79</v>
      </c>
      <c r="K332" s="954"/>
      <c r="L332" s="920"/>
      <c r="M332" s="917">
        <v>5952.5</v>
      </c>
      <c r="N332" s="917">
        <v>8981.9358918165417</v>
      </c>
      <c r="O332" s="1175">
        <v>1764.1</v>
      </c>
      <c r="P332" s="1175">
        <v>2661.9123236881246</v>
      </c>
      <c r="Q332" s="1175">
        <v>526.13</v>
      </c>
      <c r="R332" s="1175">
        <v>793.89599844795248</v>
      </c>
      <c r="S332" s="1175">
        <v>1103</v>
      </c>
      <c r="T332" s="1175">
        <v>1664.3553613899446</v>
      </c>
      <c r="U332" s="920">
        <v>365.82091428571431</v>
      </c>
      <c r="V332" s="920">
        <v>552</v>
      </c>
      <c r="W332" s="920">
        <v>1652.1585857142859</v>
      </c>
      <c r="X332" s="920">
        <v>2493</v>
      </c>
      <c r="Y332" s="920"/>
      <c r="Z332" s="920"/>
      <c r="AA332" s="920"/>
      <c r="AB332" s="920"/>
      <c r="AC332" s="920"/>
      <c r="AD332" s="920">
        <v>9.1526677062066977</v>
      </c>
      <c r="AE332" s="920">
        <v>56129.116000000002</v>
      </c>
      <c r="AF332" s="920">
        <v>84695.190521013719</v>
      </c>
      <c r="AG332" s="920"/>
      <c r="AH332" s="920"/>
      <c r="AI332" s="920"/>
      <c r="AJ332" s="920"/>
      <c r="AK332" s="920">
        <v>17.102379708063033</v>
      </c>
      <c r="AL332" s="920">
        <v>25.806380199130832</v>
      </c>
      <c r="AM332" s="920">
        <v>18.324998682195488</v>
      </c>
      <c r="AN332" s="920">
        <v>27.651232823368751</v>
      </c>
      <c r="AO332" s="920"/>
      <c r="AP332" s="920"/>
      <c r="AS332" s="1167"/>
      <c r="AT332" s="1167"/>
      <c r="AU332" s="1168"/>
      <c r="AV332" s="1168"/>
      <c r="AW332" s="1169"/>
      <c r="AX332" s="1169"/>
      <c r="AY332" s="1169"/>
      <c r="AZ332" s="1169"/>
      <c r="BA332" s="1846" t="s">
        <v>1</v>
      </c>
      <c r="BB332" s="1847">
        <v>2004</v>
      </c>
      <c r="BC332" s="1846" t="s">
        <v>55</v>
      </c>
      <c r="BD332" s="1846">
        <v>8</v>
      </c>
      <c r="BE332" s="1848">
        <v>51591000</v>
      </c>
      <c r="BF332" s="1801">
        <v>9.2016497369581309E-3</v>
      </c>
      <c r="BG332" s="1799"/>
      <c r="BH332" s="1799" t="s">
        <v>280</v>
      </c>
      <c r="BI332" s="1799" t="s">
        <v>316</v>
      </c>
      <c r="BJ332" s="1799" t="s">
        <v>54</v>
      </c>
      <c r="BK332" s="1799">
        <v>4</v>
      </c>
      <c r="BL332" s="1800">
        <v>93166319.269999996</v>
      </c>
      <c r="BM332" s="1801">
        <v>3277.0425349982411</v>
      </c>
      <c r="BN332" s="1799">
        <v>2011</v>
      </c>
      <c r="BO332" s="1684"/>
      <c r="BP332" s="1696"/>
      <c r="BQ332" s="1169"/>
      <c r="BR332" s="1169"/>
      <c r="BS332" s="1169"/>
      <c r="BT332" s="1169"/>
      <c r="BU332" s="1169"/>
      <c r="BV332" s="1169"/>
      <c r="BW332" s="1169"/>
      <c r="BX332" s="1169"/>
      <c r="BY332" s="1169"/>
      <c r="BZ332" s="1169"/>
      <c r="CA332" s="1169"/>
      <c r="CB332" s="1169"/>
      <c r="CC332" s="1169"/>
      <c r="CD332" s="1169"/>
      <c r="CE332" s="1169"/>
      <c r="CF332" s="1169"/>
      <c r="CG332" s="1169"/>
      <c r="CH332" s="1169"/>
      <c r="CI332" s="1169"/>
      <c r="CJ332" s="1169"/>
      <c r="CK332" s="1169"/>
      <c r="CL332" s="1169"/>
      <c r="CM332" s="1169"/>
      <c r="CN332" s="1169"/>
      <c r="CO332" s="1169"/>
      <c r="CP332" s="1169"/>
      <c r="CQ332" s="1169"/>
      <c r="CR332" s="1169"/>
      <c r="CS332" s="1169"/>
      <c r="CT332" s="1169"/>
      <c r="CU332" s="1169"/>
      <c r="CV332" s="1169"/>
      <c r="CW332" s="1169"/>
      <c r="CX332" s="1169"/>
      <c r="CY332" s="1169"/>
      <c r="CZ332" s="1169"/>
      <c r="DA332" s="1168"/>
      <c r="DB332" s="1168"/>
      <c r="DC332" s="1168"/>
      <c r="DD332" s="1168"/>
      <c r="DE332" s="1168"/>
      <c r="DF332" s="1168"/>
      <c r="DG332" s="1168"/>
      <c r="DH332" s="1168"/>
      <c r="DI332" s="1168"/>
      <c r="DJ332" s="1168"/>
      <c r="DK332" s="1168"/>
      <c r="DL332" s="1168"/>
      <c r="DM332" s="1168"/>
      <c r="DN332" s="1168"/>
      <c r="DO332" s="1168"/>
      <c r="DP332" s="1168"/>
      <c r="DQ332" s="1168"/>
      <c r="DR332" s="1168"/>
      <c r="DS332" s="1168"/>
      <c r="DT332" s="1168"/>
      <c r="DU332" s="1168"/>
      <c r="DV332" s="1168"/>
      <c r="DW332" s="1168"/>
      <c r="DX332" s="1168"/>
      <c r="DY332" s="1168"/>
      <c r="DZ332" s="1168"/>
      <c r="EA332" s="1168"/>
      <c r="EB332" s="1168"/>
      <c r="EC332" s="1168"/>
      <c r="ED332" s="1168"/>
      <c r="EE332" s="1168"/>
      <c r="EF332" s="1168"/>
      <c r="EG332" s="1168"/>
      <c r="EH332" s="1168"/>
      <c r="EI332" s="1170"/>
      <c r="EJ332" s="1170"/>
      <c r="EK332" s="1170"/>
      <c r="EL332" s="1170"/>
      <c r="EM332" s="1170"/>
      <c r="EN332" s="1170"/>
      <c r="EO332" s="1170"/>
      <c r="EP332" s="1170"/>
      <c r="EQ332" s="1170"/>
      <c r="ER332" s="1170"/>
      <c r="ES332" s="1171"/>
      <c r="ET332" s="1171"/>
      <c r="EU332" s="1171"/>
      <c r="EV332" s="1171"/>
      <c r="EW332" s="1171"/>
      <c r="EX332" s="1171"/>
      <c r="EY332" s="1171"/>
      <c r="EZ332" s="1171"/>
      <c r="FA332" s="1171"/>
      <c r="FB332" s="1171"/>
      <c r="FC332" s="1171"/>
      <c r="FD332" s="1171"/>
      <c r="FE332" s="1171"/>
      <c r="FF332" s="1171"/>
      <c r="FG332" s="1171"/>
      <c r="FH332" s="1171"/>
      <c r="FI332" s="1171"/>
      <c r="FJ332" s="1171"/>
      <c r="FK332" s="1171"/>
      <c r="FL332" s="1171"/>
      <c r="FM332" s="1171"/>
      <c r="FN332" s="1171"/>
      <c r="FO332" s="1171"/>
      <c r="FP332" s="1171"/>
    </row>
    <row r="333" spans="1:172" s="607" customFormat="1">
      <c r="A333" s="607">
        <f t="shared" si="10"/>
        <v>1998</v>
      </c>
      <c r="B333" s="607">
        <f t="shared" si="11"/>
        <v>1</v>
      </c>
      <c r="C333" s="666">
        <v>35796</v>
      </c>
      <c r="D333" s="1709">
        <v>0.65425499999999992</v>
      </c>
      <c r="E333" s="1117">
        <v>191.03771016181807</v>
      </c>
      <c r="F333" s="1117">
        <v>291.99274008118869</v>
      </c>
      <c r="G333" s="1117"/>
      <c r="H333" s="1117"/>
      <c r="I333" s="959">
        <v>289.14999999999998</v>
      </c>
      <c r="J333" s="959">
        <v>451.63</v>
      </c>
      <c r="K333" s="960"/>
      <c r="L333" s="1121"/>
      <c r="M333" s="916">
        <v>5494.5</v>
      </c>
      <c r="N333" s="916">
        <v>8398.1016576105649</v>
      </c>
      <c r="O333" s="1174">
        <v>1688.45</v>
      </c>
      <c r="P333" s="1174">
        <v>2580.7215840918302</v>
      </c>
      <c r="Q333" s="1174">
        <v>531.58000000000004</v>
      </c>
      <c r="R333" s="1174">
        <v>812.49665650243423</v>
      </c>
      <c r="S333" s="1174">
        <v>1097.2</v>
      </c>
      <c r="T333" s="1174">
        <v>1677.0219562708733</v>
      </c>
      <c r="U333" s="1120">
        <v>361.80301499999996</v>
      </c>
      <c r="V333" s="1120">
        <v>553</v>
      </c>
      <c r="W333" s="1120">
        <v>1721.9991599999998</v>
      </c>
      <c r="X333" s="1120">
        <v>2632</v>
      </c>
      <c r="Y333" s="1119"/>
      <c r="Z333" s="1119"/>
      <c r="AA333" s="1119"/>
      <c r="AB333" s="1119"/>
      <c r="AC333" s="1178">
        <v>5.88</v>
      </c>
      <c r="AD333" s="1178">
        <v>9.5535872168726979</v>
      </c>
      <c r="AE333" s="1178">
        <v>55115.025000000001</v>
      </c>
      <c r="AF333" s="1178">
        <v>84240.892312630414</v>
      </c>
      <c r="AG333" s="1178">
        <v>374.16</v>
      </c>
      <c r="AH333" s="1178">
        <v>571.88710823761392</v>
      </c>
      <c r="AI333" s="1178">
        <v>224.679</v>
      </c>
      <c r="AJ333" s="1178">
        <v>343.41197239608414</v>
      </c>
      <c r="AK333" s="919">
        <v>15.092380932399205</v>
      </c>
      <c r="AL333" s="919">
        <v>23.068040645312923</v>
      </c>
      <c r="AM333" s="919">
        <v>15.931817314841531</v>
      </c>
      <c r="AN333" s="919">
        <v>24.351082245976773</v>
      </c>
      <c r="AO333" s="919"/>
      <c r="AP333" s="919"/>
      <c r="AS333" s="1167"/>
      <c r="AT333" s="1167"/>
      <c r="AU333" s="1168"/>
      <c r="AV333" s="1168"/>
      <c r="AW333" s="1169"/>
      <c r="AX333" s="1169"/>
      <c r="AY333" s="1169"/>
      <c r="AZ333" s="1169"/>
      <c r="BA333" s="1846" t="s">
        <v>1</v>
      </c>
      <c r="BB333" s="1847">
        <v>2004</v>
      </c>
      <c r="BC333" s="1846" t="s">
        <v>77</v>
      </c>
      <c r="BD333" s="1846">
        <v>9</v>
      </c>
      <c r="BE333" s="1848">
        <v>20993000</v>
      </c>
      <c r="BF333" s="1801">
        <v>3.7442622342649312E-3</v>
      </c>
      <c r="BG333" s="1799"/>
      <c r="BH333" s="1799" t="s">
        <v>280</v>
      </c>
      <c r="BI333" s="1799" t="s">
        <v>316</v>
      </c>
      <c r="BJ333" s="1799" t="s">
        <v>51</v>
      </c>
      <c r="BK333" s="1799">
        <v>5</v>
      </c>
      <c r="BL333" s="1800">
        <v>79586212.359999999</v>
      </c>
      <c r="BM333" s="1801">
        <v>2799.3743355610272</v>
      </c>
      <c r="BN333" s="1799">
        <v>2011</v>
      </c>
      <c r="BO333" s="1684"/>
      <c r="BP333" s="1696"/>
      <c r="BQ333" s="1169"/>
      <c r="BR333" s="1169"/>
      <c r="BS333" s="1169"/>
      <c r="BT333" s="1169"/>
      <c r="BU333" s="1169"/>
      <c r="BV333" s="1169"/>
      <c r="BW333" s="1169"/>
      <c r="BX333" s="1169"/>
      <c r="BY333" s="1169"/>
      <c r="BZ333" s="1169"/>
      <c r="CA333" s="1169"/>
      <c r="CB333" s="1169"/>
      <c r="CC333" s="1169"/>
      <c r="CD333" s="1169"/>
      <c r="CE333" s="1169"/>
      <c r="CF333" s="1169"/>
      <c r="CG333" s="1169"/>
      <c r="CH333" s="1169"/>
      <c r="CI333" s="1169"/>
      <c r="CJ333" s="1169"/>
      <c r="CK333" s="1169"/>
      <c r="CL333" s="1169"/>
      <c r="CM333" s="1169"/>
      <c r="CN333" s="1169"/>
      <c r="CO333" s="1169"/>
      <c r="CP333" s="1169"/>
      <c r="CQ333" s="1169"/>
      <c r="CR333" s="1169"/>
      <c r="CS333" s="1169"/>
      <c r="CT333" s="1169"/>
      <c r="CU333" s="1169"/>
      <c r="CV333" s="1169"/>
      <c r="CW333" s="1169"/>
      <c r="CX333" s="1169"/>
      <c r="CY333" s="1169"/>
      <c r="CZ333" s="1169"/>
      <c r="DA333" s="1168"/>
      <c r="DB333" s="1168"/>
      <c r="DC333" s="1168"/>
      <c r="DD333" s="1168"/>
      <c r="DE333" s="1168"/>
      <c r="DF333" s="1168"/>
      <c r="DG333" s="1168"/>
      <c r="DH333" s="1168"/>
      <c r="DI333" s="1168"/>
      <c r="DJ333" s="1168"/>
      <c r="DK333" s="1168"/>
      <c r="DL333" s="1168"/>
      <c r="DM333" s="1168"/>
      <c r="DN333" s="1168"/>
      <c r="DO333" s="1168"/>
      <c r="DP333" s="1168"/>
      <c r="DQ333" s="1168"/>
      <c r="DR333" s="1168"/>
      <c r="DS333" s="1168"/>
      <c r="DT333" s="1168"/>
      <c r="DU333" s="1168"/>
      <c r="DV333" s="1168"/>
      <c r="DW333" s="1168"/>
      <c r="DX333" s="1168"/>
      <c r="DY333" s="1168"/>
      <c r="DZ333" s="1168"/>
      <c r="EA333" s="1168"/>
      <c r="EB333" s="1168"/>
      <c r="EC333" s="1168"/>
      <c r="ED333" s="1168"/>
      <c r="EE333" s="1168"/>
      <c r="EF333" s="1168"/>
      <c r="EG333" s="1168"/>
      <c r="EH333" s="1168"/>
      <c r="EI333" s="1170"/>
      <c r="EJ333" s="1170"/>
      <c r="EK333" s="1170"/>
      <c r="EL333" s="1170"/>
      <c r="EM333" s="1170"/>
      <c r="EN333" s="1170"/>
      <c r="EO333" s="1170"/>
      <c r="EP333" s="1170"/>
      <c r="EQ333" s="1170"/>
      <c r="ER333" s="1170"/>
      <c r="ES333" s="1171"/>
      <c r="ET333" s="1171"/>
      <c r="EU333" s="1171"/>
      <c r="EV333" s="1171"/>
      <c r="EW333" s="1171"/>
      <c r="EX333" s="1171"/>
      <c r="EY333" s="1171"/>
      <c r="EZ333" s="1171"/>
      <c r="FA333" s="1171"/>
      <c r="FB333" s="1171"/>
      <c r="FC333" s="1171"/>
      <c r="FD333" s="1171"/>
      <c r="FE333" s="1171"/>
      <c r="FF333" s="1171"/>
      <c r="FG333" s="1171"/>
      <c r="FH333" s="1171"/>
      <c r="FI333" s="1171"/>
      <c r="FJ333" s="1171"/>
      <c r="FK333" s="1171"/>
      <c r="FL333" s="1171"/>
      <c r="FM333" s="1171"/>
      <c r="FN333" s="1171"/>
      <c r="FO333" s="1171"/>
      <c r="FP333" s="1171"/>
    </row>
    <row r="334" spans="1:172" s="607" customFormat="1">
      <c r="A334" s="607">
        <f t="shared" si="10"/>
        <v>1998</v>
      </c>
      <c r="B334" s="607">
        <f t="shared" si="11"/>
        <v>1</v>
      </c>
      <c r="C334" s="666">
        <v>35827</v>
      </c>
      <c r="D334" s="957">
        <v>0.67334500000000008</v>
      </c>
      <c r="E334" s="920">
        <v>188.24460806440825</v>
      </c>
      <c r="F334" s="920">
        <v>279.56635612413879</v>
      </c>
      <c r="G334" s="920"/>
      <c r="H334" s="920"/>
      <c r="I334" s="954">
        <v>297.49</v>
      </c>
      <c r="J334" s="954">
        <v>438.82</v>
      </c>
      <c r="K334" s="954"/>
      <c r="L334" s="920"/>
      <c r="M334" s="917">
        <v>5389.5</v>
      </c>
      <c r="N334" s="917">
        <v>8004.0692364241204</v>
      </c>
      <c r="O334" s="1175">
        <v>1664.8</v>
      </c>
      <c r="P334" s="1175">
        <v>2472.4324083493598</v>
      </c>
      <c r="Q334" s="1175">
        <v>516.38</v>
      </c>
      <c r="R334" s="1175">
        <v>766.88770244079922</v>
      </c>
      <c r="S334" s="1175">
        <v>1044</v>
      </c>
      <c r="T334" s="1175">
        <v>1550.4681849571912</v>
      </c>
      <c r="U334" s="920">
        <v>372.35978500000004</v>
      </c>
      <c r="V334" s="920">
        <v>553</v>
      </c>
      <c r="W334" s="920">
        <v>1772.2440400000003</v>
      </c>
      <c r="X334" s="920">
        <v>2632</v>
      </c>
      <c r="Y334" s="920"/>
      <c r="Z334" s="920"/>
      <c r="AA334" s="920"/>
      <c r="AB334" s="920"/>
      <c r="AC334" s="920">
        <v>6.83</v>
      </c>
      <c r="AD334" s="920">
        <v>10.739948880351086</v>
      </c>
      <c r="AE334" s="920">
        <v>54839.45</v>
      </c>
      <c r="AF334" s="920">
        <v>81443.316576197918</v>
      </c>
      <c r="AG334" s="920">
        <v>386.57499999999999</v>
      </c>
      <c r="AH334" s="920">
        <v>574.11133965500585</v>
      </c>
      <c r="AI334" s="920">
        <v>237.02500000000001</v>
      </c>
      <c r="AJ334" s="920">
        <v>352.01122752823585</v>
      </c>
      <c r="AK334" s="920">
        <v>14.059500026702882</v>
      </c>
      <c r="AL334" s="920">
        <v>20.880083800581989</v>
      </c>
      <c r="AM334" s="920">
        <v>15.017499876022338</v>
      </c>
      <c r="AN334" s="920">
        <v>22.302831202462833</v>
      </c>
      <c r="AO334" s="920"/>
      <c r="AP334" s="920"/>
      <c r="AS334" s="1167"/>
      <c r="AT334" s="1167"/>
      <c r="AU334" s="1168"/>
      <c r="AV334" s="1168"/>
      <c r="AW334" s="1169"/>
      <c r="AX334" s="1169"/>
      <c r="AY334" s="1169"/>
      <c r="AZ334" s="1169"/>
      <c r="BA334" s="1846" t="s">
        <v>1</v>
      </c>
      <c r="BB334" s="1847">
        <v>2004</v>
      </c>
      <c r="BC334" s="1846" t="s">
        <v>592</v>
      </c>
      <c r="BD334" s="1846">
        <v>10</v>
      </c>
      <c r="BE334" s="1848">
        <v>18600000</v>
      </c>
      <c r="BF334" s="1801">
        <v>3.317452367804874E-3</v>
      </c>
      <c r="BG334" s="1799"/>
      <c r="BH334" s="1799" t="s">
        <v>280</v>
      </c>
      <c r="BI334" s="1799" t="s">
        <v>316</v>
      </c>
      <c r="BJ334" s="1799" t="s">
        <v>20</v>
      </c>
      <c r="BK334" s="1799">
        <v>6</v>
      </c>
      <c r="BL334" s="1800">
        <v>74762318.540000021</v>
      </c>
      <c r="BM334" s="1801">
        <v>2629.698154766093</v>
      </c>
      <c r="BN334" s="1799">
        <v>2011</v>
      </c>
      <c r="BO334" s="1684"/>
      <c r="BP334" s="1696"/>
      <c r="BQ334" s="1169"/>
      <c r="BR334" s="1169"/>
      <c r="BS334" s="1169"/>
      <c r="BT334" s="1169"/>
      <c r="BU334" s="1169"/>
      <c r="BV334" s="1169"/>
      <c r="BW334" s="1169"/>
      <c r="BX334" s="1169"/>
      <c r="BY334" s="1169"/>
      <c r="BZ334" s="1169"/>
      <c r="CA334" s="1169"/>
      <c r="CB334" s="1169"/>
      <c r="CC334" s="1169"/>
      <c r="CD334" s="1169"/>
      <c r="CE334" s="1169"/>
      <c r="CF334" s="1169"/>
      <c r="CG334" s="1169"/>
      <c r="CH334" s="1169"/>
      <c r="CI334" s="1169"/>
      <c r="CJ334" s="1169"/>
      <c r="CK334" s="1169"/>
      <c r="CL334" s="1169"/>
      <c r="CM334" s="1169"/>
      <c r="CN334" s="1169"/>
      <c r="CO334" s="1169"/>
      <c r="CP334" s="1169"/>
      <c r="CQ334" s="1169"/>
      <c r="CR334" s="1169"/>
      <c r="CS334" s="1169"/>
      <c r="CT334" s="1169"/>
      <c r="CU334" s="1169"/>
      <c r="CV334" s="1169"/>
      <c r="CW334" s="1169"/>
      <c r="CX334" s="1169"/>
      <c r="CY334" s="1169"/>
      <c r="CZ334" s="1169"/>
      <c r="DA334" s="1168"/>
      <c r="DB334" s="1168"/>
      <c r="DC334" s="1168"/>
      <c r="DD334" s="1168"/>
      <c r="DE334" s="1168"/>
      <c r="DF334" s="1168"/>
      <c r="DG334" s="1168"/>
      <c r="DH334" s="1168"/>
      <c r="DI334" s="1168"/>
      <c r="DJ334" s="1168"/>
      <c r="DK334" s="1168"/>
      <c r="DL334" s="1168"/>
      <c r="DM334" s="1168"/>
      <c r="DN334" s="1168"/>
      <c r="DO334" s="1168"/>
      <c r="DP334" s="1168"/>
      <c r="DQ334" s="1168"/>
      <c r="DR334" s="1168"/>
      <c r="DS334" s="1168"/>
      <c r="DT334" s="1168"/>
      <c r="DU334" s="1168"/>
      <c r="DV334" s="1168"/>
      <c r="DW334" s="1168"/>
      <c r="DX334" s="1168"/>
      <c r="DY334" s="1168"/>
      <c r="DZ334" s="1168"/>
      <c r="EA334" s="1168"/>
      <c r="EB334" s="1168"/>
      <c r="EC334" s="1168"/>
      <c r="ED334" s="1168"/>
      <c r="EE334" s="1168"/>
      <c r="EF334" s="1168"/>
      <c r="EG334" s="1168"/>
      <c r="EH334" s="1168"/>
      <c r="EI334" s="1170"/>
      <c r="EJ334" s="1170"/>
      <c r="EK334" s="1170"/>
      <c r="EL334" s="1170"/>
      <c r="EM334" s="1170"/>
      <c r="EN334" s="1170"/>
      <c r="EO334" s="1170"/>
      <c r="EP334" s="1170"/>
      <c r="EQ334" s="1170"/>
      <c r="ER334" s="1170"/>
      <c r="ES334" s="1171"/>
      <c r="ET334" s="1171"/>
      <c r="EU334" s="1171"/>
      <c r="EV334" s="1171"/>
      <c r="EW334" s="1171"/>
      <c r="EX334" s="1171"/>
      <c r="EY334" s="1171"/>
      <c r="EZ334" s="1171"/>
      <c r="FA334" s="1171"/>
      <c r="FB334" s="1171"/>
      <c r="FC334" s="1171"/>
      <c r="FD334" s="1171"/>
      <c r="FE334" s="1171"/>
      <c r="FF334" s="1171"/>
      <c r="FG334" s="1171"/>
      <c r="FH334" s="1171"/>
      <c r="FI334" s="1171"/>
      <c r="FJ334" s="1171"/>
      <c r="FK334" s="1171"/>
      <c r="FL334" s="1171"/>
      <c r="FM334" s="1171"/>
      <c r="FN334" s="1171"/>
      <c r="FO334" s="1171"/>
      <c r="FP334" s="1171"/>
    </row>
    <row r="335" spans="1:172" s="607" customFormat="1">
      <c r="A335" s="607">
        <f t="shared" si="10"/>
        <v>1998</v>
      </c>
      <c r="B335" s="607">
        <f t="shared" si="11"/>
        <v>1</v>
      </c>
      <c r="C335" s="666">
        <v>35855</v>
      </c>
      <c r="D335" s="1709">
        <v>0.66990000000000016</v>
      </c>
      <c r="E335" s="1117">
        <v>185.04647700000007</v>
      </c>
      <c r="F335" s="1117">
        <v>276.23</v>
      </c>
      <c r="G335" s="1117"/>
      <c r="H335" s="1117"/>
      <c r="I335" s="959">
        <v>295.94</v>
      </c>
      <c r="J335" s="959">
        <v>455.16</v>
      </c>
      <c r="K335" s="960"/>
      <c r="L335" s="1121"/>
      <c r="M335" s="916">
        <v>5398.86</v>
      </c>
      <c r="N335" s="916">
        <v>8059.2028660994156</v>
      </c>
      <c r="O335" s="1174">
        <v>1747.98</v>
      </c>
      <c r="P335" s="1174">
        <v>2609.3148231079258</v>
      </c>
      <c r="Q335" s="1174">
        <v>559.82000000000005</v>
      </c>
      <c r="R335" s="1174">
        <v>835.67696671144938</v>
      </c>
      <c r="S335" s="1174">
        <v>1047.6400000000001</v>
      </c>
      <c r="T335" s="1174">
        <v>1563.8752052545153</v>
      </c>
      <c r="U335" s="1120">
        <v>370.45470000000012</v>
      </c>
      <c r="V335" s="1120">
        <v>553</v>
      </c>
      <c r="W335" s="1120">
        <v>1763.1768000000004</v>
      </c>
      <c r="X335" s="1120">
        <v>2632</v>
      </c>
      <c r="Y335" s="1119"/>
      <c r="Z335" s="1119"/>
      <c r="AA335" s="1119"/>
      <c r="AB335" s="1119"/>
      <c r="AC335" s="1178">
        <v>6.24</v>
      </c>
      <c r="AD335" s="1178">
        <v>9.9053161219798405</v>
      </c>
      <c r="AE335" s="1178">
        <v>54839.45</v>
      </c>
      <c r="AF335" s="1178">
        <v>81862.143603522883</v>
      </c>
      <c r="AG335" s="1178">
        <v>398.98899999999998</v>
      </c>
      <c r="AH335" s="1178">
        <v>595.59486490520953</v>
      </c>
      <c r="AI335" s="1178">
        <v>262.52300000000002</v>
      </c>
      <c r="AJ335" s="1178">
        <v>391.88386326317357</v>
      </c>
      <c r="AK335" s="919">
        <v>13.078636386177756</v>
      </c>
      <c r="AL335" s="919">
        <v>19.523266735598973</v>
      </c>
      <c r="AM335" s="919">
        <v>13.290908986871893</v>
      </c>
      <c r="AN335" s="919">
        <v>19.840138807093432</v>
      </c>
      <c r="AO335" s="919"/>
      <c r="AP335" s="919"/>
      <c r="AS335" s="1167"/>
      <c r="AT335" s="1167"/>
      <c r="AU335" s="1168"/>
      <c r="AV335" s="1168"/>
      <c r="AW335" s="1169"/>
      <c r="AX335" s="1169"/>
      <c r="AY335" s="1169"/>
      <c r="AZ335" s="1169"/>
      <c r="BA335" s="1846" t="s">
        <v>1</v>
      </c>
      <c r="BB335" s="1847">
        <v>2004</v>
      </c>
      <c r="BC335" s="1846" t="s">
        <v>32</v>
      </c>
      <c r="BD335" s="1846"/>
      <c r="BE335" s="1848">
        <v>44887000</v>
      </c>
      <c r="BF335" s="1801">
        <v>8.0059400233149121E-3</v>
      </c>
      <c r="BG335" s="1799"/>
      <c r="BH335" s="1799" t="s">
        <v>280</v>
      </c>
      <c r="BI335" s="1799" t="s">
        <v>316</v>
      </c>
      <c r="BJ335" s="1799" t="s">
        <v>21</v>
      </c>
      <c r="BK335" s="1799">
        <v>7</v>
      </c>
      <c r="BL335" s="1800">
        <v>60557311.649999991</v>
      </c>
      <c r="BM335" s="1801">
        <v>2130.049653534998</v>
      </c>
      <c r="BN335" s="1799">
        <v>2011</v>
      </c>
      <c r="BO335" s="1684"/>
      <c r="BP335" s="1696"/>
      <c r="BQ335" s="1169"/>
      <c r="BR335" s="1169"/>
      <c r="BS335" s="1169"/>
      <c r="BT335" s="1169"/>
      <c r="BU335" s="1169"/>
      <c r="BV335" s="1169"/>
      <c r="BW335" s="1169"/>
      <c r="BX335" s="1169"/>
      <c r="BY335" s="1169"/>
      <c r="BZ335" s="1169"/>
      <c r="CA335" s="1169"/>
      <c r="CB335" s="1169"/>
      <c r="CC335" s="1169"/>
      <c r="CD335" s="1169"/>
      <c r="CE335" s="1169"/>
      <c r="CF335" s="1169"/>
      <c r="CG335" s="1169"/>
      <c r="CH335" s="1169"/>
      <c r="CI335" s="1169"/>
      <c r="CJ335" s="1169"/>
      <c r="CK335" s="1169"/>
      <c r="CL335" s="1169"/>
      <c r="CM335" s="1169"/>
      <c r="CN335" s="1169"/>
      <c r="CO335" s="1169"/>
      <c r="CP335" s="1169"/>
      <c r="CQ335" s="1169"/>
      <c r="CR335" s="1169"/>
      <c r="CS335" s="1169"/>
      <c r="CT335" s="1169"/>
      <c r="CU335" s="1169"/>
      <c r="CV335" s="1169"/>
      <c r="CW335" s="1169"/>
      <c r="CX335" s="1169"/>
      <c r="CY335" s="1169"/>
      <c r="CZ335" s="1169"/>
      <c r="DA335" s="1168"/>
      <c r="DB335" s="1168"/>
      <c r="DC335" s="1168"/>
      <c r="DD335" s="1168"/>
      <c r="DE335" s="1168"/>
      <c r="DF335" s="1168"/>
      <c r="DG335" s="1168"/>
      <c r="DH335" s="1168"/>
      <c r="DI335" s="1168"/>
      <c r="DJ335" s="1168"/>
      <c r="DK335" s="1168"/>
      <c r="DL335" s="1168"/>
      <c r="DM335" s="1168"/>
      <c r="DN335" s="1168"/>
      <c r="DO335" s="1168"/>
      <c r="DP335" s="1168"/>
      <c r="DQ335" s="1168"/>
      <c r="DR335" s="1168"/>
      <c r="DS335" s="1168"/>
      <c r="DT335" s="1168"/>
      <c r="DU335" s="1168"/>
      <c r="DV335" s="1168"/>
      <c r="DW335" s="1168"/>
      <c r="DX335" s="1168"/>
      <c r="DY335" s="1168"/>
      <c r="DZ335" s="1168"/>
      <c r="EA335" s="1168"/>
      <c r="EB335" s="1168"/>
      <c r="EC335" s="1168"/>
      <c r="ED335" s="1168"/>
      <c r="EE335" s="1168"/>
      <c r="EF335" s="1168"/>
      <c r="EG335" s="1168"/>
      <c r="EH335" s="1168"/>
      <c r="EI335" s="1170"/>
      <c r="EJ335" s="1170"/>
      <c r="EK335" s="1170"/>
      <c r="EL335" s="1170"/>
      <c r="EM335" s="1170"/>
      <c r="EN335" s="1170"/>
      <c r="EO335" s="1170"/>
      <c r="EP335" s="1170"/>
      <c r="EQ335" s="1170"/>
      <c r="ER335" s="1170"/>
      <c r="ES335" s="1171"/>
      <c r="ET335" s="1171"/>
      <c r="EU335" s="1171"/>
      <c r="EV335" s="1171"/>
      <c r="EW335" s="1171"/>
      <c r="EX335" s="1171"/>
      <c r="EY335" s="1171"/>
      <c r="EZ335" s="1171"/>
      <c r="FA335" s="1171"/>
      <c r="FB335" s="1171"/>
      <c r="FC335" s="1171"/>
      <c r="FD335" s="1171"/>
      <c r="FE335" s="1171"/>
      <c r="FF335" s="1171"/>
      <c r="FG335" s="1171"/>
      <c r="FH335" s="1171"/>
      <c r="FI335" s="1171"/>
      <c r="FJ335" s="1171"/>
      <c r="FK335" s="1171"/>
      <c r="FL335" s="1171"/>
      <c r="FM335" s="1171"/>
      <c r="FN335" s="1171"/>
      <c r="FO335" s="1171"/>
      <c r="FP335" s="1171"/>
    </row>
    <row r="336" spans="1:172" s="607" customFormat="1">
      <c r="A336" s="607">
        <f t="shared" si="10"/>
        <v>1998</v>
      </c>
      <c r="B336" s="607">
        <f t="shared" si="11"/>
        <v>2</v>
      </c>
      <c r="C336" s="666">
        <v>35886</v>
      </c>
      <c r="D336" s="957">
        <v>0.65239000000000003</v>
      </c>
      <c r="E336" s="920">
        <v>184.58722660000001</v>
      </c>
      <c r="F336" s="920">
        <v>282.94</v>
      </c>
      <c r="G336" s="920"/>
      <c r="H336" s="920"/>
      <c r="I336" s="954">
        <v>308.29000000000002</v>
      </c>
      <c r="J336" s="954">
        <v>477.83</v>
      </c>
      <c r="K336" s="954"/>
      <c r="L336" s="920"/>
      <c r="M336" s="917">
        <v>5396.75</v>
      </c>
      <c r="N336" s="917">
        <v>8272.2757859562535</v>
      </c>
      <c r="O336" s="1175">
        <v>1800.9</v>
      </c>
      <c r="P336" s="1175">
        <v>2760.4653658087955</v>
      </c>
      <c r="Q336" s="1175">
        <v>572.65</v>
      </c>
      <c r="R336" s="1175">
        <v>877.77249804564747</v>
      </c>
      <c r="S336" s="1175">
        <v>1096.95</v>
      </c>
      <c r="T336" s="1175">
        <v>1681.4328852373581</v>
      </c>
      <c r="U336" s="920">
        <v>366.64318000000003</v>
      </c>
      <c r="V336" s="920">
        <v>562</v>
      </c>
      <c r="W336" s="920">
        <v>1871.7069100000001</v>
      </c>
      <c r="X336" s="920">
        <v>2869</v>
      </c>
      <c r="Y336" s="920"/>
      <c r="Z336" s="920"/>
      <c r="AA336" s="920"/>
      <c r="AB336" s="920"/>
      <c r="AC336" s="920">
        <v>6.33</v>
      </c>
      <c r="AD336" s="920">
        <v>10.313951806066841</v>
      </c>
      <c r="AE336" s="920">
        <v>54219.4</v>
      </c>
      <c r="AF336" s="920">
        <v>83108.876592222441</v>
      </c>
      <c r="AG336" s="920">
        <v>413.22500000000002</v>
      </c>
      <c r="AH336" s="920">
        <v>633.40179953708673</v>
      </c>
      <c r="AI336" s="920">
        <v>323.625</v>
      </c>
      <c r="AJ336" s="920">
        <v>496.06063857508542</v>
      </c>
      <c r="AK336" s="920">
        <v>13.378999948501587</v>
      </c>
      <c r="AL336" s="920">
        <v>20.507671712475034</v>
      </c>
      <c r="AM336" s="920">
        <v>14.875000043348832</v>
      </c>
      <c r="AN336" s="920">
        <v>22.800778741778434</v>
      </c>
      <c r="AO336" s="920"/>
      <c r="AP336" s="920"/>
      <c r="AS336" s="1167"/>
      <c r="AT336" s="1167"/>
      <c r="AU336" s="1168"/>
      <c r="AV336" s="1168"/>
      <c r="AW336" s="1169"/>
      <c r="AX336" s="1169"/>
      <c r="AY336" s="1169"/>
      <c r="AZ336" s="1169"/>
      <c r="BA336" s="1846" t="s">
        <v>1</v>
      </c>
      <c r="BB336" s="1847">
        <v>2004</v>
      </c>
      <c r="BC336" s="1846" t="s">
        <v>249</v>
      </c>
      <c r="BD336" s="1846"/>
      <c r="BE336" s="1848">
        <v>5606712000</v>
      </c>
      <c r="BF336" s="1801">
        <v>1</v>
      </c>
      <c r="BG336" s="1799"/>
      <c r="BH336" s="1799" t="s">
        <v>280</v>
      </c>
      <c r="BI336" s="1799" t="s">
        <v>316</v>
      </c>
      <c r="BJ336" s="1799" t="s">
        <v>42</v>
      </c>
      <c r="BK336" s="1799">
        <v>8</v>
      </c>
      <c r="BL336" s="1800">
        <v>42665001.829999998</v>
      </c>
      <c r="BM336" s="1801">
        <v>1500.7035466056982</v>
      </c>
      <c r="BN336" s="1799">
        <v>2011</v>
      </c>
      <c r="BO336" s="1684"/>
      <c r="BP336" s="1696"/>
      <c r="BQ336" s="1169"/>
      <c r="BR336" s="1169"/>
      <c r="BS336" s="1169"/>
      <c r="BT336" s="1169"/>
      <c r="BU336" s="1169"/>
      <c r="BV336" s="1169"/>
      <c r="BW336" s="1169"/>
      <c r="BX336" s="1169"/>
      <c r="BY336" s="1169"/>
      <c r="BZ336" s="1169"/>
      <c r="CA336" s="1169"/>
      <c r="CB336" s="1169"/>
      <c r="CC336" s="1169"/>
      <c r="CD336" s="1169"/>
      <c r="CE336" s="1169"/>
      <c r="CF336" s="1169"/>
      <c r="CG336" s="1169"/>
      <c r="CH336" s="1169"/>
      <c r="CI336" s="1169"/>
      <c r="CJ336" s="1169"/>
      <c r="CK336" s="1169"/>
      <c r="CL336" s="1169"/>
      <c r="CM336" s="1169"/>
      <c r="CN336" s="1169"/>
      <c r="CO336" s="1169"/>
      <c r="CP336" s="1169"/>
      <c r="CQ336" s="1169"/>
      <c r="CR336" s="1169"/>
      <c r="CS336" s="1169"/>
      <c r="CT336" s="1169"/>
      <c r="CU336" s="1169"/>
      <c r="CV336" s="1169"/>
      <c r="CW336" s="1169"/>
      <c r="CX336" s="1169"/>
      <c r="CY336" s="1169"/>
      <c r="CZ336" s="1169"/>
      <c r="DA336" s="1168"/>
      <c r="DB336" s="1168"/>
      <c r="DC336" s="1168"/>
      <c r="DD336" s="1168"/>
      <c r="DE336" s="1168"/>
      <c r="DF336" s="1168"/>
      <c r="DG336" s="1168"/>
      <c r="DH336" s="1168"/>
      <c r="DI336" s="1168"/>
      <c r="DJ336" s="1168"/>
      <c r="DK336" s="1168"/>
      <c r="DL336" s="1168"/>
      <c r="DM336" s="1168"/>
      <c r="DN336" s="1168"/>
      <c r="DO336" s="1168"/>
      <c r="DP336" s="1168"/>
      <c r="DQ336" s="1168"/>
      <c r="DR336" s="1168"/>
      <c r="DS336" s="1168"/>
      <c r="DT336" s="1168"/>
      <c r="DU336" s="1168"/>
      <c r="DV336" s="1168"/>
      <c r="DW336" s="1168"/>
      <c r="DX336" s="1168"/>
      <c r="DY336" s="1168"/>
      <c r="DZ336" s="1168"/>
      <c r="EA336" s="1168"/>
      <c r="EB336" s="1168"/>
      <c r="EC336" s="1168"/>
      <c r="ED336" s="1168"/>
      <c r="EE336" s="1168"/>
      <c r="EF336" s="1168"/>
      <c r="EG336" s="1168"/>
      <c r="EH336" s="1168"/>
      <c r="EI336" s="1170"/>
      <c r="EJ336" s="1170"/>
      <c r="EK336" s="1170"/>
      <c r="EL336" s="1170"/>
      <c r="EM336" s="1170"/>
      <c r="EN336" s="1170"/>
      <c r="EO336" s="1170"/>
      <c r="EP336" s="1170"/>
      <c r="EQ336" s="1170"/>
      <c r="ER336" s="1170"/>
      <c r="ES336" s="1171"/>
      <c r="ET336" s="1171"/>
      <c r="EU336" s="1171"/>
      <c r="EV336" s="1171"/>
      <c r="EW336" s="1171"/>
      <c r="EX336" s="1171"/>
      <c r="EY336" s="1171"/>
      <c r="EZ336" s="1171"/>
      <c r="FA336" s="1171"/>
      <c r="FB336" s="1171"/>
      <c r="FC336" s="1171"/>
      <c r="FD336" s="1171"/>
      <c r="FE336" s="1171"/>
      <c r="FF336" s="1171"/>
      <c r="FG336" s="1171"/>
      <c r="FH336" s="1171"/>
      <c r="FI336" s="1171"/>
      <c r="FJ336" s="1171"/>
      <c r="FK336" s="1171"/>
      <c r="FL336" s="1171"/>
      <c r="FM336" s="1171"/>
      <c r="FN336" s="1171"/>
      <c r="FO336" s="1171"/>
      <c r="FP336" s="1171"/>
    </row>
    <row r="337" spans="1:172" s="607" customFormat="1">
      <c r="A337" s="607">
        <f t="shared" si="10"/>
        <v>1998</v>
      </c>
      <c r="B337" s="607">
        <f t="shared" si="11"/>
        <v>2</v>
      </c>
      <c r="C337" s="666">
        <v>35916</v>
      </c>
      <c r="D337" s="1709">
        <v>0.63124285714285711</v>
      </c>
      <c r="E337" s="1117">
        <v>190.95727671428568</v>
      </c>
      <c r="F337" s="1117">
        <v>302.51</v>
      </c>
      <c r="G337" s="1117"/>
      <c r="H337" s="1117"/>
      <c r="I337" s="959">
        <v>299.10000000000002</v>
      </c>
      <c r="J337" s="959">
        <v>471.39</v>
      </c>
      <c r="K337" s="960"/>
      <c r="L337" s="1121"/>
      <c r="M337" s="916">
        <v>5023.16</v>
      </c>
      <c r="N337" s="916">
        <v>7957.5712313576396</v>
      </c>
      <c r="O337" s="1174">
        <v>1732.53</v>
      </c>
      <c r="P337" s="1174">
        <v>2744.6330368660465</v>
      </c>
      <c r="Q337" s="1174">
        <v>543.47</v>
      </c>
      <c r="R337" s="1174">
        <v>860.95231629212219</v>
      </c>
      <c r="S337" s="1174">
        <v>1061.1099999999999</v>
      </c>
      <c r="T337" s="1174">
        <v>1680.9853576843868</v>
      </c>
      <c r="U337" s="1120">
        <v>354.75848571428571</v>
      </c>
      <c r="V337" s="1120">
        <v>562</v>
      </c>
      <c r="W337" s="1120">
        <v>1811.0357571428569</v>
      </c>
      <c r="X337" s="1120">
        <v>2869</v>
      </c>
      <c r="Y337" s="1119"/>
      <c r="Z337" s="1119"/>
      <c r="AA337" s="1119"/>
      <c r="AB337" s="1119"/>
      <c r="AC337" s="1178">
        <v>5.56</v>
      </c>
      <c r="AD337" s="1178">
        <v>9.4574565563361048</v>
      </c>
      <c r="AE337" s="1178">
        <v>54274.474999999999</v>
      </c>
      <c r="AF337" s="1178">
        <v>85980.339240047979</v>
      </c>
      <c r="AG337" s="1178">
        <v>389</v>
      </c>
      <c r="AH337" s="1178">
        <v>616.24459682712109</v>
      </c>
      <c r="AI337" s="1178">
        <v>353.36799999999999</v>
      </c>
      <c r="AJ337" s="1178">
        <v>559.79722542829336</v>
      </c>
      <c r="AK337" s="919">
        <v>14.389500045776368</v>
      </c>
      <c r="AL337" s="919">
        <v>22.795505537926218</v>
      </c>
      <c r="AM337" s="919">
        <v>14.492857251848493</v>
      </c>
      <c r="AN337" s="919">
        <v>22.959241578504866</v>
      </c>
      <c r="AO337" s="919"/>
      <c r="AP337" s="919"/>
      <c r="AS337" s="1167"/>
      <c r="AT337" s="1167"/>
      <c r="AU337" s="1168"/>
      <c r="AV337" s="1168"/>
      <c r="AW337" s="1169"/>
      <c r="AX337" s="1169"/>
      <c r="AY337" s="1169"/>
      <c r="AZ337" s="1169"/>
      <c r="BA337" s="1849" t="s">
        <v>1</v>
      </c>
      <c r="BB337" s="1850">
        <v>2005</v>
      </c>
      <c r="BC337" s="1849" t="s">
        <v>18</v>
      </c>
      <c r="BD337" s="1849">
        <v>1</v>
      </c>
      <c r="BE337" s="1851">
        <v>2989028000</v>
      </c>
      <c r="BF337" s="1801">
        <v>0.51649752639918711</v>
      </c>
      <c r="BG337" s="1799"/>
      <c r="BH337" s="1799" t="s">
        <v>280</v>
      </c>
      <c r="BI337" s="1799" t="s">
        <v>316</v>
      </c>
      <c r="BJ337" s="1799" t="s">
        <v>49</v>
      </c>
      <c r="BK337" s="1799">
        <v>9</v>
      </c>
      <c r="BL337" s="1800">
        <v>36031278.690000005</v>
      </c>
      <c r="BM337" s="1801">
        <v>1267.3682268730217</v>
      </c>
      <c r="BN337" s="1799">
        <v>2011</v>
      </c>
      <c r="BO337" s="1684"/>
      <c r="BP337" s="1696"/>
      <c r="BQ337" s="1169"/>
      <c r="BR337" s="1169"/>
      <c r="BS337" s="1169"/>
      <c r="BT337" s="1169"/>
      <c r="BU337" s="1169"/>
      <c r="BV337" s="1169"/>
      <c r="BW337" s="1169"/>
      <c r="BX337" s="1169"/>
      <c r="BY337" s="1169"/>
      <c r="BZ337" s="1169"/>
      <c r="CA337" s="1169"/>
      <c r="CB337" s="1169"/>
      <c r="CC337" s="1169"/>
      <c r="CD337" s="1169"/>
      <c r="CE337" s="1169"/>
      <c r="CF337" s="1169"/>
      <c r="CG337" s="1169"/>
      <c r="CH337" s="1169"/>
      <c r="CI337" s="1169"/>
      <c r="CJ337" s="1169"/>
      <c r="CK337" s="1169"/>
      <c r="CL337" s="1169"/>
      <c r="CM337" s="1169"/>
      <c r="CN337" s="1169"/>
      <c r="CO337" s="1169"/>
      <c r="CP337" s="1169"/>
      <c r="CQ337" s="1169"/>
      <c r="CR337" s="1169"/>
      <c r="CS337" s="1169"/>
      <c r="CT337" s="1169"/>
      <c r="CU337" s="1169"/>
      <c r="CV337" s="1169"/>
      <c r="CW337" s="1169"/>
      <c r="CX337" s="1169"/>
      <c r="CY337" s="1169"/>
      <c r="CZ337" s="1169"/>
      <c r="DA337" s="1168"/>
      <c r="DB337" s="1168"/>
      <c r="DC337" s="1168"/>
      <c r="DD337" s="1168"/>
      <c r="DE337" s="1168"/>
      <c r="DF337" s="1168"/>
      <c r="DG337" s="1168"/>
      <c r="DH337" s="1168"/>
      <c r="DI337" s="1168"/>
      <c r="DJ337" s="1168"/>
      <c r="DK337" s="1168"/>
      <c r="DL337" s="1168"/>
      <c r="DM337" s="1168"/>
      <c r="DN337" s="1168"/>
      <c r="DO337" s="1168"/>
      <c r="DP337" s="1168"/>
      <c r="DQ337" s="1168"/>
      <c r="DR337" s="1168"/>
      <c r="DS337" s="1168"/>
      <c r="DT337" s="1168"/>
      <c r="DU337" s="1168"/>
      <c r="DV337" s="1168"/>
      <c r="DW337" s="1168"/>
      <c r="DX337" s="1168"/>
      <c r="DY337" s="1168"/>
      <c r="DZ337" s="1168"/>
      <c r="EA337" s="1168"/>
      <c r="EB337" s="1168"/>
      <c r="EC337" s="1168"/>
      <c r="ED337" s="1168"/>
      <c r="EE337" s="1168"/>
      <c r="EF337" s="1168"/>
      <c r="EG337" s="1168"/>
      <c r="EH337" s="1168"/>
      <c r="EI337" s="1170"/>
      <c r="EJ337" s="1170"/>
      <c r="EK337" s="1170"/>
      <c r="EL337" s="1170"/>
      <c r="EM337" s="1170"/>
      <c r="EN337" s="1170"/>
      <c r="EO337" s="1170"/>
      <c r="EP337" s="1170"/>
      <c r="EQ337" s="1170"/>
      <c r="ER337" s="1170"/>
      <c r="ES337" s="1171"/>
      <c r="ET337" s="1171"/>
      <c r="EU337" s="1171"/>
      <c r="EV337" s="1171"/>
      <c r="EW337" s="1171"/>
      <c r="EX337" s="1171"/>
      <c r="EY337" s="1171"/>
      <c r="EZ337" s="1171"/>
      <c r="FA337" s="1171"/>
      <c r="FB337" s="1171"/>
      <c r="FC337" s="1171"/>
      <c r="FD337" s="1171"/>
      <c r="FE337" s="1171"/>
      <c r="FF337" s="1171"/>
      <c r="FG337" s="1171"/>
      <c r="FH337" s="1171"/>
      <c r="FI337" s="1171"/>
      <c r="FJ337" s="1171"/>
      <c r="FK337" s="1171"/>
      <c r="FL337" s="1171"/>
      <c r="FM337" s="1171"/>
      <c r="FN337" s="1171"/>
      <c r="FO337" s="1171"/>
      <c r="FP337" s="1171"/>
    </row>
    <row r="338" spans="1:172" s="607" customFormat="1">
      <c r="A338" s="607">
        <f t="shared" si="10"/>
        <v>1998</v>
      </c>
      <c r="B338" s="607">
        <f t="shared" si="11"/>
        <v>2</v>
      </c>
      <c r="C338" s="666">
        <v>35947</v>
      </c>
      <c r="D338" s="957">
        <v>0.6029714285714286</v>
      </c>
      <c r="E338" s="920">
        <v>180.28810251325817</v>
      </c>
      <c r="F338" s="920">
        <v>298.99941186334513</v>
      </c>
      <c r="G338" s="920"/>
      <c r="H338" s="920"/>
      <c r="I338" s="954">
        <v>292.25</v>
      </c>
      <c r="J338" s="954">
        <v>483.85</v>
      </c>
      <c r="K338" s="954"/>
      <c r="L338" s="920"/>
      <c r="M338" s="917">
        <v>4478.6400000000003</v>
      </c>
      <c r="N338" s="917">
        <v>7427.6156178923429</v>
      </c>
      <c r="O338" s="1175">
        <v>1660.52</v>
      </c>
      <c r="P338" s="1175">
        <v>2753.8949962092493</v>
      </c>
      <c r="Q338" s="1175">
        <v>528.32000000000005</v>
      </c>
      <c r="R338" s="1175">
        <v>876.19408642911299</v>
      </c>
      <c r="S338" s="1175">
        <v>1009.82</v>
      </c>
      <c r="T338" s="1175">
        <v>1674.7393858984078</v>
      </c>
      <c r="U338" s="920">
        <v>346.73270248466844</v>
      </c>
      <c r="V338" s="920">
        <v>575.04002023139662</v>
      </c>
      <c r="W338" s="920">
        <v>1812.6306681385281</v>
      </c>
      <c r="X338" s="920">
        <v>3006.1634469696969</v>
      </c>
      <c r="Y338" s="920"/>
      <c r="Z338" s="920"/>
      <c r="AA338" s="920"/>
      <c r="AB338" s="920"/>
      <c r="AC338" s="920">
        <v>5.26</v>
      </c>
      <c r="AD338" s="920">
        <v>9.2748404520391592</v>
      </c>
      <c r="AE338" s="920">
        <v>53151.525000000001</v>
      </c>
      <c r="AF338" s="920">
        <v>88149.325957164518</v>
      </c>
      <c r="AG338" s="920">
        <v>355.20499999999998</v>
      </c>
      <c r="AH338" s="920">
        <v>589.09093062926456</v>
      </c>
      <c r="AI338" s="920">
        <v>286.25</v>
      </c>
      <c r="AJ338" s="920">
        <v>474.73227824109171</v>
      </c>
      <c r="AK338" s="920">
        <v>12.058181806044145</v>
      </c>
      <c r="AL338" s="920">
        <v>19.997932297741897</v>
      </c>
      <c r="AM338" s="920">
        <v>13.701363650235264</v>
      </c>
      <c r="AN338" s="920">
        <v>22.723072770954996</v>
      </c>
      <c r="AO338" s="920"/>
      <c r="AP338" s="920"/>
      <c r="AS338" s="1167"/>
      <c r="AT338" s="1167"/>
      <c r="AU338" s="1168"/>
      <c r="AV338" s="1168"/>
      <c r="AW338" s="1169"/>
      <c r="AX338" s="1169"/>
      <c r="AY338" s="1169"/>
      <c r="AZ338" s="1169"/>
      <c r="BA338" s="1849" t="s">
        <v>1</v>
      </c>
      <c r="BB338" s="1850">
        <v>2005</v>
      </c>
      <c r="BC338" s="1849" t="s">
        <v>28</v>
      </c>
      <c r="BD338" s="1849">
        <v>2</v>
      </c>
      <c r="BE338" s="1851">
        <v>1014756000</v>
      </c>
      <c r="BF338" s="1801">
        <v>0.17534762601713116</v>
      </c>
      <c r="BG338" s="1799"/>
      <c r="BH338" s="1799" t="s">
        <v>280</v>
      </c>
      <c r="BI338" s="1799" t="s">
        <v>316</v>
      </c>
      <c r="BJ338" s="1799" t="s">
        <v>26</v>
      </c>
      <c r="BK338" s="1799">
        <v>10</v>
      </c>
      <c r="BL338" s="1800">
        <v>33679942.100000001</v>
      </c>
      <c r="BM338" s="1801">
        <v>1184.6620506507211</v>
      </c>
      <c r="BN338" s="1799">
        <v>2011</v>
      </c>
      <c r="BO338" s="1684"/>
      <c r="BP338" s="1696"/>
      <c r="BQ338" s="1169"/>
      <c r="BR338" s="1169"/>
      <c r="BS338" s="1169"/>
      <c r="BT338" s="1169"/>
      <c r="BU338" s="1169"/>
      <c r="BV338" s="1169"/>
      <c r="BW338" s="1169"/>
      <c r="BX338" s="1169"/>
      <c r="BY338" s="1169"/>
      <c r="BZ338" s="1169"/>
      <c r="CA338" s="1169"/>
      <c r="CB338" s="1169"/>
      <c r="CC338" s="1169"/>
      <c r="CD338" s="1169"/>
      <c r="CE338" s="1169"/>
      <c r="CF338" s="1169"/>
      <c r="CG338" s="1169"/>
      <c r="CH338" s="1169"/>
      <c r="CI338" s="1169"/>
      <c r="CJ338" s="1169"/>
      <c r="CK338" s="1169"/>
      <c r="CL338" s="1169"/>
      <c r="CM338" s="1169"/>
      <c r="CN338" s="1169"/>
      <c r="CO338" s="1169"/>
      <c r="CP338" s="1169"/>
      <c r="CQ338" s="1169"/>
      <c r="CR338" s="1169"/>
      <c r="CS338" s="1169"/>
      <c r="CT338" s="1169"/>
      <c r="CU338" s="1169"/>
      <c r="CV338" s="1169"/>
      <c r="CW338" s="1169"/>
      <c r="CX338" s="1169"/>
      <c r="CY338" s="1169"/>
      <c r="CZ338" s="1169"/>
      <c r="DA338" s="1168"/>
      <c r="DB338" s="1168"/>
      <c r="DC338" s="1168"/>
      <c r="DD338" s="1168"/>
      <c r="DE338" s="1168"/>
      <c r="DF338" s="1168"/>
      <c r="DG338" s="1168"/>
      <c r="DH338" s="1168"/>
      <c r="DI338" s="1168"/>
      <c r="DJ338" s="1168"/>
      <c r="DK338" s="1168"/>
      <c r="DL338" s="1168"/>
      <c r="DM338" s="1168"/>
      <c r="DN338" s="1168"/>
      <c r="DO338" s="1168"/>
      <c r="DP338" s="1168"/>
      <c r="DQ338" s="1168"/>
      <c r="DR338" s="1168"/>
      <c r="DS338" s="1168"/>
      <c r="DT338" s="1168"/>
      <c r="DU338" s="1168"/>
      <c r="DV338" s="1168"/>
      <c r="DW338" s="1168"/>
      <c r="DX338" s="1168"/>
      <c r="DY338" s="1168"/>
      <c r="DZ338" s="1168"/>
      <c r="EA338" s="1168"/>
      <c r="EB338" s="1168"/>
      <c r="EC338" s="1168"/>
      <c r="ED338" s="1168"/>
      <c r="EE338" s="1168"/>
      <c r="EF338" s="1168"/>
      <c r="EG338" s="1168"/>
      <c r="EH338" s="1168"/>
      <c r="EI338" s="1170"/>
      <c r="EJ338" s="1170"/>
      <c r="EK338" s="1170"/>
      <c r="EL338" s="1170"/>
      <c r="EM338" s="1170"/>
      <c r="EN338" s="1170"/>
      <c r="EO338" s="1170"/>
      <c r="EP338" s="1170"/>
      <c r="EQ338" s="1170"/>
      <c r="ER338" s="1170"/>
      <c r="ES338" s="1171"/>
      <c r="ET338" s="1171"/>
      <c r="EU338" s="1171"/>
      <c r="EV338" s="1171"/>
      <c r="EW338" s="1171"/>
      <c r="EX338" s="1171"/>
      <c r="EY338" s="1171"/>
      <c r="EZ338" s="1171"/>
      <c r="FA338" s="1171"/>
      <c r="FB338" s="1171"/>
      <c r="FC338" s="1171"/>
      <c r="FD338" s="1171"/>
      <c r="FE338" s="1171"/>
      <c r="FF338" s="1171"/>
      <c r="FG338" s="1171"/>
      <c r="FH338" s="1171"/>
      <c r="FI338" s="1171"/>
      <c r="FJ338" s="1171"/>
      <c r="FK338" s="1171"/>
      <c r="FL338" s="1171"/>
      <c r="FM338" s="1171"/>
      <c r="FN338" s="1171"/>
      <c r="FO338" s="1171"/>
      <c r="FP338" s="1171"/>
    </row>
    <row r="339" spans="1:172" s="607" customFormat="1">
      <c r="A339" s="607">
        <f t="shared" si="10"/>
        <v>1998</v>
      </c>
      <c r="B339" s="607">
        <f t="shared" si="11"/>
        <v>3</v>
      </c>
      <c r="C339" s="666">
        <v>35977</v>
      </c>
      <c r="D339" s="1709">
        <v>0.61817826086956518</v>
      </c>
      <c r="E339" s="1117">
        <v>171.80172021350396</v>
      </c>
      <c r="F339" s="1117">
        <v>277.91614666591113</v>
      </c>
      <c r="G339" s="1117"/>
      <c r="H339" s="1117"/>
      <c r="I339" s="959">
        <v>292.77999999999997</v>
      </c>
      <c r="J339" s="959">
        <v>475.01</v>
      </c>
      <c r="K339" s="960"/>
      <c r="L339" s="1121"/>
      <c r="M339" s="916">
        <v>4328.91</v>
      </c>
      <c r="N339" s="916">
        <v>7002.688826214473</v>
      </c>
      <c r="O339" s="1174">
        <v>1651.04</v>
      </c>
      <c r="P339" s="1174">
        <v>2670.8153691421498</v>
      </c>
      <c r="Q339" s="1174">
        <v>546.20000000000005</v>
      </c>
      <c r="R339" s="1174">
        <v>883.5639079764527</v>
      </c>
      <c r="S339" s="1174">
        <v>1040.26</v>
      </c>
      <c r="T339" s="1174">
        <v>1682.7832129468777</v>
      </c>
      <c r="U339" s="1120">
        <v>335.27926292461763</v>
      </c>
      <c r="V339" s="1120">
        <v>542.3666345901496</v>
      </c>
      <c r="W339" s="1120">
        <v>1816.0444655537403</v>
      </c>
      <c r="X339" s="1120">
        <v>2937.7358935255788</v>
      </c>
      <c r="Y339" s="1119"/>
      <c r="Z339" s="1119"/>
      <c r="AA339" s="1119"/>
      <c r="AB339" s="1119"/>
      <c r="AC339" s="1178">
        <v>5.46</v>
      </c>
      <c r="AD339" s="1178">
        <v>9.4362370794283592</v>
      </c>
      <c r="AE339" s="1178">
        <v>49727.525000000001</v>
      </c>
      <c r="AF339" s="1178">
        <v>80442.047460631176</v>
      </c>
      <c r="AG339" s="1178">
        <v>378.435</v>
      </c>
      <c r="AH339" s="1178">
        <v>612.17778746808654</v>
      </c>
      <c r="AI339" s="1178">
        <v>306.21699999999998</v>
      </c>
      <c r="AJ339" s="1178">
        <v>495.3538799136312</v>
      </c>
      <c r="AK339" s="919">
        <v>12.018695706906525</v>
      </c>
      <c r="AL339" s="919">
        <v>19.442119640377413</v>
      </c>
      <c r="AM339" s="919">
        <v>13.819130399952764</v>
      </c>
      <c r="AN339" s="919">
        <v>22.354604286009636</v>
      </c>
      <c r="AO339" s="919"/>
      <c r="AP339" s="919"/>
      <c r="AS339" s="1167"/>
      <c r="AT339" s="1167"/>
      <c r="AU339" s="1168"/>
      <c r="AV339" s="1168"/>
      <c r="AW339" s="1169"/>
      <c r="AX339" s="1169"/>
      <c r="AY339" s="1169"/>
      <c r="AZ339" s="1169"/>
      <c r="BA339" s="1849" t="s">
        <v>1</v>
      </c>
      <c r="BB339" s="1850">
        <v>2005</v>
      </c>
      <c r="BC339" s="1849" t="s">
        <v>51</v>
      </c>
      <c r="BD339" s="1849">
        <v>3</v>
      </c>
      <c r="BE339" s="1851">
        <v>619169000</v>
      </c>
      <c r="BF339" s="1801">
        <v>0.10699105425678793</v>
      </c>
      <c r="BG339" s="1799"/>
      <c r="BH339" s="1799" t="s">
        <v>280</v>
      </c>
      <c r="BI339" s="1799" t="s">
        <v>316</v>
      </c>
      <c r="BJ339" s="1799" t="s">
        <v>583</v>
      </c>
      <c r="BK339" s="1799">
        <v>11</v>
      </c>
      <c r="BL339" s="1800">
        <v>30709465.75</v>
      </c>
      <c r="BM339" s="1801">
        <v>1080.1781832571228</v>
      </c>
      <c r="BN339" s="1799">
        <v>2011</v>
      </c>
      <c r="BO339" s="1684"/>
      <c r="BP339" s="1696"/>
      <c r="BQ339" s="1169"/>
      <c r="BR339" s="1169"/>
      <c r="BS339" s="1169"/>
      <c r="BT339" s="1169"/>
      <c r="BU339" s="1169"/>
      <c r="BV339" s="1169"/>
      <c r="BW339" s="1169"/>
      <c r="BX339" s="1169"/>
      <c r="BY339" s="1169"/>
      <c r="BZ339" s="1169"/>
      <c r="CA339" s="1169"/>
      <c r="CB339" s="1169"/>
      <c r="CC339" s="1169"/>
      <c r="CD339" s="1169"/>
      <c r="CE339" s="1169"/>
      <c r="CF339" s="1169"/>
      <c r="CG339" s="1169"/>
      <c r="CH339" s="1169"/>
      <c r="CI339" s="1169"/>
      <c r="CJ339" s="1169"/>
      <c r="CK339" s="1169"/>
      <c r="CL339" s="1169"/>
      <c r="CM339" s="1169"/>
      <c r="CN339" s="1169"/>
      <c r="CO339" s="1169"/>
      <c r="CP339" s="1169"/>
      <c r="CQ339" s="1169"/>
      <c r="CR339" s="1169"/>
      <c r="CS339" s="1169"/>
      <c r="CT339" s="1169"/>
      <c r="CU339" s="1169"/>
      <c r="CV339" s="1169"/>
      <c r="CW339" s="1169"/>
      <c r="CX339" s="1169"/>
      <c r="CY339" s="1169"/>
      <c r="CZ339" s="1169"/>
      <c r="DA339" s="1168"/>
      <c r="DB339" s="1168"/>
      <c r="DC339" s="1168"/>
      <c r="DD339" s="1168"/>
      <c r="DE339" s="1168"/>
      <c r="DF339" s="1168"/>
      <c r="DG339" s="1168"/>
      <c r="DH339" s="1168"/>
      <c r="DI339" s="1168"/>
      <c r="DJ339" s="1168"/>
      <c r="DK339" s="1168"/>
      <c r="DL339" s="1168"/>
      <c r="DM339" s="1168"/>
      <c r="DN339" s="1168"/>
      <c r="DO339" s="1168"/>
      <c r="DP339" s="1168"/>
      <c r="DQ339" s="1168"/>
      <c r="DR339" s="1168"/>
      <c r="DS339" s="1168"/>
      <c r="DT339" s="1168"/>
      <c r="DU339" s="1168"/>
      <c r="DV339" s="1168"/>
      <c r="DW339" s="1168"/>
      <c r="DX339" s="1168"/>
      <c r="DY339" s="1168"/>
      <c r="DZ339" s="1168"/>
      <c r="EA339" s="1168"/>
      <c r="EB339" s="1168"/>
      <c r="EC339" s="1168"/>
      <c r="ED339" s="1168"/>
      <c r="EE339" s="1168"/>
      <c r="EF339" s="1168"/>
      <c r="EG339" s="1168"/>
      <c r="EH339" s="1168"/>
      <c r="EI339" s="1170"/>
      <c r="EJ339" s="1170"/>
      <c r="EK339" s="1170"/>
      <c r="EL339" s="1170"/>
      <c r="EM339" s="1170"/>
      <c r="EN339" s="1170"/>
      <c r="EO339" s="1170"/>
      <c r="EP339" s="1170"/>
      <c r="EQ339" s="1170"/>
      <c r="ER339" s="1170"/>
      <c r="ES339" s="1171"/>
      <c r="ET339" s="1171"/>
      <c r="EU339" s="1171"/>
      <c r="EV339" s="1171"/>
      <c r="EW339" s="1171"/>
      <c r="EX339" s="1171"/>
      <c r="EY339" s="1171"/>
      <c r="EZ339" s="1171"/>
      <c r="FA339" s="1171"/>
      <c r="FB339" s="1171"/>
      <c r="FC339" s="1171"/>
      <c r="FD339" s="1171"/>
      <c r="FE339" s="1171"/>
      <c r="FF339" s="1171"/>
      <c r="FG339" s="1171"/>
      <c r="FH339" s="1171"/>
      <c r="FI339" s="1171"/>
      <c r="FJ339" s="1171"/>
      <c r="FK339" s="1171"/>
      <c r="FL339" s="1171"/>
      <c r="FM339" s="1171"/>
      <c r="FN339" s="1171"/>
      <c r="FO339" s="1171"/>
      <c r="FP339" s="1171"/>
    </row>
    <row r="340" spans="1:172" s="607" customFormat="1">
      <c r="A340" s="607">
        <f t="shared" si="10"/>
        <v>1998</v>
      </c>
      <c r="B340" s="607">
        <f t="shared" si="11"/>
        <v>3</v>
      </c>
      <c r="C340" s="666">
        <v>36008</v>
      </c>
      <c r="D340" s="957">
        <v>0.59028571428571419</v>
      </c>
      <c r="E340" s="920">
        <v>169.34908474729895</v>
      </c>
      <c r="F340" s="920">
        <v>286.89341559319769</v>
      </c>
      <c r="G340" s="920"/>
      <c r="H340" s="920"/>
      <c r="I340" s="954">
        <v>284.14999999999998</v>
      </c>
      <c r="J340" s="954">
        <v>482.45</v>
      </c>
      <c r="K340" s="954"/>
      <c r="L340" s="920"/>
      <c r="M340" s="917">
        <v>4084</v>
      </c>
      <c r="N340" s="917">
        <v>6918.6834462729921</v>
      </c>
      <c r="O340" s="1175">
        <v>1620.925</v>
      </c>
      <c r="P340" s="1175">
        <v>2746.0007260406587</v>
      </c>
      <c r="Q340" s="1175">
        <v>537</v>
      </c>
      <c r="R340" s="1175">
        <v>909.7289448209101</v>
      </c>
      <c r="S340" s="1175">
        <v>1029.8</v>
      </c>
      <c r="T340" s="1175">
        <v>1744.5788964181995</v>
      </c>
      <c r="U340" s="920">
        <v>325.12468104241583</v>
      </c>
      <c r="V340" s="920">
        <v>550.79205404087884</v>
      </c>
      <c r="W340" s="920">
        <v>1752.3331767554478</v>
      </c>
      <c r="X340" s="920">
        <v>2968.6186440677966</v>
      </c>
      <c r="Y340" s="920"/>
      <c r="Z340" s="920"/>
      <c r="AA340" s="920"/>
      <c r="AB340" s="920"/>
      <c r="AC340" s="920">
        <v>5.18</v>
      </c>
      <c r="AD340" s="920">
        <v>9.3741861848345032</v>
      </c>
      <c r="AE340" s="920">
        <v>48170.5</v>
      </c>
      <c r="AF340" s="920">
        <v>81605.396902226537</v>
      </c>
      <c r="AG340" s="920">
        <v>369.43799999999999</v>
      </c>
      <c r="AH340" s="920">
        <v>625.86302032913852</v>
      </c>
      <c r="AI340" s="920">
        <v>286.35000000000002</v>
      </c>
      <c r="AJ340" s="920">
        <v>485.10406582768644</v>
      </c>
      <c r="AK340" s="920">
        <v>11.880476179577055</v>
      </c>
      <c r="AL340" s="920">
        <v>20.126653740813019</v>
      </c>
      <c r="AM340" s="920">
        <v>13.142857233683268</v>
      </c>
      <c r="AN340" s="920">
        <v>22.26524700769189</v>
      </c>
      <c r="AO340" s="920"/>
      <c r="AP340" s="920"/>
      <c r="AS340" s="1167"/>
      <c r="AT340" s="1167"/>
      <c r="AU340" s="1168"/>
      <c r="AV340" s="1168"/>
      <c r="AW340" s="1169"/>
      <c r="AX340" s="1169"/>
      <c r="AY340" s="1169"/>
      <c r="AZ340" s="1169"/>
      <c r="BA340" s="1849" t="s">
        <v>1</v>
      </c>
      <c r="BB340" s="1850">
        <v>2005</v>
      </c>
      <c r="BC340" s="1849" t="s">
        <v>20</v>
      </c>
      <c r="BD340" s="1849">
        <v>4</v>
      </c>
      <c r="BE340" s="1851">
        <v>334626000</v>
      </c>
      <c r="BF340" s="1801">
        <v>5.7822643772107322E-2</v>
      </c>
      <c r="BG340" s="1799"/>
      <c r="BH340" s="1799" t="s">
        <v>280</v>
      </c>
      <c r="BI340" s="1799" t="s">
        <v>316</v>
      </c>
      <c r="BJ340" s="1799" t="s">
        <v>18</v>
      </c>
      <c r="BK340" s="1799">
        <v>12</v>
      </c>
      <c r="BL340" s="1800">
        <v>29012713.109999999</v>
      </c>
      <c r="BM340" s="1801">
        <v>1020.4964161097432</v>
      </c>
      <c r="BN340" s="1799">
        <v>2011</v>
      </c>
      <c r="BO340" s="1684"/>
      <c r="BP340" s="1696"/>
      <c r="BQ340" s="1169"/>
      <c r="BR340" s="1169"/>
      <c r="BS340" s="1169"/>
      <c r="BT340" s="1169"/>
      <c r="BU340" s="1169"/>
      <c r="BV340" s="1169"/>
      <c r="BW340" s="1169"/>
      <c r="BX340" s="1169"/>
      <c r="BY340" s="1169"/>
      <c r="BZ340" s="1169"/>
      <c r="CA340" s="1169"/>
      <c r="CB340" s="1169"/>
      <c r="CC340" s="1169"/>
      <c r="CD340" s="1169"/>
      <c r="CE340" s="1169"/>
      <c r="CF340" s="1169"/>
      <c r="CG340" s="1169"/>
      <c r="CH340" s="1169"/>
      <c r="CI340" s="1169"/>
      <c r="CJ340" s="1169"/>
      <c r="CK340" s="1169"/>
      <c r="CL340" s="1169"/>
      <c r="CM340" s="1169"/>
      <c r="CN340" s="1169"/>
      <c r="CO340" s="1169"/>
      <c r="CP340" s="1169"/>
      <c r="CQ340" s="1169"/>
      <c r="CR340" s="1169"/>
      <c r="CS340" s="1169"/>
      <c r="CT340" s="1169"/>
      <c r="CU340" s="1169"/>
      <c r="CV340" s="1169"/>
      <c r="CW340" s="1169"/>
      <c r="CX340" s="1169"/>
      <c r="CY340" s="1169"/>
      <c r="CZ340" s="1169"/>
      <c r="DA340" s="1168"/>
      <c r="DB340" s="1168"/>
      <c r="DC340" s="1168"/>
      <c r="DD340" s="1168"/>
      <c r="DE340" s="1168"/>
      <c r="DF340" s="1168"/>
      <c r="DG340" s="1168"/>
      <c r="DH340" s="1168"/>
      <c r="DI340" s="1168"/>
      <c r="DJ340" s="1168"/>
      <c r="DK340" s="1168"/>
      <c r="DL340" s="1168"/>
      <c r="DM340" s="1168"/>
      <c r="DN340" s="1168"/>
      <c r="DO340" s="1168"/>
      <c r="DP340" s="1168"/>
      <c r="DQ340" s="1168"/>
      <c r="DR340" s="1168"/>
      <c r="DS340" s="1168"/>
      <c r="DT340" s="1168"/>
      <c r="DU340" s="1168"/>
      <c r="DV340" s="1168"/>
      <c r="DW340" s="1168"/>
      <c r="DX340" s="1168"/>
      <c r="DY340" s="1168"/>
      <c r="DZ340" s="1168"/>
      <c r="EA340" s="1168"/>
      <c r="EB340" s="1168"/>
      <c r="EC340" s="1168"/>
      <c r="ED340" s="1168"/>
      <c r="EE340" s="1168"/>
      <c r="EF340" s="1168"/>
      <c r="EG340" s="1168"/>
      <c r="EH340" s="1168"/>
      <c r="EI340" s="1170"/>
      <c r="EJ340" s="1170"/>
      <c r="EK340" s="1170"/>
      <c r="EL340" s="1170"/>
      <c r="EM340" s="1170"/>
      <c r="EN340" s="1170"/>
      <c r="EO340" s="1170"/>
      <c r="EP340" s="1170"/>
      <c r="EQ340" s="1170"/>
      <c r="ER340" s="1170"/>
      <c r="ES340" s="1171"/>
      <c r="ET340" s="1171"/>
      <c r="EU340" s="1171"/>
      <c r="EV340" s="1171"/>
      <c r="EW340" s="1171"/>
      <c r="EX340" s="1171"/>
      <c r="EY340" s="1171"/>
      <c r="EZ340" s="1171"/>
      <c r="FA340" s="1171"/>
      <c r="FB340" s="1171"/>
      <c r="FC340" s="1171"/>
      <c r="FD340" s="1171"/>
      <c r="FE340" s="1171"/>
      <c r="FF340" s="1171"/>
      <c r="FG340" s="1171"/>
      <c r="FH340" s="1171"/>
      <c r="FI340" s="1171"/>
      <c r="FJ340" s="1171"/>
      <c r="FK340" s="1171"/>
      <c r="FL340" s="1171"/>
      <c r="FM340" s="1171"/>
      <c r="FN340" s="1171"/>
      <c r="FO340" s="1171"/>
      <c r="FP340" s="1171"/>
    </row>
    <row r="341" spans="1:172" s="607" customFormat="1">
      <c r="A341" s="607">
        <f t="shared" si="10"/>
        <v>1998</v>
      </c>
      <c r="B341" s="607">
        <f t="shared" si="11"/>
        <v>3</v>
      </c>
      <c r="C341" s="666">
        <v>36039</v>
      </c>
      <c r="D341" s="1709">
        <v>0.58888636363636371</v>
      </c>
      <c r="E341" s="1117">
        <v>169.74967659805293</v>
      </c>
      <c r="F341" s="1117">
        <v>288.25540389465198</v>
      </c>
      <c r="G341" s="1117"/>
      <c r="H341" s="1117"/>
      <c r="I341" s="959">
        <v>289.98888888888882</v>
      </c>
      <c r="J341" s="959">
        <v>490.66</v>
      </c>
      <c r="K341" s="960"/>
      <c r="L341" s="1121"/>
      <c r="M341" s="916">
        <v>4105.68</v>
      </c>
      <c r="N341" s="916">
        <v>6971.9393307861519</v>
      </c>
      <c r="O341" s="1174">
        <v>1647.64</v>
      </c>
      <c r="P341" s="1174">
        <v>2797.8912431013855</v>
      </c>
      <c r="Q341" s="1174">
        <v>520.16</v>
      </c>
      <c r="R341" s="1174">
        <v>883.2943537493727</v>
      </c>
      <c r="S341" s="1174">
        <v>1000.36</v>
      </c>
      <c r="T341" s="1174">
        <v>1698.7318127436222</v>
      </c>
      <c r="U341" s="1120">
        <v>352.53593357182467</v>
      </c>
      <c r="V341" s="1120">
        <v>598.64849203659776</v>
      </c>
      <c r="W341" s="1120">
        <v>1856.7840084736306</v>
      </c>
      <c r="X341" s="1120">
        <v>3153.042969118897</v>
      </c>
      <c r="Y341" s="1119"/>
      <c r="Z341" s="1119"/>
      <c r="AA341" s="1119"/>
      <c r="AB341" s="1119"/>
      <c r="AC341" s="1178">
        <v>5.0068055555555553</v>
      </c>
      <c r="AD341" s="1178">
        <v>9.0099184979182407</v>
      </c>
      <c r="AE341" s="1178">
        <v>45538.774999999994</v>
      </c>
      <c r="AF341" s="1178">
        <v>77330.326888194177</v>
      </c>
      <c r="AG341" s="1178">
        <v>359.80700000000002</v>
      </c>
      <c r="AH341" s="1178">
        <v>610.99563891783407</v>
      </c>
      <c r="AI341" s="1178">
        <v>283.31799999999998</v>
      </c>
      <c r="AJ341" s="1178">
        <v>481.10810080660713</v>
      </c>
      <c r="AK341" s="919">
        <v>13.359090978449041</v>
      </c>
      <c r="AL341" s="919">
        <v>22.685346109828171</v>
      </c>
      <c r="AM341" s="919">
        <v>13.674999930641867</v>
      </c>
      <c r="AN341" s="919">
        <v>23.22179757432141</v>
      </c>
      <c r="AO341" s="919"/>
      <c r="AP341" s="919"/>
      <c r="AS341" s="1167"/>
      <c r="AT341" s="1167"/>
      <c r="AU341" s="1168"/>
      <c r="AV341" s="1168"/>
      <c r="AW341" s="1169"/>
      <c r="AX341" s="1169"/>
      <c r="AY341" s="1169"/>
      <c r="AZ341" s="1169"/>
      <c r="BA341" s="1849" t="s">
        <v>1</v>
      </c>
      <c r="BB341" s="1850">
        <v>2005</v>
      </c>
      <c r="BC341" s="1849" t="s">
        <v>49</v>
      </c>
      <c r="BD341" s="1849">
        <v>5</v>
      </c>
      <c r="BE341" s="1851">
        <v>279758000</v>
      </c>
      <c r="BF341" s="1801">
        <v>4.8341572909448759E-2</v>
      </c>
      <c r="BG341" s="1799"/>
      <c r="BH341" s="1799" t="s">
        <v>280</v>
      </c>
      <c r="BI341" s="1799" t="s">
        <v>316</v>
      </c>
      <c r="BJ341" s="1799" t="s">
        <v>47</v>
      </c>
      <c r="BK341" s="1799">
        <v>13</v>
      </c>
      <c r="BL341" s="1800">
        <v>24654951.309999999</v>
      </c>
      <c r="BM341" s="1801">
        <v>867.21601512486802</v>
      </c>
      <c r="BN341" s="1799">
        <v>2011</v>
      </c>
      <c r="BO341" s="1684"/>
      <c r="BP341" s="1696"/>
      <c r="BQ341" s="1169"/>
      <c r="BR341" s="1169"/>
      <c r="BS341" s="1169"/>
      <c r="BT341" s="1169"/>
      <c r="BU341" s="1169"/>
      <c r="BV341" s="1169"/>
      <c r="BW341" s="1169"/>
      <c r="BX341" s="1169"/>
      <c r="BY341" s="1169"/>
      <c r="BZ341" s="1169"/>
      <c r="CA341" s="1169"/>
      <c r="CB341" s="1169"/>
      <c r="CC341" s="1169"/>
      <c r="CD341" s="1169"/>
      <c r="CE341" s="1169"/>
      <c r="CF341" s="1169"/>
      <c r="CG341" s="1169"/>
      <c r="CH341" s="1169"/>
      <c r="CI341" s="1169"/>
      <c r="CJ341" s="1169"/>
      <c r="CK341" s="1169"/>
      <c r="CL341" s="1169"/>
      <c r="CM341" s="1169"/>
      <c r="CN341" s="1169"/>
      <c r="CO341" s="1169"/>
      <c r="CP341" s="1169"/>
      <c r="CQ341" s="1169"/>
      <c r="CR341" s="1169"/>
      <c r="CS341" s="1169"/>
      <c r="CT341" s="1169"/>
      <c r="CU341" s="1169"/>
      <c r="CV341" s="1169"/>
      <c r="CW341" s="1169"/>
      <c r="CX341" s="1169"/>
      <c r="CY341" s="1169"/>
      <c r="CZ341" s="1169"/>
      <c r="DA341" s="1168"/>
      <c r="DB341" s="1168"/>
      <c r="DC341" s="1168"/>
      <c r="DD341" s="1168"/>
      <c r="DE341" s="1168"/>
      <c r="DF341" s="1168"/>
      <c r="DG341" s="1168"/>
      <c r="DH341" s="1168"/>
      <c r="DI341" s="1168"/>
      <c r="DJ341" s="1168"/>
      <c r="DK341" s="1168"/>
      <c r="DL341" s="1168"/>
      <c r="DM341" s="1168"/>
      <c r="DN341" s="1168"/>
      <c r="DO341" s="1168"/>
      <c r="DP341" s="1168"/>
      <c r="DQ341" s="1168"/>
      <c r="DR341" s="1168"/>
      <c r="DS341" s="1168"/>
      <c r="DT341" s="1168"/>
      <c r="DU341" s="1168"/>
      <c r="DV341" s="1168"/>
      <c r="DW341" s="1168"/>
      <c r="DX341" s="1168"/>
      <c r="DY341" s="1168"/>
      <c r="DZ341" s="1168"/>
      <c r="EA341" s="1168"/>
      <c r="EB341" s="1168"/>
      <c r="EC341" s="1168"/>
      <c r="ED341" s="1168"/>
      <c r="EE341" s="1168"/>
      <c r="EF341" s="1168"/>
      <c r="EG341" s="1168"/>
      <c r="EH341" s="1168"/>
      <c r="EI341" s="1170"/>
      <c r="EJ341" s="1170"/>
      <c r="EK341" s="1170"/>
      <c r="EL341" s="1170"/>
      <c r="EM341" s="1170"/>
      <c r="EN341" s="1170"/>
      <c r="EO341" s="1170"/>
      <c r="EP341" s="1170"/>
      <c r="EQ341" s="1170"/>
      <c r="ER341" s="1170"/>
      <c r="ES341" s="1171"/>
      <c r="ET341" s="1171"/>
      <c r="EU341" s="1171"/>
      <c r="EV341" s="1171"/>
      <c r="EW341" s="1171"/>
      <c r="EX341" s="1171"/>
      <c r="EY341" s="1171"/>
      <c r="EZ341" s="1171"/>
      <c r="FA341" s="1171"/>
      <c r="FB341" s="1171"/>
      <c r="FC341" s="1171"/>
      <c r="FD341" s="1171"/>
      <c r="FE341" s="1171"/>
      <c r="FF341" s="1171"/>
      <c r="FG341" s="1171"/>
      <c r="FH341" s="1171"/>
      <c r="FI341" s="1171"/>
      <c r="FJ341" s="1171"/>
      <c r="FK341" s="1171"/>
      <c r="FL341" s="1171"/>
      <c r="FM341" s="1171"/>
      <c r="FN341" s="1171"/>
      <c r="FO341" s="1171"/>
      <c r="FP341" s="1171"/>
    </row>
    <row r="342" spans="1:172" s="607" customFormat="1">
      <c r="A342" s="607">
        <f t="shared" si="10"/>
        <v>1998</v>
      </c>
      <c r="B342" s="607">
        <f t="shared" si="11"/>
        <v>4</v>
      </c>
      <c r="C342" s="666">
        <v>36069</v>
      </c>
      <c r="D342" s="957">
        <v>0.61792272727272735</v>
      </c>
      <c r="E342" s="920">
        <v>166.11227757659555</v>
      </c>
      <c r="F342" s="920">
        <v>268.82370601539628</v>
      </c>
      <c r="G342" s="920"/>
      <c r="H342" s="920"/>
      <c r="I342" s="954">
        <v>296.31</v>
      </c>
      <c r="J342" s="954">
        <v>472.16</v>
      </c>
      <c r="K342" s="954"/>
      <c r="L342" s="920"/>
      <c r="M342" s="917">
        <v>3875</v>
      </c>
      <c r="N342" s="917">
        <v>6271.0106441670396</v>
      </c>
      <c r="O342" s="1175">
        <v>1586.4090000000001</v>
      </c>
      <c r="P342" s="1175">
        <v>2567.3258645167457</v>
      </c>
      <c r="Q342" s="1175">
        <v>492.81799999999998</v>
      </c>
      <c r="R342" s="1175">
        <v>797.53985126119028</v>
      </c>
      <c r="S342" s="1175">
        <v>940.45500000000004</v>
      </c>
      <c r="T342" s="1175">
        <v>1521.9621458993843</v>
      </c>
      <c r="U342" s="920">
        <v>321.95391287507141</v>
      </c>
      <c r="V342" s="920">
        <v>521.02617150214212</v>
      </c>
      <c r="W342" s="920">
        <v>1851.4180575491</v>
      </c>
      <c r="X342" s="920">
        <v>2996.1967343725087</v>
      </c>
      <c r="Y342" s="920"/>
      <c r="Z342" s="920"/>
      <c r="AA342" s="920"/>
      <c r="AB342" s="920"/>
      <c r="AC342" s="920">
        <v>5</v>
      </c>
      <c r="AD342" s="920">
        <v>8.6761939974600928</v>
      </c>
      <c r="AE342" s="920">
        <v>40619.724999999999</v>
      </c>
      <c r="AF342" s="920">
        <v>65735.929764680768</v>
      </c>
      <c r="AG342" s="920">
        <v>342.30700000000002</v>
      </c>
      <c r="AH342" s="920">
        <v>553.96408788977726</v>
      </c>
      <c r="AI342" s="920">
        <v>278.26100000000002</v>
      </c>
      <c r="AJ342" s="920">
        <v>450.31682396298447</v>
      </c>
      <c r="AK342" s="920">
        <v>12.562272722070867</v>
      </c>
      <c r="AL342" s="920">
        <v>20.329844117428557</v>
      </c>
      <c r="AM342" s="920">
        <v>14.424999973990701</v>
      </c>
      <c r="AN342" s="920">
        <v>23.344342807485152</v>
      </c>
      <c r="AO342" s="920"/>
      <c r="AP342" s="920"/>
      <c r="AS342" s="1167"/>
      <c r="AT342" s="1167"/>
      <c r="AU342" s="1168"/>
      <c r="AV342" s="1168"/>
      <c r="AW342" s="1169"/>
      <c r="AX342" s="1169"/>
      <c r="AY342" s="1169"/>
      <c r="AZ342" s="1169"/>
      <c r="BA342" s="1849" t="s">
        <v>1</v>
      </c>
      <c r="BB342" s="1850">
        <v>2005</v>
      </c>
      <c r="BC342" s="1849" t="s">
        <v>581</v>
      </c>
      <c r="BD342" s="1849">
        <v>6</v>
      </c>
      <c r="BE342" s="1851">
        <v>137918000</v>
      </c>
      <c r="BF342" s="1801">
        <v>2.3831929927027481E-2</v>
      </c>
      <c r="BG342" s="1799"/>
      <c r="BH342" s="1799" t="s">
        <v>280</v>
      </c>
      <c r="BI342" s="1799" t="s">
        <v>316</v>
      </c>
      <c r="BJ342" s="1799" t="s">
        <v>32</v>
      </c>
      <c r="BK342" s="1799"/>
      <c r="BL342" s="1800">
        <v>91749656.140000105</v>
      </c>
      <c r="BM342" s="1801">
        <v>3227.2126676046469</v>
      </c>
      <c r="BN342" s="1799">
        <v>2011</v>
      </c>
      <c r="BO342" s="1684"/>
      <c r="BP342" s="1696"/>
      <c r="BQ342" s="1169"/>
      <c r="BR342" s="1169"/>
      <c r="BS342" s="1169"/>
      <c r="BT342" s="1169"/>
      <c r="BU342" s="1169"/>
      <c r="BV342" s="1169"/>
      <c r="BW342" s="1169"/>
      <c r="BX342" s="1169"/>
      <c r="BY342" s="1169"/>
      <c r="BZ342" s="1169"/>
      <c r="CA342" s="1169"/>
      <c r="CB342" s="1169"/>
      <c r="CC342" s="1169"/>
      <c r="CD342" s="1169"/>
      <c r="CE342" s="1169"/>
      <c r="CF342" s="1169"/>
      <c r="CG342" s="1169"/>
      <c r="CH342" s="1169"/>
      <c r="CI342" s="1169"/>
      <c r="CJ342" s="1169"/>
      <c r="CK342" s="1169"/>
      <c r="CL342" s="1169"/>
      <c r="CM342" s="1169"/>
      <c r="CN342" s="1169"/>
      <c r="CO342" s="1169"/>
      <c r="CP342" s="1169"/>
      <c r="CQ342" s="1169"/>
      <c r="CR342" s="1169"/>
      <c r="CS342" s="1169"/>
      <c r="CT342" s="1169"/>
      <c r="CU342" s="1169"/>
      <c r="CV342" s="1169"/>
      <c r="CW342" s="1169"/>
      <c r="CX342" s="1169"/>
      <c r="CY342" s="1169"/>
      <c r="CZ342" s="1169"/>
      <c r="DA342" s="1168"/>
      <c r="DB342" s="1168"/>
      <c r="DC342" s="1168"/>
      <c r="DD342" s="1168"/>
      <c r="DE342" s="1168"/>
      <c r="DF342" s="1168"/>
      <c r="DG342" s="1168"/>
      <c r="DH342" s="1168"/>
      <c r="DI342" s="1168"/>
      <c r="DJ342" s="1168"/>
      <c r="DK342" s="1168"/>
      <c r="DL342" s="1168"/>
      <c r="DM342" s="1168"/>
      <c r="DN342" s="1168"/>
      <c r="DO342" s="1168"/>
      <c r="DP342" s="1168"/>
      <c r="DQ342" s="1168"/>
      <c r="DR342" s="1168"/>
      <c r="DS342" s="1168"/>
      <c r="DT342" s="1168"/>
      <c r="DU342" s="1168"/>
      <c r="DV342" s="1168"/>
      <c r="DW342" s="1168"/>
      <c r="DX342" s="1168"/>
      <c r="DY342" s="1168"/>
      <c r="DZ342" s="1168"/>
      <c r="EA342" s="1168"/>
      <c r="EB342" s="1168"/>
      <c r="EC342" s="1168"/>
      <c r="ED342" s="1168"/>
      <c r="EE342" s="1168"/>
      <c r="EF342" s="1168"/>
      <c r="EG342" s="1168"/>
      <c r="EH342" s="1168"/>
      <c r="EI342" s="1170"/>
      <c r="EJ342" s="1170"/>
      <c r="EK342" s="1170"/>
      <c r="EL342" s="1170"/>
      <c r="EM342" s="1170"/>
      <c r="EN342" s="1170"/>
      <c r="EO342" s="1170"/>
      <c r="EP342" s="1170"/>
      <c r="EQ342" s="1170"/>
      <c r="ER342" s="1170"/>
      <c r="ES342" s="1171"/>
      <c r="ET342" s="1171"/>
      <c r="EU342" s="1171"/>
      <c r="EV342" s="1171"/>
      <c r="EW342" s="1171"/>
      <c r="EX342" s="1171"/>
      <c r="EY342" s="1171"/>
      <c r="EZ342" s="1171"/>
      <c r="FA342" s="1171"/>
      <c r="FB342" s="1171"/>
      <c r="FC342" s="1171"/>
      <c r="FD342" s="1171"/>
      <c r="FE342" s="1171"/>
      <c r="FF342" s="1171"/>
      <c r="FG342" s="1171"/>
      <c r="FH342" s="1171"/>
      <c r="FI342" s="1171"/>
      <c r="FJ342" s="1171"/>
      <c r="FK342" s="1171"/>
      <c r="FL342" s="1171"/>
      <c r="FM342" s="1171"/>
      <c r="FN342" s="1171"/>
      <c r="FO342" s="1171"/>
      <c r="FP342" s="1171"/>
    </row>
    <row r="343" spans="1:172" s="607" customFormat="1">
      <c r="A343" s="607">
        <f t="shared" si="10"/>
        <v>1998</v>
      </c>
      <c r="B343" s="607">
        <f t="shared" si="11"/>
        <v>4</v>
      </c>
      <c r="C343" s="666">
        <v>36100</v>
      </c>
      <c r="D343" s="1709">
        <v>0.63421904761904768</v>
      </c>
      <c r="E343" s="1117">
        <v>191.9446600963534</v>
      </c>
      <c r="F343" s="1117">
        <v>302.64726487944836</v>
      </c>
      <c r="G343" s="1117"/>
      <c r="H343" s="1117"/>
      <c r="I343" s="959">
        <v>294.72000000000003</v>
      </c>
      <c r="J343" s="959">
        <v>464.51</v>
      </c>
      <c r="K343" s="960"/>
      <c r="L343" s="1121"/>
      <c r="M343" s="916">
        <v>4135.24</v>
      </c>
      <c r="N343" s="916">
        <v>6520.2078296517639</v>
      </c>
      <c r="O343" s="1174">
        <v>1573.95</v>
      </c>
      <c r="P343" s="1174">
        <v>2481.7135434655293</v>
      </c>
      <c r="Q343" s="1174">
        <v>494.17</v>
      </c>
      <c r="R343" s="1174">
        <v>779.17874251047397</v>
      </c>
      <c r="S343" s="1174">
        <v>967.12</v>
      </c>
      <c r="T343" s="1174">
        <v>1524.8990134098176</v>
      </c>
      <c r="U343" s="1120">
        <v>344.06029257305454</v>
      </c>
      <c r="V343" s="1120">
        <v>542.49441713349336</v>
      </c>
      <c r="W343" s="1120">
        <v>1850.4007832304105</v>
      </c>
      <c r="X343" s="1120">
        <v>2917.6051873198849</v>
      </c>
      <c r="Y343" s="1119"/>
      <c r="Z343" s="1119"/>
      <c r="AA343" s="1119"/>
      <c r="AB343" s="1119"/>
      <c r="AC343" s="1178">
        <v>4.9774000000000003</v>
      </c>
      <c r="AD343" s="1178">
        <v>8.3736556979118095</v>
      </c>
      <c r="AE343" s="1178">
        <v>32779.65</v>
      </c>
      <c r="AF343" s="1178">
        <v>51685.06074212004</v>
      </c>
      <c r="AG343" s="1178">
        <v>347.17899999999997</v>
      </c>
      <c r="AH343" s="1178">
        <v>547.41181505563634</v>
      </c>
      <c r="AI343" s="1178">
        <v>277.86900000000003</v>
      </c>
      <c r="AJ343" s="1178">
        <v>438.12780622587962</v>
      </c>
      <c r="AK343" s="919">
        <v>10.924761908394951</v>
      </c>
      <c r="AL343" s="919">
        <v>17.225534221036291</v>
      </c>
      <c r="AM343" s="919">
        <v>12.956666673932757</v>
      </c>
      <c r="AN343" s="919">
        <v>20.429324414922579</v>
      </c>
      <c r="AO343" s="919"/>
      <c r="AP343" s="919"/>
      <c r="AS343" s="1167"/>
      <c r="AT343" s="1167"/>
      <c r="AU343" s="1168"/>
      <c r="AV343" s="1168"/>
      <c r="AW343" s="1169"/>
      <c r="AX343" s="1169"/>
      <c r="AY343" s="1169"/>
      <c r="AZ343" s="1169"/>
      <c r="BA343" s="1849" t="s">
        <v>1</v>
      </c>
      <c r="BB343" s="1850">
        <v>2005</v>
      </c>
      <c r="BC343" s="1849" t="s">
        <v>77</v>
      </c>
      <c r="BD343" s="1849">
        <v>7</v>
      </c>
      <c r="BE343" s="1851">
        <v>116184000</v>
      </c>
      <c r="BF343" s="1801">
        <v>2.0076342077479086E-2</v>
      </c>
      <c r="BG343" s="1799"/>
      <c r="BH343" s="1799" t="s">
        <v>280</v>
      </c>
      <c r="BI343" s="1799" t="s">
        <v>316</v>
      </c>
      <c r="BJ343" s="1799" t="s">
        <v>249</v>
      </c>
      <c r="BK343" s="1799"/>
      <c r="BL343" s="1800">
        <v>1326522659.47</v>
      </c>
      <c r="BM343" s="1801"/>
      <c r="BN343" s="1799">
        <v>2011</v>
      </c>
      <c r="BO343" s="1684"/>
      <c r="BP343" s="1696"/>
      <c r="BQ343" s="1169"/>
      <c r="BR343" s="1169"/>
      <c r="BS343" s="1169"/>
      <c r="BT343" s="1169"/>
      <c r="BU343" s="1169"/>
      <c r="BV343" s="1169"/>
      <c r="BW343" s="1169"/>
      <c r="BX343" s="1169"/>
      <c r="BY343" s="1169"/>
      <c r="BZ343" s="1169"/>
      <c r="CA343" s="1169"/>
      <c r="CB343" s="1169"/>
      <c r="CC343" s="1169"/>
      <c r="CD343" s="1169"/>
      <c r="CE343" s="1169"/>
      <c r="CF343" s="1169"/>
      <c r="CG343" s="1169"/>
      <c r="CH343" s="1169"/>
      <c r="CI343" s="1169"/>
      <c r="CJ343" s="1169"/>
      <c r="CK343" s="1169"/>
      <c r="CL343" s="1169"/>
      <c r="CM343" s="1169"/>
      <c r="CN343" s="1169"/>
      <c r="CO343" s="1169"/>
      <c r="CP343" s="1169"/>
      <c r="CQ343" s="1169"/>
      <c r="CR343" s="1169"/>
      <c r="CS343" s="1169"/>
      <c r="CT343" s="1169"/>
      <c r="CU343" s="1169"/>
      <c r="CV343" s="1169"/>
      <c r="CW343" s="1169"/>
      <c r="CX343" s="1169"/>
      <c r="CY343" s="1169"/>
      <c r="CZ343" s="1169"/>
      <c r="DA343" s="1168"/>
      <c r="DB343" s="1168"/>
      <c r="DC343" s="1168"/>
      <c r="DD343" s="1168"/>
      <c r="DE343" s="1168"/>
      <c r="DF343" s="1168"/>
      <c r="DG343" s="1168"/>
      <c r="DH343" s="1168"/>
      <c r="DI343" s="1168"/>
      <c r="DJ343" s="1168"/>
      <c r="DK343" s="1168"/>
      <c r="DL343" s="1168"/>
      <c r="DM343" s="1168"/>
      <c r="DN343" s="1168"/>
      <c r="DO343" s="1168"/>
      <c r="DP343" s="1168"/>
      <c r="DQ343" s="1168"/>
      <c r="DR343" s="1168"/>
      <c r="DS343" s="1168"/>
      <c r="DT343" s="1168"/>
      <c r="DU343" s="1168"/>
      <c r="DV343" s="1168"/>
      <c r="DW343" s="1168"/>
      <c r="DX343" s="1168"/>
      <c r="DY343" s="1168"/>
      <c r="DZ343" s="1168"/>
      <c r="EA343" s="1168"/>
      <c r="EB343" s="1168"/>
      <c r="EC343" s="1168"/>
      <c r="ED343" s="1168"/>
      <c r="EE343" s="1168"/>
      <c r="EF343" s="1168"/>
      <c r="EG343" s="1168"/>
      <c r="EH343" s="1168"/>
      <c r="EI343" s="1170"/>
      <c r="EJ343" s="1170"/>
      <c r="EK343" s="1170"/>
      <c r="EL343" s="1170"/>
      <c r="EM343" s="1170"/>
      <c r="EN343" s="1170"/>
      <c r="EO343" s="1170"/>
      <c r="EP343" s="1170"/>
      <c r="EQ343" s="1170"/>
      <c r="ER343" s="1170"/>
      <c r="ES343" s="1171"/>
      <c r="ET343" s="1171"/>
      <c r="EU343" s="1171"/>
      <c r="EV343" s="1171"/>
      <c r="EW343" s="1171"/>
      <c r="EX343" s="1171"/>
      <c r="EY343" s="1171"/>
      <c r="EZ343" s="1171"/>
      <c r="FA343" s="1171"/>
      <c r="FB343" s="1171"/>
      <c r="FC343" s="1171"/>
      <c r="FD343" s="1171"/>
      <c r="FE343" s="1171"/>
      <c r="FF343" s="1171"/>
      <c r="FG343" s="1171"/>
      <c r="FH343" s="1171"/>
      <c r="FI343" s="1171"/>
      <c r="FJ343" s="1171"/>
      <c r="FK343" s="1171"/>
      <c r="FL343" s="1171"/>
      <c r="FM343" s="1171"/>
      <c r="FN343" s="1171"/>
      <c r="FO343" s="1171"/>
      <c r="FP343" s="1171"/>
    </row>
    <row r="344" spans="1:172" s="607" customFormat="1">
      <c r="A344" s="607">
        <f t="shared" si="10"/>
        <v>1998</v>
      </c>
      <c r="B344" s="607">
        <f t="shared" si="11"/>
        <v>4</v>
      </c>
      <c r="C344" s="666">
        <v>36130</v>
      </c>
      <c r="D344" s="957">
        <v>0.61919523809523813</v>
      </c>
      <c r="E344" s="920">
        <v>170.86679895878035</v>
      </c>
      <c r="F344" s="920">
        <v>275.94979490539851</v>
      </c>
      <c r="G344" s="920"/>
      <c r="H344" s="920"/>
      <c r="I344" s="954">
        <v>291.64999999999998</v>
      </c>
      <c r="J344" s="954">
        <v>471.37</v>
      </c>
      <c r="K344" s="954"/>
      <c r="L344" s="920"/>
      <c r="M344" s="917">
        <v>3881.19</v>
      </c>
      <c r="N344" s="917">
        <v>6268.119909867647</v>
      </c>
      <c r="O344" s="1175">
        <v>1473.548</v>
      </c>
      <c r="P344" s="1175">
        <v>2379.7792834016504</v>
      </c>
      <c r="Q344" s="1175">
        <v>501.262</v>
      </c>
      <c r="R344" s="1175">
        <v>809.53787942875158</v>
      </c>
      <c r="S344" s="1175">
        <v>959.19</v>
      </c>
      <c r="T344" s="1175">
        <v>1549.0913705193377</v>
      </c>
      <c r="U344" s="920">
        <v>343.66580965650968</v>
      </c>
      <c r="V344" s="920">
        <v>555.02011080332409</v>
      </c>
      <c r="W344" s="920">
        <v>1862.3148401821438</v>
      </c>
      <c r="X344" s="920">
        <v>3007.6375359587341</v>
      </c>
      <c r="Y344" s="920"/>
      <c r="Z344" s="920"/>
      <c r="AA344" s="920"/>
      <c r="AB344" s="920"/>
      <c r="AC344" s="920">
        <v>4.87</v>
      </c>
      <c r="AD344" s="920">
        <v>8.3720481617824358</v>
      </c>
      <c r="AE344" s="920">
        <v>25284.05</v>
      </c>
      <c r="AF344" s="920">
        <v>40833.728110988915</v>
      </c>
      <c r="AG344" s="920">
        <v>349.93400000000003</v>
      </c>
      <c r="AH344" s="920">
        <v>565.14323507471295</v>
      </c>
      <c r="AI344" s="920">
        <v>296.67099999999999</v>
      </c>
      <c r="AJ344" s="920">
        <v>479.12351669986384</v>
      </c>
      <c r="AK344" s="920">
        <v>9.7981818806041368</v>
      </c>
      <c r="AL344" s="920">
        <v>15.824058839252706</v>
      </c>
      <c r="AM344" s="920">
        <v>11.108636379241943</v>
      </c>
      <c r="AN344" s="920">
        <v>17.940442199481723</v>
      </c>
      <c r="AO344" s="920"/>
      <c r="AP344" s="920"/>
      <c r="AS344" s="1167"/>
      <c r="AT344" s="1167"/>
      <c r="AU344" s="1168"/>
      <c r="AV344" s="1168"/>
      <c r="AW344" s="1169"/>
      <c r="AX344" s="1169"/>
      <c r="AY344" s="1169"/>
      <c r="AZ344" s="1169"/>
      <c r="BA344" s="1849" t="s">
        <v>1</v>
      </c>
      <c r="BB344" s="1850">
        <v>2005</v>
      </c>
      <c r="BC344" s="1849" t="s">
        <v>55</v>
      </c>
      <c r="BD344" s="1849">
        <v>8</v>
      </c>
      <c r="BE344" s="1851">
        <v>103428000</v>
      </c>
      <c r="BF344" s="1801">
        <v>1.7872133068146275E-2</v>
      </c>
      <c r="BG344" s="1799"/>
      <c r="BH344" s="1799" t="s">
        <v>280</v>
      </c>
      <c r="BI344" s="1799" t="s">
        <v>315</v>
      </c>
      <c r="BJ344" s="1799" t="s">
        <v>15</v>
      </c>
      <c r="BK344" s="1799">
        <v>1</v>
      </c>
      <c r="BL344" s="1800">
        <v>220340382.1400001</v>
      </c>
      <c r="BM344" s="1801">
        <v>7620.279513747194</v>
      </c>
      <c r="BN344" s="1799">
        <v>2010</v>
      </c>
      <c r="BO344" s="1684"/>
      <c r="BP344" s="1696"/>
      <c r="BQ344" s="1169"/>
      <c r="BR344" s="1169"/>
      <c r="BS344" s="1169"/>
      <c r="BT344" s="1169"/>
      <c r="BU344" s="1169"/>
      <c r="BV344" s="1169"/>
      <c r="BW344" s="1169"/>
      <c r="BX344" s="1169"/>
      <c r="BY344" s="1169"/>
      <c r="BZ344" s="1169"/>
      <c r="CA344" s="1169"/>
      <c r="CB344" s="1169"/>
      <c r="CC344" s="1169"/>
      <c r="CD344" s="1169"/>
      <c r="CE344" s="1169"/>
      <c r="CF344" s="1169"/>
      <c r="CG344" s="1169"/>
      <c r="CH344" s="1169"/>
      <c r="CI344" s="1169"/>
      <c r="CJ344" s="1169"/>
      <c r="CK344" s="1169"/>
      <c r="CL344" s="1169"/>
      <c r="CM344" s="1169"/>
      <c r="CN344" s="1169"/>
      <c r="CO344" s="1169"/>
      <c r="CP344" s="1169"/>
      <c r="CQ344" s="1169"/>
      <c r="CR344" s="1169"/>
      <c r="CS344" s="1169"/>
      <c r="CT344" s="1169"/>
      <c r="CU344" s="1169"/>
      <c r="CV344" s="1169"/>
      <c r="CW344" s="1169"/>
      <c r="CX344" s="1169"/>
      <c r="CY344" s="1169"/>
      <c r="CZ344" s="1169"/>
      <c r="DA344" s="1168"/>
      <c r="DB344" s="1168"/>
      <c r="DC344" s="1168"/>
      <c r="DD344" s="1168"/>
      <c r="DE344" s="1168"/>
      <c r="DF344" s="1168"/>
      <c r="DG344" s="1168"/>
      <c r="DH344" s="1168"/>
      <c r="DI344" s="1168"/>
      <c r="DJ344" s="1168"/>
      <c r="DK344" s="1168"/>
      <c r="DL344" s="1168"/>
      <c r="DM344" s="1168"/>
      <c r="DN344" s="1168"/>
      <c r="DO344" s="1168"/>
      <c r="DP344" s="1168"/>
      <c r="DQ344" s="1168"/>
      <c r="DR344" s="1168"/>
      <c r="DS344" s="1168"/>
      <c r="DT344" s="1168"/>
      <c r="DU344" s="1168"/>
      <c r="DV344" s="1168"/>
      <c r="DW344" s="1168"/>
      <c r="DX344" s="1168"/>
      <c r="DY344" s="1168"/>
      <c r="DZ344" s="1168"/>
      <c r="EA344" s="1168"/>
      <c r="EB344" s="1168"/>
      <c r="EC344" s="1168"/>
      <c r="ED344" s="1168"/>
      <c r="EE344" s="1168"/>
      <c r="EF344" s="1168"/>
      <c r="EG344" s="1168"/>
      <c r="EH344" s="1168"/>
      <c r="EI344" s="1170"/>
      <c r="EJ344" s="1170"/>
      <c r="EK344" s="1170"/>
      <c r="EL344" s="1170"/>
      <c r="EM344" s="1170"/>
      <c r="EN344" s="1170"/>
      <c r="EO344" s="1170"/>
      <c r="EP344" s="1170"/>
      <c r="EQ344" s="1170"/>
      <c r="ER344" s="1170"/>
      <c r="ES344" s="1171"/>
      <c r="ET344" s="1171"/>
      <c r="EU344" s="1171"/>
      <c r="EV344" s="1171"/>
      <c r="EW344" s="1171"/>
      <c r="EX344" s="1171"/>
      <c r="EY344" s="1171"/>
      <c r="EZ344" s="1171"/>
      <c r="FA344" s="1171"/>
      <c r="FB344" s="1171"/>
      <c r="FC344" s="1171"/>
      <c r="FD344" s="1171"/>
      <c r="FE344" s="1171"/>
      <c r="FF344" s="1171"/>
      <c r="FG344" s="1171"/>
      <c r="FH344" s="1171"/>
      <c r="FI344" s="1171"/>
      <c r="FJ344" s="1171"/>
      <c r="FK344" s="1171"/>
      <c r="FL344" s="1171"/>
      <c r="FM344" s="1171"/>
      <c r="FN344" s="1171"/>
      <c r="FO344" s="1171"/>
      <c r="FP344" s="1171"/>
    </row>
    <row r="345" spans="1:172" s="607" customFormat="1">
      <c r="A345" s="607">
        <f t="shared" si="10"/>
        <v>1999</v>
      </c>
      <c r="B345" s="607">
        <f t="shared" si="11"/>
        <v>1</v>
      </c>
      <c r="C345" s="666">
        <v>36161</v>
      </c>
      <c r="D345" s="1709">
        <v>0.63162105263157908</v>
      </c>
      <c r="E345" s="1117">
        <v>157.02730989473687</v>
      </c>
      <c r="F345" s="1117">
        <v>248.61</v>
      </c>
      <c r="G345" s="1117"/>
      <c r="H345" s="1117"/>
      <c r="I345" s="959">
        <v>287.07</v>
      </c>
      <c r="J345" s="959">
        <v>456</v>
      </c>
      <c r="K345" s="960"/>
      <c r="L345" s="1121"/>
      <c r="M345" s="916">
        <v>4272</v>
      </c>
      <c r="N345" s="916">
        <v>6763.5490967268834</v>
      </c>
      <c r="O345" s="1174">
        <v>1431.175</v>
      </c>
      <c r="P345" s="1174">
        <v>2265.8760249316706</v>
      </c>
      <c r="Q345" s="1174">
        <v>492.3</v>
      </c>
      <c r="R345" s="1174">
        <v>779.42303846410221</v>
      </c>
      <c r="S345" s="1174">
        <v>932.75</v>
      </c>
      <c r="T345" s="1174">
        <v>1476.7557162855805</v>
      </c>
      <c r="U345" s="1120">
        <v>320.04870357894742</v>
      </c>
      <c r="V345" s="1120">
        <v>506.71</v>
      </c>
      <c r="W345" s="1120">
        <v>1841.1411181246567</v>
      </c>
      <c r="X345" s="1120">
        <v>2914.9457739791073</v>
      </c>
      <c r="Y345" s="1119"/>
      <c r="Z345" s="1119"/>
      <c r="AA345" s="1119"/>
      <c r="AB345" s="1119"/>
      <c r="AC345" s="1178">
        <v>5.15</v>
      </c>
      <c r="AD345" s="1178">
        <v>8.6723359107495934</v>
      </c>
      <c r="AE345" s="1178">
        <v>25256.474999999999</v>
      </c>
      <c r="AF345" s="1178">
        <v>39986.752966468892</v>
      </c>
      <c r="AG345" s="1178">
        <v>353.93799999999999</v>
      </c>
      <c r="AH345" s="1178">
        <v>560.36447570161977</v>
      </c>
      <c r="AI345" s="1178">
        <v>321.81299999999999</v>
      </c>
      <c r="AJ345" s="1178">
        <v>509.5032831144589</v>
      </c>
      <c r="AK345" s="919">
        <v>11.063999986648559</v>
      </c>
      <c r="AL345" s="919">
        <v>17.516832190047545</v>
      </c>
      <c r="AM345" s="919">
        <v>12.425263153879266</v>
      </c>
      <c r="AN345" s="919">
        <v>19.672021858851576</v>
      </c>
      <c r="AO345" s="919"/>
      <c r="AP345" s="919"/>
      <c r="AS345" s="1167"/>
      <c r="AT345" s="1167"/>
      <c r="AU345" s="1168"/>
      <c r="AV345" s="1168"/>
      <c r="AW345" s="1169"/>
      <c r="AX345" s="1169"/>
      <c r="AY345" s="1169"/>
      <c r="AZ345" s="1169"/>
      <c r="BA345" s="1849" t="s">
        <v>1</v>
      </c>
      <c r="BB345" s="1850">
        <v>2005</v>
      </c>
      <c r="BC345" s="1849" t="s">
        <v>15</v>
      </c>
      <c r="BD345" s="1849">
        <v>9</v>
      </c>
      <c r="BE345" s="1851">
        <v>99045000</v>
      </c>
      <c r="BF345" s="1801">
        <v>1.7114760217103182E-2</v>
      </c>
      <c r="BG345" s="1799"/>
      <c r="BH345" s="1799" t="s">
        <v>280</v>
      </c>
      <c r="BI345" s="1799" t="s">
        <v>315</v>
      </c>
      <c r="BJ345" s="1799" t="s">
        <v>431</v>
      </c>
      <c r="BK345" s="1799">
        <v>2</v>
      </c>
      <c r="BL345" s="1800">
        <v>102368804.53</v>
      </c>
      <c r="BM345" s="1801">
        <v>3540.3356226871865</v>
      </c>
      <c r="BN345" s="1799">
        <v>2010</v>
      </c>
      <c r="BO345" s="1684"/>
      <c r="BP345" s="1696"/>
      <c r="BQ345" s="1169"/>
      <c r="BR345" s="1169"/>
      <c r="BS345" s="1169"/>
      <c r="BT345" s="1169"/>
      <c r="BU345" s="1169"/>
      <c r="BV345" s="1169"/>
      <c r="BW345" s="1169"/>
      <c r="BX345" s="1169"/>
      <c r="BY345" s="1169"/>
      <c r="BZ345" s="1169"/>
      <c r="CA345" s="1169"/>
      <c r="CB345" s="1169"/>
      <c r="CC345" s="1169"/>
      <c r="CD345" s="1169"/>
      <c r="CE345" s="1169"/>
      <c r="CF345" s="1169"/>
      <c r="CG345" s="1169"/>
      <c r="CH345" s="1169"/>
      <c r="CI345" s="1169"/>
      <c r="CJ345" s="1169"/>
      <c r="CK345" s="1169"/>
      <c r="CL345" s="1169"/>
      <c r="CM345" s="1169"/>
      <c r="CN345" s="1169"/>
      <c r="CO345" s="1169"/>
      <c r="CP345" s="1169"/>
      <c r="CQ345" s="1169"/>
      <c r="CR345" s="1169"/>
      <c r="CS345" s="1169"/>
      <c r="CT345" s="1169"/>
      <c r="CU345" s="1169"/>
      <c r="CV345" s="1169"/>
      <c r="CW345" s="1169"/>
      <c r="CX345" s="1169"/>
      <c r="CY345" s="1169"/>
      <c r="CZ345" s="1169"/>
      <c r="DA345" s="1168"/>
      <c r="DB345" s="1168"/>
      <c r="DC345" s="1168"/>
      <c r="DD345" s="1168"/>
      <c r="DE345" s="1168"/>
      <c r="DF345" s="1168"/>
      <c r="DG345" s="1168"/>
      <c r="DH345" s="1168"/>
      <c r="DI345" s="1168"/>
      <c r="DJ345" s="1168"/>
      <c r="DK345" s="1168"/>
      <c r="DL345" s="1168"/>
      <c r="DM345" s="1168"/>
      <c r="DN345" s="1168"/>
      <c r="DO345" s="1168"/>
      <c r="DP345" s="1168"/>
      <c r="DQ345" s="1168"/>
      <c r="DR345" s="1168"/>
      <c r="DS345" s="1168"/>
      <c r="DT345" s="1168"/>
      <c r="DU345" s="1168"/>
      <c r="DV345" s="1168"/>
      <c r="DW345" s="1168"/>
      <c r="DX345" s="1168"/>
      <c r="DY345" s="1168"/>
      <c r="DZ345" s="1168"/>
      <c r="EA345" s="1168"/>
      <c r="EB345" s="1168"/>
      <c r="EC345" s="1168"/>
      <c r="ED345" s="1168"/>
      <c r="EE345" s="1168"/>
      <c r="EF345" s="1168"/>
      <c r="EG345" s="1168"/>
      <c r="EH345" s="1168"/>
      <c r="EI345" s="1170"/>
      <c r="EJ345" s="1170"/>
      <c r="EK345" s="1170"/>
      <c r="EL345" s="1170"/>
      <c r="EM345" s="1170"/>
      <c r="EN345" s="1170"/>
      <c r="EO345" s="1170"/>
      <c r="EP345" s="1170"/>
      <c r="EQ345" s="1170"/>
      <c r="ER345" s="1170"/>
      <c r="ES345" s="1171"/>
      <c r="ET345" s="1171"/>
      <c r="EU345" s="1171"/>
      <c r="EV345" s="1171"/>
      <c r="EW345" s="1171"/>
      <c r="EX345" s="1171"/>
      <c r="EY345" s="1171"/>
      <c r="EZ345" s="1171"/>
      <c r="FA345" s="1171"/>
      <c r="FB345" s="1171"/>
      <c r="FC345" s="1171"/>
      <c r="FD345" s="1171"/>
      <c r="FE345" s="1171"/>
      <c r="FF345" s="1171"/>
      <c r="FG345" s="1171"/>
      <c r="FH345" s="1171"/>
      <c r="FI345" s="1171"/>
      <c r="FJ345" s="1171"/>
      <c r="FK345" s="1171"/>
      <c r="FL345" s="1171"/>
      <c r="FM345" s="1171"/>
      <c r="FN345" s="1171"/>
      <c r="FO345" s="1171"/>
      <c r="FP345" s="1171"/>
    </row>
    <row r="346" spans="1:172" s="607" customFormat="1">
      <c r="A346" s="607">
        <f t="shared" si="10"/>
        <v>1999</v>
      </c>
      <c r="B346" s="607">
        <f t="shared" si="11"/>
        <v>1</v>
      </c>
      <c r="C346" s="666">
        <v>36192</v>
      </c>
      <c r="D346" s="957">
        <v>0.63993499999999992</v>
      </c>
      <c r="E346" s="920">
        <v>156.80967239999998</v>
      </c>
      <c r="F346" s="920">
        <v>245.04</v>
      </c>
      <c r="G346" s="920"/>
      <c r="H346" s="920"/>
      <c r="I346" s="954">
        <v>287.26</v>
      </c>
      <c r="J346" s="954">
        <v>449.28</v>
      </c>
      <c r="K346" s="954"/>
      <c r="L346" s="920"/>
      <c r="M346" s="917">
        <v>4629.5</v>
      </c>
      <c r="N346" s="917">
        <v>7234.3284864869102</v>
      </c>
      <c r="O346" s="1175">
        <v>1410.7249999999999</v>
      </c>
      <c r="P346" s="1175">
        <v>2204.4817051731816</v>
      </c>
      <c r="Q346" s="1175">
        <v>513.67499999999995</v>
      </c>
      <c r="R346" s="1175">
        <v>802.69871158789567</v>
      </c>
      <c r="S346" s="1175">
        <v>1017.325</v>
      </c>
      <c r="T346" s="1175">
        <v>1589.7317696328537</v>
      </c>
      <c r="U346" s="920">
        <v>307.68714734999998</v>
      </c>
      <c r="V346" s="920">
        <v>480.81</v>
      </c>
      <c r="W346" s="920">
        <v>1831.056574958126</v>
      </c>
      <c r="X346" s="920">
        <v>2861.3165008291876</v>
      </c>
      <c r="Y346" s="920"/>
      <c r="Z346" s="920"/>
      <c r="AA346" s="920"/>
      <c r="AB346" s="920"/>
      <c r="AC346" s="920">
        <v>5.52</v>
      </c>
      <c r="AD346" s="920">
        <v>9.1549182567878216</v>
      </c>
      <c r="AE346" s="920">
        <v>41198.5</v>
      </c>
      <c r="AF346" s="920">
        <v>64379.194761968021</v>
      </c>
      <c r="AG346" s="920">
        <v>364.47500000000002</v>
      </c>
      <c r="AH346" s="920">
        <v>569.5500324251683</v>
      </c>
      <c r="AI346" s="920">
        <v>350.56299999999999</v>
      </c>
      <c r="AJ346" s="920">
        <v>547.81032448608062</v>
      </c>
      <c r="AK346" s="920">
        <v>10.199999952316285</v>
      </c>
      <c r="AL346" s="920">
        <v>15.939118742241455</v>
      </c>
      <c r="AM346" s="920">
        <v>11.445555528004965</v>
      </c>
      <c r="AN346" s="920">
        <v>17.885497008297666</v>
      </c>
      <c r="AO346" s="920"/>
      <c r="AP346" s="920"/>
      <c r="AS346" s="1167"/>
      <c r="AT346" s="1167"/>
      <c r="AU346" s="1168"/>
      <c r="AV346" s="1168"/>
      <c r="AW346" s="1169"/>
      <c r="AX346" s="1169"/>
      <c r="AY346" s="1169"/>
      <c r="AZ346" s="1169"/>
      <c r="BA346" s="1849" t="s">
        <v>1</v>
      </c>
      <c r="BB346" s="1850">
        <v>2005</v>
      </c>
      <c r="BC346" s="1849" t="s">
        <v>241</v>
      </c>
      <c r="BD346" s="1849">
        <v>10</v>
      </c>
      <c r="BE346" s="1851">
        <v>25420000</v>
      </c>
      <c r="BF346" s="1801">
        <v>4.3925206191000347E-3</v>
      </c>
      <c r="BG346" s="1799"/>
      <c r="BH346" s="1799" t="s">
        <v>280</v>
      </c>
      <c r="BI346" s="1799" t="s">
        <v>315</v>
      </c>
      <c r="BJ346" s="1799" t="s">
        <v>23</v>
      </c>
      <c r="BK346" s="1799">
        <v>3</v>
      </c>
      <c r="BL346" s="1800">
        <v>68928689.790000007</v>
      </c>
      <c r="BM346" s="1801">
        <v>2383.838484869445</v>
      </c>
      <c r="BN346" s="1799">
        <v>2010</v>
      </c>
      <c r="BO346" s="1684"/>
      <c r="BP346" s="1696"/>
      <c r="BQ346" s="1169"/>
      <c r="BR346" s="1169"/>
      <c r="BS346" s="1169"/>
      <c r="BT346" s="1169"/>
      <c r="BU346" s="1169"/>
      <c r="BV346" s="1169"/>
      <c r="BW346" s="1169"/>
      <c r="BX346" s="1169"/>
      <c r="BY346" s="1169"/>
      <c r="BZ346" s="1169"/>
      <c r="CA346" s="1169"/>
      <c r="CB346" s="1169"/>
      <c r="CC346" s="1169"/>
      <c r="CD346" s="1169"/>
      <c r="CE346" s="1169"/>
      <c r="CF346" s="1169"/>
      <c r="CG346" s="1169"/>
      <c r="CH346" s="1169"/>
      <c r="CI346" s="1169"/>
      <c r="CJ346" s="1169"/>
      <c r="CK346" s="1169"/>
      <c r="CL346" s="1169"/>
      <c r="CM346" s="1169"/>
      <c r="CN346" s="1169"/>
      <c r="CO346" s="1169"/>
      <c r="CP346" s="1169"/>
      <c r="CQ346" s="1169"/>
      <c r="CR346" s="1169"/>
      <c r="CS346" s="1169"/>
      <c r="CT346" s="1169"/>
      <c r="CU346" s="1169"/>
      <c r="CV346" s="1169"/>
      <c r="CW346" s="1169"/>
      <c r="CX346" s="1169"/>
      <c r="CY346" s="1169"/>
      <c r="CZ346" s="1169"/>
      <c r="DA346" s="1168"/>
      <c r="DB346" s="1168"/>
      <c r="DC346" s="1168"/>
      <c r="DD346" s="1168"/>
      <c r="DE346" s="1168"/>
      <c r="DF346" s="1168"/>
      <c r="DG346" s="1168"/>
      <c r="DH346" s="1168"/>
      <c r="DI346" s="1168"/>
      <c r="DJ346" s="1168"/>
      <c r="DK346" s="1168"/>
      <c r="DL346" s="1168"/>
      <c r="DM346" s="1168"/>
      <c r="DN346" s="1168"/>
      <c r="DO346" s="1168"/>
      <c r="DP346" s="1168"/>
      <c r="DQ346" s="1168"/>
      <c r="DR346" s="1168"/>
      <c r="DS346" s="1168"/>
      <c r="DT346" s="1168"/>
      <c r="DU346" s="1168"/>
      <c r="DV346" s="1168"/>
      <c r="DW346" s="1168"/>
      <c r="DX346" s="1168"/>
      <c r="DY346" s="1168"/>
      <c r="DZ346" s="1168"/>
      <c r="EA346" s="1168"/>
      <c r="EB346" s="1168"/>
      <c r="EC346" s="1168"/>
      <c r="ED346" s="1168"/>
      <c r="EE346" s="1168"/>
      <c r="EF346" s="1168"/>
      <c r="EG346" s="1168"/>
      <c r="EH346" s="1168"/>
      <c r="EI346" s="1170"/>
      <c r="EJ346" s="1170"/>
      <c r="EK346" s="1170"/>
      <c r="EL346" s="1170"/>
      <c r="EM346" s="1170"/>
      <c r="EN346" s="1170"/>
      <c r="EO346" s="1170"/>
      <c r="EP346" s="1170"/>
      <c r="EQ346" s="1170"/>
      <c r="ER346" s="1170"/>
      <c r="ES346" s="1171"/>
      <c r="ET346" s="1171"/>
      <c r="EU346" s="1171"/>
      <c r="EV346" s="1171"/>
      <c r="EW346" s="1171"/>
      <c r="EX346" s="1171"/>
      <c r="EY346" s="1171"/>
      <c r="EZ346" s="1171"/>
      <c r="FA346" s="1171"/>
      <c r="FB346" s="1171"/>
      <c r="FC346" s="1171"/>
      <c r="FD346" s="1171"/>
      <c r="FE346" s="1171"/>
      <c r="FF346" s="1171"/>
      <c r="FG346" s="1171"/>
      <c r="FH346" s="1171"/>
      <c r="FI346" s="1171"/>
      <c r="FJ346" s="1171"/>
      <c r="FK346" s="1171"/>
      <c r="FL346" s="1171"/>
      <c r="FM346" s="1171"/>
      <c r="FN346" s="1171"/>
      <c r="FO346" s="1171"/>
      <c r="FP346" s="1171"/>
    </row>
    <row r="347" spans="1:172" s="607" customFormat="1">
      <c r="A347" s="607">
        <f t="shared" si="10"/>
        <v>1999</v>
      </c>
      <c r="B347" s="607">
        <f t="shared" si="11"/>
        <v>1</v>
      </c>
      <c r="C347" s="666">
        <v>36220</v>
      </c>
      <c r="D347" s="1709">
        <v>0.63003478260869561</v>
      </c>
      <c r="E347" s="1117">
        <v>162.24655721739128</v>
      </c>
      <c r="F347" s="1117">
        <v>257.52</v>
      </c>
      <c r="G347" s="1117"/>
      <c r="H347" s="1117"/>
      <c r="I347" s="959">
        <v>285.95999999999998</v>
      </c>
      <c r="J347" s="959">
        <v>453.92</v>
      </c>
      <c r="K347" s="960"/>
      <c r="L347" s="1121"/>
      <c r="M347" s="916">
        <v>5015.174</v>
      </c>
      <c r="N347" s="916">
        <v>7960.1541667816828</v>
      </c>
      <c r="O347" s="1174">
        <v>1378.326</v>
      </c>
      <c r="P347" s="1174">
        <v>2187.6982637259503</v>
      </c>
      <c r="Q347" s="1174">
        <v>507.82600000000002</v>
      </c>
      <c r="R347" s="1174">
        <v>806.02851464377409</v>
      </c>
      <c r="S347" s="1174">
        <v>1030</v>
      </c>
      <c r="T347" s="1174">
        <v>1634.8303751345682</v>
      </c>
      <c r="U347" s="1120">
        <v>282.41939165217389</v>
      </c>
      <c r="V347" s="1120">
        <v>448.26</v>
      </c>
      <c r="W347" s="1120">
        <v>1827.3537770663781</v>
      </c>
      <c r="X347" s="1120">
        <v>2900.4014183155314</v>
      </c>
      <c r="Y347" s="1119"/>
      <c r="Z347" s="1119"/>
      <c r="AA347" s="1119"/>
      <c r="AB347" s="1119"/>
      <c r="AC347" s="1178">
        <v>5.19</v>
      </c>
      <c r="AD347" s="1178">
        <v>8.8179786840709244</v>
      </c>
      <c r="AE347" s="1178">
        <v>40247.725000000006</v>
      </c>
      <c r="AF347" s="1178">
        <v>63881.750835012572</v>
      </c>
      <c r="AG347" s="1178">
        <v>370.14100000000002</v>
      </c>
      <c r="AH347" s="1178">
        <v>587.49296105114979</v>
      </c>
      <c r="AI347" s="1178">
        <v>352.71699999999998</v>
      </c>
      <c r="AJ347" s="1178">
        <v>559.837345074116</v>
      </c>
      <c r="AK347" s="919">
        <v>12.465217465939729</v>
      </c>
      <c r="AL347" s="919">
        <v>19.784967132015748</v>
      </c>
      <c r="AM347" s="919">
        <v>13.443181297995828</v>
      </c>
      <c r="AN347" s="919">
        <v>21.33720497515003</v>
      </c>
      <c r="AO347" s="919"/>
      <c r="AP347" s="919"/>
      <c r="AS347" s="1167"/>
      <c r="AT347" s="1167"/>
      <c r="AU347" s="1168"/>
      <c r="AV347" s="1168"/>
      <c r="AW347" s="1169"/>
      <c r="AX347" s="1169"/>
      <c r="AY347" s="1169"/>
      <c r="AZ347" s="1169"/>
      <c r="BA347" s="1849" t="s">
        <v>1</v>
      </c>
      <c r="BB347" s="1850">
        <v>2005</v>
      </c>
      <c r="BC347" s="1849" t="s">
        <v>32</v>
      </c>
      <c r="BD347" s="1849"/>
      <c r="BE347" s="1851">
        <v>67778000</v>
      </c>
      <c r="BF347" s="1801">
        <v>1.1711890736481595E-2</v>
      </c>
      <c r="BG347" s="1799"/>
      <c r="BH347" s="1799" t="s">
        <v>280</v>
      </c>
      <c r="BI347" s="1799" t="s">
        <v>315</v>
      </c>
      <c r="BJ347" s="1799" t="s">
        <v>54</v>
      </c>
      <c r="BK347" s="1799">
        <v>4</v>
      </c>
      <c r="BL347" s="1800">
        <v>45802689.499999993</v>
      </c>
      <c r="BM347" s="1801">
        <v>1584.0459795953655</v>
      </c>
      <c r="BN347" s="1799">
        <v>2010</v>
      </c>
      <c r="BO347" s="1684"/>
      <c r="BP347" s="1696"/>
      <c r="BQ347" s="1169"/>
      <c r="BR347" s="1169"/>
      <c r="BS347" s="1169"/>
      <c r="BT347" s="1169"/>
      <c r="BU347" s="1169"/>
      <c r="BV347" s="1169"/>
      <c r="BW347" s="1169"/>
      <c r="BX347" s="1169"/>
      <c r="BY347" s="1169"/>
      <c r="BZ347" s="1169"/>
      <c r="CA347" s="1169"/>
      <c r="CB347" s="1169"/>
      <c r="CC347" s="1169"/>
      <c r="CD347" s="1169"/>
      <c r="CE347" s="1169"/>
      <c r="CF347" s="1169"/>
      <c r="CG347" s="1169"/>
      <c r="CH347" s="1169"/>
      <c r="CI347" s="1169"/>
      <c r="CJ347" s="1169"/>
      <c r="CK347" s="1169"/>
      <c r="CL347" s="1169"/>
      <c r="CM347" s="1169"/>
      <c r="CN347" s="1169"/>
      <c r="CO347" s="1169"/>
      <c r="CP347" s="1169"/>
      <c r="CQ347" s="1169"/>
      <c r="CR347" s="1169"/>
      <c r="CS347" s="1169"/>
      <c r="CT347" s="1169"/>
      <c r="CU347" s="1169"/>
      <c r="CV347" s="1169"/>
      <c r="CW347" s="1169"/>
      <c r="CX347" s="1169"/>
      <c r="CY347" s="1169"/>
      <c r="CZ347" s="1169"/>
      <c r="DA347" s="1168"/>
      <c r="DB347" s="1168"/>
      <c r="DC347" s="1168"/>
      <c r="DD347" s="1168"/>
      <c r="DE347" s="1168"/>
      <c r="DF347" s="1168"/>
      <c r="DG347" s="1168"/>
      <c r="DH347" s="1168"/>
      <c r="DI347" s="1168"/>
      <c r="DJ347" s="1168"/>
      <c r="DK347" s="1168"/>
      <c r="DL347" s="1168"/>
      <c r="DM347" s="1168"/>
      <c r="DN347" s="1168"/>
      <c r="DO347" s="1168"/>
      <c r="DP347" s="1168"/>
      <c r="DQ347" s="1168"/>
      <c r="DR347" s="1168"/>
      <c r="DS347" s="1168"/>
      <c r="DT347" s="1168"/>
      <c r="DU347" s="1168"/>
      <c r="DV347" s="1168"/>
      <c r="DW347" s="1168"/>
      <c r="DX347" s="1168"/>
      <c r="DY347" s="1168"/>
      <c r="DZ347" s="1168"/>
      <c r="EA347" s="1168"/>
      <c r="EB347" s="1168"/>
      <c r="EC347" s="1168"/>
      <c r="ED347" s="1168"/>
      <c r="EE347" s="1168"/>
      <c r="EF347" s="1168"/>
      <c r="EG347" s="1168"/>
      <c r="EH347" s="1168"/>
      <c r="EI347" s="1170"/>
      <c r="EJ347" s="1170"/>
      <c r="EK347" s="1170"/>
      <c r="EL347" s="1170"/>
      <c r="EM347" s="1170"/>
      <c r="EN347" s="1170"/>
      <c r="EO347" s="1170"/>
      <c r="EP347" s="1170"/>
      <c r="EQ347" s="1170"/>
      <c r="ER347" s="1170"/>
      <c r="ES347" s="1171"/>
      <c r="ET347" s="1171"/>
      <c r="EU347" s="1171"/>
      <c r="EV347" s="1171"/>
      <c r="EW347" s="1171"/>
      <c r="EX347" s="1171"/>
      <c r="EY347" s="1171"/>
      <c r="EZ347" s="1171"/>
      <c r="FA347" s="1171"/>
      <c r="FB347" s="1171"/>
      <c r="FC347" s="1171"/>
      <c r="FD347" s="1171"/>
      <c r="FE347" s="1171"/>
      <c r="FF347" s="1171"/>
      <c r="FG347" s="1171"/>
      <c r="FH347" s="1171"/>
      <c r="FI347" s="1171"/>
      <c r="FJ347" s="1171"/>
      <c r="FK347" s="1171"/>
      <c r="FL347" s="1171"/>
      <c r="FM347" s="1171"/>
      <c r="FN347" s="1171"/>
      <c r="FO347" s="1171"/>
      <c r="FP347" s="1171"/>
    </row>
    <row r="348" spans="1:172" s="607" customFormat="1">
      <c r="A348" s="607">
        <f t="shared" si="10"/>
        <v>1999</v>
      </c>
      <c r="B348" s="607">
        <f t="shared" si="11"/>
        <v>2</v>
      </c>
      <c r="C348" s="666">
        <v>36251</v>
      </c>
      <c r="D348" s="957">
        <v>0.64183684210526304</v>
      </c>
      <c r="E348" s="920">
        <v>156.16007501388268</v>
      </c>
      <c r="F348" s="920">
        <v>243.30182496484363</v>
      </c>
      <c r="G348" s="920"/>
      <c r="H348" s="920"/>
      <c r="I348" s="954">
        <v>282.89</v>
      </c>
      <c r="J348" s="954">
        <v>441.23</v>
      </c>
      <c r="K348" s="954"/>
      <c r="L348" s="920"/>
      <c r="M348" s="917">
        <v>5105.5</v>
      </c>
      <c r="N348" s="917">
        <v>7954.5137721506544</v>
      </c>
      <c r="O348" s="1175">
        <v>1466</v>
      </c>
      <c r="P348" s="1175">
        <v>2284.0695700661754</v>
      </c>
      <c r="Q348" s="1175">
        <v>519.33000000000004</v>
      </c>
      <c r="R348" s="1175">
        <v>809.13086618176476</v>
      </c>
      <c r="S348" s="1175">
        <v>1019</v>
      </c>
      <c r="T348" s="1175">
        <v>1587.6308948822871</v>
      </c>
      <c r="U348" s="920">
        <v>307.27566817545545</v>
      </c>
      <c r="V348" s="920">
        <v>478.74420416187542</v>
      </c>
      <c r="W348" s="920">
        <v>1822.5849592089648</v>
      </c>
      <c r="X348" s="920">
        <v>2839.6390478782391</v>
      </c>
      <c r="Y348" s="920"/>
      <c r="Z348" s="920"/>
      <c r="AA348" s="920"/>
      <c r="AB348" s="920"/>
      <c r="AC348" s="920">
        <v>5.09</v>
      </c>
      <c r="AD348" s="920">
        <v>8.8179786840709244</v>
      </c>
      <c r="AE348" s="920">
        <v>34874</v>
      </c>
      <c r="AF348" s="920">
        <v>54334.680891192227</v>
      </c>
      <c r="AG348" s="920">
        <v>357.185</v>
      </c>
      <c r="AH348" s="920">
        <v>556.50435837932264</v>
      </c>
      <c r="AI348" s="920">
        <v>359.113</v>
      </c>
      <c r="AJ348" s="920">
        <v>559.50823704991444</v>
      </c>
      <c r="AK348" s="920">
        <v>15.246189526149205</v>
      </c>
      <c r="AL348" s="920">
        <v>23.753995604460467</v>
      </c>
      <c r="AM348" s="920">
        <v>16.338998508453368</v>
      </c>
      <c r="AN348" s="920">
        <v>25.456622986708712</v>
      </c>
      <c r="AO348" s="920"/>
      <c r="AP348" s="920"/>
      <c r="AS348" s="1167"/>
      <c r="AT348" s="1167"/>
      <c r="AU348" s="1168"/>
      <c r="AV348" s="1168"/>
      <c r="AW348" s="1169"/>
      <c r="AX348" s="1169"/>
      <c r="AY348" s="1169"/>
      <c r="AZ348" s="1169"/>
      <c r="BA348" s="1849" t="s">
        <v>1</v>
      </c>
      <c r="BB348" s="1850">
        <v>2005</v>
      </c>
      <c r="BC348" s="1849" t="s">
        <v>249</v>
      </c>
      <c r="BD348" s="1849"/>
      <c r="BE348" s="1851">
        <v>5787110000</v>
      </c>
      <c r="BF348" s="1801">
        <v>1</v>
      </c>
      <c r="BG348" s="1799"/>
      <c r="BH348" s="1799" t="s">
        <v>280</v>
      </c>
      <c r="BI348" s="1799" t="s">
        <v>315</v>
      </c>
      <c r="BJ348" s="1799" t="s">
        <v>51</v>
      </c>
      <c r="BK348" s="1799">
        <v>5</v>
      </c>
      <c r="BL348" s="1800">
        <v>35309075.43</v>
      </c>
      <c r="BM348" s="1801">
        <v>1221.1335095970949</v>
      </c>
      <c r="BN348" s="1799">
        <v>2010</v>
      </c>
      <c r="BO348" s="1684"/>
      <c r="BP348" s="1696"/>
      <c r="BQ348" s="1169"/>
      <c r="BR348" s="1169"/>
      <c r="BS348" s="1169"/>
      <c r="BT348" s="1169"/>
      <c r="BU348" s="1169"/>
      <c r="BV348" s="1169"/>
      <c r="BW348" s="1169"/>
      <c r="BX348" s="1169"/>
      <c r="BY348" s="1169"/>
      <c r="BZ348" s="1169"/>
      <c r="CA348" s="1169"/>
      <c r="CB348" s="1169"/>
      <c r="CC348" s="1169"/>
      <c r="CD348" s="1169"/>
      <c r="CE348" s="1169"/>
      <c r="CF348" s="1169"/>
      <c r="CG348" s="1169"/>
      <c r="CH348" s="1169"/>
      <c r="CI348" s="1169"/>
      <c r="CJ348" s="1169"/>
      <c r="CK348" s="1169"/>
      <c r="CL348" s="1169"/>
      <c r="CM348" s="1169"/>
      <c r="CN348" s="1169"/>
      <c r="CO348" s="1169"/>
      <c r="CP348" s="1169"/>
      <c r="CQ348" s="1169"/>
      <c r="CR348" s="1169"/>
      <c r="CS348" s="1169"/>
      <c r="CT348" s="1169"/>
      <c r="CU348" s="1169"/>
      <c r="CV348" s="1169"/>
      <c r="CW348" s="1169"/>
      <c r="CX348" s="1169"/>
      <c r="CY348" s="1169"/>
      <c r="CZ348" s="1169"/>
      <c r="DA348" s="1168"/>
      <c r="DB348" s="1168"/>
      <c r="DC348" s="1168"/>
      <c r="DD348" s="1168"/>
      <c r="DE348" s="1168"/>
      <c r="DF348" s="1168"/>
      <c r="DG348" s="1168"/>
      <c r="DH348" s="1168"/>
      <c r="DI348" s="1168"/>
      <c r="DJ348" s="1168"/>
      <c r="DK348" s="1168"/>
      <c r="DL348" s="1168"/>
      <c r="DM348" s="1168"/>
      <c r="DN348" s="1168"/>
      <c r="DO348" s="1168"/>
      <c r="DP348" s="1168"/>
      <c r="DQ348" s="1168"/>
      <c r="DR348" s="1168"/>
      <c r="DS348" s="1168"/>
      <c r="DT348" s="1168"/>
      <c r="DU348" s="1168"/>
      <c r="DV348" s="1168"/>
      <c r="DW348" s="1168"/>
      <c r="DX348" s="1168"/>
      <c r="DY348" s="1168"/>
      <c r="DZ348" s="1168"/>
      <c r="EA348" s="1168"/>
      <c r="EB348" s="1168"/>
      <c r="EC348" s="1168"/>
      <c r="ED348" s="1168"/>
      <c r="EE348" s="1168"/>
      <c r="EF348" s="1168"/>
      <c r="EG348" s="1168"/>
      <c r="EH348" s="1168"/>
      <c r="EI348" s="1170"/>
      <c r="EJ348" s="1170"/>
      <c r="EK348" s="1170"/>
      <c r="EL348" s="1170"/>
      <c r="EM348" s="1170"/>
      <c r="EN348" s="1170"/>
      <c r="EO348" s="1170"/>
      <c r="EP348" s="1170"/>
      <c r="EQ348" s="1170"/>
      <c r="ER348" s="1170"/>
      <c r="ES348" s="1171"/>
      <c r="ET348" s="1171"/>
      <c r="EU348" s="1171"/>
      <c r="EV348" s="1171"/>
      <c r="EW348" s="1171"/>
      <c r="EX348" s="1171"/>
      <c r="EY348" s="1171"/>
      <c r="EZ348" s="1171"/>
      <c r="FA348" s="1171"/>
      <c r="FB348" s="1171"/>
      <c r="FC348" s="1171"/>
      <c r="FD348" s="1171"/>
      <c r="FE348" s="1171"/>
      <c r="FF348" s="1171"/>
      <c r="FG348" s="1171"/>
      <c r="FH348" s="1171"/>
      <c r="FI348" s="1171"/>
      <c r="FJ348" s="1171"/>
      <c r="FK348" s="1171"/>
      <c r="FL348" s="1171"/>
      <c r="FM348" s="1171"/>
      <c r="FN348" s="1171"/>
      <c r="FO348" s="1171"/>
      <c r="FP348" s="1171"/>
    </row>
    <row r="349" spans="1:172" s="607" customFormat="1">
      <c r="A349" s="607">
        <f t="shared" si="10"/>
        <v>1999</v>
      </c>
      <c r="B349" s="607">
        <f t="shared" si="11"/>
        <v>2</v>
      </c>
      <c r="C349" s="666">
        <v>36281</v>
      </c>
      <c r="D349" s="1709">
        <v>0.66213333333333324</v>
      </c>
      <c r="E349" s="1117">
        <v>163.91509782701743</v>
      </c>
      <c r="F349" s="1117">
        <v>247.55602772908395</v>
      </c>
      <c r="G349" s="1117"/>
      <c r="H349" s="1117"/>
      <c r="I349" s="959">
        <v>276.44</v>
      </c>
      <c r="J349" s="959">
        <v>420.26</v>
      </c>
      <c r="K349" s="960"/>
      <c r="L349" s="1121"/>
      <c r="M349" s="916">
        <v>5402.89</v>
      </c>
      <c r="N349" s="916">
        <v>8159.8217881594865</v>
      </c>
      <c r="O349" s="1174">
        <v>1511.16</v>
      </c>
      <c r="P349" s="1174">
        <v>2282.2593636729766</v>
      </c>
      <c r="Q349" s="1174">
        <v>541.37</v>
      </c>
      <c r="R349" s="1174">
        <v>817.61478050745075</v>
      </c>
      <c r="S349" s="1174">
        <v>1040.74</v>
      </c>
      <c r="T349" s="1174">
        <v>1571.7982279500607</v>
      </c>
      <c r="U349" s="1120">
        <v>315.90899050754456</v>
      </c>
      <c r="V349" s="1120">
        <v>477.10781893004116</v>
      </c>
      <c r="W349" s="1120">
        <v>1843.5692621108251</v>
      </c>
      <c r="X349" s="1120">
        <v>2784.2870450727328</v>
      </c>
      <c r="Y349" s="1119"/>
      <c r="Z349" s="1119"/>
      <c r="AA349" s="1119"/>
      <c r="AB349" s="1119"/>
      <c r="AC349" s="1178">
        <v>5.28</v>
      </c>
      <c r="AD349" s="1178">
        <v>8.4109505361132992</v>
      </c>
      <c r="AE349" s="1178">
        <v>34612</v>
      </c>
      <c r="AF349" s="1178">
        <v>52273.459524768434</v>
      </c>
      <c r="AG349" s="1178">
        <v>355.93400000000003</v>
      </c>
      <c r="AH349" s="1178">
        <v>537.55638340716882</v>
      </c>
      <c r="AI349" s="1178">
        <v>328.13200000000001</v>
      </c>
      <c r="AJ349" s="1178">
        <v>495.56786145791386</v>
      </c>
      <c r="AK349" s="919">
        <v>15.22</v>
      </c>
      <c r="AL349" s="919">
        <v>22.986306886830452</v>
      </c>
      <c r="AM349" s="919">
        <v>16.670000000000002</v>
      </c>
      <c r="AN349" s="919">
        <v>25.176198147402342</v>
      </c>
      <c r="AO349" s="919"/>
      <c r="AP349" s="919"/>
      <c r="AS349" s="1167"/>
      <c r="AT349" s="1167"/>
      <c r="AU349" s="1168"/>
      <c r="AV349" s="1168"/>
      <c r="AW349" s="1169"/>
      <c r="AX349" s="1169"/>
      <c r="AY349" s="1169"/>
      <c r="AZ349" s="1169"/>
      <c r="BA349" s="1852" t="s">
        <v>1</v>
      </c>
      <c r="BB349" s="1853">
        <v>2006</v>
      </c>
      <c r="BC349" s="1852" t="s">
        <v>18</v>
      </c>
      <c r="BD349" s="1852">
        <v>1</v>
      </c>
      <c r="BE349" s="1854">
        <v>3497594000</v>
      </c>
      <c r="BF349" s="1801">
        <v>0.38826262832581437</v>
      </c>
      <c r="BG349" s="1799"/>
      <c r="BH349" s="1799" t="s">
        <v>280</v>
      </c>
      <c r="BI349" s="1799" t="s">
        <v>315</v>
      </c>
      <c r="BJ349" s="1799" t="s">
        <v>18</v>
      </c>
      <c r="BK349" s="1799">
        <v>6</v>
      </c>
      <c r="BL349" s="1800">
        <v>25125175.040000003</v>
      </c>
      <c r="BM349" s="1801">
        <v>868.93221649662814</v>
      </c>
      <c r="BN349" s="1799">
        <v>2010</v>
      </c>
      <c r="BO349" s="1684"/>
      <c r="BP349" s="1696"/>
      <c r="BQ349" s="1169"/>
      <c r="BR349" s="1169"/>
      <c r="BS349" s="1169"/>
      <c r="BT349" s="1169"/>
      <c r="BU349" s="1169"/>
      <c r="BV349" s="1169"/>
      <c r="BW349" s="1169"/>
      <c r="BX349" s="1169"/>
      <c r="BY349" s="1169"/>
      <c r="BZ349" s="1169"/>
      <c r="CA349" s="1169"/>
      <c r="CB349" s="1169"/>
      <c r="CC349" s="1169"/>
      <c r="CD349" s="1169"/>
      <c r="CE349" s="1169"/>
      <c r="CF349" s="1169"/>
      <c r="CG349" s="1169"/>
      <c r="CH349" s="1169"/>
      <c r="CI349" s="1169"/>
      <c r="CJ349" s="1169"/>
      <c r="CK349" s="1169"/>
      <c r="CL349" s="1169"/>
      <c r="CM349" s="1169"/>
      <c r="CN349" s="1169"/>
      <c r="CO349" s="1169"/>
      <c r="CP349" s="1169"/>
      <c r="CQ349" s="1169"/>
      <c r="CR349" s="1169"/>
      <c r="CS349" s="1169"/>
      <c r="CT349" s="1169"/>
      <c r="CU349" s="1169"/>
      <c r="CV349" s="1169"/>
      <c r="CW349" s="1169"/>
      <c r="CX349" s="1169"/>
      <c r="CY349" s="1169"/>
      <c r="CZ349" s="1169"/>
      <c r="DA349" s="1168"/>
      <c r="DB349" s="1168"/>
      <c r="DC349" s="1168"/>
      <c r="DD349" s="1168"/>
      <c r="DE349" s="1168"/>
      <c r="DF349" s="1168"/>
      <c r="DG349" s="1168"/>
      <c r="DH349" s="1168"/>
      <c r="DI349" s="1168"/>
      <c r="DJ349" s="1168"/>
      <c r="DK349" s="1168"/>
      <c r="DL349" s="1168"/>
      <c r="DM349" s="1168"/>
      <c r="DN349" s="1168"/>
      <c r="DO349" s="1168"/>
      <c r="DP349" s="1168"/>
      <c r="DQ349" s="1168"/>
      <c r="DR349" s="1168"/>
      <c r="DS349" s="1168"/>
      <c r="DT349" s="1168"/>
      <c r="DU349" s="1168"/>
      <c r="DV349" s="1168"/>
      <c r="DW349" s="1168"/>
      <c r="DX349" s="1168"/>
      <c r="DY349" s="1168"/>
      <c r="DZ349" s="1168"/>
      <c r="EA349" s="1168"/>
      <c r="EB349" s="1168"/>
      <c r="EC349" s="1168"/>
      <c r="ED349" s="1168"/>
      <c r="EE349" s="1168"/>
      <c r="EF349" s="1168"/>
      <c r="EG349" s="1168"/>
      <c r="EH349" s="1168"/>
      <c r="EI349" s="1170"/>
      <c r="EJ349" s="1170"/>
      <c r="EK349" s="1170"/>
      <c r="EL349" s="1170"/>
      <c r="EM349" s="1170"/>
      <c r="EN349" s="1170"/>
      <c r="EO349" s="1170"/>
      <c r="EP349" s="1170"/>
      <c r="EQ349" s="1170"/>
      <c r="ER349" s="1170"/>
      <c r="ES349" s="1171"/>
      <c r="ET349" s="1171"/>
      <c r="EU349" s="1171"/>
      <c r="EV349" s="1171"/>
      <c r="EW349" s="1171"/>
      <c r="EX349" s="1171"/>
      <c r="EY349" s="1171"/>
      <c r="EZ349" s="1171"/>
      <c r="FA349" s="1171"/>
      <c r="FB349" s="1171"/>
      <c r="FC349" s="1171"/>
      <c r="FD349" s="1171"/>
      <c r="FE349" s="1171"/>
      <c r="FF349" s="1171"/>
      <c r="FG349" s="1171"/>
      <c r="FH349" s="1171"/>
      <c r="FI349" s="1171"/>
      <c r="FJ349" s="1171"/>
      <c r="FK349" s="1171"/>
      <c r="FL349" s="1171"/>
      <c r="FM349" s="1171"/>
      <c r="FN349" s="1171"/>
      <c r="FO349" s="1171"/>
      <c r="FP349" s="1171"/>
    </row>
    <row r="350" spans="1:172" s="607" customFormat="1">
      <c r="A350" s="607">
        <f t="shared" si="10"/>
        <v>1999</v>
      </c>
      <c r="B350" s="607">
        <f t="shared" si="11"/>
        <v>2</v>
      </c>
      <c r="C350" s="666">
        <v>36312</v>
      </c>
      <c r="D350" s="957">
        <v>0.65555714285714284</v>
      </c>
      <c r="E350" s="920">
        <v>158.30037337480914</v>
      </c>
      <c r="F350" s="920">
        <v>241.47456114181264</v>
      </c>
      <c r="G350" s="920"/>
      <c r="H350" s="920"/>
      <c r="I350" s="954">
        <v>261.31</v>
      </c>
      <c r="J350" s="954">
        <v>399.54</v>
      </c>
      <c r="K350" s="954"/>
      <c r="L350" s="920"/>
      <c r="M350" s="917">
        <v>5198.18</v>
      </c>
      <c r="N350" s="917">
        <v>7929.407919109155</v>
      </c>
      <c r="O350" s="1175">
        <v>1422.48</v>
      </c>
      <c r="P350" s="1175">
        <v>2169.8794918172111</v>
      </c>
      <c r="Q350" s="1175">
        <v>496.11</v>
      </c>
      <c r="R350" s="1175">
        <v>756.77613371396194</v>
      </c>
      <c r="S350" s="1175">
        <v>1000.48</v>
      </c>
      <c r="T350" s="1175">
        <v>1526.1522369195234</v>
      </c>
      <c r="U350" s="920">
        <v>325.85095162887762</v>
      </c>
      <c r="V350" s="920">
        <v>497.0595701371011</v>
      </c>
      <c r="W350" s="920">
        <v>1801.3860413648056</v>
      </c>
      <c r="X350" s="920">
        <v>2747.870358812273</v>
      </c>
      <c r="Y350" s="920"/>
      <c r="Z350" s="920"/>
      <c r="AA350" s="920"/>
      <c r="AB350" s="920"/>
      <c r="AC350" s="920">
        <v>5.03</v>
      </c>
      <c r="AD350" s="920">
        <v>7.72</v>
      </c>
      <c r="AE350" s="920">
        <v>47509</v>
      </c>
      <c r="AF350" s="920">
        <v>72471.180457190174</v>
      </c>
      <c r="AG350" s="920">
        <v>356.55700000000002</v>
      </c>
      <c r="AH350" s="920">
        <v>543.89919152738128</v>
      </c>
      <c r="AI350" s="920">
        <v>336.73</v>
      </c>
      <c r="AJ350" s="920">
        <v>513.65468848743717</v>
      </c>
      <c r="AK350" s="920">
        <v>15.77</v>
      </c>
      <c r="AL350" s="920">
        <v>24.055873956721655</v>
      </c>
      <c r="AM350" s="920">
        <v>17.05</v>
      </c>
      <c r="AN350" s="920">
        <v>26.008411601908957</v>
      </c>
      <c r="AO350" s="920"/>
      <c r="AP350" s="920"/>
      <c r="AS350" s="1167"/>
      <c r="AT350" s="1167"/>
      <c r="AU350" s="1168"/>
      <c r="AV350" s="1168"/>
      <c r="AW350" s="1169"/>
      <c r="AX350" s="1169"/>
      <c r="AY350" s="1169"/>
      <c r="AZ350" s="1169"/>
      <c r="BA350" s="1852" t="s">
        <v>1</v>
      </c>
      <c r="BB350" s="1853">
        <v>2006</v>
      </c>
      <c r="BC350" s="1852" t="s">
        <v>51</v>
      </c>
      <c r="BD350" s="1852">
        <v>2</v>
      </c>
      <c r="BE350" s="1854">
        <v>2878194000</v>
      </c>
      <c r="BF350" s="1801">
        <v>0.3195039696635999</v>
      </c>
      <c r="BG350" s="1799"/>
      <c r="BH350" s="1799" t="s">
        <v>280</v>
      </c>
      <c r="BI350" s="1799" t="s">
        <v>315</v>
      </c>
      <c r="BJ350" s="1799" t="s">
        <v>583</v>
      </c>
      <c r="BK350" s="1799">
        <v>7</v>
      </c>
      <c r="BL350" s="1800">
        <v>23246329.380000003</v>
      </c>
      <c r="BM350" s="1801">
        <v>803.95398167041333</v>
      </c>
      <c r="BN350" s="1799">
        <v>2010</v>
      </c>
      <c r="BO350" s="1684"/>
      <c r="BP350" s="1696"/>
      <c r="BQ350" s="1169"/>
      <c r="BR350" s="1169"/>
      <c r="BS350" s="1169"/>
      <c r="BT350" s="1169"/>
      <c r="BU350" s="1169"/>
      <c r="BV350" s="1169"/>
      <c r="BW350" s="1169"/>
      <c r="BX350" s="1169"/>
      <c r="BY350" s="1169"/>
      <c r="BZ350" s="1169"/>
      <c r="CA350" s="1169"/>
      <c r="CB350" s="1169"/>
      <c r="CC350" s="1169"/>
      <c r="CD350" s="1169"/>
      <c r="CE350" s="1169"/>
      <c r="CF350" s="1169"/>
      <c r="CG350" s="1169"/>
      <c r="CH350" s="1169"/>
      <c r="CI350" s="1169"/>
      <c r="CJ350" s="1169"/>
      <c r="CK350" s="1169"/>
      <c r="CL350" s="1169"/>
      <c r="CM350" s="1169"/>
      <c r="CN350" s="1169"/>
      <c r="CO350" s="1169"/>
      <c r="CP350" s="1169"/>
      <c r="CQ350" s="1169"/>
      <c r="CR350" s="1169"/>
      <c r="CS350" s="1169"/>
      <c r="CT350" s="1169"/>
      <c r="CU350" s="1169"/>
      <c r="CV350" s="1169"/>
      <c r="CW350" s="1169"/>
      <c r="CX350" s="1169"/>
      <c r="CY350" s="1169"/>
      <c r="CZ350" s="1169"/>
      <c r="DA350" s="1168"/>
      <c r="DB350" s="1168"/>
      <c r="DC350" s="1168"/>
      <c r="DD350" s="1168"/>
      <c r="DE350" s="1168"/>
      <c r="DF350" s="1168"/>
      <c r="DG350" s="1168"/>
      <c r="DH350" s="1168"/>
      <c r="DI350" s="1168"/>
      <c r="DJ350" s="1168"/>
      <c r="DK350" s="1168"/>
      <c r="DL350" s="1168"/>
      <c r="DM350" s="1168"/>
      <c r="DN350" s="1168"/>
      <c r="DO350" s="1168"/>
      <c r="DP350" s="1168"/>
      <c r="DQ350" s="1168"/>
      <c r="DR350" s="1168"/>
      <c r="DS350" s="1168"/>
      <c r="DT350" s="1168"/>
      <c r="DU350" s="1168"/>
      <c r="DV350" s="1168"/>
      <c r="DW350" s="1168"/>
      <c r="DX350" s="1168"/>
      <c r="DY350" s="1168"/>
      <c r="DZ350" s="1168"/>
      <c r="EA350" s="1168"/>
      <c r="EB350" s="1168"/>
      <c r="EC350" s="1168"/>
      <c r="ED350" s="1168"/>
      <c r="EE350" s="1168"/>
      <c r="EF350" s="1168"/>
      <c r="EG350" s="1168"/>
      <c r="EH350" s="1168"/>
      <c r="EI350" s="1170"/>
      <c r="EJ350" s="1170"/>
      <c r="EK350" s="1170"/>
      <c r="EL350" s="1170"/>
      <c r="EM350" s="1170"/>
      <c r="EN350" s="1170"/>
      <c r="EO350" s="1170"/>
      <c r="EP350" s="1170"/>
      <c r="EQ350" s="1170"/>
      <c r="ER350" s="1170"/>
      <c r="ES350" s="1171"/>
      <c r="ET350" s="1171"/>
      <c r="EU350" s="1171"/>
      <c r="EV350" s="1171"/>
      <c r="EW350" s="1171"/>
      <c r="EX350" s="1171"/>
      <c r="EY350" s="1171"/>
      <c r="EZ350" s="1171"/>
      <c r="FA350" s="1171"/>
      <c r="FB350" s="1171"/>
      <c r="FC350" s="1171"/>
      <c r="FD350" s="1171"/>
      <c r="FE350" s="1171"/>
      <c r="FF350" s="1171"/>
      <c r="FG350" s="1171"/>
      <c r="FH350" s="1171"/>
      <c r="FI350" s="1171"/>
      <c r="FJ350" s="1171"/>
      <c r="FK350" s="1171"/>
      <c r="FL350" s="1171"/>
      <c r="FM350" s="1171"/>
      <c r="FN350" s="1171"/>
      <c r="FO350" s="1171"/>
      <c r="FP350" s="1171"/>
    </row>
    <row r="351" spans="1:172" s="607" customFormat="1">
      <c r="A351" s="607">
        <f t="shared" si="10"/>
        <v>1999</v>
      </c>
      <c r="B351" s="607">
        <f t="shared" si="11"/>
        <v>3</v>
      </c>
      <c r="C351" s="666">
        <v>36342</v>
      </c>
      <c r="D351" s="1709">
        <v>0.65777272727272718</v>
      </c>
      <c r="E351" s="1117">
        <v>167.56102454545453</v>
      </c>
      <c r="F351" s="1117">
        <v>254.74</v>
      </c>
      <c r="G351" s="1117"/>
      <c r="H351" s="1117"/>
      <c r="I351" s="959">
        <v>256.08</v>
      </c>
      <c r="J351" s="959">
        <v>390.68</v>
      </c>
      <c r="K351" s="960"/>
      <c r="L351" s="1121"/>
      <c r="M351" s="916">
        <v>5704.09</v>
      </c>
      <c r="N351" s="916">
        <v>8671.8250293690853</v>
      </c>
      <c r="O351" s="1174">
        <v>1640</v>
      </c>
      <c r="P351" s="1174">
        <v>2493.2623868426513</v>
      </c>
      <c r="Q351" s="1174">
        <v>495</v>
      </c>
      <c r="R351" s="1174">
        <v>752.53956188238556</v>
      </c>
      <c r="S351" s="1174">
        <v>1072.1099999999999</v>
      </c>
      <c r="T351" s="1174">
        <v>1629.9094741206552</v>
      </c>
      <c r="U351" s="1120">
        <v>288.10445454545453</v>
      </c>
      <c r="V351" s="1120">
        <v>438</v>
      </c>
      <c r="W351" s="1120">
        <v>1801.7842099999996</v>
      </c>
      <c r="X351" s="1120">
        <v>2739.22</v>
      </c>
      <c r="Y351" s="1119"/>
      <c r="Z351" s="1119"/>
      <c r="AA351" s="1119"/>
      <c r="AB351" s="1119"/>
      <c r="AC351" s="1178">
        <v>5.17</v>
      </c>
      <c r="AD351" s="1178">
        <v>7.91</v>
      </c>
      <c r="AE351" s="1178">
        <v>45396.4</v>
      </c>
      <c r="AF351" s="1178">
        <v>69015.327206136426</v>
      </c>
      <c r="AG351" s="1178">
        <v>349.09100000000001</v>
      </c>
      <c r="AH351" s="1178">
        <v>530.71674383249263</v>
      </c>
      <c r="AI351" s="1178">
        <v>332.70499999999998</v>
      </c>
      <c r="AJ351" s="1178">
        <v>505.80540391127084</v>
      </c>
      <c r="AK351" s="919">
        <v>19.010000000000002</v>
      </c>
      <c r="AL351" s="919">
        <v>28.900559740170003</v>
      </c>
      <c r="AM351" s="919">
        <v>19.73</v>
      </c>
      <c r="AN351" s="919">
        <v>29.995162739271652</v>
      </c>
      <c r="AO351" s="919"/>
      <c r="AP351" s="919"/>
      <c r="AS351" s="1167"/>
      <c r="AT351" s="1167"/>
      <c r="AU351" s="1168"/>
      <c r="AV351" s="1168"/>
      <c r="AW351" s="1169"/>
      <c r="AX351" s="1169"/>
      <c r="AY351" s="1169"/>
      <c r="AZ351" s="1169"/>
      <c r="BA351" s="1852" t="s">
        <v>1</v>
      </c>
      <c r="BB351" s="1853">
        <v>2006</v>
      </c>
      <c r="BC351" s="1852" t="s">
        <v>77</v>
      </c>
      <c r="BD351" s="1852">
        <v>3</v>
      </c>
      <c r="BE351" s="1854">
        <v>761667000</v>
      </c>
      <c r="BF351" s="1801">
        <v>8.4551503498987601E-2</v>
      </c>
      <c r="BG351" s="1799"/>
      <c r="BH351" s="1799" t="s">
        <v>280</v>
      </c>
      <c r="BI351" s="1799" t="s">
        <v>315</v>
      </c>
      <c r="BJ351" s="1799" t="s">
        <v>21</v>
      </c>
      <c r="BK351" s="1799">
        <v>8</v>
      </c>
      <c r="BL351" s="1800">
        <v>22224783.140000001</v>
      </c>
      <c r="BM351" s="1801">
        <v>768.62469790766045</v>
      </c>
      <c r="BN351" s="1799">
        <v>2010</v>
      </c>
      <c r="BO351" s="1684"/>
      <c r="BP351" s="1696"/>
      <c r="BQ351" s="1169"/>
      <c r="BR351" s="1169"/>
      <c r="BS351" s="1169"/>
      <c r="BT351" s="1169"/>
      <c r="BU351" s="1169"/>
      <c r="BV351" s="1169"/>
      <c r="BW351" s="1169"/>
      <c r="BX351" s="1169"/>
      <c r="BY351" s="1169"/>
      <c r="BZ351" s="1169"/>
      <c r="CA351" s="1169"/>
      <c r="CB351" s="1169"/>
      <c r="CC351" s="1169"/>
      <c r="CD351" s="1169"/>
      <c r="CE351" s="1169"/>
      <c r="CF351" s="1169"/>
      <c r="CG351" s="1169"/>
      <c r="CH351" s="1169"/>
      <c r="CI351" s="1169"/>
      <c r="CJ351" s="1169"/>
      <c r="CK351" s="1169"/>
      <c r="CL351" s="1169"/>
      <c r="CM351" s="1169"/>
      <c r="CN351" s="1169"/>
      <c r="CO351" s="1169"/>
      <c r="CP351" s="1169"/>
      <c r="CQ351" s="1169"/>
      <c r="CR351" s="1169"/>
      <c r="CS351" s="1169"/>
      <c r="CT351" s="1169"/>
      <c r="CU351" s="1169"/>
      <c r="CV351" s="1169"/>
      <c r="CW351" s="1169"/>
      <c r="CX351" s="1169"/>
      <c r="CY351" s="1169"/>
      <c r="CZ351" s="1169"/>
      <c r="DA351" s="1168"/>
      <c r="DB351" s="1168"/>
      <c r="DC351" s="1168"/>
      <c r="DD351" s="1168"/>
      <c r="DE351" s="1168"/>
      <c r="DF351" s="1168"/>
      <c r="DG351" s="1168"/>
      <c r="DH351" s="1168"/>
      <c r="DI351" s="1168"/>
      <c r="DJ351" s="1168"/>
      <c r="DK351" s="1168"/>
      <c r="DL351" s="1168"/>
      <c r="DM351" s="1168"/>
      <c r="DN351" s="1168"/>
      <c r="DO351" s="1168"/>
      <c r="DP351" s="1168"/>
      <c r="DQ351" s="1168"/>
      <c r="DR351" s="1168"/>
      <c r="DS351" s="1168"/>
      <c r="DT351" s="1168"/>
      <c r="DU351" s="1168"/>
      <c r="DV351" s="1168"/>
      <c r="DW351" s="1168"/>
      <c r="DX351" s="1168"/>
      <c r="DY351" s="1168"/>
      <c r="DZ351" s="1168"/>
      <c r="EA351" s="1168"/>
      <c r="EB351" s="1168"/>
      <c r="EC351" s="1168"/>
      <c r="ED351" s="1168"/>
      <c r="EE351" s="1168"/>
      <c r="EF351" s="1168"/>
      <c r="EG351" s="1168"/>
      <c r="EH351" s="1168"/>
      <c r="EI351" s="1170"/>
      <c r="EJ351" s="1170"/>
      <c r="EK351" s="1170"/>
      <c r="EL351" s="1170"/>
      <c r="EM351" s="1170"/>
      <c r="EN351" s="1170"/>
      <c r="EO351" s="1170"/>
      <c r="EP351" s="1170"/>
      <c r="EQ351" s="1170"/>
      <c r="ER351" s="1170"/>
      <c r="ES351" s="1171"/>
      <c r="ET351" s="1171"/>
      <c r="EU351" s="1171"/>
      <c r="EV351" s="1171"/>
      <c r="EW351" s="1171"/>
      <c r="EX351" s="1171"/>
      <c r="EY351" s="1171"/>
      <c r="EZ351" s="1171"/>
      <c r="FA351" s="1171"/>
      <c r="FB351" s="1171"/>
      <c r="FC351" s="1171"/>
      <c r="FD351" s="1171"/>
      <c r="FE351" s="1171"/>
      <c r="FF351" s="1171"/>
      <c r="FG351" s="1171"/>
      <c r="FH351" s="1171"/>
      <c r="FI351" s="1171"/>
      <c r="FJ351" s="1171"/>
      <c r="FK351" s="1171"/>
      <c r="FL351" s="1171"/>
      <c r="FM351" s="1171"/>
      <c r="FN351" s="1171"/>
      <c r="FO351" s="1171"/>
      <c r="FP351" s="1171"/>
    </row>
    <row r="352" spans="1:172" s="607" customFormat="1">
      <c r="A352" s="607">
        <f t="shared" si="10"/>
        <v>1999</v>
      </c>
      <c r="B352" s="607">
        <f t="shared" si="11"/>
        <v>3</v>
      </c>
      <c r="C352" s="666">
        <v>36373</v>
      </c>
      <c r="D352" s="957">
        <v>0.64498571428571416</v>
      </c>
      <c r="E352" s="920">
        <v>167.92848057142854</v>
      </c>
      <c r="F352" s="920">
        <v>260.36</v>
      </c>
      <c r="G352" s="920"/>
      <c r="H352" s="920"/>
      <c r="I352" s="954">
        <v>256.77100000000002</v>
      </c>
      <c r="J352" s="954">
        <v>398.59</v>
      </c>
      <c r="K352" s="954"/>
      <c r="L352" s="920"/>
      <c r="M352" s="917">
        <v>6451.67</v>
      </c>
      <c r="N352" s="917">
        <v>10002.810693481586</v>
      </c>
      <c r="O352" s="1175">
        <v>1647.62</v>
      </c>
      <c r="P352" s="1175">
        <v>2554.5061906133028</v>
      </c>
      <c r="Q352" s="1175">
        <v>503.07</v>
      </c>
      <c r="R352" s="1175">
        <v>779.97076347205928</v>
      </c>
      <c r="S352" s="1175">
        <v>1130.5999999999999</v>
      </c>
      <c r="T352" s="1175">
        <v>1752.9070411304792</v>
      </c>
      <c r="U352" s="920">
        <v>289.27609285714283</v>
      </c>
      <c r="V352" s="920">
        <v>448.5</v>
      </c>
      <c r="W352" s="920">
        <v>1798.9296557142852</v>
      </c>
      <c r="X352" s="920">
        <v>2789.1</v>
      </c>
      <c r="Y352" s="920"/>
      <c r="Z352" s="920"/>
      <c r="AA352" s="920"/>
      <c r="AB352" s="920"/>
      <c r="AC352" s="920">
        <v>5.274</v>
      </c>
      <c r="AD352" s="920">
        <v>8.1999999999999993</v>
      </c>
      <c r="AE352" s="920">
        <v>42659</v>
      </c>
      <c r="AF352" s="920">
        <v>66139.449378723788</v>
      </c>
      <c r="AG352" s="920">
        <v>350.08800000000002</v>
      </c>
      <c r="AH352" s="920">
        <v>542.78411481981891</v>
      </c>
      <c r="AI352" s="920">
        <v>340.13099999999997</v>
      </c>
      <c r="AJ352" s="920">
        <v>527.34656360052281</v>
      </c>
      <c r="AK352" s="920">
        <v>20.22</v>
      </c>
      <c r="AL352" s="920">
        <v>31.349531551086407</v>
      </c>
      <c r="AM352" s="920">
        <v>21.71</v>
      </c>
      <c r="AN352" s="920">
        <v>33.659660236107122</v>
      </c>
      <c r="AO352" s="920"/>
      <c r="AP352" s="920"/>
      <c r="AS352" s="1167"/>
      <c r="AT352" s="1167"/>
      <c r="AU352" s="1168"/>
      <c r="AV352" s="1168"/>
      <c r="AW352" s="1169"/>
      <c r="AX352" s="1169"/>
      <c r="AY352" s="1169"/>
      <c r="AZ352" s="1169"/>
      <c r="BA352" s="1852" t="s">
        <v>1</v>
      </c>
      <c r="BB352" s="1853">
        <v>2006</v>
      </c>
      <c r="BC352" s="1852" t="s">
        <v>28</v>
      </c>
      <c r="BD352" s="1852">
        <v>4</v>
      </c>
      <c r="BE352" s="1854">
        <v>562242000</v>
      </c>
      <c r="BF352" s="1801">
        <v>6.2413635394835E-2</v>
      </c>
      <c r="BG352" s="1799"/>
      <c r="BH352" s="1799" t="s">
        <v>280</v>
      </c>
      <c r="BI352" s="1799" t="s">
        <v>315</v>
      </c>
      <c r="BJ352" s="1799" t="s">
        <v>49</v>
      </c>
      <c r="BK352" s="1799">
        <v>9</v>
      </c>
      <c r="BL352" s="1800">
        <v>21040902.43</v>
      </c>
      <c r="BM352" s="1801">
        <v>727.68121839875494</v>
      </c>
      <c r="BN352" s="1799">
        <v>2010</v>
      </c>
      <c r="BO352" s="1684"/>
      <c r="BP352" s="1696"/>
      <c r="BQ352" s="1169"/>
      <c r="BR352" s="1169"/>
      <c r="BS352" s="1169"/>
      <c r="BT352" s="1169"/>
      <c r="BU352" s="1169"/>
      <c r="BV352" s="1169"/>
      <c r="BW352" s="1169"/>
      <c r="BX352" s="1169"/>
      <c r="BY352" s="1169"/>
      <c r="BZ352" s="1169"/>
      <c r="CA352" s="1169"/>
      <c r="CB352" s="1169"/>
      <c r="CC352" s="1169"/>
      <c r="CD352" s="1169"/>
      <c r="CE352" s="1169"/>
      <c r="CF352" s="1169"/>
      <c r="CG352" s="1169"/>
      <c r="CH352" s="1169"/>
      <c r="CI352" s="1169"/>
      <c r="CJ352" s="1169"/>
      <c r="CK352" s="1169"/>
      <c r="CL352" s="1169"/>
      <c r="CM352" s="1169"/>
      <c r="CN352" s="1169"/>
      <c r="CO352" s="1169"/>
      <c r="CP352" s="1169"/>
      <c r="CQ352" s="1169"/>
      <c r="CR352" s="1169"/>
      <c r="CS352" s="1169"/>
      <c r="CT352" s="1169"/>
      <c r="CU352" s="1169"/>
      <c r="CV352" s="1169"/>
      <c r="CW352" s="1169"/>
      <c r="CX352" s="1169"/>
      <c r="CY352" s="1169"/>
      <c r="CZ352" s="1169"/>
      <c r="DA352" s="1168"/>
      <c r="DB352" s="1168"/>
      <c r="DC352" s="1168"/>
      <c r="DD352" s="1168"/>
      <c r="DE352" s="1168"/>
      <c r="DF352" s="1168"/>
      <c r="DG352" s="1168"/>
      <c r="DH352" s="1168"/>
      <c r="DI352" s="1168"/>
      <c r="DJ352" s="1168"/>
      <c r="DK352" s="1168"/>
      <c r="DL352" s="1168"/>
      <c r="DM352" s="1168"/>
      <c r="DN352" s="1168"/>
      <c r="DO352" s="1168"/>
      <c r="DP352" s="1168"/>
      <c r="DQ352" s="1168"/>
      <c r="DR352" s="1168"/>
      <c r="DS352" s="1168"/>
      <c r="DT352" s="1168"/>
      <c r="DU352" s="1168"/>
      <c r="DV352" s="1168"/>
      <c r="DW352" s="1168"/>
      <c r="DX352" s="1168"/>
      <c r="DY352" s="1168"/>
      <c r="DZ352" s="1168"/>
      <c r="EA352" s="1168"/>
      <c r="EB352" s="1168"/>
      <c r="EC352" s="1168"/>
      <c r="ED352" s="1168"/>
      <c r="EE352" s="1168"/>
      <c r="EF352" s="1168"/>
      <c r="EG352" s="1168"/>
      <c r="EH352" s="1168"/>
      <c r="EI352" s="1170"/>
      <c r="EJ352" s="1170"/>
      <c r="EK352" s="1170"/>
      <c r="EL352" s="1170"/>
      <c r="EM352" s="1170"/>
      <c r="EN352" s="1170"/>
      <c r="EO352" s="1170"/>
      <c r="EP352" s="1170"/>
      <c r="EQ352" s="1170"/>
      <c r="ER352" s="1170"/>
      <c r="ES352" s="1171"/>
      <c r="ET352" s="1171"/>
      <c r="EU352" s="1171"/>
      <c r="EV352" s="1171"/>
      <c r="EW352" s="1171"/>
      <c r="EX352" s="1171"/>
      <c r="EY352" s="1171"/>
      <c r="EZ352" s="1171"/>
      <c r="FA352" s="1171"/>
      <c r="FB352" s="1171"/>
      <c r="FC352" s="1171"/>
      <c r="FD352" s="1171"/>
      <c r="FE352" s="1171"/>
      <c r="FF352" s="1171"/>
      <c r="FG352" s="1171"/>
      <c r="FH352" s="1171"/>
      <c r="FI352" s="1171"/>
      <c r="FJ352" s="1171"/>
      <c r="FK352" s="1171"/>
      <c r="FL352" s="1171"/>
      <c r="FM352" s="1171"/>
      <c r="FN352" s="1171"/>
      <c r="FO352" s="1171"/>
      <c r="FP352" s="1171"/>
    </row>
    <row r="353" spans="1:172" s="607" customFormat="1">
      <c r="A353" s="607">
        <f t="shared" si="10"/>
        <v>1999</v>
      </c>
      <c r="B353" s="607">
        <f t="shared" si="11"/>
        <v>3</v>
      </c>
      <c r="C353" s="666">
        <v>36404</v>
      </c>
      <c r="D353" s="1709">
        <v>0.64893636363636353</v>
      </c>
      <c r="E353" s="1117">
        <v>170.46909336363635</v>
      </c>
      <c r="F353" s="1117">
        <v>262.69</v>
      </c>
      <c r="G353" s="1117"/>
      <c r="H353" s="1117"/>
      <c r="I353" s="959">
        <v>264.81099999999998</v>
      </c>
      <c r="J353" s="959">
        <v>406.46</v>
      </c>
      <c r="K353" s="960"/>
      <c r="L353" s="1121"/>
      <c r="M353" s="916">
        <v>7031.36</v>
      </c>
      <c r="N353" s="916">
        <v>10835.207262233305</v>
      </c>
      <c r="O353" s="1174">
        <v>1750.34</v>
      </c>
      <c r="P353" s="1174">
        <v>2697.244441953967</v>
      </c>
      <c r="Q353" s="1174">
        <v>507.32</v>
      </c>
      <c r="R353" s="1174">
        <v>781.77157026182715</v>
      </c>
      <c r="S353" s="1174">
        <v>1193.75</v>
      </c>
      <c r="T353" s="1174">
        <v>1839.5486320272337</v>
      </c>
      <c r="U353" s="1120">
        <v>404.46256736363631</v>
      </c>
      <c r="V353" s="1120">
        <v>623.27</v>
      </c>
      <c r="W353" s="1120">
        <v>1840.4873570909087</v>
      </c>
      <c r="X353" s="1120">
        <v>2836.16</v>
      </c>
      <c r="Y353" s="1119"/>
      <c r="Z353" s="1119"/>
      <c r="AA353" s="1119"/>
      <c r="AB353" s="1119"/>
      <c r="AC353" s="1178">
        <v>5.2309999999999999</v>
      </c>
      <c r="AD353" s="1178">
        <v>8.09</v>
      </c>
      <c r="AE353" s="1178">
        <v>40592.199999999997</v>
      </c>
      <c r="AF353" s="1178">
        <v>62551.896109718007</v>
      </c>
      <c r="AG353" s="1178">
        <v>370.88600000000002</v>
      </c>
      <c r="AH353" s="1178">
        <v>571.52907555020113</v>
      </c>
      <c r="AI353" s="1178">
        <v>361.625</v>
      </c>
      <c r="AJ353" s="1178">
        <v>557.25803062353793</v>
      </c>
      <c r="AK353" s="919">
        <v>22.4</v>
      </c>
      <c r="AL353" s="919">
        <v>34.51802249835395</v>
      </c>
      <c r="AM353" s="919">
        <v>23.79</v>
      </c>
      <c r="AN353" s="919">
        <v>36.659989073028598</v>
      </c>
      <c r="AO353" s="919"/>
      <c r="AP353" s="919"/>
      <c r="AS353" s="1167"/>
      <c r="AT353" s="1167"/>
      <c r="AU353" s="1168"/>
      <c r="AV353" s="1168"/>
      <c r="AW353" s="1169"/>
      <c r="AX353" s="1169"/>
      <c r="AY353" s="1169"/>
      <c r="AZ353" s="1169"/>
      <c r="BA353" s="1852" t="s">
        <v>1</v>
      </c>
      <c r="BB353" s="1853">
        <v>2006</v>
      </c>
      <c r="BC353" s="1852" t="s">
        <v>49</v>
      </c>
      <c r="BD353" s="1852">
        <v>5</v>
      </c>
      <c r="BE353" s="1854">
        <v>383393000</v>
      </c>
      <c r="BF353" s="1801">
        <v>4.2559877979467871E-2</v>
      </c>
      <c r="BG353" s="1799"/>
      <c r="BH353" s="1799" t="s">
        <v>280</v>
      </c>
      <c r="BI353" s="1799" t="s">
        <v>315</v>
      </c>
      <c r="BJ353" s="1799" t="s">
        <v>52</v>
      </c>
      <c r="BK353" s="1799">
        <v>10</v>
      </c>
      <c r="BL353" s="1800">
        <v>20433783.539999999</v>
      </c>
      <c r="BM353" s="1801">
        <v>706.68454227909388</v>
      </c>
      <c r="BN353" s="1799">
        <v>2010</v>
      </c>
      <c r="BO353" s="1684"/>
      <c r="BP353" s="1696"/>
      <c r="BQ353" s="1169"/>
      <c r="BR353" s="1169"/>
      <c r="BS353" s="1169"/>
      <c r="BT353" s="1169"/>
      <c r="BU353" s="1169"/>
      <c r="BV353" s="1169"/>
      <c r="BW353" s="1169"/>
      <c r="BX353" s="1169"/>
      <c r="BY353" s="1169"/>
      <c r="BZ353" s="1169"/>
      <c r="CA353" s="1169"/>
      <c r="CB353" s="1169"/>
      <c r="CC353" s="1169"/>
      <c r="CD353" s="1169"/>
      <c r="CE353" s="1169"/>
      <c r="CF353" s="1169"/>
      <c r="CG353" s="1169"/>
      <c r="CH353" s="1169"/>
      <c r="CI353" s="1169"/>
      <c r="CJ353" s="1169"/>
      <c r="CK353" s="1169"/>
      <c r="CL353" s="1169"/>
      <c r="CM353" s="1169"/>
      <c r="CN353" s="1169"/>
      <c r="CO353" s="1169"/>
      <c r="CP353" s="1169"/>
      <c r="CQ353" s="1169"/>
      <c r="CR353" s="1169"/>
      <c r="CS353" s="1169"/>
      <c r="CT353" s="1169"/>
      <c r="CU353" s="1169"/>
      <c r="CV353" s="1169"/>
      <c r="CW353" s="1169"/>
      <c r="CX353" s="1169"/>
      <c r="CY353" s="1169"/>
      <c r="CZ353" s="1169"/>
      <c r="DA353" s="1168"/>
      <c r="DB353" s="1168"/>
      <c r="DC353" s="1168"/>
      <c r="DD353" s="1168"/>
      <c r="DE353" s="1168"/>
      <c r="DF353" s="1168"/>
      <c r="DG353" s="1168"/>
      <c r="DH353" s="1168"/>
      <c r="DI353" s="1168"/>
      <c r="DJ353" s="1168"/>
      <c r="DK353" s="1168"/>
      <c r="DL353" s="1168"/>
      <c r="DM353" s="1168"/>
      <c r="DN353" s="1168"/>
      <c r="DO353" s="1168"/>
      <c r="DP353" s="1168"/>
      <c r="DQ353" s="1168"/>
      <c r="DR353" s="1168"/>
      <c r="DS353" s="1168"/>
      <c r="DT353" s="1168"/>
      <c r="DU353" s="1168"/>
      <c r="DV353" s="1168"/>
      <c r="DW353" s="1168"/>
      <c r="DX353" s="1168"/>
      <c r="DY353" s="1168"/>
      <c r="DZ353" s="1168"/>
      <c r="EA353" s="1168"/>
      <c r="EB353" s="1168"/>
      <c r="EC353" s="1168"/>
      <c r="ED353" s="1168"/>
      <c r="EE353" s="1168"/>
      <c r="EF353" s="1168"/>
      <c r="EG353" s="1168"/>
      <c r="EH353" s="1168"/>
      <c r="EI353" s="1170"/>
      <c r="EJ353" s="1170"/>
      <c r="EK353" s="1170"/>
      <c r="EL353" s="1170"/>
      <c r="EM353" s="1170"/>
      <c r="EN353" s="1170"/>
      <c r="EO353" s="1170"/>
      <c r="EP353" s="1170"/>
      <c r="EQ353" s="1170"/>
      <c r="ER353" s="1170"/>
      <c r="ES353" s="1171"/>
      <c r="ET353" s="1171"/>
      <c r="EU353" s="1171"/>
      <c r="EV353" s="1171"/>
      <c r="EW353" s="1171"/>
      <c r="EX353" s="1171"/>
      <c r="EY353" s="1171"/>
      <c r="EZ353" s="1171"/>
      <c r="FA353" s="1171"/>
      <c r="FB353" s="1171"/>
      <c r="FC353" s="1171"/>
      <c r="FD353" s="1171"/>
      <c r="FE353" s="1171"/>
      <c r="FF353" s="1171"/>
      <c r="FG353" s="1171"/>
      <c r="FH353" s="1171"/>
      <c r="FI353" s="1171"/>
      <c r="FJ353" s="1171"/>
      <c r="FK353" s="1171"/>
      <c r="FL353" s="1171"/>
      <c r="FM353" s="1171"/>
      <c r="FN353" s="1171"/>
      <c r="FO353" s="1171"/>
      <c r="FP353" s="1171"/>
    </row>
    <row r="354" spans="1:172" s="607" customFormat="1">
      <c r="A354" s="607">
        <f t="shared" si="10"/>
        <v>1999</v>
      </c>
      <c r="B354" s="607">
        <f t="shared" si="11"/>
        <v>4</v>
      </c>
      <c r="C354" s="666">
        <v>36434</v>
      </c>
      <c r="D354" s="957">
        <v>0.65146000000000004</v>
      </c>
      <c r="E354" s="920">
        <v>181.78991300000001</v>
      </c>
      <c r="F354" s="920">
        <v>279.05</v>
      </c>
      <c r="G354" s="920"/>
      <c r="H354" s="920"/>
      <c r="I354" s="954">
        <v>310.71899999999999</v>
      </c>
      <c r="J354" s="954">
        <v>479.01</v>
      </c>
      <c r="K354" s="954"/>
      <c r="L354" s="920"/>
      <c r="M354" s="917">
        <v>7324.76</v>
      </c>
      <c r="N354" s="917">
        <v>11243.606668099346</v>
      </c>
      <c r="O354" s="1175">
        <v>1724.12</v>
      </c>
      <c r="P354" s="1175">
        <v>2646.5477542750127</v>
      </c>
      <c r="Q354" s="1175">
        <v>497.1</v>
      </c>
      <c r="R354" s="1175">
        <v>763.05529119209154</v>
      </c>
      <c r="S354" s="1175">
        <v>1148.74</v>
      </c>
      <c r="T354" s="1175">
        <v>1763.3315936511833</v>
      </c>
      <c r="U354" s="920">
        <v>371.66444460000002</v>
      </c>
      <c r="V354" s="920">
        <v>570.51</v>
      </c>
      <c r="W354" s="920">
        <v>1856.4785912</v>
      </c>
      <c r="X354" s="920">
        <v>2849.72</v>
      </c>
      <c r="Y354" s="920"/>
      <c r="Z354" s="920"/>
      <c r="AA354" s="920"/>
      <c r="AB354" s="920"/>
      <c r="AC354" s="920">
        <v>5.4089999999999998</v>
      </c>
      <c r="AD354" s="920">
        <v>8.32</v>
      </c>
      <c r="AE354" s="920">
        <v>34612</v>
      </c>
      <c r="AF354" s="920">
        <v>53129.892856046419</v>
      </c>
      <c r="AG354" s="920">
        <v>421.286</v>
      </c>
      <c r="AH354" s="920">
        <v>646.67976544991245</v>
      </c>
      <c r="AI354" s="920">
        <v>386.64299999999997</v>
      </c>
      <c r="AJ354" s="920">
        <v>593.50228717035577</v>
      </c>
      <c r="AK354" s="920">
        <v>21.95</v>
      </c>
      <c r="AL354" s="920">
        <v>33.693549872593863</v>
      </c>
      <c r="AM354" s="920">
        <v>23.6</v>
      </c>
      <c r="AN354" s="920">
        <v>36.22632241426949</v>
      </c>
      <c r="AO354" s="920"/>
      <c r="AP354" s="920"/>
      <c r="AS354" s="1167"/>
      <c r="AT354" s="1167"/>
      <c r="AU354" s="1168"/>
      <c r="AV354" s="1168"/>
      <c r="AW354" s="1169"/>
      <c r="AX354" s="1169"/>
      <c r="AY354" s="1169"/>
      <c r="AZ354" s="1169"/>
      <c r="BA354" s="1852" t="s">
        <v>1</v>
      </c>
      <c r="BB354" s="1853">
        <v>2006</v>
      </c>
      <c r="BC354" s="1852" t="s">
        <v>20</v>
      </c>
      <c r="BD354" s="1852">
        <v>6</v>
      </c>
      <c r="BE354" s="1854">
        <v>285130000</v>
      </c>
      <c r="BF354" s="1801">
        <v>3.1651850733544103E-2</v>
      </c>
      <c r="BG354" s="1799"/>
      <c r="BH354" s="1799" t="s">
        <v>280</v>
      </c>
      <c r="BI354" s="1799" t="s">
        <v>315</v>
      </c>
      <c r="BJ354" s="1799" t="s">
        <v>20</v>
      </c>
      <c r="BK354" s="1799">
        <v>11</v>
      </c>
      <c r="BL354" s="1800">
        <v>20409669.099999998</v>
      </c>
      <c r="BM354" s="1801">
        <v>705.85056545045813</v>
      </c>
      <c r="BN354" s="1799">
        <v>2010</v>
      </c>
      <c r="BO354" s="1684"/>
      <c r="BP354" s="1696"/>
      <c r="BQ354" s="1169"/>
      <c r="BR354" s="1169"/>
      <c r="BS354" s="1169"/>
      <c r="BT354" s="1169"/>
      <c r="BU354" s="1169"/>
      <c r="BV354" s="1169"/>
      <c r="BW354" s="1169"/>
      <c r="BX354" s="1169"/>
      <c r="BY354" s="1169"/>
      <c r="BZ354" s="1169"/>
      <c r="CA354" s="1169"/>
      <c r="CB354" s="1169"/>
      <c r="CC354" s="1169"/>
      <c r="CD354" s="1169"/>
      <c r="CE354" s="1169"/>
      <c r="CF354" s="1169"/>
      <c r="CG354" s="1169"/>
      <c r="CH354" s="1169"/>
      <c r="CI354" s="1169"/>
      <c r="CJ354" s="1169"/>
      <c r="CK354" s="1169"/>
      <c r="CL354" s="1169"/>
      <c r="CM354" s="1169"/>
      <c r="CN354" s="1169"/>
      <c r="CO354" s="1169"/>
      <c r="CP354" s="1169"/>
      <c r="CQ354" s="1169"/>
      <c r="CR354" s="1169"/>
      <c r="CS354" s="1169"/>
      <c r="CT354" s="1169"/>
      <c r="CU354" s="1169"/>
      <c r="CV354" s="1169"/>
      <c r="CW354" s="1169"/>
      <c r="CX354" s="1169"/>
      <c r="CY354" s="1169"/>
      <c r="CZ354" s="1169"/>
      <c r="DA354" s="1168"/>
      <c r="DB354" s="1168"/>
      <c r="DC354" s="1168"/>
      <c r="DD354" s="1168"/>
      <c r="DE354" s="1168"/>
      <c r="DF354" s="1168"/>
      <c r="DG354" s="1168"/>
      <c r="DH354" s="1168"/>
      <c r="DI354" s="1168"/>
      <c r="DJ354" s="1168"/>
      <c r="DK354" s="1168"/>
      <c r="DL354" s="1168"/>
      <c r="DM354" s="1168"/>
      <c r="DN354" s="1168"/>
      <c r="DO354" s="1168"/>
      <c r="DP354" s="1168"/>
      <c r="DQ354" s="1168"/>
      <c r="DR354" s="1168"/>
      <c r="DS354" s="1168"/>
      <c r="DT354" s="1168"/>
      <c r="DU354" s="1168"/>
      <c r="DV354" s="1168"/>
      <c r="DW354" s="1168"/>
      <c r="DX354" s="1168"/>
      <c r="DY354" s="1168"/>
      <c r="DZ354" s="1168"/>
      <c r="EA354" s="1168"/>
      <c r="EB354" s="1168"/>
      <c r="EC354" s="1168"/>
      <c r="ED354" s="1168"/>
      <c r="EE354" s="1168"/>
      <c r="EF354" s="1168"/>
      <c r="EG354" s="1168"/>
      <c r="EH354" s="1168"/>
      <c r="EI354" s="1170"/>
      <c r="EJ354" s="1170"/>
      <c r="EK354" s="1170"/>
      <c r="EL354" s="1170"/>
      <c r="EM354" s="1170"/>
      <c r="EN354" s="1170"/>
      <c r="EO354" s="1170"/>
      <c r="EP354" s="1170"/>
      <c r="EQ354" s="1170"/>
      <c r="ER354" s="1170"/>
      <c r="ES354" s="1171"/>
      <c r="ET354" s="1171"/>
      <c r="EU354" s="1171"/>
      <c r="EV354" s="1171"/>
      <c r="EW354" s="1171"/>
      <c r="EX354" s="1171"/>
      <c r="EY354" s="1171"/>
      <c r="EZ354" s="1171"/>
      <c r="FA354" s="1171"/>
      <c r="FB354" s="1171"/>
      <c r="FC354" s="1171"/>
      <c r="FD354" s="1171"/>
      <c r="FE354" s="1171"/>
      <c r="FF354" s="1171"/>
      <c r="FG354" s="1171"/>
      <c r="FH354" s="1171"/>
      <c r="FI354" s="1171"/>
      <c r="FJ354" s="1171"/>
      <c r="FK354" s="1171"/>
      <c r="FL354" s="1171"/>
      <c r="FM354" s="1171"/>
      <c r="FN354" s="1171"/>
      <c r="FO354" s="1171"/>
      <c r="FP354" s="1171"/>
    </row>
    <row r="355" spans="1:172" s="607" customFormat="1">
      <c r="A355" s="607">
        <f t="shared" si="10"/>
        <v>1999</v>
      </c>
      <c r="B355" s="607">
        <f t="shared" si="11"/>
        <v>4</v>
      </c>
      <c r="C355" s="666">
        <v>36465</v>
      </c>
      <c r="D355" s="1709">
        <v>0.63953636363636368</v>
      </c>
      <c r="E355" s="1117">
        <v>184.08414690909092</v>
      </c>
      <c r="F355" s="1117">
        <v>287.83999999999997</v>
      </c>
      <c r="G355" s="1117"/>
      <c r="H355" s="1117"/>
      <c r="I355" s="959">
        <v>293.18400000000003</v>
      </c>
      <c r="J355" s="959">
        <v>461.13</v>
      </c>
      <c r="K355" s="960"/>
      <c r="L355" s="1121"/>
      <c r="M355" s="916">
        <v>7952.73</v>
      </c>
      <c r="N355" s="916">
        <v>12435.149042630313</v>
      </c>
      <c r="O355" s="1174">
        <v>1727.55</v>
      </c>
      <c r="P355" s="1174">
        <v>2701.2537491648777</v>
      </c>
      <c r="Q355" s="1174">
        <v>478.32</v>
      </c>
      <c r="R355" s="1174">
        <v>747.91681473794927</v>
      </c>
      <c r="S355" s="1174">
        <v>1147.1600000000001</v>
      </c>
      <c r="T355" s="1174">
        <v>1793.7369401128658</v>
      </c>
      <c r="U355" s="1120">
        <v>351.48918545454552</v>
      </c>
      <c r="V355" s="1120">
        <v>549.6</v>
      </c>
      <c r="W355" s="1120">
        <v>1854.5339426363637</v>
      </c>
      <c r="X355" s="1120">
        <v>2899.81</v>
      </c>
      <c r="Y355" s="1119"/>
      <c r="Z355" s="1119"/>
      <c r="AA355" s="1119"/>
      <c r="AB355" s="1119"/>
      <c r="AC355" s="1178">
        <v>5.1559999999999997</v>
      </c>
      <c r="AD355" s="1178">
        <v>8.11</v>
      </c>
      <c r="AE355" s="1178">
        <v>31489</v>
      </c>
      <c r="AF355" s="1178">
        <v>49237.231517150205</v>
      </c>
      <c r="AG355" s="1178">
        <v>434.02300000000002</v>
      </c>
      <c r="AH355" s="1178">
        <v>678.65257501883468</v>
      </c>
      <c r="AI355" s="1178">
        <v>400.84100000000001</v>
      </c>
      <c r="AJ355" s="1178">
        <v>626.76811326387008</v>
      </c>
      <c r="AK355" s="919">
        <v>24.59</v>
      </c>
      <c r="AL355" s="919">
        <v>38.449729207238192</v>
      </c>
      <c r="AM355" s="919">
        <v>24.89</v>
      </c>
      <c r="AN355" s="919">
        <v>38.91881903083199</v>
      </c>
      <c r="AO355" s="919"/>
      <c r="AP355" s="919"/>
      <c r="AS355" s="1167"/>
      <c r="AT355" s="1167"/>
      <c r="AU355" s="1168"/>
      <c r="AV355" s="1168"/>
      <c r="AW355" s="1169"/>
      <c r="AX355" s="1169"/>
      <c r="AY355" s="1169"/>
      <c r="AZ355" s="1169"/>
      <c r="BA355" s="1852" t="s">
        <v>1</v>
      </c>
      <c r="BB355" s="1853">
        <v>2006</v>
      </c>
      <c r="BC355" s="1852" t="s">
        <v>241</v>
      </c>
      <c r="BD355" s="1852">
        <v>7</v>
      </c>
      <c r="BE355" s="1854">
        <v>205756000</v>
      </c>
      <c r="BF355" s="1801">
        <v>2.2840662853895067E-2</v>
      </c>
      <c r="BG355" s="1799"/>
      <c r="BH355" s="1799" t="s">
        <v>280</v>
      </c>
      <c r="BI355" s="1799" t="s">
        <v>315</v>
      </c>
      <c r="BJ355" s="1799" t="s">
        <v>32</v>
      </c>
      <c r="BK355" s="1799"/>
      <c r="BL355" s="1800">
        <v>90066413.050000072</v>
      </c>
      <c r="BM355" s="1801">
        <v>3114.8681670413307</v>
      </c>
      <c r="BN355" s="1799">
        <v>2010</v>
      </c>
      <c r="BO355" s="1684"/>
      <c r="BP355" s="1696"/>
      <c r="BQ355" s="1169"/>
      <c r="BR355" s="1169"/>
      <c r="BS355" s="1169"/>
      <c r="BT355" s="1169"/>
      <c r="BU355" s="1169"/>
      <c r="BV355" s="1169"/>
      <c r="BW355" s="1169"/>
      <c r="BX355" s="1169"/>
      <c r="BY355" s="1169"/>
      <c r="BZ355" s="1169"/>
      <c r="CA355" s="1169"/>
      <c r="CB355" s="1169"/>
      <c r="CC355" s="1169"/>
      <c r="CD355" s="1169"/>
      <c r="CE355" s="1169"/>
      <c r="CF355" s="1169"/>
      <c r="CG355" s="1169"/>
      <c r="CH355" s="1169"/>
      <c r="CI355" s="1169"/>
      <c r="CJ355" s="1169"/>
      <c r="CK355" s="1169"/>
      <c r="CL355" s="1169"/>
      <c r="CM355" s="1169"/>
      <c r="CN355" s="1169"/>
      <c r="CO355" s="1169"/>
      <c r="CP355" s="1169"/>
      <c r="CQ355" s="1169"/>
      <c r="CR355" s="1169"/>
      <c r="CS355" s="1169"/>
      <c r="CT355" s="1169"/>
      <c r="CU355" s="1169"/>
      <c r="CV355" s="1169"/>
      <c r="CW355" s="1169"/>
      <c r="CX355" s="1169"/>
      <c r="CY355" s="1169"/>
      <c r="CZ355" s="1169"/>
      <c r="DA355" s="1168"/>
      <c r="DB355" s="1168"/>
      <c r="DC355" s="1168"/>
      <c r="DD355" s="1168"/>
      <c r="DE355" s="1168"/>
      <c r="DF355" s="1168"/>
      <c r="DG355" s="1168"/>
      <c r="DH355" s="1168"/>
      <c r="DI355" s="1168"/>
      <c r="DJ355" s="1168"/>
      <c r="DK355" s="1168"/>
      <c r="DL355" s="1168"/>
      <c r="DM355" s="1168"/>
      <c r="DN355" s="1168"/>
      <c r="DO355" s="1168"/>
      <c r="DP355" s="1168"/>
      <c r="DQ355" s="1168"/>
      <c r="DR355" s="1168"/>
      <c r="DS355" s="1168"/>
      <c r="DT355" s="1168"/>
      <c r="DU355" s="1168"/>
      <c r="DV355" s="1168"/>
      <c r="DW355" s="1168"/>
      <c r="DX355" s="1168"/>
      <c r="DY355" s="1168"/>
      <c r="DZ355" s="1168"/>
      <c r="EA355" s="1168"/>
      <c r="EB355" s="1168"/>
      <c r="EC355" s="1168"/>
      <c r="ED355" s="1168"/>
      <c r="EE355" s="1168"/>
      <c r="EF355" s="1168"/>
      <c r="EG355" s="1168"/>
      <c r="EH355" s="1168"/>
      <c r="EI355" s="1170"/>
      <c r="EJ355" s="1170"/>
      <c r="EK355" s="1170"/>
      <c r="EL355" s="1170"/>
      <c r="EM355" s="1170"/>
      <c r="EN355" s="1170"/>
      <c r="EO355" s="1170"/>
      <c r="EP355" s="1170"/>
      <c r="EQ355" s="1170"/>
      <c r="ER355" s="1170"/>
      <c r="ES355" s="1171"/>
      <c r="ET355" s="1171"/>
      <c r="EU355" s="1171"/>
      <c r="EV355" s="1171"/>
      <c r="EW355" s="1171"/>
      <c r="EX355" s="1171"/>
      <c r="EY355" s="1171"/>
      <c r="EZ355" s="1171"/>
      <c r="FA355" s="1171"/>
      <c r="FB355" s="1171"/>
      <c r="FC355" s="1171"/>
      <c r="FD355" s="1171"/>
      <c r="FE355" s="1171"/>
      <c r="FF355" s="1171"/>
      <c r="FG355" s="1171"/>
      <c r="FH355" s="1171"/>
      <c r="FI355" s="1171"/>
      <c r="FJ355" s="1171"/>
      <c r="FK355" s="1171"/>
      <c r="FL355" s="1171"/>
      <c r="FM355" s="1171"/>
      <c r="FN355" s="1171"/>
      <c r="FO355" s="1171"/>
      <c r="FP355" s="1171"/>
    </row>
    <row r="356" spans="1:172" s="607" customFormat="1">
      <c r="A356" s="607">
        <f t="shared" si="10"/>
        <v>1999</v>
      </c>
      <c r="B356" s="607">
        <f t="shared" si="11"/>
        <v>4</v>
      </c>
      <c r="C356" s="666">
        <v>36495</v>
      </c>
      <c r="D356" s="957">
        <v>0.64011904761904759</v>
      </c>
      <c r="E356" s="920">
        <v>185.17363809523806</v>
      </c>
      <c r="F356" s="920">
        <v>289.27999999999997</v>
      </c>
      <c r="G356" s="920"/>
      <c r="H356" s="920"/>
      <c r="I356" s="954">
        <v>283.22300000000001</v>
      </c>
      <c r="J356" s="954">
        <v>445.3</v>
      </c>
      <c r="K356" s="954"/>
      <c r="L356" s="920"/>
      <c r="M356" s="917">
        <v>8087.25</v>
      </c>
      <c r="N356" s="917">
        <v>12633.978054677331</v>
      </c>
      <c r="O356" s="1175">
        <v>1764.75</v>
      </c>
      <c r="P356" s="1175">
        <v>2756.9090570950348</v>
      </c>
      <c r="Q356" s="1175">
        <v>479.05</v>
      </c>
      <c r="R356" s="1175">
        <v>748.3764180769947</v>
      </c>
      <c r="S356" s="1175">
        <v>1183.75</v>
      </c>
      <c r="T356" s="1175">
        <v>1849.265389622466</v>
      </c>
      <c r="U356" s="920">
        <v>395.04947023809518</v>
      </c>
      <c r="V356" s="920">
        <v>617.15</v>
      </c>
      <c r="W356" s="920">
        <v>1886.1491809523809</v>
      </c>
      <c r="X356" s="920">
        <v>2946.56</v>
      </c>
      <c r="Y356" s="920"/>
      <c r="Z356" s="920"/>
      <c r="AA356" s="920"/>
      <c r="AB356" s="920"/>
      <c r="AC356" s="920">
        <v>5.16</v>
      </c>
      <c r="AD356" s="920">
        <v>8.14</v>
      </c>
      <c r="AE356" s="920">
        <v>32283.599999999999</v>
      </c>
      <c r="AF356" s="920">
        <v>50433.743723265761</v>
      </c>
      <c r="AG356" s="920">
        <v>438.85</v>
      </c>
      <c r="AH356" s="920">
        <v>685.57559977682729</v>
      </c>
      <c r="AI356" s="920">
        <v>424.55</v>
      </c>
      <c r="AJ356" s="920">
        <v>663.23600520736477</v>
      </c>
      <c r="AK356" s="920">
        <v>25.59</v>
      </c>
      <c r="AL356" s="920">
        <v>39.976938813464756</v>
      </c>
      <c r="AM356" s="920">
        <v>25.19</v>
      </c>
      <c r="AN356" s="920">
        <v>39.35205504928399</v>
      </c>
      <c r="AO356" s="920"/>
      <c r="AP356" s="920"/>
      <c r="AS356" s="1167"/>
      <c r="AT356" s="1167"/>
      <c r="AU356" s="1168"/>
      <c r="AV356" s="1168"/>
      <c r="AW356" s="1169"/>
      <c r="AX356" s="1169"/>
      <c r="AY356" s="1169"/>
      <c r="AZ356" s="1169"/>
      <c r="BA356" s="1852" t="s">
        <v>1</v>
      </c>
      <c r="BB356" s="1853">
        <v>2006</v>
      </c>
      <c r="BC356" s="1852" t="s">
        <v>29</v>
      </c>
      <c r="BD356" s="1852">
        <v>8</v>
      </c>
      <c r="BE356" s="1854">
        <v>200634000</v>
      </c>
      <c r="BF356" s="1801">
        <v>2.2272077368477142E-2</v>
      </c>
      <c r="BG356" s="1799"/>
      <c r="BH356" s="1799" t="s">
        <v>280</v>
      </c>
      <c r="BI356" s="1799" t="s">
        <v>315</v>
      </c>
      <c r="BJ356" s="1799" t="s">
        <v>249</v>
      </c>
      <c r="BK356" s="1799"/>
      <c r="BL356" s="1800">
        <v>695296697.07000005</v>
      </c>
      <c r="BM356" s="1801"/>
      <c r="BN356" s="1799">
        <v>2010</v>
      </c>
      <c r="BO356" s="1684"/>
      <c r="BP356" s="1696"/>
      <c r="BQ356" s="1169"/>
      <c r="BR356" s="1169"/>
      <c r="BS356" s="1169"/>
      <c r="BT356" s="1169"/>
      <c r="BU356" s="1169"/>
      <c r="BV356" s="1169"/>
      <c r="BW356" s="1169"/>
      <c r="BX356" s="1169"/>
      <c r="BY356" s="1169"/>
      <c r="BZ356" s="1169"/>
      <c r="CA356" s="1169"/>
      <c r="CB356" s="1169"/>
      <c r="CC356" s="1169"/>
      <c r="CD356" s="1169"/>
      <c r="CE356" s="1169"/>
      <c r="CF356" s="1169"/>
      <c r="CG356" s="1169"/>
      <c r="CH356" s="1169"/>
      <c r="CI356" s="1169"/>
      <c r="CJ356" s="1169"/>
      <c r="CK356" s="1169"/>
      <c r="CL356" s="1169"/>
      <c r="CM356" s="1169"/>
      <c r="CN356" s="1169"/>
      <c r="CO356" s="1169"/>
      <c r="CP356" s="1169"/>
      <c r="CQ356" s="1169"/>
      <c r="CR356" s="1169"/>
      <c r="CS356" s="1169"/>
      <c r="CT356" s="1169"/>
      <c r="CU356" s="1169"/>
      <c r="CV356" s="1169"/>
      <c r="CW356" s="1169"/>
      <c r="CX356" s="1169"/>
      <c r="CY356" s="1169"/>
      <c r="CZ356" s="1169"/>
      <c r="DA356" s="1168"/>
      <c r="DB356" s="1168"/>
      <c r="DC356" s="1168"/>
      <c r="DD356" s="1168"/>
      <c r="DE356" s="1168"/>
      <c r="DF356" s="1168"/>
      <c r="DG356" s="1168"/>
      <c r="DH356" s="1168"/>
      <c r="DI356" s="1168"/>
      <c r="DJ356" s="1168"/>
      <c r="DK356" s="1168"/>
      <c r="DL356" s="1168"/>
      <c r="DM356" s="1168"/>
      <c r="DN356" s="1168"/>
      <c r="DO356" s="1168"/>
      <c r="DP356" s="1168"/>
      <c r="DQ356" s="1168"/>
      <c r="DR356" s="1168"/>
      <c r="DS356" s="1168"/>
      <c r="DT356" s="1168"/>
      <c r="DU356" s="1168"/>
      <c r="DV356" s="1168"/>
      <c r="DW356" s="1168"/>
      <c r="DX356" s="1168"/>
      <c r="DY356" s="1168"/>
      <c r="DZ356" s="1168"/>
      <c r="EA356" s="1168"/>
      <c r="EB356" s="1168"/>
      <c r="EC356" s="1168"/>
      <c r="ED356" s="1168"/>
      <c r="EE356" s="1168"/>
      <c r="EF356" s="1168"/>
      <c r="EG356" s="1168"/>
      <c r="EH356" s="1168"/>
      <c r="EI356" s="1170"/>
      <c r="EJ356" s="1170"/>
      <c r="EK356" s="1170"/>
      <c r="EL356" s="1170"/>
      <c r="EM356" s="1170"/>
      <c r="EN356" s="1170"/>
      <c r="EO356" s="1170"/>
      <c r="EP356" s="1170"/>
      <c r="EQ356" s="1170"/>
      <c r="ER356" s="1170"/>
      <c r="ES356" s="1171"/>
      <c r="ET356" s="1171"/>
      <c r="EU356" s="1171"/>
      <c r="EV356" s="1171"/>
      <c r="EW356" s="1171"/>
      <c r="EX356" s="1171"/>
      <c r="EY356" s="1171"/>
      <c r="EZ356" s="1171"/>
      <c r="FA356" s="1171"/>
      <c r="FB356" s="1171"/>
      <c r="FC356" s="1171"/>
      <c r="FD356" s="1171"/>
      <c r="FE356" s="1171"/>
      <c r="FF356" s="1171"/>
      <c r="FG356" s="1171"/>
      <c r="FH356" s="1171"/>
      <c r="FI356" s="1171"/>
      <c r="FJ356" s="1171"/>
      <c r="FK356" s="1171"/>
      <c r="FL356" s="1171"/>
      <c r="FM356" s="1171"/>
      <c r="FN356" s="1171"/>
      <c r="FO356" s="1171"/>
      <c r="FP356" s="1171"/>
    </row>
    <row r="357" spans="1:172" s="607" customFormat="1">
      <c r="A357" s="607">
        <f t="shared" si="10"/>
        <v>2000</v>
      </c>
      <c r="B357" s="607">
        <f t="shared" si="11"/>
        <v>1</v>
      </c>
      <c r="C357" s="666">
        <v>36526</v>
      </c>
      <c r="D357" s="1709">
        <v>0.65793157894736842</v>
      </c>
      <c r="E357" s="1117">
        <v>192.02391063157896</v>
      </c>
      <c r="F357" s="1117">
        <v>291.86</v>
      </c>
      <c r="G357" s="1117"/>
      <c r="H357" s="1117"/>
      <c r="I357" s="959">
        <v>284.315</v>
      </c>
      <c r="J357" s="959">
        <v>434.08</v>
      </c>
      <c r="K357" s="960"/>
      <c r="L357" s="1121"/>
      <c r="M357" s="916">
        <v>8313.75</v>
      </c>
      <c r="N357" s="916">
        <v>12636.192373227099</v>
      </c>
      <c r="O357" s="1174">
        <v>1843.98</v>
      </c>
      <c r="P357" s="1174">
        <v>2802.692649211644</v>
      </c>
      <c r="Q357" s="1174">
        <v>472.08</v>
      </c>
      <c r="R357" s="1174">
        <v>717.52141880054717</v>
      </c>
      <c r="S357" s="1174">
        <v>1178.8</v>
      </c>
      <c r="T357" s="1174">
        <v>1791.6756661626948</v>
      </c>
      <c r="U357" s="1120">
        <v>361.05969189473683</v>
      </c>
      <c r="V357" s="1120">
        <v>548.78</v>
      </c>
      <c r="W357" s="1120">
        <v>1877.9406851052631</v>
      </c>
      <c r="X357" s="1120">
        <v>2854.31</v>
      </c>
      <c r="Y357" s="1119"/>
      <c r="Z357" s="1119"/>
      <c r="AA357" s="1119"/>
      <c r="AB357" s="1119"/>
      <c r="AC357" s="1178">
        <v>5.1870000000000003</v>
      </c>
      <c r="AD357" s="1178">
        <v>7.93</v>
      </c>
      <c r="AE357" s="1178">
        <v>32283.599999999999</v>
      </c>
      <c r="AF357" s="1178">
        <v>49068.32417384626</v>
      </c>
      <c r="AG357" s="1178">
        <v>441.7</v>
      </c>
      <c r="AH357" s="1178">
        <v>671.34640460134233</v>
      </c>
      <c r="AI357" s="1178">
        <v>452.35</v>
      </c>
      <c r="AJ357" s="1178">
        <v>687.53349812410511</v>
      </c>
      <c r="AK357" s="919">
        <v>25.4</v>
      </c>
      <c r="AL357" s="919">
        <v>38.605838073067908</v>
      </c>
      <c r="AM357" s="919">
        <v>27.26</v>
      </c>
      <c r="AN357" s="919">
        <v>41.432879758733513</v>
      </c>
      <c r="AO357" s="919"/>
      <c r="AP357" s="919"/>
      <c r="AS357" s="1167"/>
      <c r="AT357" s="1167"/>
      <c r="AU357" s="1168"/>
      <c r="AV357" s="1168"/>
      <c r="AW357" s="1169"/>
      <c r="AX357" s="1169"/>
      <c r="AY357" s="1169"/>
      <c r="AZ357" s="1169"/>
      <c r="BA357" s="1852" t="s">
        <v>1</v>
      </c>
      <c r="BB357" s="1853">
        <v>2006</v>
      </c>
      <c r="BC357" s="1852" t="s">
        <v>581</v>
      </c>
      <c r="BD357" s="1852">
        <v>9</v>
      </c>
      <c r="BE357" s="1854">
        <v>160018000</v>
      </c>
      <c r="BF357" s="1801">
        <v>1.7763356541508294E-2</v>
      </c>
      <c r="BG357" s="1799"/>
      <c r="BH357" s="1799" t="s">
        <v>280</v>
      </c>
      <c r="BI357" s="1799" t="s">
        <v>314</v>
      </c>
      <c r="BJ357" s="1799" t="s">
        <v>15</v>
      </c>
      <c r="BK357" s="1799">
        <v>1</v>
      </c>
      <c r="BL357" s="1800">
        <v>215957965</v>
      </c>
      <c r="BM357" s="1801">
        <v>0.29299999999999998</v>
      </c>
      <c r="BN357" s="1799">
        <v>2009</v>
      </c>
      <c r="BO357" s="1684"/>
      <c r="BP357" s="1696"/>
      <c r="BQ357" s="1169"/>
      <c r="BR357" s="1169"/>
      <c r="BS357" s="1169"/>
      <c r="BT357" s="1169"/>
      <c r="BU357" s="1169"/>
      <c r="BV357" s="1169"/>
      <c r="BW357" s="1169"/>
      <c r="BX357" s="1169"/>
      <c r="BY357" s="1169"/>
      <c r="BZ357" s="1169"/>
      <c r="CA357" s="1169"/>
      <c r="CB357" s="1169"/>
      <c r="CC357" s="1169"/>
      <c r="CD357" s="1169"/>
      <c r="CE357" s="1169"/>
      <c r="CF357" s="1169"/>
      <c r="CG357" s="1169"/>
      <c r="CH357" s="1169"/>
      <c r="CI357" s="1169"/>
      <c r="CJ357" s="1169"/>
      <c r="CK357" s="1169"/>
      <c r="CL357" s="1169"/>
      <c r="CM357" s="1169"/>
      <c r="CN357" s="1169"/>
      <c r="CO357" s="1169"/>
      <c r="CP357" s="1169"/>
      <c r="CQ357" s="1169"/>
      <c r="CR357" s="1169"/>
      <c r="CS357" s="1169"/>
      <c r="CT357" s="1169"/>
      <c r="CU357" s="1169"/>
      <c r="CV357" s="1169"/>
      <c r="CW357" s="1169"/>
      <c r="CX357" s="1169"/>
      <c r="CY357" s="1169"/>
      <c r="CZ357" s="1169"/>
      <c r="DA357" s="1168"/>
      <c r="DB357" s="1168"/>
      <c r="DC357" s="1168"/>
      <c r="DD357" s="1168"/>
      <c r="DE357" s="1168"/>
      <c r="DF357" s="1168"/>
      <c r="DG357" s="1168"/>
      <c r="DH357" s="1168"/>
      <c r="DI357" s="1168"/>
      <c r="DJ357" s="1168"/>
      <c r="DK357" s="1168"/>
      <c r="DL357" s="1168"/>
      <c r="DM357" s="1168"/>
      <c r="DN357" s="1168"/>
      <c r="DO357" s="1168"/>
      <c r="DP357" s="1168"/>
      <c r="DQ357" s="1168"/>
      <c r="DR357" s="1168"/>
      <c r="DS357" s="1168"/>
      <c r="DT357" s="1168"/>
      <c r="DU357" s="1168"/>
      <c r="DV357" s="1168"/>
      <c r="DW357" s="1168"/>
      <c r="DX357" s="1168"/>
      <c r="DY357" s="1168"/>
      <c r="DZ357" s="1168"/>
      <c r="EA357" s="1168"/>
      <c r="EB357" s="1168"/>
      <c r="EC357" s="1168"/>
      <c r="ED357" s="1168"/>
      <c r="EE357" s="1168"/>
      <c r="EF357" s="1168"/>
      <c r="EG357" s="1168"/>
      <c r="EH357" s="1168"/>
      <c r="EI357" s="1170"/>
      <c r="EJ357" s="1170"/>
      <c r="EK357" s="1170"/>
      <c r="EL357" s="1170"/>
      <c r="EM357" s="1170"/>
      <c r="EN357" s="1170"/>
      <c r="EO357" s="1170"/>
      <c r="EP357" s="1170"/>
      <c r="EQ357" s="1170"/>
      <c r="ER357" s="1170"/>
      <c r="ES357" s="1171"/>
      <c r="ET357" s="1171"/>
      <c r="EU357" s="1171"/>
      <c r="EV357" s="1171"/>
      <c r="EW357" s="1171"/>
      <c r="EX357" s="1171"/>
      <c r="EY357" s="1171"/>
      <c r="EZ357" s="1171"/>
      <c r="FA357" s="1171"/>
      <c r="FB357" s="1171"/>
      <c r="FC357" s="1171"/>
      <c r="FD357" s="1171"/>
      <c r="FE357" s="1171"/>
      <c r="FF357" s="1171"/>
      <c r="FG357" s="1171"/>
      <c r="FH357" s="1171"/>
      <c r="FI357" s="1171"/>
      <c r="FJ357" s="1171"/>
      <c r="FK357" s="1171"/>
      <c r="FL357" s="1171"/>
      <c r="FM357" s="1171"/>
      <c r="FN357" s="1171"/>
      <c r="FO357" s="1171"/>
      <c r="FP357" s="1171"/>
    </row>
    <row r="358" spans="1:172" s="607" customFormat="1">
      <c r="A358" s="607">
        <f t="shared" si="10"/>
        <v>2000</v>
      </c>
      <c r="B358" s="607">
        <f t="shared" si="11"/>
        <v>1</v>
      </c>
      <c r="C358" s="666">
        <v>36557</v>
      </c>
      <c r="D358" s="957">
        <v>0.62911904761904758</v>
      </c>
      <c r="E358" s="920">
        <v>203.66470928571428</v>
      </c>
      <c r="F358" s="920">
        <v>323.73</v>
      </c>
      <c r="G358" s="920"/>
      <c r="H358" s="920"/>
      <c r="I358" s="954">
        <v>300.06</v>
      </c>
      <c r="J358" s="954">
        <v>478.41</v>
      </c>
      <c r="K358" s="954"/>
      <c r="L358" s="920"/>
      <c r="M358" s="917">
        <v>9657.6200000000008</v>
      </c>
      <c r="N358" s="917">
        <v>15351.021458577756</v>
      </c>
      <c r="O358" s="1175">
        <v>1800.83</v>
      </c>
      <c r="P358" s="1175">
        <v>2862.4630057147183</v>
      </c>
      <c r="Q358" s="1175">
        <v>452.38</v>
      </c>
      <c r="R358" s="1175">
        <v>719.06899292283242</v>
      </c>
      <c r="S358" s="1175">
        <v>1094.8800000000001</v>
      </c>
      <c r="T358" s="1175">
        <v>1740.3383415963367</v>
      </c>
      <c r="U358" s="920">
        <v>323.85161214285711</v>
      </c>
      <c r="V358" s="920">
        <v>514.77</v>
      </c>
      <c r="W358" s="920">
        <v>1886.8035180952379</v>
      </c>
      <c r="X358" s="920">
        <v>2999.12</v>
      </c>
      <c r="Y358" s="920"/>
      <c r="Z358" s="920"/>
      <c r="AA358" s="920"/>
      <c r="AB358" s="920"/>
      <c r="AC358" s="920">
        <v>5.25</v>
      </c>
      <c r="AD358" s="920">
        <v>8.3699999999999992</v>
      </c>
      <c r="AE358" s="920">
        <v>31305.3</v>
      </c>
      <c r="AF358" s="920">
        <v>49760.534382923972</v>
      </c>
      <c r="AG358" s="920">
        <v>515.42899999999997</v>
      </c>
      <c r="AH358" s="920">
        <v>819.28690913219543</v>
      </c>
      <c r="AI358" s="920">
        <v>635.09500000000003</v>
      </c>
      <c r="AJ358" s="920">
        <v>1009.49892139424</v>
      </c>
      <c r="AK358" s="920">
        <v>27.77</v>
      </c>
      <c r="AL358" s="920">
        <v>44.141089202588653</v>
      </c>
      <c r="AM358" s="920">
        <v>27.59</v>
      </c>
      <c r="AN358" s="920">
        <v>43.854974832532264</v>
      </c>
      <c r="AO358" s="920"/>
      <c r="AP358" s="920"/>
      <c r="AS358" s="1167"/>
      <c r="AT358" s="1167"/>
      <c r="AU358" s="1168"/>
      <c r="AV358" s="1168"/>
      <c r="AW358" s="1169"/>
      <c r="AX358" s="1169"/>
      <c r="AY358" s="1169"/>
      <c r="AZ358" s="1169"/>
      <c r="BA358" s="1852" t="s">
        <v>1</v>
      </c>
      <c r="BB358" s="1853">
        <v>2006</v>
      </c>
      <c r="BC358" s="1852" t="s">
        <v>55</v>
      </c>
      <c r="BD358" s="1852">
        <v>10</v>
      </c>
      <c r="BE358" s="1854">
        <v>47630000</v>
      </c>
      <c r="BF358" s="1801">
        <v>5.2873343753330254E-3</v>
      </c>
      <c r="BG358" s="1799"/>
      <c r="BH358" s="1799" t="s">
        <v>280</v>
      </c>
      <c r="BI358" s="1799" t="s">
        <v>314</v>
      </c>
      <c r="BJ358" s="1799" t="s">
        <v>431</v>
      </c>
      <c r="BK358" s="1799">
        <v>2</v>
      </c>
      <c r="BL358" s="1800">
        <v>116067615</v>
      </c>
      <c r="BM358" s="1801">
        <v>0.157</v>
      </c>
      <c r="BN358" s="1799">
        <v>2009</v>
      </c>
      <c r="BO358" s="1684"/>
      <c r="BP358" s="1696"/>
      <c r="BQ358" s="1169"/>
      <c r="BR358" s="1169"/>
      <c r="BS358" s="1169"/>
      <c r="BT358" s="1169"/>
      <c r="BU358" s="1169"/>
      <c r="BV358" s="1169"/>
      <c r="BW358" s="1169"/>
      <c r="BX358" s="1169"/>
      <c r="BY358" s="1169"/>
      <c r="BZ358" s="1169"/>
      <c r="CA358" s="1169"/>
      <c r="CB358" s="1169"/>
      <c r="CC358" s="1169"/>
      <c r="CD358" s="1169"/>
      <c r="CE358" s="1169"/>
      <c r="CF358" s="1169"/>
      <c r="CG358" s="1169"/>
      <c r="CH358" s="1169"/>
      <c r="CI358" s="1169"/>
      <c r="CJ358" s="1169"/>
      <c r="CK358" s="1169"/>
      <c r="CL358" s="1169"/>
      <c r="CM358" s="1169"/>
      <c r="CN358" s="1169"/>
      <c r="CO358" s="1169"/>
      <c r="CP358" s="1169"/>
      <c r="CQ358" s="1169"/>
      <c r="CR358" s="1169"/>
      <c r="CS358" s="1169"/>
      <c r="CT358" s="1169"/>
      <c r="CU358" s="1169"/>
      <c r="CV358" s="1169"/>
      <c r="CW358" s="1169"/>
      <c r="CX358" s="1169"/>
      <c r="CY358" s="1169"/>
      <c r="CZ358" s="1169"/>
      <c r="DA358" s="1168"/>
      <c r="DB358" s="1168"/>
      <c r="DC358" s="1168"/>
      <c r="DD358" s="1168"/>
      <c r="DE358" s="1168"/>
      <c r="DF358" s="1168"/>
      <c r="DG358" s="1168"/>
      <c r="DH358" s="1168"/>
      <c r="DI358" s="1168"/>
      <c r="DJ358" s="1168"/>
      <c r="DK358" s="1168"/>
      <c r="DL358" s="1168"/>
      <c r="DM358" s="1168"/>
      <c r="DN358" s="1168"/>
      <c r="DO358" s="1168"/>
      <c r="DP358" s="1168"/>
      <c r="DQ358" s="1168"/>
      <c r="DR358" s="1168"/>
      <c r="DS358" s="1168"/>
      <c r="DT358" s="1168"/>
      <c r="DU358" s="1168"/>
      <c r="DV358" s="1168"/>
      <c r="DW358" s="1168"/>
      <c r="DX358" s="1168"/>
      <c r="DY358" s="1168"/>
      <c r="DZ358" s="1168"/>
      <c r="EA358" s="1168"/>
      <c r="EB358" s="1168"/>
      <c r="EC358" s="1168"/>
      <c r="ED358" s="1168"/>
      <c r="EE358" s="1168"/>
      <c r="EF358" s="1168"/>
      <c r="EG358" s="1168"/>
      <c r="EH358" s="1168"/>
      <c r="EI358" s="1170"/>
      <c r="EJ358" s="1170"/>
      <c r="EK358" s="1170"/>
      <c r="EL358" s="1170"/>
      <c r="EM358" s="1170"/>
      <c r="EN358" s="1170"/>
      <c r="EO358" s="1170"/>
      <c r="EP358" s="1170"/>
      <c r="EQ358" s="1170"/>
      <c r="ER358" s="1170"/>
      <c r="ES358" s="1171"/>
      <c r="ET358" s="1171"/>
      <c r="EU358" s="1171"/>
      <c r="EV358" s="1171"/>
      <c r="EW358" s="1171"/>
      <c r="EX358" s="1171"/>
      <c r="EY358" s="1171"/>
      <c r="EZ358" s="1171"/>
      <c r="FA358" s="1171"/>
      <c r="FB358" s="1171"/>
      <c r="FC358" s="1171"/>
      <c r="FD358" s="1171"/>
      <c r="FE358" s="1171"/>
      <c r="FF358" s="1171"/>
      <c r="FG358" s="1171"/>
      <c r="FH358" s="1171"/>
      <c r="FI358" s="1171"/>
      <c r="FJ358" s="1171"/>
      <c r="FK358" s="1171"/>
      <c r="FL358" s="1171"/>
      <c r="FM358" s="1171"/>
      <c r="FN358" s="1171"/>
      <c r="FO358" s="1171"/>
      <c r="FP358" s="1171"/>
    </row>
    <row r="359" spans="1:172" s="607" customFormat="1">
      <c r="A359" s="607">
        <f t="shared" si="10"/>
        <v>2000</v>
      </c>
      <c r="B359" s="607">
        <f t="shared" si="11"/>
        <v>1</v>
      </c>
      <c r="C359" s="666">
        <v>36586</v>
      </c>
      <c r="D359" s="1709">
        <v>0.60961304347826084</v>
      </c>
      <c r="E359" s="1117">
        <v>199.89821308695653</v>
      </c>
      <c r="F359" s="1117">
        <v>327.91</v>
      </c>
      <c r="G359" s="1117"/>
      <c r="H359" s="1117"/>
      <c r="I359" s="959">
        <v>286.38900000000001</v>
      </c>
      <c r="J359" s="959">
        <v>470.93</v>
      </c>
      <c r="K359" s="960"/>
      <c r="L359" s="1121"/>
      <c r="M359" s="916">
        <v>10284.35</v>
      </c>
      <c r="N359" s="916">
        <v>16870.291917181963</v>
      </c>
      <c r="O359" s="1174">
        <v>1739.39</v>
      </c>
      <c r="P359" s="1174">
        <v>2853.2690017188384</v>
      </c>
      <c r="Q359" s="1174">
        <v>441.3</v>
      </c>
      <c r="R359" s="1174">
        <v>723.90183366497638</v>
      </c>
      <c r="S359" s="1174">
        <v>1116.3699999999999</v>
      </c>
      <c r="T359" s="1174">
        <v>1831.2764333754126</v>
      </c>
      <c r="U359" s="1120">
        <v>356.46513104347827</v>
      </c>
      <c r="V359" s="1120">
        <v>584.74</v>
      </c>
      <c r="W359" s="1120">
        <v>1885.3746440869563</v>
      </c>
      <c r="X359" s="1120">
        <v>3092.74</v>
      </c>
      <c r="Y359" s="1119"/>
      <c r="Z359" s="1119"/>
      <c r="AA359" s="1119"/>
      <c r="AB359" s="1119"/>
      <c r="AC359" s="1178">
        <v>5.0609999999999999</v>
      </c>
      <c r="AD359" s="1178">
        <v>8.35</v>
      </c>
      <c r="AE359" s="1178">
        <v>33744.199999999997</v>
      </c>
      <c r="AF359" s="1178">
        <v>55353.474406430309</v>
      </c>
      <c r="AG359" s="1178">
        <v>478.89100000000002</v>
      </c>
      <c r="AH359" s="1178">
        <v>785.56554050680768</v>
      </c>
      <c r="AI359" s="1178">
        <v>664.43499999999995</v>
      </c>
      <c r="AJ359" s="1178">
        <v>1089.9291068461105</v>
      </c>
      <c r="AK359" s="919">
        <v>27.42</v>
      </c>
      <c r="AL359" s="919">
        <v>44.979352547232388</v>
      </c>
      <c r="AM359" s="919">
        <v>28.42</v>
      </c>
      <c r="AN359" s="919">
        <v>46.619737395782074</v>
      </c>
      <c r="AO359" s="919"/>
      <c r="AP359" s="919"/>
      <c r="AS359" s="1167"/>
      <c r="AT359" s="1167"/>
      <c r="AU359" s="1168"/>
      <c r="AV359" s="1168"/>
      <c r="AW359" s="1169"/>
      <c r="AX359" s="1169"/>
      <c r="AY359" s="1169"/>
      <c r="AZ359" s="1169"/>
      <c r="BA359" s="1852" t="s">
        <v>1</v>
      </c>
      <c r="BB359" s="1853">
        <v>2006</v>
      </c>
      <c r="BC359" s="1852" t="s">
        <v>32</v>
      </c>
      <c r="BD359" s="1852"/>
      <c r="BE359" s="1854">
        <v>26062000</v>
      </c>
      <c r="BF359" s="1801">
        <v>2.8931032645376719E-3</v>
      </c>
      <c r="BG359" s="1799"/>
      <c r="BH359" s="1799" t="s">
        <v>280</v>
      </c>
      <c r="BI359" s="1799" t="s">
        <v>314</v>
      </c>
      <c r="BJ359" s="1799" t="s">
        <v>23</v>
      </c>
      <c r="BK359" s="1799">
        <v>3</v>
      </c>
      <c r="BL359" s="1800">
        <v>57472757</v>
      </c>
      <c r="BM359" s="1801">
        <v>7.8E-2</v>
      </c>
      <c r="BN359" s="1799">
        <v>2009</v>
      </c>
      <c r="BO359" s="1684"/>
      <c r="BP359" s="1696"/>
      <c r="BQ359" s="1169"/>
      <c r="BR359" s="1169"/>
      <c r="BS359" s="1169"/>
      <c r="BT359" s="1169"/>
      <c r="BU359" s="1169"/>
      <c r="BV359" s="1169"/>
      <c r="BW359" s="1169"/>
      <c r="BX359" s="1169"/>
      <c r="BY359" s="1169"/>
      <c r="BZ359" s="1169"/>
      <c r="CA359" s="1169"/>
      <c r="CB359" s="1169"/>
      <c r="CC359" s="1169"/>
      <c r="CD359" s="1169"/>
      <c r="CE359" s="1169"/>
      <c r="CF359" s="1169"/>
      <c r="CG359" s="1169"/>
      <c r="CH359" s="1169"/>
      <c r="CI359" s="1169"/>
      <c r="CJ359" s="1169"/>
      <c r="CK359" s="1169"/>
      <c r="CL359" s="1169"/>
      <c r="CM359" s="1169"/>
      <c r="CN359" s="1169"/>
      <c r="CO359" s="1169"/>
      <c r="CP359" s="1169"/>
      <c r="CQ359" s="1169"/>
      <c r="CR359" s="1169"/>
      <c r="CS359" s="1169"/>
      <c r="CT359" s="1169"/>
      <c r="CU359" s="1169"/>
      <c r="CV359" s="1169"/>
      <c r="CW359" s="1169"/>
      <c r="CX359" s="1169"/>
      <c r="CY359" s="1169"/>
      <c r="CZ359" s="1169"/>
      <c r="DA359" s="1168"/>
      <c r="DB359" s="1168"/>
      <c r="DC359" s="1168"/>
      <c r="DD359" s="1168"/>
      <c r="DE359" s="1168"/>
      <c r="DF359" s="1168"/>
      <c r="DG359" s="1168"/>
      <c r="DH359" s="1168"/>
      <c r="DI359" s="1168"/>
      <c r="DJ359" s="1168"/>
      <c r="DK359" s="1168"/>
      <c r="DL359" s="1168"/>
      <c r="DM359" s="1168"/>
      <c r="DN359" s="1168"/>
      <c r="DO359" s="1168"/>
      <c r="DP359" s="1168"/>
      <c r="DQ359" s="1168"/>
      <c r="DR359" s="1168"/>
      <c r="DS359" s="1168"/>
      <c r="DT359" s="1168"/>
      <c r="DU359" s="1168"/>
      <c r="DV359" s="1168"/>
      <c r="DW359" s="1168"/>
      <c r="DX359" s="1168"/>
      <c r="DY359" s="1168"/>
      <c r="DZ359" s="1168"/>
      <c r="EA359" s="1168"/>
      <c r="EB359" s="1168"/>
      <c r="EC359" s="1168"/>
      <c r="ED359" s="1168"/>
      <c r="EE359" s="1168"/>
      <c r="EF359" s="1168"/>
      <c r="EG359" s="1168"/>
      <c r="EH359" s="1168"/>
      <c r="EI359" s="1170"/>
      <c r="EJ359" s="1170"/>
      <c r="EK359" s="1170"/>
      <c r="EL359" s="1170"/>
      <c r="EM359" s="1170"/>
      <c r="EN359" s="1170"/>
      <c r="EO359" s="1170"/>
      <c r="EP359" s="1170"/>
      <c r="EQ359" s="1170"/>
      <c r="ER359" s="1170"/>
      <c r="ES359" s="1171"/>
      <c r="ET359" s="1171"/>
      <c r="EU359" s="1171"/>
      <c r="EV359" s="1171"/>
      <c r="EW359" s="1171"/>
      <c r="EX359" s="1171"/>
      <c r="EY359" s="1171"/>
      <c r="EZ359" s="1171"/>
      <c r="FA359" s="1171"/>
      <c r="FB359" s="1171"/>
      <c r="FC359" s="1171"/>
      <c r="FD359" s="1171"/>
      <c r="FE359" s="1171"/>
      <c r="FF359" s="1171"/>
      <c r="FG359" s="1171"/>
      <c r="FH359" s="1171"/>
      <c r="FI359" s="1171"/>
      <c r="FJ359" s="1171"/>
      <c r="FK359" s="1171"/>
      <c r="FL359" s="1171"/>
      <c r="FM359" s="1171"/>
      <c r="FN359" s="1171"/>
      <c r="FO359" s="1171"/>
      <c r="FP359" s="1171"/>
    </row>
    <row r="360" spans="1:172" s="607" customFormat="1">
      <c r="A360" s="607">
        <f t="shared" si="10"/>
        <v>2000</v>
      </c>
      <c r="B360" s="607">
        <f t="shared" si="11"/>
        <v>2</v>
      </c>
      <c r="C360" s="666">
        <v>36617</v>
      </c>
      <c r="D360" s="957">
        <v>0.59809411764705878</v>
      </c>
      <c r="E360" s="920">
        <v>210.11046352941176</v>
      </c>
      <c r="F360" s="920">
        <v>351.3</v>
      </c>
      <c r="G360" s="920"/>
      <c r="H360" s="920"/>
      <c r="I360" s="954">
        <v>279.69400000000002</v>
      </c>
      <c r="J360" s="954">
        <v>470.05</v>
      </c>
      <c r="K360" s="954"/>
      <c r="L360" s="920"/>
      <c r="M360" s="917">
        <v>9731.39</v>
      </c>
      <c r="N360" s="917">
        <v>16270.666627326016</v>
      </c>
      <c r="O360" s="1175">
        <v>1678.75</v>
      </c>
      <c r="P360" s="1175">
        <v>2806.8324875093435</v>
      </c>
      <c r="Q360" s="1175">
        <v>421.14</v>
      </c>
      <c r="R360" s="1175">
        <v>704.13666942051225</v>
      </c>
      <c r="S360" s="1175">
        <v>1127.6400000000001</v>
      </c>
      <c r="T360" s="1175">
        <v>1885.388882332114</v>
      </c>
      <c r="U360" s="920">
        <v>362.34934023529411</v>
      </c>
      <c r="V360" s="920">
        <v>605.84</v>
      </c>
      <c r="W360" s="920">
        <v>1881.478494352941</v>
      </c>
      <c r="X360" s="920">
        <v>3145.79</v>
      </c>
      <c r="Y360" s="920"/>
      <c r="Z360" s="920"/>
      <c r="AA360" s="920"/>
      <c r="AB360" s="920"/>
      <c r="AC360" s="920">
        <v>5.0609999999999999</v>
      </c>
      <c r="AD360" s="920">
        <v>8.5299999999999994</v>
      </c>
      <c r="AE360" s="920">
        <v>37092.400000000001</v>
      </c>
      <c r="AF360" s="920">
        <v>62017.663952161776</v>
      </c>
      <c r="AG360" s="920">
        <v>498.88900000000001</v>
      </c>
      <c r="AH360" s="920">
        <v>834.13126008104177</v>
      </c>
      <c r="AI360" s="920">
        <v>573.62800000000004</v>
      </c>
      <c r="AJ360" s="920">
        <v>959.09319800149513</v>
      </c>
      <c r="AK360" s="920">
        <v>22.62</v>
      </c>
      <c r="AL360" s="920">
        <v>37.820134545025383</v>
      </c>
      <c r="AM360" s="920">
        <v>25.46</v>
      </c>
      <c r="AN360" s="920">
        <v>42.568551083834933</v>
      </c>
      <c r="AO360" s="920"/>
      <c r="AP360" s="920"/>
      <c r="AS360" s="1167"/>
      <c r="AT360" s="1167"/>
      <c r="AU360" s="1168"/>
      <c r="AV360" s="1168"/>
      <c r="AW360" s="1169"/>
      <c r="AX360" s="1169"/>
      <c r="AY360" s="1169"/>
      <c r="AZ360" s="1169"/>
      <c r="BA360" s="1852" t="s">
        <v>1</v>
      </c>
      <c r="BB360" s="1853">
        <v>2006</v>
      </c>
      <c r="BC360" s="1852" t="s">
        <v>249</v>
      </c>
      <c r="BD360" s="1852"/>
      <c r="BE360" s="1854">
        <v>9008320000</v>
      </c>
      <c r="BF360" s="1801">
        <v>1</v>
      </c>
      <c r="BG360" s="1799"/>
      <c r="BH360" s="1799" t="s">
        <v>280</v>
      </c>
      <c r="BI360" s="1799" t="s">
        <v>314</v>
      </c>
      <c r="BJ360" s="1799" t="s">
        <v>583</v>
      </c>
      <c r="BK360" s="1799">
        <v>4</v>
      </c>
      <c r="BL360" s="1800">
        <v>50650036</v>
      </c>
      <c r="BM360" s="1801">
        <v>6.9000000000000006E-2</v>
      </c>
      <c r="BN360" s="1799">
        <v>2009</v>
      </c>
      <c r="BO360" s="1684"/>
      <c r="BP360" s="1696"/>
      <c r="BQ360" s="1169"/>
      <c r="BR360" s="1169"/>
      <c r="BS360" s="1169"/>
      <c r="BT360" s="1169"/>
      <c r="BU360" s="1169"/>
      <c r="BV360" s="1169"/>
      <c r="BW360" s="1169"/>
      <c r="BX360" s="1169"/>
      <c r="BY360" s="1169"/>
      <c r="BZ360" s="1169"/>
      <c r="CA360" s="1169"/>
      <c r="CB360" s="1169"/>
      <c r="CC360" s="1169"/>
      <c r="CD360" s="1169"/>
      <c r="CE360" s="1169"/>
      <c r="CF360" s="1169"/>
      <c r="CG360" s="1169"/>
      <c r="CH360" s="1169"/>
      <c r="CI360" s="1169"/>
      <c r="CJ360" s="1169"/>
      <c r="CK360" s="1169"/>
      <c r="CL360" s="1169"/>
      <c r="CM360" s="1169"/>
      <c r="CN360" s="1169"/>
      <c r="CO360" s="1169"/>
      <c r="CP360" s="1169"/>
      <c r="CQ360" s="1169"/>
      <c r="CR360" s="1169"/>
      <c r="CS360" s="1169"/>
      <c r="CT360" s="1169"/>
      <c r="CU360" s="1169"/>
      <c r="CV360" s="1169"/>
      <c r="CW360" s="1169"/>
      <c r="CX360" s="1169"/>
      <c r="CY360" s="1169"/>
      <c r="CZ360" s="1169"/>
      <c r="DA360" s="1168"/>
      <c r="DB360" s="1168"/>
      <c r="DC360" s="1168"/>
      <c r="DD360" s="1168"/>
      <c r="DE360" s="1168"/>
      <c r="DF360" s="1168"/>
      <c r="DG360" s="1168"/>
      <c r="DH360" s="1168"/>
      <c r="DI360" s="1168"/>
      <c r="DJ360" s="1168"/>
      <c r="DK360" s="1168"/>
      <c r="DL360" s="1168"/>
      <c r="DM360" s="1168"/>
      <c r="DN360" s="1168"/>
      <c r="DO360" s="1168"/>
      <c r="DP360" s="1168"/>
      <c r="DQ360" s="1168"/>
      <c r="DR360" s="1168"/>
      <c r="DS360" s="1168"/>
      <c r="DT360" s="1168"/>
      <c r="DU360" s="1168"/>
      <c r="DV360" s="1168"/>
      <c r="DW360" s="1168"/>
      <c r="DX360" s="1168"/>
      <c r="DY360" s="1168"/>
      <c r="DZ360" s="1168"/>
      <c r="EA360" s="1168"/>
      <c r="EB360" s="1168"/>
      <c r="EC360" s="1168"/>
      <c r="ED360" s="1168"/>
      <c r="EE360" s="1168"/>
      <c r="EF360" s="1168"/>
      <c r="EG360" s="1168"/>
      <c r="EH360" s="1168"/>
      <c r="EI360" s="1170"/>
      <c r="EJ360" s="1170"/>
      <c r="EK360" s="1170"/>
      <c r="EL360" s="1170"/>
      <c r="EM360" s="1170"/>
      <c r="EN360" s="1170"/>
      <c r="EO360" s="1170"/>
      <c r="EP360" s="1170"/>
      <c r="EQ360" s="1170"/>
      <c r="ER360" s="1170"/>
      <c r="ES360" s="1171"/>
      <c r="ET360" s="1171"/>
      <c r="EU360" s="1171"/>
      <c r="EV360" s="1171"/>
      <c r="EW360" s="1171"/>
      <c r="EX360" s="1171"/>
      <c r="EY360" s="1171"/>
      <c r="EZ360" s="1171"/>
      <c r="FA360" s="1171"/>
      <c r="FB360" s="1171"/>
      <c r="FC360" s="1171"/>
      <c r="FD360" s="1171"/>
      <c r="FE360" s="1171"/>
      <c r="FF360" s="1171"/>
      <c r="FG360" s="1171"/>
      <c r="FH360" s="1171"/>
      <c r="FI360" s="1171"/>
      <c r="FJ360" s="1171"/>
      <c r="FK360" s="1171"/>
      <c r="FL360" s="1171"/>
      <c r="FM360" s="1171"/>
      <c r="FN360" s="1171"/>
      <c r="FO360" s="1171"/>
      <c r="FP360" s="1171"/>
    </row>
    <row r="361" spans="1:172" s="607" customFormat="1">
      <c r="A361" s="607">
        <f t="shared" si="10"/>
        <v>2000</v>
      </c>
      <c r="B361" s="607">
        <f t="shared" si="11"/>
        <v>2</v>
      </c>
      <c r="C361" s="666">
        <v>36647</v>
      </c>
      <c r="D361" s="1709">
        <v>0.57845217391304349</v>
      </c>
      <c r="E361" s="1117">
        <v>197.00924139130433</v>
      </c>
      <c r="F361" s="1117">
        <v>340.58</v>
      </c>
      <c r="G361" s="1117"/>
      <c r="H361" s="1117"/>
      <c r="I361" s="959">
        <v>275.20699999999999</v>
      </c>
      <c r="J361" s="959">
        <v>476.7</v>
      </c>
      <c r="K361" s="960"/>
      <c r="L361" s="1121"/>
      <c r="M361" s="916">
        <v>10134.290000000001</v>
      </c>
      <c r="N361" s="916">
        <v>17519.667929406813</v>
      </c>
      <c r="O361" s="1174">
        <v>1785.62</v>
      </c>
      <c r="P361" s="1174">
        <v>3086.8930579357202</v>
      </c>
      <c r="Q361" s="1174">
        <v>412.12</v>
      </c>
      <c r="R361" s="1174">
        <v>712.45302306004032</v>
      </c>
      <c r="S361" s="1174">
        <v>1156.8800000000001</v>
      </c>
      <c r="T361" s="1174">
        <v>1999.9579086617962</v>
      </c>
      <c r="U361" s="1120">
        <v>377.90280521739129</v>
      </c>
      <c r="V361" s="1120">
        <v>653.29999999999995</v>
      </c>
      <c r="W361" s="1120">
        <v>1905.2594942608696</v>
      </c>
      <c r="X361" s="1120">
        <v>3293.72</v>
      </c>
      <c r="Y361" s="1119"/>
      <c r="Z361" s="1119"/>
      <c r="AA361" s="1119"/>
      <c r="AB361" s="1119"/>
      <c r="AC361" s="1178">
        <v>4.9859999999999998</v>
      </c>
      <c r="AD361" s="1178">
        <v>8.68</v>
      </c>
      <c r="AE361" s="1178">
        <v>36720.400000000001</v>
      </c>
      <c r="AF361" s="1178">
        <v>63480.442560355972</v>
      </c>
      <c r="AG361" s="1178">
        <v>525.42899999999997</v>
      </c>
      <c r="AH361" s="1178">
        <v>908.33611436817887</v>
      </c>
      <c r="AI361" s="1178">
        <v>571.42899999999997</v>
      </c>
      <c r="AJ361" s="1178">
        <v>987.85867833198029</v>
      </c>
      <c r="AK361" s="919">
        <v>27.13</v>
      </c>
      <c r="AL361" s="919">
        <v>46.90102522473768</v>
      </c>
      <c r="AM361" s="919">
        <v>28.78</v>
      </c>
      <c r="AN361" s="919">
        <v>49.753465019091429</v>
      </c>
      <c r="AO361" s="919"/>
      <c r="AP361" s="919"/>
      <c r="AS361" s="1167"/>
      <c r="AT361" s="1167"/>
      <c r="AU361" s="1168"/>
      <c r="AV361" s="1168"/>
      <c r="AW361" s="1169"/>
      <c r="AX361" s="1169"/>
      <c r="AY361" s="1169"/>
      <c r="AZ361" s="1169"/>
      <c r="BA361" s="1855" t="s">
        <v>1</v>
      </c>
      <c r="BB361" s="1856">
        <v>2007</v>
      </c>
      <c r="BC361" s="1855" t="s">
        <v>18</v>
      </c>
      <c r="BD361" s="1855">
        <v>1</v>
      </c>
      <c r="BE361" s="1857">
        <v>4143081000</v>
      </c>
      <c r="BF361" s="1801">
        <v>0.36679472211925473</v>
      </c>
      <c r="BG361" s="1799"/>
      <c r="BH361" s="1799" t="s">
        <v>280</v>
      </c>
      <c r="BI361" s="1799" t="s">
        <v>314</v>
      </c>
      <c r="BJ361" s="1799" t="s">
        <v>51</v>
      </c>
      <c r="BK361" s="1799">
        <v>5</v>
      </c>
      <c r="BL361" s="1800">
        <v>39822260</v>
      </c>
      <c r="BM361" s="1801">
        <v>5.3999999999999999E-2</v>
      </c>
      <c r="BN361" s="1799">
        <v>2009</v>
      </c>
      <c r="BO361" s="1684"/>
      <c r="BP361" s="1696"/>
      <c r="BQ361" s="1169"/>
      <c r="BR361" s="1169"/>
      <c r="BS361" s="1169"/>
      <c r="BT361" s="1169"/>
      <c r="BU361" s="1169"/>
      <c r="BV361" s="1169"/>
      <c r="BW361" s="1169"/>
      <c r="BX361" s="1169"/>
      <c r="BY361" s="1169"/>
      <c r="BZ361" s="1169"/>
      <c r="CA361" s="1169"/>
      <c r="CB361" s="1169"/>
      <c r="CC361" s="1169"/>
      <c r="CD361" s="1169"/>
      <c r="CE361" s="1169"/>
      <c r="CF361" s="1169"/>
      <c r="CG361" s="1169"/>
      <c r="CH361" s="1169"/>
      <c r="CI361" s="1169"/>
      <c r="CJ361" s="1169"/>
      <c r="CK361" s="1169"/>
      <c r="CL361" s="1169"/>
      <c r="CM361" s="1169"/>
      <c r="CN361" s="1169"/>
      <c r="CO361" s="1169"/>
      <c r="CP361" s="1169"/>
      <c r="CQ361" s="1169"/>
      <c r="CR361" s="1169"/>
      <c r="CS361" s="1169"/>
      <c r="CT361" s="1169"/>
      <c r="CU361" s="1169"/>
      <c r="CV361" s="1169"/>
      <c r="CW361" s="1169"/>
      <c r="CX361" s="1169"/>
      <c r="CY361" s="1169"/>
      <c r="CZ361" s="1169"/>
      <c r="DA361" s="1168"/>
      <c r="DB361" s="1168"/>
      <c r="DC361" s="1168"/>
      <c r="DD361" s="1168"/>
      <c r="DE361" s="1168"/>
      <c r="DF361" s="1168"/>
      <c r="DG361" s="1168"/>
      <c r="DH361" s="1168"/>
      <c r="DI361" s="1168"/>
      <c r="DJ361" s="1168"/>
      <c r="DK361" s="1168"/>
      <c r="DL361" s="1168"/>
      <c r="DM361" s="1168"/>
      <c r="DN361" s="1168"/>
      <c r="DO361" s="1168"/>
      <c r="DP361" s="1168"/>
      <c r="DQ361" s="1168"/>
      <c r="DR361" s="1168"/>
      <c r="DS361" s="1168"/>
      <c r="DT361" s="1168"/>
      <c r="DU361" s="1168"/>
      <c r="DV361" s="1168"/>
      <c r="DW361" s="1168"/>
      <c r="DX361" s="1168"/>
      <c r="DY361" s="1168"/>
      <c r="DZ361" s="1168"/>
      <c r="EA361" s="1168"/>
      <c r="EB361" s="1168"/>
      <c r="EC361" s="1168"/>
      <c r="ED361" s="1168"/>
      <c r="EE361" s="1168"/>
      <c r="EF361" s="1168"/>
      <c r="EG361" s="1168"/>
      <c r="EH361" s="1168"/>
      <c r="EI361" s="1170"/>
      <c r="EJ361" s="1170"/>
      <c r="EK361" s="1170"/>
      <c r="EL361" s="1170"/>
      <c r="EM361" s="1170"/>
      <c r="EN361" s="1170"/>
      <c r="EO361" s="1170"/>
      <c r="EP361" s="1170"/>
      <c r="EQ361" s="1170"/>
      <c r="ER361" s="1170"/>
      <c r="ES361" s="1171"/>
      <c r="ET361" s="1171"/>
      <c r="EU361" s="1171"/>
      <c r="EV361" s="1171"/>
      <c r="EW361" s="1171"/>
      <c r="EX361" s="1171"/>
      <c r="EY361" s="1171"/>
      <c r="EZ361" s="1171"/>
      <c r="FA361" s="1171"/>
      <c r="FB361" s="1171"/>
      <c r="FC361" s="1171"/>
      <c r="FD361" s="1171"/>
      <c r="FE361" s="1171"/>
      <c r="FF361" s="1171"/>
      <c r="FG361" s="1171"/>
      <c r="FH361" s="1171"/>
      <c r="FI361" s="1171"/>
      <c r="FJ361" s="1171"/>
      <c r="FK361" s="1171"/>
      <c r="FL361" s="1171"/>
      <c r="FM361" s="1171"/>
      <c r="FN361" s="1171"/>
      <c r="FO361" s="1171"/>
      <c r="FP361" s="1171"/>
    </row>
    <row r="362" spans="1:172" s="607" customFormat="1">
      <c r="A362" s="607">
        <f t="shared" si="10"/>
        <v>2000</v>
      </c>
      <c r="B362" s="607">
        <f t="shared" si="11"/>
        <v>2</v>
      </c>
      <c r="C362" s="666">
        <v>36678</v>
      </c>
      <c r="D362" s="957">
        <v>0.59400476190476181</v>
      </c>
      <c r="E362" s="920">
        <v>196.74625723809521</v>
      </c>
      <c r="F362" s="920">
        <v>331.22</v>
      </c>
      <c r="G362" s="920"/>
      <c r="H362" s="920"/>
      <c r="I362" s="954">
        <v>285.71600000000001</v>
      </c>
      <c r="J362" s="954">
        <v>481.74</v>
      </c>
      <c r="K362" s="954"/>
      <c r="L362" s="920"/>
      <c r="M362" s="917">
        <v>8415.4500000000007</v>
      </c>
      <c r="N362" s="917">
        <v>14167.310667703485</v>
      </c>
      <c r="O362" s="1175">
        <v>1753.18</v>
      </c>
      <c r="P362" s="1175">
        <v>2951.4578206042925</v>
      </c>
      <c r="Q362" s="1175">
        <v>419.59</v>
      </c>
      <c r="R362" s="1175">
        <v>706.37480860342635</v>
      </c>
      <c r="S362" s="1175">
        <v>1117.93</v>
      </c>
      <c r="T362" s="1175">
        <v>1882.0219494793216</v>
      </c>
      <c r="U362" s="920">
        <v>371.95984185714281</v>
      </c>
      <c r="V362" s="920">
        <v>626.19000000000005</v>
      </c>
      <c r="W362" s="920">
        <v>1905.329674285714</v>
      </c>
      <c r="X362" s="920">
        <v>3207.6</v>
      </c>
      <c r="Y362" s="920"/>
      <c r="Z362" s="920"/>
      <c r="AA362" s="920"/>
      <c r="AB362" s="920"/>
      <c r="AC362" s="920">
        <v>4.9960000000000004</v>
      </c>
      <c r="AD362" s="920">
        <v>8.4700000000000006</v>
      </c>
      <c r="AE362" s="920">
        <v>35071.5</v>
      </c>
      <c r="AF362" s="920">
        <v>59042.455968767295</v>
      </c>
      <c r="AG362" s="920">
        <v>558.06799999999998</v>
      </c>
      <c r="AH362" s="920">
        <v>939.50088583545119</v>
      </c>
      <c r="AI362" s="920">
        <v>647.54499999999996</v>
      </c>
      <c r="AJ362" s="920">
        <v>1090.1343583905855</v>
      </c>
      <c r="AK362" s="920">
        <v>29.65</v>
      </c>
      <c r="AL362" s="920">
        <v>49.915424760102937</v>
      </c>
      <c r="AM362" s="920">
        <v>30.66</v>
      </c>
      <c r="AN362" s="920">
        <v>51.615747829502737</v>
      </c>
      <c r="AO362" s="920"/>
      <c r="AP362" s="920"/>
      <c r="AS362" s="1167"/>
      <c r="AT362" s="1167"/>
      <c r="AU362" s="1168"/>
      <c r="AV362" s="1168"/>
      <c r="AW362" s="1169"/>
      <c r="AX362" s="1169"/>
      <c r="AY362" s="1169"/>
      <c r="AZ362" s="1169"/>
      <c r="BA362" s="1855" t="s">
        <v>1</v>
      </c>
      <c r="BB362" s="1856">
        <v>2007</v>
      </c>
      <c r="BC362" s="1855" t="s">
        <v>51</v>
      </c>
      <c r="BD362" s="1855">
        <v>2</v>
      </c>
      <c r="BE362" s="1857">
        <v>2745002000</v>
      </c>
      <c r="BF362" s="1801">
        <v>0.24302016924284089</v>
      </c>
      <c r="BG362" s="1799"/>
      <c r="BH362" s="1799" t="s">
        <v>280</v>
      </c>
      <c r="BI362" s="1799" t="s">
        <v>314</v>
      </c>
      <c r="BJ362" s="1799" t="s">
        <v>21</v>
      </c>
      <c r="BK362" s="1799">
        <v>6</v>
      </c>
      <c r="BL362" s="1800">
        <v>37139119</v>
      </c>
      <c r="BM362" s="1801">
        <v>0.05</v>
      </c>
      <c r="BN362" s="1799">
        <v>2009</v>
      </c>
      <c r="BO362" s="1684"/>
      <c r="BP362" s="1696"/>
      <c r="BQ362" s="1169"/>
      <c r="BR362" s="1169"/>
      <c r="BS362" s="1169"/>
      <c r="BT362" s="1169"/>
      <c r="BU362" s="1169"/>
      <c r="BV362" s="1169"/>
      <c r="BW362" s="1169"/>
      <c r="BX362" s="1169"/>
      <c r="BY362" s="1169"/>
      <c r="BZ362" s="1169"/>
      <c r="CA362" s="1169"/>
      <c r="CB362" s="1169"/>
      <c r="CC362" s="1169"/>
      <c r="CD362" s="1169"/>
      <c r="CE362" s="1169"/>
      <c r="CF362" s="1169"/>
      <c r="CG362" s="1169"/>
      <c r="CH362" s="1169"/>
      <c r="CI362" s="1169"/>
      <c r="CJ362" s="1169"/>
      <c r="CK362" s="1169"/>
      <c r="CL362" s="1169"/>
      <c r="CM362" s="1169"/>
      <c r="CN362" s="1169"/>
      <c r="CO362" s="1169"/>
      <c r="CP362" s="1169"/>
      <c r="CQ362" s="1169"/>
      <c r="CR362" s="1169"/>
      <c r="CS362" s="1169"/>
      <c r="CT362" s="1169"/>
      <c r="CU362" s="1169"/>
      <c r="CV362" s="1169"/>
      <c r="CW362" s="1169"/>
      <c r="CX362" s="1169"/>
      <c r="CY362" s="1169"/>
      <c r="CZ362" s="1169"/>
      <c r="DA362" s="1168"/>
      <c r="DB362" s="1168"/>
      <c r="DC362" s="1168"/>
      <c r="DD362" s="1168"/>
      <c r="DE362" s="1168"/>
      <c r="DF362" s="1168"/>
      <c r="DG362" s="1168"/>
      <c r="DH362" s="1168"/>
      <c r="DI362" s="1168"/>
      <c r="DJ362" s="1168"/>
      <c r="DK362" s="1168"/>
      <c r="DL362" s="1168"/>
      <c r="DM362" s="1168"/>
      <c r="DN362" s="1168"/>
      <c r="DO362" s="1168"/>
      <c r="DP362" s="1168"/>
      <c r="DQ362" s="1168"/>
      <c r="DR362" s="1168"/>
      <c r="DS362" s="1168"/>
      <c r="DT362" s="1168"/>
      <c r="DU362" s="1168"/>
      <c r="DV362" s="1168"/>
      <c r="DW362" s="1168"/>
      <c r="DX362" s="1168"/>
      <c r="DY362" s="1168"/>
      <c r="DZ362" s="1168"/>
      <c r="EA362" s="1168"/>
      <c r="EB362" s="1168"/>
      <c r="EC362" s="1168"/>
      <c r="ED362" s="1168"/>
      <c r="EE362" s="1168"/>
      <c r="EF362" s="1168"/>
      <c r="EG362" s="1168"/>
      <c r="EH362" s="1168"/>
      <c r="EI362" s="1170"/>
      <c r="EJ362" s="1170"/>
      <c r="EK362" s="1170"/>
      <c r="EL362" s="1170"/>
      <c r="EM362" s="1170"/>
      <c r="EN362" s="1170"/>
      <c r="EO362" s="1170"/>
      <c r="EP362" s="1170"/>
      <c r="EQ362" s="1170"/>
      <c r="ER362" s="1170"/>
      <c r="ES362" s="1171"/>
      <c r="ET362" s="1171"/>
      <c r="EU362" s="1171"/>
      <c r="EV362" s="1171"/>
      <c r="EW362" s="1171"/>
      <c r="EX362" s="1171"/>
      <c r="EY362" s="1171"/>
      <c r="EZ362" s="1171"/>
      <c r="FA362" s="1171"/>
      <c r="FB362" s="1171"/>
      <c r="FC362" s="1171"/>
      <c r="FD362" s="1171"/>
      <c r="FE362" s="1171"/>
      <c r="FF362" s="1171"/>
      <c r="FG362" s="1171"/>
      <c r="FH362" s="1171"/>
      <c r="FI362" s="1171"/>
      <c r="FJ362" s="1171"/>
      <c r="FK362" s="1171"/>
      <c r="FL362" s="1171"/>
      <c r="FM362" s="1171"/>
      <c r="FN362" s="1171"/>
      <c r="FO362" s="1171"/>
      <c r="FP362" s="1171"/>
    </row>
    <row r="363" spans="1:172" s="607" customFormat="1">
      <c r="A363" s="607">
        <f t="shared" si="10"/>
        <v>2000</v>
      </c>
      <c r="B363" s="607">
        <f t="shared" si="11"/>
        <v>3</v>
      </c>
      <c r="C363" s="666">
        <v>36708</v>
      </c>
      <c r="D363" s="1709">
        <v>0.58870476190476195</v>
      </c>
      <c r="E363" s="1117">
        <v>198.91156495238096</v>
      </c>
      <c r="F363" s="1117">
        <v>337.88</v>
      </c>
      <c r="G363" s="1117"/>
      <c r="H363" s="1117"/>
      <c r="I363" s="959">
        <v>281.58600000000001</v>
      </c>
      <c r="J363" s="959">
        <v>480.72</v>
      </c>
      <c r="K363" s="960"/>
      <c r="L363" s="1121"/>
      <c r="M363" s="916">
        <v>8167.86</v>
      </c>
      <c r="N363" s="916">
        <v>13874.288996020317</v>
      </c>
      <c r="O363" s="1174">
        <v>1799.36</v>
      </c>
      <c r="P363" s="1174">
        <v>3056.4726437376644</v>
      </c>
      <c r="Q363" s="1174">
        <v>452.12</v>
      </c>
      <c r="R363" s="1174">
        <v>767.99106998414595</v>
      </c>
      <c r="S363" s="1174">
        <v>1136.21</v>
      </c>
      <c r="T363" s="1174">
        <v>1930.0166628919014</v>
      </c>
      <c r="U363" s="1120">
        <v>380.86254571428577</v>
      </c>
      <c r="V363" s="1120">
        <v>646.95000000000005</v>
      </c>
      <c r="W363" s="1120">
        <v>1946.7583419047621</v>
      </c>
      <c r="X363" s="1120">
        <v>3306.85</v>
      </c>
      <c r="Y363" s="1119"/>
      <c r="Z363" s="1119"/>
      <c r="AA363" s="1119"/>
      <c r="AB363" s="1119"/>
      <c r="AC363" s="1178">
        <v>4.9690000000000003</v>
      </c>
      <c r="AD363" s="1178">
        <v>8.5</v>
      </c>
      <c r="AE363" s="1178">
        <v>29872.3</v>
      </c>
      <c r="AF363" s="1178">
        <v>50742.412722037072</v>
      </c>
      <c r="AG363" s="1178">
        <v>560.80999999999995</v>
      </c>
      <c r="AH363" s="1178">
        <v>952.61672113113514</v>
      </c>
      <c r="AI363" s="1178">
        <v>704.90499999999997</v>
      </c>
      <c r="AJ363" s="1178">
        <v>1197.3828744297407</v>
      </c>
      <c r="AK363" s="919">
        <v>28.51</v>
      </c>
      <c r="AL363" s="919">
        <v>48.428349564823499</v>
      </c>
      <c r="AM363" s="919">
        <v>30.91</v>
      </c>
      <c r="AN363" s="919">
        <v>52.505095932960167</v>
      </c>
      <c r="AO363" s="919"/>
      <c r="AP363" s="919"/>
      <c r="AS363" s="1167"/>
      <c r="AT363" s="1167"/>
      <c r="AU363" s="1168"/>
      <c r="AV363" s="1168"/>
      <c r="AW363" s="1169"/>
      <c r="AX363" s="1169"/>
      <c r="AY363" s="1169"/>
      <c r="AZ363" s="1169"/>
      <c r="BA363" s="1855" t="s">
        <v>1</v>
      </c>
      <c r="BB363" s="1856">
        <v>2007</v>
      </c>
      <c r="BC363" s="1855" t="s">
        <v>241</v>
      </c>
      <c r="BD363" s="1855">
        <v>3</v>
      </c>
      <c r="BE363" s="1857">
        <v>1477179000</v>
      </c>
      <c r="BF363" s="1801">
        <v>0.13077742405359649</v>
      </c>
      <c r="BG363" s="1799"/>
      <c r="BH363" s="1799" t="s">
        <v>280</v>
      </c>
      <c r="BI363" s="1799" t="s">
        <v>314</v>
      </c>
      <c r="BJ363" s="1799" t="s">
        <v>26</v>
      </c>
      <c r="BK363" s="1799">
        <v>7</v>
      </c>
      <c r="BL363" s="1800">
        <v>35348964</v>
      </c>
      <c r="BM363" s="1801">
        <v>4.8000000000000001E-2</v>
      </c>
      <c r="BN363" s="1799">
        <v>2009</v>
      </c>
      <c r="BO363" s="1684"/>
      <c r="BP363" s="1696"/>
      <c r="BQ363" s="1169"/>
      <c r="BR363" s="1169"/>
      <c r="BS363" s="1169"/>
      <c r="BT363" s="1169"/>
      <c r="BU363" s="1169"/>
      <c r="BV363" s="1169"/>
      <c r="BW363" s="1169"/>
      <c r="BX363" s="1169"/>
      <c r="BY363" s="1169"/>
      <c r="BZ363" s="1169"/>
      <c r="CA363" s="1169"/>
      <c r="CB363" s="1169"/>
      <c r="CC363" s="1169"/>
      <c r="CD363" s="1169"/>
      <c r="CE363" s="1169"/>
      <c r="CF363" s="1169"/>
      <c r="CG363" s="1169"/>
      <c r="CH363" s="1169"/>
      <c r="CI363" s="1169"/>
      <c r="CJ363" s="1169"/>
      <c r="CK363" s="1169"/>
      <c r="CL363" s="1169"/>
      <c r="CM363" s="1169"/>
      <c r="CN363" s="1169"/>
      <c r="CO363" s="1169"/>
      <c r="CP363" s="1169"/>
      <c r="CQ363" s="1169"/>
      <c r="CR363" s="1169"/>
      <c r="CS363" s="1169"/>
      <c r="CT363" s="1169"/>
      <c r="CU363" s="1169"/>
      <c r="CV363" s="1169"/>
      <c r="CW363" s="1169"/>
      <c r="CX363" s="1169"/>
      <c r="CY363" s="1169"/>
      <c r="CZ363" s="1169"/>
      <c r="DA363" s="1168"/>
      <c r="DB363" s="1168"/>
      <c r="DC363" s="1168"/>
      <c r="DD363" s="1168"/>
      <c r="DE363" s="1168"/>
      <c r="DF363" s="1168"/>
      <c r="DG363" s="1168"/>
      <c r="DH363" s="1168"/>
      <c r="DI363" s="1168"/>
      <c r="DJ363" s="1168"/>
      <c r="DK363" s="1168"/>
      <c r="DL363" s="1168"/>
      <c r="DM363" s="1168"/>
      <c r="DN363" s="1168"/>
      <c r="DO363" s="1168"/>
      <c r="DP363" s="1168"/>
      <c r="DQ363" s="1168"/>
      <c r="DR363" s="1168"/>
      <c r="DS363" s="1168"/>
      <c r="DT363" s="1168"/>
      <c r="DU363" s="1168"/>
      <c r="DV363" s="1168"/>
      <c r="DW363" s="1168"/>
      <c r="DX363" s="1168"/>
      <c r="DY363" s="1168"/>
      <c r="DZ363" s="1168"/>
      <c r="EA363" s="1168"/>
      <c r="EB363" s="1168"/>
      <c r="EC363" s="1168"/>
      <c r="ED363" s="1168"/>
      <c r="EE363" s="1168"/>
      <c r="EF363" s="1168"/>
      <c r="EG363" s="1168"/>
      <c r="EH363" s="1168"/>
      <c r="EI363" s="1170"/>
      <c r="EJ363" s="1170"/>
      <c r="EK363" s="1170"/>
      <c r="EL363" s="1170"/>
      <c r="EM363" s="1170"/>
      <c r="EN363" s="1170"/>
      <c r="EO363" s="1170"/>
      <c r="EP363" s="1170"/>
      <c r="EQ363" s="1170"/>
      <c r="ER363" s="1170"/>
      <c r="ES363" s="1171"/>
      <c r="ET363" s="1171"/>
      <c r="EU363" s="1171"/>
      <c r="EV363" s="1171"/>
      <c r="EW363" s="1171"/>
      <c r="EX363" s="1171"/>
      <c r="EY363" s="1171"/>
      <c r="EZ363" s="1171"/>
      <c r="FA363" s="1171"/>
      <c r="FB363" s="1171"/>
      <c r="FC363" s="1171"/>
      <c r="FD363" s="1171"/>
      <c r="FE363" s="1171"/>
      <c r="FF363" s="1171"/>
      <c r="FG363" s="1171"/>
      <c r="FH363" s="1171"/>
      <c r="FI363" s="1171"/>
      <c r="FJ363" s="1171"/>
      <c r="FK363" s="1171"/>
      <c r="FL363" s="1171"/>
      <c r="FM363" s="1171"/>
      <c r="FN363" s="1171"/>
      <c r="FO363" s="1171"/>
      <c r="FP363" s="1171"/>
    </row>
    <row r="364" spans="1:172" s="607" customFormat="1">
      <c r="A364" s="607">
        <f t="shared" si="10"/>
        <v>2000</v>
      </c>
      <c r="B364" s="607">
        <f t="shared" si="11"/>
        <v>3</v>
      </c>
      <c r="C364" s="666">
        <v>36739</v>
      </c>
      <c r="D364" s="957">
        <v>0.58145000000000013</v>
      </c>
      <c r="E364" s="920">
        <v>198.13490200000004</v>
      </c>
      <c r="F364" s="920">
        <v>340.76</v>
      </c>
      <c r="G364" s="920"/>
      <c r="H364" s="920"/>
      <c r="I364" s="954">
        <v>274.49099999999999</v>
      </c>
      <c r="J364" s="954">
        <v>473.36</v>
      </c>
      <c r="K364" s="954"/>
      <c r="L364" s="920"/>
      <c r="M364" s="917">
        <v>8010.45</v>
      </c>
      <c r="N364" s="917">
        <v>13776.678992174731</v>
      </c>
      <c r="O364" s="1175">
        <v>1855.86</v>
      </c>
      <c r="P364" s="1175">
        <v>3191.7791727577601</v>
      </c>
      <c r="Q364" s="1175">
        <v>473.09</v>
      </c>
      <c r="R364" s="1175">
        <v>813.63831799810794</v>
      </c>
      <c r="S364" s="1175">
        <v>1169.21</v>
      </c>
      <c r="T364" s="1175">
        <v>2010.8521798950894</v>
      </c>
      <c r="U364" s="920">
        <v>373.08157800000009</v>
      </c>
      <c r="V364" s="920">
        <v>641.64</v>
      </c>
      <c r="W364" s="920">
        <v>1933.1293715000004</v>
      </c>
      <c r="X364" s="920">
        <v>3324.67</v>
      </c>
      <c r="Y364" s="920"/>
      <c r="Z364" s="920"/>
      <c r="AA364" s="920"/>
      <c r="AB364" s="920"/>
      <c r="AC364" s="920">
        <v>4.8840000000000003</v>
      </c>
      <c r="AD364" s="920">
        <v>8.4600000000000009</v>
      </c>
      <c r="AE364" s="920">
        <v>32380</v>
      </c>
      <c r="AF364" s="920">
        <v>55688.365293662384</v>
      </c>
      <c r="AG364" s="920">
        <v>577.63599999999997</v>
      </c>
      <c r="AH364" s="920">
        <v>993.44053658956034</v>
      </c>
      <c r="AI364" s="920">
        <v>761.04499999999996</v>
      </c>
      <c r="AJ364" s="920">
        <v>1308.8743658096134</v>
      </c>
      <c r="AK364" s="920">
        <v>30.03</v>
      </c>
      <c r="AL364" s="920">
        <v>51.64674520595063</v>
      </c>
      <c r="AM364" s="920">
        <v>32.119999999999997</v>
      </c>
      <c r="AN364" s="920">
        <v>55.241207326511294</v>
      </c>
      <c r="AO364" s="920"/>
      <c r="AP364" s="920"/>
      <c r="AS364" s="1167"/>
      <c r="AT364" s="1167"/>
      <c r="AU364" s="1168"/>
      <c r="AV364" s="1168"/>
      <c r="AW364" s="1169"/>
      <c r="AX364" s="1169"/>
      <c r="AY364" s="1169"/>
      <c r="AZ364" s="1169"/>
      <c r="BA364" s="1855" t="s">
        <v>1</v>
      </c>
      <c r="BB364" s="1856">
        <v>2007</v>
      </c>
      <c r="BC364" s="1855" t="s">
        <v>29</v>
      </c>
      <c r="BD364" s="1855">
        <v>4</v>
      </c>
      <c r="BE364" s="1857">
        <v>1064866000</v>
      </c>
      <c r="BF364" s="1801">
        <v>9.4274581782070474E-2</v>
      </c>
      <c r="BG364" s="1799"/>
      <c r="BH364" s="1799" t="s">
        <v>280</v>
      </c>
      <c r="BI364" s="1799" t="s">
        <v>314</v>
      </c>
      <c r="BJ364" s="1799" t="s">
        <v>52</v>
      </c>
      <c r="BK364" s="1799">
        <v>8</v>
      </c>
      <c r="BL364" s="1800">
        <v>31647484</v>
      </c>
      <c r="BM364" s="1801">
        <v>4.2999999999999997E-2</v>
      </c>
      <c r="BN364" s="1799">
        <v>2009</v>
      </c>
      <c r="BO364" s="1684"/>
      <c r="BP364" s="1696"/>
      <c r="BQ364" s="1169"/>
      <c r="BR364" s="1169"/>
      <c r="BS364" s="1169"/>
      <c r="BT364" s="1169"/>
      <c r="BU364" s="1169"/>
      <c r="BV364" s="1169"/>
      <c r="BW364" s="1169"/>
      <c r="BX364" s="1169"/>
      <c r="BY364" s="1169"/>
      <c r="BZ364" s="1169"/>
      <c r="CA364" s="1169"/>
      <c r="CB364" s="1169"/>
      <c r="CC364" s="1169"/>
      <c r="CD364" s="1169"/>
      <c r="CE364" s="1169"/>
      <c r="CF364" s="1169"/>
      <c r="CG364" s="1169"/>
      <c r="CH364" s="1169"/>
      <c r="CI364" s="1169"/>
      <c r="CJ364" s="1169"/>
      <c r="CK364" s="1169"/>
      <c r="CL364" s="1169"/>
      <c r="CM364" s="1169"/>
      <c r="CN364" s="1169"/>
      <c r="CO364" s="1169"/>
      <c r="CP364" s="1169"/>
      <c r="CQ364" s="1169"/>
      <c r="CR364" s="1169"/>
      <c r="CS364" s="1169"/>
      <c r="CT364" s="1169"/>
      <c r="CU364" s="1169"/>
      <c r="CV364" s="1169"/>
      <c r="CW364" s="1169"/>
      <c r="CX364" s="1169"/>
      <c r="CY364" s="1169"/>
      <c r="CZ364" s="1169"/>
      <c r="DA364" s="1168"/>
      <c r="DB364" s="1168"/>
      <c r="DC364" s="1168"/>
      <c r="DD364" s="1168"/>
      <c r="DE364" s="1168"/>
      <c r="DF364" s="1168"/>
      <c r="DG364" s="1168"/>
      <c r="DH364" s="1168"/>
      <c r="DI364" s="1168"/>
      <c r="DJ364" s="1168"/>
      <c r="DK364" s="1168"/>
      <c r="DL364" s="1168"/>
      <c r="DM364" s="1168"/>
      <c r="DN364" s="1168"/>
      <c r="DO364" s="1168"/>
      <c r="DP364" s="1168"/>
      <c r="DQ364" s="1168"/>
      <c r="DR364" s="1168"/>
      <c r="DS364" s="1168"/>
      <c r="DT364" s="1168"/>
      <c r="DU364" s="1168"/>
      <c r="DV364" s="1168"/>
      <c r="DW364" s="1168"/>
      <c r="DX364" s="1168"/>
      <c r="DY364" s="1168"/>
      <c r="DZ364" s="1168"/>
      <c r="EA364" s="1168"/>
      <c r="EB364" s="1168"/>
      <c r="EC364" s="1168"/>
      <c r="ED364" s="1168"/>
      <c r="EE364" s="1168"/>
      <c r="EF364" s="1168"/>
      <c r="EG364" s="1168"/>
      <c r="EH364" s="1168"/>
      <c r="EI364" s="1170"/>
      <c r="EJ364" s="1170"/>
      <c r="EK364" s="1170"/>
      <c r="EL364" s="1170"/>
      <c r="EM364" s="1170"/>
      <c r="EN364" s="1170"/>
      <c r="EO364" s="1170"/>
      <c r="EP364" s="1170"/>
      <c r="EQ364" s="1170"/>
      <c r="ER364" s="1170"/>
      <c r="ES364" s="1171"/>
      <c r="ET364" s="1171"/>
      <c r="EU364" s="1171"/>
      <c r="EV364" s="1171"/>
      <c r="EW364" s="1171"/>
      <c r="EX364" s="1171"/>
      <c r="EY364" s="1171"/>
      <c r="EZ364" s="1171"/>
      <c r="FA364" s="1171"/>
      <c r="FB364" s="1171"/>
      <c r="FC364" s="1171"/>
      <c r="FD364" s="1171"/>
      <c r="FE364" s="1171"/>
      <c r="FF364" s="1171"/>
      <c r="FG364" s="1171"/>
      <c r="FH364" s="1171"/>
      <c r="FI364" s="1171"/>
      <c r="FJ364" s="1171"/>
      <c r="FK364" s="1171"/>
      <c r="FL364" s="1171"/>
      <c r="FM364" s="1171"/>
      <c r="FN364" s="1171"/>
      <c r="FO364" s="1171"/>
      <c r="FP364" s="1171"/>
    </row>
    <row r="365" spans="1:172" s="607" customFormat="1">
      <c r="A365" s="607">
        <f t="shared" si="10"/>
        <v>2000</v>
      </c>
      <c r="B365" s="607">
        <f t="shared" si="11"/>
        <v>3</v>
      </c>
      <c r="C365" s="666">
        <v>36770</v>
      </c>
      <c r="D365" s="1709">
        <v>0.55410952380952383</v>
      </c>
      <c r="E365" s="1117">
        <v>199.72877785714286</v>
      </c>
      <c r="F365" s="1117">
        <v>360.45</v>
      </c>
      <c r="G365" s="1117"/>
      <c r="H365" s="1117"/>
      <c r="I365" s="959">
        <v>273.70699999999999</v>
      </c>
      <c r="J365" s="959">
        <v>494.74</v>
      </c>
      <c r="K365" s="960"/>
      <c r="L365" s="1121"/>
      <c r="M365" s="916">
        <v>8642.14</v>
      </c>
      <c r="N365" s="916">
        <v>15596.447324321303</v>
      </c>
      <c r="O365" s="1174">
        <v>1960.4</v>
      </c>
      <c r="P365" s="1174">
        <v>3537.9287230477044</v>
      </c>
      <c r="Q365" s="1174">
        <v>487.05</v>
      </c>
      <c r="R365" s="1174">
        <v>878.97785378513788</v>
      </c>
      <c r="S365" s="1174">
        <v>1224.4000000000001</v>
      </c>
      <c r="T365" s="1174">
        <v>2209.6714591407922</v>
      </c>
      <c r="U365" s="1120">
        <v>371.02619604761907</v>
      </c>
      <c r="V365" s="1120">
        <v>669.59</v>
      </c>
      <c r="W365" s="1120">
        <v>1898.7671052380952</v>
      </c>
      <c r="X365" s="1120">
        <v>3426.7</v>
      </c>
      <c r="Y365" s="1119"/>
      <c r="Z365" s="1119"/>
      <c r="AA365" s="1119"/>
      <c r="AB365" s="1119"/>
      <c r="AC365" s="1178">
        <v>4.8899999999999997</v>
      </c>
      <c r="AD365" s="1178">
        <v>8.8800000000000008</v>
      </c>
      <c r="AE365" s="1178">
        <v>35284.620000000003</v>
      </c>
      <c r="AF365" s="1178">
        <v>63678.060895645525</v>
      </c>
      <c r="AG365" s="1178">
        <v>592.524</v>
      </c>
      <c r="AH365" s="1178">
        <v>1069.3265041293193</v>
      </c>
      <c r="AI365" s="1178">
        <v>728.524</v>
      </c>
      <c r="AJ365" s="1178">
        <v>1314.765346372988</v>
      </c>
      <c r="AK365" s="919">
        <v>32.78</v>
      </c>
      <c r="AL365" s="919">
        <v>59.157979770201869</v>
      </c>
      <c r="AM365" s="919">
        <v>34.36</v>
      </c>
      <c r="AN365" s="919">
        <v>62.009401613915074</v>
      </c>
      <c r="AO365" s="919"/>
      <c r="AP365" s="919"/>
      <c r="AS365" s="1167"/>
      <c r="AT365" s="1167"/>
      <c r="AU365" s="1168"/>
      <c r="AV365" s="1168"/>
      <c r="AW365" s="1169"/>
      <c r="AX365" s="1169"/>
      <c r="AY365" s="1169"/>
      <c r="AZ365" s="1169"/>
      <c r="BA365" s="1855" t="s">
        <v>1</v>
      </c>
      <c r="BB365" s="1856">
        <v>2007</v>
      </c>
      <c r="BC365" s="1855" t="s">
        <v>28</v>
      </c>
      <c r="BD365" s="1855">
        <v>5</v>
      </c>
      <c r="BE365" s="1857">
        <v>537729000</v>
      </c>
      <c r="BF365" s="1801">
        <v>4.7606155691975301E-2</v>
      </c>
      <c r="BG365" s="1799"/>
      <c r="BH365" s="1799" t="s">
        <v>280</v>
      </c>
      <c r="BI365" s="1799" t="s">
        <v>314</v>
      </c>
      <c r="BJ365" s="1799" t="s">
        <v>18</v>
      </c>
      <c r="BK365" s="1799">
        <v>9</v>
      </c>
      <c r="BL365" s="1800">
        <v>30620002</v>
      </c>
      <c r="BM365" s="1801">
        <v>4.1000000000000002E-2</v>
      </c>
      <c r="BN365" s="1799">
        <v>2009</v>
      </c>
      <c r="BO365" s="1684"/>
      <c r="BP365" s="1696"/>
      <c r="BQ365" s="1169"/>
      <c r="BR365" s="1169"/>
      <c r="BS365" s="1169"/>
      <c r="BT365" s="1169"/>
      <c r="BU365" s="1169"/>
      <c r="BV365" s="1169"/>
      <c r="BW365" s="1169"/>
      <c r="BX365" s="1169"/>
      <c r="BY365" s="1169"/>
      <c r="BZ365" s="1169"/>
      <c r="CA365" s="1169"/>
      <c r="CB365" s="1169"/>
      <c r="CC365" s="1169"/>
      <c r="CD365" s="1169"/>
      <c r="CE365" s="1169"/>
      <c r="CF365" s="1169"/>
      <c r="CG365" s="1169"/>
      <c r="CH365" s="1169"/>
      <c r="CI365" s="1169"/>
      <c r="CJ365" s="1169"/>
      <c r="CK365" s="1169"/>
      <c r="CL365" s="1169"/>
      <c r="CM365" s="1169"/>
      <c r="CN365" s="1169"/>
      <c r="CO365" s="1169"/>
      <c r="CP365" s="1169"/>
      <c r="CQ365" s="1169"/>
      <c r="CR365" s="1169"/>
      <c r="CS365" s="1169"/>
      <c r="CT365" s="1169"/>
      <c r="CU365" s="1169"/>
      <c r="CV365" s="1169"/>
      <c r="CW365" s="1169"/>
      <c r="CX365" s="1169"/>
      <c r="CY365" s="1169"/>
      <c r="CZ365" s="1169"/>
      <c r="DA365" s="1168"/>
      <c r="DB365" s="1168"/>
      <c r="DC365" s="1168"/>
      <c r="DD365" s="1168"/>
      <c r="DE365" s="1168"/>
      <c r="DF365" s="1168"/>
      <c r="DG365" s="1168"/>
      <c r="DH365" s="1168"/>
      <c r="DI365" s="1168"/>
      <c r="DJ365" s="1168"/>
      <c r="DK365" s="1168"/>
      <c r="DL365" s="1168"/>
      <c r="DM365" s="1168"/>
      <c r="DN365" s="1168"/>
      <c r="DO365" s="1168"/>
      <c r="DP365" s="1168"/>
      <c r="DQ365" s="1168"/>
      <c r="DR365" s="1168"/>
      <c r="DS365" s="1168"/>
      <c r="DT365" s="1168"/>
      <c r="DU365" s="1168"/>
      <c r="DV365" s="1168"/>
      <c r="DW365" s="1168"/>
      <c r="DX365" s="1168"/>
      <c r="DY365" s="1168"/>
      <c r="DZ365" s="1168"/>
      <c r="EA365" s="1168"/>
      <c r="EB365" s="1168"/>
      <c r="EC365" s="1168"/>
      <c r="ED365" s="1168"/>
      <c r="EE365" s="1168"/>
      <c r="EF365" s="1168"/>
      <c r="EG365" s="1168"/>
      <c r="EH365" s="1168"/>
      <c r="EI365" s="1170"/>
      <c r="EJ365" s="1170"/>
      <c r="EK365" s="1170"/>
      <c r="EL365" s="1170"/>
      <c r="EM365" s="1170"/>
      <c r="EN365" s="1170"/>
      <c r="EO365" s="1170"/>
      <c r="EP365" s="1170"/>
      <c r="EQ365" s="1170"/>
      <c r="ER365" s="1170"/>
      <c r="ES365" s="1171"/>
      <c r="ET365" s="1171"/>
      <c r="EU365" s="1171"/>
      <c r="EV365" s="1171"/>
      <c r="EW365" s="1171"/>
      <c r="EX365" s="1171"/>
      <c r="EY365" s="1171"/>
      <c r="EZ365" s="1171"/>
      <c r="FA365" s="1171"/>
      <c r="FB365" s="1171"/>
      <c r="FC365" s="1171"/>
      <c r="FD365" s="1171"/>
      <c r="FE365" s="1171"/>
      <c r="FF365" s="1171"/>
      <c r="FG365" s="1171"/>
      <c r="FH365" s="1171"/>
      <c r="FI365" s="1171"/>
      <c r="FJ365" s="1171"/>
      <c r="FK365" s="1171"/>
      <c r="FL365" s="1171"/>
      <c r="FM365" s="1171"/>
      <c r="FN365" s="1171"/>
      <c r="FO365" s="1171"/>
      <c r="FP365" s="1171"/>
    </row>
    <row r="366" spans="1:172" s="607" customFormat="1">
      <c r="A366" s="607">
        <f t="shared" si="10"/>
        <v>2000</v>
      </c>
      <c r="B366" s="607">
        <f t="shared" si="11"/>
        <v>4</v>
      </c>
      <c r="C366" s="666">
        <v>36800</v>
      </c>
      <c r="D366" s="957">
        <v>0.52770476190476201</v>
      </c>
      <c r="E366" s="920">
        <v>195.32991761904765</v>
      </c>
      <c r="F366" s="920">
        <v>370.15</v>
      </c>
      <c r="G366" s="920"/>
      <c r="H366" s="920"/>
      <c r="I366" s="954">
        <v>269.98</v>
      </c>
      <c r="J366" s="954">
        <v>488.3</v>
      </c>
      <c r="K366" s="954"/>
      <c r="L366" s="920"/>
      <c r="M366" s="917">
        <v>7682.5</v>
      </c>
      <c r="N366" s="917">
        <v>14558.329874208159</v>
      </c>
      <c r="O366" s="1175">
        <v>1898.59</v>
      </c>
      <c r="P366" s="1175">
        <v>3597.8261654243888</v>
      </c>
      <c r="Q366" s="1175">
        <v>486.14</v>
      </c>
      <c r="R366" s="1175">
        <v>921.23481744842877</v>
      </c>
      <c r="S366" s="1175">
        <v>1095.8599999999999</v>
      </c>
      <c r="T366" s="1175">
        <v>2076.6536122290595</v>
      </c>
      <c r="U366" s="920">
        <v>376.81813933333342</v>
      </c>
      <c r="V366" s="920">
        <v>714.07</v>
      </c>
      <c r="W366" s="920">
        <v>1933.8954720952386</v>
      </c>
      <c r="X366" s="920">
        <v>3664.73</v>
      </c>
      <c r="Y366" s="920"/>
      <c r="Z366" s="920"/>
      <c r="AA366" s="920"/>
      <c r="AB366" s="920"/>
      <c r="AC366" s="920">
        <v>4.83</v>
      </c>
      <c r="AD366" s="920">
        <v>9.19</v>
      </c>
      <c r="AE366" s="920">
        <v>38304.9</v>
      </c>
      <c r="AF366" s="920">
        <v>72587.74747784654</v>
      </c>
      <c r="AG366" s="920">
        <v>579.59100000000001</v>
      </c>
      <c r="AH366" s="920">
        <v>1098.3243696872348</v>
      </c>
      <c r="AI366" s="920">
        <v>739.86400000000003</v>
      </c>
      <c r="AJ366" s="920">
        <v>1402.0415455972854</v>
      </c>
      <c r="AK366" s="920">
        <v>30.93</v>
      </c>
      <c r="AL366" s="920">
        <v>58.612319298308925</v>
      </c>
      <c r="AM366" s="920">
        <v>31.6</v>
      </c>
      <c r="AN366" s="920">
        <v>59.881968633254516</v>
      </c>
      <c r="AO366" s="920"/>
      <c r="AP366" s="920"/>
      <c r="AS366" s="1167"/>
      <c r="AT366" s="1167"/>
      <c r="AU366" s="1168"/>
      <c r="AV366" s="1168"/>
      <c r="AW366" s="1169"/>
      <c r="AX366" s="1169"/>
      <c r="AY366" s="1169"/>
      <c r="AZ366" s="1169"/>
      <c r="BA366" s="1855" t="s">
        <v>1</v>
      </c>
      <c r="BB366" s="1856">
        <v>2007</v>
      </c>
      <c r="BC366" s="1855" t="s">
        <v>49</v>
      </c>
      <c r="BD366" s="1855">
        <v>6</v>
      </c>
      <c r="BE366" s="1857">
        <v>457223000</v>
      </c>
      <c r="BF366" s="1801">
        <v>4.0478808700947923E-2</v>
      </c>
      <c r="BG366" s="1799"/>
      <c r="BH366" s="1799" t="s">
        <v>280</v>
      </c>
      <c r="BI366" s="1799" t="s">
        <v>314</v>
      </c>
      <c r="BJ366" s="1799" t="s">
        <v>20</v>
      </c>
      <c r="BK366" s="1799">
        <v>10</v>
      </c>
      <c r="BL366" s="1800">
        <v>26078352</v>
      </c>
      <c r="BM366" s="1801">
        <v>3.5000000000000003E-2</v>
      </c>
      <c r="BN366" s="1799">
        <v>2009</v>
      </c>
      <c r="BO366" s="1684"/>
      <c r="BP366" s="1696"/>
      <c r="BQ366" s="1169"/>
      <c r="BR366" s="1169"/>
      <c r="BS366" s="1169"/>
      <c r="BT366" s="1169"/>
      <c r="BU366" s="1169"/>
      <c r="BV366" s="1169"/>
      <c r="BW366" s="1169"/>
      <c r="BX366" s="1169"/>
      <c r="BY366" s="1169"/>
      <c r="BZ366" s="1169"/>
      <c r="CA366" s="1169"/>
      <c r="CB366" s="1169"/>
      <c r="CC366" s="1169"/>
      <c r="CD366" s="1169"/>
      <c r="CE366" s="1169"/>
      <c r="CF366" s="1169"/>
      <c r="CG366" s="1169"/>
      <c r="CH366" s="1169"/>
      <c r="CI366" s="1169"/>
      <c r="CJ366" s="1169"/>
      <c r="CK366" s="1169"/>
      <c r="CL366" s="1169"/>
      <c r="CM366" s="1169"/>
      <c r="CN366" s="1169"/>
      <c r="CO366" s="1169"/>
      <c r="CP366" s="1169"/>
      <c r="CQ366" s="1169"/>
      <c r="CR366" s="1169"/>
      <c r="CS366" s="1169"/>
      <c r="CT366" s="1169"/>
      <c r="CU366" s="1169"/>
      <c r="CV366" s="1169"/>
      <c r="CW366" s="1169"/>
      <c r="CX366" s="1169"/>
      <c r="CY366" s="1169"/>
      <c r="CZ366" s="1169"/>
      <c r="DA366" s="1168"/>
      <c r="DB366" s="1168"/>
      <c r="DC366" s="1168"/>
      <c r="DD366" s="1168"/>
      <c r="DE366" s="1168"/>
      <c r="DF366" s="1168"/>
      <c r="DG366" s="1168"/>
      <c r="DH366" s="1168"/>
      <c r="DI366" s="1168"/>
      <c r="DJ366" s="1168"/>
      <c r="DK366" s="1168"/>
      <c r="DL366" s="1168"/>
      <c r="DM366" s="1168"/>
      <c r="DN366" s="1168"/>
      <c r="DO366" s="1168"/>
      <c r="DP366" s="1168"/>
      <c r="DQ366" s="1168"/>
      <c r="DR366" s="1168"/>
      <c r="DS366" s="1168"/>
      <c r="DT366" s="1168"/>
      <c r="DU366" s="1168"/>
      <c r="DV366" s="1168"/>
      <c r="DW366" s="1168"/>
      <c r="DX366" s="1168"/>
      <c r="DY366" s="1168"/>
      <c r="DZ366" s="1168"/>
      <c r="EA366" s="1168"/>
      <c r="EB366" s="1168"/>
      <c r="EC366" s="1168"/>
      <c r="ED366" s="1168"/>
      <c r="EE366" s="1168"/>
      <c r="EF366" s="1168"/>
      <c r="EG366" s="1168"/>
      <c r="EH366" s="1168"/>
      <c r="EI366" s="1170"/>
      <c r="EJ366" s="1170"/>
      <c r="EK366" s="1170"/>
      <c r="EL366" s="1170"/>
      <c r="EM366" s="1170"/>
      <c r="EN366" s="1170"/>
      <c r="EO366" s="1170"/>
      <c r="EP366" s="1170"/>
      <c r="EQ366" s="1170"/>
      <c r="ER366" s="1170"/>
      <c r="ES366" s="1171"/>
      <c r="ET366" s="1171"/>
      <c r="EU366" s="1171"/>
      <c r="EV366" s="1171"/>
      <c r="EW366" s="1171"/>
      <c r="EX366" s="1171"/>
      <c r="EY366" s="1171"/>
      <c r="EZ366" s="1171"/>
      <c r="FA366" s="1171"/>
      <c r="FB366" s="1171"/>
      <c r="FC366" s="1171"/>
      <c r="FD366" s="1171"/>
      <c r="FE366" s="1171"/>
      <c r="FF366" s="1171"/>
      <c r="FG366" s="1171"/>
      <c r="FH366" s="1171"/>
      <c r="FI366" s="1171"/>
      <c r="FJ366" s="1171"/>
      <c r="FK366" s="1171"/>
      <c r="FL366" s="1171"/>
      <c r="FM366" s="1171"/>
      <c r="FN366" s="1171"/>
      <c r="FO366" s="1171"/>
      <c r="FP366" s="1171"/>
    </row>
    <row r="367" spans="1:172" s="607" customFormat="1">
      <c r="A367" s="607">
        <f t="shared" si="10"/>
        <v>2000</v>
      </c>
      <c r="B367" s="607">
        <f t="shared" si="11"/>
        <v>4</v>
      </c>
      <c r="C367" s="666">
        <v>36831</v>
      </c>
      <c r="D367" s="1709">
        <v>0.5222681818181818</v>
      </c>
      <c r="E367" s="1117">
        <v>197.38603663636363</v>
      </c>
      <c r="F367" s="1117">
        <v>377.94</v>
      </c>
      <c r="G367" s="1117"/>
      <c r="H367" s="1117"/>
      <c r="I367" s="959">
        <v>266.05200000000002</v>
      </c>
      <c r="J367" s="959">
        <v>510.71</v>
      </c>
      <c r="K367" s="960"/>
      <c r="L367" s="1121"/>
      <c r="M367" s="916">
        <v>7344.09</v>
      </c>
      <c r="N367" s="916">
        <v>14061.913506644967</v>
      </c>
      <c r="O367" s="1174">
        <v>1795.11</v>
      </c>
      <c r="P367" s="1174">
        <v>3437.1421857457417</v>
      </c>
      <c r="Q367" s="1174">
        <v>467.98</v>
      </c>
      <c r="R367" s="1174">
        <v>896.05305529203918</v>
      </c>
      <c r="S367" s="1174">
        <v>1059.05</v>
      </c>
      <c r="T367" s="1174">
        <v>2027.7896239305826</v>
      </c>
      <c r="U367" s="1120">
        <v>352.98017336363637</v>
      </c>
      <c r="V367" s="1120">
        <v>675.86</v>
      </c>
      <c r="W367" s="1120">
        <v>1921.9939132272727</v>
      </c>
      <c r="X367" s="1120">
        <v>3680.09</v>
      </c>
      <c r="Y367" s="1119"/>
      <c r="Z367" s="1119"/>
      <c r="AA367" s="1119"/>
      <c r="AB367" s="1119"/>
      <c r="AC367" s="1178">
        <v>4.6790000000000003</v>
      </c>
      <c r="AD367" s="1178">
        <v>9.0299999999999994</v>
      </c>
      <c r="AE367" s="1178">
        <v>32311</v>
      </c>
      <c r="AF367" s="1178">
        <v>61866.682912819088</v>
      </c>
      <c r="AG367" s="1178">
        <v>593.29499999999996</v>
      </c>
      <c r="AH367" s="1178">
        <v>1135.9968320002786</v>
      </c>
      <c r="AI367" s="1178">
        <v>783.27300000000002</v>
      </c>
      <c r="AJ367" s="1178">
        <v>1499.7524782635185</v>
      </c>
      <c r="AK367" s="919">
        <v>32.520000000000003</v>
      </c>
      <c r="AL367" s="919">
        <v>62.266860460056229</v>
      </c>
      <c r="AM367" s="919">
        <v>32.630000000000003</v>
      </c>
      <c r="AN367" s="919">
        <v>62.47748022175999</v>
      </c>
      <c r="AO367" s="919"/>
      <c r="AP367" s="919"/>
      <c r="AS367" s="1167"/>
      <c r="AT367" s="1167"/>
      <c r="AU367" s="1168"/>
      <c r="AV367" s="1168"/>
      <c r="AW367" s="1169"/>
      <c r="AX367" s="1169"/>
      <c r="AY367" s="1169"/>
      <c r="AZ367" s="1169"/>
      <c r="BA367" s="1855" t="s">
        <v>1</v>
      </c>
      <c r="BB367" s="1856">
        <v>2007</v>
      </c>
      <c r="BC367" s="1855" t="s">
        <v>77</v>
      </c>
      <c r="BD367" s="1855">
        <v>7</v>
      </c>
      <c r="BE367" s="1857">
        <v>380827000</v>
      </c>
      <c r="BF367" s="1801">
        <v>3.3715327709139507E-2</v>
      </c>
      <c r="BG367" s="1799"/>
      <c r="BH367" s="1799" t="s">
        <v>280</v>
      </c>
      <c r="BI367" s="1799" t="s">
        <v>314</v>
      </c>
      <c r="BJ367" s="1799" t="s">
        <v>32</v>
      </c>
      <c r="BK367" s="1799"/>
      <c r="BL367" s="1800">
        <v>97194344</v>
      </c>
      <c r="BM367" s="1801">
        <v>0.13200000000000001</v>
      </c>
      <c r="BN367" s="1799">
        <v>2009</v>
      </c>
      <c r="BO367" s="1684"/>
      <c r="BP367" s="1696"/>
      <c r="BQ367" s="1169"/>
      <c r="BR367" s="1169"/>
      <c r="BS367" s="1169"/>
      <c r="BT367" s="1169"/>
      <c r="BU367" s="1169"/>
      <c r="BV367" s="1169"/>
      <c r="BW367" s="1169"/>
      <c r="BX367" s="1169"/>
      <c r="BY367" s="1169"/>
      <c r="BZ367" s="1169"/>
      <c r="CA367" s="1169"/>
      <c r="CB367" s="1169"/>
      <c r="CC367" s="1169"/>
      <c r="CD367" s="1169"/>
      <c r="CE367" s="1169"/>
      <c r="CF367" s="1169"/>
      <c r="CG367" s="1169"/>
      <c r="CH367" s="1169"/>
      <c r="CI367" s="1169"/>
      <c r="CJ367" s="1169"/>
      <c r="CK367" s="1169"/>
      <c r="CL367" s="1169"/>
      <c r="CM367" s="1169"/>
      <c r="CN367" s="1169"/>
      <c r="CO367" s="1169"/>
      <c r="CP367" s="1169"/>
      <c r="CQ367" s="1169"/>
      <c r="CR367" s="1169"/>
      <c r="CS367" s="1169"/>
      <c r="CT367" s="1169"/>
      <c r="CU367" s="1169"/>
      <c r="CV367" s="1169"/>
      <c r="CW367" s="1169"/>
      <c r="CX367" s="1169"/>
      <c r="CY367" s="1169"/>
      <c r="CZ367" s="1169"/>
      <c r="DA367" s="1168"/>
      <c r="DB367" s="1168"/>
      <c r="DC367" s="1168"/>
      <c r="DD367" s="1168"/>
      <c r="DE367" s="1168"/>
      <c r="DF367" s="1168"/>
      <c r="DG367" s="1168"/>
      <c r="DH367" s="1168"/>
      <c r="DI367" s="1168"/>
      <c r="DJ367" s="1168"/>
      <c r="DK367" s="1168"/>
      <c r="DL367" s="1168"/>
      <c r="DM367" s="1168"/>
      <c r="DN367" s="1168"/>
      <c r="DO367" s="1168"/>
      <c r="DP367" s="1168"/>
      <c r="DQ367" s="1168"/>
      <c r="DR367" s="1168"/>
      <c r="DS367" s="1168"/>
      <c r="DT367" s="1168"/>
      <c r="DU367" s="1168"/>
      <c r="DV367" s="1168"/>
      <c r="DW367" s="1168"/>
      <c r="DX367" s="1168"/>
      <c r="DY367" s="1168"/>
      <c r="DZ367" s="1168"/>
      <c r="EA367" s="1168"/>
      <c r="EB367" s="1168"/>
      <c r="EC367" s="1168"/>
      <c r="ED367" s="1168"/>
      <c r="EE367" s="1168"/>
      <c r="EF367" s="1168"/>
      <c r="EG367" s="1168"/>
      <c r="EH367" s="1168"/>
      <c r="EI367" s="1170"/>
      <c r="EJ367" s="1170"/>
      <c r="EK367" s="1170"/>
      <c r="EL367" s="1170"/>
      <c r="EM367" s="1170"/>
      <c r="EN367" s="1170"/>
      <c r="EO367" s="1170"/>
      <c r="EP367" s="1170"/>
      <c r="EQ367" s="1170"/>
      <c r="ER367" s="1170"/>
      <c r="ES367" s="1171"/>
      <c r="ET367" s="1171"/>
      <c r="EU367" s="1171"/>
      <c r="EV367" s="1171"/>
      <c r="EW367" s="1171"/>
      <c r="EX367" s="1171"/>
      <c r="EY367" s="1171"/>
      <c r="EZ367" s="1171"/>
      <c r="FA367" s="1171"/>
      <c r="FB367" s="1171"/>
      <c r="FC367" s="1171"/>
      <c r="FD367" s="1171"/>
      <c r="FE367" s="1171"/>
      <c r="FF367" s="1171"/>
      <c r="FG367" s="1171"/>
      <c r="FH367" s="1171"/>
      <c r="FI367" s="1171"/>
      <c r="FJ367" s="1171"/>
      <c r="FK367" s="1171"/>
      <c r="FL367" s="1171"/>
      <c r="FM367" s="1171"/>
      <c r="FN367" s="1171"/>
      <c r="FO367" s="1171"/>
      <c r="FP367" s="1171"/>
    </row>
    <row r="368" spans="1:172" s="607" customFormat="1">
      <c r="A368" s="607">
        <f t="shared" si="10"/>
        <v>2000</v>
      </c>
      <c r="B368" s="607">
        <f t="shared" si="11"/>
        <v>4</v>
      </c>
      <c r="C368" s="666">
        <v>36861</v>
      </c>
      <c r="D368" s="957">
        <v>0.54667894736842104</v>
      </c>
      <c r="E368" s="920">
        <v>194.02729200000002</v>
      </c>
      <c r="F368" s="920">
        <v>354.92</v>
      </c>
      <c r="G368" s="920"/>
      <c r="H368" s="920"/>
      <c r="I368" s="954">
        <v>271.64499999999998</v>
      </c>
      <c r="J368" s="954">
        <v>499.46</v>
      </c>
      <c r="K368" s="954"/>
      <c r="L368" s="920"/>
      <c r="M368" s="917">
        <v>7318.68</v>
      </c>
      <c r="N368" s="917">
        <v>13387.528521503047</v>
      </c>
      <c r="O368" s="1175">
        <v>1850.55</v>
      </c>
      <c r="P368" s="1175">
        <v>3385.0763943043639</v>
      </c>
      <c r="Q368" s="1175">
        <v>462.34</v>
      </c>
      <c r="R368" s="1175">
        <v>845.72490348419637</v>
      </c>
      <c r="S368" s="1175">
        <v>1059.79</v>
      </c>
      <c r="T368" s="1175">
        <v>1938.5966939125244</v>
      </c>
      <c r="U368" s="920">
        <v>369.7627064210526</v>
      </c>
      <c r="V368" s="920">
        <v>676.38</v>
      </c>
      <c r="W368" s="920">
        <v>1908.9646166842103</v>
      </c>
      <c r="X368" s="920">
        <v>3491.93</v>
      </c>
      <c r="Y368" s="920"/>
      <c r="Z368" s="920"/>
      <c r="AA368" s="920"/>
      <c r="AB368" s="920"/>
      <c r="AC368" s="920">
        <v>4.641</v>
      </c>
      <c r="AD368" s="920">
        <v>8.57</v>
      </c>
      <c r="AE368" s="920">
        <v>31456.9</v>
      </c>
      <c r="AF368" s="920">
        <v>57541.817096535066</v>
      </c>
      <c r="AG368" s="920">
        <v>609.97400000000005</v>
      </c>
      <c r="AH368" s="920">
        <v>1115.781031876691</v>
      </c>
      <c r="AI368" s="920">
        <v>915.36800000000005</v>
      </c>
      <c r="AJ368" s="920">
        <v>1674.4160432852923</v>
      </c>
      <c r="AK368" s="920">
        <v>25.12</v>
      </c>
      <c r="AL368" s="920">
        <v>45.950187255100175</v>
      </c>
      <c r="AM368" s="920">
        <v>27.84</v>
      </c>
      <c r="AN368" s="920">
        <v>50.925685238136502</v>
      </c>
      <c r="AO368" s="920"/>
      <c r="AP368" s="920"/>
      <c r="AS368" s="1167"/>
      <c r="AT368" s="1167"/>
      <c r="AU368" s="1168"/>
      <c r="AV368" s="1168"/>
      <c r="AW368" s="1169"/>
      <c r="AX368" s="1169"/>
      <c r="AY368" s="1169"/>
      <c r="AZ368" s="1169"/>
      <c r="BA368" s="1855" t="s">
        <v>1</v>
      </c>
      <c r="BB368" s="1856">
        <v>2007</v>
      </c>
      <c r="BC368" s="1855" t="s">
        <v>581</v>
      </c>
      <c r="BD368" s="1855">
        <v>8</v>
      </c>
      <c r="BE368" s="1857">
        <v>173979000</v>
      </c>
      <c r="BF368" s="1801">
        <v>1.5402686782996958E-2</v>
      </c>
      <c r="BG368" s="1799"/>
      <c r="BH368" s="1799" t="s">
        <v>280</v>
      </c>
      <c r="BI368" s="1799" t="s">
        <v>314</v>
      </c>
      <c r="BJ368" s="1799" t="s">
        <v>70</v>
      </c>
      <c r="BK368" s="1799"/>
      <c r="BL368" s="1800">
        <v>737998898</v>
      </c>
      <c r="BM368" s="1801">
        <v>1</v>
      </c>
      <c r="BN368" s="1799">
        <v>2009</v>
      </c>
      <c r="BO368" s="1684"/>
      <c r="BP368" s="1696"/>
      <c r="BQ368" s="1169"/>
      <c r="BR368" s="1169"/>
      <c r="BS368" s="1169"/>
      <c r="BT368" s="1169"/>
      <c r="BU368" s="1169"/>
      <c r="BV368" s="1169"/>
      <c r="BW368" s="1169"/>
      <c r="BX368" s="1169"/>
      <c r="BY368" s="1169"/>
      <c r="BZ368" s="1169"/>
      <c r="CA368" s="1169"/>
      <c r="CB368" s="1169"/>
      <c r="CC368" s="1169"/>
      <c r="CD368" s="1169"/>
      <c r="CE368" s="1169"/>
      <c r="CF368" s="1169"/>
      <c r="CG368" s="1169"/>
      <c r="CH368" s="1169"/>
      <c r="CI368" s="1169"/>
      <c r="CJ368" s="1169"/>
      <c r="CK368" s="1169"/>
      <c r="CL368" s="1169"/>
      <c r="CM368" s="1169"/>
      <c r="CN368" s="1169"/>
      <c r="CO368" s="1169"/>
      <c r="CP368" s="1169"/>
      <c r="CQ368" s="1169"/>
      <c r="CR368" s="1169"/>
      <c r="CS368" s="1169"/>
      <c r="CT368" s="1169"/>
      <c r="CU368" s="1169"/>
      <c r="CV368" s="1169"/>
      <c r="CW368" s="1169"/>
      <c r="CX368" s="1169"/>
      <c r="CY368" s="1169"/>
      <c r="CZ368" s="1169"/>
      <c r="DA368" s="1168"/>
      <c r="DB368" s="1168"/>
      <c r="DC368" s="1168"/>
      <c r="DD368" s="1168"/>
      <c r="DE368" s="1168"/>
      <c r="DF368" s="1168"/>
      <c r="DG368" s="1168"/>
      <c r="DH368" s="1168"/>
      <c r="DI368" s="1168"/>
      <c r="DJ368" s="1168"/>
      <c r="DK368" s="1168"/>
      <c r="DL368" s="1168"/>
      <c r="DM368" s="1168"/>
      <c r="DN368" s="1168"/>
      <c r="DO368" s="1168"/>
      <c r="DP368" s="1168"/>
      <c r="DQ368" s="1168"/>
      <c r="DR368" s="1168"/>
      <c r="DS368" s="1168"/>
      <c r="DT368" s="1168"/>
      <c r="DU368" s="1168"/>
      <c r="DV368" s="1168"/>
      <c r="DW368" s="1168"/>
      <c r="DX368" s="1168"/>
      <c r="DY368" s="1168"/>
      <c r="DZ368" s="1168"/>
      <c r="EA368" s="1168"/>
      <c r="EB368" s="1168"/>
      <c r="EC368" s="1168"/>
      <c r="ED368" s="1168"/>
      <c r="EE368" s="1168"/>
      <c r="EF368" s="1168"/>
      <c r="EG368" s="1168"/>
      <c r="EH368" s="1168"/>
      <c r="EI368" s="1170"/>
      <c r="EJ368" s="1170"/>
      <c r="EK368" s="1170"/>
      <c r="EL368" s="1170"/>
      <c r="EM368" s="1170"/>
      <c r="EN368" s="1170"/>
      <c r="EO368" s="1170"/>
      <c r="EP368" s="1170"/>
      <c r="EQ368" s="1170"/>
      <c r="ER368" s="1170"/>
      <c r="ES368" s="1171"/>
      <c r="ET368" s="1171"/>
      <c r="EU368" s="1171"/>
      <c r="EV368" s="1171"/>
      <c r="EW368" s="1171"/>
      <c r="EX368" s="1171"/>
      <c r="EY368" s="1171"/>
      <c r="EZ368" s="1171"/>
      <c r="FA368" s="1171"/>
      <c r="FB368" s="1171"/>
      <c r="FC368" s="1171"/>
      <c r="FD368" s="1171"/>
      <c r="FE368" s="1171"/>
      <c r="FF368" s="1171"/>
      <c r="FG368" s="1171"/>
      <c r="FH368" s="1171"/>
      <c r="FI368" s="1171"/>
      <c r="FJ368" s="1171"/>
      <c r="FK368" s="1171"/>
      <c r="FL368" s="1171"/>
      <c r="FM368" s="1171"/>
      <c r="FN368" s="1171"/>
      <c r="FO368" s="1171"/>
      <c r="FP368" s="1171"/>
    </row>
    <row r="369" spans="1:172" s="607" customFormat="1">
      <c r="A369" s="607">
        <f t="shared" si="10"/>
        <v>2001</v>
      </c>
      <c r="B369" s="607">
        <f t="shared" si="11"/>
        <v>1</v>
      </c>
      <c r="C369" s="666">
        <v>36892</v>
      </c>
      <c r="D369" s="1709">
        <v>0.55630476190476186</v>
      </c>
      <c r="E369" s="1117">
        <v>190.11158933333331</v>
      </c>
      <c r="F369" s="1117">
        <v>341.74</v>
      </c>
      <c r="G369" s="1117"/>
      <c r="H369" s="1117"/>
      <c r="I369" s="959">
        <v>265.48599999999999</v>
      </c>
      <c r="J369" s="959">
        <v>479.64</v>
      </c>
      <c r="K369" s="960"/>
      <c r="L369" s="1121"/>
      <c r="M369" s="916">
        <v>6999.09</v>
      </c>
      <c r="N369" s="916">
        <v>12581.395090049991</v>
      </c>
      <c r="O369" s="1174">
        <v>1787.5</v>
      </c>
      <c r="P369" s="1174">
        <v>3213.166815038006</v>
      </c>
      <c r="Q369" s="1174">
        <v>478.05</v>
      </c>
      <c r="R369" s="1174">
        <v>859.33113058960498</v>
      </c>
      <c r="S369" s="1174">
        <v>1033.3599999999999</v>
      </c>
      <c r="T369" s="1174">
        <v>1857.5429706224747</v>
      </c>
      <c r="U369" s="1120">
        <v>400.53386552380948</v>
      </c>
      <c r="V369" s="1120">
        <v>719.99</v>
      </c>
      <c r="W369" s="1120">
        <v>1872.9946876190475</v>
      </c>
      <c r="X369" s="1120">
        <v>3366.85</v>
      </c>
      <c r="Y369" s="1119"/>
      <c r="Z369" s="1119"/>
      <c r="AA369" s="1119"/>
      <c r="AB369" s="1119"/>
      <c r="AC369" s="1178">
        <v>4.6630000000000003</v>
      </c>
      <c r="AD369" s="1178">
        <v>8.43</v>
      </c>
      <c r="AE369" s="1178">
        <v>29775.875</v>
      </c>
      <c r="AF369" s="1178">
        <v>53524.393532150934</v>
      </c>
      <c r="AG369" s="1178">
        <v>620.88599999999997</v>
      </c>
      <c r="AH369" s="1178">
        <v>1116.0896733547902</v>
      </c>
      <c r="AI369" s="1178">
        <v>1041.5450000000001</v>
      </c>
      <c r="AJ369" s="1178">
        <v>1872.2561288776283</v>
      </c>
      <c r="AK369" s="919">
        <v>25.4</v>
      </c>
      <c r="AL369" s="919">
        <v>45.658426350749849</v>
      </c>
      <c r="AM369" s="919">
        <v>25.82</v>
      </c>
      <c r="AN369" s="919">
        <v>46.413408203793743</v>
      </c>
      <c r="AO369" s="919"/>
      <c r="AP369" s="919"/>
      <c r="AS369" s="1167"/>
      <c r="AT369" s="1167"/>
      <c r="AU369" s="1168"/>
      <c r="AV369" s="1168"/>
      <c r="AW369" s="1169"/>
      <c r="AX369" s="1169"/>
      <c r="AY369" s="1169"/>
      <c r="AZ369" s="1169"/>
      <c r="BA369" s="1855" t="s">
        <v>1</v>
      </c>
      <c r="BB369" s="1856">
        <v>2007</v>
      </c>
      <c r="BC369" s="1855" t="s">
        <v>20</v>
      </c>
      <c r="BD369" s="1855">
        <v>9</v>
      </c>
      <c r="BE369" s="1857">
        <v>173557000</v>
      </c>
      <c r="BF369" s="1801">
        <v>1.5365326332468879E-2</v>
      </c>
      <c r="BG369" s="1799"/>
      <c r="BH369" s="1799" t="s">
        <v>280</v>
      </c>
      <c r="BI369" s="1799" t="s">
        <v>313</v>
      </c>
      <c r="BJ369" s="1799" t="s">
        <v>15</v>
      </c>
      <c r="BK369" s="1799">
        <v>1</v>
      </c>
      <c r="BL369" s="1800">
        <v>140393135</v>
      </c>
      <c r="BM369" s="1801">
        <v>0.18</v>
      </c>
      <c r="BN369" s="1799">
        <v>2008</v>
      </c>
      <c r="BO369" s="1684"/>
      <c r="BP369" s="1696"/>
      <c r="BQ369" s="1169"/>
      <c r="BR369" s="1169"/>
      <c r="BS369" s="1169"/>
      <c r="BT369" s="1169"/>
      <c r="BU369" s="1169"/>
      <c r="BV369" s="1169"/>
      <c r="BW369" s="1169"/>
      <c r="BX369" s="1169"/>
      <c r="BY369" s="1169"/>
      <c r="BZ369" s="1169"/>
      <c r="CA369" s="1169"/>
      <c r="CB369" s="1169"/>
      <c r="CC369" s="1169"/>
      <c r="CD369" s="1169"/>
      <c r="CE369" s="1169"/>
      <c r="CF369" s="1169"/>
      <c r="CG369" s="1169"/>
      <c r="CH369" s="1169"/>
      <c r="CI369" s="1169"/>
      <c r="CJ369" s="1169"/>
      <c r="CK369" s="1169"/>
      <c r="CL369" s="1169"/>
      <c r="CM369" s="1169"/>
      <c r="CN369" s="1169"/>
      <c r="CO369" s="1169"/>
      <c r="CP369" s="1169"/>
      <c r="CQ369" s="1169"/>
      <c r="CR369" s="1169"/>
      <c r="CS369" s="1169"/>
      <c r="CT369" s="1169"/>
      <c r="CU369" s="1169"/>
      <c r="CV369" s="1169"/>
      <c r="CW369" s="1169"/>
      <c r="CX369" s="1169"/>
      <c r="CY369" s="1169"/>
      <c r="CZ369" s="1169"/>
      <c r="DA369" s="1168"/>
      <c r="DB369" s="1168"/>
      <c r="DC369" s="1168"/>
      <c r="DD369" s="1168"/>
      <c r="DE369" s="1168"/>
      <c r="DF369" s="1168"/>
      <c r="DG369" s="1168"/>
      <c r="DH369" s="1168"/>
      <c r="DI369" s="1168"/>
      <c r="DJ369" s="1168"/>
      <c r="DK369" s="1168"/>
      <c r="DL369" s="1168"/>
      <c r="DM369" s="1168"/>
      <c r="DN369" s="1168"/>
      <c r="DO369" s="1168"/>
      <c r="DP369" s="1168"/>
      <c r="DQ369" s="1168"/>
      <c r="DR369" s="1168"/>
      <c r="DS369" s="1168"/>
      <c r="DT369" s="1168"/>
      <c r="DU369" s="1168"/>
      <c r="DV369" s="1168"/>
      <c r="DW369" s="1168"/>
      <c r="DX369" s="1168"/>
      <c r="DY369" s="1168"/>
      <c r="DZ369" s="1168"/>
      <c r="EA369" s="1168"/>
      <c r="EB369" s="1168"/>
      <c r="EC369" s="1168"/>
      <c r="ED369" s="1168"/>
      <c r="EE369" s="1168"/>
      <c r="EF369" s="1168"/>
      <c r="EG369" s="1168"/>
      <c r="EH369" s="1168"/>
      <c r="EI369" s="1170"/>
      <c r="EJ369" s="1170"/>
      <c r="EK369" s="1170"/>
      <c r="EL369" s="1170"/>
      <c r="EM369" s="1170"/>
      <c r="EN369" s="1170"/>
      <c r="EO369" s="1170"/>
      <c r="EP369" s="1170"/>
      <c r="EQ369" s="1170"/>
      <c r="ER369" s="1170"/>
      <c r="ES369" s="1171"/>
      <c r="ET369" s="1171"/>
      <c r="EU369" s="1171"/>
      <c r="EV369" s="1171"/>
      <c r="EW369" s="1171"/>
      <c r="EX369" s="1171"/>
      <c r="EY369" s="1171"/>
      <c r="EZ369" s="1171"/>
      <c r="FA369" s="1171"/>
      <c r="FB369" s="1171"/>
      <c r="FC369" s="1171"/>
      <c r="FD369" s="1171"/>
      <c r="FE369" s="1171"/>
      <c r="FF369" s="1171"/>
      <c r="FG369" s="1171"/>
      <c r="FH369" s="1171"/>
      <c r="FI369" s="1171"/>
      <c r="FJ369" s="1171"/>
      <c r="FK369" s="1171"/>
      <c r="FL369" s="1171"/>
      <c r="FM369" s="1171"/>
      <c r="FN369" s="1171"/>
      <c r="FO369" s="1171"/>
      <c r="FP369" s="1171"/>
    </row>
    <row r="370" spans="1:172" s="607" customFormat="1">
      <c r="A370" s="607">
        <f t="shared" si="10"/>
        <v>2001</v>
      </c>
      <c r="B370" s="607">
        <f t="shared" si="11"/>
        <v>1</v>
      </c>
      <c r="C370" s="666">
        <v>36923</v>
      </c>
      <c r="D370" s="957">
        <v>0.53512000000000015</v>
      </c>
      <c r="E370" s="920">
        <v>185.57426480000007</v>
      </c>
      <c r="F370" s="920">
        <v>346.79</v>
      </c>
      <c r="G370" s="920"/>
      <c r="H370" s="920"/>
      <c r="I370" s="954">
        <v>261.76499999999999</v>
      </c>
      <c r="J370" s="954">
        <v>491.19</v>
      </c>
      <c r="K370" s="954"/>
      <c r="L370" s="920"/>
      <c r="M370" s="917">
        <v>6528</v>
      </c>
      <c r="N370" s="917">
        <v>12199.13290476902</v>
      </c>
      <c r="O370" s="1175">
        <v>1765.65</v>
      </c>
      <c r="P370" s="1175">
        <v>3299.5402900284039</v>
      </c>
      <c r="Q370" s="1175">
        <v>501.8</v>
      </c>
      <c r="R370" s="1175">
        <v>937.73359246524114</v>
      </c>
      <c r="S370" s="1175">
        <v>1033.3599999999999</v>
      </c>
      <c r="T370" s="1175">
        <v>1931.0808790551644</v>
      </c>
      <c r="U370" s="920">
        <v>369.60203280000013</v>
      </c>
      <c r="V370" s="920">
        <v>690.69</v>
      </c>
      <c r="W370" s="920">
        <v>1906.9108224000006</v>
      </c>
      <c r="X370" s="920">
        <v>3563.52</v>
      </c>
      <c r="Y370" s="920"/>
      <c r="Z370" s="920"/>
      <c r="AA370" s="920"/>
      <c r="AB370" s="920"/>
      <c r="AC370" s="920">
        <v>4.5510000000000002</v>
      </c>
      <c r="AD370" s="920">
        <v>8.57</v>
      </c>
      <c r="AE370" s="920">
        <v>30850.625</v>
      </c>
      <c r="AF370" s="920">
        <v>57651.788383913874</v>
      </c>
      <c r="AG370" s="920">
        <v>600.82500000000005</v>
      </c>
      <c r="AH370" s="920">
        <v>1122.7855434295109</v>
      </c>
      <c r="AI370" s="920">
        <v>971.9</v>
      </c>
      <c r="AJ370" s="920">
        <v>1816.2281357452528</v>
      </c>
      <c r="AK370" s="920">
        <v>22.41</v>
      </c>
      <c r="AL370" s="920">
        <v>41.878457168485561</v>
      </c>
      <c r="AM370" s="920">
        <v>27.93</v>
      </c>
      <c r="AN370" s="920">
        <v>52.193900433547597</v>
      </c>
      <c r="AO370" s="920"/>
      <c r="AP370" s="920"/>
      <c r="AS370" s="1167"/>
      <c r="AT370" s="1167"/>
      <c r="AU370" s="1168"/>
      <c r="AV370" s="1168"/>
      <c r="AW370" s="1169"/>
      <c r="AX370" s="1169"/>
      <c r="AY370" s="1169"/>
      <c r="AZ370" s="1169"/>
      <c r="BA370" s="1855" t="s">
        <v>1</v>
      </c>
      <c r="BB370" s="1856">
        <v>2007</v>
      </c>
      <c r="BC370" s="1855" t="s">
        <v>55</v>
      </c>
      <c r="BD370" s="1855">
        <v>10</v>
      </c>
      <c r="BE370" s="1857">
        <v>69154000</v>
      </c>
      <c r="BF370" s="1801">
        <v>6.1223331654473908E-3</v>
      </c>
      <c r="BG370" s="1799"/>
      <c r="BH370" s="1799" t="s">
        <v>280</v>
      </c>
      <c r="BI370" s="1799" t="s">
        <v>313</v>
      </c>
      <c r="BJ370" s="1799" t="s">
        <v>431</v>
      </c>
      <c r="BK370" s="1799">
        <v>2</v>
      </c>
      <c r="BL370" s="1800">
        <v>112475605</v>
      </c>
      <c r="BM370" s="1801">
        <v>0.14399999999999999</v>
      </c>
      <c r="BN370" s="1799">
        <v>2008</v>
      </c>
      <c r="BO370" s="1684"/>
      <c r="BP370" s="1696"/>
      <c r="BQ370" s="1169"/>
      <c r="BR370" s="1169"/>
      <c r="BS370" s="1169"/>
      <c r="BT370" s="1169"/>
      <c r="BU370" s="1169"/>
      <c r="BV370" s="1169"/>
      <c r="BW370" s="1169"/>
      <c r="BX370" s="1169"/>
      <c r="BY370" s="1169"/>
      <c r="BZ370" s="1169"/>
      <c r="CA370" s="1169"/>
      <c r="CB370" s="1169"/>
      <c r="CC370" s="1169"/>
      <c r="CD370" s="1169"/>
      <c r="CE370" s="1169"/>
      <c r="CF370" s="1169"/>
      <c r="CG370" s="1169"/>
      <c r="CH370" s="1169"/>
      <c r="CI370" s="1169"/>
      <c r="CJ370" s="1169"/>
      <c r="CK370" s="1169"/>
      <c r="CL370" s="1169"/>
      <c r="CM370" s="1169"/>
      <c r="CN370" s="1169"/>
      <c r="CO370" s="1169"/>
      <c r="CP370" s="1169"/>
      <c r="CQ370" s="1169"/>
      <c r="CR370" s="1169"/>
      <c r="CS370" s="1169"/>
      <c r="CT370" s="1169"/>
      <c r="CU370" s="1169"/>
      <c r="CV370" s="1169"/>
      <c r="CW370" s="1169"/>
      <c r="CX370" s="1169"/>
      <c r="CY370" s="1169"/>
      <c r="CZ370" s="1169"/>
      <c r="DA370" s="1168"/>
      <c r="DB370" s="1168"/>
      <c r="DC370" s="1168"/>
      <c r="DD370" s="1168"/>
      <c r="DE370" s="1168"/>
      <c r="DF370" s="1168"/>
      <c r="DG370" s="1168"/>
      <c r="DH370" s="1168"/>
      <c r="DI370" s="1168"/>
      <c r="DJ370" s="1168"/>
      <c r="DK370" s="1168"/>
      <c r="DL370" s="1168"/>
      <c r="DM370" s="1168"/>
      <c r="DN370" s="1168"/>
      <c r="DO370" s="1168"/>
      <c r="DP370" s="1168"/>
      <c r="DQ370" s="1168"/>
      <c r="DR370" s="1168"/>
      <c r="DS370" s="1168"/>
      <c r="DT370" s="1168"/>
      <c r="DU370" s="1168"/>
      <c r="DV370" s="1168"/>
      <c r="DW370" s="1168"/>
      <c r="DX370" s="1168"/>
      <c r="DY370" s="1168"/>
      <c r="DZ370" s="1168"/>
      <c r="EA370" s="1168"/>
      <c r="EB370" s="1168"/>
      <c r="EC370" s="1168"/>
      <c r="ED370" s="1168"/>
      <c r="EE370" s="1168"/>
      <c r="EF370" s="1168"/>
      <c r="EG370" s="1168"/>
      <c r="EH370" s="1168"/>
      <c r="EI370" s="1170"/>
      <c r="EJ370" s="1170"/>
      <c r="EK370" s="1170"/>
      <c r="EL370" s="1170"/>
      <c r="EM370" s="1170"/>
      <c r="EN370" s="1170"/>
      <c r="EO370" s="1170"/>
      <c r="EP370" s="1170"/>
      <c r="EQ370" s="1170"/>
      <c r="ER370" s="1170"/>
      <c r="ES370" s="1171"/>
      <c r="ET370" s="1171"/>
      <c r="EU370" s="1171"/>
      <c r="EV370" s="1171"/>
      <c r="EW370" s="1171"/>
      <c r="EX370" s="1171"/>
      <c r="EY370" s="1171"/>
      <c r="EZ370" s="1171"/>
      <c r="FA370" s="1171"/>
      <c r="FB370" s="1171"/>
      <c r="FC370" s="1171"/>
      <c r="FD370" s="1171"/>
      <c r="FE370" s="1171"/>
      <c r="FF370" s="1171"/>
      <c r="FG370" s="1171"/>
      <c r="FH370" s="1171"/>
      <c r="FI370" s="1171"/>
      <c r="FJ370" s="1171"/>
      <c r="FK370" s="1171"/>
      <c r="FL370" s="1171"/>
      <c r="FM370" s="1171"/>
      <c r="FN370" s="1171"/>
      <c r="FO370" s="1171"/>
      <c r="FP370" s="1171"/>
    </row>
    <row r="371" spans="1:172" s="607" customFormat="1">
      <c r="A371" s="607">
        <f t="shared" si="10"/>
        <v>2001</v>
      </c>
      <c r="B371" s="607">
        <f t="shared" si="11"/>
        <v>1</v>
      </c>
      <c r="C371" s="666">
        <v>36951</v>
      </c>
      <c r="D371" s="1709">
        <v>0.50482272727272715</v>
      </c>
      <c r="E371" s="1117">
        <v>189.17726881818177</v>
      </c>
      <c r="F371" s="1117">
        <v>374.74</v>
      </c>
      <c r="G371" s="1117"/>
      <c r="H371" s="1117"/>
      <c r="I371" s="959">
        <v>263.02699999999999</v>
      </c>
      <c r="J371" s="959">
        <v>524.17999999999995</v>
      </c>
      <c r="K371" s="960"/>
      <c r="L371" s="1121"/>
      <c r="M371" s="916">
        <v>6137.73</v>
      </c>
      <c r="N371" s="916">
        <v>12158.188743123152</v>
      </c>
      <c r="O371" s="1174">
        <v>1738.77</v>
      </c>
      <c r="P371" s="1174">
        <v>3444.3179874123239</v>
      </c>
      <c r="Q371" s="1174">
        <v>498.39</v>
      </c>
      <c r="R371" s="1174">
        <v>987.25745311135347</v>
      </c>
      <c r="S371" s="1174">
        <v>1004.73</v>
      </c>
      <c r="T371" s="1174">
        <v>1990.2630086168867</v>
      </c>
      <c r="U371" s="1120">
        <v>405.30197481818175</v>
      </c>
      <c r="V371" s="1120">
        <v>802.86</v>
      </c>
      <c r="W371" s="1120">
        <v>1914.9490995909086</v>
      </c>
      <c r="X371" s="1120">
        <v>3793.31</v>
      </c>
      <c r="Y371" s="1119"/>
      <c r="Z371" s="1119"/>
      <c r="AA371" s="1119"/>
      <c r="AB371" s="1119"/>
      <c r="AC371" s="1178">
        <v>4.4000000000000004</v>
      </c>
      <c r="AD371" s="1178">
        <v>8.7799999999999994</v>
      </c>
      <c r="AE371" s="1178">
        <v>31305.3</v>
      </c>
      <c r="AF371" s="1178">
        <v>62012.461620190719</v>
      </c>
      <c r="AG371" s="1178">
        <v>584.22699999999998</v>
      </c>
      <c r="AH371" s="1178">
        <v>1157.291398420688</v>
      </c>
      <c r="AI371" s="1178">
        <v>779.40899999999999</v>
      </c>
      <c r="AJ371" s="1178">
        <v>1543.9261306849394</v>
      </c>
      <c r="AK371" s="919">
        <v>24.4</v>
      </c>
      <c r="AL371" s="919">
        <v>48.333798543142969</v>
      </c>
      <c r="AM371" s="919">
        <v>26.84</v>
      </c>
      <c r="AN371" s="919">
        <v>53.167178397457263</v>
      </c>
      <c r="AO371" s="919"/>
      <c r="AP371" s="919"/>
      <c r="AS371" s="1167"/>
      <c r="AT371" s="1167"/>
      <c r="AU371" s="1168"/>
      <c r="AV371" s="1168"/>
      <c r="AW371" s="1169"/>
      <c r="AX371" s="1169"/>
      <c r="AY371" s="1169"/>
      <c r="AZ371" s="1169"/>
      <c r="BA371" s="1855" t="s">
        <v>1</v>
      </c>
      <c r="BB371" s="1856">
        <v>2007</v>
      </c>
      <c r="BC371" s="1855" t="s">
        <v>32</v>
      </c>
      <c r="BD371" s="1855"/>
      <c r="BE371" s="1857">
        <v>72770000</v>
      </c>
      <c r="BF371" s="1801">
        <v>6.4424644192614547E-3</v>
      </c>
      <c r="BG371" s="1799"/>
      <c r="BH371" s="1799" t="s">
        <v>280</v>
      </c>
      <c r="BI371" s="1799" t="s">
        <v>313</v>
      </c>
      <c r="BJ371" s="1799" t="s">
        <v>51</v>
      </c>
      <c r="BK371" s="1799">
        <v>3</v>
      </c>
      <c r="BL371" s="1800">
        <v>72241297</v>
      </c>
      <c r="BM371" s="1801">
        <v>9.2999999999999999E-2</v>
      </c>
      <c r="BN371" s="1799">
        <v>2008</v>
      </c>
      <c r="BO371" s="1684"/>
      <c r="BP371" s="1696"/>
      <c r="BQ371" s="1169"/>
      <c r="BR371" s="1169"/>
      <c r="BS371" s="1169"/>
      <c r="BT371" s="1169"/>
      <c r="BU371" s="1169"/>
      <c r="BV371" s="1169"/>
      <c r="BW371" s="1169"/>
      <c r="BX371" s="1169"/>
      <c r="BY371" s="1169"/>
      <c r="BZ371" s="1169"/>
      <c r="CA371" s="1169"/>
      <c r="CB371" s="1169"/>
      <c r="CC371" s="1169"/>
      <c r="CD371" s="1169"/>
      <c r="CE371" s="1169"/>
      <c r="CF371" s="1169"/>
      <c r="CG371" s="1169"/>
      <c r="CH371" s="1169"/>
      <c r="CI371" s="1169"/>
      <c r="CJ371" s="1169"/>
      <c r="CK371" s="1169"/>
      <c r="CL371" s="1169"/>
      <c r="CM371" s="1169"/>
      <c r="CN371" s="1169"/>
      <c r="CO371" s="1169"/>
      <c r="CP371" s="1169"/>
      <c r="CQ371" s="1169"/>
      <c r="CR371" s="1169"/>
      <c r="CS371" s="1169"/>
      <c r="CT371" s="1169"/>
      <c r="CU371" s="1169"/>
      <c r="CV371" s="1169"/>
      <c r="CW371" s="1169"/>
      <c r="CX371" s="1169"/>
      <c r="CY371" s="1169"/>
      <c r="CZ371" s="1169"/>
      <c r="DA371" s="1168"/>
      <c r="DB371" s="1168"/>
      <c r="DC371" s="1168"/>
      <c r="DD371" s="1168"/>
      <c r="DE371" s="1168"/>
      <c r="DF371" s="1168"/>
      <c r="DG371" s="1168"/>
      <c r="DH371" s="1168"/>
      <c r="DI371" s="1168"/>
      <c r="DJ371" s="1168"/>
      <c r="DK371" s="1168"/>
      <c r="DL371" s="1168"/>
      <c r="DM371" s="1168"/>
      <c r="DN371" s="1168"/>
      <c r="DO371" s="1168"/>
      <c r="DP371" s="1168"/>
      <c r="DQ371" s="1168"/>
      <c r="DR371" s="1168"/>
      <c r="DS371" s="1168"/>
      <c r="DT371" s="1168"/>
      <c r="DU371" s="1168"/>
      <c r="DV371" s="1168"/>
      <c r="DW371" s="1168"/>
      <c r="DX371" s="1168"/>
      <c r="DY371" s="1168"/>
      <c r="DZ371" s="1168"/>
      <c r="EA371" s="1168"/>
      <c r="EB371" s="1168"/>
      <c r="EC371" s="1168"/>
      <c r="ED371" s="1168"/>
      <c r="EE371" s="1168"/>
      <c r="EF371" s="1168"/>
      <c r="EG371" s="1168"/>
      <c r="EH371" s="1168"/>
      <c r="EI371" s="1170"/>
      <c r="EJ371" s="1170"/>
      <c r="EK371" s="1170"/>
      <c r="EL371" s="1170"/>
      <c r="EM371" s="1170"/>
      <c r="EN371" s="1170"/>
      <c r="EO371" s="1170"/>
      <c r="EP371" s="1170"/>
      <c r="EQ371" s="1170"/>
      <c r="ER371" s="1170"/>
      <c r="ES371" s="1171"/>
      <c r="ET371" s="1171"/>
      <c r="EU371" s="1171"/>
      <c r="EV371" s="1171"/>
      <c r="EW371" s="1171"/>
      <c r="EX371" s="1171"/>
      <c r="EY371" s="1171"/>
      <c r="EZ371" s="1171"/>
      <c r="FA371" s="1171"/>
      <c r="FB371" s="1171"/>
      <c r="FC371" s="1171"/>
      <c r="FD371" s="1171"/>
      <c r="FE371" s="1171"/>
      <c r="FF371" s="1171"/>
      <c r="FG371" s="1171"/>
      <c r="FH371" s="1171"/>
      <c r="FI371" s="1171"/>
      <c r="FJ371" s="1171"/>
      <c r="FK371" s="1171"/>
      <c r="FL371" s="1171"/>
      <c r="FM371" s="1171"/>
      <c r="FN371" s="1171"/>
      <c r="FO371" s="1171"/>
      <c r="FP371" s="1171"/>
    </row>
    <row r="372" spans="1:172" s="607" customFormat="1">
      <c r="A372" s="607">
        <f t="shared" si="10"/>
        <v>2001</v>
      </c>
      <c r="B372" s="607">
        <f t="shared" si="11"/>
        <v>2</v>
      </c>
      <c r="C372" s="666">
        <v>36982</v>
      </c>
      <c r="D372" s="957">
        <v>0.50022222222222235</v>
      </c>
      <c r="E372" s="920">
        <v>187.04809555555562</v>
      </c>
      <c r="F372" s="920">
        <v>373.93</v>
      </c>
      <c r="G372" s="920"/>
      <c r="H372" s="920"/>
      <c r="I372" s="954">
        <v>260.47899999999998</v>
      </c>
      <c r="J372" s="954">
        <v>522.22</v>
      </c>
      <c r="K372" s="954"/>
      <c r="L372" s="920"/>
      <c r="M372" s="917">
        <v>6333.68</v>
      </c>
      <c r="N372" s="917">
        <v>12661.732563305195</v>
      </c>
      <c r="O372" s="1175">
        <v>1664.16</v>
      </c>
      <c r="P372" s="1175">
        <v>3326.8414038205237</v>
      </c>
      <c r="Q372" s="1175">
        <v>477.5</v>
      </c>
      <c r="R372" s="1175">
        <v>954.57574411372696</v>
      </c>
      <c r="S372" s="1175">
        <v>969.45</v>
      </c>
      <c r="T372" s="1175">
        <v>1938.0386494891156</v>
      </c>
      <c r="U372" s="920">
        <v>405.920328888889</v>
      </c>
      <c r="V372" s="920">
        <v>811.48</v>
      </c>
      <c r="W372" s="920">
        <v>1859.2609711111115</v>
      </c>
      <c r="X372" s="920">
        <v>3716.87</v>
      </c>
      <c r="Y372" s="920"/>
      <c r="Z372" s="920"/>
      <c r="AA372" s="920"/>
      <c r="AB372" s="920"/>
      <c r="AC372" s="920">
        <v>4.367</v>
      </c>
      <c r="AD372" s="920">
        <v>8.8000000000000007</v>
      </c>
      <c r="AE372" s="920">
        <v>26978.799999999999</v>
      </c>
      <c r="AF372" s="920">
        <v>53933.629498000875</v>
      </c>
      <c r="AG372" s="920">
        <v>594.73699999999997</v>
      </c>
      <c r="AH372" s="920">
        <v>1188.9455797423363</v>
      </c>
      <c r="AI372" s="920">
        <v>698.21100000000001</v>
      </c>
      <c r="AJ372" s="920">
        <v>1395.8016437139047</v>
      </c>
      <c r="AK372" s="920">
        <v>25.64</v>
      </c>
      <c r="AL372" s="920">
        <v>51.257219013771646</v>
      </c>
      <c r="AM372" s="920">
        <v>27.88</v>
      </c>
      <c r="AN372" s="920">
        <v>55.735228787205671</v>
      </c>
      <c r="AO372" s="920"/>
      <c r="AP372" s="920"/>
      <c r="AS372" s="1167"/>
      <c r="AT372" s="1167"/>
      <c r="AU372" s="1168"/>
      <c r="AV372" s="1168"/>
      <c r="AW372" s="1169"/>
      <c r="AX372" s="1169"/>
      <c r="AY372" s="1169"/>
      <c r="AZ372" s="1169"/>
      <c r="BA372" s="1855" t="s">
        <v>1</v>
      </c>
      <c r="BB372" s="1856">
        <v>2007</v>
      </c>
      <c r="BC372" s="1855" t="s">
        <v>249</v>
      </c>
      <c r="BD372" s="1855"/>
      <c r="BE372" s="1857">
        <v>11295367000</v>
      </c>
      <c r="BF372" s="1801">
        <v>1</v>
      </c>
      <c r="BG372" s="1799"/>
      <c r="BH372" s="1799" t="s">
        <v>280</v>
      </c>
      <c r="BI372" s="1799" t="s">
        <v>313</v>
      </c>
      <c r="BJ372" s="1799" t="s">
        <v>26</v>
      </c>
      <c r="BK372" s="1799">
        <v>4</v>
      </c>
      <c r="BL372" s="1800">
        <v>71893378</v>
      </c>
      <c r="BM372" s="1801">
        <v>9.1999999999999998E-2</v>
      </c>
      <c r="BN372" s="1799">
        <v>2008</v>
      </c>
      <c r="BO372" s="1684"/>
      <c r="BP372" s="1696"/>
      <c r="BQ372" s="1169"/>
      <c r="BR372" s="1169"/>
      <c r="BS372" s="1169"/>
      <c r="BT372" s="1169"/>
      <c r="BU372" s="1169"/>
      <c r="BV372" s="1169"/>
      <c r="BW372" s="1169"/>
      <c r="BX372" s="1169"/>
      <c r="BY372" s="1169"/>
      <c r="BZ372" s="1169"/>
      <c r="CA372" s="1169"/>
      <c r="CB372" s="1169"/>
      <c r="CC372" s="1169"/>
      <c r="CD372" s="1169"/>
      <c r="CE372" s="1169"/>
      <c r="CF372" s="1169"/>
      <c r="CG372" s="1169"/>
      <c r="CH372" s="1169"/>
      <c r="CI372" s="1169"/>
      <c r="CJ372" s="1169"/>
      <c r="CK372" s="1169"/>
      <c r="CL372" s="1169"/>
      <c r="CM372" s="1169"/>
      <c r="CN372" s="1169"/>
      <c r="CO372" s="1169"/>
      <c r="CP372" s="1169"/>
      <c r="CQ372" s="1169"/>
      <c r="CR372" s="1169"/>
      <c r="CS372" s="1169"/>
      <c r="CT372" s="1169"/>
      <c r="CU372" s="1169"/>
      <c r="CV372" s="1169"/>
      <c r="CW372" s="1169"/>
      <c r="CX372" s="1169"/>
      <c r="CY372" s="1169"/>
      <c r="CZ372" s="1169"/>
      <c r="DA372" s="1168"/>
      <c r="DB372" s="1168"/>
      <c r="DC372" s="1168"/>
      <c r="DD372" s="1168"/>
      <c r="DE372" s="1168"/>
      <c r="DF372" s="1168"/>
      <c r="DG372" s="1168"/>
      <c r="DH372" s="1168"/>
      <c r="DI372" s="1168"/>
      <c r="DJ372" s="1168"/>
      <c r="DK372" s="1168"/>
      <c r="DL372" s="1168"/>
      <c r="DM372" s="1168"/>
      <c r="DN372" s="1168"/>
      <c r="DO372" s="1168"/>
      <c r="DP372" s="1168"/>
      <c r="DQ372" s="1168"/>
      <c r="DR372" s="1168"/>
      <c r="DS372" s="1168"/>
      <c r="DT372" s="1168"/>
      <c r="DU372" s="1168"/>
      <c r="DV372" s="1168"/>
      <c r="DW372" s="1168"/>
      <c r="DX372" s="1168"/>
      <c r="DY372" s="1168"/>
      <c r="DZ372" s="1168"/>
      <c r="EA372" s="1168"/>
      <c r="EB372" s="1168"/>
      <c r="EC372" s="1168"/>
      <c r="ED372" s="1168"/>
      <c r="EE372" s="1168"/>
      <c r="EF372" s="1168"/>
      <c r="EG372" s="1168"/>
      <c r="EH372" s="1168"/>
      <c r="EI372" s="1170"/>
      <c r="EJ372" s="1170"/>
      <c r="EK372" s="1170"/>
      <c r="EL372" s="1170"/>
      <c r="EM372" s="1170"/>
      <c r="EN372" s="1170"/>
      <c r="EO372" s="1170"/>
      <c r="EP372" s="1170"/>
      <c r="EQ372" s="1170"/>
      <c r="ER372" s="1170"/>
      <c r="ES372" s="1171"/>
      <c r="ET372" s="1171"/>
      <c r="EU372" s="1171"/>
      <c r="EV372" s="1171"/>
      <c r="EW372" s="1171"/>
      <c r="EX372" s="1171"/>
      <c r="EY372" s="1171"/>
      <c r="EZ372" s="1171"/>
      <c r="FA372" s="1171"/>
      <c r="FB372" s="1171"/>
      <c r="FC372" s="1171"/>
      <c r="FD372" s="1171"/>
      <c r="FE372" s="1171"/>
      <c r="FF372" s="1171"/>
      <c r="FG372" s="1171"/>
      <c r="FH372" s="1171"/>
      <c r="FI372" s="1171"/>
      <c r="FJ372" s="1171"/>
      <c r="FK372" s="1171"/>
      <c r="FL372" s="1171"/>
      <c r="FM372" s="1171"/>
      <c r="FN372" s="1171"/>
      <c r="FO372" s="1171"/>
      <c r="FP372" s="1171"/>
    </row>
    <row r="373" spans="1:172" s="607" customFormat="1">
      <c r="A373" s="607">
        <f t="shared" si="10"/>
        <v>2001</v>
      </c>
      <c r="B373" s="607">
        <f t="shared" si="11"/>
        <v>2</v>
      </c>
      <c r="C373" s="666">
        <v>37012</v>
      </c>
      <c r="D373" s="1709">
        <v>0.52007391304347816</v>
      </c>
      <c r="E373" s="1117">
        <v>182.09347917391301</v>
      </c>
      <c r="F373" s="1117">
        <v>350.13</v>
      </c>
      <c r="G373" s="1117"/>
      <c r="H373" s="1117"/>
      <c r="I373" s="959">
        <v>272.35500000000002</v>
      </c>
      <c r="J373" s="959">
        <v>524.45000000000005</v>
      </c>
      <c r="K373" s="960"/>
      <c r="L373" s="1121"/>
      <c r="M373" s="916">
        <v>7064.76</v>
      </c>
      <c r="N373" s="916">
        <v>13584.146066194608</v>
      </c>
      <c r="O373" s="1174">
        <v>1682.21</v>
      </c>
      <c r="P373" s="1174">
        <v>3234.5594689718023</v>
      </c>
      <c r="Q373" s="1174">
        <v>466.69</v>
      </c>
      <c r="R373" s="1174">
        <v>897.3532190240519</v>
      </c>
      <c r="S373" s="1174">
        <v>937.95</v>
      </c>
      <c r="T373" s="1174">
        <v>1803.4936505680635</v>
      </c>
      <c r="U373" s="1120">
        <v>401.73629486956514</v>
      </c>
      <c r="V373" s="1120">
        <v>772.46</v>
      </c>
      <c r="W373" s="1120">
        <v>1878.2105317826083</v>
      </c>
      <c r="X373" s="1120">
        <v>3611.43</v>
      </c>
      <c r="Y373" s="1119"/>
      <c r="Z373" s="1119"/>
      <c r="AA373" s="1119"/>
      <c r="AB373" s="1119"/>
      <c r="AC373" s="1178">
        <v>4.4290000000000003</v>
      </c>
      <c r="AD373" s="1178">
        <v>8.58</v>
      </c>
      <c r="AE373" s="1178">
        <v>27557.5</v>
      </c>
      <c r="AF373" s="1178">
        <v>52987.660616801972</v>
      </c>
      <c r="AG373" s="1178">
        <v>610.048</v>
      </c>
      <c r="AH373" s="1178">
        <v>1173.0024996446996</v>
      </c>
      <c r="AI373" s="1178">
        <v>654.476</v>
      </c>
      <c r="AJ373" s="1178">
        <v>1258.4288186461793</v>
      </c>
      <c r="AK373" s="919">
        <v>28.41</v>
      </c>
      <c r="AL373" s="919">
        <v>54.626850698479323</v>
      </c>
      <c r="AM373" s="919">
        <v>28.92</v>
      </c>
      <c r="AN373" s="919">
        <v>55.607480542063435</v>
      </c>
      <c r="AO373" s="919"/>
      <c r="AP373" s="919"/>
      <c r="AS373" s="1167"/>
      <c r="AT373" s="1167"/>
      <c r="AU373" s="1168"/>
      <c r="AV373" s="1168"/>
      <c r="AW373" s="1169"/>
      <c r="AX373" s="1169"/>
      <c r="AY373" s="1169"/>
      <c r="AZ373" s="1169"/>
      <c r="BA373" s="1858" t="s">
        <v>1</v>
      </c>
      <c r="BB373" s="1859">
        <v>2008</v>
      </c>
      <c r="BC373" s="1858" t="s">
        <v>18</v>
      </c>
      <c r="BD373" s="1858">
        <v>1</v>
      </c>
      <c r="BE373" s="1860">
        <v>5008483000</v>
      </c>
      <c r="BF373" s="1801">
        <v>0.35101159453015762</v>
      </c>
      <c r="BG373" s="1799"/>
      <c r="BH373" s="1799" t="s">
        <v>280</v>
      </c>
      <c r="BI373" s="1799" t="s">
        <v>313</v>
      </c>
      <c r="BJ373" s="1799" t="s">
        <v>20</v>
      </c>
      <c r="BK373" s="1799">
        <v>5</v>
      </c>
      <c r="BL373" s="1800">
        <v>58021004</v>
      </c>
      <c r="BM373" s="1801">
        <v>7.3999999999999996E-2</v>
      </c>
      <c r="BN373" s="1799">
        <v>2008</v>
      </c>
      <c r="BO373" s="1684"/>
      <c r="BP373" s="1696"/>
      <c r="BQ373" s="1169"/>
      <c r="BR373" s="1169"/>
      <c r="BS373" s="1169"/>
      <c r="BT373" s="1169"/>
      <c r="BU373" s="1169"/>
      <c r="BV373" s="1169"/>
      <c r="BW373" s="1169"/>
      <c r="BX373" s="1169"/>
      <c r="BY373" s="1169"/>
      <c r="BZ373" s="1169"/>
      <c r="CA373" s="1169"/>
      <c r="CB373" s="1169"/>
      <c r="CC373" s="1169"/>
      <c r="CD373" s="1169"/>
      <c r="CE373" s="1169"/>
      <c r="CF373" s="1169"/>
      <c r="CG373" s="1169"/>
      <c r="CH373" s="1169"/>
      <c r="CI373" s="1169"/>
      <c r="CJ373" s="1169"/>
      <c r="CK373" s="1169"/>
      <c r="CL373" s="1169"/>
      <c r="CM373" s="1169"/>
      <c r="CN373" s="1169"/>
      <c r="CO373" s="1169"/>
      <c r="CP373" s="1169"/>
      <c r="CQ373" s="1169"/>
      <c r="CR373" s="1169"/>
      <c r="CS373" s="1169"/>
      <c r="CT373" s="1169"/>
      <c r="CU373" s="1169"/>
      <c r="CV373" s="1169"/>
      <c r="CW373" s="1169"/>
      <c r="CX373" s="1169"/>
      <c r="CY373" s="1169"/>
      <c r="CZ373" s="1169"/>
      <c r="DA373" s="1168"/>
      <c r="DB373" s="1168"/>
      <c r="DC373" s="1168"/>
      <c r="DD373" s="1168"/>
      <c r="DE373" s="1168"/>
      <c r="DF373" s="1168"/>
      <c r="DG373" s="1168"/>
      <c r="DH373" s="1168"/>
      <c r="DI373" s="1168"/>
      <c r="DJ373" s="1168"/>
      <c r="DK373" s="1168"/>
      <c r="DL373" s="1168"/>
      <c r="DM373" s="1168"/>
      <c r="DN373" s="1168"/>
      <c r="DO373" s="1168"/>
      <c r="DP373" s="1168"/>
      <c r="DQ373" s="1168"/>
      <c r="DR373" s="1168"/>
      <c r="DS373" s="1168"/>
      <c r="DT373" s="1168"/>
      <c r="DU373" s="1168"/>
      <c r="DV373" s="1168"/>
      <c r="DW373" s="1168"/>
      <c r="DX373" s="1168"/>
      <c r="DY373" s="1168"/>
      <c r="DZ373" s="1168"/>
      <c r="EA373" s="1168"/>
      <c r="EB373" s="1168"/>
      <c r="EC373" s="1168"/>
      <c r="ED373" s="1168"/>
      <c r="EE373" s="1168"/>
      <c r="EF373" s="1168"/>
      <c r="EG373" s="1168"/>
      <c r="EH373" s="1168"/>
      <c r="EI373" s="1170"/>
      <c r="EJ373" s="1170"/>
      <c r="EK373" s="1170"/>
      <c r="EL373" s="1170"/>
      <c r="EM373" s="1170"/>
      <c r="EN373" s="1170"/>
      <c r="EO373" s="1170"/>
      <c r="EP373" s="1170"/>
      <c r="EQ373" s="1170"/>
      <c r="ER373" s="1170"/>
      <c r="ES373" s="1171"/>
      <c r="ET373" s="1171"/>
      <c r="EU373" s="1171"/>
      <c r="EV373" s="1171"/>
      <c r="EW373" s="1171"/>
      <c r="EX373" s="1171"/>
      <c r="EY373" s="1171"/>
      <c r="EZ373" s="1171"/>
      <c r="FA373" s="1171"/>
      <c r="FB373" s="1171"/>
      <c r="FC373" s="1171"/>
      <c r="FD373" s="1171"/>
      <c r="FE373" s="1171"/>
      <c r="FF373" s="1171"/>
      <c r="FG373" s="1171"/>
      <c r="FH373" s="1171"/>
      <c r="FI373" s="1171"/>
      <c r="FJ373" s="1171"/>
      <c r="FK373" s="1171"/>
      <c r="FL373" s="1171"/>
      <c r="FM373" s="1171"/>
      <c r="FN373" s="1171"/>
      <c r="FO373" s="1171"/>
      <c r="FP373" s="1171"/>
    </row>
    <row r="374" spans="1:172" s="607" customFormat="1">
      <c r="A374" s="607">
        <f t="shared" si="10"/>
        <v>2001</v>
      </c>
      <c r="B374" s="607">
        <f t="shared" si="11"/>
        <v>2</v>
      </c>
      <c r="C374" s="666">
        <v>37043</v>
      </c>
      <c r="D374" s="957">
        <v>0.51794499999999999</v>
      </c>
      <c r="E374" s="920">
        <v>184.4505734</v>
      </c>
      <c r="F374" s="920">
        <v>356.12</v>
      </c>
      <c r="G374" s="920"/>
      <c r="H374" s="920"/>
      <c r="I374" s="954">
        <v>270.23099999999999</v>
      </c>
      <c r="J374" s="954">
        <v>524.19000000000005</v>
      </c>
      <c r="K374" s="954"/>
      <c r="L374" s="920"/>
      <c r="M374" s="917">
        <v>6644.76</v>
      </c>
      <c r="N374" s="917">
        <v>12829.084169168542</v>
      </c>
      <c r="O374" s="1175">
        <v>1608.45</v>
      </c>
      <c r="P374" s="1175">
        <v>3105.4455588913884</v>
      </c>
      <c r="Q374" s="1175">
        <v>444.14</v>
      </c>
      <c r="R374" s="1175">
        <v>857.50417515373249</v>
      </c>
      <c r="S374" s="1175">
        <v>894.93</v>
      </c>
      <c r="T374" s="1175">
        <v>1727.8475513809381</v>
      </c>
      <c r="U374" s="920">
        <v>412.09258034999999</v>
      </c>
      <c r="V374" s="920">
        <v>795.63</v>
      </c>
      <c r="W374" s="920">
        <v>1864.1099522500001</v>
      </c>
      <c r="X374" s="920">
        <v>3599.05</v>
      </c>
      <c r="Y374" s="920"/>
      <c r="Z374" s="920"/>
      <c r="AA374" s="920"/>
      <c r="AB374" s="920"/>
      <c r="AC374" s="920">
        <v>4.3630000000000004</v>
      </c>
      <c r="AD374" s="920">
        <v>8.49</v>
      </c>
      <c r="AE374" s="920">
        <v>24415.9</v>
      </c>
      <c r="AF374" s="920">
        <v>47139.947291700861</v>
      </c>
      <c r="AG374" s="920">
        <v>579.38099999999997</v>
      </c>
      <c r="AH374" s="920">
        <v>1118.6149108496074</v>
      </c>
      <c r="AI374" s="920">
        <v>613.71400000000006</v>
      </c>
      <c r="AJ374" s="920">
        <v>1184.9018718203672</v>
      </c>
      <c r="AK374" s="920">
        <v>27.71</v>
      </c>
      <c r="AL374" s="920">
        <v>53.499888984351621</v>
      </c>
      <c r="AM374" s="920">
        <v>28.12</v>
      </c>
      <c r="AN374" s="920">
        <v>54.291478824971769</v>
      </c>
      <c r="AO374" s="920"/>
      <c r="AP374" s="920"/>
      <c r="AS374" s="1167"/>
      <c r="AT374" s="1167"/>
      <c r="AU374" s="1168"/>
      <c r="AV374" s="1168"/>
      <c r="AW374" s="1169"/>
      <c r="AX374" s="1169"/>
      <c r="AY374" s="1169"/>
      <c r="AZ374" s="1169"/>
      <c r="BA374" s="1858" t="s">
        <v>1</v>
      </c>
      <c r="BB374" s="1859">
        <v>2008</v>
      </c>
      <c r="BC374" s="1858" t="s">
        <v>51</v>
      </c>
      <c r="BD374" s="1858">
        <v>2</v>
      </c>
      <c r="BE374" s="1860">
        <v>4826735000</v>
      </c>
      <c r="BF374" s="1801">
        <v>0.33827407395103876</v>
      </c>
      <c r="BG374" s="1799"/>
      <c r="BH374" s="1799" t="s">
        <v>280</v>
      </c>
      <c r="BI374" s="1799" t="s">
        <v>313</v>
      </c>
      <c r="BJ374" s="1799" t="s">
        <v>52</v>
      </c>
      <c r="BK374" s="1799">
        <v>6</v>
      </c>
      <c r="BL374" s="1800">
        <v>53337255</v>
      </c>
      <c r="BM374" s="1801">
        <v>6.8000000000000005E-2</v>
      </c>
      <c r="BN374" s="1799">
        <v>2008</v>
      </c>
      <c r="BO374" s="1684"/>
      <c r="BP374" s="1696"/>
      <c r="BQ374" s="1169"/>
      <c r="BR374" s="1169"/>
      <c r="BS374" s="1169"/>
      <c r="BT374" s="1169"/>
      <c r="BU374" s="1169"/>
      <c r="BV374" s="1169"/>
      <c r="BW374" s="1169"/>
      <c r="BX374" s="1169"/>
      <c r="BY374" s="1169"/>
      <c r="BZ374" s="1169"/>
      <c r="CA374" s="1169"/>
      <c r="CB374" s="1169"/>
      <c r="CC374" s="1169"/>
      <c r="CD374" s="1169"/>
      <c r="CE374" s="1169"/>
      <c r="CF374" s="1169"/>
      <c r="CG374" s="1169"/>
      <c r="CH374" s="1169"/>
      <c r="CI374" s="1169"/>
      <c r="CJ374" s="1169"/>
      <c r="CK374" s="1169"/>
      <c r="CL374" s="1169"/>
      <c r="CM374" s="1169"/>
      <c r="CN374" s="1169"/>
      <c r="CO374" s="1169"/>
      <c r="CP374" s="1169"/>
      <c r="CQ374" s="1169"/>
      <c r="CR374" s="1169"/>
      <c r="CS374" s="1169"/>
      <c r="CT374" s="1169"/>
      <c r="CU374" s="1169"/>
      <c r="CV374" s="1169"/>
      <c r="CW374" s="1169"/>
      <c r="CX374" s="1169"/>
      <c r="CY374" s="1169"/>
      <c r="CZ374" s="1169"/>
      <c r="DA374" s="1168"/>
      <c r="DB374" s="1168"/>
      <c r="DC374" s="1168"/>
      <c r="DD374" s="1168"/>
      <c r="DE374" s="1168"/>
      <c r="DF374" s="1168"/>
      <c r="DG374" s="1168"/>
      <c r="DH374" s="1168"/>
      <c r="DI374" s="1168"/>
      <c r="DJ374" s="1168"/>
      <c r="DK374" s="1168"/>
      <c r="DL374" s="1168"/>
      <c r="DM374" s="1168"/>
      <c r="DN374" s="1168"/>
      <c r="DO374" s="1168"/>
      <c r="DP374" s="1168"/>
      <c r="DQ374" s="1168"/>
      <c r="DR374" s="1168"/>
      <c r="DS374" s="1168"/>
      <c r="DT374" s="1168"/>
      <c r="DU374" s="1168"/>
      <c r="DV374" s="1168"/>
      <c r="DW374" s="1168"/>
      <c r="DX374" s="1168"/>
      <c r="DY374" s="1168"/>
      <c r="DZ374" s="1168"/>
      <c r="EA374" s="1168"/>
      <c r="EB374" s="1168"/>
      <c r="EC374" s="1168"/>
      <c r="ED374" s="1168"/>
      <c r="EE374" s="1168"/>
      <c r="EF374" s="1168"/>
      <c r="EG374" s="1168"/>
      <c r="EH374" s="1168"/>
      <c r="EI374" s="1170"/>
      <c r="EJ374" s="1170"/>
      <c r="EK374" s="1170"/>
      <c r="EL374" s="1170"/>
      <c r="EM374" s="1170"/>
      <c r="EN374" s="1170"/>
      <c r="EO374" s="1170"/>
      <c r="EP374" s="1170"/>
      <c r="EQ374" s="1170"/>
      <c r="ER374" s="1170"/>
      <c r="ES374" s="1171"/>
      <c r="ET374" s="1171"/>
      <c r="EU374" s="1171"/>
      <c r="EV374" s="1171"/>
      <c r="EW374" s="1171"/>
      <c r="EX374" s="1171"/>
      <c r="EY374" s="1171"/>
      <c r="EZ374" s="1171"/>
      <c r="FA374" s="1171"/>
      <c r="FB374" s="1171"/>
      <c r="FC374" s="1171"/>
      <c r="FD374" s="1171"/>
      <c r="FE374" s="1171"/>
      <c r="FF374" s="1171"/>
      <c r="FG374" s="1171"/>
      <c r="FH374" s="1171"/>
      <c r="FI374" s="1171"/>
      <c r="FJ374" s="1171"/>
      <c r="FK374" s="1171"/>
      <c r="FL374" s="1171"/>
      <c r="FM374" s="1171"/>
      <c r="FN374" s="1171"/>
      <c r="FO374" s="1171"/>
      <c r="FP374" s="1171"/>
    </row>
    <row r="375" spans="1:172" s="607" customFormat="1">
      <c r="A375" s="607">
        <f t="shared" si="10"/>
        <v>2001</v>
      </c>
      <c r="B375" s="607">
        <f t="shared" si="11"/>
        <v>3</v>
      </c>
      <c r="C375" s="666">
        <v>37073</v>
      </c>
      <c r="D375" s="1709">
        <v>0.51013181818181819</v>
      </c>
      <c r="E375" s="1117">
        <v>176.66374995454547</v>
      </c>
      <c r="F375" s="1117">
        <v>346.31</v>
      </c>
      <c r="G375" s="1117"/>
      <c r="H375" s="1117"/>
      <c r="I375" s="959">
        <v>267.57299999999998</v>
      </c>
      <c r="J375" s="959">
        <v>526.83000000000004</v>
      </c>
      <c r="K375" s="960"/>
      <c r="L375" s="1121"/>
      <c r="M375" s="916">
        <v>5952.86</v>
      </c>
      <c r="N375" s="916">
        <v>11669.25839132488</v>
      </c>
      <c r="O375" s="1174">
        <v>1527.88</v>
      </c>
      <c r="P375" s="1174">
        <v>2995.0690106835132</v>
      </c>
      <c r="Q375" s="1174">
        <v>460.36</v>
      </c>
      <c r="R375" s="1174">
        <v>902.43341738766276</v>
      </c>
      <c r="S375" s="1174">
        <v>853.14</v>
      </c>
      <c r="T375" s="1174">
        <v>1672.3912714182609</v>
      </c>
      <c r="U375" s="1120">
        <v>395.04097868181816</v>
      </c>
      <c r="V375" s="1120">
        <v>774.39</v>
      </c>
      <c r="W375" s="1120">
        <v>1815.9264358181817</v>
      </c>
      <c r="X375" s="1120">
        <v>3559.72</v>
      </c>
      <c r="Y375" s="1119"/>
      <c r="Z375" s="1119"/>
      <c r="AA375" s="1119"/>
      <c r="AB375" s="1119"/>
      <c r="AC375" s="1178">
        <v>4.2549999999999999</v>
      </c>
      <c r="AD375" s="1178">
        <v>8.41</v>
      </c>
      <c r="AE375" s="1178">
        <v>21053.9</v>
      </c>
      <c r="AF375" s="1178">
        <v>41271.489543700831</v>
      </c>
      <c r="AG375" s="1178">
        <v>530.70500000000004</v>
      </c>
      <c r="AH375" s="1178">
        <v>1040.3291484375698</v>
      </c>
      <c r="AI375" s="1178">
        <v>524.54499999999996</v>
      </c>
      <c r="AJ375" s="1178">
        <v>1028.2538381345285</v>
      </c>
      <c r="AK375" s="919">
        <v>24.54</v>
      </c>
      <c r="AL375" s="919">
        <v>48.105213447504653</v>
      </c>
      <c r="AM375" s="919">
        <v>25.96</v>
      </c>
      <c r="AN375" s="919">
        <v>50.888807705673223</v>
      </c>
      <c r="AO375" s="919"/>
      <c r="AP375" s="919"/>
      <c r="AS375" s="1167"/>
      <c r="AT375" s="1167"/>
      <c r="AU375" s="1168"/>
      <c r="AV375" s="1168"/>
      <c r="AW375" s="1169"/>
      <c r="AX375" s="1169"/>
      <c r="AY375" s="1169"/>
      <c r="AZ375" s="1169"/>
      <c r="BA375" s="1858" t="s">
        <v>1</v>
      </c>
      <c r="BB375" s="1859">
        <v>2008</v>
      </c>
      <c r="BC375" s="1858" t="s">
        <v>29</v>
      </c>
      <c r="BD375" s="1858">
        <v>3</v>
      </c>
      <c r="BE375" s="1860">
        <v>1535923000</v>
      </c>
      <c r="BF375" s="1801">
        <v>0.10764272960605901</v>
      </c>
      <c r="BG375" s="1799"/>
      <c r="BH375" s="1799" t="s">
        <v>280</v>
      </c>
      <c r="BI375" s="1799" t="s">
        <v>313</v>
      </c>
      <c r="BJ375" s="1799" t="s">
        <v>23</v>
      </c>
      <c r="BK375" s="1799">
        <v>7</v>
      </c>
      <c r="BL375" s="1800">
        <v>36995195</v>
      </c>
      <c r="BM375" s="1801">
        <v>4.7E-2</v>
      </c>
      <c r="BN375" s="1799">
        <v>2008</v>
      </c>
      <c r="BO375" s="1684"/>
      <c r="BP375" s="1696"/>
      <c r="BQ375" s="1169"/>
      <c r="BR375" s="1169"/>
      <c r="BS375" s="1169"/>
      <c r="BT375" s="1169"/>
      <c r="BU375" s="1169"/>
      <c r="BV375" s="1169"/>
      <c r="BW375" s="1169"/>
      <c r="BX375" s="1169"/>
      <c r="BY375" s="1169"/>
      <c r="BZ375" s="1169"/>
      <c r="CA375" s="1169"/>
      <c r="CB375" s="1169"/>
      <c r="CC375" s="1169"/>
      <c r="CD375" s="1169"/>
      <c r="CE375" s="1169"/>
      <c r="CF375" s="1169"/>
      <c r="CG375" s="1169"/>
      <c r="CH375" s="1169"/>
      <c r="CI375" s="1169"/>
      <c r="CJ375" s="1169"/>
      <c r="CK375" s="1169"/>
      <c r="CL375" s="1169"/>
      <c r="CM375" s="1169"/>
      <c r="CN375" s="1169"/>
      <c r="CO375" s="1169"/>
      <c r="CP375" s="1169"/>
      <c r="CQ375" s="1169"/>
      <c r="CR375" s="1169"/>
      <c r="CS375" s="1169"/>
      <c r="CT375" s="1169"/>
      <c r="CU375" s="1169"/>
      <c r="CV375" s="1169"/>
      <c r="CW375" s="1169"/>
      <c r="CX375" s="1169"/>
      <c r="CY375" s="1169"/>
      <c r="CZ375" s="1169"/>
      <c r="DA375" s="1168"/>
      <c r="DB375" s="1168"/>
      <c r="DC375" s="1168"/>
      <c r="DD375" s="1168"/>
      <c r="DE375" s="1168"/>
      <c r="DF375" s="1168"/>
      <c r="DG375" s="1168"/>
      <c r="DH375" s="1168"/>
      <c r="DI375" s="1168"/>
      <c r="DJ375" s="1168"/>
      <c r="DK375" s="1168"/>
      <c r="DL375" s="1168"/>
      <c r="DM375" s="1168"/>
      <c r="DN375" s="1168"/>
      <c r="DO375" s="1168"/>
      <c r="DP375" s="1168"/>
      <c r="DQ375" s="1168"/>
      <c r="DR375" s="1168"/>
      <c r="DS375" s="1168"/>
      <c r="DT375" s="1168"/>
      <c r="DU375" s="1168"/>
      <c r="DV375" s="1168"/>
      <c r="DW375" s="1168"/>
      <c r="DX375" s="1168"/>
      <c r="DY375" s="1168"/>
      <c r="DZ375" s="1168"/>
      <c r="EA375" s="1168"/>
      <c r="EB375" s="1168"/>
      <c r="EC375" s="1168"/>
      <c r="ED375" s="1168"/>
      <c r="EE375" s="1168"/>
      <c r="EF375" s="1168"/>
      <c r="EG375" s="1168"/>
      <c r="EH375" s="1168"/>
      <c r="EI375" s="1170"/>
      <c r="EJ375" s="1170"/>
      <c r="EK375" s="1170"/>
      <c r="EL375" s="1170"/>
      <c r="EM375" s="1170"/>
      <c r="EN375" s="1170"/>
      <c r="EO375" s="1170"/>
      <c r="EP375" s="1170"/>
      <c r="EQ375" s="1170"/>
      <c r="ER375" s="1170"/>
      <c r="ES375" s="1171"/>
      <c r="ET375" s="1171"/>
      <c r="EU375" s="1171"/>
      <c r="EV375" s="1171"/>
      <c r="EW375" s="1171"/>
      <c r="EX375" s="1171"/>
      <c r="EY375" s="1171"/>
      <c r="EZ375" s="1171"/>
      <c r="FA375" s="1171"/>
      <c r="FB375" s="1171"/>
      <c r="FC375" s="1171"/>
      <c r="FD375" s="1171"/>
      <c r="FE375" s="1171"/>
      <c r="FF375" s="1171"/>
      <c r="FG375" s="1171"/>
      <c r="FH375" s="1171"/>
      <c r="FI375" s="1171"/>
      <c r="FJ375" s="1171"/>
      <c r="FK375" s="1171"/>
      <c r="FL375" s="1171"/>
      <c r="FM375" s="1171"/>
      <c r="FN375" s="1171"/>
      <c r="FO375" s="1171"/>
      <c r="FP375" s="1171"/>
    </row>
    <row r="376" spans="1:172" s="607" customFormat="1">
      <c r="A376" s="607">
        <f t="shared" si="10"/>
        <v>2001</v>
      </c>
      <c r="B376" s="607">
        <f t="shared" si="11"/>
        <v>3</v>
      </c>
      <c r="C376" s="666">
        <v>37104</v>
      </c>
      <c r="D376" s="957">
        <v>0.52510454545454555</v>
      </c>
      <c r="E376" s="920">
        <v>178.67732368181819</v>
      </c>
      <c r="F376" s="920">
        <v>340.27</v>
      </c>
      <c r="G376" s="920"/>
      <c r="H376" s="920"/>
      <c r="I376" s="954">
        <v>272.38600000000002</v>
      </c>
      <c r="J376" s="954">
        <v>521.45000000000005</v>
      </c>
      <c r="K376" s="954"/>
      <c r="L376" s="920"/>
      <c r="M376" s="917">
        <v>5524.55</v>
      </c>
      <c r="N376" s="917">
        <v>10520.857318456063</v>
      </c>
      <c r="O376" s="1175">
        <v>1464.43</v>
      </c>
      <c r="P376" s="1175">
        <v>2788.8351237415923</v>
      </c>
      <c r="Q376" s="1175">
        <v>482.95</v>
      </c>
      <c r="R376" s="1175">
        <v>919.72161387775577</v>
      </c>
      <c r="S376" s="1175">
        <v>828.07</v>
      </c>
      <c r="T376" s="1175">
        <v>1576.962163378721</v>
      </c>
      <c r="U376" s="920">
        <v>434.79706572727281</v>
      </c>
      <c r="V376" s="920">
        <v>828.02</v>
      </c>
      <c r="W376" s="920">
        <v>1803.5923354090912</v>
      </c>
      <c r="X376" s="920">
        <v>3434.73</v>
      </c>
      <c r="Y376" s="920"/>
      <c r="Z376" s="920"/>
      <c r="AA376" s="920"/>
      <c r="AB376" s="920"/>
      <c r="AC376" s="920">
        <v>4.2</v>
      </c>
      <c r="AD376" s="920">
        <v>8.08</v>
      </c>
      <c r="AE376" s="920">
        <v>22001.9</v>
      </c>
      <c r="AF376" s="920">
        <v>41900.03722202505</v>
      </c>
      <c r="AG376" s="920">
        <v>451.60199999999998</v>
      </c>
      <c r="AH376" s="920">
        <v>860.02302571782218</v>
      </c>
      <c r="AI376" s="920">
        <v>455.22699999999998</v>
      </c>
      <c r="AJ376" s="920">
        <v>866.92641292210192</v>
      </c>
      <c r="AK376" s="920">
        <v>25.7</v>
      </c>
      <c r="AL376" s="920">
        <v>48.942634799996526</v>
      </c>
      <c r="AM376" s="920">
        <v>25.4</v>
      </c>
      <c r="AN376" s="920">
        <v>48.371319996883727</v>
      </c>
      <c r="AO376" s="920"/>
      <c r="AP376" s="920"/>
      <c r="AS376" s="1167"/>
      <c r="AT376" s="1167"/>
      <c r="AU376" s="1168"/>
      <c r="AV376" s="1168"/>
      <c r="AW376" s="1169"/>
      <c r="AX376" s="1169"/>
      <c r="AY376" s="1169"/>
      <c r="AZ376" s="1169"/>
      <c r="BA376" s="1858" t="s">
        <v>1</v>
      </c>
      <c r="BB376" s="1859">
        <v>2008</v>
      </c>
      <c r="BC376" s="1858" t="s">
        <v>28</v>
      </c>
      <c r="BD376" s="1858">
        <v>4</v>
      </c>
      <c r="BE376" s="1860">
        <v>1131318000</v>
      </c>
      <c r="BF376" s="1801">
        <v>7.9286629324821278E-2</v>
      </c>
      <c r="BG376" s="1799"/>
      <c r="BH376" s="1799" t="s">
        <v>280</v>
      </c>
      <c r="BI376" s="1799" t="s">
        <v>313</v>
      </c>
      <c r="BJ376" s="1799" t="s">
        <v>47</v>
      </c>
      <c r="BK376" s="1799">
        <v>8</v>
      </c>
      <c r="BL376" s="1800">
        <v>35298620</v>
      </c>
      <c r="BM376" s="1801">
        <v>4.4999999999999998E-2</v>
      </c>
      <c r="BN376" s="1799">
        <v>2008</v>
      </c>
      <c r="BO376" s="1684"/>
      <c r="BP376" s="1696"/>
      <c r="BQ376" s="1169"/>
      <c r="BR376" s="1169"/>
      <c r="BS376" s="1169"/>
      <c r="BT376" s="1169"/>
      <c r="BU376" s="1169"/>
      <c r="BV376" s="1169"/>
      <c r="BW376" s="1169"/>
      <c r="BX376" s="1169"/>
      <c r="BY376" s="1169"/>
      <c r="BZ376" s="1169"/>
      <c r="CA376" s="1169"/>
      <c r="CB376" s="1169"/>
      <c r="CC376" s="1169"/>
      <c r="CD376" s="1169"/>
      <c r="CE376" s="1169"/>
      <c r="CF376" s="1169"/>
      <c r="CG376" s="1169"/>
      <c r="CH376" s="1169"/>
      <c r="CI376" s="1169"/>
      <c r="CJ376" s="1169"/>
      <c r="CK376" s="1169"/>
      <c r="CL376" s="1169"/>
      <c r="CM376" s="1169"/>
      <c r="CN376" s="1169"/>
      <c r="CO376" s="1169"/>
      <c r="CP376" s="1169"/>
      <c r="CQ376" s="1169"/>
      <c r="CR376" s="1169"/>
      <c r="CS376" s="1169"/>
      <c r="CT376" s="1169"/>
      <c r="CU376" s="1169"/>
      <c r="CV376" s="1169"/>
      <c r="CW376" s="1169"/>
      <c r="CX376" s="1169"/>
      <c r="CY376" s="1169"/>
      <c r="CZ376" s="1169"/>
      <c r="DA376" s="1168"/>
      <c r="DB376" s="1168"/>
      <c r="DC376" s="1168"/>
      <c r="DD376" s="1168"/>
      <c r="DE376" s="1168"/>
      <c r="DF376" s="1168"/>
      <c r="DG376" s="1168"/>
      <c r="DH376" s="1168"/>
      <c r="DI376" s="1168"/>
      <c r="DJ376" s="1168"/>
      <c r="DK376" s="1168"/>
      <c r="DL376" s="1168"/>
      <c r="DM376" s="1168"/>
      <c r="DN376" s="1168"/>
      <c r="DO376" s="1168"/>
      <c r="DP376" s="1168"/>
      <c r="DQ376" s="1168"/>
      <c r="DR376" s="1168"/>
      <c r="DS376" s="1168"/>
      <c r="DT376" s="1168"/>
      <c r="DU376" s="1168"/>
      <c r="DV376" s="1168"/>
      <c r="DW376" s="1168"/>
      <c r="DX376" s="1168"/>
      <c r="DY376" s="1168"/>
      <c r="DZ376" s="1168"/>
      <c r="EA376" s="1168"/>
      <c r="EB376" s="1168"/>
      <c r="EC376" s="1168"/>
      <c r="ED376" s="1168"/>
      <c r="EE376" s="1168"/>
      <c r="EF376" s="1168"/>
      <c r="EG376" s="1168"/>
      <c r="EH376" s="1168"/>
      <c r="EI376" s="1170"/>
      <c r="EJ376" s="1170"/>
      <c r="EK376" s="1170"/>
      <c r="EL376" s="1170"/>
      <c r="EM376" s="1170"/>
      <c r="EN376" s="1170"/>
      <c r="EO376" s="1170"/>
      <c r="EP376" s="1170"/>
      <c r="EQ376" s="1170"/>
      <c r="ER376" s="1170"/>
      <c r="ES376" s="1171"/>
      <c r="ET376" s="1171"/>
      <c r="EU376" s="1171"/>
      <c r="EV376" s="1171"/>
      <c r="EW376" s="1171"/>
      <c r="EX376" s="1171"/>
      <c r="EY376" s="1171"/>
      <c r="EZ376" s="1171"/>
      <c r="FA376" s="1171"/>
      <c r="FB376" s="1171"/>
      <c r="FC376" s="1171"/>
      <c r="FD376" s="1171"/>
      <c r="FE376" s="1171"/>
      <c r="FF376" s="1171"/>
      <c r="FG376" s="1171"/>
      <c r="FH376" s="1171"/>
      <c r="FI376" s="1171"/>
      <c r="FJ376" s="1171"/>
      <c r="FK376" s="1171"/>
      <c r="FL376" s="1171"/>
      <c r="FM376" s="1171"/>
      <c r="FN376" s="1171"/>
      <c r="FO376" s="1171"/>
      <c r="FP376" s="1171"/>
    </row>
    <row r="377" spans="1:172" s="607" customFormat="1">
      <c r="A377" s="607">
        <f t="shared" si="10"/>
        <v>2001</v>
      </c>
      <c r="B377" s="607">
        <f t="shared" si="11"/>
        <v>3</v>
      </c>
      <c r="C377" s="666">
        <v>37135</v>
      </c>
      <c r="D377" s="1709">
        <v>0.5062549999999999</v>
      </c>
      <c r="E377" s="1117">
        <v>172.66839284999998</v>
      </c>
      <c r="F377" s="1117">
        <v>341.07</v>
      </c>
      <c r="G377" s="1117"/>
      <c r="H377" s="1117"/>
      <c r="I377" s="959">
        <v>283.40300000000002</v>
      </c>
      <c r="J377" s="959">
        <v>560.6</v>
      </c>
      <c r="K377" s="960"/>
      <c r="L377" s="1121"/>
      <c r="M377" s="916">
        <v>5030.25</v>
      </c>
      <c r="N377" s="916">
        <v>9936.1981610058192</v>
      </c>
      <c r="O377" s="1174">
        <v>1426.33</v>
      </c>
      <c r="P377" s="1174">
        <v>2817.4141489960598</v>
      </c>
      <c r="Q377" s="1174">
        <v>464.8</v>
      </c>
      <c r="R377" s="1174">
        <v>918.1143889936892</v>
      </c>
      <c r="S377" s="1174">
        <v>798.55</v>
      </c>
      <c r="T377" s="1174">
        <v>1577.3671371146954</v>
      </c>
      <c r="U377" s="1120">
        <v>430.55468984999993</v>
      </c>
      <c r="V377" s="1120">
        <v>850.47</v>
      </c>
      <c r="W377" s="1120">
        <v>1784.9402101149997</v>
      </c>
      <c r="X377" s="1120">
        <v>3525.7730000000001</v>
      </c>
      <c r="Y377" s="1119"/>
      <c r="Z377" s="1119"/>
      <c r="AA377" s="1119"/>
      <c r="AB377" s="1119"/>
      <c r="AC377" s="1178">
        <v>4.3520000000000003</v>
      </c>
      <c r="AD377" s="1178">
        <v>8.68</v>
      </c>
      <c r="AE377" s="1178">
        <v>21384.6</v>
      </c>
      <c r="AF377" s="1178">
        <v>42240.767992414898</v>
      </c>
      <c r="AG377" s="1178">
        <v>458.35</v>
      </c>
      <c r="AH377" s="1178">
        <v>905.37377408618204</v>
      </c>
      <c r="AI377" s="1178">
        <v>443.1</v>
      </c>
      <c r="AJ377" s="1178">
        <v>875.25061480874285</v>
      </c>
      <c r="AK377" s="919">
        <v>25.53</v>
      </c>
      <c r="AL377" s="919">
        <v>50.42913156413271</v>
      </c>
      <c r="AM377" s="919">
        <v>25.9</v>
      </c>
      <c r="AN377" s="919">
        <v>51.159988543323038</v>
      </c>
      <c r="AO377" s="919"/>
      <c r="AP377" s="919"/>
      <c r="AS377" s="1167"/>
      <c r="AT377" s="1167"/>
      <c r="AU377" s="1168"/>
      <c r="AV377" s="1168"/>
      <c r="AW377" s="1169"/>
      <c r="AX377" s="1169"/>
      <c r="AY377" s="1169"/>
      <c r="AZ377" s="1169"/>
      <c r="BA377" s="1858" t="s">
        <v>1</v>
      </c>
      <c r="BB377" s="1859">
        <v>2008</v>
      </c>
      <c r="BC377" s="1858" t="s">
        <v>49</v>
      </c>
      <c r="BD377" s="1858">
        <v>5</v>
      </c>
      <c r="BE377" s="1860">
        <v>719732000</v>
      </c>
      <c r="BF377" s="1801">
        <v>5.0441276720791385E-2</v>
      </c>
      <c r="BG377" s="1799"/>
      <c r="BH377" s="1799" t="s">
        <v>280</v>
      </c>
      <c r="BI377" s="1799" t="s">
        <v>313</v>
      </c>
      <c r="BJ377" s="1799" t="s">
        <v>583</v>
      </c>
      <c r="BK377" s="1799">
        <v>9</v>
      </c>
      <c r="BL377" s="1800">
        <v>34438406</v>
      </c>
      <c r="BM377" s="1801">
        <v>4.3999999999999997E-2</v>
      </c>
      <c r="BN377" s="1799">
        <v>2008</v>
      </c>
      <c r="BO377" s="1684"/>
      <c r="BP377" s="1696"/>
      <c r="BQ377" s="1169"/>
      <c r="BR377" s="1169"/>
      <c r="BS377" s="1169"/>
      <c r="BT377" s="1169"/>
      <c r="BU377" s="1169"/>
      <c r="BV377" s="1169"/>
      <c r="BW377" s="1169"/>
      <c r="BX377" s="1169"/>
      <c r="BY377" s="1169"/>
      <c r="BZ377" s="1169"/>
      <c r="CA377" s="1169"/>
      <c r="CB377" s="1169"/>
      <c r="CC377" s="1169"/>
      <c r="CD377" s="1169"/>
      <c r="CE377" s="1169"/>
      <c r="CF377" s="1169"/>
      <c r="CG377" s="1169"/>
      <c r="CH377" s="1169"/>
      <c r="CI377" s="1169"/>
      <c r="CJ377" s="1169"/>
      <c r="CK377" s="1169"/>
      <c r="CL377" s="1169"/>
      <c r="CM377" s="1169"/>
      <c r="CN377" s="1169"/>
      <c r="CO377" s="1169"/>
      <c r="CP377" s="1169"/>
      <c r="CQ377" s="1169"/>
      <c r="CR377" s="1169"/>
      <c r="CS377" s="1169"/>
      <c r="CT377" s="1169"/>
      <c r="CU377" s="1169"/>
      <c r="CV377" s="1169"/>
      <c r="CW377" s="1169"/>
      <c r="CX377" s="1169"/>
      <c r="CY377" s="1169"/>
      <c r="CZ377" s="1169"/>
      <c r="DA377" s="1168"/>
      <c r="DB377" s="1168"/>
      <c r="DC377" s="1168"/>
      <c r="DD377" s="1168"/>
      <c r="DE377" s="1168"/>
      <c r="DF377" s="1168"/>
      <c r="DG377" s="1168"/>
      <c r="DH377" s="1168"/>
      <c r="DI377" s="1168"/>
      <c r="DJ377" s="1168"/>
      <c r="DK377" s="1168"/>
      <c r="DL377" s="1168"/>
      <c r="DM377" s="1168"/>
      <c r="DN377" s="1168"/>
      <c r="DO377" s="1168"/>
      <c r="DP377" s="1168"/>
      <c r="DQ377" s="1168"/>
      <c r="DR377" s="1168"/>
      <c r="DS377" s="1168"/>
      <c r="DT377" s="1168"/>
      <c r="DU377" s="1168"/>
      <c r="DV377" s="1168"/>
      <c r="DW377" s="1168"/>
      <c r="DX377" s="1168"/>
      <c r="DY377" s="1168"/>
      <c r="DZ377" s="1168"/>
      <c r="EA377" s="1168"/>
      <c r="EB377" s="1168"/>
      <c r="EC377" s="1168"/>
      <c r="ED377" s="1168"/>
      <c r="EE377" s="1168"/>
      <c r="EF377" s="1168"/>
      <c r="EG377" s="1168"/>
      <c r="EH377" s="1168"/>
      <c r="EI377" s="1170"/>
      <c r="EJ377" s="1170"/>
      <c r="EK377" s="1170"/>
      <c r="EL377" s="1170"/>
      <c r="EM377" s="1170"/>
      <c r="EN377" s="1170"/>
      <c r="EO377" s="1170"/>
      <c r="EP377" s="1170"/>
      <c r="EQ377" s="1170"/>
      <c r="ER377" s="1170"/>
      <c r="ES377" s="1171"/>
      <c r="ET377" s="1171"/>
      <c r="EU377" s="1171"/>
      <c r="EV377" s="1171"/>
      <c r="EW377" s="1171"/>
      <c r="EX377" s="1171"/>
      <c r="EY377" s="1171"/>
      <c r="EZ377" s="1171"/>
      <c r="FA377" s="1171"/>
      <c r="FB377" s="1171"/>
      <c r="FC377" s="1171"/>
      <c r="FD377" s="1171"/>
      <c r="FE377" s="1171"/>
      <c r="FF377" s="1171"/>
      <c r="FG377" s="1171"/>
      <c r="FH377" s="1171"/>
      <c r="FI377" s="1171"/>
      <c r="FJ377" s="1171"/>
      <c r="FK377" s="1171"/>
      <c r="FL377" s="1171"/>
      <c r="FM377" s="1171"/>
      <c r="FN377" s="1171"/>
      <c r="FO377" s="1171"/>
      <c r="FP377" s="1171"/>
    </row>
    <row r="378" spans="1:172" s="607" customFormat="1">
      <c r="A378" s="607">
        <f t="shared" si="10"/>
        <v>2001</v>
      </c>
      <c r="B378" s="607">
        <f t="shared" si="11"/>
        <v>4</v>
      </c>
      <c r="C378" s="666">
        <v>37165</v>
      </c>
      <c r="D378" s="957">
        <v>0.50542272727272719</v>
      </c>
      <c r="E378" s="920">
        <v>165.4450755454545</v>
      </c>
      <c r="F378" s="920">
        <v>327.33999999999997</v>
      </c>
      <c r="G378" s="920"/>
      <c r="H378" s="920"/>
      <c r="I378" s="954">
        <v>283.08699999999999</v>
      </c>
      <c r="J378" s="954">
        <v>562.38</v>
      </c>
      <c r="K378" s="954"/>
      <c r="L378" s="920"/>
      <c r="M378" s="917">
        <v>4828.4799999999996</v>
      </c>
      <c r="N378" s="917">
        <v>9553.3495813585396</v>
      </c>
      <c r="O378" s="1175">
        <v>1377.28</v>
      </c>
      <c r="P378" s="1175">
        <v>2725.0060705260225</v>
      </c>
      <c r="Q378" s="1175">
        <v>468.11</v>
      </c>
      <c r="R378" s="1175">
        <v>926.17520887106218</v>
      </c>
      <c r="S378" s="1175">
        <v>761.5</v>
      </c>
      <c r="T378" s="1175">
        <v>1506.6595918807841</v>
      </c>
      <c r="U378" s="920">
        <v>457.52886963636354</v>
      </c>
      <c r="V378" s="920">
        <v>905.24</v>
      </c>
      <c r="W378" s="920">
        <v>1737.1429678636362</v>
      </c>
      <c r="X378" s="920">
        <v>3437.01</v>
      </c>
      <c r="Y378" s="920"/>
      <c r="Z378" s="920"/>
      <c r="AA378" s="920"/>
      <c r="AB378" s="920"/>
      <c r="AC378" s="920">
        <v>4.4029999999999996</v>
      </c>
      <c r="AD378" s="920">
        <v>8.77</v>
      </c>
      <c r="AE378" s="920">
        <v>17747</v>
      </c>
      <c r="AF378" s="920">
        <v>35113.181585171733</v>
      </c>
      <c r="AG378" s="920">
        <v>431.21699999999998</v>
      </c>
      <c r="AH378" s="920">
        <v>853.18086570197772</v>
      </c>
      <c r="AI378" s="920">
        <v>335.21699999999998</v>
      </c>
      <c r="AJ378" s="920">
        <v>663.24085149245013</v>
      </c>
      <c r="AK378" s="920">
        <v>20.48</v>
      </c>
      <c r="AL378" s="920">
        <v>40.520536364699225</v>
      </c>
      <c r="AM378" s="920">
        <v>21.55</v>
      </c>
      <c r="AN378" s="920">
        <v>42.637576106409583</v>
      </c>
      <c r="AO378" s="920"/>
      <c r="AP378" s="920"/>
      <c r="AS378" s="1167"/>
      <c r="AT378" s="1167"/>
      <c r="AU378" s="1168"/>
      <c r="AV378" s="1168"/>
      <c r="AW378" s="1169"/>
      <c r="AX378" s="1169"/>
      <c r="AY378" s="1169"/>
      <c r="AZ378" s="1169"/>
      <c r="BA378" s="1858" t="s">
        <v>1</v>
      </c>
      <c r="BB378" s="1859">
        <v>2008</v>
      </c>
      <c r="BC378" s="1858" t="s">
        <v>77</v>
      </c>
      <c r="BD378" s="1858">
        <v>6</v>
      </c>
      <c r="BE378" s="1860">
        <v>413689000</v>
      </c>
      <c r="BF378" s="1801">
        <v>2.8992738026581377E-2</v>
      </c>
      <c r="BG378" s="1799"/>
      <c r="BH378" s="1799" t="s">
        <v>280</v>
      </c>
      <c r="BI378" s="1799" t="s">
        <v>313</v>
      </c>
      <c r="BJ378" s="1799" t="s">
        <v>42</v>
      </c>
      <c r="BK378" s="1799">
        <v>10</v>
      </c>
      <c r="BL378" s="1800">
        <v>25806488</v>
      </c>
      <c r="BM378" s="1801">
        <v>3.3000000000000002E-2</v>
      </c>
      <c r="BN378" s="1799">
        <v>2008</v>
      </c>
      <c r="BO378" s="1684"/>
      <c r="BP378" s="1696"/>
      <c r="BQ378" s="1169"/>
      <c r="BR378" s="1169"/>
      <c r="BS378" s="1169"/>
      <c r="BT378" s="1169"/>
      <c r="BU378" s="1169"/>
      <c r="BV378" s="1169"/>
      <c r="BW378" s="1169"/>
      <c r="BX378" s="1169"/>
      <c r="BY378" s="1169"/>
      <c r="BZ378" s="1169"/>
      <c r="CA378" s="1169"/>
      <c r="CB378" s="1169"/>
      <c r="CC378" s="1169"/>
      <c r="CD378" s="1169"/>
      <c r="CE378" s="1169"/>
      <c r="CF378" s="1169"/>
      <c r="CG378" s="1169"/>
      <c r="CH378" s="1169"/>
      <c r="CI378" s="1169"/>
      <c r="CJ378" s="1169"/>
      <c r="CK378" s="1169"/>
      <c r="CL378" s="1169"/>
      <c r="CM378" s="1169"/>
      <c r="CN378" s="1169"/>
      <c r="CO378" s="1169"/>
      <c r="CP378" s="1169"/>
      <c r="CQ378" s="1169"/>
      <c r="CR378" s="1169"/>
      <c r="CS378" s="1169"/>
      <c r="CT378" s="1169"/>
      <c r="CU378" s="1169"/>
      <c r="CV378" s="1169"/>
      <c r="CW378" s="1169"/>
      <c r="CX378" s="1169"/>
      <c r="CY378" s="1169"/>
      <c r="CZ378" s="1169"/>
      <c r="DA378" s="1168"/>
      <c r="DB378" s="1168"/>
      <c r="DC378" s="1168"/>
      <c r="DD378" s="1168"/>
      <c r="DE378" s="1168"/>
      <c r="DF378" s="1168"/>
      <c r="DG378" s="1168"/>
      <c r="DH378" s="1168"/>
      <c r="DI378" s="1168"/>
      <c r="DJ378" s="1168"/>
      <c r="DK378" s="1168"/>
      <c r="DL378" s="1168"/>
      <c r="DM378" s="1168"/>
      <c r="DN378" s="1168"/>
      <c r="DO378" s="1168"/>
      <c r="DP378" s="1168"/>
      <c r="DQ378" s="1168"/>
      <c r="DR378" s="1168"/>
      <c r="DS378" s="1168"/>
      <c r="DT378" s="1168"/>
      <c r="DU378" s="1168"/>
      <c r="DV378" s="1168"/>
      <c r="DW378" s="1168"/>
      <c r="DX378" s="1168"/>
      <c r="DY378" s="1168"/>
      <c r="DZ378" s="1168"/>
      <c r="EA378" s="1168"/>
      <c r="EB378" s="1168"/>
      <c r="EC378" s="1168"/>
      <c r="ED378" s="1168"/>
      <c r="EE378" s="1168"/>
      <c r="EF378" s="1168"/>
      <c r="EG378" s="1168"/>
      <c r="EH378" s="1168"/>
      <c r="EI378" s="1170"/>
      <c r="EJ378" s="1170"/>
      <c r="EK378" s="1170"/>
      <c r="EL378" s="1170"/>
      <c r="EM378" s="1170"/>
      <c r="EN378" s="1170"/>
      <c r="EO378" s="1170"/>
      <c r="EP378" s="1170"/>
      <c r="EQ378" s="1170"/>
      <c r="ER378" s="1170"/>
      <c r="ES378" s="1171"/>
      <c r="ET378" s="1171"/>
      <c r="EU378" s="1171"/>
      <c r="EV378" s="1171"/>
      <c r="EW378" s="1171"/>
      <c r="EX378" s="1171"/>
      <c r="EY378" s="1171"/>
      <c r="EZ378" s="1171"/>
      <c r="FA378" s="1171"/>
      <c r="FB378" s="1171"/>
      <c r="FC378" s="1171"/>
      <c r="FD378" s="1171"/>
      <c r="FE378" s="1171"/>
      <c r="FF378" s="1171"/>
      <c r="FG378" s="1171"/>
      <c r="FH378" s="1171"/>
      <c r="FI378" s="1171"/>
      <c r="FJ378" s="1171"/>
      <c r="FK378" s="1171"/>
      <c r="FL378" s="1171"/>
      <c r="FM378" s="1171"/>
      <c r="FN378" s="1171"/>
      <c r="FO378" s="1171"/>
      <c r="FP378" s="1171"/>
    </row>
    <row r="379" spans="1:172" s="607" customFormat="1">
      <c r="A379" s="607">
        <f t="shared" si="10"/>
        <v>2001</v>
      </c>
      <c r="B379" s="607">
        <f t="shared" si="11"/>
        <v>4</v>
      </c>
      <c r="C379" s="666">
        <v>37196</v>
      </c>
      <c r="D379" s="1709">
        <v>0.51684545454545461</v>
      </c>
      <c r="E379" s="1117">
        <v>159.95849972727274</v>
      </c>
      <c r="F379" s="1117">
        <v>309.49</v>
      </c>
      <c r="G379" s="1117"/>
      <c r="H379" s="1117"/>
      <c r="I379" s="959">
        <v>276.173</v>
      </c>
      <c r="J379" s="959">
        <v>536.12</v>
      </c>
      <c r="K379" s="960"/>
      <c r="L379" s="1121"/>
      <c r="M379" s="916">
        <v>5081.82</v>
      </c>
      <c r="N379" s="916">
        <v>9832.3782386153744</v>
      </c>
      <c r="O379" s="1174">
        <v>1427.73</v>
      </c>
      <c r="P379" s="1174">
        <v>2762.3924858846494</v>
      </c>
      <c r="Q379" s="1174">
        <v>486.48</v>
      </c>
      <c r="R379" s="1174">
        <v>941.24848292966067</v>
      </c>
      <c r="S379" s="1174">
        <v>772.91</v>
      </c>
      <c r="T379" s="1174">
        <v>1495.4373559882501</v>
      </c>
      <c r="U379" s="1120">
        <v>425.11055481818187</v>
      </c>
      <c r="V379" s="1120">
        <v>822.51</v>
      </c>
      <c r="W379" s="1120">
        <v>1720.8214355454547</v>
      </c>
      <c r="X379" s="1120">
        <v>3329.47</v>
      </c>
      <c r="Y379" s="1119"/>
      <c r="Z379" s="1119"/>
      <c r="AA379" s="1119"/>
      <c r="AB379" s="1119"/>
      <c r="AC379" s="1178">
        <v>4.1230000000000002</v>
      </c>
      <c r="AD379" s="1178">
        <v>8.0500000000000007</v>
      </c>
      <c r="AE379" s="1178">
        <v>15983.4</v>
      </c>
      <c r="AF379" s="1178">
        <v>30924.911614162836</v>
      </c>
      <c r="AG379" s="1178">
        <v>429.61399999999998</v>
      </c>
      <c r="AH379" s="1178">
        <v>831.22333034316557</v>
      </c>
      <c r="AI379" s="1178">
        <v>328.90899999999999</v>
      </c>
      <c r="AJ379" s="1178">
        <v>636.37785165250727</v>
      </c>
      <c r="AK379" s="919">
        <v>18.940000000000001</v>
      </c>
      <c r="AL379" s="919">
        <v>36.645383708863207</v>
      </c>
      <c r="AM379" s="919">
        <v>19.920000000000002</v>
      </c>
      <c r="AN379" s="919">
        <v>38.541501767716738</v>
      </c>
      <c r="AO379" s="919"/>
      <c r="AP379" s="919"/>
      <c r="AS379" s="1167"/>
      <c r="AT379" s="1167"/>
      <c r="AU379" s="1168"/>
      <c r="AV379" s="1168"/>
      <c r="AW379" s="1169"/>
      <c r="AX379" s="1169"/>
      <c r="AY379" s="1169"/>
      <c r="AZ379" s="1169"/>
      <c r="BA379" s="1858" t="s">
        <v>1</v>
      </c>
      <c r="BB379" s="1859">
        <v>2008</v>
      </c>
      <c r="BC379" s="1858" t="s">
        <v>241</v>
      </c>
      <c r="BD379" s="1858">
        <v>7</v>
      </c>
      <c r="BE379" s="1860">
        <v>207399000</v>
      </c>
      <c r="BF379" s="1801">
        <v>1.4535230267120836E-2</v>
      </c>
      <c r="BG379" s="1799"/>
      <c r="BH379" s="1799" t="s">
        <v>280</v>
      </c>
      <c r="BI379" s="1799" t="s">
        <v>313</v>
      </c>
      <c r="BJ379" s="1799" t="s">
        <v>32</v>
      </c>
      <c r="BK379" s="1799"/>
      <c r="BL379" s="1800">
        <v>139649770</v>
      </c>
      <c r="BM379" s="1801">
        <v>0.17899999999999999</v>
      </c>
      <c r="BN379" s="1799">
        <v>2008</v>
      </c>
      <c r="BO379" s="1684"/>
      <c r="BP379" s="1696"/>
      <c r="BQ379" s="1169"/>
      <c r="BR379" s="1169"/>
      <c r="BS379" s="1169"/>
      <c r="BT379" s="1169"/>
      <c r="BU379" s="1169"/>
      <c r="BV379" s="1169"/>
      <c r="BW379" s="1169"/>
      <c r="BX379" s="1169"/>
      <c r="BY379" s="1169"/>
      <c r="BZ379" s="1169"/>
      <c r="CA379" s="1169"/>
      <c r="CB379" s="1169"/>
      <c r="CC379" s="1169"/>
      <c r="CD379" s="1169"/>
      <c r="CE379" s="1169"/>
      <c r="CF379" s="1169"/>
      <c r="CG379" s="1169"/>
      <c r="CH379" s="1169"/>
      <c r="CI379" s="1169"/>
      <c r="CJ379" s="1169"/>
      <c r="CK379" s="1169"/>
      <c r="CL379" s="1169"/>
      <c r="CM379" s="1169"/>
      <c r="CN379" s="1169"/>
      <c r="CO379" s="1169"/>
      <c r="CP379" s="1169"/>
      <c r="CQ379" s="1169"/>
      <c r="CR379" s="1169"/>
      <c r="CS379" s="1169"/>
      <c r="CT379" s="1169"/>
      <c r="CU379" s="1169"/>
      <c r="CV379" s="1169"/>
      <c r="CW379" s="1169"/>
      <c r="CX379" s="1169"/>
      <c r="CY379" s="1169"/>
      <c r="CZ379" s="1169"/>
      <c r="DA379" s="1168"/>
      <c r="DB379" s="1168"/>
      <c r="DC379" s="1168"/>
      <c r="DD379" s="1168"/>
      <c r="DE379" s="1168"/>
      <c r="DF379" s="1168"/>
      <c r="DG379" s="1168"/>
      <c r="DH379" s="1168"/>
      <c r="DI379" s="1168"/>
      <c r="DJ379" s="1168"/>
      <c r="DK379" s="1168"/>
      <c r="DL379" s="1168"/>
      <c r="DM379" s="1168"/>
      <c r="DN379" s="1168"/>
      <c r="DO379" s="1168"/>
      <c r="DP379" s="1168"/>
      <c r="DQ379" s="1168"/>
      <c r="DR379" s="1168"/>
      <c r="DS379" s="1168"/>
      <c r="DT379" s="1168"/>
      <c r="DU379" s="1168"/>
      <c r="DV379" s="1168"/>
      <c r="DW379" s="1168"/>
      <c r="DX379" s="1168"/>
      <c r="DY379" s="1168"/>
      <c r="DZ379" s="1168"/>
      <c r="EA379" s="1168"/>
      <c r="EB379" s="1168"/>
      <c r="EC379" s="1168"/>
      <c r="ED379" s="1168"/>
      <c r="EE379" s="1168"/>
      <c r="EF379" s="1168"/>
      <c r="EG379" s="1168"/>
      <c r="EH379" s="1168"/>
      <c r="EI379" s="1170"/>
      <c r="EJ379" s="1170"/>
      <c r="EK379" s="1170"/>
      <c r="EL379" s="1170"/>
      <c r="EM379" s="1170"/>
      <c r="EN379" s="1170"/>
      <c r="EO379" s="1170"/>
      <c r="EP379" s="1170"/>
      <c r="EQ379" s="1170"/>
      <c r="ER379" s="1170"/>
      <c r="ES379" s="1171"/>
      <c r="ET379" s="1171"/>
      <c r="EU379" s="1171"/>
      <c r="EV379" s="1171"/>
      <c r="EW379" s="1171"/>
      <c r="EX379" s="1171"/>
      <c r="EY379" s="1171"/>
      <c r="EZ379" s="1171"/>
      <c r="FA379" s="1171"/>
      <c r="FB379" s="1171"/>
      <c r="FC379" s="1171"/>
      <c r="FD379" s="1171"/>
      <c r="FE379" s="1171"/>
      <c r="FF379" s="1171"/>
      <c r="FG379" s="1171"/>
      <c r="FH379" s="1171"/>
      <c r="FI379" s="1171"/>
      <c r="FJ379" s="1171"/>
      <c r="FK379" s="1171"/>
      <c r="FL379" s="1171"/>
      <c r="FM379" s="1171"/>
      <c r="FN379" s="1171"/>
      <c r="FO379" s="1171"/>
      <c r="FP379" s="1171"/>
    </row>
    <row r="380" spans="1:172" s="607" customFormat="1">
      <c r="A380" s="607">
        <f t="shared" si="10"/>
        <v>2001</v>
      </c>
      <c r="B380" s="607">
        <f t="shared" si="11"/>
        <v>4</v>
      </c>
      <c r="C380" s="666">
        <v>37226</v>
      </c>
      <c r="D380" s="957">
        <v>0.51462105263157887</v>
      </c>
      <c r="E380" s="920">
        <v>161.42633178947366</v>
      </c>
      <c r="F380" s="920">
        <v>313.68</v>
      </c>
      <c r="G380" s="920"/>
      <c r="H380" s="920"/>
      <c r="I380" s="954">
        <v>275.84699999999998</v>
      </c>
      <c r="J380" s="954">
        <v>537.72</v>
      </c>
      <c r="K380" s="954"/>
      <c r="L380" s="920"/>
      <c r="M380" s="917">
        <v>5267.94</v>
      </c>
      <c r="N380" s="917">
        <v>10236.541962404632</v>
      </c>
      <c r="O380" s="1175">
        <v>1471.74</v>
      </c>
      <c r="P380" s="1175">
        <v>2859.8519094274789</v>
      </c>
      <c r="Q380" s="1175">
        <v>483.26</v>
      </c>
      <c r="R380" s="1175">
        <v>939.05991122747457</v>
      </c>
      <c r="S380" s="1175">
        <v>754.68</v>
      </c>
      <c r="T380" s="1175">
        <v>1466.4771216429056</v>
      </c>
      <c r="U380" s="920">
        <v>442.30650231578943</v>
      </c>
      <c r="V380" s="920">
        <v>859.48</v>
      </c>
      <c r="W380" s="920">
        <v>1659.4007304210525</v>
      </c>
      <c r="X380" s="920">
        <v>3224.51</v>
      </c>
      <c r="Y380" s="920"/>
      <c r="Z380" s="920"/>
      <c r="AA380" s="920"/>
      <c r="AB380" s="920"/>
      <c r="AC380" s="920">
        <v>4.3339999999999996</v>
      </c>
      <c r="AD380" s="920">
        <v>8.52</v>
      </c>
      <c r="AE380" s="920">
        <v>16231.4</v>
      </c>
      <c r="AF380" s="920">
        <v>31540.489680705276</v>
      </c>
      <c r="AG380" s="920">
        <v>460.60300000000001</v>
      </c>
      <c r="AH380" s="920">
        <v>895.0333408333164</v>
      </c>
      <c r="AI380" s="920">
        <v>398.89699999999999</v>
      </c>
      <c r="AJ380" s="920">
        <v>775.12763607355453</v>
      </c>
      <c r="AK380" s="920">
        <v>18.600000000000001</v>
      </c>
      <c r="AL380" s="920">
        <v>36.143099674773474</v>
      </c>
      <c r="AM380" s="920">
        <v>19.59</v>
      </c>
      <c r="AN380" s="920">
        <v>38.066845302624316</v>
      </c>
      <c r="AO380" s="920"/>
      <c r="AP380" s="920"/>
      <c r="AS380" s="1167"/>
      <c r="AT380" s="1167"/>
      <c r="AU380" s="1168"/>
      <c r="AV380" s="1168"/>
      <c r="AW380" s="1169"/>
      <c r="AX380" s="1169"/>
      <c r="AY380" s="1169"/>
      <c r="AZ380" s="1169"/>
      <c r="BA380" s="1858" t="s">
        <v>1</v>
      </c>
      <c r="BB380" s="1859">
        <v>2008</v>
      </c>
      <c r="BC380" s="1858" t="s">
        <v>581</v>
      </c>
      <c r="BD380" s="1858">
        <v>8</v>
      </c>
      <c r="BE380" s="1860">
        <v>205301000</v>
      </c>
      <c r="BF380" s="1801">
        <v>1.438819526164627E-2</v>
      </c>
      <c r="BG380" s="1799"/>
      <c r="BH380" s="1799" t="s">
        <v>280</v>
      </c>
      <c r="BI380" s="1799" t="s">
        <v>313</v>
      </c>
      <c r="BJ380" s="1799" t="s">
        <v>70</v>
      </c>
      <c r="BK380" s="1799"/>
      <c r="BL380" s="1800">
        <v>780550154</v>
      </c>
      <c r="BM380" s="1801">
        <v>1</v>
      </c>
      <c r="BN380" s="1799">
        <v>2008</v>
      </c>
      <c r="BO380" s="1684"/>
      <c r="BP380" s="1696"/>
      <c r="BQ380" s="1169"/>
      <c r="BR380" s="1169"/>
      <c r="BS380" s="1169"/>
      <c r="BT380" s="1169"/>
      <c r="BU380" s="1169"/>
      <c r="BV380" s="1169"/>
      <c r="BW380" s="1169"/>
      <c r="BX380" s="1169"/>
      <c r="BY380" s="1169"/>
      <c r="BZ380" s="1169"/>
      <c r="CA380" s="1169"/>
      <c r="CB380" s="1169"/>
      <c r="CC380" s="1169"/>
      <c r="CD380" s="1169"/>
      <c r="CE380" s="1169"/>
      <c r="CF380" s="1169"/>
      <c r="CG380" s="1169"/>
      <c r="CH380" s="1169"/>
      <c r="CI380" s="1169"/>
      <c r="CJ380" s="1169"/>
      <c r="CK380" s="1169"/>
      <c r="CL380" s="1169"/>
      <c r="CM380" s="1169"/>
      <c r="CN380" s="1169"/>
      <c r="CO380" s="1169"/>
      <c r="CP380" s="1169"/>
      <c r="CQ380" s="1169"/>
      <c r="CR380" s="1169"/>
      <c r="CS380" s="1169"/>
      <c r="CT380" s="1169"/>
      <c r="CU380" s="1169"/>
      <c r="CV380" s="1169"/>
      <c r="CW380" s="1169"/>
      <c r="CX380" s="1169"/>
      <c r="CY380" s="1169"/>
      <c r="CZ380" s="1169"/>
      <c r="DA380" s="1168"/>
      <c r="DB380" s="1168"/>
      <c r="DC380" s="1168"/>
      <c r="DD380" s="1168"/>
      <c r="DE380" s="1168"/>
      <c r="DF380" s="1168"/>
      <c r="DG380" s="1168"/>
      <c r="DH380" s="1168"/>
      <c r="DI380" s="1168"/>
      <c r="DJ380" s="1168"/>
      <c r="DK380" s="1168"/>
      <c r="DL380" s="1168"/>
      <c r="DM380" s="1168"/>
      <c r="DN380" s="1168"/>
      <c r="DO380" s="1168"/>
      <c r="DP380" s="1168"/>
      <c r="DQ380" s="1168"/>
      <c r="DR380" s="1168"/>
      <c r="DS380" s="1168"/>
      <c r="DT380" s="1168"/>
      <c r="DU380" s="1168"/>
      <c r="DV380" s="1168"/>
      <c r="DW380" s="1168"/>
      <c r="DX380" s="1168"/>
      <c r="DY380" s="1168"/>
      <c r="DZ380" s="1168"/>
      <c r="EA380" s="1168"/>
      <c r="EB380" s="1168"/>
      <c r="EC380" s="1168"/>
      <c r="ED380" s="1168"/>
      <c r="EE380" s="1168"/>
      <c r="EF380" s="1168"/>
      <c r="EG380" s="1168"/>
      <c r="EH380" s="1168"/>
      <c r="EI380" s="1170"/>
      <c r="EJ380" s="1170"/>
      <c r="EK380" s="1170"/>
      <c r="EL380" s="1170"/>
      <c r="EM380" s="1170"/>
      <c r="EN380" s="1170"/>
      <c r="EO380" s="1170"/>
      <c r="EP380" s="1170"/>
      <c r="EQ380" s="1170"/>
      <c r="ER380" s="1170"/>
      <c r="ES380" s="1171"/>
      <c r="ET380" s="1171"/>
      <c r="EU380" s="1171"/>
      <c r="EV380" s="1171"/>
      <c r="EW380" s="1171"/>
      <c r="EX380" s="1171"/>
      <c r="EY380" s="1171"/>
      <c r="EZ380" s="1171"/>
      <c r="FA380" s="1171"/>
      <c r="FB380" s="1171"/>
      <c r="FC380" s="1171"/>
      <c r="FD380" s="1171"/>
      <c r="FE380" s="1171"/>
      <c r="FF380" s="1171"/>
      <c r="FG380" s="1171"/>
      <c r="FH380" s="1171"/>
      <c r="FI380" s="1171"/>
      <c r="FJ380" s="1171"/>
      <c r="FK380" s="1171"/>
      <c r="FL380" s="1171"/>
      <c r="FM380" s="1171"/>
      <c r="FN380" s="1171"/>
      <c r="FO380" s="1171"/>
      <c r="FP380" s="1171"/>
    </row>
    <row r="381" spans="1:172" s="607" customFormat="1">
      <c r="A381" s="607">
        <f t="shared" si="10"/>
        <v>2002</v>
      </c>
      <c r="B381" s="607">
        <f t="shared" si="11"/>
        <v>1</v>
      </c>
      <c r="C381" s="666">
        <v>37257</v>
      </c>
      <c r="D381" s="1709">
        <v>0.51686666666666659</v>
      </c>
      <c r="E381" s="1117">
        <v>158.68840399999996</v>
      </c>
      <c r="F381" s="1117">
        <v>307.02</v>
      </c>
      <c r="G381" s="1117"/>
      <c r="H381" s="1117"/>
      <c r="I381" s="959">
        <v>281.51100000000002</v>
      </c>
      <c r="J381" s="959">
        <v>546.54</v>
      </c>
      <c r="K381" s="960"/>
      <c r="L381" s="1121"/>
      <c r="M381" s="916">
        <v>6047.27</v>
      </c>
      <c r="N381" s="916">
        <v>11699.864568554111</v>
      </c>
      <c r="O381" s="1174">
        <v>1503.95</v>
      </c>
      <c r="P381" s="1174">
        <v>2909.7446149877474</v>
      </c>
      <c r="Q381" s="1174">
        <v>513.07000000000005</v>
      </c>
      <c r="R381" s="1174">
        <v>992.65445633948173</v>
      </c>
      <c r="S381" s="1174">
        <v>793.23</v>
      </c>
      <c r="T381" s="1174">
        <v>1534.689797497743</v>
      </c>
      <c r="U381" s="1120">
        <v>456.57416999999992</v>
      </c>
      <c r="V381" s="1120">
        <v>883.35</v>
      </c>
      <c r="W381" s="1120">
        <v>1651.2132653333331</v>
      </c>
      <c r="X381" s="1120">
        <v>3194.66</v>
      </c>
      <c r="Y381" s="1119"/>
      <c r="Z381" s="1119"/>
      <c r="AA381" s="1119"/>
      <c r="AB381" s="1119"/>
      <c r="AC381" s="1178">
        <v>4.5140000000000002</v>
      </c>
      <c r="AD381" s="1178">
        <v>8.81</v>
      </c>
      <c r="AE381" s="1178">
        <v>16534.5</v>
      </c>
      <c r="AF381" s="1178">
        <v>31989.874887140468</v>
      </c>
      <c r="AG381" s="1178">
        <v>471.97699999999998</v>
      </c>
      <c r="AH381" s="1178">
        <v>913.15039339610485</v>
      </c>
      <c r="AI381" s="1178">
        <v>409.59100000000001</v>
      </c>
      <c r="AJ381" s="1178">
        <v>792.45001934734955</v>
      </c>
      <c r="AK381" s="919">
        <v>19.48</v>
      </c>
      <c r="AL381" s="919">
        <v>37.68863665677803</v>
      </c>
      <c r="AM381" s="919">
        <v>20.2</v>
      </c>
      <c r="AN381" s="919">
        <v>39.081645814523412</v>
      </c>
      <c r="AO381" s="919"/>
      <c r="AP381" s="919"/>
      <c r="AS381" s="1167"/>
      <c r="AT381" s="1167"/>
      <c r="AU381" s="1168"/>
      <c r="AV381" s="1168"/>
      <c r="AW381" s="1169"/>
      <c r="AX381" s="1169"/>
      <c r="AY381" s="1169"/>
      <c r="AZ381" s="1169"/>
      <c r="BA381" s="1858" t="s">
        <v>1</v>
      </c>
      <c r="BB381" s="1859">
        <v>2008</v>
      </c>
      <c r="BC381" s="1858" t="s">
        <v>592</v>
      </c>
      <c r="BD381" s="1858">
        <v>9</v>
      </c>
      <c r="BE381" s="1860">
        <v>65019000</v>
      </c>
      <c r="BF381" s="1801">
        <v>4.5567535848192592E-3</v>
      </c>
      <c r="BG381" s="1799"/>
      <c r="BH381" s="1799" t="s">
        <v>280</v>
      </c>
      <c r="BI381" s="1799" t="s">
        <v>312</v>
      </c>
      <c r="BJ381" s="1799" t="s">
        <v>431</v>
      </c>
      <c r="BK381" s="1799">
        <v>1</v>
      </c>
      <c r="BL381" s="1800">
        <v>140054952.82999998</v>
      </c>
      <c r="BM381" s="1801">
        <v>0.45121652867565121</v>
      </c>
      <c r="BN381" s="1799">
        <v>2007</v>
      </c>
      <c r="BO381" s="1684"/>
      <c r="BP381" s="1696"/>
      <c r="BQ381" s="1169"/>
      <c r="BR381" s="1169"/>
      <c r="BS381" s="1169"/>
      <c r="BT381" s="1169"/>
      <c r="BU381" s="1169"/>
      <c r="BV381" s="1169"/>
      <c r="BW381" s="1169"/>
      <c r="BX381" s="1169"/>
      <c r="BY381" s="1169"/>
      <c r="BZ381" s="1169"/>
      <c r="CA381" s="1169"/>
      <c r="CB381" s="1169"/>
      <c r="CC381" s="1169"/>
      <c r="CD381" s="1169"/>
      <c r="CE381" s="1169"/>
      <c r="CF381" s="1169"/>
      <c r="CG381" s="1169"/>
      <c r="CH381" s="1169"/>
      <c r="CI381" s="1169"/>
      <c r="CJ381" s="1169"/>
      <c r="CK381" s="1169"/>
      <c r="CL381" s="1169"/>
      <c r="CM381" s="1169"/>
      <c r="CN381" s="1169"/>
      <c r="CO381" s="1169"/>
      <c r="CP381" s="1169"/>
      <c r="CQ381" s="1169"/>
      <c r="CR381" s="1169"/>
      <c r="CS381" s="1169"/>
      <c r="CT381" s="1169"/>
      <c r="CU381" s="1169"/>
      <c r="CV381" s="1169"/>
      <c r="CW381" s="1169"/>
      <c r="CX381" s="1169"/>
      <c r="CY381" s="1169"/>
      <c r="CZ381" s="1169"/>
      <c r="DA381" s="1168"/>
      <c r="DB381" s="1168"/>
      <c r="DC381" s="1168"/>
      <c r="DD381" s="1168"/>
      <c r="DE381" s="1168"/>
      <c r="DF381" s="1168"/>
      <c r="DG381" s="1168"/>
      <c r="DH381" s="1168"/>
      <c r="DI381" s="1168"/>
      <c r="DJ381" s="1168"/>
      <c r="DK381" s="1168"/>
      <c r="DL381" s="1168"/>
      <c r="DM381" s="1168"/>
      <c r="DN381" s="1168"/>
      <c r="DO381" s="1168"/>
      <c r="DP381" s="1168"/>
      <c r="DQ381" s="1168"/>
      <c r="DR381" s="1168"/>
      <c r="DS381" s="1168"/>
      <c r="DT381" s="1168"/>
      <c r="DU381" s="1168"/>
      <c r="DV381" s="1168"/>
      <c r="DW381" s="1168"/>
      <c r="DX381" s="1168"/>
      <c r="DY381" s="1168"/>
      <c r="DZ381" s="1168"/>
      <c r="EA381" s="1168"/>
      <c r="EB381" s="1168"/>
      <c r="EC381" s="1168"/>
      <c r="ED381" s="1168"/>
      <c r="EE381" s="1168"/>
      <c r="EF381" s="1168"/>
      <c r="EG381" s="1168"/>
      <c r="EH381" s="1168"/>
      <c r="EI381" s="1170"/>
      <c r="EJ381" s="1170"/>
      <c r="EK381" s="1170"/>
      <c r="EL381" s="1170"/>
      <c r="EM381" s="1170"/>
      <c r="EN381" s="1170"/>
      <c r="EO381" s="1170"/>
      <c r="EP381" s="1170"/>
      <c r="EQ381" s="1170"/>
      <c r="ER381" s="1170"/>
      <c r="ES381" s="1171"/>
      <c r="ET381" s="1171"/>
      <c r="EU381" s="1171"/>
      <c r="EV381" s="1171"/>
      <c r="EW381" s="1171"/>
      <c r="EX381" s="1171"/>
      <c r="EY381" s="1171"/>
      <c r="EZ381" s="1171"/>
      <c r="FA381" s="1171"/>
      <c r="FB381" s="1171"/>
      <c r="FC381" s="1171"/>
      <c r="FD381" s="1171"/>
      <c r="FE381" s="1171"/>
      <c r="FF381" s="1171"/>
      <c r="FG381" s="1171"/>
      <c r="FH381" s="1171"/>
      <c r="FI381" s="1171"/>
      <c r="FJ381" s="1171"/>
      <c r="FK381" s="1171"/>
      <c r="FL381" s="1171"/>
      <c r="FM381" s="1171"/>
      <c r="FN381" s="1171"/>
      <c r="FO381" s="1171"/>
      <c r="FP381" s="1171"/>
    </row>
    <row r="382" spans="1:172" s="607" customFormat="1">
      <c r="A382" s="607">
        <f t="shared" si="10"/>
        <v>2002</v>
      </c>
      <c r="B382" s="607">
        <f t="shared" si="11"/>
        <v>1</v>
      </c>
      <c r="C382" s="666">
        <v>37288</v>
      </c>
      <c r="D382" s="957">
        <v>0.51304499999999997</v>
      </c>
      <c r="E382" s="920">
        <v>161.6707404</v>
      </c>
      <c r="F382" s="920">
        <v>315.12</v>
      </c>
      <c r="G382" s="920"/>
      <c r="H382" s="920"/>
      <c r="I382" s="954">
        <v>295.495</v>
      </c>
      <c r="J382" s="954">
        <v>577.78</v>
      </c>
      <c r="K382" s="954"/>
      <c r="L382" s="920"/>
      <c r="M382" s="917">
        <v>6032.5</v>
      </c>
      <c r="N382" s="917">
        <v>11758.227835764894</v>
      </c>
      <c r="O382" s="1175">
        <v>1561.9</v>
      </c>
      <c r="P382" s="1175">
        <v>3044.3723260142874</v>
      </c>
      <c r="Q382" s="1175">
        <v>479.95</v>
      </c>
      <c r="R382" s="1175">
        <v>935.49298794452727</v>
      </c>
      <c r="S382" s="1175">
        <v>771.25</v>
      </c>
      <c r="T382" s="1175">
        <v>1503.2794394253915</v>
      </c>
      <c r="U382" s="920">
        <v>444.80488455</v>
      </c>
      <c r="V382" s="920">
        <v>866.99</v>
      </c>
      <c r="W382" s="920">
        <v>1582.78999905</v>
      </c>
      <c r="X382" s="920">
        <v>3085.09</v>
      </c>
      <c r="Y382" s="920"/>
      <c r="Z382" s="920"/>
      <c r="AA382" s="920"/>
      <c r="AB382" s="920"/>
      <c r="AC382" s="920">
        <v>4.4219999999999997</v>
      </c>
      <c r="AD382" s="920">
        <v>8.68</v>
      </c>
      <c r="AE382" s="920">
        <v>15804.2</v>
      </c>
      <c r="AF382" s="920">
        <v>30804.70524028107</v>
      </c>
      <c r="AG382" s="920">
        <v>471.15</v>
      </c>
      <c r="AH382" s="920">
        <v>918.34049644768004</v>
      </c>
      <c r="AI382" s="920">
        <v>374.15</v>
      </c>
      <c r="AJ382" s="920">
        <v>729.27326063015914</v>
      </c>
      <c r="AK382" s="920">
        <v>20.29</v>
      </c>
      <c r="AL382" s="920">
        <v>39.548187780798955</v>
      </c>
      <c r="AM382" s="920">
        <v>20.29</v>
      </c>
      <c r="AN382" s="920">
        <v>39.548187780798955</v>
      </c>
      <c r="AO382" s="920"/>
      <c r="AP382" s="920"/>
      <c r="AS382" s="1167"/>
      <c r="AT382" s="1167"/>
      <c r="AU382" s="1168"/>
      <c r="AV382" s="1168"/>
      <c r="AW382" s="1169"/>
      <c r="AX382" s="1169"/>
      <c r="AY382" s="1169"/>
      <c r="AZ382" s="1169"/>
      <c r="BA382" s="1858" t="s">
        <v>1</v>
      </c>
      <c r="BB382" s="1859">
        <v>2008</v>
      </c>
      <c r="BC382" s="1858" t="s">
        <v>338</v>
      </c>
      <c r="BD382" s="1858">
        <v>10</v>
      </c>
      <c r="BE382" s="1860">
        <v>36565000</v>
      </c>
      <c r="BF382" s="1801">
        <v>2.5626000834973813E-3</v>
      </c>
      <c r="BG382" s="1799"/>
      <c r="BH382" s="1799" t="s">
        <v>280</v>
      </c>
      <c r="BI382" s="1799" t="s">
        <v>312</v>
      </c>
      <c r="BJ382" s="1799" t="s">
        <v>15</v>
      </c>
      <c r="BK382" s="1799">
        <v>2</v>
      </c>
      <c r="BL382" s="1800">
        <v>115981906.39999998</v>
      </c>
      <c r="BM382" s="1801">
        <v>0.37366013937768067</v>
      </c>
      <c r="BN382" s="1799">
        <v>2007</v>
      </c>
      <c r="BO382" s="1684"/>
      <c r="BP382" s="1696"/>
      <c r="BQ382" s="1169"/>
      <c r="BR382" s="1169"/>
      <c r="BS382" s="1169"/>
      <c r="BT382" s="1169"/>
      <c r="BU382" s="1169"/>
      <c r="BV382" s="1169"/>
      <c r="BW382" s="1169"/>
      <c r="BX382" s="1169"/>
      <c r="BY382" s="1169"/>
      <c r="BZ382" s="1169"/>
      <c r="CA382" s="1169"/>
      <c r="CB382" s="1169"/>
      <c r="CC382" s="1169"/>
      <c r="CD382" s="1169"/>
      <c r="CE382" s="1169"/>
      <c r="CF382" s="1169"/>
      <c r="CG382" s="1169"/>
      <c r="CH382" s="1169"/>
      <c r="CI382" s="1169"/>
      <c r="CJ382" s="1169"/>
      <c r="CK382" s="1169"/>
      <c r="CL382" s="1169"/>
      <c r="CM382" s="1169"/>
      <c r="CN382" s="1169"/>
      <c r="CO382" s="1169"/>
      <c r="CP382" s="1169"/>
      <c r="CQ382" s="1169"/>
      <c r="CR382" s="1169"/>
      <c r="CS382" s="1169"/>
      <c r="CT382" s="1169"/>
      <c r="CU382" s="1169"/>
      <c r="CV382" s="1169"/>
      <c r="CW382" s="1169"/>
      <c r="CX382" s="1169"/>
      <c r="CY382" s="1169"/>
      <c r="CZ382" s="1169"/>
      <c r="DA382" s="1168"/>
      <c r="DB382" s="1168"/>
      <c r="DC382" s="1168"/>
      <c r="DD382" s="1168"/>
      <c r="DE382" s="1168"/>
      <c r="DF382" s="1168"/>
      <c r="DG382" s="1168"/>
      <c r="DH382" s="1168"/>
      <c r="DI382" s="1168"/>
      <c r="DJ382" s="1168"/>
      <c r="DK382" s="1168"/>
      <c r="DL382" s="1168"/>
      <c r="DM382" s="1168"/>
      <c r="DN382" s="1168"/>
      <c r="DO382" s="1168"/>
      <c r="DP382" s="1168"/>
      <c r="DQ382" s="1168"/>
      <c r="DR382" s="1168"/>
      <c r="DS382" s="1168"/>
      <c r="DT382" s="1168"/>
      <c r="DU382" s="1168"/>
      <c r="DV382" s="1168"/>
      <c r="DW382" s="1168"/>
      <c r="DX382" s="1168"/>
      <c r="DY382" s="1168"/>
      <c r="DZ382" s="1168"/>
      <c r="EA382" s="1168"/>
      <c r="EB382" s="1168"/>
      <c r="EC382" s="1168"/>
      <c r="ED382" s="1168"/>
      <c r="EE382" s="1168"/>
      <c r="EF382" s="1168"/>
      <c r="EG382" s="1168"/>
      <c r="EH382" s="1168"/>
      <c r="EI382" s="1170"/>
      <c r="EJ382" s="1170"/>
      <c r="EK382" s="1170"/>
      <c r="EL382" s="1170"/>
      <c r="EM382" s="1170"/>
      <c r="EN382" s="1170"/>
      <c r="EO382" s="1170"/>
      <c r="EP382" s="1170"/>
      <c r="EQ382" s="1170"/>
      <c r="ER382" s="1170"/>
      <c r="ES382" s="1171"/>
      <c r="ET382" s="1171"/>
      <c r="EU382" s="1171"/>
      <c r="EV382" s="1171"/>
      <c r="EW382" s="1171"/>
      <c r="EX382" s="1171"/>
      <c r="EY382" s="1171"/>
      <c r="EZ382" s="1171"/>
      <c r="FA382" s="1171"/>
      <c r="FB382" s="1171"/>
      <c r="FC382" s="1171"/>
      <c r="FD382" s="1171"/>
      <c r="FE382" s="1171"/>
      <c r="FF382" s="1171"/>
      <c r="FG382" s="1171"/>
      <c r="FH382" s="1171"/>
      <c r="FI382" s="1171"/>
      <c r="FJ382" s="1171"/>
      <c r="FK382" s="1171"/>
      <c r="FL382" s="1171"/>
      <c r="FM382" s="1171"/>
      <c r="FN382" s="1171"/>
      <c r="FO382" s="1171"/>
      <c r="FP382" s="1171"/>
    </row>
    <row r="383" spans="1:172" s="607" customFormat="1">
      <c r="A383" s="607">
        <f t="shared" si="10"/>
        <v>2002</v>
      </c>
      <c r="B383" s="607">
        <f t="shared" si="11"/>
        <v>1</v>
      </c>
      <c r="C383" s="666">
        <v>37316</v>
      </c>
      <c r="D383" s="1709">
        <v>0.524335</v>
      </c>
      <c r="E383" s="1117">
        <v>158.73193455000001</v>
      </c>
      <c r="F383" s="1117">
        <v>302.73</v>
      </c>
      <c r="G383" s="1117"/>
      <c r="H383" s="1117"/>
      <c r="I383" s="959">
        <v>294.05500000000001</v>
      </c>
      <c r="J383" s="959">
        <v>561.91999999999996</v>
      </c>
      <c r="K383" s="960"/>
      <c r="L383" s="1121"/>
      <c r="M383" s="916">
        <v>6541</v>
      </c>
      <c r="N383" s="916">
        <v>12474.849094567404</v>
      </c>
      <c r="O383" s="1174">
        <v>1604.88</v>
      </c>
      <c r="P383" s="1174">
        <v>3060.791288012435</v>
      </c>
      <c r="Q383" s="1174">
        <v>480.15</v>
      </c>
      <c r="R383" s="1174">
        <v>915.73135495437077</v>
      </c>
      <c r="S383" s="1174">
        <v>819.3</v>
      </c>
      <c r="T383" s="1174">
        <v>1562.5506594066769</v>
      </c>
      <c r="U383" s="1120">
        <v>443.24659224999999</v>
      </c>
      <c r="V383" s="1120">
        <v>845.35</v>
      </c>
      <c r="W383" s="1120">
        <v>1575.4693745</v>
      </c>
      <c r="X383" s="1120">
        <v>3004.7</v>
      </c>
      <c r="Y383" s="1119"/>
      <c r="Z383" s="1119"/>
      <c r="AA383" s="1119"/>
      <c r="AB383" s="1119"/>
      <c r="AC383" s="1178">
        <v>4.532</v>
      </c>
      <c r="AD383" s="1178">
        <v>8.6999999999999993</v>
      </c>
      <c r="AE383" s="1178">
        <v>15189.68</v>
      </c>
      <c r="AF383" s="1178">
        <v>28969.418406171626</v>
      </c>
      <c r="AG383" s="1178">
        <v>511.95</v>
      </c>
      <c r="AH383" s="1178">
        <v>976.37960464207038</v>
      </c>
      <c r="AI383" s="1178">
        <v>374.7</v>
      </c>
      <c r="AJ383" s="1178">
        <v>714.61947037676293</v>
      </c>
      <c r="AK383" s="919">
        <v>23.69</v>
      </c>
      <c r="AL383" s="919">
        <v>45.181038839673114</v>
      </c>
      <c r="AM383" s="919">
        <v>23.6</v>
      </c>
      <c r="AN383" s="919">
        <v>45.009392849990945</v>
      </c>
      <c r="AO383" s="919"/>
      <c r="AP383" s="919"/>
      <c r="AS383" s="1167"/>
      <c r="AT383" s="1167"/>
      <c r="AU383" s="1168"/>
      <c r="AV383" s="1168"/>
      <c r="AW383" s="1169"/>
      <c r="AX383" s="1169"/>
      <c r="AY383" s="1169"/>
      <c r="AZ383" s="1169"/>
      <c r="BA383" s="1858" t="s">
        <v>1</v>
      </c>
      <c r="BB383" s="1859">
        <v>2008</v>
      </c>
      <c r="BC383" s="1858" t="s">
        <v>32</v>
      </c>
      <c r="BD383" s="1858"/>
      <c r="BE383" s="1860">
        <v>118547000</v>
      </c>
      <c r="BF383" s="1801">
        <v>8.308178643466814E-3</v>
      </c>
      <c r="BG383" s="1799"/>
      <c r="BH383" s="1799" t="s">
        <v>280</v>
      </c>
      <c r="BI383" s="1799" t="s">
        <v>312</v>
      </c>
      <c r="BJ383" s="1799" t="s">
        <v>20</v>
      </c>
      <c r="BK383" s="1799">
        <v>3</v>
      </c>
      <c r="BL383" s="1800">
        <v>73841134.730000004</v>
      </c>
      <c r="BM383" s="1801">
        <v>0.23789476782576754</v>
      </c>
      <c r="BN383" s="1799">
        <v>2007</v>
      </c>
      <c r="BO383" s="1684"/>
      <c r="BP383" s="1696"/>
      <c r="BQ383" s="1169"/>
      <c r="BR383" s="1169"/>
      <c r="BS383" s="1169"/>
      <c r="BT383" s="1169"/>
      <c r="BU383" s="1169"/>
      <c r="BV383" s="1169"/>
      <c r="BW383" s="1169"/>
      <c r="BX383" s="1169"/>
      <c r="BY383" s="1169"/>
      <c r="BZ383" s="1169"/>
      <c r="CA383" s="1169"/>
      <c r="CB383" s="1169"/>
      <c r="CC383" s="1169"/>
      <c r="CD383" s="1169"/>
      <c r="CE383" s="1169"/>
      <c r="CF383" s="1169"/>
      <c r="CG383" s="1169"/>
      <c r="CH383" s="1169"/>
      <c r="CI383" s="1169"/>
      <c r="CJ383" s="1169"/>
      <c r="CK383" s="1169"/>
      <c r="CL383" s="1169"/>
      <c r="CM383" s="1169"/>
      <c r="CN383" s="1169"/>
      <c r="CO383" s="1169"/>
      <c r="CP383" s="1169"/>
      <c r="CQ383" s="1169"/>
      <c r="CR383" s="1169"/>
      <c r="CS383" s="1169"/>
      <c r="CT383" s="1169"/>
      <c r="CU383" s="1169"/>
      <c r="CV383" s="1169"/>
      <c r="CW383" s="1169"/>
      <c r="CX383" s="1169"/>
      <c r="CY383" s="1169"/>
      <c r="CZ383" s="1169"/>
      <c r="DA383" s="1168"/>
      <c r="DB383" s="1168"/>
      <c r="DC383" s="1168"/>
      <c r="DD383" s="1168"/>
      <c r="DE383" s="1168"/>
      <c r="DF383" s="1168"/>
      <c r="DG383" s="1168"/>
      <c r="DH383" s="1168"/>
      <c r="DI383" s="1168"/>
      <c r="DJ383" s="1168"/>
      <c r="DK383" s="1168"/>
      <c r="DL383" s="1168"/>
      <c r="DM383" s="1168"/>
      <c r="DN383" s="1168"/>
      <c r="DO383" s="1168"/>
      <c r="DP383" s="1168"/>
      <c r="DQ383" s="1168"/>
      <c r="DR383" s="1168"/>
      <c r="DS383" s="1168"/>
      <c r="DT383" s="1168"/>
      <c r="DU383" s="1168"/>
      <c r="DV383" s="1168"/>
      <c r="DW383" s="1168"/>
      <c r="DX383" s="1168"/>
      <c r="DY383" s="1168"/>
      <c r="DZ383" s="1168"/>
      <c r="EA383" s="1168"/>
      <c r="EB383" s="1168"/>
      <c r="EC383" s="1168"/>
      <c r="ED383" s="1168"/>
      <c r="EE383" s="1168"/>
      <c r="EF383" s="1168"/>
      <c r="EG383" s="1168"/>
      <c r="EH383" s="1168"/>
      <c r="EI383" s="1170"/>
      <c r="EJ383" s="1170"/>
      <c r="EK383" s="1170"/>
      <c r="EL383" s="1170"/>
      <c r="EM383" s="1170"/>
      <c r="EN383" s="1170"/>
      <c r="EO383" s="1170"/>
      <c r="EP383" s="1170"/>
      <c r="EQ383" s="1170"/>
      <c r="ER383" s="1170"/>
      <c r="ES383" s="1171"/>
      <c r="ET383" s="1171"/>
      <c r="EU383" s="1171"/>
      <c r="EV383" s="1171"/>
      <c r="EW383" s="1171"/>
      <c r="EX383" s="1171"/>
      <c r="EY383" s="1171"/>
      <c r="EZ383" s="1171"/>
      <c r="FA383" s="1171"/>
      <c r="FB383" s="1171"/>
      <c r="FC383" s="1171"/>
      <c r="FD383" s="1171"/>
      <c r="FE383" s="1171"/>
      <c r="FF383" s="1171"/>
      <c r="FG383" s="1171"/>
      <c r="FH383" s="1171"/>
      <c r="FI383" s="1171"/>
      <c r="FJ383" s="1171"/>
      <c r="FK383" s="1171"/>
      <c r="FL383" s="1171"/>
      <c r="FM383" s="1171"/>
      <c r="FN383" s="1171"/>
      <c r="FO383" s="1171"/>
      <c r="FP383" s="1171"/>
    </row>
    <row r="384" spans="1:172" s="607" customFormat="1">
      <c r="A384" s="607">
        <f t="shared" si="10"/>
        <v>2002</v>
      </c>
      <c r="B384" s="607">
        <f t="shared" si="11"/>
        <v>2</v>
      </c>
      <c r="C384" s="666">
        <v>37347</v>
      </c>
      <c r="D384" s="957">
        <v>0.53539500000000007</v>
      </c>
      <c r="E384" s="920">
        <v>160.54354470000004</v>
      </c>
      <c r="F384" s="920">
        <v>299.86</v>
      </c>
      <c r="G384" s="920"/>
      <c r="H384" s="920"/>
      <c r="I384" s="954">
        <v>302.68299999999999</v>
      </c>
      <c r="J384" s="954">
        <v>566.61</v>
      </c>
      <c r="K384" s="954"/>
      <c r="L384" s="920"/>
      <c r="M384" s="917">
        <v>6958.3</v>
      </c>
      <c r="N384" s="917">
        <v>12996.57262395054</v>
      </c>
      <c r="O384" s="1175">
        <v>1589.9</v>
      </c>
      <c r="P384" s="1175">
        <v>2969.5832049234677</v>
      </c>
      <c r="Q384" s="1175">
        <v>472.8</v>
      </c>
      <c r="R384" s="1175">
        <v>883.08631944639001</v>
      </c>
      <c r="S384" s="1175">
        <v>808.1</v>
      </c>
      <c r="T384" s="1175">
        <v>1509.3529076663024</v>
      </c>
      <c r="U384" s="920">
        <v>462.67765110000005</v>
      </c>
      <c r="V384" s="920">
        <v>864.18</v>
      </c>
      <c r="W384" s="920">
        <v>1564.1564925000002</v>
      </c>
      <c r="X384" s="920">
        <v>2921.5</v>
      </c>
      <c r="Y384" s="920"/>
      <c r="Z384" s="920"/>
      <c r="AA384" s="920"/>
      <c r="AB384" s="920"/>
      <c r="AC384" s="920">
        <v>4.5709999999999997</v>
      </c>
      <c r="AD384" s="920">
        <v>8.6</v>
      </c>
      <c r="AE384" s="920">
        <v>15776.68</v>
      </c>
      <c r="AF384" s="920">
        <v>29467.365216335598</v>
      </c>
      <c r="AG384" s="920">
        <v>540.40499999999997</v>
      </c>
      <c r="AH384" s="920">
        <v>1009.3575771159609</v>
      </c>
      <c r="AI384" s="920">
        <v>369.524</v>
      </c>
      <c r="AJ384" s="920">
        <v>690.18948626714848</v>
      </c>
      <c r="AK384" s="920">
        <v>25.65</v>
      </c>
      <c r="AL384" s="920">
        <v>47.908553497884732</v>
      </c>
      <c r="AM384" s="920">
        <v>26.09</v>
      </c>
      <c r="AN384" s="920">
        <v>48.730376637809464</v>
      </c>
      <c r="AO384" s="920"/>
      <c r="AP384" s="920"/>
      <c r="AS384" s="1167"/>
      <c r="AT384" s="1167"/>
      <c r="AU384" s="1168"/>
      <c r="AV384" s="1168"/>
      <c r="AW384" s="1169"/>
      <c r="AX384" s="1169"/>
      <c r="AY384" s="1169"/>
      <c r="AZ384" s="1169"/>
      <c r="BA384" s="1858" t="s">
        <v>1</v>
      </c>
      <c r="BB384" s="1859">
        <v>2008</v>
      </c>
      <c r="BC384" s="1858" t="s">
        <v>249</v>
      </c>
      <c r="BD384" s="1858"/>
      <c r="BE384" s="1860">
        <v>14268711000</v>
      </c>
      <c r="BF384" s="1801">
        <v>1</v>
      </c>
      <c r="BG384" s="1799"/>
      <c r="BH384" s="1799" t="s">
        <v>280</v>
      </c>
      <c r="BI384" s="1799" t="s">
        <v>312</v>
      </c>
      <c r="BJ384" s="1799" t="s">
        <v>51</v>
      </c>
      <c r="BK384" s="1799">
        <v>4</v>
      </c>
      <c r="BL384" s="1800">
        <v>71899286.060000002</v>
      </c>
      <c r="BM384" s="1801">
        <v>0.23163869334652823</v>
      </c>
      <c r="BN384" s="1799">
        <v>2007</v>
      </c>
      <c r="BO384" s="1684"/>
      <c r="BP384" s="1696"/>
      <c r="BQ384" s="1169"/>
      <c r="BR384" s="1169"/>
      <c r="BS384" s="1169"/>
      <c r="BT384" s="1169"/>
      <c r="BU384" s="1169"/>
      <c r="BV384" s="1169"/>
      <c r="BW384" s="1169"/>
      <c r="BX384" s="1169"/>
      <c r="BY384" s="1169"/>
      <c r="BZ384" s="1169"/>
      <c r="CA384" s="1169"/>
      <c r="CB384" s="1169"/>
      <c r="CC384" s="1169"/>
      <c r="CD384" s="1169"/>
      <c r="CE384" s="1169"/>
      <c r="CF384" s="1169"/>
      <c r="CG384" s="1169"/>
      <c r="CH384" s="1169"/>
      <c r="CI384" s="1169"/>
      <c r="CJ384" s="1169"/>
      <c r="CK384" s="1169"/>
      <c r="CL384" s="1169"/>
      <c r="CM384" s="1169"/>
      <c r="CN384" s="1169"/>
      <c r="CO384" s="1169"/>
      <c r="CP384" s="1169"/>
      <c r="CQ384" s="1169"/>
      <c r="CR384" s="1169"/>
      <c r="CS384" s="1169"/>
      <c r="CT384" s="1169"/>
      <c r="CU384" s="1169"/>
      <c r="CV384" s="1169"/>
      <c r="CW384" s="1169"/>
      <c r="CX384" s="1169"/>
      <c r="CY384" s="1169"/>
      <c r="CZ384" s="1169"/>
      <c r="DA384" s="1168"/>
      <c r="DB384" s="1168"/>
      <c r="DC384" s="1168"/>
      <c r="DD384" s="1168"/>
      <c r="DE384" s="1168"/>
      <c r="DF384" s="1168"/>
      <c r="DG384" s="1168"/>
      <c r="DH384" s="1168"/>
      <c r="DI384" s="1168"/>
      <c r="DJ384" s="1168"/>
      <c r="DK384" s="1168"/>
      <c r="DL384" s="1168"/>
      <c r="DM384" s="1168"/>
      <c r="DN384" s="1168"/>
      <c r="DO384" s="1168"/>
      <c r="DP384" s="1168"/>
      <c r="DQ384" s="1168"/>
      <c r="DR384" s="1168"/>
      <c r="DS384" s="1168"/>
      <c r="DT384" s="1168"/>
      <c r="DU384" s="1168"/>
      <c r="DV384" s="1168"/>
      <c r="DW384" s="1168"/>
      <c r="DX384" s="1168"/>
      <c r="DY384" s="1168"/>
      <c r="DZ384" s="1168"/>
      <c r="EA384" s="1168"/>
      <c r="EB384" s="1168"/>
      <c r="EC384" s="1168"/>
      <c r="ED384" s="1168"/>
      <c r="EE384" s="1168"/>
      <c r="EF384" s="1168"/>
      <c r="EG384" s="1168"/>
      <c r="EH384" s="1168"/>
      <c r="EI384" s="1170"/>
      <c r="EJ384" s="1170"/>
      <c r="EK384" s="1170"/>
      <c r="EL384" s="1170"/>
      <c r="EM384" s="1170"/>
      <c r="EN384" s="1170"/>
      <c r="EO384" s="1170"/>
      <c r="EP384" s="1170"/>
      <c r="EQ384" s="1170"/>
      <c r="ER384" s="1170"/>
      <c r="ES384" s="1171"/>
      <c r="ET384" s="1171"/>
      <c r="EU384" s="1171"/>
      <c r="EV384" s="1171"/>
      <c r="EW384" s="1171"/>
      <c r="EX384" s="1171"/>
      <c r="EY384" s="1171"/>
      <c r="EZ384" s="1171"/>
      <c r="FA384" s="1171"/>
      <c r="FB384" s="1171"/>
      <c r="FC384" s="1171"/>
      <c r="FD384" s="1171"/>
      <c r="FE384" s="1171"/>
      <c r="FF384" s="1171"/>
      <c r="FG384" s="1171"/>
      <c r="FH384" s="1171"/>
      <c r="FI384" s="1171"/>
      <c r="FJ384" s="1171"/>
      <c r="FK384" s="1171"/>
      <c r="FL384" s="1171"/>
      <c r="FM384" s="1171"/>
      <c r="FN384" s="1171"/>
      <c r="FO384" s="1171"/>
      <c r="FP384" s="1171"/>
    </row>
    <row r="385" spans="1:172" s="607" customFormat="1">
      <c r="A385" s="607">
        <f t="shared" si="10"/>
        <v>2002</v>
      </c>
      <c r="B385" s="607">
        <f t="shared" si="11"/>
        <v>2</v>
      </c>
      <c r="C385" s="666">
        <v>37377</v>
      </c>
      <c r="D385" s="1709">
        <v>0.54973478260869568</v>
      </c>
      <c r="E385" s="1117">
        <v>160.2421917826087</v>
      </c>
      <c r="F385" s="1117">
        <v>291.49</v>
      </c>
      <c r="G385" s="1117"/>
      <c r="H385" s="1117"/>
      <c r="I385" s="959">
        <v>314.31700000000001</v>
      </c>
      <c r="J385" s="959">
        <v>573</v>
      </c>
      <c r="K385" s="960"/>
      <c r="L385" s="1121"/>
      <c r="M385" s="916">
        <v>6964.3</v>
      </c>
      <c r="N385" s="916">
        <v>12668.472544072636</v>
      </c>
      <c r="O385" s="1174">
        <v>1595.7</v>
      </c>
      <c r="P385" s="1174">
        <v>2902.6724349290962</v>
      </c>
      <c r="Q385" s="1174">
        <v>451.9</v>
      </c>
      <c r="R385" s="1174">
        <v>822.03275887977588</v>
      </c>
      <c r="S385" s="1174">
        <v>769.5</v>
      </c>
      <c r="T385" s="1174">
        <v>1399.7658950165692</v>
      </c>
      <c r="U385" s="1120">
        <v>464.16856369565221</v>
      </c>
      <c r="V385" s="1120">
        <v>844.35</v>
      </c>
      <c r="W385" s="1120">
        <v>1600.9211418695654</v>
      </c>
      <c r="X385" s="1120">
        <v>2912.17</v>
      </c>
      <c r="Y385" s="1119"/>
      <c r="Z385" s="1119"/>
      <c r="AA385" s="1119"/>
      <c r="AB385" s="1119"/>
      <c r="AC385" s="1178">
        <v>4.702</v>
      </c>
      <c r="AD385" s="1178">
        <v>8.6199999999999992</v>
      </c>
      <c r="AE385" s="1178">
        <v>18706.04</v>
      </c>
      <c r="AF385" s="1178">
        <v>34027.390283061395</v>
      </c>
      <c r="AG385" s="1178">
        <v>533.84799999999996</v>
      </c>
      <c r="AH385" s="1178">
        <v>971.10100522781727</v>
      </c>
      <c r="AI385" s="1178">
        <v>356.26100000000002</v>
      </c>
      <c r="AJ385" s="1178">
        <v>648.05977586029633</v>
      </c>
      <c r="AK385" s="919">
        <v>25.43</v>
      </c>
      <c r="AL385" s="919">
        <v>46.258670188786688</v>
      </c>
      <c r="AM385" s="919">
        <v>25.98</v>
      </c>
      <c r="AN385" s="919">
        <v>47.259152634867405</v>
      </c>
      <c r="AO385" s="919"/>
      <c r="AP385" s="919"/>
      <c r="AS385" s="1167"/>
      <c r="AT385" s="1167"/>
      <c r="AU385" s="1168"/>
      <c r="AV385" s="1168"/>
      <c r="AW385" s="1169"/>
      <c r="AX385" s="1169"/>
      <c r="AY385" s="1169"/>
      <c r="AZ385" s="1169"/>
      <c r="BA385" s="1861" t="s">
        <v>1</v>
      </c>
      <c r="BB385" s="1862">
        <v>2009</v>
      </c>
      <c r="BC385" s="1861" t="s">
        <v>18</v>
      </c>
      <c r="BD385" s="1861">
        <v>1</v>
      </c>
      <c r="BE385" s="1863">
        <v>6715194000</v>
      </c>
      <c r="BF385" s="1801">
        <v>0.44851326655899543</v>
      </c>
      <c r="BG385" s="1799"/>
      <c r="BH385" s="1799" t="s">
        <v>280</v>
      </c>
      <c r="BI385" s="1799" t="s">
        <v>312</v>
      </c>
      <c r="BJ385" s="1799" t="s">
        <v>252</v>
      </c>
      <c r="BK385" s="1799">
        <v>5</v>
      </c>
      <c r="BL385" s="1800">
        <v>70542693.929999992</v>
      </c>
      <c r="BM385" s="1801">
        <v>0.22726814607662693</v>
      </c>
      <c r="BN385" s="1799">
        <v>2007</v>
      </c>
      <c r="BO385" s="1684"/>
      <c r="BP385" s="1696"/>
      <c r="BQ385" s="1169"/>
      <c r="BR385" s="1169"/>
      <c r="BS385" s="1169"/>
      <c r="BT385" s="1169"/>
      <c r="BU385" s="1169"/>
      <c r="BV385" s="1169"/>
      <c r="BW385" s="1169"/>
      <c r="BX385" s="1169"/>
      <c r="BY385" s="1169"/>
      <c r="BZ385" s="1169"/>
      <c r="CA385" s="1169"/>
      <c r="CB385" s="1169"/>
      <c r="CC385" s="1169"/>
      <c r="CD385" s="1169"/>
      <c r="CE385" s="1169"/>
      <c r="CF385" s="1169"/>
      <c r="CG385" s="1169"/>
      <c r="CH385" s="1169"/>
      <c r="CI385" s="1169"/>
      <c r="CJ385" s="1169"/>
      <c r="CK385" s="1169"/>
      <c r="CL385" s="1169"/>
      <c r="CM385" s="1169"/>
      <c r="CN385" s="1169"/>
      <c r="CO385" s="1169"/>
      <c r="CP385" s="1169"/>
      <c r="CQ385" s="1169"/>
      <c r="CR385" s="1169"/>
      <c r="CS385" s="1169"/>
      <c r="CT385" s="1169"/>
      <c r="CU385" s="1169"/>
      <c r="CV385" s="1169"/>
      <c r="CW385" s="1169"/>
      <c r="CX385" s="1169"/>
      <c r="CY385" s="1169"/>
      <c r="CZ385" s="1169"/>
      <c r="DA385" s="1168"/>
      <c r="DB385" s="1168"/>
      <c r="DC385" s="1168"/>
      <c r="DD385" s="1168"/>
      <c r="DE385" s="1168"/>
      <c r="DF385" s="1168"/>
      <c r="DG385" s="1168"/>
      <c r="DH385" s="1168"/>
      <c r="DI385" s="1168"/>
      <c r="DJ385" s="1168"/>
      <c r="DK385" s="1168"/>
      <c r="DL385" s="1168"/>
      <c r="DM385" s="1168"/>
      <c r="DN385" s="1168"/>
      <c r="DO385" s="1168"/>
      <c r="DP385" s="1168"/>
      <c r="DQ385" s="1168"/>
      <c r="DR385" s="1168"/>
      <c r="DS385" s="1168"/>
      <c r="DT385" s="1168"/>
      <c r="DU385" s="1168"/>
      <c r="DV385" s="1168"/>
      <c r="DW385" s="1168"/>
      <c r="DX385" s="1168"/>
      <c r="DY385" s="1168"/>
      <c r="DZ385" s="1168"/>
      <c r="EA385" s="1168"/>
      <c r="EB385" s="1168"/>
      <c r="EC385" s="1168"/>
      <c r="ED385" s="1168"/>
      <c r="EE385" s="1168"/>
      <c r="EF385" s="1168"/>
      <c r="EG385" s="1168"/>
      <c r="EH385" s="1168"/>
      <c r="EI385" s="1170"/>
      <c r="EJ385" s="1170"/>
      <c r="EK385" s="1170"/>
      <c r="EL385" s="1170"/>
      <c r="EM385" s="1170"/>
      <c r="EN385" s="1170"/>
      <c r="EO385" s="1170"/>
      <c r="EP385" s="1170"/>
      <c r="EQ385" s="1170"/>
      <c r="ER385" s="1170"/>
      <c r="ES385" s="1171"/>
      <c r="ET385" s="1171"/>
      <c r="EU385" s="1171"/>
      <c r="EV385" s="1171"/>
      <c r="EW385" s="1171"/>
      <c r="EX385" s="1171"/>
      <c r="EY385" s="1171"/>
      <c r="EZ385" s="1171"/>
      <c r="FA385" s="1171"/>
      <c r="FB385" s="1171"/>
      <c r="FC385" s="1171"/>
      <c r="FD385" s="1171"/>
      <c r="FE385" s="1171"/>
      <c r="FF385" s="1171"/>
      <c r="FG385" s="1171"/>
      <c r="FH385" s="1171"/>
      <c r="FI385" s="1171"/>
      <c r="FJ385" s="1171"/>
      <c r="FK385" s="1171"/>
      <c r="FL385" s="1171"/>
      <c r="FM385" s="1171"/>
      <c r="FN385" s="1171"/>
      <c r="FO385" s="1171"/>
      <c r="FP385" s="1171"/>
    </row>
    <row r="386" spans="1:172" s="607" customFormat="1">
      <c r="A386" s="607">
        <f t="shared" si="10"/>
        <v>2002</v>
      </c>
      <c r="B386" s="607">
        <f t="shared" si="11"/>
        <v>2</v>
      </c>
      <c r="C386" s="666">
        <v>37408</v>
      </c>
      <c r="D386" s="957">
        <v>0.56938421052631583</v>
      </c>
      <c r="E386" s="920">
        <v>160.85673331578948</v>
      </c>
      <c r="F386" s="920">
        <v>282.51</v>
      </c>
      <c r="G386" s="920"/>
      <c r="H386" s="920"/>
      <c r="I386" s="954">
        <v>321.72000000000003</v>
      </c>
      <c r="J386" s="954">
        <v>566.91</v>
      </c>
      <c r="K386" s="954"/>
      <c r="L386" s="920"/>
      <c r="M386" s="917">
        <v>7125.6</v>
      </c>
      <c r="N386" s="917">
        <v>12514.572529879926</v>
      </c>
      <c r="O386" s="1175">
        <v>1647.1</v>
      </c>
      <c r="P386" s="1175">
        <v>2892.7742806171022</v>
      </c>
      <c r="Q386" s="1175">
        <v>439.6</v>
      </c>
      <c r="R386" s="1175">
        <v>772.06215394285607</v>
      </c>
      <c r="S386" s="1175">
        <v>765.4</v>
      </c>
      <c r="T386" s="1175">
        <v>1344.2592643945904</v>
      </c>
      <c r="U386" s="920">
        <v>471.84300142105269</v>
      </c>
      <c r="V386" s="920">
        <v>828.69</v>
      </c>
      <c r="W386" s="920">
        <v>1605.7944320526317</v>
      </c>
      <c r="X386" s="920">
        <v>2820.23</v>
      </c>
      <c r="Y386" s="920"/>
      <c r="Z386" s="920"/>
      <c r="AA386" s="920"/>
      <c r="AB386" s="920"/>
      <c r="AC386" s="920">
        <v>4.9089999999999998</v>
      </c>
      <c r="AD386" s="920">
        <v>8.67</v>
      </c>
      <c r="AE386" s="920">
        <v>17581.669999999998</v>
      </c>
      <c r="AF386" s="920">
        <v>30878.394017544342</v>
      </c>
      <c r="AG386" s="920">
        <v>554.70000000000005</v>
      </c>
      <c r="AH386" s="920">
        <v>974.21036576911342</v>
      </c>
      <c r="AI386" s="920">
        <v>336.15</v>
      </c>
      <c r="AJ386" s="920">
        <v>590.37464296608516</v>
      </c>
      <c r="AK386" s="920">
        <v>24.13</v>
      </c>
      <c r="AL386" s="920">
        <v>42.379116866790525</v>
      </c>
      <c r="AM386" s="920">
        <v>24.92</v>
      </c>
      <c r="AN386" s="920">
        <v>43.766580701219233</v>
      </c>
      <c r="AO386" s="920"/>
      <c r="AP386" s="920"/>
      <c r="AS386" s="1167"/>
      <c r="AT386" s="1167"/>
      <c r="AU386" s="1168"/>
      <c r="AV386" s="1168"/>
      <c r="AW386" s="1169"/>
      <c r="AX386" s="1169"/>
      <c r="AY386" s="1169"/>
      <c r="AZ386" s="1169"/>
      <c r="BA386" s="1861" t="s">
        <v>1</v>
      </c>
      <c r="BB386" s="1862">
        <v>2009</v>
      </c>
      <c r="BC386" s="1861" t="s">
        <v>51</v>
      </c>
      <c r="BD386" s="1861">
        <v>2</v>
      </c>
      <c r="BE386" s="1863">
        <v>5594390000</v>
      </c>
      <c r="BF386" s="1801">
        <v>0.37365385621100128</v>
      </c>
      <c r="BG386" s="1799"/>
      <c r="BH386" s="1799" t="s">
        <v>280</v>
      </c>
      <c r="BI386" s="1799" t="s">
        <v>312</v>
      </c>
      <c r="BJ386" s="1799" t="s">
        <v>23</v>
      </c>
      <c r="BK386" s="1799">
        <v>6</v>
      </c>
      <c r="BL386" s="1800">
        <v>54781947.75</v>
      </c>
      <c r="BM386" s="1801">
        <v>0.17649158275644472</v>
      </c>
      <c r="BN386" s="1799">
        <v>2007</v>
      </c>
      <c r="BO386" s="1684"/>
      <c r="BP386" s="1696"/>
      <c r="BQ386" s="1169"/>
      <c r="BR386" s="1169"/>
      <c r="BS386" s="1169"/>
      <c r="BT386" s="1169"/>
      <c r="BU386" s="1169"/>
      <c r="BV386" s="1169"/>
      <c r="BW386" s="1169"/>
      <c r="BX386" s="1169"/>
      <c r="BY386" s="1169"/>
      <c r="BZ386" s="1169"/>
      <c r="CA386" s="1169"/>
      <c r="CB386" s="1169"/>
      <c r="CC386" s="1169"/>
      <c r="CD386" s="1169"/>
      <c r="CE386" s="1169"/>
      <c r="CF386" s="1169"/>
      <c r="CG386" s="1169"/>
      <c r="CH386" s="1169"/>
      <c r="CI386" s="1169"/>
      <c r="CJ386" s="1169"/>
      <c r="CK386" s="1169"/>
      <c r="CL386" s="1169"/>
      <c r="CM386" s="1169"/>
      <c r="CN386" s="1169"/>
      <c r="CO386" s="1169"/>
      <c r="CP386" s="1169"/>
      <c r="CQ386" s="1169"/>
      <c r="CR386" s="1169"/>
      <c r="CS386" s="1169"/>
      <c r="CT386" s="1169"/>
      <c r="CU386" s="1169"/>
      <c r="CV386" s="1169"/>
      <c r="CW386" s="1169"/>
      <c r="CX386" s="1169"/>
      <c r="CY386" s="1169"/>
      <c r="CZ386" s="1169"/>
      <c r="DA386" s="1168"/>
      <c r="DB386" s="1168"/>
      <c r="DC386" s="1168"/>
      <c r="DD386" s="1168"/>
      <c r="DE386" s="1168"/>
      <c r="DF386" s="1168"/>
      <c r="DG386" s="1168"/>
      <c r="DH386" s="1168"/>
      <c r="DI386" s="1168"/>
      <c r="DJ386" s="1168"/>
      <c r="DK386" s="1168"/>
      <c r="DL386" s="1168"/>
      <c r="DM386" s="1168"/>
      <c r="DN386" s="1168"/>
      <c r="DO386" s="1168"/>
      <c r="DP386" s="1168"/>
      <c r="DQ386" s="1168"/>
      <c r="DR386" s="1168"/>
      <c r="DS386" s="1168"/>
      <c r="DT386" s="1168"/>
      <c r="DU386" s="1168"/>
      <c r="DV386" s="1168"/>
      <c r="DW386" s="1168"/>
      <c r="DX386" s="1168"/>
      <c r="DY386" s="1168"/>
      <c r="DZ386" s="1168"/>
      <c r="EA386" s="1168"/>
      <c r="EB386" s="1168"/>
      <c r="EC386" s="1168"/>
      <c r="ED386" s="1168"/>
      <c r="EE386" s="1168"/>
      <c r="EF386" s="1168"/>
      <c r="EG386" s="1168"/>
      <c r="EH386" s="1168"/>
      <c r="EI386" s="1170"/>
      <c r="EJ386" s="1170"/>
      <c r="EK386" s="1170"/>
      <c r="EL386" s="1170"/>
      <c r="EM386" s="1170"/>
      <c r="EN386" s="1170"/>
      <c r="EO386" s="1170"/>
      <c r="EP386" s="1170"/>
      <c r="EQ386" s="1170"/>
      <c r="ER386" s="1170"/>
      <c r="ES386" s="1171"/>
      <c r="ET386" s="1171"/>
      <c r="EU386" s="1171"/>
      <c r="EV386" s="1171"/>
      <c r="EW386" s="1171"/>
      <c r="EX386" s="1171"/>
      <c r="EY386" s="1171"/>
      <c r="EZ386" s="1171"/>
      <c r="FA386" s="1171"/>
      <c r="FB386" s="1171"/>
      <c r="FC386" s="1171"/>
      <c r="FD386" s="1171"/>
      <c r="FE386" s="1171"/>
      <c r="FF386" s="1171"/>
      <c r="FG386" s="1171"/>
      <c r="FH386" s="1171"/>
      <c r="FI386" s="1171"/>
      <c r="FJ386" s="1171"/>
      <c r="FK386" s="1171"/>
      <c r="FL386" s="1171"/>
      <c r="FM386" s="1171"/>
      <c r="FN386" s="1171"/>
      <c r="FO386" s="1171"/>
      <c r="FP386" s="1171"/>
    </row>
    <row r="387" spans="1:172" s="607" customFormat="1">
      <c r="A387" s="607">
        <f t="shared" si="10"/>
        <v>2002</v>
      </c>
      <c r="B387" s="607">
        <f t="shared" si="11"/>
        <v>3</v>
      </c>
      <c r="C387" s="666">
        <v>37438</v>
      </c>
      <c r="D387" s="1709">
        <v>0.55435652173913053</v>
      </c>
      <c r="E387" s="1117">
        <v>158.8896662608696</v>
      </c>
      <c r="F387" s="1117">
        <v>286.62</v>
      </c>
      <c r="G387" s="1117"/>
      <c r="H387" s="1117"/>
      <c r="I387" s="959">
        <v>313.291</v>
      </c>
      <c r="J387" s="959">
        <v>568.16999999999996</v>
      </c>
      <c r="K387" s="960"/>
      <c r="L387" s="1121"/>
      <c r="M387" s="916">
        <v>7161.59</v>
      </c>
      <c r="N387" s="916">
        <v>12918.744019701649</v>
      </c>
      <c r="O387" s="1174">
        <v>1593.05</v>
      </c>
      <c r="P387" s="1174">
        <v>2873.6921773776094</v>
      </c>
      <c r="Q387" s="1174">
        <v>446.86</v>
      </c>
      <c r="R387" s="1174">
        <v>806.08774764317411</v>
      </c>
      <c r="S387" s="1174">
        <v>796.57</v>
      </c>
      <c r="T387" s="1174">
        <v>1436.9272638860566</v>
      </c>
      <c r="U387" s="1120">
        <v>435.43596069565223</v>
      </c>
      <c r="V387" s="1120">
        <v>785.48</v>
      </c>
      <c r="W387" s="1120">
        <v>1635.3517391304351</v>
      </c>
      <c r="X387" s="1120">
        <v>2950</v>
      </c>
      <c r="Y387" s="1119"/>
      <c r="Z387" s="1119"/>
      <c r="AA387" s="1119"/>
      <c r="AB387" s="1119"/>
      <c r="AC387" s="1178">
        <v>4.9189999999999996</v>
      </c>
      <c r="AD387" s="1178">
        <v>8.94</v>
      </c>
      <c r="AE387" s="1178">
        <v>15597.55</v>
      </c>
      <c r="AF387" s="1178">
        <v>28136.315508776326</v>
      </c>
      <c r="AG387" s="1178">
        <v>526.19600000000003</v>
      </c>
      <c r="AH387" s="1178">
        <v>949.20142429138355</v>
      </c>
      <c r="AI387" s="1178">
        <v>322.73899999999998</v>
      </c>
      <c r="AJ387" s="1178">
        <v>582.18671079669321</v>
      </c>
      <c r="AK387" s="919">
        <v>25.77</v>
      </c>
      <c r="AL387" s="919">
        <v>46.486329626201936</v>
      </c>
      <c r="AM387" s="919">
        <v>26.38</v>
      </c>
      <c r="AN387" s="919">
        <v>47.586704522281991</v>
      </c>
      <c r="AO387" s="919"/>
      <c r="AP387" s="919"/>
      <c r="AS387" s="1167"/>
      <c r="AT387" s="1167"/>
      <c r="AU387" s="1168"/>
      <c r="AV387" s="1168"/>
      <c r="AW387" s="1169"/>
      <c r="AX387" s="1169"/>
      <c r="AY387" s="1169"/>
      <c r="AZ387" s="1169"/>
      <c r="BA387" s="1861" t="s">
        <v>1</v>
      </c>
      <c r="BB387" s="1862">
        <v>2009</v>
      </c>
      <c r="BC387" s="1861" t="s">
        <v>28</v>
      </c>
      <c r="BD387" s="1861">
        <v>3</v>
      </c>
      <c r="BE387" s="1863">
        <v>1191251000</v>
      </c>
      <c r="BF387" s="1801">
        <v>7.9564622749792466E-2</v>
      </c>
      <c r="BG387" s="1799"/>
      <c r="BH387" s="1799" t="s">
        <v>280</v>
      </c>
      <c r="BI387" s="1799" t="s">
        <v>312</v>
      </c>
      <c r="BJ387" s="1799" t="s">
        <v>583</v>
      </c>
      <c r="BK387" s="1799">
        <v>7</v>
      </c>
      <c r="BL387" s="1800">
        <v>51427691.280000001</v>
      </c>
      <c r="BM387" s="1801">
        <v>0.16568513907059848</v>
      </c>
      <c r="BN387" s="1799">
        <v>2007</v>
      </c>
      <c r="BO387" s="1684"/>
      <c r="BP387" s="1696"/>
      <c r="BQ387" s="1169"/>
      <c r="BR387" s="1169"/>
      <c r="BS387" s="1169"/>
      <c r="BT387" s="1169"/>
      <c r="BU387" s="1169"/>
      <c r="BV387" s="1169"/>
      <c r="BW387" s="1169"/>
      <c r="BX387" s="1169"/>
      <c r="BY387" s="1169"/>
      <c r="BZ387" s="1169"/>
      <c r="CA387" s="1169"/>
      <c r="CB387" s="1169"/>
      <c r="CC387" s="1169"/>
      <c r="CD387" s="1169"/>
      <c r="CE387" s="1169"/>
      <c r="CF387" s="1169"/>
      <c r="CG387" s="1169"/>
      <c r="CH387" s="1169"/>
      <c r="CI387" s="1169"/>
      <c r="CJ387" s="1169"/>
      <c r="CK387" s="1169"/>
      <c r="CL387" s="1169"/>
      <c r="CM387" s="1169"/>
      <c r="CN387" s="1169"/>
      <c r="CO387" s="1169"/>
      <c r="CP387" s="1169"/>
      <c r="CQ387" s="1169"/>
      <c r="CR387" s="1169"/>
      <c r="CS387" s="1169"/>
      <c r="CT387" s="1169"/>
      <c r="CU387" s="1169"/>
      <c r="CV387" s="1169"/>
      <c r="CW387" s="1169"/>
      <c r="CX387" s="1169"/>
      <c r="CY387" s="1169"/>
      <c r="CZ387" s="1169"/>
      <c r="DA387" s="1168"/>
      <c r="DB387" s="1168"/>
      <c r="DC387" s="1168"/>
      <c r="DD387" s="1168"/>
      <c r="DE387" s="1168"/>
      <c r="DF387" s="1168"/>
      <c r="DG387" s="1168"/>
      <c r="DH387" s="1168"/>
      <c r="DI387" s="1168"/>
      <c r="DJ387" s="1168"/>
      <c r="DK387" s="1168"/>
      <c r="DL387" s="1168"/>
      <c r="DM387" s="1168"/>
      <c r="DN387" s="1168"/>
      <c r="DO387" s="1168"/>
      <c r="DP387" s="1168"/>
      <c r="DQ387" s="1168"/>
      <c r="DR387" s="1168"/>
      <c r="DS387" s="1168"/>
      <c r="DT387" s="1168"/>
      <c r="DU387" s="1168"/>
      <c r="DV387" s="1168"/>
      <c r="DW387" s="1168"/>
      <c r="DX387" s="1168"/>
      <c r="DY387" s="1168"/>
      <c r="DZ387" s="1168"/>
      <c r="EA387" s="1168"/>
      <c r="EB387" s="1168"/>
      <c r="EC387" s="1168"/>
      <c r="ED387" s="1168"/>
      <c r="EE387" s="1168"/>
      <c r="EF387" s="1168"/>
      <c r="EG387" s="1168"/>
      <c r="EH387" s="1168"/>
      <c r="EI387" s="1170"/>
      <c r="EJ387" s="1170"/>
      <c r="EK387" s="1170"/>
      <c r="EL387" s="1170"/>
      <c r="EM387" s="1170"/>
      <c r="EN387" s="1170"/>
      <c r="EO387" s="1170"/>
      <c r="EP387" s="1170"/>
      <c r="EQ387" s="1170"/>
      <c r="ER387" s="1170"/>
      <c r="ES387" s="1171"/>
      <c r="ET387" s="1171"/>
      <c r="EU387" s="1171"/>
      <c r="EV387" s="1171"/>
      <c r="EW387" s="1171"/>
      <c r="EX387" s="1171"/>
      <c r="EY387" s="1171"/>
      <c r="EZ387" s="1171"/>
      <c r="FA387" s="1171"/>
      <c r="FB387" s="1171"/>
      <c r="FC387" s="1171"/>
      <c r="FD387" s="1171"/>
      <c r="FE387" s="1171"/>
      <c r="FF387" s="1171"/>
      <c r="FG387" s="1171"/>
      <c r="FH387" s="1171"/>
      <c r="FI387" s="1171"/>
      <c r="FJ387" s="1171"/>
      <c r="FK387" s="1171"/>
      <c r="FL387" s="1171"/>
      <c r="FM387" s="1171"/>
      <c r="FN387" s="1171"/>
      <c r="FO387" s="1171"/>
      <c r="FP387" s="1171"/>
    </row>
    <row r="388" spans="1:172" s="607" customFormat="1">
      <c r="A388" s="607">
        <f t="shared" si="10"/>
        <v>2002</v>
      </c>
      <c r="B388" s="607">
        <f t="shared" si="11"/>
        <v>3</v>
      </c>
      <c r="C388" s="666">
        <v>37469</v>
      </c>
      <c r="D388" s="957">
        <v>0.54216666666666669</v>
      </c>
      <c r="E388" s="920">
        <v>159.75483000000003</v>
      </c>
      <c r="F388" s="920">
        <v>294.66000000000003</v>
      </c>
      <c r="G388" s="920"/>
      <c r="H388" s="920"/>
      <c r="I388" s="954">
        <v>310.08199999999999</v>
      </c>
      <c r="J388" s="954">
        <v>573.91999999999996</v>
      </c>
      <c r="K388" s="954"/>
      <c r="L388" s="920"/>
      <c r="M388" s="917">
        <v>6720.24</v>
      </c>
      <c r="N388" s="917">
        <v>12395.155241315708</v>
      </c>
      <c r="O388" s="1175">
        <v>1479.55</v>
      </c>
      <c r="P388" s="1175">
        <v>2728.9578850292037</v>
      </c>
      <c r="Q388" s="1175">
        <v>423.24</v>
      </c>
      <c r="R388" s="1175">
        <v>780.64555794651085</v>
      </c>
      <c r="S388" s="1175">
        <v>747.6</v>
      </c>
      <c r="T388" s="1175">
        <v>1378.9117737473102</v>
      </c>
      <c r="U388" s="920">
        <v>436.11886666666669</v>
      </c>
      <c r="V388" s="920">
        <v>804.4</v>
      </c>
      <c r="W388" s="920">
        <v>1622.3090516666666</v>
      </c>
      <c r="X388" s="920">
        <v>2992.27</v>
      </c>
      <c r="Y388" s="920"/>
      <c r="Z388" s="920"/>
      <c r="AA388" s="920"/>
      <c r="AB388" s="920"/>
      <c r="AC388" s="920">
        <v>4.548</v>
      </c>
      <c r="AD388" s="920">
        <v>8.44</v>
      </c>
      <c r="AE388" s="920">
        <v>15255.9</v>
      </c>
      <c r="AF388" s="920">
        <v>28138.76421764525</v>
      </c>
      <c r="AG388" s="920">
        <v>545.5</v>
      </c>
      <c r="AH388" s="920">
        <v>1006.1481709191515</v>
      </c>
      <c r="AI388" s="920">
        <v>324.77300000000002</v>
      </c>
      <c r="AJ388" s="920">
        <v>599.02797417768215</v>
      </c>
      <c r="AK388" s="920">
        <v>26.66</v>
      </c>
      <c r="AL388" s="920">
        <v>49.173071011374113</v>
      </c>
      <c r="AM388" s="920">
        <v>27.35</v>
      </c>
      <c r="AN388" s="920">
        <v>50.44574239163849</v>
      </c>
      <c r="AO388" s="920"/>
      <c r="AP388" s="920"/>
      <c r="AS388" s="1167"/>
      <c r="AT388" s="1167"/>
      <c r="AU388" s="1168"/>
      <c r="AV388" s="1168"/>
      <c r="AW388" s="1169"/>
      <c r="AX388" s="1169"/>
      <c r="AY388" s="1169"/>
      <c r="AZ388" s="1169"/>
      <c r="BA388" s="1861" t="s">
        <v>1</v>
      </c>
      <c r="BB388" s="1862">
        <v>2009</v>
      </c>
      <c r="BC388" s="1861" t="s">
        <v>49</v>
      </c>
      <c r="BD388" s="1861">
        <v>4</v>
      </c>
      <c r="BE388" s="1863">
        <v>616096000</v>
      </c>
      <c r="BF388" s="1801">
        <v>4.1149552711944114E-2</v>
      </c>
      <c r="BG388" s="1799"/>
      <c r="BH388" s="1799" t="s">
        <v>280</v>
      </c>
      <c r="BI388" s="1799" t="s">
        <v>312</v>
      </c>
      <c r="BJ388" s="1799" t="s">
        <v>26</v>
      </c>
      <c r="BK388" s="1799">
        <v>8</v>
      </c>
      <c r="BL388" s="1800">
        <v>50189431.959999993</v>
      </c>
      <c r="BM388" s="1801">
        <v>0.16169582587116557</v>
      </c>
      <c r="BN388" s="1799">
        <v>2007</v>
      </c>
      <c r="BO388" s="1684"/>
      <c r="BP388" s="1696"/>
      <c r="BQ388" s="1169"/>
      <c r="BR388" s="1169"/>
      <c r="BS388" s="1169"/>
      <c r="BT388" s="1169"/>
      <c r="BU388" s="1169"/>
      <c r="BV388" s="1169"/>
      <c r="BW388" s="1169"/>
      <c r="BX388" s="1169"/>
      <c r="BY388" s="1169"/>
      <c r="BZ388" s="1169"/>
      <c r="CA388" s="1169"/>
      <c r="CB388" s="1169"/>
      <c r="CC388" s="1169"/>
      <c r="CD388" s="1169"/>
      <c r="CE388" s="1169"/>
      <c r="CF388" s="1169"/>
      <c r="CG388" s="1169"/>
      <c r="CH388" s="1169"/>
      <c r="CI388" s="1169"/>
      <c r="CJ388" s="1169"/>
      <c r="CK388" s="1169"/>
      <c r="CL388" s="1169"/>
      <c r="CM388" s="1169"/>
      <c r="CN388" s="1169"/>
      <c r="CO388" s="1169"/>
      <c r="CP388" s="1169"/>
      <c r="CQ388" s="1169"/>
      <c r="CR388" s="1169"/>
      <c r="CS388" s="1169"/>
      <c r="CT388" s="1169"/>
      <c r="CU388" s="1169"/>
      <c r="CV388" s="1169"/>
      <c r="CW388" s="1169"/>
      <c r="CX388" s="1169"/>
      <c r="CY388" s="1169"/>
      <c r="CZ388" s="1169"/>
      <c r="DA388" s="1168"/>
      <c r="DB388" s="1168"/>
      <c r="DC388" s="1168"/>
      <c r="DD388" s="1168"/>
      <c r="DE388" s="1168"/>
      <c r="DF388" s="1168"/>
      <c r="DG388" s="1168"/>
      <c r="DH388" s="1168"/>
      <c r="DI388" s="1168"/>
      <c r="DJ388" s="1168"/>
      <c r="DK388" s="1168"/>
      <c r="DL388" s="1168"/>
      <c r="DM388" s="1168"/>
      <c r="DN388" s="1168"/>
      <c r="DO388" s="1168"/>
      <c r="DP388" s="1168"/>
      <c r="DQ388" s="1168"/>
      <c r="DR388" s="1168"/>
      <c r="DS388" s="1168"/>
      <c r="DT388" s="1168"/>
      <c r="DU388" s="1168"/>
      <c r="DV388" s="1168"/>
      <c r="DW388" s="1168"/>
      <c r="DX388" s="1168"/>
      <c r="DY388" s="1168"/>
      <c r="DZ388" s="1168"/>
      <c r="EA388" s="1168"/>
      <c r="EB388" s="1168"/>
      <c r="EC388" s="1168"/>
      <c r="ED388" s="1168"/>
      <c r="EE388" s="1168"/>
      <c r="EF388" s="1168"/>
      <c r="EG388" s="1168"/>
      <c r="EH388" s="1168"/>
      <c r="EI388" s="1170"/>
      <c r="EJ388" s="1170"/>
      <c r="EK388" s="1170"/>
      <c r="EL388" s="1170"/>
      <c r="EM388" s="1170"/>
      <c r="EN388" s="1170"/>
      <c r="EO388" s="1170"/>
      <c r="EP388" s="1170"/>
      <c r="EQ388" s="1170"/>
      <c r="ER388" s="1170"/>
      <c r="ES388" s="1171"/>
      <c r="ET388" s="1171"/>
      <c r="EU388" s="1171"/>
      <c r="EV388" s="1171"/>
      <c r="EW388" s="1171"/>
      <c r="EX388" s="1171"/>
      <c r="EY388" s="1171"/>
      <c r="EZ388" s="1171"/>
      <c r="FA388" s="1171"/>
      <c r="FB388" s="1171"/>
      <c r="FC388" s="1171"/>
      <c r="FD388" s="1171"/>
      <c r="FE388" s="1171"/>
      <c r="FF388" s="1171"/>
      <c r="FG388" s="1171"/>
      <c r="FH388" s="1171"/>
      <c r="FI388" s="1171"/>
      <c r="FJ388" s="1171"/>
      <c r="FK388" s="1171"/>
      <c r="FL388" s="1171"/>
      <c r="FM388" s="1171"/>
      <c r="FN388" s="1171"/>
      <c r="FO388" s="1171"/>
      <c r="FP388" s="1171"/>
    </row>
    <row r="389" spans="1:172" s="607" customFormat="1">
      <c r="A389" s="607">
        <f t="shared" si="10"/>
        <v>2002</v>
      </c>
      <c r="B389" s="607">
        <f t="shared" si="11"/>
        <v>3</v>
      </c>
      <c r="C389" s="666">
        <v>37500</v>
      </c>
      <c r="D389" s="1709">
        <v>0.54701428571428556</v>
      </c>
      <c r="E389" s="1117">
        <v>158.71072485714279</v>
      </c>
      <c r="F389" s="1117">
        <v>290.14</v>
      </c>
      <c r="G389" s="1117"/>
      <c r="H389" s="1117"/>
      <c r="I389" s="959">
        <v>319.13600000000002</v>
      </c>
      <c r="J389" s="959">
        <v>583.26</v>
      </c>
      <c r="K389" s="960"/>
      <c r="L389" s="1121"/>
      <c r="M389" s="916">
        <v>6643.81</v>
      </c>
      <c r="N389" s="916">
        <v>12145.587736021524</v>
      </c>
      <c r="O389" s="1174">
        <v>1478.71</v>
      </c>
      <c r="P389" s="1174">
        <v>2703.2383588832895</v>
      </c>
      <c r="Q389" s="1174">
        <v>421.26</v>
      </c>
      <c r="R389" s="1174">
        <v>770.10785824345169</v>
      </c>
      <c r="S389" s="1174">
        <v>756.24</v>
      </c>
      <c r="T389" s="1174">
        <v>1382.4867462327966</v>
      </c>
      <c r="U389" s="1120">
        <v>449.5746309999999</v>
      </c>
      <c r="V389" s="1120">
        <v>821.87</v>
      </c>
      <c r="W389" s="1120">
        <v>1645.2493969999996</v>
      </c>
      <c r="X389" s="1120">
        <v>3007.69</v>
      </c>
      <c r="Y389" s="1119"/>
      <c r="Z389" s="1119"/>
      <c r="AA389" s="1119"/>
      <c r="AB389" s="1119"/>
      <c r="AC389" s="1178">
        <v>4.5529999999999999</v>
      </c>
      <c r="AD389" s="1178">
        <v>9.3800000000000008</v>
      </c>
      <c r="AE389" s="1178">
        <v>15064.8</v>
      </c>
      <c r="AF389" s="1178">
        <v>27540.048575383255</v>
      </c>
      <c r="AG389" s="1178">
        <v>556.38099999999997</v>
      </c>
      <c r="AH389" s="1178">
        <v>1017.1233449113371</v>
      </c>
      <c r="AI389" s="1178">
        <v>328.09500000000003</v>
      </c>
      <c r="AJ389" s="1178">
        <v>599.79237941030556</v>
      </c>
      <c r="AK389" s="919">
        <v>28.34</v>
      </c>
      <c r="AL389" s="919">
        <v>51.808518973126858</v>
      </c>
      <c r="AM389" s="919">
        <v>28.01</v>
      </c>
      <c r="AN389" s="919">
        <v>51.205244052127149</v>
      </c>
      <c r="AO389" s="919"/>
      <c r="AP389" s="919"/>
      <c r="AS389" s="1167"/>
      <c r="AT389" s="1167"/>
      <c r="AU389" s="1168"/>
      <c r="AV389" s="1168"/>
      <c r="AW389" s="1169"/>
      <c r="AX389" s="1169"/>
      <c r="AY389" s="1169"/>
      <c r="AZ389" s="1169"/>
      <c r="BA389" s="1861" t="s">
        <v>1</v>
      </c>
      <c r="BB389" s="1862">
        <v>2009</v>
      </c>
      <c r="BC389" s="1861" t="s">
        <v>581</v>
      </c>
      <c r="BD389" s="1861">
        <v>5</v>
      </c>
      <c r="BE389" s="1863">
        <v>359668000</v>
      </c>
      <c r="BF389" s="1801">
        <v>2.4022518121850352E-2</v>
      </c>
      <c r="BG389" s="1799"/>
      <c r="BH389" s="1799" t="s">
        <v>280</v>
      </c>
      <c r="BI389" s="1799" t="s">
        <v>312</v>
      </c>
      <c r="BJ389" s="1799" t="s">
        <v>251</v>
      </c>
      <c r="BK389" s="1799">
        <v>9</v>
      </c>
      <c r="BL389" s="1800">
        <v>47892877.800000004</v>
      </c>
      <c r="BM389" s="1801">
        <v>0.15429699294842969</v>
      </c>
      <c r="BN389" s="1799">
        <v>2007</v>
      </c>
      <c r="BO389" s="1684"/>
      <c r="BP389" s="1696"/>
      <c r="BQ389" s="1169"/>
      <c r="BR389" s="1169"/>
      <c r="BS389" s="1169"/>
      <c r="BT389" s="1169"/>
      <c r="BU389" s="1169"/>
      <c r="BV389" s="1169"/>
      <c r="BW389" s="1169"/>
      <c r="BX389" s="1169"/>
      <c r="BY389" s="1169"/>
      <c r="BZ389" s="1169"/>
      <c r="CA389" s="1169"/>
      <c r="CB389" s="1169"/>
      <c r="CC389" s="1169"/>
      <c r="CD389" s="1169"/>
      <c r="CE389" s="1169"/>
      <c r="CF389" s="1169"/>
      <c r="CG389" s="1169"/>
      <c r="CH389" s="1169"/>
      <c r="CI389" s="1169"/>
      <c r="CJ389" s="1169"/>
      <c r="CK389" s="1169"/>
      <c r="CL389" s="1169"/>
      <c r="CM389" s="1169"/>
      <c r="CN389" s="1169"/>
      <c r="CO389" s="1169"/>
      <c r="CP389" s="1169"/>
      <c r="CQ389" s="1169"/>
      <c r="CR389" s="1169"/>
      <c r="CS389" s="1169"/>
      <c r="CT389" s="1169"/>
      <c r="CU389" s="1169"/>
      <c r="CV389" s="1169"/>
      <c r="CW389" s="1169"/>
      <c r="CX389" s="1169"/>
      <c r="CY389" s="1169"/>
      <c r="CZ389" s="1169"/>
      <c r="DA389" s="1168"/>
      <c r="DB389" s="1168"/>
      <c r="DC389" s="1168"/>
      <c r="DD389" s="1168"/>
      <c r="DE389" s="1168"/>
      <c r="DF389" s="1168"/>
      <c r="DG389" s="1168"/>
      <c r="DH389" s="1168"/>
      <c r="DI389" s="1168"/>
      <c r="DJ389" s="1168"/>
      <c r="DK389" s="1168"/>
      <c r="DL389" s="1168"/>
      <c r="DM389" s="1168"/>
      <c r="DN389" s="1168"/>
      <c r="DO389" s="1168"/>
      <c r="DP389" s="1168"/>
      <c r="DQ389" s="1168"/>
      <c r="DR389" s="1168"/>
      <c r="DS389" s="1168"/>
      <c r="DT389" s="1168"/>
      <c r="DU389" s="1168"/>
      <c r="DV389" s="1168"/>
      <c r="DW389" s="1168"/>
      <c r="DX389" s="1168"/>
      <c r="DY389" s="1168"/>
      <c r="DZ389" s="1168"/>
      <c r="EA389" s="1168"/>
      <c r="EB389" s="1168"/>
      <c r="EC389" s="1168"/>
      <c r="ED389" s="1168"/>
      <c r="EE389" s="1168"/>
      <c r="EF389" s="1168"/>
      <c r="EG389" s="1168"/>
      <c r="EH389" s="1168"/>
      <c r="EI389" s="1170"/>
      <c r="EJ389" s="1170"/>
      <c r="EK389" s="1170"/>
      <c r="EL389" s="1170"/>
      <c r="EM389" s="1170"/>
      <c r="EN389" s="1170"/>
      <c r="EO389" s="1170"/>
      <c r="EP389" s="1170"/>
      <c r="EQ389" s="1170"/>
      <c r="ER389" s="1170"/>
      <c r="ES389" s="1171"/>
      <c r="ET389" s="1171"/>
      <c r="EU389" s="1171"/>
      <c r="EV389" s="1171"/>
      <c r="EW389" s="1171"/>
      <c r="EX389" s="1171"/>
      <c r="EY389" s="1171"/>
      <c r="EZ389" s="1171"/>
      <c r="FA389" s="1171"/>
      <c r="FB389" s="1171"/>
      <c r="FC389" s="1171"/>
      <c r="FD389" s="1171"/>
      <c r="FE389" s="1171"/>
      <c r="FF389" s="1171"/>
      <c r="FG389" s="1171"/>
      <c r="FH389" s="1171"/>
      <c r="FI389" s="1171"/>
      <c r="FJ389" s="1171"/>
      <c r="FK389" s="1171"/>
      <c r="FL389" s="1171"/>
      <c r="FM389" s="1171"/>
      <c r="FN389" s="1171"/>
      <c r="FO389" s="1171"/>
      <c r="FP389" s="1171"/>
    </row>
    <row r="390" spans="1:172" s="607" customFormat="1">
      <c r="A390" s="607">
        <f t="shared" si="10"/>
        <v>2002</v>
      </c>
      <c r="B390" s="607">
        <f t="shared" si="11"/>
        <v>4</v>
      </c>
      <c r="C390" s="666">
        <v>37530</v>
      </c>
      <c r="D390" s="957">
        <v>0.54981363636363634</v>
      </c>
      <c r="E390" s="920">
        <v>156.44947022727271</v>
      </c>
      <c r="F390" s="920">
        <v>284.55</v>
      </c>
      <c r="G390" s="920"/>
      <c r="H390" s="920"/>
      <c r="I390" s="954">
        <v>316.66300000000001</v>
      </c>
      <c r="J390" s="954">
        <v>577.46</v>
      </c>
      <c r="K390" s="954"/>
      <c r="L390" s="920"/>
      <c r="M390" s="917">
        <v>6808.04</v>
      </c>
      <c r="N390" s="917">
        <v>12382.450251738193</v>
      </c>
      <c r="O390" s="1175">
        <v>1483.76</v>
      </c>
      <c r="P390" s="1175">
        <v>2698.6598764870741</v>
      </c>
      <c r="Q390" s="1175">
        <v>418.15</v>
      </c>
      <c r="R390" s="1175">
        <v>760.53042766557257</v>
      </c>
      <c r="S390" s="1175">
        <v>754.67</v>
      </c>
      <c r="T390" s="1175">
        <v>1372.592366008317</v>
      </c>
      <c r="U390" s="920">
        <v>447.45483168181818</v>
      </c>
      <c r="V390" s="920">
        <v>813.83</v>
      </c>
      <c r="W390" s="920">
        <v>1648.2368172272727</v>
      </c>
      <c r="X390" s="920">
        <v>2997.81</v>
      </c>
      <c r="Y390" s="920"/>
      <c r="Z390" s="920"/>
      <c r="AA390" s="920"/>
      <c r="AB390" s="920"/>
      <c r="AC390" s="920">
        <v>4.4089999999999998</v>
      </c>
      <c r="AD390" s="920">
        <v>8.02</v>
      </c>
      <c r="AE390" s="920">
        <v>14594.4</v>
      </c>
      <c r="AF390" s="920">
        <v>26544.267065699947</v>
      </c>
      <c r="AG390" s="920">
        <v>579.15200000000004</v>
      </c>
      <c r="AH390" s="920">
        <v>1053.3605601898166</v>
      </c>
      <c r="AI390" s="920">
        <v>316.60899999999998</v>
      </c>
      <c r="AJ390" s="920">
        <v>575.84784927124065</v>
      </c>
      <c r="AK390" s="920">
        <v>27.55</v>
      </c>
      <c r="AL390" s="920">
        <v>50.107887796691443</v>
      </c>
      <c r="AM390" s="920">
        <v>27.78</v>
      </c>
      <c r="AN390" s="920">
        <v>50.526211360874349</v>
      </c>
      <c r="AO390" s="920"/>
      <c r="AP390" s="920"/>
      <c r="AS390" s="1167"/>
      <c r="AT390" s="1167"/>
      <c r="AU390" s="1168"/>
      <c r="AV390" s="1168"/>
      <c r="AW390" s="1169"/>
      <c r="AX390" s="1169"/>
      <c r="AY390" s="1169"/>
      <c r="AZ390" s="1169"/>
      <c r="BA390" s="1861" t="s">
        <v>1</v>
      </c>
      <c r="BB390" s="1862">
        <v>2009</v>
      </c>
      <c r="BC390" s="1861" t="s">
        <v>241</v>
      </c>
      <c r="BD390" s="1861">
        <v>6</v>
      </c>
      <c r="BE390" s="1863">
        <v>197867000</v>
      </c>
      <c r="BF390" s="1801">
        <v>1.3215697791341359E-2</v>
      </c>
      <c r="BG390" s="1799"/>
      <c r="BH390" s="1799" t="s">
        <v>280</v>
      </c>
      <c r="BI390" s="1799" t="s">
        <v>312</v>
      </c>
      <c r="BJ390" s="1799" t="s">
        <v>47</v>
      </c>
      <c r="BK390" s="1799">
        <v>10</v>
      </c>
      <c r="BL390" s="1800">
        <v>37628339.5</v>
      </c>
      <c r="BM390" s="1801">
        <v>0.12122762091553868</v>
      </c>
      <c r="BN390" s="1799">
        <v>2007</v>
      </c>
      <c r="BO390" s="1684"/>
      <c r="BP390" s="1696"/>
      <c r="BQ390" s="1169"/>
      <c r="BR390" s="1169"/>
      <c r="BS390" s="1169"/>
      <c r="BT390" s="1169"/>
      <c r="BU390" s="1169"/>
      <c r="BV390" s="1169"/>
      <c r="BW390" s="1169"/>
      <c r="BX390" s="1169"/>
      <c r="BY390" s="1169"/>
      <c r="BZ390" s="1169"/>
      <c r="CA390" s="1169"/>
      <c r="CB390" s="1169"/>
      <c r="CC390" s="1169"/>
      <c r="CD390" s="1169"/>
      <c r="CE390" s="1169"/>
      <c r="CF390" s="1169"/>
      <c r="CG390" s="1169"/>
      <c r="CH390" s="1169"/>
      <c r="CI390" s="1169"/>
      <c r="CJ390" s="1169"/>
      <c r="CK390" s="1169"/>
      <c r="CL390" s="1169"/>
      <c r="CM390" s="1169"/>
      <c r="CN390" s="1169"/>
      <c r="CO390" s="1169"/>
      <c r="CP390" s="1169"/>
      <c r="CQ390" s="1169"/>
      <c r="CR390" s="1169"/>
      <c r="CS390" s="1169"/>
      <c r="CT390" s="1169"/>
      <c r="CU390" s="1169"/>
      <c r="CV390" s="1169"/>
      <c r="CW390" s="1169"/>
      <c r="CX390" s="1169"/>
      <c r="CY390" s="1169"/>
      <c r="CZ390" s="1169"/>
      <c r="DA390" s="1168"/>
      <c r="DB390" s="1168"/>
      <c r="DC390" s="1168"/>
      <c r="DD390" s="1168"/>
      <c r="DE390" s="1168"/>
      <c r="DF390" s="1168"/>
      <c r="DG390" s="1168"/>
      <c r="DH390" s="1168"/>
      <c r="DI390" s="1168"/>
      <c r="DJ390" s="1168"/>
      <c r="DK390" s="1168"/>
      <c r="DL390" s="1168"/>
      <c r="DM390" s="1168"/>
      <c r="DN390" s="1168"/>
      <c r="DO390" s="1168"/>
      <c r="DP390" s="1168"/>
      <c r="DQ390" s="1168"/>
      <c r="DR390" s="1168"/>
      <c r="DS390" s="1168"/>
      <c r="DT390" s="1168"/>
      <c r="DU390" s="1168"/>
      <c r="DV390" s="1168"/>
      <c r="DW390" s="1168"/>
      <c r="DX390" s="1168"/>
      <c r="DY390" s="1168"/>
      <c r="DZ390" s="1168"/>
      <c r="EA390" s="1168"/>
      <c r="EB390" s="1168"/>
      <c r="EC390" s="1168"/>
      <c r="ED390" s="1168"/>
      <c r="EE390" s="1168"/>
      <c r="EF390" s="1168"/>
      <c r="EG390" s="1168"/>
      <c r="EH390" s="1168"/>
      <c r="EI390" s="1170"/>
      <c r="EJ390" s="1170"/>
      <c r="EK390" s="1170"/>
      <c r="EL390" s="1170"/>
      <c r="EM390" s="1170"/>
      <c r="EN390" s="1170"/>
      <c r="EO390" s="1170"/>
      <c r="EP390" s="1170"/>
      <c r="EQ390" s="1170"/>
      <c r="ER390" s="1170"/>
      <c r="ES390" s="1171"/>
      <c r="ET390" s="1171"/>
      <c r="EU390" s="1171"/>
      <c r="EV390" s="1171"/>
      <c r="EW390" s="1171"/>
      <c r="EX390" s="1171"/>
      <c r="EY390" s="1171"/>
      <c r="EZ390" s="1171"/>
      <c r="FA390" s="1171"/>
      <c r="FB390" s="1171"/>
      <c r="FC390" s="1171"/>
      <c r="FD390" s="1171"/>
      <c r="FE390" s="1171"/>
      <c r="FF390" s="1171"/>
      <c r="FG390" s="1171"/>
      <c r="FH390" s="1171"/>
      <c r="FI390" s="1171"/>
      <c r="FJ390" s="1171"/>
      <c r="FK390" s="1171"/>
      <c r="FL390" s="1171"/>
      <c r="FM390" s="1171"/>
      <c r="FN390" s="1171"/>
      <c r="FO390" s="1171"/>
      <c r="FP390" s="1171"/>
    </row>
    <row r="391" spans="1:172" s="607" customFormat="1">
      <c r="A391" s="607">
        <f t="shared" si="10"/>
        <v>2002</v>
      </c>
      <c r="B391" s="607">
        <f t="shared" si="11"/>
        <v>4</v>
      </c>
      <c r="C391" s="666">
        <v>37561</v>
      </c>
      <c r="D391" s="1709">
        <v>0.56112857142857142</v>
      </c>
      <c r="E391" s="1117">
        <v>158.17653299999998</v>
      </c>
      <c r="F391" s="1117">
        <v>281.89</v>
      </c>
      <c r="G391" s="1117"/>
      <c r="H391" s="1117"/>
      <c r="I391" s="959">
        <v>319.06700000000001</v>
      </c>
      <c r="J391" s="959">
        <v>569.72</v>
      </c>
      <c r="K391" s="960"/>
      <c r="L391" s="1121"/>
      <c r="M391" s="916">
        <v>7317.38</v>
      </c>
      <c r="N391" s="916">
        <v>13040.469462053516</v>
      </c>
      <c r="O391" s="1174">
        <v>1582.29</v>
      </c>
      <c r="P391" s="1174">
        <v>2819.8350263499578</v>
      </c>
      <c r="Q391" s="1174">
        <v>442.17</v>
      </c>
      <c r="R391" s="1174">
        <v>788.00122202703744</v>
      </c>
      <c r="S391" s="1174">
        <v>765.26</v>
      </c>
      <c r="T391" s="1174">
        <v>1363.787265459915</v>
      </c>
      <c r="U391" s="1120">
        <v>437.42777785714281</v>
      </c>
      <c r="V391" s="1120">
        <v>779.55</v>
      </c>
      <c r="W391" s="1120">
        <v>1701.8300104285713</v>
      </c>
      <c r="X391" s="1120">
        <v>3032.87</v>
      </c>
      <c r="Y391" s="1119"/>
      <c r="Z391" s="1119"/>
      <c r="AA391" s="1119"/>
      <c r="AB391" s="1119"/>
      <c r="AC391" s="1178">
        <v>4.5110000000000001</v>
      </c>
      <c r="AD391" s="1178">
        <v>8.09</v>
      </c>
      <c r="AE391" s="1178">
        <v>15564.5</v>
      </c>
      <c r="AF391" s="1178">
        <v>27737.849741592199</v>
      </c>
      <c r="AG391" s="1178">
        <v>587.952</v>
      </c>
      <c r="AH391" s="1178">
        <v>1047.8026426334682</v>
      </c>
      <c r="AI391" s="1178">
        <v>285.38099999999997</v>
      </c>
      <c r="AJ391" s="1178">
        <v>508.58397617047274</v>
      </c>
      <c r="AK391" s="919">
        <v>24.18</v>
      </c>
      <c r="AL391" s="919">
        <v>43.091728404490951</v>
      </c>
      <c r="AM391" s="919">
        <v>26.99</v>
      </c>
      <c r="AN391" s="919">
        <v>48.099493367957429</v>
      </c>
      <c r="AO391" s="919"/>
      <c r="AP391" s="919"/>
      <c r="AS391" s="1167"/>
      <c r="AT391" s="1167"/>
      <c r="AU391" s="1168"/>
      <c r="AV391" s="1168"/>
      <c r="AW391" s="1169"/>
      <c r="AX391" s="1169"/>
      <c r="AY391" s="1169"/>
      <c r="AZ391" s="1169"/>
      <c r="BA391" s="1861" t="s">
        <v>1</v>
      </c>
      <c r="BB391" s="1862">
        <v>2009</v>
      </c>
      <c r="BC391" s="1861" t="s">
        <v>29</v>
      </c>
      <c r="BD391" s="1861">
        <v>7</v>
      </c>
      <c r="BE391" s="1863">
        <v>166148000</v>
      </c>
      <c r="BF391" s="1801">
        <v>1.1097159994520482E-2</v>
      </c>
      <c r="BG391" s="1799"/>
      <c r="BH391" s="1799" t="s">
        <v>280</v>
      </c>
      <c r="BI391" s="1799" t="s">
        <v>312</v>
      </c>
      <c r="BJ391" s="1799" t="s">
        <v>54</v>
      </c>
      <c r="BK391" s="1799">
        <v>11</v>
      </c>
      <c r="BL391" s="1800">
        <v>33495076.539999999</v>
      </c>
      <c r="BM391" s="1801">
        <v>0.10791144374914745</v>
      </c>
      <c r="BN391" s="1799">
        <v>2007</v>
      </c>
      <c r="BO391" s="1684"/>
      <c r="BP391" s="1696"/>
      <c r="BQ391" s="1169"/>
      <c r="BR391" s="1169"/>
      <c r="BS391" s="1169"/>
      <c r="BT391" s="1169"/>
      <c r="BU391" s="1169"/>
      <c r="BV391" s="1169"/>
      <c r="BW391" s="1169"/>
      <c r="BX391" s="1169"/>
      <c r="BY391" s="1169"/>
      <c r="BZ391" s="1169"/>
      <c r="CA391" s="1169"/>
      <c r="CB391" s="1169"/>
      <c r="CC391" s="1169"/>
      <c r="CD391" s="1169"/>
      <c r="CE391" s="1169"/>
      <c r="CF391" s="1169"/>
      <c r="CG391" s="1169"/>
      <c r="CH391" s="1169"/>
      <c r="CI391" s="1169"/>
      <c r="CJ391" s="1169"/>
      <c r="CK391" s="1169"/>
      <c r="CL391" s="1169"/>
      <c r="CM391" s="1169"/>
      <c r="CN391" s="1169"/>
      <c r="CO391" s="1169"/>
      <c r="CP391" s="1169"/>
      <c r="CQ391" s="1169"/>
      <c r="CR391" s="1169"/>
      <c r="CS391" s="1169"/>
      <c r="CT391" s="1169"/>
      <c r="CU391" s="1169"/>
      <c r="CV391" s="1169"/>
      <c r="CW391" s="1169"/>
      <c r="CX391" s="1169"/>
      <c r="CY391" s="1169"/>
      <c r="CZ391" s="1169"/>
      <c r="DA391" s="1168"/>
      <c r="DB391" s="1168"/>
      <c r="DC391" s="1168"/>
      <c r="DD391" s="1168"/>
      <c r="DE391" s="1168"/>
      <c r="DF391" s="1168"/>
      <c r="DG391" s="1168"/>
      <c r="DH391" s="1168"/>
      <c r="DI391" s="1168"/>
      <c r="DJ391" s="1168"/>
      <c r="DK391" s="1168"/>
      <c r="DL391" s="1168"/>
      <c r="DM391" s="1168"/>
      <c r="DN391" s="1168"/>
      <c r="DO391" s="1168"/>
      <c r="DP391" s="1168"/>
      <c r="DQ391" s="1168"/>
      <c r="DR391" s="1168"/>
      <c r="DS391" s="1168"/>
      <c r="DT391" s="1168"/>
      <c r="DU391" s="1168"/>
      <c r="DV391" s="1168"/>
      <c r="DW391" s="1168"/>
      <c r="DX391" s="1168"/>
      <c r="DY391" s="1168"/>
      <c r="DZ391" s="1168"/>
      <c r="EA391" s="1168"/>
      <c r="EB391" s="1168"/>
      <c r="EC391" s="1168"/>
      <c r="ED391" s="1168"/>
      <c r="EE391" s="1168"/>
      <c r="EF391" s="1168"/>
      <c r="EG391" s="1168"/>
      <c r="EH391" s="1168"/>
      <c r="EI391" s="1170"/>
      <c r="EJ391" s="1170"/>
      <c r="EK391" s="1170"/>
      <c r="EL391" s="1170"/>
      <c r="EM391" s="1170"/>
      <c r="EN391" s="1170"/>
      <c r="EO391" s="1170"/>
      <c r="EP391" s="1170"/>
      <c r="EQ391" s="1170"/>
      <c r="ER391" s="1170"/>
      <c r="ES391" s="1171"/>
      <c r="ET391" s="1171"/>
      <c r="EU391" s="1171"/>
      <c r="EV391" s="1171"/>
      <c r="EW391" s="1171"/>
      <c r="EX391" s="1171"/>
      <c r="EY391" s="1171"/>
      <c r="EZ391" s="1171"/>
      <c r="FA391" s="1171"/>
      <c r="FB391" s="1171"/>
      <c r="FC391" s="1171"/>
      <c r="FD391" s="1171"/>
      <c r="FE391" s="1171"/>
      <c r="FF391" s="1171"/>
      <c r="FG391" s="1171"/>
      <c r="FH391" s="1171"/>
      <c r="FI391" s="1171"/>
      <c r="FJ391" s="1171"/>
      <c r="FK391" s="1171"/>
      <c r="FL391" s="1171"/>
      <c r="FM391" s="1171"/>
      <c r="FN391" s="1171"/>
      <c r="FO391" s="1171"/>
      <c r="FP391" s="1171"/>
    </row>
    <row r="392" spans="1:172" s="607" customFormat="1">
      <c r="A392" s="607">
        <f t="shared" si="10"/>
        <v>2002</v>
      </c>
      <c r="B392" s="607">
        <f t="shared" si="11"/>
        <v>4</v>
      </c>
      <c r="C392" s="666">
        <v>37591</v>
      </c>
      <c r="D392" s="957">
        <v>0.56332499999999996</v>
      </c>
      <c r="E392" s="920">
        <v>153.01596974999998</v>
      </c>
      <c r="F392" s="920">
        <v>271.63</v>
      </c>
      <c r="G392" s="920"/>
      <c r="H392" s="920"/>
      <c r="I392" s="954">
        <v>330.89699999999999</v>
      </c>
      <c r="J392" s="954">
        <v>592.69000000000005</v>
      </c>
      <c r="K392" s="954"/>
      <c r="L392" s="920"/>
      <c r="M392" s="917">
        <v>7196.58</v>
      </c>
      <c r="N392" s="917">
        <v>12775.183064838238</v>
      </c>
      <c r="O392" s="1175">
        <v>1595.68</v>
      </c>
      <c r="P392" s="1175">
        <v>2832.6099498513295</v>
      </c>
      <c r="Q392" s="1175">
        <v>443.61</v>
      </c>
      <c r="R392" s="1175">
        <v>787.48502196778065</v>
      </c>
      <c r="S392" s="1175">
        <v>797.74</v>
      </c>
      <c r="T392" s="1175">
        <v>1416.127457506768</v>
      </c>
      <c r="U392" s="920">
        <v>442.48052100000001</v>
      </c>
      <c r="V392" s="920">
        <v>785.48</v>
      </c>
      <c r="W392" s="920">
        <v>1699.2698624999998</v>
      </c>
      <c r="X392" s="920">
        <v>3016.5</v>
      </c>
      <c r="Y392" s="920"/>
      <c r="Z392" s="920"/>
      <c r="AA392" s="920"/>
      <c r="AB392" s="920"/>
      <c r="AC392" s="920">
        <v>4.63</v>
      </c>
      <c r="AD392" s="920">
        <v>8.27</v>
      </c>
      <c r="AE392" s="920">
        <v>15101.5</v>
      </c>
      <c r="AF392" s="920">
        <v>26807.793014689567</v>
      </c>
      <c r="AG392" s="920">
        <v>596.35299999999995</v>
      </c>
      <c r="AH392" s="920">
        <v>1058.6304531132116</v>
      </c>
      <c r="AI392" s="920">
        <v>243</v>
      </c>
      <c r="AJ392" s="920">
        <v>431.36732791905206</v>
      </c>
      <c r="AK392" s="920">
        <v>28.52</v>
      </c>
      <c r="AL392" s="920">
        <v>50.627967869347181</v>
      </c>
      <c r="AM392" s="920">
        <v>30.55</v>
      </c>
      <c r="AN392" s="920">
        <v>54.23157147295079</v>
      </c>
      <c r="AO392" s="920"/>
      <c r="AP392" s="920"/>
      <c r="AS392" s="1167"/>
      <c r="AT392" s="1167"/>
      <c r="AU392" s="1168"/>
      <c r="AV392" s="1168"/>
      <c r="AW392" s="1169"/>
      <c r="AX392" s="1169"/>
      <c r="AY392" s="1169"/>
      <c r="AZ392" s="1169"/>
      <c r="BA392" s="1861" t="s">
        <v>1</v>
      </c>
      <c r="BB392" s="1862">
        <v>2009</v>
      </c>
      <c r="BC392" s="1861" t="s">
        <v>339</v>
      </c>
      <c r="BD392" s="1861">
        <v>8</v>
      </c>
      <c r="BE392" s="1863">
        <v>47306000</v>
      </c>
      <c r="BF392" s="1801">
        <v>3.1596061986950545E-3</v>
      </c>
      <c r="BG392" s="1799"/>
      <c r="BH392" s="1799" t="s">
        <v>280</v>
      </c>
      <c r="BI392" s="1799" t="s">
        <v>312</v>
      </c>
      <c r="BJ392" s="1799" t="s">
        <v>253</v>
      </c>
      <c r="BK392" s="1799">
        <v>12</v>
      </c>
      <c r="BL392" s="1800">
        <v>29373214.029999997</v>
      </c>
      <c r="BM392" s="1801">
        <v>9.4631995533574417E-2</v>
      </c>
      <c r="BN392" s="1799">
        <v>2007</v>
      </c>
      <c r="BO392" s="1684"/>
      <c r="BP392" s="1696"/>
      <c r="BQ392" s="1169"/>
      <c r="BR392" s="1169"/>
      <c r="BS392" s="1169"/>
      <c r="BT392" s="1169"/>
      <c r="BU392" s="1169"/>
      <c r="BV392" s="1169"/>
      <c r="BW392" s="1169"/>
      <c r="BX392" s="1169"/>
      <c r="BY392" s="1169"/>
      <c r="BZ392" s="1169"/>
      <c r="CA392" s="1169"/>
      <c r="CB392" s="1169"/>
      <c r="CC392" s="1169"/>
      <c r="CD392" s="1169"/>
      <c r="CE392" s="1169"/>
      <c r="CF392" s="1169"/>
      <c r="CG392" s="1169"/>
      <c r="CH392" s="1169"/>
      <c r="CI392" s="1169"/>
      <c r="CJ392" s="1169"/>
      <c r="CK392" s="1169"/>
      <c r="CL392" s="1169"/>
      <c r="CM392" s="1169"/>
      <c r="CN392" s="1169"/>
      <c r="CO392" s="1169"/>
      <c r="CP392" s="1169"/>
      <c r="CQ392" s="1169"/>
      <c r="CR392" s="1169"/>
      <c r="CS392" s="1169"/>
      <c r="CT392" s="1169"/>
      <c r="CU392" s="1169"/>
      <c r="CV392" s="1169"/>
      <c r="CW392" s="1169"/>
      <c r="CX392" s="1169"/>
      <c r="CY392" s="1169"/>
      <c r="CZ392" s="1169"/>
      <c r="DA392" s="1168"/>
      <c r="DB392" s="1168"/>
      <c r="DC392" s="1168"/>
      <c r="DD392" s="1168"/>
      <c r="DE392" s="1168"/>
      <c r="DF392" s="1168"/>
      <c r="DG392" s="1168"/>
      <c r="DH392" s="1168"/>
      <c r="DI392" s="1168"/>
      <c r="DJ392" s="1168"/>
      <c r="DK392" s="1168"/>
      <c r="DL392" s="1168"/>
      <c r="DM392" s="1168"/>
      <c r="DN392" s="1168"/>
      <c r="DO392" s="1168"/>
      <c r="DP392" s="1168"/>
      <c r="DQ392" s="1168"/>
      <c r="DR392" s="1168"/>
      <c r="DS392" s="1168"/>
      <c r="DT392" s="1168"/>
      <c r="DU392" s="1168"/>
      <c r="DV392" s="1168"/>
      <c r="DW392" s="1168"/>
      <c r="DX392" s="1168"/>
      <c r="DY392" s="1168"/>
      <c r="DZ392" s="1168"/>
      <c r="EA392" s="1168"/>
      <c r="EB392" s="1168"/>
      <c r="EC392" s="1168"/>
      <c r="ED392" s="1168"/>
      <c r="EE392" s="1168"/>
      <c r="EF392" s="1168"/>
      <c r="EG392" s="1168"/>
      <c r="EH392" s="1168"/>
      <c r="EI392" s="1170"/>
      <c r="EJ392" s="1170"/>
      <c r="EK392" s="1170"/>
      <c r="EL392" s="1170"/>
      <c r="EM392" s="1170"/>
      <c r="EN392" s="1170"/>
      <c r="EO392" s="1170"/>
      <c r="EP392" s="1170"/>
      <c r="EQ392" s="1170"/>
      <c r="ER392" s="1170"/>
      <c r="ES392" s="1171"/>
      <c r="ET392" s="1171"/>
      <c r="EU392" s="1171"/>
      <c r="EV392" s="1171"/>
      <c r="EW392" s="1171"/>
      <c r="EX392" s="1171"/>
      <c r="EY392" s="1171"/>
      <c r="EZ392" s="1171"/>
      <c r="FA392" s="1171"/>
      <c r="FB392" s="1171"/>
      <c r="FC392" s="1171"/>
      <c r="FD392" s="1171"/>
      <c r="FE392" s="1171"/>
      <c r="FF392" s="1171"/>
      <c r="FG392" s="1171"/>
      <c r="FH392" s="1171"/>
      <c r="FI392" s="1171"/>
      <c r="FJ392" s="1171"/>
      <c r="FK392" s="1171"/>
      <c r="FL392" s="1171"/>
      <c r="FM392" s="1171"/>
      <c r="FN392" s="1171"/>
      <c r="FO392" s="1171"/>
      <c r="FP392" s="1171"/>
    </row>
    <row r="393" spans="1:172" s="607" customFormat="1">
      <c r="A393" s="607">
        <f t="shared" ref="A393:A457" si="12">YEAR(C393)</f>
        <v>2003</v>
      </c>
      <c r="B393" s="607">
        <f t="shared" ref="B393:B456" si="13">IF(OR(MONTH(C393)=1,MONTH(C393)=2,MONTH(C393)=3),1,IF(OR(MONTH(C393)=4,MONTH(C393)=5,MONTH(C393)=6),2,IF(OR(MONTH(C393)=7,MONTH(C393)=8,MONTH(C393)=9),3,4)))</f>
        <v>1</v>
      </c>
      <c r="C393" s="666">
        <v>37622</v>
      </c>
      <c r="D393" s="1709">
        <v>0.58254285714285703</v>
      </c>
      <c r="E393" s="1117">
        <v>158.16621114285709</v>
      </c>
      <c r="F393" s="1117">
        <v>271.51</v>
      </c>
      <c r="G393" s="1117"/>
      <c r="H393" s="1117"/>
      <c r="I393" s="959">
        <v>356.85899999999998</v>
      </c>
      <c r="J393" s="959">
        <v>612.9</v>
      </c>
      <c r="K393" s="960"/>
      <c r="L393" s="1121"/>
      <c r="M393" s="916">
        <v>8030</v>
      </c>
      <c r="N393" s="916">
        <v>13784.393545539264</v>
      </c>
      <c r="O393" s="1174">
        <v>1647.66</v>
      </c>
      <c r="P393" s="1174">
        <v>2828.3927608023942</v>
      </c>
      <c r="Q393" s="1174">
        <v>444.66</v>
      </c>
      <c r="R393" s="1174">
        <v>763.30864681936362</v>
      </c>
      <c r="S393" s="1174">
        <v>781.41</v>
      </c>
      <c r="T393" s="1174">
        <v>1341.3777036637405</v>
      </c>
      <c r="U393" s="1120">
        <v>434.66435285714277</v>
      </c>
      <c r="V393" s="1120">
        <v>746.15</v>
      </c>
      <c r="W393" s="1120">
        <v>1715.7518262857141</v>
      </c>
      <c r="X393" s="1120">
        <v>2945.28</v>
      </c>
      <c r="Y393" s="1119"/>
      <c r="Z393" s="1119"/>
      <c r="AA393" s="1119"/>
      <c r="AB393" s="1119"/>
      <c r="AC393" s="1178">
        <v>4.8099999999999996</v>
      </c>
      <c r="AD393" s="1178">
        <v>8.33</v>
      </c>
      <c r="AE393" s="1178">
        <v>17626</v>
      </c>
      <c r="AF393" s="1178">
        <v>30257.001324243469</v>
      </c>
      <c r="AG393" s="1178">
        <v>629.65899999999999</v>
      </c>
      <c r="AH393" s="1178">
        <v>1080.8801314434256</v>
      </c>
      <c r="AI393" s="1178">
        <v>255.31800000000001</v>
      </c>
      <c r="AJ393" s="1178">
        <v>438.28191671979999</v>
      </c>
      <c r="AK393" s="919">
        <v>31.29</v>
      </c>
      <c r="AL393" s="919">
        <v>53.712786306341663</v>
      </c>
      <c r="AM393" s="919">
        <v>31.82</v>
      </c>
      <c r="AN393" s="919">
        <v>54.622590612585228</v>
      </c>
      <c r="AO393" s="919"/>
      <c r="AP393" s="919"/>
      <c r="AS393" s="1167"/>
      <c r="AT393" s="1167"/>
      <c r="AU393" s="1168"/>
      <c r="AV393" s="1168"/>
      <c r="AW393" s="1169"/>
      <c r="AX393" s="1169"/>
      <c r="AY393" s="1169"/>
      <c r="AZ393" s="1169"/>
      <c r="BA393" s="1861" t="s">
        <v>1</v>
      </c>
      <c r="BB393" s="1862">
        <v>2009</v>
      </c>
      <c r="BC393" s="1861" t="s">
        <v>592</v>
      </c>
      <c r="BD393" s="1861">
        <v>9</v>
      </c>
      <c r="BE393" s="1863">
        <v>41034000</v>
      </c>
      <c r="BF393" s="1801">
        <v>2.7406942197026351E-3</v>
      </c>
      <c r="BG393" s="1799"/>
      <c r="BH393" s="1799" t="s">
        <v>280</v>
      </c>
      <c r="BI393" s="1799" t="s">
        <v>312</v>
      </c>
      <c r="BJ393" s="1799" t="s">
        <v>21</v>
      </c>
      <c r="BK393" s="1799"/>
      <c r="BL393" s="1800">
        <v>29104850.5</v>
      </c>
      <c r="BM393" s="1801">
        <v>9.3767405899413306E-2</v>
      </c>
      <c r="BN393" s="1799">
        <v>2007</v>
      </c>
      <c r="BO393" s="1684"/>
      <c r="BP393" s="1696"/>
      <c r="BQ393" s="1169"/>
      <c r="BR393" s="1169"/>
      <c r="BS393" s="1169"/>
      <c r="BT393" s="1169"/>
      <c r="BU393" s="1169"/>
      <c r="BV393" s="1169"/>
      <c r="BW393" s="1169"/>
      <c r="BX393" s="1169"/>
      <c r="BY393" s="1169"/>
      <c r="BZ393" s="1169"/>
      <c r="CA393" s="1169"/>
      <c r="CB393" s="1169"/>
      <c r="CC393" s="1169"/>
      <c r="CD393" s="1169"/>
      <c r="CE393" s="1169"/>
      <c r="CF393" s="1169"/>
      <c r="CG393" s="1169"/>
      <c r="CH393" s="1169"/>
      <c r="CI393" s="1169"/>
      <c r="CJ393" s="1169"/>
      <c r="CK393" s="1169"/>
      <c r="CL393" s="1169"/>
      <c r="CM393" s="1169"/>
      <c r="CN393" s="1169"/>
      <c r="CO393" s="1169"/>
      <c r="CP393" s="1169"/>
      <c r="CQ393" s="1169"/>
      <c r="CR393" s="1169"/>
      <c r="CS393" s="1169"/>
      <c r="CT393" s="1169"/>
      <c r="CU393" s="1169"/>
      <c r="CV393" s="1169"/>
      <c r="CW393" s="1169"/>
      <c r="CX393" s="1169"/>
      <c r="CY393" s="1169"/>
      <c r="CZ393" s="1169"/>
      <c r="DA393" s="1168"/>
      <c r="DB393" s="1168"/>
      <c r="DC393" s="1168"/>
      <c r="DD393" s="1168"/>
      <c r="DE393" s="1168"/>
      <c r="DF393" s="1168"/>
      <c r="DG393" s="1168"/>
      <c r="DH393" s="1168"/>
      <c r="DI393" s="1168"/>
      <c r="DJ393" s="1168"/>
      <c r="DK393" s="1168"/>
      <c r="DL393" s="1168"/>
      <c r="DM393" s="1168"/>
      <c r="DN393" s="1168"/>
      <c r="DO393" s="1168"/>
      <c r="DP393" s="1168"/>
      <c r="DQ393" s="1168"/>
      <c r="DR393" s="1168"/>
      <c r="DS393" s="1168"/>
      <c r="DT393" s="1168"/>
      <c r="DU393" s="1168"/>
      <c r="DV393" s="1168"/>
      <c r="DW393" s="1168"/>
      <c r="DX393" s="1168"/>
      <c r="DY393" s="1168"/>
      <c r="DZ393" s="1168"/>
      <c r="EA393" s="1168"/>
      <c r="EB393" s="1168"/>
      <c r="EC393" s="1168"/>
      <c r="ED393" s="1168"/>
      <c r="EE393" s="1168"/>
      <c r="EF393" s="1168"/>
      <c r="EG393" s="1168"/>
      <c r="EH393" s="1168"/>
      <c r="EI393" s="1170"/>
      <c r="EJ393" s="1170"/>
      <c r="EK393" s="1170"/>
      <c r="EL393" s="1170"/>
      <c r="EM393" s="1170"/>
      <c r="EN393" s="1170"/>
      <c r="EO393" s="1170"/>
      <c r="EP393" s="1170"/>
      <c r="EQ393" s="1170"/>
      <c r="ER393" s="1170"/>
      <c r="ES393" s="1171"/>
      <c r="ET393" s="1171"/>
      <c r="EU393" s="1171"/>
      <c r="EV393" s="1171"/>
      <c r="EW393" s="1171"/>
      <c r="EX393" s="1171"/>
      <c r="EY393" s="1171"/>
      <c r="EZ393" s="1171"/>
      <c r="FA393" s="1171"/>
      <c r="FB393" s="1171"/>
      <c r="FC393" s="1171"/>
      <c r="FD393" s="1171"/>
      <c r="FE393" s="1171"/>
      <c r="FF393" s="1171"/>
      <c r="FG393" s="1171"/>
      <c r="FH393" s="1171"/>
      <c r="FI393" s="1171"/>
      <c r="FJ393" s="1171"/>
      <c r="FK393" s="1171"/>
      <c r="FL393" s="1171"/>
      <c r="FM393" s="1171"/>
      <c r="FN393" s="1171"/>
      <c r="FO393" s="1171"/>
      <c r="FP393" s="1171"/>
    </row>
    <row r="394" spans="1:172" s="607" customFormat="1">
      <c r="A394" s="607">
        <f t="shared" si="12"/>
        <v>2003</v>
      </c>
      <c r="B394" s="607">
        <f t="shared" si="13"/>
        <v>1</v>
      </c>
      <c r="C394" s="666">
        <v>37653</v>
      </c>
      <c r="D394" s="957">
        <v>0.5946499999999999</v>
      </c>
      <c r="E394" s="920">
        <v>165.19971649999997</v>
      </c>
      <c r="F394" s="920">
        <v>277.81</v>
      </c>
      <c r="G394" s="920"/>
      <c r="H394" s="920"/>
      <c r="I394" s="954">
        <v>358.97</v>
      </c>
      <c r="J394" s="954">
        <v>604.77</v>
      </c>
      <c r="K394" s="954"/>
      <c r="L394" s="920"/>
      <c r="M394" s="917">
        <v>8626.5</v>
      </c>
      <c r="N394" s="917">
        <v>14506.852770537293</v>
      </c>
      <c r="O394" s="1175">
        <v>1683.8</v>
      </c>
      <c r="P394" s="1175">
        <v>2831.5816026233924</v>
      </c>
      <c r="Q394" s="1175">
        <v>475.83</v>
      </c>
      <c r="R394" s="1175">
        <v>800.18498276296987</v>
      </c>
      <c r="S394" s="1175">
        <v>785.15</v>
      </c>
      <c r="T394" s="1175">
        <v>1320.3565122340874</v>
      </c>
      <c r="U394" s="920">
        <v>448.41961849999996</v>
      </c>
      <c r="V394" s="920">
        <v>754.09</v>
      </c>
      <c r="W394" s="920">
        <v>1719.8110509999997</v>
      </c>
      <c r="X394" s="920">
        <v>2892.14</v>
      </c>
      <c r="Y394" s="920"/>
      <c r="Z394" s="920"/>
      <c r="AA394" s="920"/>
      <c r="AB394" s="920"/>
      <c r="AC394" s="920">
        <v>4.6520000000000001</v>
      </c>
      <c r="AD394" s="920">
        <v>7.88</v>
      </c>
      <c r="AE394" s="920">
        <v>17085.900000000001</v>
      </c>
      <c r="AF394" s="920">
        <v>28732.699907508624</v>
      </c>
      <c r="AG394" s="920">
        <v>682.13</v>
      </c>
      <c r="AH394" s="920">
        <v>1147.1117464054487</v>
      </c>
      <c r="AI394" s="920">
        <v>253.2</v>
      </c>
      <c r="AJ394" s="920">
        <v>425.79668712688141</v>
      </c>
      <c r="AK394" s="920">
        <v>32.65</v>
      </c>
      <c r="AL394" s="920">
        <v>54.906247372403939</v>
      </c>
      <c r="AM394" s="920">
        <v>33.880000000000003</v>
      </c>
      <c r="AN394" s="920">
        <v>56.974690994702783</v>
      </c>
      <c r="AO394" s="920"/>
      <c r="AP394" s="920"/>
      <c r="AS394" s="1167"/>
      <c r="AT394" s="1167"/>
      <c r="AU394" s="1168"/>
      <c r="AV394" s="1168"/>
      <c r="AW394" s="1169"/>
      <c r="AX394" s="1169"/>
      <c r="AY394" s="1169"/>
      <c r="AZ394" s="1169"/>
      <c r="BA394" s="1861" t="s">
        <v>1</v>
      </c>
      <c r="BB394" s="1862">
        <v>2009</v>
      </c>
      <c r="BC394" s="1861" t="s">
        <v>77</v>
      </c>
      <c r="BD394" s="1861">
        <v>10</v>
      </c>
      <c r="BE394" s="1863">
        <v>19093000</v>
      </c>
      <c r="BF394" s="1801">
        <v>1.2752369921719164E-3</v>
      </c>
      <c r="BG394" s="1799"/>
      <c r="BH394" s="1799" t="s">
        <v>280</v>
      </c>
      <c r="BI394" s="1799" t="s">
        <v>312</v>
      </c>
      <c r="BJ394" s="1799" t="s">
        <v>249</v>
      </c>
      <c r="BK394" s="1799"/>
      <c r="BL394" s="1800">
        <v>806213403.55999982</v>
      </c>
      <c r="BM394" s="1801"/>
      <c r="BN394" s="1799">
        <v>2007</v>
      </c>
      <c r="BO394" s="1684"/>
      <c r="BP394" s="1696"/>
      <c r="BQ394" s="1169"/>
      <c r="BR394" s="1169"/>
      <c r="BS394" s="1169"/>
      <c r="BT394" s="1169"/>
      <c r="BU394" s="1169"/>
      <c r="BV394" s="1169"/>
      <c r="BW394" s="1169"/>
      <c r="BX394" s="1169"/>
      <c r="BY394" s="1169"/>
      <c r="BZ394" s="1169"/>
      <c r="CA394" s="1169"/>
      <c r="CB394" s="1169"/>
      <c r="CC394" s="1169"/>
      <c r="CD394" s="1169"/>
      <c r="CE394" s="1169"/>
      <c r="CF394" s="1169"/>
      <c r="CG394" s="1169"/>
      <c r="CH394" s="1169"/>
      <c r="CI394" s="1169"/>
      <c r="CJ394" s="1169"/>
      <c r="CK394" s="1169"/>
      <c r="CL394" s="1169"/>
      <c r="CM394" s="1169"/>
      <c r="CN394" s="1169"/>
      <c r="CO394" s="1169"/>
      <c r="CP394" s="1169"/>
      <c r="CQ394" s="1169"/>
      <c r="CR394" s="1169"/>
      <c r="CS394" s="1169"/>
      <c r="CT394" s="1169"/>
      <c r="CU394" s="1169"/>
      <c r="CV394" s="1169"/>
      <c r="CW394" s="1169"/>
      <c r="CX394" s="1169"/>
      <c r="CY394" s="1169"/>
      <c r="CZ394" s="1169"/>
      <c r="DA394" s="1168"/>
      <c r="DB394" s="1168"/>
      <c r="DC394" s="1168"/>
      <c r="DD394" s="1168"/>
      <c r="DE394" s="1168"/>
      <c r="DF394" s="1168"/>
      <c r="DG394" s="1168"/>
      <c r="DH394" s="1168"/>
      <c r="DI394" s="1168"/>
      <c r="DJ394" s="1168"/>
      <c r="DK394" s="1168"/>
      <c r="DL394" s="1168"/>
      <c r="DM394" s="1168"/>
      <c r="DN394" s="1168"/>
      <c r="DO394" s="1168"/>
      <c r="DP394" s="1168"/>
      <c r="DQ394" s="1168"/>
      <c r="DR394" s="1168"/>
      <c r="DS394" s="1168"/>
      <c r="DT394" s="1168"/>
      <c r="DU394" s="1168"/>
      <c r="DV394" s="1168"/>
      <c r="DW394" s="1168"/>
      <c r="DX394" s="1168"/>
      <c r="DY394" s="1168"/>
      <c r="DZ394" s="1168"/>
      <c r="EA394" s="1168"/>
      <c r="EB394" s="1168"/>
      <c r="EC394" s="1168"/>
      <c r="ED394" s="1168"/>
      <c r="EE394" s="1168"/>
      <c r="EF394" s="1168"/>
      <c r="EG394" s="1168"/>
      <c r="EH394" s="1168"/>
      <c r="EI394" s="1170"/>
      <c r="EJ394" s="1170"/>
      <c r="EK394" s="1170"/>
      <c r="EL394" s="1170"/>
      <c r="EM394" s="1170"/>
      <c r="EN394" s="1170"/>
      <c r="EO394" s="1170"/>
      <c r="EP394" s="1170"/>
      <c r="EQ394" s="1170"/>
      <c r="ER394" s="1170"/>
      <c r="ES394" s="1171"/>
      <c r="ET394" s="1171"/>
      <c r="EU394" s="1171"/>
      <c r="EV394" s="1171"/>
      <c r="EW394" s="1171"/>
      <c r="EX394" s="1171"/>
      <c r="EY394" s="1171"/>
      <c r="EZ394" s="1171"/>
      <c r="FA394" s="1171"/>
      <c r="FB394" s="1171"/>
      <c r="FC394" s="1171"/>
      <c r="FD394" s="1171"/>
      <c r="FE394" s="1171"/>
      <c r="FF394" s="1171"/>
      <c r="FG394" s="1171"/>
      <c r="FH394" s="1171"/>
      <c r="FI394" s="1171"/>
      <c r="FJ394" s="1171"/>
      <c r="FK394" s="1171"/>
      <c r="FL394" s="1171"/>
      <c r="FM394" s="1171"/>
      <c r="FN394" s="1171"/>
      <c r="FO394" s="1171"/>
      <c r="FP394" s="1171"/>
    </row>
    <row r="395" spans="1:172" s="607" customFormat="1">
      <c r="A395" s="607">
        <f t="shared" si="12"/>
        <v>2003</v>
      </c>
      <c r="B395" s="607">
        <f t="shared" si="13"/>
        <v>1</v>
      </c>
      <c r="C395" s="666">
        <v>37681</v>
      </c>
      <c r="D395" s="1709">
        <v>0.60232380952380937</v>
      </c>
      <c r="E395" s="1117">
        <v>168.09050552380947</v>
      </c>
      <c r="F395" s="1117">
        <v>279.07</v>
      </c>
      <c r="G395" s="1117"/>
      <c r="H395" s="1117"/>
      <c r="I395" s="959">
        <v>340.55</v>
      </c>
      <c r="J395" s="959">
        <v>567.21</v>
      </c>
      <c r="K395" s="960"/>
      <c r="L395" s="1121"/>
      <c r="M395" s="916">
        <v>8382.3799999999992</v>
      </c>
      <c r="N395" s="916">
        <v>13916.733603187657</v>
      </c>
      <c r="O395" s="1174">
        <v>1658.98</v>
      </c>
      <c r="P395" s="1174">
        <v>2754.2992220605915</v>
      </c>
      <c r="Q395" s="1174">
        <v>456.67</v>
      </c>
      <c r="R395" s="1174">
        <v>758.18022262981492</v>
      </c>
      <c r="S395" s="1174">
        <v>790.95</v>
      </c>
      <c r="T395" s="1174">
        <v>1313.1640946176717</v>
      </c>
      <c r="U395" s="1120">
        <v>443.59341599999988</v>
      </c>
      <c r="V395" s="1120">
        <v>736.47</v>
      </c>
      <c r="W395" s="1120">
        <v>1785.2456087619041</v>
      </c>
      <c r="X395" s="1120">
        <v>2963.93</v>
      </c>
      <c r="Y395" s="1119"/>
      <c r="Z395" s="1119"/>
      <c r="AA395" s="1119"/>
      <c r="AB395" s="1119"/>
      <c r="AC395" s="1178">
        <v>4.5279999999999996</v>
      </c>
      <c r="AD395" s="1178">
        <v>7.85</v>
      </c>
      <c r="AE395" s="1178">
        <v>21040.38</v>
      </c>
      <c r="AF395" s="1178">
        <v>34932.007779394102</v>
      </c>
      <c r="AG395" s="1178">
        <v>675</v>
      </c>
      <c r="AH395" s="1178">
        <v>1120.6596673202205</v>
      </c>
      <c r="AI395" s="1178">
        <v>223.833</v>
      </c>
      <c r="AJ395" s="1178">
        <v>371.61572639301761</v>
      </c>
      <c r="AK395" s="919">
        <v>30.34</v>
      </c>
      <c r="AL395" s="919">
        <v>50.37157675036368</v>
      </c>
      <c r="AM395" s="919">
        <v>31.26</v>
      </c>
      <c r="AN395" s="919">
        <v>51.898994371007539</v>
      </c>
      <c r="AO395" s="919"/>
      <c r="AP395" s="919"/>
      <c r="AS395" s="1167"/>
      <c r="AT395" s="1167"/>
      <c r="AU395" s="1168"/>
      <c r="AV395" s="1168"/>
      <c r="AW395" s="1169"/>
      <c r="AX395" s="1169"/>
      <c r="AY395" s="1169"/>
      <c r="AZ395" s="1169"/>
      <c r="BA395" s="1861" t="s">
        <v>1</v>
      </c>
      <c r="BB395" s="1862">
        <v>2009</v>
      </c>
      <c r="BC395" s="1861" t="s">
        <v>32</v>
      </c>
      <c r="BD395" s="1861"/>
      <c r="BE395" s="1863">
        <v>24072000</v>
      </c>
      <c r="BF395" s="1801">
        <v>1.6077884499849354E-3</v>
      </c>
      <c r="BG395" s="1799"/>
      <c r="BH395" s="1799" t="s">
        <v>280</v>
      </c>
      <c r="BI395" s="1799" t="s">
        <v>311</v>
      </c>
      <c r="BJ395" s="1799" t="s">
        <v>15</v>
      </c>
      <c r="BK395" s="1799">
        <v>1</v>
      </c>
      <c r="BL395" s="1800">
        <v>310394109.98765945</v>
      </c>
      <c r="BM395" s="1801">
        <v>2.0534176722264399</v>
      </c>
      <c r="BN395" s="1799">
        <v>2006</v>
      </c>
      <c r="BO395" s="1684"/>
      <c r="BP395" s="1696"/>
      <c r="BQ395" s="1169"/>
      <c r="BR395" s="1169"/>
      <c r="BS395" s="1169"/>
      <c r="BT395" s="1169"/>
      <c r="BU395" s="1169"/>
      <c r="BV395" s="1169"/>
      <c r="BW395" s="1169"/>
      <c r="BX395" s="1169"/>
      <c r="BY395" s="1169"/>
      <c r="BZ395" s="1169"/>
      <c r="CA395" s="1169"/>
      <c r="CB395" s="1169"/>
      <c r="CC395" s="1169"/>
      <c r="CD395" s="1169"/>
      <c r="CE395" s="1169"/>
      <c r="CF395" s="1169"/>
      <c r="CG395" s="1169"/>
      <c r="CH395" s="1169"/>
      <c r="CI395" s="1169"/>
      <c r="CJ395" s="1169"/>
      <c r="CK395" s="1169"/>
      <c r="CL395" s="1169"/>
      <c r="CM395" s="1169"/>
      <c r="CN395" s="1169"/>
      <c r="CO395" s="1169"/>
      <c r="CP395" s="1169"/>
      <c r="CQ395" s="1169"/>
      <c r="CR395" s="1169"/>
      <c r="CS395" s="1169"/>
      <c r="CT395" s="1169"/>
      <c r="CU395" s="1169"/>
      <c r="CV395" s="1169"/>
      <c r="CW395" s="1169"/>
      <c r="CX395" s="1169"/>
      <c r="CY395" s="1169"/>
      <c r="CZ395" s="1169"/>
      <c r="DA395" s="1168"/>
      <c r="DB395" s="1168"/>
      <c r="DC395" s="1168"/>
      <c r="DD395" s="1168"/>
      <c r="DE395" s="1168"/>
      <c r="DF395" s="1168"/>
      <c r="DG395" s="1168"/>
      <c r="DH395" s="1168"/>
      <c r="DI395" s="1168"/>
      <c r="DJ395" s="1168"/>
      <c r="DK395" s="1168"/>
      <c r="DL395" s="1168"/>
      <c r="DM395" s="1168"/>
      <c r="DN395" s="1168"/>
      <c r="DO395" s="1168"/>
      <c r="DP395" s="1168"/>
      <c r="DQ395" s="1168"/>
      <c r="DR395" s="1168"/>
      <c r="DS395" s="1168"/>
      <c r="DT395" s="1168"/>
      <c r="DU395" s="1168"/>
      <c r="DV395" s="1168"/>
      <c r="DW395" s="1168"/>
      <c r="DX395" s="1168"/>
      <c r="DY395" s="1168"/>
      <c r="DZ395" s="1168"/>
      <c r="EA395" s="1168"/>
      <c r="EB395" s="1168"/>
      <c r="EC395" s="1168"/>
      <c r="ED395" s="1168"/>
      <c r="EE395" s="1168"/>
      <c r="EF395" s="1168"/>
      <c r="EG395" s="1168"/>
      <c r="EH395" s="1168"/>
      <c r="EI395" s="1170"/>
      <c r="EJ395" s="1170"/>
      <c r="EK395" s="1170"/>
      <c r="EL395" s="1170"/>
      <c r="EM395" s="1170"/>
      <c r="EN395" s="1170"/>
      <c r="EO395" s="1170"/>
      <c r="EP395" s="1170"/>
      <c r="EQ395" s="1170"/>
      <c r="ER395" s="1170"/>
      <c r="ES395" s="1171"/>
      <c r="ET395" s="1171"/>
      <c r="EU395" s="1171"/>
      <c r="EV395" s="1171"/>
      <c r="EW395" s="1171"/>
      <c r="EX395" s="1171"/>
      <c r="EY395" s="1171"/>
      <c r="EZ395" s="1171"/>
      <c r="FA395" s="1171"/>
      <c r="FB395" s="1171"/>
      <c r="FC395" s="1171"/>
      <c r="FD395" s="1171"/>
      <c r="FE395" s="1171"/>
      <c r="FF395" s="1171"/>
      <c r="FG395" s="1171"/>
      <c r="FH395" s="1171"/>
      <c r="FI395" s="1171"/>
      <c r="FJ395" s="1171"/>
      <c r="FK395" s="1171"/>
      <c r="FL395" s="1171"/>
      <c r="FM395" s="1171"/>
      <c r="FN395" s="1171"/>
      <c r="FO395" s="1171"/>
      <c r="FP395" s="1171"/>
    </row>
    <row r="396" spans="1:172" s="607" customFormat="1">
      <c r="A396" s="607">
        <f t="shared" si="12"/>
        <v>2003</v>
      </c>
      <c r="B396" s="607">
        <f t="shared" si="13"/>
        <v>2</v>
      </c>
      <c r="C396" s="666">
        <v>37712</v>
      </c>
      <c r="D396" s="957">
        <v>0.60902631578947364</v>
      </c>
      <c r="E396" s="920">
        <v>172.44580131578945</v>
      </c>
      <c r="F396" s="920">
        <v>283.14999999999998</v>
      </c>
      <c r="G396" s="920"/>
      <c r="H396" s="920"/>
      <c r="I396" s="954">
        <v>327.82600000000002</v>
      </c>
      <c r="J396" s="954">
        <v>541.45000000000005</v>
      </c>
      <c r="K396" s="954"/>
      <c r="L396" s="920"/>
      <c r="M396" s="917">
        <v>7913.75</v>
      </c>
      <c r="N396" s="917">
        <v>12994.101888259949</v>
      </c>
      <c r="O396" s="1175">
        <v>1587.48</v>
      </c>
      <c r="P396" s="1175">
        <v>2606.5868729205376</v>
      </c>
      <c r="Q396" s="1175">
        <v>437.38</v>
      </c>
      <c r="R396" s="1175">
        <v>718.16272739057172</v>
      </c>
      <c r="S396" s="1175">
        <v>754.65</v>
      </c>
      <c r="T396" s="1175">
        <v>1239.1090178455688</v>
      </c>
      <c r="U396" s="920">
        <v>444.14462131578944</v>
      </c>
      <c r="V396" s="920">
        <v>729.27</v>
      </c>
      <c r="W396" s="920">
        <v>1771.0972484210524</v>
      </c>
      <c r="X396" s="920">
        <v>2908.08</v>
      </c>
      <c r="Y396" s="920"/>
      <c r="Z396" s="920"/>
      <c r="AA396" s="920"/>
      <c r="AB396" s="920"/>
      <c r="AC396" s="920">
        <v>4.4909999999999997</v>
      </c>
      <c r="AD396" s="920">
        <v>7.44</v>
      </c>
      <c r="AE396" s="920">
        <v>21040.38</v>
      </c>
      <c r="AF396" s="920">
        <v>34547.571187832182</v>
      </c>
      <c r="AG396" s="920">
        <v>623.26300000000003</v>
      </c>
      <c r="AH396" s="920">
        <v>1023.3761396534591</v>
      </c>
      <c r="AI396" s="920">
        <v>162.52600000000001</v>
      </c>
      <c r="AJ396" s="920">
        <v>266.86203171585362</v>
      </c>
      <c r="AK396" s="920">
        <v>25.02</v>
      </c>
      <c r="AL396" s="920">
        <v>41.081968629823272</v>
      </c>
      <c r="AM396" s="920">
        <v>27.62</v>
      </c>
      <c r="AN396" s="920">
        <v>45.351078079764946</v>
      </c>
      <c r="AO396" s="920"/>
      <c r="AP396" s="920"/>
      <c r="AS396" s="1167"/>
      <c r="AT396" s="1167"/>
      <c r="AU396" s="1168"/>
      <c r="AV396" s="1168"/>
      <c r="AW396" s="1169"/>
      <c r="AX396" s="1169"/>
      <c r="AY396" s="1169"/>
      <c r="AZ396" s="1169"/>
      <c r="BA396" s="1861" t="s">
        <v>1</v>
      </c>
      <c r="BB396" s="1862">
        <v>2009</v>
      </c>
      <c r="BC396" s="1861" t="s">
        <v>249</v>
      </c>
      <c r="BD396" s="1861"/>
      <c r="BE396" s="1863">
        <v>14972119000</v>
      </c>
      <c r="BF396" s="1801">
        <v>1</v>
      </c>
      <c r="BG396" s="1799"/>
      <c r="BH396" s="1799" t="s">
        <v>280</v>
      </c>
      <c r="BI396" s="1799" t="s">
        <v>311</v>
      </c>
      <c r="BJ396" s="1799" t="s">
        <v>252</v>
      </c>
      <c r="BK396" s="1799">
        <v>2</v>
      </c>
      <c r="BL396" s="1800">
        <v>218404553.71602443</v>
      </c>
      <c r="BM396" s="1801">
        <v>1.4448591512031064</v>
      </c>
      <c r="BN396" s="1799">
        <v>2006</v>
      </c>
      <c r="BO396" s="1684"/>
      <c r="BP396" s="1696"/>
      <c r="BQ396" s="1169"/>
      <c r="BR396" s="1169"/>
      <c r="BS396" s="1169"/>
      <c r="BT396" s="1169"/>
      <c r="BU396" s="1169"/>
      <c r="BV396" s="1169"/>
      <c r="BW396" s="1169"/>
      <c r="BX396" s="1169"/>
      <c r="BY396" s="1169"/>
      <c r="BZ396" s="1169"/>
      <c r="CA396" s="1169"/>
      <c r="CB396" s="1169"/>
      <c r="CC396" s="1169"/>
      <c r="CD396" s="1169"/>
      <c r="CE396" s="1169"/>
      <c r="CF396" s="1169"/>
      <c r="CG396" s="1169"/>
      <c r="CH396" s="1169"/>
      <c r="CI396" s="1169"/>
      <c r="CJ396" s="1169"/>
      <c r="CK396" s="1169"/>
      <c r="CL396" s="1169"/>
      <c r="CM396" s="1169"/>
      <c r="CN396" s="1169"/>
      <c r="CO396" s="1169"/>
      <c r="CP396" s="1169"/>
      <c r="CQ396" s="1169"/>
      <c r="CR396" s="1169"/>
      <c r="CS396" s="1169"/>
      <c r="CT396" s="1169"/>
      <c r="CU396" s="1169"/>
      <c r="CV396" s="1169"/>
      <c r="CW396" s="1169"/>
      <c r="CX396" s="1169"/>
      <c r="CY396" s="1169"/>
      <c r="CZ396" s="1169"/>
      <c r="DA396" s="1168"/>
      <c r="DB396" s="1168"/>
      <c r="DC396" s="1168"/>
      <c r="DD396" s="1168"/>
      <c r="DE396" s="1168"/>
      <c r="DF396" s="1168"/>
      <c r="DG396" s="1168"/>
      <c r="DH396" s="1168"/>
      <c r="DI396" s="1168"/>
      <c r="DJ396" s="1168"/>
      <c r="DK396" s="1168"/>
      <c r="DL396" s="1168"/>
      <c r="DM396" s="1168"/>
      <c r="DN396" s="1168"/>
      <c r="DO396" s="1168"/>
      <c r="DP396" s="1168"/>
      <c r="DQ396" s="1168"/>
      <c r="DR396" s="1168"/>
      <c r="DS396" s="1168"/>
      <c r="DT396" s="1168"/>
      <c r="DU396" s="1168"/>
      <c r="DV396" s="1168"/>
      <c r="DW396" s="1168"/>
      <c r="DX396" s="1168"/>
      <c r="DY396" s="1168"/>
      <c r="DZ396" s="1168"/>
      <c r="EA396" s="1168"/>
      <c r="EB396" s="1168"/>
      <c r="EC396" s="1168"/>
      <c r="ED396" s="1168"/>
      <c r="EE396" s="1168"/>
      <c r="EF396" s="1168"/>
      <c r="EG396" s="1168"/>
      <c r="EH396" s="1168"/>
      <c r="EI396" s="1170"/>
      <c r="EJ396" s="1170"/>
      <c r="EK396" s="1170"/>
      <c r="EL396" s="1170"/>
      <c r="EM396" s="1170"/>
      <c r="EN396" s="1170"/>
      <c r="EO396" s="1170"/>
      <c r="EP396" s="1170"/>
      <c r="EQ396" s="1170"/>
      <c r="ER396" s="1170"/>
      <c r="ES396" s="1171"/>
      <c r="ET396" s="1171"/>
      <c r="EU396" s="1171"/>
      <c r="EV396" s="1171"/>
      <c r="EW396" s="1171"/>
      <c r="EX396" s="1171"/>
      <c r="EY396" s="1171"/>
      <c r="EZ396" s="1171"/>
      <c r="FA396" s="1171"/>
      <c r="FB396" s="1171"/>
      <c r="FC396" s="1171"/>
      <c r="FD396" s="1171"/>
      <c r="FE396" s="1171"/>
      <c r="FF396" s="1171"/>
      <c r="FG396" s="1171"/>
      <c r="FH396" s="1171"/>
      <c r="FI396" s="1171"/>
      <c r="FJ396" s="1171"/>
      <c r="FK396" s="1171"/>
      <c r="FL396" s="1171"/>
      <c r="FM396" s="1171"/>
      <c r="FN396" s="1171"/>
      <c r="FO396" s="1171"/>
      <c r="FP396" s="1171"/>
    </row>
    <row r="397" spans="1:172" s="607" customFormat="1">
      <c r="A397" s="607">
        <f t="shared" si="12"/>
        <v>2003</v>
      </c>
      <c r="B397" s="607">
        <f t="shared" si="13"/>
        <v>2</v>
      </c>
      <c r="C397" s="666">
        <v>37742</v>
      </c>
      <c r="D397" s="1709">
        <v>0.6469954545454546</v>
      </c>
      <c r="E397" s="1117">
        <v>180.97756854545457</v>
      </c>
      <c r="F397" s="1117">
        <v>279.72000000000003</v>
      </c>
      <c r="G397" s="1117"/>
      <c r="H397" s="1117"/>
      <c r="I397" s="959">
        <v>354.96</v>
      </c>
      <c r="J397" s="959">
        <v>550.19000000000005</v>
      </c>
      <c r="K397" s="960"/>
      <c r="L397" s="1121"/>
      <c r="M397" s="916">
        <v>8333.75</v>
      </c>
      <c r="N397" s="916">
        <v>12880.693274506635</v>
      </c>
      <c r="O397" s="1174">
        <v>1648.28</v>
      </c>
      <c r="P397" s="1174">
        <v>2547.5913136947706</v>
      </c>
      <c r="Q397" s="1174">
        <v>463.5</v>
      </c>
      <c r="R397" s="1174">
        <v>716.38834051103345</v>
      </c>
      <c r="S397" s="1174">
        <v>775.65</v>
      </c>
      <c r="T397" s="1174">
        <v>1198.8492261432214</v>
      </c>
      <c r="U397" s="1120">
        <v>456.50058286363645</v>
      </c>
      <c r="V397" s="1120">
        <v>705.57</v>
      </c>
      <c r="W397" s="1120">
        <v>1809.7886253636364</v>
      </c>
      <c r="X397" s="1120">
        <v>2797.22</v>
      </c>
      <c r="Y397" s="1119"/>
      <c r="Z397" s="1119"/>
      <c r="AA397" s="1119"/>
      <c r="AB397" s="1119"/>
      <c r="AC397" s="1178">
        <v>4.7409999999999997</v>
      </c>
      <c r="AD397" s="1178">
        <v>7.37</v>
      </c>
      <c r="AE397" s="1178">
        <v>22906</v>
      </c>
      <c r="AF397" s="1178">
        <v>35403.649035050126</v>
      </c>
      <c r="AG397" s="1178">
        <v>649.476</v>
      </c>
      <c r="AH397" s="1178">
        <v>1003.8339457211305</v>
      </c>
      <c r="AI397" s="1178">
        <v>166.238</v>
      </c>
      <c r="AJ397" s="1178">
        <v>256.93843570630673</v>
      </c>
      <c r="AK397" s="919">
        <v>25.81</v>
      </c>
      <c r="AL397" s="919">
        <v>39.892088605371676</v>
      </c>
      <c r="AM397" s="919">
        <v>26.79</v>
      </c>
      <c r="AN397" s="919">
        <v>41.406782399763941</v>
      </c>
      <c r="AO397" s="919"/>
      <c r="AP397" s="919"/>
      <c r="AS397" s="1167"/>
      <c r="AT397" s="1167"/>
      <c r="AU397" s="1168"/>
      <c r="AV397" s="1168"/>
      <c r="AW397" s="1169"/>
      <c r="AX397" s="1169"/>
      <c r="AY397" s="1169"/>
      <c r="AZ397" s="1169"/>
      <c r="BA397" s="1864" t="s">
        <v>1</v>
      </c>
      <c r="BB397" s="1865">
        <v>2010</v>
      </c>
      <c r="BC397" s="1864" t="s">
        <v>18</v>
      </c>
      <c r="BD397" s="1864">
        <v>1</v>
      </c>
      <c r="BE397" s="1866">
        <v>5307039000</v>
      </c>
      <c r="BF397" s="1801">
        <v>0.3723641589466164</v>
      </c>
      <c r="BG397" s="1799"/>
      <c r="BH397" s="1799" t="s">
        <v>280</v>
      </c>
      <c r="BI397" s="1799" t="s">
        <v>311</v>
      </c>
      <c r="BJ397" s="1799" t="s">
        <v>253</v>
      </c>
      <c r="BK397" s="1799">
        <v>3</v>
      </c>
      <c r="BL397" s="1800">
        <v>178580050.71683997</v>
      </c>
      <c r="BM397" s="1801">
        <v>1.1813994539510824</v>
      </c>
      <c r="BN397" s="1799">
        <v>2006</v>
      </c>
      <c r="BO397" s="1684"/>
      <c r="BP397" s="1696"/>
      <c r="BQ397" s="1169"/>
      <c r="BR397" s="1169"/>
      <c r="BS397" s="1169"/>
      <c r="BT397" s="1169"/>
      <c r="BU397" s="1169"/>
      <c r="BV397" s="1169"/>
      <c r="BW397" s="1169"/>
      <c r="BX397" s="1169"/>
      <c r="BY397" s="1169"/>
      <c r="BZ397" s="1169"/>
      <c r="CA397" s="1169"/>
      <c r="CB397" s="1169"/>
      <c r="CC397" s="1169"/>
      <c r="CD397" s="1169"/>
      <c r="CE397" s="1169"/>
      <c r="CF397" s="1169"/>
      <c r="CG397" s="1169"/>
      <c r="CH397" s="1169"/>
      <c r="CI397" s="1169"/>
      <c r="CJ397" s="1169"/>
      <c r="CK397" s="1169"/>
      <c r="CL397" s="1169"/>
      <c r="CM397" s="1169"/>
      <c r="CN397" s="1169"/>
      <c r="CO397" s="1169"/>
      <c r="CP397" s="1169"/>
      <c r="CQ397" s="1169"/>
      <c r="CR397" s="1169"/>
      <c r="CS397" s="1169"/>
      <c r="CT397" s="1169"/>
      <c r="CU397" s="1169"/>
      <c r="CV397" s="1169"/>
      <c r="CW397" s="1169"/>
      <c r="CX397" s="1169"/>
      <c r="CY397" s="1169"/>
      <c r="CZ397" s="1169"/>
      <c r="DA397" s="1168"/>
      <c r="DB397" s="1168"/>
      <c r="DC397" s="1168"/>
      <c r="DD397" s="1168"/>
      <c r="DE397" s="1168"/>
      <c r="DF397" s="1168"/>
      <c r="DG397" s="1168"/>
      <c r="DH397" s="1168"/>
      <c r="DI397" s="1168"/>
      <c r="DJ397" s="1168"/>
      <c r="DK397" s="1168"/>
      <c r="DL397" s="1168"/>
      <c r="DM397" s="1168"/>
      <c r="DN397" s="1168"/>
      <c r="DO397" s="1168"/>
      <c r="DP397" s="1168"/>
      <c r="DQ397" s="1168"/>
      <c r="DR397" s="1168"/>
      <c r="DS397" s="1168"/>
      <c r="DT397" s="1168"/>
      <c r="DU397" s="1168"/>
      <c r="DV397" s="1168"/>
      <c r="DW397" s="1168"/>
      <c r="DX397" s="1168"/>
      <c r="DY397" s="1168"/>
      <c r="DZ397" s="1168"/>
      <c r="EA397" s="1168"/>
      <c r="EB397" s="1168"/>
      <c r="EC397" s="1168"/>
      <c r="ED397" s="1168"/>
      <c r="EE397" s="1168"/>
      <c r="EF397" s="1168"/>
      <c r="EG397" s="1168"/>
      <c r="EH397" s="1168"/>
      <c r="EI397" s="1170"/>
      <c r="EJ397" s="1170"/>
      <c r="EK397" s="1170"/>
      <c r="EL397" s="1170"/>
      <c r="EM397" s="1170"/>
      <c r="EN397" s="1170"/>
      <c r="EO397" s="1170"/>
      <c r="EP397" s="1170"/>
      <c r="EQ397" s="1170"/>
      <c r="ER397" s="1170"/>
      <c r="ES397" s="1171"/>
      <c r="ET397" s="1171"/>
      <c r="EU397" s="1171"/>
      <c r="EV397" s="1171"/>
      <c r="EW397" s="1171"/>
      <c r="EX397" s="1171"/>
      <c r="EY397" s="1171"/>
      <c r="EZ397" s="1171"/>
      <c r="FA397" s="1171"/>
      <c r="FB397" s="1171"/>
      <c r="FC397" s="1171"/>
      <c r="FD397" s="1171"/>
      <c r="FE397" s="1171"/>
      <c r="FF397" s="1171"/>
      <c r="FG397" s="1171"/>
      <c r="FH397" s="1171"/>
      <c r="FI397" s="1171"/>
      <c r="FJ397" s="1171"/>
      <c r="FK397" s="1171"/>
      <c r="FL397" s="1171"/>
      <c r="FM397" s="1171"/>
      <c r="FN397" s="1171"/>
      <c r="FO397" s="1171"/>
      <c r="FP397" s="1171"/>
    </row>
    <row r="398" spans="1:172" s="607" customFormat="1">
      <c r="A398" s="607">
        <f t="shared" si="12"/>
        <v>2003</v>
      </c>
      <c r="B398" s="607">
        <f t="shared" si="13"/>
        <v>2</v>
      </c>
      <c r="C398" s="666">
        <v>37773</v>
      </c>
      <c r="D398" s="957">
        <v>0.66425500000000004</v>
      </c>
      <c r="E398" s="920">
        <v>172.61330430000001</v>
      </c>
      <c r="F398" s="920">
        <v>259.86</v>
      </c>
      <c r="G398" s="920"/>
      <c r="H398" s="920"/>
      <c r="I398" s="954">
        <v>356.35199999999998</v>
      </c>
      <c r="J398" s="954">
        <v>538.96</v>
      </c>
      <c r="K398" s="954"/>
      <c r="L398" s="920"/>
      <c r="M398" s="917">
        <v>8877.86</v>
      </c>
      <c r="N398" s="917">
        <v>13365.138388119021</v>
      </c>
      <c r="O398" s="1175">
        <v>1686.5</v>
      </c>
      <c r="P398" s="1175">
        <v>2538.9345959006705</v>
      </c>
      <c r="Q398" s="1175">
        <v>468.02</v>
      </c>
      <c r="R398" s="1175">
        <v>704.57881385913538</v>
      </c>
      <c r="S398" s="1175">
        <v>790.69</v>
      </c>
      <c r="T398" s="1175">
        <v>1190.3410587801372</v>
      </c>
      <c r="U398" s="920">
        <v>467.61559235000004</v>
      </c>
      <c r="V398" s="920">
        <v>703.97</v>
      </c>
      <c r="W398" s="920">
        <v>1743.4700984999999</v>
      </c>
      <c r="X398" s="920">
        <v>2624.7</v>
      </c>
      <c r="Y398" s="920"/>
      <c r="Z398" s="920"/>
      <c r="AA398" s="920"/>
      <c r="AB398" s="920"/>
      <c r="AC398" s="920">
        <v>4.5259999999999998</v>
      </c>
      <c r="AD398" s="920">
        <v>6.87</v>
      </c>
      <c r="AE398" s="920">
        <v>25022.5</v>
      </c>
      <c r="AF398" s="920">
        <v>37670.021302060202</v>
      </c>
      <c r="AG398" s="920">
        <v>661.23800000000006</v>
      </c>
      <c r="AH398" s="920">
        <v>995.4580695666574</v>
      </c>
      <c r="AI398" s="920">
        <v>179.476</v>
      </c>
      <c r="AJ398" s="920">
        <v>270.19141745263488</v>
      </c>
      <c r="AK398" s="920">
        <v>27.55</v>
      </c>
      <c r="AL398" s="920">
        <v>41.475035942522069</v>
      </c>
      <c r="AM398" s="920">
        <v>27.2</v>
      </c>
      <c r="AN398" s="920">
        <v>40.948129859767704</v>
      </c>
      <c r="AO398" s="920"/>
      <c r="AP398" s="920"/>
      <c r="AS398" s="1167"/>
      <c r="AT398" s="1167"/>
      <c r="AU398" s="1168"/>
      <c r="AV398" s="1168"/>
      <c r="AW398" s="1169"/>
      <c r="AX398" s="1169"/>
      <c r="AY398" s="1169"/>
      <c r="AZ398" s="1169"/>
      <c r="BA398" s="1864" t="s">
        <v>1</v>
      </c>
      <c r="BB398" s="1865">
        <v>2010</v>
      </c>
      <c r="BC398" s="1864" t="s">
        <v>51</v>
      </c>
      <c r="BD398" s="1864">
        <v>2</v>
      </c>
      <c r="BE398" s="1866">
        <v>5166965000</v>
      </c>
      <c r="BF398" s="1801">
        <v>0.36253597844892488</v>
      </c>
      <c r="BG398" s="1799"/>
      <c r="BH398" s="1799" t="s">
        <v>280</v>
      </c>
      <c r="BI398" s="1799" t="s">
        <v>311</v>
      </c>
      <c r="BJ398" s="1799" t="s">
        <v>251</v>
      </c>
      <c r="BK398" s="1799">
        <v>4</v>
      </c>
      <c r="BL398" s="1800">
        <v>129193633.13769048</v>
      </c>
      <c r="BM398" s="1801">
        <v>0.85468274328601235</v>
      </c>
      <c r="BN398" s="1799">
        <v>2006</v>
      </c>
      <c r="BO398" s="1684"/>
      <c r="BP398" s="1696"/>
      <c r="BQ398" s="1169"/>
      <c r="BR398" s="1169"/>
      <c r="BS398" s="1169"/>
      <c r="BT398" s="1169"/>
      <c r="BU398" s="1169"/>
      <c r="BV398" s="1169"/>
      <c r="BW398" s="1169"/>
      <c r="BX398" s="1169"/>
      <c r="BY398" s="1169"/>
      <c r="BZ398" s="1169"/>
      <c r="CA398" s="1169"/>
      <c r="CB398" s="1169"/>
      <c r="CC398" s="1169"/>
      <c r="CD398" s="1169"/>
      <c r="CE398" s="1169"/>
      <c r="CF398" s="1169"/>
      <c r="CG398" s="1169"/>
      <c r="CH398" s="1169"/>
      <c r="CI398" s="1169"/>
      <c r="CJ398" s="1169"/>
      <c r="CK398" s="1169"/>
      <c r="CL398" s="1169"/>
      <c r="CM398" s="1169"/>
      <c r="CN398" s="1169"/>
      <c r="CO398" s="1169"/>
      <c r="CP398" s="1169"/>
      <c r="CQ398" s="1169"/>
      <c r="CR398" s="1169"/>
      <c r="CS398" s="1169"/>
      <c r="CT398" s="1169"/>
      <c r="CU398" s="1169"/>
      <c r="CV398" s="1169"/>
      <c r="CW398" s="1169"/>
      <c r="CX398" s="1169"/>
      <c r="CY398" s="1169"/>
      <c r="CZ398" s="1169"/>
      <c r="DA398" s="1168"/>
      <c r="DB398" s="1168"/>
      <c r="DC398" s="1168"/>
      <c r="DD398" s="1168"/>
      <c r="DE398" s="1168"/>
      <c r="DF398" s="1168"/>
      <c r="DG398" s="1168"/>
      <c r="DH398" s="1168"/>
      <c r="DI398" s="1168"/>
      <c r="DJ398" s="1168"/>
      <c r="DK398" s="1168"/>
      <c r="DL398" s="1168"/>
      <c r="DM398" s="1168"/>
      <c r="DN398" s="1168"/>
      <c r="DO398" s="1168"/>
      <c r="DP398" s="1168"/>
      <c r="DQ398" s="1168"/>
      <c r="DR398" s="1168"/>
      <c r="DS398" s="1168"/>
      <c r="DT398" s="1168"/>
      <c r="DU398" s="1168"/>
      <c r="DV398" s="1168"/>
      <c r="DW398" s="1168"/>
      <c r="DX398" s="1168"/>
      <c r="DY398" s="1168"/>
      <c r="DZ398" s="1168"/>
      <c r="EA398" s="1168"/>
      <c r="EB398" s="1168"/>
      <c r="EC398" s="1168"/>
      <c r="ED398" s="1168"/>
      <c r="EE398" s="1168"/>
      <c r="EF398" s="1168"/>
      <c r="EG398" s="1168"/>
      <c r="EH398" s="1168"/>
      <c r="EI398" s="1170"/>
      <c r="EJ398" s="1170"/>
      <c r="EK398" s="1170"/>
      <c r="EL398" s="1170"/>
      <c r="EM398" s="1170"/>
      <c r="EN398" s="1170"/>
      <c r="EO398" s="1170"/>
      <c r="EP398" s="1170"/>
      <c r="EQ398" s="1170"/>
      <c r="ER398" s="1170"/>
      <c r="ES398" s="1171"/>
      <c r="ET398" s="1171"/>
      <c r="EU398" s="1171"/>
      <c r="EV398" s="1171"/>
      <c r="EW398" s="1171"/>
      <c r="EX398" s="1171"/>
      <c r="EY398" s="1171"/>
      <c r="EZ398" s="1171"/>
      <c r="FA398" s="1171"/>
      <c r="FB398" s="1171"/>
      <c r="FC398" s="1171"/>
      <c r="FD398" s="1171"/>
      <c r="FE398" s="1171"/>
      <c r="FF398" s="1171"/>
      <c r="FG398" s="1171"/>
      <c r="FH398" s="1171"/>
      <c r="FI398" s="1171"/>
      <c r="FJ398" s="1171"/>
      <c r="FK398" s="1171"/>
      <c r="FL398" s="1171"/>
      <c r="FM398" s="1171"/>
      <c r="FN398" s="1171"/>
      <c r="FO398" s="1171"/>
      <c r="FP398" s="1171"/>
    </row>
    <row r="399" spans="1:172" s="607" customFormat="1">
      <c r="A399" s="607">
        <f t="shared" si="12"/>
        <v>2003</v>
      </c>
      <c r="B399" s="607">
        <f t="shared" si="13"/>
        <v>3</v>
      </c>
      <c r="C399" s="666">
        <v>37803</v>
      </c>
      <c r="D399" s="1709">
        <v>0.66213913043478267</v>
      </c>
      <c r="E399" s="1117">
        <v>170.60014695652174</v>
      </c>
      <c r="F399" s="1117">
        <v>257.64999999999998</v>
      </c>
      <c r="G399" s="1117"/>
      <c r="H399" s="1117"/>
      <c r="I399" s="959">
        <v>351.02</v>
      </c>
      <c r="J399" s="959">
        <v>530.99</v>
      </c>
      <c r="K399" s="960"/>
      <c r="L399" s="1121"/>
      <c r="M399" s="916">
        <v>8801.2999999999993</v>
      </c>
      <c r="N399" s="916">
        <v>13292.221521813357</v>
      </c>
      <c r="O399" s="1174">
        <v>1710</v>
      </c>
      <c r="P399" s="1174">
        <v>2582.5388070286026</v>
      </c>
      <c r="Q399" s="1174">
        <v>514.78</v>
      </c>
      <c r="R399" s="1174">
        <v>777.44989887847021</v>
      </c>
      <c r="S399" s="1174">
        <v>827.54</v>
      </c>
      <c r="T399" s="1174">
        <v>1249.7977569406139</v>
      </c>
      <c r="U399" s="1120">
        <v>457.4984107826088</v>
      </c>
      <c r="V399" s="1120">
        <v>690.94</v>
      </c>
      <c r="W399" s="1120">
        <v>1722.7271040000003</v>
      </c>
      <c r="X399" s="1120">
        <v>2601.7600000000002</v>
      </c>
      <c r="Y399" s="1119"/>
      <c r="Z399" s="1119"/>
      <c r="AA399" s="1119"/>
      <c r="AB399" s="1119"/>
      <c r="AC399" s="1178">
        <v>4.7960000000000003</v>
      </c>
      <c r="AD399" s="1178">
        <v>7.3</v>
      </c>
      <c r="AE399" s="1178">
        <v>23851.3</v>
      </c>
      <c r="AF399" s="1178">
        <v>36021.583536889651</v>
      </c>
      <c r="AG399" s="1178">
        <v>681.67399999999998</v>
      </c>
      <c r="AH399" s="1178">
        <v>1029.5026659312373</v>
      </c>
      <c r="AI399" s="1178">
        <v>173.21700000000001</v>
      </c>
      <c r="AJ399" s="1178">
        <v>261.60211961232369</v>
      </c>
      <c r="AK399" s="919">
        <v>28.4</v>
      </c>
      <c r="AL399" s="919">
        <v>42.891287789246967</v>
      </c>
      <c r="AM399" s="919">
        <v>28.56</v>
      </c>
      <c r="AN399" s="919">
        <v>43.132928847214558</v>
      </c>
      <c r="AO399" s="919"/>
      <c r="AP399" s="919"/>
      <c r="AS399" s="1167"/>
      <c r="AT399" s="1167"/>
      <c r="AU399" s="1168"/>
      <c r="AV399" s="1168"/>
      <c r="AW399" s="1169"/>
      <c r="AX399" s="1169"/>
      <c r="AY399" s="1169"/>
      <c r="AZ399" s="1169"/>
      <c r="BA399" s="1864" t="s">
        <v>1</v>
      </c>
      <c r="BB399" s="1865">
        <v>2010</v>
      </c>
      <c r="BC399" s="1864" t="s">
        <v>28</v>
      </c>
      <c r="BD399" s="1864">
        <v>3</v>
      </c>
      <c r="BE399" s="1866">
        <v>1614868000</v>
      </c>
      <c r="BF399" s="1801">
        <v>0.11330592532480062</v>
      </c>
      <c r="BG399" s="1799"/>
      <c r="BH399" s="1799" t="s">
        <v>280</v>
      </c>
      <c r="BI399" s="1799" t="s">
        <v>311</v>
      </c>
      <c r="BJ399" s="1799" t="s">
        <v>20</v>
      </c>
      <c r="BK399" s="1799">
        <v>5</v>
      </c>
      <c r="BL399" s="1800">
        <v>111479920.73463026</v>
      </c>
      <c r="BM399" s="1801">
        <v>0.737497368567959</v>
      </c>
      <c r="BN399" s="1799">
        <v>2006</v>
      </c>
      <c r="BO399" s="1684"/>
      <c r="BP399" s="1696"/>
      <c r="BQ399" s="1169"/>
      <c r="BR399" s="1169"/>
      <c r="BS399" s="1169"/>
      <c r="BT399" s="1169"/>
      <c r="BU399" s="1169"/>
      <c r="BV399" s="1169"/>
      <c r="BW399" s="1169"/>
      <c r="BX399" s="1169"/>
      <c r="BY399" s="1169"/>
      <c r="BZ399" s="1169"/>
      <c r="CA399" s="1169"/>
      <c r="CB399" s="1169"/>
      <c r="CC399" s="1169"/>
      <c r="CD399" s="1169"/>
      <c r="CE399" s="1169"/>
      <c r="CF399" s="1169"/>
      <c r="CG399" s="1169"/>
      <c r="CH399" s="1169"/>
      <c r="CI399" s="1169"/>
      <c r="CJ399" s="1169"/>
      <c r="CK399" s="1169"/>
      <c r="CL399" s="1169"/>
      <c r="CM399" s="1169"/>
      <c r="CN399" s="1169"/>
      <c r="CO399" s="1169"/>
      <c r="CP399" s="1169"/>
      <c r="CQ399" s="1169"/>
      <c r="CR399" s="1169"/>
      <c r="CS399" s="1169"/>
      <c r="CT399" s="1169"/>
      <c r="CU399" s="1169"/>
      <c r="CV399" s="1169"/>
      <c r="CW399" s="1169"/>
      <c r="CX399" s="1169"/>
      <c r="CY399" s="1169"/>
      <c r="CZ399" s="1169"/>
      <c r="DA399" s="1168"/>
      <c r="DB399" s="1168"/>
      <c r="DC399" s="1168"/>
      <c r="DD399" s="1168"/>
      <c r="DE399" s="1168"/>
      <c r="DF399" s="1168"/>
      <c r="DG399" s="1168"/>
      <c r="DH399" s="1168"/>
      <c r="DI399" s="1168"/>
      <c r="DJ399" s="1168"/>
      <c r="DK399" s="1168"/>
      <c r="DL399" s="1168"/>
      <c r="DM399" s="1168"/>
      <c r="DN399" s="1168"/>
      <c r="DO399" s="1168"/>
      <c r="DP399" s="1168"/>
      <c r="DQ399" s="1168"/>
      <c r="DR399" s="1168"/>
      <c r="DS399" s="1168"/>
      <c r="DT399" s="1168"/>
      <c r="DU399" s="1168"/>
      <c r="DV399" s="1168"/>
      <c r="DW399" s="1168"/>
      <c r="DX399" s="1168"/>
      <c r="DY399" s="1168"/>
      <c r="DZ399" s="1168"/>
      <c r="EA399" s="1168"/>
      <c r="EB399" s="1168"/>
      <c r="EC399" s="1168"/>
      <c r="ED399" s="1168"/>
      <c r="EE399" s="1168"/>
      <c r="EF399" s="1168"/>
      <c r="EG399" s="1168"/>
      <c r="EH399" s="1168"/>
      <c r="EI399" s="1170"/>
      <c r="EJ399" s="1170"/>
      <c r="EK399" s="1170"/>
      <c r="EL399" s="1170"/>
      <c r="EM399" s="1170"/>
      <c r="EN399" s="1170"/>
      <c r="EO399" s="1170"/>
      <c r="EP399" s="1170"/>
      <c r="EQ399" s="1170"/>
      <c r="ER399" s="1170"/>
      <c r="ES399" s="1171"/>
      <c r="ET399" s="1171"/>
      <c r="EU399" s="1171"/>
      <c r="EV399" s="1171"/>
      <c r="EW399" s="1171"/>
      <c r="EX399" s="1171"/>
      <c r="EY399" s="1171"/>
      <c r="EZ399" s="1171"/>
      <c r="FA399" s="1171"/>
      <c r="FB399" s="1171"/>
      <c r="FC399" s="1171"/>
      <c r="FD399" s="1171"/>
      <c r="FE399" s="1171"/>
      <c r="FF399" s="1171"/>
      <c r="FG399" s="1171"/>
      <c r="FH399" s="1171"/>
      <c r="FI399" s="1171"/>
      <c r="FJ399" s="1171"/>
      <c r="FK399" s="1171"/>
      <c r="FL399" s="1171"/>
      <c r="FM399" s="1171"/>
      <c r="FN399" s="1171"/>
      <c r="FO399" s="1171"/>
      <c r="FP399" s="1171"/>
    </row>
    <row r="400" spans="1:172" s="607" customFormat="1">
      <c r="A400" s="607">
        <f t="shared" si="12"/>
        <v>2003</v>
      </c>
      <c r="B400" s="607">
        <f t="shared" si="13"/>
        <v>3</v>
      </c>
      <c r="C400" s="666">
        <v>37834</v>
      </c>
      <c r="D400" s="957">
        <v>0.65117999999999987</v>
      </c>
      <c r="E400" s="920">
        <v>178.60565039999994</v>
      </c>
      <c r="F400" s="920">
        <v>274.27999999999997</v>
      </c>
      <c r="G400" s="920"/>
      <c r="H400" s="920"/>
      <c r="I400" s="954">
        <v>359.76799999999997</v>
      </c>
      <c r="J400" s="954">
        <v>553.16999999999996</v>
      </c>
      <c r="K400" s="954"/>
      <c r="L400" s="920"/>
      <c r="M400" s="917">
        <v>9355</v>
      </c>
      <c r="N400" s="917">
        <v>14366.227463988454</v>
      </c>
      <c r="O400" s="1175">
        <v>1760.28</v>
      </c>
      <c r="P400" s="1175">
        <v>2703.2157007279097</v>
      </c>
      <c r="Q400" s="1175">
        <v>496.53</v>
      </c>
      <c r="R400" s="1175">
        <v>762.50806228692534</v>
      </c>
      <c r="S400" s="1175">
        <v>817.88</v>
      </c>
      <c r="T400" s="1175">
        <v>1255.9968057987041</v>
      </c>
      <c r="U400" s="920">
        <v>471.20687159999989</v>
      </c>
      <c r="V400" s="920">
        <v>723.62</v>
      </c>
      <c r="W400" s="920">
        <v>1738.7547887999995</v>
      </c>
      <c r="X400" s="920">
        <v>2670.16</v>
      </c>
      <c r="Y400" s="920"/>
      <c r="Z400" s="920"/>
      <c r="AA400" s="920"/>
      <c r="AB400" s="920"/>
      <c r="AC400" s="920">
        <v>4.9909999999999997</v>
      </c>
      <c r="AD400" s="920">
        <v>7.72</v>
      </c>
      <c r="AE400" s="920">
        <v>23865</v>
      </c>
      <c r="AF400" s="920">
        <v>36648.852851746065</v>
      </c>
      <c r="AG400" s="920">
        <v>692.2</v>
      </c>
      <c r="AH400" s="920">
        <v>1062.993335176142</v>
      </c>
      <c r="AI400" s="920">
        <v>181.92500000000001</v>
      </c>
      <c r="AJ400" s="920">
        <v>279.3774378819989</v>
      </c>
      <c r="AK400" s="920">
        <v>29.83</v>
      </c>
      <c r="AL400" s="920">
        <v>45.809146472557515</v>
      </c>
      <c r="AM400" s="920">
        <v>30.64</v>
      </c>
      <c r="AN400" s="920">
        <v>47.053042169599813</v>
      </c>
      <c r="AO400" s="920"/>
      <c r="AP400" s="920"/>
      <c r="AS400" s="1167"/>
      <c r="AT400" s="1167"/>
      <c r="AU400" s="1168"/>
      <c r="AV400" s="1168"/>
      <c r="AW400" s="1169"/>
      <c r="AX400" s="1169"/>
      <c r="AY400" s="1169"/>
      <c r="AZ400" s="1169"/>
      <c r="BA400" s="1864" t="s">
        <v>1</v>
      </c>
      <c r="BB400" s="1865">
        <v>2010</v>
      </c>
      <c r="BC400" s="1864" t="s">
        <v>49</v>
      </c>
      <c r="BD400" s="1864">
        <v>4</v>
      </c>
      <c r="BE400" s="1866">
        <v>705352000</v>
      </c>
      <c r="BF400" s="1801">
        <v>4.94904605451955E-2</v>
      </c>
      <c r="BG400" s="1799"/>
      <c r="BH400" s="1799" t="s">
        <v>280</v>
      </c>
      <c r="BI400" s="1799" t="s">
        <v>311</v>
      </c>
      <c r="BJ400" s="1799" t="s">
        <v>23</v>
      </c>
      <c r="BK400" s="1799">
        <v>6</v>
      </c>
      <c r="BL400" s="1800">
        <v>79607369.788687542</v>
      </c>
      <c r="BM400" s="1801">
        <v>0.52664394942950188</v>
      </c>
      <c r="BN400" s="1799">
        <v>2006</v>
      </c>
      <c r="BO400" s="1684"/>
      <c r="BP400" s="1696"/>
      <c r="BQ400" s="1169"/>
      <c r="BR400" s="1169"/>
      <c r="BS400" s="1169"/>
      <c r="BT400" s="1169"/>
      <c r="BU400" s="1169"/>
      <c r="BV400" s="1169"/>
      <c r="BW400" s="1169"/>
      <c r="BX400" s="1169"/>
      <c r="BY400" s="1169"/>
      <c r="BZ400" s="1169"/>
      <c r="CA400" s="1169"/>
      <c r="CB400" s="1169"/>
      <c r="CC400" s="1169"/>
      <c r="CD400" s="1169"/>
      <c r="CE400" s="1169"/>
      <c r="CF400" s="1169"/>
      <c r="CG400" s="1169"/>
      <c r="CH400" s="1169"/>
      <c r="CI400" s="1169"/>
      <c r="CJ400" s="1169"/>
      <c r="CK400" s="1169"/>
      <c r="CL400" s="1169"/>
      <c r="CM400" s="1169"/>
      <c r="CN400" s="1169"/>
      <c r="CO400" s="1169"/>
      <c r="CP400" s="1169"/>
      <c r="CQ400" s="1169"/>
      <c r="CR400" s="1169"/>
      <c r="CS400" s="1169"/>
      <c r="CT400" s="1169"/>
      <c r="CU400" s="1169"/>
      <c r="CV400" s="1169"/>
      <c r="CW400" s="1169"/>
      <c r="CX400" s="1169"/>
      <c r="CY400" s="1169"/>
      <c r="CZ400" s="1169"/>
      <c r="DA400" s="1168"/>
      <c r="DB400" s="1168"/>
      <c r="DC400" s="1168"/>
      <c r="DD400" s="1168"/>
      <c r="DE400" s="1168"/>
      <c r="DF400" s="1168"/>
      <c r="DG400" s="1168"/>
      <c r="DH400" s="1168"/>
      <c r="DI400" s="1168"/>
      <c r="DJ400" s="1168"/>
      <c r="DK400" s="1168"/>
      <c r="DL400" s="1168"/>
      <c r="DM400" s="1168"/>
      <c r="DN400" s="1168"/>
      <c r="DO400" s="1168"/>
      <c r="DP400" s="1168"/>
      <c r="DQ400" s="1168"/>
      <c r="DR400" s="1168"/>
      <c r="DS400" s="1168"/>
      <c r="DT400" s="1168"/>
      <c r="DU400" s="1168"/>
      <c r="DV400" s="1168"/>
      <c r="DW400" s="1168"/>
      <c r="DX400" s="1168"/>
      <c r="DY400" s="1168"/>
      <c r="DZ400" s="1168"/>
      <c r="EA400" s="1168"/>
      <c r="EB400" s="1168"/>
      <c r="EC400" s="1168"/>
      <c r="ED400" s="1168"/>
      <c r="EE400" s="1168"/>
      <c r="EF400" s="1168"/>
      <c r="EG400" s="1168"/>
      <c r="EH400" s="1168"/>
      <c r="EI400" s="1170"/>
      <c r="EJ400" s="1170"/>
      <c r="EK400" s="1170"/>
      <c r="EL400" s="1170"/>
      <c r="EM400" s="1170"/>
      <c r="EN400" s="1170"/>
      <c r="EO400" s="1170"/>
      <c r="EP400" s="1170"/>
      <c r="EQ400" s="1170"/>
      <c r="ER400" s="1170"/>
      <c r="ES400" s="1171"/>
      <c r="ET400" s="1171"/>
      <c r="EU400" s="1171"/>
      <c r="EV400" s="1171"/>
      <c r="EW400" s="1171"/>
      <c r="EX400" s="1171"/>
      <c r="EY400" s="1171"/>
      <c r="EZ400" s="1171"/>
      <c r="FA400" s="1171"/>
      <c r="FB400" s="1171"/>
      <c r="FC400" s="1171"/>
      <c r="FD400" s="1171"/>
      <c r="FE400" s="1171"/>
      <c r="FF400" s="1171"/>
      <c r="FG400" s="1171"/>
      <c r="FH400" s="1171"/>
      <c r="FI400" s="1171"/>
      <c r="FJ400" s="1171"/>
      <c r="FK400" s="1171"/>
      <c r="FL400" s="1171"/>
      <c r="FM400" s="1171"/>
      <c r="FN400" s="1171"/>
      <c r="FO400" s="1171"/>
      <c r="FP400" s="1171"/>
    </row>
    <row r="401" spans="1:172" s="607" customFormat="1">
      <c r="A401" s="607">
        <f t="shared" si="12"/>
        <v>2003</v>
      </c>
      <c r="B401" s="607">
        <f t="shared" si="13"/>
        <v>3</v>
      </c>
      <c r="C401" s="666">
        <v>37865</v>
      </c>
      <c r="D401" s="1709">
        <v>0.66141363636363637</v>
      </c>
      <c r="E401" s="1117">
        <v>184.21031186363635</v>
      </c>
      <c r="F401" s="1117">
        <v>278.51</v>
      </c>
      <c r="G401" s="1117"/>
      <c r="H401" s="1117"/>
      <c r="I401" s="959">
        <v>378.94499999999999</v>
      </c>
      <c r="J401" s="959">
        <v>574.98</v>
      </c>
      <c r="K401" s="960"/>
      <c r="L401" s="1121"/>
      <c r="M401" s="916">
        <v>9968</v>
      </c>
      <c r="N401" s="916">
        <v>15070.750664898187</v>
      </c>
      <c r="O401" s="1174">
        <v>1789.52</v>
      </c>
      <c r="P401" s="1174">
        <v>2705.5988894310394</v>
      </c>
      <c r="Q401" s="1174">
        <v>521</v>
      </c>
      <c r="R401" s="1174">
        <v>787.70677130938554</v>
      </c>
      <c r="S401" s="1174">
        <v>818.18</v>
      </c>
      <c r="T401" s="1174">
        <v>1237.0171327253609</v>
      </c>
      <c r="U401" s="1120">
        <v>448.29954859090907</v>
      </c>
      <c r="V401" s="1120">
        <v>677.79</v>
      </c>
      <c r="W401" s="1120">
        <v>1711.3151861818183</v>
      </c>
      <c r="X401" s="1120">
        <v>2587.36</v>
      </c>
      <c r="Y401" s="1119"/>
      <c r="Z401" s="1119"/>
      <c r="AA401" s="1119"/>
      <c r="AB401" s="1119"/>
      <c r="AC401" s="1178">
        <v>5.1769999999999996</v>
      </c>
      <c r="AD401" s="1178">
        <v>7.89</v>
      </c>
      <c r="AE401" s="1178">
        <v>23258.799999999999</v>
      </c>
      <c r="AF401" s="1178">
        <v>35165.286473187596</v>
      </c>
      <c r="AG401" s="1178">
        <v>705.34100000000001</v>
      </c>
      <c r="AH401" s="1178">
        <v>1066.4143604263595</v>
      </c>
      <c r="AI401" s="1178">
        <v>210.90899999999999</v>
      </c>
      <c r="AJ401" s="1178">
        <v>318.87609871418653</v>
      </c>
      <c r="AK401" s="919">
        <v>27.1</v>
      </c>
      <c r="AL401" s="919">
        <v>40.972847413597599</v>
      </c>
      <c r="AM401" s="919">
        <v>29.42</v>
      </c>
      <c r="AN401" s="919">
        <v>44.480486011366843</v>
      </c>
      <c r="AO401" s="919"/>
      <c r="AP401" s="919"/>
      <c r="AS401" s="1167"/>
      <c r="AT401" s="1167"/>
      <c r="AU401" s="1168"/>
      <c r="AV401" s="1168"/>
      <c r="AW401" s="1169"/>
      <c r="AX401" s="1169"/>
      <c r="AY401" s="1169"/>
      <c r="AZ401" s="1169"/>
      <c r="BA401" s="1864" t="s">
        <v>1</v>
      </c>
      <c r="BB401" s="1865">
        <v>2010</v>
      </c>
      <c r="BC401" s="1864" t="s">
        <v>592</v>
      </c>
      <c r="BD401" s="1864">
        <v>5</v>
      </c>
      <c r="BE401" s="1866">
        <v>501813000</v>
      </c>
      <c r="BF401" s="1801">
        <v>3.5209308937333685E-2</v>
      </c>
      <c r="BG401" s="1799"/>
      <c r="BH401" s="1799" t="s">
        <v>280</v>
      </c>
      <c r="BI401" s="1799" t="s">
        <v>311</v>
      </c>
      <c r="BJ401" s="1799" t="s">
        <v>581</v>
      </c>
      <c r="BK401" s="1799">
        <v>7</v>
      </c>
      <c r="BL401" s="1800">
        <v>76776845.556884617</v>
      </c>
      <c r="BM401" s="1801">
        <v>0.50791856678780045</v>
      </c>
      <c r="BN401" s="1799">
        <v>2006</v>
      </c>
      <c r="BO401" s="1684"/>
      <c r="BP401" s="1696"/>
      <c r="BQ401" s="1169"/>
      <c r="BR401" s="1169"/>
      <c r="BS401" s="1169"/>
      <c r="BT401" s="1169"/>
      <c r="BU401" s="1169"/>
      <c r="BV401" s="1169"/>
      <c r="BW401" s="1169"/>
      <c r="BX401" s="1169"/>
      <c r="BY401" s="1169"/>
      <c r="BZ401" s="1169"/>
      <c r="CA401" s="1169"/>
      <c r="CB401" s="1169"/>
      <c r="CC401" s="1169"/>
      <c r="CD401" s="1169"/>
      <c r="CE401" s="1169"/>
      <c r="CF401" s="1169"/>
      <c r="CG401" s="1169"/>
      <c r="CH401" s="1169"/>
      <c r="CI401" s="1169"/>
      <c r="CJ401" s="1169"/>
      <c r="CK401" s="1169"/>
      <c r="CL401" s="1169"/>
      <c r="CM401" s="1169"/>
      <c r="CN401" s="1169"/>
      <c r="CO401" s="1169"/>
      <c r="CP401" s="1169"/>
      <c r="CQ401" s="1169"/>
      <c r="CR401" s="1169"/>
      <c r="CS401" s="1169"/>
      <c r="CT401" s="1169"/>
      <c r="CU401" s="1169"/>
      <c r="CV401" s="1169"/>
      <c r="CW401" s="1169"/>
      <c r="CX401" s="1169"/>
      <c r="CY401" s="1169"/>
      <c r="CZ401" s="1169"/>
      <c r="DA401" s="1168"/>
      <c r="DB401" s="1168"/>
      <c r="DC401" s="1168"/>
      <c r="DD401" s="1168"/>
      <c r="DE401" s="1168"/>
      <c r="DF401" s="1168"/>
      <c r="DG401" s="1168"/>
      <c r="DH401" s="1168"/>
      <c r="DI401" s="1168"/>
      <c r="DJ401" s="1168"/>
      <c r="DK401" s="1168"/>
      <c r="DL401" s="1168"/>
      <c r="DM401" s="1168"/>
      <c r="DN401" s="1168"/>
      <c r="DO401" s="1168"/>
      <c r="DP401" s="1168"/>
      <c r="DQ401" s="1168"/>
      <c r="DR401" s="1168"/>
      <c r="DS401" s="1168"/>
      <c r="DT401" s="1168"/>
      <c r="DU401" s="1168"/>
      <c r="DV401" s="1168"/>
      <c r="DW401" s="1168"/>
      <c r="DX401" s="1168"/>
      <c r="DY401" s="1168"/>
      <c r="DZ401" s="1168"/>
      <c r="EA401" s="1168"/>
      <c r="EB401" s="1168"/>
      <c r="EC401" s="1168"/>
      <c r="ED401" s="1168"/>
      <c r="EE401" s="1168"/>
      <c r="EF401" s="1168"/>
      <c r="EG401" s="1168"/>
      <c r="EH401" s="1168"/>
      <c r="EI401" s="1170"/>
      <c r="EJ401" s="1170"/>
      <c r="EK401" s="1170"/>
      <c r="EL401" s="1170"/>
      <c r="EM401" s="1170"/>
      <c r="EN401" s="1170"/>
      <c r="EO401" s="1170"/>
      <c r="EP401" s="1170"/>
      <c r="EQ401" s="1170"/>
      <c r="ER401" s="1170"/>
      <c r="ES401" s="1171"/>
      <c r="ET401" s="1171"/>
      <c r="EU401" s="1171"/>
      <c r="EV401" s="1171"/>
      <c r="EW401" s="1171"/>
      <c r="EX401" s="1171"/>
      <c r="EY401" s="1171"/>
      <c r="EZ401" s="1171"/>
      <c r="FA401" s="1171"/>
      <c r="FB401" s="1171"/>
      <c r="FC401" s="1171"/>
      <c r="FD401" s="1171"/>
      <c r="FE401" s="1171"/>
      <c r="FF401" s="1171"/>
      <c r="FG401" s="1171"/>
      <c r="FH401" s="1171"/>
      <c r="FI401" s="1171"/>
      <c r="FJ401" s="1171"/>
      <c r="FK401" s="1171"/>
      <c r="FL401" s="1171"/>
      <c r="FM401" s="1171"/>
      <c r="FN401" s="1171"/>
      <c r="FO401" s="1171"/>
      <c r="FP401" s="1171"/>
    </row>
    <row r="402" spans="1:172" s="607" customFormat="1">
      <c r="A402" s="607">
        <f t="shared" si="12"/>
        <v>2003</v>
      </c>
      <c r="B402" s="607">
        <f t="shared" si="13"/>
        <v>4</v>
      </c>
      <c r="C402" s="666">
        <v>37895</v>
      </c>
      <c r="D402" s="957">
        <v>0.69406363636363622</v>
      </c>
      <c r="E402" s="920">
        <v>185.91882627272724</v>
      </c>
      <c r="F402" s="920">
        <v>267.87</v>
      </c>
      <c r="G402" s="920"/>
      <c r="H402" s="920"/>
      <c r="I402" s="954">
        <v>378.82400000000001</v>
      </c>
      <c r="J402" s="954">
        <v>547.51</v>
      </c>
      <c r="K402" s="954"/>
      <c r="L402" s="920"/>
      <c r="M402" s="917">
        <v>11051.52</v>
      </c>
      <c r="N402" s="917">
        <v>15922.920350504935</v>
      </c>
      <c r="O402" s="1175">
        <v>1920.54</v>
      </c>
      <c r="P402" s="1175">
        <v>2767.0949742622506</v>
      </c>
      <c r="Q402" s="1175">
        <v>587.33000000000004</v>
      </c>
      <c r="R402" s="1175">
        <v>846.21923585733578</v>
      </c>
      <c r="S402" s="1175">
        <v>897.96</v>
      </c>
      <c r="T402" s="1175">
        <v>1293.7718574403714</v>
      </c>
      <c r="U402" s="920">
        <v>475.13514354545447</v>
      </c>
      <c r="V402" s="920">
        <v>684.57</v>
      </c>
      <c r="W402" s="920">
        <v>1732.077448363636</v>
      </c>
      <c r="X402" s="920">
        <v>2495.56</v>
      </c>
      <c r="Y402" s="920"/>
      <c r="Z402" s="920"/>
      <c r="AA402" s="920"/>
      <c r="AB402" s="920"/>
      <c r="AC402" s="920">
        <v>5.0019999999999998</v>
      </c>
      <c r="AD402" s="920">
        <v>7.26</v>
      </c>
      <c r="AE402" s="920">
        <v>24526.400000000001</v>
      </c>
      <c r="AF402" s="920">
        <v>35337.393741731838</v>
      </c>
      <c r="AG402" s="920">
        <v>732.47799999999995</v>
      </c>
      <c r="AH402" s="920">
        <v>1055.3470339371554</v>
      </c>
      <c r="AI402" s="920">
        <v>201.39099999999999</v>
      </c>
      <c r="AJ402" s="920">
        <v>290.16215437410773</v>
      </c>
      <c r="AK402" s="920">
        <v>29.59</v>
      </c>
      <c r="AL402" s="920">
        <v>42.632978375050762</v>
      </c>
      <c r="AM402" s="920">
        <v>31.72</v>
      </c>
      <c r="AN402" s="920">
        <v>45.701861238817514</v>
      </c>
      <c r="AO402" s="920"/>
      <c r="AP402" s="920"/>
      <c r="AS402" s="1167"/>
      <c r="AT402" s="1167"/>
      <c r="AU402" s="1168"/>
      <c r="AV402" s="1168"/>
      <c r="AW402" s="1169"/>
      <c r="AX402" s="1169"/>
      <c r="AY402" s="1169"/>
      <c r="AZ402" s="1169"/>
      <c r="BA402" s="1864" t="s">
        <v>1</v>
      </c>
      <c r="BB402" s="1865">
        <v>2010</v>
      </c>
      <c r="BC402" s="1864" t="s">
        <v>581</v>
      </c>
      <c r="BD402" s="1864">
        <v>6</v>
      </c>
      <c r="BE402" s="1866">
        <v>465929000</v>
      </c>
      <c r="BF402" s="1801">
        <v>3.2691536695667406E-2</v>
      </c>
      <c r="BG402" s="1799"/>
      <c r="BH402" s="1799" t="s">
        <v>280</v>
      </c>
      <c r="BI402" s="1799" t="s">
        <v>311</v>
      </c>
      <c r="BJ402" s="1799" t="s">
        <v>54</v>
      </c>
      <c r="BK402" s="1799">
        <v>8</v>
      </c>
      <c r="BL402" s="1800">
        <v>70589148.458777606</v>
      </c>
      <c r="BM402" s="1801">
        <v>0.46698374823682232</v>
      </c>
      <c r="BN402" s="1799">
        <v>2006</v>
      </c>
      <c r="BO402" s="1684"/>
      <c r="BP402" s="1696"/>
      <c r="BQ402" s="1169"/>
      <c r="BR402" s="1169"/>
      <c r="BS402" s="1169"/>
      <c r="BT402" s="1169"/>
      <c r="BU402" s="1169"/>
      <c r="BV402" s="1169"/>
      <c r="BW402" s="1169"/>
      <c r="BX402" s="1169"/>
      <c r="BY402" s="1169"/>
      <c r="BZ402" s="1169"/>
      <c r="CA402" s="1169"/>
      <c r="CB402" s="1169"/>
      <c r="CC402" s="1169"/>
      <c r="CD402" s="1169"/>
      <c r="CE402" s="1169"/>
      <c r="CF402" s="1169"/>
      <c r="CG402" s="1169"/>
      <c r="CH402" s="1169"/>
      <c r="CI402" s="1169"/>
      <c r="CJ402" s="1169"/>
      <c r="CK402" s="1169"/>
      <c r="CL402" s="1169"/>
      <c r="CM402" s="1169"/>
      <c r="CN402" s="1169"/>
      <c r="CO402" s="1169"/>
      <c r="CP402" s="1169"/>
      <c r="CQ402" s="1169"/>
      <c r="CR402" s="1169"/>
      <c r="CS402" s="1169"/>
      <c r="CT402" s="1169"/>
      <c r="CU402" s="1169"/>
      <c r="CV402" s="1169"/>
      <c r="CW402" s="1169"/>
      <c r="CX402" s="1169"/>
      <c r="CY402" s="1169"/>
      <c r="CZ402" s="1169"/>
      <c r="DA402" s="1168"/>
      <c r="DB402" s="1168"/>
      <c r="DC402" s="1168"/>
      <c r="DD402" s="1168"/>
      <c r="DE402" s="1168"/>
      <c r="DF402" s="1168"/>
      <c r="DG402" s="1168"/>
      <c r="DH402" s="1168"/>
      <c r="DI402" s="1168"/>
      <c r="DJ402" s="1168"/>
      <c r="DK402" s="1168"/>
      <c r="DL402" s="1168"/>
      <c r="DM402" s="1168"/>
      <c r="DN402" s="1168"/>
      <c r="DO402" s="1168"/>
      <c r="DP402" s="1168"/>
      <c r="DQ402" s="1168"/>
      <c r="DR402" s="1168"/>
      <c r="DS402" s="1168"/>
      <c r="DT402" s="1168"/>
      <c r="DU402" s="1168"/>
      <c r="DV402" s="1168"/>
      <c r="DW402" s="1168"/>
      <c r="DX402" s="1168"/>
      <c r="DY402" s="1168"/>
      <c r="DZ402" s="1168"/>
      <c r="EA402" s="1168"/>
      <c r="EB402" s="1168"/>
      <c r="EC402" s="1168"/>
      <c r="ED402" s="1168"/>
      <c r="EE402" s="1168"/>
      <c r="EF402" s="1168"/>
      <c r="EG402" s="1168"/>
      <c r="EH402" s="1168"/>
      <c r="EI402" s="1170"/>
      <c r="EJ402" s="1170"/>
      <c r="EK402" s="1170"/>
      <c r="EL402" s="1170"/>
      <c r="EM402" s="1170"/>
      <c r="EN402" s="1170"/>
      <c r="EO402" s="1170"/>
      <c r="EP402" s="1170"/>
      <c r="EQ402" s="1170"/>
      <c r="ER402" s="1170"/>
      <c r="ES402" s="1171"/>
      <c r="ET402" s="1171"/>
      <c r="EU402" s="1171"/>
      <c r="EV402" s="1171"/>
      <c r="EW402" s="1171"/>
      <c r="EX402" s="1171"/>
      <c r="EY402" s="1171"/>
      <c r="EZ402" s="1171"/>
      <c r="FA402" s="1171"/>
      <c r="FB402" s="1171"/>
      <c r="FC402" s="1171"/>
      <c r="FD402" s="1171"/>
      <c r="FE402" s="1171"/>
      <c r="FF402" s="1171"/>
      <c r="FG402" s="1171"/>
      <c r="FH402" s="1171"/>
      <c r="FI402" s="1171"/>
      <c r="FJ402" s="1171"/>
      <c r="FK402" s="1171"/>
      <c r="FL402" s="1171"/>
      <c r="FM402" s="1171"/>
      <c r="FN402" s="1171"/>
      <c r="FO402" s="1171"/>
      <c r="FP402" s="1171"/>
    </row>
    <row r="403" spans="1:172" s="607" customFormat="1">
      <c r="A403" s="607">
        <f t="shared" si="12"/>
        <v>2003</v>
      </c>
      <c r="B403" s="607">
        <f t="shared" si="13"/>
        <v>4</v>
      </c>
      <c r="C403" s="666">
        <v>37926</v>
      </c>
      <c r="D403" s="1709">
        <v>0.7158650000000002</v>
      </c>
      <c r="E403" s="1117">
        <v>189.99057100000005</v>
      </c>
      <c r="F403" s="1117">
        <v>265.39999999999998</v>
      </c>
      <c r="G403" s="1117"/>
      <c r="H403" s="1117"/>
      <c r="I403" s="959">
        <v>389.91199999999998</v>
      </c>
      <c r="J403" s="959">
        <v>545.57000000000005</v>
      </c>
      <c r="K403" s="960"/>
      <c r="L403" s="1121"/>
      <c r="M403" s="916">
        <v>12090.75</v>
      </c>
      <c r="N403" s="916">
        <v>16889.706858136655</v>
      </c>
      <c r="O403" s="1174">
        <v>2055.4299999999998</v>
      </c>
      <c r="P403" s="1174">
        <v>2871.2536581618033</v>
      </c>
      <c r="Q403" s="1174">
        <v>622.33000000000004</v>
      </c>
      <c r="R403" s="1174">
        <v>869.3398895043058</v>
      </c>
      <c r="S403" s="1174">
        <v>914.53</v>
      </c>
      <c r="T403" s="1174">
        <v>1277.5174090086814</v>
      </c>
      <c r="U403" s="1120">
        <v>452.19760320000006</v>
      </c>
      <c r="V403" s="1120">
        <v>631.67999999999995</v>
      </c>
      <c r="W403" s="1120">
        <v>1728.3271868000006</v>
      </c>
      <c r="X403" s="1120">
        <v>2414.3200000000002</v>
      </c>
      <c r="Y403" s="1119"/>
      <c r="Z403" s="1119"/>
      <c r="AA403" s="1119"/>
      <c r="AB403" s="1119"/>
      <c r="AC403" s="1178">
        <v>5.1779999999999999</v>
      </c>
      <c r="AD403" s="1178">
        <v>7.29</v>
      </c>
      <c r="AE403" s="1178">
        <v>34102.800000000003</v>
      </c>
      <c r="AF403" s="1178">
        <v>47638.59107513287</v>
      </c>
      <c r="AG403" s="1178">
        <v>760.125</v>
      </c>
      <c r="AH403" s="1178">
        <v>1061.8272998400535</v>
      </c>
      <c r="AI403" s="1178">
        <v>196.75</v>
      </c>
      <c r="AJ403" s="1178">
        <v>274.84232362247064</v>
      </c>
      <c r="AK403" s="919">
        <v>28.77</v>
      </c>
      <c r="AL403" s="919">
        <v>40.189141807463685</v>
      </c>
      <c r="AM403" s="919">
        <v>30.7</v>
      </c>
      <c r="AN403" s="919">
        <v>42.885180865107237</v>
      </c>
      <c r="AO403" s="919"/>
      <c r="AP403" s="919"/>
      <c r="AS403" s="1167"/>
      <c r="AT403" s="1167"/>
      <c r="AU403" s="1168"/>
      <c r="AV403" s="1168"/>
      <c r="AW403" s="1169"/>
      <c r="AX403" s="1169"/>
      <c r="AY403" s="1169"/>
      <c r="AZ403" s="1169"/>
      <c r="BA403" s="1864" t="s">
        <v>1</v>
      </c>
      <c r="BB403" s="1865">
        <v>2010</v>
      </c>
      <c r="BC403" s="1864" t="s">
        <v>15</v>
      </c>
      <c r="BD403" s="1864">
        <v>7</v>
      </c>
      <c r="BE403" s="1866">
        <v>219233000</v>
      </c>
      <c r="BF403" s="1801">
        <v>1.5382308601527811E-2</v>
      </c>
      <c r="BG403" s="1799"/>
      <c r="BH403" s="1799" t="s">
        <v>280</v>
      </c>
      <c r="BI403" s="1799" t="s">
        <v>311</v>
      </c>
      <c r="BJ403" s="1799" t="s">
        <v>583</v>
      </c>
      <c r="BK403" s="1799">
        <v>9</v>
      </c>
      <c r="BL403" s="1800">
        <v>70087631.639891893</v>
      </c>
      <c r="BM403" s="1801">
        <v>0.46366595493571988</v>
      </c>
      <c r="BN403" s="1799">
        <v>2006</v>
      </c>
      <c r="BO403" s="1684"/>
      <c r="BP403" s="1696"/>
      <c r="BQ403" s="1169"/>
      <c r="BR403" s="1169"/>
      <c r="BS403" s="1169"/>
      <c r="BT403" s="1169"/>
      <c r="BU403" s="1169"/>
      <c r="BV403" s="1169"/>
      <c r="BW403" s="1169"/>
      <c r="BX403" s="1169"/>
      <c r="BY403" s="1169"/>
      <c r="BZ403" s="1169"/>
      <c r="CA403" s="1169"/>
      <c r="CB403" s="1169"/>
      <c r="CC403" s="1169"/>
      <c r="CD403" s="1169"/>
      <c r="CE403" s="1169"/>
      <c r="CF403" s="1169"/>
      <c r="CG403" s="1169"/>
      <c r="CH403" s="1169"/>
      <c r="CI403" s="1169"/>
      <c r="CJ403" s="1169"/>
      <c r="CK403" s="1169"/>
      <c r="CL403" s="1169"/>
      <c r="CM403" s="1169"/>
      <c r="CN403" s="1169"/>
      <c r="CO403" s="1169"/>
      <c r="CP403" s="1169"/>
      <c r="CQ403" s="1169"/>
      <c r="CR403" s="1169"/>
      <c r="CS403" s="1169"/>
      <c r="CT403" s="1169"/>
      <c r="CU403" s="1169"/>
      <c r="CV403" s="1169"/>
      <c r="CW403" s="1169"/>
      <c r="CX403" s="1169"/>
      <c r="CY403" s="1169"/>
      <c r="CZ403" s="1169"/>
      <c r="DA403" s="1168"/>
      <c r="DB403" s="1168"/>
      <c r="DC403" s="1168"/>
      <c r="DD403" s="1168"/>
      <c r="DE403" s="1168"/>
      <c r="DF403" s="1168"/>
      <c r="DG403" s="1168"/>
      <c r="DH403" s="1168"/>
      <c r="DI403" s="1168"/>
      <c r="DJ403" s="1168"/>
      <c r="DK403" s="1168"/>
      <c r="DL403" s="1168"/>
      <c r="DM403" s="1168"/>
      <c r="DN403" s="1168"/>
      <c r="DO403" s="1168"/>
      <c r="DP403" s="1168"/>
      <c r="DQ403" s="1168"/>
      <c r="DR403" s="1168"/>
      <c r="DS403" s="1168"/>
      <c r="DT403" s="1168"/>
      <c r="DU403" s="1168"/>
      <c r="DV403" s="1168"/>
      <c r="DW403" s="1168"/>
      <c r="DX403" s="1168"/>
      <c r="DY403" s="1168"/>
      <c r="DZ403" s="1168"/>
      <c r="EA403" s="1168"/>
      <c r="EB403" s="1168"/>
      <c r="EC403" s="1168"/>
      <c r="ED403" s="1168"/>
      <c r="EE403" s="1168"/>
      <c r="EF403" s="1168"/>
      <c r="EG403" s="1168"/>
      <c r="EH403" s="1168"/>
      <c r="EI403" s="1170"/>
      <c r="EJ403" s="1170"/>
      <c r="EK403" s="1170"/>
      <c r="EL403" s="1170"/>
      <c r="EM403" s="1170"/>
      <c r="EN403" s="1170"/>
      <c r="EO403" s="1170"/>
      <c r="EP403" s="1170"/>
      <c r="EQ403" s="1170"/>
      <c r="ER403" s="1170"/>
      <c r="ES403" s="1171"/>
      <c r="ET403" s="1171"/>
      <c r="EU403" s="1171"/>
      <c r="EV403" s="1171"/>
      <c r="EW403" s="1171"/>
      <c r="EX403" s="1171"/>
      <c r="EY403" s="1171"/>
      <c r="EZ403" s="1171"/>
      <c r="FA403" s="1171"/>
      <c r="FB403" s="1171"/>
      <c r="FC403" s="1171"/>
      <c r="FD403" s="1171"/>
      <c r="FE403" s="1171"/>
      <c r="FF403" s="1171"/>
      <c r="FG403" s="1171"/>
      <c r="FH403" s="1171"/>
      <c r="FI403" s="1171"/>
      <c r="FJ403" s="1171"/>
      <c r="FK403" s="1171"/>
      <c r="FL403" s="1171"/>
      <c r="FM403" s="1171"/>
      <c r="FN403" s="1171"/>
      <c r="FO403" s="1171"/>
      <c r="FP403" s="1171"/>
    </row>
    <row r="404" spans="1:172" s="607" customFormat="1">
      <c r="A404" s="607">
        <f t="shared" si="12"/>
        <v>2003</v>
      </c>
      <c r="B404" s="607">
        <f t="shared" si="13"/>
        <v>4</v>
      </c>
      <c r="C404" s="666">
        <v>37956</v>
      </c>
      <c r="D404" s="957">
        <v>0.73832380952380949</v>
      </c>
      <c r="E404" s="920">
        <v>196.90357676190476</v>
      </c>
      <c r="F404" s="920">
        <v>266.69</v>
      </c>
      <c r="G404" s="920"/>
      <c r="H404" s="920"/>
      <c r="I404" s="954">
        <v>406.95699999999999</v>
      </c>
      <c r="J404" s="954">
        <v>558.87</v>
      </c>
      <c r="K404" s="954"/>
      <c r="L404" s="920"/>
      <c r="M404" s="917">
        <v>14169.52</v>
      </c>
      <c r="N404" s="917">
        <v>19191.471028326712</v>
      </c>
      <c r="O404" s="1175">
        <v>2201.29</v>
      </c>
      <c r="P404" s="1175">
        <v>2981.4696094112792</v>
      </c>
      <c r="Q404" s="1175">
        <v>692.07</v>
      </c>
      <c r="R404" s="1175">
        <v>937.35294876425371</v>
      </c>
      <c r="S404" s="1175">
        <v>977.76</v>
      </c>
      <c r="T404" s="1175">
        <v>1324.2969918992828</v>
      </c>
      <c r="U404" s="920">
        <v>463.23174133333328</v>
      </c>
      <c r="V404" s="920">
        <v>627.41</v>
      </c>
      <c r="W404" s="920">
        <v>1691.8099436190475</v>
      </c>
      <c r="X404" s="920">
        <v>2291.42</v>
      </c>
      <c r="Y404" s="920"/>
      <c r="Z404" s="920"/>
      <c r="AA404" s="920"/>
      <c r="AB404" s="920"/>
      <c r="AC404" s="920">
        <v>5.601</v>
      </c>
      <c r="AD404" s="920">
        <v>7.64</v>
      </c>
      <c r="AE404" s="920">
        <v>44148</v>
      </c>
      <c r="AF404" s="920">
        <v>59794.902223827463</v>
      </c>
      <c r="AG404" s="920">
        <v>807.19</v>
      </c>
      <c r="AH404" s="920">
        <v>1093.2736958877251</v>
      </c>
      <c r="AI404" s="920">
        <v>198.655</v>
      </c>
      <c r="AJ404" s="920">
        <v>269.06216139518085</v>
      </c>
      <c r="AK404" s="920">
        <v>29.88</v>
      </c>
      <c r="AL404" s="920">
        <v>40.470047985140084</v>
      </c>
      <c r="AM404" s="920">
        <v>31.32</v>
      </c>
      <c r="AN404" s="920">
        <v>42.420411743460093</v>
      </c>
      <c r="AO404" s="920"/>
      <c r="AP404" s="920"/>
      <c r="AS404" s="1167"/>
      <c r="AT404" s="1167"/>
      <c r="AU404" s="1168"/>
      <c r="AV404" s="1168"/>
      <c r="AW404" s="1169"/>
      <c r="AX404" s="1169"/>
      <c r="AY404" s="1169"/>
      <c r="AZ404" s="1169"/>
      <c r="BA404" s="1864" t="s">
        <v>1</v>
      </c>
      <c r="BB404" s="1865">
        <v>2010</v>
      </c>
      <c r="BC404" s="1864" t="s">
        <v>431</v>
      </c>
      <c r="BD404" s="1864">
        <v>8</v>
      </c>
      <c r="BE404" s="1866">
        <v>153003000</v>
      </c>
      <c r="BF404" s="1801">
        <v>1.0735333471510036E-2</v>
      </c>
      <c r="BG404" s="1799"/>
      <c r="BH404" s="1799" t="s">
        <v>280</v>
      </c>
      <c r="BI404" s="1799" t="s">
        <v>311</v>
      </c>
      <c r="BJ404" s="1799" t="s">
        <v>51</v>
      </c>
      <c r="BK404" s="1799">
        <v>10</v>
      </c>
      <c r="BL404" s="1800">
        <v>54329488.910289481</v>
      </c>
      <c r="BM404" s="1801">
        <v>0.35941768565084631</v>
      </c>
      <c r="BN404" s="1799">
        <v>2006</v>
      </c>
      <c r="BO404" s="1684"/>
      <c r="BP404" s="1696"/>
      <c r="BQ404" s="1169"/>
      <c r="BR404" s="1169"/>
      <c r="BS404" s="1169"/>
      <c r="BT404" s="1169"/>
      <c r="BU404" s="1169"/>
      <c r="BV404" s="1169"/>
      <c r="BW404" s="1169"/>
      <c r="BX404" s="1169"/>
      <c r="BY404" s="1169"/>
      <c r="BZ404" s="1169"/>
      <c r="CA404" s="1169"/>
      <c r="CB404" s="1169"/>
      <c r="CC404" s="1169"/>
      <c r="CD404" s="1169"/>
      <c r="CE404" s="1169"/>
      <c r="CF404" s="1169"/>
      <c r="CG404" s="1169"/>
      <c r="CH404" s="1169"/>
      <c r="CI404" s="1169"/>
      <c r="CJ404" s="1169"/>
      <c r="CK404" s="1169"/>
      <c r="CL404" s="1169"/>
      <c r="CM404" s="1169"/>
      <c r="CN404" s="1169"/>
      <c r="CO404" s="1169"/>
      <c r="CP404" s="1169"/>
      <c r="CQ404" s="1169"/>
      <c r="CR404" s="1169"/>
      <c r="CS404" s="1169"/>
      <c r="CT404" s="1169"/>
      <c r="CU404" s="1169"/>
      <c r="CV404" s="1169"/>
      <c r="CW404" s="1169"/>
      <c r="CX404" s="1169"/>
      <c r="CY404" s="1169"/>
      <c r="CZ404" s="1169"/>
      <c r="DA404" s="1168"/>
      <c r="DB404" s="1168"/>
      <c r="DC404" s="1168"/>
      <c r="DD404" s="1168"/>
      <c r="DE404" s="1168"/>
      <c r="DF404" s="1168"/>
      <c r="DG404" s="1168"/>
      <c r="DH404" s="1168"/>
      <c r="DI404" s="1168"/>
      <c r="DJ404" s="1168"/>
      <c r="DK404" s="1168"/>
      <c r="DL404" s="1168"/>
      <c r="DM404" s="1168"/>
      <c r="DN404" s="1168"/>
      <c r="DO404" s="1168"/>
      <c r="DP404" s="1168"/>
      <c r="DQ404" s="1168"/>
      <c r="DR404" s="1168"/>
      <c r="DS404" s="1168"/>
      <c r="DT404" s="1168"/>
      <c r="DU404" s="1168"/>
      <c r="DV404" s="1168"/>
      <c r="DW404" s="1168"/>
      <c r="DX404" s="1168"/>
      <c r="DY404" s="1168"/>
      <c r="DZ404" s="1168"/>
      <c r="EA404" s="1168"/>
      <c r="EB404" s="1168"/>
      <c r="EC404" s="1168"/>
      <c r="ED404" s="1168"/>
      <c r="EE404" s="1168"/>
      <c r="EF404" s="1168"/>
      <c r="EG404" s="1168"/>
      <c r="EH404" s="1168"/>
      <c r="EI404" s="1170"/>
      <c r="EJ404" s="1170"/>
      <c r="EK404" s="1170"/>
      <c r="EL404" s="1170"/>
      <c r="EM404" s="1170"/>
      <c r="EN404" s="1170"/>
      <c r="EO404" s="1170"/>
      <c r="EP404" s="1170"/>
      <c r="EQ404" s="1170"/>
      <c r="ER404" s="1170"/>
      <c r="ES404" s="1171"/>
      <c r="ET404" s="1171"/>
      <c r="EU404" s="1171"/>
      <c r="EV404" s="1171"/>
      <c r="EW404" s="1171"/>
      <c r="EX404" s="1171"/>
      <c r="EY404" s="1171"/>
      <c r="EZ404" s="1171"/>
      <c r="FA404" s="1171"/>
      <c r="FB404" s="1171"/>
      <c r="FC404" s="1171"/>
      <c r="FD404" s="1171"/>
      <c r="FE404" s="1171"/>
      <c r="FF404" s="1171"/>
      <c r="FG404" s="1171"/>
      <c r="FH404" s="1171"/>
      <c r="FI404" s="1171"/>
      <c r="FJ404" s="1171"/>
      <c r="FK404" s="1171"/>
      <c r="FL404" s="1171"/>
      <c r="FM404" s="1171"/>
      <c r="FN404" s="1171"/>
      <c r="FO404" s="1171"/>
      <c r="FP404" s="1171"/>
    </row>
    <row r="405" spans="1:172" s="607" customFormat="1">
      <c r="A405" s="607">
        <f t="shared" si="12"/>
        <v>2004</v>
      </c>
      <c r="B405" s="607">
        <f t="shared" si="13"/>
        <v>1</v>
      </c>
      <c r="C405" s="666">
        <v>37987</v>
      </c>
      <c r="D405" s="1709">
        <v>0.76946999999999988</v>
      </c>
      <c r="E405" s="1117">
        <v>199.60051799999994</v>
      </c>
      <c r="F405" s="1117">
        <v>259.39999999999998</v>
      </c>
      <c r="G405" s="1117"/>
      <c r="H405" s="1117"/>
      <c r="I405" s="959">
        <v>413.786</v>
      </c>
      <c r="J405" s="959">
        <v>539.39</v>
      </c>
      <c r="K405" s="960"/>
      <c r="L405" s="1121"/>
      <c r="M405" s="916">
        <v>15337.14</v>
      </c>
      <c r="N405" s="916">
        <v>19932.083122149015</v>
      </c>
      <c r="O405" s="1174">
        <v>2423.5700000000002</v>
      </c>
      <c r="P405" s="1174">
        <v>3149.6614552874062</v>
      </c>
      <c r="Q405" s="1174">
        <v>758.38</v>
      </c>
      <c r="R405" s="1174">
        <v>985.58748229300704</v>
      </c>
      <c r="S405" s="1174">
        <v>1017</v>
      </c>
      <c r="T405" s="1174">
        <v>1321.6889547350777</v>
      </c>
      <c r="U405" s="1120">
        <v>522.53938229999994</v>
      </c>
      <c r="V405" s="1120">
        <v>679.09</v>
      </c>
      <c r="W405" s="1120">
        <v>1740.1640997</v>
      </c>
      <c r="X405" s="1120">
        <v>2261.5100000000002</v>
      </c>
      <c r="Y405" s="1119"/>
      <c r="Z405" s="1119"/>
      <c r="AA405" s="1119"/>
      <c r="AB405" s="1119"/>
      <c r="AC405" s="1178">
        <v>6.3159999999999998</v>
      </c>
      <c r="AD405" s="1178">
        <v>8.15</v>
      </c>
      <c r="AE405" s="1178">
        <v>58789</v>
      </c>
      <c r="AF405" s="1178">
        <v>76401.938996971949</v>
      </c>
      <c r="AG405" s="1178">
        <v>851.66700000000003</v>
      </c>
      <c r="AH405" s="1178">
        <v>1106.8228780849158</v>
      </c>
      <c r="AI405" s="1178">
        <v>216.988</v>
      </c>
      <c r="AJ405" s="1178">
        <v>281.99669902660276</v>
      </c>
      <c r="AK405" s="919">
        <v>31.18</v>
      </c>
      <c r="AL405" s="919">
        <v>40.52139784527013</v>
      </c>
      <c r="AM405" s="919">
        <v>33.46</v>
      </c>
      <c r="AN405" s="919">
        <v>43.484476327862041</v>
      </c>
      <c r="AO405" s="919"/>
      <c r="AP405" s="919"/>
      <c r="AS405" s="1167"/>
      <c r="AT405" s="1167"/>
      <c r="AU405" s="1168"/>
      <c r="AV405" s="1168"/>
      <c r="AW405" s="1169"/>
      <c r="AX405" s="1169"/>
      <c r="AY405" s="1169"/>
      <c r="AZ405" s="1169"/>
      <c r="BA405" s="1864" t="s">
        <v>1</v>
      </c>
      <c r="BB405" s="1865">
        <v>2010</v>
      </c>
      <c r="BC405" s="1864" t="s">
        <v>46</v>
      </c>
      <c r="BD405" s="1864">
        <v>9</v>
      </c>
      <c r="BE405" s="1866">
        <v>29706000</v>
      </c>
      <c r="BF405" s="1801">
        <v>2.0842977987665413E-3</v>
      </c>
      <c r="BG405" s="1799"/>
      <c r="BH405" s="1799" t="s">
        <v>280</v>
      </c>
      <c r="BI405" s="1799" t="s">
        <v>311</v>
      </c>
      <c r="BJ405" s="1799" t="s">
        <v>254</v>
      </c>
      <c r="BK405" s="1799">
        <v>11</v>
      </c>
      <c r="BL405" s="1800">
        <v>47146821.050734408</v>
      </c>
      <c r="BM405" s="1801">
        <v>0.31190062059722906</v>
      </c>
      <c r="BN405" s="1799">
        <v>2006</v>
      </c>
      <c r="BO405" s="1684"/>
      <c r="BP405" s="1696"/>
      <c r="BQ405" s="1169"/>
      <c r="BR405" s="1169"/>
      <c r="BS405" s="1169"/>
      <c r="BT405" s="1169"/>
      <c r="BU405" s="1169"/>
      <c r="BV405" s="1169"/>
      <c r="BW405" s="1169"/>
      <c r="BX405" s="1169"/>
      <c r="BY405" s="1169"/>
      <c r="BZ405" s="1169"/>
      <c r="CA405" s="1169"/>
      <c r="CB405" s="1169"/>
      <c r="CC405" s="1169"/>
      <c r="CD405" s="1169"/>
      <c r="CE405" s="1169"/>
      <c r="CF405" s="1169"/>
      <c r="CG405" s="1169"/>
      <c r="CH405" s="1169"/>
      <c r="CI405" s="1169"/>
      <c r="CJ405" s="1169"/>
      <c r="CK405" s="1169"/>
      <c r="CL405" s="1169"/>
      <c r="CM405" s="1169"/>
      <c r="CN405" s="1169"/>
      <c r="CO405" s="1169"/>
      <c r="CP405" s="1169"/>
      <c r="CQ405" s="1169"/>
      <c r="CR405" s="1169"/>
      <c r="CS405" s="1169"/>
      <c r="CT405" s="1169"/>
      <c r="CU405" s="1169"/>
      <c r="CV405" s="1169"/>
      <c r="CW405" s="1169"/>
      <c r="CX405" s="1169"/>
      <c r="CY405" s="1169"/>
      <c r="CZ405" s="1169"/>
      <c r="DA405" s="1168"/>
      <c r="DB405" s="1168"/>
      <c r="DC405" s="1168"/>
      <c r="DD405" s="1168"/>
      <c r="DE405" s="1168"/>
      <c r="DF405" s="1168"/>
      <c r="DG405" s="1168"/>
      <c r="DH405" s="1168"/>
      <c r="DI405" s="1168"/>
      <c r="DJ405" s="1168"/>
      <c r="DK405" s="1168"/>
      <c r="DL405" s="1168"/>
      <c r="DM405" s="1168"/>
      <c r="DN405" s="1168"/>
      <c r="DO405" s="1168"/>
      <c r="DP405" s="1168"/>
      <c r="DQ405" s="1168"/>
      <c r="DR405" s="1168"/>
      <c r="DS405" s="1168"/>
      <c r="DT405" s="1168"/>
      <c r="DU405" s="1168"/>
      <c r="DV405" s="1168"/>
      <c r="DW405" s="1168"/>
      <c r="DX405" s="1168"/>
      <c r="DY405" s="1168"/>
      <c r="DZ405" s="1168"/>
      <c r="EA405" s="1168"/>
      <c r="EB405" s="1168"/>
      <c r="EC405" s="1168"/>
      <c r="ED405" s="1168"/>
      <c r="EE405" s="1168"/>
      <c r="EF405" s="1168"/>
      <c r="EG405" s="1168"/>
      <c r="EH405" s="1168"/>
      <c r="EI405" s="1170"/>
      <c r="EJ405" s="1170"/>
      <c r="EK405" s="1170"/>
      <c r="EL405" s="1170"/>
      <c r="EM405" s="1170"/>
      <c r="EN405" s="1170"/>
      <c r="EO405" s="1170"/>
      <c r="EP405" s="1170"/>
      <c r="EQ405" s="1170"/>
      <c r="ER405" s="1170"/>
      <c r="ES405" s="1171"/>
      <c r="ET405" s="1171"/>
      <c r="EU405" s="1171"/>
      <c r="EV405" s="1171"/>
      <c r="EW405" s="1171"/>
      <c r="EX405" s="1171"/>
      <c r="EY405" s="1171"/>
      <c r="EZ405" s="1171"/>
      <c r="FA405" s="1171"/>
      <c r="FB405" s="1171"/>
      <c r="FC405" s="1171"/>
      <c r="FD405" s="1171"/>
      <c r="FE405" s="1171"/>
      <c r="FF405" s="1171"/>
      <c r="FG405" s="1171"/>
      <c r="FH405" s="1171"/>
      <c r="FI405" s="1171"/>
      <c r="FJ405" s="1171"/>
      <c r="FK405" s="1171"/>
      <c r="FL405" s="1171"/>
      <c r="FM405" s="1171"/>
      <c r="FN405" s="1171"/>
      <c r="FO405" s="1171"/>
      <c r="FP405" s="1171"/>
    </row>
    <row r="406" spans="1:172" s="607" customFormat="1">
      <c r="A406" s="607">
        <f t="shared" si="12"/>
        <v>2004</v>
      </c>
      <c r="B406" s="607">
        <f t="shared" si="13"/>
        <v>1</v>
      </c>
      <c r="C406" s="666">
        <v>38018</v>
      </c>
      <c r="D406" s="957">
        <v>0.77771499999999993</v>
      </c>
      <c r="E406" s="920">
        <v>210.02971289999999</v>
      </c>
      <c r="F406" s="920">
        <v>270.06</v>
      </c>
      <c r="G406" s="920"/>
      <c r="H406" s="920"/>
      <c r="I406" s="954">
        <v>404.87799999999999</v>
      </c>
      <c r="J406" s="954">
        <v>521.34</v>
      </c>
      <c r="K406" s="954"/>
      <c r="L406" s="920"/>
      <c r="M406" s="917">
        <v>15152.5</v>
      </c>
      <c r="N406" s="917">
        <v>19483.358299634187</v>
      </c>
      <c r="O406" s="1175">
        <v>2759.53</v>
      </c>
      <c r="P406" s="1175">
        <v>3548.2535376069645</v>
      </c>
      <c r="Q406" s="1175">
        <v>888.48</v>
      </c>
      <c r="R406" s="1175">
        <v>1142.4236384793917</v>
      </c>
      <c r="S406" s="1175">
        <v>1087.68</v>
      </c>
      <c r="T406" s="1175">
        <v>1398.558597943977</v>
      </c>
      <c r="U406" s="920">
        <v>580.33093299999996</v>
      </c>
      <c r="V406" s="920">
        <v>746.2</v>
      </c>
      <c r="W406" s="920">
        <v>1726.3173169499998</v>
      </c>
      <c r="X406" s="920">
        <v>2219.73</v>
      </c>
      <c r="Y406" s="920"/>
      <c r="Z406" s="920"/>
      <c r="AA406" s="920"/>
      <c r="AB406" s="920"/>
      <c r="AC406" s="920">
        <v>6.4409999999999998</v>
      </c>
      <c r="AD406" s="920">
        <v>8.33</v>
      </c>
      <c r="AE406" s="920">
        <v>66689.8</v>
      </c>
      <c r="AF406" s="920">
        <v>85750.94989809893</v>
      </c>
      <c r="AG406" s="920">
        <v>846.32500000000005</v>
      </c>
      <c r="AH406" s="920">
        <v>1088.2199777553476</v>
      </c>
      <c r="AI406" s="920">
        <v>235.43799999999999</v>
      </c>
      <c r="AJ406" s="920">
        <v>302.73043467079845</v>
      </c>
      <c r="AK406" s="920">
        <v>31.02</v>
      </c>
      <c r="AL406" s="920">
        <v>39.886076519033324</v>
      </c>
      <c r="AM406" s="920">
        <v>34.31</v>
      </c>
      <c r="AN406" s="920">
        <v>44.116417968021715</v>
      </c>
      <c r="AO406" s="920"/>
      <c r="AP406" s="920"/>
      <c r="AS406" s="1167"/>
      <c r="AT406" s="1167"/>
      <c r="AU406" s="1168"/>
      <c r="AV406" s="1168"/>
      <c r="AW406" s="1169"/>
      <c r="AX406" s="1169"/>
      <c r="AY406" s="1169"/>
      <c r="AZ406" s="1169"/>
      <c r="BA406" s="1864" t="s">
        <v>1</v>
      </c>
      <c r="BB406" s="1865">
        <v>2010</v>
      </c>
      <c r="BC406" s="1864" t="s">
        <v>77</v>
      </c>
      <c r="BD406" s="1864">
        <v>10</v>
      </c>
      <c r="BE406" s="1866">
        <v>27416000</v>
      </c>
      <c r="BF406" s="1801">
        <v>1.9236217750953847E-3</v>
      </c>
      <c r="BG406" s="1799"/>
      <c r="BH406" s="1799" t="s">
        <v>280</v>
      </c>
      <c r="BI406" s="1799" t="s">
        <v>311</v>
      </c>
      <c r="BJ406" s="1799" t="s">
        <v>47</v>
      </c>
      <c r="BK406" s="1799">
        <v>12</v>
      </c>
      <c r="BL406" s="1800">
        <v>44366943.154053465</v>
      </c>
      <c r="BM406" s="1801">
        <v>0.29351028967276899</v>
      </c>
      <c r="BN406" s="1799">
        <v>2006</v>
      </c>
      <c r="BO406" s="1684"/>
      <c r="BP406" s="1696"/>
      <c r="BQ406" s="1169"/>
      <c r="BR406" s="1169"/>
      <c r="BS406" s="1169"/>
      <c r="BT406" s="1169"/>
      <c r="BU406" s="1169"/>
      <c r="BV406" s="1169"/>
      <c r="BW406" s="1169"/>
      <c r="BX406" s="1169"/>
      <c r="BY406" s="1169"/>
      <c r="BZ406" s="1169"/>
      <c r="CA406" s="1169"/>
      <c r="CB406" s="1169"/>
      <c r="CC406" s="1169"/>
      <c r="CD406" s="1169"/>
      <c r="CE406" s="1169"/>
      <c r="CF406" s="1169"/>
      <c r="CG406" s="1169"/>
      <c r="CH406" s="1169"/>
      <c r="CI406" s="1169"/>
      <c r="CJ406" s="1169"/>
      <c r="CK406" s="1169"/>
      <c r="CL406" s="1169"/>
      <c r="CM406" s="1169"/>
      <c r="CN406" s="1169"/>
      <c r="CO406" s="1169"/>
      <c r="CP406" s="1169"/>
      <c r="CQ406" s="1169"/>
      <c r="CR406" s="1169"/>
      <c r="CS406" s="1169"/>
      <c r="CT406" s="1169"/>
      <c r="CU406" s="1169"/>
      <c r="CV406" s="1169"/>
      <c r="CW406" s="1169"/>
      <c r="CX406" s="1169"/>
      <c r="CY406" s="1169"/>
      <c r="CZ406" s="1169"/>
      <c r="DA406" s="1168"/>
      <c r="DB406" s="1168"/>
      <c r="DC406" s="1168"/>
      <c r="DD406" s="1168"/>
      <c r="DE406" s="1168"/>
      <c r="DF406" s="1168"/>
      <c r="DG406" s="1168"/>
      <c r="DH406" s="1168"/>
      <c r="DI406" s="1168"/>
      <c r="DJ406" s="1168"/>
      <c r="DK406" s="1168"/>
      <c r="DL406" s="1168"/>
      <c r="DM406" s="1168"/>
      <c r="DN406" s="1168"/>
      <c r="DO406" s="1168"/>
      <c r="DP406" s="1168"/>
      <c r="DQ406" s="1168"/>
      <c r="DR406" s="1168"/>
      <c r="DS406" s="1168"/>
      <c r="DT406" s="1168"/>
      <c r="DU406" s="1168"/>
      <c r="DV406" s="1168"/>
      <c r="DW406" s="1168"/>
      <c r="DX406" s="1168"/>
      <c r="DY406" s="1168"/>
      <c r="DZ406" s="1168"/>
      <c r="EA406" s="1168"/>
      <c r="EB406" s="1168"/>
      <c r="EC406" s="1168"/>
      <c r="ED406" s="1168"/>
      <c r="EE406" s="1168"/>
      <c r="EF406" s="1168"/>
      <c r="EG406" s="1168"/>
      <c r="EH406" s="1168"/>
      <c r="EI406" s="1170"/>
      <c r="EJ406" s="1170"/>
      <c r="EK406" s="1170"/>
      <c r="EL406" s="1170"/>
      <c r="EM406" s="1170"/>
      <c r="EN406" s="1170"/>
      <c r="EO406" s="1170"/>
      <c r="EP406" s="1170"/>
      <c r="EQ406" s="1170"/>
      <c r="ER406" s="1170"/>
      <c r="ES406" s="1171"/>
      <c r="ET406" s="1171"/>
      <c r="EU406" s="1171"/>
      <c r="EV406" s="1171"/>
      <c r="EW406" s="1171"/>
      <c r="EX406" s="1171"/>
      <c r="EY406" s="1171"/>
      <c r="EZ406" s="1171"/>
      <c r="FA406" s="1171"/>
      <c r="FB406" s="1171"/>
      <c r="FC406" s="1171"/>
      <c r="FD406" s="1171"/>
      <c r="FE406" s="1171"/>
      <c r="FF406" s="1171"/>
      <c r="FG406" s="1171"/>
      <c r="FH406" s="1171"/>
      <c r="FI406" s="1171"/>
      <c r="FJ406" s="1171"/>
      <c r="FK406" s="1171"/>
      <c r="FL406" s="1171"/>
      <c r="FM406" s="1171"/>
      <c r="FN406" s="1171"/>
      <c r="FO406" s="1171"/>
      <c r="FP406" s="1171"/>
    </row>
    <row r="407" spans="1:172" s="607" customFormat="1">
      <c r="A407" s="607">
        <f t="shared" si="12"/>
        <v>2004</v>
      </c>
      <c r="B407" s="607">
        <f t="shared" si="13"/>
        <v>1</v>
      </c>
      <c r="C407" s="666">
        <v>38047</v>
      </c>
      <c r="D407" s="1709">
        <v>0.74978260869565216</v>
      </c>
      <c r="E407" s="1117">
        <v>220.42109130434784</v>
      </c>
      <c r="F407" s="1117">
        <v>293.98</v>
      </c>
      <c r="G407" s="1117"/>
      <c r="H407" s="1117"/>
      <c r="I407" s="959">
        <v>406.66699999999997</v>
      </c>
      <c r="J407" s="959">
        <v>543.39</v>
      </c>
      <c r="K407" s="960"/>
      <c r="L407" s="1121"/>
      <c r="M407" s="916">
        <v>13722.61</v>
      </c>
      <c r="N407" s="916">
        <v>18302.118295158019</v>
      </c>
      <c r="O407" s="1174">
        <v>3008.72</v>
      </c>
      <c r="P407" s="1174">
        <v>4012.7897941432298</v>
      </c>
      <c r="Q407" s="1174">
        <v>886.48</v>
      </c>
      <c r="R407" s="1174">
        <v>1182.3160336329372</v>
      </c>
      <c r="S407" s="1174">
        <v>1105.78</v>
      </c>
      <c r="T407" s="1174">
        <v>1474.8008118295159</v>
      </c>
      <c r="U407" s="1120">
        <v>525.97249999999997</v>
      </c>
      <c r="V407" s="1120">
        <v>701.5</v>
      </c>
      <c r="W407" s="1120">
        <v>1730.2808239130434</v>
      </c>
      <c r="X407" s="1120">
        <v>2307.71</v>
      </c>
      <c r="Y407" s="1119"/>
      <c r="Z407" s="1119"/>
      <c r="AA407" s="1119"/>
      <c r="AB407" s="1119"/>
      <c r="AC407" s="1178">
        <v>7.2249999999999996</v>
      </c>
      <c r="AD407" s="1178">
        <v>9.7200000000000006</v>
      </c>
      <c r="AE407" s="1178">
        <v>66689.8</v>
      </c>
      <c r="AF407" s="1178">
        <v>88945.514641925198</v>
      </c>
      <c r="AG407" s="1178">
        <v>899.76099999999997</v>
      </c>
      <c r="AH407" s="1178">
        <v>1200.0291678747462</v>
      </c>
      <c r="AI407" s="1178">
        <v>269.66300000000001</v>
      </c>
      <c r="AJ407" s="1178">
        <v>359.65491446796176</v>
      </c>
      <c r="AK407" s="919">
        <v>33.799999999999997</v>
      </c>
      <c r="AL407" s="919">
        <v>45.079733256016233</v>
      </c>
      <c r="AM407" s="919">
        <v>35.79</v>
      </c>
      <c r="AN407" s="919">
        <v>47.73383589446216</v>
      </c>
      <c r="AO407" s="919"/>
      <c r="AP407" s="919"/>
      <c r="AS407" s="1167"/>
      <c r="AT407" s="1167"/>
      <c r="AU407" s="1168"/>
      <c r="AV407" s="1168"/>
      <c r="AW407" s="1169"/>
      <c r="AX407" s="1169"/>
      <c r="AY407" s="1169"/>
      <c r="AZ407" s="1169"/>
      <c r="BA407" s="1864" t="s">
        <v>1</v>
      </c>
      <c r="BB407" s="1865">
        <v>2010</v>
      </c>
      <c r="BC407" s="1864" t="s">
        <v>32</v>
      </c>
      <c r="BD407" s="1864"/>
      <c r="BE407" s="1866">
        <v>60958000</v>
      </c>
      <c r="BF407" s="1801">
        <v>4.2770694545617325E-3</v>
      </c>
      <c r="BG407" s="1799"/>
      <c r="BH407" s="1799" t="s">
        <v>280</v>
      </c>
      <c r="BI407" s="1799" t="s">
        <v>311</v>
      </c>
      <c r="BJ407" s="1799" t="s">
        <v>32</v>
      </c>
      <c r="BK407" s="1799"/>
      <c r="BL407" s="1800">
        <v>17694484.203707457</v>
      </c>
      <c r="BM407" s="1801">
        <v>0.11705817022838814</v>
      </c>
      <c r="BN407" s="1799">
        <v>2006</v>
      </c>
      <c r="BO407" s="1684"/>
      <c r="BP407" s="1696"/>
      <c r="BQ407" s="1169"/>
      <c r="BR407" s="1169"/>
      <c r="BS407" s="1169"/>
      <c r="BT407" s="1169"/>
      <c r="BU407" s="1169"/>
      <c r="BV407" s="1169"/>
      <c r="BW407" s="1169"/>
      <c r="BX407" s="1169"/>
      <c r="BY407" s="1169"/>
      <c r="BZ407" s="1169"/>
      <c r="CA407" s="1169"/>
      <c r="CB407" s="1169"/>
      <c r="CC407" s="1169"/>
      <c r="CD407" s="1169"/>
      <c r="CE407" s="1169"/>
      <c r="CF407" s="1169"/>
      <c r="CG407" s="1169"/>
      <c r="CH407" s="1169"/>
      <c r="CI407" s="1169"/>
      <c r="CJ407" s="1169"/>
      <c r="CK407" s="1169"/>
      <c r="CL407" s="1169"/>
      <c r="CM407" s="1169"/>
      <c r="CN407" s="1169"/>
      <c r="CO407" s="1169"/>
      <c r="CP407" s="1169"/>
      <c r="CQ407" s="1169"/>
      <c r="CR407" s="1169"/>
      <c r="CS407" s="1169"/>
      <c r="CT407" s="1169"/>
      <c r="CU407" s="1169"/>
      <c r="CV407" s="1169"/>
      <c r="CW407" s="1169"/>
      <c r="CX407" s="1169"/>
      <c r="CY407" s="1169"/>
      <c r="CZ407" s="1169"/>
      <c r="DA407" s="1168"/>
      <c r="DB407" s="1168"/>
      <c r="DC407" s="1168"/>
      <c r="DD407" s="1168"/>
      <c r="DE407" s="1168"/>
      <c r="DF407" s="1168"/>
      <c r="DG407" s="1168"/>
      <c r="DH407" s="1168"/>
      <c r="DI407" s="1168"/>
      <c r="DJ407" s="1168"/>
      <c r="DK407" s="1168"/>
      <c r="DL407" s="1168"/>
      <c r="DM407" s="1168"/>
      <c r="DN407" s="1168"/>
      <c r="DO407" s="1168"/>
      <c r="DP407" s="1168"/>
      <c r="DQ407" s="1168"/>
      <c r="DR407" s="1168"/>
      <c r="DS407" s="1168"/>
      <c r="DT407" s="1168"/>
      <c r="DU407" s="1168"/>
      <c r="DV407" s="1168"/>
      <c r="DW407" s="1168"/>
      <c r="DX407" s="1168"/>
      <c r="DY407" s="1168"/>
      <c r="DZ407" s="1168"/>
      <c r="EA407" s="1168"/>
      <c r="EB407" s="1168"/>
      <c r="EC407" s="1168"/>
      <c r="ED407" s="1168"/>
      <c r="EE407" s="1168"/>
      <c r="EF407" s="1168"/>
      <c r="EG407" s="1168"/>
      <c r="EH407" s="1168"/>
      <c r="EI407" s="1170"/>
      <c r="EJ407" s="1170"/>
      <c r="EK407" s="1170"/>
      <c r="EL407" s="1170"/>
      <c r="EM407" s="1170"/>
      <c r="EN407" s="1170"/>
      <c r="EO407" s="1170"/>
      <c r="EP407" s="1170"/>
      <c r="EQ407" s="1170"/>
      <c r="ER407" s="1170"/>
      <c r="ES407" s="1171"/>
      <c r="ET407" s="1171"/>
      <c r="EU407" s="1171"/>
      <c r="EV407" s="1171"/>
      <c r="EW407" s="1171"/>
      <c r="EX407" s="1171"/>
      <c r="EY407" s="1171"/>
      <c r="EZ407" s="1171"/>
      <c r="FA407" s="1171"/>
      <c r="FB407" s="1171"/>
      <c r="FC407" s="1171"/>
      <c r="FD407" s="1171"/>
      <c r="FE407" s="1171"/>
      <c r="FF407" s="1171"/>
      <c r="FG407" s="1171"/>
      <c r="FH407" s="1171"/>
      <c r="FI407" s="1171"/>
      <c r="FJ407" s="1171"/>
      <c r="FK407" s="1171"/>
      <c r="FL407" s="1171"/>
      <c r="FM407" s="1171"/>
      <c r="FN407" s="1171"/>
      <c r="FO407" s="1171"/>
      <c r="FP407" s="1171"/>
    </row>
    <row r="408" spans="1:172" s="607" customFormat="1">
      <c r="A408" s="607">
        <f t="shared" si="12"/>
        <v>2004</v>
      </c>
      <c r="B408" s="607">
        <f t="shared" si="13"/>
        <v>2</v>
      </c>
      <c r="C408" s="666">
        <v>38078</v>
      </c>
      <c r="D408" s="957">
        <v>0.74420000000000008</v>
      </c>
      <c r="E408" s="920">
        <v>209.16485200000002</v>
      </c>
      <c r="F408" s="920">
        <v>281.06</v>
      </c>
      <c r="G408" s="920"/>
      <c r="H408" s="920"/>
      <c r="I408" s="954">
        <v>403.26</v>
      </c>
      <c r="J408" s="954">
        <v>545.07000000000005</v>
      </c>
      <c r="K408" s="954"/>
      <c r="L408" s="920"/>
      <c r="M408" s="917">
        <v>12853.25</v>
      </c>
      <c r="N408" s="917">
        <v>17271.230851921526</v>
      </c>
      <c r="O408" s="1175">
        <v>2948.73</v>
      </c>
      <c r="P408" s="1175">
        <v>3962.2816447191612</v>
      </c>
      <c r="Q408" s="1175">
        <v>753.68</v>
      </c>
      <c r="R408" s="1175">
        <v>1012.7385111529157</v>
      </c>
      <c r="S408" s="1175">
        <v>1032.73</v>
      </c>
      <c r="T408" s="1175">
        <v>1387.7049180327867</v>
      </c>
      <c r="U408" s="920">
        <v>548.319118</v>
      </c>
      <c r="V408" s="920">
        <v>736.79</v>
      </c>
      <c r="W408" s="920">
        <v>1713.2228200000002</v>
      </c>
      <c r="X408" s="920">
        <v>2302.1</v>
      </c>
      <c r="Y408" s="920"/>
      <c r="Z408" s="920"/>
      <c r="AA408" s="920"/>
      <c r="AB408" s="920"/>
      <c r="AC408" s="920">
        <v>7.0549999999999997</v>
      </c>
      <c r="AD408" s="920">
        <v>9.61</v>
      </c>
      <c r="AE408" s="920">
        <v>65256.82</v>
      </c>
      <c r="AF408" s="920">
        <v>87687.207739854872</v>
      </c>
      <c r="AG408" s="920">
        <v>879.45</v>
      </c>
      <c r="AH408" s="920">
        <v>1181.7387798978768</v>
      </c>
      <c r="AI408" s="920">
        <v>294.625</v>
      </c>
      <c r="AJ408" s="920">
        <v>395.89492072023643</v>
      </c>
      <c r="AK408" s="920">
        <v>33.36</v>
      </c>
      <c r="AL408" s="920">
        <v>44.826659500134369</v>
      </c>
      <c r="AM408" s="920">
        <v>35.11</v>
      </c>
      <c r="AN408" s="920">
        <v>47.178177909164198</v>
      </c>
      <c r="AO408" s="920"/>
      <c r="AP408" s="920"/>
      <c r="AS408" s="1167"/>
      <c r="AT408" s="1167"/>
      <c r="AU408" s="1168"/>
      <c r="AV408" s="1168"/>
      <c r="AW408" s="1169"/>
      <c r="AX408" s="1169"/>
      <c r="AY408" s="1169"/>
      <c r="AZ408" s="1169"/>
      <c r="BA408" s="1864" t="s">
        <v>1</v>
      </c>
      <c r="BB408" s="1865">
        <v>2010</v>
      </c>
      <c r="BC408" s="1864" t="s">
        <v>249</v>
      </c>
      <c r="BD408" s="1864"/>
      <c r="BE408" s="1866">
        <v>14252282000</v>
      </c>
      <c r="BF408" s="1801">
        <v>1</v>
      </c>
      <c r="BG408" s="1799"/>
      <c r="BH408" s="1799" t="s">
        <v>280</v>
      </c>
      <c r="BI408" s="1799" t="s">
        <v>311</v>
      </c>
      <c r="BJ408" s="1799" t="s">
        <v>249</v>
      </c>
      <c r="BK408" s="1799"/>
      <c r="BL408" s="1800">
        <v>1408651001.055871</v>
      </c>
      <c r="BM408" s="1801"/>
      <c r="BN408" s="1799">
        <v>2006</v>
      </c>
      <c r="BO408" s="1684"/>
      <c r="BP408" s="1696"/>
      <c r="BQ408" s="1169"/>
      <c r="BR408" s="1169"/>
      <c r="BS408" s="1169"/>
      <c r="BT408" s="1169"/>
      <c r="BU408" s="1169"/>
      <c r="BV408" s="1169"/>
      <c r="BW408" s="1169"/>
      <c r="BX408" s="1169"/>
      <c r="BY408" s="1169"/>
      <c r="BZ408" s="1169"/>
      <c r="CA408" s="1169"/>
      <c r="CB408" s="1169"/>
      <c r="CC408" s="1169"/>
      <c r="CD408" s="1169"/>
      <c r="CE408" s="1169"/>
      <c r="CF408" s="1169"/>
      <c r="CG408" s="1169"/>
      <c r="CH408" s="1169"/>
      <c r="CI408" s="1169"/>
      <c r="CJ408" s="1169"/>
      <c r="CK408" s="1169"/>
      <c r="CL408" s="1169"/>
      <c r="CM408" s="1169"/>
      <c r="CN408" s="1169"/>
      <c r="CO408" s="1169"/>
      <c r="CP408" s="1169"/>
      <c r="CQ408" s="1169"/>
      <c r="CR408" s="1169"/>
      <c r="CS408" s="1169"/>
      <c r="CT408" s="1169"/>
      <c r="CU408" s="1169"/>
      <c r="CV408" s="1169"/>
      <c r="CW408" s="1169"/>
      <c r="CX408" s="1169"/>
      <c r="CY408" s="1169"/>
      <c r="CZ408" s="1169"/>
      <c r="DA408" s="1168"/>
      <c r="DB408" s="1168"/>
      <c r="DC408" s="1168"/>
      <c r="DD408" s="1168"/>
      <c r="DE408" s="1168"/>
      <c r="DF408" s="1168"/>
      <c r="DG408" s="1168"/>
      <c r="DH408" s="1168"/>
      <c r="DI408" s="1168"/>
      <c r="DJ408" s="1168"/>
      <c r="DK408" s="1168"/>
      <c r="DL408" s="1168"/>
      <c r="DM408" s="1168"/>
      <c r="DN408" s="1168"/>
      <c r="DO408" s="1168"/>
      <c r="DP408" s="1168"/>
      <c r="DQ408" s="1168"/>
      <c r="DR408" s="1168"/>
      <c r="DS408" s="1168"/>
      <c r="DT408" s="1168"/>
      <c r="DU408" s="1168"/>
      <c r="DV408" s="1168"/>
      <c r="DW408" s="1168"/>
      <c r="DX408" s="1168"/>
      <c r="DY408" s="1168"/>
      <c r="DZ408" s="1168"/>
      <c r="EA408" s="1168"/>
      <c r="EB408" s="1168"/>
      <c r="EC408" s="1168"/>
      <c r="ED408" s="1168"/>
      <c r="EE408" s="1168"/>
      <c r="EF408" s="1168"/>
      <c r="EG408" s="1168"/>
      <c r="EH408" s="1168"/>
      <c r="EI408" s="1170"/>
      <c r="EJ408" s="1170"/>
      <c r="EK408" s="1170"/>
      <c r="EL408" s="1170"/>
      <c r="EM408" s="1170"/>
      <c r="EN408" s="1170"/>
      <c r="EO408" s="1170"/>
      <c r="EP408" s="1170"/>
      <c r="EQ408" s="1170"/>
      <c r="ER408" s="1170"/>
      <c r="ES408" s="1171"/>
      <c r="ET408" s="1171"/>
      <c r="EU408" s="1171"/>
      <c r="EV408" s="1171"/>
      <c r="EW408" s="1171"/>
      <c r="EX408" s="1171"/>
      <c r="EY408" s="1171"/>
      <c r="EZ408" s="1171"/>
      <c r="FA408" s="1171"/>
      <c r="FB408" s="1171"/>
      <c r="FC408" s="1171"/>
      <c r="FD408" s="1171"/>
      <c r="FE408" s="1171"/>
      <c r="FF408" s="1171"/>
      <c r="FG408" s="1171"/>
      <c r="FH408" s="1171"/>
      <c r="FI408" s="1171"/>
      <c r="FJ408" s="1171"/>
      <c r="FK408" s="1171"/>
      <c r="FL408" s="1171"/>
      <c r="FM408" s="1171"/>
      <c r="FN408" s="1171"/>
      <c r="FO408" s="1171"/>
      <c r="FP408" s="1171"/>
    </row>
    <row r="409" spans="1:172" s="607" customFormat="1">
      <c r="A409" s="607">
        <f t="shared" si="12"/>
        <v>2004</v>
      </c>
      <c r="B409" s="607">
        <f t="shared" si="13"/>
        <v>2</v>
      </c>
      <c r="C409" s="666">
        <v>38108</v>
      </c>
      <c r="D409" s="1709">
        <v>0.70544761904761899</v>
      </c>
      <c r="E409" s="1117">
        <v>220.5624499158549</v>
      </c>
      <c r="F409" s="1117">
        <v>312.65602712448384</v>
      </c>
      <c r="G409" s="1117"/>
      <c r="H409" s="1117"/>
      <c r="I409" s="959">
        <v>383.779</v>
      </c>
      <c r="J409" s="959">
        <v>545.96</v>
      </c>
      <c r="K409" s="960"/>
      <c r="L409" s="1121"/>
      <c r="M409" s="916">
        <v>11123.42</v>
      </c>
      <c r="N409" s="916">
        <v>15767.889350901827</v>
      </c>
      <c r="O409" s="1174">
        <v>2733.5</v>
      </c>
      <c r="P409" s="1174">
        <v>3874.8447456528784</v>
      </c>
      <c r="Q409" s="1174">
        <v>808.89</v>
      </c>
      <c r="R409" s="1174">
        <v>1146.6336807430609</v>
      </c>
      <c r="S409" s="1174">
        <v>1028.29</v>
      </c>
      <c r="T409" s="1174">
        <v>1457.6418889728914</v>
      </c>
      <c r="U409" s="1120">
        <v>560.18889980952383</v>
      </c>
      <c r="V409" s="1120">
        <v>794.09</v>
      </c>
      <c r="W409" s="1120">
        <v>1706.6682613333332</v>
      </c>
      <c r="X409" s="1120">
        <v>2419.27</v>
      </c>
      <c r="Y409" s="1119"/>
      <c r="Z409" s="1119"/>
      <c r="AA409" s="1119"/>
      <c r="AB409" s="1119"/>
      <c r="AC409" s="1178">
        <v>5.8470000000000004</v>
      </c>
      <c r="AD409" s="1178">
        <v>8.36</v>
      </c>
      <c r="AE409" s="1178">
        <v>64347.45</v>
      </c>
      <c r="AF409" s="1178">
        <v>91215.064396803107</v>
      </c>
      <c r="AG409" s="1178">
        <v>809.28899999999999</v>
      </c>
      <c r="AH409" s="1178">
        <v>1147.1992790798142</v>
      </c>
      <c r="AI409" s="1178">
        <v>246.13200000000001</v>
      </c>
      <c r="AJ409" s="1178">
        <v>348.9018792526191</v>
      </c>
      <c r="AK409" s="919">
        <v>37.92</v>
      </c>
      <c r="AL409" s="919">
        <v>53.75310508694244</v>
      </c>
      <c r="AM409" s="919">
        <v>39.72</v>
      </c>
      <c r="AN409" s="919">
        <v>56.304676530942871</v>
      </c>
      <c r="AO409" s="919"/>
      <c r="AP409" s="919"/>
      <c r="AS409" s="1167"/>
      <c r="AT409" s="1167"/>
      <c r="AU409" s="1168"/>
      <c r="AV409" s="1168"/>
      <c r="AW409" s="1169"/>
      <c r="AX409" s="1169"/>
      <c r="AY409" s="1169"/>
      <c r="AZ409" s="1169"/>
      <c r="BA409" s="1867" t="s">
        <v>1</v>
      </c>
      <c r="BB409" s="1868">
        <v>2011</v>
      </c>
      <c r="BC409" s="1867" t="s">
        <v>51</v>
      </c>
      <c r="BD409" s="1867">
        <v>1</v>
      </c>
      <c r="BE409" s="1869">
        <v>4246145000</v>
      </c>
      <c r="BF409" s="1801">
        <v>0.284837540815705</v>
      </c>
      <c r="BG409" s="1799"/>
      <c r="BH409" s="1799" t="s">
        <v>280</v>
      </c>
      <c r="BI409" s="1799" t="s">
        <v>310</v>
      </c>
      <c r="BJ409" s="1799" t="s">
        <v>447</v>
      </c>
      <c r="BK409" s="1799">
        <v>1</v>
      </c>
      <c r="BL409" s="1800">
        <v>151159753.89999998</v>
      </c>
      <c r="BM409" s="1801">
        <v>1.3141292784930139</v>
      </c>
      <c r="BN409" s="1799">
        <v>2005</v>
      </c>
      <c r="BO409" s="1684"/>
      <c r="BP409" s="1696"/>
      <c r="BQ409" s="1169"/>
      <c r="BR409" s="1169"/>
      <c r="BS409" s="1169"/>
      <c r="BT409" s="1169"/>
      <c r="BU409" s="1169"/>
      <c r="BV409" s="1169"/>
      <c r="BW409" s="1169"/>
      <c r="BX409" s="1169"/>
      <c r="BY409" s="1169"/>
      <c r="BZ409" s="1169"/>
      <c r="CA409" s="1169"/>
      <c r="CB409" s="1169"/>
      <c r="CC409" s="1169"/>
      <c r="CD409" s="1169"/>
      <c r="CE409" s="1169"/>
      <c r="CF409" s="1169"/>
      <c r="CG409" s="1169"/>
      <c r="CH409" s="1169"/>
      <c r="CI409" s="1169"/>
      <c r="CJ409" s="1169"/>
      <c r="CK409" s="1169"/>
      <c r="CL409" s="1169"/>
      <c r="CM409" s="1169"/>
      <c r="CN409" s="1169"/>
      <c r="CO409" s="1169"/>
      <c r="CP409" s="1169"/>
      <c r="CQ409" s="1169"/>
      <c r="CR409" s="1169"/>
      <c r="CS409" s="1169"/>
      <c r="CT409" s="1169"/>
      <c r="CU409" s="1169"/>
      <c r="CV409" s="1169"/>
      <c r="CW409" s="1169"/>
      <c r="CX409" s="1169"/>
      <c r="CY409" s="1169"/>
      <c r="CZ409" s="1169"/>
      <c r="DA409" s="1168"/>
      <c r="DB409" s="1168"/>
      <c r="DC409" s="1168"/>
      <c r="DD409" s="1168"/>
      <c r="DE409" s="1168"/>
      <c r="DF409" s="1168"/>
      <c r="DG409" s="1168"/>
      <c r="DH409" s="1168"/>
      <c r="DI409" s="1168"/>
      <c r="DJ409" s="1168"/>
      <c r="DK409" s="1168"/>
      <c r="DL409" s="1168"/>
      <c r="DM409" s="1168"/>
      <c r="DN409" s="1168"/>
      <c r="DO409" s="1168"/>
      <c r="DP409" s="1168"/>
      <c r="DQ409" s="1168"/>
      <c r="DR409" s="1168"/>
      <c r="DS409" s="1168"/>
      <c r="DT409" s="1168"/>
      <c r="DU409" s="1168"/>
      <c r="DV409" s="1168"/>
      <c r="DW409" s="1168"/>
      <c r="DX409" s="1168"/>
      <c r="DY409" s="1168"/>
      <c r="DZ409" s="1168"/>
      <c r="EA409" s="1168"/>
      <c r="EB409" s="1168"/>
      <c r="EC409" s="1168"/>
      <c r="ED409" s="1168"/>
      <c r="EE409" s="1168"/>
      <c r="EF409" s="1168"/>
      <c r="EG409" s="1168"/>
      <c r="EH409" s="1168"/>
      <c r="EI409" s="1170"/>
      <c r="EJ409" s="1170"/>
      <c r="EK409" s="1170"/>
      <c r="EL409" s="1170"/>
      <c r="EM409" s="1170"/>
      <c r="EN409" s="1170"/>
      <c r="EO409" s="1170"/>
      <c r="EP409" s="1170"/>
      <c r="EQ409" s="1170"/>
      <c r="ER409" s="1170"/>
      <c r="ES409" s="1171"/>
      <c r="ET409" s="1171"/>
      <c r="EU409" s="1171"/>
      <c r="EV409" s="1171"/>
      <c r="EW409" s="1171"/>
      <c r="EX409" s="1171"/>
      <c r="EY409" s="1171"/>
      <c r="EZ409" s="1171"/>
      <c r="FA409" s="1171"/>
      <c r="FB409" s="1171"/>
      <c r="FC409" s="1171"/>
      <c r="FD409" s="1171"/>
      <c r="FE409" s="1171"/>
      <c r="FF409" s="1171"/>
      <c r="FG409" s="1171"/>
      <c r="FH409" s="1171"/>
      <c r="FI409" s="1171"/>
      <c r="FJ409" s="1171"/>
      <c r="FK409" s="1171"/>
      <c r="FL409" s="1171"/>
      <c r="FM409" s="1171"/>
      <c r="FN409" s="1171"/>
      <c r="FO409" s="1171"/>
      <c r="FP409" s="1171"/>
    </row>
    <row r="410" spans="1:172" s="607" customFormat="1">
      <c r="A410" s="607">
        <f t="shared" si="12"/>
        <v>2004</v>
      </c>
      <c r="B410" s="607">
        <f t="shared" si="13"/>
        <v>2</v>
      </c>
      <c r="C410" s="666">
        <v>38139</v>
      </c>
      <c r="D410" s="957">
        <v>0.69418095238095245</v>
      </c>
      <c r="E410" s="920">
        <v>217.37574823530068</v>
      </c>
      <c r="F410" s="920">
        <v>313.13989168059061</v>
      </c>
      <c r="G410" s="920"/>
      <c r="H410" s="920"/>
      <c r="I410" s="954">
        <v>392.08199999999999</v>
      </c>
      <c r="J410" s="954">
        <v>565.07000000000005</v>
      </c>
      <c r="K410" s="954"/>
      <c r="L410" s="920"/>
      <c r="M410" s="917">
        <v>13539.55</v>
      </c>
      <c r="N410" s="917">
        <v>19504.352508608979</v>
      </c>
      <c r="O410" s="1175">
        <v>2686.7</v>
      </c>
      <c r="P410" s="1175">
        <v>3870.3165086638583</v>
      </c>
      <c r="Q410" s="1175">
        <v>870.32</v>
      </c>
      <c r="R410" s="1175">
        <v>1253.7365034504519</v>
      </c>
      <c r="S410" s="1175">
        <v>1021.45</v>
      </c>
      <c r="T410" s="1175">
        <v>1471.4463087708707</v>
      </c>
      <c r="U410" s="920">
        <v>526.67281670649356</v>
      </c>
      <c r="V410" s="920">
        <v>758.69672727272723</v>
      </c>
      <c r="W410" s="920">
        <v>1738.0259343698149</v>
      </c>
      <c r="X410" s="920">
        <v>2503.7073235855964</v>
      </c>
      <c r="Y410" s="920"/>
      <c r="Z410" s="920"/>
      <c r="AA410" s="920"/>
      <c r="AB410" s="920"/>
      <c r="AC410" s="920">
        <v>5.8620000000000001</v>
      </c>
      <c r="AD410" s="920">
        <v>8.48</v>
      </c>
      <c r="AE410" s="920">
        <v>60489.35</v>
      </c>
      <c r="AF410" s="920">
        <v>87137.726543099765</v>
      </c>
      <c r="AG410" s="920">
        <v>807.56799999999998</v>
      </c>
      <c r="AH410" s="920">
        <v>1163.3393241778592</v>
      </c>
      <c r="AI410" s="920">
        <v>228.81800000000001</v>
      </c>
      <c r="AJ410" s="920">
        <v>329.62298837959088</v>
      </c>
      <c r="AK410" s="920">
        <v>35.19</v>
      </c>
      <c r="AL410" s="920">
        <v>50.692834309703791</v>
      </c>
      <c r="AM410" s="920">
        <v>38.200000000000003</v>
      </c>
      <c r="AN410" s="920">
        <v>55.028879529147055</v>
      </c>
      <c r="AO410" s="920"/>
      <c r="AP410" s="920"/>
      <c r="AS410" s="1167"/>
      <c r="AT410" s="1167"/>
      <c r="AU410" s="1168"/>
      <c r="AV410" s="1168"/>
      <c r="AW410" s="1169"/>
      <c r="AX410" s="1169"/>
      <c r="AY410" s="1169"/>
      <c r="AZ410" s="1169"/>
      <c r="BA410" s="1867" t="s">
        <v>1</v>
      </c>
      <c r="BB410" s="1868">
        <v>2011</v>
      </c>
      <c r="BC410" s="1867" t="s">
        <v>18</v>
      </c>
      <c r="BD410" s="1867">
        <v>2</v>
      </c>
      <c r="BE410" s="1869">
        <v>4042710000</v>
      </c>
      <c r="BF410" s="1801">
        <v>0.27119082712226239</v>
      </c>
      <c r="BG410" s="1799"/>
      <c r="BH410" s="1799" t="s">
        <v>280</v>
      </c>
      <c r="BI410" s="1799" t="s">
        <v>310</v>
      </c>
      <c r="BJ410" s="1799" t="s">
        <v>15</v>
      </c>
      <c r="BK410" s="1799">
        <v>2</v>
      </c>
      <c r="BL410" s="1800">
        <v>80717187.300000012</v>
      </c>
      <c r="BM410" s="1801">
        <v>0.70172659303684193</v>
      </c>
      <c r="BN410" s="1799">
        <v>2005</v>
      </c>
      <c r="BO410" s="1684"/>
      <c r="BP410" s="1696"/>
      <c r="BQ410" s="1169"/>
      <c r="BR410" s="1169"/>
      <c r="BS410" s="1169"/>
      <c r="BT410" s="1169"/>
      <c r="BU410" s="1169"/>
      <c r="BV410" s="1169"/>
      <c r="BW410" s="1169"/>
      <c r="BX410" s="1169"/>
      <c r="BY410" s="1169"/>
      <c r="BZ410" s="1169"/>
      <c r="CA410" s="1169"/>
      <c r="CB410" s="1169"/>
      <c r="CC410" s="1169"/>
      <c r="CD410" s="1169"/>
      <c r="CE410" s="1169"/>
      <c r="CF410" s="1169"/>
      <c r="CG410" s="1169"/>
      <c r="CH410" s="1169"/>
      <c r="CI410" s="1169"/>
      <c r="CJ410" s="1169"/>
      <c r="CK410" s="1169"/>
      <c r="CL410" s="1169"/>
      <c r="CM410" s="1169"/>
      <c r="CN410" s="1169"/>
      <c r="CO410" s="1169"/>
      <c r="CP410" s="1169"/>
      <c r="CQ410" s="1169"/>
      <c r="CR410" s="1169"/>
      <c r="CS410" s="1169"/>
      <c r="CT410" s="1169"/>
      <c r="CU410" s="1169"/>
      <c r="CV410" s="1169"/>
      <c r="CW410" s="1169"/>
      <c r="CX410" s="1169"/>
      <c r="CY410" s="1169"/>
      <c r="CZ410" s="1169"/>
      <c r="DA410" s="1168"/>
      <c r="DB410" s="1168"/>
      <c r="DC410" s="1168"/>
      <c r="DD410" s="1168"/>
      <c r="DE410" s="1168"/>
      <c r="DF410" s="1168"/>
      <c r="DG410" s="1168"/>
      <c r="DH410" s="1168"/>
      <c r="DI410" s="1168"/>
      <c r="DJ410" s="1168"/>
      <c r="DK410" s="1168"/>
      <c r="DL410" s="1168"/>
      <c r="DM410" s="1168"/>
      <c r="DN410" s="1168"/>
      <c r="DO410" s="1168"/>
      <c r="DP410" s="1168"/>
      <c r="DQ410" s="1168"/>
      <c r="DR410" s="1168"/>
      <c r="DS410" s="1168"/>
      <c r="DT410" s="1168"/>
      <c r="DU410" s="1168"/>
      <c r="DV410" s="1168"/>
      <c r="DW410" s="1168"/>
      <c r="DX410" s="1168"/>
      <c r="DY410" s="1168"/>
      <c r="DZ410" s="1168"/>
      <c r="EA410" s="1168"/>
      <c r="EB410" s="1168"/>
      <c r="EC410" s="1168"/>
      <c r="ED410" s="1168"/>
      <c r="EE410" s="1168"/>
      <c r="EF410" s="1168"/>
      <c r="EG410" s="1168"/>
      <c r="EH410" s="1168"/>
      <c r="EI410" s="1170"/>
      <c r="EJ410" s="1170"/>
      <c r="EK410" s="1170"/>
      <c r="EL410" s="1170"/>
      <c r="EM410" s="1170"/>
      <c r="EN410" s="1170"/>
      <c r="EO410" s="1170"/>
      <c r="EP410" s="1170"/>
      <c r="EQ410" s="1170"/>
      <c r="ER410" s="1170"/>
      <c r="ES410" s="1171"/>
      <c r="ET410" s="1171"/>
      <c r="EU410" s="1171"/>
      <c r="EV410" s="1171"/>
      <c r="EW410" s="1171"/>
      <c r="EX410" s="1171"/>
      <c r="EY410" s="1171"/>
      <c r="EZ410" s="1171"/>
      <c r="FA410" s="1171"/>
      <c r="FB410" s="1171"/>
      <c r="FC410" s="1171"/>
      <c r="FD410" s="1171"/>
      <c r="FE410" s="1171"/>
      <c r="FF410" s="1171"/>
      <c r="FG410" s="1171"/>
      <c r="FH410" s="1171"/>
      <c r="FI410" s="1171"/>
      <c r="FJ410" s="1171"/>
      <c r="FK410" s="1171"/>
      <c r="FL410" s="1171"/>
      <c r="FM410" s="1171"/>
      <c r="FN410" s="1171"/>
      <c r="FO410" s="1171"/>
      <c r="FP410" s="1171"/>
    </row>
    <row r="411" spans="1:172" s="607" customFormat="1">
      <c r="A411" s="607">
        <f t="shared" si="12"/>
        <v>2004</v>
      </c>
      <c r="B411" s="607">
        <f t="shared" si="13"/>
        <v>3</v>
      </c>
      <c r="C411" s="666">
        <v>38169</v>
      </c>
      <c r="D411" s="1709">
        <v>0.7163909090909093</v>
      </c>
      <c r="E411" s="1117">
        <v>219.07339013417078</v>
      </c>
      <c r="F411" s="1117">
        <v>305.80146586752761</v>
      </c>
      <c r="G411" s="1117"/>
      <c r="H411" s="1117"/>
      <c r="I411" s="959">
        <v>398.09100000000001</v>
      </c>
      <c r="J411" s="959">
        <v>557.38</v>
      </c>
      <c r="K411" s="960"/>
      <c r="L411" s="1121"/>
      <c r="M411" s="916">
        <v>15031.59</v>
      </c>
      <c r="N411" s="916">
        <v>20982.385188381148</v>
      </c>
      <c r="O411" s="1174">
        <v>2808.43</v>
      </c>
      <c r="P411" s="1174">
        <v>3920.2479601030404</v>
      </c>
      <c r="Q411" s="1174">
        <v>939.59</v>
      </c>
      <c r="R411" s="1174">
        <v>1311.5604735860306</v>
      </c>
      <c r="S411" s="1174">
        <v>988.32</v>
      </c>
      <c r="T411" s="1174">
        <v>1379.5819956093039</v>
      </c>
      <c r="U411" s="1120">
        <v>583.18022194891046</v>
      </c>
      <c r="V411" s="1120">
        <v>814.05307430402559</v>
      </c>
      <c r="W411" s="1120">
        <v>1742.394647898097</v>
      </c>
      <c r="X411" s="1120">
        <v>2432.1841969060902</v>
      </c>
      <c r="Y411" s="1119"/>
      <c r="Z411" s="1119"/>
      <c r="AA411" s="1119"/>
      <c r="AB411" s="1119"/>
      <c r="AC411" s="1178">
        <v>6.3140000000000001</v>
      </c>
      <c r="AD411" s="1178">
        <v>8.86</v>
      </c>
      <c r="AE411" s="1178">
        <v>57430.3</v>
      </c>
      <c r="AF411" s="1178">
        <v>80166.14849688462</v>
      </c>
      <c r="AG411" s="1178">
        <v>809.70500000000004</v>
      </c>
      <c r="AH411" s="1178">
        <v>1130.2558278238134</v>
      </c>
      <c r="AI411" s="1178">
        <v>220.40199999999999</v>
      </c>
      <c r="AJ411" s="1178">
        <v>307.6560537035391</v>
      </c>
      <c r="AK411" s="919">
        <v>38.369999999999997</v>
      </c>
      <c r="AL411" s="919">
        <v>53.560143649353435</v>
      </c>
      <c r="AM411" s="919">
        <v>41.1</v>
      </c>
      <c r="AN411" s="919">
        <v>57.37091227491338</v>
      </c>
      <c r="AO411" s="919"/>
      <c r="AP411" s="919"/>
      <c r="AS411" s="1167"/>
      <c r="AT411" s="1167"/>
      <c r="AU411" s="1168"/>
      <c r="AV411" s="1168"/>
      <c r="AW411" s="1169"/>
      <c r="AX411" s="1169"/>
      <c r="AY411" s="1169"/>
      <c r="AZ411" s="1169"/>
      <c r="BA411" s="1867" t="s">
        <v>1</v>
      </c>
      <c r="BB411" s="1868">
        <v>2011</v>
      </c>
      <c r="BC411" s="1867" t="s">
        <v>28</v>
      </c>
      <c r="BD411" s="1867">
        <v>3</v>
      </c>
      <c r="BE411" s="1869">
        <v>2632482000</v>
      </c>
      <c r="BF411" s="1801">
        <v>0.1765906955889657</v>
      </c>
      <c r="BG411" s="1799"/>
      <c r="BH411" s="1799" t="s">
        <v>280</v>
      </c>
      <c r="BI411" s="1799" t="s">
        <v>310</v>
      </c>
      <c r="BJ411" s="1799" t="s">
        <v>51</v>
      </c>
      <c r="BK411" s="1799">
        <v>3</v>
      </c>
      <c r="BL411" s="1800">
        <v>75309007.799999997</v>
      </c>
      <c r="BM411" s="1801">
        <v>0.65470979894363768</v>
      </c>
      <c r="BN411" s="1799">
        <v>2005</v>
      </c>
      <c r="BO411" s="1684"/>
      <c r="BP411" s="1696"/>
      <c r="BQ411" s="1169"/>
      <c r="BR411" s="1169"/>
      <c r="BS411" s="1169"/>
      <c r="BT411" s="1169"/>
      <c r="BU411" s="1169"/>
      <c r="BV411" s="1169"/>
      <c r="BW411" s="1169"/>
      <c r="BX411" s="1169"/>
      <c r="BY411" s="1169"/>
      <c r="BZ411" s="1169"/>
      <c r="CA411" s="1169"/>
      <c r="CB411" s="1169"/>
      <c r="CC411" s="1169"/>
      <c r="CD411" s="1169"/>
      <c r="CE411" s="1169"/>
      <c r="CF411" s="1169"/>
      <c r="CG411" s="1169"/>
      <c r="CH411" s="1169"/>
      <c r="CI411" s="1169"/>
      <c r="CJ411" s="1169"/>
      <c r="CK411" s="1169"/>
      <c r="CL411" s="1169"/>
      <c r="CM411" s="1169"/>
      <c r="CN411" s="1169"/>
      <c r="CO411" s="1169"/>
      <c r="CP411" s="1169"/>
      <c r="CQ411" s="1169"/>
      <c r="CR411" s="1169"/>
      <c r="CS411" s="1169"/>
      <c r="CT411" s="1169"/>
      <c r="CU411" s="1169"/>
      <c r="CV411" s="1169"/>
      <c r="CW411" s="1169"/>
      <c r="CX411" s="1169"/>
      <c r="CY411" s="1169"/>
      <c r="CZ411" s="1169"/>
      <c r="DA411" s="1168"/>
      <c r="DB411" s="1168"/>
      <c r="DC411" s="1168"/>
      <c r="DD411" s="1168"/>
      <c r="DE411" s="1168"/>
      <c r="DF411" s="1168"/>
      <c r="DG411" s="1168"/>
      <c r="DH411" s="1168"/>
      <c r="DI411" s="1168"/>
      <c r="DJ411" s="1168"/>
      <c r="DK411" s="1168"/>
      <c r="DL411" s="1168"/>
      <c r="DM411" s="1168"/>
      <c r="DN411" s="1168"/>
      <c r="DO411" s="1168"/>
      <c r="DP411" s="1168"/>
      <c r="DQ411" s="1168"/>
      <c r="DR411" s="1168"/>
      <c r="DS411" s="1168"/>
      <c r="DT411" s="1168"/>
      <c r="DU411" s="1168"/>
      <c r="DV411" s="1168"/>
      <c r="DW411" s="1168"/>
      <c r="DX411" s="1168"/>
      <c r="DY411" s="1168"/>
      <c r="DZ411" s="1168"/>
      <c r="EA411" s="1168"/>
      <c r="EB411" s="1168"/>
      <c r="EC411" s="1168"/>
      <c r="ED411" s="1168"/>
      <c r="EE411" s="1168"/>
      <c r="EF411" s="1168"/>
      <c r="EG411" s="1168"/>
      <c r="EH411" s="1168"/>
      <c r="EI411" s="1170"/>
      <c r="EJ411" s="1170"/>
      <c r="EK411" s="1170"/>
      <c r="EL411" s="1170"/>
      <c r="EM411" s="1170"/>
      <c r="EN411" s="1170"/>
      <c r="EO411" s="1170"/>
      <c r="EP411" s="1170"/>
      <c r="EQ411" s="1170"/>
      <c r="ER411" s="1170"/>
      <c r="ES411" s="1171"/>
      <c r="ET411" s="1171"/>
      <c r="EU411" s="1171"/>
      <c r="EV411" s="1171"/>
      <c r="EW411" s="1171"/>
      <c r="EX411" s="1171"/>
      <c r="EY411" s="1171"/>
      <c r="EZ411" s="1171"/>
      <c r="FA411" s="1171"/>
      <c r="FB411" s="1171"/>
      <c r="FC411" s="1171"/>
      <c r="FD411" s="1171"/>
      <c r="FE411" s="1171"/>
      <c r="FF411" s="1171"/>
      <c r="FG411" s="1171"/>
      <c r="FH411" s="1171"/>
      <c r="FI411" s="1171"/>
      <c r="FJ411" s="1171"/>
      <c r="FK411" s="1171"/>
      <c r="FL411" s="1171"/>
      <c r="FM411" s="1171"/>
      <c r="FN411" s="1171"/>
      <c r="FO411" s="1171"/>
      <c r="FP411" s="1171"/>
    </row>
    <row r="412" spans="1:172" s="607" customFormat="1">
      <c r="A412" s="607">
        <f t="shared" si="12"/>
        <v>2004</v>
      </c>
      <c r="B412" s="607">
        <f t="shared" si="13"/>
        <v>3</v>
      </c>
      <c r="C412" s="666">
        <v>38200</v>
      </c>
      <c r="D412" s="957">
        <v>0.71043333333333347</v>
      </c>
      <c r="E412" s="920">
        <v>225.29591223371082</v>
      </c>
      <c r="F412" s="920">
        <v>317.12463599734076</v>
      </c>
      <c r="G412" s="920"/>
      <c r="H412" s="920"/>
      <c r="I412" s="954">
        <v>400.51</v>
      </c>
      <c r="J412" s="954">
        <v>565.04</v>
      </c>
      <c r="K412" s="954"/>
      <c r="L412" s="920"/>
      <c r="M412" s="917">
        <v>13685.95</v>
      </c>
      <c r="N412" s="917">
        <v>19264.228405198701</v>
      </c>
      <c r="O412" s="1175">
        <v>2846.1</v>
      </c>
      <c r="P412" s="1175">
        <v>4006.1464833669584</v>
      </c>
      <c r="Q412" s="1175">
        <v>921.81</v>
      </c>
      <c r="R412" s="1175">
        <v>1297.5320227091443</v>
      </c>
      <c r="S412" s="1175">
        <v>975.81</v>
      </c>
      <c r="T412" s="1175">
        <v>1373.5419696898603</v>
      </c>
      <c r="U412" s="920">
        <v>580.88235960448992</v>
      </c>
      <c r="V412" s="920">
        <v>817.64513621426806</v>
      </c>
      <c r="W412" s="920">
        <v>1773.9896711554416</v>
      </c>
      <c r="X412" s="920">
        <v>2497.052978682646</v>
      </c>
      <c r="Y412" s="920"/>
      <c r="Z412" s="920"/>
      <c r="AA412" s="920"/>
      <c r="AB412" s="920"/>
      <c r="AC412" s="920">
        <v>6.6589999999999998</v>
      </c>
      <c r="AD412" s="920">
        <v>9.43</v>
      </c>
      <c r="AE412" s="920">
        <v>55942.2</v>
      </c>
      <c r="AF412" s="920">
        <v>78743.771407122389</v>
      </c>
      <c r="AG412" s="920">
        <v>847.92899999999997</v>
      </c>
      <c r="AH412" s="920">
        <v>1193.537746915028</v>
      </c>
      <c r="AI412" s="920">
        <v>215.298</v>
      </c>
      <c r="AJ412" s="920">
        <v>303.05165861211464</v>
      </c>
      <c r="AK412" s="920">
        <v>43.03</v>
      </c>
      <c r="AL412" s="920">
        <v>60.568667010744605</v>
      </c>
      <c r="AM412" s="920">
        <v>47.03</v>
      </c>
      <c r="AN412" s="920">
        <v>66.199033453760606</v>
      </c>
      <c r="AO412" s="920"/>
      <c r="AP412" s="920"/>
      <c r="AS412" s="1167"/>
      <c r="AT412" s="1167"/>
      <c r="AU412" s="1168"/>
      <c r="AV412" s="1168"/>
      <c r="AW412" s="1169"/>
      <c r="AX412" s="1169"/>
      <c r="AY412" s="1169"/>
      <c r="AZ412" s="1169"/>
      <c r="BA412" s="1867" t="s">
        <v>1</v>
      </c>
      <c r="BB412" s="1868">
        <v>2011</v>
      </c>
      <c r="BC412" s="1867" t="s">
        <v>15</v>
      </c>
      <c r="BD412" s="1867">
        <v>4</v>
      </c>
      <c r="BE412" s="1869">
        <v>1529407000</v>
      </c>
      <c r="BF412" s="1801">
        <v>0.10259483102586581</v>
      </c>
      <c r="BG412" s="1799"/>
      <c r="BH412" s="1799" t="s">
        <v>280</v>
      </c>
      <c r="BI412" s="1799" t="s">
        <v>310</v>
      </c>
      <c r="BJ412" s="1799" t="s">
        <v>47</v>
      </c>
      <c r="BK412" s="1799">
        <v>4</v>
      </c>
      <c r="BL412" s="1800">
        <v>57440321</v>
      </c>
      <c r="BM412" s="1801">
        <v>0.49936577458358195</v>
      </c>
      <c r="BN412" s="1799">
        <v>2005</v>
      </c>
      <c r="BO412" s="1684"/>
      <c r="BP412" s="1696"/>
      <c r="BQ412" s="1169"/>
      <c r="BR412" s="1169"/>
      <c r="BS412" s="1169"/>
      <c r="BT412" s="1169"/>
      <c r="BU412" s="1169"/>
      <c r="BV412" s="1169"/>
      <c r="BW412" s="1169"/>
      <c r="BX412" s="1169"/>
      <c r="BY412" s="1169"/>
      <c r="BZ412" s="1169"/>
      <c r="CA412" s="1169"/>
      <c r="CB412" s="1169"/>
      <c r="CC412" s="1169"/>
      <c r="CD412" s="1169"/>
      <c r="CE412" s="1169"/>
      <c r="CF412" s="1169"/>
      <c r="CG412" s="1169"/>
      <c r="CH412" s="1169"/>
      <c r="CI412" s="1169"/>
      <c r="CJ412" s="1169"/>
      <c r="CK412" s="1169"/>
      <c r="CL412" s="1169"/>
      <c r="CM412" s="1169"/>
      <c r="CN412" s="1169"/>
      <c r="CO412" s="1169"/>
      <c r="CP412" s="1169"/>
      <c r="CQ412" s="1169"/>
      <c r="CR412" s="1169"/>
      <c r="CS412" s="1169"/>
      <c r="CT412" s="1169"/>
      <c r="CU412" s="1169"/>
      <c r="CV412" s="1169"/>
      <c r="CW412" s="1169"/>
      <c r="CX412" s="1169"/>
      <c r="CY412" s="1169"/>
      <c r="CZ412" s="1169"/>
      <c r="DA412" s="1168"/>
      <c r="DB412" s="1168"/>
      <c r="DC412" s="1168"/>
      <c r="DD412" s="1168"/>
      <c r="DE412" s="1168"/>
      <c r="DF412" s="1168"/>
      <c r="DG412" s="1168"/>
      <c r="DH412" s="1168"/>
      <c r="DI412" s="1168"/>
      <c r="DJ412" s="1168"/>
      <c r="DK412" s="1168"/>
      <c r="DL412" s="1168"/>
      <c r="DM412" s="1168"/>
      <c r="DN412" s="1168"/>
      <c r="DO412" s="1168"/>
      <c r="DP412" s="1168"/>
      <c r="DQ412" s="1168"/>
      <c r="DR412" s="1168"/>
      <c r="DS412" s="1168"/>
      <c r="DT412" s="1168"/>
      <c r="DU412" s="1168"/>
      <c r="DV412" s="1168"/>
      <c r="DW412" s="1168"/>
      <c r="DX412" s="1168"/>
      <c r="DY412" s="1168"/>
      <c r="DZ412" s="1168"/>
      <c r="EA412" s="1168"/>
      <c r="EB412" s="1168"/>
      <c r="EC412" s="1168"/>
      <c r="ED412" s="1168"/>
      <c r="EE412" s="1168"/>
      <c r="EF412" s="1168"/>
      <c r="EG412" s="1168"/>
      <c r="EH412" s="1168"/>
      <c r="EI412" s="1170"/>
      <c r="EJ412" s="1170"/>
      <c r="EK412" s="1170"/>
      <c r="EL412" s="1170"/>
      <c r="EM412" s="1170"/>
      <c r="EN412" s="1170"/>
      <c r="EO412" s="1170"/>
      <c r="EP412" s="1170"/>
      <c r="EQ412" s="1170"/>
      <c r="ER412" s="1170"/>
      <c r="ES412" s="1171"/>
      <c r="ET412" s="1171"/>
      <c r="EU412" s="1171"/>
      <c r="EV412" s="1171"/>
      <c r="EW412" s="1171"/>
      <c r="EX412" s="1171"/>
      <c r="EY412" s="1171"/>
      <c r="EZ412" s="1171"/>
      <c r="FA412" s="1171"/>
      <c r="FB412" s="1171"/>
      <c r="FC412" s="1171"/>
      <c r="FD412" s="1171"/>
      <c r="FE412" s="1171"/>
      <c r="FF412" s="1171"/>
      <c r="FG412" s="1171"/>
      <c r="FH412" s="1171"/>
      <c r="FI412" s="1171"/>
      <c r="FJ412" s="1171"/>
      <c r="FK412" s="1171"/>
      <c r="FL412" s="1171"/>
      <c r="FM412" s="1171"/>
      <c r="FN412" s="1171"/>
      <c r="FO412" s="1171"/>
      <c r="FP412" s="1171"/>
    </row>
    <row r="413" spans="1:172" s="607" customFormat="1">
      <c r="A413" s="607">
        <f t="shared" si="12"/>
        <v>2004</v>
      </c>
      <c r="B413" s="607">
        <f t="shared" si="13"/>
        <v>3</v>
      </c>
      <c r="C413" s="666">
        <v>38231</v>
      </c>
      <c r="D413" s="1709">
        <v>0.70134545454545449</v>
      </c>
      <c r="E413" s="1117">
        <v>227.8400804462855</v>
      </c>
      <c r="F413" s="1117">
        <v>324.86142024539078</v>
      </c>
      <c r="G413" s="1117"/>
      <c r="H413" s="1117"/>
      <c r="I413" s="959">
        <v>405.27499999999998</v>
      </c>
      <c r="J413" s="959">
        <v>578.16</v>
      </c>
      <c r="K413" s="960"/>
      <c r="L413" s="1121"/>
      <c r="M413" s="916">
        <v>13277.27</v>
      </c>
      <c r="N413" s="916">
        <v>18931.141442422359</v>
      </c>
      <c r="O413" s="1174">
        <v>2894.86</v>
      </c>
      <c r="P413" s="1174">
        <v>4127.5807538756681</v>
      </c>
      <c r="Q413" s="1174">
        <v>935.45</v>
      </c>
      <c r="R413" s="1174">
        <v>1333.7934878415515</v>
      </c>
      <c r="S413" s="1174">
        <v>975.18</v>
      </c>
      <c r="T413" s="1174">
        <v>1390.4417483278892</v>
      </c>
      <c r="U413" s="1120">
        <v>575.83554826785166</v>
      </c>
      <c r="V413" s="1120">
        <v>821.04410107149488</v>
      </c>
      <c r="W413" s="1120">
        <v>1789.5621509050777</v>
      </c>
      <c r="X413" s="1120">
        <v>2551.6129595006814</v>
      </c>
      <c r="Y413" s="1119"/>
      <c r="Z413" s="1119"/>
      <c r="AA413" s="1119"/>
      <c r="AB413" s="1119"/>
      <c r="AC413" s="1178">
        <v>6.4029999999999996</v>
      </c>
      <c r="AD413" s="1178">
        <v>9.1300000000000008</v>
      </c>
      <c r="AE413" s="1178">
        <v>55046.6</v>
      </c>
      <c r="AF413" s="1178">
        <v>78487.141597967551</v>
      </c>
      <c r="AG413" s="1178">
        <v>848.15899999999999</v>
      </c>
      <c r="AH413" s="1178">
        <v>1209.3312853217194</v>
      </c>
      <c r="AI413" s="1178">
        <v>211.727</v>
      </c>
      <c r="AJ413" s="1178">
        <v>301.88689272567018</v>
      </c>
      <c r="AK413" s="919">
        <v>43.38</v>
      </c>
      <c r="AL413" s="919">
        <v>61.852543163789086</v>
      </c>
      <c r="AM413" s="919">
        <v>47.97</v>
      </c>
      <c r="AN413" s="919">
        <v>68.397106859542703</v>
      </c>
      <c r="AO413" s="919"/>
      <c r="AP413" s="919"/>
      <c r="AS413" s="1167"/>
      <c r="AT413" s="1167"/>
      <c r="AU413" s="1168"/>
      <c r="AV413" s="1168"/>
      <c r="AW413" s="1169"/>
      <c r="AX413" s="1169"/>
      <c r="AY413" s="1169"/>
      <c r="AZ413" s="1169"/>
      <c r="BA413" s="1867" t="s">
        <v>1</v>
      </c>
      <c r="BB413" s="1868">
        <v>2011</v>
      </c>
      <c r="BC413" s="1867" t="s">
        <v>49</v>
      </c>
      <c r="BD413" s="1867">
        <v>5</v>
      </c>
      <c r="BE413" s="1869">
        <v>1170101000</v>
      </c>
      <c r="BF413" s="1801">
        <v>7.849206547256328E-2</v>
      </c>
      <c r="BG413" s="1799"/>
      <c r="BH413" s="1799" t="s">
        <v>280</v>
      </c>
      <c r="BI413" s="1799" t="s">
        <v>310</v>
      </c>
      <c r="BJ413" s="1799" t="s">
        <v>54</v>
      </c>
      <c r="BK413" s="1799">
        <v>5</v>
      </c>
      <c r="BL413" s="1800">
        <v>53882912.099999994</v>
      </c>
      <c r="BM413" s="1801">
        <v>0.46843892355050654</v>
      </c>
      <c r="BN413" s="1799">
        <v>2005</v>
      </c>
      <c r="BO413" s="1684"/>
      <c r="BP413" s="1696"/>
      <c r="BQ413" s="1169"/>
      <c r="BR413" s="1169"/>
      <c r="BS413" s="1169"/>
      <c r="BT413" s="1169"/>
      <c r="BU413" s="1169"/>
      <c r="BV413" s="1169"/>
      <c r="BW413" s="1169"/>
      <c r="BX413" s="1169"/>
      <c r="BY413" s="1169"/>
      <c r="BZ413" s="1169"/>
      <c r="CA413" s="1169"/>
      <c r="CB413" s="1169"/>
      <c r="CC413" s="1169"/>
      <c r="CD413" s="1169"/>
      <c r="CE413" s="1169"/>
      <c r="CF413" s="1169"/>
      <c r="CG413" s="1169"/>
      <c r="CH413" s="1169"/>
      <c r="CI413" s="1169"/>
      <c r="CJ413" s="1169"/>
      <c r="CK413" s="1169"/>
      <c r="CL413" s="1169"/>
      <c r="CM413" s="1169"/>
      <c r="CN413" s="1169"/>
      <c r="CO413" s="1169"/>
      <c r="CP413" s="1169"/>
      <c r="CQ413" s="1169"/>
      <c r="CR413" s="1169"/>
      <c r="CS413" s="1169"/>
      <c r="CT413" s="1169"/>
      <c r="CU413" s="1169"/>
      <c r="CV413" s="1169"/>
      <c r="CW413" s="1169"/>
      <c r="CX413" s="1169"/>
      <c r="CY413" s="1169"/>
      <c r="CZ413" s="1169"/>
      <c r="DA413" s="1168"/>
      <c r="DB413" s="1168"/>
      <c r="DC413" s="1168"/>
      <c r="DD413" s="1168"/>
      <c r="DE413" s="1168"/>
      <c r="DF413" s="1168"/>
      <c r="DG413" s="1168"/>
      <c r="DH413" s="1168"/>
      <c r="DI413" s="1168"/>
      <c r="DJ413" s="1168"/>
      <c r="DK413" s="1168"/>
      <c r="DL413" s="1168"/>
      <c r="DM413" s="1168"/>
      <c r="DN413" s="1168"/>
      <c r="DO413" s="1168"/>
      <c r="DP413" s="1168"/>
      <c r="DQ413" s="1168"/>
      <c r="DR413" s="1168"/>
      <c r="DS413" s="1168"/>
      <c r="DT413" s="1168"/>
      <c r="DU413" s="1168"/>
      <c r="DV413" s="1168"/>
      <c r="DW413" s="1168"/>
      <c r="DX413" s="1168"/>
      <c r="DY413" s="1168"/>
      <c r="DZ413" s="1168"/>
      <c r="EA413" s="1168"/>
      <c r="EB413" s="1168"/>
      <c r="EC413" s="1168"/>
      <c r="ED413" s="1168"/>
      <c r="EE413" s="1168"/>
      <c r="EF413" s="1168"/>
      <c r="EG413" s="1168"/>
      <c r="EH413" s="1168"/>
      <c r="EI413" s="1170"/>
      <c r="EJ413" s="1170"/>
      <c r="EK413" s="1170"/>
      <c r="EL413" s="1170"/>
      <c r="EM413" s="1170"/>
      <c r="EN413" s="1170"/>
      <c r="EO413" s="1170"/>
      <c r="EP413" s="1170"/>
      <c r="EQ413" s="1170"/>
      <c r="ER413" s="1170"/>
      <c r="ES413" s="1171"/>
      <c r="ET413" s="1171"/>
      <c r="EU413" s="1171"/>
      <c r="EV413" s="1171"/>
      <c r="EW413" s="1171"/>
      <c r="EX413" s="1171"/>
      <c r="EY413" s="1171"/>
      <c r="EZ413" s="1171"/>
      <c r="FA413" s="1171"/>
      <c r="FB413" s="1171"/>
      <c r="FC413" s="1171"/>
      <c r="FD413" s="1171"/>
      <c r="FE413" s="1171"/>
      <c r="FF413" s="1171"/>
      <c r="FG413" s="1171"/>
      <c r="FH413" s="1171"/>
      <c r="FI413" s="1171"/>
      <c r="FJ413" s="1171"/>
      <c r="FK413" s="1171"/>
      <c r="FL413" s="1171"/>
      <c r="FM413" s="1171"/>
      <c r="FN413" s="1171"/>
      <c r="FO413" s="1171"/>
      <c r="FP413" s="1171"/>
    </row>
    <row r="414" spans="1:172" s="607" customFormat="1">
      <c r="A414" s="607">
        <f t="shared" si="12"/>
        <v>2004</v>
      </c>
      <c r="B414" s="607">
        <f t="shared" si="13"/>
        <v>4</v>
      </c>
      <c r="C414" s="666">
        <v>38261</v>
      </c>
      <c r="D414" s="957">
        <v>0.73313500000000009</v>
      </c>
      <c r="E414" s="920">
        <v>220.61539844007484</v>
      </c>
      <c r="F414" s="920">
        <v>300.92056502564304</v>
      </c>
      <c r="G414" s="920"/>
      <c r="H414" s="920"/>
      <c r="I414" s="954">
        <v>420.76900000000001</v>
      </c>
      <c r="J414" s="954">
        <v>575.25</v>
      </c>
      <c r="K414" s="954"/>
      <c r="L414" s="920"/>
      <c r="M414" s="917">
        <v>14410.71</v>
      </c>
      <c r="N414" s="917">
        <v>19656.284313257445</v>
      </c>
      <c r="O414" s="1175">
        <v>3012.24</v>
      </c>
      <c r="P414" s="1175">
        <v>4108.7112196253065</v>
      </c>
      <c r="Q414" s="1175">
        <v>932.76</v>
      </c>
      <c r="R414" s="1175">
        <v>1272.2895510376668</v>
      </c>
      <c r="S414" s="1175">
        <v>1064.95</v>
      </c>
      <c r="T414" s="1175">
        <v>1452.5974070259911</v>
      </c>
      <c r="U414" s="920">
        <v>648.15767126190485</v>
      </c>
      <c r="V414" s="920">
        <v>884.09047619047624</v>
      </c>
      <c r="W414" s="920">
        <v>1763.5298679274206</v>
      </c>
      <c r="X414" s="920">
        <v>2405.4640249441377</v>
      </c>
      <c r="Y414" s="920"/>
      <c r="Z414" s="920"/>
      <c r="AA414" s="920"/>
      <c r="AB414" s="920"/>
      <c r="AC414" s="920">
        <v>7.1020000000000003</v>
      </c>
      <c r="AD414" s="920">
        <v>9.73</v>
      </c>
      <c r="AE414" s="920">
        <v>51147.199999999997</v>
      </c>
      <c r="AF414" s="920">
        <v>69765.050093093349</v>
      </c>
      <c r="AG414" s="920">
        <v>841.71400000000006</v>
      </c>
      <c r="AH414" s="920">
        <v>1148.1023276749847</v>
      </c>
      <c r="AI414" s="920">
        <v>219</v>
      </c>
      <c r="AJ414" s="920">
        <v>298.71715304821072</v>
      </c>
      <c r="AK414" s="920">
        <v>53.25</v>
      </c>
      <c r="AL414" s="920">
        <v>72.633280364462195</v>
      </c>
      <c r="AM414" s="920">
        <v>53.19</v>
      </c>
      <c r="AN414" s="920">
        <v>72.551440048558575</v>
      </c>
      <c r="AO414" s="920"/>
      <c r="AP414" s="920"/>
      <c r="AS414" s="1167"/>
      <c r="AT414" s="1167"/>
      <c r="AU414" s="1168"/>
      <c r="AV414" s="1168"/>
      <c r="AW414" s="1169"/>
      <c r="AX414" s="1169"/>
      <c r="AY414" s="1169"/>
      <c r="AZ414" s="1169"/>
      <c r="BA414" s="1867" t="s">
        <v>1</v>
      </c>
      <c r="BB414" s="1868">
        <v>2011</v>
      </c>
      <c r="BC414" s="1867" t="s">
        <v>77</v>
      </c>
      <c r="BD414" s="1867">
        <v>6</v>
      </c>
      <c r="BE414" s="1869">
        <v>383599000</v>
      </c>
      <c r="BF414" s="1801">
        <v>2.5732375088312723E-2</v>
      </c>
      <c r="BG414" s="1799"/>
      <c r="BH414" s="1799" t="s">
        <v>280</v>
      </c>
      <c r="BI414" s="1799" t="s">
        <v>310</v>
      </c>
      <c r="BJ414" s="1799" t="s">
        <v>583</v>
      </c>
      <c r="BK414" s="1799">
        <v>6</v>
      </c>
      <c r="BL414" s="1800">
        <v>42472038.039999999</v>
      </c>
      <c r="BM414" s="1801">
        <v>0.36923683232877402</v>
      </c>
      <c r="BN414" s="1799">
        <v>2005</v>
      </c>
      <c r="BO414" s="1684"/>
      <c r="BP414" s="1696"/>
      <c r="BQ414" s="1169"/>
      <c r="BR414" s="1169"/>
      <c r="BS414" s="1169"/>
      <c r="BT414" s="1169"/>
      <c r="BU414" s="1169"/>
      <c r="BV414" s="1169"/>
      <c r="BW414" s="1169"/>
      <c r="BX414" s="1169"/>
      <c r="BY414" s="1169"/>
      <c r="BZ414" s="1169"/>
      <c r="CA414" s="1169"/>
      <c r="CB414" s="1169"/>
      <c r="CC414" s="1169"/>
      <c r="CD414" s="1169"/>
      <c r="CE414" s="1169"/>
      <c r="CF414" s="1169"/>
      <c r="CG414" s="1169"/>
      <c r="CH414" s="1169"/>
      <c r="CI414" s="1169"/>
      <c r="CJ414" s="1169"/>
      <c r="CK414" s="1169"/>
      <c r="CL414" s="1169"/>
      <c r="CM414" s="1169"/>
      <c r="CN414" s="1169"/>
      <c r="CO414" s="1169"/>
      <c r="CP414" s="1169"/>
      <c r="CQ414" s="1169"/>
      <c r="CR414" s="1169"/>
      <c r="CS414" s="1169"/>
      <c r="CT414" s="1169"/>
      <c r="CU414" s="1169"/>
      <c r="CV414" s="1169"/>
      <c r="CW414" s="1169"/>
      <c r="CX414" s="1169"/>
      <c r="CY414" s="1169"/>
      <c r="CZ414" s="1169"/>
      <c r="DA414" s="1168"/>
      <c r="DB414" s="1168"/>
      <c r="DC414" s="1168"/>
      <c r="DD414" s="1168"/>
      <c r="DE414" s="1168"/>
      <c r="DF414" s="1168"/>
      <c r="DG414" s="1168"/>
      <c r="DH414" s="1168"/>
      <c r="DI414" s="1168"/>
      <c r="DJ414" s="1168"/>
      <c r="DK414" s="1168"/>
      <c r="DL414" s="1168"/>
      <c r="DM414" s="1168"/>
      <c r="DN414" s="1168"/>
      <c r="DO414" s="1168"/>
      <c r="DP414" s="1168"/>
      <c r="DQ414" s="1168"/>
      <c r="DR414" s="1168"/>
      <c r="DS414" s="1168"/>
      <c r="DT414" s="1168"/>
      <c r="DU414" s="1168"/>
      <c r="DV414" s="1168"/>
      <c r="DW414" s="1168"/>
      <c r="DX414" s="1168"/>
      <c r="DY414" s="1168"/>
      <c r="DZ414" s="1168"/>
      <c r="EA414" s="1168"/>
      <c r="EB414" s="1168"/>
      <c r="EC414" s="1168"/>
      <c r="ED414" s="1168"/>
      <c r="EE414" s="1168"/>
      <c r="EF414" s="1168"/>
      <c r="EG414" s="1168"/>
      <c r="EH414" s="1168"/>
      <c r="EI414" s="1170"/>
      <c r="EJ414" s="1170"/>
      <c r="EK414" s="1170"/>
      <c r="EL414" s="1170"/>
      <c r="EM414" s="1170"/>
      <c r="EN414" s="1170"/>
      <c r="EO414" s="1170"/>
      <c r="EP414" s="1170"/>
      <c r="EQ414" s="1170"/>
      <c r="ER414" s="1170"/>
      <c r="ES414" s="1171"/>
      <c r="ET414" s="1171"/>
      <c r="EU414" s="1171"/>
      <c r="EV414" s="1171"/>
      <c r="EW414" s="1171"/>
      <c r="EX414" s="1171"/>
      <c r="EY414" s="1171"/>
      <c r="EZ414" s="1171"/>
      <c r="FA414" s="1171"/>
      <c r="FB414" s="1171"/>
      <c r="FC414" s="1171"/>
      <c r="FD414" s="1171"/>
      <c r="FE414" s="1171"/>
      <c r="FF414" s="1171"/>
      <c r="FG414" s="1171"/>
      <c r="FH414" s="1171"/>
      <c r="FI414" s="1171"/>
      <c r="FJ414" s="1171"/>
      <c r="FK414" s="1171"/>
      <c r="FL414" s="1171"/>
      <c r="FM414" s="1171"/>
      <c r="FN414" s="1171"/>
      <c r="FO414" s="1171"/>
      <c r="FP414" s="1171"/>
    </row>
    <row r="415" spans="1:172" s="607" customFormat="1">
      <c r="A415" s="607">
        <f t="shared" si="12"/>
        <v>2004</v>
      </c>
      <c r="B415" s="607">
        <f t="shared" si="13"/>
        <v>4</v>
      </c>
      <c r="C415" s="666">
        <v>38292</v>
      </c>
      <c r="D415" s="1709">
        <v>0.76888181818181811</v>
      </c>
      <c r="E415" s="1117">
        <v>230.64112700565025</v>
      </c>
      <c r="F415" s="1117">
        <v>299.96954219967046</v>
      </c>
      <c r="G415" s="1117"/>
      <c r="H415" s="1117"/>
      <c r="I415" s="959">
        <v>439.38600000000002</v>
      </c>
      <c r="J415" s="959">
        <v>570.01</v>
      </c>
      <c r="K415" s="960"/>
      <c r="L415" s="1121"/>
      <c r="M415" s="916">
        <v>14053.41</v>
      </c>
      <c r="N415" s="916">
        <v>18277.724440450715</v>
      </c>
      <c r="O415" s="1174">
        <v>3122.8</v>
      </c>
      <c r="P415" s="1174">
        <v>4061.4824361232963</v>
      </c>
      <c r="Q415" s="1174">
        <v>967.8</v>
      </c>
      <c r="R415" s="1174">
        <v>1258.7109970795843</v>
      </c>
      <c r="S415" s="1174">
        <v>1095.6400000000001</v>
      </c>
      <c r="T415" s="1174">
        <v>1424.9784220296301</v>
      </c>
      <c r="U415" s="1120">
        <v>640.15529880404779</v>
      </c>
      <c r="V415" s="1120">
        <v>832.57957681692733</v>
      </c>
      <c r="W415" s="1120">
        <v>1800.367850670978</v>
      </c>
      <c r="X415" s="1120">
        <v>2341.5404137508731</v>
      </c>
      <c r="Y415" s="1119"/>
      <c r="Z415" s="1119"/>
      <c r="AA415" s="1119"/>
      <c r="AB415" s="1119"/>
      <c r="AC415" s="1178">
        <v>7.4930000000000003</v>
      </c>
      <c r="AD415" s="1178">
        <v>9.7200000000000006</v>
      </c>
      <c r="AE415" s="1178">
        <v>38029.699999999997</v>
      </c>
      <c r="AF415" s="1178">
        <v>49461.047329652269</v>
      </c>
      <c r="AG415" s="1178">
        <v>854.40899999999999</v>
      </c>
      <c r="AH415" s="1178">
        <v>1111.2357969660784</v>
      </c>
      <c r="AI415" s="1178">
        <v>213.70500000000001</v>
      </c>
      <c r="AJ415" s="1178">
        <v>277.94258486349719</v>
      </c>
      <c r="AK415" s="919">
        <v>48.45</v>
      </c>
      <c r="AL415" s="919">
        <v>63.013585253674179</v>
      </c>
      <c r="AM415" s="919">
        <v>47.02</v>
      </c>
      <c r="AN415" s="919">
        <v>61.153741560944475</v>
      </c>
      <c r="AO415" s="919"/>
      <c r="AP415" s="919"/>
      <c r="AS415" s="1167"/>
      <c r="AT415" s="1167"/>
      <c r="AU415" s="1168"/>
      <c r="AV415" s="1168"/>
      <c r="AW415" s="1169"/>
      <c r="AX415" s="1169"/>
      <c r="AY415" s="1169"/>
      <c r="AZ415" s="1169"/>
      <c r="BA415" s="1867" t="s">
        <v>1</v>
      </c>
      <c r="BB415" s="1868">
        <v>2011</v>
      </c>
      <c r="BC415" s="1867" t="s">
        <v>581</v>
      </c>
      <c r="BD415" s="1867">
        <v>7</v>
      </c>
      <c r="BE415" s="1869">
        <v>324588000</v>
      </c>
      <c r="BF415" s="1801">
        <v>2.1773831957761228E-2</v>
      </c>
      <c r="BG415" s="1799"/>
      <c r="BH415" s="1799" t="s">
        <v>280</v>
      </c>
      <c r="BI415" s="1799" t="s">
        <v>310</v>
      </c>
      <c r="BJ415" s="1799" t="s">
        <v>23</v>
      </c>
      <c r="BK415" s="1799">
        <v>7</v>
      </c>
      <c r="BL415" s="1800">
        <v>40988402.799999997</v>
      </c>
      <c r="BM415" s="1801">
        <v>0.35633863385209591</v>
      </c>
      <c r="BN415" s="1799">
        <v>2005</v>
      </c>
      <c r="BO415" s="1684"/>
      <c r="BP415" s="1696"/>
      <c r="BQ415" s="1169"/>
      <c r="BR415" s="1169"/>
      <c r="BS415" s="1169"/>
      <c r="BT415" s="1169"/>
      <c r="BU415" s="1169"/>
      <c r="BV415" s="1169"/>
      <c r="BW415" s="1169"/>
      <c r="BX415" s="1169"/>
      <c r="BY415" s="1169"/>
      <c r="BZ415" s="1169"/>
      <c r="CA415" s="1169"/>
      <c r="CB415" s="1169"/>
      <c r="CC415" s="1169"/>
      <c r="CD415" s="1169"/>
      <c r="CE415" s="1169"/>
      <c r="CF415" s="1169"/>
      <c r="CG415" s="1169"/>
      <c r="CH415" s="1169"/>
      <c r="CI415" s="1169"/>
      <c r="CJ415" s="1169"/>
      <c r="CK415" s="1169"/>
      <c r="CL415" s="1169"/>
      <c r="CM415" s="1169"/>
      <c r="CN415" s="1169"/>
      <c r="CO415" s="1169"/>
      <c r="CP415" s="1169"/>
      <c r="CQ415" s="1169"/>
      <c r="CR415" s="1169"/>
      <c r="CS415" s="1169"/>
      <c r="CT415" s="1169"/>
      <c r="CU415" s="1169"/>
      <c r="CV415" s="1169"/>
      <c r="CW415" s="1169"/>
      <c r="CX415" s="1169"/>
      <c r="CY415" s="1169"/>
      <c r="CZ415" s="1169"/>
      <c r="DA415" s="1168"/>
      <c r="DB415" s="1168"/>
      <c r="DC415" s="1168"/>
      <c r="DD415" s="1168"/>
      <c r="DE415" s="1168"/>
      <c r="DF415" s="1168"/>
      <c r="DG415" s="1168"/>
      <c r="DH415" s="1168"/>
      <c r="DI415" s="1168"/>
      <c r="DJ415" s="1168"/>
      <c r="DK415" s="1168"/>
      <c r="DL415" s="1168"/>
      <c r="DM415" s="1168"/>
      <c r="DN415" s="1168"/>
      <c r="DO415" s="1168"/>
      <c r="DP415" s="1168"/>
      <c r="DQ415" s="1168"/>
      <c r="DR415" s="1168"/>
      <c r="DS415" s="1168"/>
      <c r="DT415" s="1168"/>
      <c r="DU415" s="1168"/>
      <c r="DV415" s="1168"/>
      <c r="DW415" s="1168"/>
      <c r="DX415" s="1168"/>
      <c r="DY415" s="1168"/>
      <c r="DZ415" s="1168"/>
      <c r="EA415" s="1168"/>
      <c r="EB415" s="1168"/>
      <c r="EC415" s="1168"/>
      <c r="ED415" s="1168"/>
      <c r="EE415" s="1168"/>
      <c r="EF415" s="1168"/>
      <c r="EG415" s="1168"/>
      <c r="EH415" s="1168"/>
      <c r="EI415" s="1170"/>
      <c r="EJ415" s="1170"/>
      <c r="EK415" s="1170"/>
      <c r="EL415" s="1170"/>
      <c r="EM415" s="1170"/>
      <c r="EN415" s="1170"/>
      <c r="EO415" s="1170"/>
      <c r="EP415" s="1170"/>
      <c r="EQ415" s="1170"/>
      <c r="ER415" s="1170"/>
      <c r="ES415" s="1171"/>
      <c r="ET415" s="1171"/>
      <c r="EU415" s="1171"/>
      <c r="EV415" s="1171"/>
      <c r="EW415" s="1171"/>
      <c r="EX415" s="1171"/>
      <c r="EY415" s="1171"/>
      <c r="EZ415" s="1171"/>
      <c r="FA415" s="1171"/>
      <c r="FB415" s="1171"/>
      <c r="FC415" s="1171"/>
      <c r="FD415" s="1171"/>
      <c r="FE415" s="1171"/>
      <c r="FF415" s="1171"/>
      <c r="FG415" s="1171"/>
      <c r="FH415" s="1171"/>
      <c r="FI415" s="1171"/>
      <c r="FJ415" s="1171"/>
      <c r="FK415" s="1171"/>
      <c r="FL415" s="1171"/>
      <c r="FM415" s="1171"/>
      <c r="FN415" s="1171"/>
      <c r="FO415" s="1171"/>
      <c r="FP415" s="1171"/>
    </row>
    <row r="416" spans="1:172" s="607" customFormat="1">
      <c r="A416" s="607">
        <f t="shared" si="12"/>
        <v>2004</v>
      </c>
      <c r="B416" s="607">
        <f t="shared" si="13"/>
        <v>4</v>
      </c>
      <c r="C416" s="666">
        <v>38322</v>
      </c>
      <c r="D416" s="957">
        <v>0.7677571428571428</v>
      </c>
      <c r="E416" s="920">
        <v>239.5239119677662</v>
      </c>
      <c r="F416" s="920">
        <v>311.97874770190788</v>
      </c>
      <c r="G416" s="920"/>
      <c r="H416" s="920"/>
      <c r="I416" s="954">
        <v>441.755</v>
      </c>
      <c r="J416" s="954">
        <v>578.58000000000004</v>
      </c>
      <c r="K416" s="954"/>
      <c r="L416" s="920"/>
      <c r="M416" s="917">
        <v>13775.71</v>
      </c>
      <c r="N416" s="917">
        <v>17942.796271142288</v>
      </c>
      <c r="O416" s="1175">
        <v>3145.45</v>
      </c>
      <c r="P416" s="1175">
        <v>4096.933554137283</v>
      </c>
      <c r="Q416" s="1175">
        <v>974.9</v>
      </c>
      <c r="R416" s="1175">
        <v>1269.8025789405133</v>
      </c>
      <c r="S416" s="1175">
        <v>1180.21</v>
      </c>
      <c r="T416" s="1175">
        <v>1537.2178702342633</v>
      </c>
      <c r="U416" s="920">
        <v>643.76961621415558</v>
      </c>
      <c r="V416" s="920">
        <v>838.50684061163111</v>
      </c>
      <c r="W416" s="920">
        <v>1817.2045560373153</v>
      </c>
      <c r="X416" s="920">
        <v>2366.9002274270524</v>
      </c>
      <c r="Y416" s="920"/>
      <c r="Z416" s="920"/>
      <c r="AA416" s="920"/>
      <c r="AB416" s="920"/>
      <c r="AC416" s="920">
        <v>7.1040000000000001</v>
      </c>
      <c r="AD416" s="920">
        <v>9.36</v>
      </c>
      <c r="AE416" s="920">
        <v>42769.599999999999</v>
      </c>
      <c r="AF416" s="920">
        <v>55707.199077089113</v>
      </c>
      <c r="AG416" s="920">
        <v>848.55</v>
      </c>
      <c r="AH416" s="920">
        <v>1105.232309324005</v>
      </c>
      <c r="AI416" s="920">
        <v>191.625</v>
      </c>
      <c r="AJ416" s="920">
        <v>249.59064436298684</v>
      </c>
      <c r="AK416" s="920">
        <v>43.23</v>
      </c>
      <c r="AL416" s="920">
        <v>56.30686787116462</v>
      </c>
      <c r="AM416" s="920">
        <v>39.04</v>
      </c>
      <c r="AN416" s="920">
        <v>50.849412946802374</v>
      </c>
      <c r="AO416" s="920"/>
      <c r="AP416" s="920"/>
      <c r="AS416" s="1167"/>
      <c r="AT416" s="1167"/>
      <c r="AU416" s="1168"/>
      <c r="AV416" s="1168"/>
      <c r="AW416" s="1169"/>
      <c r="AX416" s="1169"/>
      <c r="AY416" s="1169"/>
      <c r="AZ416" s="1169"/>
      <c r="BA416" s="1867" t="s">
        <v>1</v>
      </c>
      <c r="BB416" s="1868">
        <v>2011</v>
      </c>
      <c r="BC416" s="1867" t="s">
        <v>431</v>
      </c>
      <c r="BD416" s="1867">
        <v>8</v>
      </c>
      <c r="BE416" s="1869">
        <v>322483000</v>
      </c>
      <c r="BF416" s="1801">
        <v>2.163262551676191E-2</v>
      </c>
      <c r="BG416" s="1799"/>
      <c r="BH416" s="1799" t="s">
        <v>280</v>
      </c>
      <c r="BI416" s="1799" t="s">
        <v>310</v>
      </c>
      <c r="BJ416" s="1799" t="s">
        <v>26</v>
      </c>
      <c r="BK416" s="1799">
        <v>8</v>
      </c>
      <c r="BL416" s="1800">
        <v>35200458.400000006</v>
      </c>
      <c r="BM416" s="1801">
        <v>0.30602029843484257</v>
      </c>
      <c r="BN416" s="1799">
        <v>2005</v>
      </c>
      <c r="BO416" s="1684"/>
      <c r="BP416" s="1696"/>
      <c r="BQ416" s="1169"/>
      <c r="BR416" s="1169"/>
      <c r="BS416" s="1169"/>
      <c r="BT416" s="1169"/>
      <c r="BU416" s="1169"/>
      <c r="BV416" s="1169"/>
      <c r="BW416" s="1169"/>
      <c r="BX416" s="1169"/>
      <c r="BY416" s="1169"/>
      <c r="BZ416" s="1169"/>
      <c r="CA416" s="1169"/>
      <c r="CB416" s="1169"/>
      <c r="CC416" s="1169"/>
      <c r="CD416" s="1169"/>
      <c r="CE416" s="1169"/>
      <c r="CF416" s="1169"/>
      <c r="CG416" s="1169"/>
      <c r="CH416" s="1169"/>
      <c r="CI416" s="1169"/>
      <c r="CJ416" s="1169"/>
      <c r="CK416" s="1169"/>
      <c r="CL416" s="1169"/>
      <c r="CM416" s="1169"/>
      <c r="CN416" s="1169"/>
      <c r="CO416" s="1169"/>
      <c r="CP416" s="1169"/>
      <c r="CQ416" s="1169"/>
      <c r="CR416" s="1169"/>
      <c r="CS416" s="1169"/>
      <c r="CT416" s="1169"/>
      <c r="CU416" s="1169"/>
      <c r="CV416" s="1169"/>
      <c r="CW416" s="1169"/>
      <c r="CX416" s="1169"/>
      <c r="CY416" s="1169"/>
      <c r="CZ416" s="1169"/>
      <c r="DA416" s="1168"/>
      <c r="DB416" s="1168"/>
      <c r="DC416" s="1168"/>
      <c r="DD416" s="1168"/>
      <c r="DE416" s="1168"/>
      <c r="DF416" s="1168"/>
      <c r="DG416" s="1168"/>
      <c r="DH416" s="1168"/>
      <c r="DI416" s="1168"/>
      <c r="DJ416" s="1168"/>
      <c r="DK416" s="1168"/>
      <c r="DL416" s="1168"/>
      <c r="DM416" s="1168"/>
      <c r="DN416" s="1168"/>
      <c r="DO416" s="1168"/>
      <c r="DP416" s="1168"/>
      <c r="DQ416" s="1168"/>
      <c r="DR416" s="1168"/>
      <c r="DS416" s="1168"/>
      <c r="DT416" s="1168"/>
      <c r="DU416" s="1168"/>
      <c r="DV416" s="1168"/>
      <c r="DW416" s="1168"/>
      <c r="DX416" s="1168"/>
      <c r="DY416" s="1168"/>
      <c r="DZ416" s="1168"/>
      <c r="EA416" s="1168"/>
      <c r="EB416" s="1168"/>
      <c r="EC416" s="1168"/>
      <c r="ED416" s="1168"/>
      <c r="EE416" s="1168"/>
      <c r="EF416" s="1168"/>
      <c r="EG416" s="1168"/>
      <c r="EH416" s="1168"/>
      <c r="EI416" s="1170"/>
      <c r="EJ416" s="1170"/>
      <c r="EK416" s="1170"/>
      <c r="EL416" s="1170"/>
      <c r="EM416" s="1170"/>
      <c r="EN416" s="1170"/>
      <c r="EO416" s="1170"/>
      <c r="EP416" s="1170"/>
      <c r="EQ416" s="1170"/>
      <c r="ER416" s="1170"/>
      <c r="ES416" s="1171"/>
      <c r="ET416" s="1171"/>
      <c r="EU416" s="1171"/>
      <c r="EV416" s="1171"/>
      <c r="EW416" s="1171"/>
      <c r="EX416" s="1171"/>
      <c r="EY416" s="1171"/>
      <c r="EZ416" s="1171"/>
      <c r="FA416" s="1171"/>
      <c r="FB416" s="1171"/>
      <c r="FC416" s="1171"/>
      <c r="FD416" s="1171"/>
      <c r="FE416" s="1171"/>
      <c r="FF416" s="1171"/>
      <c r="FG416" s="1171"/>
      <c r="FH416" s="1171"/>
      <c r="FI416" s="1171"/>
      <c r="FJ416" s="1171"/>
      <c r="FK416" s="1171"/>
      <c r="FL416" s="1171"/>
      <c r="FM416" s="1171"/>
      <c r="FN416" s="1171"/>
      <c r="FO416" s="1171"/>
      <c r="FP416" s="1171"/>
    </row>
    <row r="417" spans="1:172" s="607" customFormat="1">
      <c r="A417" s="607">
        <f t="shared" si="12"/>
        <v>2005</v>
      </c>
      <c r="B417" s="607">
        <f t="shared" si="13"/>
        <v>1</v>
      </c>
      <c r="C417" s="666">
        <v>38353</v>
      </c>
      <c r="D417" s="1709">
        <v>0.76474210526315789</v>
      </c>
      <c r="E417" s="1117">
        <v>231.38792919145195</v>
      </c>
      <c r="F417" s="1117">
        <v>302.56988283890593</v>
      </c>
      <c r="G417" s="1117"/>
      <c r="H417" s="1117"/>
      <c r="I417" s="959">
        <v>424.61700000000002</v>
      </c>
      <c r="J417" s="959">
        <v>554.91999999999996</v>
      </c>
      <c r="K417" s="960"/>
      <c r="L417" s="1121"/>
      <c r="M417" s="916">
        <v>14505</v>
      </c>
      <c r="N417" s="916">
        <v>18967.178477780606</v>
      </c>
      <c r="O417" s="1174">
        <v>3170</v>
      </c>
      <c r="P417" s="1174">
        <v>4145.1882643615663</v>
      </c>
      <c r="Q417" s="1174">
        <v>953.15</v>
      </c>
      <c r="R417" s="1174">
        <v>1246.367884598179</v>
      </c>
      <c r="S417" s="1174">
        <v>1246.3800000000001</v>
      </c>
      <c r="T417" s="1174">
        <v>1629.8043372034606</v>
      </c>
      <c r="U417" s="1120">
        <v>693.47233467203966</v>
      </c>
      <c r="V417" s="1120">
        <v>906.8054837040869</v>
      </c>
      <c r="W417" s="1120">
        <v>1804.9715022036978</v>
      </c>
      <c r="X417" s="1120">
        <v>2360.2355484043646</v>
      </c>
      <c r="Y417" s="1119"/>
      <c r="Z417" s="1119"/>
      <c r="AA417" s="1119"/>
      <c r="AB417" s="1119"/>
      <c r="AC417" s="1178">
        <v>6.6210000000000004</v>
      </c>
      <c r="AD417" s="1178">
        <v>8.69</v>
      </c>
      <c r="AE417" s="1178">
        <v>44643.6</v>
      </c>
      <c r="AF417" s="1178">
        <v>58377.327065883925</v>
      </c>
      <c r="AG417" s="1178">
        <v>858.81</v>
      </c>
      <c r="AH417" s="1178">
        <v>1123.0060357464847</v>
      </c>
      <c r="AI417" s="1178">
        <v>185.929</v>
      </c>
      <c r="AJ417" s="1178">
        <v>243.126406562928</v>
      </c>
      <c r="AK417" s="919">
        <v>44.28</v>
      </c>
      <c r="AL417" s="919">
        <v>57.901872664331286</v>
      </c>
      <c r="AM417" s="919">
        <v>46.39</v>
      </c>
      <c r="AN417" s="919">
        <v>60.660972739347976</v>
      </c>
      <c r="AO417" s="919"/>
      <c r="AP417" s="919"/>
      <c r="AS417" s="1167"/>
      <c r="AT417" s="1167"/>
      <c r="AU417" s="1168"/>
      <c r="AV417" s="1168"/>
      <c r="AW417" s="1169"/>
      <c r="AX417" s="1169"/>
      <c r="AY417" s="1169"/>
      <c r="AZ417" s="1169"/>
      <c r="BA417" s="1867" t="s">
        <v>1</v>
      </c>
      <c r="BB417" s="1868">
        <v>2011</v>
      </c>
      <c r="BC417" s="1867" t="s">
        <v>46</v>
      </c>
      <c r="BD417" s="1867">
        <v>9</v>
      </c>
      <c r="BE417" s="1869">
        <v>93559000</v>
      </c>
      <c r="BF417" s="1801">
        <v>6.2760728805013825E-3</v>
      </c>
      <c r="BG417" s="1799"/>
      <c r="BH417" s="1799" t="s">
        <v>280</v>
      </c>
      <c r="BI417" s="1799" t="s">
        <v>310</v>
      </c>
      <c r="BJ417" s="1799" t="s">
        <v>20</v>
      </c>
      <c r="BK417" s="1799">
        <v>9</v>
      </c>
      <c r="BL417" s="1800">
        <v>33520985.699999999</v>
      </c>
      <c r="BM417" s="1801">
        <v>0.29141955855166046</v>
      </c>
      <c r="BN417" s="1799">
        <v>2005</v>
      </c>
      <c r="BO417" s="1684"/>
      <c r="BP417" s="1696"/>
      <c r="BQ417" s="1169"/>
      <c r="BR417" s="1169"/>
      <c r="BS417" s="1169"/>
      <c r="BT417" s="1169"/>
      <c r="BU417" s="1169"/>
      <c r="BV417" s="1169"/>
      <c r="BW417" s="1169"/>
      <c r="BX417" s="1169"/>
      <c r="BY417" s="1169"/>
      <c r="BZ417" s="1169"/>
      <c r="CA417" s="1169"/>
      <c r="CB417" s="1169"/>
      <c r="CC417" s="1169"/>
      <c r="CD417" s="1169"/>
      <c r="CE417" s="1169"/>
      <c r="CF417" s="1169"/>
      <c r="CG417" s="1169"/>
      <c r="CH417" s="1169"/>
      <c r="CI417" s="1169"/>
      <c r="CJ417" s="1169"/>
      <c r="CK417" s="1169"/>
      <c r="CL417" s="1169"/>
      <c r="CM417" s="1169"/>
      <c r="CN417" s="1169"/>
      <c r="CO417" s="1169"/>
      <c r="CP417" s="1169"/>
      <c r="CQ417" s="1169"/>
      <c r="CR417" s="1169"/>
      <c r="CS417" s="1169"/>
      <c r="CT417" s="1169"/>
      <c r="CU417" s="1169"/>
      <c r="CV417" s="1169"/>
      <c r="CW417" s="1169"/>
      <c r="CX417" s="1169"/>
      <c r="CY417" s="1169"/>
      <c r="CZ417" s="1169"/>
      <c r="DA417" s="1168"/>
      <c r="DB417" s="1168"/>
      <c r="DC417" s="1168"/>
      <c r="DD417" s="1168"/>
      <c r="DE417" s="1168"/>
      <c r="DF417" s="1168"/>
      <c r="DG417" s="1168"/>
      <c r="DH417" s="1168"/>
      <c r="DI417" s="1168"/>
      <c r="DJ417" s="1168"/>
      <c r="DK417" s="1168"/>
      <c r="DL417" s="1168"/>
      <c r="DM417" s="1168"/>
      <c r="DN417" s="1168"/>
      <c r="DO417" s="1168"/>
      <c r="DP417" s="1168"/>
      <c r="DQ417" s="1168"/>
      <c r="DR417" s="1168"/>
      <c r="DS417" s="1168"/>
      <c r="DT417" s="1168"/>
      <c r="DU417" s="1168"/>
      <c r="DV417" s="1168"/>
      <c r="DW417" s="1168"/>
      <c r="DX417" s="1168"/>
      <c r="DY417" s="1168"/>
      <c r="DZ417" s="1168"/>
      <c r="EA417" s="1168"/>
      <c r="EB417" s="1168"/>
      <c r="EC417" s="1168"/>
      <c r="ED417" s="1168"/>
      <c r="EE417" s="1168"/>
      <c r="EF417" s="1168"/>
      <c r="EG417" s="1168"/>
      <c r="EH417" s="1168"/>
      <c r="EI417" s="1170"/>
      <c r="EJ417" s="1170"/>
      <c r="EK417" s="1170"/>
      <c r="EL417" s="1170"/>
      <c r="EM417" s="1170"/>
      <c r="EN417" s="1170"/>
      <c r="EO417" s="1170"/>
      <c r="EP417" s="1170"/>
      <c r="EQ417" s="1170"/>
      <c r="ER417" s="1170"/>
      <c r="ES417" s="1171"/>
      <c r="ET417" s="1171"/>
      <c r="EU417" s="1171"/>
      <c r="EV417" s="1171"/>
      <c r="EW417" s="1171"/>
      <c r="EX417" s="1171"/>
      <c r="EY417" s="1171"/>
      <c r="EZ417" s="1171"/>
      <c r="FA417" s="1171"/>
      <c r="FB417" s="1171"/>
      <c r="FC417" s="1171"/>
      <c r="FD417" s="1171"/>
      <c r="FE417" s="1171"/>
      <c r="FF417" s="1171"/>
      <c r="FG417" s="1171"/>
      <c r="FH417" s="1171"/>
      <c r="FI417" s="1171"/>
      <c r="FJ417" s="1171"/>
      <c r="FK417" s="1171"/>
      <c r="FL417" s="1171"/>
      <c r="FM417" s="1171"/>
      <c r="FN417" s="1171"/>
      <c r="FO417" s="1171"/>
      <c r="FP417" s="1171"/>
    </row>
    <row r="418" spans="1:172" s="607" customFormat="1">
      <c r="A418" s="607">
        <f t="shared" si="12"/>
        <v>2005</v>
      </c>
      <c r="B418" s="607">
        <f t="shared" si="13"/>
        <v>1</v>
      </c>
      <c r="C418" s="666">
        <v>38384</v>
      </c>
      <c r="D418" s="957">
        <v>0.7807449999999998</v>
      </c>
      <c r="E418" s="920">
        <v>230.63377027558309</v>
      </c>
      <c r="F418" s="920">
        <v>295.40217391796699</v>
      </c>
      <c r="G418" s="920"/>
      <c r="H418" s="920"/>
      <c r="I418" s="954">
        <v>423.35</v>
      </c>
      <c r="J418" s="954">
        <v>544.32000000000005</v>
      </c>
      <c r="K418" s="954"/>
      <c r="L418" s="920"/>
      <c r="M418" s="917">
        <v>15349.5</v>
      </c>
      <c r="N418" s="917">
        <v>19660.068268128522</v>
      </c>
      <c r="O418" s="1175">
        <v>3253.7</v>
      </c>
      <c r="P418" s="1175">
        <v>4167.429826639941</v>
      </c>
      <c r="Q418" s="1175">
        <v>977.55</v>
      </c>
      <c r="R418" s="1175">
        <v>1252.07334020711</v>
      </c>
      <c r="S418" s="1175">
        <v>1326.18</v>
      </c>
      <c r="T418" s="1175">
        <v>1698.6083804571281</v>
      </c>
      <c r="U418" s="920">
        <v>752.47343355424459</v>
      </c>
      <c r="V418" s="920">
        <v>963.78898815137438</v>
      </c>
      <c r="W418" s="920">
        <v>1838.7425869833039</v>
      </c>
      <c r="X418" s="920">
        <v>2355.1128562889348</v>
      </c>
      <c r="Y418" s="920"/>
      <c r="Z418" s="920"/>
      <c r="AA418" s="920"/>
      <c r="AB418" s="920"/>
      <c r="AC418" s="920">
        <v>7.03</v>
      </c>
      <c r="AD418" s="920">
        <v>9.1199999999999992</v>
      </c>
      <c r="AE418" s="920">
        <v>42645.599999999999</v>
      </c>
      <c r="AF418" s="920">
        <v>54621.675451011542</v>
      </c>
      <c r="AG418" s="920">
        <v>864.3</v>
      </c>
      <c r="AH418" s="920">
        <v>1107.019577454867</v>
      </c>
      <c r="AI418" s="920">
        <v>181.96299999999999</v>
      </c>
      <c r="AJ418" s="920">
        <v>233.06329211202126</v>
      </c>
      <c r="AK418" s="920">
        <v>45.56</v>
      </c>
      <c r="AL418" s="920">
        <v>58.354520361961988</v>
      </c>
      <c r="AM418" s="920">
        <v>50.14</v>
      </c>
      <c r="AN418" s="920">
        <v>64.220712268410324</v>
      </c>
      <c r="AO418" s="920"/>
      <c r="AP418" s="920"/>
      <c r="AS418" s="1167"/>
      <c r="AT418" s="1167"/>
      <c r="AU418" s="1168"/>
      <c r="AV418" s="1168"/>
      <c r="AW418" s="1169"/>
      <c r="AX418" s="1169"/>
      <c r="AY418" s="1169"/>
      <c r="AZ418" s="1169"/>
      <c r="BA418" s="1867" t="s">
        <v>1</v>
      </c>
      <c r="BB418" s="1868">
        <v>2011</v>
      </c>
      <c r="BC418" s="1867" t="s">
        <v>55</v>
      </c>
      <c r="BD418" s="1867">
        <v>10</v>
      </c>
      <c r="BE418" s="1869">
        <v>64040000</v>
      </c>
      <c r="BF418" s="1801">
        <v>4.2958957157227902E-3</v>
      </c>
      <c r="BG418" s="1799"/>
      <c r="BH418" s="1799" t="s">
        <v>280</v>
      </c>
      <c r="BI418" s="1799" t="s">
        <v>310</v>
      </c>
      <c r="BJ418" s="1799" t="s">
        <v>52</v>
      </c>
      <c r="BK418" s="1799">
        <v>10</v>
      </c>
      <c r="BL418" s="1800">
        <v>11990848.9</v>
      </c>
      <c r="BM418" s="1801">
        <v>0.10424418674232673</v>
      </c>
      <c r="BN418" s="1799">
        <v>2005</v>
      </c>
      <c r="BO418" s="1684"/>
      <c r="BP418" s="1696"/>
      <c r="BQ418" s="1169"/>
      <c r="BR418" s="1169"/>
      <c r="BS418" s="1169"/>
      <c r="BT418" s="1169"/>
      <c r="BU418" s="1169"/>
      <c r="BV418" s="1169"/>
      <c r="BW418" s="1169"/>
      <c r="BX418" s="1169"/>
      <c r="BY418" s="1169"/>
      <c r="BZ418" s="1169"/>
      <c r="CA418" s="1169"/>
      <c r="CB418" s="1169"/>
      <c r="CC418" s="1169"/>
      <c r="CD418" s="1169"/>
      <c r="CE418" s="1169"/>
      <c r="CF418" s="1169"/>
      <c r="CG418" s="1169"/>
      <c r="CH418" s="1169"/>
      <c r="CI418" s="1169"/>
      <c r="CJ418" s="1169"/>
      <c r="CK418" s="1169"/>
      <c r="CL418" s="1169"/>
      <c r="CM418" s="1169"/>
      <c r="CN418" s="1169"/>
      <c r="CO418" s="1169"/>
      <c r="CP418" s="1169"/>
      <c r="CQ418" s="1169"/>
      <c r="CR418" s="1169"/>
      <c r="CS418" s="1169"/>
      <c r="CT418" s="1169"/>
      <c r="CU418" s="1169"/>
      <c r="CV418" s="1169"/>
      <c r="CW418" s="1169"/>
      <c r="CX418" s="1169"/>
      <c r="CY418" s="1169"/>
      <c r="CZ418" s="1169"/>
      <c r="DA418" s="1168"/>
      <c r="DB418" s="1168"/>
      <c r="DC418" s="1168"/>
      <c r="DD418" s="1168"/>
      <c r="DE418" s="1168"/>
      <c r="DF418" s="1168"/>
      <c r="DG418" s="1168"/>
      <c r="DH418" s="1168"/>
      <c r="DI418" s="1168"/>
      <c r="DJ418" s="1168"/>
      <c r="DK418" s="1168"/>
      <c r="DL418" s="1168"/>
      <c r="DM418" s="1168"/>
      <c r="DN418" s="1168"/>
      <c r="DO418" s="1168"/>
      <c r="DP418" s="1168"/>
      <c r="DQ418" s="1168"/>
      <c r="DR418" s="1168"/>
      <c r="DS418" s="1168"/>
      <c r="DT418" s="1168"/>
      <c r="DU418" s="1168"/>
      <c r="DV418" s="1168"/>
      <c r="DW418" s="1168"/>
      <c r="DX418" s="1168"/>
      <c r="DY418" s="1168"/>
      <c r="DZ418" s="1168"/>
      <c r="EA418" s="1168"/>
      <c r="EB418" s="1168"/>
      <c r="EC418" s="1168"/>
      <c r="ED418" s="1168"/>
      <c r="EE418" s="1168"/>
      <c r="EF418" s="1168"/>
      <c r="EG418" s="1168"/>
      <c r="EH418" s="1168"/>
      <c r="EI418" s="1170"/>
      <c r="EJ418" s="1170"/>
      <c r="EK418" s="1170"/>
      <c r="EL418" s="1170"/>
      <c r="EM418" s="1170"/>
      <c r="EN418" s="1170"/>
      <c r="EO418" s="1170"/>
      <c r="EP418" s="1170"/>
      <c r="EQ418" s="1170"/>
      <c r="ER418" s="1170"/>
      <c r="ES418" s="1171"/>
      <c r="ET418" s="1171"/>
      <c r="EU418" s="1171"/>
      <c r="EV418" s="1171"/>
      <c r="EW418" s="1171"/>
      <c r="EX418" s="1171"/>
      <c r="EY418" s="1171"/>
      <c r="EZ418" s="1171"/>
      <c r="FA418" s="1171"/>
      <c r="FB418" s="1171"/>
      <c r="FC418" s="1171"/>
      <c r="FD418" s="1171"/>
      <c r="FE418" s="1171"/>
      <c r="FF418" s="1171"/>
      <c r="FG418" s="1171"/>
      <c r="FH418" s="1171"/>
      <c r="FI418" s="1171"/>
      <c r="FJ418" s="1171"/>
      <c r="FK418" s="1171"/>
      <c r="FL418" s="1171"/>
      <c r="FM418" s="1171"/>
      <c r="FN418" s="1171"/>
      <c r="FO418" s="1171"/>
      <c r="FP418" s="1171"/>
    </row>
    <row r="419" spans="1:172" s="607" customFormat="1">
      <c r="A419" s="607">
        <f t="shared" si="12"/>
        <v>2005</v>
      </c>
      <c r="B419" s="607">
        <f t="shared" si="13"/>
        <v>1</v>
      </c>
      <c r="C419" s="666">
        <v>38412</v>
      </c>
      <c r="D419" s="1709">
        <v>0.78586190476190487</v>
      </c>
      <c r="E419" s="1117">
        <v>238.95682745403826</v>
      </c>
      <c r="F419" s="1117">
        <v>304.06974305038466</v>
      </c>
      <c r="G419" s="1117"/>
      <c r="H419" s="1117"/>
      <c r="I419" s="959">
        <v>433.90499999999997</v>
      </c>
      <c r="J419" s="959">
        <v>554.48</v>
      </c>
      <c r="K419" s="960"/>
      <c r="L419" s="1121"/>
      <c r="M419" s="916">
        <v>16190</v>
      </c>
      <c r="N419" s="916">
        <v>20601.583944834605</v>
      </c>
      <c r="O419" s="1174">
        <v>3379.6</v>
      </c>
      <c r="P419" s="1174">
        <v>4300.501117971774</v>
      </c>
      <c r="Q419" s="1174">
        <v>1005.83</v>
      </c>
      <c r="R419" s="1174">
        <v>1279.9068053880785</v>
      </c>
      <c r="S419" s="1174">
        <v>1377.69</v>
      </c>
      <c r="T419" s="1174">
        <v>1753.094267137689</v>
      </c>
      <c r="U419" s="1120">
        <v>748.93058337444563</v>
      </c>
      <c r="V419" s="1120">
        <v>953.00532935408228</v>
      </c>
      <c r="W419" s="1120">
        <v>1863.2818853425467</v>
      </c>
      <c r="X419" s="1120">
        <v>2371.0042108569587</v>
      </c>
      <c r="Y419" s="1119"/>
      <c r="Z419" s="1119"/>
      <c r="AA419" s="1119"/>
      <c r="AB419" s="1119"/>
      <c r="AC419" s="1178">
        <v>7.242</v>
      </c>
      <c r="AD419" s="1178">
        <v>9.3000000000000007</v>
      </c>
      <c r="AE419" s="1178">
        <v>36651.800000000003</v>
      </c>
      <c r="AF419" s="1178">
        <v>46638.982978955464</v>
      </c>
      <c r="AG419" s="1178">
        <v>867.22699999999998</v>
      </c>
      <c r="AH419" s="1178">
        <v>1103.5361235161877</v>
      </c>
      <c r="AI419" s="1178">
        <v>197.68600000000001</v>
      </c>
      <c r="AJ419" s="1178">
        <v>251.55310214444557</v>
      </c>
      <c r="AK419" s="919">
        <v>53.09</v>
      </c>
      <c r="AL419" s="919">
        <v>67.556398494828244</v>
      </c>
      <c r="AM419" s="919">
        <v>57.06</v>
      </c>
      <c r="AN419" s="919">
        <v>72.608176645599912</v>
      </c>
      <c r="AO419" s="919"/>
      <c r="AP419" s="919"/>
      <c r="AS419" s="1167"/>
      <c r="AT419" s="1167"/>
      <c r="AU419" s="1168"/>
      <c r="AV419" s="1168"/>
      <c r="AW419" s="1169"/>
      <c r="AX419" s="1169"/>
      <c r="AY419" s="1169"/>
      <c r="AZ419" s="1169"/>
      <c r="BA419" s="1867" t="s">
        <v>1</v>
      </c>
      <c r="BB419" s="1868">
        <v>2011</v>
      </c>
      <c r="BC419" s="1867" t="s">
        <v>32</v>
      </c>
      <c r="BD419" s="1867"/>
      <c r="BE419" s="1869">
        <v>98138000</v>
      </c>
      <c r="BF419" s="1801">
        <v>6.5832388155778144E-3</v>
      </c>
      <c r="BG419" s="1799"/>
      <c r="BH419" s="1799" t="s">
        <v>280</v>
      </c>
      <c r="BI419" s="1799" t="s">
        <v>310</v>
      </c>
      <c r="BJ419" s="1799" t="s">
        <v>44</v>
      </c>
      <c r="BK419" s="1799">
        <v>11</v>
      </c>
      <c r="BL419" s="1800">
        <v>11968924.800000001</v>
      </c>
      <c r="BM419" s="1801">
        <v>0.10405358639420981</v>
      </c>
      <c r="BN419" s="1799">
        <v>2005</v>
      </c>
      <c r="BO419" s="1684"/>
      <c r="BP419" s="1696"/>
      <c r="BQ419" s="1169"/>
      <c r="BR419" s="1169"/>
      <c r="BS419" s="1169"/>
      <c r="BT419" s="1169"/>
      <c r="BU419" s="1169"/>
      <c r="BV419" s="1169"/>
      <c r="BW419" s="1169"/>
      <c r="BX419" s="1169"/>
      <c r="BY419" s="1169"/>
      <c r="BZ419" s="1169"/>
      <c r="CA419" s="1169"/>
      <c r="CB419" s="1169"/>
      <c r="CC419" s="1169"/>
      <c r="CD419" s="1169"/>
      <c r="CE419" s="1169"/>
      <c r="CF419" s="1169"/>
      <c r="CG419" s="1169"/>
      <c r="CH419" s="1169"/>
      <c r="CI419" s="1169"/>
      <c r="CJ419" s="1169"/>
      <c r="CK419" s="1169"/>
      <c r="CL419" s="1169"/>
      <c r="CM419" s="1169"/>
      <c r="CN419" s="1169"/>
      <c r="CO419" s="1169"/>
      <c r="CP419" s="1169"/>
      <c r="CQ419" s="1169"/>
      <c r="CR419" s="1169"/>
      <c r="CS419" s="1169"/>
      <c r="CT419" s="1169"/>
      <c r="CU419" s="1169"/>
      <c r="CV419" s="1169"/>
      <c r="CW419" s="1169"/>
      <c r="CX419" s="1169"/>
      <c r="CY419" s="1169"/>
      <c r="CZ419" s="1169"/>
      <c r="DA419" s="1168"/>
      <c r="DB419" s="1168"/>
      <c r="DC419" s="1168"/>
      <c r="DD419" s="1168"/>
      <c r="DE419" s="1168"/>
      <c r="DF419" s="1168"/>
      <c r="DG419" s="1168"/>
      <c r="DH419" s="1168"/>
      <c r="DI419" s="1168"/>
      <c r="DJ419" s="1168"/>
      <c r="DK419" s="1168"/>
      <c r="DL419" s="1168"/>
      <c r="DM419" s="1168"/>
      <c r="DN419" s="1168"/>
      <c r="DO419" s="1168"/>
      <c r="DP419" s="1168"/>
      <c r="DQ419" s="1168"/>
      <c r="DR419" s="1168"/>
      <c r="DS419" s="1168"/>
      <c r="DT419" s="1168"/>
      <c r="DU419" s="1168"/>
      <c r="DV419" s="1168"/>
      <c r="DW419" s="1168"/>
      <c r="DX419" s="1168"/>
      <c r="DY419" s="1168"/>
      <c r="DZ419" s="1168"/>
      <c r="EA419" s="1168"/>
      <c r="EB419" s="1168"/>
      <c r="EC419" s="1168"/>
      <c r="ED419" s="1168"/>
      <c r="EE419" s="1168"/>
      <c r="EF419" s="1168"/>
      <c r="EG419" s="1168"/>
      <c r="EH419" s="1168"/>
      <c r="EI419" s="1170"/>
      <c r="EJ419" s="1170"/>
      <c r="EK419" s="1170"/>
      <c r="EL419" s="1170"/>
      <c r="EM419" s="1170"/>
      <c r="EN419" s="1170"/>
      <c r="EO419" s="1170"/>
      <c r="EP419" s="1170"/>
      <c r="EQ419" s="1170"/>
      <c r="ER419" s="1170"/>
      <c r="ES419" s="1171"/>
      <c r="ET419" s="1171"/>
      <c r="EU419" s="1171"/>
      <c r="EV419" s="1171"/>
      <c r="EW419" s="1171"/>
      <c r="EX419" s="1171"/>
      <c r="EY419" s="1171"/>
      <c r="EZ419" s="1171"/>
      <c r="FA419" s="1171"/>
      <c r="FB419" s="1171"/>
      <c r="FC419" s="1171"/>
      <c r="FD419" s="1171"/>
      <c r="FE419" s="1171"/>
      <c r="FF419" s="1171"/>
      <c r="FG419" s="1171"/>
      <c r="FH419" s="1171"/>
      <c r="FI419" s="1171"/>
      <c r="FJ419" s="1171"/>
      <c r="FK419" s="1171"/>
      <c r="FL419" s="1171"/>
      <c r="FM419" s="1171"/>
      <c r="FN419" s="1171"/>
      <c r="FO419" s="1171"/>
      <c r="FP419" s="1171"/>
    </row>
    <row r="420" spans="1:172" s="607" customFormat="1">
      <c r="A420" s="607">
        <f t="shared" si="12"/>
        <v>2005</v>
      </c>
      <c r="B420" s="607">
        <f t="shared" si="13"/>
        <v>2</v>
      </c>
      <c r="C420" s="666">
        <v>38443</v>
      </c>
      <c r="D420" s="957">
        <v>0.77243000000000006</v>
      </c>
      <c r="E420" s="920">
        <v>251.74431279548389</v>
      </c>
      <c r="F420" s="920">
        <v>325.91213805197089</v>
      </c>
      <c r="G420" s="920"/>
      <c r="H420" s="920"/>
      <c r="I420" s="954">
        <v>429.233</v>
      </c>
      <c r="J420" s="954">
        <v>556.16999999999996</v>
      </c>
      <c r="K420" s="954"/>
      <c r="L420" s="920"/>
      <c r="M420" s="917">
        <v>16141.9</v>
      </c>
      <c r="N420" s="917">
        <v>20897.557060186682</v>
      </c>
      <c r="O420" s="1175">
        <v>3394.48</v>
      </c>
      <c r="P420" s="1175">
        <v>4394.5470786996875</v>
      </c>
      <c r="Q420" s="1175">
        <v>985.76</v>
      </c>
      <c r="R420" s="1175">
        <v>1276.1803658583949</v>
      </c>
      <c r="S420" s="1175">
        <v>1300.1400000000001</v>
      </c>
      <c r="T420" s="1175">
        <v>1683.1816475279313</v>
      </c>
      <c r="U420" s="920">
        <v>757.11862378587011</v>
      </c>
      <c r="V420" s="920">
        <v>980.17765206668571</v>
      </c>
      <c r="W420" s="920">
        <v>1832.8375145708546</v>
      </c>
      <c r="X420" s="920">
        <v>2372.82020969001</v>
      </c>
      <c r="Y420" s="920"/>
      <c r="Z420" s="920"/>
      <c r="AA420" s="920"/>
      <c r="AB420" s="920"/>
      <c r="AC420" s="920">
        <v>7.1230000000000002</v>
      </c>
      <c r="AD420" s="920">
        <v>9.26</v>
      </c>
      <c r="AE420" s="920">
        <v>40113.1</v>
      </c>
      <c r="AF420" s="920">
        <v>51931.048768173161</v>
      </c>
      <c r="AG420" s="920">
        <v>864.83299999999997</v>
      </c>
      <c r="AH420" s="920">
        <v>1119.6263739109045</v>
      </c>
      <c r="AI420" s="920">
        <v>198.81</v>
      </c>
      <c r="AJ420" s="920">
        <v>257.38254599122251</v>
      </c>
      <c r="AK420" s="920">
        <v>51.86</v>
      </c>
      <c r="AL420" s="920">
        <v>67.138769856168196</v>
      </c>
      <c r="AM420" s="920">
        <v>57.49</v>
      </c>
      <c r="AN420" s="920">
        <v>74.427456209624168</v>
      </c>
      <c r="AO420" s="920"/>
      <c r="AP420" s="920"/>
      <c r="AS420" s="1167"/>
      <c r="AT420" s="1167"/>
      <c r="AU420" s="1168"/>
      <c r="AV420" s="1168"/>
      <c r="AW420" s="1169"/>
      <c r="AX420" s="1169"/>
      <c r="AY420" s="1169"/>
      <c r="AZ420" s="1169"/>
      <c r="BA420" s="1867" t="s">
        <v>1</v>
      </c>
      <c r="BB420" s="1868">
        <v>2011</v>
      </c>
      <c r="BC420" s="1867" t="s">
        <v>249</v>
      </c>
      <c r="BD420" s="1867"/>
      <c r="BE420" s="1869">
        <v>14907252000</v>
      </c>
      <c r="BF420" s="1801">
        <v>1</v>
      </c>
      <c r="BG420" s="1799"/>
      <c r="BH420" s="1799" t="s">
        <v>280</v>
      </c>
      <c r="BI420" s="1799" t="s">
        <v>310</v>
      </c>
      <c r="BJ420" s="1799" t="s">
        <v>42</v>
      </c>
      <c r="BK420" s="1799">
        <v>12</v>
      </c>
      <c r="BL420" s="1800">
        <v>11489762.9</v>
      </c>
      <c r="BM420" s="1801">
        <v>9.9887922811925142E-2</v>
      </c>
      <c r="BN420" s="1799">
        <v>2005</v>
      </c>
      <c r="BO420" s="1684"/>
      <c r="BP420" s="1696"/>
      <c r="BQ420" s="1169"/>
      <c r="BR420" s="1169"/>
      <c r="BS420" s="1169"/>
      <c r="BT420" s="1169"/>
      <c r="BU420" s="1169"/>
      <c r="BV420" s="1169"/>
      <c r="BW420" s="1169"/>
      <c r="BX420" s="1169"/>
      <c r="BY420" s="1169"/>
      <c r="BZ420" s="1169"/>
      <c r="CA420" s="1169"/>
      <c r="CB420" s="1169"/>
      <c r="CC420" s="1169"/>
      <c r="CD420" s="1169"/>
      <c r="CE420" s="1169"/>
      <c r="CF420" s="1169"/>
      <c r="CG420" s="1169"/>
      <c r="CH420" s="1169"/>
      <c r="CI420" s="1169"/>
      <c r="CJ420" s="1169"/>
      <c r="CK420" s="1169"/>
      <c r="CL420" s="1169"/>
      <c r="CM420" s="1169"/>
      <c r="CN420" s="1169"/>
      <c r="CO420" s="1169"/>
      <c r="CP420" s="1169"/>
      <c r="CQ420" s="1169"/>
      <c r="CR420" s="1169"/>
      <c r="CS420" s="1169"/>
      <c r="CT420" s="1169"/>
      <c r="CU420" s="1169"/>
      <c r="CV420" s="1169"/>
      <c r="CW420" s="1169"/>
      <c r="CX420" s="1169"/>
      <c r="CY420" s="1169"/>
      <c r="CZ420" s="1169"/>
      <c r="DA420" s="1168"/>
      <c r="DB420" s="1168"/>
      <c r="DC420" s="1168"/>
      <c r="DD420" s="1168"/>
      <c r="DE420" s="1168"/>
      <c r="DF420" s="1168"/>
      <c r="DG420" s="1168"/>
      <c r="DH420" s="1168"/>
      <c r="DI420" s="1168"/>
      <c r="DJ420" s="1168"/>
      <c r="DK420" s="1168"/>
      <c r="DL420" s="1168"/>
      <c r="DM420" s="1168"/>
      <c r="DN420" s="1168"/>
      <c r="DO420" s="1168"/>
      <c r="DP420" s="1168"/>
      <c r="DQ420" s="1168"/>
      <c r="DR420" s="1168"/>
      <c r="DS420" s="1168"/>
      <c r="DT420" s="1168"/>
      <c r="DU420" s="1168"/>
      <c r="DV420" s="1168"/>
      <c r="DW420" s="1168"/>
      <c r="DX420" s="1168"/>
      <c r="DY420" s="1168"/>
      <c r="DZ420" s="1168"/>
      <c r="EA420" s="1168"/>
      <c r="EB420" s="1168"/>
      <c r="EC420" s="1168"/>
      <c r="ED420" s="1168"/>
      <c r="EE420" s="1168"/>
      <c r="EF420" s="1168"/>
      <c r="EG420" s="1168"/>
      <c r="EH420" s="1168"/>
      <c r="EI420" s="1170"/>
      <c r="EJ420" s="1170"/>
      <c r="EK420" s="1170"/>
      <c r="EL420" s="1170"/>
      <c r="EM420" s="1170"/>
      <c r="EN420" s="1170"/>
      <c r="EO420" s="1170"/>
      <c r="EP420" s="1170"/>
      <c r="EQ420" s="1170"/>
      <c r="ER420" s="1170"/>
      <c r="ES420" s="1171"/>
      <c r="ET420" s="1171"/>
      <c r="EU420" s="1171"/>
      <c r="EV420" s="1171"/>
      <c r="EW420" s="1171"/>
      <c r="EX420" s="1171"/>
      <c r="EY420" s="1171"/>
      <c r="EZ420" s="1171"/>
      <c r="FA420" s="1171"/>
      <c r="FB420" s="1171"/>
      <c r="FC420" s="1171"/>
      <c r="FD420" s="1171"/>
      <c r="FE420" s="1171"/>
      <c r="FF420" s="1171"/>
      <c r="FG420" s="1171"/>
      <c r="FH420" s="1171"/>
      <c r="FI420" s="1171"/>
      <c r="FJ420" s="1171"/>
      <c r="FK420" s="1171"/>
      <c r="FL420" s="1171"/>
      <c r="FM420" s="1171"/>
      <c r="FN420" s="1171"/>
      <c r="FO420" s="1171"/>
      <c r="FP420" s="1171"/>
    </row>
    <row r="421" spans="1:172" s="607" customFormat="1">
      <c r="A421" s="607">
        <f t="shared" si="12"/>
        <v>2005</v>
      </c>
      <c r="B421" s="607">
        <f t="shared" si="13"/>
        <v>2</v>
      </c>
      <c r="C421" s="666">
        <v>38473</v>
      </c>
      <c r="D421" s="1709">
        <v>0.76618636363636383</v>
      </c>
      <c r="E421" s="1117">
        <v>249.62585622013174</v>
      </c>
      <c r="F421" s="1117">
        <v>325.80305271343292</v>
      </c>
      <c r="G421" s="1117"/>
      <c r="H421" s="1117"/>
      <c r="I421" s="959">
        <v>421.87299999999999</v>
      </c>
      <c r="J421" s="959">
        <v>553.02</v>
      </c>
      <c r="K421" s="960"/>
      <c r="L421" s="1121"/>
      <c r="M421" s="916">
        <v>16931.5</v>
      </c>
      <c r="N421" s="916">
        <v>22098.409477874473</v>
      </c>
      <c r="O421" s="1174">
        <v>3249.1</v>
      </c>
      <c r="P421" s="1174">
        <v>4240.6131904770364</v>
      </c>
      <c r="Q421" s="1174">
        <v>988.08</v>
      </c>
      <c r="R421" s="1174">
        <v>1289.6079164219479</v>
      </c>
      <c r="S421" s="1174">
        <v>1243.6300000000001</v>
      </c>
      <c r="T421" s="1174">
        <v>1623.1429571490437</v>
      </c>
      <c r="U421" s="1120">
        <v>769.76951613041331</v>
      </c>
      <c r="V421" s="1120">
        <v>1004.6766069772419</v>
      </c>
      <c r="W421" s="1120">
        <v>1844.3017927784003</v>
      </c>
      <c r="X421" s="1120">
        <v>2407.1190513300703</v>
      </c>
      <c r="Y421" s="1119"/>
      <c r="Z421" s="1119"/>
      <c r="AA421" s="1119"/>
      <c r="AB421" s="1119"/>
      <c r="AC421" s="1178">
        <v>7.0170000000000003</v>
      </c>
      <c r="AD421" s="1178">
        <v>9.23</v>
      </c>
      <c r="AE421" s="1178">
        <v>37065.199999999997</v>
      </c>
      <c r="AF421" s="1178">
        <v>48376.219884789469</v>
      </c>
      <c r="AG421" s="1178">
        <v>866.35</v>
      </c>
      <c r="AH421" s="1178">
        <v>1130.730121439716</v>
      </c>
      <c r="AI421" s="1178">
        <v>189.6</v>
      </c>
      <c r="AJ421" s="1178">
        <v>247.4593767241532</v>
      </c>
      <c r="AK421" s="919">
        <v>48.66</v>
      </c>
      <c r="AL421" s="919">
        <v>63.509352697243116</v>
      </c>
      <c r="AM421" s="919">
        <v>50.78</v>
      </c>
      <c r="AN421" s="919">
        <v>66.276303534032181</v>
      </c>
      <c r="AO421" s="919"/>
      <c r="AP421" s="919"/>
      <c r="AS421" s="1167"/>
      <c r="AT421" s="1167"/>
      <c r="AU421" s="1168"/>
      <c r="AV421" s="1168"/>
      <c r="AW421" s="1169"/>
      <c r="AX421" s="1169"/>
      <c r="AY421" s="1169"/>
      <c r="AZ421" s="1169"/>
      <c r="BA421" s="1870" t="s">
        <v>1</v>
      </c>
      <c r="BB421" s="1871">
        <v>2012</v>
      </c>
      <c r="BC421" s="1870" t="s">
        <v>15</v>
      </c>
      <c r="BD421" s="1870">
        <v>1</v>
      </c>
      <c r="BE421" s="1872">
        <v>5538903000</v>
      </c>
      <c r="BF421" s="1801">
        <v>0.36515645009501552</v>
      </c>
      <c r="BG421" s="1799"/>
      <c r="BH421" s="1799" t="s">
        <v>280</v>
      </c>
      <c r="BI421" s="1799" t="s">
        <v>310</v>
      </c>
      <c r="BJ421" s="1799" t="s">
        <v>581</v>
      </c>
      <c r="BK421" s="1799">
        <v>13</v>
      </c>
      <c r="BL421" s="1800">
        <v>10578677.1</v>
      </c>
      <c r="BM421" s="1801">
        <v>9.1967266062303168E-2</v>
      </c>
      <c r="BN421" s="1799">
        <v>2005</v>
      </c>
      <c r="BO421" s="1684"/>
      <c r="BP421" s="1696"/>
      <c r="BQ421" s="1169"/>
      <c r="BR421" s="1169"/>
      <c r="BS421" s="1169"/>
      <c r="BT421" s="1169"/>
      <c r="BU421" s="1169"/>
      <c r="BV421" s="1169"/>
      <c r="BW421" s="1169"/>
      <c r="BX421" s="1169"/>
      <c r="BY421" s="1169"/>
      <c r="BZ421" s="1169"/>
      <c r="CA421" s="1169"/>
      <c r="CB421" s="1169"/>
      <c r="CC421" s="1169"/>
      <c r="CD421" s="1169"/>
      <c r="CE421" s="1169"/>
      <c r="CF421" s="1169"/>
      <c r="CG421" s="1169"/>
      <c r="CH421" s="1169"/>
      <c r="CI421" s="1169"/>
      <c r="CJ421" s="1169"/>
      <c r="CK421" s="1169"/>
      <c r="CL421" s="1169"/>
      <c r="CM421" s="1169"/>
      <c r="CN421" s="1169"/>
      <c r="CO421" s="1169"/>
      <c r="CP421" s="1169"/>
      <c r="CQ421" s="1169"/>
      <c r="CR421" s="1169"/>
      <c r="CS421" s="1169"/>
      <c r="CT421" s="1169"/>
      <c r="CU421" s="1169"/>
      <c r="CV421" s="1169"/>
      <c r="CW421" s="1169"/>
      <c r="CX421" s="1169"/>
      <c r="CY421" s="1169"/>
      <c r="CZ421" s="1169"/>
      <c r="DA421" s="1168"/>
      <c r="DB421" s="1168"/>
      <c r="DC421" s="1168"/>
      <c r="DD421" s="1168"/>
      <c r="DE421" s="1168"/>
      <c r="DF421" s="1168"/>
      <c r="DG421" s="1168"/>
      <c r="DH421" s="1168"/>
      <c r="DI421" s="1168"/>
      <c r="DJ421" s="1168"/>
      <c r="DK421" s="1168"/>
      <c r="DL421" s="1168"/>
      <c r="DM421" s="1168"/>
      <c r="DN421" s="1168"/>
      <c r="DO421" s="1168"/>
      <c r="DP421" s="1168"/>
      <c r="DQ421" s="1168"/>
      <c r="DR421" s="1168"/>
      <c r="DS421" s="1168"/>
      <c r="DT421" s="1168"/>
      <c r="DU421" s="1168"/>
      <c r="DV421" s="1168"/>
      <c r="DW421" s="1168"/>
      <c r="DX421" s="1168"/>
      <c r="DY421" s="1168"/>
      <c r="DZ421" s="1168"/>
      <c r="EA421" s="1168"/>
      <c r="EB421" s="1168"/>
      <c r="EC421" s="1168"/>
      <c r="ED421" s="1168"/>
      <c r="EE421" s="1168"/>
      <c r="EF421" s="1168"/>
      <c r="EG421" s="1168"/>
      <c r="EH421" s="1168"/>
      <c r="EI421" s="1170"/>
      <c r="EJ421" s="1170"/>
      <c r="EK421" s="1170"/>
      <c r="EL421" s="1170"/>
      <c r="EM421" s="1170"/>
      <c r="EN421" s="1170"/>
      <c r="EO421" s="1170"/>
      <c r="EP421" s="1170"/>
      <c r="EQ421" s="1170"/>
      <c r="ER421" s="1170"/>
      <c r="ES421" s="1171"/>
      <c r="ET421" s="1171"/>
      <c r="EU421" s="1171"/>
      <c r="EV421" s="1171"/>
      <c r="EW421" s="1171"/>
      <c r="EX421" s="1171"/>
      <c r="EY421" s="1171"/>
      <c r="EZ421" s="1171"/>
      <c r="FA421" s="1171"/>
      <c r="FB421" s="1171"/>
      <c r="FC421" s="1171"/>
      <c r="FD421" s="1171"/>
      <c r="FE421" s="1171"/>
      <c r="FF421" s="1171"/>
      <c r="FG421" s="1171"/>
      <c r="FH421" s="1171"/>
      <c r="FI421" s="1171"/>
      <c r="FJ421" s="1171"/>
      <c r="FK421" s="1171"/>
      <c r="FL421" s="1171"/>
      <c r="FM421" s="1171"/>
      <c r="FN421" s="1171"/>
      <c r="FO421" s="1171"/>
      <c r="FP421" s="1171"/>
    </row>
    <row r="422" spans="1:172" s="607" customFormat="1">
      <c r="A422" s="607">
        <f t="shared" si="12"/>
        <v>2005</v>
      </c>
      <c r="B422" s="607">
        <f t="shared" si="13"/>
        <v>2</v>
      </c>
      <c r="C422" s="666">
        <v>38504</v>
      </c>
      <c r="D422" s="957">
        <v>0.76671428571428579</v>
      </c>
      <c r="E422" s="920">
        <v>240.94474182695748</v>
      </c>
      <c r="F422" s="920">
        <v>314.25623118850422</v>
      </c>
      <c r="G422" s="920"/>
      <c r="H422" s="920"/>
      <c r="I422" s="954">
        <v>430.65699999999998</v>
      </c>
      <c r="J422" s="954">
        <v>562.36</v>
      </c>
      <c r="K422" s="954"/>
      <c r="L422" s="920"/>
      <c r="M422" s="917">
        <v>16159.55</v>
      </c>
      <c r="N422" s="917">
        <v>21076.364822060739</v>
      </c>
      <c r="O422" s="1175">
        <v>3524.07</v>
      </c>
      <c r="P422" s="1175">
        <v>4596.3275572945777</v>
      </c>
      <c r="Q422" s="1175">
        <v>986.07</v>
      </c>
      <c r="R422" s="1175">
        <v>1286.0983789826719</v>
      </c>
      <c r="S422" s="1175">
        <v>1275.73</v>
      </c>
      <c r="T422" s="1175">
        <v>1663.8923048257871</v>
      </c>
      <c r="U422" s="920">
        <v>748.87226719082867</v>
      </c>
      <c r="V422" s="920">
        <v>976.729247314291</v>
      </c>
      <c r="W422" s="920">
        <v>1875.5909195016914</v>
      </c>
      <c r="X422" s="920">
        <v>2446.2709961825672</v>
      </c>
      <c r="Y422" s="920"/>
      <c r="Z422" s="920"/>
      <c r="AA422" s="920"/>
      <c r="AB422" s="920"/>
      <c r="AC422" s="920">
        <v>7.31</v>
      </c>
      <c r="AD422" s="920">
        <v>9.5399999999999991</v>
      </c>
      <c r="AE422" s="920">
        <v>35246.425000000003</v>
      </c>
      <c r="AF422" s="920">
        <v>45970.742500465807</v>
      </c>
      <c r="AG422" s="920">
        <v>880.04499999999996</v>
      </c>
      <c r="AH422" s="920">
        <v>1147.8134898453511</v>
      </c>
      <c r="AI422" s="920">
        <v>186.54499999999999</v>
      </c>
      <c r="AJ422" s="920">
        <v>243.3044531395565</v>
      </c>
      <c r="AK422" s="920">
        <v>54.31</v>
      </c>
      <c r="AL422" s="920">
        <v>70.834730762064467</v>
      </c>
      <c r="AM422" s="920">
        <v>55.7</v>
      </c>
      <c r="AN422" s="920">
        <v>72.647661635923228</v>
      </c>
      <c r="AO422" s="920"/>
      <c r="AP422" s="920"/>
      <c r="AS422" s="1167"/>
      <c r="AT422" s="1167"/>
      <c r="AU422" s="1168"/>
      <c r="AV422" s="1168"/>
      <c r="AW422" s="1169"/>
      <c r="AX422" s="1169"/>
      <c r="AY422" s="1169"/>
      <c r="AZ422" s="1169"/>
      <c r="BA422" s="1870" t="s">
        <v>1</v>
      </c>
      <c r="BB422" s="1871">
        <v>2012</v>
      </c>
      <c r="BC422" s="1870" t="s">
        <v>51</v>
      </c>
      <c r="BD422" s="1870">
        <v>2</v>
      </c>
      <c r="BE422" s="1872">
        <v>3711190000</v>
      </c>
      <c r="BF422" s="1801">
        <v>0.24466306162576248</v>
      </c>
      <c r="BG422" s="1799"/>
      <c r="BH422" s="1799" t="s">
        <v>280</v>
      </c>
      <c r="BI422" s="1799" t="s">
        <v>310</v>
      </c>
      <c r="BJ422" s="1799" t="s">
        <v>32</v>
      </c>
      <c r="BK422" s="1799"/>
      <c r="BL422" s="1800">
        <v>66811903</v>
      </c>
      <c r="BM422" s="1801">
        <v>0.58083898404742795</v>
      </c>
      <c r="BN422" s="1799">
        <v>2005</v>
      </c>
      <c r="BO422" s="1684"/>
      <c r="BP422" s="1696"/>
      <c r="BQ422" s="1169"/>
      <c r="BR422" s="1169"/>
      <c r="BS422" s="1169"/>
      <c r="BT422" s="1169"/>
      <c r="BU422" s="1169"/>
      <c r="BV422" s="1169"/>
      <c r="BW422" s="1169"/>
      <c r="BX422" s="1169"/>
      <c r="BY422" s="1169"/>
      <c r="BZ422" s="1169"/>
      <c r="CA422" s="1169"/>
      <c r="CB422" s="1169"/>
      <c r="CC422" s="1169"/>
      <c r="CD422" s="1169"/>
      <c r="CE422" s="1169"/>
      <c r="CF422" s="1169"/>
      <c r="CG422" s="1169"/>
      <c r="CH422" s="1169"/>
      <c r="CI422" s="1169"/>
      <c r="CJ422" s="1169"/>
      <c r="CK422" s="1169"/>
      <c r="CL422" s="1169"/>
      <c r="CM422" s="1169"/>
      <c r="CN422" s="1169"/>
      <c r="CO422" s="1169"/>
      <c r="CP422" s="1169"/>
      <c r="CQ422" s="1169"/>
      <c r="CR422" s="1169"/>
      <c r="CS422" s="1169"/>
      <c r="CT422" s="1169"/>
      <c r="CU422" s="1169"/>
      <c r="CV422" s="1169"/>
      <c r="CW422" s="1169"/>
      <c r="CX422" s="1169"/>
      <c r="CY422" s="1169"/>
      <c r="CZ422" s="1169"/>
      <c r="DA422" s="1168"/>
      <c r="DB422" s="1168"/>
      <c r="DC422" s="1168"/>
      <c r="DD422" s="1168"/>
      <c r="DE422" s="1168"/>
      <c r="DF422" s="1168"/>
      <c r="DG422" s="1168"/>
      <c r="DH422" s="1168"/>
      <c r="DI422" s="1168"/>
      <c r="DJ422" s="1168"/>
      <c r="DK422" s="1168"/>
      <c r="DL422" s="1168"/>
      <c r="DM422" s="1168"/>
      <c r="DN422" s="1168"/>
      <c r="DO422" s="1168"/>
      <c r="DP422" s="1168"/>
      <c r="DQ422" s="1168"/>
      <c r="DR422" s="1168"/>
      <c r="DS422" s="1168"/>
      <c r="DT422" s="1168"/>
      <c r="DU422" s="1168"/>
      <c r="DV422" s="1168"/>
      <c r="DW422" s="1168"/>
      <c r="DX422" s="1168"/>
      <c r="DY422" s="1168"/>
      <c r="DZ422" s="1168"/>
      <c r="EA422" s="1168"/>
      <c r="EB422" s="1168"/>
      <c r="EC422" s="1168"/>
      <c r="ED422" s="1168"/>
      <c r="EE422" s="1168"/>
      <c r="EF422" s="1168"/>
      <c r="EG422" s="1168"/>
      <c r="EH422" s="1168"/>
      <c r="EI422" s="1170"/>
      <c r="EJ422" s="1170"/>
      <c r="EK422" s="1170"/>
      <c r="EL422" s="1170"/>
      <c r="EM422" s="1170"/>
      <c r="EN422" s="1170"/>
      <c r="EO422" s="1170"/>
      <c r="EP422" s="1170"/>
      <c r="EQ422" s="1170"/>
      <c r="ER422" s="1170"/>
      <c r="ES422" s="1171"/>
      <c r="ET422" s="1171"/>
      <c r="EU422" s="1171"/>
      <c r="EV422" s="1171"/>
      <c r="EW422" s="1171"/>
      <c r="EX422" s="1171"/>
      <c r="EY422" s="1171"/>
      <c r="EZ422" s="1171"/>
      <c r="FA422" s="1171"/>
      <c r="FB422" s="1171"/>
      <c r="FC422" s="1171"/>
      <c r="FD422" s="1171"/>
      <c r="FE422" s="1171"/>
      <c r="FF422" s="1171"/>
      <c r="FG422" s="1171"/>
      <c r="FH422" s="1171"/>
      <c r="FI422" s="1171"/>
      <c r="FJ422" s="1171"/>
      <c r="FK422" s="1171"/>
      <c r="FL422" s="1171"/>
      <c r="FM422" s="1171"/>
      <c r="FN422" s="1171"/>
      <c r="FO422" s="1171"/>
      <c r="FP422" s="1171"/>
    </row>
    <row r="423" spans="1:172" s="607" customFormat="1">
      <c r="A423" s="607">
        <f t="shared" si="12"/>
        <v>2005</v>
      </c>
      <c r="B423" s="607">
        <f t="shared" si="13"/>
        <v>3</v>
      </c>
      <c r="C423" s="666">
        <v>38534</v>
      </c>
      <c r="D423" s="1709">
        <v>0.75244285714285719</v>
      </c>
      <c r="E423" s="1117">
        <v>251.30245105519313</v>
      </c>
      <c r="F423" s="1117">
        <v>333.98210730503536</v>
      </c>
      <c r="G423" s="1117"/>
      <c r="H423" s="1117"/>
      <c r="I423" s="959">
        <v>424.47899999999998</v>
      </c>
      <c r="J423" s="959">
        <v>565.51</v>
      </c>
      <c r="K423" s="960"/>
      <c r="L423" s="1121"/>
      <c r="M423" s="916">
        <v>14580.71</v>
      </c>
      <c r="N423" s="916">
        <v>19377.830305101477</v>
      </c>
      <c r="O423" s="1174">
        <v>3614.21</v>
      </c>
      <c r="P423" s="1174">
        <v>4803.3016270813159</v>
      </c>
      <c r="Q423" s="1174">
        <v>854.48</v>
      </c>
      <c r="R423" s="1174">
        <v>1135.607829735528</v>
      </c>
      <c r="S423" s="1174">
        <v>1194.43</v>
      </c>
      <c r="T423" s="1174">
        <v>1587.4029352015341</v>
      </c>
      <c r="U423" s="1120">
        <v>778.39742015873787</v>
      </c>
      <c r="V423" s="1120">
        <v>1034.4937330051005</v>
      </c>
      <c r="W423" s="1120">
        <v>1852.8467872227106</v>
      </c>
      <c r="X423" s="1120">
        <v>2462.4418580545221</v>
      </c>
      <c r="Y423" s="1119"/>
      <c r="Z423" s="1119"/>
      <c r="AA423" s="1119"/>
      <c r="AB423" s="1119"/>
      <c r="AC423" s="1178">
        <v>7.0140000000000002</v>
      </c>
      <c r="AD423" s="1178">
        <v>9.33</v>
      </c>
      <c r="AE423" s="1178">
        <v>33212.620000000003</v>
      </c>
      <c r="AF423" s="1178">
        <v>44139.723946763872</v>
      </c>
      <c r="AG423" s="1178">
        <v>873.702</v>
      </c>
      <c r="AH423" s="1178">
        <v>1161.1539556871903</v>
      </c>
      <c r="AI423" s="1178">
        <v>184.5</v>
      </c>
      <c r="AJ423" s="1178">
        <v>245.20134419319928</v>
      </c>
      <c r="AK423" s="919">
        <v>57.58</v>
      </c>
      <c r="AL423" s="919">
        <v>76.524083461487336</v>
      </c>
      <c r="AM423" s="919">
        <v>58.73</v>
      </c>
      <c r="AN423" s="919">
        <v>78.052438723396165</v>
      </c>
      <c r="AO423" s="919"/>
      <c r="AP423" s="919"/>
      <c r="AS423" s="1167"/>
      <c r="AT423" s="1167"/>
      <c r="AU423" s="1168"/>
      <c r="AV423" s="1168"/>
      <c r="AW423" s="1169"/>
      <c r="AX423" s="1169"/>
      <c r="AY423" s="1169"/>
      <c r="AZ423" s="1169"/>
      <c r="BA423" s="1870" t="s">
        <v>1</v>
      </c>
      <c r="BB423" s="1871">
        <v>2012</v>
      </c>
      <c r="BC423" s="1870" t="s">
        <v>18</v>
      </c>
      <c r="BD423" s="1870">
        <v>3</v>
      </c>
      <c r="BE423" s="1872">
        <v>2975259000</v>
      </c>
      <c r="BF423" s="1801">
        <v>0.19614624313753928</v>
      </c>
      <c r="BG423" s="1799"/>
      <c r="BH423" s="1799" t="s">
        <v>280</v>
      </c>
      <c r="BI423" s="1799" t="s">
        <v>310</v>
      </c>
      <c r="BJ423" s="1799" t="s">
        <v>249</v>
      </c>
      <c r="BK423" s="1799"/>
      <c r="BL423" s="1800">
        <v>646349477.08999991</v>
      </c>
      <c r="BM423" s="1801"/>
      <c r="BN423" s="1799">
        <v>2005</v>
      </c>
      <c r="BO423" s="1684"/>
      <c r="BP423" s="1696"/>
      <c r="BQ423" s="1169"/>
      <c r="BR423" s="1169"/>
      <c r="BS423" s="1169"/>
      <c r="BT423" s="1169"/>
      <c r="BU423" s="1169"/>
      <c r="BV423" s="1169"/>
      <c r="BW423" s="1169"/>
      <c r="BX423" s="1169"/>
      <c r="BY423" s="1169"/>
      <c r="BZ423" s="1169"/>
      <c r="CA423" s="1169"/>
      <c r="CB423" s="1169"/>
      <c r="CC423" s="1169"/>
      <c r="CD423" s="1169"/>
      <c r="CE423" s="1169"/>
      <c r="CF423" s="1169"/>
      <c r="CG423" s="1169"/>
      <c r="CH423" s="1169"/>
      <c r="CI423" s="1169"/>
      <c r="CJ423" s="1169"/>
      <c r="CK423" s="1169"/>
      <c r="CL423" s="1169"/>
      <c r="CM423" s="1169"/>
      <c r="CN423" s="1169"/>
      <c r="CO423" s="1169"/>
      <c r="CP423" s="1169"/>
      <c r="CQ423" s="1169"/>
      <c r="CR423" s="1169"/>
      <c r="CS423" s="1169"/>
      <c r="CT423" s="1169"/>
      <c r="CU423" s="1169"/>
      <c r="CV423" s="1169"/>
      <c r="CW423" s="1169"/>
      <c r="CX423" s="1169"/>
      <c r="CY423" s="1169"/>
      <c r="CZ423" s="1169"/>
      <c r="DA423" s="1168"/>
      <c r="DB423" s="1168"/>
      <c r="DC423" s="1168"/>
      <c r="DD423" s="1168"/>
      <c r="DE423" s="1168"/>
      <c r="DF423" s="1168"/>
      <c r="DG423" s="1168"/>
      <c r="DH423" s="1168"/>
      <c r="DI423" s="1168"/>
      <c r="DJ423" s="1168"/>
      <c r="DK423" s="1168"/>
      <c r="DL423" s="1168"/>
      <c r="DM423" s="1168"/>
      <c r="DN423" s="1168"/>
      <c r="DO423" s="1168"/>
      <c r="DP423" s="1168"/>
      <c r="DQ423" s="1168"/>
      <c r="DR423" s="1168"/>
      <c r="DS423" s="1168"/>
      <c r="DT423" s="1168"/>
      <c r="DU423" s="1168"/>
      <c r="DV423" s="1168"/>
      <c r="DW423" s="1168"/>
      <c r="DX423" s="1168"/>
      <c r="DY423" s="1168"/>
      <c r="DZ423" s="1168"/>
      <c r="EA423" s="1168"/>
      <c r="EB423" s="1168"/>
      <c r="EC423" s="1168"/>
      <c r="ED423" s="1168"/>
      <c r="EE423" s="1168"/>
      <c r="EF423" s="1168"/>
      <c r="EG423" s="1168"/>
      <c r="EH423" s="1168"/>
      <c r="EI423" s="1170"/>
      <c r="EJ423" s="1170"/>
      <c r="EK423" s="1170"/>
      <c r="EL423" s="1170"/>
      <c r="EM423" s="1170"/>
      <c r="EN423" s="1170"/>
      <c r="EO423" s="1170"/>
      <c r="EP423" s="1170"/>
      <c r="EQ423" s="1170"/>
      <c r="ER423" s="1170"/>
      <c r="ES423" s="1171"/>
      <c r="ET423" s="1171"/>
      <c r="EU423" s="1171"/>
      <c r="EV423" s="1171"/>
      <c r="EW423" s="1171"/>
      <c r="EX423" s="1171"/>
      <c r="EY423" s="1171"/>
      <c r="EZ423" s="1171"/>
      <c r="FA423" s="1171"/>
      <c r="FB423" s="1171"/>
      <c r="FC423" s="1171"/>
      <c r="FD423" s="1171"/>
      <c r="FE423" s="1171"/>
      <c r="FF423" s="1171"/>
      <c r="FG423" s="1171"/>
      <c r="FH423" s="1171"/>
      <c r="FI423" s="1171"/>
      <c r="FJ423" s="1171"/>
      <c r="FK423" s="1171"/>
      <c r="FL423" s="1171"/>
      <c r="FM423" s="1171"/>
      <c r="FN423" s="1171"/>
      <c r="FO423" s="1171"/>
      <c r="FP423" s="1171"/>
    </row>
    <row r="424" spans="1:172" s="607" customFormat="1">
      <c r="A424" s="607">
        <f t="shared" si="12"/>
        <v>2005</v>
      </c>
      <c r="B424" s="607">
        <f t="shared" si="13"/>
        <v>3</v>
      </c>
      <c r="C424" s="666">
        <v>38565</v>
      </c>
      <c r="D424" s="957">
        <v>0.7613045454545454</v>
      </c>
      <c r="E424" s="920">
        <v>240.82339771839685</v>
      </c>
      <c r="F424" s="920">
        <v>316.32990917532294</v>
      </c>
      <c r="G424" s="920"/>
      <c r="H424" s="920"/>
      <c r="I424" s="954">
        <v>437.87799999999999</v>
      </c>
      <c r="J424" s="954">
        <v>576.35</v>
      </c>
      <c r="K424" s="954"/>
      <c r="L424" s="920"/>
      <c r="M424" s="917">
        <v>14892.73</v>
      </c>
      <c r="N424" s="917">
        <v>19562.118851015304</v>
      </c>
      <c r="O424" s="1175">
        <v>3797.75</v>
      </c>
      <c r="P424" s="1175">
        <v>4988.4767175959933</v>
      </c>
      <c r="Q424" s="1175">
        <v>887.02</v>
      </c>
      <c r="R424" s="1175">
        <v>1165.1316221557495</v>
      </c>
      <c r="S424" s="1175">
        <v>1298.3900000000001</v>
      </c>
      <c r="T424" s="1175">
        <v>1705.4804253464451</v>
      </c>
      <c r="U424" s="920">
        <v>782.15072190434012</v>
      </c>
      <c r="V424" s="920">
        <v>1027.3821778344279</v>
      </c>
      <c r="W424" s="920">
        <v>1857.2833786782658</v>
      </c>
      <c r="X424" s="920">
        <v>2439.6063175602794</v>
      </c>
      <c r="Y424" s="920"/>
      <c r="Z424" s="920"/>
      <c r="AA424" s="920"/>
      <c r="AB424" s="920"/>
      <c r="AC424" s="920">
        <v>7.0330000000000004</v>
      </c>
      <c r="AD424" s="920">
        <v>9.27</v>
      </c>
      <c r="AE424" s="920">
        <v>38580.9</v>
      </c>
      <c r="AF424" s="920">
        <v>50677.354063300438</v>
      </c>
      <c r="AG424" s="920">
        <v>898</v>
      </c>
      <c r="AH424" s="920">
        <v>1179.554234059957</v>
      </c>
      <c r="AI424" s="920">
        <v>186.41300000000001</v>
      </c>
      <c r="AJ424" s="920">
        <v>244.8599592804218</v>
      </c>
      <c r="AK424" s="920">
        <v>64.09</v>
      </c>
      <c r="AL424" s="920">
        <v>84.184444165815862</v>
      </c>
      <c r="AM424" s="920">
        <v>67.67</v>
      </c>
      <c r="AN424" s="920">
        <v>88.886898684674037</v>
      </c>
      <c r="AO424" s="920"/>
      <c r="AP424" s="920"/>
      <c r="AS424" s="1167"/>
      <c r="AT424" s="1167"/>
      <c r="AU424" s="1168"/>
      <c r="AV424" s="1168"/>
      <c r="AW424" s="1169"/>
      <c r="AX424" s="1169"/>
      <c r="AY424" s="1169"/>
      <c r="AZ424" s="1169"/>
      <c r="BA424" s="1870" t="s">
        <v>1</v>
      </c>
      <c r="BB424" s="1871">
        <v>2012</v>
      </c>
      <c r="BC424" s="1870" t="s">
        <v>49</v>
      </c>
      <c r="BD424" s="1870">
        <v>4</v>
      </c>
      <c r="BE424" s="1872">
        <v>1338426000</v>
      </c>
      <c r="BF424" s="1801">
        <v>8.823676581353225E-2</v>
      </c>
      <c r="BG424" s="1799"/>
      <c r="BH424" s="1799" t="s">
        <v>280</v>
      </c>
      <c r="BI424" s="1799" t="s">
        <v>289</v>
      </c>
      <c r="BJ424" s="1799" t="s">
        <v>447</v>
      </c>
      <c r="BK424" s="1799">
        <v>1</v>
      </c>
      <c r="BL424" s="1800">
        <v>115026547.52000001</v>
      </c>
      <c r="BM424" s="1801">
        <v>5.7783411207394574E-2</v>
      </c>
      <c r="BN424" s="1799">
        <v>2004</v>
      </c>
      <c r="BO424" s="1684"/>
      <c r="BP424" s="1696"/>
      <c r="BQ424" s="1169"/>
      <c r="BR424" s="1169"/>
      <c r="BS424" s="1169"/>
      <c r="BT424" s="1169"/>
      <c r="BU424" s="1169"/>
      <c r="BV424" s="1169"/>
      <c r="BW424" s="1169"/>
      <c r="BX424" s="1169"/>
      <c r="BY424" s="1169"/>
      <c r="BZ424" s="1169"/>
      <c r="CA424" s="1169"/>
      <c r="CB424" s="1169"/>
      <c r="CC424" s="1169"/>
      <c r="CD424" s="1169"/>
      <c r="CE424" s="1169"/>
      <c r="CF424" s="1169"/>
      <c r="CG424" s="1169"/>
      <c r="CH424" s="1169"/>
      <c r="CI424" s="1169"/>
      <c r="CJ424" s="1169"/>
      <c r="CK424" s="1169"/>
      <c r="CL424" s="1169"/>
      <c r="CM424" s="1169"/>
      <c r="CN424" s="1169"/>
      <c r="CO424" s="1169"/>
      <c r="CP424" s="1169"/>
      <c r="CQ424" s="1169"/>
      <c r="CR424" s="1169"/>
      <c r="CS424" s="1169"/>
      <c r="CT424" s="1169"/>
      <c r="CU424" s="1169"/>
      <c r="CV424" s="1169"/>
      <c r="CW424" s="1169"/>
      <c r="CX424" s="1169"/>
      <c r="CY424" s="1169"/>
      <c r="CZ424" s="1169"/>
      <c r="DA424" s="1168"/>
      <c r="DB424" s="1168"/>
      <c r="DC424" s="1168"/>
      <c r="DD424" s="1168"/>
      <c r="DE424" s="1168"/>
      <c r="DF424" s="1168"/>
      <c r="DG424" s="1168"/>
      <c r="DH424" s="1168"/>
      <c r="DI424" s="1168"/>
      <c r="DJ424" s="1168"/>
      <c r="DK424" s="1168"/>
      <c r="DL424" s="1168"/>
      <c r="DM424" s="1168"/>
      <c r="DN424" s="1168"/>
      <c r="DO424" s="1168"/>
      <c r="DP424" s="1168"/>
      <c r="DQ424" s="1168"/>
      <c r="DR424" s="1168"/>
      <c r="DS424" s="1168"/>
      <c r="DT424" s="1168"/>
      <c r="DU424" s="1168"/>
      <c r="DV424" s="1168"/>
      <c r="DW424" s="1168"/>
      <c r="DX424" s="1168"/>
      <c r="DY424" s="1168"/>
      <c r="DZ424" s="1168"/>
      <c r="EA424" s="1168"/>
      <c r="EB424" s="1168"/>
      <c r="EC424" s="1168"/>
      <c r="ED424" s="1168"/>
      <c r="EE424" s="1168"/>
      <c r="EF424" s="1168"/>
      <c r="EG424" s="1168"/>
      <c r="EH424" s="1168"/>
      <c r="EI424" s="1170"/>
      <c r="EJ424" s="1170"/>
      <c r="EK424" s="1170"/>
      <c r="EL424" s="1170"/>
      <c r="EM424" s="1170"/>
      <c r="EN424" s="1170"/>
      <c r="EO424" s="1170"/>
      <c r="EP424" s="1170"/>
      <c r="EQ424" s="1170"/>
      <c r="ER424" s="1170"/>
      <c r="ES424" s="1171"/>
      <c r="ET424" s="1171"/>
      <c r="EU424" s="1171"/>
      <c r="EV424" s="1171"/>
      <c r="EW424" s="1171"/>
      <c r="EX424" s="1171"/>
      <c r="EY424" s="1171"/>
      <c r="EZ424" s="1171"/>
      <c r="FA424" s="1171"/>
      <c r="FB424" s="1171"/>
      <c r="FC424" s="1171"/>
      <c r="FD424" s="1171"/>
      <c r="FE424" s="1171"/>
      <c r="FF424" s="1171"/>
      <c r="FG424" s="1171"/>
      <c r="FH424" s="1171"/>
      <c r="FI424" s="1171"/>
      <c r="FJ424" s="1171"/>
      <c r="FK424" s="1171"/>
      <c r="FL424" s="1171"/>
      <c r="FM424" s="1171"/>
      <c r="FN424" s="1171"/>
      <c r="FO424" s="1171"/>
      <c r="FP424" s="1171"/>
    </row>
    <row r="425" spans="1:172" s="607" customFormat="1">
      <c r="A425" s="607">
        <f t="shared" si="12"/>
        <v>2005</v>
      </c>
      <c r="B425" s="607">
        <f t="shared" si="13"/>
        <v>3</v>
      </c>
      <c r="C425" s="666">
        <v>38596</v>
      </c>
      <c r="D425" s="1709">
        <v>0.76528181818181829</v>
      </c>
      <c r="E425" s="1117">
        <v>253.87031185720411</v>
      </c>
      <c r="F425" s="1117">
        <v>331.73440924071286</v>
      </c>
      <c r="G425" s="1117"/>
      <c r="H425" s="1117"/>
      <c r="I425" s="959">
        <v>456.048</v>
      </c>
      <c r="J425" s="959">
        <v>594.91</v>
      </c>
      <c r="K425" s="960"/>
      <c r="L425" s="1121"/>
      <c r="M425" s="916">
        <v>14228.18</v>
      </c>
      <c r="N425" s="916">
        <v>18592.078972689797</v>
      </c>
      <c r="O425" s="1174">
        <v>3857.84</v>
      </c>
      <c r="P425" s="1174">
        <v>5041.0710255283257</v>
      </c>
      <c r="Q425" s="1174">
        <v>933.07</v>
      </c>
      <c r="R425" s="1174">
        <v>1219.2501870968508</v>
      </c>
      <c r="S425" s="1174">
        <v>1397.52</v>
      </c>
      <c r="T425" s="1174">
        <v>1826.1507941221889</v>
      </c>
      <c r="U425" s="1120">
        <v>796.62468258299759</v>
      </c>
      <c r="V425" s="1120">
        <v>1040.9559768134106</v>
      </c>
      <c r="W425" s="1120">
        <v>1846.5717857960421</v>
      </c>
      <c r="X425" s="1120">
        <v>2412.9304289277225</v>
      </c>
      <c r="Y425" s="1119"/>
      <c r="Z425" s="1119"/>
      <c r="AA425" s="1119"/>
      <c r="AB425" s="1119"/>
      <c r="AC425" s="1178">
        <v>7.1539999999999999</v>
      </c>
      <c r="AD425" s="1178">
        <v>9.36</v>
      </c>
      <c r="AE425" s="1178">
        <v>37754.18</v>
      </c>
      <c r="AF425" s="1178">
        <v>49333.69525189769</v>
      </c>
      <c r="AG425" s="1178">
        <v>914.63599999999997</v>
      </c>
      <c r="AH425" s="1178">
        <v>1195.1623287915322</v>
      </c>
      <c r="AI425" s="1178">
        <v>188.90899999999999</v>
      </c>
      <c r="AJ425" s="1178">
        <v>246.84893265701282</v>
      </c>
      <c r="AK425" s="919">
        <v>62.98</v>
      </c>
      <c r="AL425" s="919">
        <v>82.296480203371289</v>
      </c>
      <c r="AM425" s="919">
        <v>68.09</v>
      </c>
      <c r="AN425" s="919">
        <v>88.973758924222793</v>
      </c>
      <c r="AO425" s="919"/>
      <c r="AP425" s="919"/>
      <c r="AS425" s="1167"/>
      <c r="AT425" s="1167"/>
      <c r="AU425" s="1168"/>
      <c r="AV425" s="1168"/>
      <c r="AW425" s="1169"/>
      <c r="AX425" s="1169"/>
      <c r="AY425" s="1169"/>
      <c r="AZ425" s="1169"/>
      <c r="BA425" s="1870" t="s">
        <v>1</v>
      </c>
      <c r="BB425" s="1871">
        <v>2012</v>
      </c>
      <c r="BC425" s="1870" t="s">
        <v>28</v>
      </c>
      <c r="BD425" s="1870">
        <v>5</v>
      </c>
      <c r="BE425" s="1872">
        <v>840048000</v>
      </c>
      <c r="BF425" s="1801">
        <v>5.538081197475702E-2</v>
      </c>
      <c r="BG425" s="1799"/>
      <c r="BH425" s="1799" t="s">
        <v>280</v>
      </c>
      <c r="BI425" s="1799" t="s">
        <v>289</v>
      </c>
      <c r="BJ425" s="1799" t="s">
        <v>15</v>
      </c>
      <c r="BK425" s="1799">
        <v>2</v>
      </c>
      <c r="BL425" s="1800">
        <v>84621241.924999997</v>
      </c>
      <c r="BM425" s="1801">
        <v>4.2509352183960014E-2</v>
      </c>
      <c r="BN425" s="1799">
        <v>2004</v>
      </c>
      <c r="BO425" s="1684"/>
      <c r="BP425" s="1696"/>
      <c r="BQ425" s="1169"/>
      <c r="BR425" s="1169"/>
      <c r="BS425" s="1169"/>
      <c r="BT425" s="1169"/>
      <c r="BU425" s="1169"/>
      <c r="BV425" s="1169"/>
      <c r="BW425" s="1169"/>
      <c r="BX425" s="1169"/>
      <c r="BY425" s="1169"/>
      <c r="BZ425" s="1169"/>
      <c r="CA425" s="1169"/>
      <c r="CB425" s="1169"/>
      <c r="CC425" s="1169"/>
      <c r="CD425" s="1169"/>
      <c r="CE425" s="1169"/>
      <c r="CF425" s="1169"/>
      <c r="CG425" s="1169"/>
      <c r="CH425" s="1169"/>
      <c r="CI425" s="1169"/>
      <c r="CJ425" s="1169"/>
      <c r="CK425" s="1169"/>
      <c r="CL425" s="1169"/>
      <c r="CM425" s="1169"/>
      <c r="CN425" s="1169"/>
      <c r="CO425" s="1169"/>
      <c r="CP425" s="1169"/>
      <c r="CQ425" s="1169"/>
      <c r="CR425" s="1169"/>
      <c r="CS425" s="1169"/>
      <c r="CT425" s="1169"/>
      <c r="CU425" s="1169"/>
      <c r="CV425" s="1169"/>
      <c r="CW425" s="1169"/>
      <c r="CX425" s="1169"/>
      <c r="CY425" s="1169"/>
      <c r="CZ425" s="1169"/>
      <c r="DA425" s="1168"/>
      <c r="DB425" s="1168"/>
      <c r="DC425" s="1168"/>
      <c r="DD425" s="1168"/>
      <c r="DE425" s="1168"/>
      <c r="DF425" s="1168"/>
      <c r="DG425" s="1168"/>
      <c r="DH425" s="1168"/>
      <c r="DI425" s="1168"/>
      <c r="DJ425" s="1168"/>
      <c r="DK425" s="1168"/>
      <c r="DL425" s="1168"/>
      <c r="DM425" s="1168"/>
      <c r="DN425" s="1168"/>
      <c r="DO425" s="1168"/>
      <c r="DP425" s="1168"/>
      <c r="DQ425" s="1168"/>
      <c r="DR425" s="1168"/>
      <c r="DS425" s="1168"/>
      <c r="DT425" s="1168"/>
      <c r="DU425" s="1168"/>
      <c r="DV425" s="1168"/>
      <c r="DW425" s="1168"/>
      <c r="DX425" s="1168"/>
      <c r="DY425" s="1168"/>
      <c r="DZ425" s="1168"/>
      <c r="EA425" s="1168"/>
      <c r="EB425" s="1168"/>
      <c r="EC425" s="1168"/>
      <c r="ED425" s="1168"/>
      <c r="EE425" s="1168"/>
      <c r="EF425" s="1168"/>
      <c r="EG425" s="1168"/>
      <c r="EH425" s="1168"/>
      <c r="EI425" s="1170"/>
      <c r="EJ425" s="1170"/>
      <c r="EK425" s="1170"/>
      <c r="EL425" s="1170"/>
      <c r="EM425" s="1170"/>
      <c r="EN425" s="1170"/>
      <c r="EO425" s="1170"/>
      <c r="EP425" s="1170"/>
      <c r="EQ425" s="1170"/>
      <c r="ER425" s="1170"/>
      <c r="ES425" s="1171"/>
      <c r="ET425" s="1171"/>
      <c r="EU425" s="1171"/>
      <c r="EV425" s="1171"/>
      <c r="EW425" s="1171"/>
      <c r="EX425" s="1171"/>
      <c r="EY425" s="1171"/>
      <c r="EZ425" s="1171"/>
      <c r="FA425" s="1171"/>
      <c r="FB425" s="1171"/>
      <c r="FC425" s="1171"/>
      <c r="FD425" s="1171"/>
      <c r="FE425" s="1171"/>
      <c r="FF425" s="1171"/>
      <c r="FG425" s="1171"/>
      <c r="FH425" s="1171"/>
      <c r="FI425" s="1171"/>
      <c r="FJ425" s="1171"/>
      <c r="FK425" s="1171"/>
      <c r="FL425" s="1171"/>
      <c r="FM425" s="1171"/>
      <c r="FN425" s="1171"/>
      <c r="FO425" s="1171"/>
      <c r="FP425" s="1171"/>
    </row>
    <row r="426" spans="1:172" s="607" customFormat="1">
      <c r="A426" s="607">
        <f t="shared" si="12"/>
        <v>2005</v>
      </c>
      <c r="B426" s="607">
        <f t="shared" si="13"/>
        <v>4</v>
      </c>
      <c r="C426" s="666">
        <v>38626</v>
      </c>
      <c r="D426" s="957">
        <v>0.75392499999999996</v>
      </c>
      <c r="E426" s="920">
        <v>245.44028374999999</v>
      </c>
      <c r="F426" s="920">
        <v>325.55</v>
      </c>
      <c r="G426" s="920"/>
      <c r="H426" s="920"/>
      <c r="I426" s="954">
        <v>469.89800000000002</v>
      </c>
      <c r="J426" s="954">
        <v>624.08000000000004</v>
      </c>
      <c r="K426" s="954"/>
      <c r="L426" s="920"/>
      <c r="M426" s="917">
        <v>12402.9</v>
      </c>
      <c r="N426" s="917">
        <v>16451.105879232018</v>
      </c>
      <c r="O426" s="1175">
        <v>4059.8</v>
      </c>
      <c r="P426" s="1175">
        <v>5384.8857644991222</v>
      </c>
      <c r="Q426" s="1175">
        <v>1003.6</v>
      </c>
      <c r="R426" s="1175">
        <v>1331.1668932586133</v>
      </c>
      <c r="S426" s="1175">
        <v>1488.4</v>
      </c>
      <c r="T426" s="1175">
        <v>1974.2016778857317</v>
      </c>
      <c r="U426" s="920">
        <v>841.72254140936673</v>
      </c>
      <c r="V426" s="920">
        <v>1116.4539462272332</v>
      </c>
      <c r="W426" s="920">
        <v>1858.0188824927322</v>
      </c>
      <c r="X426" s="920">
        <v>2464.4611632360411</v>
      </c>
      <c r="Y426" s="920"/>
      <c r="Z426" s="920"/>
      <c r="AA426" s="920"/>
      <c r="AB426" s="920"/>
      <c r="AC426" s="920">
        <v>7.67</v>
      </c>
      <c r="AD426" s="920">
        <v>10.17</v>
      </c>
      <c r="AE426" s="920">
        <v>34309.449999999997</v>
      </c>
      <c r="AF426" s="920">
        <v>45507.775972411051</v>
      </c>
      <c r="AG426" s="920">
        <v>931</v>
      </c>
      <c r="AH426" s="920">
        <v>1234.8708425904433</v>
      </c>
      <c r="AI426" s="920">
        <v>207.69</v>
      </c>
      <c r="AJ426" s="920">
        <v>275.47833007262</v>
      </c>
      <c r="AK426" s="920">
        <v>58.52</v>
      </c>
      <c r="AL426" s="920">
        <v>77.620452962827869</v>
      </c>
      <c r="AM426" s="920">
        <v>63.18</v>
      </c>
      <c r="AN426" s="920">
        <v>83.801439135192496</v>
      </c>
      <c r="AO426" s="920"/>
      <c r="AP426" s="920"/>
      <c r="AS426" s="1167"/>
      <c r="AT426" s="1167"/>
      <c r="AU426" s="1168"/>
      <c r="AV426" s="1168"/>
      <c r="AW426" s="1169"/>
      <c r="AX426" s="1169"/>
      <c r="AY426" s="1169"/>
      <c r="AZ426" s="1169"/>
      <c r="BA426" s="1870" t="s">
        <v>1</v>
      </c>
      <c r="BB426" s="1871">
        <v>2012</v>
      </c>
      <c r="BC426" s="1870" t="s">
        <v>431</v>
      </c>
      <c r="BD426" s="1870">
        <v>6</v>
      </c>
      <c r="BE426" s="1872">
        <v>259987000</v>
      </c>
      <c r="BF426" s="1801">
        <v>1.7139843393331279E-2</v>
      </c>
      <c r="BG426" s="1799"/>
      <c r="BH426" s="1799" t="s">
        <v>280</v>
      </c>
      <c r="BI426" s="1799" t="s">
        <v>289</v>
      </c>
      <c r="BJ426" s="1799" t="s">
        <v>583</v>
      </c>
      <c r="BK426" s="1799">
        <v>3</v>
      </c>
      <c r="BL426" s="1800">
        <v>67461605.292525053</v>
      </c>
      <c r="BM426" s="1801">
        <v>3.3889234819041547E-2</v>
      </c>
      <c r="BN426" s="1799">
        <v>2004</v>
      </c>
      <c r="BO426" s="1684"/>
      <c r="BP426" s="1696"/>
      <c r="BQ426" s="1169"/>
      <c r="BR426" s="1169"/>
      <c r="BS426" s="1169"/>
      <c r="BT426" s="1169"/>
      <c r="BU426" s="1169"/>
      <c r="BV426" s="1169"/>
      <c r="BW426" s="1169"/>
      <c r="BX426" s="1169"/>
      <c r="BY426" s="1169"/>
      <c r="BZ426" s="1169"/>
      <c r="CA426" s="1169"/>
      <c r="CB426" s="1169"/>
      <c r="CC426" s="1169"/>
      <c r="CD426" s="1169"/>
      <c r="CE426" s="1169"/>
      <c r="CF426" s="1169"/>
      <c r="CG426" s="1169"/>
      <c r="CH426" s="1169"/>
      <c r="CI426" s="1169"/>
      <c r="CJ426" s="1169"/>
      <c r="CK426" s="1169"/>
      <c r="CL426" s="1169"/>
      <c r="CM426" s="1169"/>
      <c r="CN426" s="1169"/>
      <c r="CO426" s="1169"/>
      <c r="CP426" s="1169"/>
      <c r="CQ426" s="1169"/>
      <c r="CR426" s="1169"/>
      <c r="CS426" s="1169"/>
      <c r="CT426" s="1169"/>
      <c r="CU426" s="1169"/>
      <c r="CV426" s="1169"/>
      <c r="CW426" s="1169"/>
      <c r="CX426" s="1169"/>
      <c r="CY426" s="1169"/>
      <c r="CZ426" s="1169"/>
      <c r="DA426" s="1168"/>
      <c r="DB426" s="1168"/>
      <c r="DC426" s="1168"/>
      <c r="DD426" s="1168"/>
      <c r="DE426" s="1168"/>
      <c r="DF426" s="1168"/>
      <c r="DG426" s="1168"/>
      <c r="DH426" s="1168"/>
      <c r="DI426" s="1168"/>
      <c r="DJ426" s="1168"/>
      <c r="DK426" s="1168"/>
      <c r="DL426" s="1168"/>
      <c r="DM426" s="1168"/>
      <c r="DN426" s="1168"/>
      <c r="DO426" s="1168"/>
      <c r="DP426" s="1168"/>
      <c r="DQ426" s="1168"/>
      <c r="DR426" s="1168"/>
      <c r="DS426" s="1168"/>
      <c r="DT426" s="1168"/>
      <c r="DU426" s="1168"/>
      <c r="DV426" s="1168"/>
      <c r="DW426" s="1168"/>
      <c r="DX426" s="1168"/>
      <c r="DY426" s="1168"/>
      <c r="DZ426" s="1168"/>
      <c r="EA426" s="1168"/>
      <c r="EB426" s="1168"/>
      <c r="EC426" s="1168"/>
      <c r="ED426" s="1168"/>
      <c r="EE426" s="1168"/>
      <c r="EF426" s="1168"/>
      <c r="EG426" s="1168"/>
      <c r="EH426" s="1168"/>
      <c r="EI426" s="1170"/>
      <c r="EJ426" s="1170"/>
      <c r="EK426" s="1170"/>
      <c r="EL426" s="1170"/>
      <c r="EM426" s="1170"/>
      <c r="EN426" s="1170"/>
      <c r="EO426" s="1170"/>
      <c r="EP426" s="1170"/>
      <c r="EQ426" s="1170"/>
      <c r="ER426" s="1170"/>
      <c r="ES426" s="1171"/>
      <c r="ET426" s="1171"/>
      <c r="EU426" s="1171"/>
      <c r="EV426" s="1171"/>
      <c r="EW426" s="1171"/>
      <c r="EX426" s="1171"/>
      <c r="EY426" s="1171"/>
      <c r="EZ426" s="1171"/>
      <c r="FA426" s="1171"/>
      <c r="FB426" s="1171"/>
      <c r="FC426" s="1171"/>
      <c r="FD426" s="1171"/>
      <c r="FE426" s="1171"/>
      <c r="FF426" s="1171"/>
      <c r="FG426" s="1171"/>
      <c r="FH426" s="1171"/>
      <c r="FI426" s="1171"/>
      <c r="FJ426" s="1171"/>
      <c r="FK426" s="1171"/>
      <c r="FL426" s="1171"/>
      <c r="FM426" s="1171"/>
      <c r="FN426" s="1171"/>
      <c r="FO426" s="1171"/>
      <c r="FP426" s="1171"/>
    </row>
    <row r="427" spans="1:172" s="607" customFormat="1">
      <c r="A427" s="607">
        <f t="shared" si="12"/>
        <v>2005</v>
      </c>
      <c r="B427" s="607">
        <f t="shared" si="13"/>
        <v>4</v>
      </c>
      <c r="C427" s="666">
        <v>38657</v>
      </c>
      <c r="D427" s="1709">
        <v>0.73545454545454547</v>
      </c>
      <c r="E427" s="1117">
        <v>249.50295454545454</v>
      </c>
      <c r="F427" s="1117">
        <v>339.25</v>
      </c>
      <c r="G427" s="1117"/>
      <c r="H427" s="1117"/>
      <c r="I427" s="959">
        <v>476.666</v>
      </c>
      <c r="J427" s="959">
        <v>646.74</v>
      </c>
      <c r="K427" s="960"/>
      <c r="L427" s="1121"/>
      <c r="M427" s="916">
        <v>12115.7</v>
      </c>
      <c r="N427" s="916">
        <v>16473.757725587144</v>
      </c>
      <c r="O427" s="1174">
        <v>4269.3</v>
      </c>
      <c r="P427" s="1174">
        <v>5804.9814585908534</v>
      </c>
      <c r="Q427" s="1174">
        <v>1017.4</v>
      </c>
      <c r="R427" s="1174">
        <v>1383.3621755253398</v>
      </c>
      <c r="S427" s="1174">
        <v>1610.9</v>
      </c>
      <c r="T427" s="1174">
        <v>2190.3461063040791</v>
      </c>
      <c r="U427" s="1120">
        <v>837.9107181818182</v>
      </c>
      <c r="V427" s="1120">
        <v>1139.31</v>
      </c>
      <c r="W427" s="1120">
        <v>1870.3344545454545</v>
      </c>
      <c r="X427" s="1120">
        <v>2543.1</v>
      </c>
      <c r="Y427" s="1119"/>
      <c r="Z427" s="1119"/>
      <c r="AA427" s="1119"/>
      <c r="AB427" s="1119"/>
      <c r="AC427" s="1178">
        <v>7.8730000000000002</v>
      </c>
      <c r="AD427" s="1178">
        <v>10.69</v>
      </c>
      <c r="AE427" s="1178">
        <v>32724.9</v>
      </c>
      <c r="AF427" s="1178">
        <v>44496.155747836834</v>
      </c>
      <c r="AG427" s="1178">
        <v>962.63599999999997</v>
      </c>
      <c r="AH427" s="1178">
        <v>1308.8993819530283</v>
      </c>
      <c r="AI427" s="1178">
        <v>245.29499999999999</v>
      </c>
      <c r="AJ427" s="1178">
        <v>333.52843016069221</v>
      </c>
      <c r="AK427" s="919">
        <v>55.54</v>
      </c>
      <c r="AL427" s="919">
        <v>75.517923362175523</v>
      </c>
      <c r="AM427" s="919">
        <v>57.12</v>
      </c>
      <c r="AN427" s="919">
        <v>77.666254635352288</v>
      </c>
      <c r="AO427" s="919"/>
      <c r="AP427" s="919"/>
      <c r="AS427" s="1167"/>
      <c r="AT427" s="1167"/>
      <c r="AU427" s="1168"/>
      <c r="AV427" s="1168"/>
      <c r="AW427" s="1169"/>
      <c r="AX427" s="1169"/>
      <c r="AY427" s="1169"/>
      <c r="AZ427" s="1169"/>
      <c r="BA427" s="1870" t="s">
        <v>1</v>
      </c>
      <c r="BB427" s="1871">
        <v>2012</v>
      </c>
      <c r="BC427" s="1870" t="s">
        <v>581</v>
      </c>
      <c r="BD427" s="1870">
        <v>7</v>
      </c>
      <c r="BE427" s="1872">
        <v>215270000</v>
      </c>
      <c r="BF427" s="1801">
        <v>1.419184069696725E-2</v>
      </c>
      <c r="BG427" s="1799"/>
      <c r="BH427" s="1799" t="s">
        <v>280</v>
      </c>
      <c r="BI427" s="1799" t="s">
        <v>289</v>
      </c>
      <c r="BJ427" s="1799" t="s">
        <v>20</v>
      </c>
      <c r="BK427" s="1799">
        <v>4</v>
      </c>
      <c r="BL427" s="1800">
        <v>55387698.417999998</v>
      </c>
      <c r="BM427" s="1801">
        <v>2.7823926063346143E-2</v>
      </c>
      <c r="BN427" s="1799">
        <v>2004</v>
      </c>
      <c r="BO427" s="1684"/>
      <c r="BP427" s="1696"/>
      <c r="BQ427" s="1169"/>
      <c r="BR427" s="1169"/>
      <c r="BS427" s="1169"/>
      <c r="BT427" s="1169"/>
      <c r="BU427" s="1169"/>
      <c r="BV427" s="1169"/>
      <c r="BW427" s="1169"/>
      <c r="BX427" s="1169"/>
      <c r="BY427" s="1169"/>
      <c r="BZ427" s="1169"/>
      <c r="CA427" s="1169"/>
      <c r="CB427" s="1169"/>
      <c r="CC427" s="1169"/>
      <c r="CD427" s="1169"/>
      <c r="CE427" s="1169"/>
      <c r="CF427" s="1169"/>
      <c r="CG427" s="1169"/>
      <c r="CH427" s="1169"/>
      <c r="CI427" s="1169"/>
      <c r="CJ427" s="1169"/>
      <c r="CK427" s="1169"/>
      <c r="CL427" s="1169"/>
      <c r="CM427" s="1169"/>
      <c r="CN427" s="1169"/>
      <c r="CO427" s="1169"/>
      <c r="CP427" s="1169"/>
      <c r="CQ427" s="1169"/>
      <c r="CR427" s="1169"/>
      <c r="CS427" s="1169"/>
      <c r="CT427" s="1169"/>
      <c r="CU427" s="1169"/>
      <c r="CV427" s="1169"/>
      <c r="CW427" s="1169"/>
      <c r="CX427" s="1169"/>
      <c r="CY427" s="1169"/>
      <c r="CZ427" s="1169"/>
      <c r="DA427" s="1168"/>
      <c r="DB427" s="1168"/>
      <c r="DC427" s="1168"/>
      <c r="DD427" s="1168"/>
      <c r="DE427" s="1168"/>
      <c r="DF427" s="1168"/>
      <c r="DG427" s="1168"/>
      <c r="DH427" s="1168"/>
      <c r="DI427" s="1168"/>
      <c r="DJ427" s="1168"/>
      <c r="DK427" s="1168"/>
      <c r="DL427" s="1168"/>
      <c r="DM427" s="1168"/>
      <c r="DN427" s="1168"/>
      <c r="DO427" s="1168"/>
      <c r="DP427" s="1168"/>
      <c r="DQ427" s="1168"/>
      <c r="DR427" s="1168"/>
      <c r="DS427" s="1168"/>
      <c r="DT427" s="1168"/>
      <c r="DU427" s="1168"/>
      <c r="DV427" s="1168"/>
      <c r="DW427" s="1168"/>
      <c r="DX427" s="1168"/>
      <c r="DY427" s="1168"/>
      <c r="DZ427" s="1168"/>
      <c r="EA427" s="1168"/>
      <c r="EB427" s="1168"/>
      <c r="EC427" s="1168"/>
      <c r="ED427" s="1168"/>
      <c r="EE427" s="1168"/>
      <c r="EF427" s="1168"/>
      <c r="EG427" s="1168"/>
      <c r="EH427" s="1168"/>
      <c r="EI427" s="1170"/>
      <c r="EJ427" s="1170"/>
      <c r="EK427" s="1170"/>
      <c r="EL427" s="1170"/>
      <c r="EM427" s="1170"/>
      <c r="EN427" s="1170"/>
      <c r="EO427" s="1170"/>
      <c r="EP427" s="1170"/>
      <c r="EQ427" s="1170"/>
      <c r="ER427" s="1170"/>
      <c r="ES427" s="1171"/>
      <c r="ET427" s="1171"/>
      <c r="EU427" s="1171"/>
      <c r="EV427" s="1171"/>
      <c r="EW427" s="1171"/>
      <c r="EX427" s="1171"/>
      <c r="EY427" s="1171"/>
      <c r="EZ427" s="1171"/>
      <c r="FA427" s="1171"/>
      <c r="FB427" s="1171"/>
      <c r="FC427" s="1171"/>
      <c r="FD427" s="1171"/>
      <c r="FE427" s="1171"/>
      <c r="FF427" s="1171"/>
      <c r="FG427" s="1171"/>
      <c r="FH427" s="1171"/>
      <c r="FI427" s="1171"/>
      <c r="FJ427" s="1171"/>
      <c r="FK427" s="1171"/>
      <c r="FL427" s="1171"/>
      <c r="FM427" s="1171"/>
      <c r="FN427" s="1171"/>
      <c r="FO427" s="1171"/>
      <c r="FP427" s="1171"/>
    </row>
    <row r="428" spans="1:172" s="607" customFormat="1">
      <c r="A428" s="607">
        <f t="shared" si="12"/>
        <v>2005</v>
      </c>
      <c r="B428" s="607">
        <f t="shared" si="13"/>
        <v>4</v>
      </c>
      <c r="C428" s="666">
        <v>38687</v>
      </c>
      <c r="D428" s="957">
        <v>0.7430300000000003</v>
      </c>
      <c r="E428" s="920">
        <v>270.35146550000013</v>
      </c>
      <c r="F428" s="920">
        <v>363.85</v>
      </c>
      <c r="G428" s="920"/>
      <c r="H428" s="920"/>
      <c r="I428" s="954">
        <v>509.755</v>
      </c>
      <c r="J428" s="954">
        <v>685.16</v>
      </c>
      <c r="K428" s="954"/>
      <c r="L428" s="920"/>
      <c r="M428" s="917">
        <v>13429.25</v>
      </c>
      <c r="N428" s="917">
        <v>18073.630943568893</v>
      </c>
      <c r="O428" s="1175">
        <v>4576.78</v>
      </c>
      <c r="P428" s="1175">
        <v>6159.6167045745096</v>
      </c>
      <c r="Q428" s="1175">
        <v>1124.08</v>
      </c>
      <c r="R428" s="1175">
        <v>1512.8325908778911</v>
      </c>
      <c r="S428" s="1175">
        <v>1821.83</v>
      </c>
      <c r="T428" s="1175">
        <v>2451.8929249155476</v>
      </c>
      <c r="U428" s="920">
        <v>738.23002620000022</v>
      </c>
      <c r="V428" s="920">
        <v>993.54</v>
      </c>
      <c r="W428" s="920">
        <v>1868.1334563000007</v>
      </c>
      <c r="X428" s="920">
        <v>2514.21</v>
      </c>
      <c r="Y428" s="920"/>
      <c r="Z428" s="920"/>
      <c r="AA428" s="920"/>
      <c r="AB428" s="920"/>
      <c r="AC428" s="920">
        <v>8.64</v>
      </c>
      <c r="AD428" s="920">
        <v>11.63</v>
      </c>
      <c r="AE428" s="920">
        <v>38580.86</v>
      </c>
      <c r="AF428" s="920">
        <v>51923.690833479115</v>
      </c>
      <c r="AG428" s="920">
        <v>978.89499999999998</v>
      </c>
      <c r="AH428" s="920">
        <v>1317.4367118420516</v>
      </c>
      <c r="AI428" s="920">
        <v>265.447</v>
      </c>
      <c r="AJ428" s="920">
        <v>357.24937081948224</v>
      </c>
      <c r="AK428" s="920">
        <v>56.75</v>
      </c>
      <c r="AL428" s="920">
        <v>76.376458554836248</v>
      </c>
      <c r="AM428" s="920">
        <v>61.12</v>
      </c>
      <c r="AN428" s="920">
        <v>82.257782323728478</v>
      </c>
      <c r="AO428" s="920"/>
      <c r="AP428" s="920"/>
      <c r="AS428" s="1167"/>
      <c r="AT428" s="1167"/>
      <c r="AU428" s="1168"/>
      <c r="AV428" s="1168"/>
      <c r="AW428" s="1169"/>
      <c r="AX428" s="1169"/>
      <c r="AY428" s="1169"/>
      <c r="AZ428" s="1169"/>
      <c r="BA428" s="1870" t="s">
        <v>1</v>
      </c>
      <c r="BB428" s="1871">
        <v>2012</v>
      </c>
      <c r="BC428" s="1870" t="s">
        <v>55</v>
      </c>
      <c r="BD428" s="1870">
        <v>8</v>
      </c>
      <c r="BE428" s="1872">
        <v>195010000</v>
      </c>
      <c r="BF428" s="1801">
        <v>1.2856184578973305E-2</v>
      </c>
      <c r="BG428" s="1799"/>
      <c r="BH428" s="1799" t="s">
        <v>280</v>
      </c>
      <c r="BI428" s="1799" t="s">
        <v>289</v>
      </c>
      <c r="BJ428" s="1799" t="s">
        <v>51</v>
      </c>
      <c r="BK428" s="1799">
        <v>5</v>
      </c>
      <c r="BL428" s="1800">
        <v>48155308.840000004</v>
      </c>
      <c r="BM428" s="1801">
        <v>2.4190746158290009E-2</v>
      </c>
      <c r="BN428" s="1799">
        <v>2004</v>
      </c>
      <c r="BO428" s="1684"/>
      <c r="BP428" s="1696"/>
      <c r="BQ428" s="1169"/>
      <c r="BR428" s="1169"/>
      <c r="BS428" s="1169"/>
      <c r="BT428" s="1169"/>
      <c r="BU428" s="1169"/>
      <c r="BV428" s="1169"/>
      <c r="BW428" s="1169"/>
      <c r="BX428" s="1169"/>
      <c r="BY428" s="1169"/>
      <c r="BZ428" s="1169"/>
      <c r="CA428" s="1169"/>
      <c r="CB428" s="1169"/>
      <c r="CC428" s="1169"/>
      <c r="CD428" s="1169"/>
      <c r="CE428" s="1169"/>
      <c r="CF428" s="1169"/>
      <c r="CG428" s="1169"/>
      <c r="CH428" s="1169"/>
      <c r="CI428" s="1169"/>
      <c r="CJ428" s="1169"/>
      <c r="CK428" s="1169"/>
      <c r="CL428" s="1169"/>
      <c r="CM428" s="1169"/>
      <c r="CN428" s="1169"/>
      <c r="CO428" s="1169"/>
      <c r="CP428" s="1169"/>
      <c r="CQ428" s="1169"/>
      <c r="CR428" s="1169"/>
      <c r="CS428" s="1169"/>
      <c r="CT428" s="1169"/>
      <c r="CU428" s="1169"/>
      <c r="CV428" s="1169"/>
      <c r="CW428" s="1169"/>
      <c r="CX428" s="1169"/>
      <c r="CY428" s="1169"/>
      <c r="CZ428" s="1169"/>
      <c r="DA428" s="1168"/>
      <c r="DB428" s="1168"/>
      <c r="DC428" s="1168"/>
      <c r="DD428" s="1168"/>
      <c r="DE428" s="1168"/>
      <c r="DF428" s="1168"/>
      <c r="DG428" s="1168"/>
      <c r="DH428" s="1168"/>
      <c r="DI428" s="1168"/>
      <c r="DJ428" s="1168"/>
      <c r="DK428" s="1168"/>
      <c r="DL428" s="1168"/>
      <c r="DM428" s="1168"/>
      <c r="DN428" s="1168"/>
      <c r="DO428" s="1168"/>
      <c r="DP428" s="1168"/>
      <c r="DQ428" s="1168"/>
      <c r="DR428" s="1168"/>
      <c r="DS428" s="1168"/>
      <c r="DT428" s="1168"/>
      <c r="DU428" s="1168"/>
      <c r="DV428" s="1168"/>
      <c r="DW428" s="1168"/>
      <c r="DX428" s="1168"/>
      <c r="DY428" s="1168"/>
      <c r="DZ428" s="1168"/>
      <c r="EA428" s="1168"/>
      <c r="EB428" s="1168"/>
      <c r="EC428" s="1168"/>
      <c r="ED428" s="1168"/>
      <c r="EE428" s="1168"/>
      <c r="EF428" s="1168"/>
      <c r="EG428" s="1168"/>
      <c r="EH428" s="1168"/>
      <c r="EI428" s="1170"/>
      <c r="EJ428" s="1170"/>
      <c r="EK428" s="1170"/>
      <c r="EL428" s="1170"/>
      <c r="EM428" s="1170"/>
      <c r="EN428" s="1170"/>
      <c r="EO428" s="1170"/>
      <c r="EP428" s="1170"/>
      <c r="EQ428" s="1170"/>
      <c r="ER428" s="1170"/>
      <c r="ES428" s="1171"/>
      <c r="ET428" s="1171"/>
      <c r="EU428" s="1171"/>
      <c r="EV428" s="1171"/>
      <c r="EW428" s="1171"/>
      <c r="EX428" s="1171"/>
      <c r="EY428" s="1171"/>
      <c r="EZ428" s="1171"/>
      <c r="FA428" s="1171"/>
      <c r="FB428" s="1171"/>
      <c r="FC428" s="1171"/>
      <c r="FD428" s="1171"/>
      <c r="FE428" s="1171"/>
      <c r="FF428" s="1171"/>
      <c r="FG428" s="1171"/>
      <c r="FH428" s="1171"/>
      <c r="FI428" s="1171"/>
      <c r="FJ428" s="1171"/>
      <c r="FK428" s="1171"/>
      <c r="FL428" s="1171"/>
      <c r="FM428" s="1171"/>
      <c r="FN428" s="1171"/>
      <c r="FO428" s="1171"/>
      <c r="FP428" s="1171"/>
    </row>
    <row r="429" spans="1:172" s="607" customFormat="1">
      <c r="A429" s="607">
        <f t="shared" si="12"/>
        <v>2006</v>
      </c>
      <c r="B429" s="607">
        <f t="shared" si="13"/>
        <v>1</v>
      </c>
      <c r="C429" s="666">
        <v>38718</v>
      </c>
      <c r="D429" s="1709">
        <v>0.74976999999999994</v>
      </c>
      <c r="E429" s="1117">
        <v>272.60887429999997</v>
      </c>
      <c r="F429" s="1117">
        <v>363.59</v>
      </c>
      <c r="G429" s="1117"/>
      <c r="H429" s="1117"/>
      <c r="I429" s="959">
        <v>549.86400000000003</v>
      </c>
      <c r="J429" s="959">
        <v>735.1</v>
      </c>
      <c r="K429" s="960"/>
      <c r="L429" s="1121"/>
      <c r="M429" s="916">
        <v>14555.24</v>
      </c>
      <c r="N429" s="916">
        <v>19412.939968256935</v>
      </c>
      <c r="O429" s="1174">
        <v>4734.33</v>
      </c>
      <c r="P429" s="1174">
        <v>6314.3764087653553</v>
      </c>
      <c r="Q429" s="1174">
        <v>1256.33</v>
      </c>
      <c r="R429" s="1174">
        <v>1675.6205236272458</v>
      </c>
      <c r="S429" s="1174">
        <v>2090.31</v>
      </c>
      <c r="T429" s="1174">
        <v>2787.9349667231286</v>
      </c>
      <c r="U429" s="1120">
        <v>706.71820659999992</v>
      </c>
      <c r="V429" s="1120">
        <v>942.58</v>
      </c>
      <c r="W429" s="1120">
        <v>1854.2861777999997</v>
      </c>
      <c r="X429" s="1120">
        <v>2473.14</v>
      </c>
      <c r="Y429" s="1119"/>
      <c r="Z429" s="1119"/>
      <c r="AA429" s="1119"/>
      <c r="AB429" s="1119"/>
      <c r="AC429" s="1178">
        <v>9.1539999999999999</v>
      </c>
      <c r="AD429" s="1178">
        <v>12.24</v>
      </c>
      <c r="AE429" s="1178">
        <v>33138.199999999997</v>
      </c>
      <c r="AF429" s="1178">
        <v>44197.820665003936</v>
      </c>
      <c r="AG429" s="1178">
        <v>1029</v>
      </c>
      <c r="AH429" s="1178">
        <v>1372.4208757352255</v>
      </c>
      <c r="AI429" s="1178">
        <v>273.69</v>
      </c>
      <c r="AJ429" s="1178">
        <v>365.03194312922631</v>
      </c>
      <c r="AK429" s="919">
        <v>63.57</v>
      </c>
      <c r="AL429" s="919">
        <v>84.786001040319036</v>
      </c>
      <c r="AM429" s="919">
        <v>69.010000000000005</v>
      </c>
      <c r="AN429" s="919">
        <v>92.041559411552896</v>
      </c>
      <c r="AO429" s="919"/>
      <c r="AP429" s="919"/>
      <c r="AS429" s="1167"/>
      <c r="AT429" s="1167"/>
      <c r="AU429" s="1168"/>
      <c r="AV429" s="1168"/>
      <c r="AW429" s="1169"/>
      <c r="AX429" s="1169"/>
      <c r="AY429" s="1169"/>
      <c r="AZ429" s="1169"/>
      <c r="BA429" s="1870" t="s">
        <v>1</v>
      </c>
      <c r="BB429" s="1871">
        <v>2012</v>
      </c>
      <c r="BC429" s="1870" t="s">
        <v>46</v>
      </c>
      <c r="BD429" s="1870">
        <v>9</v>
      </c>
      <c r="BE429" s="1872">
        <v>67507000</v>
      </c>
      <c r="BF429" s="1801">
        <v>4.4504510146800213E-3</v>
      </c>
      <c r="BG429" s="1799"/>
      <c r="BH429" s="1799" t="s">
        <v>280</v>
      </c>
      <c r="BI429" s="1799" t="s">
        <v>289</v>
      </c>
      <c r="BJ429" s="1799" t="s">
        <v>54</v>
      </c>
      <c r="BK429" s="1799">
        <v>6</v>
      </c>
      <c r="BL429" s="1800">
        <v>41548691.688000001</v>
      </c>
      <c r="BM429" s="1801">
        <v>2.0871922079722705E-2</v>
      </c>
      <c r="BN429" s="1799">
        <v>2004</v>
      </c>
      <c r="BO429" s="1684"/>
      <c r="BP429" s="1696"/>
      <c r="BQ429" s="1169"/>
      <c r="BR429" s="1169"/>
      <c r="BS429" s="1169"/>
      <c r="BT429" s="1169"/>
      <c r="BU429" s="1169"/>
      <c r="BV429" s="1169"/>
      <c r="BW429" s="1169"/>
      <c r="BX429" s="1169"/>
      <c r="BY429" s="1169"/>
      <c r="BZ429" s="1169"/>
      <c r="CA429" s="1169"/>
      <c r="CB429" s="1169"/>
      <c r="CC429" s="1169"/>
      <c r="CD429" s="1169"/>
      <c r="CE429" s="1169"/>
      <c r="CF429" s="1169"/>
      <c r="CG429" s="1169"/>
      <c r="CH429" s="1169"/>
      <c r="CI429" s="1169"/>
      <c r="CJ429" s="1169"/>
      <c r="CK429" s="1169"/>
      <c r="CL429" s="1169"/>
      <c r="CM429" s="1169"/>
      <c r="CN429" s="1169"/>
      <c r="CO429" s="1169"/>
      <c r="CP429" s="1169"/>
      <c r="CQ429" s="1169"/>
      <c r="CR429" s="1169"/>
      <c r="CS429" s="1169"/>
      <c r="CT429" s="1169"/>
      <c r="CU429" s="1169"/>
      <c r="CV429" s="1169"/>
      <c r="CW429" s="1169"/>
      <c r="CX429" s="1169"/>
      <c r="CY429" s="1169"/>
      <c r="CZ429" s="1169"/>
      <c r="DA429" s="1168"/>
      <c r="DB429" s="1168"/>
      <c r="DC429" s="1168"/>
      <c r="DD429" s="1168"/>
      <c r="DE429" s="1168"/>
      <c r="DF429" s="1168"/>
      <c r="DG429" s="1168"/>
      <c r="DH429" s="1168"/>
      <c r="DI429" s="1168"/>
      <c r="DJ429" s="1168"/>
      <c r="DK429" s="1168"/>
      <c r="DL429" s="1168"/>
      <c r="DM429" s="1168"/>
      <c r="DN429" s="1168"/>
      <c r="DO429" s="1168"/>
      <c r="DP429" s="1168"/>
      <c r="DQ429" s="1168"/>
      <c r="DR429" s="1168"/>
      <c r="DS429" s="1168"/>
      <c r="DT429" s="1168"/>
      <c r="DU429" s="1168"/>
      <c r="DV429" s="1168"/>
      <c r="DW429" s="1168"/>
      <c r="DX429" s="1168"/>
      <c r="DY429" s="1168"/>
      <c r="DZ429" s="1168"/>
      <c r="EA429" s="1168"/>
      <c r="EB429" s="1168"/>
      <c r="EC429" s="1168"/>
      <c r="ED429" s="1168"/>
      <c r="EE429" s="1168"/>
      <c r="EF429" s="1168"/>
      <c r="EG429" s="1168"/>
      <c r="EH429" s="1168"/>
      <c r="EI429" s="1170"/>
      <c r="EJ429" s="1170"/>
      <c r="EK429" s="1170"/>
      <c r="EL429" s="1170"/>
      <c r="EM429" s="1170"/>
      <c r="EN429" s="1170"/>
      <c r="EO429" s="1170"/>
      <c r="EP429" s="1170"/>
      <c r="EQ429" s="1170"/>
      <c r="ER429" s="1170"/>
      <c r="ES429" s="1171"/>
      <c r="ET429" s="1171"/>
      <c r="EU429" s="1171"/>
      <c r="EV429" s="1171"/>
      <c r="EW429" s="1171"/>
      <c r="EX429" s="1171"/>
      <c r="EY429" s="1171"/>
      <c r="EZ429" s="1171"/>
      <c r="FA429" s="1171"/>
      <c r="FB429" s="1171"/>
      <c r="FC429" s="1171"/>
      <c r="FD429" s="1171"/>
      <c r="FE429" s="1171"/>
      <c r="FF429" s="1171"/>
      <c r="FG429" s="1171"/>
      <c r="FH429" s="1171"/>
      <c r="FI429" s="1171"/>
      <c r="FJ429" s="1171"/>
      <c r="FK429" s="1171"/>
      <c r="FL429" s="1171"/>
      <c r="FM429" s="1171"/>
      <c r="FN429" s="1171"/>
      <c r="FO429" s="1171"/>
      <c r="FP429" s="1171"/>
    </row>
    <row r="430" spans="1:172" s="607" customFormat="1">
      <c r="A430" s="607">
        <f t="shared" si="12"/>
        <v>2006</v>
      </c>
      <c r="B430" s="607">
        <f t="shared" si="13"/>
        <v>1</v>
      </c>
      <c r="C430" s="666">
        <v>38749</v>
      </c>
      <c r="D430" s="957">
        <v>0.74163499999999982</v>
      </c>
      <c r="E430" s="920">
        <v>276.96359074999992</v>
      </c>
      <c r="F430" s="920">
        <v>373.45</v>
      </c>
      <c r="G430" s="920"/>
      <c r="H430" s="920"/>
      <c r="I430" s="954">
        <v>554.995</v>
      </c>
      <c r="J430" s="954">
        <v>748.65</v>
      </c>
      <c r="K430" s="954"/>
      <c r="L430" s="920"/>
      <c r="M430" s="917">
        <v>14978.75</v>
      </c>
      <c r="N430" s="917">
        <v>20196.92975655141</v>
      </c>
      <c r="O430" s="1175">
        <v>4982.3999999999996</v>
      </c>
      <c r="P430" s="1175">
        <v>6718.1295381151112</v>
      </c>
      <c r="Q430" s="1175">
        <v>1277.05</v>
      </c>
      <c r="R430" s="1175">
        <v>1721.9386895170808</v>
      </c>
      <c r="S430" s="1175">
        <v>2219.38</v>
      </c>
      <c r="T430" s="1175">
        <v>2992.5502437182718</v>
      </c>
      <c r="U430" s="920">
        <v>785.30246879999993</v>
      </c>
      <c r="V430" s="920">
        <v>1058.8800000000001</v>
      </c>
      <c r="W430" s="920">
        <v>1854.9552129499996</v>
      </c>
      <c r="X430" s="920">
        <v>2501.17</v>
      </c>
      <c r="Y430" s="920"/>
      <c r="Z430" s="920"/>
      <c r="AA430" s="920"/>
      <c r="AB430" s="920"/>
      <c r="AC430" s="920">
        <v>9.5350000000000001</v>
      </c>
      <c r="AD430" s="920">
        <v>12.89</v>
      </c>
      <c r="AE430" s="920">
        <v>30864.7</v>
      </c>
      <c r="AF430" s="920">
        <v>41617.102752701809</v>
      </c>
      <c r="AG430" s="920">
        <v>1041.75</v>
      </c>
      <c r="AH430" s="920">
        <v>1404.6667161069802</v>
      </c>
      <c r="AI430" s="920">
        <v>289.3</v>
      </c>
      <c r="AJ430" s="920">
        <v>390.08407100527899</v>
      </c>
      <c r="AK430" s="920">
        <v>59.92</v>
      </c>
      <c r="AL430" s="920">
        <v>80.794460887094075</v>
      </c>
      <c r="AM430" s="920">
        <v>66.260000000000005</v>
      </c>
      <c r="AN430" s="920">
        <v>89.343140493639083</v>
      </c>
      <c r="AO430" s="920"/>
      <c r="AP430" s="920"/>
      <c r="AS430" s="1167"/>
      <c r="AT430" s="1167"/>
      <c r="AU430" s="1168"/>
      <c r="AV430" s="1168"/>
      <c r="AW430" s="1169"/>
      <c r="AX430" s="1169"/>
      <c r="AY430" s="1169"/>
      <c r="AZ430" s="1169"/>
      <c r="BA430" s="1870" t="s">
        <v>1</v>
      </c>
      <c r="BB430" s="1871">
        <v>2012</v>
      </c>
      <c r="BC430" s="1870" t="s">
        <v>241</v>
      </c>
      <c r="BD430" s="1870">
        <v>10</v>
      </c>
      <c r="BE430" s="1872">
        <v>16377000</v>
      </c>
      <c r="BF430" s="1801">
        <v>1.079666349673585E-3</v>
      </c>
      <c r="BG430" s="1799"/>
      <c r="BH430" s="1799" t="s">
        <v>280</v>
      </c>
      <c r="BI430" s="1799" t="s">
        <v>289</v>
      </c>
      <c r="BJ430" s="1799" t="s">
        <v>17</v>
      </c>
      <c r="BK430" s="1799">
        <v>7</v>
      </c>
      <c r="BL430" s="1800">
        <v>26455487.732585624</v>
      </c>
      <c r="BM430" s="1801">
        <v>1.3289874027370771E-2</v>
      </c>
      <c r="BN430" s="1799">
        <v>2004</v>
      </c>
      <c r="BO430" s="1684"/>
      <c r="BP430" s="1696"/>
      <c r="BQ430" s="1169"/>
      <c r="BR430" s="1169"/>
      <c r="BS430" s="1169"/>
      <c r="BT430" s="1169"/>
      <c r="BU430" s="1169"/>
      <c r="BV430" s="1169"/>
      <c r="BW430" s="1169"/>
      <c r="BX430" s="1169"/>
      <c r="BY430" s="1169"/>
      <c r="BZ430" s="1169"/>
      <c r="CA430" s="1169"/>
      <c r="CB430" s="1169"/>
      <c r="CC430" s="1169"/>
      <c r="CD430" s="1169"/>
      <c r="CE430" s="1169"/>
      <c r="CF430" s="1169"/>
      <c r="CG430" s="1169"/>
      <c r="CH430" s="1169"/>
      <c r="CI430" s="1169"/>
      <c r="CJ430" s="1169"/>
      <c r="CK430" s="1169"/>
      <c r="CL430" s="1169"/>
      <c r="CM430" s="1169"/>
      <c r="CN430" s="1169"/>
      <c r="CO430" s="1169"/>
      <c r="CP430" s="1169"/>
      <c r="CQ430" s="1169"/>
      <c r="CR430" s="1169"/>
      <c r="CS430" s="1169"/>
      <c r="CT430" s="1169"/>
      <c r="CU430" s="1169"/>
      <c r="CV430" s="1169"/>
      <c r="CW430" s="1169"/>
      <c r="CX430" s="1169"/>
      <c r="CY430" s="1169"/>
      <c r="CZ430" s="1169"/>
      <c r="DA430" s="1168"/>
      <c r="DB430" s="1168"/>
      <c r="DC430" s="1168"/>
      <c r="DD430" s="1168"/>
      <c r="DE430" s="1168"/>
      <c r="DF430" s="1168"/>
      <c r="DG430" s="1168"/>
      <c r="DH430" s="1168"/>
      <c r="DI430" s="1168"/>
      <c r="DJ430" s="1168"/>
      <c r="DK430" s="1168"/>
      <c r="DL430" s="1168"/>
      <c r="DM430" s="1168"/>
      <c r="DN430" s="1168"/>
      <c r="DO430" s="1168"/>
      <c r="DP430" s="1168"/>
      <c r="DQ430" s="1168"/>
      <c r="DR430" s="1168"/>
      <c r="DS430" s="1168"/>
      <c r="DT430" s="1168"/>
      <c r="DU430" s="1168"/>
      <c r="DV430" s="1168"/>
      <c r="DW430" s="1168"/>
      <c r="DX430" s="1168"/>
      <c r="DY430" s="1168"/>
      <c r="DZ430" s="1168"/>
      <c r="EA430" s="1168"/>
      <c r="EB430" s="1168"/>
      <c r="EC430" s="1168"/>
      <c r="ED430" s="1168"/>
      <c r="EE430" s="1168"/>
      <c r="EF430" s="1168"/>
      <c r="EG430" s="1168"/>
      <c r="EH430" s="1168"/>
      <c r="EI430" s="1170"/>
      <c r="EJ430" s="1170"/>
      <c r="EK430" s="1170"/>
      <c r="EL430" s="1170"/>
      <c r="EM430" s="1170"/>
      <c r="EN430" s="1170"/>
      <c r="EO430" s="1170"/>
      <c r="EP430" s="1170"/>
      <c r="EQ430" s="1170"/>
      <c r="ER430" s="1170"/>
      <c r="ES430" s="1171"/>
      <c r="ET430" s="1171"/>
      <c r="EU430" s="1171"/>
      <c r="EV430" s="1171"/>
      <c r="EW430" s="1171"/>
      <c r="EX430" s="1171"/>
      <c r="EY430" s="1171"/>
      <c r="EZ430" s="1171"/>
      <c r="FA430" s="1171"/>
      <c r="FB430" s="1171"/>
      <c r="FC430" s="1171"/>
      <c r="FD430" s="1171"/>
      <c r="FE430" s="1171"/>
      <c r="FF430" s="1171"/>
      <c r="FG430" s="1171"/>
      <c r="FH430" s="1171"/>
      <c r="FI430" s="1171"/>
      <c r="FJ430" s="1171"/>
      <c r="FK430" s="1171"/>
      <c r="FL430" s="1171"/>
      <c r="FM430" s="1171"/>
      <c r="FN430" s="1171"/>
      <c r="FO430" s="1171"/>
      <c r="FP430" s="1171"/>
    </row>
    <row r="431" spans="1:172" s="607" customFormat="1">
      <c r="A431" s="607">
        <f t="shared" si="12"/>
        <v>2006</v>
      </c>
      <c r="B431" s="607">
        <f t="shared" si="13"/>
        <v>1</v>
      </c>
      <c r="C431" s="666">
        <v>38777</v>
      </c>
      <c r="D431" s="1709">
        <v>0.72774782608695643</v>
      </c>
      <c r="E431" s="1117">
        <v>279.1131237391304</v>
      </c>
      <c r="F431" s="1117">
        <v>383.53</v>
      </c>
      <c r="G431" s="1117"/>
      <c r="H431" s="1117"/>
      <c r="I431" s="959">
        <v>557.09299999999996</v>
      </c>
      <c r="J431" s="959">
        <v>766.08</v>
      </c>
      <c r="K431" s="960"/>
      <c r="L431" s="1121"/>
      <c r="M431" s="916">
        <v>14897.39</v>
      </c>
      <c r="N431" s="916">
        <v>20470.538648122259</v>
      </c>
      <c r="O431" s="1174">
        <v>5102.8500000000004</v>
      </c>
      <c r="P431" s="1174">
        <v>7011.8381904864336</v>
      </c>
      <c r="Q431" s="1174">
        <v>1192.0899999999999</v>
      </c>
      <c r="R431" s="1174">
        <v>1638.0536736327683</v>
      </c>
      <c r="S431" s="1174">
        <v>2416.91</v>
      </c>
      <c r="T431" s="1174">
        <v>3321.0817172694797</v>
      </c>
      <c r="U431" s="1120">
        <v>868.18860156521725</v>
      </c>
      <c r="V431" s="1120">
        <v>1192.98</v>
      </c>
      <c r="W431" s="1120">
        <v>1850.7791613913041</v>
      </c>
      <c r="X431" s="1120">
        <v>2543.16</v>
      </c>
      <c r="Y431" s="1119"/>
      <c r="Z431" s="1119"/>
      <c r="AA431" s="1119"/>
      <c r="AB431" s="1119"/>
      <c r="AC431" s="1178">
        <v>10.384</v>
      </c>
      <c r="AD431" s="1178">
        <v>14.27</v>
      </c>
      <c r="AE431" s="1178">
        <v>32948.06</v>
      </c>
      <c r="AF431" s="1178">
        <v>45274.006762973324</v>
      </c>
      <c r="AG431" s="1178">
        <v>1041.5219999999999</v>
      </c>
      <c r="AH431" s="1178">
        <v>1431.157830591103</v>
      </c>
      <c r="AI431" s="1178">
        <v>310.17399999999998</v>
      </c>
      <c r="AJ431" s="1178">
        <v>426.21082314705285</v>
      </c>
      <c r="AK431" s="919">
        <v>62.25</v>
      </c>
      <c r="AL431" s="919">
        <v>85.537871455712093</v>
      </c>
      <c r="AM431" s="919">
        <v>66.44</v>
      </c>
      <c r="AN431" s="919">
        <v>91.295360313534317</v>
      </c>
      <c r="AO431" s="919"/>
      <c r="AP431" s="919"/>
      <c r="AS431" s="1167"/>
      <c r="AT431" s="1167"/>
      <c r="AU431" s="1168"/>
      <c r="AV431" s="1168"/>
      <c r="AW431" s="1169"/>
      <c r="AX431" s="1169"/>
      <c r="AY431" s="1169"/>
      <c r="AZ431" s="1169"/>
      <c r="BA431" s="1870" t="s">
        <v>1</v>
      </c>
      <c r="BB431" s="1871">
        <v>2012</v>
      </c>
      <c r="BC431" s="1870" t="s">
        <v>32</v>
      </c>
      <c r="BD431" s="1870"/>
      <c r="BE431" s="1872">
        <v>10598000</v>
      </c>
      <c r="BF431" s="1801">
        <v>6.9868131976800725E-4</v>
      </c>
      <c r="BG431" s="1799"/>
      <c r="BH431" s="1799" t="s">
        <v>280</v>
      </c>
      <c r="BI431" s="1799" t="s">
        <v>289</v>
      </c>
      <c r="BJ431" s="1799" t="s">
        <v>42</v>
      </c>
      <c r="BK431" s="1799">
        <v>8</v>
      </c>
      <c r="BL431" s="1800">
        <v>24321781.48</v>
      </c>
      <c r="BM431" s="1801">
        <v>1.2218009936452917E-2</v>
      </c>
      <c r="BN431" s="1799">
        <v>2004</v>
      </c>
      <c r="BO431" s="1684"/>
      <c r="BP431" s="1696"/>
      <c r="BQ431" s="1169"/>
      <c r="BR431" s="1169"/>
      <c r="BS431" s="1169"/>
      <c r="BT431" s="1169"/>
      <c r="BU431" s="1169"/>
      <c r="BV431" s="1169"/>
      <c r="BW431" s="1169"/>
      <c r="BX431" s="1169"/>
      <c r="BY431" s="1169"/>
      <c r="BZ431" s="1169"/>
      <c r="CA431" s="1169"/>
      <c r="CB431" s="1169"/>
      <c r="CC431" s="1169"/>
      <c r="CD431" s="1169"/>
      <c r="CE431" s="1169"/>
      <c r="CF431" s="1169"/>
      <c r="CG431" s="1169"/>
      <c r="CH431" s="1169"/>
      <c r="CI431" s="1169"/>
      <c r="CJ431" s="1169"/>
      <c r="CK431" s="1169"/>
      <c r="CL431" s="1169"/>
      <c r="CM431" s="1169"/>
      <c r="CN431" s="1169"/>
      <c r="CO431" s="1169"/>
      <c r="CP431" s="1169"/>
      <c r="CQ431" s="1169"/>
      <c r="CR431" s="1169"/>
      <c r="CS431" s="1169"/>
      <c r="CT431" s="1169"/>
      <c r="CU431" s="1169"/>
      <c r="CV431" s="1169"/>
      <c r="CW431" s="1169"/>
      <c r="CX431" s="1169"/>
      <c r="CY431" s="1169"/>
      <c r="CZ431" s="1169"/>
      <c r="DA431" s="1168"/>
      <c r="DB431" s="1168"/>
      <c r="DC431" s="1168"/>
      <c r="DD431" s="1168"/>
      <c r="DE431" s="1168"/>
      <c r="DF431" s="1168"/>
      <c r="DG431" s="1168"/>
      <c r="DH431" s="1168"/>
      <c r="DI431" s="1168"/>
      <c r="DJ431" s="1168"/>
      <c r="DK431" s="1168"/>
      <c r="DL431" s="1168"/>
      <c r="DM431" s="1168"/>
      <c r="DN431" s="1168"/>
      <c r="DO431" s="1168"/>
      <c r="DP431" s="1168"/>
      <c r="DQ431" s="1168"/>
      <c r="DR431" s="1168"/>
      <c r="DS431" s="1168"/>
      <c r="DT431" s="1168"/>
      <c r="DU431" s="1168"/>
      <c r="DV431" s="1168"/>
      <c r="DW431" s="1168"/>
      <c r="DX431" s="1168"/>
      <c r="DY431" s="1168"/>
      <c r="DZ431" s="1168"/>
      <c r="EA431" s="1168"/>
      <c r="EB431" s="1168"/>
      <c r="EC431" s="1168"/>
      <c r="ED431" s="1168"/>
      <c r="EE431" s="1168"/>
      <c r="EF431" s="1168"/>
      <c r="EG431" s="1168"/>
      <c r="EH431" s="1168"/>
      <c r="EI431" s="1170"/>
      <c r="EJ431" s="1170"/>
      <c r="EK431" s="1170"/>
      <c r="EL431" s="1170"/>
      <c r="EM431" s="1170"/>
      <c r="EN431" s="1170"/>
      <c r="EO431" s="1170"/>
      <c r="EP431" s="1170"/>
      <c r="EQ431" s="1170"/>
      <c r="ER431" s="1170"/>
      <c r="ES431" s="1171"/>
      <c r="ET431" s="1171"/>
      <c r="EU431" s="1171"/>
      <c r="EV431" s="1171"/>
      <c r="EW431" s="1171"/>
      <c r="EX431" s="1171"/>
      <c r="EY431" s="1171"/>
      <c r="EZ431" s="1171"/>
      <c r="FA431" s="1171"/>
      <c r="FB431" s="1171"/>
      <c r="FC431" s="1171"/>
      <c r="FD431" s="1171"/>
      <c r="FE431" s="1171"/>
      <c r="FF431" s="1171"/>
      <c r="FG431" s="1171"/>
      <c r="FH431" s="1171"/>
      <c r="FI431" s="1171"/>
      <c r="FJ431" s="1171"/>
      <c r="FK431" s="1171"/>
      <c r="FL431" s="1171"/>
      <c r="FM431" s="1171"/>
      <c r="FN431" s="1171"/>
      <c r="FO431" s="1171"/>
      <c r="FP431" s="1171"/>
    </row>
    <row r="432" spans="1:172" s="607" customFormat="1">
      <c r="A432" s="607">
        <f t="shared" si="12"/>
        <v>2006</v>
      </c>
      <c r="B432" s="607">
        <f t="shared" si="13"/>
        <v>2</v>
      </c>
      <c r="C432" s="666">
        <v>38808</v>
      </c>
      <c r="D432" s="957">
        <v>0.73502352941176474</v>
      </c>
      <c r="E432" s="920">
        <v>302.99874952941178</v>
      </c>
      <c r="F432" s="920">
        <v>412.23</v>
      </c>
      <c r="G432" s="920"/>
      <c r="H432" s="920"/>
      <c r="I432" s="954">
        <v>609.72400000000005</v>
      </c>
      <c r="J432" s="954">
        <v>828.08</v>
      </c>
      <c r="K432" s="954"/>
      <c r="L432" s="920"/>
      <c r="M432" s="917">
        <v>17942.22</v>
      </c>
      <c r="N432" s="917">
        <v>24410.402228019913</v>
      </c>
      <c r="O432" s="1175">
        <v>6387.78</v>
      </c>
      <c r="P432" s="1175">
        <v>8690.5789330473599</v>
      </c>
      <c r="Q432" s="1175">
        <v>1170.42</v>
      </c>
      <c r="R432" s="1175">
        <v>1592.3571874449797</v>
      </c>
      <c r="S432" s="1175">
        <v>3084.78</v>
      </c>
      <c r="T432" s="1175">
        <v>4196.8452390479697</v>
      </c>
      <c r="U432" s="920">
        <v>857.0300850588236</v>
      </c>
      <c r="V432" s="920">
        <v>1165.99</v>
      </c>
      <c r="W432" s="920">
        <v>1873.7293314117649</v>
      </c>
      <c r="X432" s="920">
        <v>2549.21</v>
      </c>
      <c r="Y432" s="920"/>
      <c r="Z432" s="920"/>
      <c r="AA432" s="920"/>
      <c r="AB432" s="920"/>
      <c r="AC432" s="920">
        <v>12.615</v>
      </c>
      <c r="AD432" s="920">
        <v>17.13</v>
      </c>
      <c r="AE432" s="920">
        <v>36307.375</v>
      </c>
      <c r="AF432" s="920">
        <v>49396.20780447204</v>
      </c>
      <c r="AG432" s="920">
        <v>1100</v>
      </c>
      <c r="AH432" s="920">
        <v>1496.550730668886</v>
      </c>
      <c r="AI432" s="920">
        <v>352.197</v>
      </c>
      <c r="AJ432" s="920">
        <v>479.16425244489972</v>
      </c>
      <c r="AK432" s="920">
        <v>70.44</v>
      </c>
      <c r="AL432" s="920">
        <v>95.833666789378483</v>
      </c>
      <c r="AM432" s="920">
        <v>74.3</v>
      </c>
      <c r="AN432" s="920">
        <v>101.08519935336203</v>
      </c>
      <c r="AO432" s="920"/>
      <c r="AP432" s="920"/>
      <c r="AS432" s="1167"/>
      <c r="AT432" s="1167"/>
      <c r="AU432" s="1168"/>
      <c r="AV432" s="1168"/>
      <c r="AW432" s="1169"/>
      <c r="AX432" s="1169"/>
      <c r="AY432" s="1169"/>
      <c r="AZ432" s="1169"/>
      <c r="BA432" s="1870" t="s">
        <v>1</v>
      </c>
      <c r="BB432" s="1871">
        <v>2012</v>
      </c>
      <c r="BC432" s="1870" t="s">
        <v>249</v>
      </c>
      <c r="BD432" s="1870"/>
      <c r="BE432" s="1872">
        <v>15168575000</v>
      </c>
      <c r="BF432" s="1801">
        <v>1</v>
      </c>
      <c r="BG432" s="1799"/>
      <c r="BH432" s="1799" t="s">
        <v>280</v>
      </c>
      <c r="BI432" s="1799" t="s">
        <v>289</v>
      </c>
      <c r="BJ432" s="1799" t="s">
        <v>26</v>
      </c>
      <c r="BK432" s="1799">
        <v>9</v>
      </c>
      <c r="BL432" s="1800">
        <v>20198596</v>
      </c>
      <c r="BM432" s="1801">
        <v>1.0146733981362871E-2</v>
      </c>
      <c r="BN432" s="1799">
        <v>2004</v>
      </c>
      <c r="BO432" s="1684"/>
      <c r="BP432" s="1696"/>
      <c r="BQ432" s="1169"/>
      <c r="BR432" s="1169"/>
      <c r="BS432" s="1169"/>
      <c r="BT432" s="1169"/>
      <c r="BU432" s="1169"/>
      <c r="BV432" s="1169"/>
      <c r="BW432" s="1169"/>
      <c r="BX432" s="1169"/>
      <c r="BY432" s="1169"/>
      <c r="BZ432" s="1169"/>
      <c r="CA432" s="1169"/>
      <c r="CB432" s="1169"/>
      <c r="CC432" s="1169"/>
      <c r="CD432" s="1169"/>
      <c r="CE432" s="1169"/>
      <c r="CF432" s="1169"/>
      <c r="CG432" s="1169"/>
      <c r="CH432" s="1169"/>
      <c r="CI432" s="1169"/>
      <c r="CJ432" s="1169"/>
      <c r="CK432" s="1169"/>
      <c r="CL432" s="1169"/>
      <c r="CM432" s="1169"/>
      <c r="CN432" s="1169"/>
      <c r="CO432" s="1169"/>
      <c r="CP432" s="1169"/>
      <c r="CQ432" s="1169"/>
      <c r="CR432" s="1169"/>
      <c r="CS432" s="1169"/>
      <c r="CT432" s="1169"/>
      <c r="CU432" s="1169"/>
      <c r="CV432" s="1169"/>
      <c r="CW432" s="1169"/>
      <c r="CX432" s="1169"/>
      <c r="CY432" s="1169"/>
      <c r="CZ432" s="1169"/>
      <c r="DA432" s="1168"/>
      <c r="DB432" s="1168"/>
      <c r="DC432" s="1168"/>
      <c r="DD432" s="1168"/>
      <c r="DE432" s="1168"/>
      <c r="DF432" s="1168"/>
      <c r="DG432" s="1168"/>
      <c r="DH432" s="1168"/>
      <c r="DI432" s="1168"/>
      <c r="DJ432" s="1168"/>
      <c r="DK432" s="1168"/>
      <c r="DL432" s="1168"/>
      <c r="DM432" s="1168"/>
      <c r="DN432" s="1168"/>
      <c r="DO432" s="1168"/>
      <c r="DP432" s="1168"/>
      <c r="DQ432" s="1168"/>
      <c r="DR432" s="1168"/>
      <c r="DS432" s="1168"/>
      <c r="DT432" s="1168"/>
      <c r="DU432" s="1168"/>
      <c r="DV432" s="1168"/>
      <c r="DW432" s="1168"/>
      <c r="DX432" s="1168"/>
      <c r="DY432" s="1168"/>
      <c r="DZ432" s="1168"/>
      <c r="EA432" s="1168"/>
      <c r="EB432" s="1168"/>
      <c r="EC432" s="1168"/>
      <c r="ED432" s="1168"/>
      <c r="EE432" s="1168"/>
      <c r="EF432" s="1168"/>
      <c r="EG432" s="1168"/>
      <c r="EH432" s="1168"/>
      <c r="EI432" s="1170"/>
      <c r="EJ432" s="1170"/>
      <c r="EK432" s="1170"/>
      <c r="EL432" s="1170"/>
      <c r="EM432" s="1170"/>
      <c r="EN432" s="1170"/>
      <c r="EO432" s="1170"/>
      <c r="EP432" s="1170"/>
      <c r="EQ432" s="1170"/>
      <c r="ER432" s="1170"/>
      <c r="ES432" s="1171"/>
      <c r="ET432" s="1171"/>
      <c r="EU432" s="1171"/>
      <c r="EV432" s="1171"/>
      <c r="EW432" s="1171"/>
      <c r="EX432" s="1171"/>
      <c r="EY432" s="1171"/>
      <c r="EZ432" s="1171"/>
      <c r="FA432" s="1171"/>
      <c r="FB432" s="1171"/>
      <c r="FC432" s="1171"/>
      <c r="FD432" s="1171"/>
      <c r="FE432" s="1171"/>
      <c r="FF432" s="1171"/>
      <c r="FG432" s="1171"/>
      <c r="FH432" s="1171"/>
      <c r="FI432" s="1171"/>
      <c r="FJ432" s="1171"/>
      <c r="FK432" s="1171"/>
      <c r="FL432" s="1171"/>
      <c r="FM432" s="1171"/>
      <c r="FN432" s="1171"/>
      <c r="FO432" s="1171"/>
      <c r="FP432" s="1171"/>
    </row>
    <row r="433" spans="1:172" s="607" customFormat="1">
      <c r="A433" s="607">
        <f t="shared" si="12"/>
        <v>2006</v>
      </c>
      <c r="B433" s="607">
        <f t="shared" si="13"/>
        <v>2</v>
      </c>
      <c r="C433" s="666">
        <v>38838</v>
      </c>
      <c r="D433" s="1709">
        <v>0.76332608695652193</v>
      </c>
      <c r="E433" s="1117">
        <v>307.71201217391314</v>
      </c>
      <c r="F433" s="1117">
        <v>403.12</v>
      </c>
      <c r="G433" s="1117"/>
      <c r="H433" s="1117"/>
      <c r="I433" s="959">
        <v>674.88099999999997</v>
      </c>
      <c r="J433" s="959">
        <v>883.54</v>
      </c>
      <c r="K433" s="960"/>
      <c r="L433" s="1121"/>
      <c r="M433" s="916">
        <v>21077.14</v>
      </c>
      <c r="N433" s="916">
        <v>27612.235924016739</v>
      </c>
      <c r="O433" s="1174">
        <v>8045.86</v>
      </c>
      <c r="P433" s="1174">
        <v>10540.528009569103</v>
      </c>
      <c r="Q433" s="1174">
        <v>1166.8599999999999</v>
      </c>
      <c r="R433" s="1174">
        <v>1528.6520661863121</v>
      </c>
      <c r="S433" s="1174">
        <v>3565.69</v>
      </c>
      <c r="T433" s="1174">
        <v>4671.2539515279232</v>
      </c>
      <c r="U433" s="1120">
        <v>800.01917195652186</v>
      </c>
      <c r="V433" s="1120">
        <v>1048.07</v>
      </c>
      <c r="W433" s="1120">
        <v>1868.126098913044</v>
      </c>
      <c r="X433" s="1120">
        <v>2447.35</v>
      </c>
      <c r="Y433" s="1119"/>
      <c r="Z433" s="1119"/>
      <c r="AA433" s="1119"/>
      <c r="AB433" s="1119"/>
      <c r="AC433" s="1178">
        <v>13.428000000000001</v>
      </c>
      <c r="AD433" s="1178">
        <v>17.670000000000002</v>
      </c>
      <c r="AE433" s="1178">
        <v>36651.800000000003</v>
      </c>
      <c r="AF433" s="1178">
        <v>48015.914333722547</v>
      </c>
      <c r="AG433" s="1178">
        <v>1265.4290000000001</v>
      </c>
      <c r="AH433" s="1178">
        <v>1657.7829863583286</v>
      </c>
      <c r="AI433" s="1178">
        <v>369.09500000000003</v>
      </c>
      <c r="AJ433" s="1178">
        <v>483.53515791871945</v>
      </c>
      <c r="AK433" s="919">
        <v>70.19</v>
      </c>
      <c r="AL433" s="919">
        <v>91.952837980235216</v>
      </c>
      <c r="AM433" s="919">
        <v>74.680000000000007</v>
      </c>
      <c r="AN433" s="919">
        <v>97.834989889784396</v>
      </c>
      <c r="AO433" s="919"/>
      <c r="AP433" s="919"/>
      <c r="AS433" s="1167"/>
      <c r="AT433" s="1167"/>
      <c r="AU433" s="1168"/>
      <c r="AV433" s="1168"/>
      <c r="AW433" s="1169"/>
      <c r="AX433" s="1169"/>
      <c r="AY433" s="1169"/>
      <c r="AZ433" s="1169"/>
      <c r="BA433" s="1873" t="s">
        <v>1</v>
      </c>
      <c r="BB433" s="1874">
        <v>2013</v>
      </c>
      <c r="BC433" s="1873" t="s">
        <v>15</v>
      </c>
      <c r="BD433" s="1873">
        <v>1</v>
      </c>
      <c r="BE433" s="1875">
        <v>8075169000</v>
      </c>
      <c r="BF433" s="1801">
        <v>0.60194251543195498</v>
      </c>
      <c r="BG433" s="1799"/>
      <c r="BH433" s="1799" t="s">
        <v>280</v>
      </c>
      <c r="BI433" s="1799" t="s">
        <v>289</v>
      </c>
      <c r="BJ433" s="1799" t="s">
        <v>23</v>
      </c>
      <c r="BK433" s="1799">
        <v>10</v>
      </c>
      <c r="BL433" s="1800">
        <v>19528242.920000002</v>
      </c>
      <c r="BM433" s="1801">
        <v>9.8099831311380722E-3</v>
      </c>
      <c r="BN433" s="1799">
        <v>2004</v>
      </c>
      <c r="BO433" s="1684"/>
      <c r="BP433" s="1696"/>
      <c r="BQ433" s="1169"/>
      <c r="BR433" s="1169"/>
      <c r="BS433" s="1169"/>
      <c r="BT433" s="1169"/>
      <c r="BU433" s="1169"/>
      <c r="BV433" s="1169"/>
      <c r="BW433" s="1169"/>
      <c r="BX433" s="1169"/>
      <c r="BY433" s="1169"/>
      <c r="BZ433" s="1169"/>
      <c r="CA433" s="1169"/>
      <c r="CB433" s="1169"/>
      <c r="CC433" s="1169"/>
      <c r="CD433" s="1169"/>
      <c r="CE433" s="1169"/>
      <c r="CF433" s="1169"/>
      <c r="CG433" s="1169"/>
      <c r="CH433" s="1169"/>
      <c r="CI433" s="1169"/>
      <c r="CJ433" s="1169"/>
      <c r="CK433" s="1169"/>
      <c r="CL433" s="1169"/>
      <c r="CM433" s="1169"/>
      <c r="CN433" s="1169"/>
      <c r="CO433" s="1169"/>
      <c r="CP433" s="1169"/>
      <c r="CQ433" s="1169"/>
      <c r="CR433" s="1169"/>
      <c r="CS433" s="1169"/>
      <c r="CT433" s="1169"/>
      <c r="CU433" s="1169"/>
      <c r="CV433" s="1169"/>
      <c r="CW433" s="1169"/>
      <c r="CX433" s="1169"/>
      <c r="CY433" s="1169"/>
      <c r="CZ433" s="1169"/>
      <c r="DA433" s="1168"/>
      <c r="DB433" s="1168"/>
      <c r="DC433" s="1168"/>
      <c r="DD433" s="1168"/>
      <c r="DE433" s="1168"/>
      <c r="DF433" s="1168"/>
      <c r="DG433" s="1168"/>
      <c r="DH433" s="1168"/>
      <c r="DI433" s="1168"/>
      <c r="DJ433" s="1168"/>
      <c r="DK433" s="1168"/>
      <c r="DL433" s="1168"/>
      <c r="DM433" s="1168"/>
      <c r="DN433" s="1168"/>
      <c r="DO433" s="1168"/>
      <c r="DP433" s="1168"/>
      <c r="DQ433" s="1168"/>
      <c r="DR433" s="1168"/>
      <c r="DS433" s="1168"/>
      <c r="DT433" s="1168"/>
      <c r="DU433" s="1168"/>
      <c r="DV433" s="1168"/>
      <c r="DW433" s="1168"/>
      <c r="DX433" s="1168"/>
      <c r="DY433" s="1168"/>
      <c r="DZ433" s="1168"/>
      <c r="EA433" s="1168"/>
      <c r="EB433" s="1168"/>
      <c r="EC433" s="1168"/>
      <c r="ED433" s="1168"/>
      <c r="EE433" s="1168"/>
      <c r="EF433" s="1168"/>
      <c r="EG433" s="1168"/>
      <c r="EH433" s="1168"/>
      <c r="EI433" s="1170"/>
      <c r="EJ433" s="1170"/>
      <c r="EK433" s="1170"/>
      <c r="EL433" s="1170"/>
      <c r="EM433" s="1170"/>
      <c r="EN433" s="1170"/>
      <c r="EO433" s="1170"/>
      <c r="EP433" s="1170"/>
      <c r="EQ433" s="1170"/>
      <c r="ER433" s="1170"/>
      <c r="ES433" s="1171"/>
      <c r="ET433" s="1171"/>
      <c r="EU433" s="1171"/>
      <c r="EV433" s="1171"/>
      <c r="EW433" s="1171"/>
      <c r="EX433" s="1171"/>
      <c r="EY433" s="1171"/>
      <c r="EZ433" s="1171"/>
      <c r="FA433" s="1171"/>
      <c r="FB433" s="1171"/>
      <c r="FC433" s="1171"/>
      <c r="FD433" s="1171"/>
      <c r="FE433" s="1171"/>
      <c r="FF433" s="1171"/>
      <c r="FG433" s="1171"/>
      <c r="FH433" s="1171"/>
      <c r="FI433" s="1171"/>
      <c r="FJ433" s="1171"/>
      <c r="FK433" s="1171"/>
      <c r="FL433" s="1171"/>
      <c r="FM433" s="1171"/>
      <c r="FN433" s="1171"/>
      <c r="FO433" s="1171"/>
      <c r="FP433" s="1171"/>
    </row>
    <row r="434" spans="1:172" s="607" customFormat="1">
      <c r="A434" s="607">
        <f t="shared" si="12"/>
        <v>2006</v>
      </c>
      <c r="B434" s="607">
        <f t="shared" si="13"/>
        <v>2</v>
      </c>
      <c r="C434" s="666">
        <v>38869</v>
      </c>
      <c r="D434" s="957">
        <v>0.74024761904761893</v>
      </c>
      <c r="E434" s="920">
        <v>319.39464019047614</v>
      </c>
      <c r="F434" s="920">
        <v>431.47</v>
      </c>
      <c r="G434" s="920"/>
      <c r="H434" s="920"/>
      <c r="I434" s="954">
        <v>596.14499999999998</v>
      </c>
      <c r="J434" s="954">
        <v>808.66</v>
      </c>
      <c r="K434" s="954"/>
      <c r="L434" s="920"/>
      <c r="M434" s="917">
        <v>20754.55</v>
      </c>
      <c r="N434" s="917">
        <v>28037.307336026559</v>
      </c>
      <c r="O434" s="1175">
        <v>7197.61</v>
      </c>
      <c r="P434" s="1175">
        <v>9723.2464040346877</v>
      </c>
      <c r="Q434" s="1175">
        <v>963.86</v>
      </c>
      <c r="R434" s="1175">
        <v>1302.0778118004273</v>
      </c>
      <c r="S434" s="1175">
        <v>3225.68</v>
      </c>
      <c r="T434" s="1175">
        <v>4357.5688958649616</v>
      </c>
      <c r="U434" s="920">
        <v>838.92262666666647</v>
      </c>
      <c r="V434" s="920">
        <v>1133.3</v>
      </c>
      <c r="W434" s="920">
        <v>1831.8167580952377</v>
      </c>
      <c r="X434" s="920">
        <v>2474.6</v>
      </c>
      <c r="Y434" s="920"/>
      <c r="Z434" s="920"/>
      <c r="AA434" s="920"/>
      <c r="AB434" s="920"/>
      <c r="AC434" s="920">
        <v>10.795999999999999</v>
      </c>
      <c r="AD434" s="920">
        <v>14.84</v>
      </c>
      <c r="AE434" s="920">
        <v>34722.800000000003</v>
      </c>
      <c r="AF434" s="920">
        <v>46907.006664436623</v>
      </c>
      <c r="AG434" s="920">
        <v>1189.864</v>
      </c>
      <c r="AH434" s="920">
        <v>1607.3864601291721</v>
      </c>
      <c r="AI434" s="920">
        <v>317.25</v>
      </c>
      <c r="AJ434" s="920">
        <v>428.57280704011532</v>
      </c>
      <c r="AK434" s="920">
        <v>68.86</v>
      </c>
      <c r="AL434" s="920">
        <v>93.022926691197299</v>
      </c>
      <c r="AM434" s="920">
        <v>71.55</v>
      </c>
      <c r="AN434" s="920">
        <v>96.65684584308984</v>
      </c>
      <c r="AO434" s="920"/>
      <c r="AP434" s="920"/>
      <c r="AS434" s="1167"/>
      <c r="AT434" s="1167"/>
      <c r="AU434" s="1168"/>
      <c r="AV434" s="1168"/>
      <c r="AW434" s="1169"/>
      <c r="AX434" s="1169"/>
      <c r="AY434" s="1169"/>
      <c r="AZ434" s="1169"/>
      <c r="BA434" s="1873" t="s">
        <v>1</v>
      </c>
      <c r="BB434" s="1874">
        <v>2013</v>
      </c>
      <c r="BC434" s="1873" t="s">
        <v>18</v>
      </c>
      <c r="BD434" s="1873">
        <v>2</v>
      </c>
      <c r="BE434" s="1875">
        <v>1371273000</v>
      </c>
      <c r="BF434" s="1801">
        <v>0.10221798688843828</v>
      </c>
      <c r="BG434" s="1799"/>
      <c r="BH434" s="1799" t="s">
        <v>280</v>
      </c>
      <c r="BI434" s="1799" t="s">
        <v>289</v>
      </c>
      <c r="BJ434" s="1799" t="s">
        <v>581</v>
      </c>
      <c r="BK434" s="1799">
        <v>11</v>
      </c>
      <c r="BL434" s="1800">
        <v>15884585.199999999</v>
      </c>
      <c r="BM434" s="1801">
        <v>7.9795972169894244E-3</v>
      </c>
      <c r="BN434" s="1799">
        <v>2004</v>
      </c>
      <c r="BO434" s="1684"/>
      <c r="BP434" s="1696"/>
      <c r="BQ434" s="1169"/>
      <c r="BR434" s="1169"/>
      <c r="BS434" s="1169"/>
      <c r="BT434" s="1169"/>
      <c r="BU434" s="1169"/>
      <c r="BV434" s="1169"/>
      <c r="BW434" s="1169"/>
      <c r="BX434" s="1169"/>
      <c r="BY434" s="1169"/>
      <c r="BZ434" s="1169"/>
      <c r="CA434" s="1169"/>
      <c r="CB434" s="1169"/>
      <c r="CC434" s="1169"/>
      <c r="CD434" s="1169"/>
      <c r="CE434" s="1169"/>
      <c r="CF434" s="1169"/>
      <c r="CG434" s="1169"/>
      <c r="CH434" s="1169"/>
      <c r="CI434" s="1169"/>
      <c r="CJ434" s="1169"/>
      <c r="CK434" s="1169"/>
      <c r="CL434" s="1169"/>
      <c r="CM434" s="1169"/>
      <c r="CN434" s="1169"/>
      <c r="CO434" s="1169"/>
      <c r="CP434" s="1169"/>
      <c r="CQ434" s="1169"/>
      <c r="CR434" s="1169"/>
      <c r="CS434" s="1169"/>
      <c r="CT434" s="1169"/>
      <c r="CU434" s="1169"/>
      <c r="CV434" s="1169"/>
      <c r="CW434" s="1169"/>
      <c r="CX434" s="1169"/>
      <c r="CY434" s="1169"/>
      <c r="CZ434" s="1169"/>
      <c r="DA434" s="1168"/>
      <c r="DB434" s="1168"/>
      <c r="DC434" s="1168"/>
      <c r="DD434" s="1168"/>
      <c r="DE434" s="1168"/>
      <c r="DF434" s="1168"/>
      <c r="DG434" s="1168"/>
      <c r="DH434" s="1168"/>
      <c r="DI434" s="1168"/>
      <c r="DJ434" s="1168"/>
      <c r="DK434" s="1168"/>
      <c r="DL434" s="1168"/>
      <c r="DM434" s="1168"/>
      <c r="DN434" s="1168"/>
      <c r="DO434" s="1168"/>
      <c r="DP434" s="1168"/>
      <c r="DQ434" s="1168"/>
      <c r="DR434" s="1168"/>
      <c r="DS434" s="1168"/>
      <c r="DT434" s="1168"/>
      <c r="DU434" s="1168"/>
      <c r="DV434" s="1168"/>
      <c r="DW434" s="1168"/>
      <c r="DX434" s="1168"/>
      <c r="DY434" s="1168"/>
      <c r="DZ434" s="1168"/>
      <c r="EA434" s="1168"/>
      <c r="EB434" s="1168"/>
      <c r="EC434" s="1168"/>
      <c r="ED434" s="1168"/>
      <c r="EE434" s="1168"/>
      <c r="EF434" s="1168"/>
      <c r="EG434" s="1168"/>
      <c r="EH434" s="1168"/>
      <c r="EI434" s="1170"/>
      <c r="EJ434" s="1170"/>
      <c r="EK434" s="1170"/>
      <c r="EL434" s="1170"/>
      <c r="EM434" s="1170"/>
      <c r="EN434" s="1170"/>
      <c r="EO434" s="1170"/>
      <c r="EP434" s="1170"/>
      <c r="EQ434" s="1170"/>
      <c r="ER434" s="1170"/>
      <c r="ES434" s="1171"/>
      <c r="ET434" s="1171"/>
      <c r="EU434" s="1171"/>
      <c r="EV434" s="1171"/>
      <c r="EW434" s="1171"/>
      <c r="EX434" s="1171"/>
      <c r="EY434" s="1171"/>
      <c r="EZ434" s="1171"/>
      <c r="FA434" s="1171"/>
      <c r="FB434" s="1171"/>
      <c r="FC434" s="1171"/>
      <c r="FD434" s="1171"/>
      <c r="FE434" s="1171"/>
      <c r="FF434" s="1171"/>
      <c r="FG434" s="1171"/>
      <c r="FH434" s="1171"/>
      <c r="FI434" s="1171"/>
      <c r="FJ434" s="1171"/>
      <c r="FK434" s="1171"/>
      <c r="FL434" s="1171"/>
      <c r="FM434" s="1171"/>
      <c r="FN434" s="1171"/>
      <c r="FO434" s="1171"/>
      <c r="FP434" s="1171"/>
    </row>
    <row r="435" spans="1:172" s="607" customFormat="1">
      <c r="A435" s="607">
        <f t="shared" si="12"/>
        <v>2006</v>
      </c>
      <c r="B435" s="607">
        <f t="shared" si="13"/>
        <v>3</v>
      </c>
      <c r="C435" s="666">
        <v>38899</v>
      </c>
      <c r="D435" s="1709">
        <v>0.75143333333333351</v>
      </c>
      <c r="E435" s="1117">
        <v>299.80687133333339</v>
      </c>
      <c r="F435" s="1117">
        <v>398.98</v>
      </c>
      <c r="G435" s="1117"/>
      <c r="H435" s="1117"/>
      <c r="I435" s="959">
        <v>633.71400000000006</v>
      </c>
      <c r="J435" s="959">
        <v>845.83</v>
      </c>
      <c r="K435" s="960"/>
      <c r="L435" s="1121"/>
      <c r="M435" s="916">
        <v>26586.19</v>
      </c>
      <c r="N435" s="916">
        <v>35380.637004835196</v>
      </c>
      <c r="O435" s="1174">
        <v>7712.1</v>
      </c>
      <c r="P435" s="1174">
        <v>10263.185911369381</v>
      </c>
      <c r="Q435" s="1174">
        <v>1052.3800000000001</v>
      </c>
      <c r="R435" s="1174">
        <v>1400.4968282837242</v>
      </c>
      <c r="S435" s="1174">
        <v>3339.86</v>
      </c>
      <c r="T435" s="1174">
        <v>4444.6524419997331</v>
      </c>
      <c r="U435" s="1120">
        <v>856.80682966666689</v>
      </c>
      <c r="V435" s="1120">
        <v>1140.23</v>
      </c>
      <c r="W435" s="1120">
        <v>1868.1834960000003</v>
      </c>
      <c r="X435" s="1120">
        <v>2486.16</v>
      </c>
      <c r="Y435" s="1119"/>
      <c r="Z435" s="1119"/>
      <c r="AA435" s="1119"/>
      <c r="AB435" s="1119"/>
      <c r="AC435" s="1178">
        <v>11.231999999999999</v>
      </c>
      <c r="AD435" s="1178">
        <v>15.12</v>
      </c>
      <c r="AE435" s="1178">
        <v>33827.199999999997</v>
      </c>
      <c r="AF435" s="1178">
        <v>45016.901033580252</v>
      </c>
      <c r="AG435" s="1178">
        <v>1228.8330000000001</v>
      </c>
      <c r="AH435" s="1178">
        <v>1635.3187242159427</v>
      </c>
      <c r="AI435" s="1178">
        <v>317.82100000000003</v>
      </c>
      <c r="AJ435" s="1178">
        <v>422.95302311138704</v>
      </c>
      <c r="AK435" s="919">
        <v>73.900000000000006</v>
      </c>
      <c r="AL435" s="919">
        <v>98.345384376524848</v>
      </c>
      <c r="AM435" s="919">
        <v>76.739999999999995</v>
      </c>
      <c r="AN435" s="919">
        <v>102.12482810628573</v>
      </c>
      <c r="AO435" s="919"/>
      <c r="AP435" s="919"/>
      <c r="AS435" s="1167"/>
      <c r="AT435" s="1167"/>
      <c r="AU435" s="1168"/>
      <c r="AV435" s="1168"/>
      <c r="AW435" s="1169"/>
      <c r="AX435" s="1169"/>
      <c r="AY435" s="1169"/>
      <c r="AZ435" s="1169"/>
      <c r="BA435" s="1873" t="s">
        <v>1</v>
      </c>
      <c r="BB435" s="1874">
        <v>2013</v>
      </c>
      <c r="BC435" s="1873" t="s">
        <v>28</v>
      </c>
      <c r="BD435" s="1873">
        <v>3</v>
      </c>
      <c r="BE435" s="1875">
        <v>1131055000</v>
      </c>
      <c r="BF435" s="1801">
        <v>8.4311559521774687E-2</v>
      </c>
      <c r="BG435" s="1799"/>
      <c r="BH435" s="1799" t="s">
        <v>280</v>
      </c>
      <c r="BI435" s="1799" t="s">
        <v>289</v>
      </c>
      <c r="BJ435" s="1799" t="s">
        <v>52</v>
      </c>
      <c r="BK435" s="1799">
        <v>12</v>
      </c>
      <c r="BL435" s="1800">
        <v>13094795.16</v>
      </c>
      <c r="BM435" s="1801">
        <v>6.5781504332755635E-3</v>
      </c>
      <c r="BN435" s="1799">
        <v>2004</v>
      </c>
      <c r="BO435" s="1684"/>
      <c r="BP435" s="1696"/>
      <c r="BQ435" s="1169"/>
      <c r="BR435" s="1169"/>
      <c r="BS435" s="1169"/>
      <c r="BT435" s="1169"/>
      <c r="BU435" s="1169"/>
      <c r="BV435" s="1169"/>
      <c r="BW435" s="1169"/>
      <c r="BX435" s="1169"/>
      <c r="BY435" s="1169"/>
      <c r="BZ435" s="1169"/>
      <c r="CA435" s="1169"/>
      <c r="CB435" s="1169"/>
      <c r="CC435" s="1169"/>
      <c r="CD435" s="1169"/>
      <c r="CE435" s="1169"/>
      <c r="CF435" s="1169"/>
      <c r="CG435" s="1169"/>
      <c r="CH435" s="1169"/>
      <c r="CI435" s="1169"/>
      <c r="CJ435" s="1169"/>
      <c r="CK435" s="1169"/>
      <c r="CL435" s="1169"/>
      <c r="CM435" s="1169"/>
      <c r="CN435" s="1169"/>
      <c r="CO435" s="1169"/>
      <c r="CP435" s="1169"/>
      <c r="CQ435" s="1169"/>
      <c r="CR435" s="1169"/>
      <c r="CS435" s="1169"/>
      <c r="CT435" s="1169"/>
      <c r="CU435" s="1169"/>
      <c r="CV435" s="1169"/>
      <c r="CW435" s="1169"/>
      <c r="CX435" s="1169"/>
      <c r="CY435" s="1169"/>
      <c r="CZ435" s="1169"/>
      <c r="DA435" s="1168"/>
      <c r="DB435" s="1168"/>
      <c r="DC435" s="1168"/>
      <c r="DD435" s="1168"/>
      <c r="DE435" s="1168"/>
      <c r="DF435" s="1168"/>
      <c r="DG435" s="1168"/>
      <c r="DH435" s="1168"/>
      <c r="DI435" s="1168"/>
      <c r="DJ435" s="1168"/>
      <c r="DK435" s="1168"/>
      <c r="DL435" s="1168"/>
      <c r="DM435" s="1168"/>
      <c r="DN435" s="1168"/>
      <c r="DO435" s="1168"/>
      <c r="DP435" s="1168"/>
      <c r="DQ435" s="1168"/>
      <c r="DR435" s="1168"/>
      <c r="DS435" s="1168"/>
      <c r="DT435" s="1168"/>
      <c r="DU435" s="1168"/>
      <c r="DV435" s="1168"/>
      <c r="DW435" s="1168"/>
      <c r="DX435" s="1168"/>
      <c r="DY435" s="1168"/>
      <c r="DZ435" s="1168"/>
      <c r="EA435" s="1168"/>
      <c r="EB435" s="1168"/>
      <c r="EC435" s="1168"/>
      <c r="ED435" s="1168"/>
      <c r="EE435" s="1168"/>
      <c r="EF435" s="1168"/>
      <c r="EG435" s="1168"/>
      <c r="EH435" s="1168"/>
      <c r="EI435" s="1170"/>
      <c r="EJ435" s="1170"/>
      <c r="EK435" s="1170"/>
      <c r="EL435" s="1170"/>
      <c r="EM435" s="1170"/>
      <c r="EN435" s="1170"/>
      <c r="EO435" s="1170"/>
      <c r="EP435" s="1170"/>
      <c r="EQ435" s="1170"/>
      <c r="ER435" s="1170"/>
      <c r="ES435" s="1171"/>
      <c r="ET435" s="1171"/>
      <c r="EU435" s="1171"/>
      <c r="EV435" s="1171"/>
      <c r="EW435" s="1171"/>
      <c r="EX435" s="1171"/>
      <c r="EY435" s="1171"/>
      <c r="EZ435" s="1171"/>
      <c r="FA435" s="1171"/>
      <c r="FB435" s="1171"/>
      <c r="FC435" s="1171"/>
      <c r="FD435" s="1171"/>
      <c r="FE435" s="1171"/>
      <c r="FF435" s="1171"/>
      <c r="FG435" s="1171"/>
      <c r="FH435" s="1171"/>
      <c r="FI435" s="1171"/>
      <c r="FJ435" s="1171"/>
      <c r="FK435" s="1171"/>
      <c r="FL435" s="1171"/>
      <c r="FM435" s="1171"/>
      <c r="FN435" s="1171"/>
      <c r="FO435" s="1171"/>
      <c r="FP435" s="1171"/>
    </row>
    <row r="436" spans="1:172" s="607" customFormat="1">
      <c r="A436" s="607">
        <f t="shared" si="12"/>
        <v>2006</v>
      </c>
      <c r="B436" s="607">
        <f t="shared" si="13"/>
        <v>3</v>
      </c>
      <c r="C436" s="666">
        <v>38930</v>
      </c>
      <c r="D436" s="957">
        <v>0.76300909090909097</v>
      </c>
      <c r="E436" s="920">
        <v>299.29603212736419</v>
      </c>
      <c r="F436" s="920">
        <v>392.25749167780748</v>
      </c>
      <c r="G436" s="920"/>
      <c r="H436" s="920"/>
      <c r="I436" s="954">
        <v>632.59299999999996</v>
      </c>
      <c r="J436" s="954">
        <v>826.69</v>
      </c>
      <c r="K436" s="954"/>
      <c r="L436" s="920"/>
      <c r="M436" s="917">
        <v>30743.64</v>
      </c>
      <c r="N436" s="917">
        <v>40292.626085713258</v>
      </c>
      <c r="O436" s="1175">
        <v>7695.66</v>
      </c>
      <c r="P436" s="1175">
        <v>10085.934875075955</v>
      </c>
      <c r="Q436" s="1175">
        <v>1174.1400000000001</v>
      </c>
      <c r="R436" s="1175">
        <v>1538.8283232655397</v>
      </c>
      <c r="S436" s="1175">
        <v>3347.3</v>
      </c>
      <c r="T436" s="1175">
        <v>4386.9726322812785</v>
      </c>
      <c r="U436" s="920">
        <v>872.78150243986988</v>
      </c>
      <c r="V436" s="920">
        <v>1143.8677636199459</v>
      </c>
      <c r="W436" s="920">
        <v>1869.0357516415897</v>
      </c>
      <c r="X436" s="920">
        <v>2449.5589553392056</v>
      </c>
      <c r="Y436" s="920"/>
      <c r="Z436" s="920"/>
      <c r="AA436" s="920"/>
      <c r="AB436" s="920"/>
      <c r="AC436" s="920">
        <v>12.178000000000001</v>
      </c>
      <c r="AD436" s="920">
        <v>16</v>
      </c>
      <c r="AE436" s="920">
        <v>40551.25</v>
      </c>
      <c r="AF436" s="920">
        <v>53146.483420905264</v>
      </c>
      <c r="AG436" s="920">
        <v>1234</v>
      </c>
      <c r="AH436" s="920">
        <v>1617.2808616601731</v>
      </c>
      <c r="AI436" s="920">
        <v>329.40899999999999</v>
      </c>
      <c r="AJ436" s="920">
        <v>431.72355863745213</v>
      </c>
      <c r="AK436" s="920">
        <v>73.45</v>
      </c>
      <c r="AL436" s="920">
        <v>96.263597478881465</v>
      </c>
      <c r="AM436" s="920">
        <v>78.77</v>
      </c>
      <c r="AN436" s="920">
        <v>103.23599146918301</v>
      </c>
      <c r="AO436" s="920"/>
      <c r="AP436" s="920"/>
      <c r="AS436" s="1167"/>
      <c r="AT436" s="1167"/>
      <c r="AU436" s="1168"/>
      <c r="AV436" s="1168"/>
      <c r="AW436" s="1169"/>
      <c r="AX436" s="1169"/>
      <c r="AY436" s="1169"/>
      <c r="AZ436" s="1169"/>
      <c r="BA436" s="1873" t="s">
        <v>1</v>
      </c>
      <c r="BB436" s="1874">
        <v>2013</v>
      </c>
      <c r="BC436" s="1873" t="s">
        <v>49</v>
      </c>
      <c r="BD436" s="1873">
        <v>4</v>
      </c>
      <c r="BE436" s="1875">
        <v>897737000</v>
      </c>
      <c r="BF436" s="1801">
        <v>6.6919474747381386E-2</v>
      </c>
      <c r="BG436" s="1799"/>
      <c r="BH436" s="1799" t="s">
        <v>280</v>
      </c>
      <c r="BI436" s="1799" t="s">
        <v>289</v>
      </c>
      <c r="BJ436" s="1799" t="s">
        <v>32</v>
      </c>
      <c r="BK436" s="1799"/>
      <c r="BL436" s="1800">
        <v>22575218.998999998</v>
      </c>
      <c r="BM436" s="1801">
        <v>1.1340626930399618E-2</v>
      </c>
      <c r="BN436" s="1799">
        <v>2004</v>
      </c>
      <c r="BO436" s="1684"/>
      <c r="BP436" s="1696"/>
      <c r="BQ436" s="1169"/>
      <c r="BR436" s="1169"/>
      <c r="BS436" s="1169"/>
      <c r="BT436" s="1169"/>
      <c r="BU436" s="1169"/>
      <c r="BV436" s="1169"/>
      <c r="BW436" s="1169"/>
      <c r="BX436" s="1169"/>
      <c r="BY436" s="1169"/>
      <c r="BZ436" s="1169"/>
      <c r="CA436" s="1169"/>
      <c r="CB436" s="1169"/>
      <c r="CC436" s="1169"/>
      <c r="CD436" s="1169"/>
      <c r="CE436" s="1169"/>
      <c r="CF436" s="1169"/>
      <c r="CG436" s="1169"/>
      <c r="CH436" s="1169"/>
      <c r="CI436" s="1169"/>
      <c r="CJ436" s="1169"/>
      <c r="CK436" s="1169"/>
      <c r="CL436" s="1169"/>
      <c r="CM436" s="1169"/>
      <c r="CN436" s="1169"/>
      <c r="CO436" s="1169"/>
      <c r="CP436" s="1169"/>
      <c r="CQ436" s="1169"/>
      <c r="CR436" s="1169"/>
      <c r="CS436" s="1169"/>
      <c r="CT436" s="1169"/>
      <c r="CU436" s="1169"/>
      <c r="CV436" s="1169"/>
      <c r="CW436" s="1169"/>
      <c r="CX436" s="1169"/>
      <c r="CY436" s="1169"/>
      <c r="CZ436" s="1169"/>
      <c r="DA436" s="1168"/>
      <c r="DB436" s="1168"/>
      <c r="DC436" s="1168"/>
      <c r="DD436" s="1168"/>
      <c r="DE436" s="1168"/>
      <c r="DF436" s="1168"/>
      <c r="DG436" s="1168"/>
      <c r="DH436" s="1168"/>
      <c r="DI436" s="1168"/>
      <c r="DJ436" s="1168"/>
      <c r="DK436" s="1168"/>
      <c r="DL436" s="1168"/>
      <c r="DM436" s="1168"/>
      <c r="DN436" s="1168"/>
      <c r="DO436" s="1168"/>
      <c r="DP436" s="1168"/>
      <c r="DQ436" s="1168"/>
      <c r="DR436" s="1168"/>
      <c r="DS436" s="1168"/>
      <c r="DT436" s="1168"/>
      <c r="DU436" s="1168"/>
      <c r="DV436" s="1168"/>
      <c r="DW436" s="1168"/>
      <c r="DX436" s="1168"/>
      <c r="DY436" s="1168"/>
      <c r="DZ436" s="1168"/>
      <c r="EA436" s="1168"/>
      <c r="EB436" s="1168"/>
      <c r="EC436" s="1168"/>
      <c r="ED436" s="1168"/>
      <c r="EE436" s="1168"/>
      <c r="EF436" s="1168"/>
      <c r="EG436" s="1168"/>
      <c r="EH436" s="1168"/>
      <c r="EI436" s="1170"/>
      <c r="EJ436" s="1170"/>
      <c r="EK436" s="1170"/>
      <c r="EL436" s="1170"/>
      <c r="EM436" s="1170"/>
      <c r="EN436" s="1170"/>
      <c r="EO436" s="1170"/>
      <c r="EP436" s="1170"/>
      <c r="EQ436" s="1170"/>
      <c r="ER436" s="1170"/>
      <c r="ES436" s="1171"/>
      <c r="ET436" s="1171"/>
      <c r="EU436" s="1171"/>
      <c r="EV436" s="1171"/>
      <c r="EW436" s="1171"/>
      <c r="EX436" s="1171"/>
      <c r="EY436" s="1171"/>
      <c r="EZ436" s="1171"/>
      <c r="FA436" s="1171"/>
      <c r="FB436" s="1171"/>
      <c r="FC436" s="1171"/>
      <c r="FD436" s="1171"/>
      <c r="FE436" s="1171"/>
      <c r="FF436" s="1171"/>
      <c r="FG436" s="1171"/>
      <c r="FH436" s="1171"/>
      <c r="FI436" s="1171"/>
      <c r="FJ436" s="1171"/>
      <c r="FK436" s="1171"/>
      <c r="FL436" s="1171"/>
      <c r="FM436" s="1171"/>
      <c r="FN436" s="1171"/>
      <c r="FO436" s="1171"/>
      <c r="FP436" s="1171"/>
    </row>
    <row r="437" spans="1:172" s="607" customFormat="1">
      <c r="A437" s="607">
        <f t="shared" si="12"/>
        <v>2006</v>
      </c>
      <c r="B437" s="607">
        <f t="shared" si="13"/>
        <v>3</v>
      </c>
      <c r="C437" s="666">
        <v>38961</v>
      </c>
      <c r="D437" s="1709">
        <v>0.75662380952380948</v>
      </c>
      <c r="E437" s="1117">
        <v>302.37034732389628</v>
      </c>
      <c r="F437" s="1117">
        <v>399.63102339351019</v>
      </c>
      <c r="G437" s="1117"/>
      <c r="H437" s="1117"/>
      <c r="I437" s="959">
        <v>598.18600000000004</v>
      </c>
      <c r="J437" s="959">
        <v>795.58</v>
      </c>
      <c r="K437" s="960"/>
      <c r="L437" s="1121"/>
      <c r="M437" s="916">
        <v>31400</v>
      </c>
      <c r="N437" s="916">
        <v>41500.147900132797</v>
      </c>
      <c r="O437" s="1174">
        <v>7605.5</v>
      </c>
      <c r="P437" s="1174">
        <v>10051.890918931847</v>
      </c>
      <c r="Q437" s="1174">
        <v>1411</v>
      </c>
      <c r="R437" s="1174">
        <v>1864.8633339836745</v>
      </c>
      <c r="S437" s="1174">
        <v>3401</v>
      </c>
      <c r="T437" s="1174">
        <v>4494.9682486736192</v>
      </c>
      <c r="U437" s="1120">
        <v>839.88385043401354</v>
      </c>
      <c r="V437" s="1120">
        <v>1110.0415290428209</v>
      </c>
      <c r="W437" s="1120">
        <v>1876.1622292857141</v>
      </c>
      <c r="X437" s="1120">
        <v>2479.65</v>
      </c>
      <c r="Y437" s="1119"/>
      <c r="Z437" s="1119"/>
      <c r="AA437" s="1119"/>
      <c r="AB437" s="1119"/>
      <c r="AC437" s="1178">
        <v>11.677</v>
      </c>
      <c r="AD437" s="1178">
        <v>15.68</v>
      </c>
      <c r="AE437" s="1178">
        <v>44699</v>
      </c>
      <c r="AF437" s="1178">
        <v>59076.914362676303</v>
      </c>
      <c r="AG437" s="1178">
        <v>1183.595</v>
      </c>
      <c r="AH437" s="1178">
        <v>1564.3110685941936</v>
      </c>
      <c r="AI437" s="1178">
        <v>322.976</v>
      </c>
      <c r="AJ437" s="1178">
        <v>426.86470599341692</v>
      </c>
      <c r="AK437" s="919">
        <v>62.77</v>
      </c>
      <c r="AL437" s="919">
        <v>82.960645977431085</v>
      </c>
      <c r="AM437" s="919">
        <v>69.73</v>
      </c>
      <c r="AN437" s="919">
        <v>92.159404875040138</v>
      </c>
      <c r="AO437" s="919"/>
      <c r="AP437" s="919"/>
      <c r="AS437" s="1167"/>
      <c r="AT437" s="1167"/>
      <c r="AU437" s="1168"/>
      <c r="AV437" s="1168"/>
      <c r="AW437" s="1169"/>
      <c r="AX437" s="1169"/>
      <c r="AY437" s="1169"/>
      <c r="AZ437" s="1169"/>
      <c r="BA437" s="1873" t="s">
        <v>1</v>
      </c>
      <c r="BB437" s="1874">
        <v>2013</v>
      </c>
      <c r="BC437" s="1873" t="s">
        <v>55</v>
      </c>
      <c r="BD437" s="1873">
        <v>5</v>
      </c>
      <c r="BE437" s="1875">
        <v>681104000</v>
      </c>
      <c r="BF437" s="1801">
        <v>5.0771129995021314E-2</v>
      </c>
      <c r="BG437" s="1799"/>
      <c r="BH437" s="1799" t="s">
        <v>280</v>
      </c>
      <c r="BI437" s="1799" t="s">
        <v>289</v>
      </c>
      <c r="BJ437" s="1799" t="s">
        <v>249</v>
      </c>
      <c r="BK437" s="1799"/>
      <c r="BL437" s="1800">
        <v>554259801.17511058</v>
      </c>
      <c r="BM437" s="1801"/>
      <c r="BN437" s="1799">
        <v>2004</v>
      </c>
      <c r="BO437" s="1684"/>
      <c r="BP437" s="1696"/>
      <c r="BQ437" s="1169"/>
      <c r="BR437" s="1169"/>
      <c r="BS437" s="1169"/>
      <c r="BT437" s="1169"/>
      <c r="BU437" s="1169"/>
      <c r="BV437" s="1169"/>
      <c r="BW437" s="1169"/>
      <c r="BX437" s="1169"/>
      <c r="BY437" s="1169"/>
      <c r="BZ437" s="1169"/>
      <c r="CA437" s="1169"/>
      <c r="CB437" s="1169"/>
      <c r="CC437" s="1169"/>
      <c r="CD437" s="1169"/>
      <c r="CE437" s="1169"/>
      <c r="CF437" s="1169"/>
      <c r="CG437" s="1169"/>
      <c r="CH437" s="1169"/>
      <c r="CI437" s="1169"/>
      <c r="CJ437" s="1169"/>
      <c r="CK437" s="1169"/>
      <c r="CL437" s="1169"/>
      <c r="CM437" s="1169"/>
      <c r="CN437" s="1169"/>
      <c r="CO437" s="1169"/>
      <c r="CP437" s="1169"/>
      <c r="CQ437" s="1169"/>
      <c r="CR437" s="1169"/>
      <c r="CS437" s="1169"/>
      <c r="CT437" s="1169"/>
      <c r="CU437" s="1169"/>
      <c r="CV437" s="1169"/>
      <c r="CW437" s="1169"/>
      <c r="CX437" s="1169"/>
      <c r="CY437" s="1169"/>
      <c r="CZ437" s="1169"/>
      <c r="DA437" s="1168"/>
      <c r="DB437" s="1168"/>
      <c r="DC437" s="1168"/>
      <c r="DD437" s="1168"/>
      <c r="DE437" s="1168"/>
      <c r="DF437" s="1168"/>
      <c r="DG437" s="1168"/>
      <c r="DH437" s="1168"/>
      <c r="DI437" s="1168"/>
      <c r="DJ437" s="1168"/>
      <c r="DK437" s="1168"/>
      <c r="DL437" s="1168"/>
      <c r="DM437" s="1168"/>
      <c r="DN437" s="1168"/>
      <c r="DO437" s="1168"/>
      <c r="DP437" s="1168"/>
      <c r="DQ437" s="1168"/>
      <c r="DR437" s="1168"/>
      <c r="DS437" s="1168"/>
      <c r="DT437" s="1168"/>
      <c r="DU437" s="1168"/>
      <c r="DV437" s="1168"/>
      <c r="DW437" s="1168"/>
      <c r="DX437" s="1168"/>
      <c r="DY437" s="1168"/>
      <c r="DZ437" s="1168"/>
      <c r="EA437" s="1168"/>
      <c r="EB437" s="1168"/>
      <c r="EC437" s="1168"/>
      <c r="ED437" s="1168"/>
      <c r="EE437" s="1168"/>
      <c r="EF437" s="1168"/>
      <c r="EG437" s="1168"/>
      <c r="EH437" s="1168"/>
      <c r="EI437" s="1170"/>
      <c r="EJ437" s="1170"/>
      <c r="EK437" s="1170"/>
      <c r="EL437" s="1170"/>
      <c r="EM437" s="1170"/>
      <c r="EN437" s="1170"/>
      <c r="EO437" s="1170"/>
      <c r="EP437" s="1170"/>
      <c r="EQ437" s="1170"/>
      <c r="ER437" s="1170"/>
      <c r="ES437" s="1171"/>
      <c r="ET437" s="1171"/>
      <c r="EU437" s="1171"/>
      <c r="EV437" s="1171"/>
      <c r="EW437" s="1171"/>
      <c r="EX437" s="1171"/>
      <c r="EY437" s="1171"/>
      <c r="EZ437" s="1171"/>
      <c r="FA437" s="1171"/>
      <c r="FB437" s="1171"/>
      <c r="FC437" s="1171"/>
      <c r="FD437" s="1171"/>
      <c r="FE437" s="1171"/>
      <c r="FF437" s="1171"/>
      <c r="FG437" s="1171"/>
      <c r="FH437" s="1171"/>
      <c r="FI437" s="1171"/>
      <c r="FJ437" s="1171"/>
      <c r="FK437" s="1171"/>
      <c r="FL437" s="1171"/>
      <c r="FM437" s="1171"/>
      <c r="FN437" s="1171"/>
      <c r="FO437" s="1171"/>
      <c r="FP437" s="1171"/>
    </row>
    <row r="438" spans="1:172" s="607" customFormat="1">
      <c r="A438" s="607">
        <f t="shared" si="12"/>
        <v>2006</v>
      </c>
      <c r="B438" s="607">
        <f t="shared" si="13"/>
        <v>4</v>
      </c>
      <c r="C438" s="666">
        <v>38991</v>
      </c>
      <c r="D438" s="957">
        <v>0.75385714285714289</v>
      </c>
      <c r="E438" s="920">
        <v>320.62298142857145</v>
      </c>
      <c r="F438" s="920">
        <v>425.31</v>
      </c>
      <c r="G438" s="920"/>
      <c r="H438" s="920"/>
      <c r="I438" s="954">
        <v>586.61400000000003</v>
      </c>
      <c r="J438" s="954">
        <v>779.94</v>
      </c>
      <c r="K438" s="954"/>
      <c r="L438" s="920"/>
      <c r="M438" s="917">
        <v>32702.95</v>
      </c>
      <c r="N438" s="917">
        <v>43380.831912071255</v>
      </c>
      <c r="O438" s="1175">
        <v>7500.39</v>
      </c>
      <c r="P438" s="1175">
        <v>9949.3519044911882</v>
      </c>
      <c r="Q438" s="1175">
        <v>1531.14</v>
      </c>
      <c r="R438" s="1175">
        <v>2031.0744741330302</v>
      </c>
      <c r="S438" s="1175">
        <v>3822.95</v>
      </c>
      <c r="T438" s="1175">
        <v>5071.1862800833806</v>
      </c>
      <c r="U438" s="920">
        <v>830.8787271428572</v>
      </c>
      <c r="V438" s="920">
        <v>1102.17</v>
      </c>
      <c r="W438" s="920">
        <v>1885.3364057142858</v>
      </c>
      <c r="X438" s="920">
        <v>2500.92</v>
      </c>
      <c r="Y438" s="920"/>
      <c r="Z438" s="920"/>
      <c r="AA438" s="920"/>
      <c r="AB438" s="920"/>
      <c r="AC438" s="920">
        <v>11.558999999999999</v>
      </c>
      <c r="AD438" s="920">
        <v>15.4</v>
      </c>
      <c r="AE438" s="920">
        <v>43059.03</v>
      </c>
      <c r="AF438" s="920">
        <v>57118.2888004548</v>
      </c>
      <c r="AG438" s="920">
        <v>1084</v>
      </c>
      <c r="AH438" s="920">
        <v>1437.9382224748911</v>
      </c>
      <c r="AI438" s="920">
        <v>313.02300000000002</v>
      </c>
      <c r="AJ438" s="920">
        <v>415.22853894258105</v>
      </c>
      <c r="AK438" s="920">
        <v>58.3</v>
      </c>
      <c r="AL438" s="920">
        <v>77.335607352662493</v>
      </c>
      <c r="AM438" s="920">
        <v>63.52</v>
      </c>
      <c r="AN438" s="920">
        <v>84.259996209967781</v>
      </c>
      <c r="AO438" s="920"/>
      <c r="AP438" s="920"/>
      <c r="AS438" s="1167"/>
      <c r="AT438" s="1167"/>
      <c r="AU438" s="1168"/>
      <c r="AV438" s="1168"/>
      <c r="AW438" s="1169"/>
      <c r="AX438" s="1169"/>
      <c r="AY438" s="1169"/>
      <c r="AZ438" s="1169"/>
      <c r="BA438" s="1873" t="s">
        <v>1</v>
      </c>
      <c r="BB438" s="1874">
        <v>2013</v>
      </c>
      <c r="BC438" s="1873" t="s">
        <v>51</v>
      </c>
      <c r="BD438" s="1873">
        <v>6</v>
      </c>
      <c r="BE438" s="1875">
        <v>667473000</v>
      </c>
      <c r="BF438" s="1801">
        <v>4.9755042476871167E-2</v>
      </c>
      <c r="BG438" s="1799"/>
      <c r="BH438" s="1876" t="s">
        <v>1</v>
      </c>
      <c r="BI438" s="1876" t="s">
        <v>308</v>
      </c>
      <c r="BJ438" s="1876" t="s">
        <v>51</v>
      </c>
      <c r="BK438" s="1876">
        <v>1</v>
      </c>
      <c r="BL438" s="1877">
        <v>1990650000</v>
      </c>
      <c r="BM438" s="1801">
        <v>0.40179477009806447</v>
      </c>
      <c r="BN438" s="1799">
        <v>2002</v>
      </c>
      <c r="BO438" s="1684"/>
      <c r="BP438" s="1696"/>
      <c r="BQ438" s="1169"/>
      <c r="BR438" s="1169"/>
      <c r="BS438" s="1169"/>
      <c r="BT438" s="1169"/>
      <c r="BU438" s="1169"/>
      <c r="BV438" s="1169"/>
      <c r="BW438" s="1169"/>
      <c r="BX438" s="1169"/>
      <c r="BY438" s="1169"/>
      <c r="BZ438" s="1169"/>
      <c r="CA438" s="1169"/>
      <c r="CB438" s="1169"/>
      <c r="CC438" s="1169"/>
      <c r="CD438" s="1169"/>
      <c r="CE438" s="1169"/>
      <c r="CF438" s="1169"/>
      <c r="CG438" s="1169"/>
      <c r="CH438" s="1169"/>
      <c r="CI438" s="1169"/>
      <c r="CJ438" s="1169"/>
      <c r="CK438" s="1169"/>
      <c r="CL438" s="1169"/>
      <c r="CM438" s="1169"/>
      <c r="CN438" s="1169"/>
      <c r="CO438" s="1169"/>
      <c r="CP438" s="1169"/>
      <c r="CQ438" s="1169"/>
      <c r="CR438" s="1169"/>
      <c r="CS438" s="1169"/>
      <c r="CT438" s="1169"/>
      <c r="CU438" s="1169"/>
      <c r="CV438" s="1169"/>
      <c r="CW438" s="1169"/>
      <c r="CX438" s="1169"/>
      <c r="CY438" s="1169"/>
      <c r="CZ438" s="1169"/>
      <c r="DA438" s="1168"/>
      <c r="DB438" s="1168"/>
      <c r="DC438" s="1168"/>
      <c r="DD438" s="1168"/>
      <c r="DE438" s="1168"/>
      <c r="DF438" s="1168"/>
      <c r="DG438" s="1168"/>
      <c r="DH438" s="1168"/>
      <c r="DI438" s="1168"/>
      <c r="DJ438" s="1168"/>
      <c r="DK438" s="1168"/>
      <c r="DL438" s="1168"/>
      <c r="DM438" s="1168"/>
      <c r="DN438" s="1168"/>
      <c r="DO438" s="1168"/>
      <c r="DP438" s="1168"/>
      <c r="DQ438" s="1168"/>
      <c r="DR438" s="1168"/>
      <c r="DS438" s="1168"/>
      <c r="DT438" s="1168"/>
      <c r="DU438" s="1168"/>
      <c r="DV438" s="1168"/>
      <c r="DW438" s="1168"/>
      <c r="DX438" s="1168"/>
      <c r="DY438" s="1168"/>
      <c r="DZ438" s="1168"/>
      <c r="EA438" s="1168"/>
      <c r="EB438" s="1168"/>
      <c r="EC438" s="1168"/>
      <c r="ED438" s="1168"/>
      <c r="EE438" s="1168"/>
      <c r="EF438" s="1168"/>
      <c r="EG438" s="1168"/>
      <c r="EH438" s="1168"/>
      <c r="EI438" s="1170"/>
      <c r="EJ438" s="1170"/>
      <c r="EK438" s="1170"/>
      <c r="EL438" s="1170"/>
      <c r="EM438" s="1170"/>
      <c r="EN438" s="1170"/>
      <c r="EO438" s="1170"/>
      <c r="EP438" s="1170"/>
      <c r="EQ438" s="1170"/>
      <c r="ER438" s="1170"/>
      <c r="ES438" s="1171"/>
      <c r="ET438" s="1171"/>
      <c r="EU438" s="1171"/>
      <c r="EV438" s="1171"/>
      <c r="EW438" s="1171"/>
      <c r="EX438" s="1171"/>
      <c r="EY438" s="1171"/>
      <c r="EZ438" s="1171"/>
      <c r="FA438" s="1171"/>
      <c r="FB438" s="1171"/>
      <c r="FC438" s="1171"/>
      <c r="FD438" s="1171"/>
      <c r="FE438" s="1171"/>
      <c r="FF438" s="1171"/>
      <c r="FG438" s="1171"/>
      <c r="FH438" s="1171"/>
      <c r="FI438" s="1171"/>
      <c r="FJ438" s="1171"/>
      <c r="FK438" s="1171"/>
      <c r="FL438" s="1171"/>
      <c r="FM438" s="1171"/>
      <c r="FN438" s="1171"/>
      <c r="FO438" s="1171"/>
      <c r="FP438" s="1171"/>
    </row>
    <row r="439" spans="1:172" s="607" customFormat="1">
      <c r="A439" s="607">
        <f t="shared" si="12"/>
        <v>2006</v>
      </c>
      <c r="B439" s="607">
        <f t="shared" si="13"/>
        <v>4</v>
      </c>
      <c r="C439" s="666">
        <v>39022</v>
      </c>
      <c r="D439" s="1709">
        <v>0.77207272727272735</v>
      </c>
      <c r="E439" s="1117">
        <v>319.66127127272728</v>
      </c>
      <c r="F439" s="1117">
        <v>414.03</v>
      </c>
      <c r="G439" s="1117"/>
      <c r="H439" s="1117"/>
      <c r="I439" s="959">
        <v>627.827</v>
      </c>
      <c r="J439" s="959">
        <v>812.86</v>
      </c>
      <c r="K439" s="960"/>
      <c r="L439" s="1121"/>
      <c r="M439" s="916">
        <v>32113.86</v>
      </c>
      <c r="N439" s="916">
        <v>41594.345798794267</v>
      </c>
      <c r="O439" s="1174">
        <v>7029.18</v>
      </c>
      <c r="P439" s="1174">
        <v>9104.2977581009782</v>
      </c>
      <c r="Q439" s="1174">
        <v>1624.52</v>
      </c>
      <c r="R439" s="1174">
        <v>2104.1022984174829</v>
      </c>
      <c r="S439" s="1174">
        <v>4382.2299999999996</v>
      </c>
      <c r="T439" s="1174">
        <v>5675.9290222305945</v>
      </c>
      <c r="U439" s="1120">
        <v>894.23007418181828</v>
      </c>
      <c r="V439" s="1120">
        <v>1158.22</v>
      </c>
      <c r="W439" s="1120">
        <v>1896.6815825454548</v>
      </c>
      <c r="X439" s="1120">
        <v>2456.61</v>
      </c>
      <c r="Y439" s="1119"/>
      <c r="Z439" s="1119"/>
      <c r="AA439" s="1119"/>
      <c r="AB439" s="1119"/>
      <c r="AC439" s="1178">
        <v>12.930999999999999</v>
      </c>
      <c r="AD439" s="1178">
        <v>16.77</v>
      </c>
      <c r="AE439" s="1178">
        <v>39476.475000000006</v>
      </c>
      <c r="AF439" s="1178">
        <v>51130.513493782972</v>
      </c>
      <c r="AG439" s="1178">
        <v>1182.2619999999999</v>
      </c>
      <c r="AH439" s="1178">
        <v>1531.2832045968348</v>
      </c>
      <c r="AI439" s="1178">
        <v>324.31</v>
      </c>
      <c r="AJ439" s="1178">
        <v>420.05110211002255</v>
      </c>
      <c r="AK439" s="919">
        <v>58.48</v>
      </c>
      <c r="AL439" s="919">
        <v>75.744159758854551</v>
      </c>
      <c r="AM439" s="919">
        <v>60.13</v>
      </c>
      <c r="AN439" s="919">
        <v>77.881264129615673</v>
      </c>
      <c r="AO439" s="919"/>
      <c r="AP439" s="919"/>
      <c r="AS439" s="1167"/>
      <c r="AT439" s="1167"/>
      <c r="AU439" s="1168"/>
      <c r="AV439" s="1168"/>
      <c r="AW439" s="1169"/>
      <c r="AX439" s="1169"/>
      <c r="AY439" s="1169"/>
      <c r="AZ439" s="1169"/>
      <c r="BA439" s="1873" t="s">
        <v>1</v>
      </c>
      <c r="BB439" s="1874">
        <v>2013</v>
      </c>
      <c r="BC439" s="1873" t="s">
        <v>581</v>
      </c>
      <c r="BD439" s="1873">
        <v>7</v>
      </c>
      <c r="BE439" s="1875">
        <v>203966000</v>
      </c>
      <c r="BF439" s="1801">
        <v>1.5204116112318408E-2</v>
      </c>
      <c r="BG439" s="1799"/>
      <c r="BH439" s="1876" t="s">
        <v>1</v>
      </c>
      <c r="BI439" s="1876" t="s">
        <v>308</v>
      </c>
      <c r="BJ439" s="1876" t="s">
        <v>581</v>
      </c>
      <c r="BK439" s="1876">
        <v>2</v>
      </c>
      <c r="BL439" s="1877">
        <v>904284000</v>
      </c>
      <c r="BM439" s="1801">
        <v>0.18252157932502355</v>
      </c>
      <c r="BN439" s="1799">
        <v>2002</v>
      </c>
      <c r="BO439" s="1684"/>
      <c r="BP439" s="1696"/>
      <c r="BQ439" s="1169"/>
      <c r="BR439" s="1169"/>
      <c r="BS439" s="1169"/>
      <c r="BT439" s="1169"/>
      <c r="BU439" s="1169"/>
      <c r="BV439" s="1169"/>
      <c r="BW439" s="1169"/>
      <c r="BX439" s="1169"/>
      <c r="BY439" s="1169"/>
      <c r="BZ439" s="1169"/>
      <c r="CA439" s="1169"/>
      <c r="CB439" s="1169"/>
      <c r="CC439" s="1169"/>
      <c r="CD439" s="1169"/>
      <c r="CE439" s="1169"/>
      <c r="CF439" s="1169"/>
      <c r="CG439" s="1169"/>
      <c r="CH439" s="1169"/>
      <c r="CI439" s="1169"/>
      <c r="CJ439" s="1169"/>
      <c r="CK439" s="1169"/>
      <c r="CL439" s="1169"/>
      <c r="CM439" s="1169"/>
      <c r="CN439" s="1169"/>
      <c r="CO439" s="1169"/>
      <c r="CP439" s="1169"/>
      <c r="CQ439" s="1169"/>
      <c r="CR439" s="1169"/>
      <c r="CS439" s="1169"/>
      <c r="CT439" s="1169"/>
      <c r="CU439" s="1169"/>
      <c r="CV439" s="1169"/>
      <c r="CW439" s="1169"/>
      <c r="CX439" s="1169"/>
      <c r="CY439" s="1169"/>
      <c r="CZ439" s="1169"/>
      <c r="DA439" s="1168"/>
      <c r="DB439" s="1168"/>
      <c r="DC439" s="1168"/>
      <c r="DD439" s="1168"/>
      <c r="DE439" s="1168"/>
      <c r="DF439" s="1168"/>
      <c r="DG439" s="1168"/>
      <c r="DH439" s="1168"/>
      <c r="DI439" s="1168"/>
      <c r="DJ439" s="1168"/>
      <c r="DK439" s="1168"/>
      <c r="DL439" s="1168"/>
      <c r="DM439" s="1168"/>
      <c r="DN439" s="1168"/>
      <c r="DO439" s="1168"/>
      <c r="DP439" s="1168"/>
      <c r="DQ439" s="1168"/>
      <c r="DR439" s="1168"/>
      <c r="DS439" s="1168"/>
      <c r="DT439" s="1168"/>
      <c r="DU439" s="1168"/>
      <c r="DV439" s="1168"/>
      <c r="DW439" s="1168"/>
      <c r="DX439" s="1168"/>
      <c r="DY439" s="1168"/>
      <c r="DZ439" s="1168"/>
      <c r="EA439" s="1168"/>
      <c r="EB439" s="1168"/>
      <c r="EC439" s="1168"/>
      <c r="ED439" s="1168"/>
      <c r="EE439" s="1168"/>
      <c r="EF439" s="1168"/>
      <c r="EG439" s="1168"/>
      <c r="EH439" s="1168"/>
      <c r="EI439" s="1170"/>
      <c r="EJ439" s="1170"/>
      <c r="EK439" s="1170"/>
      <c r="EL439" s="1170"/>
      <c r="EM439" s="1170"/>
      <c r="EN439" s="1170"/>
      <c r="EO439" s="1170"/>
      <c r="EP439" s="1170"/>
      <c r="EQ439" s="1170"/>
      <c r="ER439" s="1170"/>
      <c r="ES439" s="1171"/>
      <c r="ET439" s="1171"/>
      <c r="EU439" s="1171"/>
      <c r="EV439" s="1171"/>
      <c r="EW439" s="1171"/>
      <c r="EX439" s="1171"/>
      <c r="EY439" s="1171"/>
      <c r="EZ439" s="1171"/>
      <c r="FA439" s="1171"/>
      <c r="FB439" s="1171"/>
      <c r="FC439" s="1171"/>
      <c r="FD439" s="1171"/>
      <c r="FE439" s="1171"/>
      <c r="FF439" s="1171"/>
      <c r="FG439" s="1171"/>
      <c r="FH439" s="1171"/>
      <c r="FI439" s="1171"/>
      <c r="FJ439" s="1171"/>
      <c r="FK439" s="1171"/>
      <c r="FL439" s="1171"/>
      <c r="FM439" s="1171"/>
      <c r="FN439" s="1171"/>
      <c r="FO439" s="1171"/>
      <c r="FP439" s="1171"/>
    </row>
    <row r="440" spans="1:172" s="607" customFormat="1">
      <c r="A440" s="607">
        <f t="shared" si="12"/>
        <v>2006</v>
      </c>
      <c r="B440" s="607">
        <f t="shared" si="13"/>
        <v>4</v>
      </c>
      <c r="C440" s="666">
        <v>39052</v>
      </c>
      <c r="D440" s="957">
        <v>0.78611052631578937</v>
      </c>
      <c r="E440" s="920">
        <v>327.84739499999995</v>
      </c>
      <c r="F440" s="920">
        <v>417.05</v>
      </c>
      <c r="G440" s="920"/>
      <c r="H440" s="920"/>
      <c r="I440" s="954">
        <v>629.78499999999997</v>
      </c>
      <c r="J440" s="954">
        <v>802.12</v>
      </c>
      <c r="K440" s="954"/>
      <c r="L440" s="920"/>
      <c r="M440" s="917">
        <v>34570.26</v>
      </c>
      <c r="N440" s="917">
        <v>43976.335187900462</v>
      </c>
      <c r="O440" s="1175">
        <v>6675.11</v>
      </c>
      <c r="P440" s="1175">
        <v>8491.3123238328626</v>
      </c>
      <c r="Q440" s="1175">
        <v>1725.5</v>
      </c>
      <c r="R440" s="1175">
        <v>2194.9839650243375</v>
      </c>
      <c r="S440" s="1175">
        <v>4405.3900000000003</v>
      </c>
      <c r="T440" s="1175">
        <v>5604.0338508713803</v>
      </c>
      <c r="U440" s="920">
        <v>945.25860236842095</v>
      </c>
      <c r="V440" s="920">
        <v>1202.45</v>
      </c>
      <c r="W440" s="920">
        <v>1887.3727626315788</v>
      </c>
      <c r="X440" s="920">
        <v>2400.9</v>
      </c>
      <c r="Y440" s="920"/>
      <c r="Z440" s="920"/>
      <c r="AA440" s="920"/>
      <c r="AB440" s="920"/>
      <c r="AC440" s="920">
        <v>13.361000000000001</v>
      </c>
      <c r="AD440" s="920">
        <v>17.02</v>
      </c>
      <c r="AE440" s="920">
        <v>60406.6</v>
      </c>
      <c r="AF440" s="920">
        <v>76842.375184954581</v>
      </c>
      <c r="AG440" s="920">
        <v>1121.3330000000001</v>
      </c>
      <c r="AH440" s="920">
        <v>1426.4317325138427</v>
      </c>
      <c r="AI440" s="920">
        <v>325.94400000000002</v>
      </c>
      <c r="AJ440" s="920">
        <v>414.62871834012901</v>
      </c>
      <c r="AK440" s="920">
        <v>62.32</v>
      </c>
      <c r="AL440" s="920">
        <v>79.276384062774099</v>
      </c>
      <c r="AM440" s="920">
        <v>64.11</v>
      </c>
      <c r="AN440" s="920">
        <v>81.553417558800504</v>
      </c>
      <c r="AO440" s="920"/>
      <c r="AP440" s="920"/>
      <c r="AS440" s="1167"/>
      <c r="AT440" s="1167"/>
      <c r="AU440" s="1168"/>
      <c r="AV440" s="1168"/>
      <c r="AW440" s="1169"/>
      <c r="AX440" s="1169"/>
      <c r="AY440" s="1169"/>
      <c r="AZ440" s="1169"/>
      <c r="BA440" s="1873" t="s">
        <v>1</v>
      </c>
      <c r="BB440" s="1874">
        <v>2013</v>
      </c>
      <c r="BC440" s="1873" t="s">
        <v>431</v>
      </c>
      <c r="BD440" s="1873">
        <v>8</v>
      </c>
      <c r="BE440" s="1875">
        <v>166919000</v>
      </c>
      <c r="BF440" s="1801">
        <v>1.2442543646255142E-2</v>
      </c>
      <c r="BG440" s="1799"/>
      <c r="BH440" s="1876" t="s">
        <v>1</v>
      </c>
      <c r="BI440" s="1876" t="s">
        <v>308</v>
      </c>
      <c r="BJ440" s="1876" t="s">
        <v>49</v>
      </c>
      <c r="BK440" s="1876">
        <v>3</v>
      </c>
      <c r="BL440" s="1877">
        <v>533104000</v>
      </c>
      <c r="BM440" s="1801">
        <v>0.10760224003132572</v>
      </c>
      <c r="BN440" s="1799">
        <v>2002</v>
      </c>
      <c r="BO440" s="1684"/>
      <c r="BP440" s="1696"/>
      <c r="BQ440" s="1169"/>
      <c r="BR440" s="1169"/>
      <c r="BS440" s="1169"/>
      <c r="BT440" s="1169"/>
      <c r="BU440" s="1169"/>
      <c r="BV440" s="1169"/>
      <c r="BW440" s="1169"/>
      <c r="BX440" s="1169"/>
      <c r="BY440" s="1169"/>
      <c r="BZ440" s="1169"/>
      <c r="CA440" s="1169"/>
      <c r="CB440" s="1169"/>
      <c r="CC440" s="1169"/>
      <c r="CD440" s="1169"/>
      <c r="CE440" s="1169"/>
      <c r="CF440" s="1169"/>
      <c r="CG440" s="1169"/>
      <c r="CH440" s="1169"/>
      <c r="CI440" s="1169"/>
      <c r="CJ440" s="1169"/>
      <c r="CK440" s="1169"/>
      <c r="CL440" s="1169"/>
      <c r="CM440" s="1169"/>
      <c r="CN440" s="1169"/>
      <c r="CO440" s="1169"/>
      <c r="CP440" s="1169"/>
      <c r="CQ440" s="1169"/>
      <c r="CR440" s="1169"/>
      <c r="CS440" s="1169"/>
      <c r="CT440" s="1169"/>
      <c r="CU440" s="1169"/>
      <c r="CV440" s="1169"/>
      <c r="CW440" s="1169"/>
      <c r="CX440" s="1169"/>
      <c r="CY440" s="1169"/>
      <c r="CZ440" s="1169"/>
      <c r="DA440" s="1168"/>
      <c r="DB440" s="1168"/>
      <c r="DC440" s="1168"/>
      <c r="DD440" s="1168"/>
      <c r="DE440" s="1168"/>
      <c r="DF440" s="1168"/>
      <c r="DG440" s="1168"/>
      <c r="DH440" s="1168"/>
      <c r="DI440" s="1168"/>
      <c r="DJ440" s="1168"/>
      <c r="DK440" s="1168"/>
      <c r="DL440" s="1168"/>
      <c r="DM440" s="1168"/>
      <c r="DN440" s="1168"/>
      <c r="DO440" s="1168"/>
      <c r="DP440" s="1168"/>
      <c r="DQ440" s="1168"/>
      <c r="DR440" s="1168"/>
      <c r="DS440" s="1168"/>
      <c r="DT440" s="1168"/>
      <c r="DU440" s="1168"/>
      <c r="DV440" s="1168"/>
      <c r="DW440" s="1168"/>
      <c r="DX440" s="1168"/>
      <c r="DY440" s="1168"/>
      <c r="DZ440" s="1168"/>
      <c r="EA440" s="1168"/>
      <c r="EB440" s="1168"/>
      <c r="EC440" s="1168"/>
      <c r="ED440" s="1168"/>
      <c r="EE440" s="1168"/>
      <c r="EF440" s="1168"/>
      <c r="EG440" s="1168"/>
      <c r="EH440" s="1168"/>
      <c r="EI440" s="1170"/>
      <c r="EJ440" s="1170"/>
      <c r="EK440" s="1170"/>
      <c r="EL440" s="1170"/>
      <c r="EM440" s="1170"/>
      <c r="EN440" s="1170"/>
      <c r="EO440" s="1170"/>
      <c r="EP440" s="1170"/>
      <c r="EQ440" s="1170"/>
      <c r="ER440" s="1170"/>
      <c r="ES440" s="1171"/>
      <c r="ET440" s="1171"/>
      <c r="EU440" s="1171"/>
      <c r="EV440" s="1171"/>
      <c r="EW440" s="1171"/>
      <c r="EX440" s="1171"/>
      <c r="EY440" s="1171"/>
      <c r="EZ440" s="1171"/>
      <c r="FA440" s="1171"/>
      <c r="FB440" s="1171"/>
      <c r="FC440" s="1171"/>
      <c r="FD440" s="1171"/>
      <c r="FE440" s="1171"/>
      <c r="FF440" s="1171"/>
      <c r="FG440" s="1171"/>
      <c r="FH440" s="1171"/>
      <c r="FI440" s="1171"/>
      <c r="FJ440" s="1171"/>
      <c r="FK440" s="1171"/>
      <c r="FL440" s="1171"/>
      <c r="FM440" s="1171"/>
      <c r="FN440" s="1171"/>
      <c r="FO440" s="1171"/>
      <c r="FP440" s="1171"/>
    </row>
    <row r="441" spans="1:172" s="607" customFormat="1">
      <c r="A441" s="607">
        <f t="shared" si="12"/>
        <v>2007</v>
      </c>
      <c r="B441" s="607">
        <f t="shared" si="13"/>
        <v>1</v>
      </c>
      <c r="C441" s="666">
        <v>39083</v>
      </c>
      <c r="D441" s="1709">
        <v>0.78389999999999982</v>
      </c>
      <c r="E441" s="1117">
        <v>309.95869276506932</v>
      </c>
      <c r="F441" s="1117">
        <v>395.40590989293202</v>
      </c>
      <c r="G441" s="1117"/>
      <c r="H441" s="1117"/>
      <c r="I441" s="959">
        <v>630.83600000000001</v>
      </c>
      <c r="J441" s="959">
        <v>806.62</v>
      </c>
      <c r="K441" s="960"/>
      <c r="L441" s="1121"/>
      <c r="M441" s="916">
        <v>36811.14</v>
      </c>
      <c r="N441" s="916">
        <v>46958.974358974367</v>
      </c>
      <c r="O441" s="1174">
        <v>5669.66</v>
      </c>
      <c r="P441" s="1174">
        <v>7232.6317132287295</v>
      </c>
      <c r="Q441" s="1174">
        <v>1666.09</v>
      </c>
      <c r="R441" s="1174">
        <v>2125.3858910575332</v>
      </c>
      <c r="S441" s="1174">
        <v>3786.68</v>
      </c>
      <c r="T441" s="1174">
        <v>4830.5651231024376</v>
      </c>
      <c r="U441" s="1120">
        <v>915.36002999999982</v>
      </c>
      <c r="V441" s="1120">
        <v>1167.7</v>
      </c>
      <c r="W441" s="1120">
        <v>1900.3043897817329</v>
      </c>
      <c r="X441" s="1120">
        <v>2424.1668449824383</v>
      </c>
      <c r="Y441" s="1119"/>
      <c r="Z441" s="1119"/>
      <c r="AA441" s="1119"/>
      <c r="AB441" s="1119"/>
      <c r="AC441" s="1178">
        <v>12.839</v>
      </c>
      <c r="AD441" s="1178">
        <v>16.440000000000001</v>
      </c>
      <c r="AE441" s="1178">
        <v>50912.9</v>
      </c>
      <c r="AF441" s="1178">
        <v>64948.207679550978</v>
      </c>
      <c r="AG441" s="1178">
        <v>1149.0530000000001</v>
      </c>
      <c r="AH441" s="1178">
        <v>1465.8157928307187</v>
      </c>
      <c r="AI441" s="1178">
        <v>338.15800000000002</v>
      </c>
      <c r="AJ441" s="1178">
        <v>431.37900242377867</v>
      </c>
      <c r="AK441" s="919">
        <v>54.3</v>
      </c>
      <c r="AL441" s="919">
        <v>69.269039418293161</v>
      </c>
      <c r="AM441" s="919">
        <v>59.14</v>
      </c>
      <c r="AN441" s="919">
        <v>75.44329633881874</v>
      </c>
      <c r="AO441" s="919"/>
      <c r="AP441" s="919"/>
      <c r="AS441" s="1167"/>
      <c r="AT441" s="1167"/>
      <c r="AU441" s="1168"/>
      <c r="AV441" s="1168"/>
      <c r="AW441" s="1169"/>
      <c r="AX441" s="1169"/>
      <c r="AY441" s="1169"/>
      <c r="AZ441" s="1169"/>
      <c r="BA441" s="1873" t="s">
        <v>1</v>
      </c>
      <c r="BB441" s="1874">
        <v>2013</v>
      </c>
      <c r="BC441" s="1873" t="s">
        <v>46</v>
      </c>
      <c r="BD441" s="1873">
        <v>9</v>
      </c>
      <c r="BE441" s="1875">
        <v>81625000</v>
      </c>
      <c r="BF441" s="1801">
        <v>6.08452378174789E-3</v>
      </c>
      <c r="BG441" s="1799"/>
      <c r="BH441" s="1876" t="s">
        <v>1</v>
      </c>
      <c r="BI441" s="1876" t="s">
        <v>308</v>
      </c>
      <c r="BJ441" s="1876" t="s">
        <v>20</v>
      </c>
      <c r="BK441" s="1876">
        <v>4</v>
      </c>
      <c r="BL441" s="1877">
        <v>274448000</v>
      </c>
      <c r="BM441" s="1801">
        <v>5.5394856486008885E-2</v>
      </c>
      <c r="BN441" s="1799">
        <v>2002</v>
      </c>
      <c r="BO441" s="1684"/>
      <c r="BP441" s="1696"/>
      <c r="BQ441" s="1169"/>
      <c r="BR441" s="1169"/>
      <c r="BS441" s="1169"/>
      <c r="BT441" s="1169"/>
      <c r="BU441" s="1169"/>
      <c r="BV441" s="1169"/>
      <c r="BW441" s="1169"/>
      <c r="BX441" s="1169"/>
      <c r="BY441" s="1169"/>
      <c r="BZ441" s="1169"/>
      <c r="CA441" s="1169"/>
      <c r="CB441" s="1169"/>
      <c r="CC441" s="1169"/>
      <c r="CD441" s="1169"/>
      <c r="CE441" s="1169"/>
      <c r="CF441" s="1169"/>
      <c r="CG441" s="1169"/>
      <c r="CH441" s="1169"/>
      <c r="CI441" s="1169"/>
      <c r="CJ441" s="1169"/>
      <c r="CK441" s="1169"/>
      <c r="CL441" s="1169"/>
      <c r="CM441" s="1169"/>
      <c r="CN441" s="1169"/>
      <c r="CO441" s="1169"/>
      <c r="CP441" s="1169"/>
      <c r="CQ441" s="1169"/>
      <c r="CR441" s="1169"/>
      <c r="CS441" s="1169"/>
      <c r="CT441" s="1169"/>
      <c r="CU441" s="1169"/>
      <c r="CV441" s="1169"/>
      <c r="CW441" s="1169"/>
      <c r="CX441" s="1169"/>
      <c r="CY441" s="1169"/>
      <c r="CZ441" s="1169"/>
      <c r="DA441" s="1168"/>
      <c r="DB441" s="1168"/>
      <c r="DC441" s="1168"/>
      <c r="DD441" s="1168"/>
      <c r="DE441" s="1168"/>
      <c r="DF441" s="1168"/>
      <c r="DG441" s="1168"/>
      <c r="DH441" s="1168"/>
      <c r="DI441" s="1168"/>
      <c r="DJ441" s="1168"/>
      <c r="DK441" s="1168"/>
      <c r="DL441" s="1168"/>
      <c r="DM441" s="1168"/>
      <c r="DN441" s="1168"/>
      <c r="DO441" s="1168"/>
      <c r="DP441" s="1168"/>
      <c r="DQ441" s="1168"/>
      <c r="DR441" s="1168"/>
      <c r="DS441" s="1168"/>
      <c r="DT441" s="1168"/>
      <c r="DU441" s="1168"/>
      <c r="DV441" s="1168"/>
      <c r="DW441" s="1168"/>
      <c r="DX441" s="1168"/>
      <c r="DY441" s="1168"/>
      <c r="DZ441" s="1168"/>
      <c r="EA441" s="1168"/>
      <c r="EB441" s="1168"/>
      <c r="EC441" s="1168"/>
      <c r="ED441" s="1168"/>
      <c r="EE441" s="1168"/>
      <c r="EF441" s="1168"/>
      <c r="EG441" s="1168"/>
      <c r="EH441" s="1168"/>
      <c r="EI441" s="1170"/>
      <c r="EJ441" s="1170"/>
      <c r="EK441" s="1170"/>
      <c r="EL441" s="1170"/>
      <c r="EM441" s="1170"/>
      <c r="EN441" s="1170"/>
      <c r="EO441" s="1170"/>
      <c r="EP441" s="1170"/>
      <c r="EQ441" s="1170"/>
      <c r="ER441" s="1170"/>
      <c r="ES441" s="1171"/>
      <c r="ET441" s="1171"/>
      <c r="EU441" s="1171"/>
      <c r="EV441" s="1171"/>
      <c r="EW441" s="1171"/>
      <c r="EX441" s="1171"/>
      <c r="EY441" s="1171"/>
      <c r="EZ441" s="1171"/>
      <c r="FA441" s="1171"/>
      <c r="FB441" s="1171"/>
      <c r="FC441" s="1171"/>
      <c r="FD441" s="1171"/>
      <c r="FE441" s="1171"/>
      <c r="FF441" s="1171"/>
      <c r="FG441" s="1171"/>
      <c r="FH441" s="1171"/>
      <c r="FI441" s="1171"/>
      <c r="FJ441" s="1171"/>
      <c r="FK441" s="1171"/>
      <c r="FL441" s="1171"/>
      <c r="FM441" s="1171"/>
      <c r="FN441" s="1171"/>
      <c r="FO441" s="1171"/>
      <c r="FP441" s="1171"/>
    </row>
    <row r="442" spans="1:172" s="607" customFormat="1">
      <c r="A442" s="607">
        <f t="shared" si="12"/>
        <v>2007</v>
      </c>
      <c r="B442" s="607">
        <f t="shared" si="13"/>
        <v>1</v>
      </c>
      <c r="C442" s="666">
        <v>39114</v>
      </c>
      <c r="D442" s="957">
        <v>0.78227999999999998</v>
      </c>
      <c r="E442" s="920">
        <v>323.13906475868367</v>
      </c>
      <c r="F442" s="920">
        <v>413.07340691144304</v>
      </c>
      <c r="G442" s="920"/>
      <c r="H442" s="920"/>
      <c r="I442" s="954">
        <v>664.745</v>
      </c>
      <c r="J442" s="954">
        <v>849.57</v>
      </c>
      <c r="K442" s="954"/>
      <c r="L442" s="920"/>
      <c r="M442" s="917">
        <v>41184.25</v>
      </c>
      <c r="N442" s="917">
        <v>52646.430945441534</v>
      </c>
      <c r="O442" s="1175">
        <v>5676.45</v>
      </c>
      <c r="P442" s="1175">
        <v>7256.2893081761003</v>
      </c>
      <c r="Q442" s="1175">
        <v>1779.6</v>
      </c>
      <c r="R442" s="1175">
        <v>2274.8887866237151</v>
      </c>
      <c r="S442" s="1175">
        <v>3309.5</v>
      </c>
      <c r="T442" s="1175">
        <v>4230.5824001636247</v>
      </c>
      <c r="U442" s="920">
        <v>874.89959524492031</v>
      </c>
      <c r="V442" s="920">
        <v>1118.3969873254082</v>
      </c>
      <c r="W442" s="920">
        <v>1873.353381695011</v>
      </c>
      <c r="X442" s="920">
        <v>2394.7351098008526</v>
      </c>
      <c r="Y442" s="920"/>
      <c r="Z442" s="920"/>
      <c r="AA442" s="920"/>
      <c r="AB442" s="920"/>
      <c r="AC442" s="920">
        <v>13.91</v>
      </c>
      <c r="AD442" s="920">
        <v>17.82</v>
      </c>
      <c r="AE442" s="920">
        <v>56562.3</v>
      </c>
      <c r="AF442" s="920">
        <v>72304.417855499312</v>
      </c>
      <c r="AG442" s="920">
        <v>1204.55</v>
      </c>
      <c r="AH442" s="920">
        <v>1539.7939356752058</v>
      </c>
      <c r="AI442" s="920">
        <v>341.81299999999999</v>
      </c>
      <c r="AJ442" s="920">
        <v>436.94457227591141</v>
      </c>
      <c r="AK442" s="920">
        <v>57.76</v>
      </c>
      <c r="AL442" s="920">
        <v>73.835455335685438</v>
      </c>
      <c r="AM442" s="920">
        <v>64.14</v>
      </c>
      <c r="AN442" s="920">
        <v>81.991102929897224</v>
      </c>
      <c r="AO442" s="920"/>
      <c r="AP442" s="920"/>
      <c r="AS442" s="1167"/>
      <c r="AT442" s="1167"/>
      <c r="AU442" s="1168"/>
      <c r="AV442" s="1168"/>
      <c r="AW442" s="1169"/>
      <c r="AX442" s="1169"/>
      <c r="AY442" s="1169"/>
      <c r="AZ442" s="1169"/>
      <c r="BA442" s="1873" t="s">
        <v>1</v>
      </c>
      <c r="BB442" s="1874">
        <v>2013</v>
      </c>
      <c r="BC442" s="1873" t="s">
        <v>77</v>
      </c>
      <c r="BD442" s="1873">
        <v>10</v>
      </c>
      <c r="BE442" s="1875">
        <v>45445000</v>
      </c>
      <c r="BF442" s="1801">
        <v>3.3875795805394528E-3</v>
      </c>
      <c r="BG442" s="1799"/>
      <c r="BH442" s="1876" t="s">
        <v>1</v>
      </c>
      <c r="BI442" s="1876" t="s">
        <v>308</v>
      </c>
      <c r="BJ442" s="1876" t="s">
        <v>592</v>
      </c>
      <c r="BK442" s="1876">
        <v>5</v>
      </c>
      <c r="BL442" s="1877">
        <v>253703000</v>
      </c>
      <c r="BM442" s="1801">
        <v>5.1207665113500236E-2</v>
      </c>
      <c r="BN442" s="1799">
        <v>2002</v>
      </c>
      <c r="BO442" s="1684"/>
      <c r="BP442" s="1696"/>
      <c r="BQ442" s="1169"/>
      <c r="BR442" s="1169"/>
      <c r="BS442" s="1169"/>
      <c r="BT442" s="1169"/>
      <c r="BU442" s="1169"/>
      <c r="BV442" s="1169"/>
      <c r="BW442" s="1169"/>
      <c r="BX442" s="1169"/>
      <c r="BY442" s="1169"/>
      <c r="BZ442" s="1169"/>
      <c r="CA442" s="1169"/>
      <c r="CB442" s="1169"/>
      <c r="CC442" s="1169"/>
      <c r="CD442" s="1169"/>
      <c r="CE442" s="1169"/>
      <c r="CF442" s="1169"/>
      <c r="CG442" s="1169"/>
      <c r="CH442" s="1169"/>
      <c r="CI442" s="1169"/>
      <c r="CJ442" s="1169"/>
      <c r="CK442" s="1169"/>
      <c r="CL442" s="1169"/>
      <c r="CM442" s="1169"/>
      <c r="CN442" s="1169"/>
      <c r="CO442" s="1169"/>
      <c r="CP442" s="1169"/>
      <c r="CQ442" s="1169"/>
      <c r="CR442" s="1169"/>
      <c r="CS442" s="1169"/>
      <c r="CT442" s="1169"/>
      <c r="CU442" s="1169"/>
      <c r="CV442" s="1169"/>
      <c r="CW442" s="1169"/>
      <c r="CX442" s="1169"/>
      <c r="CY442" s="1169"/>
      <c r="CZ442" s="1169"/>
      <c r="DA442" s="1168"/>
      <c r="DB442" s="1168"/>
      <c r="DC442" s="1168"/>
      <c r="DD442" s="1168"/>
      <c r="DE442" s="1168"/>
      <c r="DF442" s="1168"/>
      <c r="DG442" s="1168"/>
      <c r="DH442" s="1168"/>
      <c r="DI442" s="1168"/>
      <c r="DJ442" s="1168"/>
      <c r="DK442" s="1168"/>
      <c r="DL442" s="1168"/>
      <c r="DM442" s="1168"/>
      <c r="DN442" s="1168"/>
      <c r="DO442" s="1168"/>
      <c r="DP442" s="1168"/>
      <c r="DQ442" s="1168"/>
      <c r="DR442" s="1168"/>
      <c r="DS442" s="1168"/>
      <c r="DT442" s="1168"/>
      <c r="DU442" s="1168"/>
      <c r="DV442" s="1168"/>
      <c r="DW442" s="1168"/>
      <c r="DX442" s="1168"/>
      <c r="DY442" s="1168"/>
      <c r="DZ442" s="1168"/>
      <c r="EA442" s="1168"/>
      <c r="EB442" s="1168"/>
      <c r="EC442" s="1168"/>
      <c r="ED442" s="1168"/>
      <c r="EE442" s="1168"/>
      <c r="EF442" s="1168"/>
      <c r="EG442" s="1168"/>
      <c r="EH442" s="1168"/>
      <c r="EI442" s="1170"/>
      <c r="EJ442" s="1170"/>
      <c r="EK442" s="1170"/>
      <c r="EL442" s="1170"/>
      <c r="EM442" s="1170"/>
      <c r="EN442" s="1170"/>
      <c r="EO442" s="1170"/>
      <c r="EP442" s="1170"/>
      <c r="EQ442" s="1170"/>
      <c r="ER442" s="1170"/>
      <c r="ES442" s="1171"/>
      <c r="ET442" s="1171"/>
      <c r="EU442" s="1171"/>
      <c r="EV442" s="1171"/>
      <c r="EW442" s="1171"/>
      <c r="EX442" s="1171"/>
      <c r="EY442" s="1171"/>
      <c r="EZ442" s="1171"/>
      <c r="FA442" s="1171"/>
      <c r="FB442" s="1171"/>
      <c r="FC442" s="1171"/>
      <c r="FD442" s="1171"/>
      <c r="FE442" s="1171"/>
      <c r="FF442" s="1171"/>
      <c r="FG442" s="1171"/>
      <c r="FH442" s="1171"/>
      <c r="FI442" s="1171"/>
      <c r="FJ442" s="1171"/>
      <c r="FK442" s="1171"/>
      <c r="FL442" s="1171"/>
      <c r="FM442" s="1171"/>
      <c r="FN442" s="1171"/>
      <c r="FO442" s="1171"/>
      <c r="FP442" s="1171"/>
    </row>
    <row r="443" spans="1:172" s="607" customFormat="1">
      <c r="A443" s="607">
        <f t="shared" si="12"/>
        <v>2007</v>
      </c>
      <c r="B443" s="607">
        <f t="shared" si="13"/>
        <v>1</v>
      </c>
      <c r="C443" s="666">
        <v>39142</v>
      </c>
      <c r="D443" s="1709">
        <v>0.79192272727272706</v>
      </c>
      <c r="E443" s="1117">
        <v>310.83264501104611</v>
      </c>
      <c r="F443" s="1117">
        <v>392.50375611962926</v>
      </c>
      <c r="G443" s="1117"/>
      <c r="H443" s="1117"/>
      <c r="I443" s="959">
        <v>654.89499999999998</v>
      </c>
      <c r="J443" s="959">
        <v>828.07</v>
      </c>
      <c r="K443" s="960"/>
      <c r="L443" s="1121"/>
      <c r="M443" s="916">
        <v>46324.77</v>
      </c>
      <c r="N443" s="916">
        <v>58496.578522927528</v>
      </c>
      <c r="O443" s="1174">
        <v>6452.48</v>
      </c>
      <c r="P443" s="1174">
        <v>8147.8656664160317</v>
      </c>
      <c r="Q443" s="1174">
        <v>1914.05</v>
      </c>
      <c r="R443" s="1174">
        <v>2416.9656130361668</v>
      </c>
      <c r="S443" s="1174">
        <v>3271.3</v>
      </c>
      <c r="T443" s="1174">
        <v>4130.832324090391</v>
      </c>
      <c r="U443" s="1120">
        <v>887.81971659907515</v>
      </c>
      <c r="V443" s="1120">
        <v>1121.0938719445571</v>
      </c>
      <c r="W443" s="1120">
        <v>1892.8697214635886</v>
      </c>
      <c r="X443" s="1120">
        <v>2390.2202276507096</v>
      </c>
      <c r="Y443" s="1119"/>
      <c r="Z443" s="1119"/>
      <c r="AA443" s="1119"/>
      <c r="AB443" s="1119"/>
      <c r="AC443" s="1178">
        <v>13.183999999999999</v>
      </c>
      <c r="AD443" s="1178">
        <v>16.72</v>
      </c>
      <c r="AE443" s="1178">
        <v>65367</v>
      </c>
      <c r="AF443" s="1178">
        <v>82542.144263386595</v>
      </c>
      <c r="AG443" s="1178">
        <v>1218.818</v>
      </c>
      <c r="AH443" s="1178">
        <v>1539.0617771476789</v>
      </c>
      <c r="AI443" s="1178">
        <v>350.125</v>
      </c>
      <c r="AJ443" s="1178">
        <v>442.12015635134293</v>
      </c>
      <c r="AK443" s="919">
        <v>62.14</v>
      </c>
      <c r="AL443" s="919">
        <v>78.467251740585368</v>
      </c>
      <c r="AM443" s="919">
        <v>67.31</v>
      </c>
      <c r="AN443" s="919">
        <v>84.995666473427761</v>
      </c>
      <c r="AO443" s="919"/>
      <c r="AP443" s="919"/>
      <c r="AS443" s="1167"/>
      <c r="AT443" s="1167"/>
      <c r="AU443" s="1168"/>
      <c r="AV443" s="1168"/>
      <c r="AW443" s="1169"/>
      <c r="AX443" s="1169"/>
      <c r="AY443" s="1169"/>
      <c r="AZ443" s="1169"/>
      <c r="BA443" s="1873" t="s">
        <v>1</v>
      </c>
      <c r="BB443" s="1874">
        <v>2013</v>
      </c>
      <c r="BC443" s="1873" t="s">
        <v>32</v>
      </c>
      <c r="BD443" s="1873"/>
      <c r="BE443" s="1875">
        <v>93417000</v>
      </c>
      <c r="BF443" s="1801">
        <v>6.9635278176973063E-3</v>
      </c>
      <c r="BG443" s="1799"/>
      <c r="BH443" s="1876" t="s">
        <v>1</v>
      </c>
      <c r="BI443" s="1876" t="s">
        <v>308</v>
      </c>
      <c r="BJ443" s="1876" t="s">
        <v>18</v>
      </c>
      <c r="BK443" s="1876">
        <v>6</v>
      </c>
      <c r="BL443" s="1877">
        <v>411938000</v>
      </c>
      <c r="BM443" s="1801">
        <v>8.3145974432801584E-2</v>
      </c>
      <c r="BN443" s="1799">
        <v>2002</v>
      </c>
      <c r="BO443" s="1684"/>
      <c r="BP443" s="1696"/>
      <c r="BQ443" s="1169"/>
      <c r="BR443" s="1169"/>
      <c r="BS443" s="1169"/>
      <c r="BT443" s="1169"/>
      <c r="BU443" s="1169"/>
      <c r="BV443" s="1169"/>
      <c r="BW443" s="1169"/>
      <c r="BX443" s="1169"/>
      <c r="BY443" s="1169"/>
      <c r="BZ443" s="1169"/>
      <c r="CA443" s="1169"/>
      <c r="CB443" s="1169"/>
      <c r="CC443" s="1169"/>
      <c r="CD443" s="1169"/>
      <c r="CE443" s="1169"/>
      <c r="CF443" s="1169"/>
      <c r="CG443" s="1169"/>
      <c r="CH443" s="1169"/>
      <c r="CI443" s="1169"/>
      <c r="CJ443" s="1169"/>
      <c r="CK443" s="1169"/>
      <c r="CL443" s="1169"/>
      <c r="CM443" s="1169"/>
      <c r="CN443" s="1169"/>
      <c r="CO443" s="1169"/>
      <c r="CP443" s="1169"/>
      <c r="CQ443" s="1169"/>
      <c r="CR443" s="1169"/>
      <c r="CS443" s="1169"/>
      <c r="CT443" s="1169"/>
      <c r="CU443" s="1169"/>
      <c r="CV443" s="1169"/>
      <c r="CW443" s="1169"/>
      <c r="CX443" s="1169"/>
      <c r="CY443" s="1169"/>
      <c r="CZ443" s="1169"/>
      <c r="DA443" s="1168"/>
      <c r="DB443" s="1168"/>
      <c r="DC443" s="1168"/>
      <c r="DD443" s="1168"/>
      <c r="DE443" s="1168"/>
      <c r="DF443" s="1168"/>
      <c r="DG443" s="1168"/>
      <c r="DH443" s="1168"/>
      <c r="DI443" s="1168"/>
      <c r="DJ443" s="1168"/>
      <c r="DK443" s="1168"/>
      <c r="DL443" s="1168"/>
      <c r="DM443" s="1168"/>
      <c r="DN443" s="1168"/>
      <c r="DO443" s="1168"/>
      <c r="DP443" s="1168"/>
      <c r="DQ443" s="1168"/>
      <c r="DR443" s="1168"/>
      <c r="DS443" s="1168"/>
      <c r="DT443" s="1168"/>
      <c r="DU443" s="1168"/>
      <c r="DV443" s="1168"/>
      <c r="DW443" s="1168"/>
      <c r="DX443" s="1168"/>
      <c r="DY443" s="1168"/>
      <c r="DZ443" s="1168"/>
      <c r="EA443" s="1168"/>
      <c r="EB443" s="1168"/>
      <c r="EC443" s="1168"/>
      <c r="ED443" s="1168"/>
      <c r="EE443" s="1168"/>
      <c r="EF443" s="1168"/>
      <c r="EG443" s="1168"/>
      <c r="EH443" s="1168"/>
      <c r="EI443" s="1170"/>
      <c r="EJ443" s="1170"/>
      <c r="EK443" s="1170"/>
      <c r="EL443" s="1170"/>
      <c r="EM443" s="1170"/>
      <c r="EN443" s="1170"/>
      <c r="EO443" s="1170"/>
      <c r="EP443" s="1170"/>
      <c r="EQ443" s="1170"/>
      <c r="ER443" s="1170"/>
      <c r="ES443" s="1171"/>
      <c r="ET443" s="1171"/>
      <c r="EU443" s="1171"/>
      <c r="EV443" s="1171"/>
      <c r="EW443" s="1171"/>
      <c r="EX443" s="1171"/>
      <c r="EY443" s="1171"/>
      <c r="EZ443" s="1171"/>
      <c r="FA443" s="1171"/>
      <c r="FB443" s="1171"/>
      <c r="FC443" s="1171"/>
      <c r="FD443" s="1171"/>
      <c r="FE443" s="1171"/>
      <c r="FF443" s="1171"/>
      <c r="FG443" s="1171"/>
      <c r="FH443" s="1171"/>
      <c r="FI443" s="1171"/>
      <c r="FJ443" s="1171"/>
      <c r="FK443" s="1171"/>
      <c r="FL443" s="1171"/>
      <c r="FM443" s="1171"/>
      <c r="FN443" s="1171"/>
      <c r="FO443" s="1171"/>
      <c r="FP443" s="1171"/>
    </row>
    <row r="444" spans="1:172" s="607" customFormat="1">
      <c r="A444" s="607">
        <f t="shared" si="12"/>
        <v>2007</v>
      </c>
      <c r="B444" s="607">
        <f t="shared" si="13"/>
        <v>2</v>
      </c>
      <c r="C444" s="666">
        <v>39173</v>
      </c>
      <c r="D444" s="957">
        <v>0.82626111111111111</v>
      </c>
      <c r="E444" s="920">
        <v>333.04123768344863</v>
      </c>
      <c r="F444" s="920">
        <v>403.07020771629061</v>
      </c>
      <c r="G444" s="920"/>
      <c r="H444" s="920"/>
      <c r="I444" s="954">
        <v>679.07500000000005</v>
      </c>
      <c r="J444" s="954">
        <v>821.42</v>
      </c>
      <c r="K444" s="954"/>
      <c r="L444" s="920"/>
      <c r="M444" s="917">
        <v>50266.84</v>
      </c>
      <c r="N444" s="917">
        <v>60836.507157409207</v>
      </c>
      <c r="O444" s="1175">
        <v>7766.47</v>
      </c>
      <c r="P444" s="1175">
        <v>9399.5347179731998</v>
      </c>
      <c r="Q444" s="1175">
        <v>2000.95</v>
      </c>
      <c r="R444" s="1175">
        <v>2421.6920935674088</v>
      </c>
      <c r="S444" s="1175">
        <v>3557.47</v>
      </c>
      <c r="T444" s="1175">
        <v>4305.5033719499479</v>
      </c>
      <c r="U444" s="920">
        <v>868.47323902807454</v>
      </c>
      <c r="V444" s="920">
        <v>1051.0881213569387</v>
      </c>
      <c r="W444" s="920">
        <v>1900.4437690147322</v>
      </c>
      <c r="X444" s="920">
        <v>2300.0523000037101</v>
      </c>
      <c r="Y444" s="920"/>
      <c r="Z444" s="920"/>
      <c r="AA444" s="920"/>
      <c r="AB444" s="920"/>
      <c r="AC444" s="920">
        <v>13.731</v>
      </c>
      <c r="AD444" s="920">
        <v>16.62</v>
      </c>
      <c r="AE444" s="920">
        <v>67792.100000000006</v>
      </c>
      <c r="AF444" s="920">
        <v>82046.824046743364</v>
      </c>
      <c r="AG444" s="920">
        <v>1276.8499999999999</v>
      </c>
      <c r="AH444" s="920">
        <v>1545.3347408338768</v>
      </c>
      <c r="AI444" s="920">
        <v>367.3</v>
      </c>
      <c r="AJ444" s="920">
        <v>444.53259999865526</v>
      </c>
      <c r="AK444" s="920">
        <v>67.400000000000006</v>
      </c>
      <c r="AL444" s="920">
        <v>81.572276721778834</v>
      </c>
      <c r="AM444" s="920">
        <v>74.19</v>
      </c>
      <c r="AN444" s="920">
        <v>89.790017952355655</v>
      </c>
      <c r="AO444" s="920"/>
      <c r="AP444" s="920"/>
      <c r="AS444" s="1167"/>
      <c r="AT444" s="1167"/>
      <c r="AU444" s="1168"/>
      <c r="AV444" s="1168"/>
      <c r="AW444" s="1169"/>
      <c r="AX444" s="1169"/>
      <c r="AY444" s="1169"/>
      <c r="AZ444" s="1169"/>
      <c r="BA444" s="1873" t="s">
        <v>1</v>
      </c>
      <c r="BB444" s="1874">
        <v>2013</v>
      </c>
      <c r="BC444" s="1873" t="s">
        <v>249</v>
      </c>
      <c r="BD444" s="1873"/>
      <c r="BE444" s="1875">
        <v>13415183000</v>
      </c>
      <c r="BF444" s="1801">
        <v>1</v>
      </c>
      <c r="BG444" s="1799"/>
      <c r="BH444" s="1876" t="s">
        <v>1</v>
      </c>
      <c r="BI444" s="1876" t="s">
        <v>308</v>
      </c>
      <c r="BJ444" s="1876" t="s">
        <v>583</v>
      </c>
      <c r="BK444" s="1876">
        <v>7</v>
      </c>
      <c r="BL444" s="1877">
        <v>166503000</v>
      </c>
      <c r="BM444" s="1801">
        <v>3.360713063855425E-2</v>
      </c>
      <c r="BN444" s="1799">
        <v>2002</v>
      </c>
      <c r="BO444" s="1684"/>
      <c r="BP444" s="1696"/>
      <c r="BQ444" s="1169"/>
      <c r="BR444" s="1169"/>
      <c r="BS444" s="1169"/>
      <c r="BT444" s="1169"/>
      <c r="BU444" s="1169"/>
      <c r="BV444" s="1169"/>
      <c r="BW444" s="1169"/>
      <c r="BX444" s="1169"/>
      <c r="BY444" s="1169"/>
      <c r="BZ444" s="1169"/>
      <c r="CA444" s="1169"/>
      <c r="CB444" s="1169"/>
      <c r="CC444" s="1169"/>
      <c r="CD444" s="1169"/>
      <c r="CE444" s="1169"/>
      <c r="CF444" s="1169"/>
      <c r="CG444" s="1169"/>
      <c r="CH444" s="1169"/>
      <c r="CI444" s="1169"/>
      <c r="CJ444" s="1169"/>
      <c r="CK444" s="1169"/>
      <c r="CL444" s="1169"/>
      <c r="CM444" s="1169"/>
      <c r="CN444" s="1169"/>
      <c r="CO444" s="1169"/>
      <c r="CP444" s="1169"/>
      <c r="CQ444" s="1169"/>
      <c r="CR444" s="1169"/>
      <c r="CS444" s="1169"/>
      <c r="CT444" s="1169"/>
      <c r="CU444" s="1169"/>
      <c r="CV444" s="1169"/>
      <c r="CW444" s="1169"/>
      <c r="CX444" s="1169"/>
      <c r="CY444" s="1169"/>
      <c r="CZ444" s="1169"/>
      <c r="DA444" s="1168"/>
      <c r="DB444" s="1168"/>
      <c r="DC444" s="1168"/>
      <c r="DD444" s="1168"/>
      <c r="DE444" s="1168"/>
      <c r="DF444" s="1168"/>
      <c r="DG444" s="1168"/>
      <c r="DH444" s="1168"/>
      <c r="DI444" s="1168"/>
      <c r="DJ444" s="1168"/>
      <c r="DK444" s="1168"/>
      <c r="DL444" s="1168"/>
      <c r="DM444" s="1168"/>
      <c r="DN444" s="1168"/>
      <c r="DO444" s="1168"/>
      <c r="DP444" s="1168"/>
      <c r="DQ444" s="1168"/>
      <c r="DR444" s="1168"/>
      <c r="DS444" s="1168"/>
      <c r="DT444" s="1168"/>
      <c r="DU444" s="1168"/>
      <c r="DV444" s="1168"/>
      <c r="DW444" s="1168"/>
      <c r="DX444" s="1168"/>
      <c r="DY444" s="1168"/>
      <c r="DZ444" s="1168"/>
      <c r="EA444" s="1168"/>
      <c r="EB444" s="1168"/>
      <c r="EC444" s="1168"/>
      <c r="ED444" s="1168"/>
      <c r="EE444" s="1168"/>
      <c r="EF444" s="1168"/>
      <c r="EG444" s="1168"/>
      <c r="EH444" s="1168"/>
      <c r="EI444" s="1170"/>
      <c r="EJ444" s="1170"/>
      <c r="EK444" s="1170"/>
      <c r="EL444" s="1170"/>
      <c r="EM444" s="1170"/>
      <c r="EN444" s="1170"/>
      <c r="EO444" s="1170"/>
      <c r="EP444" s="1170"/>
      <c r="EQ444" s="1170"/>
      <c r="ER444" s="1170"/>
      <c r="ES444" s="1171"/>
      <c r="ET444" s="1171"/>
      <c r="EU444" s="1171"/>
      <c r="EV444" s="1171"/>
      <c r="EW444" s="1171"/>
      <c r="EX444" s="1171"/>
      <c r="EY444" s="1171"/>
      <c r="EZ444" s="1171"/>
      <c r="FA444" s="1171"/>
      <c r="FB444" s="1171"/>
      <c r="FC444" s="1171"/>
      <c r="FD444" s="1171"/>
      <c r="FE444" s="1171"/>
      <c r="FF444" s="1171"/>
      <c r="FG444" s="1171"/>
      <c r="FH444" s="1171"/>
      <c r="FI444" s="1171"/>
      <c r="FJ444" s="1171"/>
      <c r="FK444" s="1171"/>
      <c r="FL444" s="1171"/>
      <c r="FM444" s="1171"/>
      <c r="FN444" s="1171"/>
      <c r="FO444" s="1171"/>
      <c r="FP444" s="1171"/>
    </row>
    <row r="445" spans="1:172" s="607" customFormat="1">
      <c r="A445" s="607">
        <f t="shared" si="12"/>
        <v>2007</v>
      </c>
      <c r="B445" s="607">
        <f t="shared" si="13"/>
        <v>2</v>
      </c>
      <c r="C445" s="666">
        <v>39203</v>
      </c>
      <c r="D445" s="1709">
        <v>0.82517391304347809</v>
      </c>
      <c r="E445" s="1117">
        <v>335.6973832431496</v>
      </c>
      <c r="F445" s="1117">
        <v>406.82015989211459</v>
      </c>
      <c r="G445" s="1117"/>
      <c r="H445" s="1117"/>
      <c r="I445" s="959">
        <v>666.86</v>
      </c>
      <c r="J445" s="959">
        <v>810.86</v>
      </c>
      <c r="K445" s="960"/>
      <c r="L445" s="1121"/>
      <c r="M445" s="916">
        <v>52179.05</v>
      </c>
      <c r="N445" s="916">
        <v>63234.003372148181</v>
      </c>
      <c r="O445" s="1174">
        <v>7682.17</v>
      </c>
      <c r="P445" s="1174">
        <v>9309.7586806470335</v>
      </c>
      <c r="Q445" s="1174">
        <v>2100.64</v>
      </c>
      <c r="R445" s="1174">
        <v>2545.6936614152487</v>
      </c>
      <c r="S445" s="1174">
        <v>3830.29</v>
      </c>
      <c r="T445" s="1174">
        <v>4641.7972495916547</v>
      </c>
      <c r="U445" s="1120">
        <v>883.20751499794096</v>
      </c>
      <c r="V445" s="1120">
        <v>1070.3289343459953</v>
      </c>
      <c r="W445" s="1120">
        <v>1874.6302323429918</v>
      </c>
      <c r="X445" s="1120">
        <v>2271.8001656509205</v>
      </c>
      <c r="Y445" s="1119"/>
      <c r="Z445" s="1119"/>
      <c r="AA445" s="1119"/>
      <c r="AB445" s="1119"/>
      <c r="AC445" s="1178">
        <v>13.146000000000001</v>
      </c>
      <c r="AD445" s="1178">
        <v>15.99</v>
      </c>
      <c r="AE445" s="1178">
        <v>64829.599999999999</v>
      </c>
      <c r="AF445" s="1178">
        <v>78564.771589651733</v>
      </c>
      <c r="AG445" s="1178">
        <v>1301.3330000000001</v>
      </c>
      <c r="AH445" s="1178">
        <v>1577.0408872964861</v>
      </c>
      <c r="AI445" s="1178">
        <v>367.19</v>
      </c>
      <c r="AJ445" s="1178">
        <v>444.98498340270834</v>
      </c>
      <c r="AK445" s="919">
        <v>67.48</v>
      </c>
      <c r="AL445" s="919">
        <v>81.776700563781048</v>
      </c>
      <c r="AM445" s="919">
        <v>75.87</v>
      </c>
      <c r="AN445" s="919">
        <v>91.944254175667865</v>
      </c>
      <c r="AO445" s="919"/>
      <c r="AP445" s="919"/>
      <c r="AS445" s="1167"/>
      <c r="AT445" s="1167"/>
      <c r="AU445" s="1168"/>
      <c r="AV445" s="1168"/>
      <c r="AW445" s="1169"/>
      <c r="AX445" s="1169"/>
      <c r="AY445" s="1169"/>
      <c r="AZ445" s="1169"/>
      <c r="BA445" s="1878" t="s">
        <v>1</v>
      </c>
      <c r="BB445" s="1879">
        <v>2014</v>
      </c>
      <c r="BC445" s="1878" t="s">
        <v>15</v>
      </c>
      <c r="BD445" s="1878">
        <v>1</v>
      </c>
      <c r="BE445" s="1880">
        <v>7047955000</v>
      </c>
      <c r="BF445" s="1801">
        <v>0.54178576279702217</v>
      </c>
      <c r="BG445" s="1799"/>
      <c r="BH445" s="1876" t="s">
        <v>1</v>
      </c>
      <c r="BI445" s="1876" t="s">
        <v>308</v>
      </c>
      <c r="BJ445" s="1876" t="s">
        <v>28</v>
      </c>
      <c r="BK445" s="1876">
        <v>8</v>
      </c>
      <c r="BL445" s="1877">
        <v>261687000</v>
      </c>
      <c r="BM445" s="1801">
        <v>5.2819163591114555E-2</v>
      </c>
      <c r="BN445" s="1799">
        <v>2002</v>
      </c>
      <c r="BO445" s="1684"/>
      <c r="BP445" s="1696"/>
      <c r="BQ445" s="1169"/>
      <c r="BR445" s="1169"/>
      <c r="BS445" s="1169"/>
      <c r="BT445" s="1169"/>
      <c r="BU445" s="1169"/>
      <c r="BV445" s="1169"/>
      <c r="BW445" s="1169"/>
      <c r="BX445" s="1169"/>
      <c r="BY445" s="1169"/>
      <c r="BZ445" s="1169"/>
      <c r="CA445" s="1169"/>
      <c r="CB445" s="1169"/>
      <c r="CC445" s="1169"/>
      <c r="CD445" s="1169"/>
      <c r="CE445" s="1169"/>
      <c r="CF445" s="1169"/>
      <c r="CG445" s="1169"/>
      <c r="CH445" s="1169"/>
      <c r="CI445" s="1169"/>
      <c r="CJ445" s="1169"/>
      <c r="CK445" s="1169"/>
      <c r="CL445" s="1169"/>
      <c r="CM445" s="1169"/>
      <c r="CN445" s="1169"/>
      <c r="CO445" s="1169"/>
      <c r="CP445" s="1169"/>
      <c r="CQ445" s="1169"/>
      <c r="CR445" s="1169"/>
      <c r="CS445" s="1169"/>
      <c r="CT445" s="1169"/>
      <c r="CU445" s="1169"/>
      <c r="CV445" s="1169"/>
      <c r="CW445" s="1169"/>
      <c r="CX445" s="1169"/>
      <c r="CY445" s="1169"/>
      <c r="CZ445" s="1169"/>
      <c r="DA445" s="1168"/>
      <c r="DB445" s="1168"/>
      <c r="DC445" s="1168"/>
      <c r="DD445" s="1168"/>
      <c r="DE445" s="1168"/>
      <c r="DF445" s="1168"/>
      <c r="DG445" s="1168"/>
      <c r="DH445" s="1168"/>
      <c r="DI445" s="1168"/>
      <c r="DJ445" s="1168"/>
      <c r="DK445" s="1168"/>
      <c r="DL445" s="1168"/>
      <c r="DM445" s="1168"/>
      <c r="DN445" s="1168"/>
      <c r="DO445" s="1168"/>
      <c r="DP445" s="1168"/>
      <c r="DQ445" s="1168"/>
      <c r="DR445" s="1168"/>
      <c r="DS445" s="1168"/>
      <c r="DT445" s="1168"/>
      <c r="DU445" s="1168"/>
      <c r="DV445" s="1168"/>
      <c r="DW445" s="1168"/>
      <c r="DX445" s="1168"/>
      <c r="DY445" s="1168"/>
      <c r="DZ445" s="1168"/>
      <c r="EA445" s="1168"/>
      <c r="EB445" s="1168"/>
      <c r="EC445" s="1168"/>
      <c r="ED445" s="1168"/>
      <c r="EE445" s="1168"/>
      <c r="EF445" s="1168"/>
      <c r="EG445" s="1168"/>
      <c r="EH445" s="1168"/>
      <c r="EI445" s="1170"/>
      <c r="EJ445" s="1170"/>
      <c r="EK445" s="1170"/>
      <c r="EL445" s="1170"/>
      <c r="EM445" s="1170"/>
      <c r="EN445" s="1170"/>
      <c r="EO445" s="1170"/>
      <c r="EP445" s="1170"/>
      <c r="EQ445" s="1170"/>
      <c r="ER445" s="1170"/>
      <c r="ES445" s="1171"/>
      <c r="ET445" s="1171"/>
      <c r="EU445" s="1171"/>
      <c r="EV445" s="1171"/>
      <c r="EW445" s="1171"/>
      <c r="EX445" s="1171"/>
      <c r="EY445" s="1171"/>
      <c r="EZ445" s="1171"/>
      <c r="FA445" s="1171"/>
      <c r="FB445" s="1171"/>
      <c r="FC445" s="1171"/>
      <c r="FD445" s="1171"/>
      <c r="FE445" s="1171"/>
      <c r="FF445" s="1171"/>
      <c r="FG445" s="1171"/>
      <c r="FH445" s="1171"/>
      <c r="FI445" s="1171"/>
      <c r="FJ445" s="1171"/>
      <c r="FK445" s="1171"/>
      <c r="FL445" s="1171"/>
      <c r="FM445" s="1171"/>
      <c r="FN445" s="1171"/>
      <c r="FO445" s="1171"/>
      <c r="FP445" s="1171"/>
    </row>
    <row r="446" spans="1:172" s="607" customFormat="1">
      <c r="A446" s="607">
        <f t="shared" si="12"/>
        <v>2007</v>
      </c>
      <c r="B446" s="607">
        <f t="shared" si="13"/>
        <v>2</v>
      </c>
      <c r="C446" s="666">
        <v>39234</v>
      </c>
      <c r="D446" s="957">
        <v>0.84226000000000012</v>
      </c>
      <c r="E446" s="920">
        <v>331.07578232326176</v>
      </c>
      <c r="F446" s="920">
        <v>393.08026301054508</v>
      </c>
      <c r="G446" s="920"/>
      <c r="H446" s="920"/>
      <c r="I446" s="954">
        <v>655.49</v>
      </c>
      <c r="J446" s="954">
        <v>781.62</v>
      </c>
      <c r="K446" s="954"/>
      <c r="L446" s="920"/>
      <c r="M446" s="917">
        <v>41718.57</v>
      </c>
      <c r="N446" s="917">
        <v>49531.700425046889</v>
      </c>
      <c r="O446" s="1175">
        <v>7475.88</v>
      </c>
      <c r="P446" s="1175">
        <v>8875.976539310901</v>
      </c>
      <c r="Q446" s="1175">
        <v>2425.98</v>
      </c>
      <c r="R446" s="1175">
        <v>2880.3219908341839</v>
      </c>
      <c r="S446" s="1175">
        <v>3603.26</v>
      </c>
      <c r="T446" s="1175">
        <v>4278.0851518533464</v>
      </c>
      <c r="U446" s="920">
        <v>884.32928538702481</v>
      </c>
      <c r="V446" s="920">
        <v>1049.9480984340046</v>
      </c>
      <c r="W446" s="920">
        <v>1853.1983780139433</v>
      </c>
      <c r="X446" s="920">
        <v>2200.2687745042422</v>
      </c>
      <c r="Y446" s="920"/>
      <c r="Z446" s="920"/>
      <c r="AA446" s="920"/>
      <c r="AB446" s="920"/>
      <c r="AC446" s="920">
        <v>13.144</v>
      </c>
      <c r="AD446" s="920">
        <v>15.78</v>
      </c>
      <c r="AE446" s="920">
        <v>62335.6</v>
      </c>
      <c r="AF446" s="920">
        <v>74009.925676157</v>
      </c>
      <c r="AG446" s="920">
        <v>1286.095</v>
      </c>
      <c r="AH446" s="920">
        <v>1526.9572341082323</v>
      </c>
      <c r="AI446" s="920">
        <v>368.66699999999997</v>
      </c>
      <c r="AJ446" s="920">
        <v>437.71163298743846</v>
      </c>
      <c r="AK446" s="920">
        <v>71.319999999999993</v>
      </c>
      <c r="AL446" s="920">
        <v>84.676940612162497</v>
      </c>
      <c r="AM446" s="920">
        <v>75.400000000000006</v>
      </c>
      <c r="AN446" s="920">
        <v>89.521050506969345</v>
      </c>
      <c r="AO446" s="920"/>
      <c r="AP446" s="920"/>
      <c r="AS446" s="1167"/>
      <c r="AT446" s="1167"/>
      <c r="AU446" s="1168"/>
      <c r="AV446" s="1168"/>
      <c r="AW446" s="1169"/>
      <c r="AX446" s="1169"/>
      <c r="AY446" s="1169"/>
      <c r="AZ446" s="1169"/>
      <c r="BA446" s="1878" t="s">
        <v>1</v>
      </c>
      <c r="BB446" s="1879">
        <v>2014</v>
      </c>
      <c r="BC446" s="1878" t="s">
        <v>49</v>
      </c>
      <c r="BD446" s="1878">
        <v>2</v>
      </c>
      <c r="BE446" s="1880">
        <v>3165716000</v>
      </c>
      <c r="BF446" s="1801">
        <v>0.24335283892401952</v>
      </c>
      <c r="BG446" s="1799"/>
      <c r="BH446" s="1876" t="s">
        <v>1</v>
      </c>
      <c r="BI446" s="1876" t="s">
        <v>308</v>
      </c>
      <c r="BJ446" s="1876" t="s">
        <v>29</v>
      </c>
      <c r="BK446" s="1876">
        <v>9</v>
      </c>
      <c r="BL446" s="1877">
        <v>53535000</v>
      </c>
      <c r="BM446" s="1801">
        <v>1.0805557489865059E-2</v>
      </c>
      <c r="BN446" s="1799">
        <v>2002</v>
      </c>
      <c r="BO446" s="1684"/>
      <c r="BP446" s="1696"/>
      <c r="BQ446" s="1169"/>
      <c r="BR446" s="1169"/>
      <c r="BS446" s="1169"/>
      <c r="BT446" s="1169"/>
      <c r="BU446" s="1169"/>
      <c r="BV446" s="1169"/>
      <c r="BW446" s="1169"/>
      <c r="BX446" s="1169"/>
      <c r="BY446" s="1169"/>
      <c r="BZ446" s="1169"/>
      <c r="CA446" s="1169"/>
      <c r="CB446" s="1169"/>
      <c r="CC446" s="1169"/>
      <c r="CD446" s="1169"/>
      <c r="CE446" s="1169"/>
      <c r="CF446" s="1169"/>
      <c r="CG446" s="1169"/>
      <c r="CH446" s="1169"/>
      <c r="CI446" s="1169"/>
      <c r="CJ446" s="1169"/>
      <c r="CK446" s="1169"/>
      <c r="CL446" s="1169"/>
      <c r="CM446" s="1169"/>
      <c r="CN446" s="1169"/>
      <c r="CO446" s="1169"/>
      <c r="CP446" s="1169"/>
      <c r="CQ446" s="1169"/>
      <c r="CR446" s="1169"/>
      <c r="CS446" s="1169"/>
      <c r="CT446" s="1169"/>
      <c r="CU446" s="1169"/>
      <c r="CV446" s="1169"/>
      <c r="CW446" s="1169"/>
      <c r="CX446" s="1169"/>
      <c r="CY446" s="1169"/>
      <c r="CZ446" s="1169"/>
      <c r="DA446" s="1168"/>
      <c r="DB446" s="1168"/>
      <c r="DC446" s="1168"/>
      <c r="DD446" s="1168"/>
      <c r="DE446" s="1168"/>
      <c r="DF446" s="1168"/>
      <c r="DG446" s="1168"/>
      <c r="DH446" s="1168"/>
      <c r="DI446" s="1168"/>
      <c r="DJ446" s="1168"/>
      <c r="DK446" s="1168"/>
      <c r="DL446" s="1168"/>
      <c r="DM446" s="1168"/>
      <c r="DN446" s="1168"/>
      <c r="DO446" s="1168"/>
      <c r="DP446" s="1168"/>
      <c r="DQ446" s="1168"/>
      <c r="DR446" s="1168"/>
      <c r="DS446" s="1168"/>
      <c r="DT446" s="1168"/>
      <c r="DU446" s="1168"/>
      <c r="DV446" s="1168"/>
      <c r="DW446" s="1168"/>
      <c r="DX446" s="1168"/>
      <c r="DY446" s="1168"/>
      <c r="DZ446" s="1168"/>
      <c r="EA446" s="1168"/>
      <c r="EB446" s="1168"/>
      <c r="EC446" s="1168"/>
      <c r="ED446" s="1168"/>
      <c r="EE446" s="1168"/>
      <c r="EF446" s="1168"/>
      <c r="EG446" s="1168"/>
      <c r="EH446" s="1168"/>
      <c r="EI446" s="1170"/>
      <c r="EJ446" s="1170"/>
      <c r="EK446" s="1170"/>
      <c r="EL446" s="1170"/>
      <c r="EM446" s="1170"/>
      <c r="EN446" s="1170"/>
      <c r="EO446" s="1170"/>
      <c r="EP446" s="1170"/>
      <c r="EQ446" s="1170"/>
      <c r="ER446" s="1170"/>
      <c r="ES446" s="1171"/>
      <c r="ET446" s="1171"/>
      <c r="EU446" s="1171"/>
      <c r="EV446" s="1171"/>
      <c r="EW446" s="1171"/>
      <c r="EX446" s="1171"/>
      <c r="EY446" s="1171"/>
      <c r="EZ446" s="1171"/>
      <c r="FA446" s="1171"/>
      <c r="FB446" s="1171"/>
      <c r="FC446" s="1171"/>
      <c r="FD446" s="1171"/>
      <c r="FE446" s="1171"/>
      <c r="FF446" s="1171"/>
      <c r="FG446" s="1171"/>
      <c r="FH446" s="1171"/>
      <c r="FI446" s="1171"/>
      <c r="FJ446" s="1171"/>
      <c r="FK446" s="1171"/>
      <c r="FL446" s="1171"/>
      <c r="FM446" s="1171"/>
      <c r="FN446" s="1171"/>
      <c r="FO446" s="1171"/>
      <c r="FP446" s="1171"/>
    </row>
    <row r="447" spans="1:172" s="607" customFormat="1">
      <c r="A447" s="607">
        <f t="shared" si="12"/>
        <v>2007</v>
      </c>
      <c r="B447" s="607">
        <f t="shared" si="13"/>
        <v>3</v>
      </c>
      <c r="C447" s="666">
        <v>39264</v>
      </c>
      <c r="D447" s="1709">
        <v>0.86752272727272695</v>
      </c>
      <c r="E447" s="1117">
        <v>324.07473778660631</v>
      </c>
      <c r="F447" s="1117">
        <v>373.56339793588546</v>
      </c>
      <c r="G447" s="1117"/>
      <c r="H447" s="1117"/>
      <c r="I447" s="959">
        <v>665.29499999999996</v>
      </c>
      <c r="J447" s="959">
        <v>766.51</v>
      </c>
      <c r="K447" s="960"/>
      <c r="L447" s="1121"/>
      <c r="M447" s="916">
        <v>33425.68</v>
      </c>
      <c r="N447" s="916">
        <v>38530.03379528963</v>
      </c>
      <c r="O447" s="1174">
        <v>7973.91</v>
      </c>
      <c r="P447" s="1174">
        <v>9191.5862827801247</v>
      </c>
      <c r="Q447" s="1174">
        <v>3083.55</v>
      </c>
      <c r="R447" s="1174">
        <v>3554.4313746037583</v>
      </c>
      <c r="S447" s="1174">
        <v>3546.91</v>
      </c>
      <c r="T447" s="1174">
        <v>4088.5499462943085</v>
      </c>
      <c r="U447" s="1120">
        <v>929.75181160914462</v>
      </c>
      <c r="V447" s="1120">
        <v>1071.7319355217935</v>
      </c>
      <c r="W447" s="1120">
        <v>1913.3864329528233</v>
      </c>
      <c r="X447" s="1120">
        <v>2205.5749927935935</v>
      </c>
      <c r="Y447" s="1119"/>
      <c r="Z447" s="1119"/>
      <c r="AA447" s="1119"/>
      <c r="AB447" s="1119"/>
      <c r="AC447" s="1178">
        <v>12.909000000000001</v>
      </c>
      <c r="AD447" s="1178">
        <v>14.92</v>
      </c>
      <c r="AE447" s="1178">
        <v>58698.1</v>
      </c>
      <c r="AF447" s="1178">
        <v>67661.743208194734</v>
      </c>
      <c r="AG447" s="1178">
        <v>1303.114</v>
      </c>
      <c r="AH447" s="1178">
        <v>1502.1093500301281</v>
      </c>
      <c r="AI447" s="1178">
        <v>366.15899999999999</v>
      </c>
      <c r="AJ447" s="1178">
        <v>422.07424484556356</v>
      </c>
      <c r="AK447" s="919">
        <v>77.2</v>
      </c>
      <c r="AL447" s="919">
        <v>88.989023080349</v>
      </c>
      <c r="AM447" s="919">
        <v>77.11</v>
      </c>
      <c r="AN447" s="919">
        <v>88.885279400592111</v>
      </c>
      <c r="AO447" s="919"/>
      <c r="AP447" s="919"/>
      <c r="AS447" s="1167"/>
      <c r="AT447" s="1167"/>
      <c r="AU447" s="1168"/>
      <c r="AV447" s="1168"/>
      <c r="AW447" s="1169"/>
      <c r="AX447" s="1169"/>
      <c r="AY447" s="1169"/>
      <c r="AZ447" s="1169"/>
      <c r="BA447" s="1878" t="s">
        <v>1</v>
      </c>
      <c r="BB447" s="1879">
        <v>2014</v>
      </c>
      <c r="BC447" s="1878" t="s">
        <v>51</v>
      </c>
      <c r="BD447" s="1878">
        <v>3</v>
      </c>
      <c r="BE447" s="1880">
        <v>873594000</v>
      </c>
      <c r="BF447" s="1801">
        <v>6.7154343588303536E-2</v>
      </c>
      <c r="BG447" s="1799"/>
      <c r="BH447" s="1876" t="s">
        <v>1</v>
      </c>
      <c r="BI447" s="1876" t="s">
        <v>308</v>
      </c>
      <c r="BJ447" s="1876" t="s">
        <v>26</v>
      </c>
      <c r="BK447" s="1876">
        <v>10</v>
      </c>
      <c r="BL447" s="1877">
        <v>27299000</v>
      </c>
      <c r="BM447" s="1801">
        <v>5.5100572320131921E-3</v>
      </c>
      <c r="BN447" s="1799">
        <v>2002</v>
      </c>
      <c r="BO447" s="1684"/>
      <c r="BP447" s="1696"/>
      <c r="BQ447" s="1169"/>
      <c r="BR447" s="1169"/>
      <c r="BS447" s="1169"/>
      <c r="BT447" s="1169"/>
      <c r="BU447" s="1169"/>
      <c r="BV447" s="1169"/>
      <c r="BW447" s="1169"/>
      <c r="BX447" s="1169"/>
      <c r="BY447" s="1169"/>
      <c r="BZ447" s="1169"/>
      <c r="CA447" s="1169"/>
      <c r="CB447" s="1169"/>
      <c r="CC447" s="1169"/>
      <c r="CD447" s="1169"/>
      <c r="CE447" s="1169"/>
      <c r="CF447" s="1169"/>
      <c r="CG447" s="1169"/>
      <c r="CH447" s="1169"/>
      <c r="CI447" s="1169"/>
      <c r="CJ447" s="1169"/>
      <c r="CK447" s="1169"/>
      <c r="CL447" s="1169"/>
      <c r="CM447" s="1169"/>
      <c r="CN447" s="1169"/>
      <c r="CO447" s="1169"/>
      <c r="CP447" s="1169"/>
      <c r="CQ447" s="1169"/>
      <c r="CR447" s="1169"/>
      <c r="CS447" s="1169"/>
      <c r="CT447" s="1169"/>
      <c r="CU447" s="1169"/>
      <c r="CV447" s="1169"/>
      <c r="CW447" s="1169"/>
      <c r="CX447" s="1169"/>
      <c r="CY447" s="1169"/>
      <c r="CZ447" s="1169"/>
      <c r="DA447" s="1168"/>
      <c r="DB447" s="1168"/>
      <c r="DC447" s="1168"/>
      <c r="DD447" s="1168"/>
      <c r="DE447" s="1168"/>
      <c r="DF447" s="1168"/>
      <c r="DG447" s="1168"/>
      <c r="DH447" s="1168"/>
      <c r="DI447" s="1168"/>
      <c r="DJ447" s="1168"/>
      <c r="DK447" s="1168"/>
      <c r="DL447" s="1168"/>
      <c r="DM447" s="1168"/>
      <c r="DN447" s="1168"/>
      <c r="DO447" s="1168"/>
      <c r="DP447" s="1168"/>
      <c r="DQ447" s="1168"/>
      <c r="DR447" s="1168"/>
      <c r="DS447" s="1168"/>
      <c r="DT447" s="1168"/>
      <c r="DU447" s="1168"/>
      <c r="DV447" s="1168"/>
      <c r="DW447" s="1168"/>
      <c r="DX447" s="1168"/>
      <c r="DY447" s="1168"/>
      <c r="DZ447" s="1168"/>
      <c r="EA447" s="1168"/>
      <c r="EB447" s="1168"/>
      <c r="EC447" s="1168"/>
      <c r="ED447" s="1168"/>
      <c r="EE447" s="1168"/>
      <c r="EF447" s="1168"/>
      <c r="EG447" s="1168"/>
      <c r="EH447" s="1168"/>
      <c r="EI447" s="1170"/>
      <c r="EJ447" s="1170"/>
      <c r="EK447" s="1170"/>
      <c r="EL447" s="1170"/>
      <c r="EM447" s="1170"/>
      <c r="EN447" s="1170"/>
      <c r="EO447" s="1170"/>
      <c r="EP447" s="1170"/>
      <c r="EQ447" s="1170"/>
      <c r="ER447" s="1170"/>
      <c r="ES447" s="1171"/>
      <c r="ET447" s="1171"/>
      <c r="EU447" s="1171"/>
      <c r="EV447" s="1171"/>
      <c r="EW447" s="1171"/>
      <c r="EX447" s="1171"/>
      <c r="EY447" s="1171"/>
      <c r="EZ447" s="1171"/>
      <c r="FA447" s="1171"/>
      <c r="FB447" s="1171"/>
      <c r="FC447" s="1171"/>
      <c r="FD447" s="1171"/>
      <c r="FE447" s="1171"/>
      <c r="FF447" s="1171"/>
      <c r="FG447" s="1171"/>
      <c r="FH447" s="1171"/>
      <c r="FI447" s="1171"/>
      <c r="FJ447" s="1171"/>
      <c r="FK447" s="1171"/>
      <c r="FL447" s="1171"/>
      <c r="FM447" s="1171"/>
      <c r="FN447" s="1171"/>
      <c r="FO447" s="1171"/>
      <c r="FP447" s="1171"/>
    </row>
    <row r="448" spans="1:172" s="607" customFormat="1">
      <c r="A448" s="607">
        <f t="shared" si="12"/>
        <v>2007</v>
      </c>
      <c r="B448" s="607">
        <f t="shared" si="13"/>
        <v>3</v>
      </c>
      <c r="C448" s="666">
        <v>39295</v>
      </c>
      <c r="D448" s="957">
        <v>0.82817272727272728</v>
      </c>
      <c r="E448" s="920">
        <v>335.2561208351861</v>
      </c>
      <c r="F448" s="920">
        <v>404.81424924390467</v>
      </c>
      <c r="G448" s="920"/>
      <c r="H448" s="920"/>
      <c r="I448" s="954">
        <v>665.41099999999994</v>
      </c>
      <c r="J448" s="954">
        <v>799.62</v>
      </c>
      <c r="K448" s="954"/>
      <c r="L448" s="920"/>
      <c r="M448" s="917">
        <v>27652.27</v>
      </c>
      <c r="N448" s="917">
        <v>33389.496042766659</v>
      </c>
      <c r="O448" s="1175">
        <v>7513.5</v>
      </c>
      <c r="P448" s="1175">
        <v>9072.382792346787</v>
      </c>
      <c r="Q448" s="1175">
        <v>3119.45</v>
      </c>
      <c r="R448" s="1175">
        <v>3766.6659348620728</v>
      </c>
      <c r="S448" s="1175">
        <v>3252.52</v>
      </c>
      <c r="T448" s="1175">
        <v>3927.3449763444164</v>
      </c>
      <c r="U448" s="920">
        <v>875.70121121944646</v>
      </c>
      <c r="V448" s="920">
        <v>1057.3895787455308</v>
      </c>
      <c r="W448" s="920">
        <v>1891.8092677521415</v>
      </c>
      <c r="X448" s="920">
        <v>2284.3172751922148</v>
      </c>
      <c r="Y448" s="920"/>
      <c r="Z448" s="920"/>
      <c r="AA448" s="920"/>
      <c r="AB448" s="920"/>
      <c r="AC448" s="920">
        <v>12.363</v>
      </c>
      <c r="AD448" s="920">
        <v>14.94</v>
      </c>
      <c r="AE448" s="920">
        <v>55997.4</v>
      </c>
      <c r="AF448" s="920">
        <v>67615.605001152595</v>
      </c>
      <c r="AG448" s="920">
        <v>1264.636</v>
      </c>
      <c r="AH448" s="920">
        <v>1527.0196160221296</v>
      </c>
      <c r="AI448" s="920">
        <v>342.96600000000001</v>
      </c>
      <c r="AJ448" s="920">
        <v>414.12375547481309</v>
      </c>
      <c r="AK448" s="920">
        <v>70.8</v>
      </c>
      <c r="AL448" s="920">
        <v>85.489412617042987</v>
      </c>
      <c r="AM448" s="920">
        <v>77.150000000000006</v>
      </c>
      <c r="AN448" s="920">
        <v>93.156895245831464</v>
      </c>
      <c r="AO448" s="920"/>
      <c r="AP448" s="920"/>
      <c r="AS448" s="1167"/>
      <c r="AT448" s="1167"/>
      <c r="AU448" s="1168"/>
      <c r="AV448" s="1168"/>
      <c r="AW448" s="1169"/>
      <c r="AX448" s="1169"/>
      <c r="AY448" s="1169"/>
      <c r="AZ448" s="1169"/>
      <c r="BA448" s="1878" t="s">
        <v>1</v>
      </c>
      <c r="BB448" s="1879">
        <v>2014</v>
      </c>
      <c r="BC448" s="1878" t="s">
        <v>18</v>
      </c>
      <c r="BD448" s="1878">
        <v>4</v>
      </c>
      <c r="BE448" s="1880">
        <v>699246000</v>
      </c>
      <c r="BF448" s="1801">
        <v>5.3751978764445374E-2</v>
      </c>
      <c r="BG448" s="1799"/>
      <c r="BH448" s="1876" t="s">
        <v>1</v>
      </c>
      <c r="BI448" s="1876" t="s">
        <v>308</v>
      </c>
      <c r="BJ448" s="1876" t="s">
        <v>32</v>
      </c>
      <c r="BK448" s="1876"/>
      <c r="BL448" s="1877">
        <v>77244000</v>
      </c>
      <c r="BM448" s="1801">
        <v>1.5591005561728526E-2</v>
      </c>
      <c r="BN448" s="1799">
        <v>2002</v>
      </c>
      <c r="BO448" s="1684"/>
      <c r="BP448" s="1696"/>
      <c r="BQ448" s="1169"/>
      <c r="BR448" s="1169"/>
      <c r="BS448" s="1169"/>
      <c r="BT448" s="1169"/>
      <c r="BU448" s="1169"/>
      <c r="BV448" s="1169"/>
      <c r="BW448" s="1169"/>
      <c r="BX448" s="1169"/>
      <c r="BY448" s="1169"/>
      <c r="BZ448" s="1169"/>
      <c r="CA448" s="1169"/>
      <c r="CB448" s="1169"/>
      <c r="CC448" s="1169"/>
      <c r="CD448" s="1169"/>
      <c r="CE448" s="1169"/>
      <c r="CF448" s="1169"/>
      <c r="CG448" s="1169"/>
      <c r="CH448" s="1169"/>
      <c r="CI448" s="1169"/>
      <c r="CJ448" s="1169"/>
      <c r="CK448" s="1169"/>
      <c r="CL448" s="1169"/>
      <c r="CM448" s="1169"/>
      <c r="CN448" s="1169"/>
      <c r="CO448" s="1169"/>
      <c r="CP448" s="1169"/>
      <c r="CQ448" s="1169"/>
      <c r="CR448" s="1169"/>
      <c r="CS448" s="1169"/>
      <c r="CT448" s="1169"/>
      <c r="CU448" s="1169"/>
      <c r="CV448" s="1169"/>
      <c r="CW448" s="1169"/>
      <c r="CX448" s="1169"/>
      <c r="CY448" s="1169"/>
      <c r="CZ448" s="1169"/>
      <c r="DA448" s="1168"/>
      <c r="DB448" s="1168"/>
      <c r="DC448" s="1168"/>
      <c r="DD448" s="1168"/>
      <c r="DE448" s="1168"/>
      <c r="DF448" s="1168"/>
      <c r="DG448" s="1168"/>
      <c r="DH448" s="1168"/>
      <c r="DI448" s="1168"/>
      <c r="DJ448" s="1168"/>
      <c r="DK448" s="1168"/>
      <c r="DL448" s="1168"/>
      <c r="DM448" s="1168"/>
      <c r="DN448" s="1168"/>
      <c r="DO448" s="1168"/>
      <c r="DP448" s="1168"/>
      <c r="DQ448" s="1168"/>
      <c r="DR448" s="1168"/>
      <c r="DS448" s="1168"/>
      <c r="DT448" s="1168"/>
      <c r="DU448" s="1168"/>
      <c r="DV448" s="1168"/>
      <c r="DW448" s="1168"/>
      <c r="DX448" s="1168"/>
      <c r="DY448" s="1168"/>
      <c r="DZ448" s="1168"/>
      <c r="EA448" s="1168"/>
      <c r="EB448" s="1168"/>
      <c r="EC448" s="1168"/>
      <c r="ED448" s="1168"/>
      <c r="EE448" s="1168"/>
      <c r="EF448" s="1168"/>
      <c r="EG448" s="1168"/>
      <c r="EH448" s="1168"/>
      <c r="EI448" s="1170"/>
      <c r="EJ448" s="1170"/>
      <c r="EK448" s="1170"/>
      <c r="EL448" s="1170"/>
      <c r="EM448" s="1170"/>
      <c r="EN448" s="1170"/>
      <c r="EO448" s="1170"/>
      <c r="EP448" s="1170"/>
      <c r="EQ448" s="1170"/>
      <c r="ER448" s="1170"/>
      <c r="ES448" s="1171"/>
      <c r="ET448" s="1171"/>
      <c r="EU448" s="1171"/>
      <c r="EV448" s="1171"/>
      <c r="EW448" s="1171"/>
      <c r="EX448" s="1171"/>
      <c r="EY448" s="1171"/>
      <c r="EZ448" s="1171"/>
      <c r="FA448" s="1171"/>
      <c r="FB448" s="1171"/>
      <c r="FC448" s="1171"/>
      <c r="FD448" s="1171"/>
      <c r="FE448" s="1171"/>
      <c r="FF448" s="1171"/>
      <c r="FG448" s="1171"/>
      <c r="FH448" s="1171"/>
      <c r="FI448" s="1171"/>
      <c r="FJ448" s="1171"/>
      <c r="FK448" s="1171"/>
      <c r="FL448" s="1171"/>
      <c r="FM448" s="1171"/>
      <c r="FN448" s="1171"/>
      <c r="FO448" s="1171"/>
      <c r="FP448" s="1171"/>
    </row>
    <row r="449" spans="1:172" s="607" customFormat="1">
      <c r="A449" s="607">
        <f t="shared" si="12"/>
        <v>2007</v>
      </c>
      <c r="B449" s="607">
        <f t="shared" si="13"/>
        <v>3</v>
      </c>
      <c r="C449" s="666">
        <v>39326</v>
      </c>
      <c r="D449" s="1709">
        <v>0.84635789473684209</v>
      </c>
      <c r="E449" s="1117">
        <v>332.08655860463773</v>
      </c>
      <c r="F449" s="1117">
        <v>392.37131321129027</v>
      </c>
      <c r="G449" s="1117"/>
      <c r="H449" s="1117"/>
      <c r="I449" s="959">
        <v>712.65300000000002</v>
      </c>
      <c r="J449" s="959">
        <v>840.67</v>
      </c>
      <c r="K449" s="960"/>
      <c r="L449" s="1121"/>
      <c r="M449" s="916">
        <v>29537.5</v>
      </c>
      <c r="N449" s="916">
        <v>34899.538580170141</v>
      </c>
      <c r="O449" s="1174">
        <v>7648.98</v>
      </c>
      <c r="P449" s="1174">
        <v>9037.5242525247504</v>
      </c>
      <c r="Q449" s="1174">
        <v>3226.55</v>
      </c>
      <c r="R449" s="1174">
        <v>3812.2761305407694</v>
      </c>
      <c r="S449" s="1174">
        <v>2881.4</v>
      </c>
      <c r="T449" s="1174">
        <v>3404.4699268693103</v>
      </c>
      <c r="U449" s="1120">
        <v>884.64463178293215</v>
      </c>
      <c r="V449" s="1120">
        <v>1045.237053123956</v>
      </c>
      <c r="W449" s="1120">
        <v>1903.3261788162145</v>
      </c>
      <c r="X449" s="1120">
        <v>2248.8431792888459</v>
      </c>
      <c r="Y449" s="1119"/>
      <c r="Z449" s="1119"/>
      <c r="AA449" s="1119"/>
      <c r="AB449" s="1119"/>
      <c r="AC449" s="1178">
        <v>12.834</v>
      </c>
      <c r="AD449" s="1178">
        <v>15.18</v>
      </c>
      <c r="AE449" s="1178">
        <v>61798.3</v>
      </c>
      <c r="AF449" s="1178">
        <v>73016.746679269694</v>
      </c>
      <c r="AG449" s="1178">
        <v>1307.6500000000001</v>
      </c>
      <c r="AH449" s="1178">
        <v>1545.0319635839014</v>
      </c>
      <c r="AI449" s="1178">
        <v>334.58800000000002</v>
      </c>
      <c r="AJ449" s="1178">
        <v>395.32684941047711</v>
      </c>
      <c r="AK449" s="919">
        <v>77.13</v>
      </c>
      <c r="AL449" s="919">
        <v>91.131660116412121</v>
      </c>
      <c r="AM449" s="919">
        <v>82.42</v>
      </c>
      <c r="AN449" s="919">
        <v>97.381971046216606</v>
      </c>
      <c r="AO449" s="919"/>
      <c r="AP449" s="919"/>
      <c r="AS449" s="1167"/>
      <c r="AT449" s="1167"/>
      <c r="AU449" s="1168"/>
      <c r="AV449" s="1168"/>
      <c r="AW449" s="1169"/>
      <c r="AX449" s="1169"/>
      <c r="AY449" s="1169"/>
      <c r="AZ449" s="1169"/>
      <c r="BA449" s="1878" t="s">
        <v>1</v>
      </c>
      <c r="BB449" s="1879">
        <v>2014</v>
      </c>
      <c r="BC449" s="1878" t="s">
        <v>28</v>
      </c>
      <c r="BD449" s="1878">
        <v>5</v>
      </c>
      <c r="BE449" s="1880">
        <v>589736000</v>
      </c>
      <c r="BF449" s="1801">
        <v>4.5333798046222583E-2</v>
      </c>
      <c r="BG449" s="1799"/>
      <c r="BH449" s="1876" t="s">
        <v>1</v>
      </c>
      <c r="BI449" s="1876" t="s">
        <v>308</v>
      </c>
      <c r="BJ449" s="1876" t="s">
        <v>249</v>
      </c>
      <c r="BK449" s="1876"/>
      <c r="BL449" s="1877">
        <v>4954395000</v>
      </c>
      <c r="BM449" s="1801">
        <v>1</v>
      </c>
      <c r="BN449" s="1799">
        <v>2002</v>
      </c>
      <c r="BO449" s="1684"/>
      <c r="BP449" s="1696"/>
      <c r="BQ449" s="1169"/>
      <c r="BR449" s="1169"/>
      <c r="BS449" s="1169"/>
      <c r="BT449" s="1169"/>
      <c r="BU449" s="1169"/>
      <c r="BV449" s="1169"/>
      <c r="BW449" s="1169"/>
      <c r="BX449" s="1169"/>
      <c r="BY449" s="1169"/>
      <c r="BZ449" s="1169"/>
      <c r="CA449" s="1169"/>
      <c r="CB449" s="1169"/>
      <c r="CC449" s="1169"/>
      <c r="CD449" s="1169"/>
      <c r="CE449" s="1169"/>
      <c r="CF449" s="1169"/>
      <c r="CG449" s="1169"/>
      <c r="CH449" s="1169"/>
      <c r="CI449" s="1169"/>
      <c r="CJ449" s="1169"/>
      <c r="CK449" s="1169"/>
      <c r="CL449" s="1169"/>
      <c r="CM449" s="1169"/>
      <c r="CN449" s="1169"/>
      <c r="CO449" s="1169"/>
      <c r="CP449" s="1169"/>
      <c r="CQ449" s="1169"/>
      <c r="CR449" s="1169"/>
      <c r="CS449" s="1169"/>
      <c r="CT449" s="1169"/>
      <c r="CU449" s="1169"/>
      <c r="CV449" s="1169"/>
      <c r="CW449" s="1169"/>
      <c r="CX449" s="1169"/>
      <c r="CY449" s="1169"/>
      <c r="CZ449" s="1169"/>
      <c r="DA449" s="1168"/>
      <c r="DB449" s="1168"/>
      <c r="DC449" s="1168"/>
      <c r="DD449" s="1168"/>
      <c r="DE449" s="1168"/>
      <c r="DF449" s="1168"/>
      <c r="DG449" s="1168"/>
      <c r="DH449" s="1168"/>
      <c r="DI449" s="1168"/>
      <c r="DJ449" s="1168"/>
      <c r="DK449" s="1168"/>
      <c r="DL449" s="1168"/>
      <c r="DM449" s="1168"/>
      <c r="DN449" s="1168"/>
      <c r="DO449" s="1168"/>
      <c r="DP449" s="1168"/>
      <c r="DQ449" s="1168"/>
      <c r="DR449" s="1168"/>
      <c r="DS449" s="1168"/>
      <c r="DT449" s="1168"/>
      <c r="DU449" s="1168"/>
      <c r="DV449" s="1168"/>
      <c r="DW449" s="1168"/>
      <c r="DX449" s="1168"/>
      <c r="DY449" s="1168"/>
      <c r="DZ449" s="1168"/>
      <c r="EA449" s="1168"/>
      <c r="EB449" s="1168"/>
      <c r="EC449" s="1168"/>
      <c r="ED449" s="1168"/>
      <c r="EE449" s="1168"/>
      <c r="EF449" s="1168"/>
      <c r="EG449" s="1168"/>
      <c r="EH449" s="1168"/>
      <c r="EI449" s="1170"/>
      <c r="EJ449" s="1170"/>
      <c r="EK449" s="1170"/>
      <c r="EL449" s="1170"/>
      <c r="EM449" s="1170"/>
      <c r="EN449" s="1170"/>
      <c r="EO449" s="1170"/>
      <c r="EP449" s="1170"/>
      <c r="EQ449" s="1170"/>
      <c r="ER449" s="1170"/>
      <c r="ES449" s="1171"/>
      <c r="ET449" s="1171"/>
      <c r="EU449" s="1171"/>
      <c r="EV449" s="1171"/>
      <c r="EW449" s="1171"/>
      <c r="EX449" s="1171"/>
      <c r="EY449" s="1171"/>
      <c r="EZ449" s="1171"/>
      <c r="FA449" s="1171"/>
      <c r="FB449" s="1171"/>
      <c r="FC449" s="1171"/>
      <c r="FD449" s="1171"/>
      <c r="FE449" s="1171"/>
      <c r="FF449" s="1171"/>
      <c r="FG449" s="1171"/>
      <c r="FH449" s="1171"/>
      <c r="FI449" s="1171"/>
      <c r="FJ449" s="1171"/>
      <c r="FK449" s="1171"/>
      <c r="FL449" s="1171"/>
      <c r="FM449" s="1171"/>
      <c r="FN449" s="1171"/>
      <c r="FO449" s="1171"/>
      <c r="FP449" s="1171"/>
    </row>
    <row r="450" spans="1:172" s="607" customFormat="1">
      <c r="A450" s="607">
        <f t="shared" si="12"/>
        <v>2007</v>
      </c>
      <c r="B450" s="607">
        <f t="shared" si="13"/>
        <v>4</v>
      </c>
      <c r="C450" s="666">
        <v>39356</v>
      </c>
      <c r="D450" s="957">
        <v>0.89839090909090902</v>
      </c>
      <c r="E450" s="920">
        <v>317.48810626065779</v>
      </c>
      <c r="F450" s="920">
        <v>353.39639242557257</v>
      </c>
      <c r="G450" s="920"/>
      <c r="H450" s="920"/>
      <c r="I450" s="954">
        <v>754.62599999999998</v>
      </c>
      <c r="J450" s="954">
        <v>839.69</v>
      </c>
      <c r="K450" s="954"/>
      <c r="L450" s="920"/>
      <c r="M450" s="917">
        <v>31055.43</v>
      </c>
      <c r="N450" s="917">
        <v>34567.836434838049</v>
      </c>
      <c r="O450" s="1175">
        <v>8008.43</v>
      </c>
      <c r="P450" s="1175">
        <v>8914.1930522246857</v>
      </c>
      <c r="Q450" s="1175">
        <v>3719.72</v>
      </c>
      <c r="R450" s="1175">
        <v>4140.4247998947612</v>
      </c>
      <c r="S450" s="1175">
        <v>2975.33</v>
      </c>
      <c r="T450" s="1175">
        <v>3311.843396780102</v>
      </c>
      <c r="U450" s="920">
        <v>908.61459763636356</v>
      </c>
      <c r="V450" s="920">
        <v>1011.38</v>
      </c>
      <c r="W450" s="920">
        <v>1892.495146591114</v>
      </c>
      <c r="X450" s="920">
        <v>2106.5386208172445</v>
      </c>
      <c r="Y450" s="920"/>
      <c r="Z450" s="920"/>
      <c r="AA450" s="920"/>
      <c r="AB450" s="920"/>
      <c r="AC450" s="920">
        <v>13.67</v>
      </c>
      <c r="AD450" s="920">
        <v>15.27</v>
      </c>
      <c r="AE450" s="920">
        <v>67240.899999999994</v>
      </c>
      <c r="AF450" s="920">
        <v>74845.926555558923</v>
      </c>
      <c r="AG450" s="920">
        <v>1411.7049999999999</v>
      </c>
      <c r="AH450" s="920">
        <v>1571.3705311516551</v>
      </c>
      <c r="AI450" s="920">
        <v>365.22699999999998</v>
      </c>
      <c r="AJ450" s="920">
        <v>406.53461238780449</v>
      </c>
      <c r="AK450" s="920">
        <v>82.86</v>
      </c>
      <c r="AL450" s="920">
        <v>92.231565526243898</v>
      </c>
      <c r="AM450" s="920">
        <v>87.93</v>
      </c>
      <c r="AN450" s="920">
        <v>97.874988616010455</v>
      </c>
      <c r="AO450" s="920"/>
      <c r="AP450" s="920"/>
      <c r="AS450" s="1167"/>
      <c r="AT450" s="1167"/>
      <c r="AU450" s="1168"/>
      <c r="AV450" s="1168"/>
      <c r="AW450" s="1169"/>
      <c r="AX450" s="1169"/>
      <c r="AY450" s="1169"/>
      <c r="AZ450" s="1169"/>
      <c r="BA450" s="1878" t="s">
        <v>1</v>
      </c>
      <c r="BB450" s="1879">
        <v>2014</v>
      </c>
      <c r="BC450" s="1878" t="s">
        <v>55</v>
      </c>
      <c r="BD450" s="1878">
        <v>6</v>
      </c>
      <c r="BE450" s="1880">
        <v>284768000</v>
      </c>
      <c r="BF450" s="1801">
        <v>2.1890498463764656E-2</v>
      </c>
      <c r="BG450" s="1799"/>
      <c r="BH450" s="1881" t="s">
        <v>1</v>
      </c>
      <c r="BI450" s="1881" t="s">
        <v>309</v>
      </c>
      <c r="BJ450" s="1881" t="s">
        <v>18</v>
      </c>
      <c r="BK450" s="1881">
        <v>1</v>
      </c>
      <c r="BL450" s="1882">
        <v>2670555000</v>
      </c>
      <c r="BM450" s="1801">
        <v>0.48083583228978832</v>
      </c>
      <c r="BN450" s="1799">
        <v>2003</v>
      </c>
      <c r="BO450" s="1684"/>
      <c r="BP450" s="1696"/>
      <c r="BQ450" s="1169"/>
      <c r="BR450" s="1169"/>
      <c r="BS450" s="1169"/>
      <c r="BT450" s="1169"/>
      <c r="BU450" s="1169"/>
      <c r="BV450" s="1169"/>
      <c r="BW450" s="1169"/>
      <c r="BX450" s="1169"/>
      <c r="BY450" s="1169"/>
      <c r="BZ450" s="1169"/>
      <c r="CA450" s="1169"/>
      <c r="CB450" s="1169"/>
      <c r="CC450" s="1169"/>
      <c r="CD450" s="1169"/>
      <c r="CE450" s="1169"/>
      <c r="CF450" s="1169"/>
      <c r="CG450" s="1169"/>
      <c r="CH450" s="1169"/>
      <c r="CI450" s="1169"/>
      <c r="CJ450" s="1169"/>
      <c r="CK450" s="1169"/>
      <c r="CL450" s="1169"/>
      <c r="CM450" s="1169"/>
      <c r="CN450" s="1169"/>
      <c r="CO450" s="1169"/>
      <c r="CP450" s="1169"/>
      <c r="CQ450" s="1169"/>
      <c r="CR450" s="1169"/>
      <c r="CS450" s="1169"/>
      <c r="CT450" s="1169"/>
      <c r="CU450" s="1169"/>
      <c r="CV450" s="1169"/>
      <c r="CW450" s="1169"/>
      <c r="CX450" s="1169"/>
      <c r="CY450" s="1169"/>
      <c r="CZ450" s="1169"/>
      <c r="DA450" s="1168"/>
      <c r="DB450" s="1168"/>
      <c r="DC450" s="1168"/>
      <c r="DD450" s="1168"/>
      <c r="DE450" s="1168"/>
      <c r="DF450" s="1168"/>
      <c r="DG450" s="1168"/>
      <c r="DH450" s="1168"/>
      <c r="DI450" s="1168"/>
      <c r="DJ450" s="1168"/>
      <c r="DK450" s="1168"/>
      <c r="DL450" s="1168"/>
      <c r="DM450" s="1168"/>
      <c r="DN450" s="1168"/>
      <c r="DO450" s="1168"/>
      <c r="DP450" s="1168"/>
      <c r="DQ450" s="1168"/>
      <c r="DR450" s="1168"/>
      <c r="DS450" s="1168"/>
      <c r="DT450" s="1168"/>
      <c r="DU450" s="1168"/>
      <c r="DV450" s="1168"/>
      <c r="DW450" s="1168"/>
      <c r="DX450" s="1168"/>
      <c r="DY450" s="1168"/>
      <c r="DZ450" s="1168"/>
      <c r="EA450" s="1168"/>
      <c r="EB450" s="1168"/>
      <c r="EC450" s="1168"/>
      <c r="ED450" s="1168"/>
      <c r="EE450" s="1168"/>
      <c r="EF450" s="1168"/>
      <c r="EG450" s="1168"/>
      <c r="EH450" s="1168"/>
      <c r="EI450" s="1170"/>
      <c r="EJ450" s="1170"/>
      <c r="EK450" s="1170"/>
      <c r="EL450" s="1170"/>
      <c r="EM450" s="1170"/>
      <c r="EN450" s="1170"/>
      <c r="EO450" s="1170"/>
      <c r="EP450" s="1170"/>
      <c r="EQ450" s="1170"/>
      <c r="ER450" s="1170"/>
      <c r="ES450" s="1171"/>
      <c r="ET450" s="1171"/>
      <c r="EU450" s="1171"/>
      <c r="EV450" s="1171"/>
      <c r="EW450" s="1171"/>
      <c r="EX450" s="1171"/>
      <c r="EY450" s="1171"/>
      <c r="EZ450" s="1171"/>
      <c r="FA450" s="1171"/>
      <c r="FB450" s="1171"/>
      <c r="FC450" s="1171"/>
      <c r="FD450" s="1171"/>
      <c r="FE450" s="1171"/>
      <c r="FF450" s="1171"/>
      <c r="FG450" s="1171"/>
      <c r="FH450" s="1171"/>
      <c r="FI450" s="1171"/>
      <c r="FJ450" s="1171"/>
      <c r="FK450" s="1171"/>
      <c r="FL450" s="1171"/>
      <c r="FM450" s="1171"/>
      <c r="FN450" s="1171"/>
      <c r="FO450" s="1171"/>
      <c r="FP450" s="1171"/>
    </row>
    <row r="451" spans="1:172" s="607" customFormat="1">
      <c r="A451" s="607">
        <f t="shared" si="12"/>
        <v>2007</v>
      </c>
      <c r="B451" s="607">
        <f t="shared" si="13"/>
        <v>4</v>
      </c>
      <c r="C451" s="666">
        <v>39387</v>
      </c>
      <c r="D451" s="1709">
        <v>0.89866363636363633</v>
      </c>
      <c r="E451" s="1117">
        <v>317.31421221236064</v>
      </c>
      <c r="F451" s="1117">
        <v>353.09564042932101</v>
      </c>
      <c r="G451" s="1117"/>
      <c r="H451" s="1117"/>
      <c r="I451" s="959">
        <v>806.24800000000005</v>
      </c>
      <c r="J451" s="959">
        <v>898.01</v>
      </c>
      <c r="K451" s="960"/>
      <c r="L451" s="1121"/>
      <c r="M451" s="916">
        <v>30610.23</v>
      </c>
      <c r="N451" s="916">
        <v>34061.94349185154</v>
      </c>
      <c r="O451" s="1174">
        <v>6966.7</v>
      </c>
      <c r="P451" s="1174">
        <v>7752.2887519852711</v>
      </c>
      <c r="Q451" s="1174">
        <v>3328.18</v>
      </c>
      <c r="R451" s="1174">
        <v>3703.4768798114374</v>
      </c>
      <c r="S451" s="1174">
        <v>2350.21</v>
      </c>
      <c r="T451" s="1174">
        <v>2615.2276612748224</v>
      </c>
      <c r="U451" s="1120">
        <v>869.84445772770687</v>
      </c>
      <c r="V451" s="1120">
        <v>967.93107290671765</v>
      </c>
      <c r="W451" s="1120">
        <v>1868.4114288025628</v>
      </c>
      <c r="X451" s="1120">
        <v>2079.0998469270726</v>
      </c>
      <c r="Y451" s="1119"/>
      <c r="Z451" s="1119"/>
      <c r="AA451" s="1119"/>
      <c r="AB451" s="1119"/>
      <c r="AC451" s="1178">
        <v>14.702</v>
      </c>
      <c r="AD451" s="1178">
        <v>16.420000000000002</v>
      </c>
      <c r="AE451" s="1178">
        <v>71705.3</v>
      </c>
      <c r="AF451" s="1178">
        <v>79791.033150233183</v>
      </c>
      <c r="AG451" s="1178">
        <v>1447.818</v>
      </c>
      <c r="AH451" s="1178">
        <v>1611.0788746927255</v>
      </c>
      <c r="AI451" s="1178">
        <v>362.61399999999998</v>
      </c>
      <c r="AJ451" s="1178">
        <v>403.50358613294486</v>
      </c>
      <c r="AK451" s="919">
        <v>92.53</v>
      </c>
      <c r="AL451" s="919">
        <v>102.96399704611899</v>
      </c>
      <c r="AM451" s="919">
        <v>99.51</v>
      </c>
      <c r="AN451" s="919">
        <v>110.73108555127311</v>
      </c>
      <c r="AO451" s="919"/>
      <c r="AP451" s="919"/>
      <c r="AS451" s="1167"/>
      <c r="AT451" s="1167"/>
      <c r="AU451" s="1168"/>
      <c r="AV451" s="1168"/>
      <c r="AW451" s="1169"/>
      <c r="AX451" s="1169"/>
      <c r="AY451" s="1169"/>
      <c r="AZ451" s="1169"/>
      <c r="BA451" s="1878" t="s">
        <v>1</v>
      </c>
      <c r="BB451" s="1879">
        <v>2014</v>
      </c>
      <c r="BC451" s="1878" t="s">
        <v>581</v>
      </c>
      <c r="BD451" s="1878">
        <v>7</v>
      </c>
      <c r="BE451" s="1880">
        <v>165269000</v>
      </c>
      <c r="BF451" s="1801">
        <v>1.2704449905213791E-2</v>
      </c>
      <c r="BG451" s="1799"/>
      <c r="BH451" s="1881" t="s">
        <v>1</v>
      </c>
      <c r="BI451" s="1881" t="s">
        <v>309</v>
      </c>
      <c r="BJ451" s="1881" t="s">
        <v>51</v>
      </c>
      <c r="BK451" s="1881">
        <v>2</v>
      </c>
      <c r="BL451" s="1882">
        <v>1226639000</v>
      </c>
      <c r="BM451" s="1801">
        <v>0.22085745640292512</v>
      </c>
      <c r="BN451" s="1799">
        <v>2003</v>
      </c>
      <c r="BO451" s="1684"/>
      <c r="BP451" s="1696"/>
      <c r="BQ451" s="1169"/>
      <c r="BR451" s="1169"/>
      <c r="BS451" s="1169"/>
      <c r="BT451" s="1169"/>
      <c r="BU451" s="1169"/>
      <c r="BV451" s="1169"/>
      <c r="BW451" s="1169"/>
      <c r="BX451" s="1169"/>
      <c r="BY451" s="1169"/>
      <c r="BZ451" s="1169"/>
      <c r="CA451" s="1169"/>
      <c r="CB451" s="1169"/>
      <c r="CC451" s="1169"/>
      <c r="CD451" s="1169"/>
      <c r="CE451" s="1169"/>
      <c r="CF451" s="1169"/>
      <c r="CG451" s="1169"/>
      <c r="CH451" s="1169"/>
      <c r="CI451" s="1169"/>
      <c r="CJ451" s="1169"/>
      <c r="CK451" s="1169"/>
      <c r="CL451" s="1169"/>
      <c r="CM451" s="1169"/>
      <c r="CN451" s="1169"/>
      <c r="CO451" s="1169"/>
      <c r="CP451" s="1169"/>
      <c r="CQ451" s="1169"/>
      <c r="CR451" s="1169"/>
      <c r="CS451" s="1169"/>
      <c r="CT451" s="1169"/>
      <c r="CU451" s="1169"/>
      <c r="CV451" s="1169"/>
      <c r="CW451" s="1169"/>
      <c r="CX451" s="1169"/>
      <c r="CY451" s="1169"/>
      <c r="CZ451" s="1169"/>
      <c r="DA451" s="1168"/>
      <c r="DB451" s="1168"/>
      <c r="DC451" s="1168"/>
      <c r="DD451" s="1168"/>
      <c r="DE451" s="1168"/>
      <c r="DF451" s="1168"/>
      <c r="DG451" s="1168"/>
      <c r="DH451" s="1168"/>
      <c r="DI451" s="1168"/>
      <c r="DJ451" s="1168"/>
      <c r="DK451" s="1168"/>
      <c r="DL451" s="1168"/>
      <c r="DM451" s="1168"/>
      <c r="DN451" s="1168"/>
      <c r="DO451" s="1168"/>
      <c r="DP451" s="1168"/>
      <c r="DQ451" s="1168"/>
      <c r="DR451" s="1168"/>
      <c r="DS451" s="1168"/>
      <c r="DT451" s="1168"/>
      <c r="DU451" s="1168"/>
      <c r="DV451" s="1168"/>
      <c r="DW451" s="1168"/>
      <c r="DX451" s="1168"/>
      <c r="DY451" s="1168"/>
      <c r="DZ451" s="1168"/>
      <c r="EA451" s="1168"/>
      <c r="EB451" s="1168"/>
      <c r="EC451" s="1168"/>
      <c r="ED451" s="1168"/>
      <c r="EE451" s="1168"/>
      <c r="EF451" s="1168"/>
      <c r="EG451" s="1168"/>
      <c r="EH451" s="1168"/>
      <c r="EI451" s="1170"/>
      <c r="EJ451" s="1170"/>
      <c r="EK451" s="1170"/>
      <c r="EL451" s="1170"/>
      <c r="EM451" s="1170"/>
      <c r="EN451" s="1170"/>
      <c r="EO451" s="1170"/>
      <c r="EP451" s="1170"/>
      <c r="EQ451" s="1170"/>
      <c r="ER451" s="1170"/>
      <c r="ES451" s="1171"/>
      <c r="ET451" s="1171"/>
      <c r="EU451" s="1171"/>
      <c r="EV451" s="1171"/>
      <c r="EW451" s="1171"/>
      <c r="EX451" s="1171"/>
      <c r="EY451" s="1171"/>
      <c r="EZ451" s="1171"/>
      <c r="FA451" s="1171"/>
      <c r="FB451" s="1171"/>
      <c r="FC451" s="1171"/>
      <c r="FD451" s="1171"/>
      <c r="FE451" s="1171"/>
      <c r="FF451" s="1171"/>
      <c r="FG451" s="1171"/>
      <c r="FH451" s="1171"/>
      <c r="FI451" s="1171"/>
      <c r="FJ451" s="1171"/>
      <c r="FK451" s="1171"/>
      <c r="FL451" s="1171"/>
      <c r="FM451" s="1171"/>
      <c r="FN451" s="1171"/>
      <c r="FO451" s="1171"/>
      <c r="FP451" s="1171"/>
    </row>
    <row r="452" spans="1:172" s="607" customFormat="1">
      <c r="A452" s="607">
        <f t="shared" si="12"/>
        <v>2007</v>
      </c>
      <c r="B452" s="607">
        <f t="shared" si="13"/>
        <v>4</v>
      </c>
      <c r="C452" s="666">
        <v>39417</v>
      </c>
      <c r="D452" s="957">
        <v>0.87259473684210531</v>
      </c>
      <c r="E452" s="920">
        <v>323.02054074271354</v>
      </c>
      <c r="F452" s="920">
        <v>370.18392055825979</v>
      </c>
      <c r="G452" s="920"/>
      <c r="H452" s="920"/>
      <c r="I452" s="954">
        <v>803.20299999999997</v>
      </c>
      <c r="J452" s="954">
        <v>919.87</v>
      </c>
      <c r="K452" s="954"/>
      <c r="L452" s="920"/>
      <c r="M452" s="917">
        <v>25991.94</v>
      </c>
      <c r="N452" s="917">
        <v>29786.954817151505</v>
      </c>
      <c r="O452" s="1175">
        <v>6587.67</v>
      </c>
      <c r="P452" s="1175">
        <v>7549.5183753234451</v>
      </c>
      <c r="Q452" s="1175">
        <v>2596.0300000000002</v>
      </c>
      <c r="R452" s="1175">
        <v>2975.0695143944558</v>
      </c>
      <c r="S452" s="1175">
        <v>2353.08</v>
      </c>
      <c r="T452" s="1175">
        <v>2696.6470236982259</v>
      </c>
      <c r="U452" s="920">
        <v>856.83803716916805</v>
      </c>
      <c r="V452" s="920">
        <v>981.94270603790221</v>
      </c>
      <c r="W452" s="920">
        <v>1885.6011002150344</v>
      </c>
      <c r="X452" s="920">
        <v>2160.9127589274367</v>
      </c>
      <c r="Y452" s="920"/>
      <c r="Z452" s="920"/>
      <c r="AA452" s="920"/>
      <c r="AB452" s="920"/>
      <c r="AC452" s="920">
        <v>14.295999999999999</v>
      </c>
      <c r="AD452" s="920">
        <v>16.43</v>
      </c>
      <c r="AE452" s="920">
        <v>85098</v>
      </c>
      <c r="AF452" s="920">
        <v>97522.935226457077</v>
      </c>
      <c r="AG452" s="920">
        <v>1484.941</v>
      </c>
      <c r="AH452" s="920">
        <v>1701.7533309608971</v>
      </c>
      <c r="AI452" s="920">
        <v>350.55900000000003</v>
      </c>
      <c r="AJ452" s="920">
        <v>401.74319784309353</v>
      </c>
      <c r="AK452" s="920">
        <v>91.45</v>
      </c>
      <c r="AL452" s="920">
        <v>104.80237404474254</v>
      </c>
      <c r="AM452" s="920">
        <v>98.05</v>
      </c>
      <c r="AN452" s="920">
        <v>112.36602269094593</v>
      </c>
      <c r="AO452" s="920"/>
      <c r="AP452" s="920"/>
      <c r="AS452" s="1167"/>
      <c r="AT452" s="1167"/>
      <c r="AU452" s="1168"/>
      <c r="AV452" s="1168"/>
      <c r="AW452" s="1169"/>
      <c r="AX452" s="1169"/>
      <c r="AY452" s="1169"/>
      <c r="AZ452" s="1169"/>
      <c r="BA452" s="1878" t="s">
        <v>1</v>
      </c>
      <c r="BB452" s="1879">
        <v>2014</v>
      </c>
      <c r="BC452" s="1878" t="s">
        <v>431</v>
      </c>
      <c r="BD452" s="1878">
        <v>8</v>
      </c>
      <c r="BE452" s="1880">
        <v>108494000</v>
      </c>
      <c r="BF452" s="1801">
        <v>8.3400794342330681E-3</v>
      </c>
      <c r="BG452" s="1799"/>
      <c r="BH452" s="1881" t="s">
        <v>1</v>
      </c>
      <c r="BI452" s="1881" t="s">
        <v>309</v>
      </c>
      <c r="BJ452" s="1881" t="s">
        <v>581</v>
      </c>
      <c r="BK452" s="1881">
        <v>3</v>
      </c>
      <c r="BL452" s="1882">
        <v>745512000</v>
      </c>
      <c r="BM452" s="1801">
        <v>0.13423010685120684</v>
      </c>
      <c r="BN452" s="1799">
        <v>2003</v>
      </c>
      <c r="BO452" s="1684"/>
      <c r="BP452" s="1696"/>
      <c r="BQ452" s="1169"/>
      <c r="BR452" s="1169"/>
      <c r="BS452" s="1169"/>
      <c r="BT452" s="1169"/>
      <c r="BU452" s="1169"/>
      <c r="BV452" s="1169"/>
      <c r="BW452" s="1169"/>
      <c r="BX452" s="1169"/>
      <c r="BY452" s="1169"/>
      <c r="BZ452" s="1169"/>
      <c r="CA452" s="1169"/>
      <c r="CB452" s="1169"/>
      <c r="CC452" s="1169"/>
      <c r="CD452" s="1169"/>
      <c r="CE452" s="1169"/>
      <c r="CF452" s="1169"/>
      <c r="CG452" s="1169"/>
      <c r="CH452" s="1169"/>
      <c r="CI452" s="1169"/>
      <c r="CJ452" s="1169"/>
      <c r="CK452" s="1169"/>
      <c r="CL452" s="1169"/>
      <c r="CM452" s="1169"/>
      <c r="CN452" s="1169"/>
      <c r="CO452" s="1169"/>
      <c r="CP452" s="1169"/>
      <c r="CQ452" s="1169"/>
      <c r="CR452" s="1169"/>
      <c r="CS452" s="1169"/>
      <c r="CT452" s="1169"/>
      <c r="CU452" s="1169"/>
      <c r="CV452" s="1169"/>
      <c r="CW452" s="1169"/>
      <c r="CX452" s="1169"/>
      <c r="CY452" s="1169"/>
      <c r="CZ452" s="1169"/>
      <c r="DA452" s="1168"/>
      <c r="DB452" s="1168"/>
      <c r="DC452" s="1168"/>
      <c r="DD452" s="1168"/>
      <c r="DE452" s="1168"/>
      <c r="DF452" s="1168"/>
      <c r="DG452" s="1168"/>
      <c r="DH452" s="1168"/>
      <c r="DI452" s="1168"/>
      <c r="DJ452" s="1168"/>
      <c r="DK452" s="1168"/>
      <c r="DL452" s="1168"/>
      <c r="DM452" s="1168"/>
      <c r="DN452" s="1168"/>
      <c r="DO452" s="1168"/>
      <c r="DP452" s="1168"/>
      <c r="DQ452" s="1168"/>
      <c r="DR452" s="1168"/>
      <c r="DS452" s="1168"/>
      <c r="DT452" s="1168"/>
      <c r="DU452" s="1168"/>
      <c r="DV452" s="1168"/>
      <c r="DW452" s="1168"/>
      <c r="DX452" s="1168"/>
      <c r="DY452" s="1168"/>
      <c r="DZ452" s="1168"/>
      <c r="EA452" s="1168"/>
      <c r="EB452" s="1168"/>
      <c r="EC452" s="1168"/>
      <c r="ED452" s="1168"/>
      <c r="EE452" s="1168"/>
      <c r="EF452" s="1168"/>
      <c r="EG452" s="1168"/>
      <c r="EH452" s="1168"/>
      <c r="EI452" s="1170"/>
      <c r="EJ452" s="1170"/>
      <c r="EK452" s="1170"/>
      <c r="EL452" s="1170"/>
      <c r="EM452" s="1170"/>
      <c r="EN452" s="1170"/>
      <c r="EO452" s="1170"/>
      <c r="EP452" s="1170"/>
      <c r="EQ452" s="1170"/>
      <c r="ER452" s="1170"/>
      <c r="ES452" s="1171"/>
      <c r="ET452" s="1171"/>
      <c r="EU452" s="1171"/>
      <c r="EV452" s="1171"/>
      <c r="EW452" s="1171"/>
      <c r="EX452" s="1171"/>
      <c r="EY452" s="1171"/>
      <c r="EZ452" s="1171"/>
      <c r="FA452" s="1171"/>
      <c r="FB452" s="1171"/>
      <c r="FC452" s="1171"/>
      <c r="FD452" s="1171"/>
      <c r="FE452" s="1171"/>
      <c r="FF452" s="1171"/>
      <c r="FG452" s="1171"/>
      <c r="FH452" s="1171"/>
      <c r="FI452" s="1171"/>
      <c r="FJ452" s="1171"/>
      <c r="FK452" s="1171"/>
      <c r="FL452" s="1171"/>
      <c r="FM452" s="1171"/>
      <c r="FN452" s="1171"/>
      <c r="FO452" s="1171"/>
      <c r="FP452" s="1171"/>
    </row>
    <row r="453" spans="1:172" s="607" customFormat="1">
      <c r="A453" s="607">
        <f t="shared" si="12"/>
        <v>2008</v>
      </c>
      <c r="B453" s="607">
        <f t="shared" si="13"/>
        <v>1</v>
      </c>
      <c r="C453" s="666">
        <v>39448</v>
      </c>
      <c r="D453" s="1709">
        <v>0.88151428571428581</v>
      </c>
      <c r="E453" s="1117">
        <v>308.98911320320082</v>
      </c>
      <c r="F453" s="1117">
        <v>350.52082332713275</v>
      </c>
      <c r="G453" s="1117"/>
      <c r="H453" s="1117"/>
      <c r="I453" s="959">
        <v>889.59500000000003</v>
      </c>
      <c r="J453" s="959">
        <v>1002.09</v>
      </c>
      <c r="K453" s="960"/>
      <c r="L453" s="1121"/>
      <c r="M453" s="916">
        <v>27689.55</v>
      </c>
      <c r="N453" s="916">
        <v>31411.345736233103</v>
      </c>
      <c r="O453" s="1174">
        <v>7061.02</v>
      </c>
      <c r="P453" s="1174">
        <v>8010.1027452759854</v>
      </c>
      <c r="Q453" s="1174">
        <v>2608.14</v>
      </c>
      <c r="R453" s="1174">
        <v>2958.704177875733</v>
      </c>
      <c r="S453" s="1174">
        <v>2340.11</v>
      </c>
      <c r="T453" s="1174">
        <v>2654.6478462386153</v>
      </c>
      <c r="U453" s="1120">
        <v>838.32008571428582</v>
      </c>
      <c r="V453" s="1120">
        <v>951</v>
      </c>
      <c r="W453" s="1120">
        <v>1907.9392768001096</v>
      </c>
      <c r="X453" s="1120">
        <v>2164.3883799955865</v>
      </c>
      <c r="Y453" s="1119"/>
      <c r="Z453" s="1119"/>
      <c r="AA453" s="1119"/>
      <c r="AB453" s="1119"/>
      <c r="AC453" s="1178">
        <v>15.961</v>
      </c>
      <c r="AD453" s="1178">
        <v>18.05</v>
      </c>
      <c r="AE453" s="1178">
        <v>96521.1</v>
      </c>
      <c r="AF453" s="1178">
        <v>109494.65205976728</v>
      </c>
      <c r="AG453" s="1178">
        <v>1585.7729999999999</v>
      </c>
      <c r="AH453" s="1178">
        <v>1798.9192298966061</v>
      </c>
      <c r="AI453" s="1178">
        <v>374.20499999999998</v>
      </c>
      <c r="AJ453" s="1178">
        <v>424.50247949956236</v>
      </c>
      <c r="AK453" s="919">
        <v>91.92</v>
      </c>
      <c r="AL453" s="919">
        <v>104.27511101027451</v>
      </c>
      <c r="AM453" s="919">
        <v>96.74</v>
      </c>
      <c r="AN453" s="919">
        <v>109.74297475123973</v>
      </c>
      <c r="AO453" s="919"/>
      <c r="AP453" s="919"/>
      <c r="AS453" s="1167"/>
      <c r="AT453" s="1167"/>
      <c r="AU453" s="1168"/>
      <c r="AV453" s="1168"/>
      <c r="AW453" s="1169"/>
      <c r="AX453" s="1169"/>
      <c r="AY453" s="1169"/>
      <c r="AZ453" s="1169"/>
      <c r="BA453" s="1878" t="s">
        <v>1</v>
      </c>
      <c r="BB453" s="1879">
        <v>2014</v>
      </c>
      <c r="BC453" s="1878" t="s">
        <v>46</v>
      </c>
      <c r="BD453" s="1878">
        <v>9</v>
      </c>
      <c r="BE453" s="1880">
        <v>30829000</v>
      </c>
      <c r="BF453" s="1801">
        <v>2.3698666182274714E-3</v>
      </c>
      <c r="BG453" s="1799"/>
      <c r="BH453" s="1881" t="s">
        <v>1</v>
      </c>
      <c r="BI453" s="1881" t="s">
        <v>309</v>
      </c>
      <c r="BJ453" s="1881" t="s">
        <v>49</v>
      </c>
      <c r="BK453" s="1881">
        <v>4</v>
      </c>
      <c r="BL453" s="1882">
        <v>302664000</v>
      </c>
      <c r="BM453" s="1801">
        <v>5.449492571549977E-2</v>
      </c>
      <c r="BN453" s="1799">
        <v>2003</v>
      </c>
      <c r="BO453" s="1684"/>
      <c r="BP453" s="1696"/>
      <c r="BQ453" s="1169"/>
      <c r="BR453" s="1169"/>
      <c r="BS453" s="1169"/>
      <c r="BT453" s="1169"/>
      <c r="BU453" s="1169"/>
      <c r="BV453" s="1169"/>
      <c r="BW453" s="1169"/>
      <c r="BX453" s="1169"/>
      <c r="BY453" s="1169"/>
      <c r="BZ453" s="1169"/>
      <c r="CA453" s="1169"/>
      <c r="CB453" s="1169"/>
      <c r="CC453" s="1169"/>
      <c r="CD453" s="1169"/>
      <c r="CE453" s="1169"/>
      <c r="CF453" s="1169"/>
      <c r="CG453" s="1169"/>
      <c r="CH453" s="1169"/>
      <c r="CI453" s="1169"/>
      <c r="CJ453" s="1169"/>
      <c r="CK453" s="1169"/>
      <c r="CL453" s="1169"/>
      <c r="CM453" s="1169"/>
      <c r="CN453" s="1169"/>
      <c r="CO453" s="1169"/>
      <c r="CP453" s="1169"/>
      <c r="CQ453" s="1169"/>
      <c r="CR453" s="1169"/>
      <c r="CS453" s="1169"/>
      <c r="CT453" s="1169"/>
      <c r="CU453" s="1169"/>
      <c r="CV453" s="1169"/>
      <c r="CW453" s="1169"/>
      <c r="CX453" s="1169"/>
      <c r="CY453" s="1169"/>
      <c r="CZ453" s="1169"/>
      <c r="DA453" s="1168"/>
      <c r="DB453" s="1168"/>
      <c r="DC453" s="1168"/>
      <c r="DD453" s="1168"/>
      <c r="DE453" s="1168"/>
      <c r="DF453" s="1168"/>
      <c r="DG453" s="1168"/>
      <c r="DH453" s="1168"/>
      <c r="DI453" s="1168"/>
      <c r="DJ453" s="1168"/>
      <c r="DK453" s="1168"/>
      <c r="DL453" s="1168"/>
      <c r="DM453" s="1168"/>
      <c r="DN453" s="1168"/>
      <c r="DO453" s="1168"/>
      <c r="DP453" s="1168"/>
      <c r="DQ453" s="1168"/>
      <c r="DR453" s="1168"/>
      <c r="DS453" s="1168"/>
      <c r="DT453" s="1168"/>
      <c r="DU453" s="1168"/>
      <c r="DV453" s="1168"/>
      <c r="DW453" s="1168"/>
      <c r="DX453" s="1168"/>
      <c r="DY453" s="1168"/>
      <c r="DZ453" s="1168"/>
      <c r="EA453" s="1168"/>
      <c r="EB453" s="1168"/>
      <c r="EC453" s="1168"/>
      <c r="ED453" s="1168"/>
      <c r="EE453" s="1168"/>
      <c r="EF453" s="1168"/>
      <c r="EG453" s="1168"/>
      <c r="EH453" s="1168"/>
      <c r="EI453" s="1170"/>
      <c r="EJ453" s="1170"/>
      <c r="EK453" s="1170"/>
      <c r="EL453" s="1170"/>
      <c r="EM453" s="1170"/>
      <c r="EN453" s="1170"/>
      <c r="EO453" s="1170"/>
      <c r="EP453" s="1170"/>
      <c r="EQ453" s="1170"/>
      <c r="ER453" s="1170"/>
      <c r="ES453" s="1171"/>
      <c r="ET453" s="1171"/>
      <c r="EU453" s="1171"/>
      <c r="EV453" s="1171"/>
      <c r="EW453" s="1171"/>
      <c r="EX453" s="1171"/>
      <c r="EY453" s="1171"/>
      <c r="EZ453" s="1171"/>
      <c r="FA453" s="1171"/>
      <c r="FB453" s="1171"/>
      <c r="FC453" s="1171"/>
      <c r="FD453" s="1171"/>
      <c r="FE453" s="1171"/>
      <c r="FF453" s="1171"/>
      <c r="FG453" s="1171"/>
      <c r="FH453" s="1171"/>
      <c r="FI453" s="1171"/>
      <c r="FJ453" s="1171"/>
      <c r="FK453" s="1171"/>
      <c r="FL453" s="1171"/>
      <c r="FM453" s="1171"/>
      <c r="FN453" s="1171"/>
      <c r="FO453" s="1171"/>
      <c r="FP453" s="1171"/>
    </row>
    <row r="454" spans="1:172" s="607" customFormat="1">
      <c r="A454" s="607">
        <f t="shared" si="12"/>
        <v>2008</v>
      </c>
      <c r="B454" s="607">
        <f t="shared" si="13"/>
        <v>1</v>
      </c>
      <c r="C454" s="666">
        <v>39479</v>
      </c>
      <c r="D454" s="957">
        <v>0.91281428571428558</v>
      </c>
      <c r="E454" s="920">
        <v>317.46768042857138</v>
      </c>
      <c r="F454" s="920">
        <v>347.79</v>
      </c>
      <c r="G454" s="920"/>
      <c r="H454" s="920"/>
      <c r="I454" s="954">
        <v>922.298</v>
      </c>
      <c r="J454" s="954">
        <v>1015.42</v>
      </c>
      <c r="K454" s="954"/>
      <c r="L454" s="920"/>
      <c r="M454" s="917">
        <v>27955.48</v>
      </c>
      <c r="N454" s="917">
        <v>30625.594315852079</v>
      </c>
      <c r="O454" s="1175">
        <v>7887.69</v>
      </c>
      <c r="P454" s="1175">
        <v>8641.0676557584866</v>
      </c>
      <c r="Q454" s="1175">
        <v>3079.88</v>
      </c>
      <c r="R454" s="1175">
        <v>3374.048859883876</v>
      </c>
      <c r="S454" s="1175">
        <v>2438.14</v>
      </c>
      <c r="T454" s="1175">
        <v>2671.0142886207491</v>
      </c>
      <c r="U454" s="920">
        <v>880.7927605714284</v>
      </c>
      <c r="V454" s="920">
        <v>964.92</v>
      </c>
      <c r="W454" s="920">
        <v>1940.8348624285711</v>
      </c>
      <c r="X454" s="920">
        <v>2126.21</v>
      </c>
      <c r="Y454" s="920"/>
      <c r="Z454" s="920"/>
      <c r="AA454" s="920"/>
      <c r="AB454" s="920"/>
      <c r="AC454" s="920">
        <v>17.568999999999999</v>
      </c>
      <c r="AD454" s="920">
        <v>19.16</v>
      </c>
      <c r="AE454" s="920">
        <v>103231.4</v>
      </c>
      <c r="AF454" s="920">
        <v>113091.3501416342</v>
      </c>
      <c r="AG454" s="920">
        <v>1999.6669999999999</v>
      </c>
      <c r="AH454" s="920">
        <v>2190.6613769034543</v>
      </c>
      <c r="AI454" s="920">
        <v>468.88099999999997</v>
      </c>
      <c r="AJ454" s="920">
        <v>513.66527380002196</v>
      </c>
      <c r="AK454" s="920">
        <v>94.82</v>
      </c>
      <c r="AL454" s="920">
        <v>103.87655132478834</v>
      </c>
      <c r="AM454" s="920">
        <v>100.13</v>
      </c>
      <c r="AN454" s="920">
        <v>109.6937258400238</v>
      </c>
      <c r="AO454" s="920"/>
      <c r="AP454" s="920"/>
      <c r="AS454" s="1167"/>
      <c r="AT454" s="1167"/>
      <c r="AU454" s="1168"/>
      <c r="AV454" s="1168"/>
      <c r="AW454" s="1169"/>
      <c r="AX454" s="1169"/>
      <c r="AY454" s="1169"/>
      <c r="AZ454" s="1169"/>
      <c r="BA454" s="1878" t="s">
        <v>1</v>
      </c>
      <c r="BB454" s="1879">
        <v>2014</v>
      </c>
      <c r="BC454" s="1878" t="s">
        <v>20</v>
      </c>
      <c r="BD454" s="1878">
        <v>10</v>
      </c>
      <c r="BE454" s="1880">
        <v>22247000</v>
      </c>
      <c r="BF454" s="1801">
        <v>1.710156756810359E-3</v>
      </c>
      <c r="BG454" s="1799"/>
      <c r="BH454" s="1881" t="s">
        <v>1</v>
      </c>
      <c r="BI454" s="1881" t="s">
        <v>309</v>
      </c>
      <c r="BJ454" s="1881" t="s">
        <v>28</v>
      </c>
      <c r="BK454" s="1881">
        <v>5</v>
      </c>
      <c r="BL454" s="1882">
        <v>235400000</v>
      </c>
      <c r="BM454" s="1801">
        <v>4.2383981951697743E-2</v>
      </c>
      <c r="BN454" s="1799">
        <v>2003</v>
      </c>
      <c r="BO454" s="1684"/>
      <c r="BP454" s="1696"/>
      <c r="BQ454" s="1169"/>
      <c r="BR454" s="1169"/>
      <c r="BS454" s="1169"/>
      <c r="BT454" s="1169"/>
      <c r="BU454" s="1169"/>
      <c r="BV454" s="1169"/>
      <c r="BW454" s="1169"/>
      <c r="BX454" s="1169"/>
      <c r="BY454" s="1169"/>
      <c r="BZ454" s="1169"/>
      <c r="CA454" s="1169"/>
      <c r="CB454" s="1169"/>
      <c r="CC454" s="1169"/>
      <c r="CD454" s="1169"/>
      <c r="CE454" s="1169"/>
      <c r="CF454" s="1169"/>
      <c r="CG454" s="1169"/>
      <c r="CH454" s="1169"/>
      <c r="CI454" s="1169"/>
      <c r="CJ454" s="1169"/>
      <c r="CK454" s="1169"/>
      <c r="CL454" s="1169"/>
      <c r="CM454" s="1169"/>
      <c r="CN454" s="1169"/>
      <c r="CO454" s="1169"/>
      <c r="CP454" s="1169"/>
      <c r="CQ454" s="1169"/>
      <c r="CR454" s="1169"/>
      <c r="CS454" s="1169"/>
      <c r="CT454" s="1169"/>
      <c r="CU454" s="1169"/>
      <c r="CV454" s="1169"/>
      <c r="CW454" s="1169"/>
      <c r="CX454" s="1169"/>
      <c r="CY454" s="1169"/>
      <c r="CZ454" s="1169"/>
      <c r="DA454" s="1168"/>
      <c r="DB454" s="1168"/>
      <c r="DC454" s="1168"/>
      <c r="DD454" s="1168"/>
      <c r="DE454" s="1168"/>
      <c r="DF454" s="1168"/>
      <c r="DG454" s="1168"/>
      <c r="DH454" s="1168"/>
      <c r="DI454" s="1168"/>
      <c r="DJ454" s="1168"/>
      <c r="DK454" s="1168"/>
      <c r="DL454" s="1168"/>
      <c r="DM454" s="1168"/>
      <c r="DN454" s="1168"/>
      <c r="DO454" s="1168"/>
      <c r="DP454" s="1168"/>
      <c r="DQ454" s="1168"/>
      <c r="DR454" s="1168"/>
      <c r="DS454" s="1168"/>
      <c r="DT454" s="1168"/>
      <c r="DU454" s="1168"/>
      <c r="DV454" s="1168"/>
      <c r="DW454" s="1168"/>
      <c r="DX454" s="1168"/>
      <c r="DY454" s="1168"/>
      <c r="DZ454" s="1168"/>
      <c r="EA454" s="1168"/>
      <c r="EB454" s="1168"/>
      <c r="EC454" s="1168"/>
      <c r="ED454" s="1168"/>
      <c r="EE454" s="1168"/>
      <c r="EF454" s="1168"/>
      <c r="EG454" s="1168"/>
      <c r="EH454" s="1168"/>
      <c r="EI454" s="1170"/>
      <c r="EJ454" s="1170"/>
      <c r="EK454" s="1170"/>
      <c r="EL454" s="1170"/>
      <c r="EM454" s="1170"/>
      <c r="EN454" s="1170"/>
      <c r="EO454" s="1170"/>
      <c r="EP454" s="1170"/>
      <c r="EQ454" s="1170"/>
      <c r="ER454" s="1170"/>
      <c r="ES454" s="1171"/>
      <c r="ET454" s="1171"/>
      <c r="EU454" s="1171"/>
      <c r="EV454" s="1171"/>
      <c r="EW454" s="1171"/>
      <c r="EX454" s="1171"/>
      <c r="EY454" s="1171"/>
      <c r="EZ454" s="1171"/>
      <c r="FA454" s="1171"/>
      <c r="FB454" s="1171"/>
      <c r="FC454" s="1171"/>
      <c r="FD454" s="1171"/>
      <c r="FE454" s="1171"/>
      <c r="FF454" s="1171"/>
      <c r="FG454" s="1171"/>
      <c r="FH454" s="1171"/>
      <c r="FI454" s="1171"/>
      <c r="FJ454" s="1171"/>
      <c r="FK454" s="1171"/>
      <c r="FL454" s="1171"/>
      <c r="FM454" s="1171"/>
      <c r="FN454" s="1171"/>
      <c r="FO454" s="1171"/>
      <c r="FP454" s="1171"/>
    </row>
    <row r="455" spans="1:172" s="607" customFormat="1">
      <c r="A455" s="607">
        <f t="shared" si="12"/>
        <v>2008</v>
      </c>
      <c r="B455" s="607">
        <f t="shared" si="13"/>
        <v>1</v>
      </c>
      <c r="C455" s="666">
        <v>39508</v>
      </c>
      <c r="D455" s="1709">
        <v>0.92598947368421047</v>
      </c>
      <c r="E455" s="1117">
        <v>318.855215368421</v>
      </c>
      <c r="F455" s="1117">
        <v>344.34</v>
      </c>
      <c r="G455" s="1117"/>
      <c r="H455" s="1117"/>
      <c r="I455" s="959">
        <v>968.43399999999997</v>
      </c>
      <c r="J455" s="959">
        <v>1044.98</v>
      </c>
      <c r="K455" s="960"/>
      <c r="L455" s="1121"/>
      <c r="M455" s="916">
        <v>31255.26</v>
      </c>
      <c r="N455" s="916">
        <v>33753.364253316511</v>
      </c>
      <c r="O455" s="1174">
        <v>8439.2900000000009</v>
      </c>
      <c r="P455" s="1174">
        <v>9113.8077049869862</v>
      </c>
      <c r="Q455" s="1174">
        <v>3008.58</v>
      </c>
      <c r="R455" s="1174">
        <v>3249.0434130204958</v>
      </c>
      <c r="S455" s="1174">
        <v>2511.4699999999998</v>
      </c>
      <c r="T455" s="1174">
        <v>2712.2014573315601</v>
      </c>
      <c r="U455" s="1120">
        <v>807.71283821052623</v>
      </c>
      <c r="V455" s="1120">
        <v>872.27</v>
      </c>
      <c r="W455" s="1120">
        <v>1920.4558689473681</v>
      </c>
      <c r="X455" s="1120">
        <v>2073.9499999999998</v>
      </c>
      <c r="Y455" s="1119"/>
      <c r="Z455" s="1119"/>
      <c r="AA455" s="1119"/>
      <c r="AB455" s="1119"/>
      <c r="AC455" s="1178">
        <v>19.506</v>
      </c>
      <c r="AD455" s="1178">
        <v>21.04</v>
      </c>
      <c r="AE455" s="1178">
        <v>106648.5</v>
      </c>
      <c r="AF455" s="1178">
        <v>115172.47553115303</v>
      </c>
      <c r="AG455" s="1178">
        <v>2046.4739999999999</v>
      </c>
      <c r="AH455" s="1178">
        <v>2210.0402414486921</v>
      </c>
      <c r="AI455" s="1178">
        <v>488.73700000000002</v>
      </c>
      <c r="AJ455" s="1178">
        <v>527.79973627073184</v>
      </c>
      <c r="AK455" s="919">
        <v>103.28</v>
      </c>
      <c r="AL455" s="919">
        <v>111.53474519432983</v>
      </c>
      <c r="AM455" s="919">
        <v>109.61</v>
      </c>
      <c r="AN455" s="919">
        <v>118.37067603360275</v>
      </c>
      <c r="AO455" s="919"/>
      <c r="AP455" s="919"/>
      <c r="AS455" s="1167"/>
      <c r="AT455" s="1167"/>
      <c r="AU455" s="1168"/>
      <c r="AV455" s="1168"/>
      <c r="AW455" s="1169"/>
      <c r="AX455" s="1169"/>
      <c r="AY455" s="1169"/>
      <c r="AZ455" s="1169"/>
      <c r="BA455" s="1878" t="s">
        <v>1</v>
      </c>
      <c r="BB455" s="1879">
        <v>2014</v>
      </c>
      <c r="BC455" s="1878" t="s">
        <v>32</v>
      </c>
      <c r="BD455" s="1878"/>
      <c r="BE455" s="1880">
        <v>20895000</v>
      </c>
      <c r="BF455" s="1801">
        <v>1.606226701737423E-3</v>
      </c>
      <c r="BG455" s="1799"/>
      <c r="BH455" s="1881" t="s">
        <v>1</v>
      </c>
      <c r="BI455" s="1881" t="s">
        <v>309</v>
      </c>
      <c r="BJ455" s="1881" t="s">
        <v>20</v>
      </c>
      <c r="BK455" s="1881">
        <v>6</v>
      </c>
      <c r="BL455" s="1882">
        <v>162184000</v>
      </c>
      <c r="BM455" s="1801">
        <v>2.9201375228777176E-2</v>
      </c>
      <c r="BN455" s="1799">
        <v>2003</v>
      </c>
      <c r="BO455" s="1684"/>
      <c r="BP455" s="1696"/>
      <c r="BQ455" s="1169"/>
      <c r="BR455" s="1169"/>
      <c r="BS455" s="1169"/>
      <c r="BT455" s="1169"/>
      <c r="BU455" s="1169"/>
      <c r="BV455" s="1169"/>
      <c r="BW455" s="1169"/>
      <c r="BX455" s="1169"/>
      <c r="BY455" s="1169"/>
      <c r="BZ455" s="1169"/>
      <c r="CA455" s="1169"/>
      <c r="CB455" s="1169"/>
      <c r="CC455" s="1169"/>
      <c r="CD455" s="1169"/>
      <c r="CE455" s="1169"/>
      <c r="CF455" s="1169"/>
      <c r="CG455" s="1169"/>
      <c r="CH455" s="1169"/>
      <c r="CI455" s="1169"/>
      <c r="CJ455" s="1169"/>
      <c r="CK455" s="1169"/>
      <c r="CL455" s="1169"/>
      <c r="CM455" s="1169"/>
      <c r="CN455" s="1169"/>
      <c r="CO455" s="1169"/>
      <c r="CP455" s="1169"/>
      <c r="CQ455" s="1169"/>
      <c r="CR455" s="1169"/>
      <c r="CS455" s="1169"/>
      <c r="CT455" s="1169"/>
      <c r="CU455" s="1169"/>
      <c r="CV455" s="1169"/>
      <c r="CW455" s="1169"/>
      <c r="CX455" s="1169"/>
      <c r="CY455" s="1169"/>
      <c r="CZ455" s="1169"/>
      <c r="DA455" s="1168"/>
      <c r="DB455" s="1168"/>
      <c r="DC455" s="1168"/>
      <c r="DD455" s="1168"/>
      <c r="DE455" s="1168"/>
      <c r="DF455" s="1168"/>
      <c r="DG455" s="1168"/>
      <c r="DH455" s="1168"/>
      <c r="DI455" s="1168"/>
      <c r="DJ455" s="1168"/>
      <c r="DK455" s="1168"/>
      <c r="DL455" s="1168"/>
      <c r="DM455" s="1168"/>
      <c r="DN455" s="1168"/>
      <c r="DO455" s="1168"/>
      <c r="DP455" s="1168"/>
      <c r="DQ455" s="1168"/>
      <c r="DR455" s="1168"/>
      <c r="DS455" s="1168"/>
      <c r="DT455" s="1168"/>
      <c r="DU455" s="1168"/>
      <c r="DV455" s="1168"/>
      <c r="DW455" s="1168"/>
      <c r="DX455" s="1168"/>
      <c r="DY455" s="1168"/>
      <c r="DZ455" s="1168"/>
      <c r="EA455" s="1168"/>
      <c r="EB455" s="1168"/>
      <c r="EC455" s="1168"/>
      <c r="ED455" s="1168"/>
      <c r="EE455" s="1168"/>
      <c r="EF455" s="1168"/>
      <c r="EG455" s="1168"/>
      <c r="EH455" s="1168"/>
      <c r="EI455" s="1170"/>
      <c r="EJ455" s="1170"/>
      <c r="EK455" s="1170"/>
      <c r="EL455" s="1170"/>
      <c r="EM455" s="1170"/>
      <c r="EN455" s="1170"/>
      <c r="EO455" s="1170"/>
      <c r="EP455" s="1170"/>
      <c r="EQ455" s="1170"/>
      <c r="ER455" s="1170"/>
      <c r="ES455" s="1171"/>
      <c r="ET455" s="1171"/>
      <c r="EU455" s="1171"/>
      <c r="EV455" s="1171"/>
      <c r="EW455" s="1171"/>
      <c r="EX455" s="1171"/>
      <c r="EY455" s="1171"/>
      <c r="EZ455" s="1171"/>
      <c r="FA455" s="1171"/>
      <c r="FB455" s="1171"/>
      <c r="FC455" s="1171"/>
      <c r="FD455" s="1171"/>
      <c r="FE455" s="1171"/>
      <c r="FF455" s="1171"/>
      <c r="FG455" s="1171"/>
      <c r="FH455" s="1171"/>
      <c r="FI455" s="1171"/>
      <c r="FJ455" s="1171"/>
      <c r="FK455" s="1171"/>
      <c r="FL455" s="1171"/>
      <c r="FM455" s="1171"/>
      <c r="FN455" s="1171"/>
      <c r="FO455" s="1171"/>
      <c r="FP455" s="1171"/>
    </row>
    <row r="456" spans="1:172" s="607" customFormat="1">
      <c r="A456" s="607">
        <f t="shared" si="12"/>
        <v>2008</v>
      </c>
      <c r="B456" s="607">
        <f t="shared" si="13"/>
        <v>2</v>
      </c>
      <c r="C456" s="666">
        <v>39539</v>
      </c>
      <c r="D456" s="957">
        <v>0.92979999999999985</v>
      </c>
      <c r="E456" s="920">
        <v>349.54901199999995</v>
      </c>
      <c r="F456" s="920">
        <v>375.94</v>
      </c>
      <c r="G456" s="920"/>
      <c r="H456" s="920"/>
      <c r="I456" s="954">
        <v>909.70500000000004</v>
      </c>
      <c r="J456" s="954">
        <v>986.32</v>
      </c>
      <c r="K456" s="954"/>
      <c r="L456" s="920"/>
      <c r="M456" s="917">
        <v>28763.18</v>
      </c>
      <c r="N456" s="917">
        <v>30934.803183480322</v>
      </c>
      <c r="O456" s="1175">
        <v>8686</v>
      </c>
      <c r="P456" s="1175">
        <v>9341.7939341793954</v>
      </c>
      <c r="Q456" s="1175">
        <v>2822.75</v>
      </c>
      <c r="R456" s="1175">
        <v>3035.8679285867934</v>
      </c>
      <c r="S456" s="1175">
        <v>2263.8000000000002</v>
      </c>
      <c r="T456" s="1175">
        <v>2434.7171434717147</v>
      </c>
      <c r="U456" s="920">
        <v>801.03199799999982</v>
      </c>
      <c r="V456" s="920">
        <v>861.51</v>
      </c>
      <c r="W456" s="920">
        <v>1947.7636359999999</v>
      </c>
      <c r="X456" s="920">
        <v>2094.8200000000002</v>
      </c>
      <c r="Y456" s="920"/>
      <c r="Z456" s="920"/>
      <c r="AA456" s="920"/>
      <c r="AB456" s="920"/>
      <c r="AC456" s="920">
        <v>17.5</v>
      </c>
      <c r="AD456" s="920">
        <v>19</v>
      </c>
      <c r="AE456" s="920">
        <v>104581.7</v>
      </c>
      <c r="AF456" s="920">
        <v>112477.62959776298</v>
      </c>
      <c r="AG456" s="920">
        <v>1988.4090000000001</v>
      </c>
      <c r="AH456" s="920">
        <v>2138.5340933534098</v>
      </c>
      <c r="AI456" s="920">
        <v>445.86399999999998</v>
      </c>
      <c r="AJ456" s="920">
        <v>479.52677995267805</v>
      </c>
      <c r="AK456" s="920">
        <v>110.19</v>
      </c>
      <c r="AL456" s="920">
        <v>118.5093568509357</v>
      </c>
      <c r="AM456" s="920">
        <v>118.57</v>
      </c>
      <c r="AN456" s="920">
        <v>127.52204775220478</v>
      </c>
      <c r="AO456" s="920"/>
      <c r="AP456" s="920"/>
      <c r="AS456" s="1167"/>
      <c r="AT456" s="1167"/>
      <c r="AU456" s="1168"/>
      <c r="AV456" s="1168"/>
      <c r="AW456" s="1169"/>
      <c r="AX456" s="1169"/>
      <c r="AY456" s="1169"/>
      <c r="AZ456" s="1169"/>
      <c r="BA456" s="1878" t="s">
        <v>1</v>
      </c>
      <c r="BB456" s="1879">
        <v>2014</v>
      </c>
      <c r="BC456" s="1878" t="s">
        <v>249</v>
      </c>
      <c r="BD456" s="1878"/>
      <c r="BE456" s="1880">
        <v>13008749000</v>
      </c>
      <c r="BF456" s="1801">
        <v>1</v>
      </c>
      <c r="BG456" s="1799"/>
      <c r="BH456" s="1881" t="s">
        <v>1</v>
      </c>
      <c r="BI456" s="1881" t="s">
        <v>309</v>
      </c>
      <c r="BJ456" s="1881" t="s">
        <v>592</v>
      </c>
      <c r="BK456" s="1881">
        <v>7</v>
      </c>
      <c r="BL456" s="1882">
        <v>88152000</v>
      </c>
      <c r="BM456" s="1801">
        <v>1.5871846971138741E-2</v>
      </c>
      <c r="BN456" s="1799">
        <v>2003</v>
      </c>
      <c r="BO456" s="1684"/>
      <c r="BP456" s="1696"/>
      <c r="BQ456" s="1169"/>
      <c r="BR456" s="1169"/>
      <c r="BS456" s="1169"/>
      <c r="BT456" s="1169"/>
      <c r="BU456" s="1169"/>
      <c r="BV456" s="1169"/>
      <c r="BW456" s="1169"/>
      <c r="BX456" s="1169"/>
      <c r="BY456" s="1169"/>
      <c r="BZ456" s="1169"/>
      <c r="CA456" s="1169"/>
      <c r="CB456" s="1169"/>
      <c r="CC456" s="1169"/>
      <c r="CD456" s="1169"/>
      <c r="CE456" s="1169"/>
      <c r="CF456" s="1169"/>
      <c r="CG456" s="1169"/>
      <c r="CH456" s="1169"/>
      <c r="CI456" s="1169"/>
      <c r="CJ456" s="1169"/>
      <c r="CK456" s="1169"/>
      <c r="CL456" s="1169"/>
      <c r="CM456" s="1169"/>
      <c r="CN456" s="1169"/>
      <c r="CO456" s="1169"/>
      <c r="CP456" s="1169"/>
      <c r="CQ456" s="1169"/>
      <c r="CR456" s="1169"/>
      <c r="CS456" s="1169"/>
      <c r="CT456" s="1169"/>
      <c r="CU456" s="1169"/>
      <c r="CV456" s="1169"/>
      <c r="CW456" s="1169"/>
      <c r="CX456" s="1169"/>
      <c r="CY456" s="1169"/>
      <c r="CZ456" s="1169"/>
      <c r="DA456" s="1168"/>
      <c r="DB456" s="1168"/>
      <c r="DC456" s="1168"/>
      <c r="DD456" s="1168"/>
      <c r="DE456" s="1168"/>
      <c r="DF456" s="1168"/>
      <c r="DG456" s="1168"/>
      <c r="DH456" s="1168"/>
      <c r="DI456" s="1168"/>
      <c r="DJ456" s="1168"/>
      <c r="DK456" s="1168"/>
      <c r="DL456" s="1168"/>
      <c r="DM456" s="1168"/>
      <c r="DN456" s="1168"/>
      <c r="DO456" s="1168"/>
      <c r="DP456" s="1168"/>
      <c r="DQ456" s="1168"/>
      <c r="DR456" s="1168"/>
      <c r="DS456" s="1168"/>
      <c r="DT456" s="1168"/>
      <c r="DU456" s="1168"/>
      <c r="DV456" s="1168"/>
      <c r="DW456" s="1168"/>
      <c r="DX456" s="1168"/>
      <c r="DY456" s="1168"/>
      <c r="DZ456" s="1168"/>
      <c r="EA456" s="1168"/>
      <c r="EB456" s="1168"/>
      <c r="EC456" s="1168"/>
      <c r="ED456" s="1168"/>
      <c r="EE456" s="1168"/>
      <c r="EF456" s="1168"/>
      <c r="EG456" s="1168"/>
      <c r="EH456" s="1168"/>
      <c r="EI456" s="1170"/>
      <c r="EJ456" s="1170"/>
      <c r="EK456" s="1170"/>
      <c r="EL456" s="1170"/>
      <c r="EM456" s="1170"/>
      <c r="EN456" s="1170"/>
      <c r="EO456" s="1170"/>
      <c r="EP456" s="1170"/>
      <c r="EQ456" s="1170"/>
      <c r="ER456" s="1170"/>
      <c r="ES456" s="1171"/>
      <c r="ET456" s="1171"/>
      <c r="EU456" s="1171"/>
      <c r="EV456" s="1171"/>
      <c r="EW456" s="1171"/>
      <c r="EX456" s="1171"/>
      <c r="EY456" s="1171"/>
      <c r="EZ456" s="1171"/>
      <c r="FA456" s="1171"/>
      <c r="FB456" s="1171"/>
      <c r="FC456" s="1171"/>
      <c r="FD456" s="1171"/>
      <c r="FE456" s="1171"/>
      <c r="FF456" s="1171"/>
      <c r="FG456" s="1171"/>
      <c r="FH456" s="1171"/>
      <c r="FI456" s="1171"/>
      <c r="FJ456" s="1171"/>
      <c r="FK456" s="1171"/>
      <c r="FL456" s="1171"/>
      <c r="FM456" s="1171"/>
      <c r="FN456" s="1171"/>
      <c r="FO456" s="1171"/>
      <c r="FP456" s="1171"/>
    </row>
    <row r="457" spans="1:172" s="607" customFormat="1">
      <c r="A457" s="607">
        <f t="shared" si="12"/>
        <v>2008</v>
      </c>
      <c r="B457" s="607">
        <f t="shared" ref="B457" si="14">IF(OR(MONTH(C457)=1,MONTH(C457)=2,MONTH(C457)=3),1,IF(OR(MONTH(C457)=4,MONTH(C457)=5,MONTH(C457)=6),2,IF(OR(MONTH(C457)=7,MONTH(C457)=8,MONTH(C457)=9),3,4)))</f>
        <v>2</v>
      </c>
      <c r="C457" s="666">
        <v>39569</v>
      </c>
      <c r="D457" s="1709">
        <v>0.94913636363636378</v>
      </c>
      <c r="E457" s="1117">
        <v>359.02981227272733</v>
      </c>
      <c r="F457" s="1117">
        <v>378.27</v>
      </c>
      <c r="G457" s="1117"/>
      <c r="H457" s="1117"/>
      <c r="I457" s="959">
        <v>886.98800000000006</v>
      </c>
      <c r="J457" s="959">
        <v>938.92</v>
      </c>
      <c r="K457" s="960"/>
      <c r="L457" s="1121"/>
      <c r="M457" s="916">
        <v>25735</v>
      </c>
      <c r="N457" s="916">
        <v>27114.122886834917</v>
      </c>
      <c r="O457" s="1174">
        <v>8382.75</v>
      </c>
      <c r="P457" s="1174">
        <v>8831.9764379100598</v>
      </c>
      <c r="Q457" s="1174">
        <v>2234.63</v>
      </c>
      <c r="R457" s="1174">
        <v>2354.3824529476556</v>
      </c>
      <c r="S457" s="1174">
        <v>2182.1</v>
      </c>
      <c r="T457" s="1174">
        <v>2299.0374024232551</v>
      </c>
      <c r="U457" s="1120">
        <v>799.2487490909092</v>
      </c>
      <c r="V457" s="1120">
        <v>842.08</v>
      </c>
      <c r="W457" s="1120">
        <v>1949.7254095454548</v>
      </c>
      <c r="X457" s="1120">
        <v>2054.21</v>
      </c>
      <c r="Y457" s="1119"/>
      <c r="Z457" s="1119"/>
      <c r="AA457" s="1119"/>
      <c r="AB457" s="1119"/>
      <c r="AC457" s="1178">
        <v>17.010000000000002</v>
      </c>
      <c r="AD457" s="1178">
        <v>18.600000000000001</v>
      </c>
      <c r="AE457" s="1178">
        <v>103066</v>
      </c>
      <c r="AF457" s="1178">
        <v>108589.24381016233</v>
      </c>
      <c r="AG457" s="1178">
        <v>2046.2860000000001</v>
      </c>
      <c r="AH457" s="1178">
        <v>2155.9452133518507</v>
      </c>
      <c r="AI457" s="1178">
        <v>434.16699999999997</v>
      </c>
      <c r="AJ457" s="1178">
        <v>457.43374359465531</v>
      </c>
      <c r="AK457" s="919">
        <v>123.94</v>
      </c>
      <c r="AL457" s="919">
        <v>130.58186868444994</v>
      </c>
      <c r="AM457" s="919">
        <v>131.1</v>
      </c>
      <c r="AN457" s="919">
        <v>138.12556869881709</v>
      </c>
      <c r="AO457" s="919"/>
      <c r="AP457" s="919"/>
      <c r="AS457" s="1167"/>
      <c r="AT457" s="1167"/>
      <c r="AU457" s="1168"/>
      <c r="AV457" s="1168"/>
      <c r="AW457" s="1169"/>
      <c r="AX457" s="1169"/>
      <c r="AY457" s="1169"/>
      <c r="AZ457" s="1169"/>
      <c r="BA457" s="1803" t="s">
        <v>1</v>
      </c>
      <c r="BB457" s="1804">
        <v>2015</v>
      </c>
      <c r="BC457" s="1803" t="s">
        <v>15</v>
      </c>
      <c r="BD457" s="1803">
        <v>1</v>
      </c>
      <c r="BE457" s="1883">
        <v>8991120000</v>
      </c>
      <c r="BF457" s="1801">
        <v>0.65178477253623968</v>
      </c>
      <c r="BG457" s="1799"/>
      <c r="BH457" s="1881" t="s">
        <v>1</v>
      </c>
      <c r="BI457" s="1881" t="s">
        <v>309</v>
      </c>
      <c r="BJ457" s="1881" t="s">
        <v>583</v>
      </c>
      <c r="BK457" s="1881">
        <v>8</v>
      </c>
      <c r="BL457" s="1882">
        <v>62992000</v>
      </c>
      <c r="BM457" s="1801">
        <v>1.1341766317337911E-2</v>
      </c>
      <c r="BN457" s="1799">
        <v>2003</v>
      </c>
      <c r="BO457" s="1684"/>
      <c r="BP457" s="1696"/>
      <c r="BQ457" s="1169"/>
      <c r="BR457" s="1169"/>
      <c r="BS457" s="1169"/>
      <c r="BT457" s="1169"/>
      <c r="BU457" s="1169"/>
      <c r="BV457" s="1169"/>
      <c r="BW457" s="1169"/>
      <c r="BX457" s="1169"/>
      <c r="BY457" s="1169"/>
      <c r="BZ457" s="1169"/>
      <c r="CA457" s="1169"/>
      <c r="CB457" s="1169"/>
      <c r="CC457" s="1169"/>
      <c r="CD457" s="1169"/>
      <c r="CE457" s="1169"/>
      <c r="CF457" s="1169"/>
      <c r="CG457" s="1169"/>
      <c r="CH457" s="1169"/>
      <c r="CI457" s="1169"/>
      <c r="CJ457" s="1169"/>
      <c r="CK457" s="1169"/>
      <c r="CL457" s="1169"/>
      <c r="CM457" s="1169"/>
      <c r="CN457" s="1169"/>
      <c r="CO457" s="1169"/>
      <c r="CP457" s="1169"/>
      <c r="CQ457" s="1169"/>
      <c r="CR457" s="1169"/>
      <c r="CS457" s="1169"/>
      <c r="CT457" s="1169"/>
      <c r="CU457" s="1169"/>
      <c r="CV457" s="1169"/>
      <c r="CW457" s="1169"/>
      <c r="CX457" s="1169"/>
      <c r="CY457" s="1169"/>
      <c r="CZ457" s="1169"/>
      <c r="DA457" s="1168"/>
      <c r="DB457" s="1168"/>
      <c r="DC457" s="1168"/>
      <c r="DD457" s="1168"/>
      <c r="DE457" s="1168"/>
      <c r="DF457" s="1168"/>
      <c r="DG457" s="1168"/>
      <c r="DH457" s="1168"/>
      <c r="DI457" s="1168"/>
      <c r="DJ457" s="1168"/>
      <c r="DK457" s="1168"/>
      <c r="DL457" s="1168"/>
      <c r="DM457" s="1168"/>
      <c r="DN457" s="1168"/>
      <c r="DO457" s="1168"/>
      <c r="DP457" s="1168"/>
      <c r="DQ457" s="1168"/>
      <c r="DR457" s="1168"/>
      <c r="DS457" s="1168"/>
      <c r="DT457" s="1168"/>
      <c r="DU457" s="1168"/>
      <c r="DV457" s="1168"/>
      <c r="DW457" s="1168"/>
      <c r="DX457" s="1168"/>
      <c r="DY457" s="1168"/>
      <c r="DZ457" s="1168"/>
      <c r="EA457" s="1168"/>
      <c r="EB457" s="1168"/>
      <c r="EC457" s="1168"/>
      <c r="ED457" s="1168"/>
      <c r="EE457" s="1168"/>
      <c r="EF457" s="1168"/>
      <c r="EG457" s="1168"/>
      <c r="EH457" s="1168"/>
      <c r="EI457" s="1170"/>
      <c r="EJ457" s="1170"/>
      <c r="EK457" s="1170"/>
      <c r="EL457" s="1170"/>
      <c r="EM457" s="1170"/>
      <c r="EN457" s="1170"/>
      <c r="EO457" s="1170"/>
      <c r="EP457" s="1170"/>
      <c r="EQ457" s="1170"/>
      <c r="ER457" s="1170"/>
      <c r="ES457" s="1171"/>
      <c r="ET457" s="1171"/>
      <c r="EU457" s="1171"/>
      <c r="EV457" s="1171"/>
      <c r="EW457" s="1171"/>
      <c r="EX457" s="1171"/>
      <c r="EY457" s="1171"/>
      <c r="EZ457" s="1171"/>
      <c r="FA457" s="1171"/>
      <c r="FB457" s="1171"/>
      <c r="FC457" s="1171"/>
      <c r="FD457" s="1171"/>
      <c r="FE457" s="1171"/>
      <c r="FF457" s="1171"/>
      <c r="FG457" s="1171"/>
      <c r="FH457" s="1171"/>
      <c r="FI457" s="1171"/>
      <c r="FJ457" s="1171"/>
      <c r="FK457" s="1171"/>
      <c r="FL457" s="1171"/>
      <c r="FM457" s="1171"/>
      <c r="FN457" s="1171"/>
      <c r="FO457" s="1171"/>
      <c r="FP457" s="1171"/>
    </row>
    <row r="458" spans="1:172" s="607" customFormat="1">
      <c r="A458" s="607">
        <f t="shared" ref="A458:A521" si="15">YEAR(C458)</f>
        <v>2008</v>
      </c>
      <c r="B458" s="607">
        <f t="shared" ref="B458:B521" si="16">IF(OR(MONTH(C458)=1,MONTH(C458)=2,MONTH(C458)=3),1,IF(OR(MONTH(C458)=4,MONTH(C458)=5,MONTH(C458)=6),2,IF(OR(MONTH(C458)=7,MONTH(C458)=8,MONTH(C458)=9),3,4)))</f>
        <v>2</v>
      </c>
      <c r="C458" s="666">
        <v>39600</v>
      </c>
      <c r="D458" s="957">
        <v>0.95082500000000003</v>
      </c>
      <c r="E458" s="920">
        <v>352.42345386727158</v>
      </c>
      <c r="F458" s="920">
        <v>370.65017628614265</v>
      </c>
      <c r="G458" s="920"/>
      <c r="H458" s="920"/>
      <c r="I458" s="954">
        <v>889.48800000000006</v>
      </c>
      <c r="J458" s="954">
        <v>930.84</v>
      </c>
      <c r="K458" s="954"/>
      <c r="L458" s="920"/>
      <c r="M458" s="917">
        <v>22549.05</v>
      </c>
      <c r="N458" s="917">
        <v>23715.247285252281</v>
      </c>
      <c r="O458" s="1175">
        <v>8260.6</v>
      </c>
      <c r="P458" s="1175">
        <v>8687.8237320221906</v>
      </c>
      <c r="Q458" s="1175">
        <v>1863.05</v>
      </c>
      <c r="R458" s="1175">
        <v>1959.4036757552651</v>
      </c>
      <c r="S458" s="1175">
        <v>1894.48</v>
      </c>
      <c r="T458" s="1175">
        <v>1992.4591801856282</v>
      </c>
      <c r="U458" s="920">
        <v>808.48232749414137</v>
      </c>
      <c r="V458" s="920">
        <v>850.29561432875801</v>
      </c>
      <c r="W458" s="920">
        <v>1953.0960724194365</v>
      </c>
      <c r="X458" s="920">
        <v>2054.1067729807655</v>
      </c>
      <c r="Y458" s="920"/>
      <c r="Z458" s="920"/>
      <c r="AA458" s="920"/>
      <c r="AB458" s="920"/>
      <c r="AC458" s="920">
        <v>16.969000000000001</v>
      </c>
      <c r="AD458" s="920">
        <v>17.850000000000001</v>
      </c>
      <c r="AE458" s="920">
        <v>96658.9</v>
      </c>
      <c r="AF458" s="920">
        <v>101657.92864091709</v>
      </c>
      <c r="AG458" s="920">
        <v>2038.2380000000001</v>
      </c>
      <c r="AH458" s="920">
        <v>2143.6520916046593</v>
      </c>
      <c r="AI458" s="920">
        <v>449.57100000000003</v>
      </c>
      <c r="AJ458" s="920">
        <v>472.82202298004364</v>
      </c>
      <c r="AK458" s="920">
        <v>133.05000000000001</v>
      </c>
      <c r="AL458" s="920">
        <v>139.93111245497332</v>
      </c>
      <c r="AM458" s="920">
        <v>139.21</v>
      </c>
      <c r="AN458" s="920">
        <v>146.40969684221596</v>
      </c>
      <c r="AO458" s="920"/>
      <c r="AP458" s="920"/>
      <c r="AS458" s="1167"/>
      <c r="AT458" s="1167"/>
      <c r="AU458" s="1168"/>
      <c r="AV458" s="1168"/>
      <c r="AW458" s="1169"/>
      <c r="AX458" s="1169"/>
      <c r="AY458" s="1169"/>
      <c r="AZ458" s="1169"/>
      <c r="BA458" s="1803" t="s">
        <v>1</v>
      </c>
      <c r="BB458" s="1804">
        <v>2015</v>
      </c>
      <c r="BC458" s="1803" t="s">
        <v>49</v>
      </c>
      <c r="BD458" s="1803">
        <v>2</v>
      </c>
      <c r="BE458" s="1883">
        <v>2066004000</v>
      </c>
      <c r="BF458" s="1801">
        <v>0.1497688772031695</v>
      </c>
      <c r="BG458" s="1799"/>
      <c r="BH458" s="1881" t="s">
        <v>1</v>
      </c>
      <c r="BI458" s="1881" t="s">
        <v>309</v>
      </c>
      <c r="BJ458" s="1881" t="s">
        <v>21</v>
      </c>
      <c r="BK458" s="1881">
        <v>9</v>
      </c>
      <c r="BL458" s="1882">
        <v>16152000</v>
      </c>
      <c r="BM458" s="1801">
        <v>2.9081821430918522E-3</v>
      </c>
      <c r="BN458" s="1799">
        <v>2003</v>
      </c>
      <c r="BO458" s="1684"/>
      <c r="BP458" s="1696"/>
      <c r="BQ458" s="1169"/>
      <c r="BR458" s="1169"/>
      <c r="BS458" s="1169"/>
      <c r="BT458" s="1169"/>
      <c r="BU458" s="1169"/>
      <c r="BV458" s="1169"/>
      <c r="BW458" s="1169"/>
      <c r="BX458" s="1169"/>
      <c r="BY458" s="1169"/>
      <c r="BZ458" s="1169"/>
      <c r="CA458" s="1169"/>
      <c r="CB458" s="1169"/>
      <c r="CC458" s="1169"/>
      <c r="CD458" s="1169"/>
      <c r="CE458" s="1169"/>
      <c r="CF458" s="1169"/>
      <c r="CG458" s="1169"/>
      <c r="CH458" s="1169"/>
      <c r="CI458" s="1169"/>
      <c r="CJ458" s="1169"/>
      <c r="CK458" s="1169"/>
      <c r="CL458" s="1169"/>
      <c r="CM458" s="1169"/>
      <c r="CN458" s="1169"/>
      <c r="CO458" s="1169"/>
      <c r="CP458" s="1169"/>
      <c r="CQ458" s="1169"/>
      <c r="CR458" s="1169"/>
      <c r="CS458" s="1169"/>
      <c r="CT458" s="1169"/>
      <c r="CU458" s="1169"/>
      <c r="CV458" s="1169"/>
      <c r="CW458" s="1169"/>
      <c r="CX458" s="1169"/>
      <c r="CY458" s="1169"/>
      <c r="CZ458" s="1169"/>
      <c r="DA458" s="1168"/>
      <c r="DB458" s="1168"/>
      <c r="DC458" s="1168"/>
      <c r="DD458" s="1168"/>
      <c r="DE458" s="1168"/>
      <c r="DF458" s="1168"/>
      <c r="DG458" s="1168"/>
      <c r="DH458" s="1168"/>
      <c r="DI458" s="1168"/>
      <c r="DJ458" s="1168"/>
      <c r="DK458" s="1168"/>
      <c r="DL458" s="1168"/>
      <c r="DM458" s="1168"/>
      <c r="DN458" s="1168"/>
      <c r="DO458" s="1168"/>
      <c r="DP458" s="1168"/>
      <c r="DQ458" s="1168"/>
      <c r="DR458" s="1168"/>
      <c r="DS458" s="1168"/>
      <c r="DT458" s="1168"/>
      <c r="DU458" s="1168"/>
      <c r="DV458" s="1168"/>
      <c r="DW458" s="1168"/>
      <c r="DX458" s="1168"/>
      <c r="DY458" s="1168"/>
      <c r="DZ458" s="1168"/>
      <c r="EA458" s="1168"/>
      <c r="EB458" s="1168"/>
      <c r="EC458" s="1168"/>
      <c r="ED458" s="1168"/>
      <c r="EE458" s="1168"/>
      <c r="EF458" s="1168"/>
      <c r="EG458" s="1168"/>
      <c r="EH458" s="1168"/>
      <c r="EI458" s="1170"/>
      <c r="EJ458" s="1170"/>
      <c r="EK458" s="1170"/>
      <c r="EL458" s="1170"/>
      <c r="EM458" s="1170"/>
      <c r="EN458" s="1170"/>
      <c r="EO458" s="1170"/>
      <c r="EP458" s="1170"/>
      <c r="EQ458" s="1170"/>
      <c r="ER458" s="1170"/>
      <c r="ES458" s="1171"/>
      <c r="ET458" s="1171"/>
      <c r="EU458" s="1171"/>
      <c r="EV458" s="1171"/>
      <c r="EW458" s="1171"/>
      <c r="EX458" s="1171"/>
      <c r="EY458" s="1171"/>
      <c r="EZ458" s="1171"/>
      <c r="FA458" s="1171"/>
      <c r="FB458" s="1171"/>
      <c r="FC458" s="1171"/>
      <c r="FD458" s="1171"/>
      <c r="FE458" s="1171"/>
      <c r="FF458" s="1171"/>
      <c r="FG458" s="1171"/>
      <c r="FH458" s="1171"/>
      <c r="FI458" s="1171"/>
      <c r="FJ458" s="1171"/>
      <c r="FK458" s="1171"/>
      <c r="FL458" s="1171"/>
      <c r="FM458" s="1171"/>
      <c r="FN458" s="1171"/>
      <c r="FO458" s="1171"/>
      <c r="FP458" s="1171"/>
    </row>
    <row r="459" spans="1:172" s="607" customFormat="1">
      <c r="A459" s="607">
        <f t="shared" si="15"/>
        <v>2008</v>
      </c>
      <c r="B459" s="607">
        <f t="shared" si="16"/>
        <v>3</v>
      </c>
      <c r="C459" s="666">
        <v>39630</v>
      </c>
      <c r="D459" s="1709">
        <v>0.96253043478260891</v>
      </c>
      <c r="E459" s="1117">
        <v>371.70132934519626</v>
      </c>
      <c r="F459" s="1117">
        <v>386.17098837934032</v>
      </c>
      <c r="G459" s="1117"/>
      <c r="H459" s="1117"/>
      <c r="I459" s="959">
        <v>939.77200000000005</v>
      </c>
      <c r="J459" s="959">
        <v>940</v>
      </c>
      <c r="K459" s="960"/>
      <c r="L459" s="1121"/>
      <c r="M459" s="916">
        <v>20160.22</v>
      </c>
      <c r="N459" s="916">
        <v>20945.020823734536</v>
      </c>
      <c r="O459" s="1174">
        <v>8414.0400000000009</v>
      </c>
      <c r="P459" s="1174">
        <v>8741.583326557713</v>
      </c>
      <c r="Q459" s="1174">
        <v>1944.91</v>
      </c>
      <c r="R459" s="1174">
        <v>2020.6218211055998</v>
      </c>
      <c r="S459" s="1174">
        <v>1852.37</v>
      </c>
      <c r="T459" s="1174">
        <v>1924.4794066364921</v>
      </c>
      <c r="U459" s="1120">
        <v>865.58984245473891</v>
      </c>
      <c r="V459" s="1120">
        <v>899.28568611987384</v>
      </c>
      <c r="W459" s="1120">
        <v>1948.5260013304783</v>
      </c>
      <c r="X459" s="1120">
        <v>2024.3785868137875</v>
      </c>
      <c r="Y459" s="1119"/>
      <c r="Z459" s="1119"/>
      <c r="AA459" s="1119"/>
      <c r="AB459" s="1119"/>
      <c r="AC459" s="1178">
        <v>18.033999999999999</v>
      </c>
      <c r="AD459" s="1178">
        <v>17</v>
      </c>
      <c r="AE459" s="1178">
        <v>84051.199999999997</v>
      </c>
      <c r="AF459" s="1178">
        <v>87323.160871254193</v>
      </c>
      <c r="AG459" s="1178">
        <v>1904.4349999999999</v>
      </c>
      <c r="AH459" s="1178">
        <v>1978.5712027174743</v>
      </c>
      <c r="AI459" s="1178">
        <v>426.30399999999997</v>
      </c>
      <c r="AJ459" s="1178">
        <v>442.89924203413091</v>
      </c>
      <c r="AK459" s="919">
        <v>133.9</v>
      </c>
      <c r="AL459" s="919">
        <v>139.11248430315018</v>
      </c>
      <c r="AM459" s="919">
        <v>143.11000000000001</v>
      </c>
      <c r="AN459" s="919">
        <v>148.68101290981198</v>
      </c>
      <c r="AO459" s="919"/>
      <c r="AP459" s="919"/>
      <c r="AS459" s="1167"/>
      <c r="AT459" s="1167"/>
      <c r="AU459" s="1168"/>
      <c r="AV459" s="1168"/>
      <c r="AW459" s="1169"/>
      <c r="AX459" s="1169"/>
      <c r="AY459" s="1169"/>
      <c r="AZ459" s="1169"/>
      <c r="BA459" s="1803" t="s">
        <v>1</v>
      </c>
      <c r="BB459" s="1804">
        <v>2015</v>
      </c>
      <c r="BC459" s="1803" t="s">
        <v>18</v>
      </c>
      <c r="BD459" s="1803">
        <v>3</v>
      </c>
      <c r="BE459" s="1883">
        <v>929831000</v>
      </c>
      <c r="BF459" s="1801">
        <v>6.7405360715032642E-2</v>
      </c>
      <c r="BG459" s="1799"/>
      <c r="BH459" s="1881" t="s">
        <v>1</v>
      </c>
      <c r="BI459" s="1881" t="s">
        <v>309</v>
      </c>
      <c r="BJ459" s="1881" t="s">
        <v>76</v>
      </c>
      <c r="BK459" s="1881">
        <v>10</v>
      </c>
      <c r="BL459" s="1882">
        <v>11074000</v>
      </c>
      <c r="BM459" s="1801">
        <v>1.9938836709137674E-3</v>
      </c>
      <c r="BN459" s="1799">
        <v>2003</v>
      </c>
      <c r="BO459" s="1684"/>
      <c r="BP459" s="1696"/>
      <c r="BQ459" s="1169"/>
      <c r="BR459" s="1169"/>
      <c r="BS459" s="1169"/>
      <c r="BT459" s="1169"/>
      <c r="BU459" s="1169"/>
      <c r="BV459" s="1169"/>
      <c r="BW459" s="1169"/>
      <c r="BX459" s="1169"/>
      <c r="BY459" s="1169"/>
      <c r="BZ459" s="1169"/>
      <c r="CA459" s="1169"/>
      <c r="CB459" s="1169"/>
      <c r="CC459" s="1169"/>
      <c r="CD459" s="1169"/>
      <c r="CE459" s="1169"/>
      <c r="CF459" s="1169"/>
      <c r="CG459" s="1169"/>
      <c r="CH459" s="1169"/>
      <c r="CI459" s="1169"/>
      <c r="CJ459" s="1169"/>
      <c r="CK459" s="1169"/>
      <c r="CL459" s="1169"/>
      <c r="CM459" s="1169"/>
      <c r="CN459" s="1169"/>
      <c r="CO459" s="1169"/>
      <c r="CP459" s="1169"/>
      <c r="CQ459" s="1169"/>
      <c r="CR459" s="1169"/>
      <c r="CS459" s="1169"/>
      <c r="CT459" s="1169"/>
      <c r="CU459" s="1169"/>
      <c r="CV459" s="1169"/>
      <c r="CW459" s="1169"/>
      <c r="CX459" s="1169"/>
      <c r="CY459" s="1169"/>
      <c r="CZ459" s="1169"/>
      <c r="DA459" s="1168"/>
      <c r="DB459" s="1168"/>
      <c r="DC459" s="1168"/>
      <c r="DD459" s="1168"/>
      <c r="DE459" s="1168"/>
      <c r="DF459" s="1168"/>
      <c r="DG459" s="1168"/>
      <c r="DH459" s="1168"/>
      <c r="DI459" s="1168"/>
      <c r="DJ459" s="1168"/>
      <c r="DK459" s="1168"/>
      <c r="DL459" s="1168"/>
      <c r="DM459" s="1168"/>
      <c r="DN459" s="1168"/>
      <c r="DO459" s="1168"/>
      <c r="DP459" s="1168"/>
      <c r="DQ459" s="1168"/>
      <c r="DR459" s="1168"/>
      <c r="DS459" s="1168"/>
      <c r="DT459" s="1168"/>
      <c r="DU459" s="1168"/>
      <c r="DV459" s="1168"/>
      <c r="DW459" s="1168"/>
      <c r="DX459" s="1168"/>
      <c r="DY459" s="1168"/>
      <c r="DZ459" s="1168"/>
      <c r="EA459" s="1168"/>
      <c r="EB459" s="1168"/>
      <c r="EC459" s="1168"/>
      <c r="ED459" s="1168"/>
      <c r="EE459" s="1168"/>
      <c r="EF459" s="1168"/>
      <c r="EG459" s="1168"/>
      <c r="EH459" s="1168"/>
      <c r="EI459" s="1170"/>
      <c r="EJ459" s="1170"/>
      <c r="EK459" s="1170"/>
      <c r="EL459" s="1170"/>
      <c r="EM459" s="1170"/>
      <c r="EN459" s="1170"/>
      <c r="EO459" s="1170"/>
      <c r="EP459" s="1170"/>
      <c r="EQ459" s="1170"/>
      <c r="ER459" s="1170"/>
      <c r="ES459" s="1171"/>
      <c r="ET459" s="1171"/>
      <c r="EU459" s="1171"/>
      <c r="EV459" s="1171"/>
      <c r="EW459" s="1171"/>
      <c r="EX459" s="1171"/>
      <c r="EY459" s="1171"/>
      <c r="EZ459" s="1171"/>
      <c r="FA459" s="1171"/>
      <c r="FB459" s="1171"/>
      <c r="FC459" s="1171"/>
      <c r="FD459" s="1171"/>
      <c r="FE459" s="1171"/>
      <c r="FF459" s="1171"/>
      <c r="FG459" s="1171"/>
      <c r="FH459" s="1171"/>
      <c r="FI459" s="1171"/>
      <c r="FJ459" s="1171"/>
      <c r="FK459" s="1171"/>
      <c r="FL459" s="1171"/>
      <c r="FM459" s="1171"/>
      <c r="FN459" s="1171"/>
      <c r="FO459" s="1171"/>
      <c r="FP459" s="1171"/>
    </row>
    <row r="460" spans="1:172" s="607" customFormat="1">
      <c r="A460" s="607">
        <f t="shared" si="15"/>
        <v>2008</v>
      </c>
      <c r="B460" s="607">
        <f t="shared" si="16"/>
        <v>3</v>
      </c>
      <c r="C460" s="666">
        <v>39661</v>
      </c>
      <c r="D460" s="957">
        <v>0.88100499999999982</v>
      </c>
      <c r="E460" s="920">
        <v>361.82806310174948</v>
      </c>
      <c r="F460" s="920">
        <v>410.69921635149581</v>
      </c>
      <c r="G460" s="920"/>
      <c r="H460" s="920"/>
      <c r="I460" s="954">
        <v>838.31</v>
      </c>
      <c r="J460" s="954">
        <v>950.68</v>
      </c>
      <c r="K460" s="954"/>
      <c r="L460" s="920"/>
      <c r="M460" s="917">
        <v>18927.75</v>
      </c>
      <c r="N460" s="917">
        <v>21484.270804365475</v>
      </c>
      <c r="O460" s="1175">
        <v>7634.7</v>
      </c>
      <c r="P460" s="1175">
        <v>8665.8986044347093</v>
      </c>
      <c r="Q460" s="1175">
        <v>1923.58</v>
      </c>
      <c r="R460" s="1175">
        <v>2183.3928297796269</v>
      </c>
      <c r="S460" s="1175">
        <v>1723</v>
      </c>
      <c r="T460" s="1175">
        <v>1955.7210231496988</v>
      </c>
      <c r="U460" s="920">
        <v>855.95366055241584</v>
      </c>
      <c r="V460" s="920">
        <v>971.56504282315768</v>
      </c>
      <c r="W460" s="920">
        <v>2009.7675885397671</v>
      </c>
      <c r="X460" s="920">
        <v>2281.2215464608798</v>
      </c>
      <c r="Y460" s="920"/>
      <c r="Z460" s="920"/>
      <c r="AA460" s="920"/>
      <c r="AB460" s="920"/>
      <c r="AC460" s="920">
        <v>14.635</v>
      </c>
      <c r="AD460" s="920">
        <v>16.73</v>
      </c>
      <c r="AE460" s="920">
        <v>63074.2</v>
      </c>
      <c r="AF460" s="920">
        <v>71593.464282268556</v>
      </c>
      <c r="AG460" s="920">
        <v>1488.4749999999999</v>
      </c>
      <c r="AH460" s="920">
        <v>1689.5193557357793</v>
      </c>
      <c r="AI460" s="920">
        <v>315.89999999999998</v>
      </c>
      <c r="AJ460" s="920">
        <v>358.56777203307593</v>
      </c>
      <c r="AK460" s="920">
        <v>113.85</v>
      </c>
      <c r="AL460" s="920">
        <v>129.22741641647892</v>
      </c>
      <c r="AM460" s="920">
        <v>122.5</v>
      </c>
      <c r="AN460" s="920">
        <v>139.04574888905287</v>
      </c>
      <c r="AO460" s="920"/>
      <c r="AP460" s="920"/>
      <c r="AS460" s="1167"/>
      <c r="AT460" s="1167"/>
      <c r="AU460" s="1168"/>
      <c r="AV460" s="1168"/>
      <c r="AW460" s="1169"/>
      <c r="AX460" s="1169"/>
      <c r="AY460" s="1169"/>
      <c r="AZ460" s="1169"/>
      <c r="BA460" s="1803" t="s">
        <v>1</v>
      </c>
      <c r="BB460" s="1804">
        <v>2015</v>
      </c>
      <c r="BC460" s="1803" t="s">
        <v>28</v>
      </c>
      <c r="BD460" s="1803">
        <v>4</v>
      </c>
      <c r="BE460" s="1883">
        <v>673610000</v>
      </c>
      <c r="BF460" s="1801">
        <v>4.8831373691835545E-2</v>
      </c>
      <c r="BG460" s="1799"/>
      <c r="BH460" s="1881" t="s">
        <v>1</v>
      </c>
      <c r="BI460" s="1881" t="s">
        <v>309</v>
      </c>
      <c r="BJ460" s="1881" t="s">
        <v>32</v>
      </c>
      <c r="BK460" s="1881"/>
      <c r="BL460" s="1882">
        <v>32661000</v>
      </c>
      <c r="BM460" s="1801">
        <v>5.8806424576227697E-3</v>
      </c>
      <c r="BN460" s="1799">
        <v>2003</v>
      </c>
      <c r="BO460" s="1684"/>
      <c r="BP460" s="1696"/>
      <c r="BQ460" s="1169"/>
      <c r="BR460" s="1169"/>
      <c r="BS460" s="1169"/>
      <c r="BT460" s="1169"/>
      <c r="BU460" s="1169"/>
      <c r="BV460" s="1169"/>
      <c r="BW460" s="1169"/>
      <c r="BX460" s="1169"/>
      <c r="BY460" s="1169"/>
      <c r="BZ460" s="1169"/>
      <c r="CA460" s="1169"/>
      <c r="CB460" s="1169"/>
      <c r="CC460" s="1169"/>
      <c r="CD460" s="1169"/>
      <c r="CE460" s="1169"/>
      <c r="CF460" s="1169"/>
      <c r="CG460" s="1169"/>
      <c r="CH460" s="1169"/>
      <c r="CI460" s="1169"/>
      <c r="CJ460" s="1169"/>
      <c r="CK460" s="1169"/>
      <c r="CL460" s="1169"/>
      <c r="CM460" s="1169"/>
      <c r="CN460" s="1169"/>
      <c r="CO460" s="1169"/>
      <c r="CP460" s="1169"/>
      <c r="CQ460" s="1169"/>
      <c r="CR460" s="1169"/>
      <c r="CS460" s="1169"/>
      <c r="CT460" s="1169"/>
      <c r="CU460" s="1169"/>
      <c r="CV460" s="1169"/>
      <c r="CW460" s="1169"/>
      <c r="CX460" s="1169"/>
      <c r="CY460" s="1169"/>
      <c r="CZ460" s="1169"/>
      <c r="DA460" s="1168"/>
      <c r="DB460" s="1168"/>
      <c r="DC460" s="1168"/>
      <c r="DD460" s="1168"/>
      <c r="DE460" s="1168"/>
      <c r="DF460" s="1168"/>
      <c r="DG460" s="1168"/>
      <c r="DH460" s="1168"/>
      <c r="DI460" s="1168"/>
      <c r="DJ460" s="1168"/>
      <c r="DK460" s="1168"/>
      <c r="DL460" s="1168"/>
      <c r="DM460" s="1168"/>
      <c r="DN460" s="1168"/>
      <c r="DO460" s="1168"/>
      <c r="DP460" s="1168"/>
      <c r="DQ460" s="1168"/>
      <c r="DR460" s="1168"/>
      <c r="DS460" s="1168"/>
      <c r="DT460" s="1168"/>
      <c r="DU460" s="1168"/>
      <c r="DV460" s="1168"/>
      <c r="DW460" s="1168"/>
      <c r="DX460" s="1168"/>
      <c r="DY460" s="1168"/>
      <c r="DZ460" s="1168"/>
      <c r="EA460" s="1168"/>
      <c r="EB460" s="1168"/>
      <c r="EC460" s="1168"/>
      <c r="ED460" s="1168"/>
      <c r="EE460" s="1168"/>
      <c r="EF460" s="1168"/>
      <c r="EG460" s="1168"/>
      <c r="EH460" s="1168"/>
      <c r="EI460" s="1170"/>
      <c r="EJ460" s="1170"/>
      <c r="EK460" s="1170"/>
      <c r="EL460" s="1170"/>
      <c r="EM460" s="1170"/>
      <c r="EN460" s="1170"/>
      <c r="EO460" s="1170"/>
      <c r="EP460" s="1170"/>
      <c r="EQ460" s="1170"/>
      <c r="ER460" s="1170"/>
      <c r="ES460" s="1171"/>
      <c r="ET460" s="1171"/>
      <c r="EU460" s="1171"/>
      <c r="EV460" s="1171"/>
      <c r="EW460" s="1171"/>
      <c r="EX460" s="1171"/>
      <c r="EY460" s="1171"/>
      <c r="EZ460" s="1171"/>
      <c r="FA460" s="1171"/>
      <c r="FB460" s="1171"/>
      <c r="FC460" s="1171"/>
      <c r="FD460" s="1171"/>
      <c r="FE460" s="1171"/>
      <c r="FF460" s="1171"/>
      <c r="FG460" s="1171"/>
      <c r="FH460" s="1171"/>
      <c r="FI460" s="1171"/>
      <c r="FJ460" s="1171"/>
      <c r="FK460" s="1171"/>
      <c r="FL460" s="1171"/>
      <c r="FM460" s="1171"/>
      <c r="FN460" s="1171"/>
      <c r="FO460" s="1171"/>
      <c r="FP460" s="1171"/>
    </row>
    <row r="461" spans="1:172" s="607" customFormat="1">
      <c r="A461" s="607">
        <f t="shared" si="15"/>
        <v>2008</v>
      </c>
      <c r="B461" s="607">
        <f t="shared" si="16"/>
        <v>3</v>
      </c>
      <c r="C461" s="666">
        <v>39692</v>
      </c>
      <c r="D461" s="1709">
        <v>0.82051363636363628</v>
      </c>
      <c r="E461" s="1117">
        <v>369.18748182738028</v>
      </c>
      <c r="F461" s="1117">
        <v>449.94679608683958</v>
      </c>
      <c r="G461" s="1117"/>
      <c r="H461" s="1117"/>
      <c r="I461" s="959">
        <v>829.93200000000002</v>
      </c>
      <c r="J461" s="959">
        <v>1001.55</v>
      </c>
      <c r="K461" s="960"/>
      <c r="L461" s="1121"/>
      <c r="M461" s="916">
        <v>17794.55</v>
      </c>
      <c r="N461" s="916">
        <v>21687.086248635835</v>
      </c>
      <c r="O461" s="1174">
        <v>6990.86</v>
      </c>
      <c r="P461" s="1174">
        <v>8520.1021533075182</v>
      </c>
      <c r="Q461" s="1174">
        <v>1868.36</v>
      </c>
      <c r="R461" s="1174">
        <v>2277.0614858763638</v>
      </c>
      <c r="S461" s="1174">
        <v>1735</v>
      </c>
      <c r="T461" s="1174">
        <v>2114.5291474852229</v>
      </c>
      <c r="U461" s="1120">
        <v>925.88576705937442</v>
      </c>
      <c r="V461" s="1120">
        <v>1128.4221565929456</v>
      </c>
      <c r="W461" s="1120">
        <v>2121.0549854745482</v>
      </c>
      <c r="X461" s="1120">
        <v>2585.0331932016011</v>
      </c>
      <c r="Y461" s="1119"/>
      <c r="Z461" s="1119"/>
      <c r="AA461" s="1119"/>
      <c r="AB461" s="1119"/>
      <c r="AC461" s="1178">
        <v>12.372999999999999</v>
      </c>
      <c r="AD461" s="1178">
        <v>15.06</v>
      </c>
      <c r="AE461" s="1178">
        <v>70203.399999999994</v>
      </c>
      <c r="AF461" s="1178">
        <v>85560.308675829438</v>
      </c>
      <c r="AG461" s="1178">
        <v>1223.182</v>
      </c>
      <c r="AH461" s="1178">
        <v>1490.7515802185994</v>
      </c>
      <c r="AI461" s="1178">
        <v>247.93199999999999</v>
      </c>
      <c r="AJ461" s="1178">
        <v>302.1668245500324</v>
      </c>
      <c r="AK461" s="919">
        <v>99.06</v>
      </c>
      <c r="AL461" s="919">
        <v>120.72925495670674</v>
      </c>
      <c r="AM461" s="919">
        <v>104.34</v>
      </c>
      <c r="AN461" s="919">
        <v>127.1642485582756</v>
      </c>
      <c r="AO461" s="919"/>
      <c r="AP461" s="919"/>
      <c r="AS461" s="1167"/>
      <c r="AT461" s="1167"/>
      <c r="AU461" s="1168"/>
      <c r="AV461" s="1168"/>
      <c r="AW461" s="1169"/>
      <c r="AX461" s="1169"/>
      <c r="AY461" s="1169"/>
      <c r="AZ461" s="1169"/>
      <c r="BA461" s="1803" t="s">
        <v>1</v>
      </c>
      <c r="BB461" s="1804">
        <v>2015</v>
      </c>
      <c r="BC461" s="1803" t="s">
        <v>51</v>
      </c>
      <c r="BD461" s="1803">
        <v>5</v>
      </c>
      <c r="BE461" s="1883">
        <v>410333000</v>
      </c>
      <c r="BF461" s="1801">
        <v>2.9745882723077086E-2</v>
      </c>
      <c r="BG461" s="1799"/>
      <c r="BH461" s="1881" t="s">
        <v>1</v>
      </c>
      <c r="BI461" s="1881" t="s">
        <v>309</v>
      </c>
      <c r="BJ461" s="1881" t="s">
        <v>249</v>
      </c>
      <c r="BK461" s="1881"/>
      <c r="BL461" s="1882">
        <v>5553985000</v>
      </c>
      <c r="BM461" s="1801">
        <v>1</v>
      </c>
      <c r="BN461" s="1799">
        <v>2003</v>
      </c>
      <c r="BO461" s="1684"/>
      <c r="BP461" s="1696"/>
      <c r="BQ461" s="1169"/>
      <c r="BR461" s="1169"/>
      <c r="BS461" s="1169"/>
      <c r="BT461" s="1169"/>
      <c r="BU461" s="1169"/>
      <c r="BV461" s="1169"/>
      <c r="BW461" s="1169"/>
      <c r="BX461" s="1169"/>
      <c r="BY461" s="1169"/>
      <c r="BZ461" s="1169"/>
      <c r="CA461" s="1169"/>
      <c r="CB461" s="1169"/>
      <c r="CC461" s="1169"/>
      <c r="CD461" s="1169"/>
      <c r="CE461" s="1169"/>
      <c r="CF461" s="1169"/>
      <c r="CG461" s="1169"/>
      <c r="CH461" s="1169"/>
      <c r="CI461" s="1169"/>
      <c r="CJ461" s="1169"/>
      <c r="CK461" s="1169"/>
      <c r="CL461" s="1169"/>
      <c r="CM461" s="1169"/>
      <c r="CN461" s="1169"/>
      <c r="CO461" s="1169"/>
      <c r="CP461" s="1169"/>
      <c r="CQ461" s="1169"/>
      <c r="CR461" s="1169"/>
      <c r="CS461" s="1169"/>
      <c r="CT461" s="1169"/>
      <c r="CU461" s="1169"/>
      <c r="CV461" s="1169"/>
      <c r="CW461" s="1169"/>
      <c r="CX461" s="1169"/>
      <c r="CY461" s="1169"/>
      <c r="CZ461" s="1169"/>
      <c r="DA461" s="1168"/>
      <c r="DB461" s="1168"/>
      <c r="DC461" s="1168"/>
      <c r="DD461" s="1168"/>
      <c r="DE461" s="1168"/>
      <c r="DF461" s="1168"/>
      <c r="DG461" s="1168"/>
      <c r="DH461" s="1168"/>
      <c r="DI461" s="1168"/>
      <c r="DJ461" s="1168"/>
      <c r="DK461" s="1168"/>
      <c r="DL461" s="1168"/>
      <c r="DM461" s="1168"/>
      <c r="DN461" s="1168"/>
      <c r="DO461" s="1168"/>
      <c r="DP461" s="1168"/>
      <c r="DQ461" s="1168"/>
      <c r="DR461" s="1168"/>
      <c r="DS461" s="1168"/>
      <c r="DT461" s="1168"/>
      <c r="DU461" s="1168"/>
      <c r="DV461" s="1168"/>
      <c r="DW461" s="1168"/>
      <c r="DX461" s="1168"/>
      <c r="DY461" s="1168"/>
      <c r="DZ461" s="1168"/>
      <c r="EA461" s="1168"/>
      <c r="EB461" s="1168"/>
      <c r="EC461" s="1168"/>
      <c r="ED461" s="1168"/>
      <c r="EE461" s="1168"/>
      <c r="EF461" s="1168"/>
      <c r="EG461" s="1168"/>
      <c r="EH461" s="1168"/>
      <c r="EI461" s="1170"/>
      <c r="EJ461" s="1170"/>
      <c r="EK461" s="1170"/>
      <c r="EL461" s="1170"/>
      <c r="EM461" s="1170"/>
      <c r="EN461" s="1170"/>
      <c r="EO461" s="1170"/>
      <c r="EP461" s="1170"/>
      <c r="EQ461" s="1170"/>
      <c r="ER461" s="1170"/>
      <c r="ES461" s="1171"/>
      <c r="ET461" s="1171"/>
      <c r="EU461" s="1171"/>
      <c r="EV461" s="1171"/>
      <c r="EW461" s="1171"/>
      <c r="EX461" s="1171"/>
      <c r="EY461" s="1171"/>
      <c r="EZ461" s="1171"/>
      <c r="FA461" s="1171"/>
      <c r="FB461" s="1171"/>
      <c r="FC461" s="1171"/>
      <c r="FD461" s="1171"/>
      <c r="FE461" s="1171"/>
      <c r="FF461" s="1171"/>
      <c r="FG461" s="1171"/>
      <c r="FH461" s="1171"/>
      <c r="FI461" s="1171"/>
      <c r="FJ461" s="1171"/>
      <c r="FK461" s="1171"/>
      <c r="FL461" s="1171"/>
      <c r="FM461" s="1171"/>
      <c r="FN461" s="1171"/>
      <c r="FO461" s="1171"/>
      <c r="FP461" s="1171"/>
    </row>
    <row r="462" spans="1:172" s="607" customFormat="1">
      <c r="A462" s="607">
        <f t="shared" si="15"/>
        <v>2008</v>
      </c>
      <c r="B462" s="607">
        <f t="shared" si="16"/>
        <v>4</v>
      </c>
      <c r="C462" s="666">
        <v>39722</v>
      </c>
      <c r="D462" s="957">
        <v>0.68943636363636374</v>
      </c>
      <c r="E462" s="920">
        <v>333.39195577362409</v>
      </c>
      <c r="F462" s="920">
        <v>483.57176000288308</v>
      </c>
      <c r="G462" s="920"/>
      <c r="H462" s="920"/>
      <c r="I462" s="954">
        <v>806.62</v>
      </c>
      <c r="J462" s="954">
        <v>1164.8800000000001</v>
      </c>
      <c r="K462" s="954"/>
      <c r="L462" s="920"/>
      <c r="M462" s="917">
        <v>12139.78</v>
      </c>
      <c r="N462" s="917">
        <v>17608.267623091324</v>
      </c>
      <c r="O462" s="1175">
        <v>4925.7</v>
      </c>
      <c r="P462" s="1175">
        <v>7144.5317650781917</v>
      </c>
      <c r="Q462" s="1175">
        <v>1480.11</v>
      </c>
      <c r="R462" s="1175">
        <v>2146.840633982963</v>
      </c>
      <c r="S462" s="1175">
        <v>1302.1099999999999</v>
      </c>
      <c r="T462" s="1175">
        <v>1888.6587199029507</v>
      </c>
      <c r="U462" s="920">
        <v>841.0851757236843</v>
      </c>
      <c r="V462" s="920">
        <v>1219.9605650149695</v>
      </c>
      <c r="W462" s="920">
        <v>2135.7033191284727</v>
      </c>
      <c r="X462" s="920">
        <v>3097.7526451664335</v>
      </c>
      <c r="Y462" s="920"/>
      <c r="Z462" s="920"/>
      <c r="AA462" s="920"/>
      <c r="AB462" s="920"/>
      <c r="AC462" s="920">
        <v>10.441000000000001</v>
      </c>
      <c r="AD462" s="920">
        <v>15.1</v>
      </c>
      <c r="AE462" s="920">
        <v>68398.399999999994</v>
      </c>
      <c r="AF462" s="920">
        <v>99209.15635960862</v>
      </c>
      <c r="AG462" s="920">
        <v>912.56500000000005</v>
      </c>
      <c r="AH462" s="920">
        <v>1323.6392046203748</v>
      </c>
      <c r="AI462" s="920">
        <v>190.739</v>
      </c>
      <c r="AJ462" s="920">
        <v>276.65932645903104</v>
      </c>
      <c r="AK462" s="920">
        <v>72.84</v>
      </c>
      <c r="AL462" s="920">
        <v>105.65152034600068</v>
      </c>
      <c r="AM462" s="920">
        <v>74.94</v>
      </c>
      <c r="AN462" s="920">
        <v>108.69748674806823</v>
      </c>
      <c r="AO462" s="920"/>
      <c r="AP462" s="920"/>
      <c r="AS462" s="1167"/>
      <c r="AT462" s="1167"/>
      <c r="AU462" s="1168"/>
      <c r="AV462" s="1168"/>
      <c r="AW462" s="1169"/>
      <c r="AX462" s="1169"/>
      <c r="AY462" s="1169"/>
      <c r="AZ462" s="1169"/>
      <c r="BA462" s="1803" t="s">
        <v>1</v>
      </c>
      <c r="BB462" s="1804">
        <v>2015</v>
      </c>
      <c r="BC462" s="1803" t="s">
        <v>581</v>
      </c>
      <c r="BD462" s="1803">
        <v>6</v>
      </c>
      <c r="BE462" s="1883">
        <v>335740000</v>
      </c>
      <c r="BF462" s="1801">
        <v>2.4338482806515439E-2</v>
      </c>
      <c r="BG462" s="1799"/>
      <c r="BH462" s="1884" t="s">
        <v>1</v>
      </c>
      <c r="BI462" s="1884" t="s">
        <v>289</v>
      </c>
      <c r="BJ462" s="1884" t="s">
        <v>18</v>
      </c>
      <c r="BK462" s="1884">
        <v>1</v>
      </c>
      <c r="BL462" s="1885">
        <v>2773127000</v>
      </c>
      <c r="BM462" s="1801">
        <v>0.49383254020419476</v>
      </c>
      <c r="BN462" s="1799">
        <v>2004</v>
      </c>
      <c r="BO462" s="1684"/>
      <c r="BP462" s="1696"/>
      <c r="BQ462" s="1169"/>
      <c r="BR462" s="1169"/>
      <c r="BS462" s="1169"/>
      <c r="BT462" s="1169"/>
      <c r="BU462" s="1169"/>
      <c r="BV462" s="1169"/>
      <c r="BW462" s="1169"/>
      <c r="BX462" s="1169"/>
      <c r="BY462" s="1169"/>
      <c r="BZ462" s="1169"/>
      <c r="CA462" s="1169"/>
      <c r="CB462" s="1169"/>
      <c r="CC462" s="1169"/>
      <c r="CD462" s="1169"/>
      <c r="CE462" s="1169"/>
      <c r="CF462" s="1169"/>
      <c r="CG462" s="1169"/>
      <c r="CH462" s="1169"/>
      <c r="CI462" s="1169"/>
      <c r="CJ462" s="1169"/>
      <c r="CK462" s="1169"/>
      <c r="CL462" s="1169"/>
      <c r="CM462" s="1169"/>
      <c r="CN462" s="1169"/>
      <c r="CO462" s="1169"/>
      <c r="CP462" s="1169"/>
      <c r="CQ462" s="1169"/>
      <c r="CR462" s="1169"/>
      <c r="CS462" s="1169"/>
      <c r="CT462" s="1169"/>
      <c r="CU462" s="1169"/>
      <c r="CV462" s="1169"/>
      <c r="CW462" s="1169"/>
      <c r="CX462" s="1169"/>
      <c r="CY462" s="1169"/>
      <c r="CZ462" s="1169"/>
      <c r="DA462" s="1168"/>
      <c r="DB462" s="1168"/>
      <c r="DC462" s="1168"/>
      <c r="DD462" s="1168"/>
      <c r="DE462" s="1168"/>
      <c r="DF462" s="1168"/>
      <c r="DG462" s="1168"/>
      <c r="DH462" s="1168"/>
      <c r="DI462" s="1168"/>
      <c r="DJ462" s="1168"/>
      <c r="DK462" s="1168"/>
      <c r="DL462" s="1168"/>
      <c r="DM462" s="1168"/>
      <c r="DN462" s="1168"/>
      <c r="DO462" s="1168"/>
      <c r="DP462" s="1168"/>
      <c r="DQ462" s="1168"/>
      <c r="DR462" s="1168"/>
      <c r="DS462" s="1168"/>
      <c r="DT462" s="1168"/>
      <c r="DU462" s="1168"/>
      <c r="DV462" s="1168"/>
      <c r="DW462" s="1168"/>
      <c r="DX462" s="1168"/>
      <c r="DY462" s="1168"/>
      <c r="DZ462" s="1168"/>
      <c r="EA462" s="1168"/>
      <c r="EB462" s="1168"/>
      <c r="EC462" s="1168"/>
      <c r="ED462" s="1168"/>
      <c r="EE462" s="1168"/>
      <c r="EF462" s="1168"/>
      <c r="EG462" s="1168"/>
      <c r="EH462" s="1168"/>
      <c r="EI462" s="1170"/>
      <c r="EJ462" s="1170"/>
      <c r="EK462" s="1170"/>
      <c r="EL462" s="1170"/>
      <c r="EM462" s="1170"/>
      <c r="EN462" s="1170"/>
      <c r="EO462" s="1170"/>
      <c r="EP462" s="1170"/>
      <c r="EQ462" s="1170"/>
      <c r="ER462" s="1170"/>
      <c r="ES462" s="1171"/>
      <c r="ET462" s="1171"/>
      <c r="EU462" s="1171"/>
      <c r="EV462" s="1171"/>
      <c r="EW462" s="1171"/>
      <c r="EX462" s="1171"/>
      <c r="EY462" s="1171"/>
      <c r="EZ462" s="1171"/>
      <c r="FA462" s="1171"/>
      <c r="FB462" s="1171"/>
      <c r="FC462" s="1171"/>
      <c r="FD462" s="1171"/>
      <c r="FE462" s="1171"/>
      <c r="FF462" s="1171"/>
      <c r="FG462" s="1171"/>
      <c r="FH462" s="1171"/>
      <c r="FI462" s="1171"/>
      <c r="FJ462" s="1171"/>
      <c r="FK462" s="1171"/>
      <c r="FL462" s="1171"/>
      <c r="FM462" s="1171"/>
      <c r="FN462" s="1171"/>
      <c r="FO462" s="1171"/>
      <c r="FP462" s="1171"/>
    </row>
    <row r="463" spans="1:172" s="607" customFormat="1">
      <c r="A463" s="607">
        <f t="shared" si="15"/>
        <v>2008</v>
      </c>
      <c r="B463" s="607">
        <f t="shared" si="16"/>
        <v>4</v>
      </c>
      <c r="C463" s="666">
        <v>39753</v>
      </c>
      <c r="D463" s="1709">
        <v>0.65567999999999993</v>
      </c>
      <c r="E463" s="1117">
        <v>307.86621485314339</v>
      </c>
      <c r="F463" s="1117">
        <v>469.53729693317382</v>
      </c>
      <c r="G463" s="1117"/>
      <c r="H463" s="1117"/>
      <c r="I463" s="959">
        <v>760.86300000000006</v>
      </c>
      <c r="J463" s="959">
        <v>1151.9100000000001</v>
      </c>
      <c r="K463" s="960"/>
      <c r="L463" s="1121"/>
      <c r="M463" s="916">
        <v>10701.5</v>
      </c>
      <c r="N463" s="916">
        <v>16321.223767691559</v>
      </c>
      <c r="O463" s="1174">
        <v>3717</v>
      </c>
      <c r="P463" s="1174">
        <v>5668.9238653001466</v>
      </c>
      <c r="Q463" s="1174">
        <v>1291.0999999999999</v>
      </c>
      <c r="R463" s="1174">
        <v>1969.1007808687166</v>
      </c>
      <c r="S463" s="1174">
        <v>1152.5999999999999</v>
      </c>
      <c r="T463" s="1174">
        <v>1757.869692532943</v>
      </c>
      <c r="U463" s="1120">
        <v>859.03806606510557</v>
      </c>
      <c r="V463" s="1120">
        <v>1310.1483438035409</v>
      </c>
      <c r="W463" s="1120">
        <v>2209.3385001906004</v>
      </c>
      <c r="X463" s="1120">
        <v>3369.5377321110918</v>
      </c>
      <c r="Y463" s="1119"/>
      <c r="Z463" s="1119"/>
      <c r="AA463" s="1119"/>
      <c r="AB463" s="1119"/>
      <c r="AC463" s="1178">
        <v>9.8650000000000002</v>
      </c>
      <c r="AD463" s="1178">
        <v>15.02</v>
      </c>
      <c r="AE463" s="1178">
        <v>44161.3</v>
      </c>
      <c r="AF463" s="1178">
        <v>67351.909468033205</v>
      </c>
      <c r="AG463" s="1178">
        <v>840.3</v>
      </c>
      <c r="AH463" s="1178">
        <v>1281.5702781844802</v>
      </c>
      <c r="AI463" s="1178">
        <v>207.42500000000001</v>
      </c>
      <c r="AJ463" s="1178">
        <v>316.35096388482191</v>
      </c>
      <c r="AK463" s="919">
        <v>53.24</v>
      </c>
      <c r="AL463" s="919">
        <v>81.198145436798455</v>
      </c>
      <c r="AM463" s="919">
        <v>53.17</v>
      </c>
      <c r="AN463" s="919">
        <v>81.091386041971703</v>
      </c>
      <c r="AO463" s="919"/>
      <c r="AP463" s="919"/>
      <c r="AS463" s="1167"/>
      <c r="AT463" s="1167"/>
      <c r="AU463" s="1168"/>
      <c r="AV463" s="1168"/>
      <c r="AW463" s="1169"/>
      <c r="AX463" s="1169"/>
      <c r="AY463" s="1169"/>
      <c r="AZ463" s="1169"/>
      <c r="BA463" s="1803" t="s">
        <v>1</v>
      </c>
      <c r="BB463" s="1804">
        <v>2015</v>
      </c>
      <c r="BC463" s="1803" t="s">
        <v>431</v>
      </c>
      <c r="BD463" s="1803">
        <v>7</v>
      </c>
      <c r="BE463" s="1883">
        <v>124054000</v>
      </c>
      <c r="BF463" s="1801">
        <v>8.9929294873398059E-3</v>
      </c>
      <c r="BG463" s="1799"/>
      <c r="BH463" s="1884" t="s">
        <v>1</v>
      </c>
      <c r="BI463" s="1884" t="s">
        <v>289</v>
      </c>
      <c r="BJ463" s="1884" t="s">
        <v>28</v>
      </c>
      <c r="BK463" s="1884">
        <v>2</v>
      </c>
      <c r="BL463" s="1885">
        <v>978022000</v>
      </c>
      <c r="BM463" s="1801">
        <v>0.17416407133015796</v>
      </c>
      <c r="BN463" s="1799">
        <v>2004</v>
      </c>
      <c r="BO463" s="1684"/>
      <c r="BP463" s="1696"/>
      <c r="BQ463" s="1169"/>
      <c r="BR463" s="1169"/>
      <c r="BS463" s="1169"/>
      <c r="BT463" s="1169"/>
      <c r="BU463" s="1169"/>
      <c r="BV463" s="1169"/>
      <c r="BW463" s="1169"/>
      <c r="BX463" s="1169"/>
      <c r="BY463" s="1169"/>
      <c r="BZ463" s="1169"/>
      <c r="CA463" s="1169"/>
      <c r="CB463" s="1169"/>
      <c r="CC463" s="1169"/>
      <c r="CD463" s="1169"/>
      <c r="CE463" s="1169"/>
      <c r="CF463" s="1169"/>
      <c r="CG463" s="1169"/>
      <c r="CH463" s="1169"/>
      <c r="CI463" s="1169"/>
      <c r="CJ463" s="1169"/>
      <c r="CK463" s="1169"/>
      <c r="CL463" s="1169"/>
      <c r="CM463" s="1169"/>
      <c r="CN463" s="1169"/>
      <c r="CO463" s="1169"/>
      <c r="CP463" s="1169"/>
      <c r="CQ463" s="1169"/>
      <c r="CR463" s="1169"/>
      <c r="CS463" s="1169"/>
      <c r="CT463" s="1169"/>
      <c r="CU463" s="1169"/>
      <c r="CV463" s="1169"/>
      <c r="CW463" s="1169"/>
      <c r="CX463" s="1169"/>
      <c r="CY463" s="1169"/>
      <c r="CZ463" s="1169"/>
      <c r="DA463" s="1168"/>
      <c r="DB463" s="1168"/>
      <c r="DC463" s="1168"/>
      <c r="DD463" s="1168"/>
      <c r="DE463" s="1168"/>
      <c r="DF463" s="1168"/>
      <c r="DG463" s="1168"/>
      <c r="DH463" s="1168"/>
      <c r="DI463" s="1168"/>
      <c r="DJ463" s="1168"/>
      <c r="DK463" s="1168"/>
      <c r="DL463" s="1168"/>
      <c r="DM463" s="1168"/>
      <c r="DN463" s="1168"/>
      <c r="DO463" s="1168"/>
      <c r="DP463" s="1168"/>
      <c r="DQ463" s="1168"/>
      <c r="DR463" s="1168"/>
      <c r="DS463" s="1168"/>
      <c r="DT463" s="1168"/>
      <c r="DU463" s="1168"/>
      <c r="DV463" s="1168"/>
      <c r="DW463" s="1168"/>
      <c r="DX463" s="1168"/>
      <c r="DY463" s="1168"/>
      <c r="DZ463" s="1168"/>
      <c r="EA463" s="1168"/>
      <c r="EB463" s="1168"/>
      <c r="EC463" s="1168"/>
      <c r="ED463" s="1168"/>
      <c r="EE463" s="1168"/>
      <c r="EF463" s="1168"/>
      <c r="EG463" s="1168"/>
      <c r="EH463" s="1168"/>
      <c r="EI463" s="1170"/>
      <c r="EJ463" s="1170"/>
      <c r="EK463" s="1170"/>
      <c r="EL463" s="1170"/>
      <c r="EM463" s="1170"/>
      <c r="EN463" s="1170"/>
      <c r="EO463" s="1170"/>
      <c r="EP463" s="1170"/>
      <c r="EQ463" s="1170"/>
      <c r="ER463" s="1170"/>
      <c r="ES463" s="1171"/>
      <c r="ET463" s="1171"/>
      <c r="EU463" s="1171"/>
      <c r="EV463" s="1171"/>
      <c r="EW463" s="1171"/>
      <c r="EX463" s="1171"/>
      <c r="EY463" s="1171"/>
      <c r="EZ463" s="1171"/>
      <c r="FA463" s="1171"/>
      <c r="FB463" s="1171"/>
      <c r="FC463" s="1171"/>
      <c r="FD463" s="1171"/>
      <c r="FE463" s="1171"/>
      <c r="FF463" s="1171"/>
      <c r="FG463" s="1171"/>
      <c r="FH463" s="1171"/>
      <c r="FI463" s="1171"/>
      <c r="FJ463" s="1171"/>
      <c r="FK463" s="1171"/>
      <c r="FL463" s="1171"/>
      <c r="FM463" s="1171"/>
      <c r="FN463" s="1171"/>
      <c r="FO463" s="1171"/>
      <c r="FP463" s="1171"/>
    </row>
    <row r="464" spans="1:172" s="607" customFormat="1">
      <c r="A464" s="607">
        <f t="shared" si="15"/>
        <v>2008</v>
      </c>
      <c r="B464" s="607">
        <f t="shared" si="16"/>
        <v>4</v>
      </c>
      <c r="C464" s="666">
        <v>39783</v>
      </c>
      <c r="D464" s="957">
        <v>0.66902380952380958</v>
      </c>
      <c r="E464" s="920">
        <v>286.57080649825554</v>
      </c>
      <c r="F464" s="920">
        <v>428.34171582357851</v>
      </c>
      <c r="G464" s="920"/>
      <c r="H464" s="920"/>
      <c r="I464" s="954">
        <v>816.09199999999998</v>
      </c>
      <c r="J464" s="954">
        <v>1224.46</v>
      </c>
      <c r="K464" s="954"/>
      <c r="L464" s="920"/>
      <c r="M464" s="917">
        <v>9686.43</v>
      </c>
      <c r="N464" s="917">
        <v>14478.453325741129</v>
      </c>
      <c r="O464" s="1175">
        <v>3071.98</v>
      </c>
      <c r="P464" s="1175">
        <v>4591.7349371863766</v>
      </c>
      <c r="Q464" s="1175">
        <v>962.88</v>
      </c>
      <c r="R464" s="1175">
        <v>1439.2312893697283</v>
      </c>
      <c r="S464" s="1175">
        <v>1100.57</v>
      </c>
      <c r="T464" s="1175">
        <v>1645.0386134737889</v>
      </c>
      <c r="U464" s="920">
        <v>864.81534716228998</v>
      </c>
      <c r="V464" s="920">
        <v>1292.6525705831586</v>
      </c>
      <c r="W464" s="920">
        <v>2249.4184072316771</v>
      </c>
      <c r="X464" s="920">
        <v>3362.2396919367393</v>
      </c>
      <c r="Y464" s="920"/>
      <c r="Z464" s="920"/>
      <c r="AA464" s="920"/>
      <c r="AB464" s="920"/>
      <c r="AC464" s="920">
        <v>10.285</v>
      </c>
      <c r="AD464" s="920">
        <v>15.47</v>
      </c>
      <c r="AE464" s="920">
        <v>30726.9</v>
      </c>
      <c r="AF464" s="920">
        <v>45927.961849176128</v>
      </c>
      <c r="AG464" s="920">
        <v>835</v>
      </c>
      <c r="AH464" s="920">
        <v>1248.0871205380975</v>
      </c>
      <c r="AI464" s="920">
        <v>175.47399999999999</v>
      </c>
      <c r="AJ464" s="920">
        <v>262.28363998718811</v>
      </c>
      <c r="AK464" s="920">
        <v>41.58</v>
      </c>
      <c r="AL464" s="920">
        <v>62.150254457453997</v>
      </c>
      <c r="AM464" s="920">
        <v>42.65</v>
      </c>
      <c r="AN464" s="920">
        <v>63.749599629880059</v>
      </c>
      <c r="AO464" s="920"/>
      <c r="AP464" s="920"/>
      <c r="AS464" s="1167"/>
      <c r="AT464" s="1167"/>
      <c r="AU464" s="1168"/>
      <c r="AV464" s="1168"/>
      <c r="AW464" s="1169"/>
      <c r="AX464" s="1169"/>
      <c r="AY464" s="1169"/>
      <c r="AZ464" s="1169"/>
      <c r="BA464" s="1803" t="s">
        <v>1</v>
      </c>
      <c r="BB464" s="1804">
        <v>2015</v>
      </c>
      <c r="BC464" s="1803" t="s">
        <v>241</v>
      </c>
      <c r="BD464" s="1803">
        <v>8</v>
      </c>
      <c r="BE464" s="1883">
        <v>71559000</v>
      </c>
      <c r="BF464" s="1801">
        <v>5.1874590193347189E-3</v>
      </c>
      <c r="BG464" s="1799"/>
      <c r="BH464" s="1884" t="s">
        <v>1</v>
      </c>
      <c r="BI464" s="1884" t="s">
        <v>289</v>
      </c>
      <c r="BJ464" s="1884" t="s">
        <v>51</v>
      </c>
      <c r="BK464" s="1884">
        <v>3</v>
      </c>
      <c r="BL464" s="1885">
        <v>790592000</v>
      </c>
      <c r="BM464" s="1801">
        <v>0.14078693677754922</v>
      </c>
      <c r="BN464" s="1799">
        <v>2004</v>
      </c>
      <c r="BO464" s="1684"/>
      <c r="BP464" s="1696"/>
      <c r="BQ464" s="1169"/>
      <c r="BR464" s="1169"/>
      <c r="BS464" s="1169"/>
      <c r="BT464" s="1169"/>
      <c r="BU464" s="1169"/>
      <c r="BV464" s="1169"/>
      <c r="BW464" s="1169"/>
      <c r="BX464" s="1169"/>
      <c r="BY464" s="1169"/>
      <c r="BZ464" s="1169"/>
      <c r="CA464" s="1169"/>
      <c r="CB464" s="1169"/>
      <c r="CC464" s="1169"/>
      <c r="CD464" s="1169"/>
      <c r="CE464" s="1169"/>
      <c r="CF464" s="1169"/>
      <c r="CG464" s="1169"/>
      <c r="CH464" s="1169"/>
      <c r="CI464" s="1169"/>
      <c r="CJ464" s="1169"/>
      <c r="CK464" s="1169"/>
      <c r="CL464" s="1169"/>
      <c r="CM464" s="1169"/>
      <c r="CN464" s="1169"/>
      <c r="CO464" s="1169"/>
      <c r="CP464" s="1169"/>
      <c r="CQ464" s="1169"/>
      <c r="CR464" s="1169"/>
      <c r="CS464" s="1169"/>
      <c r="CT464" s="1169"/>
      <c r="CU464" s="1169"/>
      <c r="CV464" s="1169"/>
      <c r="CW464" s="1169"/>
      <c r="CX464" s="1169"/>
      <c r="CY464" s="1169"/>
      <c r="CZ464" s="1169"/>
      <c r="DA464" s="1168"/>
      <c r="DB464" s="1168"/>
      <c r="DC464" s="1168"/>
      <c r="DD464" s="1168"/>
      <c r="DE464" s="1168"/>
      <c r="DF464" s="1168"/>
      <c r="DG464" s="1168"/>
      <c r="DH464" s="1168"/>
      <c r="DI464" s="1168"/>
      <c r="DJ464" s="1168"/>
      <c r="DK464" s="1168"/>
      <c r="DL464" s="1168"/>
      <c r="DM464" s="1168"/>
      <c r="DN464" s="1168"/>
      <c r="DO464" s="1168"/>
      <c r="DP464" s="1168"/>
      <c r="DQ464" s="1168"/>
      <c r="DR464" s="1168"/>
      <c r="DS464" s="1168"/>
      <c r="DT464" s="1168"/>
      <c r="DU464" s="1168"/>
      <c r="DV464" s="1168"/>
      <c r="DW464" s="1168"/>
      <c r="DX464" s="1168"/>
      <c r="DY464" s="1168"/>
      <c r="DZ464" s="1168"/>
      <c r="EA464" s="1168"/>
      <c r="EB464" s="1168"/>
      <c r="EC464" s="1168"/>
      <c r="ED464" s="1168"/>
      <c r="EE464" s="1168"/>
      <c r="EF464" s="1168"/>
      <c r="EG464" s="1168"/>
      <c r="EH464" s="1168"/>
      <c r="EI464" s="1170"/>
      <c r="EJ464" s="1170"/>
      <c r="EK464" s="1170"/>
      <c r="EL464" s="1170"/>
      <c r="EM464" s="1170"/>
      <c r="EN464" s="1170"/>
      <c r="EO464" s="1170"/>
      <c r="EP464" s="1170"/>
      <c r="EQ464" s="1170"/>
      <c r="ER464" s="1170"/>
      <c r="ES464" s="1171"/>
      <c r="ET464" s="1171"/>
      <c r="EU464" s="1171"/>
      <c r="EV464" s="1171"/>
      <c r="EW464" s="1171"/>
      <c r="EX464" s="1171"/>
      <c r="EY464" s="1171"/>
      <c r="EZ464" s="1171"/>
      <c r="FA464" s="1171"/>
      <c r="FB464" s="1171"/>
      <c r="FC464" s="1171"/>
      <c r="FD464" s="1171"/>
      <c r="FE464" s="1171"/>
      <c r="FF464" s="1171"/>
      <c r="FG464" s="1171"/>
      <c r="FH464" s="1171"/>
      <c r="FI464" s="1171"/>
      <c r="FJ464" s="1171"/>
      <c r="FK464" s="1171"/>
      <c r="FL464" s="1171"/>
      <c r="FM464" s="1171"/>
      <c r="FN464" s="1171"/>
      <c r="FO464" s="1171"/>
      <c r="FP464" s="1171"/>
    </row>
    <row r="465" spans="1:172" s="607" customFormat="1">
      <c r="A465" s="607">
        <f t="shared" si="15"/>
        <v>2009</v>
      </c>
      <c r="B465" s="607">
        <f t="shared" si="16"/>
        <v>1</v>
      </c>
      <c r="C465" s="666">
        <v>39814</v>
      </c>
      <c r="D465" s="1709">
        <v>0.67839000000000005</v>
      </c>
      <c r="E465" s="1117">
        <v>233.23456251593979</v>
      </c>
      <c r="F465" s="1117">
        <v>343.80601500013233</v>
      </c>
      <c r="G465" s="1117"/>
      <c r="H465" s="1117"/>
      <c r="I465" s="959">
        <v>858.69</v>
      </c>
      <c r="J465" s="959">
        <v>1257.2</v>
      </c>
      <c r="K465" s="960"/>
      <c r="L465" s="1121"/>
      <c r="M465" s="916">
        <v>11306.9</v>
      </c>
      <c r="N465" s="916">
        <v>16667.256297999673</v>
      </c>
      <c r="O465" s="1174">
        <v>3220.69</v>
      </c>
      <c r="P465" s="1174">
        <v>4747.549344772181</v>
      </c>
      <c r="Q465" s="1174">
        <v>1132.74</v>
      </c>
      <c r="R465" s="1174">
        <v>1669.7474903816387</v>
      </c>
      <c r="S465" s="1174">
        <v>1187.4000000000001</v>
      </c>
      <c r="T465" s="1174">
        <v>1750.3206120373236</v>
      </c>
      <c r="U465" s="1120">
        <v>957.8850221554253</v>
      </c>
      <c r="V465" s="1120">
        <v>1411.9975562072336</v>
      </c>
      <c r="W465" s="1120">
        <v>2243.0183083008005</v>
      </c>
      <c r="X465" s="1120">
        <v>3306.3846877176852</v>
      </c>
      <c r="Y465" s="1119"/>
      <c r="Z465" s="1119"/>
      <c r="AA465" s="1119"/>
      <c r="AB465" s="1119"/>
      <c r="AC465" s="1178">
        <v>11.291</v>
      </c>
      <c r="AD465" s="1178">
        <v>16.579999999999998</v>
      </c>
      <c r="AE465" s="1178">
        <v>37368.35</v>
      </c>
      <c r="AF465" s="1178">
        <v>55083.875057120531</v>
      </c>
      <c r="AG465" s="1178">
        <v>949.76199999999994</v>
      </c>
      <c r="AH465" s="1178">
        <v>1400.0235852533201</v>
      </c>
      <c r="AI465" s="1178">
        <v>188.405</v>
      </c>
      <c r="AJ465" s="1178">
        <v>277.72372823891862</v>
      </c>
      <c r="AK465" s="919">
        <v>44.98</v>
      </c>
      <c r="AL465" s="919">
        <v>66.304043396866106</v>
      </c>
      <c r="AM465" s="919">
        <v>45.07</v>
      </c>
      <c r="AN465" s="919">
        <v>66.436710446793143</v>
      </c>
      <c r="AO465" s="919"/>
      <c r="AP465" s="919"/>
      <c r="AS465" s="1167"/>
      <c r="AT465" s="1167"/>
      <c r="AU465" s="1168"/>
      <c r="AV465" s="1168"/>
      <c r="AW465" s="1169"/>
      <c r="AX465" s="1169"/>
      <c r="AY465" s="1169"/>
      <c r="AZ465" s="1169"/>
      <c r="BA465" s="1803" t="s">
        <v>1</v>
      </c>
      <c r="BB465" s="1804">
        <v>2015</v>
      </c>
      <c r="BC465" s="1803" t="s">
        <v>20</v>
      </c>
      <c r="BD465" s="1803">
        <v>9</v>
      </c>
      <c r="BE465" s="1883">
        <v>64145000</v>
      </c>
      <c r="BF465" s="1801">
        <v>4.6500029178052453E-3</v>
      </c>
      <c r="BG465" s="1799"/>
      <c r="BH465" s="1884" t="s">
        <v>1</v>
      </c>
      <c r="BI465" s="1884" t="s">
        <v>289</v>
      </c>
      <c r="BJ465" s="1884" t="s">
        <v>581</v>
      </c>
      <c r="BK465" s="1884">
        <v>4</v>
      </c>
      <c r="BL465" s="1885">
        <v>283053000</v>
      </c>
      <c r="BM465" s="1801">
        <v>5.0405474398546458E-2</v>
      </c>
      <c r="BN465" s="1799">
        <v>2004</v>
      </c>
      <c r="BO465" s="1684"/>
      <c r="BP465" s="1696"/>
      <c r="BQ465" s="1169"/>
      <c r="BR465" s="1169"/>
      <c r="BS465" s="1169"/>
      <c r="BT465" s="1169"/>
      <c r="BU465" s="1169"/>
      <c r="BV465" s="1169"/>
      <c r="BW465" s="1169"/>
      <c r="BX465" s="1169"/>
      <c r="BY465" s="1169"/>
      <c r="BZ465" s="1169"/>
      <c r="CA465" s="1169"/>
      <c r="CB465" s="1169"/>
      <c r="CC465" s="1169"/>
      <c r="CD465" s="1169"/>
      <c r="CE465" s="1169"/>
      <c r="CF465" s="1169"/>
      <c r="CG465" s="1169"/>
      <c r="CH465" s="1169"/>
      <c r="CI465" s="1169"/>
      <c r="CJ465" s="1169"/>
      <c r="CK465" s="1169"/>
      <c r="CL465" s="1169"/>
      <c r="CM465" s="1169"/>
      <c r="CN465" s="1169"/>
      <c r="CO465" s="1169"/>
      <c r="CP465" s="1169"/>
      <c r="CQ465" s="1169"/>
      <c r="CR465" s="1169"/>
      <c r="CS465" s="1169"/>
      <c r="CT465" s="1169"/>
      <c r="CU465" s="1169"/>
      <c r="CV465" s="1169"/>
      <c r="CW465" s="1169"/>
      <c r="CX465" s="1169"/>
      <c r="CY465" s="1169"/>
      <c r="CZ465" s="1169"/>
      <c r="DA465" s="1168"/>
      <c r="DB465" s="1168"/>
      <c r="DC465" s="1168"/>
      <c r="DD465" s="1168"/>
      <c r="DE465" s="1168"/>
      <c r="DF465" s="1168"/>
      <c r="DG465" s="1168"/>
      <c r="DH465" s="1168"/>
      <c r="DI465" s="1168"/>
      <c r="DJ465" s="1168"/>
      <c r="DK465" s="1168"/>
      <c r="DL465" s="1168"/>
      <c r="DM465" s="1168"/>
      <c r="DN465" s="1168"/>
      <c r="DO465" s="1168"/>
      <c r="DP465" s="1168"/>
      <c r="DQ465" s="1168"/>
      <c r="DR465" s="1168"/>
      <c r="DS465" s="1168"/>
      <c r="DT465" s="1168"/>
      <c r="DU465" s="1168"/>
      <c r="DV465" s="1168"/>
      <c r="DW465" s="1168"/>
      <c r="DX465" s="1168"/>
      <c r="DY465" s="1168"/>
      <c r="DZ465" s="1168"/>
      <c r="EA465" s="1168"/>
      <c r="EB465" s="1168"/>
      <c r="EC465" s="1168"/>
      <c r="ED465" s="1168"/>
      <c r="EE465" s="1168"/>
      <c r="EF465" s="1168"/>
      <c r="EG465" s="1168"/>
      <c r="EH465" s="1168"/>
      <c r="EI465" s="1170"/>
      <c r="EJ465" s="1170"/>
      <c r="EK465" s="1170"/>
      <c r="EL465" s="1170"/>
      <c r="EM465" s="1170"/>
      <c r="EN465" s="1170"/>
      <c r="EO465" s="1170"/>
      <c r="EP465" s="1170"/>
      <c r="EQ465" s="1170"/>
      <c r="ER465" s="1170"/>
      <c r="ES465" s="1171"/>
      <c r="ET465" s="1171"/>
      <c r="EU465" s="1171"/>
      <c r="EV465" s="1171"/>
      <c r="EW465" s="1171"/>
      <c r="EX465" s="1171"/>
      <c r="EY465" s="1171"/>
      <c r="EZ465" s="1171"/>
      <c r="FA465" s="1171"/>
      <c r="FB465" s="1171"/>
      <c r="FC465" s="1171"/>
      <c r="FD465" s="1171"/>
      <c r="FE465" s="1171"/>
      <c r="FF465" s="1171"/>
      <c r="FG465" s="1171"/>
      <c r="FH465" s="1171"/>
      <c r="FI465" s="1171"/>
      <c r="FJ465" s="1171"/>
      <c r="FK465" s="1171"/>
      <c r="FL465" s="1171"/>
      <c r="FM465" s="1171"/>
      <c r="FN465" s="1171"/>
      <c r="FO465" s="1171"/>
      <c r="FP465" s="1171"/>
    </row>
    <row r="466" spans="1:172" s="607" customFormat="1">
      <c r="A466" s="607">
        <f t="shared" si="15"/>
        <v>2009</v>
      </c>
      <c r="B466" s="607">
        <f t="shared" si="16"/>
        <v>1</v>
      </c>
      <c r="C466" s="666">
        <v>39845</v>
      </c>
      <c r="D466" s="957">
        <v>0.64901500000000012</v>
      </c>
      <c r="E466" s="920">
        <v>226.50504204989716</v>
      </c>
      <c r="F466" s="920">
        <v>348.99816190673113</v>
      </c>
      <c r="G466" s="920"/>
      <c r="H466" s="920"/>
      <c r="I466" s="954">
        <v>943.16300000000001</v>
      </c>
      <c r="J466" s="954">
        <v>1436.07</v>
      </c>
      <c r="K466" s="954"/>
      <c r="L466" s="920"/>
      <c r="M466" s="917">
        <v>10408.75</v>
      </c>
      <c r="N466" s="917">
        <v>16037.764920687501</v>
      </c>
      <c r="O466" s="1175">
        <v>3314.73</v>
      </c>
      <c r="P466" s="1175">
        <v>5107.3241758665044</v>
      </c>
      <c r="Q466" s="1175">
        <v>1100.53</v>
      </c>
      <c r="R466" s="1175">
        <v>1695.692703558469</v>
      </c>
      <c r="S466" s="1175">
        <v>1112.08</v>
      </c>
      <c r="T466" s="1175">
        <v>1713.4889024136571</v>
      </c>
      <c r="U466" s="920">
        <v>614.91940523994822</v>
      </c>
      <c r="V466" s="920">
        <v>947.46562905317774</v>
      </c>
      <c r="W466" s="920">
        <v>2182.7200285885124</v>
      </c>
      <c r="X466" s="920">
        <v>3363.12724449899</v>
      </c>
      <c r="Y466" s="920"/>
      <c r="Z466" s="920"/>
      <c r="AA466" s="920"/>
      <c r="AB466" s="920"/>
      <c r="AC466" s="920">
        <v>13.413</v>
      </c>
      <c r="AD466" s="920">
        <v>20.55</v>
      </c>
      <c r="AE466" s="920">
        <v>33759.25</v>
      </c>
      <c r="AF466" s="920">
        <v>52016.132138702487</v>
      </c>
      <c r="AG466" s="920">
        <v>1035.7</v>
      </c>
      <c r="AH466" s="920">
        <v>1595.8028705037632</v>
      </c>
      <c r="AI466" s="920">
        <v>205.7</v>
      </c>
      <c r="AJ466" s="920">
        <v>316.94182723049539</v>
      </c>
      <c r="AK466" s="920">
        <v>43.24</v>
      </c>
      <c r="AL466" s="920">
        <v>66.624037965224218</v>
      </c>
      <c r="AM466" s="920">
        <v>48.29</v>
      </c>
      <c r="AN466" s="920">
        <v>74.405059975501317</v>
      </c>
      <c r="AO466" s="920"/>
      <c r="AP466" s="920"/>
      <c r="AS466" s="1167"/>
      <c r="AT466" s="1167"/>
      <c r="AU466" s="1168"/>
      <c r="AV466" s="1168"/>
      <c r="AW466" s="1169"/>
      <c r="AX466" s="1169"/>
      <c r="AY466" s="1169"/>
      <c r="AZ466" s="1169"/>
      <c r="BA466" s="1803" t="s">
        <v>1</v>
      </c>
      <c r="BB466" s="1804">
        <v>2015</v>
      </c>
      <c r="BC466" s="1803" t="s">
        <v>55</v>
      </c>
      <c r="BD466" s="1803">
        <v>10</v>
      </c>
      <c r="BE466" s="1883">
        <v>48229000</v>
      </c>
      <c r="BF466" s="1801">
        <v>3.4962193580610986E-3</v>
      </c>
      <c r="BG466" s="1799"/>
      <c r="BH466" s="1884" t="s">
        <v>1</v>
      </c>
      <c r="BI466" s="1884" t="s">
        <v>289</v>
      </c>
      <c r="BJ466" s="1884" t="s">
        <v>49</v>
      </c>
      <c r="BK466" s="1884">
        <v>5</v>
      </c>
      <c r="BL466" s="1885">
        <v>235223000</v>
      </c>
      <c r="BM466" s="1801">
        <v>4.1888010035043943E-2</v>
      </c>
      <c r="BN466" s="1799">
        <v>2004</v>
      </c>
      <c r="BO466" s="1684"/>
      <c r="BP466" s="1696"/>
      <c r="BQ466" s="1169"/>
      <c r="BR466" s="1169"/>
      <c r="BS466" s="1169"/>
      <c r="BT466" s="1169"/>
      <c r="BU466" s="1169"/>
      <c r="BV466" s="1169"/>
      <c r="BW466" s="1169"/>
      <c r="BX466" s="1169"/>
      <c r="BY466" s="1169"/>
      <c r="BZ466" s="1169"/>
      <c r="CA466" s="1169"/>
      <c r="CB466" s="1169"/>
      <c r="CC466" s="1169"/>
      <c r="CD466" s="1169"/>
      <c r="CE466" s="1169"/>
      <c r="CF466" s="1169"/>
      <c r="CG466" s="1169"/>
      <c r="CH466" s="1169"/>
      <c r="CI466" s="1169"/>
      <c r="CJ466" s="1169"/>
      <c r="CK466" s="1169"/>
      <c r="CL466" s="1169"/>
      <c r="CM466" s="1169"/>
      <c r="CN466" s="1169"/>
      <c r="CO466" s="1169"/>
      <c r="CP466" s="1169"/>
      <c r="CQ466" s="1169"/>
      <c r="CR466" s="1169"/>
      <c r="CS466" s="1169"/>
      <c r="CT466" s="1169"/>
      <c r="CU466" s="1169"/>
      <c r="CV466" s="1169"/>
      <c r="CW466" s="1169"/>
      <c r="CX466" s="1169"/>
      <c r="CY466" s="1169"/>
      <c r="CZ466" s="1169"/>
      <c r="DA466" s="1168"/>
      <c r="DB466" s="1168"/>
      <c r="DC466" s="1168"/>
      <c r="DD466" s="1168"/>
      <c r="DE466" s="1168"/>
      <c r="DF466" s="1168"/>
      <c r="DG466" s="1168"/>
      <c r="DH466" s="1168"/>
      <c r="DI466" s="1168"/>
      <c r="DJ466" s="1168"/>
      <c r="DK466" s="1168"/>
      <c r="DL466" s="1168"/>
      <c r="DM466" s="1168"/>
      <c r="DN466" s="1168"/>
      <c r="DO466" s="1168"/>
      <c r="DP466" s="1168"/>
      <c r="DQ466" s="1168"/>
      <c r="DR466" s="1168"/>
      <c r="DS466" s="1168"/>
      <c r="DT466" s="1168"/>
      <c r="DU466" s="1168"/>
      <c r="DV466" s="1168"/>
      <c r="DW466" s="1168"/>
      <c r="DX466" s="1168"/>
      <c r="DY466" s="1168"/>
      <c r="DZ466" s="1168"/>
      <c r="EA466" s="1168"/>
      <c r="EB466" s="1168"/>
      <c r="EC466" s="1168"/>
      <c r="ED466" s="1168"/>
      <c r="EE466" s="1168"/>
      <c r="EF466" s="1168"/>
      <c r="EG466" s="1168"/>
      <c r="EH466" s="1168"/>
      <c r="EI466" s="1170"/>
      <c r="EJ466" s="1170"/>
      <c r="EK466" s="1170"/>
      <c r="EL466" s="1170"/>
      <c r="EM466" s="1170"/>
      <c r="EN466" s="1170"/>
      <c r="EO466" s="1170"/>
      <c r="EP466" s="1170"/>
      <c r="EQ466" s="1170"/>
      <c r="ER466" s="1170"/>
      <c r="ES466" s="1171"/>
      <c r="ET466" s="1171"/>
      <c r="EU466" s="1171"/>
      <c r="EV466" s="1171"/>
      <c r="EW466" s="1171"/>
      <c r="EX466" s="1171"/>
      <c r="EY466" s="1171"/>
      <c r="EZ466" s="1171"/>
      <c r="FA466" s="1171"/>
      <c r="FB466" s="1171"/>
      <c r="FC466" s="1171"/>
      <c r="FD466" s="1171"/>
      <c r="FE466" s="1171"/>
      <c r="FF466" s="1171"/>
      <c r="FG466" s="1171"/>
      <c r="FH466" s="1171"/>
      <c r="FI466" s="1171"/>
      <c r="FJ466" s="1171"/>
      <c r="FK466" s="1171"/>
      <c r="FL466" s="1171"/>
      <c r="FM466" s="1171"/>
      <c r="FN466" s="1171"/>
      <c r="FO466" s="1171"/>
      <c r="FP466" s="1171"/>
    </row>
    <row r="467" spans="1:172" s="607" customFormat="1">
      <c r="A467" s="607">
        <f t="shared" si="15"/>
        <v>2009</v>
      </c>
      <c r="B467" s="607">
        <f t="shared" si="16"/>
        <v>1</v>
      </c>
      <c r="C467" s="666">
        <v>39873</v>
      </c>
      <c r="D467" s="1709">
        <v>0.66459090909090901</v>
      </c>
      <c r="E467" s="1117">
        <v>207.91793691595461</v>
      </c>
      <c r="F467" s="1117">
        <v>312.85100965399096</v>
      </c>
      <c r="G467" s="1117"/>
      <c r="H467" s="1117"/>
      <c r="I467" s="959">
        <v>924.27300000000002</v>
      </c>
      <c r="J467" s="959">
        <v>1396.53</v>
      </c>
      <c r="K467" s="960"/>
      <c r="L467" s="1121"/>
      <c r="M467" s="916">
        <v>9696.36</v>
      </c>
      <c r="N467" s="916">
        <v>14589.967854455923</v>
      </c>
      <c r="O467" s="1174">
        <v>3749.75</v>
      </c>
      <c r="P467" s="1174">
        <v>5642.1927364749336</v>
      </c>
      <c r="Q467" s="1174">
        <v>1238.9100000000001</v>
      </c>
      <c r="R467" s="1174">
        <v>1864.169345462007</v>
      </c>
      <c r="S467" s="1174">
        <v>1216.75</v>
      </c>
      <c r="T467" s="1174">
        <v>1830.8255249298957</v>
      </c>
      <c r="U467" s="1120">
        <v>888.05831927869417</v>
      </c>
      <c r="V467" s="1120">
        <v>1336.2480694980695</v>
      </c>
      <c r="W467" s="1120">
        <v>2058.0531224539004</v>
      </c>
      <c r="X467" s="1120">
        <v>3096.7217491269967</v>
      </c>
      <c r="Y467" s="1119"/>
      <c r="Z467" s="1119"/>
      <c r="AA467" s="1119"/>
      <c r="AB467" s="1119"/>
      <c r="AC467" s="1178">
        <v>13.117000000000001</v>
      </c>
      <c r="AD467" s="1178">
        <v>20.350000000000001</v>
      </c>
      <c r="AE467" s="1178">
        <v>29900.2</v>
      </c>
      <c r="AF467" s="1178">
        <v>44990.383694685734</v>
      </c>
      <c r="AG467" s="1178">
        <v>1081.182</v>
      </c>
      <c r="AH467" s="1178">
        <v>1626.8383831475278</v>
      </c>
      <c r="AI467" s="1178">
        <v>202.34100000000001</v>
      </c>
      <c r="AJ467" s="1178">
        <v>304.45947609602632</v>
      </c>
      <c r="AK467" s="919">
        <v>46.84</v>
      </c>
      <c r="AL467" s="919">
        <v>70.479447370220925</v>
      </c>
      <c r="AM467" s="919">
        <v>50.1</v>
      </c>
      <c r="AN467" s="919">
        <v>75.384720607345614</v>
      </c>
      <c r="AO467" s="919"/>
      <c r="AP467" s="919"/>
      <c r="AS467" s="1167"/>
      <c r="AT467" s="1167"/>
      <c r="AU467" s="1168"/>
      <c r="AV467" s="1168"/>
      <c r="AW467" s="1169"/>
      <c r="AX467" s="1169"/>
      <c r="AY467" s="1169"/>
      <c r="AZ467" s="1169"/>
      <c r="BA467" s="1803" t="s">
        <v>1</v>
      </c>
      <c r="BB467" s="1804">
        <v>2015</v>
      </c>
      <c r="BC467" s="1803" t="s">
        <v>32</v>
      </c>
      <c r="BD467" s="1803"/>
      <c r="BE467" s="1883">
        <v>79990000</v>
      </c>
      <c r="BF467" s="1801">
        <v>5.7986395415892357E-3</v>
      </c>
      <c r="BG467" s="1799"/>
      <c r="BH467" s="1884" t="s">
        <v>1</v>
      </c>
      <c r="BI467" s="1884" t="s">
        <v>289</v>
      </c>
      <c r="BJ467" s="1884" t="s">
        <v>20</v>
      </c>
      <c r="BK467" s="1884">
        <v>6</v>
      </c>
      <c r="BL467" s="1885">
        <v>137151000</v>
      </c>
      <c r="BM467" s="1801">
        <v>2.4423557493596766E-2</v>
      </c>
      <c r="BN467" s="1799">
        <v>2004</v>
      </c>
      <c r="BO467" s="1684"/>
      <c r="BP467" s="1696"/>
      <c r="BQ467" s="1169"/>
      <c r="BR467" s="1169"/>
      <c r="BS467" s="1169"/>
      <c r="BT467" s="1169"/>
      <c r="BU467" s="1169"/>
      <c r="BV467" s="1169"/>
      <c r="BW467" s="1169"/>
      <c r="BX467" s="1169"/>
      <c r="BY467" s="1169"/>
      <c r="BZ467" s="1169"/>
      <c r="CA467" s="1169"/>
      <c r="CB467" s="1169"/>
      <c r="CC467" s="1169"/>
      <c r="CD467" s="1169"/>
      <c r="CE467" s="1169"/>
      <c r="CF467" s="1169"/>
      <c r="CG467" s="1169"/>
      <c r="CH467" s="1169"/>
      <c r="CI467" s="1169"/>
      <c r="CJ467" s="1169"/>
      <c r="CK467" s="1169"/>
      <c r="CL467" s="1169"/>
      <c r="CM467" s="1169"/>
      <c r="CN467" s="1169"/>
      <c r="CO467" s="1169"/>
      <c r="CP467" s="1169"/>
      <c r="CQ467" s="1169"/>
      <c r="CR467" s="1169"/>
      <c r="CS467" s="1169"/>
      <c r="CT467" s="1169"/>
      <c r="CU467" s="1169"/>
      <c r="CV467" s="1169"/>
      <c r="CW467" s="1169"/>
      <c r="CX467" s="1169"/>
      <c r="CY467" s="1169"/>
      <c r="CZ467" s="1169"/>
      <c r="DA467" s="1168"/>
      <c r="DB467" s="1168"/>
      <c r="DC467" s="1168"/>
      <c r="DD467" s="1168"/>
      <c r="DE467" s="1168"/>
      <c r="DF467" s="1168"/>
      <c r="DG467" s="1168"/>
      <c r="DH467" s="1168"/>
      <c r="DI467" s="1168"/>
      <c r="DJ467" s="1168"/>
      <c r="DK467" s="1168"/>
      <c r="DL467" s="1168"/>
      <c r="DM467" s="1168"/>
      <c r="DN467" s="1168"/>
      <c r="DO467" s="1168"/>
      <c r="DP467" s="1168"/>
      <c r="DQ467" s="1168"/>
      <c r="DR467" s="1168"/>
      <c r="DS467" s="1168"/>
      <c r="DT467" s="1168"/>
      <c r="DU467" s="1168"/>
      <c r="DV467" s="1168"/>
      <c r="DW467" s="1168"/>
      <c r="DX467" s="1168"/>
      <c r="DY467" s="1168"/>
      <c r="DZ467" s="1168"/>
      <c r="EA467" s="1168"/>
      <c r="EB467" s="1168"/>
      <c r="EC467" s="1168"/>
      <c r="ED467" s="1168"/>
      <c r="EE467" s="1168"/>
      <c r="EF467" s="1168"/>
      <c r="EG467" s="1168"/>
      <c r="EH467" s="1168"/>
      <c r="EI467" s="1170"/>
      <c r="EJ467" s="1170"/>
      <c r="EK467" s="1170"/>
      <c r="EL467" s="1170"/>
      <c r="EM467" s="1170"/>
      <c r="EN467" s="1170"/>
      <c r="EO467" s="1170"/>
      <c r="EP467" s="1170"/>
      <c r="EQ467" s="1170"/>
      <c r="ER467" s="1170"/>
      <c r="ES467" s="1171"/>
      <c r="ET467" s="1171"/>
      <c r="EU467" s="1171"/>
      <c r="EV467" s="1171"/>
      <c r="EW467" s="1171"/>
      <c r="EX467" s="1171"/>
      <c r="EY467" s="1171"/>
      <c r="EZ467" s="1171"/>
      <c r="FA467" s="1171"/>
      <c r="FB467" s="1171"/>
      <c r="FC467" s="1171"/>
      <c r="FD467" s="1171"/>
      <c r="FE467" s="1171"/>
      <c r="FF467" s="1171"/>
      <c r="FG467" s="1171"/>
      <c r="FH467" s="1171"/>
      <c r="FI467" s="1171"/>
      <c r="FJ467" s="1171"/>
      <c r="FK467" s="1171"/>
      <c r="FL467" s="1171"/>
      <c r="FM467" s="1171"/>
      <c r="FN467" s="1171"/>
      <c r="FO467" s="1171"/>
      <c r="FP467" s="1171"/>
    </row>
    <row r="468" spans="1:172" s="607" customFormat="1">
      <c r="A468" s="607">
        <f t="shared" si="15"/>
        <v>2009</v>
      </c>
      <c r="B468" s="607">
        <f t="shared" si="16"/>
        <v>2</v>
      </c>
      <c r="C468" s="666">
        <v>39904</v>
      </c>
      <c r="D468" s="957">
        <v>0.71218499999999985</v>
      </c>
      <c r="E468" s="920">
        <v>197.94254718704457</v>
      </c>
      <c r="F468" s="920">
        <v>277.93697871626699</v>
      </c>
      <c r="G468" s="920"/>
      <c r="H468" s="920"/>
      <c r="I468" s="954">
        <v>890.2</v>
      </c>
      <c r="J468" s="954">
        <v>1251.19</v>
      </c>
      <c r="K468" s="954"/>
      <c r="L468" s="920"/>
      <c r="M468" s="917">
        <v>11166</v>
      </c>
      <c r="N468" s="917">
        <v>15678.510499378675</v>
      </c>
      <c r="O468" s="1175">
        <v>4406.55</v>
      </c>
      <c r="P468" s="1175">
        <v>6187.3670464837105</v>
      </c>
      <c r="Q468" s="1175">
        <v>1383.1</v>
      </c>
      <c r="R468" s="1175">
        <v>1942.0515736781879</v>
      </c>
      <c r="S468" s="1175">
        <v>1378.85</v>
      </c>
      <c r="T468" s="1175">
        <v>1936.0840231119726</v>
      </c>
      <c r="U468" s="920">
        <v>975.08735360805849</v>
      </c>
      <c r="V468" s="920">
        <v>1369.1489621489623</v>
      </c>
      <c r="W468" s="920">
        <v>2010.2984821888076</v>
      </c>
      <c r="X468" s="920">
        <v>2822.7194930935193</v>
      </c>
      <c r="Y468" s="920"/>
      <c r="Z468" s="920"/>
      <c r="AA468" s="920"/>
      <c r="AB468" s="920"/>
      <c r="AC468" s="920">
        <v>12.515000000000001</v>
      </c>
      <c r="AD468" s="920">
        <v>17.62</v>
      </c>
      <c r="AE468" s="920">
        <v>33896.1</v>
      </c>
      <c r="AF468" s="920">
        <v>47594.51546999727</v>
      </c>
      <c r="AG468" s="920">
        <v>1162.5</v>
      </c>
      <c r="AH468" s="920">
        <v>1632.3005960529922</v>
      </c>
      <c r="AI468" s="920">
        <v>225.9</v>
      </c>
      <c r="AJ468" s="920">
        <v>317.19286421365246</v>
      </c>
      <c r="AK468" s="920">
        <v>50.85</v>
      </c>
      <c r="AL468" s="920">
        <v>71.399987362834111</v>
      </c>
      <c r="AM468" s="920">
        <v>52.38</v>
      </c>
      <c r="AN468" s="920">
        <v>73.548305566671601</v>
      </c>
      <c r="AO468" s="920"/>
      <c r="AP468" s="920"/>
      <c r="AS468" s="1167"/>
      <c r="AT468" s="1167"/>
      <c r="AU468" s="1168"/>
      <c r="AV468" s="1168"/>
      <c r="AW468" s="1169"/>
      <c r="AX468" s="1169"/>
      <c r="AY468" s="1169"/>
      <c r="AZ468" s="1169"/>
      <c r="BA468" s="1803" t="s">
        <v>1</v>
      </c>
      <c r="BB468" s="1804">
        <v>2015</v>
      </c>
      <c r="BC468" s="1803" t="s">
        <v>249</v>
      </c>
      <c r="BD468" s="1803"/>
      <c r="BE468" s="1883">
        <v>13794615000</v>
      </c>
      <c r="BF468" s="1801">
        <v>1</v>
      </c>
      <c r="BG468" s="1799"/>
      <c r="BH468" s="1884" t="s">
        <v>1</v>
      </c>
      <c r="BI468" s="1884" t="s">
        <v>289</v>
      </c>
      <c r="BJ468" s="1884" t="s">
        <v>77</v>
      </c>
      <c r="BK468" s="1884">
        <v>7</v>
      </c>
      <c r="BL468" s="1885">
        <v>117296000</v>
      </c>
      <c r="BM468" s="1801">
        <v>2.0887821450583124E-2</v>
      </c>
      <c r="BN468" s="1799">
        <v>2004</v>
      </c>
      <c r="BO468" s="1684"/>
      <c r="BP468" s="1696"/>
      <c r="BQ468" s="1169"/>
      <c r="BR468" s="1169"/>
      <c r="BS468" s="1169"/>
      <c r="BT468" s="1169"/>
      <c r="BU468" s="1169"/>
      <c r="BV468" s="1169"/>
      <c r="BW468" s="1169"/>
      <c r="BX468" s="1169"/>
      <c r="BY468" s="1169"/>
      <c r="BZ468" s="1169"/>
      <c r="CA468" s="1169"/>
      <c r="CB468" s="1169"/>
      <c r="CC468" s="1169"/>
      <c r="CD468" s="1169"/>
      <c r="CE468" s="1169"/>
      <c r="CF468" s="1169"/>
      <c r="CG468" s="1169"/>
      <c r="CH468" s="1169"/>
      <c r="CI468" s="1169"/>
      <c r="CJ468" s="1169"/>
      <c r="CK468" s="1169"/>
      <c r="CL468" s="1169"/>
      <c r="CM468" s="1169"/>
      <c r="CN468" s="1169"/>
      <c r="CO468" s="1169"/>
      <c r="CP468" s="1169"/>
      <c r="CQ468" s="1169"/>
      <c r="CR468" s="1169"/>
      <c r="CS468" s="1169"/>
      <c r="CT468" s="1169"/>
      <c r="CU468" s="1169"/>
      <c r="CV468" s="1169"/>
      <c r="CW468" s="1169"/>
      <c r="CX468" s="1169"/>
      <c r="CY468" s="1169"/>
      <c r="CZ468" s="1169"/>
      <c r="DA468" s="1168"/>
      <c r="DB468" s="1168"/>
      <c r="DC468" s="1168"/>
      <c r="DD468" s="1168"/>
      <c r="DE468" s="1168"/>
      <c r="DF468" s="1168"/>
      <c r="DG468" s="1168"/>
      <c r="DH468" s="1168"/>
      <c r="DI468" s="1168"/>
      <c r="DJ468" s="1168"/>
      <c r="DK468" s="1168"/>
      <c r="DL468" s="1168"/>
      <c r="DM468" s="1168"/>
      <c r="DN468" s="1168"/>
      <c r="DO468" s="1168"/>
      <c r="DP468" s="1168"/>
      <c r="DQ468" s="1168"/>
      <c r="DR468" s="1168"/>
      <c r="DS468" s="1168"/>
      <c r="DT468" s="1168"/>
      <c r="DU468" s="1168"/>
      <c r="DV468" s="1168"/>
      <c r="DW468" s="1168"/>
      <c r="DX468" s="1168"/>
      <c r="DY468" s="1168"/>
      <c r="DZ468" s="1168"/>
      <c r="EA468" s="1168"/>
      <c r="EB468" s="1168"/>
      <c r="EC468" s="1168"/>
      <c r="ED468" s="1168"/>
      <c r="EE468" s="1168"/>
      <c r="EF468" s="1168"/>
      <c r="EG468" s="1168"/>
      <c r="EH468" s="1168"/>
      <c r="EI468" s="1170"/>
      <c r="EJ468" s="1170"/>
      <c r="EK468" s="1170"/>
      <c r="EL468" s="1170"/>
      <c r="EM468" s="1170"/>
      <c r="EN468" s="1170"/>
      <c r="EO468" s="1170"/>
      <c r="EP468" s="1170"/>
      <c r="EQ468" s="1170"/>
      <c r="ER468" s="1170"/>
      <c r="ES468" s="1171"/>
      <c r="ET468" s="1171"/>
      <c r="EU468" s="1171"/>
      <c r="EV468" s="1171"/>
      <c r="EW468" s="1171"/>
      <c r="EX468" s="1171"/>
      <c r="EY468" s="1171"/>
      <c r="EZ468" s="1171"/>
      <c r="FA468" s="1171"/>
      <c r="FB468" s="1171"/>
      <c r="FC468" s="1171"/>
      <c r="FD468" s="1171"/>
      <c r="FE468" s="1171"/>
      <c r="FF468" s="1171"/>
      <c r="FG468" s="1171"/>
      <c r="FH468" s="1171"/>
      <c r="FI468" s="1171"/>
      <c r="FJ468" s="1171"/>
      <c r="FK468" s="1171"/>
      <c r="FL468" s="1171"/>
      <c r="FM468" s="1171"/>
      <c r="FN468" s="1171"/>
      <c r="FO468" s="1171"/>
      <c r="FP468" s="1171"/>
    </row>
    <row r="469" spans="1:172" s="607" customFormat="1">
      <c r="A469" s="607">
        <f t="shared" si="15"/>
        <v>2009</v>
      </c>
      <c r="B469" s="607">
        <f t="shared" si="16"/>
        <v>2</v>
      </c>
      <c r="C469" s="666">
        <v>39934</v>
      </c>
      <c r="D469" s="1709">
        <v>0.76256190476190477</v>
      </c>
      <c r="E469" s="1117">
        <v>197.32583947891115</v>
      </c>
      <c r="F469" s="1117">
        <v>258.76697779772036</v>
      </c>
      <c r="G469" s="1117"/>
      <c r="H469" s="1117"/>
      <c r="I469" s="959">
        <v>928.64499999999998</v>
      </c>
      <c r="J469" s="959">
        <v>1214.76</v>
      </c>
      <c r="K469" s="960"/>
      <c r="L469" s="1121"/>
      <c r="M469" s="916">
        <v>12634.74</v>
      </c>
      <c r="N469" s="916">
        <v>16568.805655122458</v>
      </c>
      <c r="O469" s="1174">
        <v>4568.63</v>
      </c>
      <c r="P469" s="1174">
        <v>5991.1594999313093</v>
      </c>
      <c r="Q469" s="1174">
        <v>1440.16</v>
      </c>
      <c r="R469" s="1174">
        <v>1888.5810988022831</v>
      </c>
      <c r="S469" s="1174">
        <v>1483.79</v>
      </c>
      <c r="T469" s="1174">
        <v>1945.7961258414616</v>
      </c>
      <c r="U469" s="1120">
        <v>979.56174093392804</v>
      </c>
      <c r="V469" s="1120">
        <v>1284.5668460710442</v>
      </c>
      <c r="W469" s="1120">
        <v>2037.6843501946998</v>
      </c>
      <c r="X469" s="1120">
        <v>2672.1559751020181</v>
      </c>
      <c r="Y469" s="1119"/>
      <c r="Z469" s="1119"/>
      <c r="AA469" s="1119"/>
      <c r="AB469" s="1119"/>
      <c r="AC469" s="1178">
        <v>14.029</v>
      </c>
      <c r="AD469" s="1178">
        <v>18.23</v>
      </c>
      <c r="AE469" s="1178">
        <v>34833</v>
      </c>
      <c r="AF469" s="1178">
        <v>45678.914436298692</v>
      </c>
      <c r="AG469" s="1178">
        <v>1130.3679999999999</v>
      </c>
      <c r="AH469" s="1178">
        <v>1482.3294908141727</v>
      </c>
      <c r="AI469" s="1178">
        <v>229.816</v>
      </c>
      <c r="AJ469" s="1178">
        <v>301.37356529992883</v>
      </c>
      <c r="AK469" s="919">
        <v>57.94</v>
      </c>
      <c r="AL469" s="919">
        <v>75.980716631904983</v>
      </c>
      <c r="AM469" s="919">
        <v>60.05</v>
      </c>
      <c r="AN469" s="919">
        <v>78.747705104347489</v>
      </c>
      <c r="AO469" s="919"/>
      <c r="AP469" s="919"/>
      <c r="AS469" s="1167"/>
      <c r="AT469" s="1167"/>
      <c r="AU469" s="1168"/>
      <c r="AV469" s="1168"/>
      <c r="AW469" s="1169"/>
      <c r="AX469" s="1169"/>
      <c r="AY469" s="1169"/>
      <c r="AZ469" s="1169"/>
      <c r="BA469" s="1803" t="s">
        <v>2</v>
      </c>
      <c r="BB469" s="1804">
        <v>2012</v>
      </c>
      <c r="BC469" s="1799" t="s">
        <v>15</v>
      </c>
      <c r="BD469" s="1799">
        <v>1</v>
      </c>
      <c r="BE469" s="1800">
        <v>37350032893.193909</v>
      </c>
      <c r="BF469" s="1801">
        <v>0.70798709218282097</v>
      </c>
      <c r="BG469" s="1799"/>
      <c r="BH469" s="1884" t="s">
        <v>1</v>
      </c>
      <c r="BI469" s="1884" t="s">
        <v>289</v>
      </c>
      <c r="BJ469" s="1884" t="s">
        <v>55</v>
      </c>
      <c r="BK469" s="1884">
        <v>8</v>
      </c>
      <c r="BL469" s="1885">
        <v>86047000</v>
      </c>
      <c r="BM469" s="1801">
        <v>1.532306619457037E-2</v>
      </c>
      <c r="BN469" s="1799">
        <v>2004</v>
      </c>
      <c r="BO469" s="1684"/>
      <c r="BP469" s="1696"/>
      <c r="BQ469" s="1169"/>
      <c r="BR469" s="1169"/>
      <c r="BS469" s="1169"/>
      <c r="BT469" s="1169"/>
      <c r="BU469" s="1169"/>
      <c r="BV469" s="1169"/>
      <c r="BW469" s="1169"/>
      <c r="BX469" s="1169"/>
      <c r="BY469" s="1169"/>
      <c r="BZ469" s="1169"/>
      <c r="CA469" s="1169"/>
      <c r="CB469" s="1169"/>
      <c r="CC469" s="1169"/>
      <c r="CD469" s="1169"/>
      <c r="CE469" s="1169"/>
      <c r="CF469" s="1169"/>
      <c r="CG469" s="1169"/>
      <c r="CH469" s="1169"/>
      <c r="CI469" s="1169"/>
      <c r="CJ469" s="1169"/>
      <c r="CK469" s="1169"/>
      <c r="CL469" s="1169"/>
      <c r="CM469" s="1169"/>
      <c r="CN469" s="1169"/>
      <c r="CO469" s="1169"/>
      <c r="CP469" s="1169"/>
      <c r="CQ469" s="1169"/>
      <c r="CR469" s="1169"/>
      <c r="CS469" s="1169"/>
      <c r="CT469" s="1169"/>
      <c r="CU469" s="1169"/>
      <c r="CV469" s="1169"/>
      <c r="CW469" s="1169"/>
      <c r="CX469" s="1169"/>
      <c r="CY469" s="1169"/>
      <c r="CZ469" s="1169"/>
      <c r="DA469" s="1168"/>
      <c r="DB469" s="1168"/>
      <c r="DC469" s="1168"/>
      <c r="DD469" s="1168"/>
      <c r="DE469" s="1168"/>
      <c r="DF469" s="1168"/>
      <c r="DG469" s="1168"/>
      <c r="DH469" s="1168"/>
      <c r="DI469" s="1168"/>
      <c r="DJ469" s="1168"/>
      <c r="DK469" s="1168"/>
      <c r="DL469" s="1168"/>
      <c r="DM469" s="1168"/>
      <c r="DN469" s="1168"/>
      <c r="DO469" s="1168"/>
      <c r="DP469" s="1168"/>
      <c r="DQ469" s="1168"/>
      <c r="DR469" s="1168"/>
      <c r="DS469" s="1168"/>
      <c r="DT469" s="1168"/>
      <c r="DU469" s="1168"/>
      <c r="DV469" s="1168"/>
      <c r="DW469" s="1168"/>
      <c r="DX469" s="1168"/>
      <c r="DY469" s="1168"/>
      <c r="DZ469" s="1168"/>
      <c r="EA469" s="1168"/>
      <c r="EB469" s="1168"/>
      <c r="EC469" s="1168"/>
      <c r="ED469" s="1168"/>
      <c r="EE469" s="1168"/>
      <c r="EF469" s="1168"/>
      <c r="EG469" s="1168"/>
      <c r="EH469" s="1168"/>
      <c r="EI469" s="1170"/>
      <c r="EJ469" s="1170"/>
      <c r="EK469" s="1170"/>
      <c r="EL469" s="1170"/>
      <c r="EM469" s="1170"/>
      <c r="EN469" s="1170"/>
      <c r="EO469" s="1170"/>
      <c r="EP469" s="1170"/>
      <c r="EQ469" s="1170"/>
      <c r="ER469" s="1170"/>
      <c r="ES469" s="1171"/>
      <c r="ET469" s="1171"/>
      <c r="EU469" s="1171"/>
      <c r="EV469" s="1171"/>
      <c r="EW469" s="1171"/>
      <c r="EX469" s="1171"/>
      <c r="EY469" s="1171"/>
      <c r="EZ469" s="1171"/>
      <c r="FA469" s="1171"/>
      <c r="FB469" s="1171"/>
      <c r="FC469" s="1171"/>
      <c r="FD469" s="1171"/>
      <c r="FE469" s="1171"/>
      <c r="FF469" s="1171"/>
      <c r="FG469" s="1171"/>
      <c r="FH469" s="1171"/>
      <c r="FI469" s="1171"/>
      <c r="FJ469" s="1171"/>
      <c r="FK469" s="1171"/>
      <c r="FL469" s="1171"/>
      <c r="FM469" s="1171"/>
      <c r="FN469" s="1171"/>
      <c r="FO469" s="1171"/>
      <c r="FP469" s="1171"/>
    </row>
    <row r="470" spans="1:172" s="607" customFormat="1">
      <c r="A470" s="607">
        <f t="shared" si="15"/>
        <v>2009</v>
      </c>
      <c r="B470" s="607">
        <f t="shared" si="16"/>
        <v>2</v>
      </c>
      <c r="C470" s="666">
        <v>39965</v>
      </c>
      <c r="D470" s="957">
        <v>0.80225238095238083</v>
      </c>
      <c r="E470" s="920">
        <v>203.17117283637393</v>
      </c>
      <c r="F470" s="920">
        <v>253.25094404230074</v>
      </c>
      <c r="G470" s="920"/>
      <c r="H470" s="920"/>
      <c r="I470" s="954">
        <v>945.67</v>
      </c>
      <c r="J470" s="954">
        <v>1184.49</v>
      </c>
      <c r="K470" s="954"/>
      <c r="L470" s="920"/>
      <c r="M470" s="917">
        <v>15775</v>
      </c>
      <c r="N470" s="917">
        <v>19663.388198702465</v>
      </c>
      <c r="O470" s="1175">
        <v>5042</v>
      </c>
      <c r="P470" s="1175">
        <v>6284.8052803713363</v>
      </c>
      <c r="Q470" s="1175">
        <v>1695</v>
      </c>
      <c r="R470" s="1175">
        <v>2112.8014578003599</v>
      </c>
      <c r="S470" s="1175">
        <v>1544.5</v>
      </c>
      <c r="T470" s="1175">
        <v>1925.2046321962573</v>
      </c>
      <c r="U470" s="920">
        <v>997.01945389045056</v>
      </c>
      <c r="V470" s="920">
        <v>1242.775313059034</v>
      </c>
      <c r="W470" s="920">
        <v>1978.5789123389102</v>
      </c>
      <c r="X470" s="920">
        <v>2466.2798881195872</v>
      </c>
      <c r="Y470" s="920"/>
      <c r="Z470" s="920"/>
      <c r="AA470" s="920"/>
      <c r="AB470" s="920"/>
      <c r="AC470" s="920">
        <v>14.654</v>
      </c>
      <c r="AD470" s="920">
        <v>18.53</v>
      </c>
      <c r="AE470" s="920">
        <v>30933.55</v>
      </c>
      <c r="AF470" s="920">
        <v>38558.377306749455</v>
      </c>
      <c r="AG470" s="920">
        <v>1217.864</v>
      </c>
      <c r="AH470" s="920">
        <v>1518.0559496180399</v>
      </c>
      <c r="AI470" s="920">
        <v>245.523</v>
      </c>
      <c r="AJ470" s="920">
        <v>306.04209576608719</v>
      </c>
      <c r="AK470" s="920">
        <v>68.62</v>
      </c>
      <c r="AL470" s="920">
        <v>85.534180551186267</v>
      </c>
      <c r="AM470" s="920">
        <v>71.34</v>
      </c>
      <c r="AN470" s="920">
        <v>88.924634807951435</v>
      </c>
      <c r="AO470" s="920"/>
      <c r="AP470" s="920"/>
      <c r="AS470" s="1167"/>
      <c r="AT470" s="1167"/>
      <c r="AU470" s="1168"/>
      <c r="AV470" s="1168"/>
      <c r="AW470" s="1169"/>
      <c r="AX470" s="1169"/>
      <c r="AY470" s="1169"/>
      <c r="AZ470" s="1169"/>
      <c r="BA470" s="1803" t="s">
        <v>2</v>
      </c>
      <c r="BB470" s="1804">
        <v>2012</v>
      </c>
      <c r="BC470" s="1799" t="s">
        <v>20</v>
      </c>
      <c r="BD470" s="1799">
        <v>2</v>
      </c>
      <c r="BE470" s="1800">
        <v>8439085184.4540787</v>
      </c>
      <c r="BF470" s="1801">
        <v>0.15996675016351905</v>
      </c>
      <c r="BG470" s="1799"/>
      <c r="BH470" s="1884" t="s">
        <v>1</v>
      </c>
      <c r="BI470" s="1884" t="s">
        <v>289</v>
      </c>
      <c r="BJ470" s="1884" t="s">
        <v>15</v>
      </c>
      <c r="BK470" s="1884">
        <v>9</v>
      </c>
      <c r="BL470" s="1885">
        <v>80215000</v>
      </c>
      <c r="BM470" s="1801">
        <v>1.4284516076068454E-2</v>
      </c>
      <c r="BN470" s="1799">
        <v>2004</v>
      </c>
      <c r="BO470" s="1684"/>
      <c r="BP470" s="1696"/>
      <c r="BQ470" s="1169"/>
      <c r="BR470" s="1169"/>
      <c r="BS470" s="1169"/>
      <c r="BT470" s="1169"/>
      <c r="BU470" s="1169"/>
      <c r="BV470" s="1169"/>
      <c r="BW470" s="1169"/>
      <c r="BX470" s="1169"/>
      <c r="BY470" s="1169"/>
      <c r="BZ470" s="1169"/>
      <c r="CA470" s="1169"/>
      <c r="CB470" s="1169"/>
      <c r="CC470" s="1169"/>
      <c r="CD470" s="1169"/>
      <c r="CE470" s="1169"/>
      <c r="CF470" s="1169"/>
      <c r="CG470" s="1169"/>
      <c r="CH470" s="1169"/>
      <c r="CI470" s="1169"/>
      <c r="CJ470" s="1169"/>
      <c r="CK470" s="1169"/>
      <c r="CL470" s="1169"/>
      <c r="CM470" s="1169"/>
      <c r="CN470" s="1169"/>
      <c r="CO470" s="1169"/>
      <c r="CP470" s="1169"/>
      <c r="CQ470" s="1169"/>
      <c r="CR470" s="1169"/>
      <c r="CS470" s="1169"/>
      <c r="CT470" s="1169"/>
      <c r="CU470" s="1169"/>
      <c r="CV470" s="1169"/>
      <c r="CW470" s="1169"/>
      <c r="CX470" s="1169"/>
      <c r="CY470" s="1169"/>
      <c r="CZ470" s="1169"/>
      <c r="DA470" s="1168"/>
      <c r="DB470" s="1168"/>
      <c r="DC470" s="1168"/>
      <c r="DD470" s="1168"/>
      <c r="DE470" s="1168"/>
      <c r="DF470" s="1168"/>
      <c r="DG470" s="1168"/>
      <c r="DH470" s="1168"/>
      <c r="DI470" s="1168"/>
      <c r="DJ470" s="1168"/>
      <c r="DK470" s="1168"/>
      <c r="DL470" s="1168"/>
      <c r="DM470" s="1168"/>
      <c r="DN470" s="1168"/>
      <c r="DO470" s="1168"/>
      <c r="DP470" s="1168"/>
      <c r="DQ470" s="1168"/>
      <c r="DR470" s="1168"/>
      <c r="DS470" s="1168"/>
      <c r="DT470" s="1168"/>
      <c r="DU470" s="1168"/>
      <c r="DV470" s="1168"/>
      <c r="DW470" s="1168"/>
      <c r="DX470" s="1168"/>
      <c r="DY470" s="1168"/>
      <c r="DZ470" s="1168"/>
      <c r="EA470" s="1168"/>
      <c r="EB470" s="1168"/>
      <c r="EC470" s="1168"/>
      <c r="ED470" s="1168"/>
      <c r="EE470" s="1168"/>
      <c r="EF470" s="1168"/>
      <c r="EG470" s="1168"/>
      <c r="EH470" s="1168"/>
      <c r="EI470" s="1170"/>
      <c r="EJ470" s="1170"/>
      <c r="EK470" s="1170"/>
      <c r="EL470" s="1170"/>
      <c r="EM470" s="1170"/>
      <c r="EN470" s="1170"/>
      <c r="EO470" s="1170"/>
      <c r="EP470" s="1170"/>
      <c r="EQ470" s="1170"/>
      <c r="ER470" s="1170"/>
      <c r="ES470" s="1171"/>
      <c r="ET470" s="1171"/>
      <c r="EU470" s="1171"/>
      <c r="EV470" s="1171"/>
      <c r="EW470" s="1171"/>
      <c r="EX470" s="1171"/>
      <c r="EY470" s="1171"/>
      <c r="EZ470" s="1171"/>
      <c r="FA470" s="1171"/>
      <c r="FB470" s="1171"/>
      <c r="FC470" s="1171"/>
      <c r="FD470" s="1171"/>
      <c r="FE470" s="1171"/>
      <c r="FF470" s="1171"/>
      <c r="FG470" s="1171"/>
      <c r="FH470" s="1171"/>
      <c r="FI470" s="1171"/>
      <c r="FJ470" s="1171"/>
      <c r="FK470" s="1171"/>
      <c r="FL470" s="1171"/>
      <c r="FM470" s="1171"/>
      <c r="FN470" s="1171"/>
      <c r="FO470" s="1171"/>
      <c r="FP470" s="1171"/>
    </row>
    <row r="471" spans="1:172" s="607" customFormat="1">
      <c r="A471" s="607">
        <f t="shared" si="15"/>
        <v>2009</v>
      </c>
      <c r="B471" s="607">
        <f t="shared" si="16"/>
        <v>3</v>
      </c>
      <c r="C471" s="666">
        <v>39995</v>
      </c>
      <c r="D471" s="1709">
        <v>0.80395217391304352</v>
      </c>
      <c r="E471" s="1117">
        <v>216.59863587141595</v>
      </c>
      <c r="F471" s="1117">
        <v>269.4173147354951</v>
      </c>
      <c r="G471" s="1117"/>
      <c r="H471" s="1117"/>
      <c r="I471" s="959">
        <v>934.22799999999995</v>
      </c>
      <c r="J471" s="959">
        <v>1162.99</v>
      </c>
      <c r="K471" s="960"/>
      <c r="L471" s="1121"/>
      <c r="M471" s="916">
        <v>15984.57</v>
      </c>
      <c r="N471" s="916">
        <v>19882.488683622752</v>
      </c>
      <c r="O471" s="1174">
        <v>5215.54</v>
      </c>
      <c r="P471" s="1174">
        <v>6487.3759524955512</v>
      </c>
      <c r="Q471" s="1174">
        <v>1678.61</v>
      </c>
      <c r="R471" s="1174">
        <v>2087.9475850283111</v>
      </c>
      <c r="S471" s="1174">
        <v>1578.61</v>
      </c>
      <c r="T471" s="1174">
        <v>1963.5620764808634</v>
      </c>
      <c r="U471" s="1120">
        <v>973.83867381074185</v>
      </c>
      <c r="V471" s="1120">
        <v>1211.3141868512112</v>
      </c>
      <c r="W471" s="1120">
        <v>2027.3416572762928</v>
      </c>
      <c r="X471" s="1120">
        <v>2521.7192303973702</v>
      </c>
      <c r="Y471" s="1119"/>
      <c r="Z471" s="1119"/>
      <c r="AA471" s="1119"/>
      <c r="AB471" s="1119"/>
      <c r="AC471" s="1178">
        <v>13.362</v>
      </c>
      <c r="AD471" s="1178">
        <v>16.72</v>
      </c>
      <c r="AE471" s="1178">
        <v>37930.5</v>
      </c>
      <c r="AF471" s="1178">
        <v>47180.045319589633</v>
      </c>
      <c r="AG471" s="1178">
        <v>1162.261</v>
      </c>
      <c r="AH471" s="1178">
        <v>1445.6842554986506</v>
      </c>
      <c r="AI471" s="1178">
        <v>248.63</v>
      </c>
      <c r="AJ471" s="1178">
        <v>309.2596899015191</v>
      </c>
      <c r="AK471" s="919">
        <v>64.91</v>
      </c>
      <c r="AL471" s="919">
        <v>80.738633598148269</v>
      </c>
      <c r="AM471" s="919">
        <v>69.010000000000005</v>
      </c>
      <c r="AN471" s="919">
        <v>85.838439448593633</v>
      </c>
      <c r="AO471" s="919"/>
      <c r="AP471" s="919"/>
      <c r="AS471" s="1167"/>
      <c r="AT471" s="1167"/>
      <c r="AU471" s="1168"/>
      <c r="AV471" s="1168"/>
      <c r="AW471" s="1169"/>
      <c r="AX471" s="1169"/>
      <c r="AY471" s="1169"/>
      <c r="AZ471" s="1169"/>
      <c r="BA471" s="1803" t="s">
        <v>2</v>
      </c>
      <c r="BB471" s="1804">
        <v>2012</v>
      </c>
      <c r="BC471" s="1799" t="s">
        <v>581</v>
      </c>
      <c r="BD471" s="1799">
        <v>3</v>
      </c>
      <c r="BE471" s="1800">
        <v>5423990893.97155</v>
      </c>
      <c r="BF471" s="1801">
        <v>0.10281424790254416</v>
      </c>
      <c r="BG471" s="1799"/>
      <c r="BH471" s="1884" t="s">
        <v>1</v>
      </c>
      <c r="BI471" s="1884" t="s">
        <v>289</v>
      </c>
      <c r="BJ471" s="1884" t="s">
        <v>21</v>
      </c>
      <c r="BK471" s="1884">
        <v>10</v>
      </c>
      <c r="BL471" s="1885">
        <v>70203000</v>
      </c>
      <c r="BM471" s="1801">
        <v>1.2501600474826824E-2</v>
      </c>
      <c r="BN471" s="1799">
        <v>2004</v>
      </c>
      <c r="BO471" s="1684"/>
      <c r="BP471" s="1696"/>
      <c r="BQ471" s="1169"/>
      <c r="BR471" s="1169"/>
      <c r="BS471" s="1169"/>
      <c r="BT471" s="1169"/>
      <c r="BU471" s="1169"/>
      <c r="BV471" s="1169"/>
      <c r="BW471" s="1169"/>
      <c r="BX471" s="1169"/>
      <c r="BY471" s="1169"/>
      <c r="BZ471" s="1169"/>
      <c r="CA471" s="1169"/>
      <c r="CB471" s="1169"/>
      <c r="CC471" s="1169"/>
      <c r="CD471" s="1169"/>
      <c r="CE471" s="1169"/>
      <c r="CF471" s="1169"/>
      <c r="CG471" s="1169"/>
      <c r="CH471" s="1169"/>
      <c r="CI471" s="1169"/>
      <c r="CJ471" s="1169"/>
      <c r="CK471" s="1169"/>
      <c r="CL471" s="1169"/>
      <c r="CM471" s="1169"/>
      <c r="CN471" s="1169"/>
      <c r="CO471" s="1169"/>
      <c r="CP471" s="1169"/>
      <c r="CQ471" s="1169"/>
      <c r="CR471" s="1169"/>
      <c r="CS471" s="1169"/>
      <c r="CT471" s="1169"/>
      <c r="CU471" s="1169"/>
      <c r="CV471" s="1169"/>
      <c r="CW471" s="1169"/>
      <c r="CX471" s="1169"/>
      <c r="CY471" s="1169"/>
      <c r="CZ471" s="1169"/>
      <c r="DA471" s="1168"/>
      <c r="DB471" s="1168"/>
      <c r="DC471" s="1168"/>
      <c r="DD471" s="1168"/>
      <c r="DE471" s="1168"/>
      <c r="DF471" s="1168"/>
      <c r="DG471" s="1168"/>
      <c r="DH471" s="1168"/>
      <c r="DI471" s="1168"/>
      <c r="DJ471" s="1168"/>
      <c r="DK471" s="1168"/>
      <c r="DL471" s="1168"/>
      <c r="DM471" s="1168"/>
      <c r="DN471" s="1168"/>
      <c r="DO471" s="1168"/>
      <c r="DP471" s="1168"/>
      <c r="DQ471" s="1168"/>
      <c r="DR471" s="1168"/>
      <c r="DS471" s="1168"/>
      <c r="DT471" s="1168"/>
      <c r="DU471" s="1168"/>
      <c r="DV471" s="1168"/>
      <c r="DW471" s="1168"/>
      <c r="DX471" s="1168"/>
      <c r="DY471" s="1168"/>
      <c r="DZ471" s="1168"/>
      <c r="EA471" s="1168"/>
      <c r="EB471" s="1168"/>
      <c r="EC471" s="1168"/>
      <c r="ED471" s="1168"/>
      <c r="EE471" s="1168"/>
      <c r="EF471" s="1168"/>
      <c r="EG471" s="1168"/>
      <c r="EH471" s="1168"/>
      <c r="EI471" s="1170"/>
      <c r="EJ471" s="1170"/>
      <c r="EK471" s="1170"/>
      <c r="EL471" s="1170"/>
      <c r="EM471" s="1170"/>
      <c r="EN471" s="1170"/>
      <c r="EO471" s="1170"/>
      <c r="EP471" s="1170"/>
      <c r="EQ471" s="1170"/>
      <c r="ER471" s="1170"/>
      <c r="ES471" s="1171"/>
      <c r="ET471" s="1171"/>
      <c r="EU471" s="1171"/>
      <c r="EV471" s="1171"/>
      <c r="EW471" s="1171"/>
      <c r="EX471" s="1171"/>
      <c r="EY471" s="1171"/>
      <c r="EZ471" s="1171"/>
      <c r="FA471" s="1171"/>
      <c r="FB471" s="1171"/>
      <c r="FC471" s="1171"/>
      <c r="FD471" s="1171"/>
      <c r="FE471" s="1171"/>
      <c r="FF471" s="1171"/>
      <c r="FG471" s="1171"/>
      <c r="FH471" s="1171"/>
      <c r="FI471" s="1171"/>
      <c r="FJ471" s="1171"/>
      <c r="FK471" s="1171"/>
      <c r="FL471" s="1171"/>
      <c r="FM471" s="1171"/>
      <c r="FN471" s="1171"/>
      <c r="FO471" s="1171"/>
      <c r="FP471" s="1171"/>
    </row>
    <row r="472" spans="1:172" s="607" customFormat="1">
      <c r="A472" s="607">
        <f t="shared" si="15"/>
        <v>2009</v>
      </c>
      <c r="B472" s="607">
        <f t="shared" si="16"/>
        <v>3</v>
      </c>
      <c r="C472" s="666">
        <v>40026</v>
      </c>
      <c r="D472" s="957">
        <v>0.83442000000000005</v>
      </c>
      <c r="E472" s="920">
        <v>223.91705960524834</v>
      </c>
      <c r="F472" s="920">
        <v>268.35054241898365</v>
      </c>
      <c r="G472" s="920"/>
      <c r="H472" s="920"/>
      <c r="I472" s="954">
        <v>949.38</v>
      </c>
      <c r="J472" s="954">
        <v>1137.17</v>
      </c>
      <c r="K472" s="954"/>
      <c r="L472" s="920"/>
      <c r="M472" s="917">
        <v>19641.75</v>
      </c>
      <c r="N472" s="917">
        <v>23539.404616380238</v>
      </c>
      <c r="O472" s="1175">
        <v>6165.3</v>
      </c>
      <c r="P472" s="1175">
        <v>7388.7251024663838</v>
      </c>
      <c r="Q472" s="1175">
        <v>1900.1</v>
      </c>
      <c r="R472" s="1175">
        <v>2277.1505956233068</v>
      </c>
      <c r="S472" s="1175">
        <v>1820</v>
      </c>
      <c r="T472" s="1175">
        <v>2181.1557728721746</v>
      </c>
      <c r="U472" s="920">
        <v>1037.0948880025048</v>
      </c>
      <c r="V472" s="920">
        <v>1242.8931329576289</v>
      </c>
      <c r="W472" s="920">
        <v>2000.1991779305029</v>
      </c>
      <c r="X472" s="920">
        <v>2397.1131779325792</v>
      </c>
      <c r="Y472" s="920"/>
      <c r="Z472" s="920"/>
      <c r="AA472" s="920"/>
      <c r="AB472" s="920"/>
      <c r="AC472" s="920">
        <v>14.348000000000001</v>
      </c>
      <c r="AD472" s="920">
        <v>17.16</v>
      </c>
      <c r="AE472" s="920">
        <v>41336.65</v>
      </c>
      <c r="AF472" s="920">
        <v>49539.38064763548</v>
      </c>
      <c r="AG472" s="920">
        <v>1244.5999999999999</v>
      </c>
      <c r="AH472" s="920">
        <v>1491.5749862179716</v>
      </c>
      <c r="AI472" s="920">
        <v>275.77499999999998</v>
      </c>
      <c r="AJ472" s="920">
        <v>330.49902926583729</v>
      </c>
      <c r="AK472" s="920">
        <v>72.5</v>
      </c>
      <c r="AL472" s="920">
        <v>86.886699743534422</v>
      </c>
      <c r="AM472" s="920">
        <v>76.94</v>
      </c>
      <c r="AN472" s="920">
        <v>92.207761079552256</v>
      </c>
      <c r="AO472" s="920"/>
      <c r="AP472" s="920"/>
      <c r="AS472" s="1167"/>
      <c r="AT472" s="1167"/>
      <c r="AU472" s="1168"/>
      <c r="AV472" s="1168"/>
      <c r="AW472" s="1169"/>
      <c r="AX472" s="1169"/>
      <c r="AY472" s="1169"/>
      <c r="AZ472" s="1169"/>
      <c r="BA472" s="1803" t="s">
        <v>2</v>
      </c>
      <c r="BB472" s="1804">
        <v>2012</v>
      </c>
      <c r="BC472" s="1799" t="s">
        <v>583</v>
      </c>
      <c r="BD472" s="1799">
        <v>4</v>
      </c>
      <c r="BE472" s="1800">
        <v>1403573571.5284207</v>
      </c>
      <c r="BF472" s="1801">
        <v>2.6605384108032256E-2</v>
      </c>
      <c r="BG472" s="1799"/>
      <c r="BH472" s="1884" t="s">
        <v>1</v>
      </c>
      <c r="BI472" s="1884" t="s">
        <v>289</v>
      </c>
      <c r="BJ472" s="1884" t="s">
        <v>32</v>
      </c>
      <c r="BK472" s="1884"/>
      <c r="BL472" s="1885">
        <v>64592000</v>
      </c>
      <c r="BM472" s="1801">
        <v>1.1502405564862104E-2</v>
      </c>
      <c r="BN472" s="1799">
        <v>2004</v>
      </c>
      <c r="BO472" s="1684"/>
      <c r="BP472" s="1696"/>
      <c r="BQ472" s="1169"/>
      <c r="BR472" s="1169"/>
      <c r="BS472" s="1169"/>
      <c r="BT472" s="1169"/>
      <c r="BU472" s="1169"/>
      <c r="BV472" s="1169"/>
      <c r="BW472" s="1169"/>
      <c r="BX472" s="1169"/>
      <c r="BY472" s="1169"/>
      <c r="BZ472" s="1169"/>
      <c r="CA472" s="1169"/>
      <c r="CB472" s="1169"/>
      <c r="CC472" s="1169"/>
      <c r="CD472" s="1169"/>
      <c r="CE472" s="1169"/>
      <c r="CF472" s="1169"/>
      <c r="CG472" s="1169"/>
      <c r="CH472" s="1169"/>
      <c r="CI472" s="1169"/>
      <c r="CJ472" s="1169"/>
      <c r="CK472" s="1169"/>
      <c r="CL472" s="1169"/>
      <c r="CM472" s="1169"/>
      <c r="CN472" s="1169"/>
      <c r="CO472" s="1169"/>
      <c r="CP472" s="1169"/>
      <c r="CQ472" s="1169"/>
      <c r="CR472" s="1169"/>
      <c r="CS472" s="1169"/>
      <c r="CT472" s="1169"/>
      <c r="CU472" s="1169"/>
      <c r="CV472" s="1169"/>
      <c r="CW472" s="1169"/>
      <c r="CX472" s="1169"/>
      <c r="CY472" s="1169"/>
      <c r="CZ472" s="1169"/>
      <c r="DA472" s="1168"/>
      <c r="DB472" s="1168"/>
      <c r="DC472" s="1168"/>
      <c r="DD472" s="1168"/>
      <c r="DE472" s="1168"/>
      <c r="DF472" s="1168"/>
      <c r="DG472" s="1168"/>
      <c r="DH472" s="1168"/>
      <c r="DI472" s="1168"/>
      <c r="DJ472" s="1168"/>
      <c r="DK472" s="1168"/>
      <c r="DL472" s="1168"/>
      <c r="DM472" s="1168"/>
      <c r="DN472" s="1168"/>
      <c r="DO472" s="1168"/>
      <c r="DP472" s="1168"/>
      <c r="DQ472" s="1168"/>
      <c r="DR472" s="1168"/>
      <c r="DS472" s="1168"/>
      <c r="DT472" s="1168"/>
      <c r="DU472" s="1168"/>
      <c r="DV472" s="1168"/>
      <c r="DW472" s="1168"/>
      <c r="DX472" s="1168"/>
      <c r="DY472" s="1168"/>
      <c r="DZ472" s="1168"/>
      <c r="EA472" s="1168"/>
      <c r="EB472" s="1168"/>
      <c r="EC472" s="1168"/>
      <c r="ED472" s="1168"/>
      <c r="EE472" s="1168"/>
      <c r="EF472" s="1168"/>
      <c r="EG472" s="1168"/>
      <c r="EH472" s="1168"/>
      <c r="EI472" s="1170"/>
      <c r="EJ472" s="1170"/>
      <c r="EK472" s="1170"/>
      <c r="EL472" s="1170"/>
      <c r="EM472" s="1170"/>
      <c r="EN472" s="1170"/>
      <c r="EO472" s="1170"/>
      <c r="EP472" s="1170"/>
      <c r="EQ472" s="1170"/>
      <c r="ER472" s="1170"/>
      <c r="ES472" s="1171"/>
      <c r="ET472" s="1171"/>
      <c r="EU472" s="1171"/>
      <c r="EV472" s="1171"/>
      <c r="EW472" s="1171"/>
      <c r="EX472" s="1171"/>
      <c r="EY472" s="1171"/>
      <c r="EZ472" s="1171"/>
      <c r="FA472" s="1171"/>
      <c r="FB472" s="1171"/>
      <c r="FC472" s="1171"/>
      <c r="FD472" s="1171"/>
      <c r="FE472" s="1171"/>
      <c r="FF472" s="1171"/>
      <c r="FG472" s="1171"/>
      <c r="FH472" s="1171"/>
      <c r="FI472" s="1171"/>
      <c r="FJ472" s="1171"/>
      <c r="FK472" s="1171"/>
      <c r="FL472" s="1171"/>
      <c r="FM472" s="1171"/>
      <c r="FN472" s="1171"/>
      <c r="FO472" s="1171"/>
      <c r="FP472" s="1171"/>
    </row>
    <row r="473" spans="1:172" s="607" customFormat="1">
      <c r="A473" s="607">
        <f t="shared" si="15"/>
        <v>2009</v>
      </c>
      <c r="B473" s="607">
        <f t="shared" si="16"/>
        <v>3</v>
      </c>
      <c r="C473" s="666">
        <v>40057</v>
      </c>
      <c r="D473" s="1709">
        <v>0.86110909090909094</v>
      </c>
      <c r="E473" s="1117">
        <v>238.83720310329835</v>
      </c>
      <c r="F473" s="1117">
        <v>277.35998333399652</v>
      </c>
      <c r="G473" s="1117"/>
      <c r="H473" s="1117"/>
      <c r="I473" s="959">
        <v>996.58</v>
      </c>
      <c r="J473" s="959">
        <v>1160.3599999999999</v>
      </c>
      <c r="K473" s="960"/>
      <c r="L473" s="1121"/>
      <c r="M473" s="916">
        <v>17473.18</v>
      </c>
      <c r="N473" s="916">
        <v>20291.482443360572</v>
      </c>
      <c r="O473" s="1174">
        <v>6196.43</v>
      </c>
      <c r="P473" s="1174">
        <v>7195.8710753573614</v>
      </c>
      <c r="Q473" s="1174">
        <v>2204.5500000000002</v>
      </c>
      <c r="R473" s="1174">
        <v>2560.1285868119339</v>
      </c>
      <c r="S473" s="1174">
        <v>1884.02</v>
      </c>
      <c r="T473" s="1174">
        <v>2187.8993264500327</v>
      </c>
      <c r="U473" s="1120">
        <v>1014.0377933260469</v>
      </c>
      <c r="V473" s="1120">
        <v>1177.5950388068786</v>
      </c>
      <c r="W473" s="1120">
        <v>2067.379218015285</v>
      </c>
      <c r="X473" s="1120">
        <v>2400.8331114385396</v>
      </c>
      <c r="Y473" s="1119"/>
      <c r="Z473" s="1119"/>
      <c r="AA473" s="1119"/>
      <c r="AB473" s="1119"/>
      <c r="AC473" s="1178">
        <v>16.39</v>
      </c>
      <c r="AD473" s="1178">
        <v>19.16</v>
      </c>
      <c r="AE473" s="1178">
        <v>39683.15</v>
      </c>
      <c r="AF473" s="1178">
        <v>46083.766178923586</v>
      </c>
      <c r="AG473" s="1178">
        <v>1288.7049999999999</v>
      </c>
      <c r="AH473" s="1178">
        <v>1496.5641561622431</v>
      </c>
      <c r="AI473" s="1178">
        <v>293.31799999999998</v>
      </c>
      <c r="AJ473" s="1178">
        <v>340.62815396634358</v>
      </c>
      <c r="AK473" s="919">
        <v>67.69</v>
      </c>
      <c r="AL473" s="919">
        <v>78.607926352906389</v>
      </c>
      <c r="AM473" s="919">
        <v>70.94</v>
      </c>
      <c r="AN473" s="919">
        <v>82.38212875572728</v>
      </c>
      <c r="AO473" s="919"/>
      <c r="AP473" s="919"/>
      <c r="AS473" s="1167"/>
      <c r="AT473" s="1167"/>
      <c r="AU473" s="1168"/>
      <c r="AV473" s="1168"/>
      <c r="AW473" s="1169"/>
      <c r="AX473" s="1169"/>
      <c r="AY473" s="1169"/>
      <c r="AZ473" s="1169"/>
      <c r="BA473" s="1803" t="s">
        <v>2</v>
      </c>
      <c r="BB473" s="1804">
        <v>2012</v>
      </c>
      <c r="BC473" s="1799" t="s">
        <v>23</v>
      </c>
      <c r="BD473" s="1799">
        <v>5</v>
      </c>
      <c r="BE473" s="1800">
        <v>46240996.60375379</v>
      </c>
      <c r="BF473" s="1801">
        <v>8.7651940812863427E-4</v>
      </c>
      <c r="BG473" s="1799"/>
      <c r="BH473" s="1884" t="s">
        <v>1</v>
      </c>
      <c r="BI473" s="1884" t="s">
        <v>289</v>
      </c>
      <c r="BJ473" s="1884" t="s">
        <v>249</v>
      </c>
      <c r="BK473" s="1884"/>
      <c r="BL473" s="1885">
        <v>5615521000</v>
      </c>
      <c r="BM473" s="1801">
        <v>1</v>
      </c>
      <c r="BN473" s="1799">
        <v>2004</v>
      </c>
      <c r="BO473" s="1684"/>
      <c r="BP473" s="1696"/>
      <c r="BQ473" s="1169"/>
      <c r="BR473" s="1169"/>
      <c r="BS473" s="1169"/>
      <c r="BT473" s="1169"/>
      <c r="BU473" s="1169"/>
      <c r="BV473" s="1169"/>
      <c r="BW473" s="1169"/>
      <c r="BX473" s="1169"/>
      <c r="BY473" s="1169"/>
      <c r="BZ473" s="1169"/>
      <c r="CA473" s="1169"/>
      <c r="CB473" s="1169"/>
      <c r="CC473" s="1169"/>
      <c r="CD473" s="1169"/>
      <c r="CE473" s="1169"/>
      <c r="CF473" s="1169"/>
      <c r="CG473" s="1169"/>
      <c r="CH473" s="1169"/>
      <c r="CI473" s="1169"/>
      <c r="CJ473" s="1169"/>
      <c r="CK473" s="1169"/>
      <c r="CL473" s="1169"/>
      <c r="CM473" s="1169"/>
      <c r="CN473" s="1169"/>
      <c r="CO473" s="1169"/>
      <c r="CP473" s="1169"/>
      <c r="CQ473" s="1169"/>
      <c r="CR473" s="1169"/>
      <c r="CS473" s="1169"/>
      <c r="CT473" s="1169"/>
      <c r="CU473" s="1169"/>
      <c r="CV473" s="1169"/>
      <c r="CW473" s="1169"/>
      <c r="CX473" s="1169"/>
      <c r="CY473" s="1169"/>
      <c r="CZ473" s="1169"/>
      <c r="DA473" s="1168"/>
      <c r="DB473" s="1168"/>
      <c r="DC473" s="1168"/>
      <c r="DD473" s="1168"/>
      <c r="DE473" s="1168"/>
      <c r="DF473" s="1168"/>
      <c r="DG473" s="1168"/>
      <c r="DH473" s="1168"/>
      <c r="DI473" s="1168"/>
      <c r="DJ473" s="1168"/>
      <c r="DK473" s="1168"/>
      <c r="DL473" s="1168"/>
      <c r="DM473" s="1168"/>
      <c r="DN473" s="1168"/>
      <c r="DO473" s="1168"/>
      <c r="DP473" s="1168"/>
      <c r="DQ473" s="1168"/>
      <c r="DR473" s="1168"/>
      <c r="DS473" s="1168"/>
      <c r="DT473" s="1168"/>
      <c r="DU473" s="1168"/>
      <c r="DV473" s="1168"/>
      <c r="DW473" s="1168"/>
      <c r="DX473" s="1168"/>
      <c r="DY473" s="1168"/>
      <c r="DZ473" s="1168"/>
      <c r="EA473" s="1168"/>
      <c r="EB473" s="1168"/>
      <c r="EC473" s="1168"/>
      <c r="ED473" s="1168"/>
      <c r="EE473" s="1168"/>
      <c r="EF473" s="1168"/>
      <c r="EG473" s="1168"/>
      <c r="EH473" s="1168"/>
      <c r="EI473" s="1170"/>
      <c r="EJ473" s="1170"/>
      <c r="EK473" s="1170"/>
      <c r="EL473" s="1170"/>
      <c r="EM473" s="1170"/>
      <c r="EN473" s="1170"/>
      <c r="EO473" s="1170"/>
      <c r="EP473" s="1170"/>
      <c r="EQ473" s="1170"/>
      <c r="ER473" s="1170"/>
      <c r="ES473" s="1171"/>
      <c r="ET473" s="1171"/>
      <c r="EU473" s="1171"/>
      <c r="EV473" s="1171"/>
      <c r="EW473" s="1171"/>
      <c r="EX473" s="1171"/>
      <c r="EY473" s="1171"/>
      <c r="EZ473" s="1171"/>
      <c r="FA473" s="1171"/>
      <c r="FB473" s="1171"/>
      <c r="FC473" s="1171"/>
      <c r="FD473" s="1171"/>
      <c r="FE473" s="1171"/>
      <c r="FF473" s="1171"/>
      <c r="FG473" s="1171"/>
      <c r="FH473" s="1171"/>
      <c r="FI473" s="1171"/>
      <c r="FJ473" s="1171"/>
      <c r="FK473" s="1171"/>
      <c r="FL473" s="1171"/>
      <c r="FM473" s="1171"/>
      <c r="FN473" s="1171"/>
      <c r="FO473" s="1171"/>
      <c r="FP473" s="1171"/>
    </row>
    <row r="474" spans="1:172" s="607" customFormat="1">
      <c r="A474" s="607">
        <f t="shared" si="15"/>
        <v>2009</v>
      </c>
      <c r="B474" s="607">
        <f t="shared" si="16"/>
        <v>4</v>
      </c>
      <c r="C474" s="666">
        <v>40087</v>
      </c>
      <c r="D474" s="957">
        <v>0.90898095238095233</v>
      </c>
      <c r="E474" s="920">
        <v>249.45306998542961</v>
      </c>
      <c r="F474" s="920">
        <v>274.431570135789</v>
      </c>
      <c r="G474" s="920"/>
      <c r="H474" s="920"/>
      <c r="I474" s="954">
        <v>1043.145</v>
      </c>
      <c r="J474" s="954">
        <v>1149.6099999999999</v>
      </c>
      <c r="K474" s="954"/>
      <c r="L474" s="920"/>
      <c r="M474" s="917">
        <v>18525.23</v>
      </c>
      <c r="N474" s="917">
        <v>20380.21803589577</v>
      </c>
      <c r="O474" s="1175">
        <v>6287.98</v>
      </c>
      <c r="P474" s="1175">
        <v>6917.6147019687141</v>
      </c>
      <c r="Q474" s="1175">
        <v>2240.77</v>
      </c>
      <c r="R474" s="1175">
        <v>2465.1451651771217</v>
      </c>
      <c r="S474" s="1175">
        <v>2071.59</v>
      </c>
      <c r="T474" s="1175">
        <v>2279.0246534580851</v>
      </c>
      <c r="U474" s="920">
        <v>962.68661211789913</v>
      </c>
      <c r="V474" s="920">
        <v>1059.0833719851578</v>
      </c>
      <c r="W474" s="920">
        <v>2123.6658906544576</v>
      </c>
      <c r="X474" s="920">
        <v>2336.3150625893786</v>
      </c>
      <c r="Y474" s="920"/>
      <c r="Z474" s="920"/>
      <c r="AA474" s="920"/>
      <c r="AB474" s="920"/>
      <c r="AC474" s="920">
        <v>17.236000000000001</v>
      </c>
      <c r="AD474" s="920">
        <v>19.059999999999999</v>
      </c>
      <c r="AE474" s="920">
        <v>36773.050000000003</v>
      </c>
      <c r="AF474" s="920">
        <v>40455.248158586808</v>
      </c>
      <c r="AG474" s="920">
        <v>1332.7729999999999</v>
      </c>
      <c r="AH474" s="920">
        <v>1466.2276437245266</v>
      </c>
      <c r="AI474" s="920">
        <v>322.06799999999998</v>
      </c>
      <c r="AJ474" s="920">
        <v>354.31765556405395</v>
      </c>
      <c r="AK474" s="920">
        <v>73.19</v>
      </c>
      <c r="AL474" s="920">
        <v>80.518738933185247</v>
      </c>
      <c r="AM474" s="920">
        <v>78.260000000000005</v>
      </c>
      <c r="AN474" s="920">
        <v>86.096413566212306</v>
      </c>
      <c r="AO474" s="920"/>
      <c r="AP474" s="920"/>
      <c r="AS474" s="1167"/>
      <c r="AT474" s="1167"/>
      <c r="AU474" s="1168"/>
      <c r="AV474" s="1168"/>
      <c r="AW474" s="1169"/>
      <c r="AX474" s="1169"/>
      <c r="AY474" s="1169"/>
      <c r="AZ474" s="1169"/>
      <c r="BA474" s="1803" t="s">
        <v>2</v>
      </c>
      <c r="BB474" s="1804">
        <v>2012</v>
      </c>
      <c r="BC474" s="1799" t="s">
        <v>32</v>
      </c>
      <c r="BD474" s="1799"/>
      <c r="BE474" s="1800">
        <v>92322008.636259899</v>
      </c>
      <c r="BF474" s="1801">
        <v>1.7500062349549799E-3</v>
      </c>
      <c r="BG474" s="1799"/>
      <c r="BH474" s="1886" t="s">
        <v>1</v>
      </c>
      <c r="BI474" s="1886" t="s">
        <v>310</v>
      </c>
      <c r="BJ474" s="1886" t="s">
        <v>18</v>
      </c>
      <c r="BK474" s="1886">
        <v>1</v>
      </c>
      <c r="BL474" s="1887">
        <v>2744915000</v>
      </c>
      <c r="BM474" s="1801">
        <v>0.38341572952723585</v>
      </c>
      <c r="BN474" s="1799">
        <v>2005</v>
      </c>
      <c r="BO474" s="1684"/>
      <c r="BP474" s="1696"/>
      <c r="BQ474" s="1169"/>
      <c r="BR474" s="1169"/>
      <c r="BS474" s="1169"/>
      <c r="BT474" s="1169"/>
      <c r="BU474" s="1169"/>
      <c r="BV474" s="1169"/>
      <c r="BW474" s="1169"/>
      <c r="BX474" s="1169"/>
      <c r="BY474" s="1169"/>
      <c r="BZ474" s="1169"/>
      <c r="CA474" s="1169"/>
      <c r="CB474" s="1169"/>
      <c r="CC474" s="1169"/>
      <c r="CD474" s="1169"/>
      <c r="CE474" s="1169"/>
      <c r="CF474" s="1169"/>
      <c r="CG474" s="1169"/>
      <c r="CH474" s="1169"/>
      <c r="CI474" s="1169"/>
      <c r="CJ474" s="1169"/>
      <c r="CK474" s="1169"/>
      <c r="CL474" s="1169"/>
      <c r="CM474" s="1169"/>
      <c r="CN474" s="1169"/>
      <c r="CO474" s="1169"/>
      <c r="CP474" s="1169"/>
      <c r="CQ474" s="1169"/>
      <c r="CR474" s="1169"/>
      <c r="CS474" s="1169"/>
      <c r="CT474" s="1169"/>
      <c r="CU474" s="1169"/>
      <c r="CV474" s="1169"/>
      <c r="CW474" s="1169"/>
      <c r="CX474" s="1169"/>
      <c r="CY474" s="1169"/>
      <c r="CZ474" s="1169"/>
      <c r="DA474" s="1168"/>
      <c r="DB474" s="1168"/>
      <c r="DC474" s="1168"/>
      <c r="DD474" s="1168"/>
      <c r="DE474" s="1168"/>
      <c r="DF474" s="1168"/>
      <c r="DG474" s="1168"/>
      <c r="DH474" s="1168"/>
      <c r="DI474" s="1168"/>
      <c r="DJ474" s="1168"/>
      <c r="DK474" s="1168"/>
      <c r="DL474" s="1168"/>
      <c r="DM474" s="1168"/>
      <c r="DN474" s="1168"/>
      <c r="DO474" s="1168"/>
      <c r="DP474" s="1168"/>
      <c r="DQ474" s="1168"/>
      <c r="DR474" s="1168"/>
      <c r="DS474" s="1168"/>
      <c r="DT474" s="1168"/>
      <c r="DU474" s="1168"/>
      <c r="DV474" s="1168"/>
      <c r="DW474" s="1168"/>
      <c r="DX474" s="1168"/>
      <c r="DY474" s="1168"/>
      <c r="DZ474" s="1168"/>
      <c r="EA474" s="1168"/>
      <c r="EB474" s="1168"/>
      <c r="EC474" s="1168"/>
      <c r="ED474" s="1168"/>
      <c r="EE474" s="1168"/>
      <c r="EF474" s="1168"/>
      <c r="EG474" s="1168"/>
      <c r="EH474" s="1168"/>
      <c r="EI474" s="1170"/>
      <c r="EJ474" s="1170"/>
      <c r="EK474" s="1170"/>
      <c r="EL474" s="1170"/>
      <c r="EM474" s="1170"/>
      <c r="EN474" s="1170"/>
      <c r="EO474" s="1170"/>
      <c r="EP474" s="1170"/>
      <c r="EQ474" s="1170"/>
      <c r="ER474" s="1170"/>
      <c r="ES474" s="1171"/>
      <c r="ET474" s="1171"/>
      <c r="EU474" s="1171"/>
      <c r="EV474" s="1171"/>
      <c r="EW474" s="1171"/>
      <c r="EX474" s="1171"/>
      <c r="EY474" s="1171"/>
      <c r="EZ474" s="1171"/>
      <c r="FA474" s="1171"/>
      <c r="FB474" s="1171"/>
      <c r="FC474" s="1171"/>
      <c r="FD474" s="1171"/>
      <c r="FE474" s="1171"/>
      <c r="FF474" s="1171"/>
      <c r="FG474" s="1171"/>
      <c r="FH474" s="1171"/>
      <c r="FI474" s="1171"/>
      <c r="FJ474" s="1171"/>
      <c r="FK474" s="1171"/>
      <c r="FL474" s="1171"/>
      <c r="FM474" s="1171"/>
      <c r="FN474" s="1171"/>
      <c r="FO474" s="1171"/>
      <c r="FP474" s="1171"/>
    </row>
    <row r="475" spans="1:172" s="607" customFormat="1">
      <c r="A475" s="607">
        <f t="shared" si="15"/>
        <v>2009</v>
      </c>
      <c r="B475" s="607">
        <f t="shared" si="16"/>
        <v>4</v>
      </c>
      <c r="C475" s="666">
        <v>40118</v>
      </c>
      <c r="D475" s="1709">
        <v>0.92022380952380955</v>
      </c>
      <c r="E475" s="1117">
        <v>255.69529810106414</v>
      </c>
      <c r="F475" s="1117">
        <v>277.86207600233621</v>
      </c>
      <c r="G475" s="1117"/>
      <c r="H475" s="1117"/>
      <c r="I475" s="959">
        <v>1127.0260000000001</v>
      </c>
      <c r="J475" s="959">
        <v>1219.8900000000001</v>
      </c>
      <c r="K475" s="960"/>
      <c r="L475" s="1121"/>
      <c r="M475" s="916">
        <v>16991.189999999999</v>
      </c>
      <c r="N475" s="916">
        <v>18464.192975828861</v>
      </c>
      <c r="O475" s="1174">
        <v>6675.6</v>
      </c>
      <c r="P475" s="1174">
        <v>7254.3221887015061</v>
      </c>
      <c r="Q475" s="1174">
        <v>2308.7600000000002</v>
      </c>
      <c r="R475" s="1174">
        <v>2508.9113931910974</v>
      </c>
      <c r="S475" s="1174">
        <v>2193.38</v>
      </c>
      <c r="T475" s="1174">
        <v>2383.5288516768696</v>
      </c>
      <c r="U475" s="1120">
        <v>988.41830000788718</v>
      </c>
      <c r="V475" s="1120">
        <v>1074.1064182194616</v>
      </c>
      <c r="W475" s="1120">
        <v>2200.8026144399328</v>
      </c>
      <c r="X475" s="1120">
        <v>2391.5949486014574</v>
      </c>
      <c r="Y475" s="1119"/>
      <c r="Z475" s="1119"/>
      <c r="AA475" s="1119"/>
      <c r="AB475" s="1119"/>
      <c r="AC475" s="1178">
        <v>17.821000000000002</v>
      </c>
      <c r="AD475" s="1178">
        <v>19.420000000000002</v>
      </c>
      <c r="AE475" s="1178">
        <v>44161.3</v>
      </c>
      <c r="AF475" s="1178">
        <v>47989.738521167215</v>
      </c>
      <c r="AG475" s="1178">
        <v>1400.6189999999999</v>
      </c>
      <c r="AH475" s="1178">
        <v>1522.0416875811784</v>
      </c>
      <c r="AI475" s="1178">
        <v>351.81</v>
      </c>
      <c r="AJ475" s="1178">
        <v>382.30916909447495</v>
      </c>
      <c r="AK475" s="919">
        <v>77.040000000000006</v>
      </c>
      <c r="AL475" s="919">
        <v>83.718764068782448</v>
      </c>
      <c r="AM475" s="919">
        <v>80.36</v>
      </c>
      <c r="AN475" s="919">
        <v>87.326582042670779</v>
      </c>
      <c r="AO475" s="919"/>
      <c r="AP475" s="919"/>
      <c r="AS475" s="1167"/>
      <c r="AT475" s="1167"/>
      <c r="AU475" s="1168"/>
      <c r="AV475" s="1168"/>
      <c r="AW475" s="1169"/>
      <c r="AX475" s="1169"/>
      <c r="AY475" s="1169"/>
      <c r="AZ475" s="1169"/>
      <c r="BA475" s="1803" t="s">
        <v>2</v>
      </c>
      <c r="BB475" s="1804">
        <v>2012</v>
      </c>
      <c r="BC475" s="1799" t="s">
        <v>249</v>
      </c>
      <c r="BD475" s="1799"/>
      <c r="BE475" s="1800">
        <v>52755245548.38797</v>
      </c>
      <c r="BF475" s="1801"/>
      <c r="BG475" s="1799"/>
      <c r="BH475" s="1886" t="s">
        <v>1</v>
      </c>
      <c r="BI475" s="1886" t="s">
        <v>310</v>
      </c>
      <c r="BJ475" s="1886" t="s">
        <v>51</v>
      </c>
      <c r="BK475" s="1886">
        <v>2</v>
      </c>
      <c r="BL475" s="1887">
        <v>2372023000</v>
      </c>
      <c r="BM475" s="1801">
        <v>0.33132935956136439</v>
      </c>
      <c r="BN475" s="1799">
        <v>2005</v>
      </c>
      <c r="BO475" s="1684"/>
      <c r="BP475" s="1696"/>
      <c r="BQ475" s="1169"/>
      <c r="BR475" s="1169"/>
      <c r="BS475" s="1169"/>
      <c r="BT475" s="1169"/>
      <c r="BU475" s="1169"/>
      <c r="BV475" s="1169"/>
      <c r="BW475" s="1169"/>
      <c r="BX475" s="1169"/>
      <c r="BY475" s="1169"/>
      <c r="BZ475" s="1169"/>
      <c r="CA475" s="1169"/>
      <c r="CB475" s="1169"/>
      <c r="CC475" s="1169"/>
      <c r="CD475" s="1169"/>
      <c r="CE475" s="1169"/>
      <c r="CF475" s="1169"/>
      <c r="CG475" s="1169"/>
      <c r="CH475" s="1169"/>
      <c r="CI475" s="1169"/>
      <c r="CJ475" s="1169"/>
      <c r="CK475" s="1169"/>
      <c r="CL475" s="1169"/>
      <c r="CM475" s="1169"/>
      <c r="CN475" s="1169"/>
      <c r="CO475" s="1169"/>
      <c r="CP475" s="1169"/>
      <c r="CQ475" s="1169"/>
      <c r="CR475" s="1169"/>
      <c r="CS475" s="1169"/>
      <c r="CT475" s="1169"/>
      <c r="CU475" s="1169"/>
      <c r="CV475" s="1169"/>
      <c r="CW475" s="1169"/>
      <c r="CX475" s="1169"/>
      <c r="CY475" s="1169"/>
      <c r="CZ475" s="1169"/>
      <c r="DA475" s="1168"/>
      <c r="DB475" s="1168"/>
      <c r="DC475" s="1168"/>
      <c r="DD475" s="1168"/>
      <c r="DE475" s="1168"/>
      <c r="DF475" s="1168"/>
      <c r="DG475" s="1168"/>
      <c r="DH475" s="1168"/>
      <c r="DI475" s="1168"/>
      <c r="DJ475" s="1168"/>
      <c r="DK475" s="1168"/>
      <c r="DL475" s="1168"/>
      <c r="DM475" s="1168"/>
      <c r="DN475" s="1168"/>
      <c r="DO475" s="1168"/>
      <c r="DP475" s="1168"/>
      <c r="DQ475" s="1168"/>
      <c r="DR475" s="1168"/>
      <c r="DS475" s="1168"/>
      <c r="DT475" s="1168"/>
      <c r="DU475" s="1168"/>
      <c r="DV475" s="1168"/>
      <c r="DW475" s="1168"/>
      <c r="DX475" s="1168"/>
      <c r="DY475" s="1168"/>
      <c r="DZ475" s="1168"/>
      <c r="EA475" s="1168"/>
      <c r="EB475" s="1168"/>
      <c r="EC475" s="1168"/>
      <c r="ED475" s="1168"/>
      <c r="EE475" s="1168"/>
      <c r="EF475" s="1168"/>
      <c r="EG475" s="1168"/>
      <c r="EH475" s="1168"/>
      <c r="EI475" s="1170"/>
      <c r="EJ475" s="1170"/>
      <c r="EK475" s="1170"/>
      <c r="EL475" s="1170"/>
      <c r="EM475" s="1170"/>
      <c r="EN475" s="1170"/>
      <c r="EO475" s="1170"/>
      <c r="EP475" s="1170"/>
      <c r="EQ475" s="1170"/>
      <c r="ER475" s="1170"/>
      <c r="ES475" s="1171"/>
      <c r="ET475" s="1171"/>
      <c r="EU475" s="1171"/>
      <c r="EV475" s="1171"/>
      <c r="EW475" s="1171"/>
      <c r="EX475" s="1171"/>
      <c r="EY475" s="1171"/>
      <c r="EZ475" s="1171"/>
      <c r="FA475" s="1171"/>
      <c r="FB475" s="1171"/>
      <c r="FC475" s="1171"/>
      <c r="FD475" s="1171"/>
      <c r="FE475" s="1171"/>
      <c r="FF475" s="1171"/>
      <c r="FG475" s="1171"/>
      <c r="FH475" s="1171"/>
      <c r="FI475" s="1171"/>
      <c r="FJ475" s="1171"/>
      <c r="FK475" s="1171"/>
      <c r="FL475" s="1171"/>
      <c r="FM475" s="1171"/>
      <c r="FN475" s="1171"/>
      <c r="FO475" s="1171"/>
      <c r="FP475" s="1171"/>
    </row>
    <row r="476" spans="1:172" s="607" customFormat="1">
      <c r="A476" s="607">
        <f t="shared" si="15"/>
        <v>2009</v>
      </c>
      <c r="B476" s="607">
        <f t="shared" si="16"/>
        <v>4</v>
      </c>
      <c r="C476" s="666">
        <v>40148</v>
      </c>
      <c r="D476" s="957">
        <v>0.90276190476190465</v>
      </c>
      <c r="E476" s="920">
        <v>260.04293863320163</v>
      </c>
      <c r="F476" s="920">
        <v>288.05262745528194</v>
      </c>
      <c r="G476" s="920"/>
      <c r="H476" s="920"/>
      <c r="I476" s="954">
        <v>1133.183</v>
      </c>
      <c r="J476" s="954">
        <v>1257.55</v>
      </c>
      <c r="K476" s="954"/>
      <c r="L476" s="920"/>
      <c r="M476" s="917">
        <v>17055</v>
      </c>
      <c r="N476" s="917">
        <v>18892.024475155609</v>
      </c>
      <c r="O476" s="1175">
        <v>6979.93</v>
      </c>
      <c r="P476" s="1175">
        <v>7731.7507121004337</v>
      </c>
      <c r="Q476" s="1175">
        <v>2327</v>
      </c>
      <c r="R476" s="1175">
        <v>2577.6453212364177</v>
      </c>
      <c r="S476" s="1175">
        <v>2375.02</v>
      </c>
      <c r="T476" s="1175">
        <v>2630.8376411013824</v>
      </c>
      <c r="U476" s="920">
        <v>904.64905193116522</v>
      </c>
      <c r="V476" s="920">
        <v>1002.0904151574255</v>
      </c>
      <c r="W476" s="920">
        <v>2137.2813894722976</v>
      </c>
      <c r="X476" s="920">
        <v>2367.4917807215029</v>
      </c>
      <c r="Y476" s="920"/>
      <c r="Z476" s="920"/>
      <c r="AA476" s="920"/>
      <c r="AB476" s="920"/>
      <c r="AC476" s="920">
        <v>17.672999999999998</v>
      </c>
      <c r="AD476" s="920">
        <v>19.68</v>
      </c>
      <c r="AE476" s="920">
        <v>42714.5</v>
      </c>
      <c r="AF476" s="920">
        <v>47315.354995252666</v>
      </c>
      <c r="AG476" s="920">
        <v>1443.5</v>
      </c>
      <c r="AH476" s="920">
        <v>1598.981960122376</v>
      </c>
      <c r="AI476" s="920">
        <v>373.65</v>
      </c>
      <c r="AJ476" s="920">
        <v>413.89650807047161</v>
      </c>
      <c r="AK476" s="920">
        <v>74.67</v>
      </c>
      <c r="AL476" s="920">
        <v>82.712838907057716</v>
      </c>
      <c r="AM476" s="920">
        <v>79.34</v>
      </c>
      <c r="AN476" s="920">
        <v>87.885852938073654</v>
      </c>
      <c r="AO476" s="920"/>
      <c r="AP476" s="920"/>
      <c r="AS476" s="1167"/>
      <c r="AT476" s="1167"/>
      <c r="AU476" s="1168"/>
      <c r="AV476" s="1168"/>
      <c r="AW476" s="1169"/>
      <c r="AX476" s="1169"/>
      <c r="AY476" s="1169"/>
      <c r="AZ476" s="1169"/>
      <c r="BA476" s="1803" t="s">
        <v>2</v>
      </c>
      <c r="BB476" s="1802">
        <v>2013</v>
      </c>
      <c r="BC476" s="1799" t="s">
        <v>15</v>
      </c>
      <c r="BD476" s="1799">
        <v>1</v>
      </c>
      <c r="BE476" s="1800">
        <v>44578026790.587692</v>
      </c>
      <c r="BF476" s="1801">
        <v>0.6319604171376132</v>
      </c>
      <c r="BG476" s="1799"/>
      <c r="BH476" s="1886" t="s">
        <v>1</v>
      </c>
      <c r="BI476" s="1886" t="s">
        <v>310</v>
      </c>
      <c r="BJ476" s="1886" t="s">
        <v>28</v>
      </c>
      <c r="BK476" s="1886">
        <v>3</v>
      </c>
      <c r="BL476" s="1887">
        <v>704714000</v>
      </c>
      <c r="BM476" s="1801">
        <v>9.8435992523650637E-2</v>
      </c>
      <c r="BN476" s="1799">
        <v>2005</v>
      </c>
      <c r="BO476" s="1684"/>
      <c r="BP476" s="1696"/>
      <c r="BQ476" s="1169"/>
      <c r="BR476" s="1169"/>
      <c r="BS476" s="1169"/>
      <c r="BT476" s="1169"/>
      <c r="BU476" s="1169"/>
      <c r="BV476" s="1169"/>
      <c r="BW476" s="1169"/>
      <c r="BX476" s="1169"/>
      <c r="BY476" s="1169"/>
      <c r="BZ476" s="1169"/>
      <c r="CA476" s="1169"/>
      <c r="CB476" s="1169"/>
      <c r="CC476" s="1169"/>
      <c r="CD476" s="1169"/>
      <c r="CE476" s="1169"/>
      <c r="CF476" s="1169"/>
      <c r="CG476" s="1169"/>
      <c r="CH476" s="1169"/>
      <c r="CI476" s="1169"/>
      <c r="CJ476" s="1169"/>
      <c r="CK476" s="1169"/>
      <c r="CL476" s="1169"/>
      <c r="CM476" s="1169"/>
      <c r="CN476" s="1169"/>
      <c r="CO476" s="1169"/>
      <c r="CP476" s="1169"/>
      <c r="CQ476" s="1169"/>
      <c r="CR476" s="1169"/>
      <c r="CS476" s="1169"/>
      <c r="CT476" s="1169"/>
      <c r="CU476" s="1169"/>
      <c r="CV476" s="1169"/>
      <c r="CW476" s="1169"/>
      <c r="CX476" s="1169"/>
      <c r="CY476" s="1169"/>
      <c r="CZ476" s="1169"/>
      <c r="DA476" s="1168"/>
      <c r="DB476" s="1168"/>
      <c r="DC476" s="1168"/>
      <c r="DD476" s="1168"/>
      <c r="DE476" s="1168"/>
      <c r="DF476" s="1168"/>
      <c r="DG476" s="1168"/>
      <c r="DH476" s="1168"/>
      <c r="DI476" s="1168"/>
      <c r="DJ476" s="1168"/>
      <c r="DK476" s="1168"/>
      <c r="DL476" s="1168"/>
      <c r="DM476" s="1168"/>
      <c r="DN476" s="1168"/>
      <c r="DO476" s="1168"/>
      <c r="DP476" s="1168"/>
      <c r="DQ476" s="1168"/>
      <c r="DR476" s="1168"/>
      <c r="DS476" s="1168"/>
      <c r="DT476" s="1168"/>
      <c r="DU476" s="1168"/>
      <c r="DV476" s="1168"/>
      <c r="DW476" s="1168"/>
      <c r="DX476" s="1168"/>
      <c r="DY476" s="1168"/>
      <c r="DZ476" s="1168"/>
      <c r="EA476" s="1168"/>
      <c r="EB476" s="1168"/>
      <c r="EC476" s="1168"/>
      <c r="ED476" s="1168"/>
      <c r="EE476" s="1168"/>
      <c r="EF476" s="1168"/>
      <c r="EG476" s="1168"/>
      <c r="EH476" s="1168"/>
      <c r="EI476" s="1170"/>
      <c r="EJ476" s="1170"/>
      <c r="EK476" s="1170"/>
      <c r="EL476" s="1170"/>
      <c r="EM476" s="1170"/>
      <c r="EN476" s="1170"/>
      <c r="EO476" s="1170"/>
      <c r="EP476" s="1170"/>
      <c r="EQ476" s="1170"/>
      <c r="ER476" s="1170"/>
      <c r="ES476" s="1171"/>
      <c r="ET476" s="1171"/>
      <c r="EU476" s="1171"/>
      <c r="EV476" s="1171"/>
      <c r="EW476" s="1171"/>
      <c r="EX476" s="1171"/>
      <c r="EY476" s="1171"/>
      <c r="EZ476" s="1171"/>
      <c r="FA476" s="1171"/>
      <c r="FB476" s="1171"/>
      <c r="FC476" s="1171"/>
      <c r="FD476" s="1171"/>
      <c r="FE476" s="1171"/>
      <c r="FF476" s="1171"/>
      <c r="FG476" s="1171"/>
      <c r="FH476" s="1171"/>
      <c r="FI476" s="1171"/>
      <c r="FJ476" s="1171"/>
      <c r="FK476" s="1171"/>
      <c r="FL476" s="1171"/>
      <c r="FM476" s="1171"/>
      <c r="FN476" s="1171"/>
      <c r="FO476" s="1171"/>
      <c r="FP476" s="1171"/>
    </row>
    <row r="477" spans="1:172" s="607" customFormat="1">
      <c r="A477" s="607">
        <f t="shared" si="15"/>
        <v>2010</v>
      </c>
      <c r="B477" s="607">
        <f t="shared" si="16"/>
        <v>1</v>
      </c>
      <c r="C477" s="666">
        <v>40179</v>
      </c>
      <c r="D477" s="1709">
        <v>0.91580555555555554</v>
      </c>
      <c r="E477" s="1117">
        <v>283.00855469157045</v>
      </c>
      <c r="F477" s="1117">
        <v>309.02690311797556</v>
      </c>
      <c r="G477" s="1117"/>
      <c r="H477" s="1117"/>
      <c r="I477" s="959">
        <v>1117.9480000000001</v>
      </c>
      <c r="J477" s="959">
        <v>1223.1600000000001</v>
      </c>
      <c r="K477" s="960"/>
      <c r="L477" s="1121"/>
      <c r="M477" s="916">
        <v>18439.25</v>
      </c>
      <c r="N477" s="916">
        <v>20134.459643907914</v>
      </c>
      <c r="O477" s="1174">
        <v>7386.25</v>
      </c>
      <c r="P477" s="1174">
        <v>8065.3037702083775</v>
      </c>
      <c r="Q477" s="1174">
        <v>2368.38</v>
      </c>
      <c r="R477" s="1174">
        <v>2586.1166550395828</v>
      </c>
      <c r="S477" s="1174">
        <v>2434.4499999999998</v>
      </c>
      <c r="T477" s="1174">
        <v>2658.2607904395036</v>
      </c>
      <c r="U477" s="1120">
        <v>916.45476505845784</v>
      </c>
      <c r="V477" s="1120">
        <v>1000.7088944797987</v>
      </c>
      <c r="W477" s="1120">
        <v>2184.5435424743264</v>
      </c>
      <c r="X477" s="1120">
        <v>2385.379220755126</v>
      </c>
      <c r="Y477" s="1119"/>
      <c r="Z477" s="1119"/>
      <c r="AA477" s="1119"/>
      <c r="AB477" s="1119"/>
      <c r="AC477" s="1178">
        <v>17.786999999999999</v>
      </c>
      <c r="AD477" s="1178">
        <v>19.45</v>
      </c>
      <c r="AE477" s="1178">
        <v>47785.15</v>
      </c>
      <c r="AF477" s="1178">
        <v>52178.270496527046</v>
      </c>
      <c r="AG477" s="1178">
        <v>1562.75</v>
      </c>
      <c r="AH477" s="1178">
        <v>1706.4211835360491</v>
      </c>
      <c r="AI477" s="1178">
        <v>434.1</v>
      </c>
      <c r="AJ477" s="1178">
        <v>474.00891746792445</v>
      </c>
      <c r="AK477" s="919">
        <v>76.37</v>
      </c>
      <c r="AL477" s="919">
        <v>83.391064333161466</v>
      </c>
      <c r="AM477" s="919">
        <v>80.73</v>
      </c>
      <c r="AN477" s="919">
        <v>88.151900269950559</v>
      </c>
      <c r="AO477" s="919"/>
      <c r="AP477" s="919"/>
      <c r="AS477" s="1167"/>
      <c r="AT477" s="1167"/>
      <c r="AU477" s="1168"/>
      <c r="AV477" s="1168"/>
      <c r="AW477" s="1169"/>
      <c r="AX477" s="1169"/>
      <c r="AY477" s="1169"/>
      <c r="AZ477" s="1169"/>
      <c r="BA477" s="1803" t="s">
        <v>2</v>
      </c>
      <c r="BB477" s="1802">
        <v>2013</v>
      </c>
      <c r="BC477" s="1799" t="s">
        <v>20</v>
      </c>
      <c r="BD477" s="1799">
        <v>2</v>
      </c>
      <c r="BE477" s="1800">
        <v>11403013190.444498</v>
      </c>
      <c r="BF477" s="1801">
        <v>0.161654821697504</v>
      </c>
      <c r="BG477" s="1799"/>
      <c r="BH477" s="1886" t="s">
        <v>1</v>
      </c>
      <c r="BI477" s="1886" t="s">
        <v>310</v>
      </c>
      <c r="BJ477" s="1886" t="s">
        <v>20</v>
      </c>
      <c r="BK477" s="1886">
        <v>4</v>
      </c>
      <c r="BL477" s="1887">
        <v>383553000</v>
      </c>
      <c r="BM477" s="1801">
        <v>5.3575521758364067E-2</v>
      </c>
      <c r="BN477" s="1799">
        <v>2005</v>
      </c>
      <c r="BO477" s="1684"/>
      <c r="BP477" s="1696"/>
      <c r="BQ477" s="1169"/>
      <c r="BR477" s="1169"/>
      <c r="BS477" s="1169"/>
      <c r="BT477" s="1169"/>
      <c r="BU477" s="1169"/>
      <c r="BV477" s="1169"/>
      <c r="BW477" s="1169"/>
      <c r="BX477" s="1169"/>
      <c r="BY477" s="1169"/>
      <c r="BZ477" s="1169"/>
      <c r="CA477" s="1169"/>
      <c r="CB477" s="1169"/>
      <c r="CC477" s="1169"/>
      <c r="CD477" s="1169"/>
      <c r="CE477" s="1169"/>
      <c r="CF477" s="1169"/>
      <c r="CG477" s="1169"/>
      <c r="CH477" s="1169"/>
      <c r="CI477" s="1169"/>
      <c r="CJ477" s="1169"/>
      <c r="CK477" s="1169"/>
      <c r="CL477" s="1169"/>
      <c r="CM477" s="1169"/>
      <c r="CN477" s="1169"/>
      <c r="CO477" s="1169"/>
      <c r="CP477" s="1169"/>
      <c r="CQ477" s="1169"/>
      <c r="CR477" s="1169"/>
      <c r="CS477" s="1169"/>
      <c r="CT477" s="1169"/>
      <c r="CU477" s="1169"/>
      <c r="CV477" s="1169"/>
      <c r="CW477" s="1169"/>
      <c r="CX477" s="1169"/>
      <c r="CY477" s="1169"/>
      <c r="CZ477" s="1169"/>
      <c r="DA477" s="1168"/>
      <c r="DB477" s="1168"/>
      <c r="DC477" s="1168"/>
      <c r="DD477" s="1168"/>
      <c r="DE477" s="1168"/>
      <c r="DF477" s="1168"/>
      <c r="DG477" s="1168"/>
      <c r="DH477" s="1168"/>
      <c r="DI477" s="1168"/>
      <c r="DJ477" s="1168"/>
      <c r="DK477" s="1168"/>
      <c r="DL477" s="1168"/>
      <c r="DM477" s="1168"/>
      <c r="DN477" s="1168"/>
      <c r="DO477" s="1168"/>
      <c r="DP477" s="1168"/>
      <c r="DQ477" s="1168"/>
      <c r="DR477" s="1168"/>
      <c r="DS477" s="1168"/>
      <c r="DT477" s="1168"/>
      <c r="DU477" s="1168"/>
      <c r="DV477" s="1168"/>
      <c r="DW477" s="1168"/>
      <c r="DX477" s="1168"/>
      <c r="DY477" s="1168"/>
      <c r="DZ477" s="1168"/>
      <c r="EA477" s="1168"/>
      <c r="EB477" s="1168"/>
      <c r="EC477" s="1168"/>
      <c r="ED477" s="1168"/>
      <c r="EE477" s="1168"/>
      <c r="EF477" s="1168"/>
      <c r="EG477" s="1168"/>
      <c r="EH477" s="1168"/>
      <c r="EI477" s="1170"/>
      <c r="EJ477" s="1170"/>
      <c r="EK477" s="1170"/>
      <c r="EL477" s="1170"/>
      <c r="EM477" s="1170"/>
      <c r="EN477" s="1170"/>
      <c r="EO477" s="1170"/>
      <c r="EP477" s="1170"/>
      <c r="EQ477" s="1170"/>
      <c r="ER477" s="1170"/>
      <c r="ES477" s="1171"/>
      <c r="ET477" s="1171"/>
      <c r="EU477" s="1171"/>
      <c r="EV477" s="1171"/>
      <c r="EW477" s="1171"/>
      <c r="EX477" s="1171"/>
      <c r="EY477" s="1171"/>
      <c r="EZ477" s="1171"/>
      <c r="FA477" s="1171"/>
      <c r="FB477" s="1171"/>
      <c r="FC477" s="1171"/>
      <c r="FD477" s="1171"/>
      <c r="FE477" s="1171"/>
      <c r="FF477" s="1171"/>
      <c r="FG477" s="1171"/>
      <c r="FH477" s="1171"/>
      <c r="FI477" s="1171"/>
      <c r="FJ477" s="1171"/>
      <c r="FK477" s="1171"/>
      <c r="FL477" s="1171"/>
      <c r="FM477" s="1171"/>
      <c r="FN477" s="1171"/>
      <c r="FO477" s="1171"/>
      <c r="FP477" s="1171"/>
    </row>
    <row r="478" spans="1:172" s="607" customFormat="1">
      <c r="A478" s="607">
        <f t="shared" si="15"/>
        <v>2010</v>
      </c>
      <c r="B478" s="607">
        <f t="shared" si="16"/>
        <v>1</v>
      </c>
      <c r="C478" s="666">
        <v>40210</v>
      </c>
      <c r="D478" s="957">
        <v>0.88627</v>
      </c>
      <c r="E478" s="920">
        <v>292.54147567534937</v>
      </c>
      <c r="F478" s="920">
        <v>330.08166323507442</v>
      </c>
      <c r="G478" s="920"/>
      <c r="H478" s="920"/>
      <c r="I478" s="954">
        <v>1095.3900000000001</v>
      </c>
      <c r="J478" s="954">
        <v>1232.1600000000001</v>
      </c>
      <c r="K478" s="954"/>
      <c r="L478" s="920"/>
      <c r="M478" s="917">
        <v>18976</v>
      </c>
      <c r="N478" s="917">
        <v>21411.082401525495</v>
      </c>
      <c r="O478" s="1175">
        <v>6848.18</v>
      </c>
      <c r="P478" s="1175">
        <v>7726.9680797048304</v>
      </c>
      <c r="Q478" s="1175">
        <v>2123.6799999999998</v>
      </c>
      <c r="R478" s="1175">
        <v>2396.1998036715672</v>
      </c>
      <c r="S478" s="1175">
        <v>2156.9</v>
      </c>
      <c r="T478" s="1175">
        <v>2433.6827377661434</v>
      </c>
      <c r="U478" s="920">
        <v>905.62543089604969</v>
      </c>
      <c r="V478" s="920">
        <v>1021.8392035114014</v>
      </c>
      <c r="W478" s="920">
        <v>2250.7857093782491</v>
      </c>
      <c r="X478" s="920">
        <v>2539.6162674785892</v>
      </c>
      <c r="Y478" s="920"/>
      <c r="Z478" s="920"/>
      <c r="AA478" s="920"/>
      <c r="AB478" s="920"/>
      <c r="AC478" s="920">
        <v>15.872999999999999</v>
      </c>
      <c r="AD478" s="920">
        <v>17.88</v>
      </c>
      <c r="AE478" s="920">
        <v>46572.6</v>
      </c>
      <c r="AF478" s="920">
        <v>52548.997483836749</v>
      </c>
      <c r="AG478" s="920">
        <v>1520.35</v>
      </c>
      <c r="AH478" s="920">
        <v>1715.4478883410247</v>
      </c>
      <c r="AI478" s="920">
        <v>425.75</v>
      </c>
      <c r="AJ478" s="920">
        <v>480.38408160041524</v>
      </c>
      <c r="AK478" s="920">
        <v>74.31</v>
      </c>
      <c r="AL478" s="920">
        <v>83.845780631184624</v>
      </c>
      <c r="AM478" s="920">
        <v>77.61</v>
      </c>
      <c r="AN478" s="920">
        <v>87.569250905480274</v>
      </c>
      <c r="AO478" s="920"/>
      <c r="AP478" s="920"/>
      <c r="AS478" s="1167"/>
      <c r="AT478" s="1167"/>
      <c r="AU478" s="1168"/>
      <c r="AV478" s="1168"/>
      <c r="AW478" s="1169"/>
      <c r="AX478" s="1169"/>
      <c r="AY478" s="1169"/>
      <c r="AZ478" s="1169"/>
      <c r="BA478" s="1803" t="s">
        <v>2</v>
      </c>
      <c r="BB478" s="1802">
        <v>2013</v>
      </c>
      <c r="BC478" s="1799" t="s">
        <v>581</v>
      </c>
      <c r="BD478" s="1799">
        <v>3</v>
      </c>
      <c r="BE478" s="1800">
        <v>4798752857.0648727</v>
      </c>
      <c r="BF478" s="1801">
        <v>6.802952206783959E-2</v>
      </c>
      <c r="BG478" s="1799"/>
      <c r="BH478" s="1886" t="s">
        <v>1</v>
      </c>
      <c r="BI478" s="1886" t="s">
        <v>310</v>
      </c>
      <c r="BJ478" s="1886" t="s">
        <v>49</v>
      </c>
      <c r="BK478" s="1886">
        <v>5</v>
      </c>
      <c r="BL478" s="1887">
        <v>304767000</v>
      </c>
      <c r="BM478" s="1801">
        <v>4.2570520996397736E-2</v>
      </c>
      <c r="BN478" s="1799">
        <v>2005</v>
      </c>
      <c r="BO478" s="1684"/>
      <c r="BP478" s="1696"/>
      <c r="BQ478" s="1169"/>
      <c r="BR478" s="1169"/>
      <c r="BS478" s="1169"/>
      <c r="BT478" s="1169"/>
      <c r="BU478" s="1169"/>
      <c r="BV478" s="1169"/>
      <c r="BW478" s="1169"/>
      <c r="BX478" s="1169"/>
      <c r="BY478" s="1169"/>
      <c r="BZ478" s="1169"/>
      <c r="CA478" s="1169"/>
      <c r="CB478" s="1169"/>
      <c r="CC478" s="1169"/>
      <c r="CD478" s="1169"/>
      <c r="CE478" s="1169"/>
      <c r="CF478" s="1169"/>
      <c r="CG478" s="1169"/>
      <c r="CH478" s="1169"/>
      <c r="CI478" s="1169"/>
      <c r="CJ478" s="1169"/>
      <c r="CK478" s="1169"/>
      <c r="CL478" s="1169"/>
      <c r="CM478" s="1169"/>
      <c r="CN478" s="1169"/>
      <c r="CO478" s="1169"/>
      <c r="CP478" s="1169"/>
      <c r="CQ478" s="1169"/>
      <c r="CR478" s="1169"/>
      <c r="CS478" s="1169"/>
      <c r="CT478" s="1169"/>
      <c r="CU478" s="1169"/>
      <c r="CV478" s="1169"/>
      <c r="CW478" s="1169"/>
      <c r="CX478" s="1169"/>
      <c r="CY478" s="1169"/>
      <c r="CZ478" s="1169"/>
      <c r="DA478" s="1168"/>
      <c r="DB478" s="1168"/>
      <c r="DC478" s="1168"/>
      <c r="DD478" s="1168"/>
      <c r="DE478" s="1168"/>
      <c r="DF478" s="1168"/>
      <c r="DG478" s="1168"/>
      <c r="DH478" s="1168"/>
      <c r="DI478" s="1168"/>
      <c r="DJ478" s="1168"/>
      <c r="DK478" s="1168"/>
      <c r="DL478" s="1168"/>
      <c r="DM478" s="1168"/>
      <c r="DN478" s="1168"/>
      <c r="DO478" s="1168"/>
      <c r="DP478" s="1168"/>
      <c r="DQ478" s="1168"/>
      <c r="DR478" s="1168"/>
      <c r="DS478" s="1168"/>
      <c r="DT478" s="1168"/>
      <c r="DU478" s="1168"/>
      <c r="DV478" s="1168"/>
      <c r="DW478" s="1168"/>
      <c r="DX478" s="1168"/>
      <c r="DY478" s="1168"/>
      <c r="DZ478" s="1168"/>
      <c r="EA478" s="1168"/>
      <c r="EB478" s="1168"/>
      <c r="EC478" s="1168"/>
      <c r="ED478" s="1168"/>
      <c r="EE478" s="1168"/>
      <c r="EF478" s="1168"/>
      <c r="EG478" s="1168"/>
      <c r="EH478" s="1168"/>
      <c r="EI478" s="1170"/>
      <c r="EJ478" s="1170"/>
      <c r="EK478" s="1170"/>
      <c r="EL478" s="1170"/>
      <c r="EM478" s="1170"/>
      <c r="EN478" s="1170"/>
      <c r="EO478" s="1170"/>
      <c r="EP478" s="1170"/>
      <c r="EQ478" s="1170"/>
      <c r="ER478" s="1170"/>
      <c r="ES478" s="1171"/>
      <c r="ET478" s="1171"/>
      <c r="EU478" s="1171"/>
      <c r="EV478" s="1171"/>
      <c r="EW478" s="1171"/>
      <c r="EX478" s="1171"/>
      <c r="EY478" s="1171"/>
      <c r="EZ478" s="1171"/>
      <c r="FA478" s="1171"/>
      <c r="FB478" s="1171"/>
      <c r="FC478" s="1171"/>
      <c r="FD478" s="1171"/>
      <c r="FE478" s="1171"/>
      <c r="FF478" s="1171"/>
      <c r="FG478" s="1171"/>
      <c r="FH478" s="1171"/>
      <c r="FI478" s="1171"/>
      <c r="FJ478" s="1171"/>
      <c r="FK478" s="1171"/>
      <c r="FL478" s="1171"/>
      <c r="FM478" s="1171"/>
      <c r="FN478" s="1171"/>
      <c r="FO478" s="1171"/>
      <c r="FP478" s="1171"/>
    </row>
    <row r="479" spans="1:172" s="607" customFormat="1">
      <c r="A479" s="607">
        <f t="shared" si="15"/>
        <v>2010</v>
      </c>
      <c r="B479" s="607">
        <f t="shared" si="16"/>
        <v>1</v>
      </c>
      <c r="C479" s="666">
        <v>40238</v>
      </c>
      <c r="D479" s="1709">
        <v>0.91201304347826107</v>
      </c>
      <c r="E479" s="1117">
        <v>285.27869108231499</v>
      </c>
      <c r="F479" s="1117">
        <v>312.80110862703356</v>
      </c>
      <c r="G479" s="1117"/>
      <c r="H479" s="1117"/>
      <c r="I479" s="959">
        <v>1113.317</v>
      </c>
      <c r="J479" s="959">
        <v>1227.3</v>
      </c>
      <c r="K479" s="960"/>
      <c r="L479" s="1121"/>
      <c r="M479" s="916">
        <v>22461.3</v>
      </c>
      <c r="N479" s="916">
        <v>24628.266186124336</v>
      </c>
      <c r="O479" s="1174">
        <v>7462.83</v>
      </c>
      <c r="P479" s="1174">
        <v>8182.8106005348873</v>
      </c>
      <c r="Q479" s="1174">
        <v>2172.09</v>
      </c>
      <c r="R479" s="1174">
        <v>2381.6435691709212</v>
      </c>
      <c r="S479" s="1174">
        <v>2275.0700000000002</v>
      </c>
      <c r="T479" s="1174">
        <v>2494.5586209197995</v>
      </c>
      <c r="U479" s="1120">
        <v>885.16427153252732</v>
      </c>
      <c r="V479" s="1120">
        <v>970.56097811568884</v>
      </c>
      <c r="W479" s="1120">
        <v>2254.3056823342554</v>
      </c>
      <c r="X479" s="1120">
        <v>2471.7910543655394</v>
      </c>
      <c r="Y479" s="1119"/>
      <c r="Z479" s="1119"/>
      <c r="AA479" s="1119"/>
      <c r="AB479" s="1119"/>
      <c r="AC479" s="1178">
        <v>17.106000000000002</v>
      </c>
      <c r="AD479" s="1178">
        <v>18.760000000000002</v>
      </c>
      <c r="AE479" s="1178">
        <v>42438.95</v>
      </c>
      <c r="AF479" s="1178">
        <v>46533.270881900033</v>
      </c>
      <c r="AG479" s="1178">
        <v>1599.4349999999999</v>
      </c>
      <c r="AH479" s="1178">
        <v>1753.7413652550731</v>
      </c>
      <c r="AI479" s="1178">
        <v>461.45699999999999</v>
      </c>
      <c r="AJ479" s="1178">
        <v>505.97631612820169</v>
      </c>
      <c r="AK479" s="919">
        <v>79.27</v>
      </c>
      <c r="AL479" s="919">
        <v>86.917616548199618</v>
      </c>
      <c r="AM479" s="919">
        <v>82.76</v>
      </c>
      <c r="AN479" s="919">
        <v>90.74431620447838</v>
      </c>
      <c r="AO479" s="919"/>
      <c r="AP479" s="919"/>
      <c r="AS479" s="1167"/>
      <c r="AT479" s="1167"/>
      <c r="AU479" s="1168"/>
      <c r="AV479" s="1168"/>
      <c r="AW479" s="1169"/>
      <c r="AX479" s="1169"/>
      <c r="AY479" s="1169"/>
      <c r="AZ479" s="1169"/>
      <c r="BA479" s="1803" t="s">
        <v>2</v>
      </c>
      <c r="BB479" s="1802">
        <v>2013</v>
      </c>
      <c r="BC479" s="1799" t="s">
        <v>583</v>
      </c>
      <c r="BD479" s="1799">
        <v>4</v>
      </c>
      <c r="BE479" s="1800">
        <v>2048203842.3611562</v>
      </c>
      <c r="BF479" s="1801">
        <v>2.9036362705823434E-2</v>
      </c>
      <c r="BG479" s="1799"/>
      <c r="BH479" s="1886" t="s">
        <v>1</v>
      </c>
      <c r="BI479" s="1886" t="s">
        <v>310</v>
      </c>
      <c r="BJ479" s="1886" t="s">
        <v>77</v>
      </c>
      <c r="BK479" s="1886">
        <v>6</v>
      </c>
      <c r="BL479" s="1887">
        <v>208354000</v>
      </c>
      <c r="BM479" s="1801">
        <v>2.9103342329331764E-2</v>
      </c>
      <c r="BN479" s="1799">
        <v>2005</v>
      </c>
      <c r="BO479" s="1684"/>
      <c r="BP479" s="1696"/>
      <c r="BQ479" s="1169"/>
      <c r="BR479" s="1169"/>
      <c r="BS479" s="1169"/>
      <c r="BT479" s="1169"/>
      <c r="BU479" s="1169"/>
      <c r="BV479" s="1169"/>
      <c r="BW479" s="1169"/>
      <c r="BX479" s="1169"/>
      <c r="BY479" s="1169"/>
      <c r="BZ479" s="1169"/>
      <c r="CA479" s="1169"/>
      <c r="CB479" s="1169"/>
      <c r="CC479" s="1169"/>
      <c r="CD479" s="1169"/>
      <c r="CE479" s="1169"/>
      <c r="CF479" s="1169"/>
      <c r="CG479" s="1169"/>
      <c r="CH479" s="1169"/>
      <c r="CI479" s="1169"/>
      <c r="CJ479" s="1169"/>
      <c r="CK479" s="1169"/>
      <c r="CL479" s="1169"/>
      <c r="CM479" s="1169"/>
      <c r="CN479" s="1169"/>
      <c r="CO479" s="1169"/>
      <c r="CP479" s="1169"/>
      <c r="CQ479" s="1169"/>
      <c r="CR479" s="1169"/>
      <c r="CS479" s="1169"/>
      <c r="CT479" s="1169"/>
      <c r="CU479" s="1169"/>
      <c r="CV479" s="1169"/>
      <c r="CW479" s="1169"/>
      <c r="CX479" s="1169"/>
      <c r="CY479" s="1169"/>
      <c r="CZ479" s="1169"/>
      <c r="DA479" s="1168"/>
      <c r="DB479" s="1168"/>
      <c r="DC479" s="1168"/>
      <c r="DD479" s="1168"/>
      <c r="DE479" s="1168"/>
      <c r="DF479" s="1168"/>
      <c r="DG479" s="1168"/>
      <c r="DH479" s="1168"/>
      <c r="DI479" s="1168"/>
      <c r="DJ479" s="1168"/>
      <c r="DK479" s="1168"/>
      <c r="DL479" s="1168"/>
      <c r="DM479" s="1168"/>
      <c r="DN479" s="1168"/>
      <c r="DO479" s="1168"/>
      <c r="DP479" s="1168"/>
      <c r="DQ479" s="1168"/>
      <c r="DR479" s="1168"/>
      <c r="DS479" s="1168"/>
      <c r="DT479" s="1168"/>
      <c r="DU479" s="1168"/>
      <c r="DV479" s="1168"/>
      <c r="DW479" s="1168"/>
      <c r="DX479" s="1168"/>
      <c r="DY479" s="1168"/>
      <c r="DZ479" s="1168"/>
      <c r="EA479" s="1168"/>
      <c r="EB479" s="1168"/>
      <c r="EC479" s="1168"/>
      <c r="ED479" s="1168"/>
      <c r="EE479" s="1168"/>
      <c r="EF479" s="1168"/>
      <c r="EG479" s="1168"/>
      <c r="EH479" s="1168"/>
      <c r="EI479" s="1170"/>
      <c r="EJ479" s="1170"/>
      <c r="EK479" s="1170"/>
      <c r="EL479" s="1170"/>
      <c r="EM479" s="1170"/>
      <c r="EN479" s="1170"/>
      <c r="EO479" s="1170"/>
      <c r="EP479" s="1170"/>
      <c r="EQ479" s="1170"/>
      <c r="ER479" s="1170"/>
      <c r="ES479" s="1171"/>
      <c r="ET479" s="1171"/>
      <c r="EU479" s="1171"/>
      <c r="EV479" s="1171"/>
      <c r="EW479" s="1171"/>
      <c r="EX479" s="1171"/>
      <c r="EY479" s="1171"/>
      <c r="EZ479" s="1171"/>
      <c r="FA479" s="1171"/>
      <c r="FB479" s="1171"/>
      <c r="FC479" s="1171"/>
      <c r="FD479" s="1171"/>
      <c r="FE479" s="1171"/>
      <c r="FF479" s="1171"/>
      <c r="FG479" s="1171"/>
      <c r="FH479" s="1171"/>
      <c r="FI479" s="1171"/>
      <c r="FJ479" s="1171"/>
      <c r="FK479" s="1171"/>
      <c r="FL479" s="1171"/>
      <c r="FM479" s="1171"/>
      <c r="FN479" s="1171"/>
      <c r="FO479" s="1171"/>
      <c r="FP479" s="1171"/>
    </row>
    <row r="480" spans="1:172" s="607" customFormat="1">
      <c r="A480" s="607">
        <f t="shared" si="15"/>
        <v>2010</v>
      </c>
      <c r="B480" s="607">
        <f t="shared" si="16"/>
        <v>2</v>
      </c>
      <c r="C480" s="666">
        <v>40269</v>
      </c>
      <c r="D480" s="957">
        <v>0.92649473684210526</v>
      </c>
      <c r="E480" s="920">
        <v>292.43576020132792</v>
      </c>
      <c r="F480" s="920">
        <v>315.63672039635696</v>
      </c>
      <c r="G480" s="920"/>
      <c r="H480" s="920"/>
      <c r="I480" s="954">
        <v>1147.4670000000001</v>
      </c>
      <c r="J480" s="954">
        <v>1232.8399999999999</v>
      </c>
      <c r="K480" s="954"/>
      <c r="L480" s="920"/>
      <c r="M480" s="917">
        <v>26030.75</v>
      </c>
      <c r="N480" s="917">
        <v>28095.950214163175</v>
      </c>
      <c r="O480" s="1175">
        <v>7745.08</v>
      </c>
      <c r="P480" s="1175">
        <v>8359.5509958303501</v>
      </c>
      <c r="Q480" s="1175">
        <v>2264.85</v>
      </c>
      <c r="R480" s="1175">
        <v>2444.5362827635568</v>
      </c>
      <c r="S480" s="1175">
        <v>2366.6799999999998</v>
      </c>
      <c r="T480" s="1175">
        <v>2554.4451640024085</v>
      </c>
      <c r="U480" s="920">
        <v>873.71182953746677</v>
      </c>
      <c r="V480" s="920">
        <v>943.02945801446697</v>
      </c>
      <c r="W480" s="920">
        <v>2294.1470621071912</v>
      </c>
      <c r="X480" s="920">
        <v>2476.1576843130665</v>
      </c>
      <c r="Y480" s="920"/>
      <c r="Z480" s="920"/>
      <c r="AA480" s="920"/>
      <c r="AB480" s="920"/>
      <c r="AC480" s="920">
        <v>18.079999999999998</v>
      </c>
      <c r="AD480" s="920">
        <v>19.46</v>
      </c>
      <c r="AE480" s="920">
        <v>47840.25</v>
      </c>
      <c r="AF480" s="920">
        <v>51635.749343876749</v>
      </c>
      <c r="AG480" s="920">
        <v>1712.905</v>
      </c>
      <c r="AH480" s="920">
        <v>1848.8016519536</v>
      </c>
      <c r="AI480" s="920">
        <v>532.25</v>
      </c>
      <c r="AJ480" s="920">
        <v>574.47708965313518</v>
      </c>
      <c r="AK480" s="920">
        <v>81.98</v>
      </c>
      <c r="AL480" s="920">
        <v>88.484042855357487</v>
      </c>
      <c r="AM480" s="920">
        <v>86.92</v>
      </c>
      <c r="AN480" s="920">
        <v>93.815967369939898</v>
      </c>
      <c r="AO480" s="920"/>
      <c r="AP480" s="920"/>
      <c r="AS480" s="1167"/>
      <c r="AT480" s="1167"/>
      <c r="AU480" s="1168"/>
      <c r="AV480" s="1168"/>
      <c r="AW480" s="1169"/>
      <c r="AX480" s="1169"/>
      <c r="AY480" s="1169"/>
      <c r="AZ480" s="1169"/>
      <c r="BA480" s="1803" t="s">
        <v>2</v>
      </c>
      <c r="BB480" s="1802">
        <v>2013</v>
      </c>
      <c r="BC480" s="1799" t="s">
        <v>431</v>
      </c>
      <c r="BD480" s="1799">
        <v>5</v>
      </c>
      <c r="BE480" s="1800">
        <v>1135824166.5416176</v>
      </c>
      <c r="BF480" s="1801">
        <v>1.6102011815251085E-2</v>
      </c>
      <c r="BG480" s="1799"/>
      <c r="BH480" s="1886" t="s">
        <v>1</v>
      </c>
      <c r="BI480" s="1886" t="s">
        <v>310</v>
      </c>
      <c r="BJ480" s="1886" t="s">
        <v>581</v>
      </c>
      <c r="BK480" s="1886">
        <v>7</v>
      </c>
      <c r="BL480" s="1887">
        <v>157766000</v>
      </c>
      <c r="BM480" s="1801">
        <v>2.2037099868153984E-2</v>
      </c>
      <c r="BN480" s="1799">
        <v>2005</v>
      </c>
      <c r="BO480" s="1684"/>
      <c r="BP480" s="1696"/>
      <c r="BQ480" s="1169"/>
      <c r="BR480" s="1169"/>
      <c r="BS480" s="1169"/>
      <c r="BT480" s="1169"/>
      <c r="BU480" s="1169"/>
      <c r="BV480" s="1169"/>
      <c r="BW480" s="1169"/>
      <c r="BX480" s="1169"/>
      <c r="BY480" s="1169"/>
      <c r="BZ480" s="1169"/>
      <c r="CA480" s="1169"/>
      <c r="CB480" s="1169"/>
      <c r="CC480" s="1169"/>
      <c r="CD480" s="1169"/>
      <c r="CE480" s="1169"/>
      <c r="CF480" s="1169"/>
      <c r="CG480" s="1169"/>
      <c r="CH480" s="1169"/>
      <c r="CI480" s="1169"/>
      <c r="CJ480" s="1169"/>
      <c r="CK480" s="1169"/>
      <c r="CL480" s="1169"/>
      <c r="CM480" s="1169"/>
      <c r="CN480" s="1169"/>
      <c r="CO480" s="1169"/>
      <c r="CP480" s="1169"/>
      <c r="CQ480" s="1169"/>
      <c r="CR480" s="1169"/>
      <c r="CS480" s="1169"/>
      <c r="CT480" s="1169"/>
      <c r="CU480" s="1169"/>
      <c r="CV480" s="1169"/>
      <c r="CW480" s="1169"/>
      <c r="CX480" s="1169"/>
      <c r="CY480" s="1169"/>
      <c r="CZ480" s="1169"/>
      <c r="DA480" s="1168"/>
      <c r="DB480" s="1168"/>
      <c r="DC480" s="1168"/>
      <c r="DD480" s="1168"/>
      <c r="DE480" s="1168"/>
      <c r="DF480" s="1168"/>
      <c r="DG480" s="1168"/>
      <c r="DH480" s="1168"/>
      <c r="DI480" s="1168"/>
      <c r="DJ480" s="1168"/>
      <c r="DK480" s="1168"/>
      <c r="DL480" s="1168"/>
      <c r="DM480" s="1168"/>
      <c r="DN480" s="1168"/>
      <c r="DO480" s="1168"/>
      <c r="DP480" s="1168"/>
      <c r="DQ480" s="1168"/>
      <c r="DR480" s="1168"/>
      <c r="DS480" s="1168"/>
      <c r="DT480" s="1168"/>
      <c r="DU480" s="1168"/>
      <c r="DV480" s="1168"/>
      <c r="DW480" s="1168"/>
      <c r="DX480" s="1168"/>
      <c r="DY480" s="1168"/>
      <c r="DZ480" s="1168"/>
      <c r="EA480" s="1168"/>
      <c r="EB480" s="1168"/>
      <c r="EC480" s="1168"/>
      <c r="ED480" s="1168"/>
      <c r="EE480" s="1168"/>
      <c r="EF480" s="1168"/>
      <c r="EG480" s="1168"/>
      <c r="EH480" s="1168"/>
      <c r="EI480" s="1170"/>
      <c r="EJ480" s="1170"/>
      <c r="EK480" s="1170"/>
      <c r="EL480" s="1170"/>
      <c r="EM480" s="1170"/>
      <c r="EN480" s="1170"/>
      <c r="EO480" s="1170"/>
      <c r="EP480" s="1170"/>
      <c r="EQ480" s="1170"/>
      <c r="ER480" s="1170"/>
      <c r="ES480" s="1171"/>
      <c r="ET480" s="1171"/>
      <c r="EU480" s="1171"/>
      <c r="EV480" s="1171"/>
      <c r="EW480" s="1171"/>
      <c r="EX480" s="1171"/>
      <c r="EY480" s="1171"/>
      <c r="EZ480" s="1171"/>
      <c r="FA480" s="1171"/>
      <c r="FB480" s="1171"/>
      <c r="FC480" s="1171"/>
      <c r="FD480" s="1171"/>
      <c r="FE480" s="1171"/>
      <c r="FF480" s="1171"/>
      <c r="FG480" s="1171"/>
      <c r="FH480" s="1171"/>
      <c r="FI480" s="1171"/>
      <c r="FJ480" s="1171"/>
      <c r="FK480" s="1171"/>
      <c r="FL480" s="1171"/>
      <c r="FM480" s="1171"/>
      <c r="FN480" s="1171"/>
      <c r="FO480" s="1171"/>
      <c r="FP480" s="1171"/>
    </row>
    <row r="481" spans="1:172" s="607" customFormat="1">
      <c r="A481" s="607">
        <f t="shared" si="15"/>
        <v>2010</v>
      </c>
      <c r="B481" s="607">
        <f t="shared" si="16"/>
        <v>2</v>
      </c>
      <c r="C481" s="666">
        <v>40299</v>
      </c>
      <c r="D481" s="1709">
        <v>0.87170952380952371</v>
      </c>
      <c r="E481" s="1117">
        <v>305.73333898571212</v>
      </c>
      <c r="F481" s="1117">
        <v>350.72846015218892</v>
      </c>
      <c r="G481" s="1117"/>
      <c r="H481" s="1117"/>
      <c r="I481" s="959">
        <v>1204.1099999999999</v>
      </c>
      <c r="J481" s="959">
        <v>1373.51</v>
      </c>
      <c r="K481" s="960"/>
      <c r="L481" s="1121"/>
      <c r="M481" s="916">
        <v>22008.16</v>
      </c>
      <c r="N481" s="916">
        <v>25247.125790045833</v>
      </c>
      <c r="O481" s="1174">
        <v>6837.68</v>
      </c>
      <c r="P481" s="1174">
        <v>7843.9890964115402</v>
      </c>
      <c r="Q481" s="1174">
        <v>1882.68</v>
      </c>
      <c r="R481" s="1174">
        <v>2159.7561441939488</v>
      </c>
      <c r="S481" s="1174">
        <v>1968.37</v>
      </c>
      <c r="T481" s="1174">
        <v>2258.0572383766985</v>
      </c>
      <c r="U481" s="1120">
        <v>892.09875935292496</v>
      </c>
      <c r="V481" s="1120">
        <v>1023.3899423907825</v>
      </c>
      <c r="W481" s="1120">
        <v>2327.2266267393184</v>
      </c>
      <c r="X481" s="1120">
        <v>2669.727200603395</v>
      </c>
      <c r="Y481" s="1119"/>
      <c r="Z481" s="1119"/>
      <c r="AA481" s="1119"/>
      <c r="AB481" s="1119"/>
      <c r="AC481" s="1178">
        <v>18.428999999999998</v>
      </c>
      <c r="AD481" s="1178">
        <v>21.1</v>
      </c>
      <c r="AE481" s="1178">
        <v>45332.5</v>
      </c>
      <c r="AF481" s="1178">
        <v>52004.135278789901</v>
      </c>
      <c r="AG481" s="1178">
        <v>1628.35</v>
      </c>
      <c r="AH481" s="1178">
        <v>1867.9961105435953</v>
      </c>
      <c r="AI481" s="1178">
        <v>491.75</v>
      </c>
      <c r="AJ481" s="1178">
        <v>564.12140348193759</v>
      </c>
      <c r="AK481" s="919">
        <v>76.25</v>
      </c>
      <c r="AL481" s="919">
        <v>87.471798709705624</v>
      </c>
      <c r="AM481" s="919">
        <v>79.06</v>
      </c>
      <c r="AN481" s="919">
        <v>90.695349586745266</v>
      </c>
      <c r="AO481" s="919"/>
      <c r="AP481" s="919"/>
      <c r="AS481" s="1167"/>
      <c r="AT481" s="1167"/>
      <c r="AU481" s="1168"/>
      <c r="AV481" s="1168"/>
      <c r="AW481" s="1169"/>
      <c r="AX481" s="1169"/>
      <c r="AY481" s="1169"/>
      <c r="AZ481" s="1169"/>
      <c r="BA481" s="1803" t="s">
        <v>2</v>
      </c>
      <c r="BB481" s="1802">
        <v>2013</v>
      </c>
      <c r="BC481" s="1799" t="s">
        <v>32</v>
      </c>
      <c r="BD481" s="1799"/>
      <c r="BE481" s="1800">
        <v>6575449622.6576891</v>
      </c>
      <c r="BF481" s="1801">
        <v>9.321686457596863E-2</v>
      </c>
      <c r="BG481" s="1799"/>
      <c r="BH481" s="1886" t="s">
        <v>1</v>
      </c>
      <c r="BI481" s="1886" t="s">
        <v>310</v>
      </c>
      <c r="BJ481" s="1886" t="s">
        <v>29</v>
      </c>
      <c r="BK481" s="1886">
        <v>8</v>
      </c>
      <c r="BL481" s="1887">
        <v>85974000</v>
      </c>
      <c r="BM481" s="1801">
        <v>1.2009036320022506E-2</v>
      </c>
      <c r="BN481" s="1799">
        <v>2005</v>
      </c>
      <c r="BO481" s="1684"/>
      <c r="BP481" s="1696"/>
      <c r="BQ481" s="1169"/>
      <c r="BR481" s="1169"/>
      <c r="BS481" s="1169"/>
      <c r="BT481" s="1169"/>
      <c r="BU481" s="1169"/>
      <c r="BV481" s="1169"/>
      <c r="BW481" s="1169"/>
      <c r="BX481" s="1169"/>
      <c r="BY481" s="1169"/>
      <c r="BZ481" s="1169"/>
      <c r="CA481" s="1169"/>
      <c r="CB481" s="1169"/>
      <c r="CC481" s="1169"/>
      <c r="CD481" s="1169"/>
      <c r="CE481" s="1169"/>
      <c r="CF481" s="1169"/>
      <c r="CG481" s="1169"/>
      <c r="CH481" s="1169"/>
      <c r="CI481" s="1169"/>
      <c r="CJ481" s="1169"/>
      <c r="CK481" s="1169"/>
      <c r="CL481" s="1169"/>
      <c r="CM481" s="1169"/>
      <c r="CN481" s="1169"/>
      <c r="CO481" s="1169"/>
      <c r="CP481" s="1169"/>
      <c r="CQ481" s="1169"/>
      <c r="CR481" s="1169"/>
      <c r="CS481" s="1169"/>
      <c r="CT481" s="1169"/>
      <c r="CU481" s="1169"/>
      <c r="CV481" s="1169"/>
      <c r="CW481" s="1169"/>
      <c r="CX481" s="1169"/>
      <c r="CY481" s="1169"/>
      <c r="CZ481" s="1169"/>
      <c r="DA481" s="1168"/>
      <c r="DB481" s="1168"/>
      <c r="DC481" s="1168"/>
      <c r="DD481" s="1168"/>
      <c r="DE481" s="1168"/>
      <c r="DF481" s="1168"/>
      <c r="DG481" s="1168"/>
      <c r="DH481" s="1168"/>
      <c r="DI481" s="1168"/>
      <c r="DJ481" s="1168"/>
      <c r="DK481" s="1168"/>
      <c r="DL481" s="1168"/>
      <c r="DM481" s="1168"/>
      <c r="DN481" s="1168"/>
      <c r="DO481" s="1168"/>
      <c r="DP481" s="1168"/>
      <c r="DQ481" s="1168"/>
      <c r="DR481" s="1168"/>
      <c r="DS481" s="1168"/>
      <c r="DT481" s="1168"/>
      <c r="DU481" s="1168"/>
      <c r="DV481" s="1168"/>
      <c r="DW481" s="1168"/>
      <c r="DX481" s="1168"/>
      <c r="DY481" s="1168"/>
      <c r="DZ481" s="1168"/>
      <c r="EA481" s="1168"/>
      <c r="EB481" s="1168"/>
      <c r="EC481" s="1168"/>
      <c r="ED481" s="1168"/>
      <c r="EE481" s="1168"/>
      <c r="EF481" s="1168"/>
      <c r="EG481" s="1168"/>
      <c r="EH481" s="1168"/>
      <c r="EI481" s="1170"/>
      <c r="EJ481" s="1170"/>
      <c r="EK481" s="1170"/>
      <c r="EL481" s="1170"/>
      <c r="EM481" s="1170"/>
      <c r="EN481" s="1170"/>
      <c r="EO481" s="1170"/>
      <c r="EP481" s="1170"/>
      <c r="EQ481" s="1170"/>
      <c r="ER481" s="1170"/>
      <c r="ES481" s="1171"/>
      <c r="ET481" s="1171"/>
      <c r="EU481" s="1171"/>
      <c r="EV481" s="1171"/>
      <c r="EW481" s="1171"/>
      <c r="EX481" s="1171"/>
      <c r="EY481" s="1171"/>
      <c r="EZ481" s="1171"/>
      <c r="FA481" s="1171"/>
      <c r="FB481" s="1171"/>
      <c r="FC481" s="1171"/>
      <c r="FD481" s="1171"/>
      <c r="FE481" s="1171"/>
      <c r="FF481" s="1171"/>
      <c r="FG481" s="1171"/>
      <c r="FH481" s="1171"/>
      <c r="FI481" s="1171"/>
      <c r="FJ481" s="1171"/>
      <c r="FK481" s="1171"/>
      <c r="FL481" s="1171"/>
      <c r="FM481" s="1171"/>
      <c r="FN481" s="1171"/>
      <c r="FO481" s="1171"/>
      <c r="FP481" s="1171"/>
    </row>
    <row r="482" spans="1:172" s="607" customFormat="1">
      <c r="A482" s="607">
        <f t="shared" si="15"/>
        <v>2010</v>
      </c>
      <c r="B482" s="607">
        <f t="shared" si="16"/>
        <v>2</v>
      </c>
      <c r="C482" s="666">
        <v>40330</v>
      </c>
      <c r="D482" s="957">
        <v>0.85291428571428562</v>
      </c>
      <c r="E482" s="920">
        <v>289.02002515818691</v>
      </c>
      <c r="F482" s="920">
        <v>338.86174730458742</v>
      </c>
      <c r="G482" s="920"/>
      <c r="H482" s="920"/>
      <c r="I482" s="954">
        <v>1232.914</v>
      </c>
      <c r="J482" s="954">
        <v>1448.34</v>
      </c>
      <c r="K482" s="954"/>
      <c r="L482" s="920"/>
      <c r="M482" s="917">
        <v>19388.64</v>
      </c>
      <c r="N482" s="917">
        <v>22732.225646522849</v>
      </c>
      <c r="O482" s="1175">
        <v>6499.3</v>
      </c>
      <c r="P482" s="1175">
        <v>7620.1092054133733</v>
      </c>
      <c r="Q482" s="1175">
        <v>1703.95</v>
      </c>
      <c r="R482" s="1175">
        <v>1997.7974675063649</v>
      </c>
      <c r="S482" s="1175">
        <v>1742.84</v>
      </c>
      <c r="T482" s="1175">
        <v>2043.3940774487473</v>
      </c>
      <c r="U482" s="920">
        <v>907.54104299148378</v>
      </c>
      <c r="V482" s="920">
        <v>1064.047182925832</v>
      </c>
      <c r="W482" s="920">
        <v>2325.5406222657798</v>
      </c>
      <c r="X482" s="920">
        <v>2726.5818631683742</v>
      </c>
      <c r="Y482" s="920"/>
      <c r="Z482" s="920"/>
      <c r="AA482" s="920"/>
      <c r="AB482" s="920"/>
      <c r="AC482" s="920">
        <v>18.454999999999998</v>
      </c>
      <c r="AD482" s="920">
        <v>21.71</v>
      </c>
      <c r="AE482" s="920">
        <v>42852.3</v>
      </c>
      <c r="AF482" s="920">
        <v>50242.211577113769</v>
      </c>
      <c r="AG482" s="920">
        <v>1553.2270000000001</v>
      </c>
      <c r="AH482" s="920">
        <v>1821.0821720487743</v>
      </c>
      <c r="AI482" s="920">
        <v>462.13600000000002</v>
      </c>
      <c r="AJ482" s="920">
        <v>541.83170306847126</v>
      </c>
      <c r="AK482" s="920">
        <v>74.84</v>
      </c>
      <c r="AL482" s="920">
        <v>87.746214658984343</v>
      </c>
      <c r="AM482" s="920">
        <v>80.930000000000007</v>
      </c>
      <c r="AN482" s="920">
        <v>94.886439769529701</v>
      </c>
      <c r="AO482" s="920"/>
      <c r="AP482" s="920"/>
      <c r="AS482" s="1167"/>
      <c r="AT482" s="1167"/>
      <c r="AU482" s="1168"/>
      <c r="AV482" s="1168"/>
      <c r="AW482" s="1169"/>
      <c r="AX482" s="1169"/>
      <c r="AY482" s="1169"/>
      <c r="AZ482" s="1169"/>
      <c r="BA482" s="1803" t="s">
        <v>2</v>
      </c>
      <c r="BB482" s="1802">
        <v>2013</v>
      </c>
      <c r="BC482" s="1799" t="s">
        <v>249</v>
      </c>
      <c r="BD482" s="1799"/>
      <c r="BE482" s="1800">
        <v>70539270469.657532</v>
      </c>
      <c r="BF482" s="1801"/>
      <c r="BG482" s="1799"/>
      <c r="BH482" s="1886" t="s">
        <v>1</v>
      </c>
      <c r="BI482" s="1886" t="s">
        <v>310</v>
      </c>
      <c r="BJ482" s="1886" t="s">
        <v>55</v>
      </c>
      <c r="BK482" s="1886">
        <v>9</v>
      </c>
      <c r="BL482" s="1887">
        <v>78325000</v>
      </c>
      <c r="BM482" s="1801">
        <v>1.0940607273893999E-2</v>
      </c>
      <c r="BN482" s="1799">
        <v>2005</v>
      </c>
      <c r="BO482" s="1684"/>
      <c r="BP482" s="1696"/>
      <c r="BQ482" s="1169"/>
      <c r="BR482" s="1169"/>
      <c r="BS482" s="1169"/>
      <c r="BT482" s="1169"/>
      <c r="BU482" s="1169"/>
      <c r="BV482" s="1169"/>
      <c r="BW482" s="1169"/>
      <c r="BX482" s="1169"/>
      <c r="BY482" s="1169"/>
      <c r="BZ482" s="1169"/>
      <c r="CA482" s="1169"/>
      <c r="CB482" s="1169"/>
      <c r="CC482" s="1169"/>
      <c r="CD482" s="1169"/>
      <c r="CE482" s="1169"/>
      <c r="CF482" s="1169"/>
      <c r="CG482" s="1169"/>
      <c r="CH482" s="1169"/>
      <c r="CI482" s="1169"/>
      <c r="CJ482" s="1169"/>
      <c r="CK482" s="1169"/>
      <c r="CL482" s="1169"/>
      <c r="CM482" s="1169"/>
      <c r="CN482" s="1169"/>
      <c r="CO482" s="1169"/>
      <c r="CP482" s="1169"/>
      <c r="CQ482" s="1169"/>
      <c r="CR482" s="1169"/>
      <c r="CS482" s="1169"/>
      <c r="CT482" s="1169"/>
      <c r="CU482" s="1169"/>
      <c r="CV482" s="1169"/>
      <c r="CW482" s="1169"/>
      <c r="CX482" s="1169"/>
      <c r="CY482" s="1169"/>
      <c r="CZ482" s="1169"/>
      <c r="DA482" s="1168"/>
      <c r="DB482" s="1168"/>
      <c r="DC482" s="1168"/>
      <c r="DD482" s="1168"/>
      <c r="DE482" s="1168"/>
      <c r="DF482" s="1168"/>
      <c r="DG482" s="1168"/>
      <c r="DH482" s="1168"/>
      <c r="DI482" s="1168"/>
      <c r="DJ482" s="1168"/>
      <c r="DK482" s="1168"/>
      <c r="DL482" s="1168"/>
      <c r="DM482" s="1168"/>
      <c r="DN482" s="1168"/>
      <c r="DO482" s="1168"/>
      <c r="DP482" s="1168"/>
      <c r="DQ482" s="1168"/>
      <c r="DR482" s="1168"/>
      <c r="DS482" s="1168"/>
      <c r="DT482" s="1168"/>
      <c r="DU482" s="1168"/>
      <c r="DV482" s="1168"/>
      <c r="DW482" s="1168"/>
      <c r="DX482" s="1168"/>
      <c r="DY482" s="1168"/>
      <c r="DZ482" s="1168"/>
      <c r="EA482" s="1168"/>
      <c r="EB482" s="1168"/>
      <c r="EC482" s="1168"/>
      <c r="ED482" s="1168"/>
      <c r="EE482" s="1168"/>
      <c r="EF482" s="1168"/>
      <c r="EG482" s="1168"/>
      <c r="EH482" s="1168"/>
      <c r="EI482" s="1170"/>
      <c r="EJ482" s="1170"/>
      <c r="EK482" s="1170"/>
      <c r="EL482" s="1170"/>
      <c r="EM482" s="1170"/>
      <c r="EN482" s="1170"/>
      <c r="EO482" s="1170"/>
      <c r="EP482" s="1170"/>
      <c r="EQ482" s="1170"/>
      <c r="ER482" s="1170"/>
      <c r="ES482" s="1171"/>
      <c r="ET482" s="1171"/>
      <c r="EU482" s="1171"/>
      <c r="EV482" s="1171"/>
      <c r="EW482" s="1171"/>
      <c r="EX482" s="1171"/>
      <c r="EY482" s="1171"/>
      <c r="EZ482" s="1171"/>
      <c r="FA482" s="1171"/>
      <c r="FB482" s="1171"/>
      <c r="FC482" s="1171"/>
      <c r="FD482" s="1171"/>
      <c r="FE482" s="1171"/>
      <c r="FF482" s="1171"/>
      <c r="FG482" s="1171"/>
      <c r="FH482" s="1171"/>
      <c r="FI482" s="1171"/>
      <c r="FJ482" s="1171"/>
      <c r="FK482" s="1171"/>
      <c r="FL482" s="1171"/>
      <c r="FM482" s="1171"/>
      <c r="FN482" s="1171"/>
      <c r="FO482" s="1171"/>
      <c r="FP482" s="1171"/>
    </row>
    <row r="483" spans="1:172" s="607" customFormat="1">
      <c r="A483" s="607">
        <f t="shared" si="15"/>
        <v>2010</v>
      </c>
      <c r="B483" s="607">
        <f t="shared" si="16"/>
        <v>3</v>
      </c>
      <c r="C483" s="666">
        <v>40360</v>
      </c>
      <c r="D483" s="1709">
        <v>0.8743090909090907</v>
      </c>
      <c r="E483" s="1117">
        <v>273.47158819360573</v>
      </c>
      <c r="F483" s="1117">
        <v>312.78593696109795</v>
      </c>
      <c r="G483" s="1117"/>
      <c r="H483" s="1117"/>
      <c r="I483" s="959">
        <v>1192.9590000000001</v>
      </c>
      <c r="J483" s="959">
        <v>1371.04</v>
      </c>
      <c r="K483" s="960"/>
      <c r="L483" s="1121"/>
      <c r="M483" s="916">
        <v>19517.5</v>
      </c>
      <c r="N483" s="916">
        <v>22323.341027720595</v>
      </c>
      <c r="O483" s="1174">
        <v>6735.26</v>
      </c>
      <c r="P483" s="1174">
        <v>7703.5227816249735</v>
      </c>
      <c r="Q483" s="1174">
        <v>1836.98</v>
      </c>
      <c r="R483" s="1174">
        <v>2101.0647368311606</v>
      </c>
      <c r="S483" s="1174">
        <v>1843.89</v>
      </c>
      <c r="T483" s="1174">
        <v>2108.9681202819893</v>
      </c>
      <c r="U483" s="1120">
        <v>961.60118450892435</v>
      </c>
      <c r="V483" s="1120">
        <v>1099.8412283567461</v>
      </c>
      <c r="W483" s="1120">
        <v>2405.2712869362686</v>
      </c>
      <c r="X483" s="1120">
        <v>2751.0537313929917</v>
      </c>
      <c r="Y483" s="1119"/>
      <c r="Z483" s="1119"/>
      <c r="AA483" s="1119"/>
      <c r="AB483" s="1119"/>
      <c r="AC483" s="1178">
        <v>17.96</v>
      </c>
      <c r="AD483" s="1178">
        <v>20.6</v>
      </c>
      <c r="AE483" s="1178">
        <v>41446.86</v>
      </c>
      <c r="AF483" s="1178">
        <v>47405.271695052732</v>
      </c>
      <c r="AG483" s="1178">
        <v>1525.5909999999999</v>
      </c>
      <c r="AH483" s="1178">
        <v>1744.9103707862835</v>
      </c>
      <c r="AI483" s="1178">
        <v>455.92899999999997</v>
      </c>
      <c r="AJ483" s="1178">
        <v>521.47347515960666</v>
      </c>
      <c r="AK483" s="919">
        <v>74.739999999999995</v>
      </c>
      <c r="AL483" s="919">
        <v>85.484642418949008</v>
      </c>
      <c r="AM483" s="919">
        <v>79.86</v>
      </c>
      <c r="AN483" s="919">
        <v>91.34069499033005</v>
      </c>
      <c r="AO483" s="919"/>
      <c r="AP483" s="919"/>
      <c r="AS483" s="1167"/>
      <c r="AT483" s="1167"/>
      <c r="AU483" s="1168"/>
      <c r="AV483" s="1168"/>
      <c r="AW483" s="1169"/>
      <c r="AX483" s="1169"/>
      <c r="AY483" s="1169"/>
      <c r="AZ483" s="1169"/>
      <c r="BA483" s="1803" t="s">
        <v>2</v>
      </c>
      <c r="BB483" s="1802">
        <v>2014</v>
      </c>
      <c r="BC483" s="1799" t="s">
        <v>15</v>
      </c>
      <c r="BD483" s="1799">
        <v>1</v>
      </c>
      <c r="BE483" s="1800">
        <v>51013904690.063545</v>
      </c>
      <c r="BF483" s="1801">
        <v>0.78254300162578883</v>
      </c>
      <c r="BG483" s="1799"/>
      <c r="BH483" s="1886" t="s">
        <v>1</v>
      </c>
      <c r="BI483" s="1886" t="s">
        <v>310</v>
      </c>
      <c r="BJ483" s="1886" t="s">
        <v>241</v>
      </c>
      <c r="BK483" s="1886">
        <v>10</v>
      </c>
      <c r="BL483" s="1887">
        <v>67854000</v>
      </c>
      <c r="BM483" s="1801">
        <v>9.4779950968758818E-3</v>
      </c>
      <c r="BN483" s="1799">
        <v>2005</v>
      </c>
      <c r="BO483" s="1684"/>
      <c r="BP483" s="1696"/>
      <c r="BQ483" s="1169"/>
      <c r="BR483" s="1169"/>
      <c r="BS483" s="1169"/>
      <c r="BT483" s="1169"/>
      <c r="BU483" s="1169"/>
      <c r="BV483" s="1169"/>
      <c r="BW483" s="1169"/>
      <c r="BX483" s="1169"/>
      <c r="BY483" s="1169"/>
      <c r="BZ483" s="1169"/>
      <c r="CA483" s="1169"/>
      <c r="CB483" s="1169"/>
      <c r="CC483" s="1169"/>
      <c r="CD483" s="1169"/>
      <c r="CE483" s="1169"/>
      <c r="CF483" s="1169"/>
      <c r="CG483" s="1169"/>
      <c r="CH483" s="1169"/>
      <c r="CI483" s="1169"/>
      <c r="CJ483" s="1169"/>
      <c r="CK483" s="1169"/>
      <c r="CL483" s="1169"/>
      <c r="CM483" s="1169"/>
      <c r="CN483" s="1169"/>
      <c r="CO483" s="1169"/>
      <c r="CP483" s="1169"/>
      <c r="CQ483" s="1169"/>
      <c r="CR483" s="1169"/>
      <c r="CS483" s="1169"/>
      <c r="CT483" s="1169"/>
      <c r="CU483" s="1169"/>
      <c r="CV483" s="1169"/>
      <c r="CW483" s="1169"/>
      <c r="CX483" s="1169"/>
      <c r="CY483" s="1169"/>
      <c r="CZ483" s="1169"/>
      <c r="DA483" s="1168"/>
      <c r="DB483" s="1168"/>
      <c r="DC483" s="1168"/>
      <c r="DD483" s="1168"/>
      <c r="DE483" s="1168"/>
      <c r="DF483" s="1168"/>
      <c r="DG483" s="1168"/>
      <c r="DH483" s="1168"/>
      <c r="DI483" s="1168"/>
      <c r="DJ483" s="1168"/>
      <c r="DK483" s="1168"/>
      <c r="DL483" s="1168"/>
      <c r="DM483" s="1168"/>
      <c r="DN483" s="1168"/>
      <c r="DO483" s="1168"/>
      <c r="DP483" s="1168"/>
      <c r="DQ483" s="1168"/>
      <c r="DR483" s="1168"/>
      <c r="DS483" s="1168"/>
      <c r="DT483" s="1168"/>
      <c r="DU483" s="1168"/>
      <c r="DV483" s="1168"/>
      <c r="DW483" s="1168"/>
      <c r="DX483" s="1168"/>
      <c r="DY483" s="1168"/>
      <c r="DZ483" s="1168"/>
      <c r="EA483" s="1168"/>
      <c r="EB483" s="1168"/>
      <c r="EC483" s="1168"/>
      <c r="ED483" s="1168"/>
      <c r="EE483" s="1168"/>
      <c r="EF483" s="1168"/>
      <c r="EG483" s="1168"/>
      <c r="EH483" s="1168"/>
      <c r="EI483" s="1170"/>
      <c r="EJ483" s="1170"/>
      <c r="EK483" s="1170"/>
      <c r="EL483" s="1170"/>
      <c r="EM483" s="1170"/>
      <c r="EN483" s="1170"/>
      <c r="EO483" s="1170"/>
      <c r="EP483" s="1170"/>
      <c r="EQ483" s="1170"/>
      <c r="ER483" s="1170"/>
      <c r="ES483" s="1171"/>
      <c r="ET483" s="1171"/>
      <c r="EU483" s="1171"/>
      <c r="EV483" s="1171"/>
      <c r="EW483" s="1171"/>
      <c r="EX483" s="1171"/>
      <c r="EY483" s="1171"/>
      <c r="EZ483" s="1171"/>
      <c r="FA483" s="1171"/>
      <c r="FB483" s="1171"/>
      <c r="FC483" s="1171"/>
      <c r="FD483" s="1171"/>
      <c r="FE483" s="1171"/>
      <c r="FF483" s="1171"/>
      <c r="FG483" s="1171"/>
      <c r="FH483" s="1171"/>
      <c r="FI483" s="1171"/>
      <c r="FJ483" s="1171"/>
      <c r="FK483" s="1171"/>
      <c r="FL483" s="1171"/>
      <c r="FM483" s="1171"/>
      <c r="FN483" s="1171"/>
      <c r="FO483" s="1171"/>
      <c r="FP483" s="1171"/>
    </row>
    <row r="484" spans="1:172" s="607" customFormat="1">
      <c r="A484" s="607">
        <f t="shared" si="15"/>
        <v>2010</v>
      </c>
      <c r="B484" s="607">
        <f t="shared" si="16"/>
        <v>3</v>
      </c>
      <c r="C484" s="666">
        <v>40391</v>
      </c>
      <c r="D484" s="957">
        <v>0.90004761904761899</v>
      </c>
      <c r="E484" s="920">
        <v>275.88467154631763</v>
      </c>
      <c r="F484" s="920">
        <v>306.52230582893344</v>
      </c>
      <c r="G484" s="920"/>
      <c r="H484" s="920"/>
      <c r="I484" s="954">
        <v>1216.6769999999999</v>
      </c>
      <c r="J484" s="954">
        <v>1359.8</v>
      </c>
      <c r="K484" s="954"/>
      <c r="L484" s="920"/>
      <c r="M484" s="917">
        <v>21413.33</v>
      </c>
      <c r="N484" s="917">
        <v>23791.330088355116</v>
      </c>
      <c r="O484" s="1175">
        <v>7283.95</v>
      </c>
      <c r="P484" s="1175">
        <v>8092.8495846780597</v>
      </c>
      <c r="Q484" s="1175">
        <v>2075.2399999999998</v>
      </c>
      <c r="R484" s="1175">
        <v>2305.7002275011905</v>
      </c>
      <c r="S484" s="1175">
        <v>2044.57</v>
      </c>
      <c r="T484" s="1175">
        <v>2271.6242526850433</v>
      </c>
      <c r="U484" s="920">
        <v>953.82753949432208</v>
      </c>
      <c r="V484" s="920">
        <v>1059.7523056653492</v>
      </c>
      <c r="W484" s="920">
        <v>2365.9768922581757</v>
      </c>
      <c r="X484" s="920">
        <v>2628.7241276875134</v>
      </c>
      <c r="Y484" s="920"/>
      <c r="Z484" s="920"/>
      <c r="AA484" s="920"/>
      <c r="AB484" s="920"/>
      <c r="AC484" s="920">
        <v>18.388000000000002</v>
      </c>
      <c r="AD484" s="920">
        <v>20.82</v>
      </c>
      <c r="AE484" s="920">
        <v>39889.85</v>
      </c>
      <c r="AF484" s="920">
        <v>44319.710597322897</v>
      </c>
      <c r="AG484" s="920">
        <v>1540.5909999999999</v>
      </c>
      <c r="AH484" s="920">
        <v>1711.6772128458811</v>
      </c>
      <c r="AI484" s="920">
        <v>489.75</v>
      </c>
      <c r="AJ484" s="920">
        <v>544.13787630284116</v>
      </c>
      <c r="AK484" s="920">
        <v>76.69</v>
      </c>
      <c r="AL484" s="920">
        <v>85.206602825247344</v>
      </c>
      <c r="AM484" s="920">
        <v>81.25</v>
      </c>
      <c r="AN484" s="920">
        <v>90.27300142849586</v>
      </c>
      <c r="AO484" s="920"/>
      <c r="AP484" s="920"/>
      <c r="AS484" s="1167"/>
      <c r="AT484" s="1167"/>
      <c r="AU484" s="1168"/>
      <c r="AV484" s="1168"/>
      <c r="AW484" s="1169"/>
      <c r="AX484" s="1169"/>
      <c r="AY484" s="1169"/>
      <c r="AZ484" s="1169"/>
      <c r="BA484" s="1803" t="s">
        <v>2</v>
      </c>
      <c r="BB484" s="1802">
        <v>2014</v>
      </c>
      <c r="BC484" s="1799" t="s">
        <v>20</v>
      </c>
      <c r="BD484" s="1799">
        <v>2</v>
      </c>
      <c r="BE484" s="1800">
        <v>7447813568.1640291</v>
      </c>
      <c r="BF484" s="1801">
        <v>0.11424795691664777</v>
      </c>
      <c r="BG484" s="1799"/>
      <c r="BH484" s="1886" t="s">
        <v>1</v>
      </c>
      <c r="BI484" s="1886" t="s">
        <v>310</v>
      </c>
      <c r="BJ484" s="1886" t="s">
        <v>32</v>
      </c>
      <c r="BK484" s="1886"/>
      <c r="BL484" s="1887">
        <v>50864000</v>
      </c>
      <c r="BM484" s="1801">
        <v>7.1047947447091531E-3</v>
      </c>
      <c r="BN484" s="1799">
        <v>2005</v>
      </c>
      <c r="BO484" s="1684"/>
      <c r="BP484" s="1696"/>
      <c r="BQ484" s="1169"/>
      <c r="BR484" s="1169"/>
      <c r="BS484" s="1169"/>
      <c r="BT484" s="1169"/>
      <c r="BU484" s="1169"/>
      <c r="BV484" s="1169"/>
      <c r="BW484" s="1169"/>
      <c r="BX484" s="1169"/>
      <c r="BY484" s="1169"/>
      <c r="BZ484" s="1169"/>
      <c r="CA484" s="1169"/>
      <c r="CB484" s="1169"/>
      <c r="CC484" s="1169"/>
      <c r="CD484" s="1169"/>
      <c r="CE484" s="1169"/>
      <c r="CF484" s="1169"/>
      <c r="CG484" s="1169"/>
      <c r="CH484" s="1169"/>
      <c r="CI484" s="1169"/>
      <c r="CJ484" s="1169"/>
      <c r="CK484" s="1169"/>
      <c r="CL484" s="1169"/>
      <c r="CM484" s="1169"/>
      <c r="CN484" s="1169"/>
      <c r="CO484" s="1169"/>
      <c r="CP484" s="1169"/>
      <c r="CQ484" s="1169"/>
      <c r="CR484" s="1169"/>
      <c r="CS484" s="1169"/>
      <c r="CT484" s="1169"/>
      <c r="CU484" s="1169"/>
      <c r="CV484" s="1169"/>
      <c r="CW484" s="1169"/>
      <c r="CX484" s="1169"/>
      <c r="CY484" s="1169"/>
      <c r="CZ484" s="1169"/>
      <c r="DA484" s="1168"/>
      <c r="DB484" s="1168"/>
      <c r="DC484" s="1168"/>
      <c r="DD484" s="1168"/>
      <c r="DE484" s="1168"/>
      <c r="DF484" s="1168"/>
      <c r="DG484" s="1168"/>
      <c r="DH484" s="1168"/>
      <c r="DI484" s="1168"/>
      <c r="DJ484" s="1168"/>
      <c r="DK484" s="1168"/>
      <c r="DL484" s="1168"/>
      <c r="DM484" s="1168"/>
      <c r="DN484" s="1168"/>
      <c r="DO484" s="1168"/>
      <c r="DP484" s="1168"/>
      <c r="DQ484" s="1168"/>
      <c r="DR484" s="1168"/>
      <c r="DS484" s="1168"/>
      <c r="DT484" s="1168"/>
      <c r="DU484" s="1168"/>
      <c r="DV484" s="1168"/>
      <c r="DW484" s="1168"/>
      <c r="DX484" s="1168"/>
      <c r="DY484" s="1168"/>
      <c r="DZ484" s="1168"/>
      <c r="EA484" s="1168"/>
      <c r="EB484" s="1168"/>
      <c r="EC484" s="1168"/>
      <c r="ED484" s="1168"/>
      <c r="EE484" s="1168"/>
      <c r="EF484" s="1168"/>
      <c r="EG484" s="1168"/>
      <c r="EH484" s="1168"/>
      <c r="EI484" s="1170"/>
      <c r="EJ484" s="1170"/>
      <c r="EK484" s="1170"/>
      <c r="EL484" s="1170"/>
      <c r="EM484" s="1170"/>
      <c r="EN484" s="1170"/>
      <c r="EO484" s="1170"/>
      <c r="EP484" s="1170"/>
      <c r="EQ484" s="1170"/>
      <c r="ER484" s="1170"/>
      <c r="ES484" s="1171"/>
      <c r="ET484" s="1171"/>
      <c r="EU484" s="1171"/>
      <c r="EV484" s="1171"/>
      <c r="EW484" s="1171"/>
      <c r="EX484" s="1171"/>
      <c r="EY484" s="1171"/>
      <c r="EZ484" s="1171"/>
      <c r="FA484" s="1171"/>
      <c r="FB484" s="1171"/>
      <c r="FC484" s="1171"/>
      <c r="FD484" s="1171"/>
      <c r="FE484" s="1171"/>
      <c r="FF484" s="1171"/>
      <c r="FG484" s="1171"/>
      <c r="FH484" s="1171"/>
      <c r="FI484" s="1171"/>
      <c r="FJ484" s="1171"/>
      <c r="FK484" s="1171"/>
      <c r="FL484" s="1171"/>
      <c r="FM484" s="1171"/>
      <c r="FN484" s="1171"/>
      <c r="FO484" s="1171"/>
      <c r="FP484" s="1171"/>
    </row>
    <row r="485" spans="1:172" s="607" customFormat="1">
      <c r="A485" s="607">
        <f t="shared" si="15"/>
        <v>2010</v>
      </c>
      <c r="B485" s="607">
        <f t="shared" si="16"/>
        <v>3</v>
      </c>
      <c r="C485" s="666">
        <v>40422</v>
      </c>
      <c r="D485" s="1709">
        <v>0.9358045454545455</v>
      </c>
      <c r="E485" s="1117">
        <v>280.78350589056811</v>
      </c>
      <c r="F485" s="1117">
        <v>300.04503317964117</v>
      </c>
      <c r="G485" s="1117"/>
      <c r="H485" s="1117"/>
      <c r="I485" s="959">
        <v>1270.9680000000001</v>
      </c>
      <c r="J485" s="959">
        <v>1369.58</v>
      </c>
      <c r="K485" s="960"/>
      <c r="L485" s="1121"/>
      <c r="M485" s="916">
        <v>22643.41</v>
      </c>
      <c r="N485" s="916">
        <v>24196.730086410818</v>
      </c>
      <c r="O485" s="1174">
        <v>7709.3</v>
      </c>
      <c r="P485" s="1174">
        <v>8238.1519062352763</v>
      </c>
      <c r="Q485" s="1174">
        <v>2184.23</v>
      </c>
      <c r="R485" s="1174">
        <v>2334.0664571564575</v>
      </c>
      <c r="S485" s="1174">
        <v>2151.41</v>
      </c>
      <c r="T485" s="1174">
        <v>2298.9950310136633</v>
      </c>
      <c r="U485" s="1120">
        <v>980.77404325341843</v>
      </c>
      <c r="V485" s="1120">
        <v>1048.0543699186992</v>
      </c>
      <c r="W485" s="1120">
        <v>2459.1105249552288</v>
      </c>
      <c r="X485" s="1120">
        <v>2627.803569559253</v>
      </c>
      <c r="Y485" s="1119"/>
      <c r="Z485" s="1119"/>
      <c r="AA485" s="1119"/>
      <c r="AB485" s="1119"/>
      <c r="AC485" s="1178">
        <v>20.55</v>
      </c>
      <c r="AD485" s="1178">
        <v>22.23</v>
      </c>
      <c r="AE485" s="1178">
        <v>42990.05</v>
      </c>
      <c r="AF485" s="1178">
        <v>45939.133560329712</v>
      </c>
      <c r="AG485" s="1178">
        <v>1591.75</v>
      </c>
      <c r="AH485" s="1178">
        <v>1700.9427959412658</v>
      </c>
      <c r="AI485" s="1178">
        <v>539.5</v>
      </c>
      <c r="AJ485" s="1178">
        <v>576.50927495543453</v>
      </c>
      <c r="AK485" s="919">
        <v>77.790000000000006</v>
      </c>
      <c r="AL485" s="919">
        <v>83.12633271322197</v>
      </c>
      <c r="AM485" s="919">
        <v>82.32</v>
      </c>
      <c r="AN485" s="919">
        <v>87.967087144265733</v>
      </c>
      <c r="AO485" s="919"/>
      <c r="AP485" s="919"/>
      <c r="AQ485" s="1335"/>
      <c r="AS485" s="1167"/>
      <c r="AT485" s="1167"/>
      <c r="AU485" s="1168"/>
      <c r="AV485" s="1168"/>
      <c r="AW485" s="1169"/>
      <c r="AX485" s="1169"/>
      <c r="AY485" s="1169"/>
      <c r="AZ485" s="1169"/>
      <c r="BA485" s="1803" t="s">
        <v>2</v>
      </c>
      <c r="BB485" s="1802">
        <v>2014</v>
      </c>
      <c r="BC485" s="1799" t="s">
        <v>581</v>
      </c>
      <c r="BD485" s="1799">
        <v>3</v>
      </c>
      <c r="BE485" s="1800">
        <v>4892410307.317029</v>
      </c>
      <c r="BF485" s="1801">
        <v>7.5048586661481967E-2</v>
      </c>
      <c r="BG485" s="1799"/>
      <c r="BH485" s="1886" t="s">
        <v>1</v>
      </c>
      <c r="BI485" s="1886" t="s">
        <v>310</v>
      </c>
      <c r="BJ485" s="1886" t="s">
        <v>249</v>
      </c>
      <c r="BK485" s="1886"/>
      <c r="BL485" s="1887">
        <v>7159109000</v>
      </c>
      <c r="BM485" s="1801">
        <v>1</v>
      </c>
      <c r="BN485" s="1799">
        <v>2005</v>
      </c>
      <c r="BO485" s="1684"/>
      <c r="BP485" s="1696"/>
      <c r="BQ485" s="1169"/>
      <c r="BR485" s="1169"/>
      <c r="BS485" s="1169"/>
      <c r="BT485" s="1169"/>
      <c r="BU485" s="1169"/>
      <c r="BV485" s="1169"/>
      <c r="BW485" s="1169"/>
      <c r="BX485" s="1169"/>
      <c r="BY485" s="1169"/>
      <c r="BZ485" s="1169"/>
      <c r="CA485" s="1169"/>
      <c r="CB485" s="1169"/>
      <c r="CC485" s="1169"/>
      <c r="CD485" s="1169"/>
      <c r="CE485" s="1169"/>
      <c r="CF485" s="1169"/>
      <c r="CG485" s="1169"/>
      <c r="CH485" s="1169"/>
      <c r="CI485" s="1169"/>
      <c r="CJ485" s="1169"/>
      <c r="CK485" s="1169"/>
      <c r="CL485" s="1169"/>
      <c r="CM485" s="1169"/>
      <c r="CN485" s="1169"/>
      <c r="CO485" s="1169"/>
      <c r="CP485" s="1169"/>
      <c r="CQ485" s="1169"/>
      <c r="CR485" s="1169"/>
      <c r="CS485" s="1169"/>
      <c r="CT485" s="1169"/>
      <c r="CU485" s="1169"/>
      <c r="CV485" s="1169"/>
      <c r="CW485" s="1169"/>
      <c r="CX485" s="1169"/>
      <c r="CY485" s="1169"/>
      <c r="CZ485" s="1169"/>
      <c r="DA485" s="1168"/>
      <c r="DB485" s="1168"/>
      <c r="DC485" s="1168"/>
      <c r="DD485" s="1168"/>
      <c r="DE485" s="1168"/>
      <c r="DF485" s="1168"/>
      <c r="DG485" s="1168"/>
      <c r="DH485" s="1168"/>
      <c r="DI485" s="1168"/>
      <c r="DJ485" s="1168"/>
      <c r="DK485" s="1168"/>
      <c r="DL485" s="1168"/>
      <c r="DM485" s="1168"/>
      <c r="DN485" s="1168"/>
      <c r="DO485" s="1168"/>
      <c r="DP485" s="1168"/>
      <c r="DQ485" s="1168"/>
      <c r="DR485" s="1168"/>
      <c r="DS485" s="1168"/>
      <c r="DT485" s="1168"/>
      <c r="DU485" s="1168"/>
      <c r="DV485" s="1168"/>
      <c r="DW485" s="1168"/>
      <c r="DX485" s="1168"/>
      <c r="DY485" s="1168"/>
      <c r="DZ485" s="1168"/>
      <c r="EA485" s="1168"/>
      <c r="EB485" s="1168"/>
      <c r="EC485" s="1168"/>
      <c r="ED485" s="1168"/>
      <c r="EE485" s="1168"/>
      <c r="EF485" s="1168"/>
      <c r="EG485" s="1168"/>
      <c r="EH485" s="1168"/>
      <c r="EI485" s="1170"/>
      <c r="EJ485" s="1170"/>
      <c r="EK485" s="1170"/>
      <c r="EL485" s="1170"/>
      <c r="EM485" s="1170"/>
      <c r="EN485" s="1170"/>
      <c r="EO485" s="1170"/>
      <c r="EP485" s="1170"/>
      <c r="EQ485" s="1170"/>
      <c r="ER485" s="1170"/>
      <c r="ES485" s="1171"/>
      <c r="ET485" s="1171"/>
      <c r="EU485" s="1171"/>
      <c r="EV485" s="1171"/>
      <c r="EW485" s="1171"/>
      <c r="EX485" s="1171"/>
      <c r="EY485" s="1171"/>
      <c r="EZ485" s="1171"/>
      <c r="FA485" s="1171"/>
      <c r="FB485" s="1171"/>
      <c r="FC485" s="1171"/>
      <c r="FD485" s="1171"/>
      <c r="FE485" s="1171"/>
      <c r="FF485" s="1171"/>
      <c r="FG485" s="1171"/>
      <c r="FH485" s="1171"/>
      <c r="FI485" s="1171"/>
      <c r="FJ485" s="1171"/>
      <c r="FK485" s="1171"/>
      <c r="FL485" s="1171"/>
      <c r="FM485" s="1171"/>
      <c r="FN485" s="1171"/>
      <c r="FO485" s="1171"/>
      <c r="FP485" s="1171"/>
    </row>
    <row r="486" spans="1:172" s="607" customFormat="1">
      <c r="A486" s="607">
        <f t="shared" si="15"/>
        <v>2010</v>
      </c>
      <c r="B486" s="607">
        <f t="shared" si="16"/>
        <v>4</v>
      </c>
      <c r="C486" s="666">
        <v>40452</v>
      </c>
      <c r="D486" s="957">
        <v>0.98119000000000001</v>
      </c>
      <c r="E486" s="920">
        <v>294.90131306978429</v>
      </c>
      <c r="F486" s="920">
        <v>300.55474787735739</v>
      </c>
      <c r="G486" s="920"/>
      <c r="H486" s="920"/>
      <c r="I486" s="954">
        <v>1342.0139999999999</v>
      </c>
      <c r="J486" s="954">
        <v>1378.54</v>
      </c>
      <c r="K486" s="954"/>
      <c r="L486" s="920"/>
      <c r="M486" s="917">
        <v>23807.38</v>
      </c>
      <c r="N486" s="917">
        <v>24263.781734424527</v>
      </c>
      <c r="O486" s="1175">
        <v>8292.4</v>
      </c>
      <c r="P486" s="1175">
        <v>8451.3702748703108</v>
      </c>
      <c r="Q486" s="1175">
        <v>2379.67</v>
      </c>
      <c r="R486" s="1175">
        <v>2425.2896992427563</v>
      </c>
      <c r="S486" s="1175">
        <v>2372.14</v>
      </c>
      <c r="T486" s="1175">
        <v>2417.6153446325379</v>
      </c>
      <c r="U486" s="920">
        <v>1049.1035635314627</v>
      </c>
      <c r="V486" s="920">
        <v>1069.2155072223145</v>
      </c>
      <c r="W486" s="920">
        <v>2497.6859615770845</v>
      </c>
      <c r="X486" s="920">
        <v>2545.5680974908882</v>
      </c>
      <c r="Y486" s="920"/>
      <c r="Z486" s="920"/>
      <c r="AA486" s="920"/>
      <c r="AB486" s="920"/>
      <c r="AC486" s="920">
        <v>23.393000000000001</v>
      </c>
      <c r="AD486" s="920">
        <v>24.17</v>
      </c>
      <c r="AE486" s="920">
        <v>45194.7</v>
      </c>
      <c r="AF486" s="920">
        <v>46061.109469114032</v>
      </c>
      <c r="AG486" s="920">
        <v>1688.69</v>
      </c>
      <c r="AH486" s="920">
        <v>1721.0631987688419</v>
      </c>
      <c r="AI486" s="920">
        <v>591.71400000000006</v>
      </c>
      <c r="AJ486" s="920">
        <v>603.05751179689969</v>
      </c>
      <c r="AK486" s="920">
        <v>82.92</v>
      </c>
      <c r="AL486" s="920">
        <v>84.509626066307234</v>
      </c>
      <c r="AM486" s="920">
        <v>89.88</v>
      </c>
      <c r="AN486" s="920">
        <v>91.603053435114504</v>
      </c>
      <c r="AO486" s="920"/>
      <c r="AP486" s="920"/>
      <c r="AS486" s="1167"/>
      <c r="AT486" s="1167"/>
      <c r="AU486" s="1168"/>
      <c r="AV486" s="1168"/>
      <c r="AW486" s="1169"/>
      <c r="AX486" s="1169"/>
      <c r="AY486" s="1169"/>
      <c r="AZ486" s="1169"/>
      <c r="BA486" s="1803" t="s">
        <v>2</v>
      </c>
      <c r="BB486" s="1802">
        <v>2014</v>
      </c>
      <c r="BC486" s="1799" t="s">
        <v>583</v>
      </c>
      <c r="BD486" s="1799">
        <v>4</v>
      </c>
      <c r="BE486" s="1800">
        <v>1442061621.1455843</v>
      </c>
      <c r="BF486" s="1801">
        <v>2.2120934211891846E-2</v>
      </c>
      <c r="BG486" s="1799"/>
      <c r="BH486" s="1888" t="s">
        <v>1</v>
      </c>
      <c r="BI486" s="1888" t="s">
        <v>311</v>
      </c>
      <c r="BJ486" s="1888" t="s">
        <v>18</v>
      </c>
      <c r="BK486" s="1888">
        <v>1</v>
      </c>
      <c r="BL486" s="1889">
        <v>4636000000</v>
      </c>
      <c r="BM486" s="1801">
        <v>0.44445854815256819</v>
      </c>
      <c r="BN486" s="1799">
        <v>2006</v>
      </c>
      <c r="BO486" s="1684"/>
      <c r="BP486" s="1696"/>
      <c r="BQ486" s="1169"/>
      <c r="BR486" s="1169"/>
      <c r="BS486" s="1169"/>
      <c r="BT486" s="1169"/>
      <c r="BU486" s="1169"/>
      <c r="BV486" s="1169"/>
      <c r="BW486" s="1169"/>
      <c r="BX486" s="1169"/>
      <c r="BY486" s="1169"/>
      <c r="BZ486" s="1169"/>
      <c r="CA486" s="1169"/>
      <c r="CB486" s="1169"/>
      <c r="CC486" s="1169"/>
      <c r="CD486" s="1169"/>
      <c r="CE486" s="1169"/>
      <c r="CF486" s="1169"/>
      <c r="CG486" s="1169"/>
      <c r="CH486" s="1169"/>
      <c r="CI486" s="1169"/>
      <c r="CJ486" s="1169"/>
      <c r="CK486" s="1169"/>
      <c r="CL486" s="1169"/>
      <c r="CM486" s="1169"/>
      <c r="CN486" s="1169"/>
      <c r="CO486" s="1169"/>
      <c r="CP486" s="1169"/>
      <c r="CQ486" s="1169"/>
      <c r="CR486" s="1169"/>
      <c r="CS486" s="1169"/>
      <c r="CT486" s="1169"/>
      <c r="CU486" s="1169"/>
      <c r="CV486" s="1169"/>
      <c r="CW486" s="1169"/>
      <c r="CX486" s="1169"/>
      <c r="CY486" s="1169"/>
      <c r="CZ486" s="1169"/>
      <c r="DA486" s="1168"/>
      <c r="DB486" s="1168"/>
      <c r="DC486" s="1168"/>
      <c r="DD486" s="1168"/>
      <c r="DE486" s="1168"/>
      <c r="DF486" s="1168"/>
      <c r="DG486" s="1168"/>
      <c r="DH486" s="1168"/>
      <c r="DI486" s="1168"/>
      <c r="DJ486" s="1168"/>
      <c r="DK486" s="1168"/>
      <c r="DL486" s="1168"/>
      <c r="DM486" s="1168"/>
      <c r="DN486" s="1168"/>
      <c r="DO486" s="1168"/>
      <c r="DP486" s="1168"/>
      <c r="DQ486" s="1168"/>
      <c r="DR486" s="1168"/>
      <c r="DS486" s="1168"/>
      <c r="DT486" s="1168"/>
      <c r="DU486" s="1168"/>
      <c r="DV486" s="1168"/>
      <c r="DW486" s="1168"/>
      <c r="DX486" s="1168"/>
      <c r="DY486" s="1168"/>
      <c r="DZ486" s="1168"/>
      <c r="EA486" s="1168"/>
      <c r="EB486" s="1168"/>
      <c r="EC486" s="1168"/>
      <c r="ED486" s="1168"/>
      <c r="EE486" s="1168"/>
      <c r="EF486" s="1168"/>
      <c r="EG486" s="1168"/>
      <c r="EH486" s="1168"/>
      <c r="EI486" s="1170"/>
      <c r="EJ486" s="1170"/>
      <c r="EK486" s="1170"/>
      <c r="EL486" s="1170"/>
      <c r="EM486" s="1170"/>
      <c r="EN486" s="1170"/>
      <c r="EO486" s="1170"/>
      <c r="EP486" s="1170"/>
      <c r="EQ486" s="1170"/>
      <c r="ER486" s="1170"/>
      <c r="ES486" s="1171"/>
      <c r="ET486" s="1171"/>
      <c r="EU486" s="1171"/>
      <c r="EV486" s="1171"/>
      <c r="EW486" s="1171"/>
      <c r="EX486" s="1171"/>
      <c r="EY486" s="1171"/>
      <c r="EZ486" s="1171"/>
      <c r="FA486" s="1171"/>
      <c r="FB486" s="1171"/>
      <c r="FC486" s="1171"/>
      <c r="FD486" s="1171"/>
      <c r="FE486" s="1171"/>
      <c r="FF486" s="1171"/>
      <c r="FG486" s="1171"/>
      <c r="FH486" s="1171"/>
      <c r="FI486" s="1171"/>
      <c r="FJ486" s="1171"/>
      <c r="FK486" s="1171"/>
      <c r="FL486" s="1171"/>
      <c r="FM486" s="1171"/>
      <c r="FN486" s="1171"/>
      <c r="FO486" s="1171"/>
      <c r="FP486" s="1171"/>
    </row>
    <row r="487" spans="1:172" s="607" customFormat="1">
      <c r="A487" s="607">
        <f t="shared" si="15"/>
        <v>2010</v>
      </c>
      <c r="B487" s="607">
        <f t="shared" si="16"/>
        <v>4</v>
      </c>
      <c r="C487" s="666">
        <v>40483</v>
      </c>
      <c r="D487" s="1709">
        <v>0.99014999999999997</v>
      </c>
      <c r="E487" s="1117">
        <v>310.94533332908088</v>
      </c>
      <c r="F487" s="1117">
        <v>314.03861367376749</v>
      </c>
      <c r="G487" s="1117"/>
      <c r="H487" s="1117"/>
      <c r="I487" s="959">
        <v>1369.8820000000001</v>
      </c>
      <c r="J487" s="959">
        <v>1394.01</v>
      </c>
      <c r="K487" s="960"/>
      <c r="L487" s="1121"/>
      <c r="M487" s="916">
        <v>22909.32</v>
      </c>
      <c r="N487" s="916">
        <v>23137.221633085897</v>
      </c>
      <c r="O487" s="1174">
        <v>8469.89</v>
      </c>
      <c r="P487" s="1174">
        <v>8554.14836135939</v>
      </c>
      <c r="Q487" s="1174">
        <v>2376.73</v>
      </c>
      <c r="R487" s="1174">
        <v>2400.373680755441</v>
      </c>
      <c r="S487" s="1174">
        <v>2291.6799999999998</v>
      </c>
      <c r="T487" s="1174">
        <v>2314.4776044033733</v>
      </c>
      <c r="U487" s="1120">
        <v>1080.4428129850746</v>
      </c>
      <c r="V487" s="1120">
        <v>1091.1910447761195</v>
      </c>
      <c r="W487" s="1120">
        <v>2587.8719033572775</v>
      </c>
      <c r="X487" s="1120">
        <v>2613.6160211657602</v>
      </c>
      <c r="Y487" s="1119"/>
      <c r="Z487" s="1119"/>
      <c r="AA487" s="1119"/>
      <c r="AB487" s="1119"/>
      <c r="AC487" s="1178">
        <v>26.541</v>
      </c>
      <c r="AD487" s="1178">
        <v>25.17</v>
      </c>
      <c r="AE487" s="1178">
        <v>38580.9</v>
      </c>
      <c r="AF487" s="1178">
        <v>38964.702317830634</v>
      </c>
      <c r="AG487" s="1178">
        <v>1692.7729999999999</v>
      </c>
      <c r="AH487" s="1178">
        <v>1709.6126849467253</v>
      </c>
      <c r="AI487" s="1178">
        <v>682.90899999999999</v>
      </c>
      <c r="AJ487" s="1178">
        <v>689.70257031762867</v>
      </c>
      <c r="AK487" s="919">
        <v>85.67</v>
      </c>
      <c r="AL487" s="919">
        <v>86.522244104428623</v>
      </c>
      <c r="AM487" s="919">
        <v>91.6</v>
      </c>
      <c r="AN487" s="919">
        <v>92.511235671362925</v>
      </c>
      <c r="AO487" s="919"/>
      <c r="AP487" s="919"/>
      <c r="AS487" s="1167"/>
      <c r="AT487" s="1167"/>
      <c r="AU487" s="1168"/>
      <c r="AV487" s="1168"/>
      <c r="AW487" s="1169"/>
      <c r="AX487" s="1169"/>
      <c r="AY487" s="1169"/>
      <c r="AZ487" s="1169"/>
      <c r="BA487" s="1803" t="s">
        <v>2</v>
      </c>
      <c r="BB487" s="1802">
        <v>2014</v>
      </c>
      <c r="BC487" s="1799" t="s">
        <v>19</v>
      </c>
      <c r="BD487" s="1799">
        <v>5</v>
      </c>
      <c r="BE487" s="1800">
        <v>156508893.00574327</v>
      </c>
      <c r="BF487" s="1801">
        <v>2.4008148299555542E-3</v>
      </c>
      <c r="BG487" s="1799"/>
      <c r="BH487" s="1888" t="s">
        <v>1</v>
      </c>
      <c r="BI487" s="1888" t="s">
        <v>311</v>
      </c>
      <c r="BJ487" s="1888" t="s">
        <v>51</v>
      </c>
      <c r="BK487" s="1888">
        <v>2</v>
      </c>
      <c r="BL487" s="1889">
        <v>1861492000</v>
      </c>
      <c r="BM487" s="1801">
        <v>0.17846333729888275</v>
      </c>
      <c r="BN487" s="1799">
        <v>2006</v>
      </c>
      <c r="BO487" s="1684"/>
      <c r="BP487" s="1696"/>
      <c r="BQ487" s="1169"/>
      <c r="BR487" s="1169"/>
      <c r="BS487" s="1169"/>
      <c r="BT487" s="1169"/>
      <c r="BU487" s="1169"/>
      <c r="BV487" s="1169"/>
      <c r="BW487" s="1169"/>
      <c r="BX487" s="1169"/>
      <c r="BY487" s="1169"/>
      <c r="BZ487" s="1169"/>
      <c r="CA487" s="1169"/>
      <c r="CB487" s="1169"/>
      <c r="CC487" s="1169"/>
      <c r="CD487" s="1169"/>
      <c r="CE487" s="1169"/>
      <c r="CF487" s="1169"/>
      <c r="CG487" s="1169"/>
      <c r="CH487" s="1169"/>
      <c r="CI487" s="1169"/>
      <c r="CJ487" s="1169"/>
      <c r="CK487" s="1169"/>
      <c r="CL487" s="1169"/>
      <c r="CM487" s="1169"/>
      <c r="CN487" s="1169"/>
      <c r="CO487" s="1169"/>
      <c r="CP487" s="1169"/>
      <c r="CQ487" s="1169"/>
      <c r="CR487" s="1169"/>
      <c r="CS487" s="1169"/>
      <c r="CT487" s="1169"/>
      <c r="CU487" s="1169"/>
      <c r="CV487" s="1169"/>
      <c r="CW487" s="1169"/>
      <c r="CX487" s="1169"/>
      <c r="CY487" s="1169"/>
      <c r="CZ487" s="1169"/>
      <c r="DA487" s="1168"/>
      <c r="DB487" s="1168"/>
      <c r="DC487" s="1168"/>
      <c r="DD487" s="1168"/>
      <c r="DE487" s="1168"/>
      <c r="DF487" s="1168"/>
      <c r="DG487" s="1168"/>
      <c r="DH487" s="1168"/>
      <c r="DI487" s="1168"/>
      <c r="DJ487" s="1168"/>
      <c r="DK487" s="1168"/>
      <c r="DL487" s="1168"/>
      <c r="DM487" s="1168"/>
      <c r="DN487" s="1168"/>
      <c r="DO487" s="1168"/>
      <c r="DP487" s="1168"/>
      <c r="DQ487" s="1168"/>
      <c r="DR487" s="1168"/>
      <c r="DS487" s="1168"/>
      <c r="DT487" s="1168"/>
      <c r="DU487" s="1168"/>
      <c r="DV487" s="1168"/>
      <c r="DW487" s="1168"/>
      <c r="DX487" s="1168"/>
      <c r="DY487" s="1168"/>
      <c r="DZ487" s="1168"/>
      <c r="EA487" s="1168"/>
      <c r="EB487" s="1168"/>
      <c r="EC487" s="1168"/>
      <c r="ED487" s="1168"/>
      <c r="EE487" s="1168"/>
      <c r="EF487" s="1168"/>
      <c r="EG487" s="1168"/>
      <c r="EH487" s="1168"/>
      <c r="EI487" s="1170"/>
      <c r="EJ487" s="1170"/>
      <c r="EK487" s="1170"/>
      <c r="EL487" s="1170"/>
      <c r="EM487" s="1170"/>
      <c r="EN487" s="1170"/>
      <c r="EO487" s="1170"/>
      <c r="EP487" s="1170"/>
      <c r="EQ487" s="1170"/>
      <c r="ER487" s="1170"/>
      <c r="ES487" s="1171"/>
      <c r="ET487" s="1171"/>
      <c r="EU487" s="1171"/>
      <c r="EV487" s="1171"/>
      <c r="EW487" s="1171"/>
      <c r="EX487" s="1171"/>
      <c r="EY487" s="1171"/>
      <c r="EZ487" s="1171"/>
      <c r="FA487" s="1171"/>
      <c r="FB487" s="1171"/>
      <c r="FC487" s="1171"/>
      <c r="FD487" s="1171"/>
      <c r="FE487" s="1171"/>
      <c r="FF487" s="1171"/>
      <c r="FG487" s="1171"/>
      <c r="FH487" s="1171"/>
      <c r="FI487" s="1171"/>
      <c r="FJ487" s="1171"/>
      <c r="FK487" s="1171"/>
      <c r="FL487" s="1171"/>
      <c r="FM487" s="1171"/>
      <c r="FN487" s="1171"/>
      <c r="FO487" s="1171"/>
      <c r="FP487" s="1171"/>
    </row>
    <row r="488" spans="1:172" s="607" customFormat="1">
      <c r="A488" s="607">
        <f t="shared" si="15"/>
        <v>2010</v>
      </c>
      <c r="B488" s="607">
        <f t="shared" si="16"/>
        <v>4</v>
      </c>
      <c r="C488" s="666">
        <v>40513</v>
      </c>
      <c r="D488" s="957">
        <v>0.99094761904761897</v>
      </c>
      <c r="E488" s="920">
        <v>316.29895967119137</v>
      </c>
      <c r="F488" s="920">
        <v>319.1883744321222</v>
      </c>
      <c r="G488" s="920"/>
      <c r="H488" s="920"/>
      <c r="I488" s="954">
        <v>1390.5419999999999</v>
      </c>
      <c r="J488" s="954">
        <v>1415.35</v>
      </c>
      <c r="K488" s="954"/>
      <c r="L488" s="920"/>
      <c r="M488" s="917">
        <v>24111.19</v>
      </c>
      <c r="N488" s="917">
        <v>24331.4475321842</v>
      </c>
      <c r="O488" s="1175">
        <v>9147.26</v>
      </c>
      <c r="P488" s="1175">
        <v>9230.8209073565959</v>
      </c>
      <c r="Q488" s="1175">
        <v>2412.9299999999998</v>
      </c>
      <c r="R488" s="1175">
        <v>2434.9722968394849</v>
      </c>
      <c r="S488" s="1175">
        <v>2280.9299999999998</v>
      </c>
      <c r="T488" s="1175">
        <v>2301.7664669219939</v>
      </c>
      <c r="U488" s="920">
        <v>1113.2011350337866</v>
      </c>
      <c r="V488" s="920">
        <v>1123.3703110399147</v>
      </c>
      <c r="W488" s="920">
        <v>2564.7533196211702</v>
      </c>
      <c r="X488" s="920">
        <v>2588.1825338922617</v>
      </c>
      <c r="Y488" s="920"/>
      <c r="Z488" s="920"/>
      <c r="AA488" s="920"/>
      <c r="AB488" s="920"/>
      <c r="AC488" s="920">
        <v>29.363</v>
      </c>
      <c r="AD488" s="920">
        <v>29.88</v>
      </c>
      <c r="AE488" s="920">
        <v>37423.4</v>
      </c>
      <c r="AF488" s="920">
        <v>37765.265570713942</v>
      </c>
      <c r="AG488" s="920">
        <v>1707.7370000000001</v>
      </c>
      <c r="AH488" s="920">
        <v>1723.3373058015659</v>
      </c>
      <c r="AI488" s="920">
        <v>752.76300000000003</v>
      </c>
      <c r="AJ488" s="920">
        <v>759.63954656197302</v>
      </c>
      <c r="AK488" s="920">
        <v>91.8</v>
      </c>
      <c r="AL488" s="920">
        <v>92.63859989716434</v>
      </c>
      <c r="AM488" s="920">
        <v>95.16</v>
      </c>
      <c r="AN488" s="920">
        <v>96.029293749609565</v>
      </c>
      <c r="AO488" s="920"/>
      <c r="AP488" s="920"/>
      <c r="AQ488" s="1335"/>
      <c r="AR488" s="1335"/>
      <c r="AS488" s="1167"/>
      <c r="AT488" s="1167"/>
      <c r="AU488" s="1168"/>
      <c r="AV488" s="1168"/>
      <c r="AW488" s="1169"/>
      <c r="AX488" s="1169"/>
      <c r="AY488" s="1169"/>
      <c r="AZ488" s="1169"/>
      <c r="BA488" s="1803" t="s">
        <v>2</v>
      </c>
      <c r="BB488" s="1802">
        <v>2014</v>
      </c>
      <c r="BC488" s="1799" t="s">
        <v>32</v>
      </c>
      <c r="BD488" s="1799"/>
      <c r="BE488" s="1800">
        <v>237206885.95518574</v>
      </c>
      <c r="BF488" s="1801">
        <v>3.6387057542339638E-3</v>
      </c>
      <c r="BG488" s="1799"/>
      <c r="BH488" s="1888" t="s">
        <v>1</v>
      </c>
      <c r="BI488" s="1888" t="s">
        <v>311</v>
      </c>
      <c r="BJ488" s="1888" t="s">
        <v>241</v>
      </c>
      <c r="BK488" s="1888">
        <v>3</v>
      </c>
      <c r="BL488" s="1889">
        <v>959767000</v>
      </c>
      <c r="BM488" s="1801">
        <v>9.2013944647270474E-2</v>
      </c>
      <c r="BN488" s="1799">
        <v>2006</v>
      </c>
      <c r="BO488" s="1684"/>
      <c r="BP488" s="1696"/>
      <c r="BQ488" s="1169"/>
      <c r="BR488" s="1169"/>
      <c r="BS488" s="1169"/>
      <c r="BT488" s="1169"/>
      <c r="BU488" s="1169"/>
      <c r="BV488" s="1169"/>
      <c r="BW488" s="1169"/>
      <c r="BX488" s="1169"/>
      <c r="BY488" s="1169"/>
      <c r="BZ488" s="1169"/>
      <c r="CA488" s="1169"/>
      <c r="CB488" s="1169"/>
      <c r="CC488" s="1169"/>
      <c r="CD488" s="1169"/>
      <c r="CE488" s="1169"/>
      <c r="CF488" s="1169"/>
      <c r="CG488" s="1169"/>
      <c r="CH488" s="1169"/>
      <c r="CI488" s="1169"/>
      <c r="CJ488" s="1169"/>
      <c r="CK488" s="1169"/>
      <c r="CL488" s="1169"/>
      <c r="CM488" s="1169"/>
      <c r="CN488" s="1169"/>
      <c r="CO488" s="1169"/>
      <c r="CP488" s="1169"/>
      <c r="CQ488" s="1169"/>
      <c r="CR488" s="1169"/>
      <c r="CS488" s="1169"/>
      <c r="CT488" s="1169"/>
      <c r="CU488" s="1169"/>
      <c r="CV488" s="1169"/>
      <c r="CW488" s="1169"/>
      <c r="CX488" s="1169"/>
      <c r="CY488" s="1169"/>
      <c r="CZ488" s="1169"/>
      <c r="DA488" s="1168"/>
      <c r="DB488" s="1168"/>
      <c r="DC488" s="1168"/>
      <c r="DD488" s="1168"/>
      <c r="DE488" s="1168"/>
      <c r="DF488" s="1168"/>
      <c r="DG488" s="1168"/>
      <c r="DH488" s="1168"/>
      <c r="DI488" s="1168"/>
      <c r="DJ488" s="1168"/>
      <c r="DK488" s="1168"/>
      <c r="DL488" s="1168"/>
      <c r="DM488" s="1168"/>
      <c r="DN488" s="1168"/>
      <c r="DO488" s="1168"/>
      <c r="DP488" s="1168"/>
      <c r="DQ488" s="1168"/>
      <c r="DR488" s="1168"/>
      <c r="DS488" s="1168"/>
      <c r="DT488" s="1168"/>
      <c r="DU488" s="1168"/>
      <c r="DV488" s="1168"/>
      <c r="DW488" s="1168"/>
      <c r="DX488" s="1168"/>
      <c r="DY488" s="1168"/>
      <c r="DZ488" s="1168"/>
      <c r="EA488" s="1168"/>
      <c r="EB488" s="1168"/>
      <c r="EC488" s="1168"/>
      <c r="ED488" s="1168"/>
      <c r="EE488" s="1168"/>
      <c r="EF488" s="1168"/>
      <c r="EG488" s="1168"/>
      <c r="EH488" s="1168"/>
      <c r="EI488" s="1170"/>
      <c r="EJ488" s="1170"/>
      <c r="EK488" s="1170"/>
      <c r="EL488" s="1170"/>
      <c r="EM488" s="1170"/>
      <c r="EN488" s="1170"/>
      <c r="EO488" s="1170"/>
      <c r="EP488" s="1170"/>
      <c r="EQ488" s="1170"/>
      <c r="ER488" s="1170"/>
      <c r="ES488" s="1171"/>
      <c r="ET488" s="1171"/>
      <c r="EU488" s="1171"/>
      <c r="EV488" s="1171"/>
      <c r="EW488" s="1171"/>
      <c r="EX488" s="1171"/>
      <c r="EY488" s="1171"/>
      <c r="EZ488" s="1171"/>
      <c r="FA488" s="1171"/>
      <c r="FB488" s="1171"/>
      <c r="FC488" s="1171"/>
      <c r="FD488" s="1171"/>
      <c r="FE488" s="1171"/>
      <c r="FF488" s="1171"/>
      <c r="FG488" s="1171"/>
      <c r="FH488" s="1171"/>
      <c r="FI488" s="1171"/>
      <c r="FJ488" s="1171"/>
      <c r="FK488" s="1171"/>
      <c r="FL488" s="1171"/>
      <c r="FM488" s="1171"/>
      <c r="FN488" s="1171"/>
      <c r="FO488" s="1171"/>
      <c r="FP488" s="1171"/>
    </row>
    <row r="489" spans="1:172" s="607" customFormat="1">
      <c r="A489" s="607">
        <f t="shared" si="15"/>
        <v>2011</v>
      </c>
      <c r="B489" s="607">
        <f t="shared" si="16"/>
        <v>1</v>
      </c>
      <c r="C489" s="666">
        <v>40544</v>
      </c>
      <c r="D489" s="1709">
        <v>0.99407368421052644</v>
      </c>
      <c r="E489" s="1117">
        <v>326.29724587955997</v>
      </c>
      <c r="F489" s="1117">
        <v>328.24251467706716</v>
      </c>
      <c r="G489" s="1117"/>
      <c r="H489" s="1117"/>
      <c r="I489" s="959">
        <v>1356.395</v>
      </c>
      <c r="J489" s="959">
        <v>1381</v>
      </c>
      <c r="K489" s="960">
        <v>180.47499999999999</v>
      </c>
      <c r="L489" s="1121">
        <v>181.55092813198215</v>
      </c>
      <c r="M489" s="916">
        <v>25646.25</v>
      </c>
      <c r="N489" s="916">
        <v>25799.143873693571</v>
      </c>
      <c r="O489" s="1174">
        <v>9555.7000000000007</v>
      </c>
      <c r="P489" s="1174">
        <v>9612.6677043955224</v>
      </c>
      <c r="Q489" s="1174">
        <v>2601.65</v>
      </c>
      <c r="R489" s="1174">
        <v>2617.160117326895</v>
      </c>
      <c r="S489" s="1174">
        <v>2371.5500000000002</v>
      </c>
      <c r="T489" s="1174">
        <v>2385.6883424928787</v>
      </c>
      <c r="U489" s="1120">
        <v>1336.3445211533497</v>
      </c>
      <c r="V489" s="1120">
        <v>1344.3113346418056</v>
      </c>
      <c r="W489" s="1120">
        <v>2698.9462813973109</v>
      </c>
      <c r="X489" s="1120">
        <v>2715.0364447488219</v>
      </c>
      <c r="Y489" s="1119"/>
      <c r="Z489" s="1119"/>
      <c r="AA489" s="1119"/>
      <c r="AB489" s="1119"/>
      <c r="AC489" s="1178">
        <v>28.509</v>
      </c>
      <c r="AD489" s="1178">
        <v>29.12</v>
      </c>
      <c r="AE489" s="1178">
        <v>42163.4</v>
      </c>
      <c r="AF489" s="1178">
        <v>42414.763281340995</v>
      </c>
      <c r="AG489" s="1178">
        <v>1786.95</v>
      </c>
      <c r="AH489" s="1178">
        <v>1797.6031640141046</v>
      </c>
      <c r="AI489" s="1178">
        <v>793.1</v>
      </c>
      <c r="AJ489" s="1178">
        <v>797.82818175079672</v>
      </c>
      <c r="AK489" s="919">
        <v>96.37</v>
      </c>
      <c r="AL489" s="919">
        <v>96.944523862469154</v>
      </c>
      <c r="AM489" s="919">
        <v>101.21</v>
      </c>
      <c r="AN489" s="919">
        <v>101.81337823098995</v>
      </c>
      <c r="AO489" s="919"/>
      <c r="AP489" s="919"/>
      <c r="AS489" s="1167"/>
      <c r="AT489" s="1167"/>
      <c r="AU489" s="1168"/>
      <c r="AV489" s="1168"/>
      <c r="AW489" s="1169"/>
      <c r="AX489" s="1169"/>
      <c r="AY489" s="1169"/>
      <c r="AZ489" s="1169"/>
      <c r="BA489" s="1803" t="s">
        <v>2</v>
      </c>
      <c r="BB489" s="1802">
        <v>2014</v>
      </c>
      <c r="BC489" s="1799" t="s">
        <v>249</v>
      </c>
      <c r="BD489" s="1799"/>
      <c r="BE489" s="1800">
        <v>65189905965.651123</v>
      </c>
      <c r="BF489" s="1801"/>
      <c r="BG489" s="1799"/>
      <c r="BH489" s="1888" t="s">
        <v>1</v>
      </c>
      <c r="BI489" s="1888" t="s">
        <v>311</v>
      </c>
      <c r="BJ489" s="1888" t="s">
        <v>77</v>
      </c>
      <c r="BK489" s="1888">
        <v>4</v>
      </c>
      <c r="BL489" s="1889">
        <v>752378000</v>
      </c>
      <c r="BM489" s="1801">
        <v>7.2131327338639542E-2</v>
      </c>
      <c r="BN489" s="1799">
        <v>2006</v>
      </c>
      <c r="BO489" s="1684"/>
      <c r="BP489" s="1696"/>
      <c r="BQ489" s="1169"/>
      <c r="BR489" s="1169"/>
      <c r="BS489" s="1169"/>
      <c r="BT489" s="1169"/>
      <c r="BU489" s="1169"/>
      <c r="BV489" s="1169"/>
      <c r="BW489" s="1169"/>
      <c r="BX489" s="1169"/>
      <c r="BY489" s="1169"/>
      <c r="BZ489" s="1169"/>
      <c r="CA489" s="1169"/>
      <c r="CB489" s="1169"/>
      <c r="CC489" s="1169"/>
      <c r="CD489" s="1169"/>
      <c r="CE489" s="1169"/>
      <c r="CF489" s="1169"/>
      <c r="CG489" s="1169"/>
      <c r="CH489" s="1169"/>
      <c r="CI489" s="1169"/>
      <c r="CJ489" s="1169"/>
      <c r="CK489" s="1169"/>
      <c r="CL489" s="1169"/>
      <c r="CM489" s="1169"/>
      <c r="CN489" s="1169"/>
      <c r="CO489" s="1169"/>
      <c r="CP489" s="1169"/>
      <c r="CQ489" s="1169"/>
      <c r="CR489" s="1169"/>
      <c r="CS489" s="1169"/>
      <c r="CT489" s="1169"/>
      <c r="CU489" s="1169"/>
      <c r="CV489" s="1169"/>
      <c r="CW489" s="1169"/>
      <c r="CX489" s="1169"/>
      <c r="CY489" s="1169"/>
      <c r="CZ489" s="1169"/>
      <c r="DA489" s="1168"/>
      <c r="DB489" s="1168"/>
      <c r="DC489" s="1168"/>
      <c r="DD489" s="1168"/>
      <c r="DE489" s="1168"/>
      <c r="DF489" s="1168"/>
      <c r="DG489" s="1168"/>
      <c r="DH489" s="1168"/>
      <c r="DI489" s="1168"/>
      <c r="DJ489" s="1168"/>
      <c r="DK489" s="1168"/>
      <c r="DL489" s="1168"/>
      <c r="DM489" s="1168"/>
      <c r="DN489" s="1168"/>
      <c r="DO489" s="1168"/>
      <c r="DP489" s="1168"/>
      <c r="DQ489" s="1168"/>
      <c r="DR489" s="1168"/>
      <c r="DS489" s="1168"/>
      <c r="DT489" s="1168"/>
      <c r="DU489" s="1168"/>
      <c r="DV489" s="1168"/>
      <c r="DW489" s="1168"/>
      <c r="DX489" s="1168"/>
      <c r="DY489" s="1168"/>
      <c r="DZ489" s="1168"/>
      <c r="EA489" s="1168"/>
      <c r="EB489" s="1168"/>
      <c r="EC489" s="1168"/>
      <c r="ED489" s="1168"/>
      <c r="EE489" s="1168"/>
      <c r="EF489" s="1168"/>
      <c r="EG489" s="1168"/>
      <c r="EH489" s="1168"/>
      <c r="EI489" s="1170"/>
      <c r="EJ489" s="1170"/>
      <c r="EK489" s="1170"/>
      <c r="EL489" s="1170"/>
      <c r="EM489" s="1170"/>
      <c r="EN489" s="1170"/>
      <c r="EO489" s="1170"/>
      <c r="EP489" s="1170"/>
      <c r="EQ489" s="1170"/>
      <c r="ER489" s="1170"/>
      <c r="ES489" s="1171"/>
      <c r="ET489" s="1171"/>
      <c r="EU489" s="1171"/>
      <c r="EV489" s="1171"/>
      <c r="EW489" s="1171"/>
      <c r="EX489" s="1171"/>
      <c r="EY489" s="1171"/>
      <c r="EZ489" s="1171"/>
      <c r="FA489" s="1171"/>
      <c r="FB489" s="1171"/>
      <c r="FC489" s="1171"/>
      <c r="FD489" s="1171"/>
      <c r="FE489" s="1171"/>
      <c r="FF489" s="1171"/>
      <c r="FG489" s="1171"/>
      <c r="FH489" s="1171"/>
      <c r="FI489" s="1171"/>
      <c r="FJ489" s="1171"/>
      <c r="FK489" s="1171"/>
      <c r="FL489" s="1171"/>
      <c r="FM489" s="1171"/>
      <c r="FN489" s="1171"/>
      <c r="FO489" s="1171"/>
      <c r="FP489" s="1171"/>
    </row>
    <row r="490" spans="1:172" s="607" customFormat="1">
      <c r="A490" s="607">
        <f t="shared" si="15"/>
        <v>2011</v>
      </c>
      <c r="B490" s="607">
        <f t="shared" si="16"/>
        <v>1</v>
      </c>
      <c r="C490" s="666">
        <v>40575</v>
      </c>
      <c r="D490" s="957">
        <v>1.0085950000000001</v>
      </c>
      <c r="E490" s="920">
        <v>341.49609482157928</v>
      </c>
      <c r="F490" s="920">
        <v>338.58594859341878</v>
      </c>
      <c r="G490" s="920"/>
      <c r="H490" s="920"/>
      <c r="I490" s="954">
        <v>1372.7149999999999</v>
      </c>
      <c r="J490" s="954">
        <v>1370.65</v>
      </c>
      <c r="K490" s="954">
        <v>186.97499999999999</v>
      </c>
      <c r="L490" s="920">
        <v>185.38164476325974</v>
      </c>
      <c r="M490" s="917">
        <v>28252.25</v>
      </c>
      <c r="N490" s="917">
        <v>28011.491232853619</v>
      </c>
      <c r="O490" s="1175">
        <v>9867.6</v>
      </c>
      <c r="P490" s="1175">
        <v>9783.5107253159094</v>
      </c>
      <c r="Q490" s="1175">
        <v>2586.6799999999998</v>
      </c>
      <c r="R490" s="1175">
        <v>2564.636945453824</v>
      </c>
      <c r="S490" s="1175">
        <v>2465.13</v>
      </c>
      <c r="T490" s="1175">
        <v>2444.1227648362324</v>
      </c>
      <c r="U490" s="920">
        <v>1382.3921788178836</v>
      </c>
      <c r="V490" s="920">
        <v>1370.6117706491539</v>
      </c>
      <c r="W490" s="920">
        <v>2684.8162366116112</v>
      </c>
      <c r="X490" s="920">
        <v>2661.9368890502242</v>
      </c>
      <c r="Y490" s="920"/>
      <c r="Z490" s="920"/>
      <c r="AA490" s="920"/>
      <c r="AB490" s="920"/>
      <c r="AC490" s="920">
        <v>30.779</v>
      </c>
      <c r="AD490" s="920">
        <v>30.94</v>
      </c>
      <c r="AE490" s="920">
        <v>42577</v>
      </c>
      <c r="AF490" s="920">
        <v>42214.169215591981</v>
      </c>
      <c r="AG490" s="920">
        <v>1825.9</v>
      </c>
      <c r="AH490" s="920">
        <v>1810.3401266117717</v>
      </c>
      <c r="AI490" s="920">
        <v>821.35</v>
      </c>
      <c r="AJ490" s="920">
        <v>814.35065611072821</v>
      </c>
      <c r="AK490" s="920">
        <v>103.96</v>
      </c>
      <c r="AL490" s="920">
        <v>103.07407829703695</v>
      </c>
      <c r="AM490" s="920">
        <v>107.67</v>
      </c>
      <c r="AN490" s="920">
        <v>106.75246258408974</v>
      </c>
      <c r="AO490" s="920"/>
      <c r="AP490" s="920"/>
      <c r="AS490" s="1167"/>
      <c r="AT490" s="1167"/>
      <c r="AU490" s="1168"/>
      <c r="AV490" s="1168"/>
      <c r="AW490" s="1169"/>
      <c r="AX490" s="1169"/>
      <c r="AY490" s="1169"/>
      <c r="AZ490" s="1169"/>
      <c r="BA490" s="1803" t="s">
        <v>2</v>
      </c>
      <c r="BB490" s="1802">
        <v>2015</v>
      </c>
      <c r="BC490" s="1799" t="s">
        <v>15</v>
      </c>
      <c r="BD490" s="1799">
        <v>1</v>
      </c>
      <c r="BE490" s="1800">
        <v>39894844984.675888</v>
      </c>
      <c r="BF490" s="1801">
        <v>0.80316788198874089</v>
      </c>
      <c r="BG490" s="1799"/>
      <c r="BH490" s="1888" t="s">
        <v>1</v>
      </c>
      <c r="BI490" s="1888" t="s">
        <v>311</v>
      </c>
      <c r="BJ490" s="1888" t="s">
        <v>28</v>
      </c>
      <c r="BK490" s="1888">
        <v>5</v>
      </c>
      <c r="BL490" s="1889">
        <v>621783000</v>
      </c>
      <c r="BM490" s="1801">
        <v>5.9611037412844757E-2</v>
      </c>
      <c r="BN490" s="1799">
        <v>2006</v>
      </c>
      <c r="BO490" s="1684"/>
      <c r="BP490" s="1696"/>
      <c r="BQ490" s="1169"/>
      <c r="BR490" s="1169"/>
      <c r="BS490" s="1169"/>
      <c r="BT490" s="1169"/>
      <c r="BU490" s="1169"/>
      <c r="BV490" s="1169"/>
      <c r="BW490" s="1169"/>
      <c r="BX490" s="1169"/>
      <c r="BY490" s="1169"/>
      <c r="BZ490" s="1169"/>
      <c r="CA490" s="1169"/>
      <c r="CB490" s="1169"/>
      <c r="CC490" s="1169"/>
      <c r="CD490" s="1169"/>
      <c r="CE490" s="1169"/>
      <c r="CF490" s="1169"/>
      <c r="CG490" s="1169"/>
      <c r="CH490" s="1169"/>
      <c r="CI490" s="1169"/>
      <c r="CJ490" s="1169"/>
      <c r="CK490" s="1169"/>
      <c r="CL490" s="1169"/>
      <c r="CM490" s="1169"/>
      <c r="CN490" s="1169"/>
      <c r="CO490" s="1169"/>
      <c r="CP490" s="1169"/>
      <c r="CQ490" s="1169"/>
      <c r="CR490" s="1169"/>
      <c r="CS490" s="1169"/>
      <c r="CT490" s="1169"/>
      <c r="CU490" s="1169"/>
      <c r="CV490" s="1169"/>
      <c r="CW490" s="1169"/>
      <c r="CX490" s="1169"/>
      <c r="CY490" s="1169"/>
      <c r="CZ490" s="1169"/>
      <c r="DA490" s="1168"/>
      <c r="DB490" s="1168"/>
      <c r="DC490" s="1168"/>
      <c r="DD490" s="1168"/>
      <c r="DE490" s="1168"/>
      <c r="DF490" s="1168"/>
      <c r="DG490" s="1168"/>
      <c r="DH490" s="1168"/>
      <c r="DI490" s="1168"/>
      <c r="DJ490" s="1168"/>
      <c r="DK490" s="1168"/>
      <c r="DL490" s="1168"/>
      <c r="DM490" s="1168"/>
      <c r="DN490" s="1168"/>
      <c r="DO490" s="1168"/>
      <c r="DP490" s="1168"/>
      <c r="DQ490" s="1168"/>
      <c r="DR490" s="1168"/>
      <c r="DS490" s="1168"/>
      <c r="DT490" s="1168"/>
      <c r="DU490" s="1168"/>
      <c r="DV490" s="1168"/>
      <c r="DW490" s="1168"/>
      <c r="DX490" s="1168"/>
      <c r="DY490" s="1168"/>
      <c r="DZ490" s="1168"/>
      <c r="EA490" s="1168"/>
      <c r="EB490" s="1168"/>
      <c r="EC490" s="1168"/>
      <c r="ED490" s="1168"/>
      <c r="EE490" s="1168"/>
      <c r="EF490" s="1168"/>
      <c r="EG490" s="1168"/>
      <c r="EH490" s="1168"/>
      <c r="EI490" s="1170"/>
      <c r="EJ490" s="1170"/>
      <c r="EK490" s="1170"/>
      <c r="EL490" s="1170"/>
      <c r="EM490" s="1170"/>
      <c r="EN490" s="1170"/>
      <c r="EO490" s="1170"/>
      <c r="EP490" s="1170"/>
      <c r="EQ490" s="1170"/>
      <c r="ER490" s="1170"/>
      <c r="ES490" s="1171"/>
      <c r="ET490" s="1171"/>
      <c r="EU490" s="1171"/>
      <c r="EV490" s="1171"/>
      <c r="EW490" s="1171"/>
      <c r="EX490" s="1171"/>
      <c r="EY490" s="1171"/>
      <c r="EZ490" s="1171"/>
      <c r="FA490" s="1171"/>
      <c r="FB490" s="1171"/>
      <c r="FC490" s="1171"/>
      <c r="FD490" s="1171"/>
      <c r="FE490" s="1171"/>
      <c r="FF490" s="1171"/>
      <c r="FG490" s="1171"/>
      <c r="FH490" s="1171"/>
      <c r="FI490" s="1171"/>
      <c r="FJ490" s="1171"/>
      <c r="FK490" s="1171"/>
      <c r="FL490" s="1171"/>
      <c r="FM490" s="1171"/>
      <c r="FN490" s="1171"/>
      <c r="FO490" s="1171"/>
      <c r="FP490" s="1171"/>
    </row>
    <row r="491" spans="1:172" s="607" customFormat="1">
      <c r="A491" s="607">
        <f t="shared" si="15"/>
        <v>2011</v>
      </c>
      <c r="B491" s="607">
        <f t="shared" si="16"/>
        <v>1</v>
      </c>
      <c r="C491" s="666">
        <v>40603</v>
      </c>
      <c r="D491" s="1709">
        <v>1.0100434782608694</v>
      </c>
      <c r="E491" s="1117">
        <v>355.85256800305172</v>
      </c>
      <c r="F491" s="1117">
        <v>352.31410890922433</v>
      </c>
      <c r="G491" s="1117"/>
      <c r="H491" s="1117"/>
      <c r="I491" s="959">
        <v>1424</v>
      </c>
      <c r="J491" s="959">
        <v>1416.54</v>
      </c>
      <c r="K491" s="960">
        <v>168.77500000000001</v>
      </c>
      <c r="L491" s="1121">
        <v>167.09676725065648</v>
      </c>
      <c r="M491" s="916">
        <v>26811.74</v>
      </c>
      <c r="N491" s="916">
        <v>26545.134518531278</v>
      </c>
      <c r="O491" s="1174">
        <v>9530.65</v>
      </c>
      <c r="P491" s="1174">
        <v>9435.8809349576004</v>
      </c>
      <c r="Q491" s="1174">
        <v>2624.2</v>
      </c>
      <c r="R491" s="1174">
        <v>2598.1059790796785</v>
      </c>
      <c r="S491" s="1174">
        <v>2349.2399999999998</v>
      </c>
      <c r="T491" s="1174">
        <v>2325.8800740389997</v>
      </c>
      <c r="U491" s="1120">
        <v>1424.0908228991659</v>
      </c>
      <c r="V491" s="1120">
        <v>1409.9302193913659</v>
      </c>
      <c r="W491" s="1120">
        <v>2768.3993872983942</v>
      </c>
      <c r="X491" s="1120">
        <v>2740.8715039328085</v>
      </c>
      <c r="Y491" s="1119"/>
      <c r="Z491" s="1119"/>
      <c r="AA491" s="1119"/>
      <c r="AB491" s="1119"/>
      <c r="AC491" s="1178">
        <v>35.813000000000002</v>
      </c>
      <c r="AD491" s="1178">
        <v>35.74</v>
      </c>
      <c r="AE491" s="1178">
        <v>41750</v>
      </c>
      <c r="AF491" s="1178">
        <v>41334.854289526935</v>
      </c>
      <c r="AG491" s="1178">
        <v>1770.174</v>
      </c>
      <c r="AH491" s="1178">
        <v>1752.5720804097975</v>
      </c>
      <c r="AI491" s="1178">
        <v>762</v>
      </c>
      <c r="AJ491" s="1178">
        <v>754.42296930825205</v>
      </c>
      <c r="AK491" s="919">
        <v>114.44</v>
      </c>
      <c r="AL491" s="919">
        <v>113.30205329086137</v>
      </c>
      <c r="AM491" s="919">
        <v>118.69</v>
      </c>
      <c r="AN491" s="919">
        <v>117.50979294907668</v>
      </c>
      <c r="AO491" s="919"/>
      <c r="AP491" s="919"/>
      <c r="AQ491" s="1335"/>
      <c r="AS491" s="1167"/>
      <c r="AT491" s="1167"/>
      <c r="AU491" s="1168"/>
      <c r="AV491" s="1168"/>
      <c r="AW491" s="1169"/>
      <c r="AX491" s="1169"/>
      <c r="AY491" s="1169"/>
      <c r="AZ491" s="1169"/>
      <c r="BA491" s="1803" t="s">
        <v>2</v>
      </c>
      <c r="BB491" s="1802">
        <v>2015</v>
      </c>
      <c r="BC491" s="1799" t="s">
        <v>20</v>
      </c>
      <c r="BD491" s="1799">
        <v>2</v>
      </c>
      <c r="BE491" s="1800">
        <v>5158223379.3708601</v>
      </c>
      <c r="BF491" s="1801">
        <v>0.10384598180605656</v>
      </c>
      <c r="BG491" s="1799"/>
      <c r="BH491" s="1888" t="s">
        <v>1</v>
      </c>
      <c r="BI491" s="1888" t="s">
        <v>311</v>
      </c>
      <c r="BJ491" s="1888" t="s">
        <v>29</v>
      </c>
      <c r="BK491" s="1888">
        <v>6</v>
      </c>
      <c r="BL491" s="1889">
        <v>581606000</v>
      </c>
      <c r="BM491" s="1801">
        <v>5.5759223114068716E-2</v>
      </c>
      <c r="BN491" s="1799">
        <v>2006</v>
      </c>
      <c r="BO491" s="1684"/>
      <c r="BP491" s="1696"/>
      <c r="BQ491" s="1169"/>
      <c r="BR491" s="1169"/>
      <c r="BS491" s="1169"/>
      <c r="BT491" s="1169"/>
      <c r="BU491" s="1169"/>
      <c r="BV491" s="1169"/>
      <c r="BW491" s="1169"/>
      <c r="BX491" s="1169"/>
      <c r="BY491" s="1169"/>
      <c r="BZ491" s="1169"/>
      <c r="CA491" s="1169"/>
      <c r="CB491" s="1169"/>
      <c r="CC491" s="1169"/>
      <c r="CD491" s="1169"/>
      <c r="CE491" s="1169"/>
      <c r="CF491" s="1169"/>
      <c r="CG491" s="1169"/>
      <c r="CH491" s="1169"/>
      <c r="CI491" s="1169"/>
      <c r="CJ491" s="1169"/>
      <c r="CK491" s="1169"/>
      <c r="CL491" s="1169"/>
      <c r="CM491" s="1169"/>
      <c r="CN491" s="1169"/>
      <c r="CO491" s="1169"/>
      <c r="CP491" s="1169"/>
      <c r="CQ491" s="1169"/>
      <c r="CR491" s="1169"/>
      <c r="CS491" s="1169"/>
      <c r="CT491" s="1169"/>
      <c r="CU491" s="1169"/>
      <c r="CV491" s="1169"/>
      <c r="CW491" s="1169"/>
      <c r="CX491" s="1169"/>
      <c r="CY491" s="1169"/>
      <c r="CZ491" s="1169"/>
      <c r="DA491" s="1168"/>
      <c r="DB491" s="1168"/>
      <c r="DC491" s="1168"/>
      <c r="DD491" s="1168"/>
      <c r="DE491" s="1168"/>
      <c r="DF491" s="1168"/>
      <c r="DG491" s="1168"/>
      <c r="DH491" s="1168"/>
      <c r="DI491" s="1168"/>
      <c r="DJ491" s="1168"/>
      <c r="DK491" s="1168"/>
      <c r="DL491" s="1168"/>
      <c r="DM491" s="1168"/>
      <c r="DN491" s="1168"/>
      <c r="DO491" s="1168"/>
      <c r="DP491" s="1168"/>
      <c r="DQ491" s="1168"/>
      <c r="DR491" s="1168"/>
      <c r="DS491" s="1168"/>
      <c r="DT491" s="1168"/>
      <c r="DU491" s="1168"/>
      <c r="DV491" s="1168"/>
      <c r="DW491" s="1168"/>
      <c r="DX491" s="1168"/>
      <c r="DY491" s="1168"/>
      <c r="DZ491" s="1168"/>
      <c r="EA491" s="1168"/>
      <c r="EB491" s="1168"/>
      <c r="EC491" s="1168"/>
      <c r="ED491" s="1168"/>
      <c r="EE491" s="1168"/>
      <c r="EF491" s="1168"/>
      <c r="EG491" s="1168"/>
      <c r="EH491" s="1168"/>
      <c r="EI491" s="1170"/>
      <c r="EJ491" s="1170"/>
      <c r="EK491" s="1170"/>
      <c r="EL491" s="1170"/>
      <c r="EM491" s="1170"/>
      <c r="EN491" s="1170"/>
      <c r="EO491" s="1170"/>
      <c r="EP491" s="1170"/>
      <c r="EQ491" s="1170"/>
      <c r="ER491" s="1170"/>
      <c r="ES491" s="1171"/>
      <c r="ET491" s="1171"/>
      <c r="EU491" s="1171"/>
      <c r="EV491" s="1171"/>
      <c r="EW491" s="1171"/>
      <c r="EX491" s="1171"/>
      <c r="EY491" s="1171"/>
      <c r="EZ491" s="1171"/>
      <c r="FA491" s="1171"/>
      <c r="FB491" s="1171"/>
      <c r="FC491" s="1171"/>
      <c r="FD491" s="1171"/>
      <c r="FE491" s="1171"/>
      <c r="FF491" s="1171"/>
      <c r="FG491" s="1171"/>
      <c r="FH491" s="1171"/>
      <c r="FI491" s="1171"/>
      <c r="FJ491" s="1171"/>
      <c r="FK491" s="1171"/>
      <c r="FL491" s="1171"/>
      <c r="FM491" s="1171"/>
      <c r="FN491" s="1171"/>
      <c r="FO491" s="1171"/>
      <c r="FP491" s="1171"/>
    </row>
    <row r="492" spans="1:172" s="607" customFormat="1">
      <c r="A492" s="607">
        <f t="shared" si="15"/>
        <v>2011</v>
      </c>
      <c r="B492" s="607">
        <f t="shared" si="16"/>
        <v>2</v>
      </c>
      <c r="C492" s="666">
        <v>40634</v>
      </c>
      <c r="D492" s="957">
        <v>1.0554277777777779</v>
      </c>
      <c r="E492" s="920">
        <v>360.21457466676947</v>
      </c>
      <c r="F492" s="920">
        <v>341.29722776977474</v>
      </c>
      <c r="G492" s="920"/>
      <c r="H492" s="920"/>
      <c r="I492" s="954">
        <v>1475.3889999999999</v>
      </c>
      <c r="J492" s="954">
        <v>1407.91</v>
      </c>
      <c r="K492" s="954">
        <v>179.32</v>
      </c>
      <c r="L492" s="920">
        <v>169.90267242876769</v>
      </c>
      <c r="M492" s="917">
        <v>26328.89</v>
      </c>
      <c r="N492" s="917">
        <v>24946.178747953698</v>
      </c>
      <c r="O492" s="1175">
        <v>9483.25</v>
      </c>
      <c r="P492" s="1175">
        <v>8985.2192633845152</v>
      </c>
      <c r="Q492" s="1175">
        <v>2741.14</v>
      </c>
      <c r="R492" s="1175">
        <v>2597.183869626323</v>
      </c>
      <c r="S492" s="1175">
        <v>2372.39</v>
      </c>
      <c r="T492" s="1175">
        <v>2247.7994704622138</v>
      </c>
      <c r="U492" s="920">
        <v>1577.5607315166687</v>
      </c>
      <c r="V492" s="920">
        <v>1494.7121581717806</v>
      </c>
      <c r="W492" s="920">
        <v>2940.9411662591474</v>
      </c>
      <c r="X492" s="920">
        <v>2786.4921012893483</v>
      </c>
      <c r="Y492" s="920"/>
      <c r="Z492" s="920"/>
      <c r="AA492" s="920"/>
      <c r="AB492" s="920"/>
      <c r="AC492" s="920">
        <v>42.192</v>
      </c>
      <c r="AD492" s="920">
        <v>40.1</v>
      </c>
      <c r="AE492" s="920">
        <v>37699</v>
      </c>
      <c r="AF492" s="920">
        <v>35719.166004305778</v>
      </c>
      <c r="AG492" s="920">
        <v>1795.211</v>
      </c>
      <c r="AH492" s="920">
        <v>1700.9321128347115</v>
      </c>
      <c r="AI492" s="920">
        <v>771.18399999999997</v>
      </c>
      <c r="AJ492" s="920">
        <v>730.68381962026979</v>
      </c>
      <c r="AK492" s="920">
        <v>118.68</v>
      </c>
      <c r="AL492" s="920">
        <v>112.44729625165151</v>
      </c>
      <c r="AM492" s="920">
        <v>123.76</v>
      </c>
      <c r="AN492" s="920">
        <v>117.26051048284792</v>
      </c>
      <c r="AO492" s="920"/>
      <c r="AP492" s="920"/>
      <c r="AS492" s="1167"/>
      <c r="AT492" s="1167"/>
      <c r="AU492" s="1168"/>
      <c r="AV492" s="1168"/>
      <c r="AW492" s="1169"/>
      <c r="AX492" s="1169"/>
      <c r="AY492" s="1169"/>
      <c r="AZ492" s="1169"/>
      <c r="BA492" s="1803" t="s">
        <v>2</v>
      </c>
      <c r="BB492" s="1802">
        <v>2015</v>
      </c>
      <c r="BC492" s="1799" t="s">
        <v>581</v>
      </c>
      <c r="BD492" s="1799">
        <v>3</v>
      </c>
      <c r="BE492" s="1800">
        <v>3282614296.38062</v>
      </c>
      <c r="BF492" s="1801">
        <v>6.608599113050051E-2</v>
      </c>
      <c r="BG492" s="1799"/>
      <c r="BH492" s="1888" t="s">
        <v>1</v>
      </c>
      <c r="BI492" s="1888" t="s">
        <v>311</v>
      </c>
      <c r="BJ492" s="1888" t="s">
        <v>49</v>
      </c>
      <c r="BK492" s="1888">
        <v>7</v>
      </c>
      <c r="BL492" s="1889">
        <v>470820000</v>
      </c>
      <c r="BM492" s="1801">
        <v>4.5138044357461639E-2</v>
      </c>
      <c r="BN492" s="1799">
        <v>2006</v>
      </c>
      <c r="BO492" s="1684"/>
      <c r="BP492" s="1696"/>
      <c r="BQ492" s="1169"/>
      <c r="BR492" s="1169"/>
      <c r="BS492" s="1169"/>
      <c r="BT492" s="1169"/>
      <c r="BU492" s="1169"/>
      <c r="BV492" s="1169"/>
      <c r="BW492" s="1169"/>
      <c r="BX492" s="1169"/>
      <c r="BY492" s="1169"/>
      <c r="BZ492" s="1169"/>
      <c r="CA492" s="1169"/>
      <c r="CB492" s="1169"/>
      <c r="CC492" s="1169"/>
      <c r="CD492" s="1169"/>
      <c r="CE492" s="1169"/>
      <c r="CF492" s="1169"/>
      <c r="CG492" s="1169"/>
      <c r="CH492" s="1169"/>
      <c r="CI492" s="1169"/>
      <c r="CJ492" s="1169"/>
      <c r="CK492" s="1169"/>
      <c r="CL492" s="1169"/>
      <c r="CM492" s="1169"/>
      <c r="CN492" s="1169"/>
      <c r="CO492" s="1169"/>
      <c r="CP492" s="1169"/>
      <c r="CQ492" s="1169"/>
      <c r="CR492" s="1169"/>
      <c r="CS492" s="1169"/>
      <c r="CT492" s="1169"/>
      <c r="CU492" s="1169"/>
      <c r="CV492" s="1169"/>
      <c r="CW492" s="1169"/>
      <c r="CX492" s="1169"/>
      <c r="CY492" s="1169"/>
      <c r="CZ492" s="1169"/>
      <c r="DA492" s="1168"/>
      <c r="DB492" s="1168"/>
      <c r="DC492" s="1168"/>
      <c r="DD492" s="1168"/>
      <c r="DE492" s="1168"/>
      <c r="DF492" s="1168"/>
      <c r="DG492" s="1168"/>
      <c r="DH492" s="1168"/>
      <c r="DI492" s="1168"/>
      <c r="DJ492" s="1168"/>
      <c r="DK492" s="1168"/>
      <c r="DL492" s="1168"/>
      <c r="DM492" s="1168"/>
      <c r="DN492" s="1168"/>
      <c r="DO492" s="1168"/>
      <c r="DP492" s="1168"/>
      <c r="DQ492" s="1168"/>
      <c r="DR492" s="1168"/>
      <c r="DS492" s="1168"/>
      <c r="DT492" s="1168"/>
      <c r="DU492" s="1168"/>
      <c r="DV492" s="1168"/>
      <c r="DW492" s="1168"/>
      <c r="DX492" s="1168"/>
      <c r="DY492" s="1168"/>
      <c r="DZ492" s="1168"/>
      <c r="EA492" s="1168"/>
      <c r="EB492" s="1168"/>
      <c r="EC492" s="1168"/>
      <c r="ED492" s="1168"/>
      <c r="EE492" s="1168"/>
      <c r="EF492" s="1168"/>
      <c r="EG492" s="1168"/>
      <c r="EH492" s="1168"/>
      <c r="EI492" s="1170"/>
      <c r="EJ492" s="1170"/>
      <c r="EK492" s="1170"/>
      <c r="EL492" s="1170"/>
      <c r="EM492" s="1170"/>
      <c r="EN492" s="1170"/>
      <c r="EO492" s="1170"/>
      <c r="EP492" s="1170"/>
      <c r="EQ492" s="1170"/>
      <c r="ER492" s="1170"/>
      <c r="ES492" s="1171"/>
      <c r="ET492" s="1171"/>
      <c r="EU492" s="1171"/>
      <c r="EV492" s="1171"/>
      <c r="EW492" s="1171"/>
      <c r="EX492" s="1171"/>
      <c r="EY492" s="1171"/>
      <c r="EZ492" s="1171"/>
      <c r="FA492" s="1171"/>
      <c r="FB492" s="1171"/>
      <c r="FC492" s="1171"/>
      <c r="FD492" s="1171"/>
      <c r="FE492" s="1171"/>
      <c r="FF492" s="1171"/>
      <c r="FG492" s="1171"/>
      <c r="FH492" s="1171"/>
      <c r="FI492" s="1171"/>
      <c r="FJ492" s="1171"/>
      <c r="FK492" s="1171"/>
      <c r="FL492" s="1171"/>
      <c r="FM492" s="1171"/>
      <c r="FN492" s="1171"/>
      <c r="FO492" s="1171"/>
      <c r="FP492" s="1171"/>
    </row>
    <row r="493" spans="1:172" s="607" customFormat="1">
      <c r="A493" s="607">
        <f t="shared" si="15"/>
        <v>2011</v>
      </c>
      <c r="B493" s="607">
        <f t="shared" si="16"/>
        <v>2</v>
      </c>
      <c r="C493" s="666">
        <v>40664</v>
      </c>
      <c r="D493" s="1709">
        <v>1.0688409090909092</v>
      </c>
      <c r="E493" s="1117">
        <v>373.74598853359618</v>
      </c>
      <c r="F493" s="1117">
        <v>349.6741052431102</v>
      </c>
      <c r="G493" s="1117"/>
      <c r="H493" s="1117"/>
      <c r="I493" s="959">
        <v>1510.425</v>
      </c>
      <c r="J493" s="959">
        <v>1425.24</v>
      </c>
      <c r="K493" s="960">
        <v>176.3</v>
      </c>
      <c r="L493" s="1121">
        <v>164.94503391524378</v>
      </c>
      <c r="M493" s="916">
        <v>24210</v>
      </c>
      <c r="N493" s="916">
        <v>22650.704884220373</v>
      </c>
      <c r="O493" s="1174">
        <v>8927.0499999999993</v>
      </c>
      <c r="P493" s="1174">
        <v>8352.0848837951035</v>
      </c>
      <c r="Q493" s="1174">
        <v>2420.38</v>
      </c>
      <c r="R493" s="1174">
        <v>2264.4904208041844</v>
      </c>
      <c r="S493" s="1174">
        <v>2160.4299999999998</v>
      </c>
      <c r="T493" s="1174">
        <v>2021.2830381254116</v>
      </c>
      <c r="U493" s="1120">
        <v>1695.3939238267033</v>
      </c>
      <c r="V493" s="1120">
        <v>1586.1985721230503</v>
      </c>
      <c r="W493" s="1120">
        <v>3043.2427314890883</v>
      </c>
      <c r="X493" s="1120">
        <v>2847.2363900044625</v>
      </c>
      <c r="Y493" s="1119"/>
      <c r="Z493" s="1119"/>
      <c r="AA493" s="1119"/>
      <c r="AB493" s="1119"/>
      <c r="AC493" s="1178">
        <v>36.75</v>
      </c>
      <c r="AD493" s="1178">
        <v>35.11</v>
      </c>
      <c r="AE493" s="1178">
        <v>40165</v>
      </c>
      <c r="AF493" s="1178">
        <v>37578.090114610131</v>
      </c>
      <c r="AG493" s="1178">
        <v>1784.15</v>
      </c>
      <c r="AH493" s="1178">
        <v>1669.2381296646749</v>
      </c>
      <c r="AI493" s="1178">
        <v>738.2</v>
      </c>
      <c r="AJ493" s="1178">
        <v>690.65470241765718</v>
      </c>
      <c r="AK493" s="919">
        <v>114.46</v>
      </c>
      <c r="AL493" s="919">
        <v>107.08796699908565</v>
      </c>
      <c r="AM493" s="919">
        <v>121.88</v>
      </c>
      <c r="AN493" s="919">
        <v>114.03006655467901</v>
      </c>
      <c r="AO493" s="919"/>
      <c r="AP493" s="919"/>
      <c r="AS493" s="1167"/>
      <c r="AT493" s="1167"/>
      <c r="AU493" s="1168"/>
      <c r="AV493" s="1168"/>
      <c r="AW493" s="1169"/>
      <c r="AX493" s="1169"/>
      <c r="AY493" s="1169"/>
      <c r="AZ493" s="1169"/>
      <c r="BA493" s="1803" t="s">
        <v>2</v>
      </c>
      <c r="BB493" s="1802">
        <v>2015</v>
      </c>
      <c r="BC493" s="1799" t="s">
        <v>583</v>
      </c>
      <c r="BD493" s="1799">
        <v>4</v>
      </c>
      <c r="BE493" s="1800">
        <v>1047259557.9833177</v>
      </c>
      <c r="BF493" s="1801">
        <v>2.1083557071120668E-2</v>
      </c>
      <c r="BG493" s="1799"/>
      <c r="BH493" s="1888" t="s">
        <v>1</v>
      </c>
      <c r="BI493" s="1888" t="s">
        <v>311</v>
      </c>
      <c r="BJ493" s="1888" t="s">
        <v>20</v>
      </c>
      <c r="BK493" s="1888">
        <v>8</v>
      </c>
      <c r="BL493" s="1889">
        <v>268742000</v>
      </c>
      <c r="BM493" s="1801">
        <v>2.576459860820049E-2</v>
      </c>
      <c r="BN493" s="1799">
        <v>2006</v>
      </c>
      <c r="BO493" s="1684"/>
      <c r="BP493" s="1696"/>
      <c r="BQ493" s="1169"/>
      <c r="BR493" s="1169"/>
      <c r="BS493" s="1169"/>
      <c r="BT493" s="1169"/>
      <c r="BU493" s="1169"/>
      <c r="BV493" s="1169"/>
      <c r="BW493" s="1169"/>
      <c r="BX493" s="1169"/>
      <c r="BY493" s="1169"/>
      <c r="BZ493" s="1169"/>
      <c r="CA493" s="1169"/>
      <c r="CB493" s="1169"/>
      <c r="CC493" s="1169"/>
      <c r="CD493" s="1169"/>
      <c r="CE493" s="1169"/>
      <c r="CF493" s="1169"/>
      <c r="CG493" s="1169"/>
      <c r="CH493" s="1169"/>
      <c r="CI493" s="1169"/>
      <c r="CJ493" s="1169"/>
      <c r="CK493" s="1169"/>
      <c r="CL493" s="1169"/>
      <c r="CM493" s="1169"/>
      <c r="CN493" s="1169"/>
      <c r="CO493" s="1169"/>
      <c r="CP493" s="1169"/>
      <c r="CQ493" s="1169"/>
      <c r="CR493" s="1169"/>
      <c r="CS493" s="1169"/>
      <c r="CT493" s="1169"/>
      <c r="CU493" s="1169"/>
      <c r="CV493" s="1169"/>
      <c r="CW493" s="1169"/>
      <c r="CX493" s="1169"/>
      <c r="CY493" s="1169"/>
      <c r="CZ493" s="1169"/>
      <c r="DA493" s="1168"/>
      <c r="DB493" s="1168"/>
      <c r="DC493" s="1168"/>
      <c r="DD493" s="1168"/>
      <c r="DE493" s="1168"/>
      <c r="DF493" s="1168"/>
      <c r="DG493" s="1168"/>
      <c r="DH493" s="1168"/>
      <c r="DI493" s="1168"/>
      <c r="DJ493" s="1168"/>
      <c r="DK493" s="1168"/>
      <c r="DL493" s="1168"/>
      <c r="DM493" s="1168"/>
      <c r="DN493" s="1168"/>
      <c r="DO493" s="1168"/>
      <c r="DP493" s="1168"/>
      <c r="DQ493" s="1168"/>
      <c r="DR493" s="1168"/>
      <c r="DS493" s="1168"/>
      <c r="DT493" s="1168"/>
      <c r="DU493" s="1168"/>
      <c r="DV493" s="1168"/>
      <c r="DW493" s="1168"/>
      <c r="DX493" s="1168"/>
      <c r="DY493" s="1168"/>
      <c r="DZ493" s="1168"/>
      <c r="EA493" s="1168"/>
      <c r="EB493" s="1168"/>
      <c r="EC493" s="1168"/>
      <c r="ED493" s="1168"/>
      <c r="EE493" s="1168"/>
      <c r="EF493" s="1168"/>
      <c r="EG493" s="1168"/>
      <c r="EH493" s="1168"/>
      <c r="EI493" s="1170"/>
      <c r="EJ493" s="1170"/>
      <c r="EK493" s="1170"/>
      <c r="EL493" s="1170"/>
      <c r="EM493" s="1170"/>
      <c r="EN493" s="1170"/>
      <c r="EO493" s="1170"/>
      <c r="EP493" s="1170"/>
      <c r="EQ493" s="1170"/>
      <c r="ER493" s="1170"/>
      <c r="ES493" s="1171"/>
      <c r="ET493" s="1171"/>
      <c r="EU493" s="1171"/>
      <c r="EV493" s="1171"/>
      <c r="EW493" s="1171"/>
      <c r="EX493" s="1171"/>
      <c r="EY493" s="1171"/>
      <c r="EZ493" s="1171"/>
      <c r="FA493" s="1171"/>
      <c r="FB493" s="1171"/>
      <c r="FC493" s="1171"/>
      <c r="FD493" s="1171"/>
      <c r="FE493" s="1171"/>
      <c r="FF493" s="1171"/>
      <c r="FG493" s="1171"/>
      <c r="FH493" s="1171"/>
      <c r="FI493" s="1171"/>
      <c r="FJ493" s="1171"/>
      <c r="FK493" s="1171"/>
      <c r="FL493" s="1171"/>
      <c r="FM493" s="1171"/>
      <c r="FN493" s="1171"/>
      <c r="FO493" s="1171"/>
      <c r="FP493" s="1171"/>
    </row>
    <row r="494" spans="1:172" s="607" customFormat="1">
      <c r="A494" s="607">
        <f t="shared" si="15"/>
        <v>2011</v>
      </c>
      <c r="B494" s="607">
        <f t="shared" si="16"/>
        <v>2</v>
      </c>
      <c r="C494" s="666">
        <v>40695</v>
      </c>
      <c r="D494" s="957">
        <v>1.0602857142857143</v>
      </c>
      <c r="E494" s="920">
        <v>369.99001778557954</v>
      </c>
      <c r="F494" s="920">
        <v>348.95312914296102</v>
      </c>
      <c r="G494" s="920"/>
      <c r="H494" s="920"/>
      <c r="I494" s="954">
        <v>1528.636</v>
      </c>
      <c r="J494" s="954">
        <v>1451.04</v>
      </c>
      <c r="K494" s="954">
        <v>171.4</v>
      </c>
      <c r="L494" s="920">
        <v>161.65454055510645</v>
      </c>
      <c r="M494" s="917">
        <v>22354.09</v>
      </c>
      <c r="N494" s="917">
        <v>21083.081379682026</v>
      </c>
      <c r="O494" s="1175">
        <v>9045.43</v>
      </c>
      <c r="P494" s="1175">
        <v>8531.1250336836438</v>
      </c>
      <c r="Q494" s="1175">
        <v>2512.1999999999998</v>
      </c>
      <c r="R494" s="1175">
        <v>2369.3613581244945</v>
      </c>
      <c r="S494" s="1175">
        <v>2230.48</v>
      </c>
      <c r="T494" s="1175">
        <v>2103.6593909997305</v>
      </c>
      <c r="U494" s="920">
        <v>1735.0490228394281</v>
      </c>
      <c r="V494" s="920">
        <v>1636.3976232654265</v>
      </c>
      <c r="W494" s="920">
        <v>3089.1544030028049</v>
      </c>
      <c r="X494" s="920">
        <v>2913.5112935892798</v>
      </c>
      <c r="Y494" s="920"/>
      <c r="Z494" s="920"/>
      <c r="AA494" s="920"/>
      <c r="AB494" s="920"/>
      <c r="AC494" s="920">
        <v>35.795000000000002</v>
      </c>
      <c r="AD494" s="920">
        <v>34.229999999999997</v>
      </c>
      <c r="AE494" s="920">
        <v>37891.9</v>
      </c>
      <c r="AF494" s="920">
        <v>35737.442737806523</v>
      </c>
      <c r="AG494" s="920">
        <v>1768.5</v>
      </c>
      <c r="AH494" s="920">
        <v>1667.946645109135</v>
      </c>
      <c r="AI494" s="920">
        <v>770.25</v>
      </c>
      <c r="AJ494" s="920">
        <v>726.45513338722719</v>
      </c>
      <c r="AK494" s="920">
        <v>113.76</v>
      </c>
      <c r="AL494" s="920">
        <v>107.29183508488279</v>
      </c>
      <c r="AM494" s="920">
        <v>122.29</v>
      </c>
      <c r="AN494" s="920">
        <v>115.33683643222852</v>
      </c>
      <c r="AO494" s="920"/>
      <c r="AP494" s="920"/>
      <c r="AQ494" s="1335"/>
      <c r="AR494" s="1335"/>
      <c r="AS494" s="1167"/>
      <c r="AT494" s="1167"/>
      <c r="AU494" s="1168"/>
      <c r="AV494" s="1168"/>
      <c r="AW494" s="1169"/>
      <c r="AX494" s="1169"/>
      <c r="AY494" s="1169"/>
      <c r="AZ494" s="1169"/>
      <c r="BA494" s="1803" t="s">
        <v>2</v>
      </c>
      <c r="BB494" s="1802">
        <v>2015</v>
      </c>
      <c r="BC494" s="1799" t="s">
        <v>19</v>
      </c>
      <c r="BD494" s="1799">
        <v>5</v>
      </c>
      <c r="BE494" s="1800">
        <v>178866754.39375445</v>
      </c>
      <c r="BF494" s="1801">
        <v>3.6009673014098359E-3</v>
      </c>
      <c r="BG494" s="1799"/>
      <c r="BH494" s="1888" t="s">
        <v>1</v>
      </c>
      <c r="BI494" s="1888" t="s">
        <v>311</v>
      </c>
      <c r="BJ494" s="1888" t="s">
        <v>581</v>
      </c>
      <c r="BK494" s="1888">
        <v>9</v>
      </c>
      <c r="BL494" s="1889">
        <v>160438000</v>
      </c>
      <c r="BM494" s="1801">
        <v>1.5381371990617284E-2</v>
      </c>
      <c r="BN494" s="1799">
        <v>2006</v>
      </c>
      <c r="BO494" s="1684"/>
      <c r="BP494" s="1696"/>
      <c r="BQ494" s="1169"/>
      <c r="BR494" s="1169"/>
      <c r="BS494" s="1169"/>
      <c r="BT494" s="1169"/>
      <c r="BU494" s="1169"/>
      <c r="BV494" s="1169"/>
      <c r="BW494" s="1169"/>
      <c r="BX494" s="1169"/>
      <c r="BY494" s="1169"/>
      <c r="BZ494" s="1169"/>
      <c r="CA494" s="1169"/>
      <c r="CB494" s="1169"/>
      <c r="CC494" s="1169"/>
      <c r="CD494" s="1169"/>
      <c r="CE494" s="1169"/>
      <c r="CF494" s="1169"/>
      <c r="CG494" s="1169"/>
      <c r="CH494" s="1169"/>
      <c r="CI494" s="1169"/>
      <c r="CJ494" s="1169"/>
      <c r="CK494" s="1169"/>
      <c r="CL494" s="1169"/>
      <c r="CM494" s="1169"/>
      <c r="CN494" s="1169"/>
      <c r="CO494" s="1169"/>
      <c r="CP494" s="1169"/>
      <c r="CQ494" s="1169"/>
      <c r="CR494" s="1169"/>
      <c r="CS494" s="1169"/>
      <c r="CT494" s="1169"/>
      <c r="CU494" s="1169"/>
      <c r="CV494" s="1169"/>
      <c r="CW494" s="1169"/>
      <c r="CX494" s="1169"/>
      <c r="CY494" s="1169"/>
      <c r="CZ494" s="1169"/>
      <c r="DA494" s="1168"/>
      <c r="DB494" s="1168"/>
      <c r="DC494" s="1168"/>
      <c r="DD494" s="1168"/>
      <c r="DE494" s="1168"/>
      <c r="DF494" s="1168"/>
      <c r="DG494" s="1168"/>
      <c r="DH494" s="1168"/>
      <c r="DI494" s="1168"/>
      <c r="DJ494" s="1168"/>
      <c r="DK494" s="1168"/>
      <c r="DL494" s="1168"/>
      <c r="DM494" s="1168"/>
      <c r="DN494" s="1168"/>
      <c r="DO494" s="1168"/>
      <c r="DP494" s="1168"/>
      <c r="DQ494" s="1168"/>
      <c r="DR494" s="1168"/>
      <c r="DS494" s="1168"/>
      <c r="DT494" s="1168"/>
      <c r="DU494" s="1168"/>
      <c r="DV494" s="1168"/>
      <c r="DW494" s="1168"/>
      <c r="DX494" s="1168"/>
      <c r="DY494" s="1168"/>
      <c r="DZ494" s="1168"/>
      <c r="EA494" s="1168"/>
      <c r="EB494" s="1168"/>
      <c r="EC494" s="1168"/>
      <c r="ED494" s="1168"/>
      <c r="EE494" s="1168"/>
      <c r="EF494" s="1168"/>
      <c r="EG494" s="1168"/>
      <c r="EH494" s="1168"/>
      <c r="EI494" s="1170"/>
      <c r="EJ494" s="1170"/>
      <c r="EK494" s="1170"/>
      <c r="EL494" s="1170"/>
      <c r="EM494" s="1170"/>
      <c r="EN494" s="1170"/>
      <c r="EO494" s="1170"/>
      <c r="EP494" s="1170"/>
      <c r="EQ494" s="1170"/>
      <c r="ER494" s="1170"/>
      <c r="ES494" s="1171"/>
      <c r="ET494" s="1171"/>
      <c r="EU494" s="1171"/>
      <c r="EV494" s="1171"/>
      <c r="EW494" s="1171"/>
      <c r="EX494" s="1171"/>
      <c r="EY494" s="1171"/>
      <c r="EZ494" s="1171"/>
      <c r="FA494" s="1171"/>
      <c r="FB494" s="1171"/>
      <c r="FC494" s="1171"/>
      <c r="FD494" s="1171"/>
      <c r="FE494" s="1171"/>
      <c r="FF494" s="1171"/>
      <c r="FG494" s="1171"/>
      <c r="FH494" s="1171"/>
      <c r="FI494" s="1171"/>
      <c r="FJ494" s="1171"/>
      <c r="FK494" s="1171"/>
      <c r="FL494" s="1171"/>
      <c r="FM494" s="1171"/>
      <c r="FN494" s="1171"/>
      <c r="FO494" s="1171"/>
      <c r="FP494" s="1171"/>
    </row>
    <row r="495" spans="1:172" s="607" customFormat="1">
      <c r="A495" s="607">
        <f t="shared" si="15"/>
        <v>2011</v>
      </c>
      <c r="B495" s="607">
        <f t="shared" si="16"/>
        <v>3</v>
      </c>
      <c r="C495" s="666">
        <v>40725</v>
      </c>
      <c r="D495" s="1709">
        <v>1.076557142857143</v>
      </c>
      <c r="E495" s="1117">
        <v>365.93252726397685</v>
      </c>
      <c r="F495" s="1117">
        <v>339.90998962935254</v>
      </c>
      <c r="G495" s="1117"/>
      <c r="H495" s="1117"/>
      <c r="I495" s="959">
        <v>1572.8050000000001</v>
      </c>
      <c r="J495" s="959">
        <v>1466.18</v>
      </c>
      <c r="K495" s="960">
        <v>172.82</v>
      </c>
      <c r="L495" s="1121">
        <v>160.53026181345291</v>
      </c>
      <c r="M495" s="916">
        <v>23731.19</v>
      </c>
      <c r="N495" s="916">
        <v>22043.595323717138</v>
      </c>
      <c r="O495" s="1174">
        <v>9619.24</v>
      </c>
      <c r="P495" s="1174">
        <v>8935.1875688371656</v>
      </c>
      <c r="Q495" s="1174">
        <v>2682.6</v>
      </c>
      <c r="R495" s="1174">
        <v>2491.8324287742666</v>
      </c>
      <c r="S495" s="1174">
        <v>2390.5500000000002</v>
      </c>
      <c r="T495" s="1174">
        <v>2220.550962725089</v>
      </c>
      <c r="U495" s="1120">
        <v>2165.2893199483542</v>
      </c>
      <c r="V495" s="1120">
        <v>2011.3092317624273</v>
      </c>
      <c r="W495" s="1120">
        <v>3328.2824351277472</v>
      </c>
      <c r="X495" s="1120">
        <v>3091.5984880232259</v>
      </c>
      <c r="Y495" s="1119"/>
      <c r="Z495" s="1119"/>
      <c r="AA495" s="1119"/>
      <c r="AB495" s="1119"/>
      <c r="AC495" s="1178">
        <v>37.917000000000002</v>
      </c>
      <c r="AD495" s="1178">
        <v>35.58</v>
      </c>
      <c r="AE495" s="1178">
        <v>35218.800000000003</v>
      </c>
      <c r="AF495" s="1178">
        <v>32714.287609973591</v>
      </c>
      <c r="AG495" s="1178">
        <v>1759.7619999999999</v>
      </c>
      <c r="AH495" s="1178">
        <v>1634.6201515412888</v>
      </c>
      <c r="AI495" s="1178">
        <v>788.73800000000006</v>
      </c>
      <c r="AJ495" s="1178">
        <v>732.64852240608286</v>
      </c>
      <c r="AK495" s="919">
        <v>116.46</v>
      </c>
      <c r="AL495" s="919">
        <v>108.17818707785399</v>
      </c>
      <c r="AM495" s="919">
        <v>124.24</v>
      </c>
      <c r="AN495" s="919">
        <v>115.40492840934724</v>
      </c>
      <c r="AO495" s="919"/>
      <c r="AP495" s="919"/>
      <c r="AS495" s="1167"/>
      <c r="AT495" s="1167"/>
      <c r="AU495" s="1168"/>
      <c r="AV495" s="1168"/>
      <c r="AW495" s="1169"/>
      <c r="AX495" s="1169"/>
      <c r="AY495" s="1169"/>
      <c r="AZ495" s="1169"/>
      <c r="BA495" s="1803" t="s">
        <v>2</v>
      </c>
      <c r="BB495" s="1802">
        <v>2015</v>
      </c>
      <c r="BC495" s="1799" t="s">
        <v>32</v>
      </c>
      <c r="BD495" s="1799"/>
      <c r="BE495" s="1800">
        <v>110054007.93555841</v>
      </c>
      <c r="BF495" s="1801">
        <v>2.2156207021715949E-3</v>
      </c>
      <c r="BG495" s="1799"/>
      <c r="BH495" s="1888" t="s">
        <v>1</v>
      </c>
      <c r="BI495" s="1888" t="s">
        <v>311</v>
      </c>
      <c r="BJ495" s="1888" t="s">
        <v>55</v>
      </c>
      <c r="BK495" s="1888">
        <v>10</v>
      </c>
      <c r="BL495" s="1889">
        <v>58294000</v>
      </c>
      <c r="BM495" s="1801">
        <v>5.5887115198459464E-3</v>
      </c>
      <c r="BN495" s="1799">
        <v>2006</v>
      </c>
      <c r="BO495" s="1684"/>
      <c r="BP495" s="1696"/>
      <c r="BQ495" s="1169"/>
      <c r="BR495" s="1169"/>
      <c r="BS495" s="1169"/>
      <c r="BT495" s="1169"/>
      <c r="BU495" s="1169"/>
      <c r="BV495" s="1169"/>
      <c r="BW495" s="1169"/>
      <c r="BX495" s="1169"/>
      <c r="BY495" s="1169"/>
      <c r="BZ495" s="1169"/>
      <c r="CA495" s="1169"/>
      <c r="CB495" s="1169"/>
      <c r="CC495" s="1169"/>
      <c r="CD495" s="1169"/>
      <c r="CE495" s="1169"/>
      <c r="CF495" s="1169"/>
      <c r="CG495" s="1169"/>
      <c r="CH495" s="1169"/>
      <c r="CI495" s="1169"/>
      <c r="CJ495" s="1169"/>
      <c r="CK495" s="1169"/>
      <c r="CL495" s="1169"/>
      <c r="CM495" s="1169"/>
      <c r="CN495" s="1169"/>
      <c r="CO495" s="1169"/>
      <c r="CP495" s="1169"/>
      <c r="CQ495" s="1169"/>
      <c r="CR495" s="1169"/>
      <c r="CS495" s="1169"/>
      <c r="CT495" s="1169"/>
      <c r="CU495" s="1169"/>
      <c r="CV495" s="1169"/>
      <c r="CW495" s="1169"/>
      <c r="CX495" s="1169"/>
      <c r="CY495" s="1169"/>
      <c r="CZ495" s="1169"/>
      <c r="DA495" s="1168"/>
      <c r="DB495" s="1168"/>
      <c r="DC495" s="1168"/>
      <c r="DD495" s="1168"/>
      <c r="DE495" s="1168"/>
      <c r="DF495" s="1168"/>
      <c r="DG495" s="1168"/>
      <c r="DH495" s="1168"/>
      <c r="DI495" s="1168"/>
      <c r="DJ495" s="1168"/>
      <c r="DK495" s="1168"/>
      <c r="DL495" s="1168"/>
      <c r="DM495" s="1168"/>
      <c r="DN495" s="1168"/>
      <c r="DO495" s="1168"/>
      <c r="DP495" s="1168"/>
      <c r="DQ495" s="1168"/>
      <c r="DR495" s="1168"/>
      <c r="DS495" s="1168"/>
      <c r="DT495" s="1168"/>
      <c r="DU495" s="1168"/>
      <c r="DV495" s="1168"/>
      <c r="DW495" s="1168"/>
      <c r="DX495" s="1168"/>
      <c r="DY495" s="1168"/>
      <c r="DZ495" s="1168"/>
      <c r="EA495" s="1168"/>
      <c r="EB495" s="1168"/>
      <c r="EC495" s="1168"/>
      <c r="ED495" s="1168"/>
      <c r="EE495" s="1168"/>
      <c r="EF495" s="1168"/>
      <c r="EG495" s="1168"/>
      <c r="EH495" s="1168"/>
      <c r="EI495" s="1170"/>
      <c r="EJ495" s="1170"/>
      <c r="EK495" s="1170"/>
      <c r="EL495" s="1170"/>
      <c r="EM495" s="1170"/>
      <c r="EN495" s="1170"/>
      <c r="EO495" s="1170"/>
      <c r="EP495" s="1170"/>
      <c r="EQ495" s="1170"/>
      <c r="ER495" s="1170"/>
      <c r="ES495" s="1171"/>
      <c r="ET495" s="1171"/>
      <c r="EU495" s="1171"/>
      <c r="EV495" s="1171"/>
      <c r="EW495" s="1171"/>
      <c r="EX495" s="1171"/>
      <c r="EY495" s="1171"/>
      <c r="EZ495" s="1171"/>
      <c r="FA495" s="1171"/>
      <c r="FB495" s="1171"/>
      <c r="FC495" s="1171"/>
      <c r="FD495" s="1171"/>
      <c r="FE495" s="1171"/>
      <c r="FF495" s="1171"/>
      <c r="FG495" s="1171"/>
      <c r="FH495" s="1171"/>
      <c r="FI495" s="1171"/>
      <c r="FJ495" s="1171"/>
      <c r="FK495" s="1171"/>
      <c r="FL495" s="1171"/>
      <c r="FM495" s="1171"/>
      <c r="FN495" s="1171"/>
      <c r="FO495" s="1171"/>
      <c r="FP495" s="1171"/>
    </row>
    <row r="496" spans="1:172" s="607" customFormat="1">
      <c r="A496" s="607">
        <f t="shared" si="15"/>
        <v>2011</v>
      </c>
      <c r="B496" s="607">
        <f t="shared" si="16"/>
        <v>3</v>
      </c>
      <c r="C496" s="666">
        <v>40756</v>
      </c>
      <c r="D496" s="957">
        <v>1.0484954545454543</v>
      </c>
      <c r="E496" s="920">
        <v>365.18779650673878</v>
      </c>
      <c r="F496" s="920">
        <v>348.29697632314071</v>
      </c>
      <c r="G496" s="920"/>
      <c r="H496" s="920"/>
      <c r="I496" s="954">
        <v>1755.8050000000001</v>
      </c>
      <c r="J496" s="954">
        <v>1691.22</v>
      </c>
      <c r="K496" s="954">
        <v>177.42500000000001</v>
      </c>
      <c r="L496" s="920">
        <v>169.21866397305234</v>
      </c>
      <c r="M496" s="917">
        <v>22083.86</v>
      </c>
      <c r="N496" s="917">
        <v>21062.427981219847</v>
      </c>
      <c r="O496" s="1175">
        <v>9041.2999999999993</v>
      </c>
      <c r="P496" s="1175">
        <v>8623.1179742401455</v>
      </c>
      <c r="Q496" s="1175">
        <v>2404.6999999999998</v>
      </c>
      <c r="R496" s="1175">
        <v>2293.4768000901727</v>
      </c>
      <c r="S496" s="1175">
        <v>2211.8200000000002</v>
      </c>
      <c r="T496" s="1175">
        <v>2109.5179673037997</v>
      </c>
      <c r="U496" s="920">
        <v>2322.7126203697708</v>
      </c>
      <c r="V496" s="920">
        <v>2215.2815353660426</v>
      </c>
      <c r="W496" s="920">
        <v>3384.1111007798872</v>
      </c>
      <c r="X496" s="920">
        <v>3227.5877650294374</v>
      </c>
      <c r="Y496" s="920"/>
      <c r="Z496" s="920"/>
      <c r="AA496" s="920"/>
      <c r="AB496" s="920"/>
      <c r="AC496" s="920">
        <v>40.298000000000002</v>
      </c>
      <c r="AD496" s="920">
        <v>39.020000000000003</v>
      </c>
      <c r="AE496" s="920">
        <v>36169.599999999999</v>
      </c>
      <c r="AF496" s="920">
        <v>34496.668386302459</v>
      </c>
      <c r="AG496" s="920">
        <v>1804.364</v>
      </c>
      <c r="AH496" s="920">
        <v>1720.9077942853182</v>
      </c>
      <c r="AI496" s="920">
        <v>763.97699999999998</v>
      </c>
      <c r="AJ496" s="920">
        <v>728.64121316691899</v>
      </c>
      <c r="AK496" s="920">
        <v>110.08</v>
      </c>
      <c r="AL496" s="920">
        <v>104.98853335298634</v>
      </c>
      <c r="AM496" s="920">
        <v>118.63</v>
      </c>
      <c r="AN496" s="920">
        <v>113.14307514230349</v>
      </c>
      <c r="AO496" s="920"/>
      <c r="AP496" s="920"/>
      <c r="AS496" s="1167"/>
      <c r="AT496" s="1167"/>
      <c r="AU496" s="1168"/>
      <c r="AV496" s="1168"/>
      <c r="AW496" s="1169"/>
      <c r="AX496" s="1169"/>
      <c r="AY496" s="1169"/>
      <c r="AZ496" s="1169"/>
      <c r="BA496" s="1803" t="s">
        <v>2</v>
      </c>
      <c r="BB496" s="1802">
        <v>2015</v>
      </c>
      <c r="BC496" s="1799" t="s">
        <v>249</v>
      </c>
      <c r="BD496" s="1799"/>
      <c r="BE496" s="1800">
        <v>49671862980.739998</v>
      </c>
      <c r="BF496" s="1801"/>
      <c r="BG496" s="1799"/>
      <c r="BH496" s="1888" t="s">
        <v>1</v>
      </c>
      <c r="BI496" s="1888" t="s">
        <v>311</v>
      </c>
      <c r="BJ496" s="1888" t="s">
        <v>32</v>
      </c>
      <c r="BK496" s="1888"/>
      <c r="BL496" s="1889">
        <v>59349000</v>
      </c>
      <c r="BM496" s="1801">
        <v>5.6898555596002522E-3</v>
      </c>
      <c r="BN496" s="1799">
        <v>2006</v>
      </c>
      <c r="BO496" s="1684"/>
      <c r="BP496" s="1696"/>
      <c r="BQ496" s="1169"/>
      <c r="BR496" s="1169"/>
      <c r="BS496" s="1169"/>
      <c r="BT496" s="1169"/>
      <c r="BU496" s="1169"/>
      <c r="BV496" s="1169"/>
      <c r="BW496" s="1169"/>
      <c r="BX496" s="1169"/>
      <c r="BY496" s="1169"/>
      <c r="BZ496" s="1169"/>
      <c r="CA496" s="1169"/>
      <c r="CB496" s="1169"/>
      <c r="CC496" s="1169"/>
      <c r="CD496" s="1169"/>
      <c r="CE496" s="1169"/>
      <c r="CF496" s="1169"/>
      <c r="CG496" s="1169"/>
      <c r="CH496" s="1169"/>
      <c r="CI496" s="1169"/>
      <c r="CJ496" s="1169"/>
      <c r="CK496" s="1169"/>
      <c r="CL496" s="1169"/>
      <c r="CM496" s="1169"/>
      <c r="CN496" s="1169"/>
      <c r="CO496" s="1169"/>
      <c r="CP496" s="1169"/>
      <c r="CQ496" s="1169"/>
      <c r="CR496" s="1169"/>
      <c r="CS496" s="1169"/>
      <c r="CT496" s="1169"/>
      <c r="CU496" s="1169"/>
      <c r="CV496" s="1169"/>
      <c r="CW496" s="1169"/>
      <c r="CX496" s="1169"/>
      <c r="CY496" s="1169"/>
      <c r="CZ496" s="1169"/>
      <c r="DA496" s="1168"/>
      <c r="DB496" s="1168"/>
      <c r="DC496" s="1168"/>
      <c r="DD496" s="1168"/>
      <c r="DE496" s="1168"/>
      <c r="DF496" s="1168"/>
      <c r="DG496" s="1168"/>
      <c r="DH496" s="1168"/>
      <c r="DI496" s="1168"/>
      <c r="DJ496" s="1168"/>
      <c r="DK496" s="1168"/>
      <c r="DL496" s="1168"/>
      <c r="DM496" s="1168"/>
      <c r="DN496" s="1168"/>
      <c r="DO496" s="1168"/>
      <c r="DP496" s="1168"/>
      <c r="DQ496" s="1168"/>
      <c r="DR496" s="1168"/>
      <c r="DS496" s="1168"/>
      <c r="DT496" s="1168"/>
      <c r="DU496" s="1168"/>
      <c r="DV496" s="1168"/>
      <c r="DW496" s="1168"/>
      <c r="DX496" s="1168"/>
      <c r="DY496" s="1168"/>
      <c r="DZ496" s="1168"/>
      <c r="EA496" s="1168"/>
      <c r="EB496" s="1168"/>
      <c r="EC496" s="1168"/>
      <c r="ED496" s="1168"/>
      <c r="EE496" s="1168"/>
      <c r="EF496" s="1168"/>
      <c r="EG496" s="1168"/>
      <c r="EH496" s="1168"/>
      <c r="EI496" s="1170"/>
      <c r="EJ496" s="1170"/>
      <c r="EK496" s="1170"/>
      <c r="EL496" s="1170"/>
      <c r="EM496" s="1170"/>
      <c r="EN496" s="1170"/>
      <c r="EO496" s="1170"/>
      <c r="EP496" s="1170"/>
      <c r="EQ496" s="1170"/>
      <c r="ER496" s="1170"/>
      <c r="ES496" s="1171"/>
      <c r="ET496" s="1171"/>
      <c r="EU496" s="1171"/>
      <c r="EV496" s="1171"/>
      <c r="EW496" s="1171"/>
      <c r="EX496" s="1171"/>
      <c r="EY496" s="1171"/>
      <c r="EZ496" s="1171"/>
      <c r="FA496" s="1171"/>
      <c r="FB496" s="1171"/>
      <c r="FC496" s="1171"/>
      <c r="FD496" s="1171"/>
      <c r="FE496" s="1171"/>
      <c r="FF496" s="1171"/>
      <c r="FG496" s="1171"/>
      <c r="FH496" s="1171"/>
      <c r="FI496" s="1171"/>
      <c r="FJ496" s="1171"/>
      <c r="FK496" s="1171"/>
      <c r="FL496" s="1171"/>
      <c r="FM496" s="1171"/>
      <c r="FN496" s="1171"/>
      <c r="FO496" s="1171"/>
      <c r="FP496" s="1171"/>
    </row>
    <row r="497" spans="1:172" s="607" customFormat="1">
      <c r="A497" s="607">
        <f t="shared" si="15"/>
        <v>2011</v>
      </c>
      <c r="B497" s="607">
        <f t="shared" si="16"/>
        <v>3</v>
      </c>
      <c r="C497" s="666">
        <v>40787</v>
      </c>
      <c r="D497" s="1709">
        <v>1.0238499999999997</v>
      </c>
      <c r="E497" s="1117">
        <v>343.95975179704118</v>
      </c>
      <c r="F497" s="1117">
        <v>335.94740616012234</v>
      </c>
      <c r="G497" s="1117"/>
      <c r="H497" s="1117"/>
      <c r="I497" s="959">
        <v>1771.85</v>
      </c>
      <c r="J497" s="959">
        <v>1759.97</v>
      </c>
      <c r="K497" s="960">
        <v>176.72</v>
      </c>
      <c r="L497" s="1121">
        <v>172.6034087024467</v>
      </c>
      <c r="M497" s="916">
        <v>20392.05</v>
      </c>
      <c r="N497" s="916">
        <v>19917.028861649662</v>
      </c>
      <c r="O497" s="1174">
        <v>8314.84</v>
      </c>
      <c r="P497" s="1174">
        <v>8121.1505591639425</v>
      </c>
      <c r="Q497" s="1174">
        <v>2298.8000000000002</v>
      </c>
      <c r="R497" s="1174">
        <v>2245.2507691556389</v>
      </c>
      <c r="S497" s="1174">
        <v>2076.77</v>
      </c>
      <c r="T497" s="1174">
        <v>2028.3928309811013</v>
      </c>
      <c r="U497" s="1120">
        <v>2380.4143069587622</v>
      </c>
      <c r="V497" s="1120">
        <v>2324.963917525773</v>
      </c>
      <c r="W497" s="1120">
        <v>3396.7098806443755</v>
      </c>
      <c r="X497" s="1120">
        <v>3317.5854672504533</v>
      </c>
      <c r="Y497" s="1119"/>
      <c r="Z497" s="1119"/>
      <c r="AA497" s="1119"/>
      <c r="AB497" s="1119"/>
      <c r="AC497" s="1178">
        <v>38.155000000000001</v>
      </c>
      <c r="AD497" s="1178">
        <v>37.94</v>
      </c>
      <c r="AE497" s="1178">
        <v>36872.25</v>
      </c>
      <c r="AF497" s="1178">
        <v>36013.332031059246</v>
      </c>
      <c r="AG497" s="1178">
        <v>1748.114</v>
      </c>
      <c r="AH497" s="1178">
        <v>1707.3926844752655</v>
      </c>
      <c r="AI497" s="1178">
        <v>708.95500000000004</v>
      </c>
      <c r="AJ497" s="1178">
        <v>692.44029887190527</v>
      </c>
      <c r="AK497" s="919">
        <v>110.88</v>
      </c>
      <c r="AL497" s="919">
        <v>108.29711383503445</v>
      </c>
      <c r="AM497" s="919">
        <v>120.04</v>
      </c>
      <c r="AN497" s="919">
        <v>117.24373687551892</v>
      </c>
      <c r="AO497" s="919"/>
      <c r="AP497" s="919"/>
      <c r="AS497" s="1167"/>
      <c r="AT497" s="1167"/>
      <c r="AU497" s="1168"/>
      <c r="AV497" s="1168"/>
      <c r="AW497" s="1169"/>
      <c r="AX497" s="1169"/>
      <c r="AY497" s="1169"/>
      <c r="AZ497" s="1169"/>
      <c r="BA497" s="1803" t="s">
        <v>2</v>
      </c>
      <c r="BB497" s="1802">
        <v>2011</v>
      </c>
      <c r="BC497" s="1799" t="s">
        <v>15</v>
      </c>
      <c r="BD497" s="1799">
        <v>1</v>
      </c>
      <c r="BE497" s="1800">
        <v>42894037039.711349</v>
      </c>
      <c r="BF497" s="1801">
        <v>0.68036534002252369</v>
      </c>
      <c r="BG497" s="1799"/>
      <c r="BH497" s="1888" t="s">
        <v>1</v>
      </c>
      <c r="BI497" s="1888" t="s">
        <v>311</v>
      </c>
      <c r="BJ497" s="1888" t="s">
        <v>249</v>
      </c>
      <c r="BK497" s="1888"/>
      <c r="BL497" s="1889">
        <v>10430669000</v>
      </c>
      <c r="BM497" s="1801">
        <v>1</v>
      </c>
      <c r="BN497" s="1799">
        <v>2006</v>
      </c>
      <c r="BO497" s="1684"/>
      <c r="BP497" s="1696"/>
      <c r="BQ497" s="1169"/>
      <c r="BR497" s="1169"/>
      <c r="BS497" s="1169"/>
      <c r="BT497" s="1169"/>
      <c r="BU497" s="1169"/>
      <c r="BV497" s="1169"/>
      <c r="BW497" s="1169"/>
      <c r="BX497" s="1169"/>
      <c r="BY497" s="1169"/>
      <c r="BZ497" s="1169"/>
      <c r="CA497" s="1169"/>
      <c r="CB497" s="1169"/>
      <c r="CC497" s="1169"/>
      <c r="CD497" s="1169"/>
      <c r="CE497" s="1169"/>
      <c r="CF497" s="1169"/>
      <c r="CG497" s="1169"/>
      <c r="CH497" s="1169"/>
      <c r="CI497" s="1169"/>
      <c r="CJ497" s="1169"/>
      <c r="CK497" s="1169"/>
      <c r="CL497" s="1169"/>
      <c r="CM497" s="1169"/>
      <c r="CN497" s="1169"/>
      <c r="CO497" s="1169"/>
      <c r="CP497" s="1169"/>
      <c r="CQ497" s="1169"/>
      <c r="CR497" s="1169"/>
      <c r="CS497" s="1169"/>
      <c r="CT497" s="1169"/>
      <c r="CU497" s="1169"/>
      <c r="CV497" s="1169"/>
      <c r="CW497" s="1169"/>
      <c r="CX497" s="1169"/>
      <c r="CY497" s="1169"/>
      <c r="CZ497" s="1169"/>
      <c r="DA497" s="1168"/>
      <c r="DB497" s="1168"/>
      <c r="DC497" s="1168"/>
      <c r="DD497" s="1168"/>
      <c r="DE497" s="1168"/>
      <c r="DF497" s="1168"/>
      <c r="DG497" s="1168"/>
      <c r="DH497" s="1168"/>
      <c r="DI497" s="1168"/>
      <c r="DJ497" s="1168"/>
      <c r="DK497" s="1168"/>
      <c r="DL497" s="1168"/>
      <c r="DM497" s="1168"/>
      <c r="DN497" s="1168"/>
      <c r="DO497" s="1168"/>
      <c r="DP497" s="1168"/>
      <c r="DQ497" s="1168"/>
      <c r="DR497" s="1168"/>
      <c r="DS497" s="1168"/>
      <c r="DT497" s="1168"/>
      <c r="DU497" s="1168"/>
      <c r="DV497" s="1168"/>
      <c r="DW497" s="1168"/>
      <c r="DX497" s="1168"/>
      <c r="DY497" s="1168"/>
      <c r="DZ497" s="1168"/>
      <c r="EA497" s="1168"/>
      <c r="EB497" s="1168"/>
      <c r="EC497" s="1168"/>
      <c r="ED497" s="1168"/>
      <c r="EE497" s="1168"/>
      <c r="EF497" s="1168"/>
      <c r="EG497" s="1168"/>
      <c r="EH497" s="1168"/>
      <c r="EI497" s="1170"/>
      <c r="EJ497" s="1170"/>
      <c r="EK497" s="1170"/>
      <c r="EL497" s="1170"/>
      <c r="EM497" s="1170"/>
      <c r="EN497" s="1170"/>
      <c r="EO497" s="1170"/>
      <c r="EP497" s="1170"/>
      <c r="EQ497" s="1170"/>
      <c r="ER497" s="1170"/>
      <c r="ES497" s="1171"/>
      <c r="ET497" s="1171"/>
      <c r="EU497" s="1171"/>
      <c r="EV497" s="1171"/>
      <c r="EW497" s="1171"/>
      <c r="EX497" s="1171"/>
      <c r="EY497" s="1171"/>
      <c r="EZ497" s="1171"/>
      <c r="FA497" s="1171"/>
      <c r="FB497" s="1171"/>
      <c r="FC497" s="1171"/>
      <c r="FD497" s="1171"/>
      <c r="FE497" s="1171"/>
      <c r="FF497" s="1171"/>
      <c r="FG497" s="1171"/>
      <c r="FH497" s="1171"/>
      <c r="FI497" s="1171"/>
      <c r="FJ497" s="1171"/>
      <c r="FK497" s="1171"/>
      <c r="FL497" s="1171"/>
      <c r="FM497" s="1171"/>
      <c r="FN497" s="1171"/>
      <c r="FO497" s="1171"/>
      <c r="FP497" s="1171"/>
    </row>
    <row r="498" spans="1:172" s="607" customFormat="1">
      <c r="A498" s="607">
        <f t="shared" si="15"/>
        <v>2011</v>
      </c>
      <c r="B498" s="607">
        <f t="shared" si="16"/>
        <v>4</v>
      </c>
      <c r="C498" s="666">
        <v>40817</v>
      </c>
      <c r="D498" s="957">
        <v>1.0135150000000002</v>
      </c>
      <c r="E498" s="920">
        <v>337.81692011805461</v>
      </c>
      <c r="F498" s="920">
        <v>333.31220565857888</v>
      </c>
      <c r="G498" s="920"/>
      <c r="H498" s="920"/>
      <c r="I498" s="954">
        <v>1665.19</v>
      </c>
      <c r="J498" s="954">
        <v>1686.47</v>
      </c>
      <c r="K498" s="954">
        <v>146.75</v>
      </c>
      <c r="L498" s="920">
        <v>144.79312097008923</v>
      </c>
      <c r="M498" s="917">
        <v>18886.43</v>
      </c>
      <c r="N498" s="917">
        <v>18634.583602610714</v>
      </c>
      <c r="O498" s="1175">
        <v>7347.5</v>
      </c>
      <c r="P498" s="1175">
        <v>7249.5227007000376</v>
      </c>
      <c r="Q498" s="1175">
        <v>1948.6</v>
      </c>
      <c r="R498" s="1175">
        <v>1922.615846830091</v>
      </c>
      <c r="S498" s="1175">
        <v>1859.17</v>
      </c>
      <c r="T498" s="1175">
        <v>1834.378376245048</v>
      </c>
      <c r="U498" s="920">
        <v>2440.6945790422942</v>
      </c>
      <c r="V498" s="920">
        <v>2408.1484527039993</v>
      </c>
      <c r="W498" s="920">
        <v>2989.5613516810208</v>
      </c>
      <c r="X498" s="920">
        <v>2949.6962074375024</v>
      </c>
      <c r="Y498" s="920"/>
      <c r="Z498" s="920"/>
      <c r="AA498" s="920"/>
      <c r="AB498" s="920"/>
      <c r="AC498" s="920">
        <v>31.975000000000001</v>
      </c>
      <c r="AD498" s="920">
        <v>32.24</v>
      </c>
      <c r="AE498" s="920">
        <v>32835</v>
      </c>
      <c r="AF498" s="920">
        <v>32397.152484176353</v>
      </c>
      <c r="AG498" s="920">
        <v>1535.19</v>
      </c>
      <c r="AH498" s="920">
        <v>1514.7185784127514</v>
      </c>
      <c r="AI498" s="920">
        <v>616.452</v>
      </c>
      <c r="AJ498" s="920">
        <v>608.23174792676957</v>
      </c>
      <c r="AK498" s="920">
        <v>109.44</v>
      </c>
      <c r="AL498" s="920">
        <v>107.98064162839226</v>
      </c>
      <c r="AM498" s="920">
        <v>118.58</v>
      </c>
      <c r="AN498" s="920">
        <v>116.99876173514943</v>
      </c>
      <c r="AO498" s="920"/>
      <c r="AP498" s="920"/>
      <c r="AS498" s="1167"/>
      <c r="AT498" s="1167"/>
      <c r="AU498" s="1168"/>
      <c r="AV498" s="1168"/>
      <c r="AW498" s="1169"/>
      <c r="AX498" s="1169"/>
      <c r="AY498" s="1169"/>
      <c r="AZ498" s="1169"/>
      <c r="BA498" s="1803" t="s">
        <v>2</v>
      </c>
      <c r="BB498" s="1802">
        <v>2011</v>
      </c>
      <c r="BC498" s="1799" t="s">
        <v>20</v>
      </c>
      <c r="BD498" s="1799">
        <v>2</v>
      </c>
      <c r="BE498" s="1800">
        <v>11280956876.016518</v>
      </c>
      <c r="BF498" s="1801">
        <v>0.17893331079153779</v>
      </c>
      <c r="BG498" s="1799"/>
      <c r="BH498" s="1890" t="s">
        <v>1</v>
      </c>
      <c r="BI498" s="1890" t="s">
        <v>312</v>
      </c>
      <c r="BJ498" s="1890" t="s">
        <v>51</v>
      </c>
      <c r="BK498" s="1890">
        <v>1</v>
      </c>
      <c r="BL498" s="1891">
        <v>4114066000</v>
      </c>
      <c r="BM498" s="1801">
        <v>0.34233391933014795</v>
      </c>
      <c r="BN498" s="1799">
        <v>2007</v>
      </c>
      <c r="BO498" s="1684"/>
      <c r="BP498" s="1696"/>
      <c r="BQ498" s="1169"/>
      <c r="BR498" s="1169"/>
      <c r="BS498" s="1169"/>
      <c r="BT498" s="1169"/>
      <c r="BU498" s="1169"/>
      <c r="BV498" s="1169"/>
      <c r="BW498" s="1169"/>
      <c r="BX498" s="1169"/>
      <c r="BY498" s="1169"/>
      <c r="BZ498" s="1169"/>
      <c r="CA498" s="1169"/>
      <c r="CB498" s="1169"/>
      <c r="CC498" s="1169"/>
      <c r="CD498" s="1169"/>
      <c r="CE498" s="1169"/>
      <c r="CF498" s="1169"/>
      <c r="CG498" s="1169"/>
      <c r="CH498" s="1169"/>
      <c r="CI498" s="1169"/>
      <c r="CJ498" s="1169"/>
      <c r="CK498" s="1169"/>
      <c r="CL498" s="1169"/>
      <c r="CM498" s="1169"/>
      <c r="CN498" s="1169"/>
      <c r="CO498" s="1169"/>
      <c r="CP498" s="1169"/>
      <c r="CQ498" s="1169"/>
      <c r="CR498" s="1169"/>
      <c r="CS498" s="1169"/>
      <c r="CT498" s="1169"/>
      <c r="CU498" s="1169"/>
      <c r="CV498" s="1169"/>
      <c r="CW498" s="1169"/>
      <c r="CX498" s="1169"/>
      <c r="CY498" s="1169"/>
      <c r="CZ498" s="1169"/>
      <c r="DA498" s="1168"/>
      <c r="DB498" s="1168"/>
      <c r="DC498" s="1168"/>
      <c r="DD498" s="1168"/>
      <c r="DE498" s="1168"/>
      <c r="DF498" s="1168"/>
      <c r="DG498" s="1168"/>
      <c r="DH498" s="1168"/>
      <c r="DI498" s="1168"/>
      <c r="DJ498" s="1168"/>
      <c r="DK498" s="1168"/>
      <c r="DL498" s="1168"/>
      <c r="DM498" s="1168"/>
      <c r="DN498" s="1168"/>
      <c r="DO498" s="1168"/>
      <c r="DP498" s="1168"/>
      <c r="DQ498" s="1168"/>
      <c r="DR498" s="1168"/>
      <c r="DS498" s="1168"/>
      <c r="DT498" s="1168"/>
      <c r="DU498" s="1168"/>
      <c r="DV498" s="1168"/>
      <c r="DW498" s="1168"/>
      <c r="DX498" s="1168"/>
      <c r="DY498" s="1168"/>
      <c r="DZ498" s="1168"/>
      <c r="EA498" s="1168"/>
      <c r="EB498" s="1168"/>
      <c r="EC498" s="1168"/>
      <c r="ED498" s="1168"/>
      <c r="EE498" s="1168"/>
      <c r="EF498" s="1168"/>
      <c r="EG498" s="1168"/>
      <c r="EH498" s="1168"/>
      <c r="EI498" s="1170"/>
      <c r="EJ498" s="1170"/>
      <c r="EK498" s="1170"/>
      <c r="EL498" s="1170"/>
      <c r="EM498" s="1170"/>
      <c r="EN498" s="1170"/>
      <c r="EO498" s="1170"/>
      <c r="EP498" s="1170"/>
      <c r="EQ498" s="1170"/>
      <c r="ER498" s="1170"/>
      <c r="ES498" s="1171"/>
      <c r="ET498" s="1171"/>
      <c r="EU498" s="1171"/>
      <c r="EV498" s="1171"/>
      <c r="EW498" s="1171"/>
      <c r="EX498" s="1171"/>
      <c r="EY498" s="1171"/>
      <c r="EZ498" s="1171"/>
      <c r="FA498" s="1171"/>
      <c r="FB498" s="1171"/>
      <c r="FC498" s="1171"/>
      <c r="FD498" s="1171"/>
      <c r="FE498" s="1171"/>
      <c r="FF498" s="1171"/>
      <c r="FG498" s="1171"/>
      <c r="FH498" s="1171"/>
      <c r="FI498" s="1171"/>
      <c r="FJ498" s="1171"/>
      <c r="FK498" s="1171"/>
      <c r="FL498" s="1171"/>
      <c r="FM498" s="1171"/>
      <c r="FN498" s="1171"/>
      <c r="FO498" s="1171"/>
      <c r="FP498" s="1171"/>
    </row>
    <row r="499" spans="1:172" s="607" customFormat="1">
      <c r="A499" s="607">
        <f t="shared" si="15"/>
        <v>2011</v>
      </c>
      <c r="B499" s="607">
        <f t="shared" si="16"/>
        <v>4</v>
      </c>
      <c r="C499" s="666">
        <v>40848</v>
      </c>
      <c r="D499" s="1709">
        <v>1.010240909090909</v>
      </c>
      <c r="E499" s="1117">
        <v>328.62789900425616</v>
      </c>
      <c r="F499" s="1117">
        <v>325.2965664397617</v>
      </c>
      <c r="G499" s="1117"/>
      <c r="H499" s="1117"/>
      <c r="I499" s="959">
        <v>1739.2729999999999</v>
      </c>
      <c r="J499" s="959">
        <v>1728.91</v>
      </c>
      <c r="K499" s="960">
        <v>137.1</v>
      </c>
      <c r="L499" s="1121">
        <v>135.71020413672707</v>
      </c>
      <c r="M499" s="916">
        <v>17882.05</v>
      </c>
      <c r="N499" s="916">
        <v>17700.777942254997</v>
      </c>
      <c r="O499" s="1174">
        <v>7551.77</v>
      </c>
      <c r="P499" s="1174">
        <v>7475.2169824479315</v>
      </c>
      <c r="Q499" s="1174">
        <v>1982.05</v>
      </c>
      <c r="R499" s="1174">
        <v>1961.9577688490144</v>
      </c>
      <c r="S499" s="1174">
        <v>1916.11</v>
      </c>
      <c r="T499" s="1174">
        <v>1896.686208960059</v>
      </c>
      <c r="U499" s="1120">
        <v>2568.6005931130521</v>
      </c>
      <c r="V499" s="1120">
        <v>2542.5624422836654</v>
      </c>
      <c r="W499" s="1120">
        <v>3312.4109334673799</v>
      </c>
      <c r="X499" s="1120">
        <v>3278.8327058029527</v>
      </c>
      <c r="Y499" s="1119"/>
      <c r="Z499" s="1119"/>
      <c r="AA499" s="1119"/>
      <c r="AB499" s="1119"/>
      <c r="AC499" s="1178">
        <v>33.082000000000001</v>
      </c>
      <c r="AD499" s="1178">
        <v>33.29</v>
      </c>
      <c r="AE499" s="1178">
        <v>31415.85</v>
      </c>
      <c r="AF499" s="1178">
        <v>31097.384512245055</v>
      </c>
      <c r="AG499" s="1178">
        <v>1599.548</v>
      </c>
      <c r="AH499" s="1178">
        <v>1583.333228347874</v>
      </c>
      <c r="AI499" s="1178">
        <v>630.38099999999997</v>
      </c>
      <c r="AJ499" s="1178">
        <v>623.99076727873194</v>
      </c>
      <c r="AK499" s="919">
        <v>110.5</v>
      </c>
      <c r="AL499" s="919">
        <v>109.37985089065165</v>
      </c>
      <c r="AM499" s="919">
        <v>120.47</v>
      </c>
      <c r="AN499" s="919">
        <v>119.24878404341</v>
      </c>
      <c r="AO499" s="919"/>
      <c r="AP499" s="919"/>
      <c r="AS499" s="1167"/>
      <c r="AT499" s="1167"/>
      <c r="AU499" s="1168"/>
      <c r="AV499" s="1168"/>
      <c r="AW499" s="1169"/>
      <c r="AX499" s="1169"/>
      <c r="AY499" s="1169"/>
      <c r="AZ499" s="1169"/>
      <c r="BA499" s="1803" t="s">
        <v>2</v>
      </c>
      <c r="BB499" s="1802">
        <v>2011</v>
      </c>
      <c r="BC499" s="1799" t="s">
        <v>581</v>
      </c>
      <c r="BD499" s="1799">
        <v>3</v>
      </c>
      <c r="BE499" s="1800">
        <v>6835474848.9729204</v>
      </c>
      <c r="BF499" s="1801">
        <v>0.10842113474959983</v>
      </c>
      <c r="BG499" s="1799"/>
      <c r="BH499" s="1890" t="s">
        <v>1</v>
      </c>
      <c r="BI499" s="1890" t="s">
        <v>312</v>
      </c>
      <c r="BJ499" s="1890" t="s">
        <v>18</v>
      </c>
      <c r="BK499" s="1890">
        <v>2</v>
      </c>
      <c r="BL499" s="1891">
        <v>4021766000</v>
      </c>
      <c r="BM499" s="1801">
        <v>0.33465358052319333</v>
      </c>
      <c r="BN499" s="1799">
        <v>2007</v>
      </c>
      <c r="BO499" s="1684"/>
      <c r="BP499" s="1696"/>
      <c r="BQ499" s="1169"/>
      <c r="BR499" s="1169"/>
      <c r="BS499" s="1169"/>
      <c r="BT499" s="1169"/>
      <c r="BU499" s="1169"/>
      <c r="BV499" s="1169"/>
      <c r="BW499" s="1169"/>
      <c r="BX499" s="1169"/>
      <c r="BY499" s="1169"/>
      <c r="BZ499" s="1169"/>
      <c r="CA499" s="1169"/>
      <c r="CB499" s="1169"/>
      <c r="CC499" s="1169"/>
      <c r="CD499" s="1169"/>
      <c r="CE499" s="1169"/>
      <c r="CF499" s="1169"/>
      <c r="CG499" s="1169"/>
      <c r="CH499" s="1169"/>
      <c r="CI499" s="1169"/>
      <c r="CJ499" s="1169"/>
      <c r="CK499" s="1169"/>
      <c r="CL499" s="1169"/>
      <c r="CM499" s="1169"/>
      <c r="CN499" s="1169"/>
      <c r="CO499" s="1169"/>
      <c r="CP499" s="1169"/>
      <c r="CQ499" s="1169"/>
      <c r="CR499" s="1169"/>
      <c r="CS499" s="1169"/>
      <c r="CT499" s="1169"/>
      <c r="CU499" s="1169"/>
      <c r="CV499" s="1169"/>
      <c r="CW499" s="1169"/>
      <c r="CX499" s="1169"/>
      <c r="CY499" s="1169"/>
      <c r="CZ499" s="1169"/>
      <c r="DA499" s="1168"/>
      <c r="DB499" s="1168"/>
      <c r="DC499" s="1168"/>
      <c r="DD499" s="1168"/>
      <c r="DE499" s="1168"/>
      <c r="DF499" s="1168"/>
      <c r="DG499" s="1168"/>
      <c r="DH499" s="1168"/>
      <c r="DI499" s="1168"/>
      <c r="DJ499" s="1168"/>
      <c r="DK499" s="1168"/>
      <c r="DL499" s="1168"/>
      <c r="DM499" s="1168"/>
      <c r="DN499" s="1168"/>
      <c r="DO499" s="1168"/>
      <c r="DP499" s="1168"/>
      <c r="DQ499" s="1168"/>
      <c r="DR499" s="1168"/>
      <c r="DS499" s="1168"/>
      <c r="DT499" s="1168"/>
      <c r="DU499" s="1168"/>
      <c r="DV499" s="1168"/>
      <c r="DW499" s="1168"/>
      <c r="DX499" s="1168"/>
      <c r="DY499" s="1168"/>
      <c r="DZ499" s="1168"/>
      <c r="EA499" s="1168"/>
      <c r="EB499" s="1168"/>
      <c r="EC499" s="1168"/>
      <c r="ED499" s="1168"/>
      <c r="EE499" s="1168"/>
      <c r="EF499" s="1168"/>
      <c r="EG499" s="1168"/>
      <c r="EH499" s="1168"/>
      <c r="EI499" s="1170"/>
      <c r="EJ499" s="1170"/>
      <c r="EK499" s="1170"/>
      <c r="EL499" s="1170"/>
      <c r="EM499" s="1170"/>
      <c r="EN499" s="1170"/>
      <c r="EO499" s="1170"/>
      <c r="EP499" s="1170"/>
      <c r="EQ499" s="1170"/>
      <c r="ER499" s="1170"/>
      <c r="ES499" s="1171"/>
      <c r="ET499" s="1171"/>
      <c r="EU499" s="1171"/>
      <c r="EV499" s="1171"/>
      <c r="EW499" s="1171"/>
      <c r="EX499" s="1171"/>
      <c r="EY499" s="1171"/>
      <c r="EZ499" s="1171"/>
      <c r="FA499" s="1171"/>
      <c r="FB499" s="1171"/>
      <c r="FC499" s="1171"/>
      <c r="FD499" s="1171"/>
      <c r="FE499" s="1171"/>
      <c r="FF499" s="1171"/>
      <c r="FG499" s="1171"/>
      <c r="FH499" s="1171"/>
      <c r="FI499" s="1171"/>
      <c r="FJ499" s="1171"/>
      <c r="FK499" s="1171"/>
      <c r="FL499" s="1171"/>
      <c r="FM499" s="1171"/>
      <c r="FN499" s="1171"/>
      <c r="FO499" s="1171"/>
      <c r="FP499" s="1171"/>
    </row>
    <row r="500" spans="1:172" s="607" customFormat="1">
      <c r="A500" s="607">
        <f t="shared" si="15"/>
        <v>2011</v>
      </c>
      <c r="B500" s="607">
        <f t="shared" si="16"/>
        <v>4</v>
      </c>
      <c r="C500" s="666">
        <v>40878</v>
      </c>
      <c r="D500" s="957">
        <v>1.0117049999999999</v>
      </c>
      <c r="E500" s="920">
        <v>311.62099938111299</v>
      </c>
      <c r="F500" s="920">
        <v>308.0156758947648</v>
      </c>
      <c r="G500" s="920"/>
      <c r="H500" s="920"/>
      <c r="I500" s="954">
        <v>1648.211</v>
      </c>
      <c r="J500" s="954">
        <v>1640.46</v>
      </c>
      <c r="K500" s="954">
        <v>136.91999999999999</v>
      </c>
      <c r="L500" s="920">
        <v>135.33589336812608</v>
      </c>
      <c r="M500" s="917">
        <v>18153.5</v>
      </c>
      <c r="N500" s="917">
        <v>17943.471664170884</v>
      </c>
      <c r="O500" s="1175">
        <v>7567.55</v>
      </c>
      <c r="P500" s="1175">
        <v>7479.9966393365667</v>
      </c>
      <c r="Q500" s="1175">
        <v>2018.98</v>
      </c>
      <c r="R500" s="1175">
        <v>1995.6212532309323</v>
      </c>
      <c r="S500" s="1175">
        <v>1916.38</v>
      </c>
      <c r="T500" s="1175">
        <v>1894.2082919428099</v>
      </c>
      <c r="U500" s="920">
        <v>2547.83782187</v>
      </c>
      <c r="V500" s="920">
        <v>2518.360413233107</v>
      </c>
      <c r="W500" s="920">
        <v>3274.2211459016744</v>
      </c>
      <c r="X500" s="920">
        <v>3236.3397886752314</v>
      </c>
      <c r="Y500" s="920"/>
      <c r="Z500" s="920"/>
      <c r="AA500" s="920"/>
      <c r="AB500" s="920"/>
      <c r="AC500" s="920">
        <v>30.411999999999999</v>
      </c>
      <c r="AD500" s="920">
        <v>30.47</v>
      </c>
      <c r="AE500" s="920">
        <v>31360.75</v>
      </c>
      <c r="AF500" s="920">
        <v>30997.919353961879</v>
      </c>
      <c r="AG500" s="920">
        <v>1467</v>
      </c>
      <c r="AH500" s="920">
        <v>1450.0274289442082</v>
      </c>
      <c r="AI500" s="920">
        <v>643.08299999999997</v>
      </c>
      <c r="AJ500" s="920">
        <v>635.64280101412965</v>
      </c>
      <c r="AK500" s="920">
        <v>107.91</v>
      </c>
      <c r="AL500" s="920">
        <v>106.66152682847274</v>
      </c>
      <c r="AM500" s="920">
        <v>117.54</v>
      </c>
      <c r="AN500" s="920">
        <v>116.18011179148074</v>
      </c>
      <c r="AO500" s="920"/>
      <c r="AP500" s="920"/>
      <c r="AS500" s="1167"/>
      <c r="AT500" s="1167"/>
      <c r="AU500" s="1168"/>
      <c r="AV500" s="1168"/>
      <c r="AW500" s="1169"/>
      <c r="AX500" s="1169"/>
      <c r="AY500" s="1169"/>
      <c r="AZ500" s="1169"/>
      <c r="BA500" s="1803" t="s">
        <v>2</v>
      </c>
      <c r="BB500" s="1802">
        <v>2011</v>
      </c>
      <c r="BC500" s="1799" t="s">
        <v>583</v>
      </c>
      <c r="BD500" s="1799">
        <v>4</v>
      </c>
      <c r="BE500" s="1800">
        <v>1899604274.4632068</v>
      </c>
      <c r="BF500" s="1801">
        <v>3.0130642795567847E-2</v>
      </c>
      <c r="BG500" s="1799"/>
      <c r="BH500" s="1890" t="s">
        <v>1</v>
      </c>
      <c r="BI500" s="1890" t="s">
        <v>312</v>
      </c>
      <c r="BJ500" s="1890" t="s">
        <v>29</v>
      </c>
      <c r="BK500" s="1890">
        <v>3</v>
      </c>
      <c r="BL500" s="1891">
        <v>1000317000</v>
      </c>
      <c r="BM500" s="1801">
        <v>8.3236982387393799E-2</v>
      </c>
      <c r="BN500" s="1799">
        <v>2007</v>
      </c>
      <c r="BO500" s="1684"/>
      <c r="BP500" s="1696"/>
      <c r="BQ500" s="1169"/>
      <c r="BR500" s="1169"/>
      <c r="BS500" s="1169"/>
      <c r="BT500" s="1169"/>
      <c r="BU500" s="1169"/>
      <c r="BV500" s="1169"/>
      <c r="BW500" s="1169"/>
      <c r="BX500" s="1169"/>
      <c r="BY500" s="1169"/>
      <c r="BZ500" s="1169"/>
      <c r="CA500" s="1169"/>
      <c r="CB500" s="1169"/>
      <c r="CC500" s="1169"/>
      <c r="CD500" s="1169"/>
      <c r="CE500" s="1169"/>
      <c r="CF500" s="1169"/>
      <c r="CG500" s="1169"/>
      <c r="CH500" s="1169"/>
      <c r="CI500" s="1169"/>
      <c r="CJ500" s="1169"/>
      <c r="CK500" s="1169"/>
      <c r="CL500" s="1169"/>
      <c r="CM500" s="1169"/>
      <c r="CN500" s="1169"/>
      <c r="CO500" s="1169"/>
      <c r="CP500" s="1169"/>
      <c r="CQ500" s="1169"/>
      <c r="CR500" s="1169"/>
      <c r="CS500" s="1169"/>
      <c r="CT500" s="1169"/>
      <c r="CU500" s="1169"/>
      <c r="CV500" s="1169"/>
      <c r="CW500" s="1169"/>
      <c r="CX500" s="1169"/>
      <c r="CY500" s="1169"/>
      <c r="CZ500" s="1169"/>
      <c r="DA500" s="1168"/>
      <c r="DB500" s="1168"/>
      <c r="DC500" s="1168"/>
      <c r="DD500" s="1168"/>
      <c r="DE500" s="1168"/>
      <c r="DF500" s="1168"/>
      <c r="DG500" s="1168"/>
      <c r="DH500" s="1168"/>
      <c r="DI500" s="1168"/>
      <c r="DJ500" s="1168"/>
      <c r="DK500" s="1168"/>
      <c r="DL500" s="1168"/>
      <c r="DM500" s="1168"/>
      <c r="DN500" s="1168"/>
      <c r="DO500" s="1168"/>
      <c r="DP500" s="1168"/>
      <c r="DQ500" s="1168"/>
      <c r="DR500" s="1168"/>
      <c r="DS500" s="1168"/>
      <c r="DT500" s="1168"/>
      <c r="DU500" s="1168"/>
      <c r="DV500" s="1168"/>
      <c r="DW500" s="1168"/>
      <c r="DX500" s="1168"/>
      <c r="DY500" s="1168"/>
      <c r="DZ500" s="1168"/>
      <c r="EA500" s="1168"/>
      <c r="EB500" s="1168"/>
      <c r="EC500" s="1168"/>
      <c r="ED500" s="1168"/>
      <c r="EE500" s="1168"/>
      <c r="EF500" s="1168"/>
      <c r="EG500" s="1168"/>
      <c r="EH500" s="1168"/>
      <c r="EI500" s="1170"/>
      <c r="EJ500" s="1170"/>
      <c r="EK500" s="1170"/>
      <c r="EL500" s="1170"/>
      <c r="EM500" s="1170"/>
      <c r="EN500" s="1170"/>
      <c r="EO500" s="1170"/>
      <c r="EP500" s="1170"/>
      <c r="EQ500" s="1170"/>
      <c r="ER500" s="1170"/>
      <c r="ES500" s="1171"/>
      <c r="ET500" s="1171"/>
      <c r="EU500" s="1171"/>
      <c r="EV500" s="1171"/>
      <c r="EW500" s="1171"/>
      <c r="EX500" s="1171"/>
      <c r="EY500" s="1171"/>
      <c r="EZ500" s="1171"/>
      <c r="FA500" s="1171"/>
      <c r="FB500" s="1171"/>
      <c r="FC500" s="1171"/>
      <c r="FD500" s="1171"/>
      <c r="FE500" s="1171"/>
      <c r="FF500" s="1171"/>
      <c r="FG500" s="1171"/>
      <c r="FH500" s="1171"/>
      <c r="FI500" s="1171"/>
      <c r="FJ500" s="1171"/>
      <c r="FK500" s="1171"/>
      <c r="FL500" s="1171"/>
      <c r="FM500" s="1171"/>
      <c r="FN500" s="1171"/>
      <c r="FO500" s="1171"/>
      <c r="FP500" s="1171"/>
    </row>
    <row r="501" spans="1:172" s="607" customFormat="1">
      <c r="A501" s="607">
        <f t="shared" si="15"/>
        <v>2012</v>
      </c>
      <c r="B501" s="607">
        <f t="shared" si="16"/>
        <v>1</v>
      </c>
      <c r="C501" s="666">
        <v>40909</v>
      </c>
      <c r="D501" s="1709">
        <v>1.0388050000000002</v>
      </c>
      <c r="E501" s="1117">
        <v>294.9989427142246</v>
      </c>
      <c r="F501" s="1117">
        <v>283.97913247840023</v>
      </c>
      <c r="G501" s="1117"/>
      <c r="H501" s="1117"/>
      <c r="I501" s="959">
        <v>1656.1189999999999</v>
      </c>
      <c r="J501" s="959">
        <v>1596.4</v>
      </c>
      <c r="K501" s="960">
        <v>140.44999999999999</v>
      </c>
      <c r="L501" s="1121">
        <v>135.20343086527305</v>
      </c>
      <c r="M501" s="916">
        <v>19821.900000000001</v>
      </c>
      <c r="N501" s="916">
        <v>19081.444544452519</v>
      </c>
      <c r="O501" s="1174">
        <v>8043.45</v>
      </c>
      <c r="P501" s="1174">
        <v>7742.9835243380603</v>
      </c>
      <c r="Q501" s="1174">
        <v>2094.0700000000002</v>
      </c>
      <c r="R501" s="1174">
        <v>2015.8451297404226</v>
      </c>
      <c r="S501" s="1174">
        <v>1980.69</v>
      </c>
      <c r="T501" s="1174">
        <v>1906.700487579478</v>
      </c>
      <c r="U501" s="1120">
        <v>2440.7470574360937</v>
      </c>
      <c r="V501" s="1120">
        <v>2349.5719191148419</v>
      </c>
      <c r="W501" s="1120">
        <v>3062.9345771544918</v>
      </c>
      <c r="X501" s="1120">
        <v>2948.5173609623471</v>
      </c>
      <c r="Y501" s="1119"/>
      <c r="Z501" s="1119"/>
      <c r="AA501" s="1119"/>
      <c r="AB501" s="1119"/>
      <c r="AC501" s="1178">
        <v>30.768999999999998</v>
      </c>
      <c r="AD501" s="1178">
        <v>29.79</v>
      </c>
      <c r="AE501" s="1178">
        <v>32793.75</v>
      </c>
      <c r="AF501" s="1178">
        <v>31568.72560297649</v>
      </c>
      <c r="AG501" s="1178">
        <v>1511.25</v>
      </c>
      <c r="AH501" s="1178">
        <v>1454.7966172669555</v>
      </c>
      <c r="AI501" s="1178">
        <v>658.9</v>
      </c>
      <c r="AJ501" s="1178">
        <v>634.2865119055067</v>
      </c>
      <c r="AK501" s="919">
        <v>111.16</v>
      </c>
      <c r="AL501" s="919">
        <v>107.00757119959951</v>
      </c>
      <c r="AM501" s="919">
        <v>121.45</v>
      </c>
      <c r="AN501" s="919">
        <v>116.91318389880678</v>
      </c>
      <c r="AO501" s="919"/>
      <c r="AP501" s="919"/>
      <c r="AS501" s="1167"/>
      <c r="AT501" s="1167"/>
      <c r="AU501" s="1168"/>
      <c r="AV501" s="1168"/>
      <c r="AW501" s="1169"/>
      <c r="AX501" s="1169"/>
      <c r="AY501" s="1169"/>
      <c r="AZ501" s="1169"/>
      <c r="BA501" s="1803" t="s">
        <v>2</v>
      </c>
      <c r="BB501" s="1802">
        <v>2011</v>
      </c>
      <c r="BC501" s="1799" t="s">
        <v>23</v>
      </c>
      <c r="BD501" s="1799">
        <v>5</v>
      </c>
      <c r="BE501" s="1800">
        <v>108289446.34869003</v>
      </c>
      <c r="BF501" s="1801">
        <v>1.7176370206811648E-3</v>
      </c>
      <c r="BG501" s="1799"/>
      <c r="BH501" s="1890" t="s">
        <v>1</v>
      </c>
      <c r="BI501" s="1890" t="s">
        <v>312</v>
      </c>
      <c r="BJ501" s="1890" t="s">
        <v>241</v>
      </c>
      <c r="BK501" s="1890">
        <v>4</v>
      </c>
      <c r="BL501" s="1891">
        <v>737220000</v>
      </c>
      <c r="BM501" s="1801">
        <v>6.1344521942178779E-2</v>
      </c>
      <c r="BN501" s="1799">
        <v>2007</v>
      </c>
      <c r="BO501" s="1684"/>
      <c r="BP501" s="1696"/>
      <c r="BQ501" s="1169"/>
      <c r="BR501" s="1169"/>
      <c r="BS501" s="1169"/>
      <c r="BT501" s="1169"/>
      <c r="BU501" s="1169"/>
      <c r="BV501" s="1169"/>
      <c r="BW501" s="1169"/>
      <c r="BX501" s="1169"/>
      <c r="BY501" s="1169"/>
      <c r="BZ501" s="1169"/>
      <c r="CA501" s="1169"/>
      <c r="CB501" s="1169"/>
      <c r="CC501" s="1169"/>
      <c r="CD501" s="1169"/>
      <c r="CE501" s="1169"/>
      <c r="CF501" s="1169"/>
      <c r="CG501" s="1169"/>
      <c r="CH501" s="1169"/>
      <c r="CI501" s="1169"/>
      <c r="CJ501" s="1169"/>
      <c r="CK501" s="1169"/>
      <c r="CL501" s="1169"/>
      <c r="CM501" s="1169"/>
      <c r="CN501" s="1169"/>
      <c r="CO501" s="1169"/>
      <c r="CP501" s="1169"/>
      <c r="CQ501" s="1169"/>
      <c r="CR501" s="1169"/>
      <c r="CS501" s="1169"/>
      <c r="CT501" s="1169"/>
      <c r="CU501" s="1169"/>
      <c r="CV501" s="1169"/>
      <c r="CW501" s="1169"/>
      <c r="CX501" s="1169"/>
      <c r="CY501" s="1169"/>
      <c r="CZ501" s="1169"/>
      <c r="DA501" s="1168"/>
      <c r="DB501" s="1168"/>
      <c r="DC501" s="1168"/>
      <c r="DD501" s="1168"/>
      <c r="DE501" s="1168"/>
      <c r="DF501" s="1168"/>
      <c r="DG501" s="1168"/>
      <c r="DH501" s="1168"/>
      <c r="DI501" s="1168"/>
      <c r="DJ501" s="1168"/>
      <c r="DK501" s="1168"/>
      <c r="DL501" s="1168"/>
      <c r="DM501" s="1168"/>
      <c r="DN501" s="1168"/>
      <c r="DO501" s="1168"/>
      <c r="DP501" s="1168"/>
      <c r="DQ501" s="1168"/>
      <c r="DR501" s="1168"/>
      <c r="DS501" s="1168"/>
      <c r="DT501" s="1168"/>
      <c r="DU501" s="1168"/>
      <c r="DV501" s="1168"/>
      <c r="DW501" s="1168"/>
      <c r="DX501" s="1168"/>
      <c r="DY501" s="1168"/>
      <c r="DZ501" s="1168"/>
      <c r="EA501" s="1168"/>
      <c r="EB501" s="1168"/>
      <c r="EC501" s="1168"/>
      <c r="ED501" s="1168"/>
      <c r="EE501" s="1168"/>
      <c r="EF501" s="1168"/>
      <c r="EG501" s="1168"/>
      <c r="EH501" s="1168"/>
      <c r="EI501" s="1170"/>
      <c r="EJ501" s="1170"/>
      <c r="EK501" s="1170"/>
      <c r="EL501" s="1170"/>
      <c r="EM501" s="1170"/>
      <c r="EN501" s="1170"/>
      <c r="EO501" s="1170"/>
      <c r="EP501" s="1170"/>
      <c r="EQ501" s="1170"/>
      <c r="ER501" s="1170"/>
      <c r="ES501" s="1171"/>
      <c r="ET501" s="1171"/>
      <c r="EU501" s="1171"/>
      <c r="EV501" s="1171"/>
      <c r="EW501" s="1171"/>
      <c r="EX501" s="1171"/>
      <c r="EY501" s="1171"/>
      <c r="EZ501" s="1171"/>
      <c r="FA501" s="1171"/>
      <c r="FB501" s="1171"/>
      <c r="FC501" s="1171"/>
      <c r="FD501" s="1171"/>
      <c r="FE501" s="1171"/>
      <c r="FF501" s="1171"/>
      <c r="FG501" s="1171"/>
      <c r="FH501" s="1171"/>
      <c r="FI501" s="1171"/>
      <c r="FJ501" s="1171"/>
      <c r="FK501" s="1171"/>
      <c r="FL501" s="1171"/>
      <c r="FM501" s="1171"/>
      <c r="FN501" s="1171"/>
      <c r="FO501" s="1171"/>
      <c r="FP501" s="1171"/>
    </row>
    <row r="502" spans="1:172" s="607" customFormat="1">
      <c r="A502" s="607">
        <f t="shared" si="15"/>
        <v>2012</v>
      </c>
      <c r="B502" s="607">
        <f t="shared" si="16"/>
        <v>1</v>
      </c>
      <c r="C502" s="666">
        <v>40940</v>
      </c>
      <c r="D502" s="957">
        <v>1.0725571428571428</v>
      </c>
      <c r="E502" s="920">
        <v>306.06104471239968</v>
      </c>
      <c r="F502" s="920">
        <v>285.35639965726739</v>
      </c>
      <c r="G502" s="920"/>
      <c r="H502" s="920"/>
      <c r="I502" s="954">
        <v>1742.6189999999999</v>
      </c>
      <c r="J502" s="954">
        <v>1633.51</v>
      </c>
      <c r="K502" s="954">
        <v>139.82499999999999</v>
      </c>
      <c r="L502" s="920">
        <v>130.36601446476379</v>
      </c>
      <c r="M502" s="917">
        <v>20465</v>
      </c>
      <c r="N502" s="917">
        <v>19080.568467880501</v>
      </c>
      <c r="O502" s="1175">
        <v>8422.69</v>
      </c>
      <c r="P502" s="1175">
        <v>7852.9056060949142</v>
      </c>
      <c r="Q502" s="1175">
        <v>2126.12</v>
      </c>
      <c r="R502" s="1175">
        <v>1982.2906538446171</v>
      </c>
      <c r="S502" s="1175">
        <v>2058.21</v>
      </c>
      <c r="T502" s="1175">
        <v>1918.9746800037296</v>
      </c>
      <c r="U502" s="920">
        <v>2362.3390632749915</v>
      </c>
      <c r="V502" s="920">
        <v>2202.5297943399542</v>
      </c>
      <c r="W502" s="920">
        <v>3075.9275646520928</v>
      </c>
      <c r="X502" s="920">
        <v>2867.8449303486527</v>
      </c>
      <c r="Y502" s="920"/>
      <c r="Z502" s="920"/>
      <c r="AA502" s="920"/>
      <c r="AB502" s="920"/>
      <c r="AC502" s="920">
        <v>34.14</v>
      </c>
      <c r="AD502" s="920">
        <v>32.11</v>
      </c>
      <c r="AE502" s="920">
        <v>34309.4</v>
      </c>
      <c r="AF502" s="920">
        <v>31988.412205809884</v>
      </c>
      <c r="AG502" s="920">
        <v>1657.7619999999999</v>
      </c>
      <c r="AH502" s="920">
        <v>1545.616483970218</v>
      </c>
      <c r="AI502" s="920">
        <v>703.048</v>
      </c>
      <c r="AJ502" s="920">
        <v>655.48768630376014</v>
      </c>
      <c r="AK502" s="920">
        <v>119.7</v>
      </c>
      <c r="AL502" s="920">
        <v>111.60244542415323</v>
      </c>
      <c r="AM502" s="920">
        <v>127.71</v>
      </c>
      <c r="AN502" s="920">
        <v>119.0705789901304</v>
      </c>
      <c r="AO502" s="920"/>
      <c r="AP502" s="920"/>
      <c r="AS502" s="1167"/>
      <c r="AT502" s="1167"/>
      <c r="AU502" s="1168"/>
      <c r="AV502" s="1168"/>
      <c r="AW502" s="1169"/>
      <c r="AX502" s="1169"/>
      <c r="AY502" s="1169"/>
      <c r="AZ502" s="1169"/>
      <c r="BA502" s="1803" t="s">
        <v>2</v>
      </c>
      <c r="BB502" s="1802">
        <v>2011</v>
      </c>
      <c r="BC502" s="1799" t="s">
        <v>32</v>
      </c>
      <c r="BD502" s="1799"/>
      <c r="BE502" s="1800">
        <v>27231574.718745954</v>
      </c>
      <c r="BF502" s="1801">
        <v>4.3193462008986577E-4</v>
      </c>
      <c r="BG502" s="1799"/>
      <c r="BH502" s="1890" t="s">
        <v>1</v>
      </c>
      <c r="BI502" s="1890" t="s">
        <v>312</v>
      </c>
      <c r="BJ502" s="1890" t="s">
        <v>77</v>
      </c>
      <c r="BK502" s="1890">
        <v>5</v>
      </c>
      <c r="BL502" s="1891">
        <v>612624000</v>
      </c>
      <c r="BM502" s="1801">
        <v>5.0976813448231649E-2</v>
      </c>
      <c r="BN502" s="1799">
        <v>2007</v>
      </c>
      <c r="BO502" s="1684"/>
      <c r="BP502" s="1696"/>
      <c r="BQ502" s="1169"/>
      <c r="BR502" s="1169"/>
      <c r="BS502" s="1169"/>
      <c r="BT502" s="1169"/>
      <c r="BU502" s="1169"/>
      <c r="BV502" s="1169"/>
      <c r="BW502" s="1169"/>
      <c r="BX502" s="1169"/>
      <c r="BY502" s="1169"/>
      <c r="BZ502" s="1169"/>
      <c r="CA502" s="1169"/>
      <c r="CB502" s="1169"/>
      <c r="CC502" s="1169"/>
      <c r="CD502" s="1169"/>
      <c r="CE502" s="1169"/>
      <c r="CF502" s="1169"/>
      <c r="CG502" s="1169"/>
      <c r="CH502" s="1169"/>
      <c r="CI502" s="1169"/>
      <c r="CJ502" s="1169"/>
      <c r="CK502" s="1169"/>
      <c r="CL502" s="1169"/>
      <c r="CM502" s="1169"/>
      <c r="CN502" s="1169"/>
      <c r="CO502" s="1169"/>
      <c r="CP502" s="1169"/>
      <c r="CQ502" s="1169"/>
      <c r="CR502" s="1169"/>
      <c r="CS502" s="1169"/>
      <c r="CT502" s="1169"/>
      <c r="CU502" s="1169"/>
      <c r="CV502" s="1169"/>
      <c r="CW502" s="1169"/>
      <c r="CX502" s="1169"/>
      <c r="CY502" s="1169"/>
      <c r="CZ502" s="1169"/>
      <c r="DA502" s="1168"/>
      <c r="DB502" s="1168"/>
      <c r="DC502" s="1168"/>
      <c r="DD502" s="1168"/>
      <c r="DE502" s="1168"/>
      <c r="DF502" s="1168"/>
      <c r="DG502" s="1168"/>
      <c r="DH502" s="1168"/>
      <c r="DI502" s="1168"/>
      <c r="DJ502" s="1168"/>
      <c r="DK502" s="1168"/>
      <c r="DL502" s="1168"/>
      <c r="DM502" s="1168"/>
      <c r="DN502" s="1168"/>
      <c r="DO502" s="1168"/>
      <c r="DP502" s="1168"/>
      <c r="DQ502" s="1168"/>
      <c r="DR502" s="1168"/>
      <c r="DS502" s="1168"/>
      <c r="DT502" s="1168"/>
      <c r="DU502" s="1168"/>
      <c r="DV502" s="1168"/>
      <c r="DW502" s="1168"/>
      <c r="DX502" s="1168"/>
      <c r="DY502" s="1168"/>
      <c r="DZ502" s="1168"/>
      <c r="EA502" s="1168"/>
      <c r="EB502" s="1168"/>
      <c r="EC502" s="1168"/>
      <c r="ED502" s="1168"/>
      <c r="EE502" s="1168"/>
      <c r="EF502" s="1168"/>
      <c r="EG502" s="1168"/>
      <c r="EH502" s="1168"/>
      <c r="EI502" s="1170"/>
      <c r="EJ502" s="1170"/>
      <c r="EK502" s="1170"/>
      <c r="EL502" s="1170"/>
      <c r="EM502" s="1170"/>
      <c r="EN502" s="1170"/>
      <c r="EO502" s="1170"/>
      <c r="EP502" s="1170"/>
      <c r="EQ502" s="1170"/>
      <c r="ER502" s="1170"/>
      <c r="ES502" s="1171"/>
      <c r="ET502" s="1171"/>
      <c r="EU502" s="1171"/>
      <c r="EV502" s="1171"/>
      <c r="EW502" s="1171"/>
      <c r="EX502" s="1171"/>
      <c r="EY502" s="1171"/>
      <c r="EZ502" s="1171"/>
      <c r="FA502" s="1171"/>
      <c r="FB502" s="1171"/>
      <c r="FC502" s="1171"/>
      <c r="FD502" s="1171"/>
      <c r="FE502" s="1171"/>
      <c r="FF502" s="1171"/>
      <c r="FG502" s="1171"/>
      <c r="FH502" s="1171"/>
      <c r="FI502" s="1171"/>
      <c r="FJ502" s="1171"/>
      <c r="FK502" s="1171"/>
      <c r="FL502" s="1171"/>
      <c r="FM502" s="1171"/>
      <c r="FN502" s="1171"/>
      <c r="FO502" s="1171"/>
      <c r="FP502" s="1171"/>
    </row>
    <row r="503" spans="1:172" s="607" customFormat="1">
      <c r="A503" s="607">
        <f t="shared" si="15"/>
        <v>2012</v>
      </c>
      <c r="B503" s="607">
        <f t="shared" si="16"/>
        <v>1</v>
      </c>
      <c r="C503" s="666">
        <v>40969</v>
      </c>
      <c r="D503" s="1709">
        <v>1.0543272727272726</v>
      </c>
      <c r="E503" s="1117">
        <v>315.19499685879708</v>
      </c>
      <c r="F503" s="1117">
        <v>298.95365984744848</v>
      </c>
      <c r="G503" s="1117"/>
      <c r="H503" s="1117"/>
      <c r="I503" s="959">
        <v>1673.7729999999999</v>
      </c>
      <c r="J503" s="959">
        <v>1599.14</v>
      </c>
      <c r="K503" s="960">
        <v>144.65</v>
      </c>
      <c r="L503" s="1121">
        <v>137.19648892874392</v>
      </c>
      <c r="M503" s="916">
        <v>18701.59</v>
      </c>
      <c r="N503" s="916">
        <v>17737.936297164935</v>
      </c>
      <c r="O503" s="1174">
        <v>8457.0499999999993</v>
      </c>
      <c r="P503" s="1174">
        <v>8021.2759536455824</v>
      </c>
      <c r="Q503" s="1174">
        <v>2060.5700000000002</v>
      </c>
      <c r="R503" s="1174">
        <v>1954.3931503069605</v>
      </c>
      <c r="S503" s="1174">
        <v>2033.86</v>
      </c>
      <c r="T503" s="1174">
        <v>1929.0594605780509</v>
      </c>
      <c r="U503" s="1120">
        <v>2394.5837468819391</v>
      </c>
      <c r="V503" s="1120">
        <v>2271.1958694644868</v>
      </c>
      <c r="W503" s="1120">
        <v>3473.5400254405649</v>
      </c>
      <c r="X503" s="1120">
        <v>3294.55579428901</v>
      </c>
      <c r="Y503" s="1119"/>
      <c r="Z503" s="1119"/>
      <c r="AA503" s="1119"/>
      <c r="AB503" s="1119"/>
      <c r="AC503" s="1178">
        <v>32.953000000000003</v>
      </c>
      <c r="AD503" s="1178">
        <v>31.62</v>
      </c>
      <c r="AE503" s="1178">
        <v>31966.95</v>
      </c>
      <c r="AF503" s="1178">
        <v>30319.760122784031</v>
      </c>
      <c r="AG503" s="1178">
        <v>1655.4090000000001</v>
      </c>
      <c r="AH503" s="1178">
        <v>1570.1092467407054</v>
      </c>
      <c r="AI503" s="1178">
        <v>684.45500000000004</v>
      </c>
      <c r="AJ503" s="1178">
        <v>649.18646961440311</v>
      </c>
      <c r="AK503" s="919">
        <v>124.93</v>
      </c>
      <c r="AL503" s="919">
        <v>118.49261916258538</v>
      </c>
      <c r="AM503" s="919">
        <v>134.03</v>
      </c>
      <c r="AN503" s="919">
        <v>127.12371525143135</v>
      </c>
      <c r="AO503" s="919"/>
      <c r="AP503" s="919"/>
      <c r="AS503" s="1167"/>
      <c r="AT503" s="1167"/>
      <c r="AU503" s="1168"/>
      <c r="AV503" s="1168"/>
      <c r="AW503" s="1169"/>
      <c r="AX503" s="1169"/>
      <c r="AY503" s="1169"/>
      <c r="AZ503" s="1169"/>
      <c r="BA503" s="1803" t="s">
        <v>2</v>
      </c>
      <c r="BB503" s="1802">
        <v>2011</v>
      </c>
      <c r="BC503" s="1799" t="s">
        <v>249</v>
      </c>
      <c r="BD503" s="1799"/>
      <c r="BE503" s="1800">
        <v>63045594060.231415</v>
      </c>
      <c r="BF503" s="1801"/>
      <c r="BG503" s="1799"/>
      <c r="BH503" s="1890" t="s">
        <v>1</v>
      </c>
      <c r="BI503" s="1890" t="s">
        <v>312</v>
      </c>
      <c r="BJ503" s="1890" t="s">
        <v>28</v>
      </c>
      <c r="BK503" s="1890">
        <v>6</v>
      </c>
      <c r="BL503" s="1891">
        <v>566331000</v>
      </c>
      <c r="BM503" s="1801">
        <v>4.7124744928292849E-2</v>
      </c>
      <c r="BN503" s="1799">
        <v>2007</v>
      </c>
      <c r="BO503" s="1684"/>
      <c r="BP503" s="1696"/>
      <c r="BQ503" s="1169"/>
      <c r="BR503" s="1169"/>
      <c r="BS503" s="1169"/>
      <c r="BT503" s="1169"/>
      <c r="BU503" s="1169"/>
      <c r="BV503" s="1169"/>
      <c r="BW503" s="1169"/>
      <c r="BX503" s="1169"/>
      <c r="BY503" s="1169"/>
      <c r="BZ503" s="1169"/>
      <c r="CA503" s="1169"/>
      <c r="CB503" s="1169"/>
      <c r="CC503" s="1169"/>
      <c r="CD503" s="1169"/>
      <c r="CE503" s="1169"/>
      <c r="CF503" s="1169"/>
      <c r="CG503" s="1169"/>
      <c r="CH503" s="1169"/>
      <c r="CI503" s="1169"/>
      <c r="CJ503" s="1169"/>
      <c r="CK503" s="1169"/>
      <c r="CL503" s="1169"/>
      <c r="CM503" s="1169"/>
      <c r="CN503" s="1169"/>
      <c r="CO503" s="1169"/>
      <c r="CP503" s="1169"/>
      <c r="CQ503" s="1169"/>
      <c r="CR503" s="1169"/>
      <c r="CS503" s="1169"/>
      <c r="CT503" s="1169"/>
      <c r="CU503" s="1169"/>
      <c r="CV503" s="1169"/>
      <c r="CW503" s="1169"/>
      <c r="CX503" s="1169"/>
      <c r="CY503" s="1169"/>
      <c r="CZ503" s="1169"/>
      <c r="DA503" s="1168"/>
      <c r="DB503" s="1168"/>
      <c r="DC503" s="1168"/>
      <c r="DD503" s="1168"/>
      <c r="DE503" s="1168"/>
      <c r="DF503" s="1168"/>
      <c r="DG503" s="1168"/>
      <c r="DH503" s="1168"/>
      <c r="DI503" s="1168"/>
      <c r="DJ503" s="1168"/>
      <c r="DK503" s="1168"/>
      <c r="DL503" s="1168"/>
      <c r="DM503" s="1168"/>
      <c r="DN503" s="1168"/>
      <c r="DO503" s="1168"/>
      <c r="DP503" s="1168"/>
      <c r="DQ503" s="1168"/>
      <c r="DR503" s="1168"/>
      <c r="DS503" s="1168"/>
      <c r="DT503" s="1168"/>
      <c r="DU503" s="1168"/>
      <c r="DV503" s="1168"/>
      <c r="DW503" s="1168"/>
      <c r="DX503" s="1168"/>
      <c r="DY503" s="1168"/>
      <c r="DZ503" s="1168"/>
      <c r="EA503" s="1168"/>
      <c r="EB503" s="1168"/>
      <c r="EC503" s="1168"/>
      <c r="ED503" s="1168"/>
      <c r="EE503" s="1168"/>
      <c r="EF503" s="1168"/>
      <c r="EG503" s="1168"/>
      <c r="EH503" s="1168"/>
      <c r="EI503" s="1170"/>
      <c r="EJ503" s="1170"/>
      <c r="EK503" s="1170"/>
      <c r="EL503" s="1170"/>
      <c r="EM503" s="1170"/>
      <c r="EN503" s="1170"/>
      <c r="EO503" s="1170"/>
      <c r="EP503" s="1170"/>
      <c r="EQ503" s="1170"/>
      <c r="ER503" s="1170"/>
      <c r="ES503" s="1171"/>
      <c r="ET503" s="1171"/>
      <c r="EU503" s="1171"/>
      <c r="EV503" s="1171"/>
      <c r="EW503" s="1171"/>
      <c r="EX503" s="1171"/>
      <c r="EY503" s="1171"/>
      <c r="EZ503" s="1171"/>
      <c r="FA503" s="1171"/>
      <c r="FB503" s="1171"/>
      <c r="FC503" s="1171"/>
      <c r="FD503" s="1171"/>
      <c r="FE503" s="1171"/>
      <c r="FF503" s="1171"/>
      <c r="FG503" s="1171"/>
      <c r="FH503" s="1171"/>
      <c r="FI503" s="1171"/>
      <c r="FJ503" s="1171"/>
      <c r="FK503" s="1171"/>
      <c r="FL503" s="1171"/>
      <c r="FM503" s="1171"/>
      <c r="FN503" s="1171"/>
      <c r="FO503" s="1171"/>
      <c r="FP503" s="1171"/>
    </row>
    <row r="504" spans="1:172" s="607" customFormat="1">
      <c r="A504" s="607">
        <f t="shared" si="15"/>
        <v>2012</v>
      </c>
      <c r="B504" s="607">
        <f t="shared" si="16"/>
        <v>2</v>
      </c>
      <c r="C504" s="666">
        <v>41000</v>
      </c>
      <c r="D504" s="957">
        <v>1.0350333333333335</v>
      </c>
      <c r="E504" s="920">
        <v>313.46319807358583</v>
      </c>
      <c r="F504" s="920">
        <v>302.85323958028965</v>
      </c>
      <c r="G504" s="920"/>
      <c r="H504" s="920"/>
      <c r="I504" s="954">
        <v>1650.066</v>
      </c>
      <c r="J504" s="954">
        <v>1603.44</v>
      </c>
      <c r="K504" s="954">
        <v>147.69999999999999</v>
      </c>
      <c r="L504" s="920">
        <v>142.70071817332772</v>
      </c>
      <c r="M504" s="917">
        <v>17897.37</v>
      </c>
      <c r="N504" s="917">
        <v>17291.588032591539</v>
      </c>
      <c r="O504" s="1175">
        <v>8259.6299999999992</v>
      </c>
      <c r="P504" s="1175">
        <v>7980.0618337573651</v>
      </c>
      <c r="Q504" s="1175">
        <v>2063.0500000000002</v>
      </c>
      <c r="R504" s="1175">
        <v>1993.2208302470128</v>
      </c>
      <c r="S504" s="1175">
        <v>1996.74</v>
      </c>
      <c r="T504" s="1175">
        <v>1929.1552607001383</v>
      </c>
      <c r="U504" s="920">
        <v>2299.4892783867872</v>
      </c>
      <c r="V504" s="920">
        <v>2221.6572204310201</v>
      </c>
      <c r="W504" s="920">
        <v>3449.100490811592</v>
      </c>
      <c r="X504" s="920">
        <v>3332.3569200459806</v>
      </c>
      <c r="Y504" s="920"/>
      <c r="Z504" s="920"/>
      <c r="AA504" s="920"/>
      <c r="AB504" s="920"/>
      <c r="AC504" s="920">
        <v>31.552</v>
      </c>
      <c r="AD504" s="920">
        <v>30.88</v>
      </c>
      <c r="AE504" s="920">
        <v>32655.95</v>
      </c>
      <c r="AF504" s="920">
        <v>31550.626388844157</v>
      </c>
      <c r="AG504" s="920">
        <v>1585.1579999999999</v>
      </c>
      <c r="AH504" s="920">
        <v>1531.5042993784416</v>
      </c>
      <c r="AI504" s="920">
        <v>655.57899999999995</v>
      </c>
      <c r="AJ504" s="920">
        <v>633.38926282567377</v>
      </c>
      <c r="AK504" s="920">
        <v>120.46</v>
      </c>
      <c r="AL504" s="920">
        <v>116.3827251940356</v>
      </c>
      <c r="AM504" s="920">
        <v>129.59</v>
      </c>
      <c r="AN504" s="920">
        <v>125.20369714340922</v>
      </c>
      <c r="AO504" s="920"/>
      <c r="AP504" s="920"/>
      <c r="AS504" s="1167"/>
      <c r="AT504" s="1167"/>
      <c r="AU504" s="1168"/>
      <c r="AV504" s="1168"/>
      <c r="AW504" s="1169"/>
      <c r="AX504" s="1169"/>
      <c r="AY504" s="1169"/>
      <c r="AZ504" s="1169"/>
      <c r="BA504" s="1803" t="s">
        <v>2</v>
      </c>
      <c r="BB504" s="1802">
        <v>2010</v>
      </c>
      <c r="BC504" s="1799" t="s">
        <v>15</v>
      </c>
      <c r="BD504" s="1799">
        <v>1</v>
      </c>
      <c r="BE504" s="1800">
        <v>35057809265.178223</v>
      </c>
      <c r="BF504" s="1801">
        <v>0.69189485800000317</v>
      </c>
      <c r="BG504" s="1799"/>
      <c r="BH504" s="1890" t="s">
        <v>1</v>
      </c>
      <c r="BI504" s="1890" t="s">
        <v>312</v>
      </c>
      <c r="BJ504" s="1890" t="s">
        <v>49</v>
      </c>
      <c r="BK504" s="1890">
        <v>7</v>
      </c>
      <c r="BL504" s="1891">
        <v>528556000</v>
      </c>
      <c r="BM504" s="1801">
        <v>4.3981464338555994E-2</v>
      </c>
      <c r="BN504" s="1799">
        <v>2007</v>
      </c>
      <c r="BO504" s="1684"/>
      <c r="BP504" s="1696"/>
      <c r="BQ504" s="1169"/>
      <c r="BR504" s="1169"/>
      <c r="BS504" s="1169"/>
      <c r="BT504" s="1169"/>
      <c r="BU504" s="1169"/>
      <c r="BV504" s="1169"/>
      <c r="BW504" s="1169"/>
      <c r="BX504" s="1169"/>
      <c r="BY504" s="1169"/>
      <c r="BZ504" s="1169"/>
      <c r="CA504" s="1169"/>
      <c r="CB504" s="1169"/>
      <c r="CC504" s="1169"/>
      <c r="CD504" s="1169"/>
      <c r="CE504" s="1169"/>
      <c r="CF504" s="1169"/>
      <c r="CG504" s="1169"/>
      <c r="CH504" s="1169"/>
      <c r="CI504" s="1169"/>
      <c r="CJ504" s="1169"/>
      <c r="CK504" s="1169"/>
      <c r="CL504" s="1169"/>
      <c r="CM504" s="1169"/>
      <c r="CN504" s="1169"/>
      <c r="CO504" s="1169"/>
      <c r="CP504" s="1169"/>
      <c r="CQ504" s="1169"/>
      <c r="CR504" s="1169"/>
      <c r="CS504" s="1169"/>
      <c r="CT504" s="1169"/>
      <c r="CU504" s="1169"/>
      <c r="CV504" s="1169"/>
      <c r="CW504" s="1169"/>
      <c r="CX504" s="1169"/>
      <c r="CY504" s="1169"/>
      <c r="CZ504" s="1169"/>
      <c r="DA504" s="1168"/>
      <c r="DB504" s="1168"/>
      <c r="DC504" s="1168"/>
      <c r="DD504" s="1168"/>
      <c r="DE504" s="1168"/>
      <c r="DF504" s="1168"/>
      <c r="DG504" s="1168"/>
      <c r="DH504" s="1168"/>
      <c r="DI504" s="1168"/>
      <c r="DJ504" s="1168"/>
      <c r="DK504" s="1168"/>
      <c r="DL504" s="1168"/>
      <c r="DM504" s="1168"/>
      <c r="DN504" s="1168"/>
      <c r="DO504" s="1168"/>
      <c r="DP504" s="1168"/>
      <c r="DQ504" s="1168"/>
      <c r="DR504" s="1168"/>
      <c r="DS504" s="1168"/>
      <c r="DT504" s="1168"/>
      <c r="DU504" s="1168"/>
      <c r="DV504" s="1168"/>
      <c r="DW504" s="1168"/>
      <c r="DX504" s="1168"/>
      <c r="DY504" s="1168"/>
      <c r="DZ504" s="1168"/>
      <c r="EA504" s="1168"/>
      <c r="EB504" s="1168"/>
      <c r="EC504" s="1168"/>
      <c r="ED504" s="1168"/>
      <c r="EE504" s="1168"/>
      <c r="EF504" s="1168"/>
      <c r="EG504" s="1168"/>
      <c r="EH504" s="1168"/>
      <c r="EI504" s="1170"/>
      <c r="EJ504" s="1170"/>
      <c r="EK504" s="1170"/>
      <c r="EL504" s="1170"/>
      <c r="EM504" s="1170"/>
      <c r="EN504" s="1170"/>
      <c r="EO504" s="1170"/>
      <c r="EP504" s="1170"/>
      <c r="EQ504" s="1170"/>
      <c r="ER504" s="1170"/>
      <c r="ES504" s="1171"/>
      <c r="ET504" s="1171"/>
      <c r="EU504" s="1171"/>
      <c r="EV504" s="1171"/>
      <c r="EW504" s="1171"/>
      <c r="EX504" s="1171"/>
      <c r="EY504" s="1171"/>
      <c r="EZ504" s="1171"/>
      <c r="FA504" s="1171"/>
      <c r="FB504" s="1171"/>
      <c r="FC504" s="1171"/>
      <c r="FD504" s="1171"/>
      <c r="FE504" s="1171"/>
      <c r="FF504" s="1171"/>
      <c r="FG504" s="1171"/>
      <c r="FH504" s="1171"/>
      <c r="FI504" s="1171"/>
      <c r="FJ504" s="1171"/>
      <c r="FK504" s="1171"/>
      <c r="FL504" s="1171"/>
      <c r="FM504" s="1171"/>
      <c r="FN504" s="1171"/>
      <c r="FO504" s="1171"/>
      <c r="FP504" s="1171"/>
    </row>
    <row r="505" spans="1:172" s="607" customFormat="1">
      <c r="A505" s="607">
        <f t="shared" si="15"/>
        <v>2012</v>
      </c>
      <c r="B505" s="607">
        <f t="shared" si="16"/>
        <v>2</v>
      </c>
      <c r="C505" s="666">
        <v>41030</v>
      </c>
      <c r="D505" s="1709">
        <v>0.99927826086956517</v>
      </c>
      <c r="E505" s="1117">
        <v>308.56215456108868</v>
      </c>
      <c r="F505" s="1117">
        <v>308.78501679059843</v>
      </c>
      <c r="G505" s="1117"/>
      <c r="H505" s="1117"/>
      <c r="I505" s="959">
        <v>1585.5050000000001</v>
      </c>
      <c r="J505" s="959">
        <v>1601.99</v>
      </c>
      <c r="K505" s="960">
        <v>135.875</v>
      </c>
      <c r="L505" s="1121">
        <v>135.9731371337574</v>
      </c>
      <c r="M505" s="916">
        <v>17020</v>
      </c>
      <c r="N505" s="916">
        <v>17032.292872246926</v>
      </c>
      <c r="O505" s="1174">
        <v>7919.9309999999996</v>
      </c>
      <c r="P505" s="1174">
        <v>7925.6512526432116</v>
      </c>
      <c r="Q505" s="1174">
        <v>1998.9091000000001</v>
      </c>
      <c r="R505" s="1174">
        <v>2000.3528329141905</v>
      </c>
      <c r="S505" s="1174">
        <v>1930.0227</v>
      </c>
      <c r="T505" s="1174">
        <v>1931.4166789944047</v>
      </c>
      <c r="U505" s="1120">
        <v>2525.4005053893479</v>
      </c>
      <c r="V505" s="1120">
        <v>2527.2245022039824</v>
      </c>
      <c r="W505" s="1120">
        <v>3483.4833872773775</v>
      </c>
      <c r="X505" s="1120">
        <v>3485.9993694309669</v>
      </c>
      <c r="Y505" s="1119"/>
      <c r="Z505" s="1119"/>
      <c r="AA505" s="1119"/>
      <c r="AB505" s="1119"/>
      <c r="AC505" s="1178">
        <v>28.666</v>
      </c>
      <c r="AD505" s="1178">
        <v>29.26</v>
      </c>
      <c r="AE505" s="1178">
        <v>30794.32</v>
      </c>
      <c r="AF505" s="1178">
        <v>30816.561518313218</v>
      </c>
      <c r="AG505" s="1178">
        <v>1468</v>
      </c>
      <c r="AH505" s="1178">
        <v>1469.0602782878077</v>
      </c>
      <c r="AI505" s="1178">
        <v>618.04499999999996</v>
      </c>
      <c r="AJ505" s="1178">
        <v>618.49138943759408</v>
      </c>
      <c r="AK505" s="919">
        <v>110.15</v>
      </c>
      <c r="AL505" s="919">
        <v>110.22955698460629</v>
      </c>
      <c r="AM505" s="919">
        <v>118.76</v>
      </c>
      <c r="AN505" s="919">
        <v>118.84577564677116</v>
      </c>
      <c r="AO505" s="919"/>
      <c r="AP505" s="919"/>
      <c r="AS505" s="1167"/>
      <c r="AT505" s="1167"/>
      <c r="AU505" s="1168"/>
      <c r="AV505" s="1168"/>
      <c r="AW505" s="1169"/>
      <c r="AX505" s="1169"/>
      <c r="AY505" s="1169"/>
      <c r="AZ505" s="1169"/>
      <c r="BA505" s="1803" t="s">
        <v>2</v>
      </c>
      <c r="BB505" s="1802">
        <v>2010</v>
      </c>
      <c r="BC505" s="1799" t="s">
        <v>20</v>
      </c>
      <c r="BD505" s="1799">
        <v>2</v>
      </c>
      <c r="BE505" s="1800">
        <v>9068999543.5983448</v>
      </c>
      <c r="BF505" s="1801">
        <v>0.17898420588569461</v>
      </c>
      <c r="BG505" s="1799"/>
      <c r="BH505" s="1890" t="s">
        <v>1</v>
      </c>
      <c r="BI505" s="1890" t="s">
        <v>312</v>
      </c>
      <c r="BJ505" s="1890" t="s">
        <v>581</v>
      </c>
      <c r="BK505" s="1890">
        <v>8</v>
      </c>
      <c r="BL505" s="1891">
        <v>187138000</v>
      </c>
      <c r="BM505" s="1801">
        <v>1.5571866128449382E-2</v>
      </c>
      <c r="BN505" s="1799">
        <v>2007</v>
      </c>
      <c r="BO505" s="1684"/>
      <c r="BP505" s="1696"/>
      <c r="BQ505" s="1169"/>
      <c r="BR505" s="1169"/>
      <c r="BS505" s="1169"/>
      <c r="BT505" s="1169"/>
      <c r="BU505" s="1169"/>
      <c r="BV505" s="1169"/>
      <c r="BW505" s="1169"/>
      <c r="BX505" s="1169"/>
      <c r="BY505" s="1169"/>
      <c r="BZ505" s="1169"/>
      <c r="CA505" s="1169"/>
      <c r="CB505" s="1169"/>
      <c r="CC505" s="1169"/>
      <c r="CD505" s="1169"/>
      <c r="CE505" s="1169"/>
      <c r="CF505" s="1169"/>
      <c r="CG505" s="1169"/>
      <c r="CH505" s="1169"/>
      <c r="CI505" s="1169"/>
      <c r="CJ505" s="1169"/>
      <c r="CK505" s="1169"/>
      <c r="CL505" s="1169"/>
      <c r="CM505" s="1169"/>
      <c r="CN505" s="1169"/>
      <c r="CO505" s="1169"/>
      <c r="CP505" s="1169"/>
      <c r="CQ505" s="1169"/>
      <c r="CR505" s="1169"/>
      <c r="CS505" s="1169"/>
      <c r="CT505" s="1169"/>
      <c r="CU505" s="1169"/>
      <c r="CV505" s="1169"/>
      <c r="CW505" s="1169"/>
      <c r="CX505" s="1169"/>
      <c r="CY505" s="1169"/>
      <c r="CZ505" s="1169"/>
      <c r="DA505" s="1168"/>
      <c r="DB505" s="1168"/>
      <c r="DC505" s="1168"/>
      <c r="DD505" s="1168"/>
      <c r="DE505" s="1168"/>
      <c r="DF505" s="1168"/>
      <c r="DG505" s="1168"/>
      <c r="DH505" s="1168"/>
      <c r="DI505" s="1168"/>
      <c r="DJ505" s="1168"/>
      <c r="DK505" s="1168"/>
      <c r="DL505" s="1168"/>
      <c r="DM505" s="1168"/>
      <c r="DN505" s="1168"/>
      <c r="DO505" s="1168"/>
      <c r="DP505" s="1168"/>
      <c r="DQ505" s="1168"/>
      <c r="DR505" s="1168"/>
      <c r="DS505" s="1168"/>
      <c r="DT505" s="1168"/>
      <c r="DU505" s="1168"/>
      <c r="DV505" s="1168"/>
      <c r="DW505" s="1168"/>
      <c r="DX505" s="1168"/>
      <c r="DY505" s="1168"/>
      <c r="DZ505" s="1168"/>
      <c r="EA505" s="1168"/>
      <c r="EB505" s="1168"/>
      <c r="EC505" s="1168"/>
      <c r="ED505" s="1168"/>
      <c r="EE505" s="1168"/>
      <c r="EF505" s="1168"/>
      <c r="EG505" s="1168"/>
      <c r="EH505" s="1168"/>
      <c r="EI505" s="1170"/>
      <c r="EJ505" s="1170"/>
      <c r="EK505" s="1170"/>
      <c r="EL505" s="1170"/>
      <c r="EM505" s="1170"/>
      <c r="EN505" s="1170"/>
      <c r="EO505" s="1170"/>
      <c r="EP505" s="1170"/>
      <c r="EQ505" s="1170"/>
      <c r="ER505" s="1170"/>
      <c r="ES505" s="1171"/>
      <c r="ET505" s="1171"/>
      <c r="EU505" s="1171"/>
      <c r="EV505" s="1171"/>
      <c r="EW505" s="1171"/>
      <c r="EX505" s="1171"/>
      <c r="EY505" s="1171"/>
      <c r="EZ505" s="1171"/>
      <c r="FA505" s="1171"/>
      <c r="FB505" s="1171"/>
      <c r="FC505" s="1171"/>
      <c r="FD505" s="1171"/>
      <c r="FE505" s="1171"/>
      <c r="FF505" s="1171"/>
      <c r="FG505" s="1171"/>
      <c r="FH505" s="1171"/>
      <c r="FI505" s="1171"/>
      <c r="FJ505" s="1171"/>
      <c r="FK505" s="1171"/>
      <c r="FL505" s="1171"/>
      <c r="FM505" s="1171"/>
      <c r="FN505" s="1171"/>
      <c r="FO505" s="1171"/>
      <c r="FP505" s="1171"/>
    </row>
    <row r="506" spans="1:172" s="607" customFormat="1">
      <c r="A506" s="607">
        <f t="shared" si="15"/>
        <v>2012</v>
      </c>
      <c r="B506" s="607">
        <f t="shared" si="16"/>
        <v>2</v>
      </c>
      <c r="C506" s="666">
        <v>41061</v>
      </c>
      <c r="D506" s="957">
        <v>0.99863999999999997</v>
      </c>
      <c r="E506" s="920">
        <v>297.78270690971738</v>
      </c>
      <c r="F506" s="920">
        <v>298.18824292008873</v>
      </c>
      <c r="G506" s="920"/>
      <c r="H506" s="920"/>
      <c r="I506" s="954">
        <v>1596.6969999999999</v>
      </c>
      <c r="J506" s="954">
        <v>1606.88</v>
      </c>
      <c r="K506" s="954">
        <v>134.56</v>
      </c>
      <c r="L506" s="920">
        <v>134.74325082111673</v>
      </c>
      <c r="M506" s="917">
        <v>16539.21</v>
      </c>
      <c r="N506" s="917">
        <v>16561.733958183129</v>
      </c>
      <c r="O506" s="1175">
        <v>7420.1</v>
      </c>
      <c r="P506" s="1175">
        <v>7430.2050789073146</v>
      </c>
      <c r="Q506" s="1175">
        <v>1854.74</v>
      </c>
      <c r="R506" s="1175">
        <v>1857.2658815989746</v>
      </c>
      <c r="S506" s="1175">
        <v>1855.79</v>
      </c>
      <c r="T506" s="1175">
        <v>1858.3173115436994</v>
      </c>
      <c r="U506" s="920">
        <v>2479.9829658642675</v>
      </c>
      <c r="V506" s="920">
        <v>2483.3603359211202</v>
      </c>
      <c r="W506" s="920">
        <v>3554.4364328876954</v>
      </c>
      <c r="X506" s="920">
        <v>3559.2770496752537</v>
      </c>
      <c r="Y506" s="920"/>
      <c r="Z506" s="920"/>
      <c r="AA506" s="920"/>
      <c r="AB506" s="920"/>
      <c r="AC506" s="920">
        <v>28.047000000000001</v>
      </c>
      <c r="AD506" s="920">
        <v>28.42</v>
      </c>
      <c r="AE506" s="920">
        <v>29065.79</v>
      </c>
      <c r="AF506" s="920">
        <v>29105.373307698472</v>
      </c>
      <c r="AG506" s="920">
        <v>1447.7370000000001</v>
      </c>
      <c r="AH506" s="920">
        <v>1449.7086037010336</v>
      </c>
      <c r="AI506" s="920">
        <v>613.10500000000002</v>
      </c>
      <c r="AJ506" s="920">
        <v>613.93995834334703</v>
      </c>
      <c r="AK506" s="920">
        <v>95.59</v>
      </c>
      <c r="AL506" s="920">
        <v>95.720179444043907</v>
      </c>
      <c r="AM506" s="920">
        <v>97.94</v>
      </c>
      <c r="AN506" s="920">
        <v>98.07337979652327</v>
      </c>
      <c r="AO506" s="920"/>
      <c r="AP506" s="920"/>
      <c r="AS506" s="1167"/>
      <c r="AT506" s="1167"/>
      <c r="AU506" s="1168"/>
      <c r="AV506" s="1168"/>
      <c r="AW506" s="1169"/>
      <c r="AX506" s="1169"/>
      <c r="AY506" s="1169"/>
      <c r="AZ506" s="1169"/>
      <c r="BA506" s="1803" t="s">
        <v>2</v>
      </c>
      <c r="BB506" s="1802">
        <v>2010</v>
      </c>
      <c r="BC506" s="1799" t="s">
        <v>581</v>
      </c>
      <c r="BD506" s="1799">
        <v>3</v>
      </c>
      <c r="BE506" s="1800">
        <v>4651050621.4142771</v>
      </c>
      <c r="BF506" s="1801">
        <v>9.1792330345371306E-2</v>
      </c>
      <c r="BG506" s="1799"/>
      <c r="BH506" s="1890" t="s">
        <v>1</v>
      </c>
      <c r="BI506" s="1890" t="s">
        <v>312</v>
      </c>
      <c r="BJ506" s="1890" t="s">
        <v>20</v>
      </c>
      <c r="BK506" s="1890">
        <v>9</v>
      </c>
      <c r="BL506" s="1891">
        <v>92694000</v>
      </c>
      <c r="BM506" s="1801">
        <v>7.713123785177179E-3</v>
      </c>
      <c r="BN506" s="1799">
        <v>2007</v>
      </c>
      <c r="BO506" s="1684"/>
      <c r="BP506" s="1696"/>
      <c r="BQ506" s="1169"/>
      <c r="BR506" s="1169"/>
      <c r="BS506" s="1169"/>
      <c r="BT506" s="1169"/>
      <c r="BU506" s="1169"/>
      <c r="BV506" s="1169"/>
      <c r="BW506" s="1169"/>
      <c r="BX506" s="1169"/>
      <c r="BY506" s="1169"/>
      <c r="BZ506" s="1169"/>
      <c r="CA506" s="1169"/>
      <c r="CB506" s="1169"/>
      <c r="CC506" s="1169"/>
      <c r="CD506" s="1169"/>
      <c r="CE506" s="1169"/>
      <c r="CF506" s="1169"/>
      <c r="CG506" s="1169"/>
      <c r="CH506" s="1169"/>
      <c r="CI506" s="1169"/>
      <c r="CJ506" s="1169"/>
      <c r="CK506" s="1169"/>
      <c r="CL506" s="1169"/>
      <c r="CM506" s="1169"/>
      <c r="CN506" s="1169"/>
      <c r="CO506" s="1169"/>
      <c r="CP506" s="1169"/>
      <c r="CQ506" s="1169"/>
      <c r="CR506" s="1169"/>
      <c r="CS506" s="1169"/>
      <c r="CT506" s="1169"/>
      <c r="CU506" s="1169"/>
      <c r="CV506" s="1169"/>
      <c r="CW506" s="1169"/>
      <c r="CX506" s="1169"/>
      <c r="CY506" s="1169"/>
      <c r="CZ506" s="1169"/>
      <c r="DA506" s="1168"/>
      <c r="DB506" s="1168"/>
      <c r="DC506" s="1168"/>
      <c r="DD506" s="1168"/>
      <c r="DE506" s="1168"/>
      <c r="DF506" s="1168"/>
      <c r="DG506" s="1168"/>
      <c r="DH506" s="1168"/>
      <c r="DI506" s="1168"/>
      <c r="DJ506" s="1168"/>
      <c r="DK506" s="1168"/>
      <c r="DL506" s="1168"/>
      <c r="DM506" s="1168"/>
      <c r="DN506" s="1168"/>
      <c r="DO506" s="1168"/>
      <c r="DP506" s="1168"/>
      <c r="DQ506" s="1168"/>
      <c r="DR506" s="1168"/>
      <c r="DS506" s="1168"/>
      <c r="DT506" s="1168"/>
      <c r="DU506" s="1168"/>
      <c r="DV506" s="1168"/>
      <c r="DW506" s="1168"/>
      <c r="DX506" s="1168"/>
      <c r="DY506" s="1168"/>
      <c r="DZ506" s="1168"/>
      <c r="EA506" s="1168"/>
      <c r="EB506" s="1168"/>
      <c r="EC506" s="1168"/>
      <c r="ED506" s="1168"/>
      <c r="EE506" s="1168"/>
      <c r="EF506" s="1168"/>
      <c r="EG506" s="1168"/>
      <c r="EH506" s="1168"/>
      <c r="EI506" s="1170"/>
      <c r="EJ506" s="1170"/>
      <c r="EK506" s="1170"/>
      <c r="EL506" s="1170"/>
      <c r="EM506" s="1170"/>
      <c r="EN506" s="1170"/>
      <c r="EO506" s="1170"/>
      <c r="EP506" s="1170"/>
      <c r="EQ506" s="1170"/>
      <c r="ER506" s="1170"/>
      <c r="ES506" s="1171"/>
      <c r="ET506" s="1171"/>
      <c r="EU506" s="1171"/>
      <c r="EV506" s="1171"/>
      <c r="EW506" s="1171"/>
      <c r="EX506" s="1171"/>
      <c r="EY506" s="1171"/>
      <c r="EZ506" s="1171"/>
      <c r="FA506" s="1171"/>
      <c r="FB506" s="1171"/>
      <c r="FC506" s="1171"/>
      <c r="FD506" s="1171"/>
      <c r="FE506" s="1171"/>
      <c r="FF506" s="1171"/>
      <c r="FG506" s="1171"/>
      <c r="FH506" s="1171"/>
      <c r="FI506" s="1171"/>
      <c r="FJ506" s="1171"/>
      <c r="FK506" s="1171"/>
      <c r="FL506" s="1171"/>
      <c r="FM506" s="1171"/>
      <c r="FN506" s="1171"/>
      <c r="FO506" s="1171"/>
      <c r="FP506" s="1171"/>
    </row>
    <row r="507" spans="1:172" s="607" customFormat="1">
      <c r="A507" s="607">
        <f t="shared" si="15"/>
        <v>2012</v>
      </c>
      <c r="B507" s="607">
        <f t="shared" si="16"/>
        <v>3</v>
      </c>
      <c r="C507" s="666">
        <v>41091</v>
      </c>
      <c r="D507" s="1709">
        <v>1.0292636363636363</v>
      </c>
      <c r="E507" s="1117">
        <v>288.41315719856448</v>
      </c>
      <c r="F507" s="1117">
        <v>280.2131028523666</v>
      </c>
      <c r="G507" s="1117"/>
      <c r="H507" s="1117"/>
      <c r="I507" s="959">
        <v>1593.9090000000001</v>
      </c>
      <c r="J507" s="959">
        <v>1555.97</v>
      </c>
      <c r="K507" s="960">
        <v>127.27500000000001</v>
      </c>
      <c r="L507" s="1121">
        <v>123.65636509773097</v>
      </c>
      <c r="M507" s="916">
        <v>16159.090899999999</v>
      </c>
      <c r="N507" s="916">
        <v>15699.661708723801</v>
      </c>
      <c r="O507" s="1174">
        <v>7589.3864000000003</v>
      </c>
      <c r="P507" s="1174">
        <v>7373.6078220086747</v>
      </c>
      <c r="Q507" s="1174">
        <v>1876.3864000000001</v>
      </c>
      <c r="R507" s="1174">
        <v>1823.0376880205622</v>
      </c>
      <c r="S507" s="1174">
        <v>1851.1818000000001</v>
      </c>
      <c r="T507" s="1174">
        <v>1798.5496957224495</v>
      </c>
      <c r="U507" s="1120">
        <v>2507.4939735105222</v>
      </c>
      <c r="V507" s="1120">
        <v>2436.2018485073836</v>
      </c>
      <c r="W507" s="1120">
        <v>3205.9795017104811</v>
      </c>
      <c r="X507" s="1120">
        <v>3114.8282990324324</v>
      </c>
      <c r="Y507" s="1119"/>
      <c r="Z507" s="1119"/>
      <c r="AA507" s="1119"/>
      <c r="AB507" s="1119"/>
      <c r="AC507" s="1178">
        <v>27.431999999999999</v>
      </c>
      <c r="AD507" s="1178">
        <v>26.96</v>
      </c>
      <c r="AE507" s="1178">
        <v>29131.818200000002</v>
      </c>
      <c r="AF507" s="1178">
        <v>28303.553308190327</v>
      </c>
      <c r="AG507" s="1178">
        <v>1425.818</v>
      </c>
      <c r="AH507" s="1178">
        <v>1385.279679205787</v>
      </c>
      <c r="AI507" s="1178">
        <v>579.54499999999996</v>
      </c>
      <c r="AJ507" s="1178">
        <v>563.06759466167341</v>
      </c>
      <c r="AK507" s="919">
        <v>103.14</v>
      </c>
      <c r="AL507" s="919">
        <v>100.20756233494379</v>
      </c>
      <c r="AM507" s="919">
        <v>109.63</v>
      </c>
      <c r="AN507" s="919">
        <v>106.51304109734232</v>
      </c>
      <c r="AO507" s="919"/>
      <c r="AP507" s="919"/>
      <c r="AS507" s="1167"/>
      <c r="AT507" s="1167"/>
      <c r="AU507" s="1168"/>
      <c r="AV507" s="1168"/>
      <c r="AW507" s="1169"/>
      <c r="AX507" s="1169"/>
      <c r="AY507" s="1169"/>
      <c r="AZ507" s="1169"/>
      <c r="BA507" s="1803" t="s">
        <v>2</v>
      </c>
      <c r="BB507" s="1802">
        <v>2010</v>
      </c>
      <c r="BC507" s="1799" t="s">
        <v>583</v>
      </c>
      <c r="BD507" s="1799">
        <v>4</v>
      </c>
      <c r="BE507" s="1800">
        <v>1555990190.6311243</v>
      </c>
      <c r="BF507" s="1801">
        <v>3.0708753186852809E-2</v>
      </c>
      <c r="BG507" s="1799"/>
      <c r="BH507" s="1890" t="s">
        <v>1</v>
      </c>
      <c r="BI507" s="1890" t="s">
        <v>312</v>
      </c>
      <c r="BJ507" s="1890" t="s">
        <v>55</v>
      </c>
      <c r="BK507" s="1890">
        <v>10</v>
      </c>
      <c r="BL507" s="1891">
        <v>51029000</v>
      </c>
      <c r="BM507" s="1801">
        <v>4.2461539434462455E-3</v>
      </c>
      <c r="BN507" s="1799">
        <v>2007</v>
      </c>
      <c r="BO507" s="1684"/>
      <c r="BP507" s="1696"/>
      <c r="BQ507" s="1169"/>
      <c r="BR507" s="1169"/>
      <c r="BS507" s="1169"/>
      <c r="BT507" s="1169"/>
      <c r="BU507" s="1169"/>
      <c r="BV507" s="1169"/>
      <c r="BW507" s="1169"/>
      <c r="BX507" s="1169"/>
      <c r="BY507" s="1169"/>
      <c r="BZ507" s="1169"/>
      <c r="CA507" s="1169"/>
      <c r="CB507" s="1169"/>
      <c r="CC507" s="1169"/>
      <c r="CD507" s="1169"/>
      <c r="CE507" s="1169"/>
      <c r="CF507" s="1169"/>
      <c r="CG507" s="1169"/>
      <c r="CH507" s="1169"/>
      <c r="CI507" s="1169"/>
      <c r="CJ507" s="1169"/>
      <c r="CK507" s="1169"/>
      <c r="CL507" s="1169"/>
      <c r="CM507" s="1169"/>
      <c r="CN507" s="1169"/>
      <c r="CO507" s="1169"/>
      <c r="CP507" s="1169"/>
      <c r="CQ507" s="1169"/>
      <c r="CR507" s="1169"/>
      <c r="CS507" s="1169"/>
      <c r="CT507" s="1169"/>
      <c r="CU507" s="1169"/>
      <c r="CV507" s="1169"/>
      <c r="CW507" s="1169"/>
      <c r="CX507" s="1169"/>
      <c r="CY507" s="1169"/>
      <c r="CZ507" s="1169"/>
      <c r="DA507" s="1168"/>
      <c r="DB507" s="1168"/>
      <c r="DC507" s="1168"/>
      <c r="DD507" s="1168"/>
      <c r="DE507" s="1168"/>
      <c r="DF507" s="1168"/>
      <c r="DG507" s="1168"/>
      <c r="DH507" s="1168"/>
      <c r="DI507" s="1168"/>
      <c r="DJ507" s="1168"/>
      <c r="DK507" s="1168"/>
      <c r="DL507" s="1168"/>
      <c r="DM507" s="1168"/>
      <c r="DN507" s="1168"/>
      <c r="DO507" s="1168"/>
      <c r="DP507" s="1168"/>
      <c r="DQ507" s="1168"/>
      <c r="DR507" s="1168"/>
      <c r="DS507" s="1168"/>
      <c r="DT507" s="1168"/>
      <c r="DU507" s="1168"/>
      <c r="DV507" s="1168"/>
      <c r="DW507" s="1168"/>
      <c r="DX507" s="1168"/>
      <c r="DY507" s="1168"/>
      <c r="DZ507" s="1168"/>
      <c r="EA507" s="1168"/>
      <c r="EB507" s="1168"/>
      <c r="EC507" s="1168"/>
      <c r="ED507" s="1168"/>
      <c r="EE507" s="1168"/>
      <c r="EF507" s="1168"/>
      <c r="EG507" s="1168"/>
      <c r="EH507" s="1168"/>
      <c r="EI507" s="1170"/>
      <c r="EJ507" s="1170"/>
      <c r="EK507" s="1170"/>
      <c r="EL507" s="1170"/>
      <c r="EM507" s="1170"/>
      <c r="EN507" s="1170"/>
      <c r="EO507" s="1170"/>
      <c r="EP507" s="1170"/>
      <c r="EQ507" s="1170"/>
      <c r="ER507" s="1170"/>
      <c r="ES507" s="1171"/>
      <c r="ET507" s="1171"/>
      <c r="EU507" s="1171"/>
      <c r="EV507" s="1171"/>
      <c r="EW507" s="1171"/>
      <c r="EX507" s="1171"/>
      <c r="EY507" s="1171"/>
      <c r="EZ507" s="1171"/>
      <c r="FA507" s="1171"/>
      <c r="FB507" s="1171"/>
      <c r="FC507" s="1171"/>
      <c r="FD507" s="1171"/>
      <c r="FE507" s="1171"/>
      <c r="FF507" s="1171"/>
      <c r="FG507" s="1171"/>
      <c r="FH507" s="1171"/>
      <c r="FI507" s="1171"/>
      <c r="FJ507" s="1171"/>
      <c r="FK507" s="1171"/>
      <c r="FL507" s="1171"/>
      <c r="FM507" s="1171"/>
      <c r="FN507" s="1171"/>
      <c r="FO507" s="1171"/>
      <c r="FP507" s="1171"/>
    </row>
    <row r="508" spans="1:172" s="607" customFormat="1">
      <c r="A508" s="607">
        <f t="shared" si="15"/>
        <v>2012</v>
      </c>
      <c r="B508" s="607">
        <f t="shared" si="16"/>
        <v>3</v>
      </c>
      <c r="C508" s="666">
        <v>41122</v>
      </c>
      <c r="D508" s="957">
        <v>1.0468000000000002</v>
      </c>
      <c r="E508" s="920">
        <v>279.95993211248521</v>
      </c>
      <c r="F508" s="920">
        <v>267.44357290073094</v>
      </c>
      <c r="G508" s="920"/>
      <c r="H508" s="920"/>
      <c r="I508" s="954">
        <v>1626.0340000000001</v>
      </c>
      <c r="J508" s="954">
        <v>1562.01</v>
      </c>
      <c r="K508" s="954">
        <v>105.9</v>
      </c>
      <c r="L508" s="920">
        <v>101.16545662972868</v>
      </c>
      <c r="M508" s="917">
        <v>15657.7273</v>
      </c>
      <c r="N508" s="917">
        <v>14957.706629728695</v>
      </c>
      <c r="O508" s="1175">
        <v>7492.4544999999998</v>
      </c>
      <c r="P508" s="1175">
        <v>7157.4842376767274</v>
      </c>
      <c r="Q508" s="1175">
        <v>1895.75</v>
      </c>
      <c r="R508" s="1175">
        <v>1810.9954145968663</v>
      </c>
      <c r="S508" s="1175">
        <v>1813.7954999999999</v>
      </c>
      <c r="T508" s="1175">
        <v>1732.7049102025217</v>
      </c>
      <c r="U508" s="920">
        <v>2473.6745140714929</v>
      </c>
      <c r="V508" s="920">
        <v>2363.0822641110935</v>
      </c>
      <c r="W508" s="920">
        <v>3081.289745281535</v>
      </c>
      <c r="X508" s="920">
        <v>2943.5324276667316</v>
      </c>
      <c r="Y508" s="920"/>
      <c r="Z508" s="920"/>
      <c r="AA508" s="920"/>
      <c r="AB508" s="920"/>
      <c r="AC508" s="920">
        <v>28.696999999999999</v>
      </c>
      <c r="AD508" s="920">
        <v>27.83</v>
      </c>
      <c r="AE508" s="920">
        <v>29207.272700000001</v>
      </c>
      <c r="AF508" s="920">
        <v>27901.483282384404</v>
      </c>
      <c r="AG508" s="920">
        <v>1449.4549999999999</v>
      </c>
      <c r="AH508" s="920">
        <v>1384.6532288880394</v>
      </c>
      <c r="AI508" s="920">
        <v>600.11400000000003</v>
      </c>
      <c r="AJ508" s="920">
        <v>573.28429499426818</v>
      </c>
      <c r="AK508" s="920">
        <v>113.34</v>
      </c>
      <c r="AL508" s="920">
        <v>108.27283148643484</v>
      </c>
      <c r="AM508" s="920">
        <v>119.68</v>
      </c>
      <c r="AN508" s="920">
        <v>114.32938479174626</v>
      </c>
      <c r="AO508" s="920"/>
      <c r="AP508" s="920"/>
      <c r="AS508" s="1167"/>
      <c r="AT508" s="1167"/>
      <c r="AU508" s="1168"/>
      <c r="AV508" s="1168"/>
      <c r="AW508" s="1169"/>
      <c r="AX508" s="1169"/>
      <c r="AY508" s="1169"/>
      <c r="AZ508" s="1169"/>
      <c r="BA508" s="1803" t="s">
        <v>2</v>
      </c>
      <c r="BB508" s="1802">
        <v>2010</v>
      </c>
      <c r="BC508" s="1799" t="s">
        <v>241</v>
      </c>
      <c r="BD508" s="1799">
        <v>5</v>
      </c>
      <c r="BE508" s="1800">
        <v>119013969.04855077</v>
      </c>
      <c r="BF508" s="1801">
        <v>2.3488391014966975E-3</v>
      </c>
      <c r="BG508" s="1799"/>
      <c r="BH508" s="1890" t="s">
        <v>1</v>
      </c>
      <c r="BI508" s="1890" t="s">
        <v>312</v>
      </c>
      <c r="BJ508" s="1890" t="s">
        <v>32</v>
      </c>
      <c r="BK508" s="1890"/>
      <c r="BL508" s="1891">
        <v>105958000</v>
      </c>
      <c r="BM508" s="1801">
        <v>8.8168292449328275E-3</v>
      </c>
      <c r="BN508" s="1799">
        <v>2007</v>
      </c>
      <c r="BO508" s="1684"/>
      <c r="BP508" s="1696"/>
      <c r="BQ508" s="1169"/>
      <c r="BR508" s="1169"/>
      <c r="BS508" s="1169"/>
      <c r="BT508" s="1169"/>
      <c r="BU508" s="1169"/>
      <c r="BV508" s="1169"/>
      <c r="BW508" s="1169"/>
      <c r="BX508" s="1169"/>
      <c r="BY508" s="1169"/>
      <c r="BZ508" s="1169"/>
      <c r="CA508" s="1169"/>
      <c r="CB508" s="1169"/>
      <c r="CC508" s="1169"/>
      <c r="CD508" s="1169"/>
      <c r="CE508" s="1169"/>
      <c r="CF508" s="1169"/>
      <c r="CG508" s="1169"/>
      <c r="CH508" s="1169"/>
      <c r="CI508" s="1169"/>
      <c r="CJ508" s="1169"/>
      <c r="CK508" s="1169"/>
      <c r="CL508" s="1169"/>
      <c r="CM508" s="1169"/>
      <c r="CN508" s="1169"/>
      <c r="CO508" s="1169"/>
      <c r="CP508" s="1169"/>
      <c r="CQ508" s="1169"/>
      <c r="CR508" s="1169"/>
      <c r="CS508" s="1169"/>
      <c r="CT508" s="1169"/>
      <c r="CU508" s="1169"/>
      <c r="CV508" s="1169"/>
      <c r="CW508" s="1169"/>
      <c r="CX508" s="1169"/>
      <c r="CY508" s="1169"/>
      <c r="CZ508" s="1169"/>
      <c r="DA508" s="1168"/>
      <c r="DB508" s="1168"/>
      <c r="DC508" s="1168"/>
      <c r="DD508" s="1168"/>
      <c r="DE508" s="1168"/>
      <c r="DF508" s="1168"/>
      <c r="DG508" s="1168"/>
      <c r="DH508" s="1168"/>
      <c r="DI508" s="1168"/>
      <c r="DJ508" s="1168"/>
      <c r="DK508" s="1168"/>
      <c r="DL508" s="1168"/>
      <c r="DM508" s="1168"/>
      <c r="DN508" s="1168"/>
      <c r="DO508" s="1168"/>
      <c r="DP508" s="1168"/>
      <c r="DQ508" s="1168"/>
      <c r="DR508" s="1168"/>
      <c r="DS508" s="1168"/>
      <c r="DT508" s="1168"/>
      <c r="DU508" s="1168"/>
      <c r="DV508" s="1168"/>
      <c r="DW508" s="1168"/>
      <c r="DX508" s="1168"/>
      <c r="DY508" s="1168"/>
      <c r="DZ508" s="1168"/>
      <c r="EA508" s="1168"/>
      <c r="EB508" s="1168"/>
      <c r="EC508" s="1168"/>
      <c r="ED508" s="1168"/>
      <c r="EE508" s="1168"/>
      <c r="EF508" s="1168"/>
      <c r="EG508" s="1168"/>
      <c r="EH508" s="1168"/>
      <c r="EI508" s="1170"/>
      <c r="EJ508" s="1170"/>
      <c r="EK508" s="1170"/>
      <c r="EL508" s="1170"/>
      <c r="EM508" s="1170"/>
      <c r="EN508" s="1170"/>
      <c r="EO508" s="1170"/>
      <c r="EP508" s="1170"/>
      <c r="EQ508" s="1170"/>
      <c r="ER508" s="1170"/>
      <c r="ES508" s="1171"/>
      <c r="ET508" s="1171"/>
      <c r="EU508" s="1171"/>
      <c r="EV508" s="1171"/>
      <c r="EW508" s="1171"/>
      <c r="EX508" s="1171"/>
      <c r="EY508" s="1171"/>
      <c r="EZ508" s="1171"/>
      <c r="FA508" s="1171"/>
      <c r="FB508" s="1171"/>
      <c r="FC508" s="1171"/>
      <c r="FD508" s="1171"/>
      <c r="FE508" s="1171"/>
      <c r="FF508" s="1171"/>
      <c r="FG508" s="1171"/>
      <c r="FH508" s="1171"/>
      <c r="FI508" s="1171"/>
      <c r="FJ508" s="1171"/>
      <c r="FK508" s="1171"/>
      <c r="FL508" s="1171"/>
      <c r="FM508" s="1171"/>
      <c r="FN508" s="1171"/>
      <c r="FO508" s="1171"/>
      <c r="FP508" s="1171"/>
    </row>
    <row r="509" spans="1:172" s="607" customFormat="1">
      <c r="A509" s="607">
        <f t="shared" si="15"/>
        <v>2012</v>
      </c>
      <c r="B509" s="607">
        <f t="shared" si="16"/>
        <v>3</v>
      </c>
      <c r="C509" s="666">
        <v>41153</v>
      </c>
      <c r="D509" s="1709">
        <v>1.0394649999999999</v>
      </c>
      <c r="E509" s="1117">
        <v>276.81519968902808</v>
      </c>
      <c r="F509" s="1117">
        <v>266.30545491096683</v>
      </c>
      <c r="G509" s="1117"/>
      <c r="H509" s="1117"/>
      <c r="I509" s="959">
        <v>1744.45</v>
      </c>
      <c r="J509" s="959">
        <v>1684.95</v>
      </c>
      <c r="K509" s="960">
        <v>100.3</v>
      </c>
      <c r="L509" s="1121">
        <v>96.491945375746184</v>
      </c>
      <c r="M509" s="916">
        <v>17215.5</v>
      </c>
      <c r="N509" s="916">
        <v>16561.885200559907</v>
      </c>
      <c r="O509" s="1174">
        <v>8068.37</v>
      </c>
      <c r="P509" s="1174">
        <v>7762.0410499632035</v>
      </c>
      <c r="Q509" s="1174">
        <v>2169.27</v>
      </c>
      <c r="R509" s="1174">
        <v>2086.9100931729304</v>
      </c>
      <c r="S509" s="1174">
        <v>2002.1</v>
      </c>
      <c r="T509" s="1174">
        <v>1926.0869774355078</v>
      </c>
      <c r="U509" s="1120">
        <v>2424.9608855610109</v>
      </c>
      <c r="V509" s="1120">
        <v>2332.8932533187854</v>
      </c>
      <c r="W509" s="1120">
        <v>3092.151180984481</v>
      </c>
      <c r="X509" s="1120">
        <v>2974.7525707786999</v>
      </c>
      <c r="Y509" s="1119"/>
      <c r="Z509" s="1119"/>
      <c r="AA509" s="1119"/>
      <c r="AB509" s="1119"/>
      <c r="AC509" s="1178">
        <v>33.609000000000002</v>
      </c>
      <c r="AD509" s="1178">
        <v>32.71</v>
      </c>
      <c r="AE509" s="1178">
        <v>29467.5</v>
      </c>
      <c r="AF509" s="1178">
        <v>28348.717850047866</v>
      </c>
      <c r="AG509" s="1178">
        <v>1623.65</v>
      </c>
      <c r="AH509" s="1178">
        <v>1562.0054547291159</v>
      </c>
      <c r="AI509" s="1178">
        <v>657.85</v>
      </c>
      <c r="AJ509" s="1178">
        <v>632.87364172915886</v>
      </c>
      <c r="AK509" s="919">
        <v>113.48</v>
      </c>
      <c r="AL509" s="919">
        <v>109.17154497746439</v>
      </c>
      <c r="AM509" s="919">
        <v>118.99</v>
      </c>
      <c r="AN509" s="919">
        <v>114.47234875633139</v>
      </c>
      <c r="AO509" s="919"/>
      <c r="AP509" s="919"/>
      <c r="AS509" s="1167"/>
      <c r="AT509" s="1167"/>
      <c r="AU509" s="1168"/>
      <c r="AV509" s="1168"/>
      <c r="AW509" s="1169"/>
      <c r="AX509" s="1169"/>
      <c r="AY509" s="1169"/>
      <c r="AZ509" s="1169"/>
      <c r="BA509" s="1803" t="s">
        <v>2</v>
      </c>
      <c r="BB509" s="1802">
        <v>2010</v>
      </c>
      <c r="BC509" s="1799" t="s">
        <v>32</v>
      </c>
      <c r="BD509" s="1799"/>
      <c r="BE509" s="1800">
        <v>216409146.91004679</v>
      </c>
      <c r="BF509" s="1801">
        <v>4.2710134805814277E-3</v>
      </c>
      <c r="BG509" s="1799"/>
      <c r="BH509" s="1890" t="s">
        <v>1</v>
      </c>
      <c r="BI509" s="1890" t="s">
        <v>312</v>
      </c>
      <c r="BJ509" s="1890" t="s">
        <v>249</v>
      </c>
      <c r="BK509" s="1890"/>
      <c r="BL509" s="1891">
        <v>12017699000</v>
      </c>
      <c r="BM509" s="1801">
        <v>1</v>
      </c>
      <c r="BN509" s="1799">
        <v>2007</v>
      </c>
      <c r="BO509" s="1684"/>
      <c r="BP509" s="1696"/>
      <c r="BQ509" s="1169"/>
      <c r="BR509" s="1169"/>
      <c r="BS509" s="1169"/>
      <c r="BT509" s="1169"/>
      <c r="BU509" s="1169"/>
      <c r="BV509" s="1169"/>
      <c r="BW509" s="1169"/>
      <c r="BX509" s="1169"/>
      <c r="BY509" s="1169"/>
      <c r="BZ509" s="1169"/>
      <c r="CA509" s="1169"/>
      <c r="CB509" s="1169"/>
      <c r="CC509" s="1169"/>
      <c r="CD509" s="1169"/>
      <c r="CE509" s="1169"/>
      <c r="CF509" s="1169"/>
      <c r="CG509" s="1169"/>
      <c r="CH509" s="1169"/>
      <c r="CI509" s="1169"/>
      <c r="CJ509" s="1169"/>
      <c r="CK509" s="1169"/>
      <c r="CL509" s="1169"/>
      <c r="CM509" s="1169"/>
      <c r="CN509" s="1169"/>
      <c r="CO509" s="1169"/>
      <c r="CP509" s="1169"/>
      <c r="CQ509" s="1169"/>
      <c r="CR509" s="1169"/>
      <c r="CS509" s="1169"/>
      <c r="CT509" s="1169"/>
      <c r="CU509" s="1169"/>
      <c r="CV509" s="1169"/>
      <c r="CW509" s="1169"/>
      <c r="CX509" s="1169"/>
      <c r="CY509" s="1169"/>
      <c r="CZ509" s="1169"/>
      <c r="DA509" s="1168"/>
      <c r="DB509" s="1168"/>
      <c r="DC509" s="1168"/>
      <c r="DD509" s="1168"/>
      <c r="DE509" s="1168"/>
      <c r="DF509" s="1168"/>
      <c r="DG509" s="1168"/>
      <c r="DH509" s="1168"/>
      <c r="DI509" s="1168"/>
      <c r="DJ509" s="1168"/>
      <c r="DK509" s="1168"/>
      <c r="DL509" s="1168"/>
      <c r="DM509" s="1168"/>
      <c r="DN509" s="1168"/>
      <c r="DO509" s="1168"/>
      <c r="DP509" s="1168"/>
      <c r="DQ509" s="1168"/>
      <c r="DR509" s="1168"/>
      <c r="DS509" s="1168"/>
      <c r="DT509" s="1168"/>
      <c r="DU509" s="1168"/>
      <c r="DV509" s="1168"/>
      <c r="DW509" s="1168"/>
      <c r="DX509" s="1168"/>
      <c r="DY509" s="1168"/>
      <c r="DZ509" s="1168"/>
      <c r="EA509" s="1168"/>
      <c r="EB509" s="1168"/>
      <c r="EC509" s="1168"/>
      <c r="ED509" s="1168"/>
      <c r="EE509" s="1168"/>
      <c r="EF509" s="1168"/>
      <c r="EG509" s="1168"/>
      <c r="EH509" s="1168"/>
      <c r="EI509" s="1170"/>
      <c r="EJ509" s="1170"/>
      <c r="EK509" s="1170"/>
      <c r="EL509" s="1170"/>
      <c r="EM509" s="1170"/>
      <c r="EN509" s="1170"/>
      <c r="EO509" s="1170"/>
      <c r="EP509" s="1170"/>
      <c r="EQ509" s="1170"/>
      <c r="ER509" s="1170"/>
      <c r="ES509" s="1171"/>
      <c r="ET509" s="1171"/>
      <c r="EU509" s="1171"/>
      <c r="EV509" s="1171"/>
      <c r="EW509" s="1171"/>
      <c r="EX509" s="1171"/>
      <c r="EY509" s="1171"/>
      <c r="EZ509" s="1171"/>
      <c r="FA509" s="1171"/>
      <c r="FB509" s="1171"/>
      <c r="FC509" s="1171"/>
      <c r="FD509" s="1171"/>
      <c r="FE509" s="1171"/>
      <c r="FF509" s="1171"/>
      <c r="FG509" s="1171"/>
      <c r="FH509" s="1171"/>
      <c r="FI509" s="1171"/>
      <c r="FJ509" s="1171"/>
      <c r="FK509" s="1171"/>
      <c r="FL509" s="1171"/>
      <c r="FM509" s="1171"/>
      <c r="FN509" s="1171"/>
      <c r="FO509" s="1171"/>
      <c r="FP509" s="1171"/>
    </row>
    <row r="510" spans="1:172" s="607" customFormat="1">
      <c r="A510" s="607">
        <f t="shared" si="15"/>
        <v>2012</v>
      </c>
      <c r="B510" s="607">
        <f t="shared" si="16"/>
        <v>4</v>
      </c>
      <c r="C510" s="666">
        <v>41183</v>
      </c>
      <c r="D510" s="957">
        <v>1.0292136363636364</v>
      </c>
      <c r="E510" s="920">
        <v>291.29280959723928</v>
      </c>
      <c r="F510" s="920">
        <v>283.02463094680689</v>
      </c>
      <c r="G510" s="920"/>
      <c r="H510" s="920"/>
      <c r="I510" s="954">
        <v>1747.011</v>
      </c>
      <c r="J510" s="954">
        <v>1705.69</v>
      </c>
      <c r="K510" s="954">
        <v>113.4</v>
      </c>
      <c r="L510" s="920">
        <v>110.18120630490181</v>
      </c>
      <c r="M510" s="917">
        <v>17245.434799999999</v>
      </c>
      <c r="N510" s="917">
        <v>16755.93306451969</v>
      </c>
      <c r="O510" s="1175">
        <v>8069.5217000000002</v>
      </c>
      <c r="P510" s="1175">
        <v>7840.4729736294703</v>
      </c>
      <c r="Q510" s="1175">
        <v>2153.3042999999998</v>
      </c>
      <c r="R510" s="1175">
        <v>2092.1839974914651</v>
      </c>
      <c r="S510" s="1175">
        <v>1911.7826</v>
      </c>
      <c r="T510" s="1175">
        <v>1857.5177518582148</v>
      </c>
      <c r="U510" s="920">
        <v>2005.6442740574098</v>
      </c>
      <c r="V510" s="920">
        <v>1948.7152163506566</v>
      </c>
      <c r="W510" s="920">
        <v>3004.4476631019606</v>
      </c>
      <c r="X510" s="920">
        <v>2919.1681463890409</v>
      </c>
      <c r="Y510" s="920"/>
      <c r="Z510" s="920"/>
      <c r="AA510" s="920"/>
      <c r="AB510" s="920"/>
      <c r="AC510" s="920">
        <v>33.186999999999998</v>
      </c>
      <c r="AD510" s="920">
        <v>32.57</v>
      </c>
      <c r="AE510" s="920">
        <v>27097.826099999998</v>
      </c>
      <c r="AF510" s="920">
        <v>26328.669911273832</v>
      </c>
      <c r="AG510" s="920">
        <v>1635.826</v>
      </c>
      <c r="AH510" s="920">
        <v>1589.3940210310607</v>
      </c>
      <c r="AI510" s="920">
        <v>633.37</v>
      </c>
      <c r="AJ510" s="920">
        <v>615.39215729572891</v>
      </c>
      <c r="AK510" s="920">
        <v>111.97</v>
      </c>
      <c r="AL510" s="920">
        <v>108.79179603139201</v>
      </c>
      <c r="AM510" s="920">
        <v>114.27</v>
      </c>
      <c r="AN510" s="920">
        <v>111.02651185591823</v>
      </c>
      <c r="AO510" s="920"/>
      <c r="AP510" s="920"/>
      <c r="AS510" s="1167"/>
      <c r="AT510" s="1167"/>
      <c r="AU510" s="1168"/>
      <c r="AV510" s="1168"/>
      <c r="AW510" s="1169"/>
      <c r="AX510" s="1169"/>
      <c r="AY510" s="1169"/>
      <c r="AZ510" s="1169"/>
      <c r="BA510" s="1803" t="s">
        <v>2</v>
      </c>
      <c r="BB510" s="1802">
        <v>2010</v>
      </c>
      <c r="BC510" s="1799" t="s">
        <v>249</v>
      </c>
      <c r="BD510" s="1799"/>
      <c r="BE510" s="1800">
        <v>50669272736.780563</v>
      </c>
      <c r="BF510" s="1801"/>
      <c r="BG510" s="1799"/>
      <c r="BH510" s="1892" t="s">
        <v>1</v>
      </c>
      <c r="BI510" s="1892" t="s">
        <v>313</v>
      </c>
      <c r="BJ510" s="1892" t="s">
        <v>51</v>
      </c>
      <c r="BK510" s="1892">
        <v>1</v>
      </c>
      <c r="BL510" s="1893">
        <v>7016292000</v>
      </c>
      <c r="BM510" s="1801">
        <v>0.41645290906604471</v>
      </c>
      <c r="BN510" s="1799">
        <v>2008</v>
      </c>
      <c r="BO510" s="1684"/>
      <c r="BP510" s="1696"/>
      <c r="BQ510" s="1169"/>
      <c r="BR510" s="1169"/>
      <c r="BS510" s="1169"/>
      <c r="BT510" s="1169"/>
      <c r="BU510" s="1169"/>
      <c r="BV510" s="1169"/>
      <c r="BW510" s="1169"/>
      <c r="BX510" s="1169"/>
      <c r="BY510" s="1169"/>
      <c r="BZ510" s="1169"/>
      <c r="CA510" s="1169"/>
      <c r="CB510" s="1169"/>
      <c r="CC510" s="1169"/>
      <c r="CD510" s="1169"/>
      <c r="CE510" s="1169"/>
      <c r="CF510" s="1169"/>
      <c r="CG510" s="1169"/>
      <c r="CH510" s="1169"/>
      <c r="CI510" s="1169"/>
      <c r="CJ510" s="1169"/>
      <c r="CK510" s="1169"/>
      <c r="CL510" s="1169"/>
      <c r="CM510" s="1169"/>
      <c r="CN510" s="1169"/>
      <c r="CO510" s="1169"/>
      <c r="CP510" s="1169"/>
      <c r="CQ510" s="1169"/>
      <c r="CR510" s="1169"/>
      <c r="CS510" s="1169"/>
      <c r="CT510" s="1169"/>
      <c r="CU510" s="1169"/>
      <c r="CV510" s="1169"/>
      <c r="CW510" s="1169"/>
      <c r="CX510" s="1169"/>
      <c r="CY510" s="1169"/>
      <c r="CZ510" s="1169"/>
      <c r="DA510" s="1168"/>
      <c r="DB510" s="1168"/>
      <c r="DC510" s="1168"/>
      <c r="DD510" s="1168"/>
      <c r="DE510" s="1168"/>
      <c r="DF510" s="1168"/>
      <c r="DG510" s="1168"/>
      <c r="DH510" s="1168"/>
      <c r="DI510" s="1168"/>
      <c r="DJ510" s="1168"/>
      <c r="DK510" s="1168"/>
      <c r="DL510" s="1168"/>
      <c r="DM510" s="1168"/>
      <c r="DN510" s="1168"/>
      <c r="DO510" s="1168"/>
      <c r="DP510" s="1168"/>
      <c r="DQ510" s="1168"/>
      <c r="DR510" s="1168"/>
      <c r="DS510" s="1168"/>
      <c r="DT510" s="1168"/>
      <c r="DU510" s="1168"/>
      <c r="DV510" s="1168"/>
      <c r="DW510" s="1168"/>
      <c r="DX510" s="1168"/>
      <c r="DY510" s="1168"/>
      <c r="DZ510" s="1168"/>
      <c r="EA510" s="1168"/>
      <c r="EB510" s="1168"/>
      <c r="EC510" s="1168"/>
      <c r="ED510" s="1168"/>
      <c r="EE510" s="1168"/>
      <c r="EF510" s="1168"/>
      <c r="EG510" s="1168"/>
      <c r="EH510" s="1168"/>
      <c r="EI510" s="1170"/>
      <c r="EJ510" s="1170"/>
      <c r="EK510" s="1170"/>
      <c r="EL510" s="1170"/>
      <c r="EM510" s="1170"/>
      <c r="EN510" s="1170"/>
      <c r="EO510" s="1170"/>
      <c r="EP510" s="1170"/>
      <c r="EQ510" s="1170"/>
      <c r="ER510" s="1170"/>
      <c r="ES510" s="1171"/>
      <c r="ET510" s="1171"/>
      <c r="EU510" s="1171"/>
      <c r="EV510" s="1171"/>
      <c r="EW510" s="1171"/>
      <c r="EX510" s="1171"/>
      <c r="EY510" s="1171"/>
      <c r="EZ510" s="1171"/>
      <c r="FA510" s="1171"/>
      <c r="FB510" s="1171"/>
      <c r="FC510" s="1171"/>
      <c r="FD510" s="1171"/>
      <c r="FE510" s="1171"/>
      <c r="FF510" s="1171"/>
      <c r="FG510" s="1171"/>
      <c r="FH510" s="1171"/>
      <c r="FI510" s="1171"/>
      <c r="FJ510" s="1171"/>
      <c r="FK510" s="1171"/>
      <c r="FL510" s="1171"/>
      <c r="FM510" s="1171"/>
      <c r="FN510" s="1171"/>
      <c r="FO510" s="1171"/>
      <c r="FP510" s="1171"/>
    </row>
    <row r="511" spans="1:172" s="607" customFormat="1">
      <c r="A511" s="607">
        <f t="shared" si="15"/>
        <v>2012</v>
      </c>
      <c r="B511" s="607">
        <f t="shared" si="16"/>
        <v>4</v>
      </c>
      <c r="C511" s="666">
        <v>41214</v>
      </c>
      <c r="D511" s="1709">
        <v>1.0410227272727273</v>
      </c>
      <c r="E511" s="1117">
        <v>288.4102563844221</v>
      </c>
      <c r="F511" s="1117">
        <v>277.04511037909776</v>
      </c>
      <c r="G511" s="1117"/>
      <c r="H511" s="1117"/>
      <c r="I511" s="959">
        <v>1721.136</v>
      </c>
      <c r="J511" s="959">
        <v>1665.03</v>
      </c>
      <c r="K511" s="960">
        <v>119.9</v>
      </c>
      <c r="L511" s="1121">
        <v>115.1751992140596</v>
      </c>
      <c r="M511" s="916">
        <v>16297.5</v>
      </c>
      <c r="N511" s="916">
        <v>15655.277808099552</v>
      </c>
      <c r="O511" s="1174">
        <v>7694.2044999999998</v>
      </c>
      <c r="P511" s="1174">
        <v>7391.0053050976967</v>
      </c>
      <c r="Q511" s="1174">
        <v>2179.4773</v>
      </c>
      <c r="R511" s="1174">
        <v>2093.5924287741514</v>
      </c>
      <c r="S511" s="1174">
        <v>1904.2954999999999</v>
      </c>
      <c r="T511" s="1174">
        <v>1829.2544918676999</v>
      </c>
      <c r="U511" s="1120">
        <v>1607.5141272431133</v>
      </c>
      <c r="V511" s="1120">
        <v>1544.1681388210236</v>
      </c>
      <c r="W511" s="1120">
        <v>2862.6236321989568</v>
      </c>
      <c r="X511" s="1120">
        <v>2749.818574757212</v>
      </c>
      <c r="Y511" s="1119"/>
      <c r="Z511" s="1119"/>
      <c r="AA511" s="1119"/>
      <c r="AB511" s="1119"/>
      <c r="AC511" s="1178">
        <v>32.773000000000003</v>
      </c>
      <c r="AD511" s="1178">
        <v>31.84</v>
      </c>
      <c r="AE511" s="1178">
        <v>23513.636399999999</v>
      </c>
      <c r="AF511" s="1178">
        <v>22587.053850016375</v>
      </c>
      <c r="AG511" s="1178">
        <v>1576.364</v>
      </c>
      <c r="AH511" s="1178">
        <v>1514.2455190481389</v>
      </c>
      <c r="AI511" s="1178">
        <v>636.5</v>
      </c>
      <c r="AJ511" s="1178">
        <v>611.41796747080014</v>
      </c>
      <c r="AK511" s="919">
        <v>109.71</v>
      </c>
      <c r="AL511" s="919">
        <v>105.38674817159698</v>
      </c>
      <c r="AM511" s="919">
        <v>112.5</v>
      </c>
      <c r="AN511" s="919">
        <v>108.06680493395918</v>
      </c>
      <c r="AO511" s="919"/>
      <c r="AP511" s="919"/>
      <c r="AS511" s="1167"/>
      <c r="AT511" s="1167"/>
      <c r="AU511" s="1168"/>
      <c r="AV511" s="1168"/>
      <c r="AW511" s="1169"/>
      <c r="AX511" s="1169"/>
      <c r="AY511" s="1169"/>
      <c r="AZ511" s="1169"/>
      <c r="BA511" s="1803" t="s">
        <v>2</v>
      </c>
      <c r="BB511" s="1802">
        <v>2009</v>
      </c>
      <c r="BC511" s="1799" t="s">
        <v>15</v>
      </c>
      <c r="BD511" s="1799">
        <v>1</v>
      </c>
      <c r="BE511" s="1800">
        <v>20020560972.525166</v>
      </c>
      <c r="BF511" s="1801">
        <v>0.71219870043194333</v>
      </c>
      <c r="BG511" s="1799"/>
      <c r="BH511" s="1892" t="s">
        <v>1</v>
      </c>
      <c r="BI511" s="1892" t="s">
        <v>313</v>
      </c>
      <c r="BJ511" s="1892" t="s">
        <v>18</v>
      </c>
      <c r="BK511" s="1892">
        <v>2</v>
      </c>
      <c r="BL511" s="1893">
        <v>5690369000</v>
      </c>
      <c r="BM511" s="1801">
        <v>0.33775257981127921</v>
      </c>
      <c r="BN511" s="1799">
        <v>2008</v>
      </c>
      <c r="BO511" s="1684"/>
      <c r="BP511" s="1696"/>
      <c r="BQ511" s="1169"/>
      <c r="BR511" s="1169"/>
      <c r="BS511" s="1169"/>
      <c r="BT511" s="1169"/>
      <c r="BU511" s="1169"/>
      <c r="BV511" s="1169"/>
      <c r="BW511" s="1169"/>
      <c r="BX511" s="1169"/>
      <c r="BY511" s="1169"/>
      <c r="BZ511" s="1169"/>
      <c r="CA511" s="1169"/>
      <c r="CB511" s="1169"/>
      <c r="CC511" s="1169"/>
      <c r="CD511" s="1169"/>
      <c r="CE511" s="1169"/>
      <c r="CF511" s="1169"/>
      <c r="CG511" s="1169"/>
      <c r="CH511" s="1169"/>
      <c r="CI511" s="1169"/>
      <c r="CJ511" s="1169"/>
      <c r="CK511" s="1169"/>
      <c r="CL511" s="1169"/>
      <c r="CM511" s="1169"/>
      <c r="CN511" s="1169"/>
      <c r="CO511" s="1169"/>
      <c r="CP511" s="1169"/>
      <c r="CQ511" s="1169"/>
      <c r="CR511" s="1169"/>
      <c r="CS511" s="1169"/>
      <c r="CT511" s="1169"/>
      <c r="CU511" s="1169"/>
      <c r="CV511" s="1169"/>
      <c r="CW511" s="1169"/>
      <c r="CX511" s="1169"/>
      <c r="CY511" s="1169"/>
      <c r="CZ511" s="1169"/>
      <c r="DA511" s="1168"/>
      <c r="DB511" s="1168"/>
      <c r="DC511" s="1168"/>
      <c r="DD511" s="1168"/>
      <c r="DE511" s="1168"/>
      <c r="DF511" s="1168"/>
      <c r="DG511" s="1168"/>
      <c r="DH511" s="1168"/>
      <c r="DI511" s="1168"/>
      <c r="DJ511" s="1168"/>
      <c r="DK511" s="1168"/>
      <c r="DL511" s="1168"/>
      <c r="DM511" s="1168"/>
      <c r="DN511" s="1168"/>
      <c r="DO511" s="1168"/>
      <c r="DP511" s="1168"/>
      <c r="DQ511" s="1168"/>
      <c r="DR511" s="1168"/>
      <c r="DS511" s="1168"/>
      <c r="DT511" s="1168"/>
      <c r="DU511" s="1168"/>
      <c r="DV511" s="1168"/>
      <c r="DW511" s="1168"/>
      <c r="DX511" s="1168"/>
      <c r="DY511" s="1168"/>
      <c r="DZ511" s="1168"/>
      <c r="EA511" s="1168"/>
      <c r="EB511" s="1168"/>
      <c r="EC511" s="1168"/>
      <c r="ED511" s="1168"/>
      <c r="EE511" s="1168"/>
      <c r="EF511" s="1168"/>
      <c r="EG511" s="1168"/>
      <c r="EH511" s="1168"/>
      <c r="EI511" s="1170"/>
      <c r="EJ511" s="1170"/>
      <c r="EK511" s="1170"/>
      <c r="EL511" s="1170"/>
      <c r="EM511" s="1170"/>
      <c r="EN511" s="1170"/>
      <c r="EO511" s="1170"/>
      <c r="EP511" s="1170"/>
      <c r="EQ511" s="1170"/>
      <c r="ER511" s="1170"/>
      <c r="ES511" s="1171"/>
      <c r="ET511" s="1171"/>
      <c r="EU511" s="1171"/>
      <c r="EV511" s="1171"/>
      <c r="EW511" s="1171"/>
      <c r="EX511" s="1171"/>
      <c r="EY511" s="1171"/>
      <c r="EZ511" s="1171"/>
      <c r="FA511" s="1171"/>
      <c r="FB511" s="1171"/>
      <c r="FC511" s="1171"/>
      <c r="FD511" s="1171"/>
      <c r="FE511" s="1171"/>
      <c r="FF511" s="1171"/>
      <c r="FG511" s="1171"/>
      <c r="FH511" s="1171"/>
      <c r="FI511" s="1171"/>
      <c r="FJ511" s="1171"/>
      <c r="FK511" s="1171"/>
      <c r="FL511" s="1171"/>
      <c r="FM511" s="1171"/>
      <c r="FN511" s="1171"/>
      <c r="FO511" s="1171"/>
      <c r="FP511" s="1171"/>
    </row>
    <row r="512" spans="1:172" s="607" customFormat="1">
      <c r="A512" s="607">
        <f t="shared" si="15"/>
        <v>2012</v>
      </c>
      <c r="B512" s="607">
        <f t="shared" si="16"/>
        <v>4</v>
      </c>
      <c r="C512" s="666">
        <v>41244</v>
      </c>
      <c r="D512" s="957">
        <v>1.046836842105263</v>
      </c>
      <c r="E512" s="920">
        <v>286.11865285271159</v>
      </c>
      <c r="F512" s="920">
        <v>273.31733212341544</v>
      </c>
      <c r="G512" s="920"/>
      <c r="H512" s="920"/>
      <c r="I512" s="954">
        <v>1688.529</v>
      </c>
      <c r="J512" s="954">
        <v>1620.3</v>
      </c>
      <c r="K512" s="954">
        <v>131.27500000000001</v>
      </c>
      <c r="L512" s="920">
        <v>125.4015857294406</v>
      </c>
      <c r="M512" s="917">
        <v>17406.5789</v>
      </c>
      <c r="N512" s="917">
        <v>16627.785916470173</v>
      </c>
      <c r="O512" s="1175">
        <v>7962.5789000000004</v>
      </c>
      <c r="P512" s="1175">
        <v>7606.3227618037317</v>
      </c>
      <c r="Q512" s="1175">
        <v>2275.5</v>
      </c>
      <c r="R512" s="1175">
        <v>2173.6911698902463</v>
      </c>
      <c r="S512" s="1175">
        <v>2037.5789</v>
      </c>
      <c r="T512" s="1175">
        <v>1946.4149694065836</v>
      </c>
      <c r="U512" s="920">
        <v>1652.4216125903772</v>
      </c>
      <c r="V512" s="920">
        <v>1578.4901200718541</v>
      </c>
      <c r="W512" s="920">
        <v>2768.6145796540623</v>
      </c>
      <c r="X512" s="920">
        <v>2644.7431617769416</v>
      </c>
      <c r="Y512" s="920"/>
      <c r="Z512" s="920"/>
      <c r="AA512" s="920"/>
      <c r="AB512" s="920"/>
      <c r="AC512" s="920">
        <v>31.963000000000001</v>
      </c>
      <c r="AD512" s="920">
        <v>30.91</v>
      </c>
      <c r="AE512" s="920">
        <v>24036.842100000002</v>
      </c>
      <c r="AF512" s="920">
        <v>22961.402515849761</v>
      </c>
      <c r="AG512" s="920">
        <v>1591.2940000000001</v>
      </c>
      <c r="AH512" s="920">
        <v>1520.0974363873124</v>
      </c>
      <c r="AI512" s="920">
        <v>691.35299999999995</v>
      </c>
      <c r="AJ512" s="920">
        <v>660.42096742567844</v>
      </c>
      <c r="AK512" s="920">
        <v>109.54</v>
      </c>
      <c r="AL512" s="920">
        <v>104.63903790365967</v>
      </c>
      <c r="AM512" s="920">
        <v>113.07</v>
      </c>
      <c r="AN512" s="920">
        <v>108.01110111161948</v>
      </c>
      <c r="AO512" s="920"/>
      <c r="AP512" s="920"/>
      <c r="AS512" s="1167"/>
      <c r="AT512" s="1167"/>
      <c r="AU512" s="1168"/>
      <c r="AV512" s="1168"/>
      <c r="AW512" s="1169"/>
      <c r="AX512" s="1169"/>
      <c r="AY512" s="1169"/>
      <c r="AZ512" s="1169"/>
      <c r="BA512" s="1803" t="s">
        <v>2</v>
      </c>
      <c r="BB512" s="1802">
        <v>2009</v>
      </c>
      <c r="BC512" s="1799" t="s">
        <v>20</v>
      </c>
      <c r="BD512" s="1799">
        <v>2</v>
      </c>
      <c r="BE512" s="1800">
        <v>4933322680.1497345</v>
      </c>
      <c r="BF512" s="1801">
        <v>0.17549488280751799</v>
      </c>
      <c r="BG512" s="1799"/>
      <c r="BH512" s="1892" t="s">
        <v>1</v>
      </c>
      <c r="BI512" s="1892" t="s">
        <v>313</v>
      </c>
      <c r="BJ512" s="1892" t="s">
        <v>28</v>
      </c>
      <c r="BK512" s="1892">
        <v>3</v>
      </c>
      <c r="BL512" s="1893">
        <v>1310727000</v>
      </c>
      <c r="BM512" s="1801">
        <v>7.7798368731148815E-2</v>
      </c>
      <c r="BN512" s="1799">
        <v>2008</v>
      </c>
      <c r="BO512" s="1684"/>
      <c r="BP512" s="1696"/>
      <c r="BQ512" s="1169"/>
      <c r="BR512" s="1169"/>
      <c r="BS512" s="1169"/>
      <c r="BT512" s="1169"/>
      <c r="BU512" s="1169"/>
      <c r="BV512" s="1169"/>
      <c r="BW512" s="1169"/>
      <c r="BX512" s="1169"/>
      <c r="BY512" s="1169"/>
      <c r="BZ512" s="1169"/>
      <c r="CA512" s="1169"/>
      <c r="CB512" s="1169"/>
      <c r="CC512" s="1169"/>
      <c r="CD512" s="1169"/>
      <c r="CE512" s="1169"/>
      <c r="CF512" s="1169"/>
      <c r="CG512" s="1169"/>
      <c r="CH512" s="1169"/>
      <c r="CI512" s="1169"/>
      <c r="CJ512" s="1169"/>
      <c r="CK512" s="1169"/>
      <c r="CL512" s="1169"/>
      <c r="CM512" s="1169"/>
      <c r="CN512" s="1169"/>
      <c r="CO512" s="1169"/>
      <c r="CP512" s="1169"/>
      <c r="CQ512" s="1169"/>
      <c r="CR512" s="1169"/>
      <c r="CS512" s="1169"/>
      <c r="CT512" s="1169"/>
      <c r="CU512" s="1169"/>
      <c r="CV512" s="1169"/>
      <c r="CW512" s="1169"/>
      <c r="CX512" s="1169"/>
      <c r="CY512" s="1169"/>
      <c r="CZ512" s="1169"/>
      <c r="DA512" s="1168"/>
      <c r="DB512" s="1168"/>
      <c r="DC512" s="1168"/>
      <c r="DD512" s="1168"/>
      <c r="DE512" s="1168"/>
      <c r="DF512" s="1168"/>
      <c r="DG512" s="1168"/>
      <c r="DH512" s="1168"/>
      <c r="DI512" s="1168"/>
      <c r="DJ512" s="1168"/>
      <c r="DK512" s="1168"/>
      <c r="DL512" s="1168"/>
      <c r="DM512" s="1168"/>
      <c r="DN512" s="1168"/>
      <c r="DO512" s="1168"/>
      <c r="DP512" s="1168"/>
      <c r="DQ512" s="1168"/>
      <c r="DR512" s="1168"/>
      <c r="DS512" s="1168"/>
      <c r="DT512" s="1168"/>
      <c r="DU512" s="1168"/>
      <c r="DV512" s="1168"/>
      <c r="DW512" s="1168"/>
      <c r="DX512" s="1168"/>
      <c r="DY512" s="1168"/>
      <c r="DZ512" s="1168"/>
      <c r="EA512" s="1168"/>
      <c r="EB512" s="1168"/>
      <c r="EC512" s="1168"/>
      <c r="ED512" s="1168"/>
      <c r="EE512" s="1168"/>
      <c r="EF512" s="1168"/>
      <c r="EG512" s="1168"/>
      <c r="EH512" s="1168"/>
      <c r="EI512" s="1170"/>
      <c r="EJ512" s="1170"/>
      <c r="EK512" s="1170"/>
      <c r="EL512" s="1170"/>
      <c r="EM512" s="1170"/>
      <c r="EN512" s="1170"/>
      <c r="EO512" s="1170"/>
      <c r="EP512" s="1170"/>
      <c r="EQ512" s="1170"/>
      <c r="ER512" s="1170"/>
      <c r="ES512" s="1171"/>
      <c r="ET512" s="1171"/>
      <c r="EU512" s="1171"/>
      <c r="EV512" s="1171"/>
      <c r="EW512" s="1171"/>
      <c r="EX512" s="1171"/>
      <c r="EY512" s="1171"/>
      <c r="EZ512" s="1171"/>
      <c r="FA512" s="1171"/>
      <c r="FB512" s="1171"/>
      <c r="FC512" s="1171"/>
      <c r="FD512" s="1171"/>
      <c r="FE512" s="1171"/>
      <c r="FF512" s="1171"/>
      <c r="FG512" s="1171"/>
      <c r="FH512" s="1171"/>
      <c r="FI512" s="1171"/>
      <c r="FJ512" s="1171"/>
      <c r="FK512" s="1171"/>
      <c r="FL512" s="1171"/>
      <c r="FM512" s="1171"/>
      <c r="FN512" s="1171"/>
      <c r="FO512" s="1171"/>
      <c r="FP512" s="1171"/>
    </row>
    <row r="513" spans="1:172" s="607" customFormat="1">
      <c r="A513" s="607">
        <f t="shared" si="15"/>
        <v>2013</v>
      </c>
      <c r="B513" s="607">
        <f t="shared" si="16"/>
        <v>1</v>
      </c>
      <c r="C513" s="666">
        <v>41275</v>
      </c>
      <c r="D513" s="1709">
        <v>1.0502857142857145</v>
      </c>
      <c r="E513" s="1117">
        <v>304.38763155067988</v>
      </c>
      <c r="F513" s="1117">
        <v>289.81412144379198</v>
      </c>
      <c r="G513" s="1117"/>
      <c r="H513" s="1117"/>
      <c r="I513" s="959">
        <v>1670.9549999999999</v>
      </c>
      <c r="J513" s="959">
        <v>1600.05</v>
      </c>
      <c r="K513" s="960">
        <v>150.47499999999999</v>
      </c>
      <c r="L513" s="1121">
        <v>143.27053862894448</v>
      </c>
      <c r="M513" s="916">
        <v>17464.772700000001</v>
      </c>
      <c r="N513" s="916">
        <v>16628.592070184983</v>
      </c>
      <c r="O513" s="1174">
        <v>8049.2727000000004</v>
      </c>
      <c r="P513" s="1174">
        <v>7663.8885881392807</v>
      </c>
      <c r="Q513" s="1174">
        <v>2340.2727</v>
      </c>
      <c r="R513" s="1174">
        <v>2228.224823177366</v>
      </c>
      <c r="S513" s="1174">
        <v>2033.1591000000001</v>
      </c>
      <c r="T513" s="1174">
        <v>1935.8152475516863</v>
      </c>
      <c r="U513" s="1120">
        <v>1307.965292465607</v>
      </c>
      <c r="V513" s="1120">
        <v>1245.3423622496257</v>
      </c>
      <c r="W513" s="1120">
        <v>2704.1069103725272</v>
      </c>
      <c r="X513" s="1120">
        <v>2574.6393325092067</v>
      </c>
      <c r="Y513" s="1119"/>
      <c r="Z513" s="1119"/>
      <c r="AA513" s="1119"/>
      <c r="AB513" s="1119"/>
      <c r="AC513" s="1178">
        <v>31.111999999999998</v>
      </c>
      <c r="AD513" s="1178">
        <v>29.96</v>
      </c>
      <c r="AE513" s="1178">
        <v>26125</v>
      </c>
      <c r="AF513" s="1178">
        <v>24874.183895538623</v>
      </c>
      <c r="AG513" s="1178">
        <v>1643.9770000000001</v>
      </c>
      <c r="AH513" s="1178">
        <v>1565.2664581066374</v>
      </c>
      <c r="AI513" s="1178">
        <v>712.56799999999998</v>
      </c>
      <c r="AJ513" s="1178">
        <v>678.45157780195848</v>
      </c>
      <c r="AK513" s="919">
        <v>112.97</v>
      </c>
      <c r="AL513" s="919">
        <v>107.56120783460281</v>
      </c>
      <c r="AM513" s="919">
        <v>117.28</v>
      </c>
      <c r="AN513" s="919">
        <v>111.66485310119694</v>
      </c>
      <c r="AO513" s="919"/>
      <c r="AP513" s="919"/>
      <c r="AS513" s="1167"/>
      <c r="AT513" s="1167"/>
      <c r="AU513" s="1168"/>
      <c r="AV513" s="1168"/>
      <c r="AW513" s="1169"/>
      <c r="AX513" s="1169"/>
      <c r="AY513" s="1169"/>
      <c r="AZ513" s="1169"/>
      <c r="BA513" s="1803" t="s">
        <v>2</v>
      </c>
      <c r="BB513" s="1802">
        <v>2009</v>
      </c>
      <c r="BC513" s="1799" t="s">
        <v>581</v>
      </c>
      <c r="BD513" s="1799">
        <v>3</v>
      </c>
      <c r="BE513" s="1800">
        <v>2237568097.4908104</v>
      </c>
      <c r="BF513" s="1801">
        <v>7.9597824124302413E-2</v>
      </c>
      <c r="BG513" s="1799"/>
      <c r="BH513" s="1892" t="s">
        <v>1</v>
      </c>
      <c r="BI513" s="1892" t="s">
        <v>313</v>
      </c>
      <c r="BJ513" s="1892" t="s">
        <v>29</v>
      </c>
      <c r="BK513" s="1892">
        <v>4</v>
      </c>
      <c r="BL513" s="1893">
        <v>1299674000</v>
      </c>
      <c r="BM513" s="1801">
        <v>7.7142316502434985E-2</v>
      </c>
      <c r="BN513" s="1799">
        <v>2008</v>
      </c>
      <c r="BO513" s="1684"/>
      <c r="BP513" s="1696"/>
      <c r="BQ513" s="1169"/>
      <c r="BR513" s="1169"/>
      <c r="BS513" s="1169"/>
      <c r="BT513" s="1169"/>
      <c r="BU513" s="1169"/>
      <c r="BV513" s="1169"/>
      <c r="BW513" s="1169"/>
      <c r="BX513" s="1169"/>
      <c r="BY513" s="1169"/>
      <c r="BZ513" s="1169"/>
      <c r="CA513" s="1169"/>
      <c r="CB513" s="1169"/>
      <c r="CC513" s="1169"/>
      <c r="CD513" s="1169"/>
      <c r="CE513" s="1169"/>
      <c r="CF513" s="1169"/>
      <c r="CG513" s="1169"/>
      <c r="CH513" s="1169"/>
      <c r="CI513" s="1169"/>
      <c r="CJ513" s="1169"/>
      <c r="CK513" s="1169"/>
      <c r="CL513" s="1169"/>
      <c r="CM513" s="1169"/>
      <c r="CN513" s="1169"/>
      <c r="CO513" s="1169"/>
      <c r="CP513" s="1169"/>
      <c r="CQ513" s="1169"/>
      <c r="CR513" s="1169"/>
      <c r="CS513" s="1169"/>
      <c r="CT513" s="1169"/>
      <c r="CU513" s="1169"/>
      <c r="CV513" s="1169"/>
      <c r="CW513" s="1169"/>
      <c r="CX513" s="1169"/>
      <c r="CY513" s="1169"/>
      <c r="CZ513" s="1169"/>
      <c r="DA513" s="1168"/>
      <c r="DB513" s="1168"/>
      <c r="DC513" s="1168"/>
      <c r="DD513" s="1168"/>
      <c r="DE513" s="1168"/>
      <c r="DF513" s="1168"/>
      <c r="DG513" s="1168"/>
      <c r="DH513" s="1168"/>
      <c r="DI513" s="1168"/>
      <c r="DJ513" s="1168"/>
      <c r="DK513" s="1168"/>
      <c r="DL513" s="1168"/>
      <c r="DM513" s="1168"/>
      <c r="DN513" s="1168"/>
      <c r="DO513" s="1168"/>
      <c r="DP513" s="1168"/>
      <c r="DQ513" s="1168"/>
      <c r="DR513" s="1168"/>
      <c r="DS513" s="1168"/>
      <c r="DT513" s="1168"/>
      <c r="DU513" s="1168"/>
      <c r="DV513" s="1168"/>
      <c r="DW513" s="1168"/>
      <c r="DX513" s="1168"/>
      <c r="DY513" s="1168"/>
      <c r="DZ513" s="1168"/>
      <c r="EA513" s="1168"/>
      <c r="EB513" s="1168"/>
      <c r="EC513" s="1168"/>
      <c r="ED513" s="1168"/>
      <c r="EE513" s="1168"/>
      <c r="EF513" s="1168"/>
      <c r="EG513" s="1168"/>
      <c r="EH513" s="1168"/>
      <c r="EI513" s="1170"/>
      <c r="EJ513" s="1170"/>
      <c r="EK513" s="1170"/>
      <c r="EL513" s="1170"/>
      <c r="EM513" s="1170"/>
      <c r="EN513" s="1170"/>
      <c r="EO513" s="1170"/>
      <c r="EP513" s="1170"/>
      <c r="EQ513" s="1170"/>
      <c r="ER513" s="1170"/>
      <c r="ES513" s="1171"/>
      <c r="ET513" s="1171"/>
      <c r="EU513" s="1171"/>
      <c r="EV513" s="1171"/>
      <c r="EW513" s="1171"/>
      <c r="EX513" s="1171"/>
      <c r="EY513" s="1171"/>
      <c r="EZ513" s="1171"/>
      <c r="FA513" s="1171"/>
      <c r="FB513" s="1171"/>
      <c r="FC513" s="1171"/>
      <c r="FD513" s="1171"/>
      <c r="FE513" s="1171"/>
      <c r="FF513" s="1171"/>
      <c r="FG513" s="1171"/>
      <c r="FH513" s="1171"/>
      <c r="FI513" s="1171"/>
      <c r="FJ513" s="1171"/>
      <c r="FK513" s="1171"/>
      <c r="FL513" s="1171"/>
      <c r="FM513" s="1171"/>
      <c r="FN513" s="1171"/>
      <c r="FO513" s="1171"/>
      <c r="FP513" s="1171"/>
    </row>
    <row r="514" spans="1:172" s="607" customFormat="1">
      <c r="A514" s="607">
        <f t="shared" si="15"/>
        <v>2013</v>
      </c>
      <c r="B514" s="607">
        <f t="shared" si="16"/>
        <v>1</v>
      </c>
      <c r="C514" s="666">
        <v>41306</v>
      </c>
      <c r="D514" s="957">
        <v>1.0319199999999999</v>
      </c>
      <c r="E514" s="920">
        <v>301.10186325243382</v>
      </c>
      <c r="F514" s="920">
        <v>291.78799059271438</v>
      </c>
      <c r="G514" s="920"/>
      <c r="H514" s="920"/>
      <c r="I514" s="954">
        <v>1627.5</v>
      </c>
      <c r="J514" s="954">
        <v>1588.9</v>
      </c>
      <c r="K514" s="954">
        <v>154.25</v>
      </c>
      <c r="L514" s="920">
        <v>149.47864175517483</v>
      </c>
      <c r="M514" s="917">
        <v>17733.75</v>
      </c>
      <c r="N514" s="917">
        <v>17185.198464997287</v>
      </c>
      <c r="O514" s="1175">
        <v>8070.4750000000004</v>
      </c>
      <c r="P514" s="1175">
        <v>7820.833979378247</v>
      </c>
      <c r="Q514" s="1175">
        <v>2376.1999999999998</v>
      </c>
      <c r="R514" s="1175">
        <v>2302.6978835568648</v>
      </c>
      <c r="S514" s="1175">
        <v>2129.2750000000001</v>
      </c>
      <c r="T514" s="1175">
        <v>2063.4109233273898</v>
      </c>
      <c r="U514" s="920">
        <v>1272.8703467940968</v>
      </c>
      <c r="V514" s="920">
        <v>1233.4971187631763</v>
      </c>
      <c r="W514" s="920">
        <v>2661.0957085238038</v>
      </c>
      <c r="X514" s="920">
        <v>2578.7810184159662</v>
      </c>
      <c r="Y514" s="920"/>
      <c r="Z514" s="920"/>
      <c r="AA514" s="920"/>
      <c r="AB514" s="920"/>
      <c r="AC514" s="920">
        <v>30.329000000000001</v>
      </c>
      <c r="AD514" s="920">
        <v>29.76</v>
      </c>
      <c r="AE514" s="920">
        <v>25515</v>
      </c>
      <c r="AF514" s="920">
        <v>24725.753934413522</v>
      </c>
      <c r="AG514" s="920">
        <v>1674.55</v>
      </c>
      <c r="AH514" s="920">
        <v>1622.7517637026126</v>
      </c>
      <c r="AI514" s="920">
        <v>751.9</v>
      </c>
      <c r="AJ514" s="920">
        <v>728.64175517481976</v>
      </c>
      <c r="AK514" s="920">
        <v>116.45</v>
      </c>
      <c r="AL514" s="920">
        <v>112.84789518567332</v>
      </c>
      <c r="AM514" s="920">
        <v>122.43</v>
      </c>
      <c r="AN514" s="920">
        <v>118.64291805566324</v>
      </c>
      <c r="AO514" s="920"/>
      <c r="AP514" s="920"/>
      <c r="AS514" s="1167"/>
      <c r="AT514" s="1167"/>
      <c r="AU514" s="1168"/>
      <c r="AV514" s="1168"/>
      <c r="AW514" s="1169"/>
      <c r="AX514" s="1169"/>
      <c r="AY514" s="1169"/>
      <c r="AZ514" s="1169"/>
      <c r="BA514" s="1803" t="s">
        <v>2</v>
      </c>
      <c r="BB514" s="1802">
        <v>2009</v>
      </c>
      <c r="BC514" s="1799" t="s">
        <v>583</v>
      </c>
      <c r="BD514" s="1799">
        <v>4</v>
      </c>
      <c r="BE514" s="1800">
        <v>748320084.78367472</v>
      </c>
      <c r="BF514" s="1801">
        <v>2.6620262670034176E-2</v>
      </c>
      <c r="BG514" s="1799"/>
      <c r="BH514" s="1892" t="s">
        <v>1</v>
      </c>
      <c r="BI514" s="1892" t="s">
        <v>313</v>
      </c>
      <c r="BJ514" s="1892" t="s">
        <v>49</v>
      </c>
      <c r="BK514" s="1892">
        <v>5</v>
      </c>
      <c r="BL514" s="1893">
        <v>731005000</v>
      </c>
      <c r="BM514" s="1801">
        <v>4.3388895272862646E-2</v>
      </c>
      <c r="BN514" s="1799">
        <v>2008</v>
      </c>
      <c r="BO514" s="1684"/>
      <c r="BP514" s="1696"/>
      <c r="BQ514" s="1169"/>
      <c r="BR514" s="1169"/>
      <c r="BS514" s="1169"/>
      <c r="BT514" s="1169"/>
      <c r="BU514" s="1169"/>
      <c r="BV514" s="1169"/>
      <c r="BW514" s="1169"/>
      <c r="BX514" s="1169"/>
      <c r="BY514" s="1169"/>
      <c r="BZ514" s="1169"/>
      <c r="CA514" s="1169"/>
      <c r="CB514" s="1169"/>
      <c r="CC514" s="1169"/>
      <c r="CD514" s="1169"/>
      <c r="CE514" s="1169"/>
      <c r="CF514" s="1169"/>
      <c r="CG514" s="1169"/>
      <c r="CH514" s="1169"/>
      <c r="CI514" s="1169"/>
      <c r="CJ514" s="1169"/>
      <c r="CK514" s="1169"/>
      <c r="CL514" s="1169"/>
      <c r="CM514" s="1169"/>
      <c r="CN514" s="1169"/>
      <c r="CO514" s="1169"/>
      <c r="CP514" s="1169"/>
      <c r="CQ514" s="1169"/>
      <c r="CR514" s="1169"/>
      <c r="CS514" s="1169"/>
      <c r="CT514" s="1169"/>
      <c r="CU514" s="1169"/>
      <c r="CV514" s="1169"/>
      <c r="CW514" s="1169"/>
      <c r="CX514" s="1169"/>
      <c r="CY514" s="1169"/>
      <c r="CZ514" s="1169"/>
      <c r="DA514" s="1168"/>
      <c r="DB514" s="1168"/>
      <c r="DC514" s="1168"/>
      <c r="DD514" s="1168"/>
      <c r="DE514" s="1168"/>
      <c r="DF514" s="1168"/>
      <c r="DG514" s="1168"/>
      <c r="DH514" s="1168"/>
      <c r="DI514" s="1168"/>
      <c r="DJ514" s="1168"/>
      <c r="DK514" s="1168"/>
      <c r="DL514" s="1168"/>
      <c r="DM514" s="1168"/>
      <c r="DN514" s="1168"/>
      <c r="DO514" s="1168"/>
      <c r="DP514" s="1168"/>
      <c r="DQ514" s="1168"/>
      <c r="DR514" s="1168"/>
      <c r="DS514" s="1168"/>
      <c r="DT514" s="1168"/>
      <c r="DU514" s="1168"/>
      <c r="DV514" s="1168"/>
      <c r="DW514" s="1168"/>
      <c r="DX514" s="1168"/>
      <c r="DY514" s="1168"/>
      <c r="DZ514" s="1168"/>
      <c r="EA514" s="1168"/>
      <c r="EB514" s="1168"/>
      <c r="EC514" s="1168"/>
      <c r="ED514" s="1168"/>
      <c r="EE514" s="1168"/>
      <c r="EF514" s="1168"/>
      <c r="EG514" s="1168"/>
      <c r="EH514" s="1168"/>
      <c r="EI514" s="1170"/>
      <c r="EJ514" s="1170"/>
      <c r="EK514" s="1170"/>
      <c r="EL514" s="1170"/>
      <c r="EM514" s="1170"/>
      <c r="EN514" s="1170"/>
      <c r="EO514" s="1170"/>
      <c r="EP514" s="1170"/>
      <c r="EQ514" s="1170"/>
      <c r="ER514" s="1170"/>
      <c r="ES514" s="1171"/>
      <c r="ET514" s="1171"/>
      <c r="EU514" s="1171"/>
      <c r="EV514" s="1171"/>
      <c r="EW514" s="1171"/>
      <c r="EX514" s="1171"/>
      <c r="EY514" s="1171"/>
      <c r="EZ514" s="1171"/>
      <c r="FA514" s="1171"/>
      <c r="FB514" s="1171"/>
      <c r="FC514" s="1171"/>
      <c r="FD514" s="1171"/>
      <c r="FE514" s="1171"/>
      <c r="FF514" s="1171"/>
      <c r="FG514" s="1171"/>
      <c r="FH514" s="1171"/>
      <c r="FI514" s="1171"/>
      <c r="FJ514" s="1171"/>
      <c r="FK514" s="1171"/>
      <c r="FL514" s="1171"/>
      <c r="FM514" s="1171"/>
      <c r="FN514" s="1171"/>
      <c r="FO514" s="1171"/>
      <c r="FP514" s="1171"/>
    </row>
    <row r="515" spans="1:172" s="607" customFormat="1">
      <c r="A515" s="607">
        <f t="shared" si="15"/>
        <v>2013</v>
      </c>
      <c r="B515" s="607">
        <f t="shared" si="16"/>
        <v>1</v>
      </c>
      <c r="C515" s="666">
        <v>41334</v>
      </c>
      <c r="D515" s="1709">
        <v>1.03331</v>
      </c>
      <c r="E515" s="1117">
        <v>311.70107397282993</v>
      </c>
      <c r="F515" s="1117">
        <v>301.65301213849665</v>
      </c>
      <c r="G515" s="1117"/>
      <c r="H515" s="1117"/>
      <c r="I515" s="959">
        <v>1592.8630000000001</v>
      </c>
      <c r="J515" s="959">
        <v>1549.48</v>
      </c>
      <c r="K515" s="960">
        <v>140.82</v>
      </c>
      <c r="L515" s="1121">
        <v>136.2804966563761</v>
      </c>
      <c r="M515" s="916">
        <v>16727.75</v>
      </c>
      <c r="N515" s="916">
        <v>16188.510708306318</v>
      </c>
      <c r="O515" s="1174">
        <v>7662.9</v>
      </c>
      <c r="P515" s="1174">
        <v>7415.8771327094482</v>
      </c>
      <c r="Q515" s="1174">
        <v>2183.4749999999999</v>
      </c>
      <c r="R515" s="1174">
        <v>2113.088037471814</v>
      </c>
      <c r="S515" s="1174">
        <v>1935.9</v>
      </c>
      <c r="T515" s="1174">
        <v>1873.4939176045912</v>
      </c>
      <c r="U515" s="1120">
        <v>1209.0436323557874</v>
      </c>
      <c r="V515" s="1120">
        <v>1170.0686457653439</v>
      </c>
      <c r="W515" s="1120">
        <v>2576.4370567472797</v>
      </c>
      <c r="X515" s="1120">
        <v>2493.3824861341513</v>
      </c>
      <c r="Y515" s="1119"/>
      <c r="Z515" s="1119"/>
      <c r="AA515" s="1119"/>
      <c r="AB515" s="1119"/>
      <c r="AC515" s="1178">
        <v>28.798999999999999</v>
      </c>
      <c r="AD515" s="1178">
        <v>28.24</v>
      </c>
      <c r="AE515" s="1178">
        <v>25525</v>
      </c>
      <c r="AF515" s="1178">
        <v>24702.170694176966</v>
      </c>
      <c r="AG515" s="1178">
        <v>1583.3</v>
      </c>
      <c r="AH515" s="1178">
        <v>1532.2604058801328</v>
      </c>
      <c r="AI515" s="1178">
        <v>756.65</v>
      </c>
      <c r="AJ515" s="1178">
        <v>732.2584703525564</v>
      </c>
      <c r="AK515" s="919">
        <v>109.24</v>
      </c>
      <c r="AL515" s="919">
        <v>105.71851622455991</v>
      </c>
      <c r="AM515" s="919">
        <v>115.85</v>
      </c>
      <c r="AN515" s="919">
        <v>112.11543486465824</v>
      </c>
      <c r="AO515" s="919"/>
      <c r="AP515" s="919"/>
      <c r="AS515" s="1167"/>
      <c r="AT515" s="1167"/>
      <c r="AU515" s="1168"/>
      <c r="AV515" s="1168"/>
      <c r="AW515" s="1169"/>
      <c r="AX515" s="1169"/>
      <c r="AY515" s="1169"/>
      <c r="AZ515" s="1169"/>
      <c r="BA515" s="1803" t="s">
        <v>2</v>
      </c>
      <c r="BB515" s="1802">
        <v>2009</v>
      </c>
      <c r="BC515" s="1799" t="s">
        <v>340</v>
      </c>
      <c r="BD515" s="1799">
        <v>5</v>
      </c>
      <c r="BE515" s="1800">
        <v>55577725.138101906</v>
      </c>
      <c r="BF515" s="1801">
        <v>1.9770866396121491E-3</v>
      </c>
      <c r="BG515" s="1799"/>
      <c r="BH515" s="1892" t="s">
        <v>1</v>
      </c>
      <c r="BI515" s="1892" t="s">
        <v>313</v>
      </c>
      <c r="BJ515" s="1892" t="s">
        <v>241</v>
      </c>
      <c r="BK515" s="1892">
        <v>6</v>
      </c>
      <c r="BL515" s="1893">
        <v>337708000</v>
      </c>
      <c r="BM515" s="1801">
        <v>2.0044701533926443E-2</v>
      </c>
      <c r="BN515" s="1799">
        <v>2008</v>
      </c>
      <c r="BO515" s="1684"/>
      <c r="BP515" s="1696"/>
      <c r="BQ515" s="1169"/>
      <c r="BR515" s="1169"/>
      <c r="BS515" s="1169"/>
      <c r="BT515" s="1169"/>
      <c r="BU515" s="1169"/>
      <c r="BV515" s="1169"/>
      <c r="BW515" s="1169"/>
      <c r="BX515" s="1169"/>
      <c r="BY515" s="1169"/>
      <c r="BZ515" s="1169"/>
      <c r="CA515" s="1169"/>
      <c r="CB515" s="1169"/>
      <c r="CC515" s="1169"/>
      <c r="CD515" s="1169"/>
      <c r="CE515" s="1169"/>
      <c r="CF515" s="1169"/>
      <c r="CG515" s="1169"/>
      <c r="CH515" s="1169"/>
      <c r="CI515" s="1169"/>
      <c r="CJ515" s="1169"/>
      <c r="CK515" s="1169"/>
      <c r="CL515" s="1169"/>
      <c r="CM515" s="1169"/>
      <c r="CN515" s="1169"/>
      <c r="CO515" s="1169"/>
      <c r="CP515" s="1169"/>
      <c r="CQ515" s="1169"/>
      <c r="CR515" s="1169"/>
      <c r="CS515" s="1169"/>
      <c r="CT515" s="1169"/>
      <c r="CU515" s="1169"/>
      <c r="CV515" s="1169"/>
      <c r="CW515" s="1169"/>
      <c r="CX515" s="1169"/>
      <c r="CY515" s="1169"/>
      <c r="CZ515" s="1169"/>
      <c r="DA515" s="1168"/>
      <c r="DB515" s="1168"/>
      <c r="DC515" s="1168"/>
      <c r="DD515" s="1168"/>
      <c r="DE515" s="1168"/>
      <c r="DF515" s="1168"/>
      <c r="DG515" s="1168"/>
      <c r="DH515" s="1168"/>
      <c r="DI515" s="1168"/>
      <c r="DJ515" s="1168"/>
      <c r="DK515" s="1168"/>
      <c r="DL515" s="1168"/>
      <c r="DM515" s="1168"/>
      <c r="DN515" s="1168"/>
      <c r="DO515" s="1168"/>
      <c r="DP515" s="1168"/>
      <c r="DQ515" s="1168"/>
      <c r="DR515" s="1168"/>
      <c r="DS515" s="1168"/>
      <c r="DT515" s="1168"/>
      <c r="DU515" s="1168"/>
      <c r="DV515" s="1168"/>
      <c r="DW515" s="1168"/>
      <c r="DX515" s="1168"/>
      <c r="DY515" s="1168"/>
      <c r="DZ515" s="1168"/>
      <c r="EA515" s="1168"/>
      <c r="EB515" s="1168"/>
      <c r="EC515" s="1168"/>
      <c r="ED515" s="1168"/>
      <c r="EE515" s="1168"/>
      <c r="EF515" s="1168"/>
      <c r="EG515" s="1168"/>
      <c r="EH515" s="1168"/>
      <c r="EI515" s="1170"/>
      <c r="EJ515" s="1170"/>
      <c r="EK515" s="1170"/>
      <c r="EL515" s="1170"/>
      <c r="EM515" s="1170"/>
      <c r="EN515" s="1170"/>
      <c r="EO515" s="1170"/>
      <c r="EP515" s="1170"/>
      <c r="EQ515" s="1170"/>
      <c r="ER515" s="1170"/>
      <c r="ES515" s="1171"/>
      <c r="ET515" s="1171"/>
      <c r="EU515" s="1171"/>
      <c r="EV515" s="1171"/>
      <c r="EW515" s="1171"/>
      <c r="EX515" s="1171"/>
      <c r="EY515" s="1171"/>
      <c r="EZ515" s="1171"/>
      <c r="FA515" s="1171"/>
      <c r="FB515" s="1171"/>
      <c r="FC515" s="1171"/>
      <c r="FD515" s="1171"/>
      <c r="FE515" s="1171"/>
      <c r="FF515" s="1171"/>
      <c r="FG515" s="1171"/>
      <c r="FH515" s="1171"/>
      <c r="FI515" s="1171"/>
      <c r="FJ515" s="1171"/>
      <c r="FK515" s="1171"/>
      <c r="FL515" s="1171"/>
      <c r="FM515" s="1171"/>
      <c r="FN515" s="1171"/>
      <c r="FO515" s="1171"/>
      <c r="FP515" s="1171"/>
    </row>
    <row r="516" spans="1:172" s="607" customFormat="1">
      <c r="A516" s="607">
        <f t="shared" si="15"/>
        <v>2013</v>
      </c>
      <c r="B516" s="607">
        <f t="shared" si="16"/>
        <v>2</v>
      </c>
      <c r="C516" s="666">
        <v>41365</v>
      </c>
      <c r="D516" s="957">
        <v>1.0387249999999999</v>
      </c>
      <c r="E516" s="920">
        <v>300.82914698402794</v>
      </c>
      <c r="F516" s="920">
        <v>289.61385061881441</v>
      </c>
      <c r="G516" s="920"/>
      <c r="H516" s="920"/>
      <c r="I516" s="954">
        <v>1485.0830000000001</v>
      </c>
      <c r="J516" s="954">
        <v>1441.66</v>
      </c>
      <c r="K516" s="954">
        <v>137.25</v>
      </c>
      <c r="L516" s="920">
        <v>132.1331439986522</v>
      </c>
      <c r="M516" s="917">
        <v>15635</v>
      </c>
      <c r="N516" s="917">
        <v>15052.107150593278</v>
      </c>
      <c r="O516" s="1175">
        <v>7203.3571000000002</v>
      </c>
      <c r="P516" s="1175">
        <v>6934.8067101494626</v>
      </c>
      <c r="Q516" s="1175">
        <v>2030.2619</v>
      </c>
      <c r="R516" s="1175">
        <v>1954.5711328792511</v>
      </c>
      <c r="S516" s="1175">
        <v>1852.9048</v>
      </c>
      <c r="T516" s="1175">
        <v>1783.826132999591</v>
      </c>
      <c r="U516" s="920">
        <v>1155.410857625156</v>
      </c>
      <c r="V516" s="920">
        <v>1112.3356592217922</v>
      </c>
      <c r="W516" s="920">
        <v>2583.7525980171145</v>
      </c>
      <c r="X516" s="920">
        <v>2487.426987910289</v>
      </c>
      <c r="Y516" s="920"/>
      <c r="Z516" s="920"/>
      <c r="AA516" s="920"/>
      <c r="AB516" s="920"/>
      <c r="AC516" s="920">
        <v>25.199000000000002</v>
      </c>
      <c r="AD516" s="920">
        <v>24.8</v>
      </c>
      <c r="AE516" s="920">
        <v>26165</v>
      </c>
      <c r="AF516" s="920">
        <v>25189.535247539054</v>
      </c>
      <c r="AG516" s="920">
        <v>1489.1189999999999</v>
      </c>
      <c r="AH516" s="920">
        <v>1433.6027341211582</v>
      </c>
      <c r="AI516" s="920">
        <v>703.024</v>
      </c>
      <c r="AJ516" s="920">
        <v>676.81436376326758</v>
      </c>
      <c r="AK516" s="920">
        <v>102.87</v>
      </c>
      <c r="AL516" s="920">
        <v>99.034874485547206</v>
      </c>
      <c r="AM516" s="920">
        <v>108.41</v>
      </c>
      <c r="AN516" s="920">
        <v>104.36833618137621</v>
      </c>
      <c r="AO516" s="920"/>
      <c r="AP516" s="920"/>
      <c r="AS516" s="1167"/>
      <c r="AT516" s="1167"/>
      <c r="AU516" s="1168"/>
      <c r="AV516" s="1168"/>
      <c r="AW516" s="1169"/>
      <c r="AX516" s="1169"/>
      <c r="AY516" s="1169"/>
      <c r="AZ516" s="1169"/>
      <c r="BA516" s="1803" t="s">
        <v>2</v>
      </c>
      <c r="BB516" s="1802">
        <v>2009</v>
      </c>
      <c r="BC516" s="1799" t="s">
        <v>32</v>
      </c>
      <c r="BD516" s="1799"/>
      <c r="BE516" s="1800">
        <v>115570833.87397581</v>
      </c>
      <c r="BF516" s="1801">
        <v>4.1112433265899648E-3</v>
      </c>
      <c r="BG516" s="1799"/>
      <c r="BH516" s="1892" t="s">
        <v>1</v>
      </c>
      <c r="BI516" s="1892" t="s">
        <v>313</v>
      </c>
      <c r="BJ516" s="1892" t="s">
        <v>581</v>
      </c>
      <c r="BK516" s="1892">
        <v>7</v>
      </c>
      <c r="BL516" s="1893">
        <v>285059000</v>
      </c>
      <c r="BM516" s="1801">
        <v>1.6919713404952023E-2</v>
      </c>
      <c r="BN516" s="1799">
        <v>2008</v>
      </c>
      <c r="BO516" s="1684"/>
      <c r="BP516" s="1696"/>
      <c r="BQ516" s="1169"/>
      <c r="BR516" s="1169"/>
      <c r="BS516" s="1169"/>
      <c r="BT516" s="1169"/>
      <c r="BU516" s="1169"/>
      <c r="BV516" s="1169"/>
      <c r="BW516" s="1169"/>
      <c r="BX516" s="1169"/>
      <c r="BY516" s="1169"/>
      <c r="BZ516" s="1169"/>
      <c r="CA516" s="1169"/>
      <c r="CB516" s="1169"/>
      <c r="CC516" s="1169"/>
      <c r="CD516" s="1169"/>
      <c r="CE516" s="1169"/>
      <c r="CF516" s="1169"/>
      <c r="CG516" s="1169"/>
      <c r="CH516" s="1169"/>
      <c r="CI516" s="1169"/>
      <c r="CJ516" s="1169"/>
      <c r="CK516" s="1169"/>
      <c r="CL516" s="1169"/>
      <c r="CM516" s="1169"/>
      <c r="CN516" s="1169"/>
      <c r="CO516" s="1169"/>
      <c r="CP516" s="1169"/>
      <c r="CQ516" s="1169"/>
      <c r="CR516" s="1169"/>
      <c r="CS516" s="1169"/>
      <c r="CT516" s="1169"/>
      <c r="CU516" s="1169"/>
      <c r="CV516" s="1169"/>
      <c r="CW516" s="1169"/>
      <c r="CX516" s="1169"/>
      <c r="CY516" s="1169"/>
      <c r="CZ516" s="1169"/>
      <c r="DA516" s="1168"/>
      <c r="DB516" s="1168"/>
      <c r="DC516" s="1168"/>
      <c r="DD516" s="1168"/>
      <c r="DE516" s="1168"/>
      <c r="DF516" s="1168"/>
      <c r="DG516" s="1168"/>
      <c r="DH516" s="1168"/>
      <c r="DI516" s="1168"/>
      <c r="DJ516" s="1168"/>
      <c r="DK516" s="1168"/>
      <c r="DL516" s="1168"/>
      <c r="DM516" s="1168"/>
      <c r="DN516" s="1168"/>
      <c r="DO516" s="1168"/>
      <c r="DP516" s="1168"/>
      <c r="DQ516" s="1168"/>
      <c r="DR516" s="1168"/>
      <c r="DS516" s="1168"/>
      <c r="DT516" s="1168"/>
      <c r="DU516" s="1168"/>
      <c r="DV516" s="1168"/>
      <c r="DW516" s="1168"/>
      <c r="DX516" s="1168"/>
      <c r="DY516" s="1168"/>
      <c r="DZ516" s="1168"/>
      <c r="EA516" s="1168"/>
      <c r="EB516" s="1168"/>
      <c r="EC516" s="1168"/>
      <c r="ED516" s="1168"/>
      <c r="EE516" s="1168"/>
      <c r="EF516" s="1168"/>
      <c r="EG516" s="1168"/>
      <c r="EH516" s="1168"/>
      <c r="EI516" s="1170"/>
      <c r="EJ516" s="1170"/>
      <c r="EK516" s="1170"/>
      <c r="EL516" s="1170"/>
      <c r="EM516" s="1170"/>
      <c r="EN516" s="1170"/>
      <c r="EO516" s="1170"/>
      <c r="EP516" s="1170"/>
      <c r="EQ516" s="1170"/>
      <c r="ER516" s="1170"/>
      <c r="ES516" s="1171"/>
      <c r="ET516" s="1171"/>
      <c r="EU516" s="1171"/>
      <c r="EV516" s="1171"/>
      <c r="EW516" s="1171"/>
      <c r="EX516" s="1171"/>
      <c r="EY516" s="1171"/>
      <c r="EZ516" s="1171"/>
      <c r="FA516" s="1171"/>
      <c r="FB516" s="1171"/>
      <c r="FC516" s="1171"/>
      <c r="FD516" s="1171"/>
      <c r="FE516" s="1171"/>
      <c r="FF516" s="1171"/>
      <c r="FG516" s="1171"/>
      <c r="FH516" s="1171"/>
      <c r="FI516" s="1171"/>
      <c r="FJ516" s="1171"/>
      <c r="FK516" s="1171"/>
      <c r="FL516" s="1171"/>
      <c r="FM516" s="1171"/>
      <c r="FN516" s="1171"/>
      <c r="FO516" s="1171"/>
      <c r="FP516" s="1171"/>
    </row>
    <row r="517" spans="1:172" s="607" customFormat="1">
      <c r="A517" s="607">
        <f t="shared" si="15"/>
        <v>2013</v>
      </c>
      <c r="B517" s="607">
        <f t="shared" si="16"/>
        <v>2</v>
      </c>
      <c r="C517" s="666">
        <v>41395</v>
      </c>
      <c r="D517" s="1709">
        <v>0.99198260869565236</v>
      </c>
      <c r="E517" s="1117">
        <v>289.19266584301459</v>
      </c>
      <c r="F517" s="1117">
        <v>291.52997573543252</v>
      </c>
      <c r="G517" s="1117"/>
      <c r="H517" s="1117"/>
      <c r="I517" s="959">
        <v>1413.7860000000001</v>
      </c>
      <c r="J517" s="959">
        <v>1437.27</v>
      </c>
      <c r="K517" s="960">
        <v>122.88</v>
      </c>
      <c r="L517" s="1121">
        <v>123.87313943091566</v>
      </c>
      <c r="M517" s="916">
        <v>14950.9524</v>
      </c>
      <c r="N517" s="916">
        <v>15071.788828696153</v>
      </c>
      <c r="O517" s="1174">
        <v>7229.1666999999998</v>
      </c>
      <c r="P517" s="1174">
        <v>7287.594194323181</v>
      </c>
      <c r="Q517" s="1174">
        <v>2028.2856999999999</v>
      </c>
      <c r="R517" s="1174">
        <v>2044.6786891425161</v>
      </c>
      <c r="S517" s="1174">
        <v>1829.0237999999999</v>
      </c>
      <c r="T517" s="1174">
        <v>1843.8063167306575</v>
      </c>
      <c r="U517" s="1120">
        <v>1148.4113305118492</v>
      </c>
      <c r="V517" s="1120">
        <v>1157.6930083702609</v>
      </c>
      <c r="W517" s="1120">
        <v>2628.9977345499888</v>
      </c>
      <c r="X517" s="1120">
        <v>2650.2457921181003</v>
      </c>
      <c r="Y517" s="1119"/>
      <c r="Z517" s="1119"/>
      <c r="AA517" s="1119"/>
      <c r="AB517" s="1119"/>
      <c r="AC517" s="1178">
        <v>23.012</v>
      </c>
      <c r="AD517" s="1178">
        <v>23.61</v>
      </c>
      <c r="AE517" s="1178">
        <v>27880.952399999998</v>
      </c>
      <c r="AF517" s="1178">
        <v>28106.291537369161</v>
      </c>
      <c r="AG517" s="1178">
        <v>1474.905</v>
      </c>
      <c r="AH517" s="1178">
        <v>1486.8254615263238</v>
      </c>
      <c r="AI517" s="1178">
        <v>720.19</v>
      </c>
      <c r="AJ517" s="1178">
        <v>726.01071196900364</v>
      </c>
      <c r="AK517" s="919">
        <v>103.03</v>
      </c>
      <c r="AL517" s="919">
        <v>103.86270797173862</v>
      </c>
      <c r="AM517" s="919">
        <v>108.46</v>
      </c>
      <c r="AN517" s="919">
        <v>109.33659426006764</v>
      </c>
      <c r="AO517" s="919"/>
      <c r="AP517" s="919"/>
      <c r="AS517" s="1167"/>
      <c r="AT517" s="1167"/>
      <c r="AU517" s="1168"/>
      <c r="AV517" s="1168"/>
      <c r="AW517" s="1169"/>
      <c r="AX517" s="1169"/>
      <c r="AY517" s="1169"/>
      <c r="AZ517" s="1169"/>
      <c r="BA517" s="1803" t="s">
        <v>2</v>
      </c>
      <c r="BB517" s="1802">
        <v>2009</v>
      </c>
      <c r="BC517" s="1799" t="s">
        <v>249</v>
      </c>
      <c r="BD517" s="1799"/>
      <c r="BE517" s="1800">
        <v>28110920393.961464</v>
      </c>
      <c r="BF517" s="1801"/>
      <c r="BG517" s="1799"/>
      <c r="BH517" s="1892" t="s">
        <v>1</v>
      </c>
      <c r="BI517" s="1892" t="s">
        <v>313</v>
      </c>
      <c r="BJ517" s="1892" t="s">
        <v>592</v>
      </c>
      <c r="BK517" s="1892">
        <v>8</v>
      </c>
      <c r="BL517" s="1893">
        <v>80396000</v>
      </c>
      <c r="BM517" s="1801">
        <v>4.7719148629038997E-3</v>
      </c>
      <c r="BN517" s="1799">
        <v>2008</v>
      </c>
      <c r="BO517" s="1684"/>
      <c r="BP517" s="1696"/>
      <c r="BQ517" s="1169"/>
      <c r="BR517" s="1169"/>
      <c r="BS517" s="1169"/>
      <c r="BT517" s="1169"/>
      <c r="BU517" s="1169"/>
      <c r="BV517" s="1169"/>
      <c r="BW517" s="1169"/>
      <c r="BX517" s="1169"/>
      <c r="BY517" s="1169"/>
      <c r="BZ517" s="1169"/>
      <c r="CA517" s="1169"/>
      <c r="CB517" s="1169"/>
      <c r="CC517" s="1169"/>
      <c r="CD517" s="1169"/>
      <c r="CE517" s="1169"/>
      <c r="CF517" s="1169"/>
      <c r="CG517" s="1169"/>
      <c r="CH517" s="1169"/>
      <c r="CI517" s="1169"/>
      <c r="CJ517" s="1169"/>
      <c r="CK517" s="1169"/>
      <c r="CL517" s="1169"/>
      <c r="CM517" s="1169"/>
      <c r="CN517" s="1169"/>
      <c r="CO517" s="1169"/>
      <c r="CP517" s="1169"/>
      <c r="CQ517" s="1169"/>
      <c r="CR517" s="1169"/>
      <c r="CS517" s="1169"/>
      <c r="CT517" s="1169"/>
      <c r="CU517" s="1169"/>
      <c r="CV517" s="1169"/>
      <c r="CW517" s="1169"/>
      <c r="CX517" s="1169"/>
      <c r="CY517" s="1169"/>
      <c r="CZ517" s="1169"/>
      <c r="DA517" s="1168"/>
      <c r="DB517" s="1168"/>
      <c r="DC517" s="1168"/>
      <c r="DD517" s="1168"/>
      <c r="DE517" s="1168"/>
      <c r="DF517" s="1168"/>
      <c r="DG517" s="1168"/>
      <c r="DH517" s="1168"/>
      <c r="DI517" s="1168"/>
      <c r="DJ517" s="1168"/>
      <c r="DK517" s="1168"/>
      <c r="DL517" s="1168"/>
      <c r="DM517" s="1168"/>
      <c r="DN517" s="1168"/>
      <c r="DO517" s="1168"/>
      <c r="DP517" s="1168"/>
      <c r="DQ517" s="1168"/>
      <c r="DR517" s="1168"/>
      <c r="DS517" s="1168"/>
      <c r="DT517" s="1168"/>
      <c r="DU517" s="1168"/>
      <c r="DV517" s="1168"/>
      <c r="DW517" s="1168"/>
      <c r="DX517" s="1168"/>
      <c r="DY517" s="1168"/>
      <c r="DZ517" s="1168"/>
      <c r="EA517" s="1168"/>
      <c r="EB517" s="1168"/>
      <c r="EC517" s="1168"/>
      <c r="ED517" s="1168"/>
      <c r="EE517" s="1168"/>
      <c r="EF517" s="1168"/>
      <c r="EG517" s="1168"/>
      <c r="EH517" s="1168"/>
      <c r="EI517" s="1170"/>
      <c r="EJ517" s="1170"/>
      <c r="EK517" s="1170"/>
      <c r="EL517" s="1170"/>
      <c r="EM517" s="1170"/>
      <c r="EN517" s="1170"/>
      <c r="EO517" s="1170"/>
      <c r="EP517" s="1170"/>
      <c r="EQ517" s="1170"/>
      <c r="ER517" s="1170"/>
      <c r="ES517" s="1171"/>
      <c r="ET517" s="1171"/>
      <c r="EU517" s="1171"/>
      <c r="EV517" s="1171"/>
      <c r="EW517" s="1171"/>
      <c r="EX517" s="1171"/>
      <c r="EY517" s="1171"/>
      <c r="EZ517" s="1171"/>
      <c r="FA517" s="1171"/>
      <c r="FB517" s="1171"/>
      <c r="FC517" s="1171"/>
      <c r="FD517" s="1171"/>
      <c r="FE517" s="1171"/>
      <c r="FF517" s="1171"/>
      <c r="FG517" s="1171"/>
      <c r="FH517" s="1171"/>
      <c r="FI517" s="1171"/>
      <c r="FJ517" s="1171"/>
      <c r="FK517" s="1171"/>
      <c r="FL517" s="1171"/>
      <c r="FM517" s="1171"/>
      <c r="FN517" s="1171"/>
      <c r="FO517" s="1171"/>
      <c r="FP517" s="1171"/>
    </row>
    <row r="518" spans="1:172" s="607" customFormat="1">
      <c r="A518" s="607">
        <f t="shared" si="15"/>
        <v>2013</v>
      </c>
      <c r="B518" s="607">
        <f t="shared" si="16"/>
        <v>2</v>
      </c>
      <c r="C518" s="666">
        <v>41426</v>
      </c>
      <c r="D518" s="957">
        <v>0.9432315789473682</v>
      </c>
      <c r="E518" s="920">
        <v>289.95390819412461</v>
      </c>
      <c r="F518" s="920">
        <v>307.40479291173506</v>
      </c>
      <c r="G518" s="920"/>
      <c r="H518" s="920"/>
      <c r="I518" s="954">
        <v>1341.463</v>
      </c>
      <c r="J518" s="954">
        <v>1433.1</v>
      </c>
      <c r="K518" s="954">
        <v>114.9</v>
      </c>
      <c r="L518" s="920">
        <v>121.81525996852928</v>
      </c>
      <c r="M518" s="917">
        <v>14270.5</v>
      </c>
      <c r="N518" s="917">
        <v>15129.37047328892</v>
      </c>
      <c r="O518" s="1175">
        <v>7004.05</v>
      </c>
      <c r="P518" s="1175">
        <v>7425.5889606838773</v>
      </c>
      <c r="Q518" s="1175">
        <v>2103.8249999999998</v>
      </c>
      <c r="R518" s="1175">
        <v>2230.4437711339519</v>
      </c>
      <c r="S518" s="1175">
        <v>1839.2249999999999</v>
      </c>
      <c r="T518" s="1175">
        <v>1949.9188121463728</v>
      </c>
      <c r="U518" s="920">
        <v>1214.0999186615168</v>
      </c>
      <c r="V518" s="920">
        <v>1287.1705589166484</v>
      </c>
      <c r="W518" s="920">
        <v>2658.8526790184628</v>
      </c>
      <c r="X518" s="920">
        <v>2818.875807768969</v>
      </c>
      <c r="Y518" s="920"/>
      <c r="Z518" s="920"/>
      <c r="AA518" s="920"/>
      <c r="AB518" s="920"/>
      <c r="AC518" s="920">
        <v>21.109000000000002</v>
      </c>
      <c r="AD518" s="920">
        <v>22.77</v>
      </c>
      <c r="AE518" s="920">
        <v>30530</v>
      </c>
      <c r="AF518" s="920">
        <v>32367.448971620528</v>
      </c>
      <c r="AG518" s="920">
        <v>1430.2249999999999</v>
      </c>
      <c r="AH518" s="920">
        <v>1516.3031347997369</v>
      </c>
      <c r="AI518" s="920">
        <v>713.52499999999998</v>
      </c>
      <c r="AJ518" s="920">
        <v>756.46852366444602</v>
      </c>
      <c r="AK518" s="920">
        <v>103.11</v>
      </c>
      <c r="AL518" s="920">
        <v>109.31567846262013</v>
      </c>
      <c r="AM518" s="920">
        <v>109.77</v>
      </c>
      <c r="AN518" s="920">
        <v>116.37651076366804</v>
      </c>
      <c r="AO518" s="920"/>
      <c r="AP518" s="920"/>
      <c r="AS518" s="1167"/>
      <c r="AT518" s="1167"/>
      <c r="AU518" s="1168"/>
      <c r="AV518" s="1168"/>
      <c r="AW518" s="1169"/>
      <c r="AX518" s="1169"/>
      <c r="AY518" s="1169"/>
      <c r="AZ518" s="1169"/>
      <c r="BA518" s="1803" t="s">
        <v>2</v>
      </c>
      <c r="BB518" s="1802">
        <v>2008</v>
      </c>
      <c r="BC518" s="1799" t="s">
        <v>15</v>
      </c>
      <c r="BD518" s="1799">
        <v>1</v>
      </c>
      <c r="BE518" s="1800">
        <v>19120970618.376392</v>
      </c>
      <c r="BF518" s="1801">
        <v>0.59469863864212491</v>
      </c>
      <c r="BG518" s="1799"/>
      <c r="BH518" s="1892" t="s">
        <v>1</v>
      </c>
      <c r="BI518" s="1892" t="s">
        <v>313</v>
      </c>
      <c r="BJ518" s="1892" t="s">
        <v>339</v>
      </c>
      <c r="BK518" s="1892">
        <v>9</v>
      </c>
      <c r="BL518" s="1893">
        <v>31046000</v>
      </c>
      <c r="BM518" s="1801">
        <v>1.8427393008820646E-3</v>
      </c>
      <c r="BN518" s="1799">
        <v>2008</v>
      </c>
      <c r="BO518" s="1684"/>
      <c r="BP518" s="1696"/>
      <c r="BQ518" s="1169"/>
      <c r="BR518" s="1169"/>
      <c r="BS518" s="1169"/>
      <c r="BT518" s="1169"/>
      <c r="BU518" s="1169"/>
      <c r="BV518" s="1169"/>
      <c r="BW518" s="1169"/>
      <c r="BX518" s="1169"/>
      <c r="BY518" s="1169"/>
      <c r="BZ518" s="1169"/>
      <c r="CA518" s="1169"/>
      <c r="CB518" s="1169"/>
      <c r="CC518" s="1169"/>
      <c r="CD518" s="1169"/>
      <c r="CE518" s="1169"/>
      <c r="CF518" s="1169"/>
      <c r="CG518" s="1169"/>
      <c r="CH518" s="1169"/>
      <c r="CI518" s="1169"/>
      <c r="CJ518" s="1169"/>
      <c r="CK518" s="1169"/>
      <c r="CL518" s="1169"/>
      <c r="CM518" s="1169"/>
      <c r="CN518" s="1169"/>
      <c r="CO518" s="1169"/>
      <c r="CP518" s="1169"/>
      <c r="CQ518" s="1169"/>
      <c r="CR518" s="1169"/>
      <c r="CS518" s="1169"/>
      <c r="CT518" s="1169"/>
      <c r="CU518" s="1169"/>
      <c r="CV518" s="1169"/>
      <c r="CW518" s="1169"/>
      <c r="CX518" s="1169"/>
      <c r="CY518" s="1169"/>
      <c r="CZ518" s="1169"/>
      <c r="DA518" s="1168"/>
      <c r="DB518" s="1168"/>
      <c r="DC518" s="1168"/>
      <c r="DD518" s="1168"/>
      <c r="DE518" s="1168"/>
      <c r="DF518" s="1168"/>
      <c r="DG518" s="1168"/>
      <c r="DH518" s="1168"/>
      <c r="DI518" s="1168"/>
      <c r="DJ518" s="1168"/>
      <c r="DK518" s="1168"/>
      <c r="DL518" s="1168"/>
      <c r="DM518" s="1168"/>
      <c r="DN518" s="1168"/>
      <c r="DO518" s="1168"/>
      <c r="DP518" s="1168"/>
      <c r="DQ518" s="1168"/>
      <c r="DR518" s="1168"/>
      <c r="DS518" s="1168"/>
      <c r="DT518" s="1168"/>
      <c r="DU518" s="1168"/>
      <c r="DV518" s="1168"/>
      <c r="DW518" s="1168"/>
      <c r="DX518" s="1168"/>
      <c r="DY518" s="1168"/>
      <c r="DZ518" s="1168"/>
      <c r="EA518" s="1168"/>
      <c r="EB518" s="1168"/>
      <c r="EC518" s="1168"/>
      <c r="ED518" s="1168"/>
      <c r="EE518" s="1168"/>
      <c r="EF518" s="1168"/>
      <c r="EG518" s="1168"/>
      <c r="EH518" s="1168"/>
      <c r="EI518" s="1170"/>
      <c r="EJ518" s="1170"/>
      <c r="EK518" s="1170"/>
      <c r="EL518" s="1170"/>
      <c r="EM518" s="1170"/>
      <c r="EN518" s="1170"/>
      <c r="EO518" s="1170"/>
      <c r="EP518" s="1170"/>
      <c r="EQ518" s="1170"/>
      <c r="ER518" s="1170"/>
      <c r="ES518" s="1171"/>
      <c r="ET518" s="1171"/>
      <c r="EU518" s="1171"/>
      <c r="EV518" s="1171"/>
      <c r="EW518" s="1171"/>
      <c r="EX518" s="1171"/>
      <c r="EY518" s="1171"/>
      <c r="EZ518" s="1171"/>
      <c r="FA518" s="1171"/>
      <c r="FB518" s="1171"/>
      <c r="FC518" s="1171"/>
      <c r="FD518" s="1171"/>
      <c r="FE518" s="1171"/>
      <c r="FF518" s="1171"/>
      <c r="FG518" s="1171"/>
      <c r="FH518" s="1171"/>
      <c r="FI518" s="1171"/>
      <c r="FJ518" s="1171"/>
      <c r="FK518" s="1171"/>
      <c r="FL518" s="1171"/>
      <c r="FM518" s="1171"/>
      <c r="FN518" s="1171"/>
      <c r="FO518" s="1171"/>
      <c r="FP518" s="1171"/>
    </row>
    <row r="519" spans="1:172" s="607" customFormat="1">
      <c r="A519" s="607">
        <f t="shared" si="15"/>
        <v>2013</v>
      </c>
      <c r="B519" s="607">
        <f t="shared" si="16"/>
        <v>3</v>
      </c>
      <c r="C519" s="666">
        <v>41456</v>
      </c>
      <c r="D519" s="1709">
        <v>0.91721739130434787</v>
      </c>
      <c r="E519" s="1117">
        <v>288.85356218970736</v>
      </c>
      <c r="F519" s="1117">
        <v>314.92377371839535</v>
      </c>
      <c r="G519" s="1117"/>
      <c r="H519" s="1117"/>
      <c r="I519" s="959">
        <v>1286.7239999999999</v>
      </c>
      <c r="J519" s="959">
        <v>1410.13</v>
      </c>
      <c r="K519" s="960">
        <v>128.42500000000001</v>
      </c>
      <c r="L519" s="1121">
        <v>140.01587978763746</v>
      </c>
      <c r="M519" s="916">
        <v>13705</v>
      </c>
      <c r="N519" s="916">
        <v>14941.932119833144</v>
      </c>
      <c r="O519" s="1174">
        <v>6892.98</v>
      </c>
      <c r="P519" s="1174">
        <v>7515.0995449374277</v>
      </c>
      <c r="Q519" s="1174">
        <v>2048.2399999999998</v>
      </c>
      <c r="R519" s="1174">
        <v>2233.1020098596887</v>
      </c>
      <c r="S519" s="1174">
        <v>1835.89</v>
      </c>
      <c r="T519" s="1174">
        <v>2001.5865566932121</v>
      </c>
      <c r="U519" s="1120">
        <v>1240.9735527940807</v>
      </c>
      <c r="V519" s="1120">
        <v>1352.9764748892612</v>
      </c>
      <c r="W519" s="1120">
        <v>2565.5054095580899</v>
      </c>
      <c r="X519" s="1120">
        <v>2797.0527313157027</v>
      </c>
      <c r="Y519" s="1119"/>
      <c r="Z519" s="1119"/>
      <c r="AA519" s="1119"/>
      <c r="AB519" s="1119"/>
      <c r="AC519" s="1178">
        <v>19.71</v>
      </c>
      <c r="AD519" s="1178">
        <v>21.93</v>
      </c>
      <c r="AE519" s="1178">
        <v>29374.35</v>
      </c>
      <c r="AF519" s="1178">
        <v>32025.504835039814</v>
      </c>
      <c r="AG519" s="1178">
        <v>1401.4780000000001</v>
      </c>
      <c r="AH519" s="1178">
        <v>1527.9671027682973</v>
      </c>
      <c r="AI519" s="1178">
        <v>718.02200000000005</v>
      </c>
      <c r="AJ519" s="1178">
        <v>782.82641259006448</v>
      </c>
      <c r="AK519" s="919">
        <v>107.72</v>
      </c>
      <c r="AL519" s="919">
        <v>117.44216913158893</v>
      </c>
      <c r="AM519" s="919">
        <v>113.19</v>
      </c>
      <c r="AN519" s="919">
        <v>123.40585893060295</v>
      </c>
      <c r="AO519" s="919"/>
      <c r="AP519" s="919"/>
      <c r="AS519" s="1167"/>
      <c r="AT519" s="1167"/>
      <c r="AU519" s="1168"/>
      <c r="AV519" s="1168"/>
      <c r="AW519" s="1169"/>
      <c r="AX519" s="1169"/>
      <c r="AY519" s="1169"/>
      <c r="AZ519" s="1169"/>
      <c r="BA519" s="1803" t="s">
        <v>2</v>
      </c>
      <c r="BB519" s="1802">
        <v>2008</v>
      </c>
      <c r="BC519" s="1799" t="s">
        <v>20</v>
      </c>
      <c r="BD519" s="1799">
        <v>2</v>
      </c>
      <c r="BE519" s="1800">
        <v>7615567318.5996027</v>
      </c>
      <c r="BF519" s="1801">
        <v>0.23685866200254674</v>
      </c>
      <c r="BG519" s="1799"/>
      <c r="BH519" s="1892" t="s">
        <v>1</v>
      </c>
      <c r="BI519" s="1892" t="s">
        <v>313</v>
      </c>
      <c r="BJ519" s="1892" t="s">
        <v>338</v>
      </c>
      <c r="BK519" s="1892">
        <v>10</v>
      </c>
      <c r="BL519" s="1893">
        <v>23174000</v>
      </c>
      <c r="BM519" s="1801">
        <v>1.3754957340282473E-3</v>
      </c>
      <c r="BN519" s="1799">
        <v>2008</v>
      </c>
      <c r="BO519" s="1684"/>
      <c r="BP519" s="1696"/>
      <c r="BQ519" s="1169"/>
      <c r="BR519" s="1169"/>
      <c r="BS519" s="1169"/>
      <c r="BT519" s="1169"/>
      <c r="BU519" s="1169"/>
      <c r="BV519" s="1169"/>
      <c r="BW519" s="1169"/>
      <c r="BX519" s="1169"/>
      <c r="BY519" s="1169"/>
      <c r="BZ519" s="1169"/>
      <c r="CA519" s="1169"/>
      <c r="CB519" s="1169"/>
      <c r="CC519" s="1169"/>
      <c r="CD519" s="1169"/>
      <c r="CE519" s="1169"/>
      <c r="CF519" s="1169"/>
      <c r="CG519" s="1169"/>
      <c r="CH519" s="1169"/>
      <c r="CI519" s="1169"/>
      <c r="CJ519" s="1169"/>
      <c r="CK519" s="1169"/>
      <c r="CL519" s="1169"/>
      <c r="CM519" s="1169"/>
      <c r="CN519" s="1169"/>
      <c r="CO519" s="1169"/>
      <c r="CP519" s="1169"/>
      <c r="CQ519" s="1169"/>
      <c r="CR519" s="1169"/>
      <c r="CS519" s="1169"/>
      <c r="CT519" s="1169"/>
      <c r="CU519" s="1169"/>
      <c r="CV519" s="1169"/>
      <c r="CW519" s="1169"/>
      <c r="CX519" s="1169"/>
      <c r="CY519" s="1169"/>
      <c r="CZ519" s="1169"/>
      <c r="DA519" s="1168"/>
      <c r="DB519" s="1168"/>
      <c r="DC519" s="1168"/>
      <c r="DD519" s="1168"/>
      <c r="DE519" s="1168"/>
      <c r="DF519" s="1168"/>
      <c r="DG519" s="1168"/>
      <c r="DH519" s="1168"/>
      <c r="DI519" s="1168"/>
      <c r="DJ519" s="1168"/>
      <c r="DK519" s="1168"/>
      <c r="DL519" s="1168"/>
      <c r="DM519" s="1168"/>
      <c r="DN519" s="1168"/>
      <c r="DO519" s="1168"/>
      <c r="DP519" s="1168"/>
      <c r="DQ519" s="1168"/>
      <c r="DR519" s="1168"/>
      <c r="DS519" s="1168"/>
      <c r="DT519" s="1168"/>
      <c r="DU519" s="1168"/>
      <c r="DV519" s="1168"/>
      <c r="DW519" s="1168"/>
      <c r="DX519" s="1168"/>
      <c r="DY519" s="1168"/>
      <c r="DZ519" s="1168"/>
      <c r="EA519" s="1168"/>
      <c r="EB519" s="1168"/>
      <c r="EC519" s="1168"/>
      <c r="ED519" s="1168"/>
      <c r="EE519" s="1168"/>
      <c r="EF519" s="1168"/>
      <c r="EG519" s="1168"/>
      <c r="EH519" s="1168"/>
      <c r="EI519" s="1170"/>
      <c r="EJ519" s="1170"/>
      <c r="EK519" s="1170"/>
      <c r="EL519" s="1170"/>
      <c r="EM519" s="1170"/>
      <c r="EN519" s="1170"/>
      <c r="EO519" s="1170"/>
      <c r="EP519" s="1170"/>
      <c r="EQ519" s="1170"/>
      <c r="ER519" s="1170"/>
      <c r="ES519" s="1171"/>
      <c r="ET519" s="1171"/>
      <c r="EU519" s="1171"/>
      <c r="EV519" s="1171"/>
      <c r="EW519" s="1171"/>
      <c r="EX519" s="1171"/>
      <c r="EY519" s="1171"/>
      <c r="EZ519" s="1171"/>
      <c r="FA519" s="1171"/>
      <c r="FB519" s="1171"/>
      <c r="FC519" s="1171"/>
      <c r="FD519" s="1171"/>
      <c r="FE519" s="1171"/>
      <c r="FF519" s="1171"/>
      <c r="FG519" s="1171"/>
      <c r="FH519" s="1171"/>
      <c r="FI519" s="1171"/>
      <c r="FJ519" s="1171"/>
      <c r="FK519" s="1171"/>
      <c r="FL519" s="1171"/>
      <c r="FM519" s="1171"/>
      <c r="FN519" s="1171"/>
      <c r="FO519" s="1171"/>
      <c r="FP519" s="1171"/>
    </row>
    <row r="520" spans="1:172" s="607" customFormat="1">
      <c r="A520" s="607">
        <f t="shared" si="15"/>
        <v>2013</v>
      </c>
      <c r="B520" s="607">
        <f t="shared" si="16"/>
        <v>3</v>
      </c>
      <c r="C520" s="666">
        <v>41487</v>
      </c>
      <c r="D520" s="957">
        <v>0.90432380952380975</v>
      </c>
      <c r="E520" s="920">
        <v>281.95547867368794</v>
      </c>
      <c r="F520" s="920">
        <v>311.78597279458711</v>
      </c>
      <c r="G520" s="920"/>
      <c r="H520" s="920"/>
      <c r="I520" s="954">
        <v>1347.095</v>
      </c>
      <c r="J520" s="954">
        <v>1507.65</v>
      </c>
      <c r="K520" s="954">
        <v>135.47999999999999</v>
      </c>
      <c r="L520" s="920">
        <v>149.81359395075506</v>
      </c>
      <c r="M520" s="917">
        <v>14282.142900000001</v>
      </c>
      <c r="N520" s="917">
        <v>15793.173584051221</v>
      </c>
      <c r="O520" s="1175">
        <v>7182.2619000000004</v>
      </c>
      <c r="P520" s="1175">
        <v>7942.1351338542854</v>
      </c>
      <c r="Q520" s="1175">
        <v>2173.4524000000001</v>
      </c>
      <c r="R520" s="1175">
        <v>2403.4006150346477</v>
      </c>
      <c r="S520" s="1175">
        <v>1894.6189999999999</v>
      </c>
      <c r="T520" s="1175">
        <v>2095.0670324578209</v>
      </c>
      <c r="U520" s="920">
        <v>1231.6870282975747</v>
      </c>
      <c r="V520" s="920">
        <v>1361.9977880999779</v>
      </c>
      <c r="W520" s="920">
        <v>2568.0506683459812</v>
      </c>
      <c r="X520" s="920">
        <v>2839.7468266352967</v>
      </c>
      <c r="Y520" s="920"/>
      <c r="Z520" s="920"/>
      <c r="AA520" s="920"/>
      <c r="AB520" s="920"/>
      <c r="AC520" s="920">
        <v>21.838000000000001</v>
      </c>
      <c r="AD520" s="920">
        <v>24.8</v>
      </c>
      <c r="AE520" s="920">
        <v>27121.666700000002</v>
      </c>
      <c r="AF520" s="920">
        <v>29991.100991006166</v>
      </c>
      <c r="AG520" s="920">
        <v>1494.095</v>
      </c>
      <c r="AH520" s="920">
        <v>1652.1681551066829</v>
      </c>
      <c r="AI520" s="920">
        <v>740.57100000000003</v>
      </c>
      <c r="AJ520" s="920">
        <v>818.92237293847529</v>
      </c>
      <c r="AK520" s="920">
        <v>110.97</v>
      </c>
      <c r="AL520" s="920">
        <v>122.71047033300331</v>
      </c>
      <c r="AM520" s="920">
        <v>116.61</v>
      </c>
      <c r="AN520" s="920">
        <v>128.94717442129871</v>
      </c>
      <c r="AO520" s="920"/>
      <c r="AP520" s="920"/>
      <c r="AS520" s="1167"/>
      <c r="AT520" s="1167"/>
      <c r="AU520" s="1168"/>
      <c r="AV520" s="1168"/>
      <c r="AW520" s="1169"/>
      <c r="AX520" s="1169"/>
      <c r="AY520" s="1169"/>
      <c r="AZ520" s="1169"/>
      <c r="BA520" s="1803" t="s">
        <v>2</v>
      </c>
      <c r="BB520" s="1802">
        <v>2008</v>
      </c>
      <c r="BC520" s="1799" t="s">
        <v>581</v>
      </c>
      <c r="BD520" s="1799">
        <v>3</v>
      </c>
      <c r="BE520" s="1800">
        <v>3789500406.7640591</v>
      </c>
      <c r="BF520" s="1801">
        <v>0.11786068699203534</v>
      </c>
      <c r="BG520" s="1799"/>
      <c r="BH520" s="1892" t="s">
        <v>1</v>
      </c>
      <c r="BI520" s="1892" t="s">
        <v>313</v>
      </c>
      <c r="BJ520" s="1892" t="s">
        <v>32</v>
      </c>
      <c r="BK520" s="1892"/>
      <c r="BL520" s="1893">
        <v>42294000</v>
      </c>
      <c r="BM520" s="1801">
        <v>2.510365779537011E-3</v>
      </c>
      <c r="BN520" s="1799">
        <v>2008</v>
      </c>
      <c r="BO520" s="1684"/>
      <c r="BP520" s="1696"/>
      <c r="BQ520" s="1169"/>
      <c r="BR520" s="1169"/>
      <c r="BS520" s="1169"/>
      <c r="BT520" s="1169"/>
      <c r="BU520" s="1169"/>
      <c r="BV520" s="1169"/>
      <c r="BW520" s="1169"/>
      <c r="BX520" s="1169"/>
      <c r="BY520" s="1169"/>
      <c r="BZ520" s="1169"/>
      <c r="CA520" s="1169"/>
      <c r="CB520" s="1169"/>
      <c r="CC520" s="1169"/>
      <c r="CD520" s="1169"/>
      <c r="CE520" s="1169"/>
      <c r="CF520" s="1169"/>
      <c r="CG520" s="1169"/>
      <c r="CH520" s="1169"/>
      <c r="CI520" s="1169"/>
      <c r="CJ520" s="1169"/>
      <c r="CK520" s="1169"/>
      <c r="CL520" s="1169"/>
      <c r="CM520" s="1169"/>
      <c r="CN520" s="1169"/>
      <c r="CO520" s="1169"/>
      <c r="CP520" s="1169"/>
      <c r="CQ520" s="1169"/>
      <c r="CR520" s="1169"/>
      <c r="CS520" s="1169"/>
      <c r="CT520" s="1169"/>
      <c r="CU520" s="1169"/>
      <c r="CV520" s="1169"/>
      <c r="CW520" s="1169"/>
      <c r="CX520" s="1169"/>
      <c r="CY520" s="1169"/>
      <c r="CZ520" s="1169"/>
      <c r="DA520" s="1168"/>
      <c r="DB520" s="1168"/>
      <c r="DC520" s="1168"/>
      <c r="DD520" s="1168"/>
      <c r="DE520" s="1168"/>
      <c r="DF520" s="1168"/>
      <c r="DG520" s="1168"/>
      <c r="DH520" s="1168"/>
      <c r="DI520" s="1168"/>
      <c r="DJ520" s="1168"/>
      <c r="DK520" s="1168"/>
      <c r="DL520" s="1168"/>
      <c r="DM520" s="1168"/>
      <c r="DN520" s="1168"/>
      <c r="DO520" s="1168"/>
      <c r="DP520" s="1168"/>
      <c r="DQ520" s="1168"/>
      <c r="DR520" s="1168"/>
      <c r="DS520" s="1168"/>
      <c r="DT520" s="1168"/>
      <c r="DU520" s="1168"/>
      <c r="DV520" s="1168"/>
      <c r="DW520" s="1168"/>
      <c r="DX520" s="1168"/>
      <c r="DY520" s="1168"/>
      <c r="DZ520" s="1168"/>
      <c r="EA520" s="1168"/>
      <c r="EB520" s="1168"/>
      <c r="EC520" s="1168"/>
      <c r="ED520" s="1168"/>
      <c r="EE520" s="1168"/>
      <c r="EF520" s="1168"/>
      <c r="EG520" s="1168"/>
      <c r="EH520" s="1168"/>
      <c r="EI520" s="1170"/>
      <c r="EJ520" s="1170"/>
      <c r="EK520" s="1170"/>
      <c r="EL520" s="1170"/>
      <c r="EM520" s="1170"/>
      <c r="EN520" s="1170"/>
      <c r="EO520" s="1170"/>
      <c r="EP520" s="1170"/>
      <c r="EQ520" s="1170"/>
      <c r="ER520" s="1170"/>
      <c r="ES520" s="1171"/>
      <c r="ET520" s="1171"/>
      <c r="EU520" s="1171"/>
      <c r="EV520" s="1171"/>
      <c r="EW520" s="1171"/>
      <c r="EX520" s="1171"/>
      <c r="EY520" s="1171"/>
      <c r="EZ520" s="1171"/>
      <c r="FA520" s="1171"/>
      <c r="FB520" s="1171"/>
      <c r="FC520" s="1171"/>
      <c r="FD520" s="1171"/>
      <c r="FE520" s="1171"/>
      <c r="FF520" s="1171"/>
      <c r="FG520" s="1171"/>
      <c r="FH520" s="1171"/>
      <c r="FI520" s="1171"/>
      <c r="FJ520" s="1171"/>
      <c r="FK520" s="1171"/>
      <c r="FL520" s="1171"/>
      <c r="FM520" s="1171"/>
      <c r="FN520" s="1171"/>
      <c r="FO520" s="1171"/>
      <c r="FP520" s="1171"/>
    </row>
    <row r="521" spans="1:172" s="607" customFormat="1">
      <c r="A521" s="607">
        <f t="shared" si="15"/>
        <v>2013</v>
      </c>
      <c r="B521" s="607">
        <f t="shared" si="16"/>
        <v>3</v>
      </c>
      <c r="C521" s="666">
        <v>41518</v>
      </c>
      <c r="D521" s="1709">
        <v>0.92778571428571444</v>
      </c>
      <c r="E521" s="1117">
        <v>283.80380529573353</v>
      </c>
      <c r="F521" s="1117">
        <v>305.89370037264365</v>
      </c>
      <c r="G521" s="1117"/>
      <c r="H521" s="1117"/>
      <c r="I521" s="959">
        <v>1348.798</v>
      </c>
      <c r="J521" s="959">
        <v>1469.65</v>
      </c>
      <c r="K521" s="960">
        <v>133.07499999999999</v>
      </c>
      <c r="L521" s="1121">
        <v>143.43290476557084</v>
      </c>
      <c r="M521" s="916">
        <v>13779.523800000001</v>
      </c>
      <c r="N521" s="916">
        <v>14852.054292093308</v>
      </c>
      <c r="O521" s="1174">
        <v>7161.4286000000002</v>
      </c>
      <c r="P521" s="1174">
        <v>7718.8390484255897</v>
      </c>
      <c r="Q521" s="1174">
        <v>2088.4047999999998</v>
      </c>
      <c r="R521" s="1174">
        <v>2250.9559781353446</v>
      </c>
      <c r="S521" s="1174">
        <v>1848.4286</v>
      </c>
      <c r="T521" s="1174">
        <v>1992.3012087150662</v>
      </c>
      <c r="U521" s="1120">
        <v>1259.3776207520893</v>
      </c>
      <c r="V521" s="1120">
        <v>1357.4013927576602</v>
      </c>
      <c r="W521" s="1120">
        <v>2487.2769387126391</v>
      </c>
      <c r="X521" s="1120">
        <v>2680.874366154203</v>
      </c>
      <c r="Y521" s="1119"/>
      <c r="Z521" s="1119"/>
      <c r="AA521" s="1119"/>
      <c r="AB521" s="1119"/>
      <c r="AC521" s="1178">
        <v>22.564</v>
      </c>
      <c r="AD521" s="1178">
        <v>24.87</v>
      </c>
      <c r="AE521" s="1178">
        <v>28607.381000000001</v>
      </c>
      <c r="AF521" s="1178">
        <v>30834.039110016165</v>
      </c>
      <c r="AG521" s="1178">
        <v>1456.857</v>
      </c>
      <c r="AH521" s="1178">
        <v>1570.2515975055815</v>
      </c>
      <c r="AI521" s="1178">
        <v>709.14300000000003</v>
      </c>
      <c r="AJ521" s="1178">
        <v>764.33921010085453</v>
      </c>
      <c r="AK521" s="919">
        <v>111.62</v>
      </c>
      <c r="AL521" s="919">
        <v>120.30795288320886</v>
      </c>
      <c r="AM521" s="919">
        <v>118.25</v>
      </c>
      <c r="AN521" s="919">
        <v>127.45399953807066</v>
      </c>
      <c r="AO521" s="919"/>
      <c r="AP521" s="919"/>
      <c r="AS521" s="1167"/>
      <c r="AT521" s="1167"/>
      <c r="AU521" s="1168"/>
      <c r="AV521" s="1168"/>
      <c r="AW521" s="1169"/>
      <c r="AX521" s="1169"/>
      <c r="AY521" s="1169"/>
      <c r="AZ521" s="1169"/>
      <c r="BA521" s="1803" t="s">
        <v>2</v>
      </c>
      <c r="BB521" s="1802">
        <v>2008</v>
      </c>
      <c r="BC521" s="1799" t="s">
        <v>583</v>
      </c>
      <c r="BD521" s="1799">
        <v>4</v>
      </c>
      <c r="BE521" s="1800">
        <v>1112538865.7145638</v>
      </c>
      <c r="BF521" s="1801">
        <v>3.4602079679001412E-2</v>
      </c>
      <c r="BG521" s="1799"/>
      <c r="BH521" s="1892" t="s">
        <v>1</v>
      </c>
      <c r="BI521" s="1892" t="s">
        <v>313</v>
      </c>
      <c r="BJ521" s="1892" t="s">
        <v>249</v>
      </c>
      <c r="BK521" s="1892"/>
      <c r="BL521" s="1893">
        <v>16847744000</v>
      </c>
      <c r="BM521" s="1801">
        <v>1</v>
      </c>
      <c r="BN521" s="1799">
        <v>2008</v>
      </c>
      <c r="BO521" s="1684"/>
      <c r="BP521" s="1696"/>
      <c r="BQ521" s="1169"/>
      <c r="BR521" s="1169"/>
      <c r="BS521" s="1169"/>
      <c r="BT521" s="1169"/>
      <c r="BU521" s="1169"/>
      <c r="BV521" s="1169"/>
      <c r="BW521" s="1169"/>
      <c r="BX521" s="1169"/>
      <c r="BY521" s="1169"/>
      <c r="BZ521" s="1169"/>
      <c r="CA521" s="1169"/>
      <c r="CB521" s="1169"/>
      <c r="CC521" s="1169"/>
      <c r="CD521" s="1169"/>
      <c r="CE521" s="1169"/>
      <c r="CF521" s="1169"/>
      <c r="CG521" s="1169"/>
      <c r="CH521" s="1169"/>
      <c r="CI521" s="1169"/>
      <c r="CJ521" s="1169"/>
      <c r="CK521" s="1169"/>
      <c r="CL521" s="1169"/>
      <c r="CM521" s="1169"/>
      <c r="CN521" s="1169"/>
      <c r="CO521" s="1169"/>
      <c r="CP521" s="1169"/>
      <c r="CQ521" s="1169"/>
      <c r="CR521" s="1169"/>
      <c r="CS521" s="1169"/>
      <c r="CT521" s="1169"/>
      <c r="CU521" s="1169"/>
      <c r="CV521" s="1169"/>
      <c r="CW521" s="1169"/>
      <c r="CX521" s="1169"/>
      <c r="CY521" s="1169"/>
      <c r="CZ521" s="1169"/>
      <c r="DA521" s="1168"/>
      <c r="DB521" s="1168"/>
      <c r="DC521" s="1168"/>
      <c r="DD521" s="1168"/>
      <c r="DE521" s="1168"/>
      <c r="DF521" s="1168"/>
      <c r="DG521" s="1168"/>
      <c r="DH521" s="1168"/>
      <c r="DI521" s="1168"/>
      <c r="DJ521" s="1168"/>
      <c r="DK521" s="1168"/>
      <c r="DL521" s="1168"/>
      <c r="DM521" s="1168"/>
      <c r="DN521" s="1168"/>
      <c r="DO521" s="1168"/>
      <c r="DP521" s="1168"/>
      <c r="DQ521" s="1168"/>
      <c r="DR521" s="1168"/>
      <c r="DS521" s="1168"/>
      <c r="DT521" s="1168"/>
      <c r="DU521" s="1168"/>
      <c r="DV521" s="1168"/>
      <c r="DW521" s="1168"/>
      <c r="DX521" s="1168"/>
      <c r="DY521" s="1168"/>
      <c r="DZ521" s="1168"/>
      <c r="EA521" s="1168"/>
      <c r="EB521" s="1168"/>
      <c r="EC521" s="1168"/>
      <c r="ED521" s="1168"/>
      <c r="EE521" s="1168"/>
      <c r="EF521" s="1168"/>
      <c r="EG521" s="1168"/>
      <c r="EH521" s="1168"/>
      <c r="EI521" s="1170"/>
      <c r="EJ521" s="1170"/>
      <c r="EK521" s="1170"/>
      <c r="EL521" s="1170"/>
      <c r="EM521" s="1170"/>
      <c r="EN521" s="1170"/>
      <c r="EO521" s="1170"/>
      <c r="EP521" s="1170"/>
      <c r="EQ521" s="1170"/>
      <c r="ER521" s="1170"/>
      <c r="ES521" s="1171"/>
      <c r="ET521" s="1171"/>
      <c r="EU521" s="1171"/>
      <c r="EV521" s="1171"/>
      <c r="EW521" s="1171"/>
      <c r="EX521" s="1171"/>
      <c r="EY521" s="1171"/>
      <c r="EZ521" s="1171"/>
      <c r="FA521" s="1171"/>
      <c r="FB521" s="1171"/>
      <c r="FC521" s="1171"/>
      <c r="FD521" s="1171"/>
      <c r="FE521" s="1171"/>
      <c r="FF521" s="1171"/>
      <c r="FG521" s="1171"/>
      <c r="FH521" s="1171"/>
      <c r="FI521" s="1171"/>
      <c r="FJ521" s="1171"/>
      <c r="FK521" s="1171"/>
      <c r="FL521" s="1171"/>
      <c r="FM521" s="1171"/>
      <c r="FN521" s="1171"/>
      <c r="FO521" s="1171"/>
      <c r="FP521" s="1171"/>
    </row>
    <row r="522" spans="1:172" s="607" customFormat="1">
      <c r="A522" s="607">
        <f t="shared" ref="A522:A585" si="17">YEAR(C522)</f>
        <v>2013</v>
      </c>
      <c r="B522" s="607">
        <f t="shared" ref="B522:B585" si="18">IF(OR(MONTH(C522)=1,MONTH(C522)=2,MONTH(C522)=3),1,IF(OR(MONTH(C522)=4,MONTH(C522)=5,MONTH(C522)=6),2,IF(OR(MONTH(C522)=7,MONTH(C522)=8,MONTH(C522)=9),3,4)))</f>
        <v>4</v>
      </c>
      <c r="C522" s="666">
        <v>41548</v>
      </c>
      <c r="D522" s="957">
        <v>0.95162727272727288</v>
      </c>
      <c r="E522" s="920">
        <v>282.20217016310312</v>
      </c>
      <c r="F522" s="920">
        <v>296.54695514803677</v>
      </c>
      <c r="G522" s="920"/>
      <c r="H522" s="920"/>
      <c r="I522" s="954">
        <v>1316.1849999999999</v>
      </c>
      <c r="J522" s="954">
        <v>1392.46</v>
      </c>
      <c r="K522" s="954">
        <v>133.05000000000001</v>
      </c>
      <c r="L522" s="920">
        <v>139.81314303728541</v>
      </c>
      <c r="M522" s="917">
        <v>14069.7826</v>
      </c>
      <c r="N522" s="917">
        <v>14784.972019220662</v>
      </c>
      <c r="O522" s="1175">
        <v>7188.7390999999998</v>
      </c>
      <c r="P522" s="1175">
        <v>7554.1541378882093</v>
      </c>
      <c r="Q522" s="1175">
        <v>2111.4564999999998</v>
      </c>
      <c r="R522" s="1175">
        <v>2218.7851909169931</v>
      </c>
      <c r="S522" s="1175">
        <v>1882.8261</v>
      </c>
      <c r="T522" s="1175">
        <v>1978.5331441836468</v>
      </c>
      <c r="U522" s="920">
        <v>1170.3944561685537</v>
      </c>
      <c r="V522" s="920">
        <v>1229.887467195339</v>
      </c>
      <c r="W522" s="920">
        <v>2448.5877440121499</v>
      </c>
      <c r="X522" s="920">
        <v>2573.0533520700087</v>
      </c>
      <c r="Y522" s="920"/>
      <c r="Z522" s="920"/>
      <c r="AA522" s="920"/>
      <c r="AB522" s="920"/>
      <c r="AC522" s="920">
        <v>21.917000000000002</v>
      </c>
      <c r="AD522" s="920">
        <v>23.49</v>
      </c>
      <c r="AE522" s="920">
        <v>27173.913</v>
      </c>
      <c r="AF522" s="920">
        <v>28555.206201816978</v>
      </c>
      <c r="AG522" s="920">
        <v>1413.4780000000001</v>
      </c>
      <c r="AH522" s="920">
        <v>1485.3273340402563</v>
      </c>
      <c r="AI522" s="920">
        <v>724.60900000000004</v>
      </c>
      <c r="AJ522" s="920">
        <v>761.44202753178763</v>
      </c>
      <c r="AK522" s="920">
        <v>109.48</v>
      </c>
      <c r="AL522" s="920">
        <v>115.04504246314923</v>
      </c>
      <c r="AM522" s="920">
        <v>116.47</v>
      </c>
      <c r="AN522" s="920">
        <v>122.39035527660751</v>
      </c>
      <c r="AO522" s="920"/>
      <c r="AP522" s="920"/>
      <c r="AS522" s="1167"/>
      <c r="AT522" s="1167"/>
      <c r="AU522" s="1168"/>
      <c r="AV522" s="1168"/>
      <c r="AW522" s="1169"/>
      <c r="AX522" s="1169"/>
      <c r="AY522" s="1169"/>
      <c r="AZ522" s="1169"/>
      <c r="BA522" s="1803" t="s">
        <v>2</v>
      </c>
      <c r="BB522" s="1802">
        <v>2008</v>
      </c>
      <c r="BC522" s="1799" t="s">
        <v>17</v>
      </c>
      <c r="BD522" s="1799">
        <v>5</v>
      </c>
      <c r="BE522" s="1800">
        <v>206376220.06046522</v>
      </c>
      <c r="BF522" s="1801">
        <v>6.4186938815811896E-3</v>
      </c>
      <c r="BG522" s="1799"/>
      <c r="BH522" s="1894" t="s">
        <v>1</v>
      </c>
      <c r="BI522" s="1894" t="s">
        <v>314</v>
      </c>
      <c r="BJ522" s="1894" t="s">
        <v>18</v>
      </c>
      <c r="BK522" s="1894">
        <v>1</v>
      </c>
      <c r="BL522" s="1895">
        <v>7125640000</v>
      </c>
      <c r="BM522" s="1801">
        <v>0.52169148450470193</v>
      </c>
      <c r="BN522" s="1799">
        <v>2009</v>
      </c>
      <c r="BO522" s="1684"/>
      <c r="BP522" s="1696"/>
      <c r="BQ522" s="1169"/>
      <c r="BR522" s="1169"/>
      <c r="BS522" s="1169"/>
      <c r="BT522" s="1169"/>
      <c r="BU522" s="1169"/>
      <c r="BV522" s="1169"/>
      <c r="BW522" s="1169"/>
      <c r="BX522" s="1169"/>
      <c r="BY522" s="1169"/>
      <c r="BZ522" s="1169"/>
      <c r="CA522" s="1169"/>
      <c r="CB522" s="1169"/>
      <c r="CC522" s="1169"/>
      <c r="CD522" s="1169"/>
      <c r="CE522" s="1169"/>
      <c r="CF522" s="1169"/>
      <c r="CG522" s="1169"/>
      <c r="CH522" s="1169"/>
      <c r="CI522" s="1169"/>
      <c r="CJ522" s="1169"/>
      <c r="CK522" s="1169"/>
      <c r="CL522" s="1169"/>
      <c r="CM522" s="1169"/>
      <c r="CN522" s="1169"/>
      <c r="CO522" s="1169"/>
      <c r="CP522" s="1169"/>
      <c r="CQ522" s="1169"/>
      <c r="CR522" s="1169"/>
      <c r="CS522" s="1169"/>
      <c r="CT522" s="1169"/>
      <c r="CU522" s="1169"/>
      <c r="CV522" s="1169"/>
      <c r="CW522" s="1169"/>
      <c r="CX522" s="1169"/>
      <c r="CY522" s="1169"/>
      <c r="CZ522" s="1169"/>
      <c r="DA522" s="1168"/>
      <c r="DB522" s="1168"/>
      <c r="DC522" s="1168"/>
      <c r="DD522" s="1168"/>
      <c r="DE522" s="1168"/>
      <c r="DF522" s="1168"/>
      <c r="DG522" s="1168"/>
      <c r="DH522" s="1168"/>
      <c r="DI522" s="1168"/>
      <c r="DJ522" s="1168"/>
      <c r="DK522" s="1168"/>
      <c r="DL522" s="1168"/>
      <c r="DM522" s="1168"/>
      <c r="DN522" s="1168"/>
      <c r="DO522" s="1168"/>
      <c r="DP522" s="1168"/>
      <c r="DQ522" s="1168"/>
      <c r="DR522" s="1168"/>
      <c r="DS522" s="1168"/>
      <c r="DT522" s="1168"/>
      <c r="DU522" s="1168"/>
      <c r="DV522" s="1168"/>
      <c r="DW522" s="1168"/>
      <c r="DX522" s="1168"/>
      <c r="DY522" s="1168"/>
      <c r="DZ522" s="1168"/>
      <c r="EA522" s="1168"/>
      <c r="EB522" s="1168"/>
      <c r="EC522" s="1168"/>
      <c r="ED522" s="1168"/>
      <c r="EE522" s="1168"/>
      <c r="EF522" s="1168"/>
      <c r="EG522" s="1168"/>
      <c r="EH522" s="1168"/>
      <c r="EI522" s="1170"/>
      <c r="EJ522" s="1170"/>
      <c r="EK522" s="1170"/>
      <c r="EL522" s="1170"/>
      <c r="EM522" s="1170"/>
      <c r="EN522" s="1170"/>
      <c r="EO522" s="1170"/>
      <c r="EP522" s="1170"/>
      <c r="EQ522" s="1170"/>
      <c r="ER522" s="1170"/>
      <c r="ES522" s="1171"/>
      <c r="ET522" s="1171"/>
      <c r="EU522" s="1171"/>
      <c r="EV522" s="1171"/>
      <c r="EW522" s="1171"/>
      <c r="EX522" s="1171"/>
      <c r="EY522" s="1171"/>
      <c r="EZ522" s="1171"/>
      <c r="FA522" s="1171"/>
      <c r="FB522" s="1171"/>
      <c r="FC522" s="1171"/>
      <c r="FD522" s="1171"/>
      <c r="FE522" s="1171"/>
      <c r="FF522" s="1171"/>
      <c r="FG522" s="1171"/>
      <c r="FH522" s="1171"/>
      <c r="FI522" s="1171"/>
      <c r="FJ522" s="1171"/>
      <c r="FK522" s="1171"/>
      <c r="FL522" s="1171"/>
      <c r="FM522" s="1171"/>
      <c r="FN522" s="1171"/>
      <c r="FO522" s="1171"/>
      <c r="FP522" s="1171"/>
    </row>
    <row r="523" spans="1:172" s="607" customFormat="1">
      <c r="A523" s="607">
        <f t="shared" si="17"/>
        <v>2013</v>
      </c>
      <c r="B523" s="607">
        <f t="shared" si="18"/>
        <v>4</v>
      </c>
      <c r="C523" s="666">
        <v>41579</v>
      </c>
      <c r="D523" s="1709">
        <v>0.93309523809523809</v>
      </c>
      <c r="E523" s="1117">
        <v>282.37089284880852</v>
      </c>
      <c r="F523" s="1117">
        <v>302.61744066470931</v>
      </c>
      <c r="G523" s="1117"/>
      <c r="H523" s="1117"/>
      <c r="I523" s="959">
        <v>1275.8209999999999</v>
      </c>
      <c r="J523" s="959">
        <v>1378.73</v>
      </c>
      <c r="K523" s="960">
        <v>136.18</v>
      </c>
      <c r="L523" s="1121">
        <v>145.94437356468487</v>
      </c>
      <c r="M523" s="916">
        <v>13729.0476</v>
      </c>
      <c r="N523" s="916">
        <v>14713.447287573361</v>
      </c>
      <c r="O523" s="1174">
        <v>7066.4048000000003</v>
      </c>
      <c r="P523" s="1174">
        <v>7573.0799081398318</v>
      </c>
      <c r="Q523" s="1174">
        <v>2090.1905000000002</v>
      </c>
      <c r="R523" s="1174">
        <v>2240.0612656289873</v>
      </c>
      <c r="S523" s="1174">
        <v>1868.6667</v>
      </c>
      <c r="T523" s="1174">
        <v>2002.6537739219189</v>
      </c>
      <c r="U523" s="1120">
        <v>1056.4199556536562</v>
      </c>
      <c r="V523" s="1120">
        <v>1132.1673421141506</v>
      </c>
      <c r="W523" s="1120">
        <v>2594.4786413564211</v>
      </c>
      <c r="X523" s="1120">
        <v>2780.5078575394155</v>
      </c>
      <c r="Y523" s="1119"/>
      <c r="Z523" s="1119"/>
      <c r="AA523" s="1119"/>
      <c r="AB523" s="1119"/>
      <c r="AC523" s="1178">
        <v>20.757999999999999</v>
      </c>
      <c r="AD523" s="1178">
        <v>22.66</v>
      </c>
      <c r="AE523" s="1178">
        <v>26778.571400000001</v>
      </c>
      <c r="AF523" s="1178">
        <v>28698.647583567239</v>
      </c>
      <c r="AG523" s="1178">
        <v>1420.095</v>
      </c>
      <c r="AH523" s="1178">
        <v>1521.9186016841031</v>
      </c>
      <c r="AI523" s="1178">
        <v>733.35699999999997</v>
      </c>
      <c r="AJ523" s="1178">
        <v>785.94013779025261</v>
      </c>
      <c r="AK523" s="919">
        <v>108.08</v>
      </c>
      <c r="AL523" s="919">
        <v>115.82954835417198</v>
      </c>
      <c r="AM523" s="919">
        <v>115.35</v>
      </c>
      <c r="AN523" s="919">
        <v>123.620821638173</v>
      </c>
      <c r="AO523" s="919"/>
      <c r="AP523" s="919"/>
      <c r="AS523" s="1167"/>
      <c r="AT523" s="1167"/>
      <c r="AU523" s="1168"/>
      <c r="AV523" s="1168"/>
      <c r="AW523" s="1169"/>
      <c r="AX523" s="1169"/>
      <c r="AY523" s="1169"/>
      <c r="AZ523" s="1169"/>
      <c r="BA523" s="1803" t="s">
        <v>2</v>
      </c>
      <c r="BB523" s="1802">
        <v>2008</v>
      </c>
      <c r="BC523" s="1799" t="s">
        <v>32</v>
      </c>
      <c r="BD523" s="1799"/>
      <c r="BE523" s="1800">
        <v>307416486.84338468</v>
      </c>
      <c r="BF523" s="1801">
        <v>9.5612388027103857E-3</v>
      </c>
      <c r="BG523" s="1799"/>
      <c r="BH523" s="1894" t="s">
        <v>1</v>
      </c>
      <c r="BI523" s="1894" t="s">
        <v>314</v>
      </c>
      <c r="BJ523" s="1894" t="s">
        <v>51</v>
      </c>
      <c r="BK523" s="1894">
        <v>2</v>
      </c>
      <c r="BL523" s="1895">
        <v>4162595000</v>
      </c>
      <c r="BM523" s="1801">
        <v>0.30475723793818515</v>
      </c>
      <c r="BN523" s="1799">
        <v>2009</v>
      </c>
      <c r="BO523" s="1684"/>
      <c r="BP523" s="1696"/>
      <c r="BQ523" s="1169"/>
      <c r="BR523" s="1169"/>
      <c r="BS523" s="1169"/>
      <c r="BT523" s="1169"/>
      <c r="BU523" s="1169"/>
      <c r="BV523" s="1169"/>
      <c r="BW523" s="1169"/>
      <c r="BX523" s="1169"/>
      <c r="BY523" s="1169"/>
      <c r="BZ523" s="1169"/>
      <c r="CA523" s="1169"/>
      <c r="CB523" s="1169"/>
      <c r="CC523" s="1169"/>
      <c r="CD523" s="1169"/>
      <c r="CE523" s="1169"/>
      <c r="CF523" s="1169"/>
      <c r="CG523" s="1169"/>
      <c r="CH523" s="1169"/>
      <c r="CI523" s="1169"/>
      <c r="CJ523" s="1169"/>
      <c r="CK523" s="1169"/>
      <c r="CL523" s="1169"/>
      <c r="CM523" s="1169"/>
      <c r="CN523" s="1169"/>
      <c r="CO523" s="1169"/>
      <c r="CP523" s="1169"/>
      <c r="CQ523" s="1169"/>
      <c r="CR523" s="1169"/>
      <c r="CS523" s="1169"/>
      <c r="CT523" s="1169"/>
      <c r="CU523" s="1169"/>
      <c r="CV523" s="1169"/>
      <c r="CW523" s="1169"/>
      <c r="CX523" s="1169"/>
      <c r="CY523" s="1169"/>
      <c r="CZ523" s="1169"/>
      <c r="DA523" s="1168"/>
      <c r="DB523" s="1168"/>
      <c r="DC523" s="1168"/>
      <c r="DD523" s="1168"/>
      <c r="DE523" s="1168"/>
      <c r="DF523" s="1168"/>
      <c r="DG523" s="1168"/>
      <c r="DH523" s="1168"/>
      <c r="DI523" s="1168"/>
      <c r="DJ523" s="1168"/>
      <c r="DK523" s="1168"/>
      <c r="DL523" s="1168"/>
      <c r="DM523" s="1168"/>
      <c r="DN523" s="1168"/>
      <c r="DO523" s="1168"/>
      <c r="DP523" s="1168"/>
      <c r="DQ523" s="1168"/>
      <c r="DR523" s="1168"/>
      <c r="DS523" s="1168"/>
      <c r="DT523" s="1168"/>
      <c r="DU523" s="1168"/>
      <c r="DV523" s="1168"/>
      <c r="DW523" s="1168"/>
      <c r="DX523" s="1168"/>
      <c r="DY523" s="1168"/>
      <c r="DZ523" s="1168"/>
      <c r="EA523" s="1168"/>
      <c r="EB523" s="1168"/>
      <c r="EC523" s="1168"/>
      <c r="ED523" s="1168"/>
      <c r="EE523" s="1168"/>
      <c r="EF523" s="1168"/>
      <c r="EG523" s="1168"/>
      <c r="EH523" s="1168"/>
      <c r="EI523" s="1170"/>
      <c r="EJ523" s="1170"/>
      <c r="EK523" s="1170"/>
      <c r="EL523" s="1170"/>
      <c r="EM523" s="1170"/>
      <c r="EN523" s="1170"/>
      <c r="EO523" s="1170"/>
      <c r="EP523" s="1170"/>
      <c r="EQ523" s="1170"/>
      <c r="ER523" s="1170"/>
      <c r="ES523" s="1171"/>
      <c r="ET523" s="1171"/>
      <c r="EU523" s="1171"/>
      <c r="EV523" s="1171"/>
      <c r="EW523" s="1171"/>
      <c r="EX523" s="1171"/>
      <c r="EY523" s="1171"/>
      <c r="EZ523" s="1171"/>
      <c r="FA523" s="1171"/>
      <c r="FB523" s="1171"/>
      <c r="FC523" s="1171"/>
      <c r="FD523" s="1171"/>
      <c r="FE523" s="1171"/>
      <c r="FF523" s="1171"/>
      <c r="FG523" s="1171"/>
      <c r="FH523" s="1171"/>
      <c r="FI523" s="1171"/>
      <c r="FJ523" s="1171"/>
      <c r="FK523" s="1171"/>
      <c r="FL523" s="1171"/>
      <c r="FM523" s="1171"/>
      <c r="FN523" s="1171"/>
      <c r="FO523" s="1171"/>
      <c r="FP523" s="1171"/>
    </row>
    <row r="524" spans="1:172" s="607" customFormat="1">
      <c r="A524" s="607">
        <f t="shared" si="17"/>
        <v>2013</v>
      </c>
      <c r="B524" s="607">
        <f t="shared" si="18"/>
        <v>4</v>
      </c>
      <c r="C524" s="666">
        <v>41609</v>
      </c>
      <c r="D524" s="957">
        <v>0.89888500000000016</v>
      </c>
      <c r="E524" s="920">
        <v>276.49882456571385</v>
      </c>
      <c r="F524" s="920">
        <v>307.60200088522311</v>
      </c>
      <c r="G524" s="920"/>
      <c r="H524" s="920"/>
      <c r="I524" s="954">
        <v>1224.145</v>
      </c>
      <c r="J524" s="954">
        <v>1373.28</v>
      </c>
      <c r="K524" s="954">
        <v>135.47499999999999</v>
      </c>
      <c r="L524" s="920">
        <v>150.71449629262918</v>
      </c>
      <c r="M524" s="917">
        <v>13914.5</v>
      </c>
      <c r="N524" s="917">
        <v>15479.733225051034</v>
      </c>
      <c r="O524" s="1175">
        <v>7202.95</v>
      </c>
      <c r="P524" s="1175">
        <v>8013.2052487248075</v>
      </c>
      <c r="Q524" s="1175">
        <v>2133</v>
      </c>
      <c r="R524" s="1175">
        <v>2372.9398087630784</v>
      </c>
      <c r="S524" s="1175">
        <v>1974.2</v>
      </c>
      <c r="T524" s="1175">
        <v>2196.2764981059863</v>
      </c>
      <c r="U524" s="920">
        <v>1099.0762742295715</v>
      </c>
      <c r="V524" s="920">
        <v>1222.7106629096841</v>
      </c>
      <c r="W524" s="920">
        <v>2592.9830701990163</v>
      </c>
      <c r="X524" s="920">
        <v>2884.6660809770055</v>
      </c>
      <c r="Y524" s="920"/>
      <c r="Z524" s="920"/>
      <c r="AA524" s="920"/>
      <c r="AB524" s="920"/>
      <c r="AC524" s="920">
        <v>19.609000000000002</v>
      </c>
      <c r="AD524" s="920">
        <v>22.31</v>
      </c>
      <c r="AE524" s="920">
        <v>26932.5</v>
      </c>
      <c r="AF524" s="920">
        <v>29962.119737230008</v>
      </c>
      <c r="AG524" s="920">
        <v>1358.722</v>
      </c>
      <c r="AH524" s="920">
        <v>1511.5637706714426</v>
      </c>
      <c r="AI524" s="920">
        <v>719.83299999999997</v>
      </c>
      <c r="AJ524" s="920">
        <v>800.80655478731967</v>
      </c>
      <c r="AK524" s="920">
        <v>110.67</v>
      </c>
      <c r="AL524" s="920">
        <v>123.11919767267223</v>
      </c>
      <c r="AM524" s="920">
        <v>119.81</v>
      </c>
      <c r="AN524" s="920">
        <v>133.28735043971139</v>
      </c>
      <c r="AO524" s="920"/>
      <c r="AP524" s="920"/>
      <c r="AS524" s="1167"/>
      <c r="AT524" s="1167"/>
      <c r="AU524" s="1168"/>
      <c r="AV524" s="1168"/>
      <c r="AW524" s="1169"/>
      <c r="AX524" s="1169"/>
      <c r="AY524" s="1169"/>
      <c r="AZ524" s="1169"/>
      <c r="BA524" s="1803" t="s">
        <v>2</v>
      </c>
      <c r="BB524" s="1802">
        <v>2008</v>
      </c>
      <c r="BC524" s="1799" t="s">
        <v>249</v>
      </c>
      <c r="BD524" s="1799"/>
      <c r="BE524" s="1800">
        <v>32152369916.358471</v>
      </c>
      <c r="BF524" s="1801"/>
      <c r="BG524" s="1799"/>
      <c r="BH524" s="1894" t="s">
        <v>1</v>
      </c>
      <c r="BI524" s="1894" t="s">
        <v>314</v>
      </c>
      <c r="BJ524" s="1894" t="s">
        <v>28</v>
      </c>
      <c r="BK524" s="1894">
        <v>3</v>
      </c>
      <c r="BL524" s="1895">
        <v>1314187000</v>
      </c>
      <c r="BM524" s="1801">
        <v>9.6215942279820568E-2</v>
      </c>
      <c r="BN524" s="1799">
        <v>2009</v>
      </c>
      <c r="BO524" s="1684"/>
      <c r="BP524" s="1696"/>
      <c r="BQ524" s="1169"/>
      <c r="BR524" s="1169"/>
      <c r="BS524" s="1169"/>
      <c r="BT524" s="1169"/>
      <c r="BU524" s="1169"/>
      <c r="BV524" s="1169"/>
      <c r="BW524" s="1169"/>
      <c r="BX524" s="1169"/>
      <c r="BY524" s="1169"/>
      <c r="BZ524" s="1169"/>
      <c r="CA524" s="1169"/>
      <c r="CB524" s="1169"/>
      <c r="CC524" s="1169"/>
      <c r="CD524" s="1169"/>
      <c r="CE524" s="1169"/>
      <c r="CF524" s="1169"/>
      <c r="CG524" s="1169"/>
      <c r="CH524" s="1169"/>
      <c r="CI524" s="1169"/>
      <c r="CJ524" s="1169"/>
      <c r="CK524" s="1169"/>
      <c r="CL524" s="1169"/>
      <c r="CM524" s="1169"/>
      <c r="CN524" s="1169"/>
      <c r="CO524" s="1169"/>
      <c r="CP524" s="1169"/>
      <c r="CQ524" s="1169"/>
      <c r="CR524" s="1169"/>
      <c r="CS524" s="1169"/>
      <c r="CT524" s="1169"/>
      <c r="CU524" s="1169"/>
      <c r="CV524" s="1169"/>
      <c r="CW524" s="1169"/>
      <c r="CX524" s="1169"/>
      <c r="CY524" s="1169"/>
      <c r="CZ524" s="1169"/>
      <c r="DA524" s="1168"/>
      <c r="DB524" s="1168"/>
      <c r="DC524" s="1168"/>
      <c r="DD524" s="1168"/>
      <c r="DE524" s="1168"/>
      <c r="DF524" s="1168"/>
      <c r="DG524" s="1168"/>
      <c r="DH524" s="1168"/>
      <c r="DI524" s="1168"/>
      <c r="DJ524" s="1168"/>
      <c r="DK524" s="1168"/>
      <c r="DL524" s="1168"/>
      <c r="DM524" s="1168"/>
      <c r="DN524" s="1168"/>
      <c r="DO524" s="1168"/>
      <c r="DP524" s="1168"/>
      <c r="DQ524" s="1168"/>
      <c r="DR524" s="1168"/>
      <c r="DS524" s="1168"/>
      <c r="DT524" s="1168"/>
      <c r="DU524" s="1168"/>
      <c r="DV524" s="1168"/>
      <c r="DW524" s="1168"/>
      <c r="DX524" s="1168"/>
      <c r="DY524" s="1168"/>
      <c r="DZ524" s="1168"/>
      <c r="EA524" s="1168"/>
      <c r="EB524" s="1168"/>
      <c r="EC524" s="1168"/>
      <c r="ED524" s="1168"/>
      <c r="EE524" s="1168"/>
      <c r="EF524" s="1168"/>
      <c r="EG524" s="1168"/>
      <c r="EH524" s="1168"/>
      <c r="EI524" s="1170"/>
      <c r="EJ524" s="1170"/>
      <c r="EK524" s="1170"/>
      <c r="EL524" s="1170"/>
      <c r="EM524" s="1170"/>
      <c r="EN524" s="1170"/>
      <c r="EO524" s="1170"/>
      <c r="EP524" s="1170"/>
      <c r="EQ524" s="1170"/>
      <c r="ER524" s="1170"/>
      <c r="ES524" s="1171"/>
      <c r="ET524" s="1171"/>
      <c r="EU524" s="1171"/>
      <c r="EV524" s="1171"/>
      <c r="EW524" s="1171"/>
      <c r="EX524" s="1171"/>
      <c r="EY524" s="1171"/>
      <c r="EZ524" s="1171"/>
      <c r="FA524" s="1171"/>
      <c r="FB524" s="1171"/>
      <c r="FC524" s="1171"/>
      <c r="FD524" s="1171"/>
      <c r="FE524" s="1171"/>
      <c r="FF524" s="1171"/>
      <c r="FG524" s="1171"/>
      <c r="FH524" s="1171"/>
      <c r="FI524" s="1171"/>
      <c r="FJ524" s="1171"/>
      <c r="FK524" s="1171"/>
      <c r="FL524" s="1171"/>
      <c r="FM524" s="1171"/>
      <c r="FN524" s="1171"/>
      <c r="FO524" s="1171"/>
      <c r="FP524" s="1171"/>
    </row>
    <row r="525" spans="1:172" s="607" customFormat="1">
      <c r="A525" s="607">
        <f t="shared" si="17"/>
        <v>2014</v>
      </c>
      <c r="B525" s="607">
        <f t="shared" si="18"/>
        <v>1</v>
      </c>
      <c r="C525" s="666">
        <v>41640</v>
      </c>
      <c r="D525" s="1709">
        <v>0.88648095238095237</v>
      </c>
      <c r="E525" s="1117">
        <v>286.14712698814168</v>
      </c>
      <c r="F525" s="1117">
        <v>322.78993273300932</v>
      </c>
      <c r="G525" s="1117"/>
      <c r="H525" s="1117"/>
      <c r="I525" s="959">
        <v>1244.7950000000001</v>
      </c>
      <c r="J525" s="959">
        <v>1411.08</v>
      </c>
      <c r="K525" s="960">
        <v>127.98</v>
      </c>
      <c r="L525" s="1121">
        <v>144.3685841825087</v>
      </c>
      <c r="M525" s="916">
        <v>14079.3182</v>
      </c>
      <c r="N525" s="916">
        <v>15882.256874425901</v>
      </c>
      <c r="O525" s="1174">
        <v>7294.8864000000003</v>
      </c>
      <c r="P525" s="1174">
        <v>8229.0390790767142</v>
      </c>
      <c r="Q525" s="1174">
        <v>2148.8863999999999</v>
      </c>
      <c r="R525" s="1174">
        <v>2424.0638157293956</v>
      </c>
      <c r="S525" s="1174">
        <v>2038.4091000000001</v>
      </c>
      <c r="T525" s="1174">
        <v>2299.4392541939505</v>
      </c>
      <c r="U525" s="1120">
        <v>1093.3375338190003</v>
      </c>
      <c r="V525" s="1120">
        <v>1233.3457711442786</v>
      </c>
      <c r="W525" s="1120">
        <v>2588.4286476203279</v>
      </c>
      <c r="X525" s="1120">
        <v>2919.8920074573562</v>
      </c>
      <c r="Y525" s="1119"/>
      <c r="Z525" s="1119"/>
      <c r="AA525" s="1119"/>
      <c r="AB525" s="1119"/>
      <c r="AC525" s="1178">
        <v>19.905999999999999</v>
      </c>
      <c r="AD525" s="1178">
        <v>22.89</v>
      </c>
      <c r="AE525" s="1178">
        <v>28818.181799999998</v>
      </c>
      <c r="AF525" s="1178">
        <v>32508.517777622594</v>
      </c>
      <c r="AG525" s="1178">
        <v>1423.182</v>
      </c>
      <c r="AH525" s="1178">
        <v>1605.4287417880223</v>
      </c>
      <c r="AI525" s="1178">
        <v>734.13599999999997</v>
      </c>
      <c r="AJ525" s="1178">
        <v>828.14638941561338</v>
      </c>
      <c r="AK525" s="919">
        <v>107.42</v>
      </c>
      <c r="AL525" s="919">
        <v>121.17575646886297</v>
      </c>
      <c r="AM525" s="919">
        <v>114.98</v>
      </c>
      <c r="AN525" s="919">
        <v>129.70385848808291</v>
      </c>
      <c r="AO525" s="919"/>
      <c r="AP525" s="919"/>
      <c r="AS525" s="1167"/>
      <c r="AT525" s="1167"/>
      <c r="AU525" s="1168"/>
      <c r="AV525" s="1168"/>
      <c r="AW525" s="1169"/>
      <c r="AX525" s="1169"/>
      <c r="AY525" s="1169"/>
      <c r="AZ525" s="1169"/>
      <c r="BA525" s="1803" t="s">
        <v>2</v>
      </c>
      <c r="BB525" s="1802">
        <v>2007</v>
      </c>
      <c r="BC525" s="1799" t="s">
        <v>15</v>
      </c>
      <c r="BD525" s="1799">
        <v>1</v>
      </c>
      <c r="BE525" s="1800">
        <v>8692795558.0471916</v>
      </c>
      <c r="BF525" s="1801">
        <v>0.53354838462399057</v>
      </c>
      <c r="BG525" s="1799"/>
      <c r="BH525" s="1894" t="s">
        <v>1</v>
      </c>
      <c r="BI525" s="1894" t="s">
        <v>314</v>
      </c>
      <c r="BJ525" s="1894" t="s">
        <v>49</v>
      </c>
      <c r="BK525" s="1894">
        <v>4</v>
      </c>
      <c r="BL525" s="1895">
        <v>441682000</v>
      </c>
      <c r="BM525" s="1801">
        <v>3.2336988433180142E-2</v>
      </c>
      <c r="BN525" s="1799">
        <v>2009</v>
      </c>
      <c r="BO525" s="1684"/>
      <c r="BP525" s="1696"/>
      <c r="BQ525" s="1169"/>
      <c r="BR525" s="1169"/>
      <c r="BS525" s="1169"/>
      <c r="BT525" s="1169"/>
      <c r="BU525" s="1169"/>
      <c r="BV525" s="1169"/>
      <c r="BW525" s="1169"/>
      <c r="BX525" s="1169"/>
      <c r="BY525" s="1169"/>
      <c r="BZ525" s="1169"/>
      <c r="CA525" s="1169"/>
      <c r="CB525" s="1169"/>
      <c r="CC525" s="1169"/>
      <c r="CD525" s="1169"/>
      <c r="CE525" s="1169"/>
      <c r="CF525" s="1169"/>
      <c r="CG525" s="1169"/>
      <c r="CH525" s="1169"/>
      <c r="CI525" s="1169"/>
      <c r="CJ525" s="1169"/>
      <c r="CK525" s="1169"/>
      <c r="CL525" s="1169"/>
      <c r="CM525" s="1169"/>
      <c r="CN525" s="1169"/>
      <c r="CO525" s="1169"/>
      <c r="CP525" s="1169"/>
      <c r="CQ525" s="1169"/>
      <c r="CR525" s="1169"/>
      <c r="CS525" s="1169"/>
      <c r="CT525" s="1169"/>
      <c r="CU525" s="1169"/>
      <c r="CV525" s="1169"/>
      <c r="CW525" s="1169"/>
      <c r="CX525" s="1169"/>
      <c r="CY525" s="1169"/>
      <c r="CZ525" s="1169"/>
      <c r="DA525" s="1168"/>
      <c r="DB525" s="1168"/>
      <c r="DC525" s="1168"/>
      <c r="DD525" s="1168"/>
      <c r="DE525" s="1168"/>
      <c r="DF525" s="1168"/>
      <c r="DG525" s="1168"/>
      <c r="DH525" s="1168"/>
      <c r="DI525" s="1168"/>
      <c r="DJ525" s="1168"/>
      <c r="DK525" s="1168"/>
      <c r="DL525" s="1168"/>
      <c r="DM525" s="1168"/>
      <c r="DN525" s="1168"/>
      <c r="DO525" s="1168"/>
      <c r="DP525" s="1168"/>
      <c r="DQ525" s="1168"/>
      <c r="DR525" s="1168"/>
      <c r="DS525" s="1168"/>
      <c r="DT525" s="1168"/>
      <c r="DU525" s="1168"/>
      <c r="DV525" s="1168"/>
      <c r="DW525" s="1168"/>
      <c r="DX525" s="1168"/>
      <c r="DY525" s="1168"/>
      <c r="DZ525" s="1168"/>
      <c r="EA525" s="1168"/>
      <c r="EB525" s="1168"/>
      <c r="EC525" s="1168"/>
      <c r="ED525" s="1168"/>
      <c r="EE525" s="1168"/>
      <c r="EF525" s="1168"/>
      <c r="EG525" s="1168"/>
      <c r="EH525" s="1168"/>
      <c r="EI525" s="1170"/>
      <c r="EJ525" s="1170"/>
      <c r="EK525" s="1170"/>
      <c r="EL525" s="1170"/>
      <c r="EM525" s="1170"/>
      <c r="EN525" s="1170"/>
      <c r="EO525" s="1170"/>
      <c r="EP525" s="1170"/>
      <c r="EQ525" s="1170"/>
      <c r="ER525" s="1170"/>
      <c r="ES525" s="1171"/>
      <c r="ET525" s="1171"/>
      <c r="EU525" s="1171"/>
      <c r="EV525" s="1171"/>
      <c r="EW525" s="1171"/>
      <c r="EX525" s="1171"/>
      <c r="EY525" s="1171"/>
      <c r="EZ525" s="1171"/>
      <c r="FA525" s="1171"/>
      <c r="FB525" s="1171"/>
      <c r="FC525" s="1171"/>
      <c r="FD525" s="1171"/>
      <c r="FE525" s="1171"/>
      <c r="FF525" s="1171"/>
      <c r="FG525" s="1171"/>
      <c r="FH525" s="1171"/>
      <c r="FI525" s="1171"/>
      <c r="FJ525" s="1171"/>
      <c r="FK525" s="1171"/>
      <c r="FL525" s="1171"/>
      <c r="FM525" s="1171"/>
      <c r="FN525" s="1171"/>
      <c r="FO525" s="1171"/>
      <c r="FP525" s="1171"/>
    </row>
    <row r="526" spans="1:172" s="607" customFormat="1">
      <c r="A526" s="607">
        <f t="shared" si="17"/>
        <v>2014</v>
      </c>
      <c r="B526" s="607">
        <f t="shared" si="18"/>
        <v>1</v>
      </c>
      <c r="C526" s="666">
        <v>41671</v>
      </c>
      <c r="D526" s="957">
        <v>0.89660999999999991</v>
      </c>
      <c r="E526" s="920">
        <v>289.13392010677745</v>
      </c>
      <c r="F526" s="920">
        <v>322.47456542619142</v>
      </c>
      <c r="G526" s="920"/>
      <c r="H526" s="920"/>
      <c r="I526" s="954">
        <v>1300.9749999999999</v>
      </c>
      <c r="J526" s="954">
        <v>1458.63</v>
      </c>
      <c r="K526" s="954">
        <v>121.15</v>
      </c>
      <c r="L526" s="920">
        <v>135.12006334972844</v>
      </c>
      <c r="M526" s="917">
        <v>14194.5</v>
      </c>
      <c r="N526" s="917">
        <v>15831.297888714158</v>
      </c>
      <c r="O526" s="1175">
        <v>7152.15</v>
      </c>
      <c r="P526" s="1175">
        <v>7976.8795797503935</v>
      </c>
      <c r="Q526" s="1175">
        <v>2110.4749999999999</v>
      </c>
      <c r="R526" s="1175">
        <v>2353.8383466613132</v>
      </c>
      <c r="S526" s="1175">
        <v>2035.4</v>
      </c>
      <c r="T526" s="1175">
        <v>2270.1062892450454</v>
      </c>
      <c r="U526" s="920">
        <v>1045.1332170706241</v>
      </c>
      <c r="V526" s="920">
        <v>1165.6497441146366</v>
      </c>
      <c r="W526" s="920">
        <v>2567.7655354489375</v>
      </c>
      <c r="X526" s="920">
        <v>2863.860023253073</v>
      </c>
      <c r="Y526" s="920"/>
      <c r="Z526" s="920"/>
      <c r="AA526" s="920"/>
      <c r="AB526" s="920"/>
      <c r="AC526" s="920">
        <v>20.827999999999999</v>
      </c>
      <c r="AD526" s="920">
        <v>23.59</v>
      </c>
      <c r="AE526" s="920">
        <v>31515.5</v>
      </c>
      <c r="AF526" s="920">
        <v>35149.619120910989</v>
      </c>
      <c r="AG526" s="920">
        <v>1410.5</v>
      </c>
      <c r="AH526" s="920">
        <v>1573.1477453965495</v>
      </c>
      <c r="AI526" s="920">
        <v>728.55</v>
      </c>
      <c r="AJ526" s="920">
        <v>812.56064509653027</v>
      </c>
      <c r="AK526" s="920">
        <v>108.81</v>
      </c>
      <c r="AL526" s="920">
        <v>121.35711178773381</v>
      </c>
      <c r="AM526" s="920">
        <v>114.41</v>
      </c>
      <c r="AN526" s="920">
        <v>127.60285966027594</v>
      </c>
      <c r="AO526" s="920"/>
      <c r="AP526" s="920"/>
      <c r="AS526" s="1167"/>
      <c r="AT526" s="1167"/>
      <c r="AU526" s="1168"/>
      <c r="AV526" s="1168"/>
      <c r="AW526" s="1169"/>
      <c r="AX526" s="1169"/>
      <c r="AY526" s="1169"/>
      <c r="AZ526" s="1169"/>
      <c r="BA526" s="1803" t="s">
        <v>2</v>
      </c>
      <c r="BB526" s="1802">
        <v>2007</v>
      </c>
      <c r="BC526" s="1799" t="s">
        <v>20</v>
      </c>
      <c r="BD526" s="1799">
        <v>2</v>
      </c>
      <c r="BE526" s="1800">
        <v>4869773185.7839947</v>
      </c>
      <c r="BF526" s="1801">
        <v>0.29889804717137114</v>
      </c>
      <c r="BG526" s="1799"/>
      <c r="BH526" s="1894" t="s">
        <v>1</v>
      </c>
      <c r="BI526" s="1894" t="s">
        <v>314</v>
      </c>
      <c r="BJ526" s="1894" t="s">
        <v>581</v>
      </c>
      <c r="BK526" s="1894">
        <v>5</v>
      </c>
      <c r="BL526" s="1895">
        <v>381255000</v>
      </c>
      <c r="BM526" s="1801">
        <v>2.791292949473172E-2</v>
      </c>
      <c r="BN526" s="1799">
        <v>2009</v>
      </c>
      <c r="BO526" s="1684"/>
      <c r="BP526" s="1696"/>
      <c r="BQ526" s="1169"/>
      <c r="BR526" s="1169"/>
      <c r="BS526" s="1169"/>
      <c r="BT526" s="1169"/>
      <c r="BU526" s="1169"/>
      <c r="BV526" s="1169"/>
      <c r="BW526" s="1169"/>
      <c r="BX526" s="1169"/>
      <c r="BY526" s="1169"/>
      <c r="BZ526" s="1169"/>
      <c r="CA526" s="1169"/>
      <c r="CB526" s="1169"/>
      <c r="CC526" s="1169"/>
      <c r="CD526" s="1169"/>
      <c r="CE526" s="1169"/>
      <c r="CF526" s="1169"/>
      <c r="CG526" s="1169"/>
      <c r="CH526" s="1169"/>
      <c r="CI526" s="1169"/>
      <c r="CJ526" s="1169"/>
      <c r="CK526" s="1169"/>
      <c r="CL526" s="1169"/>
      <c r="CM526" s="1169"/>
      <c r="CN526" s="1169"/>
      <c r="CO526" s="1169"/>
      <c r="CP526" s="1169"/>
      <c r="CQ526" s="1169"/>
      <c r="CR526" s="1169"/>
      <c r="CS526" s="1169"/>
      <c r="CT526" s="1169"/>
      <c r="CU526" s="1169"/>
      <c r="CV526" s="1169"/>
      <c r="CW526" s="1169"/>
      <c r="CX526" s="1169"/>
      <c r="CY526" s="1169"/>
      <c r="CZ526" s="1169"/>
      <c r="DA526" s="1168"/>
      <c r="DB526" s="1168"/>
      <c r="DC526" s="1168"/>
      <c r="DD526" s="1168"/>
      <c r="DE526" s="1168"/>
      <c r="DF526" s="1168"/>
      <c r="DG526" s="1168"/>
      <c r="DH526" s="1168"/>
      <c r="DI526" s="1168"/>
      <c r="DJ526" s="1168"/>
      <c r="DK526" s="1168"/>
      <c r="DL526" s="1168"/>
      <c r="DM526" s="1168"/>
      <c r="DN526" s="1168"/>
      <c r="DO526" s="1168"/>
      <c r="DP526" s="1168"/>
      <c r="DQ526" s="1168"/>
      <c r="DR526" s="1168"/>
      <c r="DS526" s="1168"/>
      <c r="DT526" s="1168"/>
      <c r="DU526" s="1168"/>
      <c r="DV526" s="1168"/>
      <c r="DW526" s="1168"/>
      <c r="DX526" s="1168"/>
      <c r="DY526" s="1168"/>
      <c r="DZ526" s="1168"/>
      <c r="EA526" s="1168"/>
      <c r="EB526" s="1168"/>
      <c r="EC526" s="1168"/>
      <c r="ED526" s="1168"/>
      <c r="EE526" s="1168"/>
      <c r="EF526" s="1168"/>
      <c r="EG526" s="1168"/>
      <c r="EH526" s="1168"/>
      <c r="EI526" s="1170"/>
      <c r="EJ526" s="1170"/>
      <c r="EK526" s="1170"/>
      <c r="EL526" s="1170"/>
      <c r="EM526" s="1170"/>
      <c r="EN526" s="1170"/>
      <c r="EO526" s="1170"/>
      <c r="EP526" s="1170"/>
      <c r="EQ526" s="1170"/>
      <c r="ER526" s="1170"/>
      <c r="ES526" s="1171"/>
      <c r="ET526" s="1171"/>
      <c r="EU526" s="1171"/>
      <c r="EV526" s="1171"/>
      <c r="EW526" s="1171"/>
      <c r="EX526" s="1171"/>
      <c r="EY526" s="1171"/>
      <c r="EZ526" s="1171"/>
      <c r="FA526" s="1171"/>
      <c r="FB526" s="1171"/>
      <c r="FC526" s="1171"/>
      <c r="FD526" s="1171"/>
      <c r="FE526" s="1171"/>
      <c r="FF526" s="1171"/>
      <c r="FG526" s="1171"/>
      <c r="FH526" s="1171"/>
      <c r="FI526" s="1171"/>
      <c r="FJ526" s="1171"/>
      <c r="FK526" s="1171"/>
      <c r="FL526" s="1171"/>
      <c r="FM526" s="1171"/>
      <c r="FN526" s="1171"/>
      <c r="FO526" s="1171"/>
      <c r="FP526" s="1171"/>
    </row>
    <row r="527" spans="1:172" s="607" customFormat="1">
      <c r="A527" s="607">
        <f t="shared" si="17"/>
        <v>2014</v>
      </c>
      <c r="B527" s="607">
        <f t="shared" si="18"/>
        <v>1</v>
      </c>
      <c r="C527" s="666">
        <v>41699</v>
      </c>
      <c r="D527" s="1709">
        <v>0.9071095238095237</v>
      </c>
      <c r="E527" s="1117">
        <v>284.0090103739301</v>
      </c>
      <c r="F527" s="1117">
        <v>313.09230354147041</v>
      </c>
      <c r="G527" s="1117"/>
      <c r="H527" s="1117"/>
      <c r="I527" s="959">
        <v>1336.0830000000001</v>
      </c>
      <c r="J527" s="959">
        <v>1485.19</v>
      </c>
      <c r="K527" s="960">
        <v>111.825</v>
      </c>
      <c r="L527" s="1121">
        <v>123.27618337681702</v>
      </c>
      <c r="M527" s="916">
        <v>15659.7619</v>
      </c>
      <c r="N527" s="916">
        <v>17263.364002876748</v>
      </c>
      <c r="O527" s="1174">
        <v>6667.8333000000002</v>
      </c>
      <c r="P527" s="1174">
        <v>7350.637519488906</v>
      </c>
      <c r="Q527" s="1174">
        <v>2056.3571000000002</v>
      </c>
      <c r="R527" s="1174">
        <v>2266.9336458557536</v>
      </c>
      <c r="S527" s="1174">
        <v>2014.4048</v>
      </c>
      <c r="T527" s="1174">
        <v>2220.6853165208172</v>
      </c>
      <c r="U527" s="1120">
        <v>1027.2584724164997</v>
      </c>
      <c r="V527" s="1120">
        <v>1132.4525269036917</v>
      </c>
      <c r="W527" s="1120">
        <v>2538.5251092079739</v>
      </c>
      <c r="X527" s="1120">
        <v>2798.4769673094265</v>
      </c>
      <c r="Y527" s="1119"/>
      <c r="Z527" s="1119"/>
      <c r="AA527" s="1119"/>
      <c r="AB527" s="1119"/>
      <c r="AC527" s="1178">
        <v>20.736000000000001</v>
      </c>
      <c r="AD527" s="1178">
        <v>23.23</v>
      </c>
      <c r="AE527" s="1178">
        <v>30885.7143</v>
      </c>
      <c r="AF527" s="1178">
        <v>34048.495236045426</v>
      </c>
      <c r="AG527" s="1178">
        <v>1451.6189999999999</v>
      </c>
      <c r="AH527" s="1178">
        <v>1600.268723785126</v>
      </c>
      <c r="AI527" s="1178">
        <v>773.07100000000003</v>
      </c>
      <c r="AJ527" s="1178">
        <v>852.23556771114966</v>
      </c>
      <c r="AK527" s="919">
        <v>107.4</v>
      </c>
      <c r="AL527" s="919">
        <v>118.39805137196645</v>
      </c>
      <c r="AM527" s="919">
        <v>113.4</v>
      </c>
      <c r="AN527" s="919">
        <v>125.01246764972993</v>
      </c>
      <c r="AO527" s="919"/>
      <c r="AP527" s="919"/>
      <c r="AS527" s="1167"/>
      <c r="AT527" s="1167"/>
      <c r="AU527" s="1168"/>
      <c r="AV527" s="1168"/>
      <c r="AW527" s="1169"/>
      <c r="AX527" s="1169"/>
      <c r="AY527" s="1169"/>
      <c r="AZ527" s="1169"/>
      <c r="BA527" s="1803" t="s">
        <v>2</v>
      </c>
      <c r="BB527" s="1802">
        <v>2007</v>
      </c>
      <c r="BC527" s="1799" t="s">
        <v>581</v>
      </c>
      <c r="BD527" s="1799">
        <v>3</v>
      </c>
      <c r="BE527" s="1800">
        <v>1796894750.4024489</v>
      </c>
      <c r="BF527" s="1801">
        <v>0.11029021504238977</v>
      </c>
      <c r="BG527" s="1799"/>
      <c r="BH527" s="1894" t="s">
        <v>1</v>
      </c>
      <c r="BI527" s="1894" t="s">
        <v>314</v>
      </c>
      <c r="BJ527" s="1894" t="s">
        <v>431</v>
      </c>
      <c r="BK527" s="1894">
        <v>6</v>
      </c>
      <c r="BL527" s="1895">
        <v>84105000</v>
      </c>
      <c r="BM527" s="1801">
        <v>6.1576030088901423E-3</v>
      </c>
      <c r="BN527" s="1799">
        <v>2009</v>
      </c>
      <c r="BO527" s="1684"/>
      <c r="BP527" s="1696"/>
      <c r="BQ527" s="1169"/>
      <c r="BR527" s="1169"/>
      <c r="BS527" s="1169"/>
      <c r="BT527" s="1169"/>
      <c r="BU527" s="1169"/>
      <c r="BV527" s="1169"/>
      <c r="BW527" s="1169"/>
      <c r="BX527" s="1169"/>
      <c r="BY527" s="1169"/>
      <c r="BZ527" s="1169"/>
      <c r="CA527" s="1169"/>
      <c r="CB527" s="1169"/>
      <c r="CC527" s="1169"/>
      <c r="CD527" s="1169"/>
      <c r="CE527" s="1169"/>
      <c r="CF527" s="1169"/>
      <c r="CG527" s="1169"/>
      <c r="CH527" s="1169"/>
      <c r="CI527" s="1169"/>
      <c r="CJ527" s="1169"/>
      <c r="CK527" s="1169"/>
      <c r="CL527" s="1169"/>
      <c r="CM527" s="1169"/>
      <c r="CN527" s="1169"/>
      <c r="CO527" s="1169"/>
      <c r="CP527" s="1169"/>
      <c r="CQ527" s="1169"/>
      <c r="CR527" s="1169"/>
      <c r="CS527" s="1169"/>
      <c r="CT527" s="1169"/>
      <c r="CU527" s="1169"/>
      <c r="CV527" s="1169"/>
      <c r="CW527" s="1169"/>
      <c r="CX527" s="1169"/>
      <c r="CY527" s="1169"/>
      <c r="CZ527" s="1169"/>
      <c r="DA527" s="1168"/>
      <c r="DB527" s="1168"/>
      <c r="DC527" s="1168"/>
      <c r="DD527" s="1168"/>
      <c r="DE527" s="1168"/>
      <c r="DF527" s="1168"/>
      <c r="DG527" s="1168"/>
      <c r="DH527" s="1168"/>
      <c r="DI527" s="1168"/>
      <c r="DJ527" s="1168"/>
      <c r="DK527" s="1168"/>
      <c r="DL527" s="1168"/>
      <c r="DM527" s="1168"/>
      <c r="DN527" s="1168"/>
      <c r="DO527" s="1168"/>
      <c r="DP527" s="1168"/>
      <c r="DQ527" s="1168"/>
      <c r="DR527" s="1168"/>
      <c r="DS527" s="1168"/>
      <c r="DT527" s="1168"/>
      <c r="DU527" s="1168"/>
      <c r="DV527" s="1168"/>
      <c r="DW527" s="1168"/>
      <c r="DX527" s="1168"/>
      <c r="DY527" s="1168"/>
      <c r="DZ527" s="1168"/>
      <c r="EA527" s="1168"/>
      <c r="EB527" s="1168"/>
      <c r="EC527" s="1168"/>
      <c r="ED527" s="1168"/>
      <c r="EE527" s="1168"/>
      <c r="EF527" s="1168"/>
      <c r="EG527" s="1168"/>
      <c r="EH527" s="1168"/>
      <c r="EI527" s="1170"/>
      <c r="EJ527" s="1170"/>
      <c r="EK527" s="1170"/>
      <c r="EL527" s="1170"/>
      <c r="EM527" s="1170"/>
      <c r="EN527" s="1170"/>
      <c r="EO527" s="1170"/>
      <c r="EP527" s="1170"/>
      <c r="EQ527" s="1170"/>
      <c r="ER527" s="1170"/>
      <c r="ES527" s="1171"/>
      <c r="ET527" s="1171"/>
      <c r="EU527" s="1171"/>
      <c r="EV527" s="1171"/>
      <c r="EW527" s="1171"/>
      <c r="EX527" s="1171"/>
      <c r="EY527" s="1171"/>
      <c r="EZ527" s="1171"/>
      <c r="FA527" s="1171"/>
      <c r="FB527" s="1171"/>
      <c r="FC527" s="1171"/>
      <c r="FD527" s="1171"/>
      <c r="FE527" s="1171"/>
      <c r="FF527" s="1171"/>
      <c r="FG527" s="1171"/>
      <c r="FH527" s="1171"/>
      <c r="FI527" s="1171"/>
      <c r="FJ527" s="1171"/>
      <c r="FK527" s="1171"/>
      <c r="FL527" s="1171"/>
      <c r="FM527" s="1171"/>
      <c r="FN527" s="1171"/>
      <c r="FO527" s="1171"/>
      <c r="FP527" s="1171"/>
    </row>
    <row r="528" spans="1:172" s="607" customFormat="1">
      <c r="A528" s="607">
        <f t="shared" si="17"/>
        <v>2014</v>
      </c>
      <c r="B528" s="607">
        <f t="shared" si="18"/>
        <v>2</v>
      </c>
      <c r="C528" s="666">
        <v>41730</v>
      </c>
      <c r="D528" s="957">
        <v>0.93137894736842097</v>
      </c>
      <c r="E528" s="920">
        <v>285.32148706406321</v>
      </c>
      <c r="F528" s="920">
        <v>306.34307106707661</v>
      </c>
      <c r="G528" s="920"/>
      <c r="H528" s="920"/>
      <c r="I528" s="954">
        <v>1299</v>
      </c>
      <c r="J528" s="954">
        <v>1405.39</v>
      </c>
      <c r="K528" s="954">
        <v>115.03</v>
      </c>
      <c r="L528" s="920">
        <v>123.50504628112252</v>
      </c>
      <c r="M528" s="917">
        <v>17375</v>
      </c>
      <c r="N528" s="917">
        <v>18655.135000734623</v>
      </c>
      <c r="O528" s="1175">
        <v>6670.8249999999998</v>
      </c>
      <c r="P528" s="1175">
        <v>7162.3102700014697</v>
      </c>
      <c r="Q528" s="1175">
        <v>2085.9499999999998</v>
      </c>
      <c r="R528" s="1175">
        <v>2239.6361930810003</v>
      </c>
      <c r="S528" s="1175">
        <v>2030.6</v>
      </c>
      <c r="T528" s="1175">
        <v>2180.2081802872935</v>
      </c>
      <c r="U528" s="920">
        <v>1106.9922364602828</v>
      </c>
      <c r="V528" s="920">
        <v>1188.551920341394</v>
      </c>
      <c r="W528" s="920">
        <v>2541.0390695235815</v>
      </c>
      <c r="X528" s="920">
        <v>2728.2547846966045</v>
      </c>
      <c r="Y528" s="920"/>
      <c r="Z528" s="920"/>
      <c r="AA528" s="920"/>
      <c r="AB528" s="920"/>
      <c r="AC528" s="920">
        <v>19.71</v>
      </c>
      <c r="AD528" s="920">
        <v>21.59</v>
      </c>
      <c r="AE528" s="920">
        <v>30235</v>
      </c>
      <c r="AF528" s="920">
        <v>32462.619093364679</v>
      </c>
      <c r="AG528" s="920">
        <v>1431.5</v>
      </c>
      <c r="AH528" s="920">
        <v>1536.968388693618</v>
      </c>
      <c r="AI528" s="920">
        <v>792.32500000000005</v>
      </c>
      <c r="AJ528" s="920">
        <v>850.70099795436317</v>
      </c>
      <c r="AK528" s="920">
        <v>107.79</v>
      </c>
      <c r="AL528" s="920">
        <v>115.73162599880202</v>
      </c>
      <c r="AM528" s="920">
        <v>114.13</v>
      </c>
      <c r="AN528" s="920">
        <v>122.53873713000532</v>
      </c>
      <c r="AO528" s="920"/>
      <c r="AP528" s="920"/>
      <c r="AS528" s="1167"/>
      <c r="AT528" s="1167"/>
      <c r="AU528" s="1168"/>
      <c r="AV528" s="1168"/>
      <c r="AW528" s="1169"/>
      <c r="AX528" s="1169"/>
      <c r="AY528" s="1169"/>
      <c r="AZ528" s="1169"/>
      <c r="BA528" s="1803" t="s">
        <v>2</v>
      </c>
      <c r="BB528" s="1802">
        <v>2007</v>
      </c>
      <c r="BC528" s="1799" t="s">
        <v>583</v>
      </c>
      <c r="BD528" s="1799">
        <v>4</v>
      </c>
      <c r="BE528" s="1800">
        <v>635743495.43354642</v>
      </c>
      <c r="BF528" s="1801">
        <v>3.9020808985869924E-2</v>
      </c>
      <c r="BG528" s="1799"/>
      <c r="BH528" s="1894" t="s">
        <v>1</v>
      </c>
      <c r="BI528" s="1894" t="s">
        <v>314</v>
      </c>
      <c r="BJ528" s="1894" t="s">
        <v>339</v>
      </c>
      <c r="BK528" s="1894">
        <v>7</v>
      </c>
      <c r="BL528" s="1895">
        <v>51261000</v>
      </c>
      <c r="BM528" s="1801">
        <v>3.7529860036706209E-3</v>
      </c>
      <c r="BN528" s="1799">
        <v>2009</v>
      </c>
      <c r="BO528" s="1684"/>
      <c r="BP528" s="1696"/>
      <c r="BQ528" s="1169"/>
      <c r="BR528" s="1169"/>
      <c r="BS528" s="1169"/>
      <c r="BT528" s="1169"/>
      <c r="BU528" s="1169"/>
      <c r="BV528" s="1169"/>
      <c r="BW528" s="1169"/>
      <c r="BX528" s="1169"/>
      <c r="BY528" s="1169"/>
      <c r="BZ528" s="1169"/>
      <c r="CA528" s="1169"/>
      <c r="CB528" s="1169"/>
      <c r="CC528" s="1169"/>
      <c r="CD528" s="1169"/>
      <c r="CE528" s="1169"/>
      <c r="CF528" s="1169"/>
      <c r="CG528" s="1169"/>
      <c r="CH528" s="1169"/>
      <c r="CI528" s="1169"/>
      <c r="CJ528" s="1169"/>
      <c r="CK528" s="1169"/>
      <c r="CL528" s="1169"/>
      <c r="CM528" s="1169"/>
      <c r="CN528" s="1169"/>
      <c r="CO528" s="1169"/>
      <c r="CP528" s="1169"/>
      <c r="CQ528" s="1169"/>
      <c r="CR528" s="1169"/>
      <c r="CS528" s="1169"/>
      <c r="CT528" s="1169"/>
      <c r="CU528" s="1169"/>
      <c r="CV528" s="1169"/>
      <c r="CW528" s="1169"/>
      <c r="CX528" s="1169"/>
      <c r="CY528" s="1169"/>
      <c r="CZ528" s="1169"/>
      <c r="DA528" s="1168"/>
      <c r="DB528" s="1168"/>
      <c r="DC528" s="1168"/>
      <c r="DD528" s="1168"/>
      <c r="DE528" s="1168"/>
      <c r="DF528" s="1168"/>
      <c r="DG528" s="1168"/>
      <c r="DH528" s="1168"/>
      <c r="DI528" s="1168"/>
      <c r="DJ528" s="1168"/>
      <c r="DK528" s="1168"/>
      <c r="DL528" s="1168"/>
      <c r="DM528" s="1168"/>
      <c r="DN528" s="1168"/>
      <c r="DO528" s="1168"/>
      <c r="DP528" s="1168"/>
      <c r="DQ528" s="1168"/>
      <c r="DR528" s="1168"/>
      <c r="DS528" s="1168"/>
      <c r="DT528" s="1168"/>
      <c r="DU528" s="1168"/>
      <c r="DV528" s="1168"/>
      <c r="DW528" s="1168"/>
      <c r="DX528" s="1168"/>
      <c r="DY528" s="1168"/>
      <c r="DZ528" s="1168"/>
      <c r="EA528" s="1168"/>
      <c r="EB528" s="1168"/>
      <c r="EC528" s="1168"/>
      <c r="ED528" s="1168"/>
      <c r="EE528" s="1168"/>
      <c r="EF528" s="1168"/>
      <c r="EG528" s="1168"/>
      <c r="EH528" s="1168"/>
      <c r="EI528" s="1170"/>
      <c r="EJ528" s="1170"/>
      <c r="EK528" s="1170"/>
      <c r="EL528" s="1170"/>
      <c r="EM528" s="1170"/>
      <c r="EN528" s="1170"/>
      <c r="EO528" s="1170"/>
      <c r="EP528" s="1170"/>
      <c r="EQ528" s="1170"/>
      <c r="ER528" s="1170"/>
      <c r="ES528" s="1171"/>
      <c r="ET528" s="1171"/>
      <c r="EU528" s="1171"/>
      <c r="EV528" s="1171"/>
      <c r="EW528" s="1171"/>
      <c r="EX528" s="1171"/>
      <c r="EY528" s="1171"/>
      <c r="EZ528" s="1171"/>
      <c r="FA528" s="1171"/>
      <c r="FB528" s="1171"/>
      <c r="FC528" s="1171"/>
      <c r="FD528" s="1171"/>
      <c r="FE528" s="1171"/>
      <c r="FF528" s="1171"/>
      <c r="FG528" s="1171"/>
      <c r="FH528" s="1171"/>
      <c r="FI528" s="1171"/>
      <c r="FJ528" s="1171"/>
      <c r="FK528" s="1171"/>
      <c r="FL528" s="1171"/>
      <c r="FM528" s="1171"/>
      <c r="FN528" s="1171"/>
      <c r="FO528" s="1171"/>
      <c r="FP528" s="1171"/>
    </row>
    <row r="529" spans="1:172" s="607" customFormat="1">
      <c r="A529" s="607">
        <f t="shared" si="17"/>
        <v>2014</v>
      </c>
      <c r="B529" s="607">
        <f t="shared" si="18"/>
        <v>2</v>
      </c>
      <c r="C529" s="666">
        <v>41760</v>
      </c>
      <c r="D529" s="1709">
        <v>0.93091818181818187</v>
      </c>
      <c r="E529" s="1117">
        <v>297.55868763636363</v>
      </c>
      <c r="F529" s="1117">
        <v>319.64</v>
      </c>
      <c r="G529" s="1117"/>
      <c r="H529" s="1117"/>
      <c r="I529" s="959">
        <v>1287.5250000000001</v>
      </c>
      <c r="J529" s="959">
        <v>1396.41</v>
      </c>
      <c r="K529" s="960">
        <v>99.74</v>
      </c>
      <c r="L529" s="1121">
        <v>107.1415318209783</v>
      </c>
      <c r="M529" s="916">
        <v>19439.75</v>
      </c>
      <c r="N529" s="916">
        <v>20882.340016210779</v>
      </c>
      <c r="O529" s="1174">
        <v>6883.875</v>
      </c>
      <c r="P529" s="1174">
        <v>7394.7153836388316</v>
      </c>
      <c r="Q529" s="1174">
        <v>2097.125</v>
      </c>
      <c r="R529" s="1174">
        <v>2252.7489965918298</v>
      </c>
      <c r="S529" s="1174">
        <v>2060.3000000000002</v>
      </c>
      <c r="T529" s="1174">
        <v>2213.1912774289312</v>
      </c>
      <c r="U529" s="1120">
        <v>1005.3737340909092</v>
      </c>
      <c r="V529" s="1120">
        <v>1079.9807692307693</v>
      </c>
      <c r="W529" s="1120">
        <v>2559.0060770548084</v>
      </c>
      <c r="X529" s="1120">
        <v>2748.9054645562924</v>
      </c>
      <c r="Y529" s="1119"/>
      <c r="Z529" s="1119"/>
      <c r="AA529" s="1119"/>
      <c r="AB529" s="1119"/>
      <c r="AC529" s="1178">
        <v>19.36</v>
      </c>
      <c r="AD529" s="1178">
        <v>21.18</v>
      </c>
      <c r="AE529" s="1178">
        <v>30390</v>
      </c>
      <c r="AF529" s="1178">
        <v>32645.189011826056</v>
      </c>
      <c r="AG529" s="1178">
        <v>1456.425</v>
      </c>
      <c r="AH529" s="1178">
        <v>1564.5037646116737</v>
      </c>
      <c r="AI529" s="1178">
        <v>821.05</v>
      </c>
      <c r="AJ529" s="1178">
        <v>881.9786916143396</v>
      </c>
      <c r="AK529" s="919">
        <v>109.71</v>
      </c>
      <c r="AL529" s="919">
        <v>117.8513881700374</v>
      </c>
      <c r="AM529" s="919">
        <v>114.44</v>
      </c>
      <c r="AN529" s="919">
        <v>122.93239323834727</v>
      </c>
      <c r="AO529" s="919"/>
      <c r="AP529" s="919"/>
      <c r="AS529" s="1167"/>
      <c r="AT529" s="1167"/>
      <c r="AU529" s="1168"/>
      <c r="AV529" s="1168"/>
      <c r="AW529" s="1169"/>
      <c r="AX529" s="1169"/>
      <c r="AY529" s="1169"/>
      <c r="AZ529" s="1169"/>
      <c r="BA529" s="1803" t="s">
        <v>2</v>
      </c>
      <c r="BB529" s="1802">
        <v>2007</v>
      </c>
      <c r="BC529" s="1799" t="s">
        <v>17</v>
      </c>
      <c r="BD529" s="1799">
        <v>5</v>
      </c>
      <c r="BE529" s="1800">
        <v>149090322.47448826</v>
      </c>
      <c r="BF529" s="1801">
        <v>9.1508997523465294E-3</v>
      </c>
      <c r="BG529" s="1799"/>
      <c r="BH529" s="1894" t="s">
        <v>1</v>
      </c>
      <c r="BI529" s="1894" t="s">
        <v>314</v>
      </c>
      <c r="BJ529" s="1894" t="s">
        <v>592</v>
      </c>
      <c r="BK529" s="1894">
        <v>8</v>
      </c>
      <c r="BL529" s="1895">
        <v>40038000</v>
      </c>
      <c r="BM529" s="1801">
        <v>2.9313133496218242E-3</v>
      </c>
      <c r="BN529" s="1799">
        <v>2009</v>
      </c>
      <c r="BO529" s="1684"/>
      <c r="BP529" s="1696"/>
      <c r="BQ529" s="1169"/>
      <c r="BR529" s="1169"/>
      <c r="BS529" s="1169"/>
      <c r="BT529" s="1169"/>
      <c r="BU529" s="1169"/>
      <c r="BV529" s="1169"/>
      <c r="BW529" s="1169"/>
      <c r="BX529" s="1169"/>
      <c r="BY529" s="1169"/>
      <c r="BZ529" s="1169"/>
      <c r="CA529" s="1169"/>
      <c r="CB529" s="1169"/>
      <c r="CC529" s="1169"/>
      <c r="CD529" s="1169"/>
      <c r="CE529" s="1169"/>
      <c r="CF529" s="1169"/>
      <c r="CG529" s="1169"/>
      <c r="CH529" s="1169"/>
      <c r="CI529" s="1169"/>
      <c r="CJ529" s="1169"/>
      <c r="CK529" s="1169"/>
      <c r="CL529" s="1169"/>
      <c r="CM529" s="1169"/>
      <c r="CN529" s="1169"/>
      <c r="CO529" s="1169"/>
      <c r="CP529" s="1169"/>
      <c r="CQ529" s="1169"/>
      <c r="CR529" s="1169"/>
      <c r="CS529" s="1169"/>
      <c r="CT529" s="1169"/>
      <c r="CU529" s="1169"/>
      <c r="CV529" s="1169"/>
      <c r="CW529" s="1169"/>
      <c r="CX529" s="1169"/>
      <c r="CY529" s="1169"/>
      <c r="CZ529" s="1169"/>
      <c r="DA529" s="1168"/>
      <c r="DB529" s="1168"/>
      <c r="DC529" s="1168"/>
      <c r="DD529" s="1168"/>
      <c r="DE529" s="1168"/>
      <c r="DF529" s="1168"/>
      <c r="DG529" s="1168"/>
      <c r="DH529" s="1168"/>
      <c r="DI529" s="1168"/>
      <c r="DJ529" s="1168"/>
      <c r="DK529" s="1168"/>
      <c r="DL529" s="1168"/>
      <c r="DM529" s="1168"/>
      <c r="DN529" s="1168"/>
      <c r="DO529" s="1168"/>
      <c r="DP529" s="1168"/>
      <c r="DQ529" s="1168"/>
      <c r="DR529" s="1168"/>
      <c r="DS529" s="1168"/>
      <c r="DT529" s="1168"/>
      <c r="DU529" s="1168"/>
      <c r="DV529" s="1168"/>
      <c r="DW529" s="1168"/>
      <c r="DX529" s="1168"/>
      <c r="DY529" s="1168"/>
      <c r="DZ529" s="1168"/>
      <c r="EA529" s="1168"/>
      <c r="EB529" s="1168"/>
      <c r="EC529" s="1168"/>
      <c r="ED529" s="1168"/>
      <c r="EE529" s="1168"/>
      <c r="EF529" s="1168"/>
      <c r="EG529" s="1168"/>
      <c r="EH529" s="1168"/>
      <c r="EI529" s="1170"/>
      <c r="EJ529" s="1170"/>
      <c r="EK529" s="1170"/>
      <c r="EL529" s="1170"/>
      <c r="EM529" s="1170"/>
      <c r="EN529" s="1170"/>
      <c r="EO529" s="1170"/>
      <c r="EP529" s="1170"/>
      <c r="EQ529" s="1170"/>
      <c r="ER529" s="1170"/>
      <c r="ES529" s="1171"/>
      <c r="ET529" s="1171"/>
      <c r="EU529" s="1171"/>
      <c r="EV529" s="1171"/>
      <c r="EW529" s="1171"/>
      <c r="EX529" s="1171"/>
      <c r="EY529" s="1171"/>
      <c r="EZ529" s="1171"/>
      <c r="FA529" s="1171"/>
      <c r="FB529" s="1171"/>
      <c r="FC529" s="1171"/>
      <c r="FD529" s="1171"/>
      <c r="FE529" s="1171"/>
      <c r="FF529" s="1171"/>
      <c r="FG529" s="1171"/>
      <c r="FH529" s="1171"/>
      <c r="FI529" s="1171"/>
      <c r="FJ529" s="1171"/>
      <c r="FK529" s="1171"/>
      <c r="FL529" s="1171"/>
      <c r="FM529" s="1171"/>
      <c r="FN529" s="1171"/>
      <c r="FO529" s="1171"/>
      <c r="FP529" s="1171"/>
    </row>
    <row r="530" spans="1:172" s="607" customFormat="1">
      <c r="A530" s="607">
        <f t="shared" si="17"/>
        <v>2014</v>
      </c>
      <c r="B530" s="607">
        <f t="shared" si="18"/>
        <v>2</v>
      </c>
      <c r="C530" s="666">
        <v>41791</v>
      </c>
      <c r="D530" s="957">
        <v>0.93682500000000002</v>
      </c>
      <c r="E530" s="920">
        <v>283.18165899071772</v>
      </c>
      <c r="F530" s="920">
        <v>302.27807647182527</v>
      </c>
      <c r="G530" s="920"/>
      <c r="H530" s="920"/>
      <c r="I530" s="954">
        <v>1279.095</v>
      </c>
      <c r="J530" s="954">
        <v>1375.63</v>
      </c>
      <c r="K530" s="954">
        <v>93</v>
      </c>
      <c r="L530" s="920">
        <v>99.271475462332873</v>
      </c>
      <c r="M530" s="917">
        <v>18573.571400000001</v>
      </c>
      <c r="N530" s="917">
        <v>19826.08427401062</v>
      </c>
      <c r="O530" s="1175">
        <v>6806.0951999999997</v>
      </c>
      <c r="P530" s="1175">
        <v>7265.0657273236729</v>
      </c>
      <c r="Q530" s="1175">
        <v>2103.3094999999998</v>
      </c>
      <c r="R530" s="1175">
        <v>2245.1466389133507</v>
      </c>
      <c r="S530" s="1175">
        <v>2126.7856999999999</v>
      </c>
      <c r="T530" s="1175">
        <v>2270.2059616257038</v>
      </c>
      <c r="U530" s="920">
        <v>1049.3559201913476</v>
      </c>
      <c r="V530" s="920">
        <v>1120.1194675540764</v>
      </c>
      <c r="W530" s="920">
        <v>2555.4858325695909</v>
      </c>
      <c r="X530" s="920">
        <v>2727.8155819599083</v>
      </c>
      <c r="Y530" s="920"/>
      <c r="Z530" s="920"/>
      <c r="AA530" s="920"/>
      <c r="AB530" s="920"/>
      <c r="AC530" s="920">
        <v>19.780999999999999</v>
      </c>
      <c r="AD530" s="920">
        <v>21.59</v>
      </c>
      <c r="AE530" s="920">
        <v>30546.428599999999</v>
      </c>
      <c r="AF530" s="920">
        <v>32606.333733621541</v>
      </c>
      <c r="AG530" s="920">
        <v>1452.7619999999999</v>
      </c>
      <c r="AH530" s="920">
        <v>1550.729325114082</v>
      </c>
      <c r="AI530" s="920">
        <v>832.23800000000006</v>
      </c>
      <c r="AJ530" s="920">
        <v>888.36015264323646</v>
      </c>
      <c r="AK530" s="920">
        <v>111.87</v>
      </c>
      <c r="AL530" s="920">
        <v>119.41397806420623</v>
      </c>
      <c r="AM530" s="920">
        <v>116.42</v>
      </c>
      <c r="AN530" s="920">
        <v>124.27080831532037</v>
      </c>
      <c r="AO530" s="920"/>
      <c r="AP530" s="920"/>
      <c r="AS530" s="1167"/>
      <c r="AT530" s="1167"/>
      <c r="AU530" s="1168"/>
      <c r="AV530" s="1168"/>
      <c r="AW530" s="1169"/>
      <c r="AX530" s="1169"/>
      <c r="AY530" s="1169"/>
      <c r="AZ530" s="1169"/>
      <c r="BA530" s="1803" t="s">
        <v>2</v>
      </c>
      <c r="BB530" s="1802">
        <v>2007</v>
      </c>
      <c r="BC530" s="1799" t="s">
        <v>32</v>
      </c>
      <c r="BD530" s="1799"/>
      <c r="BE530" s="1800">
        <v>148124909.64669728</v>
      </c>
      <c r="BF530" s="1801">
        <v>9.0916444240320016E-3</v>
      </c>
      <c r="BG530" s="1799"/>
      <c r="BH530" s="1894" t="s">
        <v>1</v>
      </c>
      <c r="BI530" s="1894" t="s">
        <v>314</v>
      </c>
      <c r="BJ530" s="1894" t="s">
        <v>77</v>
      </c>
      <c r="BK530" s="1894">
        <v>9</v>
      </c>
      <c r="BL530" s="1895">
        <v>19093000</v>
      </c>
      <c r="BM530" s="1801">
        <v>1.3978611764905711E-3</v>
      </c>
      <c r="BN530" s="1799">
        <v>2009</v>
      </c>
      <c r="BO530" s="1684"/>
      <c r="BP530" s="1696"/>
      <c r="BQ530" s="1169"/>
      <c r="BR530" s="1169"/>
      <c r="BS530" s="1169"/>
      <c r="BT530" s="1169"/>
      <c r="BU530" s="1169"/>
      <c r="BV530" s="1169"/>
      <c r="BW530" s="1169"/>
      <c r="BX530" s="1169"/>
      <c r="BY530" s="1169"/>
      <c r="BZ530" s="1169"/>
      <c r="CA530" s="1169"/>
      <c r="CB530" s="1169"/>
      <c r="CC530" s="1169"/>
      <c r="CD530" s="1169"/>
      <c r="CE530" s="1169"/>
      <c r="CF530" s="1169"/>
      <c r="CG530" s="1169"/>
      <c r="CH530" s="1169"/>
      <c r="CI530" s="1169"/>
      <c r="CJ530" s="1169"/>
      <c r="CK530" s="1169"/>
      <c r="CL530" s="1169"/>
      <c r="CM530" s="1169"/>
      <c r="CN530" s="1169"/>
      <c r="CO530" s="1169"/>
      <c r="CP530" s="1169"/>
      <c r="CQ530" s="1169"/>
      <c r="CR530" s="1169"/>
      <c r="CS530" s="1169"/>
      <c r="CT530" s="1169"/>
      <c r="CU530" s="1169"/>
      <c r="CV530" s="1169"/>
      <c r="CW530" s="1169"/>
      <c r="CX530" s="1169"/>
      <c r="CY530" s="1169"/>
      <c r="CZ530" s="1169"/>
      <c r="DA530" s="1168"/>
      <c r="DB530" s="1168"/>
      <c r="DC530" s="1168"/>
      <c r="DD530" s="1168"/>
      <c r="DE530" s="1168"/>
      <c r="DF530" s="1168"/>
      <c r="DG530" s="1168"/>
      <c r="DH530" s="1168"/>
      <c r="DI530" s="1168"/>
      <c r="DJ530" s="1168"/>
      <c r="DK530" s="1168"/>
      <c r="DL530" s="1168"/>
      <c r="DM530" s="1168"/>
      <c r="DN530" s="1168"/>
      <c r="DO530" s="1168"/>
      <c r="DP530" s="1168"/>
      <c r="DQ530" s="1168"/>
      <c r="DR530" s="1168"/>
      <c r="DS530" s="1168"/>
      <c r="DT530" s="1168"/>
      <c r="DU530" s="1168"/>
      <c r="DV530" s="1168"/>
      <c r="DW530" s="1168"/>
      <c r="DX530" s="1168"/>
      <c r="DY530" s="1168"/>
      <c r="DZ530" s="1168"/>
      <c r="EA530" s="1168"/>
      <c r="EB530" s="1168"/>
      <c r="EC530" s="1168"/>
      <c r="ED530" s="1168"/>
      <c r="EE530" s="1168"/>
      <c r="EF530" s="1168"/>
      <c r="EG530" s="1168"/>
      <c r="EH530" s="1168"/>
      <c r="EI530" s="1170"/>
      <c r="EJ530" s="1170"/>
      <c r="EK530" s="1170"/>
      <c r="EL530" s="1170"/>
      <c r="EM530" s="1170"/>
      <c r="EN530" s="1170"/>
      <c r="EO530" s="1170"/>
      <c r="EP530" s="1170"/>
      <c r="EQ530" s="1170"/>
      <c r="ER530" s="1170"/>
      <c r="ES530" s="1171"/>
      <c r="ET530" s="1171"/>
      <c r="EU530" s="1171"/>
      <c r="EV530" s="1171"/>
      <c r="EW530" s="1171"/>
      <c r="EX530" s="1171"/>
      <c r="EY530" s="1171"/>
      <c r="EZ530" s="1171"/>
      <c r="FA530" s="1171"/>
      <c r="FB530" s="1171"/>
      <c r="FC530" s="1171"/>
      <c r="FD530" s="1171"/>
      <c r="FE530" s="1171"/>
      <c r="FF530" s="1171"/>
      <c r="FG530" s="1171"/>
      <c r="FH530" s="1171"/>
      <c r="FI530" s="1171"/>
      <c r="FJ530" s="1171"/>
      <c r="FK530" s="1171"/>
      <c r="FL530" s="1171"/>
      <c r="FM530" s="1171"/>
      <c r="FN530" s="1171"/>
      <c r="FO530" s="1171"/>
      <c r="FP530" s="1171"/>
    </row>
    <row r="531" spans="1:172" s="607" customFormat="1">
      <c r="A531" s="607">
        <f t="shared" si="17"/>
        <v>2014</v>
      </c>
      <c r="B531" s="607">
        <f t="shared" si="18"/>
        <v>3</v>
      </c>
      <c r="C531" s="666">
        <v>41821</v>
      </c>
      <c r="D531" s="1709">
        <v>0.93920000000000003</v>
      </c>
      <c r="E531" s="1117">
        <v>290.88153628463135</v>
      </c>
      <c r="F531" s="1117">
        <v>309.71202756029743</v>
      </c>
      <c r="G531" s="1117"/>
      <c r="H531" s="1117"/>
      <c r="I531" s="959">
        <v>1310.9670000000001</v>
      </c>
      <c r="J531" s="959">
        <v>1407.7</v>
      </c>
      <c r="K531" s="960">
        <v>96.08</v>
      </c>
      <c r="L531" s="1121">
        <v>102.29982964224871</v>
      </c>
      <c r="M531" s="916">
        <v>19050.434799999999</v>
      </c>
      <c r="N531" s="916">
        <v>20283.682708688244</v>
      </c>
      <c r="O531" s="1174">
        <v>7104.5</v>
      </c>
      <c r="P531" s="1174">
        <v>7564.4165247018736</v>
      </c>
      <c r="Q531" s="1174">
        <v>2189.2609000000002</v>
      </c>
      <c r="R531" s="1174">
        <v>2330.9847742759798</v>
      </c>
      <c r="S531" s="1174">
        <v>2311.0216999999998</v>
      </c>
      <c r="T531" s="1174">
        <v>2460.6278747870524</v>
      </c>
      <c r="U531" s="1120">
        <v>1062.6299284113761</v>
      </c>
      <c r="V531" s="1120">
        <v>1131.4202815282965</v>
      </c>
      <c r="W531" s="1120">
        <v>2546.7370786352976</v>
      </c>
      <c r="X531" s="1120">
        <v>2711.6025113237833</v>
      </c>
      <c r="Y531" s="1119"/>
      <c r="Z531" s="1119"/>
      <c r="AA531" s="1119"/>
      <c r="AB531" s="1119"/>
      <c r="AC531" s="1178">
        <v>20.925000000000001</v>
      </c>
      <c r="AD531" s="1178">
        <v>22.7</v>
      </c>
      <c r="AE531" s="1178">
        <v>32217.391299999999</v>
      </c>
      <c r="AF531" s="1178">
        <v>34303.014586882455</v>
      </c>
      <c r="AG531" s="1178">
        <v>1492.652</v>
      </c>
      <c r="AH531" s="1178">
        <v>1589.2802385008517</v>
      </c>
      <c r="AI531" s="1178">
        <v>871.69600000000003</v>
      </c>
      <c r="AJ531" s="1178">
        <v>928.12606473594553</v>
      </c>
      <c r="AK531" s="919">
        <v>106.98</v>
      </c>
      <c r="AL531" s="919">
        <v>113.90545144804089</v>
      </c>
      <c r="AM531" s="919">
        <v>110.75</v>
      </c>
      <c r="AN531" s="919">
        <v>117.91950596252128</v>
      </c>
      <c r="AO531" s="919"/>
      <c r="AP531" s="919"/>
      <c r="AS531" s="1167"/>
      <c r="AT531" s="1167"/>
      <c r="AU531" s="1168"/>
      <c r="AV531" s="1168"/>
      <c r="AW531" s="1169"/>
      <c r="AX531" s="1169"/>
      <c r="AY531" s="1169"/>
      <c r="AZ531" s="1169"/>
      <c r="BA531" s="1803" t="s">
        <v>2</v>
      </c>
      <c r="BB531" s="1802">
        <v>2007</v>
      </c>
      <c r="BC531" s="1799" t="s">
        <v>249</v>
      </c>
      <c r="BD531" s="1799"/>
      <c r="BE531" s="1800">
        <v>16292422221.788368</v>
      </c>
      <c r="BF531" s="1801"/>
      <c r="BG531" s="1799"/>
      <c r="BH531" s="1894" t="s">
        <v>1</v>
      </c>
      <c r="BI531" s="1894" t="s">
        <v>314</v>
      </c>
      <c r="BJ531" s="1894" t="s">
        <v>583</v>
      </c>
      <c r="BK531" s="1894">
        <v>10</v>
      </c>
      <c r="BL531" s="1895">
        <v>14166000</v>
      </c>
      <c r="BM531" s="1801">
        <v>1.0371393403951937E-3</v>
      </c>
      <c r="BN531" s="1799">
        <v>2009</v>
      </c>
      <c r="BO531" s="1684"/>
      <c r="BP531" s="1696"/>
      <c r="BQ531" s="1169"/>
      <c r="BR531" s="1169"/>
      <c r="BS531" s="1169"/>
      <c r="BT531" s="1169"/>
      <c r="BU531" s="1169"/>
      <c r="BV531" s="1169"/>
      <c r="BW531" s="1169"/>
      <c r="BX531" s="1169"/>
      <c r="BY531" s="1169"/>
      <c r="BZ531" s="1169"/>
      <c r="CA531" s="1169"/>
      <c r="CB531" s="1169"/>
      <c r="CC531" s="1169"/>
      <c r="CD531" s="1169"/>
      <c r="CE531" s="1169"/>
      <c r="CF531" s="1169"/>
      <c r="CG531" s="1169"/>
      <c r="CH531" s="1169"/>
      <c r="CI531" s="1169"/>
      <c r="CJ531" s="1169"/>
      <c r="CK531" s="1169"/>
      <c r="CL531" s="1169"/>
      <c r="CM531" s="1169"/>
      <c r="CN531" s="1169"/>
      <c r="CO531" s="1169"/>
      <c r="CP531" s="1169"/>
      <c r="CQ531" s="1169"/>
      <c r="CR531" s="1169"/>
      <c r="CS531" s="1169"/>
      <c r="CT531" s="1169"/>
      <c r="CU531" s="1169"/>
      <c r="CV531" s="1169"/>
      <c r="CW531" s="1169"/>
      <c r="CX531" s="1169"/>
      <c r="CY531" s="1169"/>
      <c r="CZ531" s="1169"/>
      <c r="DA531" s="1168"/>
      <c r="DB531" s="1168"/>
      <c r="DC531" s="1168"/>
      <c r="DD531" s="1168"/>
      <c r="DE531" s="1168"/>
      <c r="DF531" s="1168"/>
      <c r="DG531" s="1168"/>
      <c r="DH531" s="1168"/>
      <c r="DI531" s="1168"/>
      <c r="DJ531" s="1168"/>
      <c r="DK531" s="1168"/>
      <c r="DL531" s="1168"/>
      <c r="DM531" s="1168"/>
      <c r="DN531" s="1168"/>
      <c r="DO531" s="1168"/>
      <c r="DP531" s="1168"/>
      <c r="DQ531" s="1168"/>
      <c r="DR531" s="1168"/>
      <c r="DS531" s="1168"/>
      <c r="DT531" s="1168"/>
      <c r="DU531" s="1168"/>
      <c r="DV531" s="1168"/>
      <c r="DW531" s="1168"/>
      <c r="DX531" s="1168"/>
      <c r="DY531" s="1168"/>
      <c r="DZ531" s="1168"/>
      <c r="EA531" s="1168"/>
      <c r="EB531" s="1168"/>
      <c r="EC531" s="1168"/>
      <c r="ED531" s="1168"/>
      <c r="EE531" s="1168"/>
      <c r="EF531" s="1168"/>
      <c r="EG531" s="1168"/>
      <c r="EH531" s="1168"/>
      <c r="EI531" s="1170"/>
      <c r="EJ531" s="1170"/>
      <c r="EK531" s="1170"/>
      <c r="EL531" s="1170"/>
      <c r="EM531" s="1170"/>
      <c r="EN531" s="1170"/>
      <c r="EO531" s="1170"/>
      <c r="EP531" s="1170"/>
      <c r="EQ531" s="1170"/>
      <c r="ER531" s="1170"/>
      <c r="ES531" s="1171"/>
      <c r="ET531" s="1171"/>
      <c r="EU531" s="1171"/>
      <c r="EV531" s="1171"/>
      <c r="EW531" s="1171"/>
      <c r="EX531" s="1171"/>
      <c r="EY531" s="1171"/>
      <c r="EZ531" s="1171"/>
      <c r="FA531" s="1171"/>
      <c r="FB531" s="1171"/>
      <c r="FC531" s="1171"/>
      <c r="FD531" s="1171"/>
      <c r="FE531" s="1171"/>
      <c r="FF531" s="1171"/>
      <c r="FG531" s="1171"/>
      <c r="FH531" s="1171"/>
      <c r="FI531" s="1171"/>
      <c r="FJ531" s="1171"/>
      <c r="FK531" s="1171"/>
      <c r="FL531" s="1171"/>
      <c r="FM531" s="1171"/>
      <c r="FN531" s="1171"/>
      <c r="FO531" s="1171"/>
      <c r="FP531" s="1171"/>
    </row>
    <row r="532" spans="1:172" s="607" customFormat="1">
      <c r="A532" s="607">
        <f t="shared" si="17"/>
        <v>2014</v>
      </c>
      <c r="B532" s="607">
        <f t="shared" si="18"/>
        <v>3</v>
      </c>
      <c r="C532" s="666">
        <v>41852</v>
      </c>
      <c r="D532" s="957">
        <v>0.93039000000000005</v>
      </c>
      <c r="E532" s="920">
        <v>289.70299482463952</v>
      </c>
      <c r="F532" s="920">
        <v>311.37801870682131</v>
      </c>
      <c r="G532" s="920"/>
      <c r="H532" s="920"/>
      <c r="I532" s="954">
        <v>1295.9880000000001</v>
      </c>
      <c r="J532" s="954">
        <v>1400.55</v>
      </c>
      <c r="K532" s="954">
        <v>92.46</v>
      </c>
      <c r="L532" s="920">
        <v>99.377680327604537</v>
      </c>
      <c r="M532" s="917">
        <v>18575.75</v>
      </c>
      <c r="N532" s="917">
        <v>19965.552080310408</v>
      </c>
      <c r="O532" s="1175">
        <v>7000.55</v>
      </c>
      <c r="P532" s="1175">
        <v>7524.3177592192524</v>
      </c>
      <c r="Q532" s="1175">
        <v>2236.5749999999998</v>
      </c>
      <c r="R532" s="1175">
        <v>2403.9112630187337</v>
      </c>
      <c r="S532" s="1175">
        <v>2329.2249999999999</v>
      </c>
      <c r="T532" s="1175">
        <v>2503.493158782876</v>
      </c>
      <c r="U532" s="920">
        <v>1054.9408659737767</v>
      </c>
      <c r="V532" s="920">
        <v>1133.8695235049568</v>
      </c>
      <c r="W532" s="920">
        <v>2597.7431904335767</v>
      </c>
      <c r="X532" s="920">
        <v>2792.1013665598048</v>
      </c>
      <c r="Y532" s="920"/>
      <c r="Z532" s="920"/>
      <c r="AA532" s="920"/>
      <c r="AB532" s="920"/>
      <c r="AC532" s="920">
        <v>19.800999999999998</v>
      </c>
      <c r="AD532" s="920">
        <v>21.63</v>
      </c>
      <c r="AE532" s="920">
        <v>32777.5</v>
      </c>
      <c r="AF532" s="920">
        <v>35229.84984791324</v>
      </c>
      <c r="AG532" s="920">
        <v>1447.85</v>
      </c>
      <c r="AH532" s="920">
        <v>1556.175367319081</v>
      </c>
      <c r="AI532" s="920">
        <v>875.8</v>
      </c>
      <c r="AJ532" s="920">
        <v>941.32568062855353</v>
      </c>
      <c r="AK532" s="920">
        <v>101.92</v>
      </c>
      <c r="AL532" s="920">
        <v>109.5454594309913</v>
      </c>
      <c r="AM532" s="920">
        <v>106.03</v>
      </c>
      <c r="AN532" s="920">
        <v>113.96296176872063</v>
      </c>
      <c r="AO532" s="920"/>
      <c r="AP532" s="920"/>
      <c r="AS532" s="1167"/>
      <c r="AT532" s="1167"/>
      <c r="AU532" s="1168"/>
      <c r="AV532" s="1168"/>
      <c r="AW532" s="1169"/>
      <c r="AX532" s="1169"/>
      <c r="AY532" s="1169"/>
      <c r="AZ532" s="1169"/>
      <c r="BA532" s="1803" t="s">
        <v>4</v>
      </c>
      <c r="BB532" s="1802">
        <v>2015</v>
      </c>
      <c r="BC532" s="1799" t="s">
        <v>20</v>
      </c>
      <c r="BD532" s="1799">
        <v>1</v>
      </c>
      <c r="BE532" s="1800">
        <v>9930926886.8600082</v>
      </c>
      <c r="BF532" s="1801">
        <v>0.60402763945807469</v>
      </c>
      <c r="BG532" s="1799"/>
      <c r="BH532" s="1894" t="s">
        <v>1</v>
      </c>
      <c r="BI532" s="1894" t="s">
        <v>314</v>
      </c>
      <c r="BJ532" s="1894" t="s">
        <v>32</v>
      </c>
      <c r="BK532" s="1894"/>
      <c r="BL532" s="1895">
        <v>24702000</v>
      </c>
      <c r="BM532" s="1801">
        <v>1.808514470312161E-3</v>
      </c>
      <c r="BN532" s="1799">
        <v>2009</v>
      </c>
      <c r="BO532" s="1684"/>
      <c r="BP532" s="1696"/>
      <c r="BQ532" s="1169"/>
      <c r="BR532" s="1169"/>
      <c r="BS532" s="1169"/>
      <c r="BT532" s="1169"/>
      <c r="BU532" s="1169"/>
      <c r="BV532" s="1169"/>
      <c r="BW532" s="1169"/>
      <c r="BX532" s="1169"/>
      <c r="BY532" s="1169"/>
      <c r="BZ532" s="1169"/>
      <c r="CA532" s="1169"/>
      <c r="CB532" s="1169"/>
      <c r="CC532" s="1169"/>
      <c r="CD532" s="1169"/>
      <c r="CE532" s="1169"/>
      <c r="CF532" s="1169"/>
      <c r="CG532" s="1169"/>
      <c r="CH532" s="1169"/>
      <c r="CI532" s="1169"/>
      <c r="CJ532" s="1169"/>
      <c r="CK532" s="1169"/>
      <c r="CL532" s="1169"/>
      <c r="CM532" s="1169"/>
      <c r="CN532" s="1169"/>
      <c r="CO532" s="1169"/>
      <c r="CP532" s="1169"/>
      <c r="CQ532" s="1169"/>
      <c r="CR532" s="1169"/>
      <c r="CS532" s="1169"/>
      <c r="CT532" s="1169"/>
      <c r="CU532" s="1169"/>
      <c r="CV532" s="1169"/>
      <c r="CW532" s="1169"/>
      <c r="CX532" s="1169"/>
      <c r="CY532" s="1169"/>
      <c r="CZ532" s="1169"/>
      <c r="DA532" s="1168"/>
      <c r="DB532" s="1168"/>
      <c r="DC532" s="1168"/>
      <c r="DD532" s="1168"/>
      <c r="DE532" s="1168"/>
      <c r="DF532" s="1168"/>
      <c r="DG532" s="1168"/>
      <c r="DH532" s="1168"/>
      <c r="DI532" s="1168"/>
      <c r="DJ532" s="1168"/>
      <c r="DK532" s="1168"/>
      <c r="DL532" s="1168"/>
      <c r="DM532" s="1168"/>
      <c r="DN532" s="1168"/>
      <c r="DO532" s="1168"/>
      <c r="DP532" s="1168"/>
      <c r="DQ532" s="1168"/>
      <c r="DR532" s="1168"/>
      <c r="DS532" s="1168"/>
      <c r="DT532" s="1168"/>
      <c r="DU532" s="1168"/>
      <c r="DV532" s="1168"/>
      <c r="DW532" s="1168"/>
      <c r="DX532" s="1168"/>
      <c r="DY532" s="1168"/>
      <c r="DZ532" s="1168"/>
      <c r="EA532" s="1168"/>
      <c r="EB532" s="1168"/>
      <c r="EC532" s="1168"/>
      <c r="ED532" s="1168"/>
      <c r="EE532" s="1168"/>
      <c r="EF532" s="1168"/>
      <c r="EG532" s="1168"/>
      <c r="EH532" s="1168"/>
      <c r="EI532" s="1170"/>
      <c r="EJ532" s="1170"/>
      <c r="EK532" s="1170"/>
      <c r="EL532" s="1170"/>
      <c r="EM532" s="1170"/>
      <c r="EN532" s="1170"/>
      <c r="EO532" s="1170"/>
      <c r="EP532" s="1170"/>
      <c r="EQ532" s="1170"/>
      <c r="ER532" s="1170"/>
      <c r="ES532" s="1171"/>
      <c r="ET532" s="1171"/>
      <c r="EU532" s="1171"/>
      <c r="EV532" s="1171"/>
      <c r="EW532" s="1171"/>
      <c r="EX532" s="1171"/>
      <c r="EY532" s="1171"/>
      <c r="EZ532" s="1171"/>
      <c r="FA532" s="1171"/>
      <c r="FB532" s="1171"/>
      <c r="FC532" s="1171"/>
      <c r="FD532" s="1171"/>
      <c r="FE532" s="1171"/>
      <c r="FF532" s="1171"/>
      <c r="FG532" s="1171"/>
      <c r="FH532" s="1171"/>
      <c r="FI532" s="1171"/>
      <c r="FJ532" s="1171"/>
      <c r="FK532" s="1171"/>
      <c r="FL532" s="1171"/>
      <c r="FM532" s="1171"/>
      <c r="FN532" s="1171"/>
      <c r="FO532" s="1171"/>
      <c r="FP532" s="1171"/>
    </row>
    <row r="533" spans="1:172" s="607" customFormat="1">
      <c r="A533" s="607">
        <f t="shared" si="17"/>
        <v>2014</v>
      </c>
      <c r="B533" s="607">
        <f t="shared" si="18"/>
        <v>3</v>
      </c>
      <c r="C533" s="666">
        <v>41883</v>
      </c>
      <c r="D533" s="1709">
        <v>0.90617727272727278</v>
      </c>
      <c r="E533" s="1117">
        <v>302.39145293991231</v>
      </c>
      <c r="F533" s="1117">
        <v>333.70010707708559</v>
      </c>
      <c r="G533" s="1117"/>
      <c r="H533" s="1117"/>
      <c r="I533" s="959">
        <v>1238.818</v>
      </c>
      <c r="J533" s="959">
        <v>1376.33</v>
      </c>
      <c r="K533" s="960">
        <v>81.48</v>
      </c>
      <c r="L533" s="1121">
        <v>89.916181361262844</v>
      </c>
      <c r="M533" s="916">
        <v>18079.318200000002</v>
      </c>
      <c r="N533" s="916">
        <v>19951.193595473494</v>
      </c>
      <c r="O533" s="1174">
        <v>6872.2272999999996</v>
      </c>
      <c r="P533" s="1174">
        <v>7583.7559678770449</v>
      </c>
      <c r="Q533" s="1174">
        <v>2122.25</v>
      </c>
      <c r="R533" s="1174">
        <v>2341.9810492628876</v>
      </c>
      <c r="S533" s="1174">
        <v>2294.0455000000002</v>
      </c>
      <c r="T533" s="1174">
        <v>2531.5637116959856</v>
      </c>
      <c r="U533" s="1120">
        <v>1041.6392394099939</v>
      </c>
      <c r="V533" s="1120">
        <v>1149.4872700515084</v>
      </c>
      <c r="W533" s="1120">
        <v>3034.3249295169235</v>
      </c>
      <c r="X533" s="1120">
        <v>3348.4893307737457</v>
      </c>
      <c r="Y533" s="1119"/>
      <c r="Z533" s="1119"/>
      <c r="AA533" s="1119"/>
      <c r="AB533" s="1119"/>
      <c r="AC533" s="1178">
        <v>18.491</v>
      </c>
      <c r="AD533" s="1178">
        <v>20.85</v>
      </c>
      <c r="AE533" s="1178">
        <v>32820.4545</v>
      </c>
      <c r="AF533" s="1178">
        <v>36218.580500504111</v>
      </c>
      <c r="AG533" s="1178">
        <v>1362.364</v>
      </c>
      <c r="AH533" s="1178">
        <v>1503.4188574380889</v>
      </c>
      <c r="AI533" s="1178">
        <v>841.77300000000002</v>
      </c>
      <c r="AJ533" s="1178">
        <v>928.92751267813344</v>
      </c>
      <c r="AK533" s="919">
        <v>97.34</v>
      </c>
      <c r="AL533" s="919">
        <v>107.41827557321214</v>
      </c>
      <c r="AM533" s="919">
        <v>101.96</v>
      </c>
      <c r="AN533" s="919">
        <v>112.51661575348992</v>
      </c>
      <c r="AO533" s="919"/>
      <c r="AP533" s="919"/>
      <c r="AS533" s="1167"/>
      <c r="AT533" s="1167"/>
      <c r="AU533" s="1168"/>
      <c r="AV533" s="1168"/>
      <c r="AW533" s="1169"/>
      <c r="AX533" s="1169"/>
      <c r="AY533" s="1169"/>
      <c r="AZ533" s="1169"/>
      <c r="BA533" s="1803" t="s">
        <v>4</v>
      </c>
      <c r="BB533" s="1802">
        <v>2015</v>
      </c>
      <c r="BC533" s="1799" t="s">
        <v>15</v>
      </c>
      <c r="BD533" s="1799">
        <v>2</v>
      </c>
      <c r="BE533" s="1800">
        <v>1935234431.1799996</v>
      </c>
      <c r="BF533" s="1801">
        <v>0.1177065442713417</v>
      </c>
      <c r="BG533" s="1799"/>
      <c r="BH533" s="1894" t="s">
        <v>1</v>
      </c>
      <c r="BI533" s="1894" t="s">
        <v>314</v>
      </c>
      <c r="BJ533" s="1894" t="s">
        <v>249</v>
      </c>
      <c r="BK533" s="1894"/>
      <c r="BL533" s="1895">
        <v>13658724000</v>
      </c>
      <c r="BM533" s="1801">
        <v>1</v>
      </c>
      <c r="BN533" s="1799">
        <v>2009</v>
      </c>
      <c r="BO533" s="1684"/>
      <c r="BP533" s="1696"/>
      <c r="BQ533" s="1169"/>
      <c r="BR533" s="1169"/>
      <c r="BS533" s="1169"/>
      <c r="BT533" s="1169"/>
      <c r="BU533" s="1169"/>
      <c r="BV533" s="1169"/>
      <c r="BW533" s="1169"/>
      <c r="BX533" s="1169"/>
      <c r="BY533" s="1169"/>
      <c r="BZ533" s="1169"/>
      <c r="CA533" s="1169"/>
      <c r="CB533" s="1169"/>
      <c r="CC533" s="1169"/>
      <c r="CD533" s="1169"/>
      <c r="CE533" s="1169"/>
      <c r="CF533" s="1169"/>
      <c r="CG533" s="1169"/>
      <c r="CH533" s="1169"/>
      <c r="CI533" s="1169"/>
      <c r="CJ533" s="1169"/>
      <c r="CK533" s="1169"/>
      <c r="CL533" s="1169"/>
      <c r="CM533" s="1169"/>
      <c r="CN533" s="1169"/>
      <c r="CO533" s="1169"/>
      <c r="CP533" s="1169"/>
      <c r="CQ533" s="1169"/>
      <c r="CR533" s="1169"/>
      <c r="CS533" s="1169"/>
      <c r="CT533" s="1169"/>
      <c r="CU533" s="1169"/>
      <c r="CV533" s="1169"/>
      <c r="CW533" s="1169"/>
      <c r="CX533" s="1169"/>
      <c r="CY533" s="1169"/>
      <c r="CZ533" s="1169"/>
      <c r="DA533" s="1168"/>
      <c r="DB533" s="1168"/>
      <c r="DC533" s="1168"/>
      <c r="DD533" s="1168"/>
      <c r="DE533" s="1168"/>
      <c r="DF533" s="1168"/>
      <c r="DG533" s="1168"/>
      <c r="DH533" s="1168"/>
      <c r="DI533" s="1168"/>
      <c r="DJ533" s="1168"/>
      <c r="DK533" s="1168"/>
      <c r="DL533" s="1168"/>
      <c r="DM533" s="1168"/>
      <c r="DN533" s="1168"/>
      <c r="DO533" s="1168"/>
      <c r="DP533" s="1168"/>
      <c r="DQ533" s="1168"/>
      <c r="DR533" s="1168"/>
      <c r="DS533" s="1168"/>
      <c r="DT533" s="1168"/>
      <c r="DU533" s="1168"/>
      <c r="DV533" s="1168"/>
      <c r="DW533" s="1168"/>
      <c r="DX533" s="1168"/>
      <c r="DY533" s="1168"/>
      <c r="DZ533" s="1168"/>
      <c r="EA533" s="1168"/>
      <c r="EB533" s="1168"/>
      <c r="EC533" s="1168"/>
      <c r="ED533" s="1168"/>
      <c r="EE533" s="1168"/>
      <c r="EF533" s="1168"/>
      <c r="EG533" s="1168"/>
      <c r="EH533" s="1168"/>
      <c r="EI533" s="1170"/>
      <c r="EJ533" s="1170"/>
      <c r="EK533" s="1170"/>
      <c r="EL533" s="1170"/>
      <c r="EM533" s="1170"/>
      <c r="EN533" s="1170"/>
      <c r="EO533" s="1170"/>
      <c r="EP533" s="1170"/>
      <c r="EQ533" s="1170"/>
      <c r="ER533" s="1170"/>
      <c r="ES533" s="1171"/>
      <c r="ET533" s="1171"/>
      <c r="EU533" s="1171"/>
      <c r="EV533" s="1171"/>
      <c r="EW533" s="1171"/>
      <c r="EX533" s="1171"/>
      <c r="EY533" s="1171"/>
      <c r="EZ533" s="1171"/>
      <c r="FA533" s="1171"/>
      <c r="FB533" s="1171"/>
      <c r="FC533" s="1171"/>
      <c r="FD533" s="1171"/>
      <c r="FE533" s="1171"/>
      <c r="FF533" s="1171"/>
      <c r="FG533" s="1171"/>
      <c r="FH533" s="1171"/>
      <c r="FI533" s="1171"/>
      <c r="FJ533" s="1171"/>
      <c r="FK533" s="1171"/>
      <c r="FL533" s="1171"/>
      <c r="FM533" s="1171"/>
      <c r="FN533" s="1171"/>
      <c r="FO533" s="1171"/>
      <c r="FP533" s="1171"/>
    </row>
    <row r="534" spans="1:172" s="607" customFormat="1">
      <c r="A534" s="607">
        <f t="shared" si="17"/>
        <v>2014</v>
      </c>
      <c r="B534" s="607">
        <f t="shared" si="18"/>
        <v>4</v>
      </c>
      <c r="C534" s="666">
        <v>41913</v>
      </c>
      <c r="D534" s="957">
        <v>0.87841363636363645</v>
      </c>
      <c r="E534" s="920">
        <v>309.63417908268383</v>
      </c>
      <c r="F534" s="920">
        <v>352.49245488090844</v>
      </c>
      <c r="G534" s="920"/>
      <c r="H534" s="920"/>
      <c r="I534" s="954">
        <v>1222.489</v>
      </c>
      <c r="J534" s="954">
        <v>1405.95</v>
      </c>
      <c r="K534" s="954">
        <v>78.349999999999994</v>
      </c>
      <c r="L534" s="920">
        <v>89.194881268402213</v>
      </c>
      <c r="M534" s="917">
        <v>15770.434800000001</v>
      </c>
      <c r="N534" s="917">
        <v>17953.312821149695</v>
      </c>
      <c r="O534" s="1175">
        <v>6739.1957000000002</v>
      </c>
      <c r="P534" s="1175">
        <v>7672.0071513213379</v>
      </c>
      <c r="Q534" s="1175">
        <v>2038.087</v>
      </c>
      <c r="R534" s="1175">
        <v>2320.1905294151129</v>
      </c>
      <c r="S534" s="1175">
        <v>2272.6957000000002</v>
      </c>
      <c r="T534" s="1175">
        <v>2587.2727903089763</v>
      </c>
      <c r="U534" s="920">
        <v>1001.6088652006157</v>
      </c>
      <c r="V534" s="920">
        <v>1140.247400241838</v>
      </c>
      <c r="W534" s="920">
        <v>2560.2194096469507</v>
      </c>
      <c r="X534" s="920">
        <v>2914.5943364967275</v>
      </c>
      <c r="Y534" s="920"/>
      <c r="Z534" s="920"/>
      <c r="AA534" s="920"/>
      <c r="AB534" s="920"/>
      <c r="AC534" s="920">
        <v>17.190000000000001</v>
      </c>
      <c r="AD534" s="920">
        <v>20.059999999999999</v>
      </c>
      <c r="AE534" s="920">
        <v>31847.826099999998</v>
      </c>
      <c r="AF534" s="920">
        <v>36256.069784891144</v>
      </c>
      <c r="AG534" s="920">
        <v>1259.761</v>
      </c>
      <c r="AH534" s="920">
        <v>1434.1318803007487</v>
      </c>
      <c r="AI534" s="920">
        <v>778.26099999999997</v>
      </c>
      <c r="AJ534" s="920">
        <v>885.98465208459447</v>
      </c>
      <c r="AK534" s="920">
        <v>87.27</v>
      </c>
      <c r="AL534" s="920">
        <v>99.349550584473022</v>
      </c>
      <c r="AM534" s="920">
        <v>90.95</v>
      </c>
      <c r="AN534" s="920">
        <v>103.53892088527355</v>
      </c>
      <c r="AO534" s="920"/>
      <c r="AP534" s="920"/>
      <c r="AS534" s="1167"/>
      <c r="AT534" s="1167"/>
      <c r="AU534" s="1168"/>
      <c r="AV534" s="1168"/>
      <c r="AW534" s="1169"/>
      <c r="AX534" s="1169"/>
      <c r="AY534" s="1169"/>
      <c r="AZ534" s="1169"/>
      <c r="BA534" s="1803" t="s">
        <v>4</v>
      </c>
      <c r="BB534" s="1802">
        <v>2015</v>
      </c>
      <c r="BC534" s="1799" t="s">
        <v>581</v>
      </c>
      <c r="BD534" s="1799">
        <v>3</v>
      </c>
      <c r="BE534" s="1800">
        <v>1577110724.3700001</v>
      </c>
      <c r="BF534" s="1801">
        <v>9.5924426678205804E-2</v>
      </c>
      <c r="BG534" s="1799"/>
      <c r="BH534" s="1805" t="s">
        <v>1</v>
      </c>
      <c r="BI534" s="1805" t="s">
        <v>315</v>
      </c>
      <c r="BJ534" s="1805" t="s">
        <v>18</v>
      </c>
      <c r="BK534" s="1805">
        <v>1</v>
      </c>
      <c r="BL534" s="1806">
        <v>4236100000</v>
      </c>
      <c r="BM534" s="1801">
        <v>0.31617653370174942</v>
      </c>
      <c r="BN534" s="1799">
        <v>2010</v>
      </c>
      <c r="BO534" s="1684"/>
      <c r="BP534" s="1696"/>
      <c r="BQ534" s="1169"/>
      <c r="BR534" s="1169"/>
      <c r="BS534" s="1169"/>
      <c r="BT534" s="1169"/>
      <c r="BU534" s="1169"/>
      <c r="BV534" s="1169"/>
      <c r="BW534" s="1169"/>
      <c r="BX534" s="1169"/>
      <c r="BY534" s="1169"/>
      <c r="BZ534" s="1169"/>
      <c r="CA534" s="1169"/>
      <c r="CB534" s="1169"/>
      <c r="CC534" s="1169"/>
      <c r="CD534" s="1169"/>
      <c r="CE534" s="1169"/>
      <c r="CF534" s="1169"/>
      <c r="CG534" s="1169"/>
      <c r="CH534" s="1169"/>
      <c r="CI534" s="1169"/>
      <c r="CJ534" s="1169"/>
      <c r="CK534" s="1169"/>
      <c r="CL534" s="1169"/>
      <c r="CM534" s="1169"/>
      <c r="CN534" s="1169"/>
      <c r="CO534" s="1169"/>
      <c r="CP534" s="1169"/>
      <c r="CQ534" s="1169"/>
      <c r="CR534" s="1169"/>
      <c r="CS534" s="1169"/>
      <c r="CT534" s="1169"/>
      <c r="CU534" s="1169"/>
      <c r="CV534" s="1169"/>
      <c r="CW534" s="1169"/>
      <c r="CX534" s="1169"/>
      <c r="CY534" s="1169"/>
      <c r="CZ534" s="1169"/>
      <c r="DA534" s="1168"/>
      <c r="DB534" s="1168"/>
      <c r="DC534" s="1168"/>
      <c r="DD534" s="1168"/>
      <c r="DE534" s="1168"/>
      <c r="DF534" s="1168"/>
      <c r="DG534" s="1168"/>
      <c r="DH534" s="1168"/>
      <c r="DI534" s="1168"/>
      <c r="DJ534" s="1168"/>
      <c r="DK534" s="1168"/>
      <c r="DL534" s="1168"/>
      <c r="DM534" s="1168"/>
      <c r="DN534" s="1168"/>
      <c r="DO534" s="1168"/>
      <c r="DP534" s="1168"/>
      <c r="DQ534" s="1168"/>
      <c r="DR534" s="1168"/>
      <c r="DS534" s="1168"/>
      <c r="DT534" s="1168"/>
      <c r="DU534" s="1168"/>
      <c r="DV534" s="1168"/>
      <c r="DW534" s="1168"/>
      <c r="DX534" s="1168"/>
      <c r="DY534" s="1168"/>
      <c r="DZ534" s="1168"/>
      <c r="EA534" s="1168"/>
      <c r="EB534" s="1168"/>
      <c r="EC534" s="1168"/>
      <c r="ED534" s="1168"/>
      <c r="EE534" s="1168"/>
      <c r="EF534" s="1168"/>
      <c r="EG534" s="1168"/>
      <c r="EH534" s="1168"/>
      <c r="EI534" s="1170"/>
      <c r="EJ534" s="1170"/>
      <c r="EK534" s="1170"/>
      <c r="EL534" s="1170"/>
      <c r="EM534" s="1170"/>
      <c r="EN534" s="1170"/>
      <c r="EO534" s="1170"/>
      <c r="EP534" s="1170"/>
      <c r="EQ534" s="1170"/>
      <c r="ER534" s="1170"/>
      <c r="ES534" s="1171"/>
      <c r="ET534" s="1171"/>
      <c r="EU534" s="1171"/>
      <c r="EV534" s="1171"/>
      <c r="EW534" s="1171"/>
      <c r="EX534" s="1171"/>
      <c r="EY534" s="1171"/>
      <c r="EZ534" s="1171"/>
      <c r="FA534" s="1171"/>
      <c r="FB534" s="1171"/>
      <c r="FC534" s="1171"/>
      <c r="FD534" s="1171"/>
      <c r="FE534" s="1171"/>
      <c r="FF534" s="1171"/>
      <c r="FG534" s="1171"/>
      <c r="FH534" s="1171"/>
      <c r="FI534" s="1171"/>
      <c r="FJ534" s="1171"/>
      <c r="FK534" s="1171"/>
      <c r="FL534" s="1171"/>
      <c r="FM534" s="1171"/>
      <c r="FN534" s="1171"/>
      <c r="FO534" s="1171"/>
      <c r="FP534" s="1171"/>
    </row>
    <row r="535" spans="1:172" s="607" customFormat="1">
      <c r="A535" s="607">
        <f t="shared" si="17"/>
        <v>2014</v>
      </c>
      <c r="B535" s="607">
        <f t="shared" si="18"/>
        <v>4</v>
      </c>
      <c r="C535" s="666">
        <v>41944</v>
      </c>
      <c r="D535" s="1709">
        <v>0.865035</v>
      </c>
      <c r="E535" s="1117">
        <v>308.50189465980407</v>
      </c>
      <c r="F535" s="1117">
        <v>356.63515887773798</v>
      </c>
      <c r="G535" s="1117"/>
      <c r="H535" s="1117"/>
      <c r="I535" s="959">
        <v>1176.3</v>
      </c>
      <c r="J535" s="959">
        <v>1371.16</v>
      </c>
      <c r="K535" s="960">
        <v>71.94</v>
      </c>
      <c r="L535" s="1121">
        <v>83.164265029738672</v>
      </c>
      <c r="M535" s="916">
        <v>15706.25</v>
      </c>
      <c r="N535" s="916">
        <v>18156.77978347697</v>
      </c>
      <c r="O535" s="1174">
        <v>6701.125</v>
      </c>
      <c r="P535" s="1174">
        <v>7746.6518695775312</v>
      </c>
      <c r="Q535" s="1174">
        <v>2023.7249999999999</v>
      </c>
      <c r="R535" s="1174">
        <v>2339.4718132792314</v>
      </c>
      <c r="S535" s="1174">
        <v>2259.4250000000002</v>
      </c>
      <c r="T535" s="1174">
        <v>2611.9463374314337</v>
      </c>
      <c r="U535" s="1120">
        <v>1408.8993897826538</v>
      </c>
      <c r="V535" s="1120">
        <v>1628.719519768164</v>
      </c>
      <c r="W535" s="1120">
        <v>2583.9935716808095</v>
      </c>
      <c r="X535" s="1120">
        <v>2987.1549378705017</v>
      </c>
      <c r="Y535" s="1119"/>
      <c r="Z535" s="1119"/>
      <c r="AA535" s="1119"/>
      <c r="AB535" s="1119"/>
      <c r="AC535" s="1178">
        <v>15.973000000000001</v>
      </c>
      <c r="AD535" s="1178">
        <v>18.95</v>
      </c>
      <c r="AE535" s="1178">
        <v>31345</v>
      </c>
      <c r="AF535" s="1178">
        <v>36235.528042217942</v>
      </c>
      <c r="AG535" s="1178">
        <v>1208.8499999999999</v>
      </c>
      <c r="AH535" s="1178">
        <v>1397.4579063274896</v>
      </c>
      <c r="AI535" s="1178">
        <v>780.75</v>
      </c>
      <c r="AJ535" s="1178">
        <v>902.56463611298966</v>
      </c>
      <c r="AK535" s="919">
        <v>78.44</v>
      </c>
      <c r="AL535" s="919">
        <v>90.678411856167671</v>
      </c>
      <c r="AM535" s="919">
        <v>82.27</v>
      </c>
      <c r="AN535" s="919">
        <v>95.105978370817368</v>
      </c>
      <c r="AO535" s="919"/>
      <c r="AP535" s="919"/>
      <c r="AS535" s="1167"/>
      <c r="AT535" s="1167"/>
      <c r="AU535" s="1168"/>
      <c r="AV535" s="1168"/>
      <c r="AW535" s="1169"/>
      <c r="AX535" s="1169"/>
      <c r="AY535" s="1169"/>
      <c r="AZ535" s="1169"/>
      <c r="BA535" s="1803" t="s">
        <v>4</v>
      </c>
      <c r="BB535" s="1802">
        <v>2015</v>
      </c>
      <c r="BC535" s="1799" t="s">
        <v>49</v>
      </c>
      <c r="BD535" s="1799">
        <v>4</v>
      </c>
      <c r="BE535" s="1800">
        <v>1005907508.1399997</v>
      </c>
      <c r="BF535" s="1801">
        <v>6.1182198255722908E-2</v>
      </c>
      <c r="BG535" s="1799"/>
      <c r="BH535" s="1805" t="s">
        <v>1</v>
      </c>
      <c r="BI535" s="1805" t="s">
        <v>315</v>
      </c>
      <c r="BJ535" s="1805" t="s">
        <v>51</v>
      </c>
      <c r="BK535" s="1805">
        <v>2</v>
      </c>
      <c r="BL535" s="1806">
        <v>3500872000</v>
      </c>
      <c r="BM535" s="1801">
        <v>0.26130015200148976</v>
      </c>
      <c r="BN535" s="1799">
        <v>2010</v>
      </c>
      <c r="BO535" s="1684"/>
      <c r="BP535" s="1696"/>
      <c r="BQ535" s="1169"/>
      <c r="BR535" s="1169"/>
      <c r="BS535" s="1169"/>
      <c r="BT535" s="1169"/>
      <c r="BU535" s="1169"/>
      <c r="BV535" s="1169"/>
      <c r="BW535" s="1169"/>
      <c r="BX535" s="1169"/>
      <c r="BY535" s="1169"/>
      <c r="BZ535" s="1169"/>
      <c r="CA535" s="1169"/>
      <c r="CB535" s="1169"/>
      <c r="CC535" s="1169"/>
      <c r="CD535" s="1169"/>
      <c r="CE535" s="1169"/>
      <c r="CF535" s="1169"/>
      <c r="CG535" s="1169"/>
      <c r="CH535" s="1169"/>
      <c r="CI535" s="1169"/>
      <c r="CJ535" s="1169"/>
      <c r="CK535" s="1169"/>
      <c r="CL535" s="1169"/>
      <c r="CM535" s="1169"/>
      <c r="CN535" s="1169"/>
      <c r="CO535" s="1169"/>
      <c r="CP535" s="1169"/>
      <c r="CQ535" s="1169"/>
      <c r="CR535" s="1169"/>
      <c r="CS535" s="1169"/>
      <c r="CT535" s="1169"/>
      <c r="CU535" s="1169"/>
      <c r="CV535" s="1169"/>
      <c r="CW535" s="1169"/>
      <c r="CX535" s="1169"/>
      <c r="CY535" s="1169"/>
      <c r="CZ535" s="1169"/>
      <c r="DA535" s="1168"/>
      <c r="DB535" s="1168"/>
      <c r="DC535" s="1168"/>
      <c r="DD535" s="1168"/>
      <c r="DE535" s="1168"/>
      <c r="DF535" s="1168"/>
      <c r="DG535" s="1168"/>
      <c r="DH535" s="1168"/>
      <c r="DI535" s="1168"/>
      <c r="DJ535" s="1168"/>
      <c r="DK535" s="1168"/>
      <c r="DL535" s="1168"/>
      <c r="DM535" s="1168"/>
      <c r="DN535" s="1168"/>
      <c r="DO535" s="1168"/>
      <c r="DP535" s="1168"/>
      <c r="DQ535" s="1168"/>
      <c r="DR535" s="1168"/>
      <c r="DS535" s="1168"/>
      <c r="DT535" s="1168"/>
      <c r="DU535" s="1168"/>
      <c r="DV535" s="1168"/>
      <c r="DW535" s="1168"/>
      <c r="DX535" s="1168"/>
      <c r="DY535" s="1168"/>
      <c r="DZ535" s="1168"/>
      <c r="EA535" s="1168"/>
      <c r="EB535" s="1168"/>
      <c r="EC535" s="1168"/>
      <c r="ED535" s="1168"/>
      <c r="EE535" s="1168"/>
      <c r="EF535" s="1168"/>
      <c r="EG535" s="1168"/>
      <c r="EH535" s="1168"/>
      <c r="EI535" s="1170"/>
      <c r="EJ535" s="1170"/>
      <c r="EK535" s="1170"/>
      <c r="EL535" s="1170"/>
      <c r="EM535" s="1170"/>
      <c r="EN535" s="1170"/>
      <c r="EO535" s="1170"/>
      <c r="EP535" s="1170"/>
      <c r="EQ535" s="1170"/>
      <c r="ER535" s="1170"/>
      <c r="ES535" s="1171"/>
      <c r="ET535" s="1171"/>
      <c r="EU535" s="1171"/>
      <c r="EV535" s="1171"/>
      <c r="EW535" s="1171"/>
      <c r="EX535" s="1171"/>
      <c r="EY535" s="1171"/>
      <c r="EZ535" s="1171"/>
      <c r="FA535" s="1171"/>
      <c r="FB535" s="1171"/>
      <c r="FC535" s="1171"/>
      <c r="FD535" s="1171"/>
      <c r="FE535" s="1171"/>
      <c r="FF535" s="1171"/>
      <c r="FG535" s="1171"/>
      <c r="FH535" s="1171"/>
      <c r="FI535" s="1171"/>
      <c r="FJ535" s="1171"/>
      <c r="FK535" s="1171"/>
      <c r="FL535" s="1171"/>
      <c r="FM535" s="1171"/>
      <c r="FN535" s="1171"/>
      <c r="FO535" s="1171"/>
      <c r="FP535" s="1171"/>
    </row>
    <row r="536" spans="1:172" s="607" customFormat="1">
      <c r="A536" s="607">
        <f t="shared" si="17"/>
        <v>2014</v>
      </c>
      <c r="B536" s="607">
        <f t="shared" si="18"/>
        <v>4</v>
      </c>
      <c r="C536" s="666">
        <v>41974</v>
      </c>
      <c r="D536" s="957">
        <v>0.82557619047619046</v>
      </c>
      <c r="E536" s="920">
        <v>319.20305004892583</v>
      </c>
      <c r="F536" s="920">
        <v>386.64275173053409</v>
      </c>
      <c r="G536" s="920"/>
      <c r="H536" s="920"/>
      <c r="I536" s="954">
        <v>1202.289</v>
      </c>
      <c r="J536" s="954">
        <v>1463.16</v>
      </c>
      <c r="K536" s="954">
        <v>67.2</v>
      </c>
      <c r="L536" s="920">
        <v>81.397696269849064</v>
      </c>
      <c r="M536" s="917">
        <v>15918.571400000001</v>
      </c>
      <c r="N536" s="917">
        <v>19281.771426593838</v>
      </c>
      <c r="O536" s="1175">
        <v>6422.9524000000001</v>
      </c>
      <c r="P536" s="1175">
        <v>7779.9632233764587</v>
      </c>
      <c r="Q536" s="1175">
        <v>1936.0952</v>
      </c>
      <c r="R536" s="1175">
        <v>2345.1441821296526</v>
      </c>
      <c r="S536" s="1175">
        <v>2171.7143000000001</v>
      </c>
      <c r="T536" s="1175">
        <v>2630.5437645280931</v>
      </c>
      <c r="U536" s="920">
        <v>1108.1130318947185</v>
      </c>
      <c r="V536" s="920">
        <v>1342.2298809944621</v>
      </c>
      <c r="W536" s="920">
        <v>2537.7577415179867</v>
      </c>
      <c r="X536" s="920">
        <v>3073.9231227758805</v>
      </c>
      <c r="Y536" s="920"/>
      <c r="Z536" s="920"/>
      <c r="AA536" s="920"/>
      <c r="AB536" s="920"/>
      <c r="AC536" s="920">
        <v>16.239999999999998</v>
      </c>
      <c r="AD536" s="920">
        <v>20.12</v>
      </c>
      <c r="AE536" s="920">
        <v>31499.047600000002</v>
      </c>
      <c r="AF536" s="920">
        <v>38154.016507951157</v>
      </c>
      <c r="AG536" s="920">
        <v>1217.316</v>
      </c>
      <c r="AH536" s="920">
        <v>1474.5047326254103</v>
      </c>
      <c r="AI536" s="920">
        <v>805.73699999999997</v>
      </c>
      <c r="AJ536" s="920">
        <v>975.96927975266908</v>
      </c>
      <c r="AK536" s="920">
        <v>62.55</v>
      </c>
      <c r="AL536" s="920">
        <v>75.765266394033603</v>
      </c>
      <c r="AM536" s="920">
        <v>66.069999999999993</v>
      </c>
      <c r="AN536" s="920">
        <v>80.028955246263791</v>
      </c>
      <c r="AO536" s="920"/>
      <c r="AP536" s="920"/>
      <c r="AS536" s="1167"/>
      <c r="AT536" s="1167"/>
      <c r="AU536" s="1168"/>
      <c r="AV536" s="1168"/>
      <c r="AW536" s="1169"/>
      <c r="AX536" s="1169"/>
      <c r="AY536" s="1169"/>
      <c r="AZ536" s="1169"/>
      <c r="BA536" s="1803" t="s">
        <v>4</v>
      </c>
      <c r="BB536" s="1802">
        <v>2015</v>
      </c>
      <c r="BC536" s="1799" t="s">
        <v>28</v>
      </c>
      <c r="BD536" s="1799">
        <v>5</v>
      </c>
      <c r="BE536" s="1800">
        <v>477307499.00999993</v>
      </c>
      <c r="BF536" s="1801">
        <v>2.9031219865702323E-2</v>
      </c>
      <c r="BG536" s="1799"/>
      <c r="BH536" s="1805" t="s">
        <v>1</v>
      </c>
      <c r="BI536" s="1805" t="s">
        <v>315</v>
      </c>
      <c r="BJ536" s="1805" t="s">
        <v>28</v>
      </c>
      <c r="BK536" s="1805">
        <v>3</v>
      </c>
      <c r="BL536" s="1806">
        <v>2366506000</v>
      </c>
      <c r="BM536" s="1801">
        <v>0.17663267252057133</v>
      </c>
      <c r="BN536" s="1799">
        <v>2010</v>
      </c>
      <c r="BO536" s="1684"/>
      <c r="BP536" s="1696"/>
      <c r="BQ536" s="1169"/>
      <c r="BR536" s="1169"/>
      <c r="BS536" s="1169"/>
      <c r="BT536" s="1169"/>
      <c r="BU536" s="1169"/>
      <c r="BV536" s="1169"/>
      <c r="BW536" s="1169"/>
      <c r="BX536" s="1169"/>
      <c r="BY536" s="1169"/>
      <c r="BZ536" s="1169"/>
      <c r="CA536" s="1169"/>
      <c r="CB536" s="1169"/>
      <c r="CC536" s="1169"/>
      <c r="CD536" s="1169"/>
      <c r="CE536" s="1169"/>
      <c r="CF536" s="1169"/>
      <c r="CG536" s="1169"/>
      <c r="CH536" s="1169"/>
      <c r="CI536" s="1169"/>
      <c r="CJ536" s="1169"/>
      <c r="CK536" s="1169"/>
      <c r="CL536" s="1169"/>
      <c r="CM536" s="1169"/>
      <c r="CN536" s="1169"/>
      <c r="CO536" s="1169"/>
      <c r="CP536" s="1169"/>
      <c r="CQ536" s="1169"/>
      <c r="CR536" s="1169"/>
      <c r="CS536" s="1169"/>
      <c r="CT536" s="1169"/>
      <c r="CU536" s="1169"/>
      <c r="CV536" s="1169"/>
      <c r="CW536" s="1169"/>
      <c r="CX536" s="1169"/>
      <c r="CY536" s="1169"/>
      <c r="CZ536" s="1169"/>
      <c r="DA536" s="1168"/>
      <c r="DB536" s="1168"/>
      <c r="DC536" s="1168"/>
      <c r="DD536" s="1168"/>
      <c r="DE536" s="1168"/>
      <c r="DF536" s="1168"/>
      <c r="DG536" s="1168"/>
      <c r="DH536" s="1168"/>
      <c r="DI536" s="1168"/>
      <c r="DJ536" s="1168"/>
      <c r="DK536" s="1168"/>
      <c r="DL536" s="1168"/>
      <c r="DM536" s="1168"/>
      <c r="DN536" s="1168"/>
      <c r="DO536" s="1168"/>
      <c r="DP536" s="1168"/>
      <c r="DQ536" s="1168"/>
      <c r="DR536" s="1168"/>
      <c r="DS536" s="1168"/>
      <c r="DT536" s="1168"/>
      <c r="DU536" s="1168"/>
      <c r="DV536" s="1168"/>
      <c r="DW536" s="1168"/>
      <c r="DX536" s="1168"/>
      <c r="DY536" s="1168"/>
      <c r="DZ536" s="1168"/>
      <c r="EA536" s="1168"/>
      <c r="EB536" s="1168"/>
      <c r="EC536" s="1168"/>
      <c r="ED536" s="1168"/>
      <c r="EE536" s="1168"/>
      <c r="EF536" s="1168"/>
      <c r="EG536" s="1168"/>
      <c r="EH536" s="1168"/>
      <c r="EI536" s="1170"/>
      <c r="EJ536" s="1170"/>
      <c r="EK536" s="1170"/>
      <c r="EL536" s="1170"/>
      <c r="EM536" s="1170"/>
      <c r="EN536" s="1170"/>
      <c r="EO536" s="1170"/>
      <c r="EP536" s="1170"/>
      <c r="EQ536" s="1170"/>
      <c r="ER536" s="1170"/>
      <c r="ES536" s="1171"/>
      <c r="ET536" s="1171"/>
      <c r="EU536" s="1171"/>
      <c r="EV536" s="1171"/>
      <c r="EW536" s="1171"/>
      <c r="EX536" s="1171"/>
      <c r="EY536" s="1171"/>
      <c r="EZ536" s="1171"/>
      <c r="FA536" s="1171"/>
      <c r="FB536" s="1171"/>
      <c r="FC536" s="1171"/>
      <c r="FD536" s="1171"/>
      <c r="FE536" s="1171"/>
      <c r="FF536" s="1171"/>
      <c r="FG536" s="1171"/>
      <c r="FH536" s="1171"/>
      <c r="FI536" s="1171"/>
      <c r="FJ536" s="1171"/>
      <c r="FK536" s="1171"/>
      <c r="FL536" s="1171"/>
      <c r="FM536" s="1171"/>
      <c r="FN536" s="1171"/>
      <c r="FO536" s="1171"/>
      <c r="FP536" s="1171"/>
    </row>
    <row r="537" spans="1:172" s="607" customFormat="1">
      <c r="A537" s="607">
        <f t="shared" si="17"/>
        <v>2015</v>
      </c>
      <c r="B537" s="607">
        <f t="shared" si="18"/>
        <v>1</v>
      </c>
      <c r="C537" s="666">
        <v>42005</v>
      </c>
      <c r="D537" s="1709">
        <v>0.8091799999999999</v>
      </c>
      <c r="E537" s="1117">
        <v>310.58171091757674</v>
      </c>
      <c r="F537" s="1117">
        <v>383.82277233443335</v>
      </c>
      <c r="G537" s="1117"/>
      <c r="H537" s="1117"/>
      <c r="I537" s="959">
        <v>1251.845</v>
      </c>
      <c r="J537" s="959">
        <v>1559.8</v>
      </c>
      <c r="K537" s="960">
        <v>66.55</v>
      </c>
      <c r="L537" s="1121">
        <v>82.243752935070077</v>
      </c>
      <c r="M537" s="916">
        <v>14770.9524</v>
      </c>
      <c r="N537" s="916">
        <v>18254.223287772809</v>
      </c>
      <c r="O537" s="1174">
        <v>5815.8333000000002</v>
      </c>
      <c r="P537" s="1174">
        <v>7187.317160582319</v>
      </c>
      <c r="Q537" s="1174">
        <v>1829.1667</v>
      </c>
      <c r="R537" s="1174">
        <v>2260.5189203885416</v>
      </c>
      <c r="S537" s="1174">
        <v>2110.6428999999998</v>
      </c>
      <c r="T537" s="1174">
        <v>2608.3725499888778</v>
      </c>
      <c r="U537" s="1120">
        <v>1128.9234511701195</v>
      </c>
      <c r="V537" s="1120">
        <v>1395.1450248030346</v>
      </c>
      <c r="W537" s="1120">
        <v>2526.9659611654351</v>
      </c>
      <c r="X537" s="1120">
        <v>3122.8724896381959</v>
      </c>
      <c r="Y537" s="1119"/>
      <c r="Z537" s="1119"/>
      <c r="AA537" s="1119"/>
      <c r="AB537" s="1119"/>
      <c r="AC537" s="1178">
        <v>17.097999999999999</v>
      </c>
      <c r="AD537" s="1178">
        <v>21.64</v>
      </c>
      <c r="AE537" s="1178">
        <v>31112.857100000001</v>
      </c>
      <c r="AF537" s="1178">
        <v>38449.859240218502</v>
      </c>
      <c r="AG537" s="1178">
        <v>1243.4760000000001</v>
      </c>
      <c r="AH537" s="1178">
        <v>1536.7112385377793</v>
      </c>
      <c r="AI537" s="1178">
        <v>784.33299999999997</v>
      </c>
      <c r="AJ537" s="1178">
        <v>969.29360587261192</v>
      </c>
      <c r="AK537" s="919">
        <v>48.07</v>
      </c>
      <c r="AL537" s="919">
        <v>59.405818235744839</v>
      </c>
      <c r="AM537" s="919">
        <v>50.28</v>
      </c>
      <c r="AN537" s="919">
        <v>62.136978175436873</v>
      </c>
      <c r="AO537" s="919"/>
      <c r="AP537" s="919"/>
      <c r="AS537" s="1167"/>
      <c r="AT537" s="1167"/>
      <c r="AU537" s="1168"/>
      <c r="AV537" s="1168"/>
      <c r="AW537" s="1169"/>
      <c r="AX537" s="1169"/>
      <c r="AY537" s="1169"/>
      <c r="AZ537" s="1169"/>
      <c r="BA537" s="1803" t="s">
        <v>4</v>
      </c>
      <c r="BB537" s="1802">
        <v>2015</v>
      </c>
      <c r="BC537" s="1799" t="s">
        <v>21</v>
      </c>
      <c r="BD537" s="1799">
        <v>6</v>
      </c>
      <c r="BE537" s="1800">
        <v>420501760.13</v>
      </c>
      <c r="BF537" s="1801">
        <v>2.5576130853944723E-2</v>
      </c>
      <c r="BG537" s="1799"/>
      <c r="BH537" s="1805" t="s">
        <v>1</v>
      </c>
      <c r="BI537" s="1805" t="s">
        <v>315</v>
      </c>
      <c r="BJ537" s="1805" t="s">
        <v>49</v>
      </c>
      <c r="BK537" s="1805">
        <v>4</v>
      </c>
      <c r="BL537" s="1806">
        <v>1118250000</v>
      </c>
      <c r="BM537" s="1801">
        <v>8.3464603954576444E-2</v>
      </c>
      <c r="BN537" s="1799">
        <v>2010</v>
      </c>
      <c r="BO537" s="1684"/>
      <c r="BP537" s="1696"/>
      <c r="BQ537" s="1169"/>
      <c r="BR537" s="1169"/>
      <c r="BS537" s="1169"/>
      <c r="BT537" s="1169"/>
      <c r="BU537" s="1169"/>
      <c r="BV537" s="1169"/>
      <c r="BW537" s="1169"/>
      <c r="BX537" s="1169"/>
      <c r="BY537" s="1169"/>
      <c r="BZ537" s="1169"/>
      <c r="CA537" s="1169"/>
      <c r="CB537" s="1169"/>
      <c r="CC537" s="1169"/>
      <c r="CD537" s="1169"/>
      <c r="CE537" s="1169"/>
      <c r="CF537" s="1169"/>
      <c r="CG537" s="1169"/>
      <c r="CH537" s="1169"/>
      <c r="CI537" s="1169"/>
      <c r="CJ537" s="1169"/>
      <c r="CK537" s="1169"/>
      <c r="CL537" s="1169"/>
      <c r="CM537" s="1169"/>
      <c r="CN537" s="1169"/>
      <c r="CO537" s="1169"/>
      <c r="CP537" s="1169"/>
      <c r="CQ537" s="1169"/>
      <c r="CR537" s="1169"/>
      <c r="CS537" s="1169"/>
      <c r="CT537" s="1169"/>
      <c r="CU537" s="1169"/>
      <c r="CV537" s="1169"/>
      <c r="CW537" s="1169"/>
      <c r="CX537" s="1169"/>
      <c r="CY537" s="1169"/>
      <c r="CZ537" s="1169"/>
      <c r="DA537" s="1168"/>
      <c r="DB537" s="1168"/>
      <c r="DC537" s="1168"/>
      <c r="DD537" s="1168"/>
      <c r="DE537" s="1168"/>
      <c r="DF537" s="1168"/>
      <c r="DG537" s="1168"/>
      <c r="DH537" s="1168"/>
      <c r="DI537" s="1168"/>
      <c r="DJ537" s="1168"/>
      <c r="DK537" s="1168"/>
      <c r="DL537" s="1168"/>
      <c r="DM537" s="1168"/>
      <c r="DN537" s="1168"/>
      <c r="DO537" s="1168"/>
      <c r="DP537" s="1168"/>
      <c r="DQ537" s="1168"/>
      <c r="DR537" s="1168"/>
      <c r="DS537" s="1168"/>
      <c r="DT537" s="1168"/>
      <c r="DU537" s="1168"/>
      <c r="DV537" s="1168"/>
      <c r="DW537" s="1168"/>
      <c r="DX537" s="1168"/>
      <c r="DY537" s="1168"/>
      <c r="DZ537" s="1168"/>
      <c r="EA537" s="1168"/>
      <c r="EB537" s="1168"/>
      <c r="EC537" s="1168"/>
      <c r="ED537" s="1168"/>
      <c r="EE537" s="1168"/>
      <c r="EF537" s="1168"/>
      <c r="EG537" s="1168"/>
      <c r="EH537" s="1168"/>
      <c r="EI537" s="1170"/>
      <c r="EJ537" s="1170"/>
      <c r="EK537" s="1170"/>
      <c r="EL537" s="1170"/>
      <c r="EM537" s="1170"/>
      <c r="EN537" s="1170"/>
      <c r="EO537" s="1170"/>
      <c r="EP537" s="1170"/>
      <c r="EQ537" s="1170"/>
      <c r="ER537" s="1170"/>
      <c r="ES537" s="1171"/>
      <c r="ET537" s="1171"/>
      <c r="EU537" s="1171"/>
      <c r="EV537" s="1171"/>
      <c r="EW537" s="1171"/>
      <c r="EX537" s="1171"/>
      <c r="EY537" s="1171"/>
      <c r="EZ537" s="1171"/>
      <c r="FA537" s="1171"/>
      <c r="FB537" s="1171"/>
      <c r="FC537" s="1171"/>
      <c r="FD537" s="1171"/>
      <c r="FE537" s="1171"/>
      <c r="FF537" s="1171"/>
      <c r="FG537" s="1171"/>
      <c r="FH537" s="1171"/>
      <c r="FI537" s="1171"/>
      <c r="FJ537" s="1171"/>
      <c r="FK537" s="1171"/>
      <c r="FL537" s="1171"/>
      <c r="FM537" s="1171"/>
      <c r="FN537" s="1171"/>
      <c r="FO537" s="1171"/>
      <c r="FP537" s="1171"/>
    </row>
    <row r="538" spans="1:172" s="607" customFormat="1">
      <c r="A538" s="607">
        <f t="shared" si="17"/>
        <v>2015</v>
      </c>
      <c r="B538" s="607">
        <f t="shared" si="18"/>
        <v>1</v>
      </c>
      <c r="C538" s="666">
        <v>42036</v>
      </c>
      <c r="D538" s="957">
        <v>0.77898500000000015</v>
      </c>
      <c r="E538" s="920">
        <v>306.50278030927109</v>
      </c>
      <c r="F538" s="920">
        <v>393.46429046678821</v>
      </c>
      <c r="G538" s="920"/>
      <c r="H538" s="1336"/>
      <c r="I538" s="954">
        <v>1227.1880000000001</v>
      </c>
      <c r="J538" s="954">
        <v>1590.3</v>
      </c>
      <c r="K538" s="954">
        <v>61.43</v>
      </c>
      <c r="L538" s="920">
        <v>78.859028094250831</v>
      </c>
      <c r="M538" s="917">
        <v>14534.5</v>
      </c>
      <c r="N538" s="917">
        <v>18658.254010025863</v>
      </c>
      <c r="O538" s="1175">
        <v>5702.0749999999998</v>
      </c>
      <c r="P538" s="1175">
        <v>7319.877789687861</v>
      </c>
      <c r="Q538" s="1175">
        <v>1804.675</v>
      </c>
      <c r="R538" s="1175">
        <v>2316.7005783166551</v>
      </c>
      <c r="S538" s="1175">
        <v>2103.125</v>
      </c>
      <c r="T538" s="1175">
        <v>2699.827339422453</v>
      </c>
      <c r="U538" s="920">
        <v>1048.8728586865434</v>
      </c>
      <c r="V538" s="920">
        <v>1346.460918614021</v>
      </c>
      <c r="W538" s="920">
        <v>2439.4605947752584</v>
      </c>
      <c r="X538" s="920">
        <v>3131.5886631645767</v>
      </c>
      <c r="Y538" s="920"/>
      <c r="Z538" s="920"/>
      <c r="AA538" s="920"/>
      <c r="AB538" s="920"/>
      <c r="AC538" s="920">
        <v>16.843</v>
      </c>
      <c r="AD538" s="920">
        <v>22.06</v>
      </c>
      <c r="AE538" s="920">
        <v>29143.75</v>
      </c>
      <c r="AF538" s="920">
        <v>37412.466222071023</v>
      </c>
      <c r="AG538" s="920">
        <v>1197.5999999999999</v>
      </c>
      <c r="AH538" s="920">
        <v>1537.38518713454</v>
      </c>
      <c r="AI538" s="920">
        <v>786.25</v>
      </c>
      <c r="AJ538" s="920">
        <v>1009.3262386310389</v>
      </c>
      <c r="AK538" s="920">
        <v>57.93</v>
      </c>
      <c r="AL538" s="920">
        <v>74.366001912745418</v>
      </c>
      <c r="AM538" s="920">
        <v>59.79</v>
      </c>
      <c r="AN538" s="920">
        <v>76.753724397774008</v>
      </c>
      <c r="AO538" s="920"/>
      <c r="AP538" s="920"/>
      <c r="AS538" s="1167"/>
      <c r="AT538" s="1167"/>
      <c r="AU538" s="1168"/>
      <c r="AV538" s="1168"/>
      <c r="AW538" s="1169"/>
      <c r="AX538" s="1169"/>
      <c r="AY538" s="1169"/>
      <c r="AZ538" s="1169"/>
      <c r="BA538" s="1803" t="s">
        <v>4</v>
      </c>
      <c r="BB538" s="1802">
        <v>2015</v>
      </c>
      <c r="BC538" s="1799" t="s">
        <v>18</v>
      </c>
      <c r="BD538" s="1799">
        <v>7</v>
      </c>
      <c r="BE538" s="1800">
        <v>313327772.19999999</v>
      </c>
      <c r="BF538" s="1801">
        <v>1.9057499544079693E-2</v>
      </c>
      <c r="BG538" s="1799"/>
      <c r="BH538" s="1805" t="s">
        <v>1</v>
      </c>
      <c r="BI538" s="1805" t="s">
        <v>315</v>
      </c>
      <c r="BJ538" s="1805" t="s">
        <v>15</v>
      </c>
      <c r="BK538" s="1805">
        <v>5</v>
      </c>
      <c r="BL538" s="1806">
        <v>632410000</v>
      </c>
      <c r="BM538" s="1801">
        <v>4.7202191090466077E-2</v>
      </c>
      <c r="BN538" s="1799">
        <v>2010</v>
      </c>
      <c r="BO538" s="1684"/>
      <c r="BP538" s="1696"/>
      <c r="BQ538" s="1169"/>
      <c r="BR538" s="1169"/>
      <c r="BS538" s="1169"/>
      <c r="BT538" s="1169"/>
      <c r="BU538" s="1169"/>
      <c r="BV538" s="1169"/>
      <c r="BW538" s="1169"/>
      <c r="BX538" s="1169"/>
      <c r="BY538" s="1169"/>
      <c r="BZ538" s="1169"/>
      <c r="CA538" s="1169"/>
      <c r="CB538" s="1169"/>
      <c r="CC538" s="1169"/>
      <c r="CD538" s="1169"/>
      <c r="CE538" s="1169"/>
      <c r="CF538" s="1169"/>
      <c r="CG538" s="1169"/>
      <c r="CH538" s="1169"/>
      <c r="CI538" s="1169"/>
      <c r="CJ538" s="1169"/>
      <c r="CK538" s="1169"/>
      <c r="CL538" s="1169"/>
      <c r="CM538" s="1169"/>
      <c r="CN538" s="1169"/>
      <c r="CO538" s="1169"/>
      <c r="CP538" s="1169"/>
      <c r="CQ538" s="1169"/>
      <c r="CR538" s="1169"/>
      <c r="CS538" s="1169"/>
      <c r="CT538" s="1169"/>
      <c r="CU538" s="1169"/>
      <c r="CV538" s="1169"/>
      <c r="CW538" s="1169"/>
      <c r="CX538" s="1169"/>
      <c r="CY538" s="1169"/>
      <c r="CZ538" s="1169"/>
      <c r="DA538" s="1168"/>
      <c r="DB538" s="1168"/>
      <c r="DC538" s="1168"/>
      <c r="DD538" s="1168"/>
      <c r="DE538" s="1168"/>
      <c r="DF538" s="1168"/>
      <c r="DG538" s="1168"/>
      <c r="DH538" s="1168"/>
      <c r="DI538" s="1168"/>
      <c r="DJ538" s="1168"/>
      <c r="DK538" s="1168"/>
      <c r="DL538" s="1168"/>
      <c r="DM538" s="1168"/>
      <c r="DN538" s="1168"/>
      <c r="DO538" s="1168"/>
      <c r="DP538" s="1168"/>
      <c r="DQ538" s="1168"/>
      <c r="DR538" s="1168"/>
      <c r="DS538" s="1168"/>
      <c r="DT538" s="1168"/>
      <c r="DU538" s="1168"/>
      <c r="DV538" s="1168"/>
      <c r="DW538" s="1168"/>
      <c r="DX538" s="1168"/>
      <c r="DY538" s="1168"/>
      <c r="DZ538" s="1168"/>
      <c r="EA538" s="1168"/>
      <c r="EB538" s="1168"/>
      <c r="EC538" s="1168"/>
      <c r="ED538" s="1168"/>
      <c r="EE538" s="1168"/>
      <c r="EF538" s="1168"/>
      <c r="EG538" s="1168"/>
      <c r="EH538" s="1168"/>
      <c r="EI538" s="1170"/>
      <c r="EJ538" s="1170"/>
      <c r="EK538" s="1170"/>
      <c r="EL538" s="1170"/>
      <c r="EM538" s="1170"/>
      <c r="EN538" s="1170"/>
      <c r="EO538" s="1170"/>
      <c r="EP538" s="1170"/>
      <c r="EQ538" s="1170"/>
      <c r="ER538" s="1170"/>
      <c r="ES538" s="1171"/>
      <c r="ET538" s="1171"/>
      <c r="EU538" s="1171"/>
      <c r="EV538" s="1171"/>
      <c r="EW538" s="1171"/>
      <c r="EX538" s="1171"/>
      <c r="EY538" s="1171"/>
      <c r="EZ538" s="1171"/>
      <c r="FA538" s="1171"/>
      <c r="FB538" s="1171"/>
      <c r="FC538" s="1171"/>
      <c r="FD538" s="1171"/>
      <c r="FE538" s="1171"/>
      <c r="FF538" s="1171"/>
      <c r="FG538" s="1171"/>
      <c r="FH538" s="1171"/>
      <c r="FI538" s="1171"/>
      <c r="FJ538" s="1171"/>
      <c r="FK538" s="1171"/>
      <c r="FL538" s="1171"/>
      <c r="FM538" s="1171"/>
      <c r="FN538" s="1171"/>
      <c r="FO538" s="1171"/>
      <c r="FP538" s="1171"/>
    </row>
    <row r="539" spans="1:172" s="607" customFormat="1">
      <c r="A539" s="607">
        <f t="shared" si="17"/>
        <v>2015</v>
      </c>
      <c r="B539" s="607">
        <f t="shared" si="18"/>
        <v>1</v>
      </c>
      <c r="C539" s="666">
        <v>42064</v>
      </c>
      <c r="D539" s="1709">
        <v>0.77311363636363639</v>
      </c>
      <c r="E539" s="1117">
        <v>301.55613141997378</v>
      </c>
      <c r="F539" s="1117">
        <v>390.05408420727417</v>
      </c>
      <c r="G539" s="1117">
        <v>37.245395736111746</v>
      </c>
      <c r="H539" s="1117">
        <v>48.175835975803764</v>
      </c>
      <c r="I539" s="959">
        <v>1178.6300000000001</v>
      </c>
      <c r="J539" s="959">
        <v>1536.21</v>
      </c>
      <c r="K539" s="960">
        <v>56.38</v>
      </c>
      <c r="L539" s="1121">
        <v>72.925889996178384</v>
      </c>
      <c r="M539" s="916">
        <v>13745.6818</v>
      </c>
      <c r="N539" s="916">
        <v>17779.639568451068</v>
      </c>
      <c r="O539" s="1174">
        <v>5925.8409000000001</v>
      </c>
      <c r="P539" s="1174">
        <v>7664.9028309374726</v>
      </c>
      <c r="Q539" s="1174">
        <v>1784.9773</v>
      </c>
      <c r="R539" s="1174">
        <v>2308.8162154217007</v>
      </c>
      <c r="S539" s="1174">
        <v>2029.0454999999999</v>
      </c>
      <c r="T539" s="1174">
        <v>2624.5113325690095</v>
      </c>
      <c r="U539" s="1120">
        <v>1084.3715919879057</v>
      </c>
      <c r="V539" s="1120">
        <v>1402.6031116050167</v>
      </c>
      <c r="W539" s="1120">
        <v>2376.4399901868305</v>
      </c>
      <c r="X539" s="1120">
        <v>3073.856000476836</v>
      </c>
      <c r="Y539" s="1119"/>
      <c r="Z539" s="1119"/>
      <c r="AA539" s="1119"/>
      <c r="AB539" s="1119"/>
      <c r="AC539" s="1178">
        <v>16.222000000000001</v>
      </c>
      <c r="AD539" s="1178">
        <v>21.44</v>
      </c>
      <c r="AE539" s="1178">
        <v>27684.090899999999</v>
      </c>
      <c r="AF539" s="1178">
        <v>35808.566293323922</v>
      </c>
      <c r="AG539" s="1178">
        <v>1138.636</v>
      </c>
      <c r="AH539" s="1178">
        <v>1472.7925449040185</v>
      </c>
      <c r="AI539" s="1178">
        <v>786.31799999999998</v>
      </c>
      <c r="AJ539" s="1178">
        <v>1017.079460269865</v>
      </c>
      <c r="AK539" s="919">
        <v>55.79</v>
      </c>
      <c r="AL539" s="919">
        <v>72.162742158332591</v>
      </c>
      <c r="AM539" s="919">
        <v>58.28</v>
      </c>
      <c r="AN539" s="919">
        <v>75.383484728224118</v>
      </c>
      <c r="AO539" s="919"/>
      <c r="AP539" s="919"/>
      <c r="AS539" s="1167"/>
      <c r="AT539" s="1167"/>
      <c r="AU539" s="1168"/>
      <c r="AV539" s="1168"/>
      <c r="AW539" s="1169"/>
      <c r="AX539" s="1169"/>
      <c r="AY539" s="1169"/>
      <c r="AZ539" s="1169"/>
      <c r="BA539" s="1803" t="s">
        <v>4</v>
      </c>
      <c r="BB539" s="1802">
        <v>2015</v>
      </c>
      <c r="BC539" s="1799" t="s">
        <v>431</v>
      </c>
      <c r="BD539" s="1799">
        <v>8</v>
      </c>
      <c r="BE539" s="1800">
        <v>217503493.50999999</v>
      </c>
      <c r="BF539" s="1801">
        <v>1.3229190311788663E-2</v>
      </c>
      <c r="BG539" s="1799"/>
      <c r="BH539" s="1805" t="s">
        <v>1</v>
      </c>
      <c r="BI539" s="1805" t="s">
        <v>315</v>
      </c>
      <c r="BJ539" s="1805" t="s">
        <v>592</v>
      </c>
      <c r="BK539" s="1805">
        <v>6</v>
      </c>
      <c r="BL539" s="1806">
        <v>629150000</v>
      </c>
      <c r="BM539" s="1801">
        <v>4.6958869285063064E-2</v>
      </c>
      <c r="BN539" s="1799">
        <v>2010</v>
      </c>
      <c r="BO539" s="1684"/>
      <c r="BP539" s="1696"/>
      <c r="BQ539" s="1169"/>
      <c r="BR539" s="1169"/>
      <c r="BS539" s="1169"/>
      <c r="BT539" s="1169"/>
      <c r="BU539" s="1169"/>
      <c r="BV539" s="1169"/>
      <c r="BW539" s="1169"/>
      <c r="BX539" s="1169"/>
      <c r="BY539" s="1169"/>
      <c r="BZ539" s="1169"/>
      <c r="CA539" s="1169"/>
      <c r="CB539" s="1169"/>
      <c r="CC539" s="1169"/>
      <c r="CD539" s="1169"/>
      <c r="CE539" s="1169"/>
      <c r="CF539" s="1169"/>
      <c r="CG539" s="1169"/>
      <c r="CH539" s="1169"/>
      <c r="CI539" s="1169"/>
      <c r="CJ539" s="1169"/>
      <c r="CK539" s="1169"/>
      <c r="CL539" s="1169"/>
      <c r="CM539" s="1169"/>
      <c r="CN539" s="1169"/>
      <c r="CO539" s="1169"/>
      <c r="CP539" s="1169"/>
      <c r="CQ539" s="1169"/>
      <c r="CR539" s="1169"/>
      <c r="CS539" s="1169"/>
      <c r="CT539" s="1169"/>
      <c r="CU539" s="1169"/>
      <c r="CV539" s="1169"/>
      <c r="CW539" s="1169"/>
      <c r="CX539" s="1169"/>
      <c r="CY539" s="1169"/>
      <c r="CZ539" s="1169"/>
      <c r="DA539" s="1168"/>
      <c r="DB539" s="1168"/>
      <c r="DC539" s="1168"/>
      <c r="DD539" s="1168"/>
      <c r="DE539" s="1168"/>
      <c r="DF539" s="1168"/>
      <c r="DG539" s="1168"/>
      <c r="DH539" s="1168"/>
      <c r="DI539" s="1168"/>
      <c r="DJ539" s="1168"/>
      <c r="DK539" s="1168"/>
      <c r="DL539" s="1168"/>
      <c r="DM539" s="1168"/>
      <c r="DN539" s="1168"/>
      <c r="DO539" s="1168"/>
      <c r="DP539" s="1168"/>
      <c r="DQ539" s="1168"/>
      <c r="DR539" s="1168"/>
      <c r="DS539" s="1168"/>
      <c r="DT539" s="1168"/>
      <c r="DU539" s="1168"/>
      <c r="DV539" s="1168"/>
      <c r="DW539" s="1168"/>
      <c r="DX539" s="1168"/>
      <c r="DY539" s="1168"/>
      <c r="DZ539" s="1168"/>
      <c r="EA539" s="1168"/>
      <c r="EB539" s="1168"/>
      <c r="EC539" s="1168"/>
      <c r="ED539" s="1168"/>
      <c r="EE539" s="1168"/>
      <c r="EF539" s="1168"/>
      <c r="EG539" s="1168"/>
      <c r="EH539" s="1168"/>
      <c r="EI539" s="1170"/>
      <c r="EJ539" s="1170"/>
      <c r="EK539" s="1170"/>
      <c r="EL539" s="1170"/>
      <c r="EM539" s="1170"/>
      <c r="EN539" s="1170"/>
      <c r="EO539" s="1170"/>
      <c r="EP539" s="1170"/>
      <c r="EQ539" s="1170"/>
      <c r="ER539" s="1170"/>
      <c r="ES539" s="1171"/>
      <c r="ET539" s="1171"/>
      <c r="EU539" s="1171"/>
      <c r="EV539" s="1171"/>
      <c r="EW539" s="1171"/>
      <c r="EX539" s="1171"/>
      <c r="EY539" s="1171"/>
      <c r="EZ539" s="1171"/>
      <c r="FA539" s="1171"/>
      <c r="FB539" s="1171"/>
      <c r="FC539" s="1171"/>
      <c r="FD539" s="1171"/>
      <c r="FE539" s="1171"/>
      <c r="FF539" s="1171"/>
      <c r="FG539" s="1171"/>
      <c r="FH539" s="1171"/>
      <c r="FI539" s="1171"/>
      <c r="FJ539" s="1171"/>
      <c r="FK539" s="1171"/>
      <c r="FL539" s="1171"/>
      <c r="FM539" s="1171"/>
      <c r="FN539" s="1171"/>
      <c r="FO539" s="1171"/>
      <c r="FP539" s="1171"/>
    </row>
    <row r="540" spans="1:172" s="607" customFormat="1">
      <c r="A540" s="607">
        <f t="shared" si="17"/>
        <v>2015</v>
      </c>
      <c r="B540" s="607">
        <f t="shared" si="18"/>
        <v>2</v>
      </c>
      <c r="C540" s="666">
        <v>42095</v>
      </c>
      <c r="D540" s="957">
        <v>0.77392000000000016</v>
      </c>
      <c r="E540" s="920">
        <v>304.12455234859618</v>
      </c>
      <c r="F540" s="920">
        <v>392.96639490980482</v>
      </c>
      <c r="G540" s="920">
        <v>40.762774469698869</v>
      </c>
      <c r="H540" s="920">
        <v>52.670527276332002</v>
      </c>
      <c r="I540" s="954">
        <v>1197.9100000000001</v>
      </c>
      <c r="J540" s="954">
        <v>1565.5</v>
      </c>
      <c r="K540" s="954">
        <v>48.78</v>
      </c>
      <c r="L540" s="920">
        <v>63.029770518916671</v>
      </c>
      <c r="M540" s="917">
        <v>12782.75</v>
      </c>
      <c r="N540" s="917">
        <v>16516.888050444486</v>
      </c>
      <c r="O540" s="1175">
        <v>6028.4750000000004</v>
      </c>
      <c r="P540" s="1175">
        <v>7789.5325098201356</v>
      </c>
      <c r="Q540" s="1175">
        <v>1999.8</v>
      </c>
      <c r="R540" s="1175">
        <v>2583.9880090965466</v>
      </c>
      <c r="S540" s="1175">
        <v>2206.9</v>
      </c>
      <c r="T540" s="1175">
        <v>2851.5867273103158</v>
      </c>
      <c r="U540" s="920">
        <v>1032.7084613274983</v>
      </c>
      <c r="V540" s="920">
        <v>1334.3865791393143</v>
      </c>
      <c r="W540" s="920">
        <v>2313.6837147068836</v>
      </c>
      <c r="X540" s="920">
        <v>2989.564444266698</v>
      </c>
      <c r="Y540" s="920"/>
      <c r="Z540" s="920"/>
      <c r="AA540" s="920"/>
      <c r="AB540" s="920"/>
      <c r="AC540" s="920">
        <v>16.318999999999999</v>
      </c>
      <c r="AD540" s="920">
        <v>21.65</v>
      </c>
      <c r="AE540" s="920">
        <v>28790</v>
      </c>
      <c r="AF540" s="920">
        <v>37200.22741368616</v>
      </c>
      <c r="AG540" s="920">
        <v>1150.0999999999999</v>
      </c>
      <c r="AH540" s="920">
        <v>1486.0709117221413</v>
      </c>
      <c r="AI540" s="920">
        <v>768.8</v>
      </c>
      <c r="AJ540" s="920">
        <v>993.38432912962548</v>
      </c>
      <c r="AK540" s="920">
        <v>59.39</v>
      </c>
      <c r="AL540" s="920">
        <v>76.739197849906958</v>
      </c>
      <c r="AM540" s="920">
        <v>61.74</v>
      </c>
      <c r="AN540" s="920">
        <v>79.775687409551367</v>
      </c>
      <c r="AO540" s="920"/>
      <c r="AP540" s="920"/>
      <c r="AS540" s="1167"/>
      <c r="AT540" s="1167"/>
      <c r="AU540" s="1168"/>
      <c r="AV540" s="1168"/>
      <c r="AW540" s="1169"/>
      <c r="AX540" s="1169"/>
      <c r="AY540" s="1169"/>
      <c r="AZ540" s="1169"/>
      <c r="BA540" s="1803" t="s">
        <v>4</v>
      </c>
      <c r="BB540" s="1802">
        <v>2015</v>
      </c>
      <c r="BC540" s="1799" t="s">
        <v>19</v>
      </c>
      <c r="BD540" s="1799">
        <v>9</v>
      </c>
      <c r="BE540" s="1800">
        <v>144891564.75</v>
      </c>
      <c r="BF540" s="1801">
        <v>8.8127232060411596E-3</v>
      </c>
      <c r="BG540" s="1799"/>
      <c r="BH540" s="1805" t="s">
        <v>1</v>
      </c>
      <c r="BI540" s="1805" t="s">
        <v>315</v>
      </c>
      <c r="BJ540" s="1805" t="s">
        <v>581</v>
      </c>
      <c r="BK540" s="1805">
        <v>7</v>
      </c>
      <c r="BL540" s="1806">
        <v>461246000</v>
      </c>
      <c r="BM540" s="1801">
        <v>3.4426751366539297E-2</v>
      </c>
      <c r="BN540" s="1799">
        <v>2010</v>
      </c>
      <c r="BO540" s="1684"/>
      <c r="BP540" s="1696"/>
      <c r="BQ540" s="1169"/>
      <c r="BR540" s="1169"/>
      <c r="BS540" s="1169"/>
      <c r="BT540" s="1169"/>
      <c r="BU540" s="1169"/>
      <c r="BV540" s="1169"/>
      <c r="BW540" s="1169"/>
      <c r="BX540" s="1169"/>
      <c r="BY540" s="1169"/>
      <c r="BZ540" s="1169"/>
      <c r="CA540" s="1169"/>
      <c r="CB540" s="1169"/>
      <c r="CC540" s="1169"/>
      <c r="CD540" s="1169"/>
      <c r="CE540" s="1169"/>
      <c r="CF540" s="1169"/>
      <c r="CG540" s="1169"/>
      <c r="CH540" s="1169"/>
      <c r="CI540" s="1169"/>
      <c r="CJ540" s="1169"/>
      <c r="CK540" s="1169"/>
      <c r="CL540" s="1169"/>
      <c r="CM540" s="1169"/>
      <c r="CN540" s="1169"/>
      <c r="CO540" s="1169"/>
      <c r="CP540" s="1169"/>
      <c r="CQ540" s="1169"/>
      <c r="CR540" s="1169"/>
      <c r="CS540" s="1169"/>
      <c r="CT540" s="1169"/>
      <c r="CU540" s="1169"/>
      <c r="CV540" s="1169"/>
      <c r="CW540" s="1169"/>
      <c r="CX540" s="1169"/>
      <c r="CY540" s="1169"/>
      <c r="CZ540" s="1169"/>
      <c r="DA540" s="1168"/>
      <c r="DB540" s="1168"/>
      <c r="DC540" s="1168"/>
      <c r="DD540" s="1168"/>
      <c r="DE540" s="1168"/>
      <c r="DF540" s="1168"/>
      <c r="DG540" s="1168"/>
      <c r="DH540" s="1168"/>
      <c r="DI540" s="1168"/>
      <c r="DJ540" s="1168"/>
      <c r="DK540" s="1168"/>
      <c r="DL540" s="1168"/>
      <c r="DM540" s="1168"/>
      <c r="DN540" s="1168"/>
      <c r="DO540" s="1168"/>
      <c r="DP540" s="1168"/>
      <c r="DQ540" s="1168"/>
      <c r="DR540" s="1168"/>
      <c r="DS540" s="1168"/>
      <c r="DT540" s="1168"/>
      <c r="DU540" s="1168"/>
      <c r="DV540" s="1168"/>
      <c r="DW540" s="1168"/>
      <c r="DX540" s="1168"/>
      <c r="DY540" s="1168"/>
      <c r="DZ540" s="1168"/>
      <c r="EA540" s="1168"/>
      <c r="EB540" s="1168"/>
      <c r="EC540" s="1168"/>
      <c r="ED540" s="1168"/>
      <c r="EE540" s="1168"/>
      <c r="EF540" s="1168"/>
      <c r="EG540" s="1168"/>
      <c r="EH540" s="1168"/>
      <c r="EI540" s="1170"/>
      <c r="EJ540" s="1170"/>
      <c r="EK540" s="1170"/>
      <c r="EL540" s="1170"/>
      <c r="EM540" s="1170"/>
      <c r="EN540" s="1170"/>
      <c r="EO540" s="1170"/>
      <c r="EP540" s="1170"/>
      <c r="EQ540" s="1170"/>
      <c r="ER540" s="1170"/>
      <c r="ES540" s="1171"/>
      <c r="ET540" s="1171"/>
      <c r="EU540" s="1171"/>
      <c r="EV540" s="1171"/>
      <c r="EW540" s="1171"/>
      <c r="EX540" s="1171"/>
      <c r="EY540" s="1171"/>
      <c r="EZ540" s="1171"/>
      <c r="FA540" s="1171"/>
      <c r="FB540" s="1171"/>
      <c r="FC540" s="1171"/>
      <c r="FD540" s="1171"/>
      <c r="FE540" s="1171"/>
      <c r="FF540" s="1171"/>
      <c r="FG540" s="1171"/>
      <c r="FH540" s="1171"/>
      <c r="FI540" s="1171"/>
      <c r="FJ540" s="1171"/>
      <c r="FK540" s="1171"/>
      <c r="FL540" s="1171"/>
      <c r="FM540" s="1171"/>
      <c r="FN540" s="1171"/>
      <c r="FO540" s="1171"/>
      <c r="FP540" s="1171"/>
    </row>
    <row r="541" spans="1:172" s="607" customFormat="1">
      <c r="A541" s="607">
        <f t="shared" si="17"/>
        <v>2015</v>
      </c>
      <c r="B541" s="607">
        <f t="shared" si="18"/>
        <v>2</v>
      </c>
      <c r="C541" s="666">
        <v>42125</v>
      </c>
      <c r="D541" s="1709">
        <v>0.79063000000000005</v>
      </c>
      <c r="E541" s="1117">
        <v>307.80295065289096</v>
      </c>
      <c r="F541" s="1117">
        <v>389.31352295370897</v>
      </c>
      <c r="G541" s="1117">
        <v>37.902897801630303</v>
      </c>
      <c r="H541" s="1117">
        <v>47.940120918293388</v>
      </c>
      <c r="I541" s="959">
        <v>1199.0530000000001</v>
      </c>
      <c r="J541" s="959">
        <v>1529.37</v>
      </c>
      <c r="K541" s="960">
        <v>58.41</v>
      </c>
      <c r="L541" s="1121">
        <v>73.877793658221918</v>
      </c>
      <c r="M541" s="916">
        <v>13508.947399999999</v>
      </c>
      <c r="N541" s="916">
        <v>17086.307628094048</v>
      </c>
      <c r="O541" s="1174">
        <v>6300.6053000000002</v>
      </c>
      <c r="P541" s="1174">
        <v>7969.0946460417636</v>
      </c>
      <c r="Q541" s="1174">
        <v>2003.8421000000001</v>
      </c>
      <c r="R541" s="1174">
        <v>2534.4878135158037</v>
      </c>
      <c r="S541" s="1174">
        <v>2289.6316000000002</v>
      </c>
      <c r="T541" s="1174">
        <v>2895.9584129112227</v>
      </c>
      <c r="U541" s="1120">
        <v>1041.9183916957106</v>
      </c>
      <c r="V541" s="1120">
        <v>1317.8331099195711</v>
      </c>
      <c r="W541" s="1120">
        <v>2328.7791429752961</v>
      </c>
      <c r="X541" s="1120">
        <v>2945.4727786389285</v>
      </c>
      <c r="Y541" s="1119"/>
      <c r="Z541" s="1119"/>
      <c r="AA541" s="1119"/>
      <c r="AB541" s="1119"/>
      <c r="AC541" s="1178">
        <v>16.800999999999998</v>
      </c>
      <c r="AD541" s="1178">
        <v>21.74</v>
      </c>
      <c r="AE541" s="1178">
        <v>30260.526300000001</v>
      </c>
      <c r="AF541" s="1178">
        <v>38273.94141380924</v>
      </c>
      <c r="AG541" s="1178">
        <v>1140.316</v>
      </c>
      <c r="AH541" s="1178">
        <v>1442.2877958084059</v>
      </c>
      <c r="AI541" s="1178">
        <v>784.36800000000005</v>
      </c>
      <c r="AJ541" s="1178">
        <v>992.07973388310586</v>
      </c>
      <c r="AK541" s="919">
        <v>64.56</v>
      </c>
      <c r="AL541" s="919">
        <v>81.656400591933007</v>
      </c>
      <c r="AM541" s="919">
        <v>67.25</v>
      </c>
      <c r="AN541" s="919">
        <v>85.058750616596882</v>
      </c>
      <c r="AO541" s="919"/>
      <c r="AP541" s="919"/>
      <c r="AS541" s="1167"/>
      <c r="AT541" s="1167"/>
      <c r="AU541" s="1168"/>
      <c r="AV541" s="1168"/>
      <c r="AW541" s="1169"/>
      <c r="AX541" s="1169"/>
      <c r="AY541" s="1169"/>
      <c r="AZ541" s="1169"/>
      <c r="BA541" s="1803" t="s">
        <v>4</v>
      </c>
      <c r="BB541" s="1802">
        <v>2015</v>
      </c>
      <c r="BC541" s="1799" t="s">
        <v>583</v>
      </c>
      <c r="BD541" s="1799">
        <v>10</v>
      </c>
      <c r="BE541" s="1800">
        <v>135237903.69</v>
      </c>
      <c r="BF541" s="1801">
        <v>8.225559674516679E-3</v>
      </c>
      <c r="BG541" s="1799"/>
      <c r="BH541" s="1805" t="s">
        <v>1</v>
      </c>
      <c r="BI541" s="1805" t="s">
        <v>315</v>
      </c>
      <c r="BJ541" s="1805" t="s">
        <v>431</v>
      </c>
      <c r="BK541" s="1805">
        <v>8</v>
      </c>
      <c r="BL541" s="1806">
        <v>165032000</v>
      </c>
      <c r="BM541" s="1801">
        <v>1.231775588627915E-2</v>
      </c>
      <c r="BN541" s="1799">
        <v>2010</v>
      </c>
      <c r="BO541" s="1684"/>
      <c r="BP541" s="1696"/>
      <c r="BQ541" s="1169"/>
      <c r="BR541" s="1169"/>
      <c r="BS541" s="1169"/>
      <c r="BT541" s="1169"/>
      <c r="BU541" s="1169"/>
      <c r="BV541" s="1169"/>
      <c r="BW541" s="1169"/>
      <c r="BX541" s="1169"/>
      <c r="BY541" s="1169"/>
      <c r="BZ541" s="1169"/>
      <c r="CA541" s="1169"/>
      <c r="CB541" s="1169"/>
      <c r="CC541" s="1169"/>
      <c r="CD541" s="1169"/>
      <c r="CE541" s="1169"/>
      <c r="CF541" s="1169"/>
      <c r="CG541" s="1169"/>
      <c r="CH541" s="1169"/>
      <c r="CI541" s="1169"/>
      <c r="CJ541" s="1169"/>
      <c r="CK541" s="1169"/>
      <c r="CL541" s="1169"/>
      <c r="CM541" s="1169"/>
      <c r="CN541" s="1169"/>
      <c r="CO541" s="1169"/>
      <c r="CP541" s="1169"/>
      <c r="CQ541" s="1169"/>
      <c r="CR541" s="1169"/>
      <c r="CS541" s="1169"/>
      <c r="CT541" s="1169"/>
      <c r="CU541" s="1169"/>
      <c r="CV541" s="1169"/>
      <c r="CW541" s="1169"/>
      <c r="CX541" s="1169"/>
      <c r="CY541" s="1169"/>
      <c r="CZ541" s="1169"/>
      <c r="DA541" s="1168"/>
      <c r="DB541" s="1168"/>
      <c r="DC541" s="1168"/>
      <c r="DD541" s="1168"/>
      <c r="DE541" s="1168"/>
      <c r="DF541" s="1168"/>
      <c r="DG541" s="1168"/>
      <c r="DH541" s="1168"/>
      <c r="DI541" s="1168"/>
      <c r="DJ541" s="1168"/>
      <c r="DK541" s="1168"/>
      <c r="DL541" s="1168"/>
      <c r="DM541" s="1168"/>
      <c r="DN541" s="1168"/>
      <c r="DO541" s="1168"/>
      <c r="DP541" s="1168"/>
      <c r="DQ541" s="1168"/>
      <c r="DR541" s="1168"/>
      <c r="DS541" s="1168"/>
      <c r="DT541" s="1168"/>
      <c r="DU541" s="1168"/>
      <c r="DV541" s="1168"/>
      <c r="DW541" s="1168"/>
      <c r="DX541" s="1168"/>
      <c r="DY541" s="1168"/>
      <c r="DZ541" s="1168"/>
      <c r="EA541" s="1168"/>
      <c r="EB541" s="1168"/>
      <c r="EC541" s="1168"/>
      <c r="ED541" s="1168"/>
      <c r="EE541" s="1168"/>
      <c r="EF541" s="1168"/>
      <c r="EG541" s="1168"/>
      <c r="EH541" s="1168"/>
      <c r="EI541" s="1170"/>
      <c r="EJ541" s="1170"/>
      <c r="EK541" s="1170"/>
      <c r="EL541" s="1170"/>
      <c r="EM541" s="1170"/>
      <c r="EN541" s="1170"/>
      <c r="EO541" s="1170"/>
      <c r="EP541" s="1170"/>
      <c r="EQ541" s="1170"/>
      <c r="ER541" s="1170"/>
      <c r="ES541" s="1171"/>
      <c r="ET541" s="1171"/>
      <c r="EU541" s="1171"/>
      <c r="EV541" s="1171"/>
      <c r="EW541" s="1171"/>
      <c r="EX541" s="1171"/>
      <c r="EY541" s="1171"/>
      <c r="EZ541" s="1171"/>
      <c r="FA541" s="1171"/>
      <c r="FB541" s="1171"/>
      <c r="FC541" s="1171"/>
      <c r="FD541" s="1171"/>
      <c r="FE541" s="1171"/>
      <c r="FF541" s="1171"/>
      <c r="FG541" s="1171"/>
      <c r="FH541" s="1171"/>
      <c r="FI541" s="1171"/>
      <c r="FJ541" s="1171"/>
      <c r="FK541" s="1171"/>
      <c r="FL541" s="1171"/>
      <c r="FM541" s="1171"/>
      <c r="FN541" s="1171"/>
      <c r="FO541" s="1171"/>
      <c r="FP541" s="1171"/>
    </row>
    <row r="542" spans="1:172" s="607" customFormat="1">
      <c r="A542" s="607">
        <f t="shared" si="17"/>
        <v>2015</v>
      </c>
      <c r="B542" s="607">
        <f t="shared" si="18"/>
        <v>2</v>
      </c>
      <c r="C542" s="666">
        <v>42156</v>
      </c>
      <c r="D542" s="957">
        <v>0.77233333333333354</v>
      </c>
      <c r="E542" s="920">
        <v>304.0850714359002</v>
      </c>
      <c r="F542" s="920">
        <v>393.72257846685386</v>
      </c>
      <c r="G542" s="1336">
        <v>38.255921668689872</v>
      </c>
      <c r="H542" s="1336">
        <v>49.532915410474573</v>
      </c>
      <c r="I542" s="954">
        <v>1181.5050000000001</v>
      </c>
      <c r="J542" s="954">
        <v>1544.61</v>
      </c>
      <c r="K542" s="954">
        <v>61.3</v>
      </c>
      <c r="L542" s="920">
        <v>79.369874838152754</v>
      </c>
      <c r="M542" s="917">
        <v>12779.7727</v>
      </c>
      <c r="N542" s="917">
        <v>16546.965084160547</v>
      </c>
      <c r="O542" s="1175">
        <v>5833.6135999999997</v>
      </c>
      <c r="P542" s="1175">
        <v>7553.2329736728507</v>
      </c>
      <c r="Q542" s="1175">
        <v>1836.3408999999999</v>
      </c>
      <c r="R542" s="1175">
        <v>2377.6533016832104</v>
      </c>
      <c r="S542" s="1175">
        <v>2087.4544999999998</v>
      </c>
      <c r="T542" s="1175">
        <v>2702.7895986189028</v>
      </c>
      <c r="U542" s="920">
        <v>1051.958780654018</v>
      </c>
      <c r="V542" s="920">
        <v>1362.0528018826299</v>
      </c>
      <c r="W542" s="920">
        <v>2229.2491085111101</v>
      </c>
      <c r="X542" s="920">
        <v>2886.3820999280656</v>
      </c>
      <c r="Y542" s="920"/>
      <c r="Z542" s="920"/>
      <c r="AA542" s="920"/>
      <c r="AB542" s="920"/>
      <c r="AC542" s="920">
        <v>16.096</v>
      </c>
      <c r="AD542" s="920">
        <v>21.32</v>
      </c>
      <c r="AE542" s="920">
        <v>30661.590899999999</v>
      </c>
      <c r="AF542" s="920">
        <v>39699.945058264988</v>
      </c>
      <c r="AG542" s="920">
        <v>1088.7729999999999</v>
      </c>
      <c r="AH542" s="920">
        <v>1409.7190332326279</v>
      </c>
      <c r="AI542" s="920">
        <v>726.77300000000002</v>
      </c>
      <c r="AJ542" s="920">
        <v>941.00949503668517</v>
      </c>
      <c r="AK542" s="920">
        <v>62.34</v>
      </c>
      <c r="AL542" s="920">
        <v>80.716443677168741</v>
      </c>
      <c r="AM542" s="920">
        <v>64.989999999999995</v>
      </c>
      <c r="AN542" s="920">
        <v>84.147604661199793</v>
      </c>
      <c r="AO542" s="920"/>
      <c r="AP542" s="920"/>
      <c r="AS542" s="1167"/>
      <c r="AT542" s="1167"/>
      <c r="AU542" s="1168"/>
      <c r="AV542" s="1168"/>
      <c r="AW542" s="1169"/>
      <c r="AX542" s="1169"/>
      <c r="AY542" s="1169"/>
      <c r="AZ542" s="1169"/>
      <c r="BA542" s="1803" t="s">
        <v>4</v>
      </c>
      <c r="BB542" s="1802">
        <v>2015</v>
      </c>
      <c r="BC542" s="1799" t="s">
        <v>32</v>
      </c>
      <c r="BD542" s="1799"/>
      <c r="BE542" s="1800">
        <v>283230028.28999901</v>
      </c>
      <c r="BF542" s="1801">
        <v>1.7226867880581493E-2</v>
      </c>
      <c r="BG542" s="1799"/>
      <c r="BH542" s="1805" t="s">
        <v>1</v>
      </c>
      <c r="BI542" s="1805" t="s">
        <v>315</v>
      </c>
      <c r="BJ542" s="1805" t="s">
        <v>77</v>
      </c>
      <c r="BK542" s="1805">
        <v>9</v>
      </c>
      <c r="BL542" s="1806">
        <v>145995000</v>
      </c>
      <c r="BM542" s="1801">
        <v>1.0896861036752414E-2</v>
      </c>
      <c r="BN542" s="1799">
        <v>2010</v>
      </c>
      <c r="BO542" s="1684"/>
      <c r="BP542" s="1696"/>
      <c r="BQ542" s="1169"/>
      <c r="BR542" s="1169"/>
      <c r="BS542" s="1169"/>
      <c r="BT542" s="1169"/>
      <c r="BU542" s="1169"/>
      <c r="BV542" s="1169"/>
      <c r="BW542" s="1169"/>
      <c r="BX542" s="1169"/>
      <c r="BY542" s="1169"/>
      <c r="BZ542" s="1169"/>
      <c r="CA542" s="1169"/>
      <c r="CB542" s="1169"/>
      <c r="CC542" s="1169"/>
      <c r="CD542" s="1169"/>
      <c r="CE542" s="1169"/>
      <c r="CF542" s="1169"/>
      <c r="CG542" s="1169"/>
      <c r="CH542" s="1169"/>
      <c r="CI542" s="1169"/>
      <c r="CJ542" s="1169"/>
      <c r="CK542" s="1169"/>
      <c r="CL542" s="1169"/>
      <c r="CM542" s="1169"/>
      <c r="CN542" s="1169"/>
      <c r="CO542" s="1169"/>
      <c r="CP542" s="1169"/>
      <c r="CQ542" s="1169"/>
      <c r="CR542" s="1169"/>
      <c r="CS542" s="1169"/>
      <c r="CT542" s="1169"/>
      <c r="CU542" s="1169"/>
      <c r="CV542" s="1169"/>
      <c r="CW542" s="1169"/>
      <c r="CX542" s="1169"/>
      <c r="CY542" s="1169"/>
      <c r="CZ542" s="1169"/>
      <c r="DA542" s="1168"/>
      <c r="DB542" s="1168"/>
      <c r="DC542" s="1168"/>
      <c r="DD542" s="1168"/>
      <c r="DE542" s="1168"/>
      <c r="DF542" s="1168"/>
      <c r="DG542" s="1168"/>
      <c r="DH542" s="1168"/>
      <c r="DI542" s="1168"/>
      <c r="DJ542" s="1168"/>
      <c r="DK542" s="1168"/>
      <c r="DL542" s="1168"/>
      <c r="DM542" s="1168"/>
      <c r="DN542" s="1168"/>
      <c r="DO542" s="1168"/>
      <c r="DP542" s="1168"/>
      <c r="DQ542" s="1168"/>
      <c r="DR542" s="1168"/>
      <c r="DS542" s="1168"/>
      <c r="DT542" s="1168"/>
      <c r="DU542" s="1168"/>
      <c r="DV542" s="1168"/>
      <c r="DW542" s="1168"/>
      <c r="DX542" s="1168"/>
      <c r="DY542" s="1168"/>
      <c r="DZ542" s="1168"/>
      <c r="EA542" s="1168"/>
      <c r="EB542" s="1168"/>
      <c r="EC542" s="1168"/>
      <c r="ED542" s="1168"/>
      <c r="EE542" s="1168"/>
      <c r="EF542" s="1168"/>
      <c r="EG542" s="1168"/>
      <c r="EH542" s="1168"/>
      <c r="EI542" s="1170"/>
      <c r="EJ542" s="1170"/>
      <c r="EK542" s="1170"/>
      <c r="EL542" s="1170"/>
      <c r="EM542" s="1170"/>
      <c r="EN542" s="1170"/>
      <c r="EO542" s="1170"/>
      <c r="EP542" s="1170"/>
      <c r="EQ542" s="1170"/>
      <c r="ER542" s="1170"/>
      <c r="ES542" s="1171"/>
      <c r="ET542" s="1171"/>
      <c r="EU542" s="1171"/>
      <c r="EV542" s="1171"/>
      <c r="EW542" s="1171"/>
      <c r="EX542" s="1171"/>
      <c r="EY542" s="1171"/>
      <c r="EZ542" s="1171"/>
      <c r="FA542" s="1171"/>
      <c r="FB542" s="1171"/>
      <c r="FC542" s="1171"/>
      <c r="FD542" s="1171"/>
      <c r="FE542" s="1171"/>
      <c r="FF542" s="1171"/>
      <c r="FG542" s="1171"/>
      <c r="FH542" s="1171"/>
      <c r="FI542" s="1171"/>
      <c r="FJ542" s="1171"/>
      <c r="FK542" s="1171"/>
      <c r="FL542" s="1171"/>
      <c r="FM542" s="1171"/>
      <c r="FN542" s="1171"/>
      <c r="FO542" s="1171"/>
      <c r="FP542" s="1171"/>
    </row>
    <row r="543" spans="1:172" s="607" customFormat="1">
      <c r="A543" s="607">
        <f t="shared" si="17"/>
        <v>2015</v>
      </c>
      <c r="B543" s="607">
        <f t="shared" si="18"/>
        <v>3</v>
      </c>
      <c r="C543" s="666">
        <v>42186</v>
      </c>
      <c r="D543" s="1709">
        <v>0.74231304347826088</v>
      </c>
      <c r="E543" s="1117">
        <v>298.48905276853009</v>
      </c>
      <c r="F543" s="1117">
        <v>402.10670604668087</v>
      </c>
      <c r="G543" s="1337">
        <v>36.768929190700632</v>
      </c>
      <c r="H543" s="1337">
        <v>49.532915410474573</v>
      </c>
      <c r="I543" s="959">
        <v>1130.037</v>
      </c>
      <c r="J543" s="959">
        <v>1539.17</v>
      </c>
      <c r="K543" s="960">
        <v>51.08</v>
      </c>
      <c r="L543" s="1121">
        <v>68.811939179532828</v>
      </c>
      <c r="M543" s="916">
        <v>11385.8696</v>
      </c>
      <c r="N543" s="916">
        <v>15338.36660965724</v>
      </c>
      <c r="O543" s="1174">
        <v>5456.9129999999996</v>
      </c>
      <c r="P543" s="1174">
        <v>7351.22876789354</v>
      </c>
      <c r="Q543" s="1174">
        <v>1762.3478</v>
      </c>
      <c r="R543" s="1174">
        <v>2374.1301806339761</v>
      </c>
      <c r="S543" s="1174">
        <v>2002.0652</v>
      </c>
      <c r="T543" s="1174">
        <v>2697.063210177354</v>
      </c>
      <c r="U543" s="1120">
        <v>1028.9696873084056</v>
      </c>
      <c r="V543" s="1120">
        <v>1386.1667881881151</v>
      </c>
      <c r="W543" s="1120">
        <v>2125.8420832063598</v>
      </c>
      <c r="X543" s="1120">
        <v>2863.808068419879</v>
      </c>
      <c r="Y543" s="1119"/>
      <c r="Z543" s="1119"/>
      <c r="AA543" s="1119"/>
      <c r="AB543" s="1119"/>
      <c r="AC543" s="1178">
        <v>15.071999999999999</v>
      </c>
      <c r="AD543" s="1178">
        <v>20.85</v>
      </c>
      <c r="AE543" s="1178">
        <v>31506.739099999999</v>
      </c>
      <c r="AF543" s="1178">
        <v>42444.00576927582</v>
      </c>
      <c r="AG543" s="1178">
        <v>1012.4349999999999</v>
      </c>
      <c r="AH543" s="1178">
        <v>1363.8922404704449</v>
      </c>
      <c r="AI543" s="1178">
        <v>642.56500000000005</v>
      </c>
      <c r="AJ543" s="1178">
        <v>865.62536607080108</v>
      </c>
      <c r="AK543" s="919">
        <v>55.87</v>
      </c>
      <c r="AL543" s="919">
        <v>75.264742403298726</v>
      </c>
      <c r="AM543" s="919">
        <v>58.7</v>
      </c>
      <c r="AN543" s="919">
        <v>79.077150153456884</v>
      </c>
      <c r="AO543" s="919"/>
      <c r="AP543" s="919"/>
      <c r="AS543" s="1167"/>
      <c r="AT543" s="1167"/>
      <c r="AU543" s="1168"/>
      <c r="AV543" s="1168"/>
      <c r="AW543" s="1169"/>
      <c r="AX543" s="1169"/>
      <c r="AY543" s="1169"/>
      <c r="AZ543" s="1169"/>
      <c r="BA543" s="1803" t="s">
        <v>4</v>
      </c>
      <c r="BB543" s="1802">
        <v>2015</v>
      </c>
      <c r="BC543" s="1799" t="s">
        <v>249</v>
      </c>
      <c r="BD543" s="1799"/>
      <c r="BE543" s="1800">
        <v>16441179572.130009</v>
      </c>
      <c r="BF543" s="1801"/>
      <c r="BG543" s="1799"/>
      <c r="BH543" s="1805" t="s">
        <v>1</v>
      </c>
      <c r="BI543" s="1805" t="s">
        <v>315</v>
      </c>
      <c r="BJ543" s="1805" t="s">
        <v>46</v>
      </c>
      <c r="BK543" s="1805">
        <v>10</v>
      </c>
      <c r="BL543" s="1806">
        <v>46628000</v>
      </c>
      <c r="BM543" s="1801">
        <v>3.4802482031692293E-3</v>
      </c>
      <c r="BN543" s="1799">
        <v>2010</v>
      </c>
      <c r="BO543" s="1684"/>
      <c r="BP543" s="1696"/>
      <c r="BQ543" s="1169"/>
      <c r="BR543" s="1169"/>
      <c r="BS543" s="1169"/>
      <c r="BT543" s="1169"/>
      <c r="BU543" s="1169"/>
      <c r="BV543" s="1169"/>
      <c r="BW543" s="1169"/>
      <c r="BX543" s="1169"/>
      <c r="BY543" s="1169"/>
      <c r="BZ543" s="1169"/>
      <c r="CA543" s="1169"/>
      <c r="CB543" s="1169"/>
      <c r="CC543" s="1169"/>
      <c r="CD543" s="1169"/>
      <c r="CE543" s="1169"/>
      <c r="CF543" s="1169"/>
      <c r="CG543" s="1169"/>
      <c r="CH543" s="1169"/>
      <c r="CI543" s="1169"/>
      <c r="CJ543" s="1169"/>
      <c r="CK543" s="1169"/>
      <c r="CL543" s="1169"/>
      <c r="CM543" s="1169"/>
      <c r="CN543" s="1169"/>
      <c r="CO543" s="1169"/>
      <c r="CP543" s="1169"/>
      <c r="CQ543" s="1169"/>
      <c r="CR543" s="1169"/>
      <c r="CS543" s="1169"/>
      <c r="CT543" s="1169"/>
      <c r="CU543" s="1169"/>
      <c r="CV543" s="1169"/>
      <c r="CW543" s="1169"/>
      <c r="CX543" s="1169"/>
      <c r="CY543" s="1169"/>
      <c r="CZ543" s="1169"/>
      <c r="DA543" s="1168"/>
      <c r="DB543" s="1168"/>
      <c r="DC543" s="1168"/>
      <c r="DD543" s="1168"/>
      <c r="DE543" s="1168"/>
      <c r="DF543" s="1168"/>
      <c r="DG543" s="1168"/>
      <c r="DH543" s="1168"/>
      <c r="DI543" s="1168"/>
      <c r="DJ543" s="1168"/>
      <c r="DK543" s="1168"/>
      <c r="DL543" s="1168"/>
      <c r="DM543" s="1168"/>
      <c r="DN543" s="1168"/>
      <c r="DO543" s="1168"/>
      <c r="DP543" s="1168"/>
      <c r="DQ543" s="1168"/>
      <c r="DR543" s="1168"/>
      <c r="DS543" s="1168"/>
      <c r="DT543" s="1168"/>
      <c r="DU543" s="1168"/>
      <c r="DV543" s="1168"/>
      <c r="DW543" s="1168"/>
      <c r="DX543" s="1168"/>
      <c r="DY543" s="1168"/>
      <c r="DZ543" s="1168"/>
      <c r="EA543" s="1168"/>
      <c r="EB543" s="1168"/>
      <c r="EC543" s="1168"/>
      <c r="ED543" s="1168"/>
      <c r="EE543" s="1168"/>
      <c r="EF543" s="1168"/>
      <c r="EG543" s="1168"/>
      <c r="EH543" s="1168"/>
      <c r="EI543" s="1170"/>
      <c r="EJ543" s="1170"/>
      <c r="EK543" s="1170"/>
      <c r="EL543" s="1170"/>
      <c r="EM543" s="1170"/>
      <c r="EN543" s="1170"/>
      <c r="EO543" s="1170"/>
      <c r="EP543" s="1170"/>
      <c r="EQ543" s="1170"/>
      <c r="ER543" s="1170"/>
      <c r="ES543" s="1171"/>
      <c r="ET543" s="1171"/>
      <c r="EU543" s="1171"/>
      <c r="EV543" s="1171"/>
      <c r="EW543" s="1171"/>
      <c r="EX543" s="1171"/>
      <c r="EY543" s="1171"/>
      <c r="EZ543" s="1171"/>
      <c r="FA543" s="1171"/>
      <c r="FB543" s="1171"/>
      <c r="FC543" s="1171"/>
      <c r="FD543" s="1171"/>
      <c r="FE543" s="1171"/>
      <c r="FF543" s="1171"/>
      <c r="FG543" s="1171"/>
      <c r="FH543" s="1171"/>
      <c r="FI543" s="1171"/>
      <c r="FJ543" s="1171"/>
      <c r="FK543" s="1171"/>
      <c r="FL543" s="1171"/>
      <c r="FM543" s="1171"/>
      <c r="FN543" s="1171"/>
      <c r="FO543" s="1171"/>
      <c r="FP543" s="1171"/>
    </row>
    <row r="544" spans="1:172" s="607" customFormat="1">
      <c r="A544" s="607">
        <f t="shared" si="17"/>
        <v>2015</v>
      </c>
      <c r="B544" s="607">
        <f t="shared" si="18"/>
        <v>3</v>
      </c>
      <c r="C544" s="666">
        <v>42217</v>
      </c>
      <c r="D544" s="957">
        <v>0.72941999999999996</v>
      </c>
      <c r="E544" s="920">
        <v>284.6852805562101</v>
      </c>
      <c r="F544" s="920">
        <v>390.28992974721029</v>
      </c>
      <c r="G544" s="1336">
        <v>36.130299158708361</v>
      </c>
      <c r="H544" s="1336">
        <v>49.532915410474573</v>
      </c>
      <c r="I544" s="954">
        <v>1117.4749999999999</v>
      </c>
      <c r="J544" s="954">
        <v>1542.91</v>
      </c>
      <c r="K544" s="954">
        <v>54.36</v>
      </c>
      <c r="L544" s="920">
        <v>74.524965040717291</v>
      </c>
      <c r="M544" s="917">
        <v>10342.25</v>
      </c>
      <c r="N544" s="917">
        <v>14178.731046584959</v>
      </c>
      <c r="O544" s="1175">
        <v>5088.9250000000002</v>
      </c>
      <c r="P544" s="1175">
        <v>6976.6732472375315</v>
      </c>
      <c r="Q544" s="1175">
        <v>1692.9</v>
      </c>
      <c r="R544" s="1175">
        <v>2320.8850867812785</v>
      </c>
      <c r="S544" s="1175">
        <v>1809.925</v>
      </c>
      <c r="T544" s="1175">
        <v>2481.3207754106002</v>
      </c>
      <c r="U544" s="920">
        <v>1005.3694091346705</v>
      </c>
      <c r="V544" s="920">
        <v>1378.3134670487107</v>
      </c>
      <c r="W544" s="920">
        <v>2253.0108013832873</v>
      </c>
      <c r="X544" s="920">
        <v>3088.7702577161135</v>
      </c>
      <c r="Y544" s="920"/>
      <c r="Z544" s="920"/>
      <c r="AA544" s="920"/>
      <c r="AB544" s="920"/>
      <c r="AC544" s="920">
        <v>14.938000000000001</v>
      </c>
      <c r="AD544" s="920">
        <v>20.94</v>
      </c>
      <c r="AE544" s="920">
        <v>29487.75</v>
      </c>
      <c r="AF544" s="920">
        <v>40426.297606317348</v>
      </c>
      <c r="AG544" s="920">
        <v>983.15</v>
      </c>
      <c r="AH544" s="920">
        <v>1347.8517178031861</v>
      </c>
      <c r="AI544" s="920">
        <v>595.4</v>
      </c>
      <c r="AJ544" s="920">
        <v>816.26497765347813</v>
      </c>
      <c r="AK544" s="920">
        <v>46.99</v>
      </c>
      <c r="AL544" s="920">
        <v>64.421046859148376</v>
      </c>
      <c r="AM544" s="920">
        <v>49.23</v>
      </c>
      <c r="AN544" s="920">
        <v>67.491979929258861</v>
      </c>
      <c r="AO544" s="920"/>
      <c r="AP544" s="920"/>
      <c r="AS544" s="1167"/>
      <c r="AT544" s="1167"/>
      <c r="AU544" s="1168"/>
      <c r="AV544" s="1168"/>
      <c r="AW544" s="1169"/>
      <c r="AX544" s="1169"/>
      <c r="AY544" s="1169"/>
      <c r="AZ544" s="1169"/>
      <c r="BA544" s="1803" t="s">
        <v>4</v>
      </c>
      <c r="BB544" s="1802">
        <v>2014</v>
      </c>
      <c r="BC544" s="1799" t="s">
        <v>20</v>
      </c>
      <c r="BD544" s="1799">
        <v>1</v>
      </c>
      <c r="BE544" s="1800">
        <v>14249329064.289991</v>
      </c>
      <c r="BF544" s="1801">
        <v>0.60918025592644531</v>
      </c>
      <c r="BG544" s="1799"/>
      <c r="BH544" s="1805" t="s">
        <v>1</v>
      </c>
      <c r="BI544" s="1805" t="s">
        <v>315</v>
      </c>
      <c r="BJ544" s="1805" t="s">
        <v>32</v>
      </c>
      <c r="BK544" s="1805"/>
      <c r="BL544" s="1806">
        <v>95706000</v>
      </c>
      <c r="BM544" s="1801">
        <v>7.1433609533437898E-3</v>
      </c>
      <c r="BN544" s="1799">
        <v>2010</v>
      </c>
      <c r="BO544" s="1684"/>
      <c r="BP544" s="1696"/>
      <c r="BQ544" s="1169"/>
      <c r="BR544" s="1169"/>
      <c r="BS544" s="1169"/>
      <c r="BT544" s="1169"/>
      <c r="BU544" s="1169"/>
      <c r="BV544" s="1169"/>
      <c r="BW544" s="1169"/>
      <c r="BX544" s="1169"/>
      <c r="BY544" s="1169"/>
      <c r="BZ544" s="1169"/>
      <c r="CA544" s="1169"/>
      <c r="CB544" s="1169"/>
      <c r="CC544" s="1169"/>
      <c r="CD544" s="1169"/>
      <c r="CE544" s="1169"/>
      <c r="CF544" s="1169"/>
      <c r="CG544" s="1169"/>
      <c r="CH544" s="1169"/>
      <c r="CI544" s="1169"/>
      <c r="CJ544" s="1169"/>
      <c r="CK544" s="1169"/>
      <c r="CL544" s="1169"/>
      <c r="CM544" s="1169"/>
      <c r="CN544" s="1169"/>
      <c r="CO544" s="1169"/>
      <c r="CP544" s="1169"/>
      <c r="CQ544" s="1169"/>
      <c r="CR544" s="1169"/>
      <c r="CS544" s="1169"/>
      <c r="CT544" s="1169"/>
      <c r="CU544" s="1169"/>
      <c r="CV544" s="1169"/>
      <c r="CW544" s="1169"/>
      <c r="CX544" s="1169"/>
      <c r="CY544" s="1169"/>
      <c r="CZ544" s="1169"/>
      <c r="DA544" s="1168"/>
      <c r="DB544" s="1168"/>
      <c r="DC544" s="1168"/>
      <c r="DD544" s="1168"/>
      <c r="DE544" s="1168"/>
      <c r="DF544" s="1168"/>
      <c r="DG544" s="1168"/>
      <c r="DH544" s="1168"/>
      <c r="DI544" s="1168"/>
      <c r="DJ544" s="1168"/>
      <c r="DK544" s="1168"/>
      <c r="DL544" s="1168"/>
      <c r="DM544" s="1168"/>
      <c r="DN544" s="1168"/>
      <c r="DO544" s="1168"/>
      <c r="DP544" s="1168"/>
      <c r="DQ544" s="1168"/>
      <c r="DR544" s="1168"/>
      <c r="DS544" s="1168"/>
      <c r="DT544" s="1168"/>
      <c r="DU544" s="1168"/>
      <c r="DV544" s="1168"/>
      <c r="DW544" s="1168"/>
      <c r="DX544" s="1168"/>
      <c r="DY544" s="1168"/>
      <c r="DZ544" s="1168"/>
      <c r="EA544" s="1168"/>
      <c r="EB544" s="1168"/>
      <c r="EC544" s="1168"/>
      <c r="ED544" s="1168"/>
      <c r="EE544" s="1168"/>
      <c r="EF544" s="1168"/>
      <c r="EG544" s="1168"/>
      <c r="EH544" s="1168"/>
      <c r="EI544" s="1170"/>
      <c r="EJ544" s="1170"/>
      <c r="EK544" s="1170"/>
      <c r="EL544" s="1170"/>
      <c r="EM544" s="1170"/>
      <c r="EN544" s="1170"/>
      <c r="EO544" s="1170"/>
      <c r="EP544" s="1170"/>
      <c r="EQ544" s="1170"/>
      <c r="ER544" s="1170"/>
      <c r="ES544" s="1171"/>
      <c r="ET544" s="1171"/>
      <c r="EU544" s="1171"/>
      <c r="EV544" s="1171"/>
      <c r="EW544" s="1171"/>
      <c r="EX544" s="1171"/>
      <c r="EY544" s="1171"/>
      <c r="EZ544" s="1171"/>
      <c r="FA544" s="1171"/>
      <c r="FB544" s="1171"/>
      <c r="FC544" s="1171"/>
      <c r="FD544" s="1171"/>
      <c r="FE544" s="1171"/>
      <c r="FF544" s="1171"/>
      <c r="FG544" s="1171"/>
      <c r="FH544" s="1171"/>
      <c r="FI544" s="1171"/>
      <c r="FJ544" s="1171"/>
      <c r="FK544" s="1171"/>
      <c r="FL544" s="1171"/>
      <c r="FM544" s="1171"/>
      <c r="FN544" s="1171"/>
      <c r="FO544" s="1171"/>
      <c r="FP544" s="1171"/>
    </row>
    <row r="545" spans="1:172" s="607" customFormat="1">
      <c r="A545" s="607">
        <f t="shared" si="17"/>
        <v>2015</v>
      </c>
      <c r="B545" s="607">
        <f t="shared" si="18"/>
        <v>3</v>
      </c>
      <c r="C545" s="666">
        <v>42248</v>
      </c>
      <c r="D545" s="1709">
        <v>0.7053772727272728</v>
      </c>
      <c r="E545" s="1117">
        <v>277.40194335840221</v>
      </c>
      <c r="F545" s="1117">
        <v>393.26748122441552</v>
      </c>
      <c r="G545" s="1337">
        <v>34.939392782471259</v>
      </c>
      <c r="H545" s="1337">
        <v>49.532915410474573</v>
      </c>
      <c r="I545" s="959">
        <v>1124.5319999999999</v>
      </c>
      <c r="J545" s="959">
        <v>1605.71</v>
      </c>
      <c r="K545" s="960">
        <v>55.79</v>
      </c>
      <c r="L545" s="1121">
        <v>79.092426361134912</v>
      </c>
      <c r="M545" s="916">
        <v>9898.4091000000008</v>
      </c>
      <c r="N545" s="916">
        <v>14032.787109412757</v>
      </c>
      <c r="O545" s="1174">
        <v>5208.0909000000001</v>
      </c>
      <c r="P545" s="1174">
        <v>7383.4118299040483</v>
      </c>
      <c r="Q545" s="1174">
        <v>1682.0454999999999</v>
      </c>
      <c r="R545" s="1174">
        <v>2384.6040481238279</v>
      </c>
      <c r="S545" s="1174">
        <v>1718.9091000000001</v>
      </c>
      <c r="T545" s="1174">
        <v>2436.8648756629268</v>
      </c>
      <c r="U545" s="1120">
        <v>1005.2086085028692</v>
      </c>
      <c r="V545" s="1120">
        <v>1425.0652060511215</v>
      </c>
      <c r="W545" s="1120">
        <v>2200.4879142103518</v>
      </c>
      <c r="X545" s="1120">
        <v>3119.5900396710808</v>
      </c>
      <c r="Y545" s="1119"/>
      <c r="Z545" s="1119"/>
      <c r="AA545" s="1119"/>
      <c r="AB545" s="1119"/>
      <c r="AC545" s="1178">
        <v>14.718</v>
      </c>
      <c r="AD545" s="1178">
        <v>21.36</v>
      </c>
      <c r="AE545" s="1178">
        <v>28036.363600000001</v>
      </c>
      <c r="AF545" s="1178">
        <v>39746.621678921016</v>
      </c>
      <c r="AG545" s="1178">
        <v>965.36400000000003</v>
      </c>
      <c r="AH545" s="1178">
        <v>1368.5782592165378</v>
      </c>
      <c r="AI545" s="1178">
        <v>608.5</v>
      </c>
      <c r="AJ545" s="1178">
        <v>862.65892526887603</v>
      </c>
      <c r="AK545" s="919">
        <v>47.24</v>
      </c>
      <c r="AL545" s="919">
        <v>66.971253294497458</v>
      </c>
      <c r="AM545" s="919">
        <v>49.09</v>
      </c>
      <c r="AN545" s="919">
        <v>69.593963256284511</v>
      </c>
      <c r="AO545" s="919"/>
      <c r="AP545" s="919"/>
      <c r="AS545" s="1167"/>
      <c r="AT545" s="1167"/>
      <c r="AU545" s="1168"/>
      <c r="AV545" s="1168"/>
      <c r="AW545" s="1169"/>
      <c r="AX545" s="1169"/>
      <c r="AY545" s="1169"/>
      <c r="AZ545" s="1169"/>
      <c r="BA545" s="1803" t="s">
        <v>4</v>
      </c>
      <c r="BB545" s="1802">
        <v>2014</v>
      </c>
      <c r="BC545" s="1799" t="s">
        <v>581</v>
      </c>
      <c r="BD545" s="1799">
        <v>2</v>
      </c>
      <c r="BE545" s="1800">
        <v>2694653306.9300008</v>
      </c>
      <c r="BF545" s="1801">
        <v>0.11520048303624837</v>
      </c>
      <c r="BG545" s="1799"/>
      <c r="BH545" s="1805" t="s">
        <v>1</v>
      </c>
      <c r="BI545" s="1805" t="s">
        <v>315</v>
      </c>
      <c r="BJ545" s="1805" t="s">
        <v>249</v>
      </c>
      <c r="BK545" s="1805"/>
      <c r="BL545" s="1806">
        <v>13397895000</v>
      </c>
      <c r="BM545" s="1801">
        <v>1</v>
      </c>
      <c r="BN545" s="1799">
        <v>2010</v>
      </c>
      <c r="BO545" s="1684"/>
      <c r="BP545" s="1696"/>
      <c r="BQ545" s="1169"/>
      <c r="BR545" s="1169"/>
      <c r="BS545" s="1169"/>
      <c r="BT545" s="1169"/>
      <c r="BU545" s="1169"/>
      <c r="BV545" s="1169"/>
      <c r="BW545" s="1169"/>
      <c r="BX545" s="1169"/>
      <c r="BY545" s="1169"/>
      <c r="BZ545" s="1169"/>
      <c r="CA545" s="1169"/>
      <c r="CB545" s="1169"/>
      <c r="CC545" s="1169"/>
      <c r="CD545" s="1169"/>
      <c r="CE545" s="1169"/>
      <c r="CF545" s="1169"/>
      <c r="CG545" s="1169"/>
      <c r="CH545" s="1169"/>
      <c r="CI545" s="1169"/>
      <c r="CJ545" s="1169"/>
      <c r="CK545" s="1169"/>
      <c r="CL545" s="1169"/>
      <c r="CM545" s="1169"/>
      <c r="CN545" s="1169"/>
      <c r="CO545" s="1169"/>
      <c r="CP545" s="1169"/>
      <c r="CQ545" s="1169"/>
      <c r="CR545" s="1169"/>
      <c r="CS545" s="1169"/>
      <c r="CT545" s="1169"/>
      <c r="CU545" s="1169"/>
      <c r="CV545" s="1169"/>
      <c r="CW545" s="1169"/>
      <c r="CX545" s="1169"/>
      <c r="CY545" s="1169"/>
      <c r="CZ545" s="1169"/>
      <c r="DA545" s="1168"/>
      <c r="DB545" s="1168"/>
      <c r="DC545" s="1168"/>
      <c r="DD545" s="1168"/>
      <c r="DE545" s="1168"/>
      <c r="DF545" s="1168"/>
      <c r="DG545" s="1168"/>
      <c r="DH545" s="1168"/>
      <c r="DI545" s="1168"/>
      <c r="DJ545" s="1168"/>
      <c r="DK545" s="1168"/>
      <c r="DL545" s="1168"/>
      <c r="DM545" s="1168"/>
      <c r="DN545" s="1168"/>
      <c r="DO545" s="1168"/>
      <c r="DP545" s="1168"/>
      <c r="DQ545" s="1168"/>
      <c r="DR545" s="1168"/>
      <c r="DS545" s="1168"/>
      <c r="DT545" s="1168"/>
      <c r="DU545" s="1168"/>
      <c r="DV545" s="1168"/>
      <c r="DW545" s="1168"/>
      <c r="DX545" s="1168"/>
      <c r="DY545" s="1168"/>
      <c r="DZ545" s="1168"/>
      <c r="EA545" s="1168"/>
      <c r="EB545" s="1168"/>
      <c r="EC545" s="1168"/>
      <c r="ED545" s="1168"/>
      <c r="EE545" s="1168"/>
      <c r="EF545" s="1168"/>
      <c r="EG545" s="1168"/>
      <c r="EH545" s="1168"/>
      <c r="EI545" s="1170"/>
      <c r="EJ545" s="1170"/>
      <c r="EK545" s="1170"/>
      <c r="EL545" s="1170"/>
      <c r="EM545" s="1170"/>
      <c r="EN545" s="1170"/>
      <c r="EO545" s="1170"/>
      <c r="EP545" s="1170"/>
      <c r="EQ545" s="1170"/>
      <c r="ER545" s="1170"/>
      <c r="ES545" s="1171"/>
      <c r="ET545" s="1171"/>
      <c r="EU545" s="1171"/>
      <c r="EV545" s="1171"/>
      <c r="EW545" s="1171"/>
      <c r="EX545" s="1171"/>
      <c r="EY545" s="1171"/>
      <c r="EZ545" s="1171"/>
      <c r="FA545" s="1171"/>
      <c r="FB545" s="1171"/>
      <c r="FC545" s="1171"/>
      <c r="FD545" s="1171"/>
      <c r="FE545" s="1171"/>
      <c r="FF545" s="1171"/>
      <c r="FG545" s="1171"/>
      <c r="FH545" s="1171"/>
      <c r="FI545" s="1171"/>
      <c r="FJ545" s="1171"/>
      <c r="FK545" s="1171"/>
      <c r="FL545" s="1171"/>
      <c r="FM545" s="1171"/>
      <c r="FN545" s="1171"/>
      <c r="FO545" s="1171"/>
      <c r="FP545" s="1171"/>
    </row>
    <row r="546" spans="1:172" s="607" customFormat="1">
      <c r="A546" s="607">
        <f t="shared" si="17"/>
        <v>2015</v>
      </c>
      <c r="B546" s="607">
        <f t="shared" si="18"/>
        <v>4</v>
      </c>
      <c r="C546" s="666">
        <v>42278</v>
      </c>
      <c r="D546" s="957">
        <v>0.72100952380952366</v>
      </c>
      <c r="E546" s="920">
        <v>266.31129670226193</v>
      </c>
      <c r="F546" s="920">
        <v>369.35891677987888</v>
      </c>
      <c r="G546" s="1336">
        <v>35.713703753003685</v>
      </c>
      <c r="H546" s="1336">
        <v>49.532915410474573</v>
      </c>
      <c r="I546" s="954">
        <v>1159.2449999999999</v>
      </c>
      <c r="J546" s="954">
        <v>1618.18</v>
      </c>
      <c r="K546" s="954">
        <v>52.83</v>
      </c>
      <c r="L546" s="920">
        <v>73.272263757165888</v>
      </c>
      <c r="M546" s="917">
        <v>10344.090899999999</v>
      </c>
      <c r="N546" s="917">
        <v>14346.677205241331</v>
      </c>
      <c r="O546" s="1175">
        <v>5222.6135999999997</v>
      </c>
      <c r="P546" s="1175">
        <v>7243.4738065675119</v>
      </c>
      <c r="Q546" s="1175">
        <v>1724.5681999999999</v>
      </c>
      <c r="R546" s="1175">
        <v>2391.8799170475263</v>
      </c>
      <c r="S546" s="1175">
        <v>1728.0454999999999</v>
      </c>
      <c r="T546" s="1175">
        <v>2396.7027382241836</v>
      </c>
      <c r="U546" s="920">
        <v>937.21614963431364</v>
      </c>
      <c r="V546" s="920">
        <v>1299.8665325285044</v>
      </c>
      <c r="W546" s="920">
        <v>2151.4290802390215</v>
      </c>
      <c r="X546" s="920">
        <v>2983.9121526047779</v>
      </c>
      <c r="Y546" s="920"/>
      <c r="Z546" s="920"/>
      <c r="AA546" s="920"/>
      <c r="AB546" s="920"/>
      <c r="AC546" s="920">
        <v>15.707000000000001</v>
      </c>
      <c r="AD546" s="920">
        <v>22.3</v>
      </c>
      <c r="AE546" s="920">
        <v>27661.590899999999</v>
      </c>
      <c r="AF546" s="920">
        <v>38365.083936544004</v>
      </c>
      <c r="AG546" s="920">
        <v>976.90899999999999</v>
      </c>
      <c r="AH546" s="920">
        <v>1354.9183023802607</v>
      </c>
      <c r="AI546" s="920">
        <v>691.5</v>
      </c>
      <c r="AJ546" s="920">
        <v>959.0719361741476</v>
      </c>
      <c r="AK546" s="920">
        <v>48.12</v>
      </c>
      <c r="AL546" s="920">
        <v>66.739756426174949</v>
      </c>
      <c r="AM546" s="920">
        <v>49</v>
      </c>
      <c r="AN546" s="920">
        <v>67.960267350011904</v>
      </c>
      <c r="AO546" s="920"/>
      <c r="AP546" s="920"/>
      <c r="AS546" s="1167"/>
      <c r="AT546" s="1167"/>
      <c r="AU546" s="1168"/>
      <c r="AV546" s="1168"/>
      <c r="AW546" s="1169"/>
      <c r="AX546" s="1169"/>
      <c r="AY546" s="1169"/>
      <c r="AZ546" s="1169"/>
      <c r="BA546" s="1803" t="s">
        <v>4</v>
      </c>
      <c r="BB546" s="1802">
        <v>2014</v>
      </c>
      <c r="BC546" s="1799" t="s">
        <v>15</v>
      </c>
      <c r="BD546" s="1799">
        <v>3</v>
      </c>
      <c r="BE546" s="1800">
        <v>2539944083.0200009</v>
      </c>
      <c r="BF546" s="1801">
        <v>0.10858643095067592</v>
      </c>
      <c r="BG546" s="1799"/>
      <c r="BH546" s="1807" t="s">
        <v>1</v>
      </c>
      <c r="BI546" s="1807" t="s">
        <v>316</v>
      </c>
      <c r="BJ546" s="1807" t="s">
        <v>51</v>
      </c>
      <c r="BK546" s="1807">
        <v>1</v>
      </c>
      <c r="BL546" s="1808">
        <v>4522565000</v>
      </c>
      <c r="BM546" s="1801">
        <v>0.28984679197566926</v>
      </c>
      <c r="BN546" s="1799">
        <v>2011</v>
      </c>
      <c r="BO546" s="1684"/>
      <c r="BP546" s="1696"/>
      <c r="BQ546" s="1169"/>
      <c r="BR546" s="1169"/>
      <c r="BS546" s="1169"/>
      <c r="BT546" s="1169"/>
      <c r="BU546" s="1169"/>
      <c r="BV546" s="1169"/>
      <c r="BW546" s="1169"/>
      <c r="BX546" s="1169"/>
      <c r="BY546" s="1169"/>
      <c r="BZ546" s="1169"/>
      <c r="CA546" s="1169"/>
      <c r="CB546" s="1169"/>
      <c r="CC546" s="1169"/>
      <c r="CD546" s="1169"/>
      <c r="CE546" s="1169"/>
      <c r="CF546" s="1169"/>
      <c r="CG546" s="1169"/>
      <c r="CH546" s="1169"/>
      <c r="CI546" s="1169"/>
      <c r="CJ546" s="1169"/>
      <c r="CK546" s="1169"/>
      <c r="CL546" s="1169"/>
      <c r="CM546" s="1169"/>
      <c r="CN546" s="1169"/>
      <c r="CO546" s="1169"/>
      <c r="CP546" s="1169"/>
      <c r="CQ546" s="1169"/>
      <c r="CR546" s="1169"/>
      <c r="CS546" s="1169"/>
      <c r="CT546" s="1169"/>
      <c r="CU546" s="1169"/>
      <c r="CV546" s="1169"/>
      <c r="CW546" s="1169"/>
      <c r="CX546" s="1169"/>
      <c r="CY546" s="1169"/>
      <c r="CZ546" s="1169"/>
      <c r="DA546" s="1168"/>
      <c r="DB546" s="1168"/>
      <c r="DC546" s="1168"/>
      <c r="DD546" s="1168"/>
      <c r="DE546" s="1168"/>
      <c r="DF546" s="1168"/>
      <c r="DG546" s="1168"/>
      <c r="DH546" s="1168"/>
      <c r="DI546" s="1168"/>
      <c r="DJ546" s="1168"/>
      <c r="DK546" s="1168"/>
      <c r="DL546" s="1168"/>
      <c r="DM546" s="1168"/>
      <c r="DN546" s="1168"/>
      <c r="DO546" s="1168"/>
      <c r="DP546" s="1168"/>
      <c r="DQ546" s="1168"/>
      <c r="DR546" s="1168"/>
      <c r="DS546" s="1168"/>
      <c r="DT546" s="1168"/>
      <c r="DU546" s="1168"/>
      <c r="DV546" s="1168"/>
      <c r="DW546" s="1168"/>
      <c r="DX546" s="1168"/>
      <c r="DY546" s="1168"/>
      <c r="DZ546" s="1168"/>
      <c r="EA546" s="1168"/>
      <c r="EB546" s="1168"/>
      <c r="EC546" s="1168"/>
      <c r="ED546" s="1168"/>
      <c r="EE546" s="1168"/>
      <c r="EF546" s="1168"/>
      <c r="EG546" s="1168"/>
      <c r="EH546" s="1168"/>
      <c r="EI546" s="1170"/>
      <c r="EJ546" s="1170"/>
      <c r="EK546" s="1170"/>
      <c r="EL546" s="1170"/>
      <c r="EM546" s="1170"/>
      <c r="EN546" s="1170"/>
      <c r="EO546" s="1170"/>
      <c r="EP546" s="1170"/>
      <c r="EQ546" s="1170"/>
      <c r="ER546" s="1170"/>
      <c r="ES546" s="1171"/>
      <c r="ET546" s="1171"/>
      <c r="EU546" s="1171"/>
      <c r="EV546" s="1171"/>
      <c r="EW546" s="1171"/>
      <c r="EX546" s="1171"/>
      <c r="EY546" s="1171"/>
      <c r="EZ546" s="1171"/>
      <c r="FA546" s="1171"/>
      <c r="FB546" s="1171"/>
      <c r="FC546" s="1171"/>
      <c r="FD546" s="1171"/>
      <c r="FE546" s="1171"/>
      <c r="FF546" s="1171"/>
      <c r="FG546" s="1171"/>
      <c r="FH546" s="1171"/>
      <c r="FI546" s="1171"/>
      <c r="FJ546" s="1171"/>
      <c r="FK546" s="1171"/>
      <c r="FL546" s="1171"/>
      <c r="FM546" s="1171"/>
      <c r="FN546" s="1171"/>
      <c r="FO546" s="1171"/>
      <c r="FP546" s="1171"/>
    </row>
    <row r="547" spans="1:172" s="607" customFormat="1">
      <c r="A547" s="607">
        <f t="shared" si="17"/>
        <v>2015</v>
      </c>
      <c r="B547" s="607">
        <f t="shared" si="18"/>
        <v>4</v>
      </c>
      <c r="C547" s="666">
        <v>42309</v>
      </c>
      <c r="D547" s="1709">
        <v>0.71547142857142854</v>
      </c>
      <c r="E547" s="1117">
        <v>258.82995921313614</v>
      </c>
      <c r="F547" s="1117">
        <v>361.76141894294534</v>
      </c>
      <c r="G547" s="1117">
        <v>36.578984700781547</v>
      </c>
      <c r="H547" s="1117">
        <v>51.125709902655764</v>
      </c>
      <c r="I547" s="959">
        <v>1085.702</v>
      </c>
      <c r="J547" s="959">
        <v>1536.07</v>
      </c>
      <c r="K547" s="960">
        <v>45.73</v>
      </c>
      <c r="L547" s="1121">
        <v>63.915899606652957</v>
      </c>
      <c r="M547" s="916">
        <v>9232.1429000000007</v>
      </c>
      <c r="N547" s="916">
        <v>12903.580117005773</v>
      </c>
      <c r="O547" s="1174">
        <v>4808.2380999999996</v>
      </c>
      <c r="P547" s="1174">
        <v>6720.377513327875</v>
      </c>
      <c r="Q547" s="1174">
        <v>1615.9762000000001</v>
      </c>
      <c r="R547" s="1174">
        <v>2258.6173751572392</v>
      </c>
      <c r="S547" s="1174">
        <v>1582.2856999999999</v>
      </c>
      <c r="T547" s="1174">
        <v>2211.5288421220775</v>
      </c>
      <c r="U547" s="1120">
        <v>964.30876301589501</v>
      </c>
      <c r="V547" s="1120">
        <v>1347.7949286407095</v>
      </c>
      <c r="W547" s="1120">
        <v>2162.5170296011638</v>
      </c>
      <c r="X547" s="1120">
        <v>3022.5064806836945</v>
      </c>
      <c r="Y547" s="1119"/>
      <c r="Z547" s="1119"/>
      <c r="AA547" s="1119"/>
      <c r="AB547" s="1119"/>
      <c r="AC547" s="1178">
        <v>14.507</v>
      </c>
      <c r="AD547" s="1178">
        <v>20.77</v>
      </c>
      <c r="AE547" s="1178">
        <v>24754.761900000001</v>
      </c>
      <c r="AF547" s="1178">
        <v>34599.231934987925</v>
      </c>
      <c r="AG547" s="1178">
        <v>883.524</v>
      </c>
      <c r="AH547" s="1178">
        <v>1234.8836930695047</v>
      </c>
      <c r="AI547" s="1178">
        <v>574.048</v>
      </c>
      <c r="AJ547" s="1178">
        <v>802.33532336321707</v>
      </c>
      <c r="AK547" s="919">
        <v>44.56</v>
      </c>
      <c r="AL547" s="919">
        <v>62.280614180460439</v>
      </c>
      <c r="AM547" s="919">
        <v>45.11</v>
      </c>
      <c r="AN547" s="919">
        <v>63.049338098756067</v>
      </c>
      <c r="AO547" s="919"/>
      <c r="AP547" s="919"/>
      <c r="AS547" s="1167"/>
      <c r="AT547" s="1167"/>
      <c r="AU547" s="1168"/>
      <c r="AV547" s="1168"/>
      <c r="AW547" s="1169"/>
      <c r="AX547" s="1169"/>
      <c r="AY547" s="1169"/>
      <c r="AZ547" s="1169"/>
      <c r="BA547" s="1803" t="s">
        <v>4</v>
      </c>
      <c r="BB547" s="1802">
        <v>2014</v>
      </c>
      <c r="BC547" s="1799" t="s">
        <v>49</v>
      </c>
      <c r="BD547" s="1799">
        <v>4</v>
      </c>
      <c r="BE547" s="1800">
        <v>1315565751.8300006</v>
      </c>
      <c r="BF547" s="1801">
        <v>5.6242415188254957E-2</v>
      </c>
      <c r="BG547" s="1799"/>
      <c r="BH547" s="1807" t="s">
        <v>1</v>
      </c>
      <c r="BI547" s="1807" t="s">
        <v>316</v>
      </c>
      <c r="BJ547" s="1807" t="s">
        <v>15</v>
      </c>
      <c r="BK547" s="1807">
        <v>2</v>
      </c>
      <c r="BL547" s="1808">
        <v>4346966000</v>
      </c>
      <c r="BM547" s="1801">
        <v>0.27859282286209419</v>
      </c>
      <c r="BN547" s="1799">
        <v>2011</v>
      </c>
      <c r="BO547" s="1684"/>
      <c r="BP547" s="1696"/>
      <c r="BQ547" s="1169"/>
      <c r="BR547" s="1169"/>
      <c r="BS547" s="1169"/>
      <c r="BT547" s="1169"/>
      <c r="BU547" s="1169"/>
      <c r="BV547" s="1169"/>
      <c r="BW547" s="1169"/>
      <c r="BX547" s="1169"/>
      <c r="BY547" s="1169"/>
      <c r="BZ547" s="1169"/>
      <c r="CA547" s="1169"/>
      <c r="CB547" s="1169"/>
      <c r="CC547" s="1169"/>
      <c r="CD547" s="1169"/>
      <c r="CE547" s="1169"/>
      <c r="CF547" s="1169"/>
      <c r="CG547" s="1169"/>
      <c r="CH547" s="1169"/>
      <c r="CI547" s="1169"/>
      <c r="CJ547" s="1169"/>
      <c r="CK547" s="1169"/>
      <c r="CL547" s="1169"/>
      <c r="CM547" s="1169"/>
      <c r="CN547" s="1169"/>
      <c r="CO547" s="1169"/>
      <c r="CP547" s="1169"/>
      <c r="CQ547" s="1169"/>
      <c r="CR547" s="1169"/>
      <c r="CS547" s="1169"/>
      <c r="CT547" s="1169"/>
      <c r="CU547" s="1169"/>
      <c r="CV547" s="1169"/>
      <c r="CW547" s="1169"/>
      <c r="CX547" s="1169"/>
      <c r="CY547" s="1169"/>
      <c r="CZ547" s="1169"/>
      <c r="DA547" s="1168"/>
      <c r="DB547" s="1168"/>
      <c r="DC547" s="1168"/>
      <c r="DD547" s="1168"/>
      <c r="DE547" s="1168"/>
      <c r="DF547" s="1168"/>
      <c r="DG547" s="1168"/>
      <c r="DH547" s="1168"/>
      <c r="DI547" s="1168"/>
      <c r="DJ547" s="1168"/>
      <c r="DK547" s="1168"/>
      <c r="DL547" s="1168"/>
      <c r="DM547" s="1168"/>
      <c r="DN547" s="1168"/>
      <c r="DO547" s="1168"/>
      <c r="DP547" s="1168"/>
      <c r="DQ547" s="1168"/>
      <c r="DR547" s="1168"/>
      <c r="DS547" s="1168"/>
      <c r="DT547" s="1168"/>
      <c r="DU547" s="1168"/>
      <c r="DV547" s="1168"/>
      <c r="DW547" s="1168"/>
      <c r="DX547" s="1168"/>
      <c r="DY547" s="1168"/>
      <c r="DZ547" s="1168"/>
      <c r="EA547" s="1168"/>
      <c r="EB547" s="1168"/>
      <c r="EC547" s="1168"/>
      <c r="ED547" s="1168"/>
      <c r="EE547" s="1168"/>
      <c r="EF547" s="1168"/>
      <c r="EG547" s="1168"/>
      <c r="EH547" s="1168"/>
      <c r="EI547" s="1170"/>
      <c r="EJ547" s="1170"/>
      <c r="EK547" s="1170"/>
      <c r="EL547" s="1170"/>
      <c r="EM547" s="1170"/>
      <c r="EN547" s="1170"/>
      <c r="EO547" s="1170"/>
      <c r="EP547" s="1170"/>
      <c r="EQ547" s="1170"/>
      <c r="ER547" s="1170"/>
      <c r="ES547" s="1171"/>
      <c r="ET547" s="1171"/>
      <c r="EU547" s="1171"/>
      <c r="EV547" s="1171"/>
      <c r="EW547" s="1171"/>
      <c r="EX547" s="1171"/>
      <c r="EY547" s="1171"/>
      <c r="EZ547" s="1171"/>
      <c r="FA547" s="1171"/>
      <c r="FB547" s="1171"/>
      <c r="FC547" s="1171"/>
      <c r="FD547" s="1171"/>
      <c r="FE547" s="1171"/>
      <c r="FF547" s="1171"/>
      <c r="FG547" s="1171"/>
      <c r="FH547" s="1171"/>
      <c r="FI547" s="1171"/>
      <c r="FJ547" s="1171"/>
      <c r="FK547" s="1171"/>
      <c r="FL547" s="1171"/>
      <c r="FM547" s="1171"/>
      <c r="FN547" s="1171"/>
      <c r="FO547" s="1171"/>
      <c r="FP547" s="1171"/>
    </row>
    <row r="548" spans="1:172" s="607" customFormat="1">
      <c r="A548" s="607">
        <f t="shared" si="17"/>
        <v>2015</v>
      </c>
      <c r="B548" s="607">
        <f t="shared" si="18"/>
        <v>4</v>
      </c>
      <c r="C548" s="666">
        <v>42339</v>
      </c>
      <c r="D548" s="957">
        <v>0.72482857142857149</v>
      </c>
      <c r="E548" s="920">
        <v>236.33548090462534</v>
      </c>
      <c r="F548" s="920">
        <v>326.05707089999157</v>
      </c>
      <c r="G548" s="920">
        <v>35.901718413212507</v>
      </c>
      <c r="H548" s="920">
        <v>49.531323444457314</v>
      </c>
      <c r="I548" s="954">
        <v>1068.2529999999999</v>
      </c>
      <c r="J548" s="954">
        <v>1486.33</v>
      </c>
      <c r="K548" s="954">
        <v>38.97</v>
      </c>
      <c r="L548" s="920">
        <v>53.76443691119082</v>
      </c>
      <c r="M548" s="917">
        <v>8692.1429000000007</v>
      </c>
      <c r="N548" s="917">
        <v>11991.998167054278</v>
      </c>
      <c r="O548" s="1175">
        <v>4629</v>
      </c>
      <c r="P548" s="1175">
        <v>6386.3376561945679</v>
      </c>
      <c r="Q548" s="1175">
        <v>1701.2856999999999</v>
      </c>
      <c r="R548" s="1175">
        <v>2347.1559580590483</v>
      </c>
      <c r="S548" s="1175">
        <v>1522.0952</v>
      </c>
      <c r="T548" s="1175">
        <v>2099.9381922819189</v>
      </c>
      <c r="U548" s="920">
        <v>960.0883425442812</v>
      </c>
      <c r="V548" s="920">
        <v>1324.5729823426166</v>
      </c>
      <c r="W548" s="920">
        <v>2112.518878650701</v>
      </c>
      <c r="X548" s="920">
        <v>2914.5082877832997</v>
      </c>
      <c r="Y548" s="920"/>
      <c r="Z548" s="920"/>
      <c r="AA548" s="920"/>
      <c r="AB548" s="920"/>
      <c r="AC548" s="920">
        <v>14.054</v>
      </c>
      <c r="AD548" s="920">
        <v>19.89</v>
      </c>
      <c r="AE548" s="920">
        <v>24235.238099999999</v>
      </c>
      <c r="AF548" s="920">
        <v>33435.820627537541</v>
      </c>
      <c r="AG548" s="920">
        <v>858.52599999999995</v>
      </c>
      <c r="AH548" s="920">
        <v>1184.4538610114705</v>
      </c>
      <c r="AI548" s="920">
        <v>552.26300000000003</v>
      </c>
      <c r="AJ548" s="920">
        <v>761.92222791596043</v>
      </c>
      <c r="AK548" s="920">
        <v>37.72</v>
      </c>
      <c r="AL548" s="920">
        <v>52.039891205802348</v>
      </c>
      <c r="AM548" s="920">
        <v>38.83</v>
      </c>
      <c r="AN548" s="920">
        <v>53.571287792187306</v>
      </c>
      <c r="AO548" s="920"/>
      <c r="AP548" s="920"/>
      <c r="AS548" s="1167"/>
      <c r="AT548" s="1167"/>
      <c r="AU548" s="1168"/>
      <c r="AV548" s="1168"/>
      <c r="AW548" s="1169"/>
      <c r="AX548" s="1169"/>
      <c r="AY548" s="1169"/>
      <c r="AZ548" s="1169"/>
      <c r="BA548" s="1803" t="s">
        <v>4</v>
      </c>
      <c r="BB548" s="1802">
        <v>2014</v>
      </c>
      <c r="BC548" s="1799" t="s">
        <v>28</v>
      </c>
      <c r="BD548" s="1799">
        <v>5</v>
      </c>
      <c r="BE548" s="1800">
        <v>864285502.99000025</v>
      </c>
      <c r="BF548" s="1801">
        <v>3.6949505589314521E-2</v>
      </c>
      <c r="BG548" s="1799"/>
      <c r="BH548" s="1807" t="s">
        <v>1</v>
      </c>
      <c r="BI548" s="1807" t="s">
        <v>316</v>
      </c>
      <c r="BJ548" s="1807" t="s">
        <v>18</v>
      </c>
      <c r="BK548" s="1807">
        <v>3</v>
      </c>
      <c r="BL548" s="1808">
        <v>2955373000</v>
      </c>
      <c r="BM548" s="1801">
        <v>0.18940698102548212</v>
      </c>
      <c r="BN548" s="1799">
        <v>2011</v>
      </c>
      <c r="BO548" s="1684"/>
      <c r="BP548" s="1696"/>
      <c r="BQ548" s="1169"/>
      <c r="BR548" s="1169"/>
      <c r="BS548" s="1169"/>
      <c r="BT548" s="1169"/>
      <c r="BU548" s="1169"/>
      <c r="BV548" s="1169"/>
      <c r="BW548" s="1169"/>
      <c r="BX548" s="1169"/>
      <c r="BY548" s="1169"/>
      <c r="BZ548" s="1169"/>
      <c r="CA548" s="1169"/>
      <c r="CB548" s="1169"/>
      <c r="CC548" s="1169"/>
      <c r="CD548" s="1169"/>
      <c r="CE548" s="1169"/>
      <c r="CF548" s="1169"/>
      <c r="CG548" s="1169"/>
      <c r="CH548" s="1169"/>
      <c r="CI548" s="1169"/>
      <c r="CJ548" s="1169"/>
      <c r="CK548" s="1169"/>
      <c r="CL548" s="1169"/>
      <c r="CM548" s="1169"/>
      <c r="CN548" s="1169"/>
      <c r="CO548" s="1169"/>
      <c r="CP548" s="1169"/>
      <c r="CQ548" s="1169"/>
      <c r="CR548" s="1169"/>
      <c r="CS548" s="1169"/>
      <c r="CT548" s="1169"/>
      <c r="CU548" s="1169"/>
      <c r="CV548" s="1169"/>
      <c r="CW548" s="1169"/>
      <c r="CX548" s="1169"/>
      <c r="CY548" s="1169"/>
      <c r="CZ548" s="1169"/>
      <c r="DA548" s="1168"/>
      <c r="DB548" s="1168"/>
      <c r="DC548" s="1168"/>
      <c r="DD548" s="1168"/>
      <c r="DE548" s="1168"/>
      <c r="DF548" s="1168"/>
      <c r="DG548" s="1168"/>
      <c r="DH548" s="1168"/>
      <c r="DI548" s="1168"/>
      <c r="DJ548" s="1168"/>
      <c r="DK548" s="1168"/>
      <c r="DL548" s="1168"/>
      <c r="DM548" s="1168"/>
      <c r="DN548" s="1168"/>
      <c r="DO548" s="1168"/>
      <c r="DP548" s="1168"/>
      <c r="DQ548" s="1168"/>
      <c r="DR548" s="1168"/>
      <c r="DS548" s="1168"/>
      <c r="DT548" s="1168"/>
      <c r="DU548" s="1168"/>
      <c r="DV548" s="1168"/>
      <c r="DW548" s="1168"/>
      <c r="DX548" s="1168"/>
      <c r="DY548" s="1168"/>
      <c r="DZ548" s="1168"/>
      <c r="EA548" s="1168"/>
      <c r="EB548" s="1168"/>
      <c r="EC548" s="1168"/>
      <c r="ED548" s="1168"/>
      <c r="EE548" s="1168"/>
      <c r="EF548" s="1168"/>
      <c r="EG548" s="1168"/>
      <c r="EH548" s="1168"/>
      <c r="EI548" s="1170"/>
      <c r="EJ548" s="1170"/>
      <c r="EK548" s="1170"/>
      <c r="EL548" s="1170"/>
      <c r="EM548" s="1170"/>
      <c r="EN548" s="1170"/>
      <c r="EO548" s="1170"/>
      <c r="EP548" s="1170"/>
      <c r="EQ548" s="1170"/>
      <c r="ER548" s="1170"/>
      <c r="ES548" s="1171"/>
      <c r="ET548" s="1171"/>
      <c r="EU548" s="1171"/>
      <c r="EV548" s="1171"/>
      <c r="EW548" s="1171"/>
      <c r="EX548" s="1171"/>
      <c r="EY548" s="1171"/>
      <c r="EZ548" s="1171"/>
      <c r="FA548" s="1171"/>
      <c r="FB548" s="1171"/>
      <c r="FC548" s="1171"/>
      <c r="FD548" s="1171"/>
      <c r="FE548" s="1171"/>
      <c r="FF548" s="1171"/>
      <c r="FG548" s="1171"/>
      <c r="FH548" s="1171"/>
      <c r="FI548" s="1171"/>
      <c r="FJ548" s="1171"/>
      <c r="FK548" s="1171"/>
      <c r="FL548" s="1171"/>
      <c r="FM548" s="1171"/>
      <c r="FN548" s="1171"/>
      <c r="FO548" s="1171"/>
      <c r="FP548" s="1171"/>
    </row>
    <row r="549" spans="1:172" s="607" customFormat="1">
      <c r="A549" s="607">
        <f t="shared" si="17"/>
        <v>2016</v>
      </c>
      <c r="B549" s="607">
        <f t="shared" si="18"/>
        <v>1</v>
      </c>
      <c r="C549" s="666">
        <v>42370</v>
      </c>
      <c r="D549" s="1709">
        <v>0.70146315789473679</v>
      </c>
      <c r="E549" s="1117">
        <v>228.70432394732907</v>
      </c>
      <c r="F549" s="1117">
        <v>326.03896779657953</v>
      </c>
      <c r="G549" s="1117">
        <v>32.476520764667853</v>
      </c>
      <c r="H549" s="1117">
        <v>46.298255865836019</v>
      </c>
      <c r="I549" s="959">
        <v>1097.375</v>
      </c>
      <c r="J549" s="959">
        <v>1574.65</v>
      </c>
      <c r="K549" s="960">
        <v>40.97</v>
      </c>
      <c r="L549" s="1121">
        <v>58.4</v>
      </c>
      <c r="M549" s="916">
        <v>8483</v>
      </c>
      <c r="N549" s="916">
        <v>12093.293716892511</v>
      </c>
      <c r="O549" s="1174">
        <v>4462.75</v>
      </c>
      <c r="P549" s="1174">
        <v>6362.0590044868622</v>
      </c>
      <c r="Q549" s="1174">
        <v>1646.95</v>
      </c>
      <c r="R549" s="1174">
        <v>2347.8781194195594</v>
      </c>
      <c r="S549" s="1174">
        <v>1512.2</v>
      </c>
      <c r="T549" s="1174">
        <v>2155.7796485541503</v>
      </c>
      <c r="U549" s="1120">
        <v>877.03403035025758</v>
      </c>
      <c r="V549" s="1120">
        <v>1250.2923645804181</v>
      </c>
      <c r="W549" s="1120">
        <v>2011.1133282244973</v>
      </c>
      <c r="X549" s="1120">
        <v>2867.0263086379937</v>
      </c>
      <c r="Y549" s="1119">
        <v>20251.038049248262</v>
      </c>
      <c r="Z549" s="1119">
        <v>28869.71014989098</v>
      </c>
      <c r="AA549" s="1119"/>
      <c r="AB549" s="1119"/>
      <c r="AC549" s="1178">
        <v>14.016</v>
      </c>
      <c r="AD549" s="1178">
        <v>20.53</v>
      </c>
      <c r="AE549" s="1178">
        <v>23384.5</v>
      </c>
      <c r="AF549" s="1178">
        <v>33336.747250108798</v>
      </c>
      <c r="AG549" s="1178">
        <v>854.1</v>
      </c>
      <c r="AH549" s="1178">
        <v>1217.5978030882818</v>
      </c>
      <c r="AI549" s="1178">
        <v>499.9</v>
      </c>
      <c r="AJ549" s="1178">
        <v>712.65325109920616</v>
      </c>
      <c r="AK549" s="919">
        <v>31.03</v>
      </c>
      <c r="AL549" s="919">
        <v>44.2361079848137</v>
      </c>
      <c r="AM549" s="919">
        <v>32.299999999999997</v>
      </c>
      <c r="AN549" s="919">
        <v>46.046609342877296</v>
      </c>
      <c r="AO549" s="919"/>
      <c r="AP549" s="919"/>
      <c r="AS549" s="1167"/>
      <c r="AT549" s="1167"/>
      <c r="AU549" s="1168"/>
      <c r="AV549" s="1168"/>
      <c r="AW549" s="1169"/>
      <c r="AX549" s="1169"/>
      <c r="AY549" s="1169"/>
      <c r="AZ549" s="1169"/>
      <c r="BA549" s="1803" t="s">
        <v>4</v>
      </c>
      <c r="BB549" s="1802">
        <v>2014</v>
      </c>
      <c r="BC549" s="1799" t="s">
        <v>21</v>
      </c>
      <c r="BD549" s="1799">
        <v>6</v>
      </c>
      <c r="BE549" s="1800">
        <v>817088070.18000007</v>
      </c>
      <c r="BF549" s="1801">
        <v>3.4931744327114364E-2</v>
      </c>
      <c r="BG549" s="1799"/>
      <c r="BH549" s="1807" t="s">
        <v>1</v>
      </c>
      <c r="BI549" s="1807" t="s">
        <v>316</v>
      </c>
      <c r="BJ549" s="1807" t="s">
        <v>28</v>
      </c>
      <c r="BK549" s="1807">
        <v>4</v>
      </c>
      <c r="BL549" s="1808">
        <v>1607031000</v>
      </c>
      <c r="BM549" s="1801">
        <v>0.10299305371077071</v>
      </c>
      <c r="BN549" s="1799">
        <v>2011</v>
      </c>
      <c r="BO549" s="1684"/>
      <c r="BP549" s="1696"/>
      <c r="BQ549" s="1169"/>
      <c r="BR549" s="1169"/>
      <c r="BS549" s="1169"/>
      <c r="BT549" s="1169"/>
      <c r="BU549" s="1169"/>
      <c r="BV549" s="1169"/>
      <c r="BW549" s="1169"/>
      <c r="BX549" s="1169"/>
      <c r="BY549" s="1169"/>
      <c r="BZ549" s="1169"/>
      <c r="CA549" s="1169"/>
      <c r="CB549" s="1169"/>
      <c r="CC549" s="1169"/>
      <c r="CD549" s="1169"/>
      <c r="CE549" s="1169"/>
      <c r="CF549" s="1169"/>
      <c r="CG549" s="1169"/>
      <c r="CH549" s="1169"/>
      <c r="CI549" s="1169"/>
      <c r="CJ549" s="1169"/>
      <c r="CK549" s="1169"/>
      <c r="CL549" s="1169"/>
      <c r="CM549" s="1169"/>
      <c r="CN549" s="1169"/>
      <c r="CO549" s="1169"/>
      <c r="CP549" s="1169"/>
      <c r="CQ549" s="1169"/>
      <c r="CR549" s="1169"/>
      <c r="CS549" s="1169"/>
      <c r="CT549" s="1169"/>
      <c r="CU549" s="1169"/>
      <c r="CV549" s="1169"/>
      <c r="CW549" s="1169"/>
      <c r="CX549" s="1169"/>
      <c r="CY549" s="1169"/>
      <c r="CZ549" s="1169"/>
      <c r="DA549" s="1168"/>
      <c r="DB549" s="1168"/>
      <c r="DC549" s="1168"/>
      <c r="DD549" s="1168"/>
      <c r="DE549" s="1168"/>
      <c r="DF549" s="1168"/>
      <c r="DG549" s="1168"/>
      <c r="DH549" s="1168"/>
      <c r="DI549" s="1168"/>
      <c r="DJ549" s="1168"/>
      <c r="DK549" s="1168"/>
      <c r="DL549" s="1168"/>
      <c r="DM549" s="1168"/>
      <c r="DN549" s="1168"/>
      <c r="DO549" s="1168"/>
      <c r="DP549" s="1168"/>
      <c r="DQ549" s="1168"/>
      <c r="DR549" s="1168"/>
      <c r="DS549" s="1168"/>
      <c r="DT549" s="1168"/>
      <c r="DU549" s="1168"/>
      <c r="DV549" s="1168"/>
      <c r="DW549" s="1168"/>
      <c r="DX549" s="1168"/>
      <c r="DY549" s="1168"/>
      <c r="DZ549" s="1168"/>
      <c r="EA549" s="1168"/>
      <c r="EB549" s="1168"/>
      <c r="EC549" s="1168"/>
      <c r="ED549" s="1168"/>
      <c r="EE549" s="1168"/>
      <c r="EF549" s="1168"/>
      <c r="EG549" s="1168"/>
      <c r="EH549" s="1168"/>
      <c r="EI549" s="1170"/>
      <c r="EJ549" s="1170"/>
      <c r="EK549" s="1170"/>
      <c r="EL549" s="1170"/>
      <c r="EM549" s="1170"/>
      <c r="EN549" s="1170"/>
      <c r="EO549" s="1170"/>
      <c r="EP549" s="1170"/>
      <c r="EQ549" s="1170"/>
      <c r="ER549" s="1170"/>
      <c r="ES549" s="1171"/>
      <c r="ET549" s="1171"/>
      <c r="EU549" s="1171"/>
      <c r="EV549" s="1171"/>
      <c r="EW549" s="1171"/>
      <c r="EX549" s="1171"/>
      <c r="EY549" s="1171"/>
      <c r="EZ549" s="1171"/>
      <c r="FA549" s="1171"/>
      <c r="FB549" s="1171"/>
      <c r="FC549" s="1171"/>
      <c r="FD549" s="1171"/>
      <c r="FE549" s="1171"/>
      <c r="FF549" s="1171"/>
      <c r="FG549" s="1171"/>
      <c r="FH549" s="1171"/>
      <c r="FI549" s="1171"/>
      <c r="FJ549" s="1171"/>
      <c r="FK549" s="1171"/>
      <c r="FL549" s="1171"/>
      <c r="FM549" s="1171"/>
      <c r="FN549" s="1171"/>
      <c r="FO549" s="1171"/>
      <c r="FP549" s="1171"/>
    </row>
    <row r="550" spans="1:172" s="607" customFormat="1">
      <c r="A550" s="607">
        <f t="shared" si="17"/>
        <v>2016</v>
      </c>
      <c r="B550" s="607">
        <f t="shared" si="18"/>
        <v>1</v>
      </c>
      <c r="C550" s="666">
        <v>42401</v>
      </c>
      <c r="D550" s="957">
        <v>0.71279523809523815</v>
      </c>
      <c r="E550" s="920">
        <v>226.29016967907944</v>
      </c>
      <c r="F550" s="920">
        <v>317.46868888151062</v>
      </c>
      <c r="G550" s="920">
        <v>30.958994524086719</v>
      </c>
      <c r="H550" s="920">
        <v>43.433222992365472</v>
      </c>
      <c r="I550" s="954">
        <v>1199.912</v>
      </c>
      <c r="J550" s="954">
        <v>1686.71</v>
      </c>
      <c r="K550" s="954">
        <v>45.57</v>
      </c>
      <c r="L550" s="920">
        <v>63.82</v>
      </c>
      <c r="M550" s="917">
        <v>8309.5238000000008</v>
      </c>
      <c r="N550" s="917">
        <v>11657.658968380689</v>
      </c>
      <c r="O550" s="1175">
        <v>4595.4762000000001</v>
      </c>
      <c r="P550" s="1175">
        <v>6447.1196697107962</v>
      </c>
      <c r="Q550" s="1175">
        <v>1771.5714</v>
      </c>
      <c r="R550" s="1175">
        <v>2485.3861323962669</v>
      </c>
      <c r="S550" s="1175">
        <v>1710.8333</v>
      </c>
      <c r="T550" s="1175">
        <v>2400.1749851356494</v>
      </c>
      <c r="U550" s="920">
        <v>984.25721328312034</v>
      </c>
      <c r="V550" s="920">
        <v>1380.8414544312816</v>
      </c>
      <c r="W550" s="920">
        <v>2031.7145550343773</v>
      </c>
      <c r="X550" s="920">
        <v>2850.3481034239394</v>
      </c>
      <c r="Y550" s="920">
        <v>23860.239096214886</v>
      </c>
      <c r="Z550" s="920">
        <v>33474.184199062882</v>
      </c>
      <c r="AA550" s="920"/>
      <c r="AB550" s="920"/>
      <c r="AC550" s="920">
        <v>15.068</v>
      </c>
      <c r="AD550" s="920">
        <v>21.6</v>
      </c>
      <c r="AE550" s="920">
        <v>22382.381000000001</v>
      </c>
      <c r="AF550" s="920">
        <v>31400.856520606332</v>
      </c>
      <c r="AG550" s="920">
        <v>920.23800000000006</v>
      </c>
      <c r="AH550" s="920">
        <v>1291.0271433056978</v>
      </c>
      <c r="AI550" s="920">
        <v>505.19</v>
      </c>
      <c r="AJ550" s="920">
        <v>708.74491438802295</v>
      </c>
      <c r="AK550" s="920">
        <v>33.200000000000003</v>
      </c>
      <c r="AL550" s="920">
        <v>46.577191072036982</v>
      </c>
      <c r="AM550" s="920">
        <v>35.08</v>
      </c>
      <c r="AN550" s="920">
        <v>49.214694662863167</v>
      </c>
      <c r="AO550" s="920"/>
      <c r="AP550" s="920"/>
      <c r="AS550" s="1167"/>
      <c r="AT550" s="1167"/>
      <c r="AU550" s="1168"/>
      <c r="AV550" s="1168"/>
      <c r="AW550" s="1169"/>
      <c r="AX550" s="1169"/>
      <c r="AY550" s="1169"/>
      <c r="AZ550" s="1169"/>
      <c r="BA550" s="1803" t="s">
        <v>4</v>
      </c>
      <c r="BB550" s="1802">
        <v>2014</v>
      </c>
      <c r="BC550" s="1799" t="s">
        <v>73</v>
      </c>
      <c r="BD550" s="1799">
        <v>7</v>
      </c>
      <c r="BE550" s="1800">
        <v>325868501.89999998</v>
      </c>
      <c r="BF550" s="1801">
        <v>1.3931368732532019E-2</v>
      </c>
      <c r="BG550" s="1799"/>
      <c r="BH550" s="1807" t="s">
        <v>1</v>
      </c>
      <c r="BI550" s="1807" t="s">
        <v>316</v>
      </c>
      <c r="BJ550" s="1807" t="s">
        <v>49</v>
      </c>
      <c r="BK550" s="1807">
        <v>5</v>
      </c>
      <c r="BL550" s="1808">
        <v>1116730000</v>
      </c>
      <c r="BM550" s="1801">
        <v>7.1570139512199191E-2</v>
      </c>
      <c r="BN550" s="1799">
        <v>2011</v>
      </c>
      <c r="BO550" s="1684"/>
      <c r="BP550" s="1696"/>
      <c r="BQ550" s="1169"/>
      <c r="BR550" s="1169"/>
      <c r="BS550" s="1169"/>
      <c r="BT550" s="1169"/>
      <c r="BU550" s="1169"/>
      <c r="BV550" s="1169"/>
      <c r="BW550" s="1169"/>
      <c r="BX550" s="1169"/>
      <c r="BY550" s="1169"/>
      <c r="BZ550" s="1169"/>
      <c r="CA550" s="1169"/>
      <c r="CB550" s="1169"/>
      <c r="CC550" s="1169"/>
      <c r="CD550" s="1169"/>
      <c r="CE550" s="1169"/>
      <c r="CF550" s="1169"/>
      <c r="CG550" s="1169"/>
      <c r="CH550" s="1169"/>
      <c r="CI550" s="1169"/>
      <c r="CJ550" s="1169"/>
      <c r="CK550" s="1169"/>
      <c r="CL550" s="1169"/>
      <c r="CM550" s="1169"/>
      <c r="CN550" s="1169"/>
      <c r="CO550" s="1169"/>
      <c r="CP550" s="1169"/>
      <c r="CQ550" s="1169"/>
      <c r="CR550" s="1169"/>
      <c r="CS550" s="1169"/>
      <c r="CT550" s="1169"/>
      <c r="CU550" s="1169"/>
      <c r="CV550" s="1169"/>
      <c r="CW550" s="1169"/>
      <c r="CX550" s="1169"/>
      <c r="CY550" s="1169"/>
      <c r="CZ550" s="1169"/>
      <c r="DA550" s="1168"/>
      <c r="DB550" s="1168"/>
      <c r="DC550" s="1168"/>
      <c r="DD550" s="1168"/>
      <c r="DE550" s="1168"/>
      <c r="DF550" s="1168"/>
      <c r="DG550" s="1168"/>
      <c r="DH550" s="1168"/>
      <c r="DI550" s="1168"/>
      <c r="DJ550" s="1168"/>
      <c r="DK550" s="1168"/>
      <c r="DL550" s="1168"/>
      <c r="DM550" s="1168"/>
      <c r="DN550" s="1168"/>
      <c r="DO550" s="1168"/>
      <c r="DP550" s="1168"/>
      <c r="DQ550" s="1168"/>
      <c r="DR550" s="1168"/>
      <c r="DS550" s="1168"/>
      <c r="DT550" s="1168"/>
      <c r="DU550" s="1168"/>
      <c r="DV550" s="1168"/>
      <c r="DW550" s="1168"/>
      <c r="DX550" s="1168"/>
      <c r="DY550" s="1168"/>
      <c r="DZ550" s="1168"/>
      <c r="EA550" s="1168"/>
      <c r="EB550" s="1168"/>
      <c r="EC550" s="1168"/>
      <c r="ED550" s="1168"/>
      <c r="EE550" s="1168"/>
      <c r="EF550" s="1168"/>
      <c r="EG550" s="1168"/>
      <c r="EH550" s="1168"/>
      <c r="EI550" s="1170"/>
      <c r="EJ550" s="1170"/>
      <c r="EK550" s="1170"/>
      <c r="EL550" s="1170"/>
      <c r="EM550" s="1170"/>
      <c r="EN550" s="1170"/>
      <c r="EO550" s="1170"/>
      <c r="EP550" s="1170"/>
      <c r="EQ550" s="1170"/>
      <c r="ER550" s="1170"/>
      <c r="ES550" s="1171"/>
      <c r="ET550" s="1171"/>
      <c r="EU550" s="1171"/>
      <c r="EV550" s="1171"/>
      <c r="EW550" s="1171"/>
      <c r="EX550" s="1171"/>
      <c r="EY550" s="1171"/>
      <c r="EZ550" s="1171"/>
      <c r="FA550" s="1171"/>
      <c r="FB550" s="1171"/>
      <c r="FC550" s="1171"/>
      <c r="FD550" s="1171"/>
      <c r="FE550" s="1171"/>
      <c r="FF550" s="1171"/>
      <c r="FG550" s="1171"/>
      <c r="FH550" s="1171"/>
      <c r="FI550" s="1171"/>
      <c r="FJ550" s="1171"/>
      <c r="FK550" s="1171"/>
      <c r="FL550" s="1171"/>
      <c r="FM550" s="1171"/>
      <c r="FN550" s="1171"/>
      <c r="FO550" s="1171"/>
      <c r="FP550" s="1171"/>
    </row>
    <row r="551" spans="1:172" s="607" customFormat="1">
      <c r="A551" s="607">
        <f t="shared" si="17"/>
        <v>2016</v>
      </c>
      <c r="B551" s="607">
        <f t="shared" si="18"/>
        <v>1</v>
      </c>
      <c r="C551" s="666">
        <v>42430</v>
      </c>
      <c r="D551" s="1709">
        <v>0.74831904761904777</v>
      </c>
      <c r="E551" s="1117">
        <v>219.73405078890983</v>
      </c>
      <c r="F551" s="1117">
        <v>293.63685380994264</v>
      </c>
      <c r="G551" s="1117">
        <v>29.49786192716817</v>
      </c>
      <c r="H551" s="1117">
        <v>39.418830806221656</v>
      </c>
      <c r="I551" s="959">
        <v>1246.338</v>
      </c>
      <c r="J551" s="959">
        <v>1677.74</v>
      </c>
      <c r="K551" s="960">
        <v>55.22</v>
      </c>
      <c r="L551" s="1121">
        <v>73.53</v>
      </c>
      <c r="M551" s="916">
        <v>8704.0475999999999</v>
      </c>
      <c r="N551" s="916">
        <v>11631.466054076753</v>
      </c>
      <c r="O551" s="1174">
        <v>4947.5475999999999</v>
      </c>
      <c r="P551" s="1174">
        <v>6611.5483973604314</v>
      </c>
      <c r="Q551" s="1174">
        <v>1808.0237999999999</v>
      </c>
      <c r="R551" s="1174">
        <v>2416.1135624606254</v>
      </c>
      <c r="S551" s="1174">
        <v>1804.6429000000001</v>
      </c>
      <c r="T551" s="1174">
        <v>2411.5955697531608</v>
      </c>
      <c r="U551" s="1120">
        <v>966.08688838672708</v>
      </c>
      <c r="V551" s="1120">
        <v>1291.0093515066317</v>
      </c>
      <c r="W551" s="1120">
        <v>2090.0044801710096</v>
      </c>
      <c r="X551" s="1120">
        <v>2792.9323552846186</v>
      </c>
      <c r="Y551" s="1119">
        <v>27706.000802214996</v>
      </c>
      <c r="Z551" s="1119">
        <v>37024.315885541233</v>
      </c>
      <c r="AA551" s="1119"/>
      <c r="AB551" s="1119"/>
      <c r="AC551" s="1178">
        <v>15.42</v>
      </c>
      <c r="AD551" s="1178">
        <v>21</v>
      </c>
      <c r="AE551" s="1178">
        <v>23158.571400000001</v>
      </c>
      <c r="AF551" s="1178">
        <v>30947.456801593406</v>
      </c>
      <c r="AG551" s="1178">
        <v>968.42899999999997</v>
      </c>
      <c r="AH551" s="1178">
        <v>1294.1391817852073</v>
      </c>
      <c r="AI551" s="1178">
        <v>567.38099999999997</v>
      </c>
      <c r="AJ551" s="1178">
        <v>758.2073472608447</v>
      </c>
      <c r="AK551" s="919">
        <v>39.07</v>
      </c>
      <c r="AL551" s="919">
        <v>52.210350818023876</v>
      </c>
      <c r="AM551" s="919">
        <v>40.99</v>
      </c>
      <c r="AN551" s="919">
        <v>54.776101357327846</v>
      </c>
      <c r="AO551" s="919"/>
      <c r="AP551" s="919"/>
      <c r="AS551" s="1167"/>
      <c r="AT551" s="1167"/>
      <c r="AU551" s="1168"/>
      <c r="AV551" s="1168"/>
      <c r="AW551" s="1169"/>
      <c r="AX551" s="1169"/>
      <c r="AY551" s="1169"/>
      <c r="AZ551" s="1169"/>
      <c r="BA551" s="1803" t="s">
        <v>4</v>
      </c>
      <c r="BB551" s="1802">
        <v>2014</v>
      </c>
      <c r="BC551" s="1799" t="s">
        <v>19</v>
      </c>
      <c r="BD551" s="1799">
        <v>8</v>
      </c>
      <c r="BE551" s="1800">
        <v>154139537.43000001</v>
      </c>
      <c r="BF551" s="1801">
        <v>6.589697131446662E-3</v>
      </c>
      <c r="BG551" s="1799"/>
      <c r="BH551" s="1807" t="s">
        <v>1</v>
      </c>
      <c r="BI551" s="1807" t="s">
        <v>316</v>
      </c>
      <c r="BJ551" s="1807" t="s">
        <v>431</v>
      </c>
      <c r="BK551" s="1807">
        <v>6</v>
      </c>
      <c r="BL551" s="1808">
        <v>338791000</v>
      </c>
      <c r="BM551" s="1801">
        <v>2.171278566482272E-2</v>
      </c>
      <c r="BN551" s="1799">
        <v>2011</v>
      </c>
      <c r="BO551" s="1684"/>
      <c r="BP551" s="1696"/>
      <c r="BQ551" s="1169"/>
      <c r="BR551" s="1169"/>
      <c r="BS551" s="1169"/>
      <c r="BT551" s="1169"/>
      <c r="BU551" s="1169"/>
      <c r="BV551" s="1169"/>
      <c r="BW551" s="1169"/>
      <c r="BX551" s="1169"/>
      <c r="BY551" s="1169"/>
      <c r="BZ551" s="1169"/>
      <c r="CA551" s="1169"/>
      <c r="CB551" s="1169"/>
      <c r="CC551" s="1169"/>
      <c r="CD551" s="1169"/>
      <c r="CE551" s="1169"/>
      <c r="CF551" s="1169"/>
      <c r="CG551" s="1169"/>
      <c r="CH551" s="1169"/>
      <c r="CI551" s="1169"/>
      <c r="CJ551" s="1169"/>
      <c r="CK551" s="1169"/>
      <c r="CL551" s="1169"/>
      <c r="CM551" s="1169"/>
      <c r="CN551" s="1169"/>
      <c r="CO551" s="1169"/>
      <c r="CP551" s="1169"/>
      <c r="CQ551" s="1169"/>
      <c r="CR551" s="1169"/>
      <c r="CS551" s="1169"/>
      <c r="CT551" s="1169"/>
      <c r="CU551" s="1169"/>
      <c r="CV551" s="1169"/>
      <c r="CW551" s="1169"/>
      <c r="CX551" s="1169"/>
      <c r="CY551" s="1169"/>
      <c r="CZ551" s="1169"/>
      <c r="DA551" s="1168"/>
      <c r="DB551" s="1168"/>
      <c r="DC551" s="1168"/>
      <c r="DD551" s="1168"/>
      <c r="DE551" s="1168"/>
      <c r="DF551" s="1168"/>
      <c r="DG551" s="1168"/>
      <c r="DH551" s="1168"/>
      <c r="DI551" s="1168"/>
      <c r="DJ551" s="1168"/>
      <c r="DK551" s="1168"/>
      <c r="DL551" s="1168"/>
      <c r="DM551" s="1168"/>
      <c r="DN551" s="1168"/>
      <c r="DO551" s="1168"/>
      <c r="DP551" s="1168"/>
      <c r="DQ551" s="1168"/>
      <c r="DR551" s="1168"/>
      <c r="DS551" s="1168"/>
      <c r="DT551" s="1168"/>
      <c r="DU551" s="1168"/>
      <c r="DV551" s="1168"/>
      <c r="DW551" s="1168"/>
      <c r="DX551" s="1168"/>
      <c r="DY551" s="1168"/>
      <c r="DZ551" s="1168"/>
      <c r="EA551" s="1168"/>
      <c r="EB551" s="1168"/>
      <c r="EC551" s="1168"/>
      <c r="ED551" s="1168"/>
      <c r="EE551" s="1168"/>
      <c r="EF551" s="1168"/>
      <c r="EG551" s="1168"/>
      <c r="EH551" s="1168"/>
      <c r="EI551" s="1170"/>
      <c r="EJ551" s="1170"/>
      <c r="EK551" s="1170"/>
      <c r="EL551" s="1170"/>
      <c r="EM551" s="1170"/>
      <c r="EN551" s="1170"/>
      <c r="EO551" s="1170"/>
      <c r="EP551" s="1170"/>
      <c r="EQ551" s="1170"/>
      <c r="ER551" s="1170"/>
      <c r="ES551" s="1171"/>
      <c r="ET551" s="1171"/>
      <c r="EU551" s="1171"/>
      <c r="EV551" s="1171"/>
      <c r="EW551" s="1171"/>
      <c r="EX551" s="1171"/>
      <c r="EY551" s="1171"/>
      <c r="EZ551" s="1171"/>
      <c r="FA551" s="1171"/>
      <c r="FB551" s="1171"/>
      <c r="FC551" s="1171"/>
      <c r="FD551" s="1171"/>
      <c r="FE551" s="1171"/>
      <c r="FF551" s="1171"/>
      <c r="FG551" s="1171"/>
      <c r="FH551" s="1171"/>
      <c r="FI551" s="1171"/>
      <c r="FJ551" s="1171"/>
      <c r="FK551" s="1171"/>
      <c r="FL551" s="1171"/>
      <c r="FM551" s="1171"/>
      <c r="FN551" s="1171"/>
      <c r="FO551" s="1171"/>
      <c r="FP551" s="1171"/>
    </row>
    <row r="552" spans="1:172" s="607" customFormat="1">
      <c r="A552" s="607">
        <f t="shared" si="17"/>
        <v>2016</v>
      </c>
      <c r="B552" s="607">
        <f t="shared" si="18"/>
        <v>2</v>
      </c>
      <c r="C552" s="666">
        <v>42461</v>
      </c>
      <c r="D552" s="957">
        <v>0.76619500000000007</v>
      </c>
      <c r="E552" s="920">
        <v>235.77175772350716</v>
      </c>
      <c r="F552" s="920">
        <v>307.7176929156509</v>
      </c>
      <c r="G552" s="920">
        <v>32.073153377303953</v>
      </c>
      <c r="H552" s="920">
        <v>41.860301068662608</v>
      </c>
      <c r="I552" s="954">
        <v>1242.2619999999999</v>
      </c>
      <c r="J552" s="954">
        <v>1631.08</v>
      </c>
      <c r="K552" s="954">
        <v>58.05</v>
      </c>
      <c r="L552" s="920">
        <v>75.75</v>
      </c>
      <c r="M552" s="917">
        <v>8852.6190000000006</v>
      </c>
      <c r="N552" s="917">
        <v>11554.002571147032</v>
      </c>
      <c r="O552" s="1175">
        <v>4851.1189999999997</v>
      </c>
      <c r="P552" s="1175">
        <v>6331.4417348064126</v>
      </c>
      <c r="Q552" s="1175">
        <v>1728.6667</v>
      </c>
      <c r="R552" s="1175">
        <v>2256.1706876186868</v>
      </c>
      <c r="S552" s="1175">
        <v>1851.5237999999999</v>
      </c>
      <c r="T552" s="1175">
        <v>2416.5177272104356</v>
      </c>
      <c r="U552" s="920">
        <v>862.34932884563545</v>
      </c>
      <c r="V552" s="920">
        <v>1125.4958970570617</v>
      </c>
      <c r="W552" s="920">
        <v>2061.7695169371391</v>
      </c>
      <c r="X552" s="920">
        <v>2690.9200881461493</v>
      </c>
      <c r="Y552" s="920">
        <v>28531.411530013909</v>
      </c>
      <c r="Z552" s="920">
        <v>37237.79394281339</v>
      </c>
      <c r="AA552" s="920"/>
      <c r="AB552" s="920"/>
      <c r="AC552" s="920">
        <v>16.259</v>
      </c>
      <c r="AD552" s="920">
        <v>21.57</v>
      </c>
      <c r="AE552" s="920">
        <v>23110.476200000001</v>
      </c>
      <c r="AF552" s="920">
        <v>30162.6559818323</v>
      </c>
      <c r="AG552" s="920">
        <v>994.19</v>
      </c>
      <c r="AH552" s="920">
        <v>1297.5678515260474</v>
      </c>
      <c r="AI552" s="920">
        <v>574.33299999999997</v>
      </c>
      <c r="AJ552" s="920">
        <v>749.59116151893431</v>
      </c>
      <c r="AK552" s="920">
        <v>42.25</v>
      </c>
      <c r="AL552" s="920">
        <v>55.142620351216067</v>
      </c>
      <c r="AM552" s="920">
        <v>43.73</v>
      </c>
      <c r="AN552" s="920">
        <v>57.074243501980554</v>
      </c>
      <c r="AO552" s="920"/>
      <c r="AP552" s="920"/>
      <c r="AS552" s="1167"/>
      <c r="AT552" s="1167"/>
      <c r="AU552" s="1168"/>
      <c r="AV552" s="1168"/>
      <c r="AW552" s="1169"/>
      <c r="AX552" s="1169"/>
      <c r="AY552" s="1169"/>
      <c r="AZ552" s="1169"/>
      <c r="BA552" s="1803" t="s">
        <v>4</v>
      </c>
      <c r="BB552" s="1802">
        <v>2014</v>
      </c>
      <c r="BC552" s="1799" t="s">
        <v>583</v>
      </c>
      <c r="BD552" s="1799">
        <v>9</v>
      </c>
      <c r="BE552" s="1800">
        <v>152807446.93000001</v>
      </c>
      <c r="BF552" s="1801">
        <v>6.532748258412293E-3</v>
      </c>
      <c r="BG552" s="1799"/>
      <c r="BH552" s="1807" t="s">
        <v>1</v>
      </c>
      <c r="BI552" s="1807" t="s">
        <v>316</v>
      </c>
      <c r="BJ552" s="1807" t="s">
        <v>77</v>
      </c>
      <c r="BK552" s="1807">
        <v>7</v>
      </c>
      <c r="BL552" s="1808">
        <v>265020000</v>
      </c>
      <c r="BM552" s="1801">
        <v>1.6984874028210067E-2</v>
      </c>
      <c r="BN552" s="1799">
        <v>2011</v>
      </c>
      <c r="BO552" s="1684"/>
      <c r="BP552" s="1696"/>
      <c r="BQ552" s="1169"/>
      <c r="BR552" s="1169"/>
      <c r="BS552" s="1169"/>
      <c r="BT552" s="1169"/>
      <c r="BU552" s="1169"/>
      <c r="BV552" s="1169"/>
      <c r="BW552" s="1169"/>
      <c r="BX552" s="1169"/>
      <c r="BY552" s="1169"/>
      <c r="BZ552" s="1169"/>
      <c r="CA552" s="1169"/>
      <c r="CB552" s="1169"/>
      <c r="CC552" s="1169"/>
      <c r="CD552" s="1169"/>
      <c r="CE552" s="1169"/>
      <c r="CF552" s="1169"/>
      <c r="CG552" s="1169"/>
      <c r="CH552" s="1169"/>
      <c r="CI552" s="1169"/>
      <c r="CJ552" s="1169"/>
      <c r="CK552" s="1169"/>
      <c r="CL552" s="1169"/>
      <c r="CM552" s="1169"/>
      <c r="CN552" s="1169"/>
      <c r="CO552" s="1169"/>
      <c r="CP552" s="1169"/>
      <c r="CQ552" s="1169"/>
      <c r="CR552" s="1169"/>
      <c r="CS552" s="1169"/>
      <c r="CT552" s="1169"/>
      <c r="CU552" s="1169"/>
      <c r="CV552" s="1169"/>
      <c r="CW552" s="1169"/>
      <c r="CX552" s="1169"/>
      <c r="CY552" s="1169"/>
      <c r="CZ552" s="1169"/>
      <c r="DA552" s="1168"/>
      <c r="DB552" s="1168"/>
      <c r="DC552" s="1168"/>
      <c r="DD552" s="1168"/>
      <c r="DE552" s="1168"/>
      <c r="DF552" s="1168"/>
      <c r="DG552" s="1168"/>
      <c r="DH552" s="1168"/>
      <c r="DI552" s="1168"/>
      <c r="DJ552" s="1168"/>
      <c r="DK552" s="1168"/>
      <c r="DL552" s="1168"/>
      <c r="DM552" s="1168"/>
      <c r="DN552" s="1168"/>
      <c r="DO552" s="1168"/>
      <c r="DP552" s="1168"/>
      <c r="DQ552" s="1168"/>
      <c r="DR552" s="1168"/>
      <c r="DS552" s="1168"/>
      <c r="DT552" s="1168"/>
      <c r="DU552" s="1168"/>
      <c r="DV552" s="1168"/>
      <c r="DW552" s="1168"/>
      <c r="DX552" s="1168"/>
      <c r="DY552" s="1168"/>
      <c r="DZ552" s="1168"/>
      <c r="EA552" s="1168"/>
      <c r="EB552" s="1168"/>
      <c r="EC552" s="1168"/>
      <c r="ED552" s="1168"/>
      <c r="EE552" s="1168"/>
      <c r="EF552" s="1168"/>
      <c r="EG552" s="1168"/>
      <c r="EH552" s="1168"/>
      <c r="EI552" s="1170"/>
      <c r="EJ552" s="1170"/>
      <c r="EK552" s="1170"/>
      <c r="EL552" s="1170"/>
      <c r="EM552" s="1170"/>
      <c r="EN552" s="1170"/>
      <c r="EO552" s="1170"/>
      <c r="EP552" s="1170"/>
      <c r="EQ552" s="1170"/>
      <c r="ER552" s="1170"/>
      <c r="ES552" s="1171"/>
      <c r="ET552" s="1171"/>
      <c r="EU552" s="1171"/>
      <c r="EV552" s="1171"/>
      <c r="EW552" s="1171"/>
      <c r="EX552" s="1171"/>
      <c r="EY552" s="1171"/>
      <c r="EZ552" s="1171"/>
      <c r="FA552" s="1171"/>
      <c r="FB552" s="1171"/>
      <c r="FC552" s="1171"/>
      <c r="FD552" s="1171"/>
      <c r="FE552" s="1171"/>
      <c r="FF552" s="1171"/>
      <c r="FG552" s="1171"/>
      <c r="FH552" s="1171"/>
      <c r="FI552" s="1171"/>
      <c r="FJ552" s="1171"/>
      <c r="FK552" s="1171"/>
      <c r="FL552" s="1171"/>
      <c r="FM552" s="1171"/>
      <c r="FN552" s="1171"/>
      <c r="FO552" s="1171"/>
      <c r="FP552" s="1171"/>
    </row>
    <row r="553" spans="1:172" s="607" customFormat="1">
      <c r="A553" s="607">
        <f t="shared" si="17"/>
        <v>2016</v>
      </c>
      <c r="B553" s="607">
        <f t="shared" si="18"/>
        <v>2</v>
      </c>
      <c r="C553" s="666">
        <v>42491</v>
      </c>
      <c r="D553" s="1709">
        <v>0.73223181818181826</v>
      </c>
      <c r="E553" s="1117">
        <v>242.26145741056934</v>
      </c>
      <c r="F553" s="1117">
        <v>330.85349665918795</v>
      </c>
      <c r="G553" s="1117">
        <v>33.704195866949362</v>
      </c>
      <c r="H553" s="1117">
        <v>46.029406302827958</v>
      </c>
      <c r="I553" s="959">
        <v>1259.3979999999999</v>
      </c>
      <c r="J553" s="959">
        <v>1729.64</v>
      </c>
      <c r="K553" s="960">
        <v>53.64</v>
      </c>
      <c r="L553" s="1121">
        <v>73.260000000000005</v>
      </c>
      <c r="M553" s="916">
        <v>8689.25</v>
      </c>
      <c r="N553" s="916">
        <v>11866.801993904066</v>
      </c>
      <c r="O553" s="1174">
        <v>4708.3500000000004</v>
      </c>
      <c r="P553" s="1174">
        <v>6430.1357617744006</v>
      </c>
      <c r="Q553" s="1174">
        <v>1714.425</v>
      </c>
      <c r="R553" s="1174">
        <v>2341.3691640128868</v>
      </c>
      <c r="S553" s="1174">
        <v>1871.2</v>
      </c>
      <c r="T553" s="1174">
        <v>2555.4748558268307</v>
      </c>
      <c r="U553" s="1120">
        <v>869.93376122046504</v>
      </c>
      <c r="V553" s="1120">
        <v>1188.057852198461</v>
      </c>
      <c r="W553" s="1120">
        <v>2111.5900271630981</v>
      </c>
      <c r="X553" s="1120">
        <v>2883.7725631840481</v>
      </c>
      <c r="Y553" s="1119">
        <v>27183.019755634847</v>
      </c>
      <c r="Z553" s="1119">
        <v>37123.516187991045</v>
      </c>
      <c r="AA553" s="1119"/>
      <c r="AB553" s="1119"/>
      <c r="AC553" s="1178">
        <v>16.888999999999999</v>
      </c>
      <c r="AD553" s="1178">
        <v>23.52</v>
      </c>
      <c r="AE553" s="1178">
        <v>23589.25</v>
      </c>
      <c r="AF553" s="1178">
        <v>32215.548975423826</v>
      </c>
      <c r="AG553" s="1178">
        <v>1033.7</v>
      </c>
      <c r="AH553" s="1178">
        <v>1411.7113929393945</v>
      </c>
      <c r="AI553" s="1178">
        <v>576.75</v>
      </c>
      <c r="AJ553" s="1178">
        <v>787.66039071084037</v>
      </c>
      <c r="AK553" s="919">
        <v>47.1</v>
      </c>
      <c r="AL553" s="919">
        <v>64.323891465072535</v>
      </c>
      <c r="AM553" s="919">
        <v>48.53</v>
      </c>
      <c r="AN553" s="919">
        <v>66.276824900211679</v>
      </c>
      <c r="AO553" s="919"/>
      <c r="AP553" s="919"/>
      <c r="AS553" s="1167"/>
      <c r="AT553" s="1167"/>
      <c r="AU553" s="1168"/>
      <c r="AV553" s="1168"/>
      <c r="AW553" s="1169"/>
      <c r="AX553" s="1169"/>
      <c r="AY553" s="1169"/>
      <c r="AZ553" s="1169"/>
      <c r="BA553" s="1803" t="s">
        <v>4</v>
      </c>
      <c r="BB553" s="1802">
        <v>2014</v>
      </c>
      <c r="BC553" s="1799" t="s">
        <v>341</v>
      </c>
      <c r="BD553" s="1799">
        <v>10</v>
      </c>
      <c r="BE553" s="1800">
        <v>70357676.700000003</v>
      </c>
      <c r="BF553" s="1801">
        <v>3.0078965335924562E-3</v>
      </c>
      <c r="BG553" s="1799"/>
      <c r="BH553" s="1807" t="s">
        <v>1</v>
      </c>
      <c r="BI553" s="1807" t="s">
        <v>316</v>
      </c>
      <c r="BJ553" s="1807" t="s">
        <v>581</v>
      </c>
      <c r="BK553" s="1807">
        <v>8</v>
      </c>
      <c r="BL553" s="1808">
        <v>252254000</v>
      </c>
      <c r="BM553" s="1801">
        <v>1.6166713505064156E-2</v>
      </c>
      <c r="BN553" s="1799">
        <v>2011</v>
      </c>
      <c r="BO553" s="1684"/>
      <c r="BP553" s="1696"/>
      <c r="BQ553" s="1169"/>
      <c r="BR553" s="1169"/>
      <c r="BS553" s="1169"/>
      <c r="BT553" s="1169"/>
      <c r="BU553" s="1169"/>
      <c r="BV553" s="1169"/>
      <c r="BW553" s="1169"/>
      <c r="BX553" s="1169"/>
      <c r="BY553" s="1169"/>
      <c r="BZ553" s="1169"/>
      <c r="CA553" s="1169"/>
      <c r="CB553" s="1169"/>
      <c r="CC553" s="1169"/>
      <c r="CD553" s="1169"/>
      <c r="CE553" s="1169"/>
      <c r="CF553" s="1169"/>
      <c r="CG553" s="1169"/>
      <c r="CH553" s="1169"/>
      <c r="CI553" s="1169"/>
      <c r="CJ553" s="1169"/>
      <c r="CK553" s="1169"/>
      <c r="CL553" s="1169"/>
      <c r="CM553" s="1169"/>
      <c r="CN553" s="1169"/>
      <c r="CO553" s="1169"/>
      <c r="CP553" s="1169"/>
      <c r="CQ553" s="1169"/>
      <c r="CR553" s="1169"/>
      <c r="CS553" s="1169"/>
      <c r="CT553" s="1169"/>
      <c r="CU553" s="1169"/>
      <c r="CV553" s="1169"/>
      <c r="CW553" s="1169"/>
      <c r="CX553" s="1169"/>
      <c r="CY553" s="1169"/>
      <c r="CZ553" s="1169"/>
      <c r="DA553" s="1168"/>
      <c r="DB553" s="1168"/>
      <c r="DC553" s="1168"/>
      <c r="DD553" s="1168"/>
      <c r="DE553" s="1168"/>
      <c r="DF553" s="1168"/>
      <c r="DG553" s="1168"/>
      <c r="DH553" s="1168"/>
      <c r="DI553" s="1168"/>
      <c r="DJ553" s="1168"/>
      <c r="DK553" s="1168"/>
      <c r="DL553" s="1168"/>
      <c r="DM553" s="1168"/>
      <c r="DN553" s="1168"/>
      <c r="DO553" s="1168"/>
      <c r="DP553" s="1168"/>
      <c r="DQ553" s="1168"/>
      <c r="DR553" s="1168"/>
      <c r="DS553" s="1168"/>
      <c r="DT553" s="1168"/>
      <c r="DU553" s="1168"/>
      <c r="DV553" s="1168"/>
      <c r="DW553" s="1168"/>
      <c r="DX553" s="1168"/>
      <c r="DY553" s="1168"/>
      <c r="DZ553" s="1168"/>
      <c r="EA553" s="1168"/>
      <c r="EB553" s="1168"/>
      <c r="EC553" s="1168"/>
      <c r="ED553" s="1168"/>
      <c r="EE553" s="1168"/>
      <c r="EF553" s="1168"/>
      <c r="EG553" s="1168"/>
      <c r="EH553" s="1168"/>
      <c r="EI553" s="1170"/>
      <c r="EJ553" s="1170"/>
      <c r="EK553" s="1170"/>
      <c r="EL553" s="1170"/>
      <c r="EM553" s="1170"/>
      <c r="EN553" s="1170"/>
      <c r="EO553" s="1170"/>
      <c r="EP553" s="1170"/>
      <c r="EQ553" s="1170"/>
      <c r="ER553" s="1170"/>
      <c r="ES553" s="1171"/>
      <c r="ET553" s="1171"/>
      <c r="EU553" s="1171"/>
      <c r="EV553" s="1171"/>
      <c r="EW553" s="1171"/>
      <c r="EX553" s="1171"/>
      <c r="EY553" s="1171"/>
      <c r="EZ553" s="1171"/>
      <c r="FA553" s="1171"/>
      <c r="FB553" s="1171"/>
      <c r="FC553" s="1171"/>
      <c r="FD553" s="1171"/>
      <c r="FE553" s="1171"/>
      <c r="FF553" s="1171"/>
      <c r="FG553" s="1171"/>
      <c r="FH553" s="1171"/>
      <c r="FI553" s="1171"/>
      <c r="FJ553" s="1171"/>
      <c r="FK553" s="1171"/>
      <c r="FL553" s="1171"/>
      <c r="FM553" s="1171"/>
      <c r="FN553" s="1171"/>
      <c r="FO553" s="1171"/>
      <c r="FP553" s="1171"/>
    </row>
    <row r="554" spans="1:172" s="607" customFormat="1">
      <c r="A554" s="607">
        <f t="shared" si="17"/>
        <v>2016</v>
      </c>
      <c r="B554" s="607">
        <f t="shared" si="18"/>
        <v>2</v>
      </c>
      <c r="C554" s="666">
        <v>42522</v>
      </c>
      <c r="D554" s="957">
        <v>0.73961904761904751</v>
      </c>
      <c r="E554" s="920">
        <v>247.64631057203871</v>
      </c>
      <c r="F554" s="920">
        <v>334.82954687180103</v>
      </c>
      <c r="G554" s="920">
        <v>30.534330131846655</v>
      </c>
      <c r="H554" s="920">
        <v>41.283861239298211</v>
      </c>
      <c r="I554" s="954">
        <v>1276.405</v>
      </c>
      <c r="J554" s="954">
        <v>1731.45</v>
      </c>
      <c r="K554" s="954">
        <v>52.72</v>
      </c>
      <c r="L554" s="920">
        <v>71.180000000000007</v>
      </c>
      <c r="M554" s="917">
        <v>8915.4544999999998</v>
      </c>
      <c r="N554" s="917">
        <v>12054.116952098893</v>
      </c>
      <c r="O554" s="1175">
        <v>4630.6364000000003</v>
      </c>
      <c r="P554" s="1175">
        <v>6260.8398403296433</v>
      </c>
      <c r="Q554" s="1175">
        <v>1713.9091000000001</v>
      </c>
      <c r="R554" s="1175">
        <v>2317.2863185681181</v>
      </c>
      <c r="S554" s="1175">
        <v>2023</v>
      </c>
      <c r="T554" s="1175">
        <v>2735.1918619624007</v>
      </c>
      <c r="U554" s="920">
        <v>866.53959848688999</v>
      </c>
      <c r="V554" s="920">
        <v>1171.6025990358416</v>
      </c>
      <c r="W554" s="920">
        <v>2092.842457346726</v>
      </c>
      <c r="X554" s="920">
        <v>2829.6221738527715</v>
      </c>
      <c r="Y554" s="920">
        <v>25237.782014434149</v>
      </c>
      <c r="Z554" s="920">
        <v>34122.677202106439</v>
      </c>
      <c r="AA554" s="920"/>
      <c r="AB554" s="920"/>
      <c r="AC554" s="920">
        <v>17.181000000000001</v>
      </c>
      <c r="AD554" s="920">
        <v>23.63</v>
      </c>
      <c r="AE554" s="920">
        <v>23925.909100000001</v>
      </c>
      <c r="AF554" s="920">
        <v>32348.962857326816</v>
      </c>
      <c r="AG554" s="920">
        <v>984.13599999999997</v>
      </c>
      <c r="AH554" s="920">
        <v>1330.5985063095545</v>
      </c>
      <c r="AI554" s="920">
        <v>553.09100000000001</v>
      </c>
      <c r="AJ554" s="920">
        <v>747.80524079320128</v>
      </c>
      <c r="AK554" s="920">
        <v>48.48</v>
      </c>
      <c r="AL554" s="920">
        <v>65.547257275302613</v>
      </c>
      <c r="AM554" s="920">
        <v>49.98</v>
      </c>
      <c r="AN554" s="920">
        <v>67.575328354365183</v>
      </c>
      <c r="AO554" s="920">
        <v>4.9586615412454398</v>
      </c>
      <c r="AP554" s="920">
        <v>6.7043453751065059</v>
      </c>
      <c r="AS554" s="1167"/>
      <c r="AT554" s="1167"/>
      <c r="AU554" s="1168"/>
      <c r="AV554" s="1168"/>
      <c r="AW554" s="1169"/>
      <c r="AX554" s="1169"/>
      <c r="AY554" s="1169"/>
      <c r="AZ554" s="1169"/>
      <c r="BA554" s="1803" t="s">
        <v>4</v>
      </c>
      <c r="BB554" s="1802">
        <v>2014</v>
      </c>
      <c r="BC554" s="1799" t="s">
        <v>32</v>
      </c>
      <c r="BD554" s="1799"/>
      <c r="BE554" s="1800">
        <v>206950712.61000061</v>
      </c>
      <c r="BF554" s="1801">
        <v>8.8474543259628325E-3</v>
      </c>
      <c r="BG554" s="1799"/>
      <c r="BH554" s="1807" t="s">
        <v>1</v>
      </c>
      <c r="BI554" s="1807" t="s">
        <v>316</v>
      </c>
      <c r="BJ554" s="1807" t="s">
        <v>46</v>
      </c>
      <c r="BK554" s="1807">
        <v>9</v>
      </c>
      <c r="BL554" s="1808">
        <v>101815000</v>
      </c>
      <c r="BM554" s="1801">
        <v>6.5252243196068519E-3</v>
      </c>
      <c r="BN554" s="1799">
        <v>2011</v>
      </c>
      <c r="BO554" s="1684"/>
      <c r="BP554" s="1696"/>
      <c r="BQ554" s="1169"/>
      <c r="BR554" s="1169"/>
      <c r="BS554" s="1169"/>
      <c r="BT554" s="1169"/>
      <c r="BU554" s="1169"/>
      <c r="BV554" s="1169"/>
      <c r="BW554" s="1169"/>
      <c r="BX554" s="1169"/>
      <c r="BY554" s="1169"/>
      <c r="BZ554" s="1169"/>
      <c r="CA554" s="1169"/>
      <c r="CB554" s="1169"/>
      <c r="CC554" s="1169"/>
      <c r="CD554" s="1169"/>
      <c r="CE554" s="1169"/>
      <c r="CF554" s="1169"/>
      <c r="CG554" s="1169"/>
      <c r="CH554" s="1169"/>
      <c r="CI554" s="1169"/>
      <c r="CJ554" s="1169"/>
      <c r="CK554" s="1169"/>
      <c r="CL554" s="1169"/>
      <c r="CM554" s="1169"/>
      <c r="CN554" s="1169"/>
      <c r="CO554" s="1169"/>
      <c r="CP554" s="1169"/>
      <c r="CQ554" s="1169"/>
      <c r="CR554" s="1169"/>
      <c r="CS554" s="1169"/>
      <c r="CT554" s="1169"/>
      <c r="CU554" s="1169"/>
      <c r="CV554" s="1169"/>
      <c r="CW554" s="1169"/>
      <c r="CX554" s="1169"/>
      <c r="CY554" s="1169"/>
      <c r="CZ554" s="1169"/>
      <c r="DA554" s="1168"/>
      <c r="DB554" s="1168"/>
      <c r="DC554" s="1168"/>
      <c r="DD554" s="1168"/>
      <c r="DE554" s="1168"/>
      <c r="DF554" s="1168"/>
      <c r="DG554" s="1168"/>
      <c r="DH554" s="1168"/>
      <c r="DI554" s="1168"/>
      <c r="DJ554" s="1168"/>
      <c r="DK554" s="1168"/>
      <c r="DL554" s="1168"/>
      <c r="DM554" s="1168"/>
      <c r="DN554" s="1168"/>
      <c r="DO554" s="1168"/>
      <c r="DP554" s="1168"/>
      <c r="DQ554" s="1168"/>
      <c r="DR554" s="1168"/>
      <c r="DS554" s="1168"/>
      <c r="DT554" s="1168"/>
      <c r="DU554" s="1168"/>
      <c r="DV554" s="1168"/>
      <c r="DW554" s="1168"/>
      <c r="DX554" s="1168"/>
      <c r="DY554" s="1168"/>
      <c r="DZ554" s="1168"/>
      <c r="EA554" s="1168"/>
      <c r="EB554" s="1168"/>
      <c r="EC554" s="1168"/>
      <c r="ED554" s="1168"/>
      <c r="EE554" s="1168"/>
      <c r="EF554" s="1168"/>
      <c r="EG554" s="1168"/>
      <c r="EH554" s="1168"/>
      <c r="EI554" s="1170"/>
      <c r="EJ554" s="1170"/>
      <c r="EK554" s="1170"/>
      <c r="EL554" s="1170"/>
      <c r="EM554" s="1170"/>
      <c r="EN554" s="1170"/>
      <c r="EO554" s="1170"/>
      <c r="EP554" s="1170"/>
      <c r="EQ554" s="1170"/>
      <c r="ER554" s="1170"/>
      <c r="ES554" s="1171"/>
      <c r="ET554" s="1171"/>
      <c r="EU554" s="1171"/>
      <c r="EV554" s="1171"/>
      <c r="EW554" s="1171"/>
      <c r="EX554" s="1171"/>
      <c r="EY554" s="1171"/>
      <c r="EZ554" s="1171"/>
      <c r="FA554" s="1171"/>
      <c r="FB554" s="1171"/>
      <c r="FC554" s="1171"/>
      <c r="FD554" s="1171"/>
      <c r="FE554" s="1171"/>
      <c r="FF554" s="1171"/>
      <c r="FG554" s="1171"/>
      <c r="FH554" s="1171"/>
      <c r="FI554" s="1171"/>
      <c r="FJ554" s="1171"/>
      <c r="FK554" s="1171"/>
      <c r="FL554" s="1171"/>
      <c r="FM554" s="1171"/>
      <c r="FN554" s="1171"/>
      <c r="FO554" s="1171"/>
      <c r="FP554" s="1171"/>
    </row>
    <row r="555" spans="1:172" s="607" customFormat="1">
      <c r="A555" s="607">
        <f t="shared" si="17"/>
        <v>2016</v>
      </c>
      <c r="B555" s="607">
        <f t="shared" si="18"/>
        <v>3</v>
      </c>
      <c r="C555" s="666">
        <v>42552</v>
      </c>
      <c r="D555" s="1709">
        <v>0.75259047619047614</v>
      </c>
      <c r="E555" s="1117">
        <v>239.57876597413431</v>
      </c>
      <c r="F555" s="1117">
        <v>318.33882244544691</v>
      </c>
      <c r="G555" s="1117">
        <v>31.485085813143005</v>
      </c>
      <c r="H555" s="1117">
        <v>41.835615529599551</v>
      </c>
      <c r="I555" s="959">
        <v>1337.326</v>
      </c>
      <c r="J555" s="959">
        <v>1789.93</v>
      </c>
      <c r="K555" s="960">
        <v>56.83</v>
      </c>
      <c r="L555" s="1121">
        <v>75.47</v>
      </c>
      <c r="M555" s="916">
        <v>10251.9048</v>
      </c>
      <c r="N555" s="916">
        <v>13622.155905950243</v>
      </c>
      <c r="O555" s="1174">
        <v>4855.7857000000004</v>
      </c>
      <c r="P555" s="1174">
        <v>6452.0955999595062</v>
      </c>
      <c r="Q555" s="1174">
        <v>1834.8810000000001</v>
      </c>
      <c r="R555" s="1174">
        <v>2438.086925160082</v>
      </c>
      <c r="S555" s="1174">
        <v>2184.8332999999998</v>
      </c>
      <c r="T555" s="1174">
        <v>2903.0839070132365</v>
      </c>
      <c r="U555" s="1120">
        <v>890.94504483812398</v>
      </c>
      <c r="V555" s="1120">
        <v>1183.8377883121539</v>
      </c>
      <c r="W555" s="1120">
        <v>2138.677140880437</v>
      </c>
      <c r="X555" s="1120">
        <v>2841.7541924077586</v>
      </c>
      <c r="Y555" s="1119">
        <v>24540.761288684505</v>
      </c>
      <c r="Z555" s="1119">
        <v>32608.386719038663</v>
      </c>
      <c r="AA555" s="1119"/>
      <c r="AB555" s="1119"/>
      <c r="AC555" s="1178">
        <v>19.928999999999998</v>
      </c>
      <c r="AD555" s="1178">
        <v>26.91</v>
      </c>
      <c r="AE555" s="1178">
        <v>25244.047600000002</v>
      </c>
      <c r="AF555" s="1178">
        <v>33542.874111007062</v>
      </c>
      <c r="AG555" s="1178">
        <v>1086.4760000000001</v>
      </c>
      <c r="AH555" s="1178">
        <v>1443.6483510921012</v>
      </c>
      <c r="AI555" s="1178">
        <v>646.048</v>
      </c>
      <c r="AJ555" s="1178">
        <v>858.43233529903068</v>
      </c>
      <c r="AK555" s="919">
        <v>45.07</v>
      </c>
      <c r="AL555" s="919">
        <v>59.886487307332139</v>
      </c>
      <c r="AM555" s="919">
        <v>45.84</v>
      </c>
      <c r="AN555" s="919">
        <v>60.90962010579333</v>
      </c>
      <c r="AO555" s="919">
        <v>5.4933842012956768</v>
      </c>
      <c r="AP555" s="919">
        <v>7.2993007154469147</v>
      </c>
      <c r="AS555" s="1167"/>
      <c r="AT555" s="1167"/>
      <c r="AU555" s="1168"/>
      <c r="AV555" s="1168"/>
      <c r="AW555" s="1169"/>
      <c r="AX555" s="1169"/>
      <c r="AY555" s="1169"/>
      <c r="AZ555" s="1169"/>
      <c r="BA555" s="1803" t="s">
        <v>4</v>
      </c>
      <c r="BB555" s="1802">
        <v>2014</v>
      </c>
      <c r="BC555" s="1799" t="s">
        <v>249</v>
      </c>
      <c r="BD555" s="1799"/>
      <c r="BE555" s="1800">
        <v>23390989654.810001</v>
      </c>
      <c r="BF555" s="1801"/>
      <c r="BG555" s="1799"/>
      <c r="BH555" s="1807" t="s">
        <v>1</v>
      </c>
      <c r="BI555" s="1807" t="s">
        <v>316</v>
      </c>
      <c r="BJ555" s="1807" t="s">
        <v>55</v>
      </c>
      <c r="BK555" s="1807">
        <v>10</v>
      </c>
      <c r="BL555" s="1808">
        <v>64040000</v>
      </c>
      <c r="BM555" s="1801">
        <v>4.1042613114729938E-3</v>
      </c>
      <c r="BN555" s="1799">
        <v>2011</v>
      </c>
      <c r="BO555" s="1684"/>
      <c r="BP555" s="1696"/>
      <c r="BQ555" s="1169"/>
      <c r="BR555" s="1169"/>
      <c r="BS555" s="1169"/>
      <c r="BT555" s="1169"/>
      <c r="BU555" s="1169"/>
      <c r="BV555" s="1169"/>
      <c r="BW555" s="1169"/>
      <c r="BX555" s="1169"/>
      <c r="BY555" s="1169"/>
      <c r="BZ555" s="1169"/>
      <c r="CA555" s="1169"/>
      <c r="CB555" s="1169"/>
      <c r="CC555" s="1169"/>
      <c r="CD555" s="1169"/>
      <c r="CE555" s="1169"/>
      <c r="CF555" s="1169"/>
      <c r="CG555" s="1169"/>
      <c r="CH555" s="1169"/>
      <c r="CI555" s="1169"/>
      <c r="CJ555" s="1169"/>
      <c r="CK555" s="1169"/>
      <c r="CL555" s="1169"/>
      <c r="CM555" s="1169"/>
      <c r="CN555" s="1169"/>
      <c r="CO555" s="1169"/>
      <c r="CP555" s="1169"/>
      <c r="CQ555" s="1169"/>
      <c r="CR555" s="1169"/>
      <c r="CS555" s="1169"/>
      <c r="CT555" s="1169"/>
      <c r="CU555" s="1169"/>
      <c r="CV555" s="1169"/>
      <c r="CW555" s="1169"/>
      <c r="CX555" s="1169"/>
      <c r="CY555" s="1169"/>
      <c r="CZ555" s="1169"/>
      <c r="DA555" s="1168"/>
      <c r="DB555" s="1168"/>
      <c r="DC555" s="1168"/>
      <c r="DD555" s="1168"/>
      <c r="DE555" s="1168"/>
      <c r="DF555" s="1168"/>
      <c r="DG555" s="1168"/>
      <c r="DH555" s="1168"/>
      <c r="DI555" s="1168"/>
      <c r="DJ555" s="1168"/>
      <c r="DK555" s="1168"/>
      <c r="DL555" s="1168"/>
      <c r="DM555" s="1168"/>
      <c r="DN555" s="1168"/>
      <c r="DO555" s="1168"/>
      <c r="DP555" s="1168"/>
      <c r="DQ555" s="1168"/>
      <c r="DR555" s="1168"/>
      <c r="DS555" s="1168"/>
      <c r="DT555" s="1168"/>
      <c r="DU555" s="1168"/>
      <c r="DV555" s="1168"/>
      <c r="DW555" s="1168"/>
      <c r="DX555" s="1168"/>
      <c r="DY555" s="1168"/>
      <c r="DZ555" s="1168"/>
      <c r="EA555" s="1168"/>
      <c r="EB555" s="1168"/>
      <c r="EC555" s="1168"/>
      <c r="ED555" s="1168"/>
      <c r="EE555" s="1168"/>
      <c r="EF555" s="1168"/>
      <c r="EG555" s="1168"/>
      <c r="EH555" s="1168"/>
      <c r="EI555" s="1170"/>
      <c r="EJ555" s="1170"/>
      <c r="EK555" s="1170"/>
      <c r="EL555" s="1170"/>
      <c r="EM555" s="1170"/>
      <c r="EN555" s="1170"/>
      <c r="EO555" s="1170"/>
      <c r="EP555" s="1170"/>
      <c r="EQ555" s="1170"/>
      <c r="ER555" s="1170"/>
      <c r="ES555" s="1171"/>
      <c r="ET555" s="1171"/>
      <c r="EU555" s="1171"/>
      <c r="EV555" s="1171"/>
      <c r="EW555" s="1171"/>
      <c r="EX555" s="1171"/>
      <c r="EY555" s="1171"/>
      <c r="EZ555" s="1171"/>
      <c r="FA555" s="1171"/>
      <c r="FB555" s="1171"/>
      <c r="FC555" s="1171"/>
      <c r="FD555" s="1171"/>
      <c r="FE555" s="1171"/>
      <c r="FF555" s="1171"/>
      <c r="FG555" s="1171"/>
      <c r="FH555" s="1171"/>
      <c r="FI555" s="1171"/>
      <c r="FJ555" s="1171"/>
      <c r="FK555" s="1171"/>
      <c r="FL555" s="1171"/>
      <c r="FM555" s="1171"/>
      <c r="FN555" s="1171"/>
      <c r="FO555" s="1171"/>
      <c r="FP555" s="1171"/>
    </row>
    <row r="556" spans="1:172" s="607" customFormat="1">
      <c r="A556" s="607">
        <f t="shared" si="17"/>
        <v>2016</v>
      </c>
      <c r="B556" s="607">
        <f t="shared" si="18"/>
        <v>3</v>
      </c>
      <c r="C556" s="666">
        <v>42583</v>
      </c>
      <c r="D556" s="957">
        <v>0.76295909090909109</v>
      </c>
      <c r="E556" s="920">
        <v>237.14986858615842</v>
      </c>
      <c r="F556" s="920">
        <v>310.82907512588451</v>
      </c>
      <c r="G556" s="920">
        <v>30.688704121124015</v>
      </c>
      <c r="H556" s="920">
        <v>40.223262933478395</v>
      </c>
      <c r="I556" s="954">
        <v>1341.0889999999999</v>
      </c>
      <c r="J556" s="954">
        <v>1770.59</v>
      </c>
      <c r="K556" s="954">
        <v>60.63</v>
      </c>
      <c r="L556" s="920">
        <v>79.540000000000006</v>
      </c>
      <c r="M556" s="917">
        <v>10353.863600000001</v>
      </c>
      <c r="N556" s="917">
        <v>13570.666793763514</v>
      </c>
      <c r="O556" s="1175">
        <v>4758.2044999999998</v>
      </c>
      <c r="P556" s="1175">
        <v>6236.5132766560801</v>
      </c>
      <c r="Q556" s="1175">
        <v>1838.8864000000001</v>
      </c>
      <c r="R556" s="1175">
        <v>2410.2031444554987</v>
      </c>
      <c r="S556" s="1175">
        <v>2282.7727</v>
      </c>
      <c r="T556" s="1175">
        <v>2991.9988203823623</v>
      </c>
      <c r="U556" s="920">
        <v>871.68878235354009</v>
      </c>
      <c r="V556" s="920">
        <v>1142.5105130012855</v>
      </c>
      <c r="W556" s="920">
        <v>2145.4411863219302</v>
      </c>
      <c r="X556" s="920">
        <v>2812.0002918709124</v>
      </c>
      <c r="Y556" s="920">
        <v>24610.504716372325</v>
      </c>
      <c r="Z556" s="920">
        <v>32256.650467390187</v>
      </c>
      <c r="AA556" s="920"/>
      <c r="AB556" s="920"/>
      <c r="AC556" s="920">
        <v>19.64</v>
      </c>
      <c r="AD556" s="920">
        <v>26.18</v>
      </c>
      <c r="AE556" s="920">
        <v>26477.727299999999</v>
      </c>
      <c r="AF556" s="920">
        <v>34703.993458484001</v>
      </c>
      <c r="AG556" s="920">
        <v>1123.7729999999999</v>
      </c>
      <c r="AH556" s="920">
        <v>1472.9138342935098</v>
      </c>
      <c r="AI556" s="920">
        <v>700</v>
      </c>
      <c r="AJ556" s="920">
        <v>917.48038438853484</v>
      </c>
      <c r="AK556" s="920">
        <v>46.14</v>
      </c>
      <c r="AL556" s="920">
        <v>60.47506419383857</v>
      </c>
      <c r="AM556" s="920">
        <v>46.4</v>
      </c>
      <c r="AN556" s="920">
        <v>60.815842622325739</v>
      </c>
      <c r="AO556" s="920">
        <v>5.6033714987148393</v>
      </c>
      <c r="AP556" s="920">
        <v>7.3442620521609303</v>
      </c>
      <c r="AS556" s="1167"/>
      <c r="AT556" s="1167"/>
      <c r="AU556" s="1168"/>
      <c r="AV556" s="1168"/>
      <c r="AW556" s="1169"/>
      <c r="AX556" s="1169"/>
      <c r="AY556" s="1169"/>
      <c r="AZ556" s="1169"/>
      <c r="BA556" s="1803" t="s">
        <v>4</v>
      </c>
      <c r="BB556" s="1802">
        <v>2013</v>
      </c>
      <c r="BC556" s="1799" t="s">
        <v>20</v>
      </c>
      <c r="BD556" s="1799">
        <v>1</v>
      </c>
      <c r="BE556" s="1800">
        <v>11971380719</v>
      </c>
      <c r="BF556" s="1801">
        <v>0.6</v>
      </c>
      <c r="BG556" s="1799"/>
      <c r="BH556" s="1807" t="s">
        <v>1</v>
      </c>
      <c r="BI556" s="1807" t="s">
        <v>316</v>
      </c>
      <c r="BJ556" s="1807" t="s">
        <v>32</v>
      </c>
      <c r="BK556" s="1807"/>
      <c r="BL556" s="1808">
        <v>32710000</v>
      </c>
      <c r="BM556" s="1801">
        <v>2.0963520846077706E-3</v>
      </c>
      <c r="BN556" s="1799">
        <v>2011</v>
      </c>
      <c r="BO556" s="1684"/>
      <c r="BP556" s="1696"/>
      <c r="BQ556" s="1169"/>
      <c r="BR556" s="1169"/>
      <c r="BS556" s="1169"/>
      <c r="BT556" s="1169"/>
      <c r="BU556" s="1169"/>
      <c r="BV556" s="1169"/>
      <c r="BW556" s="1169"/>
      <c r="BX556" s="1169"/>
      <c r="BY556" s="1169"/>
      <c r="BZ556" s="1169"/>
      <c r="CA556" s="1169"/>
      <c r="CB556" s="1169"/>
      <c r="CC556" s="1169"/>
      <c r="CD556" s="1169"/>
      <c r="CE556" s="1169"/>
      <c r="CF556" s="1169"/>
      <c r="CG556" s="1169"/>
      <c r="CH556" s="1169"/>
      <c r="CI556" s="1169"/>
      <c r="CJ556" s="1169"/>
      <c r="CK556" s="1169"/>
      <c r="CL556" s="1169"/>
      <c r="CM556" s="1169"/>
      <c r="CN556" s="1169"/>
      <c r="CO556" s="1169"/>
      <c r="CP556" s="1169"/>
      <c r="CQ556" s="1169"/>
      <c r="CR556" s="1169"/>
      <c r="CS556" s="1169"/>
      <c r="CT556" s="1169"/>
      <c r="CU556" s="1169"/>
      <c r="CV556" s="1169"/>
      <c r="CW556" s="1169"/>
      <c r="CX556" s="1169"/>
      <c r="CY556" s="1169"/>
      <c r="CZ556" s="1169"/>
      <c r="DA556" s="1168"/>
      <c r="DB556" s="1168"/>
      <c r="DC556" s="1168"/>
      <c r="DD556" s="1168"/>
      <c r="DE556" s="1168"/>
      <c r="DF556" s="1168"/>
      <c r="DG556" s="1168"/>
      <c r="DH556" s="1168"/>
      <c r="DI556" s="1168"/>
      <c r="DJ556" s="1168"/>
      <c r="DK556" s="1168"/>
      <c r="DL556" s="1168"/>
      <c r="DM556" s="1168"/>
      <c r="DN556" s="1168"/>
      <c r="DO556" s="1168"/>
      <c r="DP556" s="1168"/>
      <c r="DQ556" s="1168"/>
      <c r="DR556" s="1168"/>
      <c r="DS556" s="1168"/>
      <c r="DT556" s="1168"/>
      <c r="DU556" s="1168"/>
      <c r="DV556" s="1168"/>
      <c r="DW556" s="1168"/>
      <c r="DX556" s="1168"/>
      <c r="DY556" s="1168"/>
      <c r="DZ556" s="1168"/>
      <c r="EA556" s="1168"/>
      <c r="EB556" s="1168"/>
      <c r="EC556" s="1168"/>
      <c r="ED556" s="1168"/>
      <c r="EE556" s="1168"/>
      <c r="EF556" s="1168"/>
      <c r="EG556" s="1168"/>
      <c r="EH556" s="1168"/>
      <c r="EI556" s="1170"/>
      <c r="EJ556" s="1170"/>
      <c r="EK556" s="1170"/>
      <c r="EL556" s="1170"/>
      <c r="EM556" s="1170"/>
      <c r="EN556" s="1170"/>
      <c r="EO556" s="1170"/>
      <c r="EP556" s="1170"/>
      <c r="EQ556" s="1170"/>
      <c r="ER556" s="1170"/>
      <c r="ES556" s="1171"/>
      <c r="ET556" s="1171"/>
      <c r="EU556" s="1171"/>
      <c r="EV556" s="1171"/>
      <c r="EW556" s="1171"/>
      <c r="EX556" s="1171"/>
      <c r="EY556" s="1171"/>
      <c r="EZ556" s="1171"/>
      <c r="FA556" s="1171"/>
      <c r="FB556" s="1171"/>
      <c r="FC556" s="1171"/>
      <c r="FD556" s="1171"/>
      <c r="FE556" s="1171"/>
      <c r="FF556" s="1171"/>
      <c r="FG556" s="1171"/>
      <c r="FH556" s="1171"/>
      <c r="FI556" s="1171"/>
      <c r="FJ556" s="1171"/>
      <c r="FK556" s="1171"/>
      <c r="FL556" s="1171"/>
      <c r="FM556" s="1171"/>
      <c r="FN556" s="1171"/>
      <c r="FO556" s="1171"/>
      <c r="FP556" s="1171"/>
    </row>
    <row r="557" spans="1:172" s="607" customFormat="1">
      <c r="A557" s="607">
        <f t="shared" si="17"/>
        <v>2016</v>
      </c>
      <c r="B557" s="607">
        <f t="shared" si="18"/>
        <v>3</v>
      </c>
      <c r="C557" s="666">
        <v>42614</v>
      </c>
      <c r="D557" s="1709">
        <v>0.75947727272727272</v>
      </c>
      <c r="E557" s="1117">
        <v>232.48723449379901</v>
      </c>
      <c r="F557" s="1117">
        <v>306.11480138035</v>
      </c>
      <c r="G557" s="1117">
        <v>30.828490337816785</v>
      </c>
      <c r="H557" s="1117">
        <v>40.591722023638823</v>
      </c>
      <c r="I557" s="959">
        <v>1326.03</v>
      </c>
      <c r="J557" s="959">
        <v>1758.83</v>
      </c>
      <c r="K557" s="960">
        <v>57.11</v>
      </c>
      <c r="L557" s="1121">
        <v>75.22</v>
      </c>
      <c r="M557" s="916">
        <v>10188.409100000001</v>
      </c>
      <c r="N557" s="916">
        <v>13415.028290989618</v>
      </c>
      <c r="O557" s="1174">
        <v>4707.1818000000003</v>
      </c>
      <c r="P557" s="1174">
        <v>6197.9231887961223</v>
      </c>
      <c r="Q557" s="1174">
        <v>1942.0227</v>
      </c>
      <c r="R557" s="1174">
        <v>2557.0517640721787</v>
      </c>
      <c r="S557" s="1174">
        <v>2292.7955000000002</v>
      </c>
      <c r="T557" s="1174">
        <v>3018.9125894006047</v>
      </c>
      <c r="U557" s="1120">
        <v>862.32308435465382</v>
      </c>
      <c r="V557" s="1120">
        <v>1135.416575743028</v>
      </c>
      <c r="W557" s="1120">
        <v>2249.6615972099507</v>
      </c>
      <c r="X557" s="1120">
        <v>2962.1183911553348</v>
      </c>
      <c r="Y557" s="1119">
        <v>24374.699870839624</v>
      </c>
      <c r="Z557" s="1119">
        <v>32094.04776960659</v>
      </c>
      <c r="AA557" s="1119"/>
      <c r="AB557" s="1119"/>
      <c r="AC557" s="1178">
        <v>19.285</v>
      </c>
      <c r="AD557" s="1178">
        <v>25.87</v>
      </c>
      <c r="AE557" s="1178">
        <v>26807.272700000001</v>
      </c>
      <c r="AF557" s="1178">
        <v>35297.004482748307</v>
      </c>
      <c r="AG557" s="1178">
        <v>1045.9549999999999</v>
      </c>
      <c r="AH557" s="1178">
        <v>1377.2038184157764</v>
      </c>
      <c r="AI557" s="1178">
        <v>682.59100000000001</v>
      </c>
      <c r="AJ557" s="1178">
        <v>898.76422180327381</v>
      </c>
      <c r="AK557" s="919">
        <v>46.19</v>
      </c>
      <c r="AL557" s="919">
        <v>60.818146452404463</v>
      </c>
      <c r="AM557" s="919">
        <v>46.87</v>
      </c>
      <c r="AN557" s="919">
        <v>61.713499117215783</v>
      </c>
      <c r="AO557" s="919">
        <v>5.9044091461692423</v>
      </c>
      <c r="AP557" s="919">
        <v>7.7743065634690929</v>
      </c>
      <c r="AS557" s="1167"/>
      <c r="AT557" s="1167"/>
      <c r="AU557" s="1168"/>
      <c r="AV557" s="1168"/>
      <c r="AW557" s="1169"/>
      <c r="AX557" s="1169"/>
      <c r="AY557" s="1169"/>
      <c r="AZ557" s="1169"/>
      <c r="BA557" s="1803" t="s">
        <v>4</v>
      </c>
      <c r="BB557" s="1802">
        <v>2013</v>
      </c>
      <c r="BC557" s="1799" t="s">
        <v>581</v>
      </c>
      <c r="BD557" s="1799">
        <v>2</v>
      </c>
      <c r="BE557" s="1800">
        <v>1992417617</v>
      </c>
      <c r="BF557" s="1801">
        <v>0.1</v>
      </c>
      <c r="BG557" s="1799"/>
      <c r="BH557" s="1807" t="s">
        <v>1</v>
      </c>
      <c r="BI557" s="1807" t="s">
        <v>316</v>
      </c>
      <c r="BJ557" s="1807" t="s">
        <v>249</v>
      </c>
      <c r="BK557" s="1807"/>
      <c r="BL557" s="1808">
        <v>15603295000</v>
      </c>
      <c r="BM557" s="1801">
        <v>1</v>
      </c>
      <c r="BN557" s="1799">
        <v>2011</v>
      </c>
      <c r="BO557" s="1684"/>
      <c r="BP557" s="1696"/>
      <c r="BQ557" s="1169"/>
      <c r="BR557" s="1169"/>
      <c r="BS557" s="1169"/>
      <c r="BT557" s="1169"/>
      <c r="BU557" s="1169"/>
      <c r="BV557" s="1169"/>
      <c r="BW557" s="1169"/>
      <c r="BX557" s="1169"/>
      <c r="BY557" s="1169"/>
      <c r="BZ557" s="1169"/>
      <c r="CA557" s="1169"/>
      <c r="CB557" s="1169"/>
      <c r="CC557" s="1169"/>
      <c r="CD557" s="1169"/>
      <c r="CE557" s="1169"/>
      <c r="CF557" s="1169"/>
      <c r="CG557" s="1169"/>
      <c r="CH557" s="1169"/>
      <c r="CI557" s="1169"/>
      <c r="CJ557" s="1169"/>
      <c r="CK557" s="1169"/>
      <c r="CL557" s="1169"/>
      <c r="CM557" s="1169"/>
      <c r="CN557" s="1169"/>
      <c r="CO557" s="1169"/>
      <c r="CP557" s="1169"/>
      <c r="CQ557" s="1169"/>
      <c r="CR557" s="1169"/>
      <c r="CS557" s="1169"/>
      <c r="CT557" s="1169"/>
      <c r="CU557" s="1169"/>
      <c r="CV557" s="1169"/>
      <c r="CW557" s="1169"/>
      <c r="CX557" s="1169"/>
      <c r="CY557" s="1169"/>
      <c r="CZ557" s="1169"/>
      <c r="DA557" s="1168"/>
      <c r="DB557" s="1168"/>
      <c r="DC557" s="1168"/>
      <c r="DD557" s="1168"/>
      <c r="DE557" s="1168"/>
      <c r="DF557" s="1168"/>
      <c r="DG557" s="1168"/>
      <c r="DH557" s="1168"/>
      <c r="DI557" s="1168"/>
      <c r="DJ557" s="1168"/>
      <c r="DK557" s="1168"/>
      <c r="DL557" s="1168"/>
      <c r="DM557" s="1168"/>
      <c r="DN557" s="1168"/>
      <c r="DO557" s="1168"/>
      <c r="DP557" s="1168"/>
      <c r="DQ557" s="1168"/>
      <c r="DR557" s="1168"/>
      <c r="DS557" s="1168"/>
      <c r="DT557" s="1168"/>
      <c r="DU557" s="1168"/>
      <c r="DV557" s="1168"/>
      <c r="DW557" s="1168"/>
      <c r="DX557" s="1168"/>
      <c r="DY557" s="1168"/>
      <c r="DZ557" s="1168"/>
      <c r="EA557" s="1168"/>
      <c r="EB557" s="1168"/>
      <c r="EC557" s="1168"/>
      <c r="ED557" s="1168"/>
      <c r="EE557" s="1168"/>
      <c r="EF557" s="1168"/>
      <c r="EG557" s="1168"/>
      <c r="EH557" s="1168"/>
      <c r="EI557" s="1170"/>
      <c r="EJ557" s="1170"/>
      <c r="EK557" s="1170"/>
      <c r="EL557" s="1170"/>
      <c r="EM557" s="1170"/>
      <c r="EN557" s="1170"/>
      <c r="EO557" s="1170"/>
      <c r="EP557" s="1170"/>
      <c r="EQ557" s="1170"/>
      <c r="ER557" s="1170"/>
      <c r="ES557" s="1171"/>
      <c r="ET557" s="1171"/>
      <c r="EU557" s="1171"/>
      <c r="EV557" s="1171"/>
      <c r="EW557" s="1171"/>
      <c r="EX557" s="1171"/>
      <c r="EY557" s="1171"/>
      <c r="EZ557" s="1171"/>
      <c r="FA557" s="1171"/>
      <c r="FB557" s="1171"/>
      <c r="FC557" s="1171"/>
      <c r="FD557" s="1171"/>
      <c r="FE557" s="1171"/>
      <c r="FF557" s="1171"/>
      <c r="FG557" s="1171"/>
      <c r="FH557" s="1171"/>
      <c r="FI557" s="1171"/>
      <c r="FJ557" s="1171"/>
      <c r="FK557" s="1171"/>
      <c r="FL557" s="1171"/>
      <c r="FM557" s="1171"/>
      <c r="FN557" s="1171"/>
      <c r="FO557" s="1171"/>
      <c r="FP557" s="1171"/>
    </row>
    <row r="558" spans="1:172" s="607" customFormat="1">
      <c r="A558" s="607">
        <f t="shared" si="17"/>
        <v>2016</v>
      </c>
      <c r="B558" s="607">
        <f t="shared" si="18"/>
        <v>4</v>
      </c>
      <c r="C558" s="666">
        <v>42644</v>
      </c>
      <c r="D558" s="957">
        <v>0.76159500000000002</v>
      </c>
      <c r="E558" s="920">
        <v>229.92176456829634</v>
      </c>
      <c r="F558" s="920">
        <v>301.89505520427042</v>
      </c>
      <c r="G558" s="920">
        <v>30.532425990795527</v>
      </c>
      <c r="H558" s="920">
        <v>40.090108247553523</v>
      </c>
      <c r="I558" s="954">
        <v>1266.569</v>
      </c>
      <c r="J558" s="954">
        <v>1675.91</v>
      </c>
      <c r="K558" s="954">
        <v>58.54</v>
      </c>
      <c r="L558" s="920">
        <v>76.86</v>
      </c>
      <c r="M558" s="917">
        <v>10266.428599999999</v>
      </c>
      <c r="N558" s="917">
        <v>13480.168068330278</v>
      </c>
      <c r="O558" s="1175">
        <v>4732.1428999999998</v>
      </c>
      <c r="P558" s="1175">
        <v>6213.4637175926837</v>
      </c>
      <c r="Q558" s="1175">
        <v>2039.9286</v>
      </c>
      <c r="R558" s="1175">
        <v>2678.4952632304571</v>
      </c>
      <c r="S558" s="1175">
        <v>2314.1428999999998</v>
      </c>
      <c r="T558" s="1175">
        <v>3038.5479158870526</v>
      </c>
      <c r="U558" s="920">
        <v>873.05399100861177</v>
      </c>
      <c r="V558" s="920">
        <v>1146.3494258872652</v>
      </c>
      <c r="W558" s="920">
        <v>2252.1248729678441</v>
      </c>
      <c r="X558" s="920">
        <v>2957.1161483043402</v>
      </c>
      <c r="Y558" s="920">
        <v>24107.467555965188</v>
      </c>
      <c r="Z558" s="920">
        <v>31653.920464243052</v>
      </c>
      <c r="AA558" s="920"/>
      <c r="AB558" s="920"/>
      <c r="AC558" s="920">
        <v>17.736999999999998</v>
      </c>
      <c r="AD558" s="920">
        <v>23.69</v>
      </c>
      <c r="AE558" s="920">
        <v>28395.476200000001</v>
      </c>
      <c r="AF558" s="920">
        <v>37284.220878550936</v>
      </c>
      <c r="AG558" s="920">
        <v>959.14300000000003</v>
      </c>
      <c r="AH558" s="920">
        <v>1259.3872071113913</v>
      </c>
      <c r="AI558" s="920">
        <v>648.524</v>
      </c>
      <c r="AJ558" s="920">
        <v>851.53395177226741</v>
      </c>
      <c r="AK558" s="920">
        <v>49.73</v>
      </c>
      <c r="AL558" s="920">
        <v>65.297172381646405</v>
      </c>
      <c r="AM558" s="920">
        <v>51.24</v>
      </c>
      <c r="AN558" s="920">
        <v>67.279853465424537</v>
      </c>
      <c r="AO558" s="920">
        <v>6.0095265168375649</v>
      </c>
      <c r="AP558" s="920">
        <v>7.890711620792632</v>
      </c>
      <c r="AS558" s="1167"/>
      <c r="AT558" s="1167"/>
      <c r="AU558" s="1168"/>
      <c r="AV558" s="1168"/>
      <c r="AW558" s="1169"/>
      <c r="AX558" s="1169"/>
      <c r="AY558" s="1169"/>
      <c r="AZ558" s="1169"/>
      <c r="BA558" s="1803" t="s">
        <v>4</v>
      </c>
      <c r="BB558" s="1802">
        <v>2013</v>
      </c>
      <c r="BC558" s="1799" t="s">
        <v>15</v>
      </c>
      <c r="BD558" s="1799">
        <v>3</v>
      </c>
      <c r="BE558" s="1800">
        <v>1936328376</v>
      </c>
      <c r="BF558" s="1801">
        <v>9.7000000000000003E-2</v>
      </c>
      <c r="BG558" s="1799"/>
      <c r="BH558" s="1809" t="s">
        <v>1</v>
      </c>
      <c r="BI558" s="1809" t="s">
        <v>317</v>
      </c>
      <c r="BJ558" s="1809" t="s">
        <v>15</v>
      </c>
      <c r="BK558" s="1809">
        <v>1</v>
      </c>
      <c r="BL558" s="1810">
        <v>5990206000</v>
      </c>
      <c r="BM558" s="1801">
        <v>0.4017998403990547</v>
      </c>
      <c r="BN558" s="1799">
        <v>2012</v>
      </c>
      <c r="BO558" s="1684"/>
      <c r="BP558" s="1696"/>
      <c r="BQ558" s="1169"/>
      <c r="BR558" s="1169"/>
      <c r="BS558" s="1169"/>
      <c r="BT558" s="1169"/>
      <c r="BU558" s="1169"/>
      <c r="BV558" s="1169"/>
      <c r="BW558" s="1169"/>
      <c r="BX558" s="1169"/>
      <c r="BY558" s="1169"/>
      <c r="BZ558" s="1169"/>
      <c r="CA558" s="1169"/>
      <c r="CB558" s="1169"/>
      <c r="CC558" s="1169"/>
      <c r="CD558" s="1169"/>
      <c r="CE558" s="1169"/>
      <c r="CF558" s="1169"/>
      <c r="CG558" s="1169"/>
      <c r="CH558" s="1169"/>
      <c r="CI558" s="1169"/>
      <c r="CJ558" s="1169"/>
      <c r="CK558" s="1169"/>
      <c r="CL558" s="1169"/>
      <c r="CM558" s="1169"/>
      <c r="CN558" s="1169"/>
      <c r="CO558" s="1169"/>
      <c r="CP558" s="1169"/>
      <c r="CQ558" s="1169"/>
      <c r="CR558" s="1169"/>
      <c r="CS558" s="1169"/>
      <c r="CT558" s="1169"/>
      <c r="CU558" s="1169"/>
      <c r="CV558" s="1169"/>
      <c r="CW558" s="1169"/>
      <c r="CX558" s="1169"/>
      <c r="CY558" s="1169"/>
      <c r="CZ558" s="1169"/>
      <c r="DA558" s="1168"/>
      <c r="DB558" s="1168"/>
      <c r="DC558" s="1168"/>
      <c r="DD558" s="1168"/>
      <c r="DE558" s="1168"/>
      <c r="DF558" s="1168"/>
      <c r="DG558" s="1168"/>
      <c r="DH558" s="1168"/>
      <c r="DI558" s="1168"/>
      <c r="DJ558" s="1168"/>
      <c r="DK558" s="1168"/>
      <c r="DL558" s="1168"/>
      <c r="DM558" s="1168"/>
      <c r="DN558" s="1168"/>
      <c r="DO558" s="1168"/>
      <c r="DP558" s="1168"/>
      <c r="DQ558" s="1168"/>
      <c r="DR558" s="1168"/>
      <c r="DS558" s="1168"/>
      <c r="DT558" s="1168"/>
      <c r="DU558" s="1168"/>
      <c r="DV558" s="1168"/>
      <c r="DW558" s="1168"/>
      <c r="DX558" s="1168"/>
      <c r="DY558" s="1168"/>
      <c r="DZ558" s="1168"/>
      <c r="EA558" s="1168"/>
      <c r="EB558" s="1168"/>
      <c r="EC558" s="1168"/>
      <c r="ED558" s="1168"/>
      <c r="EE558" s="1168"/>
      <c r="EF558" s="1168"/>
      <c r="EG558" s="1168"/>
      <c r="EH558" s="1168"/>
      <c r="EI558" s="1170"/>
      <c r="EJ558" s="1170"/>
      <c r="EK558" s="1170"/>
      <c r="EL558" s="1170"/>
      <c r="EM558" s="1170"/>
      <c r="EN558" s="1170"/>
      <c r="EO558" s="1170"/>
      <c r="EP558" s="1170"/>
      <c r="EQ558" s="1170"/>
      <c r="ER558" s="1170"/>
      <c r="ES558" s="1171"/>
      <c r="ET558" s="1171"/>
      <c r="EU558" s="1171"/>
      <c r="EV558" s="1171"/>
      <c r="EW558" s="1171"/>
      <c r="EX558" s="1171"/>
      <c r="EY558" s="1171"/>
      <c r="EZ558" s="1171"/>
      <c r="FA558" s="1171"/>
      <c r="FB558" s="1171"/>
      <c r="FC558" s="1171"/>
      <c r="FD558" s="1171"/>
      <c r="FE558" s="1171"/>
      <c r="FF558" s="1171"/>
      <c r="FG558" s="1171"/>
      <c r="FH558" s="1171"/>
      <c r="FI558" s="1171"/>
      <c r="FJ558" s="1171"/>
      <c r="FK558" s="1171"/>
      <c r="FL558" s="1171"/>
      <c r="FM558" s="1171"/>
      <c r="FN558" s="1171"/>
      <c r="FO558" s="1171"/>
      <c r="FP558" s="1171"/>
    </row>
    <row r="559" spans="1:172" s="607" customFormat="1">
      <c r="A559" s="607">
        <f t="shared" si="17"/>
        <v>2016</v>
      </c>
      <c r="B559" s="607">
        <f t="shared" si="18"/>
        <v>4</v>
      </c>
      <c r="C559" s="666">
        <v>42675</v>
      </c>
      <c r="D559" s="1709">
        <v>0.75356818181818186</v>
      </c>
      <c r="E559" s="1117">
        <v>256.75600002818095</v>
      </c>
      <c r="F559" s="1117">
        <v>340.72033058599879</v>
      </c>
      <c r="G559" s="1117">
        <v>33.343514985578103</v>
      </c>
      <c r="H559" s="1117">
        <v>44.247509104123907</v>
      </c>
      <c r="I559" s="959">
        <v>1235.98</v>
      </c>
      <c r="J559" s="959">
        <v>1653.24</v>
      </c>
      <c r="K559" s="960">
        <v>73.67</v>
      </c>
      <c r="L559" s="1121">
        <v>97.85</v>
      </c>
      <c r="M559" s="916">
        <v>11142.9545</v>
      </c>
      <c r="N559" s="916">
        <v>14786.922761407846</v>
      </c>
      <c r="O559" s="1174">
        <v>5443.25</v>
      </c>
      <c r="P559" s="1174">
        <v>7223.3012636848925</v>
      </c>
      <c r="Q559" s="1174">
        <v>2178.8409000000001</v>
      </c>
      <c r="R559" s="1174">
        <v>2891.3653104925056</v>
      </c>
      <c r="S559" s="1174">
        <v>2568.8409000000001</v>
      </c>
      <c r="T559" s="1174">
        <v>3408.9030853213499</v>
      </c>
      <c r="U559" s="1120">
        <v>885.67532914170226</v>
      </c>
      <c r="V559" s="1120">
        <v>1175.3088181148746</v>
      </c>
      <c r="W559" s="1120">
        <v>2263.0734301673683</v>
      </c>
      <c r="X559" s="1120">
        <v>3003.1435572387186</v>
      </c>
      <c r="Y559" s="1119">
        <v>23466.638180557842</v>
      </c>
      <c r="Z559" s="1119">
        <v>31140.69668379362</v>
      </c>
      <c r="AA559" s="1119"/>
      <c r="AB559" s="1119"/>
      <c r="AC559" s="1178">
        <v>17.414999999999999</v>
      </c>
      <c r="AD559" s="1178">
        <v>23.46</v>
      </c>
      <c r="AE559" s="1178">
        <v>29486.363600000001</v>
      </c>
      <c r="AF559" s="1178">
        <v>39128.992321380101</v>
      </c>
      <c r="AG559" s="1178">
        <v>953.27300000000002</v>
      </c>
      <c r="AH559" s="1178">
        <v>1265.012274934403</v>
      </c>
      <c r="AI559" s="1178">
        <v>697.40899999999999</v>
      </c>
      <c r="AJ559" s="1178">
        <v>925.4756461682299</v>
      </c>
      <c r="AK559" s="919">
        <v>46.44</v>
      </c>
      <c r="AL559" s="919">
        <v>61.626805802696254</v>
      </c>
      <c r="AM559" s="919">
        <v>48.22</v>
      </c>
      <c r="AN559" s="919">
        <v>63.988901287812524</v>
      </c>
      <c r="AO559" s="919">
        <v>6.165527921492477</v>
      </c>
      <c r="AP559" s="919">
        <v>8.1817784644469942</v>
      </c>
      <c r="AS559" s="1167"/>
      <c r="AT559" s="1167"/>
      <c r="AU559" s="1168"/>
      <c r="AV559" s="1168"/>
      <c r="AW559" s="1169"/>
      <c r="AX559" s="1169"/>
      <c r="AY559" s="1169"/>
      <c r="AZ559" s="1169"/>
      <c r="BA559" s="1803" t="s">
        <v>4</v>
      </c>
      <c r="BB559" s="1802">
        <v>2013</v>
      </c>
      <c r="BC559" s="1799" t="s">
        <v>49</v>
      </c>
      <c r="BD559" s="1799">
        <v>4</v>
      </c>
      <c r="BE559" s="1800">
        <v>1227230422</v>
      </c>
      <c r="BF559" s="1801">
        <v>6.2E-2</v>
      </c>
      <c r="BG559" s="1799"/>
      <c r="BH559" s="1809" t="s">
        <v>1</v>
      </c>
      <c r="BI559" s="1809" t="s">
        <v>317</v>
      </c>
      <c r="BJ559" s="1809" t="s">
        <v>18</v>
      </c>
      <c r="BK559" s="1809">
        <v>2</v>
      </c>
      <c r="BL559" s="1810">
        <v>2978925000</v>
      </c>
      <c r="BM559" s="1801">
        <v>0.19981476255754041</v>
      </c>
      <c r="BN559" s="1799">
        <v>2012</v>
      </c>
      <c r="BO559" s="1684"/>
      <c r="BP559" s="1696"/>
      <c r="BQ559" s="1169"/>
      <c r="BR559" s="1169"/>
      <c r="BS559" s="1169"/>
      <c r="BT559" s="1169"/>
      <c r="BU559" s="1169"/>
      <c r="BV559" s="1169"/>
      <c r="BW559" s="1169"/>
      <c r="BX559" s="1169"/>
      <c r="BY559" s="1169"/>
      <c r="BZ559" s="1169"/>
      <c r="CA559" s="1169"/>
      <c r="CB559" s="1169"/>
      <c r="CC559" s="1169"/>
      <c r="CD559" s="1169"/>
      <c r="CE559" s="1169"/>
      <c r="CF559" s="1169"/>
      <c r="CG559" s="1169"/>
      <c r="CH559" s="1169"/>
      <c r="CI559" s="1169"/>
      <c r="CJ559" s="1169"/>
      <c r="CK559" s="1169"/>
      <c r="CL559" s="1169"/>
      <c r="CM559" s="1169"/>
      <c r="CN559" s="1169"/>
      <c r="CO559" s="1169"/>
      <c r="CP559" s="1169"/>
      <c r="CQ559" s="1169"/>
      <c r="CR559" s="1169"/>
      <c r="CS559" s="1169"/>
      <c r="CT559" s="1169"/>
      <c r="CU559" s="1169"/>
      <c r="CV559" s="1169"/>
      <c r="CW559" s="1169"/>
      <c r="CX559" s="1169"/>
      <c r="CY559" s="1169"/>
      <c r="CZ559" s="1169"/>
      <c r="DA559" s="1168"/>
      <c r="DB559" s="1168"/>
      <c r="DC559" s="1168"/>
      <c r="DD559" s="1168"/>
      <c r="DE559" s="1168"/>
      <c r="DF559" s="1168"/>
      <c r="DG559" s="1168"/>
      <c r="DH559" s="1168"/>
      <c r="DI559" s="1168"/>
      <c r="DJ559" s="1168"/>
      <c r="DK559" s="1168"/>
      <c r="DL559" s="1168"/>
      <c r="DM559" s="1168"/>
      <c r="DN559" s="1168"/>
      <c r="DO559" s="1168"/>
      <c r="DP559" s="1168"/>
      <c r="DQ559" s="1168"/>
      <c r="DR559" s="1168"/>
      <c r="DS559" s="1168"/>
      <c r="DT559" s="1168"/>
      <c r="DU559" s="1168"/>
      <c r="DV559" s="1168"/>
      <c r="DW559" s="1168"/>
      <c r="DX559" s="1168"/>
      <c r="DY559" s="1168"/>
      <c r="DZ559" s="1168"/>
      <c r="EA559" s="1168"/>
      <c r="EB559" s="1168"/>
      <c r="EC559" s="1168"/>
      <c r="ED559" s="1168"/>
      <c r="EE559" s="1168"/>
      <c r="EF559" s="1168"/>
      <c r="EG559" s="1168"/>
      <c r="EH559" s="1168"/>
      <c r="EI559" s="1170"/>
      <c r="EJ559" s="1170"/>
      <c r="EK559" s="1170"/>
      <c r="EL559" s="1170"/>
      <c r="EM559" s="1170"/>
      <c r="EN559" s="1170"/>
      <c r="EO559" s="1170"/>
      <c r="EP559" s="1170"/>
      <c r="EQ559" s="1170"/>
      <c r="ER559" s="1170"/>
      <c r="ES559" s="1171"/>
      <c r="ET559" s="1171"/>
      <c r="EU559" s="1171"/>
      <c r="EV559" s="1171"/>
      <c r="EW559" s="1171"/>
      <c r="EX559" s="1171"/>
      <c r="EY559" s="1171"/>
      <c r="EZ559" s="1171"/>
      <c r="FA559" s="1171"/>
      <c r="FB559" s="1171"/>
      <c r="FC559" s="1171"/>
      <c r="FD559" s="1171"/>
      <c r="FE559" s="1171"/>
      <c r="FF559" s="1171"/>
      <c r="FG559" s="1171"/>
      <c r="FH559" s="1171"/>
      <c r="FI559" s="1171"/>
      <c r="FJ559" s="1171"/>
      <c r="FK559" s="1171"/>
      <c r="FL559" s="1171"/>
      <c r="FM559" s="1171"/>
      <c r="FN559" s="1171"/>
      <c r="FO559" s="1171"/>
      <c r="FP559" s="1171"/>
    </row>
    <row r="560" spans="1:172" s="607" customFormat="1">
      <c r="A560" s="607">
        <f t="shared" si="17"/>
        <v>2016</v>
      </c>
      <c r="B560" s="607">
        <f t="shared" si="18"/>
        <v>4</v>
      </c>
      <c r="C560" s="666">
        <v>42705</v>
      </c>
      <c r="D560" s="957">
        <v>0.73613999999999991</v>
      </c>
      <c r="E560" s="920">
        <v>286.90841755091793</v>
      </c>
      <c r="F560" s="954">
        <v>389.74708282516639</v>
      </c>
      <c r="G560" s="920">
        <v>32.293269648241015</v>
      </c>
      <c r="H560" s="920">
        <v>43.868380536638433</v>
      </c>
      <c r="I560" s="954">
        <v>1151.403</v>
      </c>
      <c r="J560" s="954">
        <v>1570.76</v>
      </c>
      <c r="K560" s="954">
        <v>80</v>
      </c>
      <c r="L560" s="920">
        <v>109</v>
      </c>
      <c r="M560" s="917">
        <v>11013.25</v>
      </c>
      <c r="N560" s="917">
        <v>14960.809085228355</v>
      </c>
      <c r="O560" s="1175">
        <v>5666.25</v>
      </c>
      <c r="P560" s="1175">
        <v>7697.2450892493289</v>
      </c>
      <c r="Q560" s="1175">
        <v>2230.8249999999998</v>
      </c>
      <c r="R560" s="1175">
        <v>3030.4357866710138</v>
      </c>
      <c r="S560" s="1175">
        <v>2671.7</v>
      </c>
      <c r="T560" s="1175">
        <v>3629.3368109327034</v>
      </c>
      <c r="U560" s="920">
        <v>903.57612220724809</v>
      </c>
      <c r="V560" s="920">
        <v>1227.4514660353304</v>
      </c>
      <c r="W560" s="920">
        <v>2242.2840110944853</v>
      </c>
      <c r="X560" s="920">
        <v>3046.0021342332784</v>
      </c>
      <c r="Y560" s="920">
        <v>23210.149242079515</v>
      </c>
      <c r="Z560" s="920">
        <v>31529.531396309827</v>
      </c>
      <c r="AA560" s="920"/>
      <c r="AB560" s="920"/>
      <c r="AC560" s="920">
        <v>16.379000000000001</v>
      </c>
      <c r="AD560" s="920">
        <v>22.54</v>
      </c>
      <c r="AE560" s="920">
        <v>31788</v>
      </c>
      <c r="AF560" s="920">
        <v>43182.003423261885</v>
      </c>
      <c r="AG560" s="920">
        <v>920.5</v>
      </c>
      <c r="AH560" s="920">
        <v>1250.4414921074797</v>
      </c>
      <c r="AI560" s="920">
        <v>711.80600000000004</v>
      </c>
      <c r="AJ560" s="920">
        <v>966.94378786643858</v>
      </c>
      <c r="AK560" s="920">
        <v>54.07</v>
      </c>
      <c r="AL560" s="920">
        <v>73.450702312060216</v>
      </c>
      <c r="AM560" s="920">
        <v>55.75</v>
      </c>
      <c r="AN560" s="920">
        <v>75.732876898416066</v>
      </c>
      <c r="AO560" s="920">
        <v>6.1990887717402403</v>
      </c>
      <c r="AP560" s="920">
        <v>8.4210731270413799</v>
      </c>
      <c r="AS560" s="1167"/>
      <c r="AT560" s="1167"/>
      <c r="AU560" s="1168"/>
      <c r="AV560" s="1168"/>
      <c r="AW560" s="1169"/>
      <c r="AX560" s="1169"/>
      <c r="AY560" s="1169"/>
      <c r="AZ560" s="1169"/>
      <c r="BA560" s="1803" t="s">
        <v>4</v>
      </c>
      <c r="BB560" s="1802">
        <v>2013</v>
      </c>
      <c r="BC560" s="1799" t="s">
        <v>28</v>
      </c>
      <c r="BD560" s="1799">
        <v>5</v>
      </c>
      <c r="BE560" s="1800">
        <v>857604098</v>
      </c>
      <c r="BF560" s="1801">
        <v>4.2999999999999997E-2</v>
      </c>
      <c r="BG560" s="1799"/>
      <c r="BH560" s="1809" t="s">
        <v>1</v>
      </c>
      <c r="BI560" s="1809" t="s">
        <v>317</v>
      </c>
      <c r="BJ560" s="1809" t="s">
        <v>51</v>
      </c>
      <c r="BK560" s="1809">
        <v>3</v>
      </c>
      <c r="BL560" s="1810">
        <v>2615993000</v>
      </c>
      <c r="BM560" s="1801">
        <v>0.17547068830104412</v>
      </c>
      <c r="BN560" s="1799">
        <v>2012</v>
      </c>
      <c r="BO560" s="1684"/>
      <c r="BP560" s="1696"/>
      <c r="BQ560" s="1169"/>
      <c r="BR560" s="1169"/>
      <c r="BS560" s="1169"/>
      <c r="BT560" s="1169"/>
      <c r="BU560" s="1169"/>
      <c r="BV560" s="1169"/>
      <c r="BW560" s="1169"/>
      <c r="BX560" s="1169"/>
      <c r="BY560" s="1169"/>
      <c r="BZ560" s="1169"/>
      <c r="CA560" s="1169"/>
      <c r="CB560" s="1169"/>
      <c r="CC560" s="1169"/>
      <c r="CD560" s="1169"/>
      <c r="CE560" s="1169"/>
      <c r="CF560" s="1169"/>
      <c r="CG560" s="1169"/>
      <c r="CH560" s="1169"/>
      <c r="CI560" s="1169"/>
      <c r="CJ560" s="1169"/>
      <c r="CK560" s="1169"/>
      <c r="CL560" s="1169"/>
      <c r="CM560" s="1169"/>
      <c r="CN560" s="1169"/>
      <c r="CO560" s="1169"/>
      <c r="CP560" s="1169"/>
      <c r="CQ560" s="1169"/>
      <c r="CR560" s="1169"/>
      <c r="CS560" s="1169"/>
      <c r="CT560" s="1169"/>
      <c r="CU560" s="1169"/>
      <c r="CV560" s="1169"/>
      <c r="CW560" s="1169"/>
      <c r="CX560" s="1169"/>
      <c r="CY560" s="1169"/>
      <c r="CZ560" s="1169"/>
      <c r="DA560" s="1168"/>
      <c r="DB560" s="1168"/>
      <c r="DC560" s="1168"/>
      <c r="DD560" s="1168"/>
      <c r="DE560" s="1168"/>
      <c r="DF560" s="1168"/>
      <c r="DG560" s="1168"/>
      <c r="DH560" s="1168"/>
      <c r="DI560" s="1168"/>
      <c r="DJ560" s="1168"/>
      <c r="DK560" s="1168"/>
      <c r="DL560" s="1168"/>
      <c r="DM560" s="1168"/>
      <c r="DN560" s="1168"/>
      <c r="DO560" s="1168"/>
      <c r="DP560" s="1168"/>
      <c r="DQ560" s="1168"/>
      <c r="DR560" s="1168"/>
      <c r="DS560" s="1168"/>
      <c r="DT560" s="1168"/>
      <c r="DU560" s="1168"/>
      <c r="DV560" s="1168"/>
      <c r="DW560" s="1168"/>
      <c r="DX560" s="1168"/>
      <c r="DY560" s="1168"/>
      <c r="DZ560" s="1168"/>
      <c r="EA560" s="1168"/>
      <c r="EB560" s="1168"/>
      <c r="EC560" s="1168"/>
      <c r="ED560" s="1168"/>
      <c r="EE560" s="1168"/>
      <c r="EF560" s="1168"/>
      <c r="EG560" s="1168"/>
      <c r="EH560" s="1168"/>
      <c r="EI560" s="1170"/>
      <c r="EJ560" s="1170"/>
      <c r="EK560" s="1170"/>
      <c r="EL560" s="1170"/>
      <c r="EM560" s="1170"/>
      <c r="EN560" s="1170"/>
      <c r="EO560" s="1170"/>
      <c r="EP560" s="1170"/>
      <c r="EQ560" s="1170"/>
      <c r="ER560" s="1170"/>
      <c r="ES560" s="1171"/>
      <c r="ET560" s="1171"/>
      <c r="EU560" s="1171"/>
      <c r="EV560" s="1171"/>
      <c r="EW560" s="1171"/>
      <c r="EX560" s="1171"/>
      <c r="EY560" s="1171"/>
      <c r="EZ560" s="1171"/>
      <c r="FA560" s="1171"/>
      <c r="FB560" s="1171"/>
      <c r="FC560" s="1171"/>
      <c r="FD560" s="1171"/>
      <c r="FE560" s="1171"/>
      <c r="FF560" s="1171"/>
      <c r="FG560" s="1171"/>
      <c r="FH560" s="1171"/>
      <c r="FI560" s="1171"/>
      <c r="FJ560" s="1171"/>
      <c r="FK560" s="1171"/>
      <c r="FL560" s="1171"/>
      <c r="FM560" s="1171"/>
      <c r="FN560" s="1171"/>
      <c r="FO560" s="1171"/>
      <c r="FP560" s="1171"/>
    </row>
    <row r="561" spans="1:172" s="607" customFormat="1">
      <c r="A561" s="607">
        <f t="shared" si="17"/>
        <v>2017</v>
      </c>
      <c r="B561" s="607">
        <f t="shared" si="18"/>
        <v>1</v>
      </c>
      <c r="C561" s="666">
        <v>42736</v>
      </c>
      <c r="D561" s="1709">
        <v>0.74529500000000015</v>
      </c>
      <c r="E561" s="1117">
        <v>322.28306249243673</v>
      </c>
      <c r="F561" s="1117">
        <v>432.42348666291423</v>
      </c>
      <c r="G561" s="1117">
        <v>29.83533881920679</v>
      </c>
      <c r="H561" s="1117">
        <v>40.031583224369925</v>
      </c>
      <c r="I561" s="959">
        <v>1192.617</v>
      </c>
      <c r="J561" s="959">
        <v>1602.86</v>
      </c>
      <c r="K561" s="960">
        <v>81</v>
      </c>
      <c r="L561" s="1121">
        <v>108</v>
      </c>
      <c r="M561" s="916">
        <v>9984.2857000000004</v>
      </c>
      <c r="N561" s="916">
        <v>13396.421148672671</v>
      </c>
      <c r="O561" s="1174">
        <v>5737.4286000000002</v>
      </c>
      <c r="P561" s="1174">
        <v>7698.1981631434519</v>
      </c>
      <c r="Q561" s="1174">
        <v>2236.6905000000002</v>
      </c>
      <c r="R561" s="1174">
        <v>3001.0807800937878</v>
      </c>
      <c r="S561" s="1174">
        <v>2713</v>
      </c>
      <c r="T561" s="1174">
        <v>3640.1693289234458</v>
      </c>
      <c r="U561" s="1120">
        <v>920.87307782497896</v>
      </c>
      <c r="V561" s="1120">
        <v>1235.5819881053526</v>
      </c>
      <c r="W561" s="1120">
        <v>2183.4350672954224</v>
      </c>
      <c r="X561" s="1120">
        <v>2929.625272268594</v>
      </c>
      <c r="Y561" s="1119">
        <v>21421.605813075825</v>
      </c>
      <c r="Z561" s="1119">
        <v>28742.452066733065</v>
      </c>
      <c r="AA561" s="1119"/>
      <c r="AB561" s="1119"/>
      <c r="AC561" s="1178">
        <v>16.808</v>
      </c>
      <c r="AD561" s="1178">
        <v>22.72</v>
      </c>
      <c r="AE561" s="1178">
        <v>34961.904799999997</v>
      </c>
      <c r="AF561" s="1178">
        <v>46910.156112680197</v>
      </c>
      <c r="AG561" s="1178">
        <v>971.76199999999994</v>
      </c>
      <c r="AH561" s="1178">
        <v>1303.8622290502415</v>
      </c>
      <c r="AI561" s="1178">
        <v>748.38099999999997</v>
      </c>
      <c r="AJ561" s="1178">
        <v>1004.1406422960033</v>
      </c>
      <c r="AK561" s="919">
        <v>54.89</v>
      </c>
      <c r="AL561" s="919">
        <v>73.648689445119032</v>
      </c>
      <c r="AM561" s="919">
        <v>56.79</v>
      </c>
      <c r="AN561" s="919">
        <v>76.198015550889224</v>
      </c>
      <c r="AO561" s="919">
        <v>6.6794449139803875</v>
      </c>
      <c r="AP561" s="919">
        <v>8.9621491006653553</v>
      </c>
      <c r="AS561" s="1167"/>
      <c r="AT561" s="1167"/>
      <c r="AU561" s="1168"/>
      <c r="AV561" s="1168"/>
      <c r="AW561" s="1169"/>
      <c r="AX561" s="1169"/>
      <c r="AY561" s="1169"/>
      <c r="AZ561" s="1169"/>
      <c r="BA561" s="1803" t="s">
        <v>4</v>
      </c>
      <c r="BB561" s="1802">
        <v>2013</v>
      </c>
      <c r="BC561" s="1799" t="s">
        <v>21</v>
      </c>
      <c r="BD561" s="1799">
        <v>6</v>
      </c>
      <c r="BE561" s="1800">
        <v>636688281</v>
      </c>
      <c r="BF561" s="1801">
        <v>3.2000000000000001E-2</v>
      </c>
      <c r="BG561" s="1799"/>
      <c r="BH561" s="1809" t="s">
        <v>1</v>
      </c>
      <c r="BI561" s="1809" t="s">
        <v>317</v>
      </c>
      <c r="BJ561" s="1809" t="s">
        <v>28</v>
      </c>
      <c r="BK561" s="1809">
        <v>4</v>
      </c>
      <c r="BL561" s="1810">
        <v>1271017000</v>
      </c>
      <c r="BM561" s="1801">
        <v>8.5254902376393285E-2</v>
      </c>
      <c r="BN561" s="1799">
        <v>2012</v>
      </c>
      <c r="BO561" s="1684"/>
      <c r="BP561" s="1696"/>
      <c r="BQ561" s="1169"/>
      <c r="BR561" s="1169"/>
      <c r="BS561" s="1169"/>
      <c r="BT561" s="1169"/>
      <c r="BU561" s="1169"/>
      <c r="BV561" s="1169"/>
      <c r="BW561" s="1169"/>
      <c r="BX561" s="1169"/>
      <c r="BY561" s="1169"/>
      <c r="BZ561" s="1169"/>
      <c r="CA561" s="1169"/>
      <c r="CB561" s="1169"/>
      <c r="CC561" s="1169"/>
      <c r="CD561" s="1169"/>
      <c r="CE561" s="1169"/>
      <c r="CF561" s="1169"/>
      <c r="CG561" s="1169"/>
      <c r="CH561" s="1169"/>
      <c r="CI561" s="1169"/>
      <c r="CJ561" s="1169"/>
      <c r="CK561" s="1169"/>
      <c r="CL561" s="1169"/>
      <c r="CM561" s="1169"/>
      <c r="CN561" s="1169"/>
      <c r="CO561" s="1169"/>
      <c r="CP561" s="1169"/>
      <c r="CQ561" s="1169"/>
      <c r="CR561" s="1169"/>
      <c r="CS561" s="1169"/>
      <c r="CT561" s="1169"/>
      <c r="CU561" s="1169"/>
      <c r="CV561" s="1169"/>
      <c r="CW561" s="1169"/>
      <c r="CX561" s="1169"/>
      <c r="CY561" s="1169"/>
      <c r="CZ561" s="1169"/>
      <c r="DA561" s="1168"/>
      <c r="DB561" s="1168"/>
      <c r="DC561" s="1168"/>
      <c r="DD561" s="1168"/>
      <c r="DE561" s="1168"/>
      <c r="DF561" s="1168"/>
      <c r="DG561" s="1168"/>
      <c r="DH561" s="1168"/>
      <c r="DI561" s="1168"/>
      <c r="DJ561" s="1168"/>
      <c r="DK561" s="1168"/>
      <c r="DL561" s="1168"/>
      <c r="DM561" s="1168"/>
      <c r="DN561" s="1168"/>
      <c r="DO561" s="1168"/>
      <c r="DP561" s="1168"/>
      <c r="DQ561" s="1168"/>
      <c r="DR561" s="1168"/>
      <c r="DS561" s="1168"/>
      <c r="DT561" s="1168"/>
      <c r="DU561" s="1168"/>
      <c r="DV561" s="1168"/>
      <c r="DW561" s="1168"/>
      <c r="DX561" s="1168"/>
      <c r="DY561" s="1168"/>
      <c r="DZ561" s="1168"/>
      <c r="EA561" s="1168"/>
      <c r="EB561" s="1168"/>
      <c r="EC561" s="1168"/>
      <c r="ED561" s="1168"/>
      <c r="EE561" s="1168"/>
      <c r="EF561" s="1168"/>
      <c r="EG561" s="1168"/>
      <c r="EH561" s="1168"/>
      <c r="EI561" s="1170"/>
      <c r="EJ561" s="1170"/>
      <c r="EK561" s="1170"/>
      <c r="EL561" s="1170"/>
      <c r="EM561" s="1170"/>
      <c r="EN561" s="1170"/>
      <c r="EO561" s="1170"/>
      <c r="EP561" s="1170"/>
      <c r="EQ561" s="1170"/>
      <c r="ER561" s="1170"/>
      <c r="ES561" s="1171"/>
      <c r="ET561" s="1171"/>
      <c r="EU561" s="1171"/>
      <c r="EV561" s="1171"/>
      <c r="EW561" s="1171"/>
      <c r="EX561" s="1171"/>
      <c r="EY561" s="1171"/>
      <c r="EZ561" s="1171"/>
      <c r="FA561" s="1171"/>
      <c r="FB561" s="1171"/>
      <c r="FC561" s="1171"/>
      <c r="FD561" s="1171"/>
      <c r="FE561" s="1171"/>
      <c r="FF561" s="1171"/>
      <c r="FG561" s="1171"/>
      <c r="FH561" s="1171"/>
      <c r="FI561" s="1171"/>
      <c r="FJ561" s="1171"/>
      <c r="FK561" s="1171"/>
      <c r="FL561" s="1171"/>
      <c r="FM561" s="1171"/>
      <c r="FN561" s="1171"/>
      <c r="FO561" s="1171"/>
      <c r="FP561" s="1171"/>
    </row>
    <row r="562" spans="1:172" s="607" customFormat="1">
      <c r="A562" s="607">
        <f t="shared" si="17"/>
        <v>2017</v>
      </c>
      <c r="B562" s="607">
        <f t="shared" si="18"/>
        <v>1</v>
      </c>
      <c r="C562" s="666">
        <v>42767</v>
      </c>
      <c r="D562" s="957">
        <v>0.76676500000000014</v>
      </c>
      <c r="E562" s="920">
        <v>309.15239851423451</v>
      </c>
      <c r="F562" s="954">
        <v>403.19054536166158</v>
      </c>
      <c r="G562" s="920">
        <v>32.104993810805084</v>
      </c>
      <c r="H562" s="920">
        <v>41.870708510175966</v>
      </c>
      <c r="I562" s="954">
        <v>1234.3579999999999</v>
      </c>
      <c r="J562" s="954">
        <v>1614.24</v>
      </c>
      <c r="K562" s="954">
        <v>89</v>
      </c>
      <c r="L562" s="920">
        <v>116</v>
      </c>
      <c r="M562" s="917">
        <v>10619.5</v>
      </c>
      <c r="N562" s="917">
        <v>13849.745358747463</v>
      </c>
      <c r="O562" s="1175">
        <v>5941.55</v>
      </c>
      <c r="P562" s="1175">
        <v>7748.8539513410224</v>
      </c>
      <c r="Q562" s="1175">
        <v>2321.7249999999999</v>
      </c>
      <c r="R562" s="1175">
        <v>3027.9485892026887</v>
      </c>
      <c r="S562" s="1175">
        <v>2848.4250000000002</v>
      </c>
      <c r="T562" s="1175">
        <v>3714.8604852855824</v>
      </c>
      <c r="U562" s="920">
        <v>860.23475775202542</v>
      </c>
      <c r="V562" s="920">
        <v>1121.9014401440145</v>
      </c>
      <c r="W562" s="920">
        <v>2301.1536242235356</v>
      </c>
      <c r="X562" s="920">
        <v>3001.1198010127423</v>
      </c>
      <c r="Y562" s="920">
        <v>20729.846011700196</v>
      </c>
      <c r="Z562" s="920">
        <v>27035.461988614756</v>
      </c>
      <c r="AA562" s="920"/>
      <c r="AB562" s="920"/>
      <c r="AC562" s="920">
        <v>17.873999999999999</v>
      </c>
      <c r="AD562" s="920">
        <v>23.55</v>
      </c>
      <c r="AE562" s="920">
        <v>43232.5</v>
      </c>
      <c r="AF562" s="920">
        <v>56382.985660534832</v>
      </c>
      <c r="AG562" s="920">
        <v>1007.095</v>
      </c>
      <c r="AH562" s="920">
        <v>1313.4337117630562</v>
      </c>
      <c r="AI562" s="920">
        <v>775.55</v>
      </c>
      <c r="AJ562" s="920">
        <v>1011.4572261383863</v>
      </c>
      <c r="AK562" s="920">
        <v>55.49</v>
      </c>
      <c r="AL562" s="920">
        <v>72.368978761419726</v>
      </c>
      <c r="AM562" s="920">
        <v>57.28</v>
      </c>
      <c r="AN562" s="920">
        <v>74.703461947271961</v>
      </c>
      <c r="AO562" s="920">
        <v>6.4952956784629237</v>
      </c>
      <c r="AP562" s="920">
        <v>8.4710382952572463</v>
      </c>
      <c r="AS562" s="1167"/>
      <c r="AT562" s="1167"/>
      <c r="AU562" s="1168"/>
      <c r="AV562" s="1168"/>
      <c r="AW562" s="1169"/>
      <c r="AX562" s="1169"/>
      <c r="AY562" s="1169"/>
      <c r="AZ562" s="1169"/>
      <c r="BA562" s="1803" t="s">
        <v>4</v>
      </c>
      <c r="BB562" s="1802">
        <v>2013</v>
      </c>
      <c r="BC562" s="1799" t="s">
        <v>73</v>
      </c>
      <c r="BD562" s="1799">
        <v>7</v>
      </c>
      <c r="BE562" s="1800">
        <v>430339608</v>
      </c>
      <c r="BF562" s="1801">
        <v>2.1999999999999999E-2</v>
      </c>
      <c r="BG562" s="1799"/>
      <c r="BH562" s="1809" t="s">
        <v>1</v>
      </c>
      <c r="BI562" s="1809" t="s">
        <v>317</v>
      </c>
      <c r="BJ562" s="1809" t="s">
        <v>49</v>
      </c>
      <c r="BK562" s="1809">
        <v>5</v>
      </c>
      <c r="BL562" s="1810">
        <v>941201000</v>
      </c>
      <c r="BM562" s="1801">
        <v>6.313212126318038E-2</v>
      </c>
      <c r="BN562" s="1799">
        <v>2012</v>
      </c>
      <c r="BO562" s="1684"/>
      <c r="BP562" s="1696"/>
      <c r="BQ562" s="1169"/>
      <c r="BR562" s="1169"/>
      <c r="BS562" s="1169"/>
      <c r="BT562" s="1169"/>
      <c r="BU562" s="1169"/>
      <c r="BV562" s="1169"/>
      <c r="BW562" s="1169"/>
      <c r="BX562" s="1169"/>
      <c r="BY562" s="1169"/>
      <c r="BZ562" s="1169"/>
      <c r="CA562" s="1169"/>
      <c r="CB562" s="1169"/>
      <c r="CC562" s="1169"/>
      <c r="CD562" s="1169"/>
      <c r="CE562" s="1169"/>
      <c r="CF562" s="1169"/>
      <c r="CG562" s="1169"/>
      <c r="CH562" s="1169"/>
      <c r="CI562" s="1169"/>
      <c r="CJ562" s="1169"/>
      <c r="CK562" s="1169"/>
      <c r="CL562" s="1169"/>
      <c r="CM562" s="1169"/>
      <c r="CN562" s="1169"/>
      <c r="CO562" s="1169"/>
      <c r="CP562" s="1169"/>
      <c r="CQ562" s="1169"/>
      <c r="CR562" s="1169"/>
      <c r="CS562" s="1169"/>
      <c r="CT562" s="1169"/>
      <c r="CU562" s="1169"/>
      <c r="CV562" s="1169"/>
      <c r="CW562" s="1169"/>
      <c r="CX562" s="1169"/>
      <c r="CY562" s="1169"/>
      <c r="CZ562" s="1169"/>
      <c r="DA562" s="1168"/>
      <c r="DB562" s="1168"/>
      <c r="DC562" s="1168"/>
      <c r="DD562" s="1168"/>
      <c r="DE562" s="1168"/>
      <c r="DF562" s="1168"/>
      <c r="DG562" s="1168"/>
      <c r="DH562" s="1168"/>
      <c r="DI562" s="1168"/>
      <c r="DJ562" s="1168"/>
      <c r="DK562" s="1168"/>
      <c r="DL562" s="1168"/>
      <c r="DM562" s="1168"/>
      <c r="DN562" s="1168"/>
      <c r="DO562" s="1168"/>
      <c r="DP562" s="1168"/>
      <c r="DQ562" s="1168"/>
      <c r="DR562" s="1168"/>
      <c r="DS562" s="1168"/>
      <c r="DT562" s="1168"/>
      <c r="DU562" s="1168"/>
      <c r="DV562" s="1168"/>
      <c r="DW562" s="1168"/>
      <c r="DX562" s="1168"/>
      <c r="DY562" s="1168"/>
      <c r="DZ562" s="1168"/>
      <c r="EA562" s="1168"/>
      <c r="EB562" s="1168"/>
      <c r="EC562" s="1168"/>
      <c r="ED562" s="1168"/>
      <c r="EE562" s="1168"/>
      <c r="EF562" s="1168"/>
      <c r="EG562" s="1168"/>
      <c r="EH562" s="1168"/>
      <c r="EI562" s="1170"/>
      <c r="EJ562" s="1170"/>
      <c r="EK562" s="1170"/>
      <c r="EL562" s="1170"/>
      <c r="EM562" s="1170"/>
      <c r="EN562" s="1170"/>
      <c r="EO562" s="1170"/>
      <c r="EP562" s="1170"/>
      <c r="EQ562" s="1170"/>
      <c r="ER562" s="1170"/>
      <c r="ES562" s="1171"/>
      <c r="ET562" s="1171"/>
      <c r="EU562" s="1171"/>
      <c r="EV562" s="1171"/>
      <c r="EW562" s="1171"/>
      <c r="EX562" s="1171"/>
      <c r="EY562" s="1171"/>
      <c r="EZ562" s="1171"/>
      <c r="FA562" s="1171"/>
      <c r="FB562" s="1171"/>
      <c r="FC562" s="1171"/>
      <c r="FD562" s="1171"/>
      <c r="FE562" s="1171"/>
      <c r="FF562" s="1171"/>
      <c r="FG562" s="1171"/>
      <c r="FH562" s="1171"/>
      <c r="FI562" s="1171"/>
      <c r="FJ562" s="1171"/>
      <c r="FK562" s="1171"/>
      <c r="FL562" s="1171"/>
      <c r="FM562" s="1171"/>
      <c r="FN562" s="1171"/>
      <c r="FO562" s="1171"/>
      <c r="FP562" s="1171"/>
    </row>
    <row r="563" spans="1:172" s="607" customFormat="1">
      <c r="A563" s="607">
        <f t="shared" si="17"/>
        <v>2017</v>
      </c>
      <c r="B563" s="607">
        <f t="shared" si="18"/>
        <v>1</v>
      </c>
      <c r="C563" s="666">
        <v>42795</v>
      </c>
      <c r="D563" s="1709">
        <v>0.76235217391304322</v>
      </c>
      <c r="E563" s="1117">
        <v>326.21879072965493</v>
      </c>
      <c r="F563" s="1117">
        <v>427.91088146993945</v>
      </c>
      <c r="G563" s="1117">
        <v>32.899567477171246</v>
      </c>
      <c r="H563" s="1117">
        <v>43.155340278368371</v>
      </c>
      <c r="I563" s="959">
        <v>1231.0930000000001</v>
      </c>
      <c r="J563" s="959">
        <v>1618.35</v>
      </c>
      <c r="K563" s="960">
        <v>88</v>
      </c>
      <c r="L563" s="1121">
        <v>115</v>
      </c>
      <c r="M563" s="916">
        <v>10230.434800000001</v>
      </c>
      <c r="N563" s="916">
        <v>13419.565326991411</v>
      </c>
      <c r="O563" s="1174">
        <v>5821.5217000000002</v>
      </c>
      <c r="P563" s="1174">
        <v>7636.2630018079089</v>
      </c>
      <c r="Q563" s="1174">
        <v>2277.3042999999998</v>
      </c>
      <c r="R563" s="1174">
        <v>2987.207720955168</v>
      </c>
      <c r="S563" s="1174">
        <v>2781.7390999999998</v>
      </c>
      <c r="T563" s="1174">
        <v>3648.8898375166114</v>
      </c>
      <c r="U563" s="1120">
        <v>911.53054640580785</v>
      </c>
      <c r="V563" s="1120">
        <v>1195.6817040699887</v>
      </c>
      <c r="W563" s="1120">
        <v>2280.3519195921103</v>
      </c>
      <c r="X563" s="1120">
        <v>2991.2053741348891</v>
      </c>
      <c r="Y563" s="1119">
        <v>20717.32439744988</v>
      </c>
      <c r="Z563" s="1119">
        <v>27175.530032413833</v>
      </c>
      <c r="AA563" s="1119"/>
      <c r="AB563" s="1119"/>
      <c r="AC563" s="1178">
        <v>17.588000000000001</v>
      </c>
      <c r="AD563" s="1178">
        <v>23.26</v>
      </c>
      <c r="AE563" s="1178">
        <v>52995.652199999997</v>
      </c>
      <c r="AF563" s="1178">
        <v>69515.971769295284</v>
      </c>
      <c r="AG563" s="1178">
        <v>962.26099999999997</v>
      </c>
      <c r="AH563" s="1178">
        <v>1262.2263475171242</v>
      </c>
      <c r="AI563" s="1178">
        <v>776.30399999999997</v>
      </c>
      <c r="AJ563" s="1178">
        <v>1018.30102486013</v>
      </c>
      <c r="AK563" s="919">
        <v>51.97</v>
      </c>
      <c r="AL563" s="919">
        <v>68.170593301053401</v>
      </c>
      <c r="AM563" s="919">
        <v>53.85</v>
      </c>
      <c r="AN563" s="919">
        <v>70.636645165705701</v>
      </c>
      <c r="AO563" s="919">
        <v>6.733601749418721</v>
      </c>
      <c r="AP563" s="919">
        <v>8.8326655053085492</v>
      </c>
      <c r="AS563" s="1167"/>
      <c r="AT563" s="1167"/>
      <c r="AU563" s="1168"/>
      <c r="AV563" s="1168"/>
      <c r="AW563" s="1169"/>
      <c r="AX563" s="1169"/>
      <c r="AY563" s="1169"/>
      <c r="AZ563" s="1169"/>
      <c r="BA563" s="1803" t="s">
        <v>4</v>
      </c>
      <c r="BB563" s="1802">
        <v>2013</v>
      </c>
      <c r="BC563" s="1799" t="s">
        <v>18</v>
      </c>
      <c r="BD563" s="1799">
        <v>8</v>
      </c>
      <c r="BE563" s="1800">
        <v>246179699</v>
      </c>
      <c r="BF563" s="1801">
        <v>1.2E-2</v>
      </c>
      <c r="BG563" s="1799"/>
      <c r="BH563" s="1809" t="s">
        <v>1</v>
      </c>
      <c r="BI563" s="1809" t="s">
        <v>317</v>
      </c>
      <c r="BJ563" s="1809" t="s">
        <v>55</v>
      </c>
      <c r="BK563" s="1809">
        <v>6</v>
      </c>
      <c r="BL563" s="1810">
        <v>466710000</v>
      </c>
      <c r="BM563" s="1801">
        <v>3.1305100945216713E-2</v>
      </c>
      <c r="BN563" s="1799">
        <v>2012</v>
      </c>
      <c r="BO563" s="1684"/>
      <c r="BP563" s="1696"/>
      <c r="BQ563" s="1169"/>
      <c r="BR563" s="1169"/>
      <c r="BS563" s="1169"/>
      <c r="BT563" s="1169"/>
      <c r="BU563" s="1169"/>
      <c r="BV563" s="1169"/>
      <c r="BW563" s="1169"/>
      <c r="BX563" s="1169"/>
      <c r="BY563" s="1169"/>
      <c r="BZ563" s="1169"/>
      <c r="CA563" s="1169"/>
      <c r="CB563" s="1169"/>
      <c r="CC563" s="1169"/>
      <c r="CD563" s="1169"/>
      <c r="CE563" s="1169"/>
      <c r="CF563" s="1169"/>
      <c r="CG563" s="1169"/>
      <c r="CH563" s="1169"/>
      <c r="CI563" s="1169"/>
      <c r="CJ563" s="1169"/>
      <c r="CK563" s="1169"/>
      <c r="CL563" s="1169"/>
      <c r="CM563" s="1169"/>
      <c r="CN563" s="1169"/>
      <c r="CO563" s="1169"/>
      <c r="CP563" s="1169"/>
      <c r="CQ563" s="1169"/>
      <c r="CR563" s="1169"/>
      <c r="CS563" s="1169"/>
      <c r="CT563" s="1169"/>
      <c r="CU563" s="1169"/>
      <c r="CV563" s="1169"/>
      <c r="CW563" s="1169"/>
      <c r="CX563" s="1169"/>
      <c r="CY563" s="1169"/>
      <c r="CZ563" s="1169"/>
      <c r="DA563" s="1168"/>
      <c r="DB563" s="1168"/>
      <c r="DC563" s="1168"/>
      <c r="DD563" s="1168"/>
      <c r="DE563" s="1168"/>
      <c r="DF563" s="1168"/>
      <c r="DG563" s="1168"/>
      <c r="DH563" s="1168"/>
      <c r="DI563" s="1168"/>
      <c r="DJ563" s="1168"/>
      <c r="DK563" s="1168"/>
      <c r="DL563" s="1168"/>
      <c r="DM563" s="1168"/>
      <c r="DN563" s="1168"/>
      <c r="DO563" s="1168"/>
      <c r="DP563" s="1168"/>
      <c r="DQ563" s="1168"/>
      <c r="DR563" s="1168"/>
      <c r="DS563" s="1168"/>
      <c r="DT563" s="1168"/>
      <c r="DU563" s="1168"/>
      <c r="DV563" s="1168"/>
      <c r="DW563" s="1168"/>
      <c r="DX563" s="1168"/>
      <c r="DY563" s="1168"/>
      <c r="DZ563" s="1168"/>
      <c r="EA563" s="1168"/>
      <c r="EB563" s="1168"/>
      <c r="EC563" s="1168"/>
      <c r="ED563" s="1168"/>
      <c r="EE563" s="1168"/>
      <c r="EF563" s="1168"/>
      <c r="EG563" s="1168"/>
      <c r="EH563" s="1168"/>
      <c r="EI563" s="1170"/>
      <c r="EJ563" s="1170"/>
      <c r="EK563" s="1170"/>
      <c r="EL563" s="1170"/>
      <c r="EM563" s="1170"/>
      <c r="EN563" s="1170"/>
      <c r="EO563" s="1170"/>
      <c r="EP563" s="1170"/>
      <c r="EQ563" s="1170"/>
      <c r="ER563" s="1170"/>
      <c r="ES563" s="1171"/>
      <c r="ET563" s="1171"/>
      <c r="EU563" s="1171"/>
      <c r="EV563" s="1171"/>
      <c r="EW563" s="1171"/>
      <c r="EX563" s="1171"/>
      <c r="EY563" s="1171"/>
      <c r="EZ563" s="1171"/>
      <c r="FA563" s="1171"/>
      <c r="FB563" s="1171"/>
      <c r="FC563" s="1171"/>
      <c r="FD563" s="1171"/>
      <c r="FE563" s="1171"/>
      <c r="FF563" s="1171"/>
      <c r="FG563" s="1171"/>
      <c r="FH563" s="1171"/>
      <c r="FI563" s="1171"/>
      <c r="FJ563" s="1171"/>
      <c r="FK563" s="1171"/>
      <c r="FL563" s="1171"/>
      <c r="FM563" s="1171"/>
      <c r="FN563" s="1171"/>
      <c r="FO563" s="1171"/>
      <c r="FP563" s="1171"/>
    </row>
    <row r="564" spans="1:172" s="607" customFormat="1">
      <c r="A564" s="607">
        <f t="shared" si="17"/>
        <v>2017</v>
      </c>
      <c r="B564" s="607">
        <f t="shared" si="18"/>
        <v>2</v>
      </c>
      <c r="C564" s="666">
        <v>42826</v>
      </c>
      <c r="D564" s="957">
        <v>0.75330000000000008</v>
      </c>
      <c r="E564" s="920">
        <v>311.78815513026325</v>
      </c>
      <c r="F564" s="954">
        <v>413.89639603114728</v>
      </c>
      <c r="G564" s="920">
        <v>34.181350744333962</v>
      </c>
      <c r="H564" s="920">
        <v>45.375482204080654</v>
      </c>
      <c r="I564" s="954">
        <v>1265.6279999999999</v>
      </c>
      <c r="J564" s="954">
        <v>1687.57</v>
      </c>
      <c r="K564" s="954">
        <v>71</v>
      </c>
      <c r="L564" s="920">
        <v>94</v>
      </c>
      <c r="M564" s="917">
        <v>9668.6111000000001</v>
      </c>
      <c r="N564" s="917">
        <v>12835.007433957253</v>
      </c>
      <c r="O564" s="1175">
        <v>5697.6666999999998</v>
      </c>
      <c r="P564" s="1175">
        <v>7563.6090534979412</v>
      </c>
      <c r="Q564" s="1175">
        <v>2231.3056000000001</v>
      </c>
      <c r="R564" s="1175">
        <v>2962.0411522633744</v>
      </c>
      <c r="S564" s="1175">
        <v>2633.0277999999998</v>
      </c>
      <c r="T564" s="1175">
        <v>3495.3243063852378</v>
      </c>
      <c r="U564" s="920">
        <v>976.12101972890844</v>
      </c>
      <c r="V564" s="920">
        <v>1295.7932028792093</v>
      </c>
      <c r="W564" s="920">
        <v>2383.6126102411586</v>
      </c>
      <c r="X564" s="920">
        <v>3164.2275457867495</v>
      </c>
      <c r="Y564" s="920">
        <v>21114.673056373027</v>
      </c>
      <c r="Z564" s="920">
        <v>28029.567312323146</v>
      </c>
      <c r="AA564" s="920"/>
      <c r="AB564" s="920"/>
      <c r="AC564" s="920">
        <v>18.058</v>
      </c>
      <c r="AD564" s="920">
        <v>24.14</v>
      </c>
      <c r="AE564" s="920">
        <v>55555.833299999998</v>
      </c>
      <c r="AF564" s="920">
        <v>73749.944643568291</v>
      </c>
      <c r="AG564" s="920">
        <v>959.88900000000001</v>
      </c>
      <c r="AH564" s="920">
        <v>1274.2453205894064</v>
      </c>
      <c r="AI564" s="920">
        <v>799.88900000000001</v>
      </c>
      <c r="AJ564" s="920">
        <v>1061.8465418823841</v>
      </c>
      <c r="AK564" s="920">
        <v>52.98</v>
      </c>
      <c r="AL564" s="920">
        <v>70.311877903118784</v>
      </c>
      <c r="AM564" s="920">
        <v>54.54</v>
      </c>
      <c r="AN564" s="920">
        <v>72.382216323822163</v>
      </c>
      <c r="AO564" s="920">
        <v>6.6960813560766681</v>
      </c>
      <c r="AP564" s="920">
        <v>8.8866374997699644</v>
      </c>
      <c r="AQ564" s="1338"/>
      <c r="AS564" s="1167"/>
      <c r="AT564" s="1167"/>
      <c r="AU564" s="1168"/>
      <c r="AV564" s="1168"/>
      <c r="AW564" s="1169"/>
      <c r="AX564" s="1169"/>
      <c r="AY564" s="1169"/>
      <c r="AZ564" s="1169"/>
      <c r="BA564" s="1803" t="s">
        <v>4</v>
      </c>
      <c r="BB564" s="1802">
        <v>2013</v>
      </c>
      <c r="BC564" s="1799" t="s">
        <v>19</v>
      </c>
      <c r="BD564" s="1799">
        <v>9</v>
      </c>
      <c r="BE564" s="1800">
        <v>223208237</v>
      </c>
      <c r="BF564" s="1801">
        <v>1.0999999999999999E-2</v>
      </c>
      <c r="BG564" s="1799"/>
      <c r="BH564" s="1809" t="s">
        <v>1</v>
      </c>
      <c r="BI564" s="1809" t="s">
        <v>317</v>
      </c>
      <c r="BJ564" s="1809" t="s">
        <v>431</v>
      </c>
      <c r="BK564" s="1809">
        <v>7</v>
      </c>
      <c r="BL564" s="1810">
        <v>256084000</v>
      </c>
      <c r="BM564" s="1801">
        <v>1.7177123846617549E-2</v>
      </c>
      <c r="BN564" s="1799">
        <v>2012</v>
      </c>
      <c r="BO564" s="1684"/>
      <c r="BP564" s="1696"/>
      <c r="BQ564" s="1169"/>
      <c r="BR564" s="1169"/>
      <c r="BS564" s="1169"/>
      <c r="BT564" s="1169"/>
      <c r="BU564" s="1169"/>
      <c r="BV564" s="1169"/>
      <c r="BW564" s="1169"/>
      <c r="BX564" s="1169"/>
      <c r="BY564" s="1169"/>
      <c r="BZ564" s="1169"/>
      <c r="CA564" s="1169"/>
      <c r="CB564" s="1169"/>
      <c r="CC564" s="1169"/>
      <c r="CD564" s="1169"/>
      <c r="CE564" s="1169"/>
      <c r="CF564" s="1169"/>
      <c r="CG564" s="1169"/>
      <c r="CH564" s="1169"/>
      <c r="CI564" s="1169"/>
      <c r="CJ564" s="1169"/>
      <c r="CK564" s="1169"/>
      <c r="CL564" s="1169"/>
      <c r="CM564" s="1169"/>
      <c r="CN564" s="1169"/>
      <c r="CO564" s="1169"/>
      <c r="CP564" s="1169"/>
      <c r="CQ564" s="1169"/>
      <c r="CR564" s="1169"/>
      <c r="CS564" s="1169"/>
      <c r="CT564" s="1169"/>
      <c r="CU564" s="1169"/>
      <c r="CV564" s="1169"/>
      <c r="CW564" s="1169"/>
      <c r="CX564" s="1169"/>
      <c r="CY564" s="1169"/>
      <c r="CZ564" s="1169"/>
      <c r="DA564" s="1168"/>
      <c r="DB564" s="1168"/>
      <c r="DC564" s="1168"/>
      <c r="DD564" s="1168"/>
      <c r="DE564" s="1168"/>
      <c r="DF564" s="1168"/>
      <c r="DG564" s="1168"/>
      <c r="DH564" s="1168"/>
      <c r="DI564" s="1168"/>
      <c r="DJ564" s="1168"/>
      <c r="DK564" s="1168"/>
      <c r="DL564" s="1168"/>
      <c r="DM564" s="1168"/>
      <c r="DN564" s="1168"/>
      <c r="DO564" s="1168"/>
      <c r="DP564" s="1168"/>
      <c r="DQ564" s="1168"/>
      <c r="DR564" s="1168"/>
      <c r="DS564" s="1168"/>
      <c r="DT564" s="1168"/>
      <c r="DU564" s="1168"/>
      <c r="DV564" s="1168"/>
      <c r="DW564" s="1168"/>
      <c r="DX564" s="1168"/>
      <c r="DY564" s="1168"/>
      <c r="DZ564" s="1168"/>
      <c r="EA564" s="1168"/>
      <c r="EB564" s="1168"/>
      <c r="EC564" s="1168"/>
      <c r="ED564" s="1168"/>
      <c r="EE564" s="1168"/>
      <c r="EF564" s="1168"/>
      <c r="EG564" s="1168"/>
      <c r="EH564" s="1168"/>
      <c r="EI564" s="1170"/>
      <c r="EJ564" s="1170"/>
      <c r="EK564" s="1170"/>
      <c r="EL564" s="1170"/>
      <c r="EM564" s="1170"/>
      <c r="EN564" s="1170"/>
      <c r="EO564" s="1170"/>
      <c r="EP564" s="1170"/>
      <c r="EQ564" s="1170"/>
      <c r="ER564" s="1170"/>
      <c r="ES564" s="1171"/>
      <c r="ET564" s="1171"/>
      <c r="EU564" s="1171"/>
      <c r="EV564" s="1171"/>
      <c r="EW564" s="1171"/>
      <c r="EX564" s="1171"/>
      <c r="EY564" s="1171"/>
      <c r="EZ564" s="1171"/>
      <c r="FA564" s="1171"/>
      <c r="FB564" s="1171"/>
      <c r="FC564" s="1171"/>
      <c r="FD564" s="1171"/>
      <c r="FE564" s="1171"/>
      <c r="FF564" s="1171"/>
      <c r="FG564" s="1171"/>
      <c r="FH564" s="1171"/>
      <c r="FI564" s="1171"/>
      <c r="FJ564" s="1171"/>
      <c r="FK564" s="1171"/>
      <c r="FL564" s="1171"/>
      <c r="FM564" s="1171"/>
      <c r="FN564" s="1171"/>
      <c r="FO564" s="1171"/>
      <c r="FP564" s="1171"/>
    </row>
    <row r="565" spans="1:172" s="607" customFormat="1">
      <c r="A565" s="607">
        <f t="shared" si="17"/>
        <v>2017</v>
      </c>
      <c r="B565" s="607">
        <f t="shared" si="18"/>
        <v>2</v>
      </c>
      <c r="C565" s="666">
        <v>42856</v>
      </c>
      <c r="D565" s="1709">
        <v>0.74335217391304342</v>
      </c>
      <c r="E565" s="1117">
        <v>300.73375639176311</v>
      </c>
      <c r="F565" s="1117">
        <v>404.56430605252069</v>
      </c>
      <c r="G565" s="1117">
        <v>31.167126942498601</v>
      </c>
      <c r="H565" s="1117">
        <v>41.927807621027419</v>
      </c>
      <c r="I565" s="959">
        <v>1245.0050000000001</v>
      </c>
      <c r="J565" s="959">
        <v>1679.56</v>
      </c>
      <c r="K565" s="960">
        <v>61.68</v>
      </c>
      <c r="L565" s="1121">
        <v>82.947821409359861</v>
      </c>
      <c r="M565" s="916">
        <v>9154.2857000000004</v>
      </c>
      <c r="N565" s="916">
        <v>12314.870422469308</v>
      </c>
      <c r="O565" s="1174">
        <v>5591.5</v>
      </c>
      <c r="P565" s="1174">
        <v>7522.0066560995729</v>
      </c>
      <c r="Q565" s="1174">
        <v>2131.6667000000002</v>
      </c>
      <c r="R565" s="1174">
        <v>2867.6403659100088</v>
      </c>
      <c r="S565" s="1174">
        <v>2590.2381</v>
      </c>
      <c r="T565" s="1174">
        <v>3484.5369273151591</v>
      </c>
      <c r="U565" s="1120">
        <v>943.29800604022262</v>
      </c>
      <c r="V565" s="1120">
        <v>1268.9786068353769</v>
      </c>
      <c r="W565" s="1120">
        <v>2505.716776282924</v>
      </c>
      <c r="X565" s="1120">
        <v>3370.8339925781129</v>
      </c>
      <c r="Y565" s="1119">
        <v>21762.440883234922</v>
      </c>
      <c r="Z565" s="1119">
        <v>29276.08426659511</v>
      </c>
      <c r="AA565" s="1119"/>
      <c r="AB565" s="1119"/>
      <c r="AC565" s="1178">
        <v>16.765000000000001</v>
      </c>
      <c r="AD565" s="1178">
        <v>22.76</v>
      </c>
      <c r="AE565" s="1178">
        <v>54916.904799999997</v>
      </c>
      <c r="AF565" s="1178">
        <v>73877.371624427542</v>
      </c>
      <c r="AG565" s="1178">
        <v>929.71400000000006</v>
      </c>
      <c r="AH565" s="1178">
        <v>1250.7046224213466</v>
      </c>
      <c r="AI565" s="1178">
        <v>792.42899999999997</v>
      </c>
      <c r="AJ565" s="1178">
        <v>1066.0209626193916</v>
      </c>
      <c r="AK565" s="919">
        <v>50.87</v>
      </c>
      <c r="AL565" s="919">
        <v>68.433243064613293</v>
      </c>
      <c r="AM565" s="919">
        <v>51.87</v>
      </c>
      <c r="AN565" s="919">
        <v>69.778500447444301</v>
      </c>
      <c r="AO565" s="919">
        <v>6.614025558244049</v>
      </c>
      <c r="AP565" s="919">
        <v>8.897566712460776</v>
      </c>
      <c r="AS565" s="1167"/>
      <c r="AT565" s="1167"/>
      <c r="AU565" s="1168"/>
      <c r="AV565" s="1168"/>
      <c r="AW565" s="1169"/>
      <c r="AX565" s="1169"/>
      <c r="AY565" s="1169"/>
      <c r="AZ565" s="1169"/>
      <c r="BA565" s="1803" t="s">
        <v>4</v>
      </c>
      <c r="BB565" s="1802">
        <v>2013</v>
      </c>
      <c r="BC565" s="1799" t="s">
        <v>583</v>
      </c>
      <c r="BD565" s="1799">
        <v>10</v>
      </c>
      <c r="BE565" s="1800">
        <v>182792146</v>
      </c>
      <c r="BF565" s="1801">
        <v>8.9999999999999993E-3</v>
      </c>
      <c r="BG565" s="1799"/>
      <c r="BH565" s="1809" t="s">
        <v>1</v>
      </c>
      <c r="BI565" s="1809" t="s">
        <v>317</v>
      </c>
      <c r="BJ565" s="1809" t="s">
        <v>581</v>
      </c>
      <c r="BK565" s="1809">
        <v>8</v>
      </c>
      <c r="BL565" s="1810">
        <v>208248000</v>
      </c>
      <c r="BM565" s="1801">
        <v>1.3968470059864777E-2</v>
      </c>
      <c r="BN565" s="1799">
        <v>2012</v>
      </c>
      <c r="BO565" s="1684"/>
      <c r="BP565" s="1696"/>
      <c r="BQ565" s="1169"/>
      <c r="BR565" s="1169"/>
      <c r="BS565" s="1169"/>
      <c r="BT565" s="1169"/>
      <c r="BU565" s="1169"/>
      <c r="BV565" s="1169"/>
      <c r="BW565" s="1169"/>
      <c r="BX565" s="1169"/>
      <c r="BY565" s="1169"/>
      <c r="BZ565" s="1169"/>
      <c r="CA565" s="1169"/>
      <c r="CB565" s="1169"/>
      <c r="CC565" s="1169"/>
      <c r="CD565" s="1169"/>
      <c r="CE565" s="1169"/>
      <c r="CF565" s="1169"/>
      <c r="CG565" s="1169"/>
      <c r="CH565" s="1169"/>
      <c r="CI565" s="1169"/>
      <c r="CJ565" s="1169"/>
      <c r="CK565" s="1169"/>
      <c r="CL565" s="1169"/>
      <c r="CM565" s="1169"/>
      <c r="CN565" s="1169"/>
      <c r="CO565" s="1169"/>
      <c r="CP565" s="1169"/>
      <c r="CQ565" s="1169"/>
      <c r="CR565" s="1169"/>
      <c r="CS565" s="1169"/>
      <c r="CT565" s="1169"/>
      <c r="CU565" s="1169"/>
      <c r="CV565" s="1169"/>
      <c r="CW565" s="1169"/>
      <c r="CX565" s="1169"/>
      <c r="CY565" s="1169"/>
      <c r="CZ565" s="1169"/>
      <c r="DA565" s="1168"/>
      <c r="DB565" s="1168"/>
      <c r="DC565" s="1168"/>
      <c r="DD565" s="1168"/>
      <c r="DE565" s="1168"/>
      <c r="DF565" s="1168"/>
      <c r="DG565" s="1168"/>
      <c r="DH565" s="1168"/>
      <c r="DI565" s="1168"/>
      <c r="DJ565" s="1168"/>
      <c r="DK565" s="1168"/>
      <c r="DL565" s="1168"/>
      <c r="DM565" s="1168"/>
      <c r="DN565" s="1168"/>
      <c r="DO565" s="1168"/>
      <c r="DP565" s="1168"/>
      <c r="DQ565" s="1168"/>
      <c r="DR565" s="1168"/>
      <c r="DS565" s="1168"/>
      <c r="DT565" s="1168"/>
      <c r="DU565" s="1168"/>
      <c r="DV565" s="1168"/>
      <c r="DW565" s="1168"/>
      <c r="DX565" s="1168"/>
      <c r="DY565" s="1168"/>
      <c r="DZ565" s="1168"/>
      <c r="EA565" s="1168"/>
      <c r="EB565" s="1168"/>
      <c r="EC565" s="1168"/>
      <c r="ED565" s="1168"/>
      <c r="EE565" s="1168"/>
      <c r="EF565" s="1168"/>
      <c r="EG565" s="1168"/>
      <c r="EH565" s="1168"/>
      <c r="EI565" s="1170"/>
      <c r="EJ565" s="1170"/>
      <c r="EK565" s="1170"/>
      <c r="EL565" s="1170"/>
      <c r="EM565" s="1170"/>
      <c r="EN565" s="1170"/>
      <c r="EO565" s="1170"/>
      <c r="EP565" s="1170"/>
      <c r="EQ565" s="1170"/>
      <c r="ER565" s="1170"/>
      <c r="ES565" s="1171"/>
      <c r="ET565" s="1171"/>
      <c r="EU565" s="1171"/>
      <c r="EV565" s="1171"/>
      <c r="EW565" s="1171"/>
      <c r="EX565" s="1171"/>
      <c r="EY565" s="1171"/>
      <c r="EZ565" s="1171"/>
      <c r="FA565" s="1171"/>
      <c r="FB565" s="1171"/>
      <c r="FC565" s="1171"/>
      <c r="FD565" s="1171"/>
      <c r="FE565" s="1171"/>
      <c r="FF565" s="1171"/>
      <c r="FG565" s="1171"/>
      <c r="FH565" s="1171"/>
      <c r="FI565" s="1171"/>
      <c r="FJ565" s="1171"/>
      <c r="FK565" s="1171"/>
      <c r="FL565" s="1171"/>
      <c r="FM565" s="1171"/>
      <c r="FN565" s="1171"/>
      <c r="FO565" s="1171"/>
      <c r="FP565" s="1171"/>
    </row>
    <row r="566" spans="1:172" s="607" customFormat="1">
      <c r="A566" s="607">
        <f t="shared" si="17"/>
        <v>2017</v>
      </c>
      <c r="B566" s="607">
        <f t="shared" si="18"/>
        <v>2</v>
      </c>
      <c r="C566" s="666">
        <v>42887</v>
      </c>
      <c r="D566" s="957">
        <v>0.75589047619047611</v>
      </c>
      <c r="E566" s="920">
        <v>275.78797724177758</v>
      </c>
      <c r="F566" s="954">
        <v>364.85176877963738</v>
      </c>
      <c r="G566" s="920">
        <v>31.106627646959247</v>
      </c>
      <c r="H566" s="920">
        <v>41.152294713024958</v>
      </c>
      <c r="I566" s="954">
        <v>1260.2570000000001</v>
      </c>
      <c r="J566" s="954">
        <v>1677.15</v>
      </c>
      <c r="K566" s="954">
        <v>57.15</v>
      </c>
      <c r="L566" s="920">
        <v>75.595238095238088</v>
      </c>
      <c r="M566" s="917">
        <v>8930.6818000000003</v>
      </c>
      <c r="N566" s="917">
        <v>11814.782804261138</v>
      </c>
      <c r="O566" s="1175">
        <v>5699.4772999999996</v>
      </c>
      <c r="P566" s="1175">
        <v>7540.0834903015684</v>
      </c>
      <c r="Q566" s="1175">
        <v>2131.1817999999998</v>
      </c>
      <c r="R566" s="1175">
        <v>2819.4320038806327</v>
      </c>
      <c r="S566" s="1175">
        <v>2571.9317999999998</v>
      </c>
      <c r="T566" s="1175">
        <v>3402.5191228258063</v>
      </c>
      <c r="U566" s="920">
        <v>955.64710034225163</v>
      </c>
      <c r="V566" s="920">
        <v>1264.2666238613106</v>
      </c>
      <c r="W566" s="920">
        <v>2512.1034541433187</v>
      </c>
      <c r="X566" s="920">
        <v>3323.3696326004456</v>
      </c>
      <c r="Y566" s="920">
        <v>22652.099957058148</v>
      </c>
      <c r="Z566" s="920">
        <v>29967.436646668462</v>
      </c>
      <c r="AA566" s="920"/>
      <c r="AB566" s="920"/>
      <c r="AC566" s="920">
        <v>16.946000000000002</v>
      </c>
      <c r="AD566" s="920">
        <v>22.7</v>
      </c>
      <c r="AE566" s="920">
        <v>57691.136400000003</v>
      </c>
      <c r="AF566" s="920">
        <v>76322.083975380679</v>
      </c>
      <c r="AG566" s="920">
        <v>930.72699999999998</v>
      </c>
      <c r="AH566" s="920">
        <v>1231.2987520237878</v>
      </c>
      <c r="AI566" s="920">
        <v>864.63599999999997</v>
      </c>
      <c r="AJ566" s="920">
        <v>1143.8641274561066</v>
      </c>
      <c r="AK566" s="920">
        <v>46.89</v>
      </c>
      <c r="AL566" s="920">
        <v>62.032796386475752</v>
      </c>
      <c r="AM566" s="920">
        <v>47.88</v>
      </c>
      <c r="AN566" s="920">
        <v>63.342509937821688</v>
      </c>
      <c r="AO566" s="920">
        <v>7.1890068311680846</v>
      </c>
      <c r="AP566" s="920">
        <v>9.5106461287872257</v>
      </c>
      <c r="AS566" s="1167"/>
      <c r="AT566" s="1167"/>
      <c r="AU566" s="1168"/>
      <c r="AV566" s="1168"/>
      <c r="AW566" s="1169"/>
      <c r="AX566" s="1169"/>
      <c r="AY566" s="1169"/>
      <c r="AZ566" s="1169"/>
      <c r="BA566" s="1803" t="s">
        <v>4</v>
      </c>
      <c r="BB566" s="1802">
        <v>2013</v>
      </c>
      <c r="BC566" s="1799" t="s">
        <v>32</v>
      </c>
      <c r="BD566" s="1799"/>
      <c r="BE566" s="1800">
        <v>236241961</v>
      </c>
      <c r="BF566" s="1801">
        <v>1.2E-2</v>
      </c>
      <c r="BG566" s="1799"/>
      <c r="BH566" s="1809" t="s">
        <v>1</v>
      </c>
      <c r="BI566" s="1809" t="s">
        <v>317</v>
      </c>
      <c r="BJ566" s="1809" t="s">
        <v>46</v>
      </c>
      <c r="BK566" s="1809">
        <v>9</v>
      </c>
      <c r="BL566" s="1810">
        <v>102965000</v>
      </c>
      <c r="BM566" s="1801">
        <v>6.9064937944853088E-3</v>
      </c>
      <c r="BN566" s="1799">
        <v>2012</v>
      </c>
      <c r="BO566" s="1684"/>
      <c r="BP566" s="1696"/>
      <c r="BQ566" s="1169"/>
      <c r="BR566" s="1169"/>
      <c r="BS566" s="1169"/>
      <c r="BT566" s="1169"/>
      <c r="BU566" s="1169"/>
      <c r="BV566" s="1169"/>
      <c r="BW566" s="1169"/>
      <c r="BX566" s="1169"/>
      <c r="BY566" s="1169"/>
      <c r="BZ566" s="1169"/>
      <c r="CA566" s="1169"/>
      <c r="CB566" s="1169"/>
      <c r="CC566" s="1169"/>
      <c r="CD566" s="1169"/>
      <c r="CE566" s="1169"/>
      <c r="CF566" s="1169"/>
      <c r="CG566" s="1169"/>
      <c r="CH566" s="1169"/>
      <c r="CI566" s="1169"/>
      <c r="CJ566" s="1169"/>
      <c r="CK566" s="1169"/>
      <c r="CL566" s="1169"/>
      <c r="CM566" s="1169"/>
      <c r="CN566" s="1169"/>
      <c r="CO566" s="1169"/>
      <c r="CP566" s="1169"/>
      <c r="CQ566" s="1169"/>
      <c r="CR566" s="1169"/>
      <c r="CS566" s="1169"/>
      <c r="CT566" s="1169"/>
      <c r="CU566" s="1169"/>
      <c r="CV566" s="1169"/>
      <c r="CW566" s="1169"/>
      <c r="CX566" s="1169"/>
      <c r="CY566" s="1169"/>
      <c r="CZ566" s="1169"/>
      <c r="DA566" s="1168"/>
      <c r="DB566" s="1168"/>
      <c r="DC566" s="1168"/>
      <c r="DD566" s="1168"/>
      <c r="DE566" s="1168"/>
      <c r="DF566" s="1168"/>
      <c r="DG566" s="1168"/>
      <c r="DH566" s="1168"/>
      <c r="DI566" s="1168"/>
      <c r="DJ566" s="1168"/>
      <c r="DK566" s="1168"/>
      <c r="DL566" s="1168"/>
      <c r="DM566" s="1168"/>
      <c r="DN566" s="1168"/>
      <c r="DO566" s="1168"/>
      <c r="DP566" s="1168"/>
      <c r="DQ566" s="1168"/>
      <c r="DR566" s="1168"/>
      <c r="DS566" s="1168"/>
      <c r="DT566" s="1168"/>
      <c r="DU566" s="1168"/>
      <c r="DV566" s="1168"/>
      <c r="DW566" s="1168"/>
      <c r="DX566" s="1168"/>
      <c r="DY566" s="1168"/>
      <c r="DZ566" s="1168"/>
      <c r="EA566" s="1168"/>
      <c r="EB566" s="1168"/>
      <c r="EC566" s="1168"/>
      <c r="ED566" s="1168"/>
      <c r="EE566" s="1168"/>
      <c r="EF566" s="1168"/>
      <c r="EG566" s="1168"/>
      <c r="EH566" s="1168"/>
      <c r="EI566" s="1170"/>
      <c r="EJ566" s="1170"/>
      <c r="EK566" s="1170"/>
      <c r="EL566" s="1170"/>
      <c r="EM566" s="1170"/>
      <c r="EN566" s="1170"/>
      <c r="EO566" s="1170"/>
      <c r="EP566" s="1170"/>
      <c r="EQ566" s="1170"/>
      <c r="ER566" s="1170"/>
      <c r="ES566" s="1171"/>
      <c r="ET566" s="1171"/>
      <c r="EU566" s="1171"/>
      <c r="EV566" s="1171"/>
      <c r="EW566" s="1171"/>
      <c r="EX566" s="1171"/>
      <c r="EY566" s="1171"/>
      <c r="EZ566" s="1171"/>
      <c r="FA566" s="1171"/>
      <c r="FB566" s="1171"/>
      <c r="FC566" s="1171"/>
      <c r="FD566" s="1171"/>
      <c r="FE566" s="1171"/>
      <c r="FF566" s="1171"/>
      <c r="FG566" s="1171"/>
      <c r="FH566" s="1171"/>
      <c r="FI566" s="1171"/>
      <c r="FJ566" s="1171"/>
      <c r="FK566" s="1171"/>
      <c r="FL566" s="1171"/>
      <c r="FM566" s="1171"/>
      <c r="FN566" s="1171"/>
      <c r="FO566" s="1171"/>
      <c r="FP566" s="1171"/>
    </row>
    <row r="567" spans="1:172" s="607" customFormat="1">
      <c r="A567" s="607">
        <f t="shared" si="17"/>
        <v>2017</v>
      </c>
      <c r="B567" s="607">
        <f t="shared" si="18"/>
        <v>3</v>
      </c>
      <c r="C567" s="666">
        <v>42917</v>
      </c>
      <c r="D567" s="1709">
        <v>0.77930476190476194</v>
      </c>
      <c r="E567" s="1117">
        <v>297.61164135087722</v>
      </c>
      <c r="F567" s="1117">
        <v>381.89378007066256</v>
      </c>
      <c r="G567" s="1117">
        <v>29.522324053799615</v>
      </c>
      <c r="H567" s="1117">
        <v>37.882899600974731</v>
      </c>
      <c r="I567" s="959">
        <v>1236.221</v>
      </c>
      <c r="J567" s="959">
        <v>1592.74</v>
      </c>
      <c r="K567" s="960">
        <v>67.209999999999994</v>
      </c>
      <c r="L567" s="1121">
        <v>86.111467008327992</v>
      </c>
      <c r="M567" s="916">
        <v>9481.6669999999995</v>
      </c>
      <c r="N567" s="916">
        <v>12166.8280029819</v>
      </c>
      <c r="O567" s="1174">
        <v>5978.5950000000003</v>
      </c>
      <c r="P567" s="1174">
        <v>7671.7034108546077</v>
      </c>
      <c r="Q567" s="1174">
        <v>2266.4050000000002</v>
      </c>
      <c r="R567" s="1174">
        <v>2908.2396397277184</v>
      </c>
      <c r="S567" s="1174">
        <v>2785.0949999999998</v>
      </c>
      <c r="T567" s="1174">
        <v>3573.8200716145034</v>
      </c>
      <c r="U567" s="1120">
        <v>989.41531944320172</v>
      </c>
      <c r="V567" s="1120">
        <v>1269.6128239033103</v>
      </c>
      <c r="W567" s="1120">
        <v>2586.0436965028221</v>
      </c>
      <c r="X567" s="1120">
        <v>3318.3984275703165</v>
      </c>
      <c r="Y567" s="1119">
        <v>22328.672807909061</v>
      </c>
      <c r="Z567" s="1119">
        <v>28652.042050062344</v>
      </c>
      <c r="AA567" s="1119"/>
      <c r="AB567" s="1119"/>
      <c r="AC567" s="1178">
        <v>16.143999999999998</v>
      </c>
      <c r="AD567" s="1178">
        <v>21.01</v>
      </c>
      <c r="AE567" s="1178">
        <v>58916.67</v>
      </c>
      <c r="AF567" s="1178">
        <v>75601.578329891112</v>
      </c>
      <c r="AG567" s="1178">
        <v>918.38099999999997</v>
      </c>
      <c r="AH567" s="1178">
        <v>1178.4619379911276</v>
      </c>
      <c r="AI567" s="1178">
        <v>856</v>
      </c>
      <c r="AJ567" s="1178">
        <v>1098.4149486110941</v>
      </c>
      <c r="AK567" s="919">
        <v>48.69</v>
      </c>
      <c r="AL567" s="919">
        <v>62.478766177423097</v>
      </c>
      <c r="AM567" s="919">
        <v>48.77</v>
      </c>
      <c r="AN567" s="919">
        <v>62.581421780097038</v>
      </c>
      <c r="AO567" s="919">
        <v>6.5992179347661066</v>
      </c>
      <c r="AP567" s="919">
        <v>8.4680836783756117</v>
      </c>
      <c r="AS567" s="1167"/>
      <c r="AT567" s="1167"/>
      <c r="AU567" s="1168"/>
      <c r="AV567" s="1168"/>
      <c r="AW567" s="1169"/>
      <c r="AX567" s="1169"/>
      <c r="AY567" s="1169"/>
      <c r="AZ567" s="1169"/>
      <c r="BA567" s="1803" t="s">
        <v>4</v>
      </c>
      <c r="BB567" s="1802">
        <v>2013</v>
      </c>
      <c r="BC567" s="1799" t="s">
        <v>249</v>
      </c>
      <c r="BD567" s="1799"/>
      <c r="BE567" s="1800">
        <v>19940411163</v>
      </c>
      <c r="BF567" s="1801"/>
      <c r="BG567" s="1799"/>
      <c r="BH567" s="1809" t="s">
        <v>1</v>
      </c>
      <c r="BI567" s="1809" t="s">
        <v>317</v>
      </c>
      <c r="BJ567" s="1809" t="s">
        <v>241</v>
      </c>
      <c r="BK567" s="1809">
        <v>10</v>
      </c>
      <c r="BL567" s="1810">
        <v>55236000</v>
      </c>
      <c r="BM567" s="1801">
        <v>3.7050171537142771E-3</v>
      </c>
      <c r="BN567" s="1799">
        <v>2012</v>
      </c>
      <c r="BO567" s="1684"/>
      <c r="BP567" s="1696"/>
      <c r="BQ567" s="1169"/>
      <c r="BR567" s="1169"/>
      <c r="BS567" s="1169"/>
      <c r="BT567" s="1169"/>
      <c r="BU567" s="1169"/>
      <c r="BV567" s="1169"/>
      <c r="BW567" s="1169"/>
      <c r="BX567" s="1169"/>
      <c r="BY567" s="1169"/>
      <c r="BZ567" s="1169"/>
      <c r="CA567" s="1169"/>
      <c r="CB567" s="1169"/>
      <c r="CC567" s="1169"/>
      <c r="CD567" s="1169"/>
      <c r="CE567" s="1169"/>
      <c r="CF567" s="1169"/>
      <c r="CG567" s="1169"/>
      <c r="CH567" s="1169"/>
      <c r="CI567" s="1169"/>
      <c r="CJ567" s="1169"/>
      <c r="CK567" s="1169"/>
      <c r="CL567" s="1169"/>
      <c r="CM567" s="1169"/>
      <c r="CN567" s="1169"/>
      <c r="CO567" s="1169"/>
      <c r="CP567" s="1169"/>
      <c r="CQ567" s="1169"/>
      <c r="CR567" s="1169"/>
      <c r="CS567" s="1169"/>
      <c r="CT567" s="1169"/>
      <c r="CU567" s="1169"/>
      <c r="CV567" s="1169"/>
      <c r="CW567" s="1169"/>
      <c r="CX567" s="1169"/>
      <c r="CY567" s="1169"/>
      <c r="CZ567" s="1169"/>
      <c r="DA567" s="1168"/>
      <c r="DB567" s="1168"/>
      <c r="DC567" s="1168"/>
      <c r="DD567" s="1168"/>
      <c r="DE567" s="1168"/>
      <c r="DF567" s="1168"/>
      <c r="DG567" s="1168"/>
      <c r="DH567" s="1168"/>
      <c r="DI567" s="1168"/>
      <c r="DJ567" s="1168"/>
      <c r="DK567" s="1168"/>
      <c r="DL567" s="1168"/>
      <c r="DM567" s="1168"/>
      <c r="DN567" s="1168"/>
      <c r="DO567" s="1168"/>
      <c r="DP567" s="1168"/>
      <c r="DQ567" s="1168"/>
      <c r="DR567" s="1168"/>
      <c r="DS567" s="1168"/>
      <c r="DT567" s="1168"/>
      <c r="DU567" s="1168"/>
      <c r="DV567" s="1168"/>
      <c r="DW567" s="1168"/>
      <c r="DX567" s="1168"/>
      <c r="DY567" s="1168"/>
      <c r="DZ567" s="1168"/>
      <c r="EA567" s="1168"/>
      <c r="EB567" s="1168"/>
      <c r="EC567" s="1168"/>
      <c r="ED567" s="1168"/>
      <c r="EE567" s="1168"/>
      <c r="EF567" s="1168"/>
      <c r="EG567" s="1168"/>
      <c r="EH567" s="1168"/>
      <c r="EI567" s="1170"/>
      <c r="EJ567" s="1170"/>
      <c r="EK567" s="1170"/>
      <c r="EL567" s="1170"/>
      <c r="EM567" s="1170"/>
      <c r="EN567" s="1170"/>
      <c r="EO567" s="1170"/>
      <c r="EP567" s="1170"/>
      <c r="EQ567" s="1170"/>
      <c r="ER567" s="1170"/>
      <c r="ES567" s="1171"/>
      <c r="ET567" s="1171"/>
      <c r="EU567" s="1171"/>
      <c r="EV567" s="1171"/>
      <c r="EW567" s="1171"/>
      <c r="EX567" s="1171"/>
      <c r="EY567" s="1171"/>
      <c r="EZ567" s="1171"/>
      <c r="FA567" s="1171"/>
      <c r="FB567" s="1171"/>
      <c r="FC567" s="1171"/>
      <c r="FD567" s="1171"/>
      <c r="FE567" s="1171"/>
      <c r="FF567" s="1171"/>
      <c r="FG567" s="1171"/>
      <c r="FH567" s="1171"/>
      <c r="FI567" s="1171"/>
      <c r="FJ567" s="1171"/>
      <c r="FK567" s="1171"/>
      <c r="FL567" s="1171"/>
      <c r="FM567" s="1171"/>
      <c r="FN567" s="1171"/>
      <c r="FO567" s="1171"/>
      <c r="FP567" s="1171"/>
    </row>
    <row r="568" spans="1:172" s="607" customFormat="1">
      <c r="A568" s="607">
        <f t="shared" si="17"/>
        <v>2017</v>
      </c>
      <c r="B568" s="607">
        <f t="shared" si="18"/>
        <v>3</v>
      </c>
      <c r="C568" s="666">
        <v>42948</v>
      </c>
      <c r="D568" s="957">
        <v>0.79152727272727263</v>
      </c>
      <c r="E568" s="920">
        <v>291.71844454090973</v>
      </c>
      <c r="F568" s="954">
        <v>368.55134951417369</v>
      </c>
      <c r="G568" s="920">
        <v>30.514825120576763</v>
      </c>
      <c r="H568" s="920">
        <v>38.55183033104521</v>
      </c>
      <c r="I568" s="954">
        <v>1282.316</v>
      </c>
      <c r="J568" s="954">
        <v>1623.19</v>
      </c>
      <c r="K568" s="954">
        <v>75.849999999999994</v>
      </c>
      <c r="L568" s="920">
        <v>95.818595250126322</v>
      </c>
      <c r="M568" s="917">
        <v>10852.954545454546</v>
      </c>
      <c r="N568" s="917">
        <v>13711.409473055544</v>
      </c>
      <c r="O568" s="1175">
        <v>6478.181818181818</v>
      </c>
      <c r="P568" s="1175">
        <v>8184.4075894703001</v>
      </c>
      <c r="Q568" s="1175">
        <v>2357.318181818182</v>
      </c>
      <c r="R568" s="1175">
        <v>2978.1894611108564</v>
      </c>
      <c r="S568" s="1175">
        <v>2981.840909090909</v>
      </c>
      <c r="T568" s="1175">
        <v>3767.1992006247992</v>
      </c>
      <c r="U568" s="920">
        <v>1079.0663825731474</v>
      </c>
      <c r="V568" s="920">
        <v>1363.271260199456</v>
      </c>
      <c r="W568" s="920">
        <v>2652.2827227604762</v>
      </c>
      <c r="X568" s="920">
        <v>3350.8418650210456</v>
      </c>
      <c r="Y568" s="920">
        <v>21995.419418053465</v>
      </c>
      <c r="Z568" s="920">
        <v>27788.580603503942</v>
      </c>
      <c r="AA568" s="920"/>
      <c r="AB568" s="920"/>
      <c r="AC568" s="920">
        <v>16.908999999999999</v>
      </c>
      <c r="AD568" s="920">
        <v>21.53</v>
      </c>
      <c r="AE568" s="920">
        <v>58213.64</v>
      </c>
      <c r="AF568" s="920">
        <v>73545.968668167421</v>
      </c>
      <c r="AG568" s="920">
        <v>972.36400000000003</v>
      </c>
      <c r="AH568" s="920">
        <v>1228.465567142923</v>
      </c>
      <c r="AI568" s="920">
        <v>912.22699999999998</v>
      </c>
      <c r="AJ568" s="920">
        <v>1152.4896632517114</v>
      </c>
      <c r="AK568" s="920">
        <v>51.37</v>
      </c>
      <c r="AL568" s="920">
        <v>64.899848394358443</v>
      </c>
      <c r="AM568" s="920">
        <v>51.64</v>
      </c>
      <c r="AN568" s="920">
        <v>65.240961087885339</v>
      </c>
      <c r="AO568" s="920">
        <v>6.9255058008431689</v>
      </c>
      <c r="AP568" s="920">
        <v>8.7495479176361997</v>
      </c>
      <c r="AS568" s="1167"/>
      <c r="AT568" s="1167"/>
      <c r="AU568" s="1168"/>
      <c r="AV568" s="1168"/>
      <c r="AW568" s="1169"/>
      <c r="AX568" s="1169"/>
      <c r="AY568" s="1169"/>
      <c r="AZ568" s="1169"/>
      <c r="BA568" s="1803" t="s">
        <v>4</v>
      </c>
      <c r="BB568" s="1802">
        <v>2012</v>
      </c>
      <c r="BC568" s="1799" t="s">
        <v>20</v>
      </c>
      <c r="BD568" s="1799">
        <v>1</v>
      </c>
      <c r="BE568" s="1800">
        <v>11185622075.950001</v>
      </c>
      <c r="BF568" s="1801">
        <v>0.52682605235096291</v>
      </c>
      <c r="BG568" s="1799"/>
      <c r="BH568" s="1809" t="s">
        <v>1</v>
      </c>
      <c r="BI568" s="1809" t="s">
        <v>317</v>
      </c>
      <c r="BJ568" s="1809" t="s">
        <v>32</v>
      </c>
      <c r="BK568" s="1809"/>
      <c r="BL568" s="1810">
        <v>21848000</v>
      </c>
      <c r="BM568" s="1801">
        <v>1.4654793028885062E-3</v>
      </c>
      <c r="BN568" s="1799">
        <v>2012</v>
      </c>
      <c r="BO568" s="1684"/>
      <c r="BP568" s="1696"/>
      <c r="BQ568" s="1169"/>
      <c r="BR568" s="1169"/>
      <c r="BS568" s="1169"/>
      <c r="BT568" s="1169"/>
      <c r="BU568" s="1169"/>
      <c r="BV568" s="1169"/>
      <c r="BW568" s="1169"/>
      <c r="BX568" s="1169"/>
      <c r="BY568" s="1169"/>
      <c r="BZ568" s="1169"/>
      <c r="CA568" s="1169"/>
      <c r="CB568" s="1169"/>
      <c r="CC568" s="1169"/>
      <c r="CD568" s="1169"/>
      <c r="CE568" s="1169"/>
      <c r="CF568" s="1169"/>
      <c r="CG568" s="1169"/>
      <c r="CH568" s="1169"/>
      <c r="CI568" s="1169"/>
      <c r="CJ568" s="1169"/>
      <c r="CK568" s="1169"/>
      <c r="CL568" s="1169"/>
      <c r="CM568" s="1169"/>
      <c r="CN568" s="1169"/>
      <c r="CO568" s="1169"/>
      <c r="CP568" s="1169"/>
      <c r="CQ568" s="1169"/>
      <c r="CR568" s="1169"/>
      <c r="CS568" s="1169"/>
      <c r="CT568" s="1169"/>
      <c r="CU568" s="1169"/>
      <c r="CV568" s="1169"/>
      <c r="CW568" s="1169"/>
      <c r="CX568" s="1169"/>
      <c r="CY568" s="1169"/>
      <c r="CZ568" s="1169"/>
      <c r="DA568" s="1168"/>
      <c r="DB568" s="1168"/>
      <c r="DC568" s="1168"/>
      <c r="DD568" s="1168"/>
      <c r="DE568" s="1168"/>
      <c r="DF568" s="1168"/>
      <c r="DG568" s="1168"/>
      <c r="DH568" s="1168"/>
      <c r="DI568" s="1168"/>
      <c r="DJ568" s="1168"/>
      <c r="DK568" s="1168"/>
      <c r="DL568" s="1168"/>
      <c r="DM568" s="1168"/>
      <c r="DN568" s="1168"/>
      <c r="DO568" s="1168"/>
      <c r="DP568" s="1168"/>
      <c r="DQ568" s="1168"/>
      <c r="DR568" s="1168"/>
      <c r="DS568" s="1168"/>
      <c r="DT568" s="1168"/>
      <c r="DU568" s="1168"/>
      <c r="DV568" s="1168"/>
      <c r="DW568" s="1168"/>
      <c r="DX568" s="1168"/>
      <c r="DY568" s="1168"/>
      <c r="DZ568" s="1168"/>
      <c r="EA568" s="1168"/>
      <c r="EB568" s="1168"/>
      <c r="EC568" s="1168"/>
      <c r="ED568" s="1168"/>
      <c r="EE568" s="1168"/>
      <c r="EF568" s="1168"/>
      <c r="EG568" s="1168"/>
      <c r="EH568" s="1168"/>
      <c r="EI568" s="1170"/>
      <c r="EJ568" s="1170"/>
      <c r="EK568" s="1170"/>
      <c r="EL568" s="1170"/>
      <c r="EM568" s="1170"/>
      <c r="EN568" s="1170"/>
      <c r="EO568" s="1170"/>
      <c r="EP568" s="1170"/>
      <c r="EQ568" s="1170"/>
      <c r="ER568" s="1170"/>
      <c r="ES568" s="1171"/>
      <c r="ET568" s="1171"/>
      <c r="EU568" s="1171"/>
      <c r="EV568" s="1171"/>
      <c r="EW568" s="1171"/>
      <c r="EX568" s="1171"/>
      <c r="EY568" s="1171"/>
      <c r="EZ568" s="1171"/>
      <c r="FA568" s="1171"/>
      <c r="FB568" s="1171"/>
      <c r="FC568" s="1171"/>
      <c r="FD568" s="1171"/>
      <c r="FE568" s="1171"/>
      <c r="FF568" s="1171"/>
      <c r="FG568" s="1171"/>
      <c r="FH568" s="1171"/>
      <c r="FI568" s="1171"/>
      <c r="FJ568" s="1171"/>
      <c r="FK568" s="1171"/>
      <c r="FL568" s="1171"/>
      <c r="FM568" s="1171"/>
      <c r="FN568" s="1171"/>
      <c r="FO568" s="1171"/>
      <c r="FP568" s="1171"/>
    </row>
    <row r="569" spans="1:172" s="607" customFormat="1">
      <c r="A569" s="607">
        <f t="shared" si="17"/>
        <v>2017</v>
      </c>
      <c r="B569" s="607">
        <f t="shared" si="18"/>
        <v>3</v>
      </c>
      <c r="C569" s="666">
        <v>42979</v>
      </c>
      <c r="D569" s="1709">
        <v>0.79722380952380945</v>
      </c>
      <c r="E569" s="1117">
        <v>310.3763023994963</v>
      </c>
      <c r="F569" s="1117">
        <v>389.32141600849513</v>
      </c>
      <c r="G569" s="1117">
        <v>30.669761216968666</v>
      </c>
      <c r="H569" s="1117">
        <v>38.470704023865082</v>
      </c>
      <c r="I569" s="959">
        <v>1314.979</v>
      </c>
      <c r="J569" s="959">
        <v>1657.81</v>
      </c>
      <c r="K569" s="960">
        <v>70.599999999999994</v>
      </c>
      <c r="L569" s="1121">
        <v>88.615539098782477</v>
      </c>
      <c r="M569" s="916">
        <v>11233.57</v>
      </c>
      <c r="N569" s="916">
        <v>14090.861143133614</v>
      </c>
      <c r="O569" s="1174">
        <v>6583.1909999999998</v>
      </c>
      <c r="P569" s="1174">
        <v>8257.6447433653702</v>
      </c>
      <c r="Q569" s="1174">
        <v>2377.2860000000001</v>
      </c>
      <c r="R569" s="1174">
        <v>2981.9555959072259</v>
      </c>
      <c r="S569" s="1174">
        <v>3119.7860000000001</v>
      </c>
      <c r="T569" s="1174">
        <v>3913.3126265552487</v>
      </c>
      <c r="U569" s="1120">
        <v>1021.7482945784504</v>
      </c>
      <c r="V569" s="1120">
        <v>1281.6329396744334</v>
      </c>
      <c r="W569" s="1120">
        <v>2698.2003881225714</v>
      </c>
      <c r="X569" s="1120">
        <v>3384.4954903369435</v>
      </c>
      <c r="Y569" s="1119">
        <v>22125.125880683783</v>
      </c>
      <c r="Z569" s="1119">
        <v>27752.715882757395</v>
      </c>
      <c r="AA569" s="1119"/>
      <c r="AB569" s="1119"/>
      <c r="AC569" s="1178">
        <v>17.449000000000002</v>
      </c>
      <c r="AD569" s="1178">
        <v>22.13</v>
      </c>
      <c r="AE569" s="1178">
        <v>60295.24</v>
      </c>
      <c r="AF569" s="1178">
        <v>75631.509344929131</v>
      </c>
      <c r="AG569" s="1178">
        <v>966.14300000000003</v>
      </c>
      <c r="AH569" s="1178">
        <v>1211.8842769850137</v>
      </c>
      <c r="AI569" s="1178">
        <v>934.90499999999997</v>
      </c>
      <c r="AJ569" s="1178">
        <v>1172.7008009939254</v>
      </c>
      <c r="AK569" s="919">
        <v>55.16</v>
      </c>
      <c r="AL569" s="919">
        <v>69.190106142148053</v>
      </c>
      <c r="AM569" s="919">
        <v>55.91</v>
      </c>
      <c r="AN569" s="919">
        <v>70.130870819570291</v>
      </c>
      <c r="AO569" s="919">
        <v>6.7693850583180399</v>
      </c>
      <c r="AP569" s="919">
        <v>8.4911978009807161</v>
      </c>
      <c r="AS569" s="1167"/>
      <c r="AT569" s="1167"/>
      <c r="AU569" s="1168"/>
      <c r="AV569" s="1168"/>
      <c r="AW569" s="1169"/>
      <c r="AX569" s="1169"/>
      <c r="AY569" s="1169"/>
      <c r="AZ569" s="1169"/>
      <c r="BA569" s="1803" t="s">
        <v>4</v>
      </c>
      <c r="BB569" s="1802">
        <v>2012</v>
      </c>
      <c r="BC569" s="1799" t="s">
        <v>15</v>
      </c>
      <c r="BD569" s="1799">
        <v>2</v>
      </c>
      <c r="BE569" s="1800">
        <v>2762431481.3799996</v>
      </c>
      <c r="BF569" s="1801">
        <v>0.13010638678330697</v>
      </c>
      <c r="BG569" s="1799"/>
      <c r="BH569" s="1809" t="s">
        <v>1</v>
      </c>
      <c r="BI569" s="1809" t="s">
        <v>317</v>
      </c>
      <c r="BJ569" s="1809" t="s">
        <v>249</v>
      </c>
      <c r="BK569" s="1809"/>
      <c r="BL569" s="1810">
        <v>14908433000</v>
      </c>
      <c r="BM569" s="1801">
        <v>1</v>
      </c>
      <c r="BN569" s="1799">
        <v>2012</v>
      </c>
      <c r="BO569" s="1684"/>
      <c r="BP569" s="1696"/>
      <c r="BQ569" s="1169"/>
      <c r="BR569" s="1169"/>
      <c r="BS569" s="1169"/>
      <c r="BT569" s="1169"/>
      <c r="BU569" s="1169"/>
      <c r="BV569" s="1169"/>
      <c r="BW569" s="1169"/>
      <c r="BX569" s="1169"/>
      <c r="BY569" s="1169"/>
      <c r="BZ569" s="1169"/>
      <c r="CA569" s="1169"/>
      <c r="CB569" s="1169"/>
      <c r="CC569" s="1169"/>
      <c r="CD569" s="1169"/>
      <c r="CE569" s="1169"/>
      <c r="CF569" s="1169"/>
      <c r="CG569" s="1169"/>
      <c r="CH569" s="1169"/>
      <c r="CI569" s="1169"/>
      <c r="CJ569" s="1169"/>
      <c r="CK569" s="1169"/>
      <c r="CL569" s="1169"/>
      <c r="CM569" s="1169"/>
      <c r="CN569" s="1169"/>
      <c r="CO569" s="1169"/>
      <c r="CP569" s="1169"/>
      <c r="CQ569" s="1169"/>
      <c r="CR569" s="1169"/>
      <c r="CS569" s="1169"/>
      <c r="CT569" s="1169"/>
      <c r="CU569" s="1169"/>
      <c r="CV569" s="1169"/>
      <c r="CW569" s="1169"/>
      <c r="CX569" s="1169"/>
      <c r="CY569" s="1169"/>
      <c r="CZ569" s="1169"/>
      <c r="DA569" s="1168"/>
      <c r="DB569" s="1168"/>
      <c r="DC569" s="1168"/>
      <c r="DD569" s="1168"/>
      <c r="DE569" s="1168"/>
      <c r="DF569" s="1168"/>
      <c r="DG569" s="1168"/>
      <c r="DH569" s="1168"/>
      <c r="DI569" s="1168"/>
      <c r="DJ569" s="1168"/>
      <c r="DK569" s="1168"/>
      <c r="DL569" s="1168"/>
      <c r="DM569" s="1168"/>
      <c r="DN569" s="1168"/>
      <c r="DO569" s="1168"/>
      <c r="DP569" s="1168"/>
      <c r="DQ569" s="1168"/>
      <c r="DR569" s="1168"/>
      <c r="DS569" s="1168"/>
      <c r="DT569" s="1168"/>
      <c r="DU569" s="1168"/>
      <c r="DV569" s="1168"/>
      <c r="DW569" s="1168"/>
      <c r="DX569" s="1168"/>
      <c r="DY569" s="1168"/>
      <c r="DZ569" s="1168"/>
      <c r="EA569" s="1168"/>
      <c r="EB569" s="1168"/>
      <c r="EC569" s="1168"/>
      <c r="ED569" s="1168"/>
      <c r="EE569" s="1168"/>
      <c r="EF569" s="1168"/>
      <c r="EG569" s="1168"/>
      <c r="EH569" s="1168"/>
      <c r="EI569" s="1170"/>
      <c r="EJ569" s="1170"/>
      <c r="EK569" s="1170"/>
      <c r="EL569" s="1170"/>
      <c r="EM569" s="1170"/>
      <c r="EN569" s="1170"/>
      <c r="EO569" s="1170"/>
      <c r="EP569" s="1170"/>
      <c r="EQ569" s="1170"/>
      <c r="ER569" s="1170"/>
      <c r="ES569" s="1171"/>
      <c r="ET569" s="1171"/>
      <c r="EU569" s="1171"/>
      <c r="EV569" s="1171"/>
      <c r="EW569" s="1171"/>
      <c r="EX569" s="1171"/>
      <c r="EY569" s="1171"/>
      <c r="EZ569" s="1171"/>
      <c r="FA569" s="1171"/>
      <c r="FB569" s="1171"/>
      <c r="FC569" s="1171"/>
      <c r="FD569" s="1171"/>
      <c r="FE569" s="1171"/>
      <c r="FF569" s="1171"/>
      <c r="FG569" s="1171"/>
      <c r="FH569" s="1171"/>
      <c r="FI569" s="1171"/>
      <c r="FJ569" s="1171"/>
      <c r="FK569" s="1171"/>
      <c r="FL569" s="1171"/>
      <c r="FM569" s="1171"/>
      <c r="FN569" s="1171"/>
      <c r="FO569" s="1171"/>
      <c r="FP569" s="1171"/>
    </row>
    <row r="570" spans="1:172" s="607" customFormat="1">
      <c r="A570" s="607">
        <f t="shared" si="17"/>
        <v>2017</v>
      </c>
      <c r="B570" s="607">
        <f t="shared" si="18"/>
        <v>4</v>
      </c>
      <c r="C570" s="666">
        <v>43009</v>
      </c>
      <c r="D570" s="957">
        <v>0.77881904761904763</v>
      </c>
      <c r="E570" s="920">
        <v>344.23278937114213</v>
      </c>
      <c r="F570" s="954">
        <v>441.99328511996094</v>
      </c>
      <c r="G570" s="920">
        <v>29.925975596708682</v>
      </c>
      <c r="H570" s="920">
        <v>38.424812141146688</v>
      </c>
      <c r="I570" s="954">
        <v>1279.5139999999999</v>
      </c>
      <c r="J570" s="954">
        <v>1647.23</v>
      </c>
      <c r="K570" s="954">
        <v>61.96</v>
      </c>
      <c r="L570" s="920">
        <v>79.568511621933993</v>
      </c>
      <c r="M570" s="917">
        <v>11325</v>
      </c>
      <c r="N570" s="917">
        <v>14541.246820583056</v>
      </c>
      <c r="O570" s="1175">
        <v>6797.3864000000003</v>
      </c>
      <c r="P570" s="1175">
        <v>8727.8122187438858</v>
      </c>
      <c r="Q570" s="1175">
        <v>2506.2955000000002</v>
      </c>
      <c r="R570" s="1175">
        <v>3218.0716530522404</v>
      </c>
      <c r="S570" s="1175">
        <v>3273.9544999999998</v>
      </c>
      <c r="T570" s="1175">
        <v>4203.7422043142242</v>
      </c>
      <c r="U570" s="920">
        <v>1221.7961932386856</v>
      </c>
      <c r="V570" s="920">
        <v>1568.7805748637986</v>
      </c>
      <c r="W570" s="920">
        <v>2727.3126960812633</v>
      </c>
      <c r="X570" s="920">
        <v>3501.856694978143</v>
      </c>
      <c r="Y570" s="920">
        <v>22801.50064138434</v>
      </c>
      <c r="Z570" s="920">
        <v>29277.019753293825</v>
      </c>
      <c r="AA570" s="920"/>
      <c r="AB570" s="920"/>
      <c r="AC570" s="920">
        <v>16.937000000000001</v>
      </c>
      <c r="AD570" s="920">
        <v>21.91</v>
      </c>
      <c r="AE570" s="920">
        <v>59954.5455</v>
      </c>
      <c r="AF570" s="920">
        <v>76981.354890187824</v>
      </c>
      <c r="AG570" s="920">
        <v>921</v>
      </c>
      <c r="AH570" s="920">
        <v>1182.5596752103306</v>
      </c>
      <c r="AI570" s="920">
        <v>959.36400000000003</v>
      </c>
      <c r="AJ570" s="920">
        <v>1231.8188710624145</v>
      </c>
      <c r="AK570" s="920">
        <v>57.62</v>
      </c>
      <c r="AL570" s="920">
        <v>73.983809430639795</v>
      </c>
      <c r="AM570" s="920">
        <v>58.72</v>
      </c>
      <c r="AN570" s="920">
        <v>75.396204265310118</v>
      </c>
      <c r="AO570" s="920">
        <v>6.3608346143824237</v>
      </c>
      <c r="AP570" s="920">
        <v>8.1672817759508227</v>
      </c>
      <c r="AS570" s="1167"/>
      <c r="AT570" s="1167"/>
      <c r="AU570" s="1168"/>
      <c r="AV570" s="1168"/>
      <c r="AW570" s="1169"/>
      <c r="AX570" s="1169"/>
      <c r="AY570" s="1169"/>
      <c r="AZ570" s="1169"/>
      <c r="BA570" s="1803" t="s">
        <v>4</v>
      </c>
      <c r="BB570" s="1802">
        <v>2012</v>
      </c>
      <c r="BC570" s="1799" t="s">
        <v>49</v>
      </c>
      <c r="BD570" s="1799">
        <v>3</v>
      </c>
      <c r="BE570" s="1800">
        <v>2035872798.2100003</v>
      </c>
      <c r="BF570" s="1801">
        <v>9.5886560629985421E-2</v>
      </c>
      <c r="BG570" s="1799"/>
      <c r="BH570" s="1811" t="s">
        <v>1</v>
      </c>
      <c r="BI570" s="1811" t="s">
        <v>318</v>
      </c>
      <c r="BJ570" s="1811" t="s">
        <v>15</v>
      </c>
      <c r="BK570" s="1811">
        <v>1</v>
      </c>
      <c r="BL570" s="1812">
        <v>8109699000</v>
      </c>
      <c r="BM570" s="1801">
        <v>0.63906605264665517</v>
      </c>
      <c r="BN570" s="1799">
        <v>2013</v>
      </c>
      <c r="BO570" s="1684"/>
      <c r="BP570" s="1696"/>
      <c r="BQ570" s="1169"/>
      <c r="BR570" s="1169"/>
      <c r="BS570" s="1169"/>
      <c r="BT570" s="1169"/>
      <c r="BU570" s="1169"/>
      <c r="BV570" s="1169"/>
      <c r="BW570" s="1169"/>
      <c r="BX570" s="1169"/>
      <c r="BY570" s="1169"/>
      <c r="BZ570" s="1169"/>
      <c r="CA570" s="1169"/>
      <c r="CB570" s="1169"/>
      <c r="CC570" s="1169"/>
      <c r="CD570" s="1169"/>
      <c r="CE570" s="1169"/>
      <c r="CF570" s="1169"/>
      <c r="CG570" s="1169"/>
      <c r="CH570" s="1169"/>
      <c r="CI570" s="1169"/>
      <c r="CJ570" s="1169"/>
      <c r="CK570" s="1169"/>
      <c r="CL570" s="1169"/>
      <c r="CM570" s="1169"/>
      <c r="CN570" s="1169"/>
      <c r="CO570" s="1169"/>
      <c r="CP570" s="1169"/>
      <c r="CQ570" s="1169"/>
      <c r="CR570" s="1169"/>
      <c r="CS570" s="1169"/>
      <c r="CT570" s="1169"/>
      <c r="CU570" s="1169"/>
      <c r="CV570" s="1169"/>
      <c r="CW570" s="1169"/>
      <c r="CX570" s="1169"/>
      <c r="CY570" s="1169"/>
      <c r="CZ570" s="1169"/>
      <c r="DA570" s="1168"/>
      <c r="DB570" s="1168"/>
      <c r="DC570" s="1168"/>
      <c r="DD570" s="1168"/>
      <c r="DE570" s="1168"/>
      <c r="DF570" s="1168"/>
      <c r="DG570" s="1168"/>
      <c r="DH570" s="1168"/>
      <c r="DI570" s="1168"/>
      <c r="DJ570" s="1168"/>
      <c r="DK570" s="1168"/>
      <c r="DL570" s="1168"/>
      <c r="DM570" s="1168"/>
      <c r="DN570" s="1168"/>
      <c r="DO570" s="1168"/>
      <c r="DP570" s="1168"/>
      <c r="DQ570" s="1168"/>
      <c r="DR570" s="1168"/>
      <c r="DS570" s="1168"/>
      <c r="DT570" s="1168"/>
      <c r="DU570" s="1168"/>
      <c r="DV570" s="1168"/>
      <c r="DW570" s="1168"/>
      <c r="DX570" s="1168"/>
      <c r="DY570" s="1168"/>
      <c r="DZ570" s="1168"/>
      <c r="EA570" s="1168"/>
      <c r="EB570" s="1168"/>
      <c r="EC570" s="1168"/>
      <c r="ED570" s="1168"/>
      <c r="EE570" s="1168"/>
      <c r="EF570" s="1168"/>
      <c r="EG570" s="1168"/>
      <c r="EH570" s="1168"/>
      <c r="EI570" s="1170"/>
      <c r="EJ570" s="1170"/>
      <c r="EK570" s="1170"/>
      <c r="EL570" s="1170"/>
      <c r="EM570" s="1170"/>
      <c r="EN570" s="1170"/>
      <c r="EO570" s="1170"/>
      <c r="EP570" s="1170"/>
      <c r="EQ570" s="1170"/>
      <c r="ER570" s="1170"/>
      <c r="ES570" s="1171"/>
      <c r="ET570" s="1171"/>
      <c r="EU570" s="1171"/>
      <c r="EV570" s="1171"/>
      <c r="EW570" s="1171"/>
      <c r="EX570" s="1171"/>
      <c r="EY570" s="1171"/>
      <c r="EZ570" s="1171"/>
      <c r="FA570" s="1171"/>
      <c r="FB570" s="1171"/>
      <c r="FC570" s="1171"/>
      <c r="FD570" s="1171"/>
      <c r="FE570" s="1171"/>
      <c r="FF570" s="1171"/>
      <c r="FG570" s="1171"/>
      <c r="FH570" s="1171"/>
      <c r="FI570" s="1171"/>
      <c r="FJ570" s="1171"/>
      <c r="FK570" s="1171"/>
      <c r="FL570" s="1171"/>
      <c r="FM570" s="1171"/>
      <c r="FN570" s="1171"/>
      <c r="FO570" s="1171"/>
      <c r="FP570" s="1171"/>
    </row>
    <row r="571" spans="1:172" s="607" customFormat="1">
      <c r="A571" s="607">
        <f t="shared" si="17"/>
        <v>2017</v>
      </c>
      <c r="B571" s="607">
        <f t="shared" si="18"/>
        <v>4</v>
      </c>
      <c r="C571" s="666">
        <v>43040</v>
      </c>
      <c r="D571" s="1709">
        <v>0.76250000000000007</v>
      </c>
      <c r="E571" s="1117">
        <v>418.65487077957943</v>
      </c>
      <c r="F571" s="1117">
        <v>549.05556823551399</v>
      </c>
      <c r="G571" s="1117">
        <v>30.390894400455984</v>
      </c>
      <c r="H571" s="1117">
        <v>39.8569106891226</v>
      </c>
      <c r="I571" s="959">
        <v>1282.2840000000001</v>
      </c>
      <c r="J571" s="959">
        <v>1686.71</v>
      </c>
      <c r="K571" s="960">
        <v>64.17</v>
      </c>
      <c r="L571" s="1121">
        <v>84.179456906729641</v>
      </c>
      <c r="M571" s="916">
        <v>11992.7273</v>
      </c>
      <c r="N571" s="916">
        <v>15728.166950819672</v>
      </c>
      <c r="O571" s="1174">
        <v>6825.5681999999997</v>
      </c>
      <c r="P571" s="1174">
        <v>8951.564852459016</v>
      </c>
      <c r="Q571" s="1174">
        <v>2464.4090999999999</v>
      </c>
      <c r="R571" s="1174">
        <v>3232.0119344262289</v>
      </c>
      <c r="S571" s="1174">
        <v>3236.1590999999999</v>
      </c>
      <c r="T571" s="1174">
        <v>4244.1430819672123</v>
      </c>
      <c r="U571" s="1120">
        <v>1258.9287076710436</v>
      </c>
      <c r="V571" s="1120">
        <v>1651.0540428472702</v>
      </c>
      <c r="W571" s="1120">
        <v>2778.705993530602</v>
      </c>
      <c r="X571" s="1120">
        <v>3644.2045816794775</v>
      </c>
      <c r="Y571" s="1119">
        <v>23181.695826513765</v>
      </c>
      <c r="Z571" s="1119">
        <v>30402.224034772149</v>
      </c>
      <c r="AA571" s="1119"/>
      <c r="AB571" s="1119"/>
      <c r="AC571" s="1178">
        <v>17.004999999999999</v>
      </c>
      <c r="AD571" s="1178">
        <v>22.52</v>
      </c>
      <c r="AE571" s="1178">
        <v>62272.727299999999</v>
      </c>
      <c r="AF571" s="1178">
        <v>81669.150557377041</v>
      </c>
      <c r="AG571" s="1178">
        <v>934</v>
      </c>
      <c r="AH571" s="1178">
        <v>1224.9180327868851</v>
      </c>
      <c r="AI571" s="1178">
        <v>999.79499999999996</v>
      </c>
      <c r="AJ571" s="1178">
        <v>1311.206557377049</v>
      </c>
      <c r="AK571" s="919">
        <v>62.57</v>
      </c>
      <c r="AL571" s="919">
        <v>82.059016393442619</v>
      </c>
      <c r="AM571" s="919">
        <v>64.37</v>
      </c>
      <c r="AN571" s="919">
        <v>84.419672131147536</v>
      </c>
      <c r="AO571" s="919">
        <v>6.6185568390545342</v>
      </c>
      <c r="AP571" s="919">
        <v>8.6800745430223394</v>
      </c>
      <c r="AS571" s="1167"/>
      <c r="AT571" s="1167"/>
      <c r="AU571" s="1168"/>
      <c r="AV571" s="1168"/>
      <c r="AW571" s="1169"/>
      <c r="AX571" s="1169"/>
      <c r="AY571" s="1169"/>
      <c r="AZ571" s="1169"/>
      <c r="BA571" s="1803" t="s">
        <v>4</v>
      </c>
      <c r="BB571" s="1802">
        <v>2012</v>
      </c>
      <c r="BC571" s="1799" t="s">
        <v>581</v>
      </c>
      <c r="BD571" s="1799">
        <v>4</v>
      </c>
      <c r="BE571" s="1800">
        <v>1510438134.2399993</v>
      </c>
      <c r="BF571" s="1801">
        <v>7.1139374652475926E-2</v>
      </c>
      <c r="BG571" s="1799"/>
      <c r="BH571" s="1811" t="s">
        <v>1</v>
      </c>
      <c r="BI571" s="1811" t="s">
        <v>318</v>
      </c>
      <c r="BJ571" s="1811" t="s">
        <v>49</v>
      </c>
      <c r="BK571" s="1811">
        <v>2</v>
      </c>
      <c r="BL571" s="1812">
        <v>2271477000</v>
      </c>
      <c r="BM571" s="1801">
        <v>0.17899848564880969</v>
      </c>
      <c r="BN571" s="1799">
        <v>2013</v>
      </c>
      <c r="BO571" s="1684"/>
      <c r="BP571" s="1696"/>
      <c r="BQ571" s="1169"/>
      <c r="BR571" s="1169"/>
      <c r="BS571" s="1169"/>
      <c r="BT571" s="1169"/>
      <c r="BU571" s="1169"/>
      <c r="BV571" s="1169"/>
      <c r="BW571" s="1169"/>
      <c r="BX571" s="1169"/>
      <c r="BY571" s="1169"/>
      <c r="BZ571" s="1169"/>
      <c r="CA571" s="1169"/>
      <c r="CB571" s="1169"/>
      <c r="CC571" s="1169"/>
      <c r="CD571" s="1169"/>
      <c r="CE571" s="1169"/>
      <c r="CF571" s="1169"/>
      <c r="CG571" s="1169"/>
      <c r="CH571" s="1169"/>
      <c r="CI571" s="1169"/>
      <c r="CJ571" s="1169"/>
      <c r="CK571" s="1169"/>
      <c r="CL571" s="1169"/>
      <c r="CM571" s="1169"/>
      <c r="CN571" s="1169"/>
      <c r="CO571" s="1169"/>
      <c r="CP571" s="1169"/>
      <c r="CQ571" s="1169"/>
      <c r="CR571" s="1169"/>
      <c r="CS571" s="1169"/>
      <c r="CT571" s="1169"/>
      <c r="CU571" s="1169"/>
      <c r="CV571" s="1169"/>
      <c r="CW571" s="1169"/>
      <c r="CX571" s="1169"/>
      <c r="CY571" s="1169"/>
      <c r="CZ571" s="1169"/>
      <c r="DA571" s="1168"/>
      <c r="DB571" s="1168"/>
      <c r="DC571" s="1168"/>
      <c r="DD571" s="1168"/>
      <c r="DE571" s="1168"/>
      <c r="DF571" s="1168"/>
      <c r="DG571" s="1168"/>
      <c r="DH571" s="1168"/>
      <c r="DI571" s="1168"/>
      <c r="DJ571" s="1168"/>
      <c r="DK571" s="1168"/>
      <c r="DL571" s="1168"/>
      <c r="DM571" s="1168"/>
      <c r="DN571" s="1168"/>
      <c r="DO571" s="1168"/>
      <c r="DP571" s="1168"/>
      <c r="DQ571" s="1168"/>
      <c r="DR571" s="1168"/>
      <c r="DS571" s="1168"/>
      <c r="DT571" s="1168"/>
      <c r="DU571" s="1168"/>
      <c r="DV571" s="1168"/>
      <c r="DW571" s="1168"/>
      <c r="DX571" s="1168"/>
      <c r="DY571" s="1168"/>
      <c r="DZ571" s="1168"/>
      <c r="EA571" s="1168"/>
      <c r="EB571" s="1168"/>
      <c r="EC571" s="1168"/>
      <c r="ED571" s="1168"/>
      <c r="EE571" s="1168"/>
      <c r="EF571" s="1168"/>
      <c r="EG571" s="1168"/>
      <c r="EH571" s="1168"/>
      <c r="EI571" s="1170"/>
      <c r="EJ571" s="1170"/>
      <c r="EK571" s="1170"/>
      <c r="EL571" s="1170"/>
      <c r="EM571" s="1170"/>
      <c r="EN571" s="1170"/>
      <c r="EO571" s="1170"/>
      <c r="EP571" s="1170"/>
      <c r="EQ571" s="1170"/>
      <c r="ER571" s="1170"/>
      <c r="ES571" s="1171"/>
      <c r="ET571" s="1171"/>
      <c r="EU571" s="1171"/>
      <c r="EV571" s="1171"/>
      <c r="EW571" s="1171"/>
      <c r="EX571" s="1171"/>
      <c r="EY571" s="1171"/>
      <c r="EZ571" s="1171"/>
      <c r="FA571" s="1171"/>
      <c r="FB571" s="1171"/>
      <c r="FC571" s="1171"/>
      <c r="FD571" s="1171"/>
      <c r="FE571" s="1171"/>
      <c r="FF571" s="1171"/>
      <c r="FG571" s="1171"/>
      <c r="FH571" s="1171"/>
      <c r="FI571" s="1171"/>
      <c r="FJ571" s="1171"/>
      <c r="FK571" s="1171"/>
      <c r="FL571" s="1171"/>
      <c r="FM571" s="1171"/>
      <c r="FN571" s="1171"/>
      <c r="FO571" s="1171"/>
      <c r="FP571" s="1171"/>
    </row>
    <row r="572" spans="1:172" s="607" customFormat="1">
      <c r="A572" s="607">
        <f t="shared" si="17"/>
        <v>2017</v>
      </c>
      <c r="B572" s="607">
        <f t="shared" si="18"/>
        <v>4</v>
      </c>
      <c r="C572" s="666">
        <v>43070</v>
      </c>
      <c r="D572" s="957">
        <v>0.763778947368421</v>
      </c>
      <c r="E572" s="920">
        <v>415.55572549601607</v>
      </c>
      <c r="F572" s="954">
        <v>544.07852812361705</v>
      </c>
      <c r="G572" s="920">
        <v>30.936928968146187</v>
      </c>
      <c r="H572" s="920">
        <v>40.505082098346008</v>
      </c>
      <c r="I572" s="954">
        <v>1261.2560000000001</v>
      </c>
      <c r="J572" s="954">
        <v>1662.39</v>
      </c>
      <c r="K572" s="954">
        <v>71.61</v>
      </c>
      <c r="L572" s="920">
        <v>93.607843137254903</v>
      </c>
      <c r="M572" s="917">
        <v>11409.210499999999</v>
      </c>
      <c r="N572" s="917">
        <v>14937.843651373365</v>
      </c>
      <c r="O572" s="1175">
        <v>6801.1579000000002</v>
      </c>
      <c r="P572" s="1175">
        <v>8904.6155611295635</v>
      </c>
      <c r="Q572" s="1175">
        <v>2508.8157999999999</v>
      </c>
      <c r="R572" s="1175">
        <v>3284.7407075621218</v>
      </c>
      <c r="S572" s="1175">
        <v>3192.4737</v>
      </c>
      <c r="T572" s="1175">
        <v>4179.8398751360965</v>
      </c>
      <c r="U572" s="920">
        <v>1265.8398235269758</v>
      </c>
      <c r="V572" s="920">
        <v>1657.3379351295182</v>
      </c>
      <c r="W572" s="920">
        <v>2808.0780493018883</v>
      </c>
      <c r="X572" s="920">
        <v>3676.5585893366697</v>
      </c>
      <c r="Y572" s="920">
        <v>23267.895679132278</v>
      </c>
      <c r="Z572" s="920">
        <v>30464.17521627319</v>
      </c>
      <c r="AA572" s="920"/>
      <c r="AB572" s="920"/>
      <c r="AC572" s="920">
        <v>16.161000000000001</v>
      </c>
      <c r="AD572" s="920">
        <v>21.42</v>
      </c>
      <c r="AE572" s="920">
        <v>72589.473700000002</v>
      </c>
      <c r="AF572" s="920">
        <v>95039.898585978313</v>
      </c>
      <c r="AG572" s="920">
        <v>904.76499999999999</v>
      </c>
      <c r="AH572" s="920">
        <v>1184.5901266555493</v>
      </c>
      <c r="AI572" s="920">
        <v>1018.706</v>
      </c>
      <c r="AJ572" s="920">
        <v>1333.770724513844</v>
      </c>
      <c r="AK572" s="920">
        <v>64.209999999999994</v>
      </c>
      <c r="AL572" s="920">
        <v>83.93464052287581</v>
      </c>
      <c r="AM572" s="920">
        <v>65.989999999999995</v>
      </c>
      <c r="AN572" s="920">
        <v>86.261437908496717</v>
      </c>
      <c r="AO572" s="920">
        <v>6.3834327694081976</v>
      </c>
      <c r="AP572" s="920">
        <v>8.3443565613179054</v>
      </c>
      <c r="AS572" s="1167"/>
      <c r="AT572" s="1167"/>
      <c r="AU572" s="1168"/>
      <c r="AV572" s="1168"/>
      <c r="AW572" s="1169"/>
      <c r="AX572" s="1169"/>
      <c r="AY572" s="1169"/>
      <c r="AZ572" s="1169"/>
      <c r="BA572" s="1803" t="s">
        <v>4</v>
      </c>
      <c r="BB572" s="1802">
        <v>2012</v>
      </c>
      <c r="BC572" s="1799" t="s">
        <v>21</v>
      </c>
      <c r="BD572" s="1799">
        <v>5</v>
      </c>
      <c r="BE572" s="1800">
        <v>833481286.0400002</v>
      </c>
      <c r="BF572" s="1801">
        <v>3.9255720660986496E-2</v>
      </c>
      <c r="BG572" s="1799"/>
      <c r="BH572" s="1811" t="s">
        <v>1</v>
      </c>
      <c r="BI572" s="1811" t="s">
        <v>318</v>
      </c>
      <c r="BJ572" s="1811" t="s">
        <v>51</v>
      </c>
      <c r="BK572" s="1811">
        <v>3</v>
      </c>
      <c r="BL572" s="1812">
        <v>635929000</v>
      </c>
      <c r="BM572" s="1801">
        <v>5.0112912426655387E-2</v>
      </c>
      <c r="BN572" s="1799">
        <v>2013</v>
      </c>
      <c r="BO572" s="1684"/>
      <c r="BP572" s="1696"/>
      <c r="BQ572" s="1169"/>
      <c r="BR572" s="1169"/>
      <c r="BS572" s="1169"/>
      <c r="BT572" s="1169"/>
      <c r="BU572" s="1169"/>
      <c r="BV572" s="1169"/>
      <c r="BW572" s="1169"/>
      <c r="BX572" s="1169"/>
      <c r="BY572" s="1169"/>
      <c r="BZ572" s="1169"/>
      <c r="CA572" s="1169"/>
      <c r="CB572" s="1169"/>
      <c r="CC572" s="1169"/>
      <c r="CD572" s="1169"/>
      <c r="CE572" s="1169"/>
      <c r="CF572" s="1169"/>
      <c r="CG572" s="1169"/>
      <c r="CH572" s="1169"/>
      <c r="CI572" s="1169"/>
      <c r="CJ572" s="1169"/>
      <c r="CK572" s="1169"/>
      <c r="CL572" s="1169"/>
      <c r="CM572" s="1169"/>
      <c r="CN572" s="1169"/>
      <c r="CO572" s="1169"/>
      <c r="CP572" s="1169"/>
      <c r="CQ572" s="1169"/>
      <c r="CR572" s="1169"/>
      <c r="CS572" s="1169"/>
      <c r="CT572" s="1169"/>
      <c r="CU572" s="1169"/>
      <c r="CV572" s="1169"/>
      <c r="CW572" s="1169"/>
      <c r="CX572" s="1169"/>
      <c r="CY572" s="1169"/>
      <c r="CZ572" s="1169"/>
      <c r="DA572" s="1168"/>
      <c r="DB572" s="1168"/>
      <c r="DC572" s="1168"/>
      <c r="DD572" s="1168"/>
      <c r="DE572" s="1168"/>
      <c r="DF572" s="1168"/>
      <c r="DG572" s="1168"/>
      <c r="DH572" s="1168"/>
      <c r="DI572" s="1168"/>
      <c r="DJ572" s="1168"/>
      <c r="DK572" s="1168"/>
      <c r="DL572" s="1168"/>
      <c r="DM572" s="1168"/>
      <c r="DN572" s="1168"/>
      <c r="DO572" s="1168"/>
      <c r="DP572" s="1168"/>
      <c r="DQ572" s="1168"/>
      <c r="DR572" s="1168"/>
      <c r="DS572" s="1168"/>
      <c r="DT572" s="1168"/>
      <c r="DU572" s="1168"/>
      <c r="DV572" s="1168"/>
      <c r="DW572" s="1168"/>
      <c r="DX572" s="1168"/>
      <c r="DY572" s="1168"/>
      <c r="DZ572" s="1168"/>
      <c r="EA572" s="1168"/>
      <c r="EB572" s="1168"/>
      <c r="EC572" s="1168"/>
      <c r="ED572" s="1168"/>
      <c r="EE572" s="1168"/>
      <c r="EF572" s="1168"/>
      <c r="EG572" s="1168"/>
      <c r="EH572" s="1168"/>
      <c r="EI572" s="1170"/>
      <c r="EJ572" s="1170"/>
      <c r="EK572" s="1170"/>
      <c r="EL572" s="1170"/>
      <c r="EM572" s="1170"/>
      <c r="EN572" s="1170"/>
      <c r="EO572" s="1170"/>
      <c r="EP572" s="1170"/>
      <c r="EQ572" s="1170"/>
      <c r="ER572" s="1170"/>
      <c r="ES572" s="1171"/>
      <c r="ET572" s="1171"/>
      <c r="EU572" s="1171"/>
      <c r="EV572" s="1171"/>
      <c r="EW572" s="1171"/>
      <c r="EX572" s="1171"/>
      <c r="EY572" s="1171"/>
      <c r="EZ572" s="1171"/>
      <c r="FA572" s="1171"/>
      <c r="FB572" s="1171"/>
      <c r="FC572" s="1171"/>
      <c r="FD572" s="1171"/>
      <c r="FE572" s="1171"/>
      <c r="FF572" s="1171"/>
      <c r="FG572" s="1171"/>
      <c r="FH572" s="1171"/>
      <c r="FI572" s="1171"/>
      <c r="FJ572" s="1171"/>
      <c r="FK572" s="1171"/>
      <c r="FL572" s="1171"/>
      <c r="FM572" s="1171"/>
      <c r="FN572" s="1171"/>
      <c r="FO572" s="1171"/>
      <c r="FP572" s="1171"/>
    </row>
    <row r="573" spans="1:172" s="607" customFormat="1">
      <c r="A573" s="607">
        <f t="shared" si="17"/>
        <v>2018</v>
      </c>
      <c r="B573" s="607">
        <f t="shared" si="18"/>
        <v>1</v>
      </c>
      <c r="C573" s="666">
        <v>43101</v>
      </c>
      <c r="D573" s="1709">
        <v>0.7943190476190477</v>
      </c>
      <c r="E573" s="1117">
        <v>390.38987686166541</v>
      </c>
      <c r="F573" s="1117">
        <v>491.47742085733648</v>
      </c>
      <c r="G573" s="1117">
        <v>29.352263823117369</v>
      </c>
      <c r="H573" s="1117">
        <v>36.952738211553751</v>
      </c>
      <c r="I573" s="959">
        <v>1331.6659999999999</v>
      </c>
      <c r="J573" s="959">
        <v>1679.27</v>
      </c>
      <c r="K573" s="960">
        <v>75.78</v>
      </c>
      <c r="L573" s="1121">
        <v>95.236898328515778</v>
      </c>
      <c r="M573" s="916">
        <v>12880.23</v>
      </c>
      <c r="N573" s="916">
        <v>16215.436402549052</v>
      </c>
      <c r="O573" s="1174">
        <v>7080.2960000000003</v>
      </c>
      <c r="P573" s="1174">
        <v>8913.6676518371532</v>
      </c>
      <c r="Q573" s="1174">
        <v>2589.7730000000001</v>
      </c>
      <c r="R573" s="1174">
        <v>3260.3687495129097</v>
      </c>
      <c r="S573" s="1174">
        <v>3447.2049999999999</v>
      </c>
      <c r="T573" s="1174">
        <v>4339.8241680505007</v>
      </c>
      <c r="U573" s="1120">
        <v>1329.4624331212297</v>
      </c>
      <c r="V573" s="1120">
        <v>1673.7133990507484</v>
      </c>
      <c r="W573" s="1120">
        <v>2732.2957620821385</v>
      </c>
      <c r="X573" s="1120">
        <v>3439.7963516953664</v>
      </c>
      <c r="Y573" s="1119">
        <v>23615.213695092967</v>
      </c>
      <c r="Z573" s="1119">
        <v>29730.136480900215</v>
      </c>
      <c r="AA573" s="1119">
        <v>965</v>
      </c>
      <c r="AB573" s="1119">
        <v>1214.8770735041094</v>
      </c>
      <c r="AC573" s="1178">
        <v>17.167999999999999</v>
      </c>
      <c r="AD573" s="1178">
        <v>21.78</v>
      </c>
      <c r="AE573" s="1178">
        <v>77750</v>
      </c>
      <c r="AF573" s="1178">
        <v>97882.582865227465</v>
      </c>
      <c r="AG573" s="1178">
        <v>990.65899999999999</v>
      </c>
      <c r="AH573" s="1178">
        <v>1247.1802142595932</v>
      </c>
      <c r="AI573" s="1178">
        <v>1094.4549999999999</v>
      </c>
      <c r="AJ573" s="1178">
        <v>1377.8531476496787</v>
      </c>
      <c r="AK573" s="919">
        <v>69.09</v>
      </c>
      <c r="AL573" s="919">
        <v>86.980162703004069</v>
      </c>
      <c r="AM573" s="919">
        <v>70.72</v>
      </c>
      <c r="AN573" s="919">
        <v>89.032234858249339</v>
      </c>
      <c r="AO573" s="919">
        <v>7.548188631048605</v>
      </c>
      <c r="AP573" s="919">
        <v>9.5027163879226109</v>
      </c>
      <c r="AS573" s="1167"/>
      <c r="AT573" s="1167"/>
      <c r="AU573" s="1168"/>
      <c r="AV573" s="1168"/>
      <c r="AW573" s="1169"/>
      <c r="AX573" s="1169"/>
      <c r="AY573" s="1169"/>
      <c r="AZ573" s="1169"/>
      <c r="BA573" s="1803" t="s">
        <v>4</v>
      </c>
      <c r="BB573" s="1802">
        <v>2012</v>
      </c>
      <c r="BC573" s="1799" t="s">
        <v>28</v>
      </c>
      <c r="BD573" s="1799">
        <v>6</v>
      </c>
      <c r="BE573" s="1800">
        <v>820276253.78999996</v>
      </c>
      <c r="BF573" s="1801">
        <v>3.8633783412955168E-2</v>
      </c>
      <c r="BG573" s="1799"/>
      <c r="BH573" s="1811" t="s">
        <v>1</v>
      </c>
      <c r="BI573" s="1811" t="s">
        <v>318</v>
      </c>
      <c r="BJ573" s="1811" t="s">
        <v>55</v>
      </c>
      <c r="BK573" s="1811">
        <v>4</v>
      </c>
      <c r="BL573" s="1812">
        <v>537371000</v>
      </c>
      <c r="BM573" s="1801">
        <v>4.2346277436041177E-2</v>
      </c>
      <c r="BN573" s="1799">
        <v>2013</v>
      </c>
      <c r="BO573" s="1684"/>
      <c r="BP573" s="1696"/>
      <c r="BQ573" s="1169"/>
      <c r="BR573" s="1169"/>
      <c r="BS573" s="1169"/>
      <c r="BT573" s="1169"/>
      <c r="BU573" s="1169"/>
      <c r="BV573" s="1169"/>
      <c r="BW573" s="1169"/>
      <c r="BX573" s="1169"/>
      <c r="BY573" s="1169"/>
      <c r="BZ573" s="1169"/>
      <c r="CA573" s="1169"/>
      <c r="CB573" s="1169"/>
      <c r="CC573" s="1169"/>
      <c r="CD573" s="1169"/>
      <c r="CE573" s="1169"/>
      <c r="CF573" s="1169"/>
      <c r="CG573" s="1169"/>
      <c r="CH573" s="1169"/>
      <c r="CI573" s="1169"/>
      <c r="CJ573" s="1169"/>
      <c r="CK573" s="1169"/>
      <c r="CL573" s="1169"/>
      <c r="CM573" s="1169"/>
      <c r="CN573" s="1169"/>
      <c r="CO573" s="1169"/>
      <c r="CP573" s="1169"/>
      <c r="CQ573" s="1169"/>
      <c r="CR573" s="1169"/>
      <c r="CS573" s="1169"/>
      <c r="CT573" s="1169"/>
      <c r="CU573" s="1169"/>
      <c r="CV573" s="1169"/>
      <c r="CW573" s="1169"/>
      <c r="CX573" s="1169"/>
      <c r="CY573" s="1169"/>
      <c r="CZ573" s="1169"/>
      <c r="DA573" s="1168"/>
      <c r="DB573" s="1168"/>
      <c r="DC573" s="1168"/>
      <c r="DD573" s="1168"/>
      <c r="DE573" s="1168"/>
      <c r="DF573" s="1168"/>
      <c r="DG573" s="1168"/>
      <c r="DH573" s="1168"/>
      <c r="DI573" s="1168"/>
      <c r="DJ573" s="1168"/>
      <c r="DK573" s="1168"/>
      <c r="DL573" s="1168"/>
      <c r="DM573" s="1168"/>
      <c r="DN573" s="1168"/>
      <c r="DO573" s="1168"/>
      <c r="DP573" s="1168"/>
      <c r="DQ573" s="1168"/>
      <c r="DR573" s="1168"/>
      <c r="DS573" s="1168"/>
      <c r="DT573" s="1168"/>
      <c r="DU573" s="1168"/>
      <c r="DV573" s="1168"/>
      <c r="DW573" s="1168"/>
      <c r="DX573" s="1168"/>
      <c r="DY573" s="1168"/>
      <c r="DZ573" s="1168"/>
      <c r="EA573" s="1168"/>
      <c r="EB573" s="1168"/>
      <c r="EC573" s="1168"/>
      <c r="ED573" s="1168"/>
      <c r="EE573" s="1168"/>
      <c r="EF573" s="1168"/>
      <c r="EG573" s="1168"/>
      <c r="EH573" s="1168"/>
      <c r="EI573" s="1170"/>
      <c r="EJ573" s="1170"/>
      <c r="EK573" s="1170"/>
      <c r="EL573" s="1170"/>
      <c r="EM573" s="1170"/>
      <c r="EN573" s="1170"/>
      <c r="EO573" s="1170"/>
      <c r="EP573" s="1170"/>
      <c r="EQ573" s="1170"/>
      <c r="ER573" s="1170"/>
      <c r="ES573" s="1171"/>
      <c r="ET573" s="1171"/>
      <c r="EU573" s="1171"/>
      <c r="EV573" s="1171"/>
      <c r="EW573" s="1171"/>
      <c r="EX573" s="1171"/>
      <c r="EY573" s="1171"/>
      <c r="EZ573" s="1171"/>
      <c r="FA573" s="1171"/>
      <c r="FB573" s="1171"/>
      <c r="FC573" s="1171"/>
      <c r="FD573" s="1171"/>
      <c r="FE573" s="1171"/>
      <c r="FF573" s="1171"/>
      <c r="FG573" s="1171"/>
      <c r="FH573" s="1171"/>
      <c r="FI573" s="1171"/>
      <c r="FJ573" s="1171"/>
      <c r="FK573" s="1171"/>
      <c r="FL573" s="1171"/>
      <c r="FM573" s="1171"/>
      <c r="FN573" s="1171"/>
      <c r="FO573" s="1171"/>
      <c r="FP573" s="1171"/>
    </row>
    <row r="574" spans="1:172" s="607" customFormat="1">
      <c r="A574" s="607">
        <f t="shared" si="17"/>
        <v>2018</v>
      </c>
      <c r="B574" s="607">
        <f t="shared" si="18"/>
        <v>1</v>
      </c>
      <c r="C574" s="666">
        <v>43132</v>
      </c>
      <c r="D574" s="957">
        <v>0.78796999999999995</v>
      </c>
      <c r="E574" s="920">
        <v>386.3126035364898</v>
      </c>
      <c r="F574" s="954">
        <v>490.26308556986919</v>
      </c>
      <c r="G574" s="920">
        <v>32.265726631377895</v>
      </c>
      <c r="H574" s="920">
        <v>40.947912523798998</v>
      </c>
      <c r="I574" s="954">
        <v>1331.5250000000001</v>
      </c>
      <c r="J574" s="954">
        <v>1695.77</v>
      </c>
      <c r="K574" s="954">
        <v>77.48</v>
      </c>
      <c r="L574" s="920">
        <v>98.474834773767157</v>
      </c>
      <c r="M574" s="917">
        <v>13576.75</v>
      </c>
      <c r="N574" s="917">
        <v>17230.034138355521</v>
      </c>
      <c r="O574" s="1175">
        <v>7001.8</v>
      </c>
      <c r="P574" s="1175">
        <v>8885.8712895160988</v>
      </c>
      <c r="Q574" s="1175">
        <v>2580.8249999999998</v>
      </c>
      <c r="R574" s="1175">
        <v>3275.2833229691487</v>
      </c>
      <c r="S574" s="1175">
        <v>3539.7750000000001</v>
      </c>
      <c r="T574" s="1175">
        <v>4492.2712793634282</v>
      </c>
      <c r="U574" s="920">
        <v>1462.4111456908831</v>
      </c>
      <c r="V574" s="920">
        <v>1855.9223646723647</v>
      </c>
      <c r="W574" s="920">
        <v>2874.4514345257066</v>
      </c>
      <c r="X574" s="920">
        <v>3647.919888480154</v>
      </c>
      <c r="Y574" s="920">
        <v>23655.58770728494</v>
      </c>
      <c r="Z574" s="920">
        <v>30020.924283011969</v>
      </c>
      <c r="AA574" s="920">
        <v>965</v>
      </c>
      <c r="AB574" s="920">
        <v>1224.6659136769167</v>
      </c>
      <c r="AC574" s="920">
        <v>16.658999999999999</v>
      </c>
      <c r="AD574" s="920">
        <v>21.29</v>
      </c>
      <c r="AE574" s="920">
        <v>81125</v>
      </c>
      <c r="AF574" s="920">
        <v>102954.42719900505</v>
      </c>
      <c r="AG574" s="920">
        <v>988.25</v>
      </c>
      <c r="AH574" s="920">
        <v>1254.172113151516</v>
      </c>
      <c r="AI574" s="920">
        <v>1022.45</v>
      </c>
      <c r="AJ574" s="920">
        <v>1297.5747807657654</v>
      </c>
      <c r="AK574" s="920">
        <v>65.42</v>
      </c>
      <c r="AL574" s="920">
        <v>83.023465360356369</v>
      </c>
      <c r="AM574" s="920">
        <v>67.489999999999995</v>
      </c>
      <c r="AN574" s="920">
        <v>85.650468926481977</v>
      </c>
      <c r="AO574" s="920">
        <v>8.3039282334355118</v>
      </c>
      <c r="AP574" s="920">
        <v>10.538381199075488</v>
      </c>
      <c r="AS574" s="1167"/>
      <c r="AT574" s="1167"/>
      <c r="AU574" s="1168"/>
      <c r="AV574" s="1168"/>
      <c r="AW574" s="1169"/>
      <c r="AX574" s="1169"/>
      <c r="AY574" s="1169"/>
      <c r="AZ574" s="1169"/>
      <c r="BA574" s="1803" t="s">
        <v>4</v>
      </c>
      <c r="BB574" s="1802">
        <v>2012</v>
      </c>
      <c r="BC574" s="1799" t="s">
        <v>583</v>
      </c>
      <c r="BD574" s="1799">
        <v>7</v>
      </c>
      <c r="BE574" s="1800">
        <v>598752878.56999993</v>
      </c>
      <c r="BF574" s="1801">
        <v>2.8200364111087509E-2</v>
      </c>
      <c r="BG574" s="1799"/>
      <c r="BH574" s="1811" t="s">
        <v>1</v>
      </c>
      <c r="BI574" s="1811" t="s">
        <v>318</v>
      </c>
      <c r="BJ574" s="1811" t="s">
        <v>28</v>
      </c>
      <c r="BK574" s="1811">
        <v>5</v>
      </c>
      <c r="BL574" s="1812">
        <v>444473000</v>
      </c>
      <c r="BM574" s="1801">
        <v>3.5025665640366771E-2</v>
      </c>
      <c r="BN574" s="1799">
        <v>2013</v>
      </c>
      <c r="BO574" s="1684"/>
      <c r="BP574" s="1696"/>
      <c r="BQ574" s="1169"/>
      <c r="BR574" s="1169"/>
      <c r="BS574" s="1169"/>
      <c r="BT574" s="1169"/>
      <c r="BU574" s="1169"/>
      <c r="BV574" s="1169"/>
      <c r="BW574" s="1169"/>
      <c r="BX574" s="1169"/>
      <c r="BY574" s="1169"/>
      <c r="BZ574" s="1169"/>
      <c r="CA574" s="1169"/>
      <c r="CB574" s="1169"/>
      <c r="CC574" s="1169"/>
      <c r="CD574" s="1169"/>
      <c r="CE574" s="1169"/>
      <c r="CF574" s="1169"/>
      <c r="CG574" s="1169"/>
      <c r="CH574" s="1169"/>
      <c r="CI574" s="1169"/>
      <c r="CJ574" s="1169"/>
      <c r="CK574" s="1169"/>
      <c r="CL574" s="1169"/>
      <c r="CM574" s="1169"/>
      <c r="CN574" s="1169"/>
      <c r="CO574" s="1169"/>
      <c r="CP574" s="1169"/>
      <c r="CQ574" s="1169"/>
      <c r="CR574" s="1169"/>
      <c r="CS574" s="1169"/>
      <c r="CT574" s="1169"/>
      <c r="CU574" s="1169"/>
      <c r="CV574" s="1169"/>
      <c r="CW574" s="1169"/>
      <c r="CX574" s="1169"/>
      <c r="CY574" s="1169"/>
      <c r="CZ574" s="1169"/>
      <c r="DA574" s="1168"/>
      <c r="DB574" s="1168"/>
      <c r="DC574" s="1168"/>
      <c r="DD574" s="1168"/>
      <c r="DE574" s="1168"/>
      <c r="DF574" s="1168"/>
      <c r="DG574" s="1168"/>
      <c r="DH574" s="1168"/>
      <c r="DI574" s="1168"/>
      <c r="DJ574" s="1168"/>
      <c r="DK574" s="1168"/>
      <c r="DL574" s="1168"/>
      <c r="DM574" s="1168"/>
      <c r="DN574" s="1168"/>
      <c r="DO574" s="1168"/>
      <c r="DP574" s="1168"/>
      <c r="DQ574" s="1168"/>
      <c r="DR574" s="1168"/>
      <c r="DS574" s="1168"/>
      <c r="DT574" s="1168"/>
      <c r="DU574" s="1168"/>
      <c r="DV574" s="1168"/>
      <c r="DW574" s="1168"/>
      <c r="DX574" s="1168"/>
      <c r="DY574" s="1168"/>
      <c r="DZ574" s="1168"/>
      <c r="EA574" s="1168"/>
      <c r="EB574" s="1168"/>
      <c r="EC574" s="1168"/>
      <c r="ED574" s="1168"/>
      <c r="EE574" s="1168"/>
      <c r="EF574" s="1168"/>
      <c r="EG574" s="1168"/>
      <c r="EH574" s="1168"/>
      <c r="EI574" s="1170"/>
      <c r="EJ574" s="1170"/>
      <c r="EK574" s="1170"/>
      <c r="EL574" s="1170"/>
      <c r="EM574" s="1170"/>
      <c r="EN574" s="1170"/>
      <c r="EO574" s="1170"/>
      <c r="EP574" s="1170"/>
      <c r="EQ574" s="1170"/>
      <c r="ER574" s="1170"/>
      <c r="ES574" s="1171"/>
      <c r="ET574" s="1171"/>
      <c r="EU574" s="1171"/>
      <c r="EV574" s="1171"/>
      <c r="EW574" s="1171"/>
      <c r="EX574" s="1171"/>
      <c r="EY574" s="1171"/>
      <c r="EZ574" s="1171"/>
      <c r="FA574" s="1171"/>
      <c r="FB574" s="1171"/>
      <c r="FC574" s="1171"/>
      <c r="FD574" s="1171"/>
      <c r="FE574" s="1171"/>
      <c r="FF574" s="1171"/>
      <c r="FG574" s="1171"/>
      <c r="FH574" s="1171"/>
      <c r="FI574" s="1171"/>
      <c r="FJ574" s="1171"/>
      <c r="FK574" s="1171"/>
      <c r="FL574" s="1171"/>
      <c r="FM574" s="1171"/>
      <c r="FN574" s="1171"/>
      <c r="FO574" s="1171"/>
      <c r="FP574" s="1171"/>
    </row>
    <row r="575" spans="1:172" s="607" customFormat="1">
      <c r="A575" s="607">
        <f t="shared" si="17"/>
        <v>2018</v>
      </c>
      <c r="B575" s="607">
        <f t="shared" si="18"/>
        <v>1</v>
      </c>
      <c r="C575" s="666">
        <v>43160</v>
      </c>
      <c r="D575" s="1709">
        <v>0.77657142857142858</v>
      </c>
      <c r="E575" s="1117">
        <v>372.92549877467371</v>
      </c>
      <c r="F575" s="1117">
        <v>480.22047303581974</v>
      </c>
      <c r="G575" s="1117">
        <v>32.044966687781262</v>
      </c>
      <c r="H575" s="1117">
        <v>41.264673806929515</v>
      </c>
      <c r="I575" s="959">
        <v>1324.6569999999999</v>
      </c>
      <c r="J575" s="959">
        <v>1712.39</v>
      </c>
      <c r="K575" s="960">
        <v>70.010000000000005</v>
      </c>
      <c r="L575" s="1121">
        <v>90.230699832452643</v>
      </c>
      <c r="M575" s="916">
        <v>13403.57</v>
      </c>
      <c r="N575" s="916">
        <v>17259.931935246503</v>
      </c>
      <c r="O575" s="1174">
        <v>6795.76</v>
      </c>
      <c r="P575" s="1174">
        <v>8750.9786607799851</v>
      </c>
      <c r="Q575" s="1174">
        <v>2397</v>
      </c>
      <c r="R575" s="1174">
        <v>3086.644591611479</v>
      </c>
      <c r="S575" s="1174">
        <v>3280.48</v>
      </c>
      <c r="T575" s="1174">
        <v>4224.3119941133182</v>
      </c>
      <c r="U575" s="1120">
        <v>1351.3821151406044</v>
      </c>
      <c r="V575" s="1120">
        <v>1740.1903616600866</v>
      </c>
      <c r="W575" s="1120">
        <v>2881.9355992721376</v>
      </c>
      <c r="X575" s="1120">
        <v>3711.1017650671383</v>
      </c>
      <c r="Y575" s="1119">
        <v>23790.079993559953</v>
      </c>
      <c r="Z575" s="1119">
        <v>30634.760845275876</v>
      </c>
      <c r="AA575" s="1119">
        <v>965</v>
      </c>
      <c r="AB575" s="1119">
        <v>1242.6416482707873</v>
      </c>
      <c r="AC575" s="1178">
        <v>16.47</v>
      </c>
      <c r="AD575" s="1178">
        <v>21.41</v>
      </c>
      <c r="AE575" s="1178">
        <v>88000</v>
      </c>
      <c r="AF575" s="1178">
        <v>113318.6166298749</v>
      </c>
      <c r="AG575" s="1178">
        <v>954.57100000000003</v>
      </c>
      <c r="AH575" s="1178">
        <v>1229.2121044885946</v>
      </c>
      <c r="AI575" s="1178">
        <v>987.33299999999997</v>
      </c>
      <c r="AJ575" s="1178">
        <v>1271.400110375276</v>
      </c>
      <c r="AK575" s="919">
        <v>66.45</v>
      </c>
      <c r="AL575" s="919">
        <v>85.56843267108168</v>
      </c>
      <c r="AM575" s="919">
        <v>67.87</v>
      </c>
      <c r="AN575" s="919">
        <v>87.396983075791027</v>
      </c>
      <c r="AO575" s="919">
        <v>8.108062782979502</v>
      </c>
      <c r="AP575" s="919">
        <v>10.440846114947851</v>
      </c>
      <c r="AS575" s="1167"/>
      <c r="AT575" s="1167"/>
      <c r="AU575" s="1168"/>
      <c r="AV575" s="1168"/>
      <c r="AW575" s="1169"/>
      <c r="AX575" s="1169"/>
      <c r="AY575" s="1169"/>
      <c r="AZ575" s="1169"/>
      <c r="BA575" s="1803" t="s">
        <v>4</v>
      </c>
      <c r="BB575" s="1802">
        <v>2012</v>
      </c>
      <c r="BC575" s="1799" t="s">
        <v>73</v>
      </c>
      <c r="BD575" s="1799">
        <v>8</v>
      </c>
      <c r="BE575" s="1800">
        <v>584697728.56999981</v>
      </c>
      <c r="BF575" s="1801">
        <v>2.7538387589851266E-2</v>
      </c>
      <c r="BG575" s="1799"/>
      <c r="BH575" s="1811" t="s">
        <v>1</v>
      </c>
      <c r="BI575" s="1811" t="s">
        <v>318</v>
      </c>
      <c r="BJ575" s="1811" t="s">
        <v>18</v>
      </c>
      <c r="BK575" s="1811">
        <v>6</v>
      </c>
      <c r="BL575" s="1812">
        <v>240258000</v>
      </c>
      <c r="BM575" s="1801">
        <v>1.8932975401032771E-2</v>
      </c>
      <c r="BN575" s="1799">
        <v>2013</v>
      </c>
      <c r="BO575" s="1684"/>
      <c r="BP575" s="1696"/>
      <c r="BQ575" s="1169"/>
      <c r="BR575" s="1169"/>
      <c r="BS575" s="1169"/>
      <c r="BT575" s="1169"/>
      <c r="BU575" s="1169"/>
      <c r="BV575" s="1169"/>
      <c r="BW575" s="1169"/>
      <c r="BX575" s="1169"/>
      <c r="BY575" s="1169"/>
      <c r="BZ575" s="1169"/>
      <c r="CA575" s="1169"/>
      <c r="CB575" s="1169"/>
      <c r="CC575" s="1169"/>
      <c r="CD575" s="1169"/>
      <c r="CE575" s="1169"/>
      <c r="CF575" s="1169"/>
      <c r="CG575" s="1169"/>
      <c r="CH575" s="1169"/>
      <c r="CI575" s="1169"/>
      <c r="CJ575" s="1169"/>
      <c r="CK575" s="1169"/>
      <c r="CL575" s="1169"/>
      <c r="CM575" s="1169"/>
      <c r="CN575" s="1169"/>
      <c r="CO575" s="1169"/>
      <c r="CP575" s="1169"/>
      <c r="CQ575" s="1169"/>
      <c r="CR575" s="1169"/>
      <c r="CS575" s="1169"/>
      <c r="CT575" s="1169"/>
      <c r="CU575" s="1169"/>
      <c r="CV575" s="1169"/>
      <c r="CW575" s="1169"/>
      <c r="CX575" s="1169"/>
      <c r="CY575" s="1169"/>
      <c r="CZ575" s="1169"/>
      <c r="DA575" s="1168"/>
      <c r="DB575" s="1168"/>
      <c r="DC575" s="1168"/>
      <c r="DD575" s="1168"/>
      <c r="DE575" s="1168"/>
      <c r="DF575" s="1168"/>
      <c r="DG575" s="1168"/>
      <c r="DH575" s="1168"/>
      <c r="DI575" s="1168"/>
      <c r="DJ575" s="1168"/>
      <c r="DK575" s="1168"/>
      <c r="DL575" s="1168"/>
      <c r="DM575" s="1168"/>
      <c r="DN575" s="1168"/>
      <c r="DO575" s="1168"/>
      <c r="DP575" s="1168"/>
      <c r="DQ575" s="1168"/>
      <c r="DR575" s="1168"/>
      <c r="DS575" s="1168"/>
      <c r="DT575" s="1168"/>
      <c r="DU575" s="1168"/>
      <c r="DV575" s="1168"/>
      <c r="DW575" s="1168"/>
      <c r="DX575" s="1168"/>
      <c r="DY575" s="1168"/>
      <c r="DZ575" s="1168"/>
      <c r="EA575" s="1168"/>
      <c r="EB575" s="1168"/>
      <c r="EC575" s="1168"/>
      <c r="ED575" s="1168"/>
      <c r="EE575" s="1168"/>
      <c r="EF575" s="1168"/>
      <c r="EG575" s="1168"/>
      <c r="EH575" s="1168"/>
      <c r="EI575" s="1170"/>
      <c r="EJ575" s="1170"/>
      <c r="EK575" s="1170"/>
      <c r="EL575" s="1170"/>
      <c r="EM575" s="1170"/>
      <c r="EN575" s="1170"/>
      <c r="EO575" s="1170"/>
      <c r="EP575" s="1170"/>
      <c r="EQ575" s="1170"/>
      <c r="ER575" s="1170"/>
      <c r="ES575" s="1171"/>
      <c r="ET575" s="1171"/>
      <c r="EU575" s="1171"/>
      <c r="EV575" s="1171"/>
      <c r="EW575" s="1171"/>
      <c r="EX575" s="1171"/>
      <c r="EY575" s="1171"/>
      <c r="EZ575" s="1171"/>
      <c r="FA575" s="1171"/>
      <c r="FB575" s="1171"/>
      <c r="FC575" s="1171"/>
      <c r="FD575" s="1171"/>
      <c r="FE575" s="1171"/>
      <c r="FF575" s="1171"/>
      <c r="FG575" s="1171"/>
      <c r="FH575" s="1171"/>
      <c r="FI575" s="1171"/>
      <c r="FJ575" s="1171"/>
      <c r="FK575" s="1171"/>
      <c r="FL575" s="1171"/>
      <c r="FM575" s="1171"/>
      <c r="FN575" s="1171"/>
      <c r="FO575" s="1171"/>
      <c r="FP575" s="1171"/>
    </row>
    <row r="576" spans="1:172" s="607" customFormat="1">
      <c r="A576" s="607">
        <f t="shared" si="17"/>
        <v>2018</v>
      </c>
      <c r="B576" s="607">
        <f t="shared" si="18"/>
        <v>2</v>
      </c>
      <c r="C576" s="666">
        <v>43191</v>
      </c>
      <c r="D576" s="957">
        <v>0.76976315789473693</v>
      </c>
      <c r="E576" s="920">
        <v>369.57828178386211</v>
      </c>
      <c r="F576" s="954">
        <v>480.11947310474034</v>
      </c>
      <c r="G576" s="920">
        <v>33.420163117938905</v>
      </c>
      <c r="H576" s="920">
        <v>43.416163498057443</v>
      </c>
      <c r="I576" s="954">
        <v>1334.74</v>
      </c>
      <c r="J576" s="954">
        <v>1741.12</v>
      </c>
      <c r="K576" s="954">
        <v>65.430000000000007</v>
      </c>
      <c r="L576" s="920">
        <v>85.000170934327031</v>
      </c>
      <c r="M576" s="917">
        <v>13934.5</v>
      </c>
      <c r="N576" s="917">
        <v>18102.321288161085</v>
      </c>
      <c r="O576" s="1175">
        <v>6838.55</v>
      </c>
      <c r="P576" s="1175">
        <v>8883.9663601244392</v>
      </c>
      <c r="Q576" s="1175">
        <v>2357.375</v>
      </c>
      <c r="R576" s="1175">
        <v>3062.4679498136811</v>
      </c>
      <c r="S576" s="1175">
        <v>3190.9250000000002</v>
      </c>
      <c r="T576" s="1175">
        <v>4145.3334928720387</v>
      </c>
      <c r="U576" s="920">
        <v>1441.5976405789008</v>
      </c>
      <c r="V576" s="920">
        <v>1872.7807713239965</v>
      </c>
      <c r="W576" s="920">
        <v>2948.0833544013258</v>
      </c>
      <c r="X576" s="920">
        <v>3829.8576960531391</v>
      </c>
      <c r="Y576" s="920">
        <v>24536.764865569221</v>
      </c>
      <c r="Z576" s="920">
        <v>31875.73296268949</v>
      </c>
      <c r="AA576" s="920">
        <v>965</v>
      </c>
      <c r="AB576" s="920">
        <v>1253.6323544494203</v>
      </c>
      <c r="AC576" s="920">
        <v>16.609000000000002</v>
      </c>
      <c r="AD576" s="920">
        <v>21.84</v>
      </c>
      <c r="AE576" s="920">
        <v>90862.5</v>
      </c>
      <c r="AF576" s="920">
        <v>118039.55420327508</v>
      </c>
      <c r="AG576" s="920">
        <v>923.5</v>
      </c>
      <c r="AH576" s="920">
        <v>1199.7196677036682</v>
      </c>
      <c r="AI576" s="920">
        <v>970.55</v>
      </c>
      <c r="AJ576" s="920">
        <v>1260.8423643636113</v>
      </c>
      <c r="AK576" s="920">
        <v>71.63</v>
      </c>
      <c r="AL576" s="920">
        <v>93.054596424053869</v>
      </c>
      <c r="AM576" s="920">
        <v>66.319999999999993</v>
      </c>
      <c r="AN576" s="920">
        <v>86.15637072236845</v>
      </c>
      <c r="AO576" s="920">
        <v>8.8116347400308648</v>
      </c>
      <c r="AP576" s="920">
        <v>11.447202492946321</v>
      </c>
      <c r="AS576" s="1167"/>
      <c r="AT576" s="1167"/>
      <c r="AU576" s="1168"/>
      <c r="AV576" s="1168"/>
      <c r="AW576" s="1169"/>
      <c r="AX576" s="1169"/>
      <c r="AY576" s="1169"/>
      <c r="AZ576" s="1169"/>
      <c r="BA576" s="1803" t="s">
        <v>4</v>
      </c>
      <c r="BB576" s="1802">
        <v>2012</v>
      </c>
      <c r="BC576" s="1799" t="s">
        <v>19</v>
      </c>
      <c r="BD576" s="1799">
        <v>9</v>
      </c>
      <c r="BE576" s="1800">
        <v>236492879.88999999</v>
      </c>
      <c r="BF576" s="1801">
        <v>1.1138460559063505E-2</v>
      </c>
      <c r="BG576" s="1799"/>
      <c r="BH576" s="1811" t="s">
        <v>1</v>
      </c>
      <c r="BI576" s="1811" t="s">
        <v>318</v>
      </c>
      <c r="BJ576" s="1811" t="s">
        <v>581</v>
      </c>
      <c r="BK576" s="1811">
        <v>7</v>
      </c>
      <c r="BL576" s="1812">
        <v>176937000</v>
      </c>
      <c r="BM576" s="1801">
        <v>1.3943110608314959E-2</v>
      </c>
      <c r="BN576" s="1799">
        <v>2013</v>
      </c>
      <c r="BO576" s="1684"/>
      <c r="BP576" s="1696"/>
      <c r="BQ576" s="1169"/>
      <c r="BR576" s="1169"/>
      <c r="BS576" s="1169"/>
      <c r="BT576" s="1169"/>
      <c r="BU576" s="1169"/>
      <c r="BV576" s="1169"/>
      <c r="BW576" s="1169"/>
      <c r="BX576" s="1169"/>
      <c r="BY576" s="1169"/>
      <c r="BZ576" s="1169"/>
      <c r="CA576" s="1169"/>
      <c r="CB576" s="1169"/>
      <c r="CC576" s="1169"/>
      <c r="CD576" s="1169"/>
      <c r="CE576" s="1169"/>
      <c r="CF576" s="1169"/>
      <c r="CG576" s="1169"/>
      <c r="CH576" s="1169"/>
      <c r="CI576" s="1169"/>
      <c r="CJ576" s="1169"/>
      <c r="CK576" s="1169"/>
      <c r="CL576" s="1169"/>
      <c r="CM576" s="1169"/>
      <c r="CN576" s="1169"/>
      <c r="CO576" s="1169"/>
      <c r="CP576" s="1169"/>
      <c r="CQ576" s="1169"/>
      <c r="CR576" s="1169"/>
      <c r="CS576" s="1169"/>
      <c r="CT576" s="1169"/>
      <c r="CU576" s="1169"/>
      <c r="CV576" s="1169"/>
      <c r="CW576" s="1169"/>
      <c r="CX576" s="1169"/>
      <c r="CY576" s="1169"/>
      <c r="CZ576" s="1169"/>
      <c r="DA576" s="1168"/>
      <c r="DB576" s="1168"/>
      <c r="DC576" s="1168"/>
      <c r="DD576" s="1168"/>
      <c r="DE576" s="1168"/>
      <c r="DF576" s="1168"/>
      <c r="DG576" s="1168"/>
      <c r="DH576" s="1168"/>
      <c r="DI576" s="1168"/>
      <c r="DJ576" s="1168"/>
      <c r="DK576" s="1168"/>
      <c r="DL576" s="1168"/>
      <c r="DM576" s="1168"/>
      <c r="DN576" s="1168"/>
      <c r="DO576" s="1168"/>
      <c r="DP576" s="1168"/>
      <c r="DQ576" s="1168"/>
      <c r="DR576" s="1168"/>
      <c r="DS576" s="1168"/>
      <c r="DT576" s="1168"/>
      <c r="DU576" s="1168"/>
      <c r="DV576" s="1168"/>
      <c r="DW576" s="1168"/>
      <c r="DX576" s="1168"/>
      <c r="DY576" s="1168"/>
      <c r="DZ576" s="1168"/>
      <c r="EA576" s="1168"/>
      <c r="EB576" s="1168"/>
      <c r="EC576" s="1168"/>
      <c r="ED576" s="1168"/>
      <c r="EE576" s="1168"/>
      <c r="EF576" s="1168"/>
      <c r="EG576" s="1168"/>
      <c r="EH576" s="1168"/>
      <c r="EI576" s="1170"/>
      <c r="EJ576" s="1170"/>
      <c r="EK576" s="1170"/>
      <c r="EL576" s="1170"/>
      <c r="EM576" s="1170"/>
      <c r="EN576" s="1170"/>
      <c r="EO576" s="1170"/>
      <c r="EP576" s="1170"/>
      <c r="EQ576" s="1170"/>
      <c r="ER576" s="1170"/>
      <c r="ES576" s="1171"/>
      <c r="ET576" s="1171"/>
      <c r="EU576" s="1171"/>
      <c r="EV576" s="1171"/>
      <c r="EW576" s="1171"/>
      <c r="EX576" s="1171"/>
      <c r="EY576" s="1171"/>
      <c r="EZ576" s="1171"/>
      <c r="FA576" s="1171"/>
      <c r="FB576" s="1171"/>
      <c r="FC576" s="1171"/>
      <c r="FD576" s="1171"/>
      <c r="FE576" s="1171"/>
      <c r="FF576" s="1171"/>
      <c r="FG576" s="1171"/>
      <c r="FH576" s="1171"/>
      <c r="FI576" s="1171"/>
      <c r="FJ576" s="1171"/>
      <c r="FK576" s="1171"/>
      <c r="FL576" s="1171"/>
      <c r="FM576" s="1171"/>
      <c r="FN576" s="1171"/>
      <c r="FO576" s="1171"/>
      <c r="FP576" s="1171"/>
    </row>
    <row r="577" spans="1:172" s="607" customFormat="1">
      <c r="A577" s="607">
        <f t="shared" si="17"/>
        <v>2018</v>
      </c>
      <c r="B577" s="607">
        <f t="shared" si="18"/>
        <v>2</v>
      </c>
      <c r="C577" s="666">
        <v>43221</v>
      </c>
      <c r="D577" s="1709">
        <v>0.75269130434782616</v>
      </c>
      <c r="E577" s="1117">
        <v>458.51989566442984</v>
      </c>
      <c r="F577" s="1117">
        <v>609.17389773981392</v>
      </c>
      <c r="G577" s="1117">
        <v>32.418295120442686</v>
      </c>
      <c r="H577" s="1117">
        <v>43.069841425272884</v>
      </c>
      <c r="I577" s="959">
        <v>1303.0260000000001</v>
      </c>
      <c r="J577" s="959">
        <v>1721.78</v>
      </c>
      <c r="K577" s="960">
        <v>66</v>
      </c>
      <c r="L577" s="1121">
        <v>87.685349383949756</v>
      </c>
      <c r="M577" s="916">
        <v>14356.428571428571</v>
      </c>
      <c r="N577" s="916">
        <v>19073.46144229444</v>
      </c>
      <c r="O577" s="1174">
        <v>6821.7619047619046</v>
      </c>
      <c r="P577" s="1174">
        <v>9063.1602429267605</v>
      </c>
      <c r="Q577" s="1174">
        <v>2363.8809523809523</v>
      </c>
      <c r="R577" s="1174">
        <v>3140.5716244179957</v>
      </c>
      <c r="S577" s="1174">
        <v>3057.8571428571427</v>
      </c>
      <c r="T577" s="1174">
        <v>4062.564726327802</v>
      </c>
      <c r="U577" s="1120">
        <v>1458.7350972169443</v>
      </c>
      <c r="V577" s="1120">
        <v>1938.025706940874</v>
      </c>
      <c r="W577" s="1120">
        <v>2946.1532725944667</v>
      </c>
      <c r="X577" s="1120">
        <v>3914.158773425951</v>
      </c>
      <c r="Y577" s="1119">
        <v>23505.488929545649</v>
      </c>
      <c r="Z577" s="1119">
        <v>31228.591048905659</v>
      </c>
      <c r="AA577" s="1119">
        <v>944</v>
      </c>
      <c r="AB577" s="1119">
        <v>1254.1662093704329</v>
      </c>
      <c r="AC577" s="1178">
        <v>16.468</v>
      </c>
      <c r="AD577" s="1178">
        <v>19.924999999999997</v>
      </c>
      <c r="AE577" s="1178">
        <v>90440.476190476184</v>
      </c>
      <c r="AF577" s="1178">
        <v>120156.13262443476</v>
      </c>
      <c r="AG577" s="1178">
        <v>904.28599999999994</v>
      </c>
      <c r="AH577" s="1178">
        <v>1201.4035432274907</v>
      </c>
      <c r="AI577" s="1178">
        <v>979.90499999999997</v>
      </c>
      <c r="AJ577" s="1178">
        <v>1301.8683680012014</v>
      </c>
      <c r="AK577" s="919">
        <v>76.650000000000006</v>
      </c>
      <c r="AL577" s="919">
        <v>101.83457621635985</v>
      </c>
      <c r="AM577" s="919">
        <v>78.41</v>
      </c>
      <c r="AN577" s="919">
        <v>104.17285219993182</v>
      </c>
      <c r="AO577" s="919">
        <v>8.8564896708962682</v>
      </c>
      <c r="AP577" s="919">
        <v>11.766430168301236</v>
      </c>
      <c r="AS577" s="1167"/>
      <c r="AT577" s="1167"/>
      <c r="AU577" s="1168"/>
      <c r="AV577" s="1168"/>
      <c r="AW577" s="1169"/>
      <c r="AX577" s="1169"/>
      <c r="AY577" s="1169"/>
      <c r="AZ577" s="1169"/>
      <c r="BA577" s="1803" t="s">
        <v>4</v>
      </c>
      <c r="BB577" s="1802">
        <v>2012</v>
      </c>
      <c r="BC577" s="1799" t="s">
        <v>431</v>
      </c>
      <c r="BD577" s="1799">
        <v>10</v>
      </c>
      <c r="BE577" s="1800">
        <v>236190311.53999999</v>
      </c>
      <c r="BF577" s="1801">
        <v>1.1124210042792303E-2</v>
      </c>
      <c r="BG577" s="1799"/>
      <c r="BH577" s="1811" t="s">
        <v>1</v>
      </c>
      <c r="BI577" s="1811" t="s">
        <v>318</v>
      </c>
      <c r="BJ577" s="1811" t="s">
        <v>431</v>
      </c>
      <c r="BK577" s="1811">
        <v>8</v>
      </c>
      <c r="BL577" s="1812">
        <v>120917000</v>
      </c>
      <c r="BM577" s="1801">
        <v>9.5285842159956377E-3</v>
      </c>
      <c r="BN577" s="1799">
        <v>2013</v>
      </c>
      <c r="BO577" s="1684"/>
      <c r="BP577" s="1696"/>
      <c r="BQ577" s="1169"/>
      <c r="BR577" s="1169"/>
      <c r="BS577" s="1169"/>
      <c r="BT577" s="1169"/>
      <c r="BU577" s="1169"/>
      <c r="BV577" s="1169"/>
      <c r="BW577" s="1169"/>
      <c r="BX577" s="1169"/>
      <c r="BY577" s="1169"/>
      <c r="BZ577" s="1169"/>
      <c r="CA577" s="1169"/>
      <c r="CB577" s="1169"/>
      <c r="CC577" s="1169"/>
      <c r="CD577" s="1169"/>
      <c r="CE577" s="1169"/>
      <c r="CF577" s="1169"/>
      <c r="CG577" s="1169"/>
      <c r="CH577" s="1169"/>
      <c r="CI577" s="1169"/>
      <c r="CJ577" s="1169"/>
      <c r="CK577" s="1169"/>
      <c r="CL577" s="1169"/>
      <c r="CM577" s="1169"/>
      <c r="CN577" s="1169"/>
      <c r="CO577" s="1169"/>
      <c r="CP577" s="1169"/>
      <c r="CQ577" s="1169"/>
      <c r="CR577" s="1169"/>
      <c r="CS577" s="1169"/>
      <c r="CT577" s="1169"/>
      <c r="CU577" s="1169"/>
      <c r="CV577" s="1169"/>
      <c r="CW577" s="1169"/>
      <c r="CX577" s="1169"/>
      <c r="CY577" s="1169"/>
      <c r="CZ577" s="1169"/>
      <c r="DA577" s="1168"/>
      <c r="DB577" s="1168"/>
      <c r="DC577" s="1168"/>
      <c r="DD577" s="1168"/>
      <c r="DE577" s="1168"/>
      <c r="DF577" s="1168"/>
      <c r="DG577" s="1168"/>
      <c r="DH577" s="1168"/>
      <c r="DI577" s="1168"/>
      <c r="DJ577" s="1168"/>
      <c r="DK577" s="1168"/>
      <c r="DL577" s="1168"/>
      <c r="DM577" s="1168"/>
      <c r="DN577" s="1168"/>
      <c r="DO577" s="1168"/>
      <c r="DP577" s="1168"/>
      <c r="DQ577" s="1168"/>
      <c r="DR577" s="1168"/>
      <c r="DS577" s="1168"/>
      <c r="DT577" s="1168"/>
      <c r="DU577" s="1168"/>
      <c r="DV577" s="1168"/>
      <c r="DW577" s="1168"/>
      <c r="DX577" s="1168"/>
      <c r="DY577" s="1168"/>
      <c r="DZ577" s="1168"/>
      <c r="EA577" s="1168"/>
      <c r="EB577" s="1168"/>
      <c r="EC577" s="1168"/>
      <c r="ED577" s="1168"/>
      <c r="EE577" s="1168"/>
      <c r="EF577" s="1168"/>
      <c r="EG577" s="1168"/>
      <c r="EH577" s="1168"/>
      <c r="EI577" s="1170"/>
      <c r="EJ577" s="1170"/>
      <c r="EK577" s="1170"/>
      <c r="EL577" s="1170"/>
      <c r="EM577" s="1170"/>
      <c r="EN577" s="1170"/>
      <c r="EO577" s="1170"/>
      <c r="EP577" s="1170"/>
      <c r="EQ577" s="1170"/>
      <c r="ER577" s="1170"/>
      <c r="ES577" s="1171"/>
      <c r="ET577" s="1171"/>
      <c r="EU577" s="1171"/>
      <c r="EV577" s="1171"/>
      <c r="EW577" s="1171"/>
      <c r="EX577" s="1171"/>
      <c r="EY577" s="1171"/>
      <c r="EZ577" s="1171"/>
      <c r="FA577" s="1171"/>
      <c r="FB577" s="1171"/>
      <c r="FC577" s="1171"/>
      <c r="FD577" s="1171"/>
      <c r="FE577" s="1171"/>
      <c r="FF577" s="1171"/>
      <c r="FG577" s="1171"/>
      <c r="FH577" s="1171"/>
      <c r="FI577" s="1171"/>
      <c r="FJ577" s="1171"/>
      <c r="FK577" s="1171"/>
      <c r="FL577" s="1171"/>
      <c r="FM577" s="1171"/>
      <c r="FN577" s="1171"/>
      <c r="FO577" s="1171"/>
      <c r="FP577" s="1171"/>
    </row>
    <row r="578" spans="1:172" s="607" customFormat="1">
      <c r="A578" s="607">
        <f t="shared" si="17"/>
        <v>2018</v>
      </c>
      <c r="B578" s="607">
        <f t="shared" si="18"/>
        <v>2</v>
      </c>
      <c r="C578" s="666">
        <v>43252</v>
      </c>
      <c r="D578" s="957">
        <v>0.74939500000000003</v>
      </c>
      <c r="E578" s="920">
        <v>482.43467764960138</v>
      </c>
      <c r="F578" s="954">
        <v>643.76554106926437</v>
      </c>
      <c r="G578" s="920">
        <v>28.226685627356012</v>
      </c>
      <c r="H578" s="920">
        <v>37.665964714677855</v>
      </c>
      <c r="I578" s="954">
        <v>1281.567</v>
      </c>
      <c r="J578" s="954">
        <v>1714.33</v>
      </c>
      <c r="K578" s="954">
        <v>64.45</v>
      </c>
      <c r="L578" s="920">
        <v>86.002708851807128</v>
      </c>
      <c r="M578" s="917">
        <v>15110.952380952382</v>
      </c>
      <c r="N578" s="917">
        <v>20164.20229779006</v>
      </c>
      <c r="O578" s="1175">
        <v>6954.7857142857147</v>
      </c>
      <c r="P578" s="1175">
        <v>9280.5339164068537</v>
      </c>
      <c r="Q578" s="1175">
        <v>2440.7380952380954</v>
      </c>
      <c r="R578" s="1175">
        <v>3256.9447290655735</v>
      </c>
      <c r="S578" s="1175">
        <v>3091.7619047619046</v>
      </c>
      <c r="T578" s="1175">
        <v>4125.6772526663572</v>
      </c>
      <c r="U578" s="920">
        <v>1420.1882956891307</v>
      </c>
      <c r="V578" s="920">
        <v>1895.1131188347008</v>
      </c>
      <c r="W578" s="920">
        <v>2910.9490050301933</v>
      </c>
      <c r="X578" s="920">
        <v>3884.3987550359866</v>
      </c>
      <c r="Y578" s="920">
        <v>22529.530933128302</v>
      </c>
      <c r="Z578" s="920">
        <v>30063.625902399002</v>
      </c>
      <c r="AA578" s="920">
        <v>916.75</v>
      </c>
      <c r="AB578" s="920">
        <v>1223.3201449168996</v>
      </c>
      <c r="AC578" s="920">
        <v>16.523</v>
      </c>
      <c r="AD578" s="920">
        <v>22.23</v>
      </c>
      <c r="AE578" s="920">
        <v>81850</v>
      </c>
      <c r="AF578" s="920">
        <v>109221.43862715924</v>
      </c>
      <c r="AG578" s="920">
        <v>884.90499999999997</v>
      </c>
      <c r="AH578" s="920">
        <v>1180.8258661987336</v>
      </c>
      <c r="AI578" s="920">
        <v>985.048</v>
      </c>
      <c r="AJ578" s="920">
        <v>1314.4576625144282</v>
      </c>
      <c r="AK578" s="920">
        <v>75.19</v>
      </c>
      <c r="AL578" s="920">
        <v>100.33426964417963</v>
      </c>
      <c r="AM578" s="920">
        <v>76.91</v>
      </c>
      <c r="AN578" s="920">
        <v>102.62945442657076</v>
      </c>
      <c r="AO578" s="920">
        <v>8.5338353237237872</v>
      </c>
      <c r="AP578" s="920">
        <v>11.387633122350412</v>
      </c>
      <c r="AS578" s="1167"/>
      <c r="AT578" s="1167"/>
      <c r="AU578" s="1168"/>
      <c r="AV578" s="1168"/>
      <c r="AW578" s="1169"/>
      <c r="AX578" s="1169"/>
      <c r="AY578" s="1169"/>
      <c r="AZ578" s="1169"/>
      <c r="BA578" s="1803" t="s">
        <v>4</v>
      </c>
      <c r="BB578" s="1802">
        <v>2012</v>
      </c>
      <c r="BC578" s="1799" t="s">
        <v>32</v>
      </c>
      <c r="BD578" s="1799"/>
      <c r="BE578" s="1800">
        <v>427841608.97999954</v>
      </c>
      <c r="BF578" s="1801">
        <v>2.0150699206532445E-2</v>
      </c>
      <c r="BG578" s="1799"/>
      <c r="BH578" s="1811" t="s">
        <v>1</v>
      </c>
      <c r="BI578" s="1811" t="s">
        <v>318</v>
      </c>
      <c r="BJ578" s="1811" t="s">
        <v>77</v>
      </c>
      <c r="BK578" s="1811">
        <v>9</v>
      </c>
      <c r="BL578" s="1812">
        <v>45445000</v>
      </c>
      <c r="BM578" s="1801">
        <v>3.5811880024803934E-3</v>
      </c>
      <c r="BN578" s="1799">
        <v>2013</v>
      </c>
      <c r="BO578" s="1684"/>
      <c r="BP578" s="1696"/>
      <c r="BQ578" s="1169"/>
      <c r="BR578" s="1169"/>
      <c r="BS578" s="1169"/>
      <c r="BT578" s="1169"/>
      <c r="BU578" s="1169"/>
      <c r="BV578" s="1169"/>
      <c r="BW578" s="1169"/>
      <c r="BX578" s="1169"/>
      <c r="BY578" s="1169"/>
      <c r="BZ578" s="1169"/>
      <c r="CA578" s="1169"/>
      <c r="CB578" s="1169"/>
      <c r="CC578" s="1169"/>
      <c r="CD578" s="1169"/>
      <c r="CE578" s="1169"/>
      <c r="CF578" s="1169"/>
      <c r="CG578" s="1169"/>
      <c r="CH578" s="1169"/>
      <c r="CI578" s="1169"/>
      <c r="CJ578" s="1169"/>
      <c r="CK578" s="1169"/>
      <c r="CL578" s="1169"/>
      <c r="CM578" s="1169"/>
      <c r="CN578" s="1169"/>
      <c r="CO578" s="1169"/>
      <c r="CP578" s="1169"/>
      <c r="CQ578" s="1169"/>
      <c r="CR578" s="1169"/>
      <c r="CS578" s="1169"/>
      <c r="CT578" s="1169"/>
      <c r="CU578" s="1169"/>
      <c r="CV578" s="1169"/>
      <c r="CW578" s="1169"/>
      <c r="CX578" s="1169"/>
      <c r="CY578" s="1169"/>
      <c r="CZ578" s="1169"/>
      <c r="DA578" s="1168"/>
      <c r="DB578" s="1168"/>
      <c r="DC578" s="1168"/>
      <c r="DD578" s="1168"/>
      <c r="DE578" s="1168"/>
      <c r="DF578" s="1168"/>
      <c r="DG578" s="1168"/>
      <c r="DH578" s="1168"/>
      <c r="DI578" s="1168"/>
      <c r="DJ578" s="1168"/>
      <c r="DK578" s="1168"/>
      <c r="DL578" s="1168"/>
      <c r="DM578" s="1168"/>
      <c r="DN578" s="1168"/>
      <c r="DO578" s="1168"/>
      <c r="DP578" s="1168"/>
      <c r="DQ578" s="1168"/>
      <c r="DR578" s="1168"/>
      <c r="DS578" s="1168"/>
      <c r="DT578" s="1168"/>
      <c r="DU578" s="1168"/>
      <c r="DV578" s="1168"/>
      <c r="DW578" s="1168"/>
      <c r="DX578" s="1168"/>
      <c r="DY578" s="1168"/>
      <c r="DZ578" s="1168"/>
      <c r="EA578" s="1168"/>
      <c r="EB578" s="1168"/>
      <c r="EC578" s="1168"/>
      <c r="ED578" s="1168"/>
      <c r="EE578" s="1168"/>
      <c r="EF578" s="1168"/>
      <c r="EG578" s="1168"/>
      <c r="EH578" s="1168"/>
      <c r="EI578" s="1170"/>
      <c r="EJ578" s="1170"/>
      <c r="EK578" s="1170"/>
      <c r="EL578" s="1170"/>
      <c r="EM578" s="1170"/>
      <c r="EN578" s="1170"/>
      <c r="EO578" s="1170"/>
      <c r="EP578" s="1170"/>
      <c r="EQ578" s="1170"/>
      <c r="ER578" s="1170"/>
      <c r="ES578" s="1171"/>
      <c r="ET578" s="1171"/>
      <c r="EU578" s="1171"/>
      <c r="EV578" s="1171"/>
      <c r="EW578" s="1171"/>
      <c r="EX578" s="1171"/>
      <c r="EY578" s="1171"/>
      <c r="EZ578" s="1171"/>
      <c r="FA578" s="1171"/>
      <c r="FB578" s="1171"/>
      <c r="FC578" s="1171"/>
      <c r="FD578" s="1171"/>
      <c r="FE578" s="1171"/>
      <c r="FF578" s="1171"/>
      <c r="FG578" s="1171"/>
      <c r="FH578" s="1171"/>
      <c r="FI578" s="1171"/>
      <c r="FJ578" s="1171"/>
      <c r="FK578" s="1171"/>
      <c r="FL578" s="1171"/>
      <c r="FM578" s="1171"/>
      <c r="FN578" s="1171"/>
      <c r="FO578" s="1171"/>
      <c r="FP578" s="1171"/>
    </row>
    <row r="579" spans="1:172" s="607" customFormat="1">
      <c r="A579" s="607">
        <f t="shared" si="17"/>
        <v>2018</v>
      </c>
      <c r="B579" s="607">
        <f t="shared" si="18"/>
        <v>3</v>
      </c>
      <c r="C579" s="666">
        <v>43282</v>
      </c>
      <c r="D579" s="1709">
        <v>0.74056818181818185</v>
      </c>
      <c r="E579" s="1117">
        <v>455.33049192105608</v>
      </c>
      <c r="F579" s="1117">
        <v>614.83939372491841</v>
      </c>
      <c r="G579" s="1117">
        <v>32.376364570794806</v>
      </c>
      <c r="H579" s="1117">
        <v>43.718276541812841</v>
      </c>
      <c r="I579" s="959">
        <v>1238.5250000000001</v>
      </c>
      <c r="J579" s="959">
        <v>1677.03</v>
      </c>
      <c r="K579" s="960">
        <v>64.09</v>
      </c>
      <c r="L579" s="1121">
        <v>86.541660273131811</v>
      </c>
      <c r="M579" s="916">
        <v>13772.045454545454</v>
      </c>
      <c r="N579" s="916">
        <v>18596.593524627893</v>
      </c>
      <c r="O579" s="1174">
        <v>6248.181818181818</v>
      </c>
      <c r="P579" s="1174">
        <v>8437.0108945833963</v>
      </c>
      <c r="Q579" s="1174">
        <v>2212.909090909091</v>
      </c>
      <c r="R579" s="1174">
        <v>2988.1233696486115</v>
      </c>
      <c r="S579" s="1174">
        <v>2658.7272727272725</v>
      </c>
      <c r="T579" s="1174">
        <v>3590.1181525241673</v>
      </c>
      <c r="U579" s="1120">
        <v>1552.9127159068535</v>
      </c>
      <c r="V579" s="1120">
        <v>2096.9206536719826</v>
      </c>
      <c r="W579" s="1120">
        <v>2876.1477712076521</v>
      </c>
      <c r="X579" s="1120">
        <v>3883.7042176810401</v>
      </c>
      <c r="Y579" s="1119">
        <v>20720.580328749944</v>
      </c>
      <c r="Z579" s="1119">
        <v>27979.301349240373</v>
      </c>
      <c r="AA579" s="1119">
        <v>869.55</v>
      </c>
      <c r="AB579" s="1119">
        <v>1174.1660273131808</v>
      </c>
      <c r="AC579" s="1178">
        <v>15.71</v>
      </c>
      <c r="AD579" s="1178">
        <v>21.44</v>
      </c>
      <c r="AE579" s="1178">
        <v>70943.181818181823</v>
      </c>
      <c r="AF579" s="1178">
        <v>95795.611477673781</v>
      </c>
      <c r="AG579" s="1178">
        <v>832.11400000000003</v>
      </c>
      <c r="AH579" s="1178">
        <v>1123.6156513733313</v>
      </c>
      <c r="AI579" s="1178">
        <v>931.13599999999997</v>
      </c>
      <c r="AJ579" s="1178">
        <v>1257.3264999232774</v>
      </c>
      <c r="AK579" s="919">
        <v>74.44</v>
      </c>
      <c r="AL579" s="919">
        <v>100.51741598895197</v>
      </c>
      <c r="AM579" s="919">
        <v>76.33</v>
      </c>
      <c r="AN579" s="919">
        <v>103.0695105109713</v>
      </c>
      <c r="AO579" s="919">
        <v>8.7595845328481357</v>
      </c>
      <c r="AP579" s="919">
        <v>11.828194551030165</v>
      </c>
      <c r="AS579" s="1167"/>
      <c r="AT579" s="1167"/>
      <c r="AU579" s="1168"/>
      <c r="AV579" s="1168"/>
      <c r="AW579" s="1169"/>
      <c r="AX579" s="1169"/>
      <c r="AY579" s="1169"/>
      <c r="AZ579" s="1169"/>
      <c r="BA579" s="1803" t="s">
        <v>4</v>
      </c>
      <c r="BB579" s="1802">
        <v>2012</v>
      </c>
      <c r="BC579" s="1799" t="s">
        <v>249</v>
      </c>
      <c r="BD579" s="1799"/>
      <c r="BE579" s="1800">
        <v>21232097437.16</v>
      </c>
      <c r="BF579" s="1801"/>
      <c r="BG579" s="1799"/>
      <c r="BH579" s="1811" t="s">
        <v>1</v>
      </c>
      <c r="BI579" s="1811" t="s">
        <v>318</v>
      </c>
      <c r="BJ579" s="1811" t="s">
        <v>46</v>
      </c>
      <c r="BK579" s="1811">
        <v>10</v>
      </c>
      <c r="BL579" s="1812">
        <v>34773000</v>
      </c>
      <c r="BM579" s="1801">
        <v>2.7402057522334846E-3</v>
      </c>
      <c r="BN579" s="1799">
        <v>2013</v>
      </c>
      <c r="BO579" s="1684"/>
      <c r="BP579" s="1696"/>
      <c r="BQ579" s="1169"/>
      <c r="BR579" s="1169"/>
      <c r="BS579" s="1169"/>
      <c r="BT579" s="1169"/>
      <c r="BU579" s="1169"/>
      <c r="BV579" s="1169"/>
      <c r="BW579" s="1169"/>
      <c r="BX579" s="1169"/>
      <c r="BY579" s="1169"/>
      <c r="BZ579" s="1169"/>
      <c r="CA579" s="1169"/>
      <c r="CB579" s="1169"/>
      <c r="CC579" s="1169"/>
      <c r="CD579" s="1169"/>
      <c r="CE579" s="1169"/>
      <c r="CF579" s="1169"/>
      <c r="CG579" s="1169"/>
      <c r="CH579" s="1169"/>
      <c r="CI579" s="1169"/>
      <c r="CJ579" s="1169"/>
      <c r="CK579" s="1169"/>
      <c r="CL579" s="1169"/>
      <c r="CM579" s="1169"/>
      <c r="CN579" s="1169"/>
      <c r="CO579" s="1169"/>
      <c r="CP579" s="1169"/>
      <c r="CQ579" s="1169"/>
      <c r="CR579" s="1169"/>
      <c r="CS579" s="1169"/>
      <c r="CT579" s="1169"/>
      <c r="CU579" s="1169"/>
      <c r="CV579" s="1169"/>
      <c r="CW579" s="1169"/>
      <c r="CX579" s="1169"/>
      <c r="CY579" s="1169"/>
      <c r="CZ579" s="1169"/>
      <c r="DA579" s="1168"/>
      <c r="DB579" s="1168"/>
      <c r="DC579" s="1168"/>
      <c r="DD579" s="1168"/>
      <c r="DE579" s="1168"/>
      <c r="DF579" s="1168"/>
      <c r="DG579" s="1168"/>
      <c r="DH579" s="1168"/>
      <c r="DI579" s="1168"/>
      <c r="DJ579" s="1168"/>
      <c r="DK579" s="1168"/>
      <c r="DL579" s="1168"/>
      <c r="DM579" s="1168"/>
      <c r="DN579" s="1168"/>
      <c r="DO579" s="1168"/>
      <c r="DP579" s="1168"/>
      <c r="DQ579" s="1168"/>
      <c r="DR579" s="1168"/>
      <c r="DS579" s="1168"/>
      <c r="DT579" s="1168"/>
      <c r="DU579" s="1168"/>
      <c r="DV579" s="1168"/>
      <c r="DW579" s="1168"/>
      <c r="DX579" s="1168"/>
      <c r="DY579" s="1168"/>
      <c r="DZ579" s="1168"/>
      <c r="EA579" s="1168"/>
      <c r="EB579" s="1168"/>
      <c r="EC579" s="1168"/>
      <c r="ED579" s="1168"/>
      <c r="EE579" s="1168"/>
      <c r="EF579" s="1168"/>
      <c r="EG579" s="1168"/>
      <c r="EH579" s="1168"/>
      <c r="EI579" s="1170"/>
      <c r="EJ579" s="1170"/>
      <c r="EK579" s="1170"/>
      <c r="EL579" s="1170"/>
      <c r="EM579" s="1170"/>
      <c r="EN579" s="1170"/>
      <c r="EO579" s="1170"/>
      <c r="EP579" s="1170"/>
      <c r="EQ579" s="1170"/>
      <c r="ER579" s="1170"/>
      <c r="ES579" s="1171"/>
      <c r="ET579" s="1171"/>
      <c r="EU579" s="1171"/>
      <c r="EV579" s="1171"/>
      <c r="EW579" s="1171"/>
      <c r="EX579" s="1171"/>
      <c r="EY579" s="1171"/>
      <c r="EZ579" s="1171"/>
      <c r="FA579" s="1171"/>
      <c r="FB579" s="1171"/>
      <c r="FC579" s="1171"/>
      <c r="FD579" s="1171"/>
      <c r="FE579" s="1171"/>
      <c r="FF579" s="1171"/>
      <c r="FG579" s="1171"/>
      <c r="FH579" s="1171"/>
      <c r="FI579" s="1171"/>
      <c r="FJ579" s="1171"/>
      <c r="FK579" s="1171"/>
      <c r="FL579" s="1171"/>
      <c r="FM579" s="1171"/>
      <c r="FN579" s="1171"/>
      <c r="FO579" s="1171"/>
      <c r="FP579" s="1171"/>
    </row>
    <row r="580" spans="1:172" s="607" customFormat="1">
      <c r="A580" s="607">
        <f t="shared" si="17"/>
        <v>2018</v>
      </c>
      <c r="B580" s="607">
        <f t="shared" si="18"/>
        <v>3</v>
      </c>
      <c r="C580" s="666">
        <v>43313</v>
      </c>
      <c r="D580" s="957">
        <v>0.7325772727272728</v>
      </c>
      <c r="E580" s="920">
        <v>439.69176920916334</v>
      </c>
      <c r="F580" s="954">
        <v>600.19848496290138</v>
      </c>
      <c r="G580" s="920">
        <v>31.049085219382217</v>
      </c>
      <c r="H580" s="920">
        <v>42.383358555188636</v>
      </c>
      <c r="I580" s="954">
        <v>1201.2449999999999</v>
      </c>
      <c r="J580" s="954">
        <v>1642.36</v>
      </c>
      <c r="K580" s="954">
        <v>66.81</v>
      </c>
      <c r="L580" s="920">
        <v>91.198570426948436</v>
      </c>
      <c r="M580" s="917">
        <v>13432.954545454546</v>
      </c>
      <c r="N580" s="917">
        <v>18336.570141530214</v>
      </c>
      <c r="O580" s="1175">
        <v>6039.75</v>
      </c>
      <c r="P580" s="1175">
        <v>8244.522762103903</v>
      </c>
      <c r="Q580" s="1175">
        <v>2064.8636363636365</v>
      </c>
      <c r="R580" s="1175">
        <v>2818.6291238280787</v>
      </c>
      <c r="S580" s="1175">
        <v>2510.5227272727275</v>
      </c>
      <c r="T580" s="1175">
        <v>3426.9732637574689</v>
      </c>
      <c r="U580" s="920">
        <v>1547.8380209970564</v>
      </c>
      <c r="V580" s="920">
        <v>2112.8665584105456</v>
      </c>
      <c r="W580" s="920">
        <v>2838.3057803604288</v>
      </c>
      <c r="X580" s="920">
        <v>3874.4114594134921</v>
      </c>
      <c r="Y580" s="920">
        <v>18294.767875721773</v>
      </c>
      <c r="Z580" s="920">
        <v>24973.157858983475</v>
      </c>
      <c r="AA580" s="920">
        <v>811.96</v>
      </c>
      <c r="AB580" s="920">
        <v>1108.3608927385878</v>
      </c>
      <c r="AC580" s="920">
        <v>15.005000000000001</v>
      </c>
      <c r="AD580" s="920">
        <v>20.65</v>
      </c>
      <c r="AE580" s="920">
        <v>63413.63636363636</v>
      </c>
      <c r="AF580" s="920">
        <v>86562.385600029767</v>
      </c>
      <c r="AG580" s="920">
        <v>805.43200000000002</v>
      </c>
      <c r="AH580" s="920">
        <v>1099.4498873838936</v>
      </c>
      <c r="AI580" s="920">
        <v>918</v>
      </c>
      <c r="AJ580" s="920">
        <v>1253.1101280038718</v>
      </c>
      <c r="AK580" s="920">
        <v>73.13</v>
      </c>
      <c r="AL580" s="920">
        <v>99.82564668945875</v>
      </c>
      <c r="AM580" s="920">
        <v>74.77</v>
      </c>
      <c r="AN580" s="920">
        <v>102.06431837783167</v>
      </c>
      <c r="AO580" s="920">
        <v>9.4782723430092055</v>
      </c>
      <c r="AP580" s="920">
        <v>12.938256066452965</v>
      </c>
      <c r="AS580" s="1167"/>
      <c r="AT580" s="1167"/>
      <c r="AU580" s="1168"/>
      <c r="AV580" s="1168"/>
      <c r="AW580" s="1169"/>
      <c r="AX580" s="1169"/>
      <c r="AY580" s="1169"/>
      <c r="AZ580" s="1169"/>
      <c r="BA580" s="1803" t="s">
        <v>4</v>
      </c>
      <c r="BB580" s="1802">
        <v>2011</v>
      </c>
      <c r="BC580" s="1799" t="s">
        <v>20</v>
      </c>
      <c r="BD580" s="1799">
        <v>1</v>
      </c>
      <c r="BE580" s="1800">
        <v>8738790178.4799957</v>
      </c>
      <c r="BF580" s="1801">
        <v>0.448887204097208</v>
      </c>
      <c r="BG580" s="1799"/>
      <c r="BH580" s="1811" t="s">
        <v>1</v>
      </c>
      <c r="BI580" s="1811" t="s">
        <v>318</v>
      </c>
      <c r="BJ580" s="1811" t="s">
        <v>32</v>
      </c>
      <c r="BK580" s="1811"/>
      <c r="BL580" s="1812">
        <v>72644000</v>
      </c>
      <c r="BM580" s="1801">
        <v>5.724542221414582E-3</v>
      </c>
      <c r="BN580" s="1799">
        <v>2013</v>
      </c>
      <c r="BO580" s="1684"/>
      <c r="BP580" s="1696"/>
      <c r="BQ580" s="1169"/>
      <c r="BR580" s="1169"/>
      <c r="BS580" s="1169"/>
      <c r="BT580" s="1169"/>
      <c r="BU580" s="1169"/>
      <c r="BV580" s="1169"/>
      <c r="BW580" s="1169"/>
      <c r="BX580" s="1169"/>
      <c r="BY580" s="1169"/>
      <c r="BZ580" s="1169"/>
      <c r="CA580" s="1169"/>
      <c r="CB580" s="1169"/>
      <c r="CC580" s="1169"/>
      <c r="CD580" s="1169"/>
      <c r="CE580" s="1169"/>
      <c r="CF580" s="1169"/>
      <c r="CG580" s="1169"/>
      <c r="CH580" s="1169"/>
      <c r="CI580" s="1169"/>
      <c r="CJ580" s="1169"/>
      <c r="CK580" s="1169"/>
      <c r="CL580" s="1169"/>
      <c r="CM580" s="1169"/>
      <c r="CN580" s="1169"/>
      <c r="CO580" s="1169"/>
      <c r="CP580" s="1169"/>
      <c r="CQ580" s="1169"/>
      <c r="CR580" s="1169"/>
      <c r="CS580" s="1169"/>
      <c r="CT580" s="1169"/>
      <c r="CU580" s="1169"/>
      <c r="CV580" s="1169"/>
      <c r="CW580" s="1169"/>
      <c r="CX580" s="1169"/>
      <c r="CY580" s="1169"/>
      <c r="CZ580" s="1169"/>
      <c r="DA580" s="1168"/>
      <c r="DB580" s="1168"/>
      <c r="DC580" s="1168"/>
      <c r="DD580" s="1168"/>
      <c r="DE580" s="1168"/>
      <c r="DF580" s="1168"/>
      <c r="DG580" s="1168"/>
      <c r="DH580" s="1168"/>
      <c r="DI580" s="1168"/>
      <c r="DJ580" s="1168"/>
      <c r="DK580" s="1168"/>
      <c r="DL580" s="1168"/>
      <c r="DM580" s="1168"/>
      <c r="DN580" s="1168"/>
      <c r="DO580" s="1168"/>
      <c r="DP580" s="1168"/>
      <c r="DQ580" s="1168"/>
      <c r="DR580" s="1168"/>
      <c r="DS580" s="1168"/>
      <c r="DT580" s="1168"/>
      <c r="DU580" s="1168"/>
      <c r="DV580" s="1168"/>
      <c r="DW580" s="1168"/>
      <c r="DX580" s="1168"/>
      <c r="DY580" s="1168"/>
      <c r="DZ580" s="1168"/>
      <c r="EA580" s="1168"/>
      <c r="EB580" s="1168"/>
      <c r="EC580" s="1168"/>
      <c r="ED580" s="1168"/>
      <c r="EE580" s="1168"/>
      <c r="EF580" s="1168"/>
      <c r="EG580" s="1168"/>
      <c r="EH580" s="1168"/>
      <c r="EI580" s="1170"/>
      <c r="EJ580" s="1170"/>
      <c r="EK580" s="1170"/>
      <c r="EL580" s="1170"/>
      <c r="EM580" s="1170"/>
      <c r="EN580" s="1170"/>
      <c r="EO580" s="1170"/>
      <c r="EP580" s="1170"/>
      <c r="EQ580" s="1170"/>
      <c r="ER580" s="1170"/>
      <c r="ES580" s="1171"/>
      <c r="ET580" s="1171"/>
      <c r="EU580" s="1171"/>
      <c r="EV580" s="1171"/>
      <c r="EW580" s="1171"/>
      <c r="EX580" s="1171"/>
      <c r="EY580" s="1171"/>
      <c r="EZ580" s="1171"/>
      <c r="FA580" s="1171"/>
      <c r="FB580" s="1171"/>
      <c r="FC580" s="1171"/>
      <c r="FD580" s="1171"/>
      <c r="FE580" s="1171"/>
      <c r="FF580" s="1171"/>
      <c r="FG580" s="1171"/>
      <c r="FH580" s="1171"/>
      <c r="FI580" s="1171"/>
      <c r="FJ580" s="1171"/>
      <c r="FK580" s="1171"/>
      <c r="FL580" s="1171"/>
      <c r="FM580" s="1171"/>
      <c r="FN580" s="1171"/>
      <c r="FO580" s="1171"/>
      <c r="FP580" s="1171"/>
    </row>
    <row r="581" spans="1:172" s="607" customFormat="1">
      <c r="A581" s="607">
        <f t="shared" si="17"/>
        <v>2018</v>
      </c>
      <c r="B581" s="607">
        <f t="shared" si="18"/>
        <v>3</v>
      </c>
      <c r="C581" s="666">
        <v>43344</v>
      </c>
      <c r="D581" s="1709">
        <v>0.72029499999999991</v>
      </c>
      <c r="E581" s="1117">
        <v>502.42680118219175</v>
      </c>
      <c r="F581" s="1117">
        <v>697.52920842459241</v>
      </c>
      <c r="G581" s="1117">
        <v>30.018704281582732</v>
      </c>
      <c r="H581" s="1117">
        <v>41.67556942861291</v>
      </c>
      <c r="I581" s="959">
        <v>1198.473</v>
      </c>
      <c r="J581" s="959">
        <v>1669.31</v>
      </c>
      <c r="K581" s="960">
        <v>68.34</v>
      </c>
      <c r="L581" s="1121">
        <v>94.877793126427378</v>
      </c>
      <c r="M581" s="916">
        <v>12527.25</v>
      </c>
      <c r="N581" s="916">
        <v>17391.832513067566</v>
      </c>
      <c r="O581" s="1174">
        <v>6020.0249999999996</v>
      </c>
      <c r="P581" s="1174">
        <v>8357.7214891121002</v>
      </c>
      <c r="Q581" s="1174">
        <v>2028.2249999999999</v>
      </c>
      <c r="R581" s="1174">
        <v>2815.8254604016411</v>
      </c>
      <c r="S581" s="1174">
        <v>2433.1999999999998</v>
      </c>
      <c r="T581" s="1174">
        <v>3378.0603780395536</v>
      </c>
      <c r="U581" s="1120">
        <v>1546.5444615587312</v>
      </c>
      <c r="V581" s="1120">
        <v>2147.098704778919</v>
      </c>
      <c r="W581" s="1120">
        <v>2853.494897206414</v>
      </c>
      <c r="X581" s="1120">
        <v>3961.5642163369371</v>
      </c>
      <c r="Y581" s="1119">
        <v>18162.044134891719</v>
      </c>
      <c r="Z581" s="1119">
        <v>25214.730263144575</v>
      </c>
      <c r="AA581" s="1119">
        <v>805</v>
      </c>
      <c r="AB581" s="1119">
        <v>1117.5976509624529</v>
      </c>
      <c r="AC581" s="1178">
        <v>14.263</v>
      </c>
      <c r="AD581" s="1178">
        <v>20.03</v>
      </c>
      <c r="AE581" s="1178">
        <v>62525</v>
      </c>
      <c r="AF581" s="1178">
        <v>86804.71195829488</v>
      </c>
      <c r="AG581" s="1178">
        <v>803.97500000000002</v>
      </c>
      <c r="AH581" s="1178">
        <v>1116.174622897563</v>
      </c>
      <c r="AI581" s="1178">
        <v>1012.95</v>
      </c>
      <c r="AJ581" s="1178">
        <v>1406.2988081272258</v>
      </c>
      <c r="AK581" s="919">
        <v>78.86</v>
      </c>
      <c r="AL581" s="919">
        <v>109.48292019242118</v>
      </c>
      <c r="AM581" s="919">
        <v>80.540000000000006</v>
      </c>
      <c r="AN581" s="919">
        <v>111.8152978987776</v>
      </c>
      <c r="AO581" s="919">
        <v>9.7089609680255844</v>
      </c>
      <c r="AP581" s="919">
        <v>13.479145305778307</v>
      </c>
      <c r="AS581" s="1167"/>
      <c r="AT581" s="1167"/>
      <c r="AU581" s="1168"/>
      <c r="AV581" s="1168"/>
      <c r="AW581" s="1169"/>
      <c r="AX581" s="1169"/>
      <c r="AY581" s="1169"/>
      <c r="AZ581" s="1169"/>
      <c r="BA581" s="1803" t="s">
        <v>4</v>
      </c>
      <c r="BB581" s="1802">
        <v>2011</v>
      </c>
      <c r="BC581" s="1799" t="s">
        <v>15</v>
      </c>
      <c r="BD581" s="1799">
        <v>2</v>
      </c>
      <c r="BE581" s="1800">
        <v>3423677055.5500002</v>
      </c>
      <c r="BF581" s="1801">
        <v>0.17586471236970655</v>
      </c>
      <c r="BG581" s="1799"/>
      <c r="BH581" s="1811" t="s">
        <v>1</v>
      </c>
      <c r="BI581" s="1811" t="s">
        <v>318</v>
      </c>
      <c r="BJ581" s="1811" t="s">
        <v>249</v>
      </c>
      <c r="BK581" s="1811"/>
      <c r="BL581" s="1812">
        <v>12689923000</v>
      </c>
      <c r="BM581" s="1801">
        <v>1</v>
      </c>
      <c r="BN581" s="1799">
        <v>2013</v>
      </c>
      <c r="BO581" s="1684"/>
      <c r="BP581" s="1696"/>
      <c r="BQ581" s="1169"/>
      <c r="BR581" s="1169"/>
      <c r="BS581" s="1169"/>
      <c r="BT581" s="1169"/>
      <c r="BU581" s="1169"/>
      <c r="BV581" s="1169"/>
      <c r="BW581" s="1169"/>
      <c r="BX581" s="1169"/>
      <c r="BY581" s="1169"/>
      <c r="BZ581" s="1169"/>
      <c r="CA581" s="1169"/>
      <c r="CB581" s="1169"/>
      <c r="CC581" s="1169"/>
      <c r="CD581" s="1169"/>
      <c r="CE581" s="1169"/>
      <c r="CF581" s="1169"/>
      <c r="CG581" s="1169"/>
      <c r="CH581" s="1169"/>
      <c r="CI581" s="1169"/>
      <c r="CJ581" s="1169"/>
      <c r="CK581" s="1169"/>
      <c r="CL581" s="1169"/>
      <c r="CM581" s="1169"/>
      <c r="CN581" s="1169"/>
      <c r="CO581" s="1169"/>
      <c r="CP581" s="1169"/>
      <c r="CQ581" s="1169"/>
      <c r="CR581" s="1169"/>
      <c r="CS581" s="1169"/>
      <c r="CT581" s="1169"/>
      <c r="CU581" s="1169"/>
      <c r="CV581" s="1169"/>
      <c r="CW581" s="1169"/>
      <c r="CX581" s="1169"/>
      <c r="CY581" s="1169"/>
      <c r="CZ581" s="1169"/>
      <c r="DA581" s="1168"/>
      <c r="DB581" s="1168"/>
      <c r="DC581" s="1168"/>
      <c r="DD581" s="1168"/>
      <c r="DE581" s="1168"/>
      <c r="DF581" s="1168"/>
      <c r="DG581" s="1168"/>
      <c r="DH581" s="1168"/>
      <c r="DI581" s="1168"/>
      <c r="DJ581" s="1168"/>
      <c r="DK581" s="1168"/>
      <c r="DL581" s="1168"/>
      <c r="DM581" s="1168"/>
      <c r="DN581" s="1168"/>
      <c r="DO581" s="1168"/>
      <c r="DP581" s="1168"/>
      <c r="DQ581" s="1168"/>
      <c r="DR581" s="1168"/>
      <c r="DS581" s="1168"/>
      <c r="DT581" s="1168"/>
      <c r="DU581" s="1168"/>
      <c r="DV581" s="1168"/>
      <c r="DW581" s="1168"/>
      <c r="DX581" s="1168"/>
      <c r="DY581" s="1168"/>
      <c r="DZ581" s="1168"/>
      <c r="EA581" s="1168"/>
      <c r="EB581" s="1168"/>
      <c r="EC581" s="1168"/>
      <c r="ED581" s="1168"/>
      <c r="EE581" s="1168"/>
      <c r="EF581" s="1168"/>
      <c r="EG581" s="1168"/>
      <c r="EH581" s="1168"/>
      <c r="EI581" s="1170"/>
      <c r="EJ581" s="1170"/>
      <c r="EK581" s="1170"/>
      <c r="EL581" s="1170"/>
      <c r="EM581" s="1170"/>
      <c r="EN581" s="1170"/>
      <c r="EO581" s="1170"/>
      <c r="EP581" s="1170"/>
      <c r="EQ581" s="1170"/>
      <c r="ER581" s="1170"/>
      <c r="ES581" s="1171"/>
      <c r="ET581" s="1171"/>
      <c r="EU581" s="1171"/>
      <c r="EV581" s="1171"/>
      <c r="EW581" s="1171"/>
      <c r="EX581" s="1171"/>
      <c r="EY581" s="1171"/>
      <c r="EZ581" s="1171"/>
      <c r="FA581" s="1171"/>
      <c r="FB581" s="1171"/>
      <c r="FC581" s="1171"/>
      <c r="FD581" s="1171"/>
      <c r="FE581" s="1171"/>
      <c r="FF581" s="1171"/>
      <c r="FG581" s="1171"/>
      <c r="FH581" s="1171"/>
      <c r="FI581" s="1171"/>
      <c r="FJ581" s="1171"/>
      <c r="FK581" s="1171"/>
      <c r="FL581" s="1171"/>
      <c r="FM581" s="1171"/>
      <c r="FN581" s="1171"/>
      <c r="FO581" s="1171"/>
      <c r="FP581" s="1171"/>
    </row>
    <row r="582" spans="1:172" s="607" customFormat="1">
      <c r="A582" s="607">
        <f t="shared" si="17"/>
        <v>2018</v>
      </c>
      <c r="B582" s="607">
        <f t="shared" si="18"/>
        <v>4</v>
      </c>
      <c r="C582" s="666">
        <v>43374</v>
      </c>
      <c r="D582" s="957">
        <v>0.71028181818181835</v>
      </c>
      <c r="E582" s="920">
        <v>519.13513767325844</v>
      </c>
      <c r="F582" s="954">
        <v>730.88614178825844</v>
      </c>
      <c r="G582" s="920">
        <v>29.687628410000556</v>
      </c>
      <c r="H582" s="920">
        <v>41.796970793923798</v>
      </c>
      <c r="I582" s="954">
        <v>1215.393</v>
      </c>
      <c r="J582" s="954">
        <v>1714.3</v>
      </c>
      <c r="K582" s="954">
        <v>72.56</v>
      </c>
      <c r="L582" s="920">
        <v>102.15663437048033</v>
      </c>
      <c r="M582" s="917">
        <v>12327.17</v>
      </c>
      <c r="N582" s="917">
        <v>17355.322471234205</v>
      </c>
      <c r="O582" s="1175">
        <v>6215.89</v>
      </c>
      <c r="P582" s="1175">
        <v>8751.301020081657</v>
      </c>
      <c r="Q582" s="1175">
        <v>1985.15</v>
      </c>
      <c r="R582" s="1175">
        <v>2794.8765534806921</v>
      </c>
      <c r="S582" s="1175">
        <v>2671.87</v>
      </c>
      <c r="T582" s="1175">
        <v>3761.7040611281045</v>
      </c>
      <c r="U582" s="920">
        <v>1565.1772108010805</v>
      </c>
      <c r="V582" s="920">
        <v>2203.6002763067004</v>
      </c>
      <c r="W582" s="920">
        <v>2801.7450575585735</v>
      </c>
      <c r="X582" s="920">
        <v>3944.5540992876454</v>
      </c>
      <c r="Y582" s="920">
        <v>17866.296960037427</v>
      </c>
      <c r="Z582" s="920">
        <v>25153.814306793931</v>
      </c>
      <c r="AA582" s="920">
        <v>763.89</v>
      </c>
      <c r="AB582" s="920">
        <v>1075.4745235565906</v>
      </c>
      <c r="AC582" s="920">
        <v>14.584</v>
      </c>
      <c r="AD582" s="920">
        <v>20.74</v>
      </c>
      <c r="AE582" s="920">
        <v>59109</v>
      </c>
      <c r="AF582" s="920">
        <v>83219.080774596485</v>
      </c>
      <c r="AG582" s="920">
        <v>829.87</v>
      </c>
      <c r="AH582" s="920">
        <v>1168.367229396782</v>
      </c>
      <c r="AI582" s="920">
        <v>1083.739</v>
      </c>
      <c r="AJ582" s="920">
        <v>1525.787331532938</v>
      </c>
      <c r="AK582" s="920">
        <v>80.47</v>
      </c>
      <c r="AL582" s="920">
        <v>113.29305909306163</v>
      </c>
      <c r="AM582" s="920">
        <v>82.44</v>
      </c>
      <c r="AN582" s="920">
        <v>116.06660608465266</v>
      </c>
      <c r="AO582" s="920">
        <v>9.7081023190624691</v>
      </c>
      <c r="AP582" s="920">
        <v>13.667958366037443</v>
      </c>
      <c r="AS582" s="1167"/>
      <c r="AT582" s="1167"/>
      <c r="AU582" s="1168"/>
      <c r="AV582" s="1168"/>
      <c r="AW582" s="1169"/>
      <c r="AX582" s="1169"/>
      <c r="AY582" s="1169"/>
      <c r="AZ582" s="1169"/>
      <c r="BA582" s="1803" t="s">
        <v>4</v>
      </c>
      <c r="BB582" s="1802">
        <v>2011</v>
      </c>
      <c r="BC582" s="1799" t="s">
        <v>49</v>
      </c>
      <c r="BD582" s="1799">
        <v>3</v>
      </c>
      <c r="BE582" s="1800">
        <v>1783865205.7499998</v>
      </c>
      <c r="BF582" s="1801">
        <v>9.163216513280438E-2</v>
      </c>
      <c r="BG582" s="1799"/>
      <c r="BH582" s="1813" t="s">
        <v>1</v>
      </c>
      <c r="BI582" s="1813" t="s">
        <v>319</v>
      </c>
      <c r="BJ582" s="1813" t="s">
        <v>15</v>
      </c>
      <c r="BK582" s="1813">
        <v>1</v>
      </c>
      <c r="BL582" s="1814">
        <v>6895489000</v>
      </c>
      <c r="BM582" s="1801">
        <v>0.53200153872171907</v>
      </c>
      <c r="BN582" s="1799">
        <v>2014</v>
      </c>
      <c r="BO582" s="1684"/>
      <c r="BP582" s="1696"/>
      <c r="BQ582" s="1169"/>
      <c r="BR582" s="1169"/>
      <c r="BS582" s="1169"/>
      <c r="BT582" s="1169"/>
      <c r="BU582" s="1169"/>
      <c r="BV582" s="1169"/>
      <c r="BW582" s="1169"/>
      <c r="BX582" s="1169"/>
      <c r="BY582" s="1169"/>
      <c r="BZ582" s="1169"/>
      <c r="CA582" s="1169"/>
      <c r="CB582" s="1169"/>
      <c r="CC582" s="1169"/>
      <c r="CD582" s="1169"/>
      <c r="CE582" s="1169"/>
      <c r="CF582" s="1169"/>
      <c r="CG582" s="1169"/>
      <c r="CH582" s="1169"/>
      <c r="CI582" s="1169"/>
      <c r="CJ582" s="1169"/>
      <c r="CK582" s="1169"/>
      <c r="CL582" s="1169"/>
      <c r="CM582" s="1169"/>
      <c r="CN582" s="1169"/>
      <c r="CO582" s="1169"/>
      <c r="CP582" s="1169"/>
      <c r="CQ582" s="1169"/>
      <c r="CR582" s="1169"/>
      <c r="CS582" s="1169"/>
      <c r="CT582" s="1169"/>
      <c r="CU582" s="1169"/>
      <c r="CV582" s="1169"/>
      <c r="CW582" s="1169"/>
      <c r="CX582" s="1169"/>
      <c r="CY582" s="1169"/>
      <c r="CZ582" s="1169"/>
      <c r="DA582" s="1168"/>
      <c r="DB582" s="1168"/>
      <c r="DC582" s="1168"/>
      <c r="DD582" s="1168"/>
      <c r="DE582" s="1168"/>
      <c r="DF582" s="1168"/>
      <c r="DG582" s="1168"/>
      <c r="DH582" s="1168"/>
      <c r="DI582" s="1168"/>
      <c r="DJ582" s="1168"/>
      <c r="DK582" s="1168"/>
      <c r="DL582" s="1168"/>
      <c r="DM582" s="1168"/>
      <c r="DN582" s="1168"/>
      <c r="DO582" s="1168"/>
      <c r="DP582" s="1168"/>
      <c r="DQ582" s="1168"/>
      <c r="DR582" s="1168"/>
      <c r="DS582" s="1168"/>
      <c r="DT582" s="1168"/>
      <c r="DU582" s="1168"/>
      <c r="DV582" s="1168"/>
      <c r="DW582" s="1168"/>
      <c r="DX582" s="1168"/>
      <c r="DY582" s="1168"/>
      <c r="DZ582" s="1168"/>
      <c r="EA582" s="1168"/>
      <c r="EB582" s="1168"/>
      <c r="EC582" s="1168"/>
      <c r="ED582" s="1168"/>
      <c r="EE582" s="1168"/>
      <c r="EF582" s="1168"/>
      <c r="EG582" s="1168"/>
      <c r="EH582" s="1168"/>
      <c r="EI582" s="1170"/>
      <c r="EJ582" s="1170"/>
      <c r="EK582" s="1170"/>
      <c r="EL582" s="1170"/>
      <c r="EM582" s="1170"/>
      <c r="EN582" s="1170"/>
      <c r="EO582" s="1170"/>
      <c r="EP582" s="1170"/>
      <c r="EQ582" s="1170"/>
      <c r="ER582" s="1170"/>
      <c r="ES582" s="1171"/>
      <c r="ET582" s="1171"/>
      <c r="EU582" s="1171"/>
      <c r="EV582" s="1171"/>
      <c r="EW582" s="1171"/>
      <c r="EX582" s="1171"/>
      <c r="EY582" s="1171"/>
      <c r="EZ582" s="1171"/>
      <c r="FA582" s="1171"/>
      <c r="FB582" s="1171"/>
      <c r="FC582" s="1171"/>
      <c r="FD582" s="1171"/>
      <c r="FE582" s="1171"/>
      <c r="FF582" s="1171"/>
      <c r="FG582" s="1171"/>
      <c r="FH582" s="1171"/>
      <c r="FI582" s="1171"/>
      <c r="FJ582" s="1171"/>
      <c r="FK582" s="1171"/>
      <c r="FL582" s="1171"/>
      <c r="FM582" s="1171"/>
      <c r="FN582" s="1171"/>
      <c r="FO582" s="1171"/>
      <c r="FP582" s="1171"/>
    </row>
    <row r="583" spans="1:172" s="607" customFormat="1">
      <c r="A583" s="607">
        <f t="shared" si="17"/>
        <v>2018</v>
      </c>
      <c r="B583" s="607">
        <f t="shared" si="18"/>
        <v>4</v>
      </c>
      <c r="C583" s="666">
        <v>43405</v>
      </c>
      <c r="D583" s="1709">
        <v>0.72462727272727268</v>
      </c>
      <c r="E583" s="1117">
        <v>484.95982106538452</v>
      </c>
      <c r="F583" s="1117">
        <v>669.2541659937059</v>
      </c>
      <c r="G583" s="1117">
        <v>29.649006175960373</v>
      </c>
      <c r="H583" s="1117">
        <v>40.9162162284766</v>
      </c>
      <c r="I583" s="959">
        <v>1220.9449999999999</v>
      </c>
      <c r="J583" s="959">
        <v>1691.04</v>
      </c>
      <c r="K583" s="960">
        <v>72.290000000000006</v>
      </c>
      <c r="L583" s="1121">
        <v>99.761632939818611</v>
      </c>
      <c r="M583" s="916">
        <v>11253.40909090909</v>
      </c>
      <c r="N583" s="916">
        <v>15529.927611687513</v>
      </c>
      <c r="O583" s="1174">
        <v>6193</v>
      </c>
      <c r="P583" s="1174">
        <v>8546.4627582832563</v>
      </c>
      <c r="Q583" s="1174">
        <v>1940.159090909091</v>
      </c>
      <c r="R583" s="1174">
        <v>2677.4580034876867</v>
      </c>
      <c r="S583" s="1174">
        <v>2592.8636363636365</v>
      </c>
      <c r="T583" s="1174">
        <v>3578.2032141916225</v>
      </c>
      <c r="U583" s="1120">
        <v>1566.5672644155843</v>
      </c>
      <c r="V583" s="1120">
        <v>2161.8938775510205</v>
      </c>
      <c r="W583" s="1120">
        <v>2834.6331346662328</v>
      </c>
      <c r="X583" s="1120">
        <v>3911.8499142290789</v>
      </c>
      <c r="Y583" s="1119">
        <v>17288.705409430713</v>
      </c>
      <c r="Z583" s="1119">
        <v>23858.756163512007</v>
      </c>
      <c r="AA583" s="1119">
        <v>751.82</v>
      </c>
      <c r="AB583" s="1119">
        <v>1037.5265026534018</v>
      </c>
      <c r="AC583" s="1178">
        <v>14.367000000000001</v>
      </c>
      <c r="AD583" s="1178">
        <v>20.059999999999999</v>
      </c>
      <c r="AE583" s="1178">
        <v>53261.36363636364</v>
      </c>
      <c r="AF583" s="1178">
        <v>73501.737570412384</v>
      </c>
      <c r="AG583" s="1178">
        <v>846.13599999999997</v>
      </c>
      <c r="AH583" s="1178">
        <v>1167.6844521948587</v>
      </c>
      <c r="AI583" s="1178">
        <v>1141.2049999999999</v>
      </c>
      <c r="AJ583" s="1178">
        <v>1574.8855210829392</v>
      </c>
      <c r="AK583" s="919">
        <v>65.17</v>
      </c>
      <c r="AL583" s="919">
        <v>89.935891806445952</v>
      </c>
      <c r="AM583" s="919">
        <v>67.38</v>
      </c>
      <c r="AN583" s="919">
        <v>92.985735613293357</v>
      </c>
      <c r="AO583" s="919">
        <v>9.6943200109748595</v>
      </c>
      <c r="AP583" s="919">
        <v>13.378353776954103</v>
      </c>
      <c r="AS583" s="1167"/>
      <c r="AT583" s="1167"/>
      <c r="AU583" s="1168"/>
      <c r="AV583" s="1168"/>
      <c r="AW583" s="1169"/>
      <c r="AX583" s="1169"/>
      <c r="AY583" s="1169"/>
      <c r="AZ583" s="1169"/>
      <c r="BA583" s="1803" t="s">
        <v>4</v>
      </c>
      <c r="BB583" s="1802">
        <v>2011</v>
      </c>
      <c r="BC583" s="1799" t="s">
        <v>581</v>
      </c>
      <c r="BD583" s="1799">
        <v>4</v>
      </c>
      <c r="BE583" s="1800">
        <v>1477253020.3399997</v>
      </c>
      <c r="BF583" s="1801">
        <v>7.5882354937136146E-2</v>
      </c>
      <c r="BG583" s="1799"/>
      <c r="BH583" s="1813" t="s">
        <v>1</v>
      </c>
      <c r="BI583" s="1813" t="s">
        <v>319</v>
      </c>
      <c r="BJ583" s="1813" t="s">
        <v>49</v>
      </c>
      <c r="BK583" s="1813">
        <v>2</v>
      </c>
      <c r="BL583" s="1814">
        <v>3106885000</v>
      </c>
      <c r="BM583" s="1801">
        <v>0.23970273908513642</v>
      </c>
      <c r="BN583" s="1799">
        <v>2014</v>
      </c>
      <c r="BO583" s="1684"/>
      <c r="BP583" s="1696"/>
      <c r="BQ583" s="1169"/>
      <c r="BR583" s="1169"/>
      <c r="BS583" s="1169"/>
      <c r="BT583" s="1169"/>
      <c r="BU583" s="1169"/>
      <c r="BV583" s="1169"/>
      <c r="BW583" s="1169"/>
      <c r="BX583" s="1169"/>
      <c r="BY583" s="1169"/>
      <c r="BZ583" s="1169"/>
      <c r="CA583" s="1169"/>
      <c r="CB583" s="1169"/>
      <c r="CC583" s="1169"/>
      <c r="CD583" s="1169"/>
      <c r="CE583" s="1169"/>
      <c r="CF583" s="1169"/>
      <c r="CG583" s="1169"/>
      <c r="CH583" s="1169"/>
      <c r="CI583" s="1169"/>
      <c r="CJ583" s="1169"/>
      <c r="CK583" s="1169"/>
      <c r="CL583" s="1169"/>
      <c r="CM583" s="1169"/>
      <c r="CN583" s="1169"/>
      <c r="CO583" s="1169"/>
      <c r="CP583" s="1169"/>
      <c r="CQ583" s="1169"/>
      <c r="CR583" s="1169"/>
      <c r="CS583" s="1169"/>
      <c r="CT583" s="1169"/>
      <c r="CU583" s="1169"/>
      <c r="CV583" s="1169"/>
      <c r="CW583" s="1169"/>
      <c r="CX583" s="1169"/>
      <c r="CY583" s="1169"/>
      <c r="CZ583" s="1169"/>
      <c r="DA583" s="1168"/>
      <c r="DB583" s="1168"/>
      <c r="DC583" s="1168"/>
      <c r="DD583" s="1168"/>
      <c r="DE583" s="1168"/>
      <c r="DF583" s="1168"/>
      <c r="DG583" s="1168"/>
      <c r="DH583" s="1168"/>
      <c r="DI583" s="1168"/>
      <c r="DJ583" s="1168"/>
      <c r="DK583" s="1168"/>
      <c r="DL583" s="1168"/>
      <c r="DM583" s="1168"/>
      <c r="DN583" s="1168"/>
      <c r="DO583" s="1168"/>
      <c r="DP583" s="1168"/>
      <c r="DQ583" s="1168"/>
      <c r="DR583" s="1168"/>
      <c r="DS583" s="1168"/>
      <c r="DT583" s="1168"/>
      <c r="DU583" s="1168"/>
      <c r="DV583" s="1168"/>
      <c r="DW583" s="1168"/>
      <c r="DX583" s="1168"/>
      <c r="DY583" s="1168"/>
      <c r="DZ583" s="1168"/>
      <c r="EA583" s="1168"/>
      <c r="EB583" s="1168"/>
      <c r="EC583" s="1168"/>
      <c r="ED583" s="1168"/>
      <c r="EE583" s="1168"/>
      <c r="EF583" s="1168"/>
      <c r="EG583" s="1168"/>
      <c r="EH583" s="1168"/>
      <c r="EI583" s="1170"/>
      <c r="EJ583" s="1170"/>
      <c r="EK583" s="1170"/>
      <c r="EL583" s="1170"/>
      <c r="EM583" s="1170"/>
      <c r="EN583" s="1170"/>
      <c r="EO583" s="1170"/>
      <c r="EP583" s="1170"/>
      <c r="EQ583" s="1170"/>
      <c r="ER583" s="1170"/>
      <c r="ES583" s="1171"/>
      <c r="ET583" s="1171"/>
      <c r="EU583" s="1171"/>
      <c r="EV583" s="1171"/>
      <c r="EW583" s="1171"/>
      <c r="EX583" s="1171"/>
      <c r="EY583" s="1171"/>
      <c r="EZ583" s="1171"/>
      <c r="FA583" s="1171"/>
      <c r="FB583" s="1171"/>
      <c r="FC583" s="1171"/>
      <c r="FD583" s="1171"/>
      <c r="FE583" s="1171"/>
      <c r="FF583" s="1171"/>
      <c r="FG583" s="1171"/>
      <c r="FH583" s="1171"/>
      <c r="FI583" s="1171"/>
      <c r="FJ583" s="1171"/>
      <c r="FK583" s="1171"/>
      <c r="FL583" s="1171"/>
      <c r="FM583" s="1171"/>
      <c r="FN583" s="1171"/>
      <c r="FO583" s="1171"/>
      <c r="FP583" s="1171"/>
    </row>
    <row r="584" spans="1:172" s="607" customFormat="1">
      <c r="A584" s="607">
        <f t="shared" si="17"/>
        <v>2018</v>
      </c>
      <c r="B584" s="607">
        <f t="shared" si="18"/>
        <v>4</v>
      </c>
      <c r="C584" s="666">
        <v>43435</v>
      </c>
      <c r="D584" s="957">
        <v>0.71862631578947367</v>
      </c>
      <c r="E584" s="920">
        <v>425.68467675179511</v>
      </c>
      <c r="F584" s="920">
        <v>592.35887609284578</v>
      </c>
      <c r="G584" s="920">
        <v>31.233641924692453</v>
      </c>
      <c r="H584" s="920">
        <v>43.462981021477866</v>
      </c>
      <c r="I584" s="954">
        <v>1247.924</v>
      </c>
      <c r="J584" s="954">
        <v>1748.32</v>
      </c>
      <c r="K584" s="954">
        <v>69.319999999999993</v>
      </c>
      <c r="L584" s="920">
        <v>96.461816770300047</v>
      </c>
      <c r="M584" s="917">
        <v>10836.84211</v>
      </c>
      <c r="N584" s="917">
        <v>15079.940536403517</v>
      </c>
      <c r="O584" s="1175">
        <v>6094.2110000000002</v>
      </c>
      <c r="P584" s="1175">
        <v>8480.361581672636</v>
      </c>
      <c r="Q584" s="1175">
        <v>1965.473684</v>
      </c>
      <c r="R584" s="1175">
        <v>2735.0427347497784</v>
      </c>
      <c r="S584" s="1175">
        <v>2625.605</v>
      </c>
      <c r="T584" s="1175">
        <v>3653.6443799939943</v>
      </c>
      <c r="U584" s="920">
        <v>1525.3516613482402</v>
      </c>
      <c r="V584" s="920">
        <v>2122.5936593659367</v>
      </c>
      <c r="W584" s="920">
        <v>2819.8489184578189</v>
      </c>
      <c r="X584" s="920">
        <v>3923.9433019649009</v>
      </c>
      <c r="Y584" s="920">
        <v>15695.747885408853</v>
      </c>
      <c r="Z584" s="920">
        <v>21841.320781810926</v>
      </c>
      <c r="AA584" s="920">
        <v>725</v>
      </c>
      <c r="AB584" s="920">
        <v>1008.8692607972814</v>
      </c>
      <c r="AC584" s="920">
        <v>14.695</v>
      </c>
      <c r="AD584" s="920">
        <v>20.7</v>
      </c>
      <c r="AE584" s="920">
        <v>55289.47</v>
      </c>
      <c r="AF584" s="920">
        <v>76937.719625894431</v>
      </c>
      <c r="AG584" s="920">
        <v>790.529</v>
      </c>
      <c r="AH584" s="920">
        <v>1100.0557349914677</v>
      </c>
      <c r="AI584" s="920">
        <v>1247.1179999999999</v>
      </c>
      <c r="AJ584" s="920">
        <v>1735.4193307406674</v>
      </c>
      <c r="AK584" s="920">
        <v>56.46</v>
      </c>
      <c r="AL584" s="920">
        <v>78.566563399468293</v>
      </c>
      <c r="AM584" s="920">
        <v>58.9</v>
      </c>
      <c r="AN584" s="920">
        <v>81.96193029097914</v>
      </c>
      <c r="AO584" s="920">
        <v>9.7972417539311145</v>
      </c>
      <c r="AP584" s="920">
        <v>13.633291098125165</v>
      </c>
      <c r="AS584" s="1167"/>
      <c r="AT584" s="1167"/>
      <c r="AU584" s="1168"/>
      <c r="AV584" s="1168"/>
      <c r="AW584" s="1169"/>
      <c r="AX584" s="1169"/>
      <c r="AY584" s="1169"/>
      <c r="AZ584" s="1169"/>
      <c r="BA584" s="1803" t="s">
        <v>4</v>
      </c>
      <c r="BB584" s="1802">
        <v>2011</v>
      </c>
      <c r="BC584" s="1799" t="s">
        <v>28</v>
      </c>
      <c r="BD584" s="1799">
        <v>5</v>
      </c>
      <c r="BE584" s="1800">
        <v>1049571176.9000001</v>
      </c>
      <c r="BF584" s="1801">
        <v>5.3913535109227889E-2</v>
      </c>
      <c r="BG584" s="1799"/>
      <c r="BH584" s="1813" t="s">
        <v>1</v>
      </c>
      <c r="BI584" s="1813" t="s">
        <v>319</v>
      </c>
      <c r="BJ584" s="1813" t="s">
        <v>18</v>
      </c>
      <c r="BK584" s="1813">
        <v>3</v>
      </c>
      <c r="BL584" s="1814">
        <v>898660000</v>
      </c>
      <c r="BM584" s="1801">
        <v>6.9333516852490104E-2</v>
      </c>
      <c r="BN584" s="1799">
        <v>2014</v>
      </c>
      <c r="BO584" s="1684"/>
      <c r="BP584" s="1696"/>
      <c r="BQ584" s="1169"/>
      <c r="BR584" s="1169"/>
      <c r="BS584" s="1169"/>
      <c r="BT584" s="1169"/>
      <c r="BU584" s="1169"/>
      <c r="BV584" s="1169"/>
      <c r="BW584" s="1169"/>
      <c r="BX584" s="1169"/>
      <c r="BY584" s="1169"/>
      <c r="BZ584" s="1169"/>
      <c r="CA584" s="1169"/>
      <c r="CB584" s="1169"/>
      <c r="CC584" s="1169"/>
      <c r="CD584" s="1169"/>
      <c r="CE584" s="1169"/>
      <c r="CF584" s="1169"/>
      <c r="CG584" s="1169"/>
      <c r="CH584" s="1169"/>
      <c r="CI584" s="1169"/>
      <c r="CJ584" s="1169"/>
      <c r="CK584" s="1169"/>
      <c r="CL584" s="1169"/>
      <c r="CM584" s="1169"/>
      <c r="CN584" s="1169"/>
      <c r="CO584" s="1169"/>
      <c r="CP584" s="1169"/>
      <c r="CQ584" s="1169"/>
      <c r="CR584" s="1169"/>
      <c r="CS584" s="1169"/>
      <c r="CT584" s="1169"/>
      <c r="CU584" s="1169"/>
      <c r="CV584" s="1169"/>
      <c r="CW584" s="1169"/>
      <c r="CX584" s="1169"/>
      <c r="CY584" s="1169"/>
      <c r="CZ584" s="1169"/>
      <c r="DA584" s="1168"/>
      <c r="DB584" s="1168"/>
      <c r="DC584" s="1168"/>
      <c r="DD584" s="1168"/>
      <c r="DE584" s="1168"/>
      <c r="DF584" s="1168"/>
      <c r="DG584" s="1168"/>
      <c r="DH584" s="1168"/>
      <c r="DI584" s="1168"/>
      <c r="DJ584" s="1168"/>
      <c r="DK584" s="1168"/>
      <c r="DL584" s="1168"/>
      <c r="DM584" s="1168"/>
      <c r="DN584" s="1168"/>
      <c r="DO584" s="1168"/>
      <c r="DP584" s="1168"/>
      <c r="DQ584" s="1168"/>
      <c r="DR584" s="1168"/>
      <c r="DS584" s="1168"/>
      <c r="DT584" s="1168"/>
      <c r="DU584" s="1168"/>
      <c r="DV584" s="1168"/>
      <c r="DW584" s="1168"/>
      <c r="DX584" s="1168"/>
      <c r="DY584" s="1168"/>
      <c r="DZ584" s="1168"/>
      <c r="EA584" s="1168"/>
      <c r="EB584" s="1168"/>
      <c r="EC584" s="1168"/>
      <c r="ED584" s="1168"/>
      <c r="EE584" s="1168"/>
      <c r="EF584" s="1168"/>
      <c r="EG584" s="1168"/>
      <c r="EH584" s="1168"/>
      <c r="EI584" s="1170"/>
      <c r="EJ584" s="1170"/>
      <c r="EK584" s="1170"/>
      <c r="EL584" s="1170"/>
      <c r="EM584" s="1170"/>
      <c r="EN584" s="1170"/>
      <c r="EO584" s="1170"/>
      <c r="EP584" s="1170"/>
      <c r="EQ584" s="1170"/>
      <c r="ER584" s="1170"/>
      <c r="ES584" s="1171"/>
      <c r="ET584" s="1171"/>
      <c r="EU584" s="1171"/>
      <c r="EV584" s="1171"/>
      <c r="EW584" s="1171"/>
      <c r="EX584" s="1171"/>
      <c r="EY584" s="1171"/>
      <c r="EZ584" s="1171"/>
      <c r="FA584" s="1171"/>
      <c r="FB584" s="1171"/>
      <c r="FC584" s="1171"/>
      <c r="FD584" s="1171"/>
      <c r="FE584" s="1171"/>
      <c r="FF584" s="1171"/>
      <c r="FG584" s="1171"/>
      <c r="FH584" s="1171"/>
      <c r="FI584" s="1171"/>
      <c r="FJ584" s="1171"/>
      <c r="FK584" s="1171"/>
      <c r="FL584" s="1171"/>
      <c r="FM584" s="1171"/>
      <c r="FN584" s="1171"/>
      <c r="FO584" s="1171"/>
      <c r="FP584" s="1171"/>
    </row>
    <row r="585" spans="1:172" s="607" customFormat="1">
      <c r="A585" s="607">
        <f t="shared" si="17"/>
        <v>2019</v>
      </c>
      <c r="B585" s="607">
        <f t="shared" si="18"/>
        <v>1</v>
      </c>
      <c r="C585" s="666">
        <v>43466</v>
      </c>
      <c r="D585" s="1709">
        <v>0.71440952380952383</v>
      </c>
      <c r="E585" s="1117">
        <v>402.53049583237578</v>
      </c>
      <c r="F585" s="1117">
        <v>563.4450303600637</v>
      </c>
      <c r="G585" s="1117">
        <v>31.040543487550377</v>
      </c>
      <c r="H585" s="1117">
        <v>43.449229682758848</v>
      </c>
      <c r="I585" s="959">
        <v>1291.7449999999999</v>
      </c>
      <c r="J585" s="959">
        <v>1811.23</v>
      </c>
      <c r="K585" s="960">
        <v>76.11</v>
      </c>
      <c r="L585" s="1121">
        <v>106.53553384080092</v>
      </c>
      <c r="M585" s="916">
        <v>11454.55</v>
      </c>
      <c r="N585" s="916">
        <v>16033.590844253662</v>
      </c>
      <c r="O585" s="1174">
        <v>5932.02</v>
      </c>
      <c r="P585" s="1174">
        <v>8303.3887459507023</v>
      </c>
      <c r="Q585" s="1174">
        <v>1994.16</v>
      </c>
      <c r="R585" s="1174">
        <v>2791.3401677042648</v>
      </c>
      <c r="S585" s="1174">
        <v>2559.1799999999998</v>
      </c>
      <c r="T585" s="1174">
        <v>3582.2310799461425</v>
      </c>
      <c r="U585" s="1120">
        <v>1556.402948346529</v>
      </c>
      <c r="V585" s="1120">
        <v>2178.5865060240963</v>
      </c>
      <c r="W585" s="1120">
        <v>2764.1401113354364</v>
      </c>
      <c r="X585" s="1120">
        <v>3869.1255074483197</v>
      </c>
      <c r="Y585" s="1119">
        <v>15390.061363062987</v>
      </c>
      <c r="Z585" s="1119">
        <v>21542.351900625406</v>
      </c>
      <c r="AA585" s="1119">
        <v>705.68</v>
      </c>
      <c r="AB585" s="1119">
        <v>987.78078466399143</v>
      </c>
      <c r="AC585" s="1178">
        <v>15.59</v>
      </c>
      <c r="AD585" s="1178">
        <v>22.05</v>
      </c>
      <c r="AE585" s="1178">
        <v>39340.910000000003</v>
      </c>
      <c r="AF585" s="1178">
        <v>55067.72892698599</v>
      </c>
      <c r="AG585" s="1178">
        <v>806.77300000000002</v>
      </c>
      <c r="AH585" s="1178">
        <v>1129.2864570141176</v>
      </c>
      <c r="AI585" s="1178">
        <v>1331.318</v>
      </c>
      <c r="AJ585" s="1178">
        <v>1863.5221894871554</v>
      </c>
      <c r="AK585" s="919">
        <v>59.27</v>
      </c>
      <c r="AL585" s="919">
        <v>82.963619639262532</v>
      </c>
      <c r="AM585" s="919">
        <v>60.95</v>
      </c>
      <c r="AN585" s="919">
        <v>85.315212029914818</v>
      </c>
      <c r="AO585" s="919">
        <v>10.116269882054182</v>
      </c>
      <c r="AP585" s="919">
        <v>14.160323378823525</v>
      </c>
      <c r="AS585" s="1167"/>
      <c r="AT585" s="1167"/>
      <c r="AU585" s="1168"/>
      <c r="AV585" s="1168"/>
      <c r="AW585" s="1169"/>
      <c r="AX585" s="1169"/>
      <c r="AY585" s="1169"/>
      <c r="AZ585" s="1169"/>
      <c r="BA585" s="1803" t="s">
        <v>4</v>
      </c>
      <c r="BB585" s="1802">
        <v>2011</v>
      </c>
      <c r="BC585" s="1799" t="s">
        <v>21</v>
      </c>
      <c r="BD585" s="1799">
        <v>6</v>
      </c>
      <c r="BE585" s="1800">
        <v>686277380.5</v>
      </c>
      <c r="BF585" s="1801">
        <v>3.525214912773935E-2</v>
      </c>
      <c r="BG585" s="1799"/>
      <c r="BH585" s="1813" t="s">
        <v>1</v>
      </c>
      <c r="BI585" s="1813" t="s">
        <v>319</v>
      </c>
      <c r="BJ585" s="1813" t="s">
        <v>28</v>
      </c>
      <c r="BK585" s="1813">
        <v>4</v>
      </c>
      <c r="BL585" s="1814">
        <v>896319000</v>
      </c>
      <c r="BM585" s="1801">
        <v>6.9152903758604001E-2</v>
      </c>
      <c r="BN585" s="1799">
        <v>2014</v>
      </c>
      <c r="BO585" s="1684"/>
      <c r="BP585" s="1696"/>
      <c r="BQ585" s="1169"/>
      <c r="BR585" s="1169"/>
      <c r="BS585" s="1169"/>
      <c r="BT585" s="1169"/>
      <c r="BU585" s="1169"/>
      <c r="BV585" s="1169"/>
      <c r="BW585" s="1169"/>
      <c r="BX585" s="1169"/>
      <c r="BY585" s="1169"/>
      <c r="BZ585" s="1169"/>
      <c r="CA585" s="1169"/>
      <c r="CB585" s="1169"/>
      <c r="CC585" s="1169"/>
      <c r="CD585" s="1169"/>
      <c r="CE585" s="1169"/>
      <c r="CF585" s="1169"/>
      <c r="CG585" s="1169"/>
      <c r="CH585" s="1169"/>
      <c r="CI585" s="1169"/>
      <c r="CJ585" s="1169"/>
      <c r="CK585" s="1169"/>
      <c r="CL585" s="1169"/>
      <c r="CM585" s="1169"/>
      <c r="CN585" s="1169"/>
      <c r="CO585" s="1169"/>
      <c r="CP585" s="1169"/>
      <c r="CQ585" s="1169"/>
      <c r="CR585" s="1169"/>
      <c r="CS585" s="1169"/>
      <c r="CT585" s="1169"/>
      <c r="CU585" s="1169"/>
      <c r="CV585" s="1169"/>
      <c r="CW585" s="1169"/>
      <c r="CX585" s="1169"/>
      <c r="CY585" s="1169"/>
      <c r="CZ585" s="1169"/>
      <c r="DA585" s="1168"/>
      <c r="DB585" s="1168"/>
      <c r="DC585" s="1168"/>
      <c r="DD585" s="1168"/>
      <c r="DE585" s="1168"/>
      <c r="DF585" s="1168"/>
      <c r="DG585" s="1168"/>
      <c r="DH585" s="1168"/>
      <c r="DI585" s="1168"/>
      <c r="DJ585" s="1168"/>
      <c r="DK585" s="1168"/>
      <c r="DL585" s="1168"/>
      <c r="DM585" s="1168"/>
      <c r="DN585" s="1168"/>
      <c r="DO585" s="1168"/>
      <c r="DP585" s="1168"/>
      <c r="DQ585" s="1168"/>
      <c r="DR585" s="1168"/>
      <c r="DS585" s="1168"/>
      <c r="DT585" s="1168"/>
      <c r="DU585" s="1168"/>
      <c r="DV585" s="1168"/>
      <c r="DW585" s="1168"/>
      <c r="DX585" s="1168"/>
      <c r="DY585" s="1168"/>
      <c r="DZ585" s="1168"/>
      <c r="EA585" s="1168"/>
      <c r="EB585" s="1168"/>
      <c r="EC585" s="1168"/>
      <c r="ED585" s="1168"/>
      <c r="EE585" s="1168"/>
      <c r="EF585" s="1168"/>
      <c r="EG585" s="1168"/>
      <c r="EH585" s="1168"/>
      <c r="EI585" s="1170"/>
      <c r="EJ585" s="1170"/>
      <c r="EK585" s="1170"/>
      <c r="EL585" s="1170"/>
      <c r="EM585" s="1170"/>
      <c r="EN585" s="1170"/>
      <c r="EO585" s="1170"/>
      <c r="EP585" s="1170"/>
      <c r="EQ585" s="1170"/>
      <c r="ER585" s="1170"/>
      <c r="ES585" s="1171"/>
      <c r="ET585" s="1171"/>
      <c r="EU585" s="1171"/>
      <c r="EV585" s="1171"/>
      <c r="EW585" s="1171"/>
      <c r="EX585" s="1171"/>
      <c r="EY585" s="1171"/>
      <c r="EZ585" s="1171"/>
      <c r="FA585" s="1171"/>
      <c r="FB585" s="1171"/>
      <c r="FC585" s="1171"/>
      <c r="FD585" s="1171"/>
      <c r="FE585" s="1171"/>
      <c r="FF585" s="1171"/>
      <c r="FG585" s="1171"/>
      <c r="FH585" s="1171"/>
      <c r="FI585" s="1171"/>
      <c r="FJ585" s="1171"/>
      <c r="FK585" s="1171"/>
      <c r="FL585" s="1171"/>
      <c r="FM585" s="1171"/>
      <c r="FN585" s="1171"/>
      <c r="FO585" s="1171"/>
      <c r="FP585" s="1171"/>
    </row>
    <row r="586" spans="1:172" s="607" customFormat="1">
      <c r="A586" s="607">
        <f t="shared" ref="A586:A649" si="19">YEAR(C586)</f>
        <v>2019</v>
      </c>
      <c r="B586" s="607">
        <f t="shared" ref="B586:B649" si="20">IF(OR(MONTH(C586)=1,MONTH(C586)=2,MONTH(C586)=3),1,IF(OR(MONTH(C586)=4,MONTH(C586)=5,MONTH(C586)=6),2,IF(OR(MONTH(C586)=7,MONTH(C586)=8,MONTH(C586)=9),3,4)))</f>
        <v>1</v>
      </c>
      <c r="C586" s="666">
        <v>43497</v>
      </c>
      <c r="D586" s="957">
        <v>0.71440000000000003</v>
      </c>
      <c r="E586" s="920">
        <v>384.81922537734408</v>
      </c>
      <c r="F586" s="954">
        <v>538.66072981151183</v>
      </c>
      <c r="G586" s="920">
        <v>31.754750961349522</v>
      </c>
      <c r="H586" s="920">
        <v>44.449539419582194</v>
      </c>
      <c r="I586" s="954">
        <v>1320.0650000000001</v>
      </c>
      <c r="J586" s="954">
        <v>1849.13</v>
      </c>
      <c r="K586" s="954">
        <v>87.12</v>
      </c>
      <c r="L586" s="920">
        <v>121.94848824188129</v>
      </c>
      <c r="M586" s="917">
        <v>12649.75</v>
      </c>
      <c r="N586" s="917">
        <v>17706.816909294514</v>
      </c>
      <c r="O586" s="1175">
        <v>6278.2</v>
      </c>
      <c r="P586" s="1175">
        <v>8788.0739081746906</v>
      </c>
      <c r="Q586" s="1175">
        <v>2062.08</v>
      </c>
      <c r="R586" s="1175">
        <v>2886.4501679731243</v>
      </c>
      <c r="S586" s="1175">
        <v>2702.85</v>
      </c>
      <c r="T586" s="1175">
        <v>3783.3846584546468</v>
      </c>
      <c r="U586" s="920">
        <v>1537.4947462686569</v>
      </c>
      <c r="V586" s="920">
        <v>2152.1483010479519</v>
      </c>
      <c r="W586" s="920">
        <v>2712.9702274436231</v>
      </c>
      <c r="X586" s="920">
        <v>3797.5507103074233</v>
      </c>
      <c r="Y586" s="920">
        <v>15232.435257957062</v>
      </c>
      <c r="Z586" s="920">
        <v>21321.997841485249</v>
      </c>
      <c r="AA586" s="920">
        <v>690.33</v>
      </c>
      <c r="AB586" s="920">
        <v>966.30739081746924</v>
      </c>
      <c r="AC586" s="920">
        <v>15.805999999999999</v>
      </c>
      <c r="AD586" s="920">
        <v>22.32</v>
      </c>
      <c r="AE586" s="920">
        <v>32400</v>
      </c>
      <c r="AF586" s="920">
        <v>45352.743561030235</v>
      </c>
      <c r="AG586" s="920">
        <v>818.15</v>
      </c>
      <c r="AH586" s="920">
        <v>1145.2267637178052</v>
      </c>
      <c r="AI586" s="920">
        <v>1443.15</v>
      </c>
      <c r="AJ586" s="920">
        <v>2020.0867861142217</v>
      </c>
      <c r="AK586" s="920">
        <v>64.13</v>
      </c>
      <c r="AL586" s="920">
        <v>89.767637178051501</v>
      </c>
      <c r="AM586" s="920">
        <v>65.84</v>
      </c>
      <c r="AN586" s="920">
        <v>92.161254199328113</v>
      </c>
      <c r="AO586" s="920">
        <v>10.186909482547609</v>
      </c>
      <c r="AP586" s="920">
        <v>14.25939177288299</v>
      </c>
      <c r="AS586" s="1167"/>
      <c r="AT586" s="1167"/>
      <c r="AU586" s="1168"/>
      <c r="AV586" s="1168"/>
      <c r="AW586" s="1169"/>
      <c r="AX586" s="1169"/>
      <c r="AY586" s="1169"/>
      <c r="AZ586" s="1169"/>
      <c r="BA586" s="1803" t="s">
        <v>4</v>
      </c>
      <c r="BB586" s="1802">
        <v>2011</v>
      </c>
      <c r="BC586" s="1799" t="s">
        <v>19</v>
      </c>
      <c r="BD586" s="1799">
        <v>7</v>
      </c>
      <c r="BE586" s="1800">
        <v>642481661.36000001</v>
      </c>
      <c r="BF586" s="1801">
        <v>3.3002485557077819E-2</v>
      </c>
      <c r="BG586" s="1799"/>
      <c r="BH586" s="1813" t="s">
        <v>1</v>
      </c>
      <c r="BI586" s="1813" t="s">
        <v>319</v>
      </c>
      <c r="BJ586" s="1813" t="s">
        <v>51</v>
      </c>
      <c r="BK586" s="1813">
        <v>5</v>
      </c>
      <c r="BL586" s="1814">
        <v>582834000</v>
      </c>
      <c r="BM586" s="1801">
        <v>4.4966873969247784E-2</v>
      </c>
      <c r="BN586" s="1799">
        <v>2014</v>
      </c>
      <c r="BO586" s="1684"/>
      <c r="BP586" s="1696"/>
      <c r="BQ586" s="1169"/>
      <c r="BR586" s="1169"/>
      <c r="BS586" s="1169"/>
      <c r="BT586" s="1169"/>
      <c r="BU586" s="1169"/>
      <c r="BV586" s="1169"/>
      <c r="BW586" s="1169"/>
      <c r="BX586" s="1169"/>
      <c r="BY586" s="1169"/>
      <c r="BZ586" s="1169"/>
      <c r="CA586" s="1169"/>
      <c r="CB586" s="1169"/>
      <c r="CC586" s="1169"/>
      <c r="CD586" s="1169"/>
      <c r="CE586" s="1169"/>
      <c r="CF586" s="1169"/>
      <c r="CG586" s="1169"/>
      <c r="CH586" s="1169"/>
      <c r="CI586" s="1169"/>
      <c r="CJ586" s="1169"/>
      <c r="CK586" s="1169"/>
      <c r="CL586" s="1169"/>
      <c r="CM586" s="1169"/>
      <c r="CN586" s="1169"/>
      <c r="CO586" s="1169"/>
      <c r="CP586" s="1169"/>
      <c r="CQ586" s="1169"/>
      <c r="CR586" s="1169"/>
      <c r="CS586" s="1169"/>
      <c r="CT586" s="1169"/>
      <c r="CU586" s="1169"/>
      <c r="CV586" s="1169"/>
      <c r="CW586" s="1169"/>
      <c r="CX586" s="1169"/>
      <c r="CY586" s="1169"/>
      <c r="CZ586" s="1169"/>
      <c r="DA586" s="1168"/>
      <c r="DB586" s="1168"/>
      <c r="DC586" s="1168"/>
      <c r="DD586" s="1168"/>
      <c r="DE586" s="1168"/>
      <c r="DF586" s="1168"/>
      <c r="DG586" s="1168"/>
      <c r="DH586" s="1168"/>
      <c r="DI586" s="1168"/>
      <c r="DJ586" s="1168"/>
      <c r="DK586" s="1168"/>
      <c r="DL586" s="1168"/>
      <c r="DM586" s="1168"/>
      <c r="DN586" s="1168"/>
      <c r="DO586" s="1168"/>
      <c r="DP586" s="1168"/>
      <c r="DQ586" s="1168"/>
      <c r="DR586" s="1168"/>
      <c r="DS586" s="1168"/>
      <c r="DT586" s="1168"/>
      <c r="DU586" s="1168"/>
      <c r="DV586" s="1168"/>
      <c r="DW586" s="1168"/>
      <c r="DX586" s="1168"/>
      <c r="DY586" s="1168"/>
      <c r="DZ586" s="1168"/>
      <c r="EA586" s="1168"/>
      <c r="EB586" s="1168"/>
      <c r="EC586" s="1168"/>
      <c r="ED586" s="1168"/>
      <c r="EE586" s="1168"/>
      <c r="EF586" s="1168"/>
      <c r="EG586" s="1168"/>
      <c r="EH586" s="1168"/>
      <c r="EI586" s="1170"/>
      <c r="EJ586" s="1170"/>
      <c r="EK586" s="1170"/>
      <c r="EL586" s="1170"/>
      <c r="EM586" s="1170"/>
      <c r="EN586" s="1170"/>
      <c r="EO586" s="1170"/>
      <c r="EP586" s="1170"/>
      <c r="EQ586" s="1170"/>
      <c r="ER586" s="1170"/>
      <c r="ES586" s="1171"/>
      <c r="ET586" s="1171"/>
      <c r="EU586" s="1171"/>
      <c r="EV586" s="1171"/>
      <c r="EW586" s="1171"/>
      <c r="EX586" s="1171"/>
      <c r="EY586" s="1171"/>
      <c r="EZ586" s="1171"/>
      <c r="FA586" s="1171"/>
      <c r="FB586" s="1171"/>
      <c r="FC586" s="1171"/>
      <c r="FD586" s="1171"/>
      <c r="FE586" s="1171"/>
      <c r="FF586" s="1171"/>
      <c r="FG586" s="1171"/>
      <c r="FH586" s="1171"/>
      <c r="FI586" s="1171"/>
      <c r="FJ586" s="1171"/>
      <c r="FK586" s="1171"/>
      <c r="FL586" s="1171"/>
      <c r="FM586" s="1171"/>
      <c r="FN586" s="1171"/>
      <c r="FO586" s="1171"/>
      <c r="FP586" s="1171"/>
    </row>
    <row r="587" spans="1:172" s="607" customFormat="1">
      <c r="A587" s="607">
        <f t="shared" si="19"/>
        <v>2019</v>
      </c>
      <c r="B587" s="607">
        <f t="shared" si="20"/>
        <v>1</v>
      </c>
      <c r="C587" s="666">
        <v>43525</v>
      </c>
      <c r="D587" s="1709">
        <v>0.70808095238095226</v>
      </c>
      <c r="E587" s="1117">
        <v>378.21344107071434</v>
      </c>
      <c r="F587" s="1117">
        <v>534.13870236016885</v>
      </c>
      <c r="G587" s="1117">
        <v>25.358718327812007</v>
      </c>
      <c r="H587" s="1117">
        <v>35.813303892079347</v>
      </c>
      <c r="I587" s="959">
        <v>1300.8979999999999</v>
      </c>
      <c r="J587" s="959">
        <v>1841.84</v>
      </c>
      <c r="K587" s="960">
        <v>85.75</v>
      </c>
      <c r="L587" s="1121">
        <v>121.10197246750104</v>
      </c>
      <c r="M587" s="916">
        <v>13060.71</v>
      </c>
      <c r="N587" s="916">
        <v>18445.221490682397</v>
      </c>
      <c r="O587" s="1174">
        <v>6451.02</v>
      </c>
      <c r="P587" s="1174">
        <v>9110.5684714553772</v>
      </c>
      <c r="Q587" s="1174">
        <v>2054.5700000000002</v>
      </c>
      <c r="R587" s="1174">
        <v>2901.6032603213253</v>
      </c>
      <c r="S587" s="1174">
        <v>2851.4</v>
      </c>
      <c r="T587" s="1174">
        <v>4026.9406914732654</v>
      </c>
      <c r="U587" s="1120">
        <v>1563.4511528568667</v>
      </c>
      <c r="V587" s="1120">
        <v>2208.0118771726534</v>
      </c>
      <c r="W587" s="1120">
        <v>2708.634164208916</v>
      </c>
      <c r="X587" s="1120">
        <v>3825.3170842980858</v>
      </c>
      <c r="Y587" s="1119">
        <v>14258.202168217851</v>
      </c>
      <c r="Z587" s="1119">
        <v>20136.401240951393</v>
      </c>
      <c r="AA587" s="1119">
        <v>689.29</v>
      </c>
      <c r="AB587" s="1119">
        <v>973.46214113263898</v>
      </c>
      <c r="AC587" s="1178">
        <v>15.321</v>
      </c>
      <c r="AD587" s="1178">
        <v>21.8</v>
      </c>
      <c r="AE587" s="1178">
        <v>31333.33</v>
      </c>
      <c r="AF587" s="1178">
        <v>44251.056174637022</v>
      </c>
      <c r="AG587" s="1178">
        <v>842.81</v>
      </c>
      <c r="AH587" s="1178">
        <v>1190.2735092167295</v>
      </c>
      <c r="AI587" s="1178">
        <v>1530.7139999999999</v>
      </c>
      <c r="AJ587" s="1178">
        <v>2161.7782470392817</v>
      </c>
      <c r="AK587" s="919">
        <v>66.41</v>
      </c>
      <c r="AL587" s="919">
        <v>93.788711271915389</v>
      </c>
      <c r="AM587" s="919">
        <v>68.11</v>
      </c>
      <c r="AN587" s="919">
        <v>96.189566702757972</v>
      </c>
      <c r="AO587" s="919">
        <v>9.2861401893699629</v>
      </c>
      <c r="AP587" s="919">
        <v>13.114517708949693</v>
      </c>
      <c r="AS587" s="1167"/>
      <c r="AT587" s="1167"/>
      <c r="AU587" s="1168"/>
      <c r="AV587" s="1168"/>
      <c r="AW587" s="1169"/>
      <c r="AX587" s="1169"/>
      <c r="AY587" s="1169"/>
      <c r="AZ587" s="1169"/>
      <c r="BA587" s="1803" t="s">
        <v>4</v>
      </c>
      <c r="BB587" s="1802">
        <v>2011</v>
      </c>
      <c r="BC587" s="1799" t="s">
        <v>18</v>
      </c>
      <c r="BD587" s="1799">
        <v>8</v>
      </c>
      <c r="BE587" s="1800">
        <v>535887900.3499999</v>
      </c>
      <c r="BF587" s="1801">
        <v>2.752706225742977E-2</v>
      </c>
      <c r="BG587" s="1799"/>
      <c r="BH587" s="1813" t="s">
        <v>1</v>
      </c>
      <c r="BI587" s="1813" t="s">
        <v>319</v>
      </c>
      <c r="BJ587" s="1813" t="s">
        <v>581</v>
      </c>
      <c r="BK587" s="1813">
        <v>6</v>
      </c>
      <c r="BL587" s="1814">
        <v>235990000</v>
      </c>
      <c r="BM587" s="1801">
        <v>1.8207126880042661E-2</v>
      </c>
      <c r="BN587" s="1799">
        <v>2014</v>
      </c>
      <c r="BO587" s="1684"/>
      <c r="BP587" s="1696"/>
      <c r="BQ587" s="1169"/>
      <c r="BR587" s="1169"/>
      <c r="BS587" s="1169"/>
      <c r="BT587" s="1169"/>
      <c r="BU587" s="1169"/>
      <c r="BV587" s="1169"/>
      <c r="BW587" s="1169"/>
      <c r="BX587" s="1169"/>
      <c r="BY587" s="1169"/>
      <c r="BZ587" s="1169"/>
      <c r="CA587" s="1169"/>
      <c r="CB587" s="1169"/>
      <c r="CC587" s="1169"/>
      <c r="CD587" s="1169"/>
      <c r="CE587" s="1169"/>
      <c r="CF587" s="1169"/>
      <c r="CG587" s="1169"/>
      <c r="CH587" s="1169"/>
      <c r="CI587" s="1169"/>
      <c r="CJ587" s="1169"/>
      <c r="CK587" s="1169"/>
      <c r="CL587" s="1169"/>
      <c r="CM587" s="1169"/>
      <c r="CN587" s="1169"/>
      <c r="CO587" s="1169"/>
      <c r="CP587" s="1169"/>
      <c r="CQ587" s="1169"/>
      <c r="CR587" s="1169"/>
      <c r="CS587" s="1169"/>
      <c r="CT587" s="1169"/>
      <c r="CU587" s="1169"/>
      <c r="CV587" s="1169"/>
      <c r="CW587" s="1169"/>
      <c r="CX587" s="1169"/>
      <c r="CY587" s="1169"/>
      <c r="CZ587" s="1169"/>
      <c r="DA587" s="1168"/>
      <c r="DB587" s="1168"/>
      <c r="DC587" s="1168"/>
      <c r="DD587" s="1168"/>
      <c r="DE587" s="1168"/>
      <c r="DF587" s="1168"/>
      <c r="DG587" s="1168"/>
      <c r="DH587" s="1168"/>
      <c r="DI587" s="1168"/>
      <c r="DJ587" s="1168"/>
      <c r="DK587" s="1168"/>
      <c r="DL587" s="1168"/>
      <c r="DM587" s="1168"/>
      <c r="DN587" s="1168"/>
      <c r="DO587" s="1168"/>
      <c r="DP587" s="1168"/>
      <c r="DQ587" s="1168"/>
      <c r="DR587" s="1168"/>
      <c r="DS587" s="1168"/>
      <c r="DT587" s="1168"/>
      <c r="DU587" s="1168"/>
      <c r="DV587" s="1168"/>
      <c r="DW587" s="1168"/>
      <c r="DX587" s="1168"/>
      <c r="DY587" s="1168"/>
      <c r="DZ587" s="1168"/>
      <c r="EA587" s="1168"/>
      <c r="EB587" s="1168"/>
      <c r="EC587" s="1168"/>
      <c r="ED587" s="1168"/>
      <c r="EE587" s="1168"/>
      <c r="EF587" s="1168"/>
      <c r="EG587" s="1168"/>
      <c r="EH587" s="1168"/>
      <c r="EI587" s="1170"/>
      <c r="EJ587" s="1170"/>
      <c r="EK587" s="1170"/>
      <c r="EL587" s="1170"/>
      <c r="EM587" s="1170"/>
      <c r="EN587" s="1170"/>
      <c r="EO587" s="1170"/>
      <c r="EP587" s="1170"/>
      <c r="EQ587" s="1170"/>
      <c r="ER587" s="1170"/>
      <c r="ES587" s="1171"/>
      <c r="ET587" s="1171"/>
      <c r="EU587" s="1171"/>
      <c r="EV587" s="1171"/>
      <c r="EW587" s="1171"/>
      <c r="EX587" s="1171"/>
      <c r="EY587" s="1171"/>
      <c r="EZ587" s="1171"/>
      <c r="FA587" s="1171"/>
      <c r="FB587" s="1171"/>
      <c r="FC587" s="1171"/>
      <c r="FD587" s="1171"/>
      <c r="FE587" s="1171"/>
      <c r="FF587" s="1171"/>
      <c r="FG587" s="1171"/>
      <c r="FH587" s="1171"/>
      <c r="FI587" s="1171"/>
      <c r="FJ587" s="1171"/>
      <c r="FK587" s="1171"/>
      <c r="FL587" s="1171"/>
      <c r="FM587" s="1171"/>
      <c r="FN587" s="1171"/>
      <c r="FO587" s="1171"/>
      <c r="FP587" s="1171"/>
    </row>
    <row r="588" spans="1:172" s="607" customFormat="1">
      <c r="A588" s="607">
        <f t="shared" si="19"/>
        <v>2019</v>
      </c>
      <c r="B588" s="607">
        <f t="shared" si="20"/>
        <v>2</v>
      </c>
      <c r="C588" s="666">
        <v>43556</v>
      </c>
      <c r="D588" s="957">
        <v>0.71152631578947378</v>
      </c>
      <c r="E588" s="920">
        <v>374.50091101730692</v>
      </c>
      <c r="F588" s="954">
        <v>526.33458904718032</v>
      </c>
      <c r="G588" s="920">
        <v>29.197814744404454</v>
      </c>
      <c r="H588" s="920">
        <v>41.03546713097748</v>
      </c>
      <c r="I588" s="954">
        <v>1286.4449999999999</v>
      </c>
      <c r="J588" s="954">
        <v>1812.21</v>
      </c>
      <c r="K588" s="954">
        <v>93.54</v>
      </c>
      <c r="L588" s="920">
        <v>131.46386567053776</v>
      </c>
      <c r="M588" s="917">
        <v>12819</v>
      </c>
      <c r="N588" s="917">
        <v>18016.199423034246</v>
      </c>
      <c r="O588" s="1175">
        <v>6445.1</v>
      </c>
      <c r="P588" s="1175">
        <v>9058.1329980028095</v>
      </c>
      <c r="Q588" s="1175">
        <v>1948.85</v>
      </c>
      <c r="R588" s="1175">
        <v>2738.9710777424361</v>
      </c>
      <c r="S588" s="1175">
        <v>2938.75</v>
      </c>
      <c r="T588" s="1175">
        <v>4130.2056365115759</v>
      </c>
      <c r="U588" s="920">
        <v>1542.2658946051399</v>
      </c>
      <c r="V588" s="920">
        <v>2167.5458242101972</v>
      </c>
      <c r="W588" s="920">
        <v>2755.2326538888119</v>
      </c>
      <c r="X588" s="920">
        <v>3872.2849636724181</v>
      </c>
      <c r="Y588" s="920">
        <v>14071.589069160367</v>
      </c>
      <c r="Z588" s="920">
        <v>19776.624921521336</v>
      </c>
      <c r="AA588" s="920">
        <v>674.09</v>
      </c>
      <c r="AB588" s="920">
        <v>947.38590132406239</v>
      </c>
      <c r="AC588" s="920">
        <v>15.042</v>
      </c>
      <c r="AD588" s="920">
        <v>21.35</v>
      </c>
      <c r="AE588" s="920">
        <v>33977.5</v>
      </c>
      <c r="AF588" s="920">
        <v>47752.977291219759</v>
      </c>
      <c r="AG588" s="920">
        <v>886.3</v>
      </c>
      <c r="AH588" s="920">
        <v>1245.6320733782081</v>
      </c>
      <c r="AI588" s="920">
        <v>1389.3</v>
      </c>
      <c r="AJ588" s="920">
        <v>1952.5630593978842</v>
      </c>
      <c r="AK588" s="920">
        <v>71.2</v>
      </c>
      <c r="AL588" s="920">
        <v>100.06657297137362</v>
      </c>
      <c r="AM588" s="920">
        <v>72.77</v>
      </c>
      <c r="AN588" s="920">
        <v>102.27309712256822</v>
      </c>
      <c r="AO588" s="920">
        <v>7.7997008543488171</v>
      </c>
      <c r="AP588" s="920">
        <v>10.961928858098048</v>
      </c>
      <c r="AS588" s="1167"/>
      <c r="AT588" s="1167"/>
      <c r="AU588" s="1168"/>
      <c r="AV588" s="1168"/>
      <c r="AW588" s="1169"/>
      <c r="AX588" s="1169"/>
      <c r="AY588" s="1169"/>
      <c r="AZ588" s="1169"/>
      <c r="BA588" s="1803" t="s">
        <v>4</v>
      </c>
      <c r="BB588" s="1802">
        <v>2011</v>
      </c>
      <c r="BC588" s="1799" t="s">
        <v>73</v>
      </c>
      <c r="BD588" s="1799">
        <v>9</v>
      </c>
      <c r="BE588" s="1800">
        <v>385569378.06000006</v>
      </c>
      <c r="BF588" s="1801">
        <v>1.9805620293878876E-2</v>
      </c>
      <c r="BG588" s="1799"/>
      <c r="BH588" s="1813" t="s">
        <v>1</v>
      </c>
      <c r="BI588" s="1813" t="s">
        <v>319</v>
      </c>
      <c r="BJ588" s="1813" t="s">
        <v>55</v>
      </c>
      <c r="BK588" s="1813">
        <v>7</v>
      </c>
      <c r="BL588" s="1814">
        <v>156801000</v>
      </c>
      <c r="BM588" s="1801">
        <v>1.2097528293222465E-2</v>
      </c>
      <c r="BN588" s="1799">
        <v>2014</v>
      </c>
      <c r="BO588" s="1684"/>
      <c r="BP588" s="1696"/>
      <c r="BQ588" s="1169"/>
      <c r="BR588" s="1169"/>
      <c r="BS588" s="1169"/>
      <c r="BT588" s="1169"/>
      <c r="BU588" s="1169"/>
      <c r="BV588" s="1169"/>
      <c r="BW588" s="1169"/>
      <c r="BX588" s="1169"/>
      <c r="BY588" s="1169"/>
      <c r="BZ588" s="1169"/>
      <c r="CA588" s="1169"/>
      <c r="CB588" s="1169"/>
      <c r="CC588" s="1169"/>
      <c r="CD588" s="1169"/>
      <c r="CE588" s="1169"/>
      <c r="CF588" s="1169"/>
      <c r="CG588" s="1169"/>
      <c r="CH588" s="1169"/>
      <c r="CI588" s="1169"/>
      <c r="CJ588" s="1169"/>
      <c r="CK588" s="1169"/>
      <c r="CL588" s="1169"/>
      <c r="CM588" s="1169"/>
      <c r="CN588" s="1169"/>
      <c r="CO588" s="1169"/>
      <c r="CP588" s="1169"/>
      <c r="CQ588" s="1169"/>
      <c r="CR588" s="1169"/>
      <c r="CS588" s="1169"/>
      <c r="CT588" s="1169"/>
      <c r="CU588" s="1169"/>
      <c r="CV588" s="1169"/>
      <c r="CW588" s="1169"/>
      <c r="CX588" s="1169"/>
      <c r="CY588" s="1169"/>
      <c r="CZ588" s="1169"/>
      <c r="DA588" s="1168"/>
      <c r="DB588" s="1168"/>
      <c r="DC588" s="1168"/>
      <c r="DD588" s="1168"/>
      <c r="DE588" s="1168"/>
      <c r="DF588" s="1168"/>
      <c r="DG588" s="1168"/>
      <c r="DH588" s="1168"/>
      <c r="DI588" s="1168"/>
      <c r="DJ588" s="1168"/>
      <c r="DK588" s="1168"/>
      <c r="DL588" s="1168"/>
      <c r="DM588" s="1168"/>
      <c r="DN588" s="1168"/>
      <c r="DO588" s="1168"/>
      <c r="DP588" s="1168"/>
      <c r="DQ588" s="1168"/>
      <c r="DR588" s="1168"/>
      <c r="DS588" s="1168"/>
      <c r="DT588" s="1168"/>
      <c r="DU588" s="1168"/>
      <c r="DV588" s="1168"/>
      <c r="DW588" s="1168"/>
      <c r="DX588" s="1168"/>
      <c r="DY588" s="1168"/>
      <c r="DZ588" s="1168"/>
      <c r="EA588" s="1168"/>
      <c r="EB588" s="1168"/>
      <c r="EC588" s="1168"/>
      <c r="ED588" s="1168"/>
      <c r="EE588" s="1168"/>
      <c r="EF588" s="1168"/>
      <c r="EG588" s="1168"/>
      <c r="EH588" s="1168"/>
      <c r="EI588" s="1170"/>
      <c r="EJ588" s="1170"/>
      <c r="EK588" s="1170"/>
      <c r="EL588" s="1170"/>
      <c r="EM588" s="1170"/>
      <c r="EN588" s="1170"/>
      <c r="EO588" s="1170"/>
      <c r="EP588" s="1170"/>
      <c r="EQ588" s="1170"/>
      <c r="ER588" s="1170"/>
      <c r="ES588" s="1171"/>
      <c r="ET588" s="1171"/>
      <c r="EU588" s="1171"/>
      <c r="EV588" s="1171"/>
      <c r="EW588" s="1171"/>
      <c r="EX588" s="1171"/>
      <c r="EY588" s="1171"/>
      <c r="EZ588" s="1171"/>
      <c r="FA588" s="1171"/>
      <c r="FB588" s="1171"/>
      <c r="FC588" s="1171"/>
      <c r="FD588" s="1171"/>
      <c r="FE588" s="1171"/>
      <c r="FF588" s="1171"/>
      <c r="FG588" s="1171"/>
      <c r="FH588" s="1171"/>
      <c r="FI588" s="1171"/>
      <c r="FJ588" s="1171"/>
      <c r="FK588" s="1171"/>
      <c r="FL588" s="1171"/>
      <c r="FM588" s="1171"/>
      <c r="FN588" s="1171"/>
      <c r="FO588" s="1171"/>
      <c r="FP588" s="1171"/>
    </row>
    <row r="589" spans="1:172" s="607" customFormat="1">
      <c r="A589" s="607">
        <f t="shared" si="19"/>
        <v>2019</v>
      </c>
      <c r="B589" s="607">
        <f t="shared" si="20"/>
        <v>2</v>
      </c>
      <c r="C589" s="666">
        <v>43586</v>
      </c>
      <c r="D589" s="1709">
        <v>0.69489130434782598</v>
      </c>
      <c r="E589" s="1117">
        <v>364.88334423620483</v>
      </c>
      <c r="F589" s="1117">
        <v>525.09412904318549</v>
      </c>
      <c r="G589" s="1117">
        <v>28.871282705289907</v>
      </c>
      <c r="H589" s="1117">
        <v>41.547911917514028</v>
      </c>
      <c r="I589" s="959">
        <v>1283.9480000000001</v>
      </c>
      <c r="J589" s="959">
        <v>1850.4</v>
      </c>
      <c r="K589" s="960">
        <v>99.06</v>
      </c>
      <c r="L589" s="1121">
        <v>142.55466916940406</v>
      </c>
      <c r="M589" s="916">
        <v>11998.33</v>
      </c>
      <c r="N589" s="916">
        <v>17266.484592523073</v>
      </c>
      <c r="O589" s="1174">
        <v>6028.31</v>
      </c>
      <c r="P589" s="1174">
        <v>8675.1841076177079</v>
      </c>
      <c r="Q589" s="1174">
        <v>1817.21</v>
      </c>
      <c r="R589" s="1174">
        <v>2615.0996402315036</v>
      </c>
      <c r="S589" s="1174">
        <v>2747.74</v>
      </c>
      <c r="T589" s="1174">
        <v>3954.2011575160336</v>
      </c>
      <c r="U589" s="1120">
        <v>1546.5470083241605</v>
      </c>
      <c r="V589" s="1120">
        <v>2225.5955696202532</v>
      </c>
      <c r="W589" s="1120">
        <v>2766.3041177307987</v>
      </c>
      <c r="X589" s="1120">
        <v>3980.9162964372517</v>
      </c>
      <c r="Y589" s="1119">
        <v>13276.344017049141</v>
      </c>
      <c r="Z589" s="1119">
        <v>19105.641319701568</v>
      </c>
      <c r="AA589" s="1119">
        <v>642</v>
      </c>
      <c r="AB589" s="1119">
        <v>923.88549976536854</v>
      </c>
      <c r="AC589" s="1178">
        <v>14.625</v>
      </c>
      <c r="AD589" s="1178">
        <v>21.3</v>
      </c>
      <c r="AE589" s="1178">
        <v>34547.620000000003</v>
      </c>
      <c r="AF589" s="1178">
        <v>49716.581260753963</v>
      </c>
      <c r="AG589" s="1178">
        <v>832.23800000000006</v>
      </c>
      <c r="AH589" s="1178">
        <v>1197.6520569372753</v>
      </c>
      <c r="AI589" s="1178">
        <v>1330.2380000000001</v>
      </c>
      <c r="AJ589" s="1178">
        <v>1914.310902549664</v>
      </c>
      <c r="AK589" s="919">
        <v>70.53</v>
      </c>
      <c r="AL589" s="919">
        <v>101.49788831534492</v>
      </c>
      <c r="AM589" s="919">
        <v>72.239999999999995</v>
      </c>
      <c r="AN589" s="919">
        <v>103.95870483341156</v>
      </c>
      <c r="AO589" s="919">
        <v>7.9786469943395515</v>
      </c>
      <c r="AP589" s="919">
        <v>11.481863342393851</v>
      </c>
      <c r="AS589" s="1167"/>
      <c r="AT589" s="1167"/>
      <c r="AU589" s="1168"/>
      <c r="AV589" s="1168"/>
      <c r="AW589" s="1169"/>
      <c r="AX589" s="1169"/>
      <c r="AY589" s="1169"/>
      <c r="AZ589" s="1169"/>
      <c r="BA589" s="1803" t="s">
        <v>4</v>
      </c>
      <c r="BB589" s="1802">
        <v>2011</v>
      </c>
      <c r="BC589" s="1799" t="s">
        <v>583</v>
      </c>
      <c r="BD589" s="1799">
        <v>10</v>
      </c>
      <c r="BE589" s="1800">
        <v>266619821.10000002</v>
      </c>
      <c r="BF589" s="1801">
        <v>1.3695514322475016E-2</v>
      </c>
      <c r="BG589" s="1799"/>
      <c r="BH589" s="1813" t="s">
        <v>1</v>
      </c>
      <c r="BI589" s="1813" t="s">
        <v>319</v>
      </c>
      <c r="BJ589" s="1813" t="s">
        <v>431</v>
      </c>
      <c r="BK589" s="1813">
        <v>8</v>
      </c>
      <c r="BL589" s="1814">
        <v>92629000</v>
      </c>
      <c r="BM589" s="1801">
        <v>7.1465229703439629E-3</v>
      </c>
      <c r="BN589" s="1799">
        <v>2014</v>
      </c>
      <c r="BO589" s="1684"/>
      <c r="BP589" s="1696"/>
      <c r="BQ589" s="1169"/>
      <c r="BR589" s="1169"/>
      <c r="BS589" s="1169"/>
      <c r="BT589" s="1169"/>
      <c r="BU589" s="1169"/>
      <c r="BV589" s="1169"/>
      <c r="BW589" s="1169"/>
      <c r="BX589" s="1169"/>
      <c r="BY589" s="1169"/>
      <c r="BZ589" s="1169"/>
      <c r="CA589" s="1169"/>
      <c r="CB589" s="1169"/>
      <c r="CC589" s="1169"/>
      <c r="CD589" s="1169"/>
      <c r="CE589" s="1169"/>
      <c r="CF589" s="1169"/>
      <c r="CG589" s="1169"/>
      <c r="CH589" s="1169"/>
      <c r="CI589" s="1169"/>
      <c r="CJ589" s="1169"/>
      <c r="CK589" s="1169"/>
      <c r="CL589" s="1169"/>
      <c r="CM589" s="1169"/>
      <c r="CN589" s="1169"/>
      <c r="CO589" s="1169"/>
      <c r="CP589" s="1169"/>
      <c r="CQ589" s="1169"/>
      <c r="CR589" s="1169"/>
      <c r="CS589" s="1169"/>
      <c r="CT589" s="1169"/>
      <c r="CU589" s="1169"/>
      <c r="CV589" s="1169"/>
      <c r="CW589" s="1169"/>
      <c r="CX589" s="1169"/>
      <c r="CY589" s="1169"/>
      <c r="CZ589" s="1169"/>
      <c r="DA589" s="1168"/>
      <c r="DB589" s="1168"/>
      <c r="DC589" s="1168"/>
      <c r="DD589" s="1168"/>
      <c r="DE589" s="1168"/>
      <c r="DF589" s="1168"/>
      <c r="DG589" s="1168"/>
      <c r="DH589" s="1168"/>
      <c r="DI589" s="1168"/>
      <c r="DJ589" s="1168"/>
      <c r="DK589" s="1168"/>
      <c r="DL589" s="1168"/>
      <c r="DM589" s="1168"/>
      <c r="DN589" s="1168"/>
      <c r="DO589" s="1168"/>
      <c r="DP589" s="1168"/>
      <c r="DQ589" s="1168"/>
      <c r="DR589" s="1168"/>
      <c r="DS589" s="1168"/>
      <c r="DT589" s="1168"/>
      <c r="DU589" s="1168"/>
      <c r="DV589" s="1168"/>
      <c r="DW589" s="1168"/>
      <c r="DX589" s="1168"/>
      <c r="DY589" s="1168"/>
      <c r="DZ589" s="1168"/>
      <c r="EA589" s="1168"/>
      <c r="EB589" s="1168"/>
      <c r="EC589" s="1168"/>
      <c r="ED589" s="1168"/>
      <c r="EE589" s="1168"/>
      <c r="EF589" s="1168"/>
      <c r="EG589" s="1168"/>
      <c r="EH589" s="1168"/>
      <c r="EI589" s="1170"/>
      <c r="EJ589" s="1170"/>
      <c r="EK589" s="1170"/>
      <c r="EL589" s="1170"/>
      <c r="EM589" s="1170"/>
      <c r="EN589" s="1170"/>
      <c r="EO589" s="1170"/>
      <c r="EP589" s="1170"/>
      <c r="EQ589" s="1170"/>
      <c r="ER589" s="1170"/>
      <c r="ES589" s="1171"/>
      <c r="ET589" s="1171"/>
      <c r="EU589" s="1171"/>
      <c r="EV589" s="1171"/>
      <c r="EW589" s="1171"/>
      <c r="EX589" s="1171"/>
      <c r="EY589" s="1171"/>
      <c r="EZ589" s="1171"/>
      <c r="FA589" s="1171"/>
      <c r="FB589" s="1171"/>
      <c r="FC589" s="1171"/>
      <c r="FD589" s="1171"/>
      <c r="FE589" s="1171"/>
      <c r="FF589" s="1171"/>
      <c r="FG589" s="1171"/>
      <c r="FH589" s="1171"/>
      <c r="FI589" s="1171"/>
      <c r="FJ589" s="1171"/>
      <c r="FK589" s="1171"/>
      <c r="FL589" s="1171"/>
      <c r="FM589" s="1171"/>
      <c r="FN589" s="1171"/>
      <c r="FO589" s="1171"/>
      <c r="FP589" s="1171"/>
    </row>
    <row r="590" spans="1:172" s="607" customFormat="1">
      <c r="A590" s="607">
        <f t="shared" si="19"/>
        <v>2019</v>
      </c>
      <c r="B590" s="607">
        <f t="shared" si="20"/>
        <v>2</v>
      </c>
      <c r="C590" s="666">
        <v>43617</v>
      </c>
      <c r="D590" s="957">
        <v>0.69420000000000004</v>
      </c>
      <c r="E590" s="920">
        <v>350.4650803995815</v>
      </c>
      <c r="F590" s="954">
        <v>504.84742206796523</v>
      </c>
      <c r="G590" s="920">
        <v>29.109666190301123</v>
      </c>
      <c r="H590" s="920">
        <v>41.932679617258891</v>
      </c>
      <c r="I590" s="954">
        <v>1359.0429999999999</v>
      </c>
      <c r="J590" s="954">
        <v>1958.23</v>
      </c>
      <c r="K590" s="954">
        <v>108.69</v>
      </c>
      <c r="L590" s="920">
        <v>156.56871218668971</v>
      </c>
      <c r="M590" s="917">
        <v>11970</v>
      </c>
      <c r="N590" s="917">
        <v>17242.869490060501</v>
      </c>
      <c r="O590" s="1175">
        <v>5868.43</v>
      </c>
      <c r="P590" s="1175">
        <v>8453.5148372227031</v>
      </c>
      <c r="Q590" s="1175">
        <v>1891.5</v>
      </c>
      <c r="R590" s="1175">
        <v>2724.7191011235955</v>
      </c>
      <c r="S590" s="1175">
        <v>2602.13</v>
      </c>
      <c r="T590" s="1175">
        <v>3748.3866320944971</v>
      </c>
      <c r="U590" s="920">
        <v>1555.0144713052825</v>
      </c>
      <c r="V590" s="920">
        <v>2240.0093219609371</v>
      </c>
      <c r="W590" s="920">
        <v>2754.5816070424376</v>
      </c>
      <c r="X590" s="920">
        <v>3967.9942481164471</v>
      </c>
      <c r="Y590" s="920">
        <v>12547.814544010127</v>
      </c>
      <c r="Z590" s="920">
        <v>18075.215419202141</v>
      </c>
      <c r="AA590" s="920">
        <v>622.11</v>
      </c>
      <c r="AB590" s="920">
        <v>896.15384615384608</v>
      </c>
      <c r="AC590" s="920">
        <v>14.996</v>
      </c>
      <c r="AD590" s="920">
        <v>21.8</v>
      </c>
      <c r="AE590" s="920">
        <v>28955</v>
      </c>
      <c r="AF590" s="920">
        <v>41709.881878421205</v>
      </c>
      <c r="AG590" s="920">
        <v>808.2</v>
      </c>
      <c r="AH590" s="920">
        <v>1164.2178046672429</v>
      </c>
      <c r="AI590" s="920">
        <v>1443.85</v>
      </c>
      <c r="AJ590" s="920">
        <v>2079.8761163929703</v>
      </c>
      <c r="AK590" s="920">
        <v>63.3</v>
      </c>
      <c r="AL590" s="920">
        <v>91.184096802074322</v>
      </c>
      <c r="AM590" s="920">
        <v>64.95</v>
      </c>
      <c r="AN590" s="920">
        <v>93.560933448573891</v>
      </c>
      <c r="AO590" s="920">
        <v>7.5140744333102134</v>
      </c>
      <c r="AP590" s="920">
        <v>10.824077259161932</v>
      </c>
      <c r="AS590" s="1167"/>
      <c r="AT590" s="1167"/>
      <c r="AU590" s="1168"/>
      <c r="AV590" s="1168"/>
      <c r="AW590" s="1169"/>
      <c r="AX590" s="1169"/>
      <c r="AY590" s="1169"/>
      <c r="AZ590" s="1169"/>
      <c r="BA590" s="1803" t="s">
        <v>4</v>
      </c>
      <c r="BB590" s="1802">
        <v>2011</v>
      </c>
      <c r="BC590" s="1799" t="s">
        <v>32</v>
      </c>
      <c r="BD590" s="1799"/>
      <c r="BE590" s="1800">
        <v>477682171.3900032</v>
      </c>
      <c r="BF590" s="1801">
        <v>2.4537196795316407E-2</v>
      </c>
      <c r="BG590" s="1799"/>
      <c r="BH590" s="1813" t="s">
        <v>1</v>
      </c>
      <c r="BI590" s="1813" t="s">
        <v>319</v>
      </c>
      <c r="BJ590" s="1813" t="s">
        <v>46</v>
      </c>
      <c r="BK590" s="1813">
        <v>9</v>
      </c>
      <c r="BL590" s="1814">
        <v>31509000</v>
      </c>
      <c r="BM590" s="1801">
        <v>2.4309858928906491E-3</v>
      </c>
      <c r="BN590" s="1799">
        <v>2014</v>
      </c>
      <c r="BO590" s="1684"/>
      <c r="BP590" s="1696"/>
      <c r="BQ590" s="1169"/>
      <c r="BR590" s="1169"/>
      <c r="BS590" s="1169"/>
      <c r="BT590" s="1169"/>
      <c r="BU590" s="1169"/>
      <c r="BV590" s="1169"/>
      <c r="BW590" s="1169"/>
      <c r="BX590" s="1169"/>
      <c r="BY590" s="1169"/>
      <c r="BZ590" s="1169"/>
      <c r="CA590" s="1169"/>
      <c r="CB590" s="1169"/>
      <c r="CC590" s="1169"/>
      <c r="CD590" s="1169"/>
      <c r="CE590" s="1169"/>
      <c r="CF590" s="1169"/>
      <c r="CG590" s="1169"/>
      <c r="CH590" s="1169"/>
      <c r="CI590" s="1169"/>
      <c r="CJ590" s="1169"/>
      <c r="CK590" s="1169"/>
      <c r="CL590" s="1169"/>
      <c r="CM590" s="1169"/>
      <c r="CN590" s="1169"/>
      <c r="CO590" s="1169"/>
      <c r="CP590" s="1169"/>
      <c r="CQ590" s="1169"/>
      <c r="CR590" s="1169"/>
      <c r="CS590" s="1169"/>
      <c r="CT590" s="1169"/>
      <c r="CU590" s="1169"/>
      <c r="CV590" s="1169"/>
      <c r="CW590" s="1169"/>
      <c r="CX590" s="1169"/>
      <c r="CY590" s="1169"/>
      <c r="CZ590" s="1169"/>
      <c r="DA590" s="1168"/>
      <c r="DB590" s="1168"/>
      <c r="DC590" s="1168"/>
      <c r="DD590" s="1168"/>
      <c r="DE590" s="1168"/>
      <c r="DF590" s="1168"/>
      <c r="DG590" s="1168"/>
      <c r="DH590" s="1168"/>
      <c r="DI590" s="1168"/>
      <c r="DJ590" s="1168"/>
      <c r="DK590" s="1168"/>
      <c r="DL590" s="1168"/>
      <c r="DM590" s="1168"/>
      <c r="DN590" s="1168"/>
      <c r="DO590" s="1168"/>
      <c r="DP590" s="1168"/>
      <c r="DQ590" s="1168"/>
      <c r="DR590" s="1168"/>
      <c r="DS590" s="1168"/>
      <c r="DT590" s="1168"/>
      <c r="DU590" s="1168"/>
      <c r="DV590" s="1168"/>
      <c r="DW590" s="1168"/>
      <c r="DX590" s="1168"/>
      <c r="DY590" s="1168"/>
      <c r="DZ590" s="1168"/>
      <c r="EA590" s="1168"/>
      <c r="EB590" s="1168"/>
      <c r="EC590" s="1168"/>
      <c r="ED590" s="1168"/>
      <c r="EE590" s="1168"/>
      <c r="EF590" s="1168"/>
      <c r="EG590" s="1168"/>
      <c r="EH590" s="1168"/>
      <c r="EI590" s="1170"/>
      <c r="EJ590" s="1170"/>
      <c r="EK590" s="1170"/>
      <c r="EL590" s="1170"/>
      <c r="EM590" s="1170"/>
      <c r="EN590" s="1170"/>
      <c r="EO590" s="1170"/>
      <c r="EP590" s="1170"/>
      <c r="EQ590" s="1170"/>
      <c r="ER590" s="1170"/>
      <c r="ES590" s="1171"/>
      <c r="ET590" s="1171"/>
      <c r="EU590" s="1171"/>
      <c r="EV590" s="1171"/>
      <c r="EW590" s="1171"/>
      <c r="EX590" s="1171"/>
      <c r="EY590" s="1171"/>
      <c r="EZ590" s="1171"/>
      <c r="FA590" s="1171"/>
      <c r="FB590" s="1171"/>
      <c r="FC590" s="1171"/>
      <c r="FD590" s="1171"/>
      <c r="FE590" s="1171"/>
      <c r="FF590" s="1171"/>
      <c r="FG590" s="1171"/>
      <c r="FH590" s="1171"/>
      <c r="FI590" s="1171"/>
      <c r="FJ590" s="1171"/>
      <c r="FK590" s="1171"/>
      <c r="FL590" s="1171"/>
      <c r="FM590" s="1171"/>
      <c r="FN590" s="1171"/>
      <c r="FO590" s="1171"/>
      <c r="FP590" s="1171"/>
    </row>
    <row r="591" spans="1:172" s="607" customFormat="1">
      <c r="A591" s="607">
        <f t="shared" si="19"/>
        <v>2019</v>
      </c>
      <c r="B591" s="607">
        <f t="shared" si="20"/>
        <v>3</v>
      </c>
      <c r="C591" s="666">
        <v>43647</v>
      </c>
      <c r="D591" s="1709">
        <v>0.69870434782608692</v>
      </c>
      <c r="E591" s="1117">
        <v>336.1749315851286</v>
      </c>
      <c r="F591" s="1117">
        <v>481.14046038368895</v>
      </c>
      <c r="G591" s="1117">
        <v>29.508147950129896</v>
      </c>
      <c r="H591" s="1117">
        <v>42.232666852496401</v>
      </c>
      <c r="I591" s="959">
        <v>1412.9780000000001</v>
      </c>
      <c r="J591" s="959">
        <v>2029.59</v>
      </c>
      <c r="K591" s="960">
        <v>119.96</v>
      </c>
      <c r="L591" s="960">
        <v>171.68921357543778</v>
      </c>
      <c r="M591" s="916">
        <v>13462.39</v>
      </c>
      <c r="N591" s="916">
        <v>19267.648815820587</v>
      </c>
      <c r="O591" s="1174">
        <v>5939.85</v>
      </c>
      <c r="P591" s="1174">
        <v>8501.2352055357132</v>
      </c>
      <c r="Q591" s="1174">
        <v>1974.02</v>
      </c>
      <c r="R591" s="1174">
        <v>2825.2579308284903</v>
      </c>
      <c r="S591" s="1174">
        <v>2441.48</v>
      </c>
      <c r="T591" s="1174">
        <v>3494.2962750930296</v>
      </c>
      <c r="U591" s="1120">
        <v>1546.7384125373046</v>
      </c>
      <c r="V591" s="1120">
        <v>2213.7237550471064</v>
      </c>
      <c r="W591" s="1120">
        <v>2668.837072941069</v>
      </c>
      <c r="X591" s="1120">
        <v>3819.6943832462939</v>
      </c>
      <c r="Y591" s="1119">
        <v>11647.749286041295</v>
      </c>
      <c r="Z591" s="1119">
        <v>16670.497789632351</v>
      </c>
      <c r="AA591" s="1119">
        <v>613.35</v>
      </c>
      <c r="AB591" s="1119">
        <v>877.83910592276391</v>
      </c>
      <c r="AC591" s="1178">
        <v>15.744999999999999</v>
      </c>
      <c r="AD591" s="1178">
        <v>22.67</v>
      </c>
      <c r="AE591" s="1178">
        <v>28195.65</v>
      </c>
      <c r="AF591" s="1178">
        <v>40354.192853853718</v>
      </c>
      <c r="AG591" s="1178">
        <v>843.60900000000004</v>
      </c>
      <c r="AH591" s="1178">
        <v>1207.3905116302226</v>
      </c>
      <c r="AI591" s="1178">
        <v>1545.3910000000001</v>
      </c>
      <c r="AJ591" s="1178">
        <v>2211.7953105748529</v>
      </c>
      <c r="AK591" s="919">
        <v>64</v>
      </c>
      <c r="AL591" s="919">
        <v>91.598113277992809</v>
      </c>
      <c r="AM591" s="919">
        <v>66.09</v>
      </c>
      <c r="AN591" s="919">
        <v>94.589364164727272</v>
      </c>
      <c r="AO591" s="919">
        <v>7.8985617080481791</v>
      </c>
      <c r="AP591" s="919">
        <v>11.304583594797085</v>
      </c>
      <c r="AS591" s="1167"/>
      <c r="AT591" s="1167"/>
      <c r="AU591" s="1168"/>
      <c r="AV591" s="1168"/>
      <c r="AW591" s="1169"/>
      <c r="AX591" s="1169"/>
      <c r="AY591" s="1169"/>
      <c r="AZ591" s="1169"/>
      <c r="BA591" s="1803" t="s">
        <v>4</v>
      </c>
      <c r="BB591" s="1802">
        <v>2011</v>
      </c>
      <c r="BC591" s="1799" t="s">
        <v>249</v>
      </c>
      <c r="BD591" s="1799"/>
      <c r="BE591" s="1800">
        <v>19467674949.779995</v>
      </c>
      <c r="BF591" s="1801"/>
      <c r="BG591" s="1799"/>
      <c r="BH591" s="1813" t="s">
        <v>1</v>
      </c>
      <c r="BI591" s="1813" t="s">
        <v>319</v>
      </c>
      <c r="BJ591" s="1813" t="s">
        <v>20</v>
      </c>
      <c r="BK591" s="1813">
        <v>10</v>
      </c>
      <c r="BL591" s="1814">
        <v>26190000</v>
      </c>
      <c r="BM591" s="1801">
        <v>2.0206138098576945E-3</v>
      </c>
      <c r="BN591" s="1799">
        <v>2014</v>
      </c>
      <c r="BO591" s="1684"/>
      <c r="BP591" s="1696"/>
      <c r="BQ591" s="1169"/>
      <c r="BR591" s="1169"/>
      <c r="BS591" s="1169"/>
      <c r="BT591" s="1169"/>
      <c r="BU591" s="1169"/>
      <c r="BV591" s="1169"/>
      <c r="BW591" s="1169"/>
      <c r="BX591" s="1169"/>
      <c r="BY591" s="1169"/>
      <c r="BZ591" s="1169"/>
      <c r="CA591" s="1169"/>
      <c r="CB591" s="1169"/>
      <c r="CC591" s="1169"/>
      <c r="CD591" s="1169"/>
      <c r="CE591" s="1169"/>
      <c r="CF591" s="1169"/>
      <c r="CG591" s="1169"/>
      <c r="CH591" s="1169"/>
      <c r="CI591" s="1169"/>
      <c r="CJ591" s="1169"/>
      <c r="CK591" s="1169"/>
      <c r="CL591" s="1169"/>
      <c r="CM591" s="1169"/>
      <c r="CN591" s="1169"/>
      <c r="CO591" s="1169"/>
      <c r="CP591" s="1169"/>
      <c r="CQ591" s="1169"/>
      <c r="CR591" s="1169"/>
      <c r="CS591" s="1169"/>
      <c r="CT591" s="1169"/>
      <c r="CU591" s="1169"/>
      <c r="CV591" s="1169"/>
      <c r="CW591" s="1169"/>
      <c r="CX591" s="1169"/>
      <c r="CY591" s="1169"/>
      <c r="CZ591" s="1169"/>
      <c r="DA591" s="1168"/>
      <c r="DB591" s="1168"/>
      <c r="DC591" s="1168"/>
      <c r="DD591" s="1168"/>
      <c r="DE591" s="1168"/>
      <c r="DF591" s="1168"/>
      <c r="DG591" s="1168"/>
      <c r="DH591" s="1168"/>
      <c r="DI591" s="1168"/>
      <c r="DJ591" s="1168"/>
      <c r="DK591" s="1168"/>
      <c r="DL591" s="1168"/>
      <c r="DM591" s="1168"/>
      <c r="DN591" s="1168"/>
      <c r="DO591" s="1168"/>
      <c r="DP591" s="1168"/>
      <c r="DQ591" s="1168"/>
      <c r="DR591" s="1168"/>
      <c r="DS591" s="1168"/>
      <c r="DT591" s="1168"/>
      <c r="DU591" s="1168"/>
      <c r="DV591" s="1168"/>
      <c r="DW591" s="1168"/>
      <c r="DX591" s="1168"/>
      <c r="DY591" s="1168"/>
      <c r="DZ591" s="1168"/>
      <c r="EA591" s="1168"/>
      <c r="EB591" s="1168"/>
      <c r="EC591" s="1168"/>
      <c r="ED591" s="1168"/>
      <c r="EE591" s="1168"/>
      <c r="EF591" s="1168"/>
      <c r="EG591" s="1168"/>
      <c r="EH591" s="1168"/>
      <c r="EI591" s="1170"/>
      <c r="EJ591" s="1170"/>
      <c r="EK591" s="1170"/>
      <c r="EL591" s="1170"/>
      <c r="EM591" s="1170"/>
      <c r="EN591" s="1170"/>
      <c r="EO591" s="1170"/>
      <c r="EP591" s="1170"/>
      <c r="EQ591" s="1170"/>
      <c r="ER591" s="1170"/>
      <c r="ES591" s="1171"/>
      <c r="ET591" s="1171"/>
      <c r="EU591" s="1171"/>
      <c r="EV591" s="1171"/>
      <c r="EW591" s="1171"/>
      <c r="EX591" s="1171"/>
      <c r="EY591" s="1171"/>
      <c r="EZ591" s="1171"/>
      <c r="FA591" s="1171"/>
      <c r="FB591" s="1171"/>
      <c r="FC591" s="1171"/>
      <c r="FD591" s="1171"/>
      <c r="FE591" s="1171"/>
      <c r="FF591" s="1171"/>
      <c r="FG591" s="1171"/>
      <c r="FH591" s="1171"/>
      <c r="FI591" s="1171"/>
      <c r="FJ591" s="1171"/>
      <c r="FK591" s="1171"/>
      <c r="FL591" s="1171"/>
      <c r="FM591" s="1171"/>
      <c r="FN591" s="1171"/>
      <c r="FO591" s="1171"/>
      <c r="FP591" s="1171"/>
    </row>
    <row r="592" spans="1:172" s="607" customFormat="1">
      <c r="A592" s="607">
        <f t="shared" si="19"/>
        <v>2019</v>
      </c>
      <c r="B592" s="607">
        <f t="shared" si="20"/>
        <v>3</v>
      </c>
      <c r="C592" s="666">
        <v>43678</v>
      </c>
      <c r="D592" s="918">
        <v>0.67717619047619049</v>
      </c>
      <c r="E592" s="920">
        <v>305.95974019672309</v>
      </c>
      <c r="F592" s="1339">
        <v>451.81703742651098</v>
      </c>
      <c r="G592" s="920">
        <v>31.002841849665266</v>
      </c>
      <c r="H592" s="917">
        <v>45.782533830470413</v>
      </c>
      <c r="I592" s="918">
        <v>1498.798</v>
      </c>
      <c r="J592" s="918">
        <v>2218.41</v>
      </c>
      <c r="K592" s="1340">
        <v>91.19</v>
      </c>
      <c r="L592" s="918">
        <v>134.66214743296743</v>
      </c>
      <c r="M592" s="918">
        <v>15682.14</v>
      </c>
      <c r="N592" s="918">
        <v>23158.138488260069</v>
      </c>
      <c r="O592" s="1166">
        <v>5707.98</v>
      </c>
      <c r="P592" s="1166">
        <v>8429.091394938363</v>
      </c>
      <c r="Q592" s="1166">
        <v>2043.19</v>
      </c>
      <c r="R592" s="1166">
        <v>3017.2206712749726</v>
      </c>
      <c r="S592" s="1166">
        <v>2275.14</v>
      </c>
      <c r="T592" s="1166">
        <v>3359.7460040644974</v>
      </c>
      <c r="U592" s="1166">
        <v>1525.5612330618007</v>
      </c>
      <c r="V592" s="1166">
        <v>2252.8276311502118</v>
      </c>
      <c r="W592" s="1166">
        <v>2717.5125019503685</v>
      </c>
      <c r="X592" s="1166">
        <v>4013.006570770619</v>
      </c>
      <c r="Y592" s="1166">
        <v>10356.519339959126</v>
      </c>
      <c r="Z592" s="918">
        <v>15293.684990129996</v>
      </c>
      <c r="AA592" s="1166">
        <v>597.04999999999995</v>
      </c>
      <c r="AB592" s="1166">
        <v>881.67600751017869</v>
      </c>
      <c r="AC592" s="920">
        <v>17.138000000000002</v>
      </c>
      <c r="AD592" s="920">
        <v>25.47</v>
      </c>
      <c r="AE592" s="920">
        <v>30004.76</v>
      </c>
      <c r="AF592" s="920">
        <v>44308.645847250838</v>
      </c>
      <c r="AG592" s="920">
        <v>859.14300000000003</v>
      </c>
      <c r="AH592" s="920">
        <v>1268.7141279965122</v>
      </c>
      <c r="AI592" s="920">
        <v>1453.4290000000001</v>
      </c>
      <c r="AJ592" s="920">
        <v>2146.3084798919886</v>
      </c>
      <c r="AK592" s="1166">
        <v>59.25</v>
      </c>
      <c r="AL592" s="1166">
        <v>87.495692898380526</v>
      </c>
      <c r="AM592" s="1166">
        <v>61.46</v>
      </c>
      <c r="AN592" s="1166">
        <v>90.759245325476243</v>
      </c>
      <c r="AO592" s="1166">
        <v>8.5188517682927927</v>
      </c>
      <c r="AP592" s="1166">
        <v>12.579963513339614</v>
      </c>
      <c r="AS592" s="1167"/>
      <c r="AT592" s="1167"/>
      <c r="AU592" s="1168"/>
      <c r="AV592" s="1168"/>
      <c r="AW592" s="1169"/>
      <c r="AX592" s="1169"/>
      <c r="AY592" s="1169"/>
      <c r="AZ592" s="1169"/>
      <c r="BA592" s="1803" t="s">
        <v>4</v>
      </c>
      <c r="BB592" s="1802">
        <v>2010</v>
      </c>
      <c r="BC592" s="1799" t="s">
        <v>20</v>
      </c>
      <c r="BD592" s="1799">
        <v>1</v>
      </c>
      <c r="BE592" s="1800">
        <v>7343004463.0500088</v>
      </c>
      <c r="BF592" s="1801">
        <v>0.41883654242933077</v>
      </c>
      <c r="BG592" s="1799"/>
      <c r="BH592" s="1813" t="s">
        <v>1</v>
      </c>
      <c r="BI592" s="1813" t="s">
        <v>319</v>
      </c>
      <c r="BJ592" s="1813" t="s">
        <v>32</v>
      </c>
      <c r="BK592" s="1813"/>
      <c r="BL592" s="1814">
        <v>38102000</v>
      </c>
      <c r="BM592" s="1801">
        <v>2.9396497664451269E-3</v>
      </c>
      <c r="BN592" s="1799">
        <v>2014</v>
      </c>
      <c r="BO592" s="1684"/>
      <c r="BP592" s="1696"/>
      <c r="BQ592" s="1169"/>
      <c r="BR592" s="1169"/>
      <c r="BS592" s="1169"/>
      <c r="BT592" s="1169"/>
      <c r="BU592" s="1169"/>
      <c r="BV592" s="1169"/>
      <c r="BW592" s="1169"/>
      <c r="BX592" s="1169"/>
      <c r="BY592" s="1169"/>
      <c r="BZ592" s="1169"/>
      <c r="CA592" s="1169"/>
      <c r="CB592" s="1169"/>
      <c r="CC592" s="1169"/>
      <c r="CD592" s="1169"/>
      <c r="CE592" s="1169"/>
      <c r="CF592" s="1169"/>
      <c r="CG592" s="1169"/>
      <c r="CH592" s="1169"/>
      <c r="CI592" s="1169"/>
      <c r="CJ592" s="1169"/>
      <c r="CK592" s="1169"/>
      <c r="CL592" s="1169"/>
      <c r="CM592" s="1169"/>
      <c r="CN592" s="1169"/>
      <c r="CO592" s="1169"/>
      <c r="CP592" s="1169"/>
      <c r="CQ592" s="1169"/>
      <c r="CR592" s="1169"/>
      <c r="CS592" s="1169"/>
      <c r="CT592" s="1169"/>
      <c r="CU592" s="1169"/>
      <c r="CV592" s="1169"/>
      <c r="CW592" s="1169"/>
      <c r="CX592" s="1169"/>
      <c r="CY592" s="1169"/>
      <c r="CZ592" s="1169"/>
      <c r="DA592" s="1168"/>
      <c r="DB592" s="1168"/>
      <c r="DC592" s="1168"/>
      <c r="DD592" s="1168"/>
      <c r="DE592" s="1168"/>
      <c r="DF592" s="1168"/>
      <c r="DG592" s="1168"/>
      <c r="DH592" s="1168"/>
      <c r="DI592" s="1168"/>
      <c r="DJ592" s="1168"/>
      <c r="DK592" s="1168"/>
      <c r="DL592" s="1168"/>
      <c r="DM592" s="1168"/>
      <c r="DN592" s="1168"/>
      <c r="DO592" s="1168"/>
      <c r="DP592" s="1168"/>
      <c r="DQ592" s="1168"/>
      <c r="DR592" s="1168"/>
      <c r="DS592" s="1168"/>
      <c r="DT592" s="1168"/>
      <c r="DU592" s="1168"/>
      <c r="DV592" s="1168"/>
      <c r="DW592" s="1168"/>
      <c r="DX592" s="1168"/>
      <c r="DY592" s="1168"/>
      <c r="DZ592" s="1168"/>
      <c r="EA592" s="1168"/>
      <c r="EB592" s="1168"/>
      <c r="EC592" s="1168"/>
      <c r="ED592" s="1168"/>
      <c r="EE592" s="1168"/>
      <c r="EF592" s="1168"/>
      <c r="EG592" s="1168"/>
      <c r="EH592" s="1168"/>
      <c r="EI592" s="1170"/>
      <c r="EJ592" s="1170"/>
      <c r="EK592" s="1170"/>
      <c r="EL592" s="1170"/>
      <c r="EM592" s="1170"/>
      <c r="EN592" s="1170"/>
      <c r="EO592" s="1170"/>
      <c r="EP592" s="1170"/>
      <c r="EQ592" s="1170"/>
      <c r="ER592" s="1170"/>
      <c r="ES592" s="1171"/>
      <c r="ET592" s="1171"/>
      <c r="EU592" s="1171"/>
      <c r="EV592" s="1171"/>
      <c r="EW592" s="1171"/>
      <c r="EX592" s="1171"/>
      <c r="EY592" s="1171"/>
      <c r="EZ592" s="1171"/>
      <c r="FA592" s="1171"/>
      <c r="FB592" s="1171"/>
      <c r="FC592" s="1171"/>
      <c r="FD592" s="1171"/>
      <c r="FE592" s="1171"/>
      <c r="FF592" s="1171"/>
      <c r="FG592" s="1171"/>
      <c r="FH592" s="1171"/>
      <c r="FI592" s="1171"/>
      <c r="FJ592" s="1171"/>
      <c r="FK592" s="1171"/>
      <c r="FL592" s="1171"/>
      <c r="FM592" s="1171"/>
      <c r="FN592" s="1171"/>
      <c r="FO592" s="1171"/>
      <c r="FP592" s="1171"/>
    </row>
    <row r="593" spans="1:172" s="607" customFormat="1">
      <c r="A593" s="607">
        <f t="shared" si="19"/>
        <v>2019</v>
      </c>
      <c r="B593" s="607">
        <f t="shared" si="20"/>
        <v>3</v>
      </c>
      <c r="C593" s="666">
        <v>43709</v>
      </c>
      <c r="D593" s="1709">
        <v>0.68080476190476191</v>
      </c>
      <c r="E593" s="1117">
        <v>306.03040463120954</v>
      </c>
      <c r="F593" s="1117">
        <v>449.51272634315131</v>
      </c>
      <c r="G593" s="1117">
        <v>27.64590639845845</v>
      </c>
      <c r="H593" s="1117">
        <v>40.607686587136193</v>
      </c>
      <c r="I593" s="959">
        <v>1511.3140000000001</v>
      </c>
      <c r="J593" s="959">
        <v>2221.84</v>
      </c>
      <c r="K593" s="960">
        <v>93.3</v>
      </c>
      <c r="L593" s="960">
        <v>137.04369478698177</v>
      </c>
      <c r="M593" s="916">
        <v>17673.099999999999</v>
      </c>
      <c r="N593" s="916">
        <v>25959.131000426663</v>
      </c>
      <c r="O593" s="1174">
        <v>5745.48</v>
      </c>
      <c r="P593" s="1174">
        <v>8439.2476690751137</v>
      </c>
      <c r="Q593" s="1174">
        <v>2070.86</v>
      </c>
      <c r="R593" s="1174">
        <v>3041.7824843147819</v>
      </c>
      <c r="S593" s="1174">
        <v>2319.64</v>
      </c>
      <c r="T593" s="1174">
        <v>3407.2029600822552</v>
      </c>
      <c r="U593" s="1120">
        <v>1513.3755152088984</v>
      </c>
      <c r="V593" s="1120">
        <v>2222.9214598540148</v>
      </c>
      <c r="W593" s="1120">
        <v>2771.5259342927993</v>
      </c>
      <c r="X593" s="1120">
        <v>4070.9555652028612</v>
      </c>
      <c r="Y593" s="1119">
        <v>9561.1873667519994</v>
      </c>
      <c r="Z593" s="1119">
        <v>14043.949017045092</v>
      </c>
      <c r="AA593" s="1119">
        <v>574.47</v>
      </c>
      <c r="AB593" s="1119">
        <v>843.81019661604967</v>
      </c>
      <c r="AC593" s="1178">
        <v>18.170000000000002</v>
      </c>
      <c r="AD593" s="1178">
        <v>26.8</v>
      </c>
      <c r="AE593" s="1178">
        <v>36452.379999999997</v>
      </c>
      <c r="AF593" s="1178">
        <v>53543.074372766117</v>
      </c>
      <c r="AG593" s="1178">
        <v>943.90499999999997</v>
      </c>
      <c r="AH593" s="1178">
        <v>1386.4547559261098</v>
      </c>
      <c r="AI593" s="1178">
        <v>1601.095</v>
      </c>
      <c r="AJ593" s="1178">
        <v>2351.7682154872737</v>
      </c>
      <c r="AK593" s="919">
        <v>62.33</v>
      </c>
      <c r="AL593" s="919">
        <v>91.55341367709083</v>
      </c>
      <c r="AM593" s="919">
        <v>64.05</v>
      </c>
      <c r="AN593" s="919">
        <v>94.07983548881225</v>
      </c>
      <c r="AO593" s="919">
        <v>8.7177515263380041</v>
      </c>
      <c r="AP593" s="919">
        <v>12.805068375179101</v>
      </c>
      <c r="AS593" s="1167"/>
      <c r="AT593" s="1167"/>
      <c r="AU593" s="1168"/>
      <c r="AV593" s="1168"/>
      <c r="AW593" s="1169"/>
      <c r="AX593" s="1169"/>
      <c r="AY593" s="1169"/>
      <c r="AZ593" s="1169"/>
      <c r="BA593" s="1803" t="s">
        <v>4</v>
      </c>
      <c r="BB593" s="1802">
        <v>2010</v>
      </c>
      <c r="BC593" s="1799" t="s">
        <v>581</v>
      </c>
      <c r="BD593" s="1799">
        <v>2</v>
      </c>
      <c r="BE593" s="1800">
        <v>2719347736.7000003</v>
      </c>
      <c r="BF593" s="1801">
        <v>0.155108472211029</v>
      </c>
      <c r="BG593" s="1799"/>
      <c r="BH593" s="1813" t="s">
        <v>1</v>
      </c>
      <c r="BI593" s="1813" t="s">
        <v>319</v>
      </c>
      <c r="BJ593" s="1813" t="s">
        <v>249</v>
      </c>
      <c r="BK593" s="1813"/>
      <c r="BL593" s="1814">
        <v>12961408000</v>
      </c>
      <c r="BM593" s="1801">
        <v>1</v>
      </c>
      <c r="BN593" s="1799">
        <v>2014</v>
      </c>
      <c r="BO593" s="1684"/>
      <c r="BP593" s="1696"/>
      <c r="BQ593" s="1169"/>
      <c r="BR593" s="1169"/>
      <c r="BS593" s="1169"/>
      <c r="BT593" s="1169"/>
      <c r="BU593" s="1169"/>
      <c r="BV593" s="1169"/>
      <c r="BW593" s="1169"/>
      <c r="BX593" s="1169"/>
      <c r="BY593" s="1169"/>
      <c r="BZ593" s="1169"/>
      <c r="CA593" s="1169"/>
      <c r="CB593" s="1169"/>
      <c r="CC593" s="1169"/>
      <c r="CD593" s="1169"/>
      <c r="CE593" s="1169"/>
      <c r="CF593" s="1169"/>
      <c r="CG593" s="1169"/>
      <c r="CH593" s="1169"/>
      <c r="CI593" s="1169"/>
      <c r="CJ593" s="1169"/>
      <c r="CK593" s="1169"/>
      <c r="CL593" s="1169"/>
      <c r="CM593" s="1169"/>
      <c r="CN593" s="1169"/>
      <c r="CO593" s="1169"/>
      <c r="CP593" s="1169"/>
      <c r="CQ593" s="1169"/>
      <c r="CR593" s="1169"/>
      <c r="CS593" s="1169"/>
      <c r="CT593" s="1169"/>
      <c r="CU593" s="1169"/>
      <c r="CV593" s="1169"/>
      <c r="CW593" s="1169"/>
      <c r="CX593" s="1169"/>
      <c r="CY593" s="1169"/>
      <c r="CZ593" s="1169"/>
      <c r="DA593" s="1168"/>
      <c r="DB593" s="1168"/>
      <c r="DC593" s="1168"/>
      <c r="DD593" s="1168"/>
      <c r="DE593" s="1168"/>
      <c r="DF593" s="1168"/>
      <c r="DG593" s="1168"/>
      <c r="DH593" s="1168"/>
      <c r="DI593" s="1168"/>
      <c r="DJ593" s="1168"/>
      <c r="DK593" s="1168"/>
      <c r="DL593" s="1168"/>
      <c r="DM593" s="1168"/>
      <c r="DN593" s="1168"/>
      <c r="DO593" s="1168"/>
      <c r="DP593" s="1168"/>
      <c r="DQ593" s="1168"/>
      <c r="DR593" s="1168"/>
      <c r="DS593" s="1168"/>
      <c r="DT593" s="1168"/>
      <c r="DU593" s="1168"/>
      <c r="DV593" s="1168"/>
      <c r="DW593" s="1168"/>
      <c r="DX593" s="1168"/>
      <c r="DY593" s="1168"/>
      <c r="DZ593" s="1168"/>
      <c r="EA593" s="1168"/>
      <c r="EB593" s="1168"/>
      <c r="EC593" s="1168"/>
      <c r="ED593" s="1168"/>
      <c r="EE593" s="1168"/>
      <c r="EF593" s="1168"/>
      <c r="EG593" s="1168"/>
      <c r="EH593" s="1168"/>
      <c r="EI593" s="1170"/>
      <c r="EJ593" s="1170"/>
      <c r="EK593" s="1170"/>
      <c r="EL593" s="1170"/>
      <c r="EM593" s="1170"/>
      <c r="EN593" s="1170"/>
      <c r="EO593" s="1170"/>
      <c r="EP593" s="1170"/>
      <c r="EQ593" s="1170"/>
      <c r="ER593" s="1170"/>
      <c r="ES593" s="1171"/>
      <c r="ET593" s="1171"/>
      <c r="EU593" s="1171"/>
      <c r="EV593" s="1171"/>
      <c r="EW593" s="1171"/>
      <c r="EX593" s="1171"/>
      <c r="EY593" s="1171"/>
      <c r="EZ593" s="1171"/>
      <c r="FA593" s="1171"/>
      <c r="FB593" s="1171"/>
      <c r="FC593" s="1171"/>
      <c r="FD593" s="1171"/>
      <c r="FE593" s="1171"/>
      <c r="FF593" s="1171"/>
      <c r="FG593" s="1171"/>
      <c r="FH593" s="1171"/>
      <c r="FI593" s="1171"/>
      <c r="FJ593" s="1171"/>
      <c r="FK593" s="1171"/>
      <c r="FL593" s="1171"/>
      <c r="FM593" s="1171"/>
      <c r="FN593" s="1171"/>
      <c r="FO593" s="1171"/>
      <c r="FP593" s="1171"/>
    </row>
    <row r="594" spans="1:172" s="607" customFormat="1">
      <c r="A594" s="607">
        <f t="shared" si="19"/>
        <v>2019</v>
      </c>
      <c r="B594" s="607">
        <f t="shared" si="20"/>
        <v>4</v>
      </c>
      <c r="C594" s="666">
        <v>43739</v>
      </c>
      <c r="D594" s="918">
        <v>0.6795863636363636</v>
      </c>
      <c r="E594" s="920">
        <v>292.42700129322077</v>
      </c>
      <c r="F594" s="1339">
        <v>430.30145532716136</v>
      </c>
      <c r="G594" s="920">
        <v>26.873647385823993</v>
      </c>
      <c r="H594" s="917">
        <v>39.544123931544448</v>
      </c>
      <c r="I594" s="918">
        <v>1494.8</v>
      </c>
      <c r="J594" s="918">
        <v>2203.9299999999998</v>
      </c>
      <c r="K594" s="1340">
        <v>89.61</v>
      </c>
      <c r="L594" s="1340">
        <v>131.85962049107411</v>
      </c>
      <c r="M594" s="918">
        <v>17113.48</v>
      </c>
      <c r="N594" s="918">
        <v>25182.200402651346</v>
      </c>
      <c r="O594" s="1166">
        <v>5742.89</v>
      </c>
      <c r="P594" s="1166">
        <v>8450.5668555070279</v>
      </c>
      <c r="Q594" s="1166">
        <v>2184.3000000000002</v>
      </c>
      <c r="R594" s="1166">
        <v>3214.1610204067988</v>
      </c>
      <c r="S594" s="1166">
        <v>2445.59</v>
      </c>
      <c r="T594" s="1166">
        <v>3598.644897631581</v>
      </c>
      <c r="U594" s="1166">
        <v>1473.2486620516077</v>
      </c>
      <c r="V594" s="1166">
        <v>2167.8608354771532</v>
      </c>
      <c r="W594" s="1166">
        <v>2808.6467824514457</v>
      </c>
      <c r="X594" s="1166">
        <v>4132.8768979748247</v>
      </c>
      <c r="Y594" s="1166">
        <v>8984.5771595697224</v>
      </c>
      <c r="Z594" s="918">
        <v>13220.655446196142</v>
      </c>
      <c r="AA594" s="1166">
        <v>536.84</v>
      </c>
      <c r="AB594" s="1166">
        <v>789.9511066223439</v>
      </c>
      <c r="AC594" s="920">
        <v>17.625</v>
      </c>
      <c r="AD594" s="920">
        <v>26.12</v>
      </c>
      <c r="AE594" s="920">
        <v>35423.910000000003</v>
      </c>
      <c r="AF594" s="920">
        <v>52125.692767659479</v>
      </c>
      <c r="AG594" s="920">
        <v>897.26099999999997</v>
      </c>
      <c r="AH594" s="920">
        <v>1320.3045970476694</v>
      </c>
      <c r="AI594" s="920">
        <v>1728.261</v>
      </c>
      <c r="AJ594" s="920">
        <v>2543.1072376913767</v>
      </c>
      <c r="AK594" s="1166">
        <v>59.37</v>
      </c>
      <c r="AL594" s="1166">
        <v>87.361964831548605</v>
      </c>
      <c r="AM594" s="1166">
        <v>60.86</v>
      </c>
      <c r="AN594" s="1166">
        <v>89.554474981439242</v>
      </c>
      <c r="AO594" s="1166">
        <v>7.7317693382592205</v>
      </c>
      <c r="AP594" s="1166">
        <v>11.377169631373553</v>
      </c>
      <c r="AS594" s="1167"/>
      <c r="AT594" s="1167"/>
      <c r="AU594" s="1168"/>
      <c r="AV594" s="1168"/>
      <c r="AW594" s="1169"/>
      <c r="AX594" s="1169"/>
      <c r="AY594" s="1169"/>
      <c r="AZ594" s="1169"/>
      <c r="BA594" s="1803" t="s">
        <v>4</v>
      </c>
      <c r="BB594" s="1802">
        <v>2010</v>
      </c>
      <c r="BC594" s="1799" t="s">
        <v>15</v>
      </c>
      <c r="BD594" s="1799">
        <v>3</v>
      </c>
      <c r="BE594" s="1800">
        <v>2173091242.0700006</v>
      </c>
      <c r="BF594" s="1801">
        <v>0.12395062903638879</v>
      </c>
      <c r="BG594" s="1799"/>
      <c r="BH594" s="1815" t="s">
        <v>1</v>
      </c>
      <c r="BI594" s="1815" t="s">
        <v>320</v>
      </c>
      <c r="BJ594" s="1815" t="s">
        <v>592</v>
      </c>
      <c r="BK594" s="1815">
        <v>1</v>
      </c>
      <c r="BL594" s="1816">
        <v>5406390000</v>
      </c>
      <c r="BM594" s="1801">
        <v>0.33019713472347739</v>
      </c>
      <c r="BN594" s="1799">
        <v>2015</v>
      </c>
      <c r="BO594" s="1684"/>
      <c r="BP594" s="1696"/>
      <c r="BQ594" s="1169"/>
      <c r="BR594" s="1169"/>
      <c r="BS594" s="1169"/>
      <c r="BT594" s="1169"/>
      <c r="BU594" s="1169"/>
      <c r="BV594" s="1169"/>
      <c r="BW594" s="1169"/>
      <c r="BX594" s="1169"/>
      <c r="BY594" s="1169"/>
      <c r="BZ594" s="1169"/>
      <c r="CA594" s="1169"/>
      <c r="CB594" s="1169"/>
      <c r="CC594" s="1169"/>
      <c r="CD594" s="1169"/>
      <c r="CE594" s="1169"/>
      <c r="CF594" s="1169"/>
      <c r="CG594" s="1169"/>
      <c r="CH594" s="1169"/>
      <c r="CI594" s="1169"/>
      <c r="CJ594" s="1169"/>
      <c r="CK594" s="1169"/>
      <c r="CL594" s="1169"/>
      <c r="CM594" s="1169"/>
      <c r="CN594" s="1169"/>
      <c r="CO594" s="1169"/>
      <c r="CP594" s="1169"/>
      <c r="CQ594" s="1169"/>
      <c r="CR594" s="1169"/>
      <c r="CS594" s="1169"/>
      <c r="CT594" s="1169"/>
      <c r="CU594" s="1169"/>
      <c r="CV594" s="1169"/>
      <c r="CW594" s="1169"/>
      <c r="CX594" s="1169"/>
      <c r="CY594" s="1169"/>
      <c r="CZ594" s="1169"/>
      <c r="DA594" s="1168"/>
      <c r="DB594" s="1168"/>
      <c r="DC594" s="1168"/>
      <c r="DD594" s="1168"/>
      <c r="DE594" s="1168"/>
      <c r="DF594" s="1168"/>
      <c r="DG594" s="1168"/>
      <c r="DH594" s="1168"/>
      <c r="DI594" s="1168"/>
      <c r="DJ594" s="1168"/>
      <c r="DK594" s="1168"/>
      <c r="DL594" s="1168"/>
      <c r="DM594" s="1168"/>
      <c r="DN594" s="1168"/>
      <c r="DO594" s="1168"/>
      <c r="DP594" s="1168"/>
      <c r="DQ594" s="1168"/>
      <c r="DR594" s="1168"/>
      <c r="DS594" s="1168"/>
      <c r="DT594" s="1168"/>
      <c r="DU594" s="1168"/>
      <c r="DV594" s="1168"/>
      <c r="DW594" s="1168"/>
      <c r="DX594" s="1168"/>
      <c r="DY594" s="1168"/>
      <c r="DZ594" s="1168"/>
      <c r="EA594" s="1168"/>
      <c r="EB594" s="1168"/>
      <c r="EC594" s="1168"/>
      <c r="ED594" s="1168"/>
      <c r="EE594" s="1168"/>
      <c r="EF594" s="1168"/>
      <c r="EG594" s="1168"/>
      <c r="EH594" s="1168"/>
      <c r="EI594" s="1170"/>
      <c r="EJ594" s="1170"/>
      <c r="EK594" s="1170"/>
      <c r="EL594" s="1170"/>
      <c r="EM594" s="1170"/>
      <c r="EN594" s="1170"/>
      <c r="EO594" s="1170"/>
      <c r="EP594" s="1170"/>
      <c r="EQ594" s="1170"/>
      <c r="ER594" s="1170"/>
      <c r="ES594" s="1171"/>
      <c r="ET594" s="1171"/>
      <c r="EU594" s="1171"/>
      <c r="EV594" s="1171"/>
      <c r="EW594" s="1171"/>
      <c r="EX594" s="1171"/>
      <c r="EY594" s="1171"/>
      <c r="EZ594" s="1171"/>
      <c r="FA594" s="1171"/>
      <c r="FB594" s="1171"/>
      <c r="FC594" s="1171"/>
      <c r="FD594" s="1171"/>
      <c r="FE594" s="1171"/>
      <c r="FF594" s="1171"/>
      <c r="FG594" s="1171"/>
      <c r="FH594" s="1171"/>
      <c r="FI594" s="1171"/>
      <c r="FJ594" s="1171"/>
      <c r="FK594" s="1171"/>
      <c r="FL594" s="1171"/>
      <c r="FM594" s="1171"/>
      <c r="FN594" s="1171"/>
      <c r="FO594" s="1171"/>
      <c r="FP594" s="1171"/>
    </row>
    <row r="595" spans="1:172" s="607" customFormat="1">
      <c r="A595" s="607">
        <f t="shared" si="19"/>
        <v>2019</v>
      </c>
      <c r="B595" s="607">
        <f t="shared" si="20"/>
        <v>4</v>
      </c>
      <c r="C595" s="666">
        <v>43770</v>
      </c>
      <c r="D595" s="1709">
        <v>0.68292857142857144</v>
      </c>
      <c r="E595" s="1117">
        <v>279.30357928435978</v>
      </c>
      <c r="F595" s="1117">
        <v>408.97919778067535</v>
      </c>
      <c r="G595" s="1117">
        <v>24.624482061933893</v>
      </c>
      <c r="H595" s="1117">
        <v>36.057185322359011</v>
      </c>
      <c r="I595" s="959">
        <v>1470.0170000000001</v>
      </c>
      <c r="J595" s="959">
        <v>2160.4899999999998</v>
      </c>
      <c r="K595" s="960">
        <v>84.25</v>
      </c>
      <c r="L595" s="960">
        <v>123.36575672000836</v>
      </c>
      <c r="M595" s="916">
        <v>15199.52</v>
      </c>
      <c r="N595" s="916">
        <v>22256.383223512184</v>
      </c>
      <c r="O595" s="1174">
        <v>5859.69</v>
      </c>
      <c r="P595" s="1174">
        <v>8580.2384687794165</v>
      </c>
      <c r="Q595" s="1174">
        <v>2031.9</v>
      </c>
      <c r="R595" s="1174">
        <v>2975.2745528710388</v>
      </c>
      <c r="S595" s="1174">
        <v>2432.9499999999998</v>
      </c>
      <c r="T595" s="1174">
        <v>3562.5248404978556</v>
      </c>
      <c r="U595" s="1120">
        <v>1310.1780427549108</v>
      </c>
      <c r="V595" s="1120">
        <v>1918.4700971204634</v>
      </c>
      <c r="W595" s="1120">
        <v>2724.847759352288</v>
      </c>
      <c r="X595" s="1120">
        <v>3989.9454691906735</v>
      </c>
      <c r="Y595" s="1119">
        <v>8559.7618405174871</v>
      </c>
      <c r="Z595" s="1119">
        <v>12533.905006510282</v>
      </c>
      <c r="AA595" s="1119">
        <v>527.86</v>
      </c>
      <c r="AB595" s="1119">
        <v>772.93588536763934</v>
      </c>
      <c r="AC595" s="1178">
        <v>17.18</v>
      </c>
      <c r="AD595" s="1178">
        <v>25.38</v>
      </c>
      <c r="AE595" s="1178">
        <v>35500</v>
      </c>
      <c r="AF595" s="1178">
        <v>51982.01024997385</v>
      </c>
      <c r="AG595" s="1178">
        <v>901.23800000000006</v>
      </c>
      <c r="AH595" s="1178">
        <v>1319.6665620750969</v>
      </c>
      <c r="AI595" s="1178">
        <v>1767.7619999999999</v>
      </c>
      <c r="AJ595" s="1178">
        <v>2588.5020395356132</v>
      </c>
      <c r="AK595" s="919">
        <v>62.74</v>
      </c>
      <c r="AL595" s="919">
        <v>91.869051354460836</v>
      </c>
      <c r="AM595" s="919">
        <v>64.239999999999995</v>
      </c>
      <c r="AN595" s="919">
        <v>94.065474322769575</v>
      </c>
      <c r="AO595" s="919">
        <v>8.1448768656888149</v>
      </c>
      <c r="AP595" s="919">
        <v>11.926396414563687</v>
      </c>
      <c r="AS595" s="1167"/>
      <c r="AT595" s="1167"/>
      <c r="AU595" s="1168"/>
      <c r="AV595" s="1168"/>
      <c r="AW595" s="1169"/>
      <c r="AX595" s="1169"/>
      <c r="AY595" s="1169"/>
      <c r="AZ595" s="1169"/>
      <c r="BA595" s="1803" t="s">
        <v>4</v>
      </c>
      <c r="BB595" s="1802">
        <v>2010</v>
      </c>
      <c r="BC595" s="1799" t="s">
        <v>28</v>
      </c>
      <c r="BD595" s="1799">
        <v>4</v>
      </c>
      <c r="BE595" s="1800">
        <v>1768941227.9600003</v>
      </c>
      <c r="BF595" s="1801">
        <v>0.10089837632642813</v>
      </c>
      <c r="BG595" s="1799"/>
      <c r="BH595" s="1815" t="s">
        <v>1</v>
      </c>
      <c r="BI595" s="1815" t="s">
        <v>320</v>
      </c>
      <c r="BJ595" s="1815" t="s">
        <v>15</v>
      </c>
      <c r="BK595" s="1815">
        <v>2</v>
      </c>
      <c r="BL595" s="1816">
        <v>4242710000</v>
      </c>
      <c r="BM595" s="1801">
        <v>0.25912497719599303</v>
      </c>
      <c r="BN595" s="1799">
        <v>2015</v>
      </c>
      <c r="BO595" s="1684"/>
      <c r="BP595" s="1696"/>
      <c r="BQ595" s="1169"/>
      <c r="BR595" s="1169"/>
      <c r="BS595" s="1169"/>
      <c r="BT595" s="1169"/>
      <c r="BU595" s="1169"/>
      <c r="BV595" s="1169"/>
      <c r="BW595" s="1169"/>
      <c r="BX595" s="1169"/>
      <c r="BY595" s="1169"/>
      <c r="BZ595" s="1169"/>
      <c r="CA595" s="1169"/>
      <c r="CB595" s="1169"/>
      <c r="CC595" s="1169"/>
      <c r="CD595" s="1169"/>
      <c r="CE595" s="1169"/>
      <c r="CF595" s="1169"/>
      <c r="CG595" s="1169"/>
      <c r="CH595" s="1169"/>
      <c r="CI595" s="1169"/>
      <c r="CJ595" s="1169"/>
      <c r="CK595" s="1169"/>
      <c r="CL595" s="1169"/>
      <c r="CM595" s="1169"/>
      <c r="CN595" s="1169"/>
      <c r="CO595" s="1169"/>
      <c r="CP595" s="1169"/>
      <c r="CQ595" s="1169"/>
      <c r="CR595" s="1169"/>
      <c r="CS595" s="1169"/>
      <c r="CT595" s="1169"/>
      <c r="CU595" s="1169"/>
      <c r="CV595" s="1169"/>
      <c r="CW595" s="1169"/>
      <c r="CX595" s="1169"/>
      <c r="CY595" s="1169"/>
      <c r="CZ595" s="1169"/>
      <c r="DA595" s="1168"/>
      <c r="DB595" s="1168"/>
      <c r="DC595" s="1168"/>
      <c r="DD595" s="1168"/>
      <c r="DE595" s="1168"/>
      <c r="DF595" s="1168"/>
      <c r="DG595" s="1168"/>
      <c r="DH595" s="1168"/>
      <c r="DI595" s="1168"/>
      <c r="DJ595" s="1168"/>
      <c r="DK595" s="1168"/>
      <c r="DL595" s="1168"/>
      <c r="DM595" s="1168"/>
      <c r="DN595" s="1168"/>
      <c r="DO595" s="1168"/>
      <c r="DP595" s="1168"/>
      <c r="DQ595" s="1168"/>
      <c r="DR595" s="1168"/>
      <c r="DS595" s="1168"/>
      <c r="DT595" s="1168"/>
      <c r="DU595" s="1168"/>
      <c r="DV595" s="1168"/>
      <c r="DW595" s="1168"/>
      <c r="DX595" s="1168"/>
      <c r="DY595" s="1168"/>
      <c r="DZ595" s="1168"/>
      <c r="EA595" s="1168"/>
      <c r="EB595" s="1168"/>
      <c r="EC595" s="1168"/>
      <c r="ED595" s="1168"/>
      <c r="EE595" s="1168"/>
      <c r="EF595" s="1168"/>
      <c r="EG595" s="1168"/>
      <c r="EH595" s="1168"/>
      <c r="EI595" s="1170"/>
      <c r="EJ595" s="1170"/>
      <c r="EK595" s="1170"/>
      <c r="EL595" s="1170"/>
      <c r="EM595" s="1170"/>
      <c r="EN595" s="1170"/>
      <c r="EO595" s="1170"/>
      <c r="EP595" s="1170"/>
      <c r="EQ595" s="1170"/>
      <c r="ER595" s="1170"/>
      <c r="ES595" s="1171"/>
      <c r="ET595" s="1171"/>
      <c r="EU595" s="1171"/>
      <c r="EV595" s="1171"/>
      <c r="EW595" s="1171"/>
      <c r="EX595" s="1171"/>
      <c r="EY595" s="1171"/>
      <c r="EZ595" s="1171"/>
      <c r="FA595" s="1171"/>
      <c r="FB595" s="1171"/>
      <c r="FC595" s="1171"/>
      <c r="FD595" s="1171"/>
      <c r="FE595" s="1171"/>
      <c r="FF595" s="1171"/>
      <c r="FG595" s="1171"/>
      <c r="FH595" s="1171"/>
      <c r="FI595" s="1171"/>
      <c r="FJ595" s="1171"/>
      <c r="FK595" s="1171"/>
      <c r="FL595" s="1171"/>
      <c r="FM595" s="1171"/>
      <c r="FN595" s="1171"/>
      <c r="FO595" s="1171"/>
      <c r="FP595" s="1171"/>
    </row>
    <row r="596" spans="1:172" s="607" customFormat="1">
      <c r="A596" s="607">
        <f t="shared" si="19"/>
        <v>2019</v>
      </c>
      <c r="B596" s="607">
        <f t="shared" si="20"/>
        <v>4</v>
      </c>
      <c r="C596" s="666">
        <v>43800</v>
      </c>
      <c r="D596" s="918">
        <v>0.68768999999999991</v>
      </c>
      <c r="E596" s="920">
        <v>278.12055171252416</v>
      </c>
      <c r="F596" s="917">
        <v>404.42721533325215</v>
      </c>
      <c r="G596" s="920">
        <v>23.580403154510584</v>
      </c>
      <c r="H596" s="917">
        <v>34.289291911341721</v>
      </c>
      <c r="I596" s="918">
        <v>1476.0440000000001</v>
      </c>
      <c r="J596" s="918">
        <v>2156.37</v>
      </c>
      <c r="K596" s="1340">
        <v>91.4</v>
      </c>
      <c r="L596" s="918">
        <v>132.90872340734927</v>
      </c>
      <c r="M596" s="917">
        <v>13800.5</v>
      </c>
      <c r="N596" s="917">
        <v>20067.908505285814</v>
      </c>
      <c r="O596" s="1166">
        <v>6062.43</v>
      </c>
      <c r="P596" s="1166">
        <v>8815.6436766566349</v>
      </c>
      <c r="Q596" s="1166">
        <v>1899.25</v>
      </c>
      <c r="R596" s="1166">
        <v>2761.7821983742679</v>
      </c>
      <c r="S596" s="1166">
        <v>2274.0300000000002</v>
      </c>
      <c r="T596" s="1166">
        <v>3306.7661300876857</v>
      </c>
      <c r="U596" s="1166">
        <v>1461.4125464255819</v>
      </c>
      <c r="V596" s="1166">
        <v>2125.1036752396894</v>
      </c>
      <c r="W596" s="1166">
        <v>2773.5197672094182</v>
      </c>
      <c r="X596" s="1166">
        <v>4033.0959694185149</v>
      </c>
      <c r="Y596" s="1166">
        <v>7802.2545102638787</v>
      </c>
      <c r="Z596" s="918">
        <v>11345.598322302025</v>
      </c>
      <c r="AA596" s="1166">
        <v>504.09000000000003</v>
      </c>
      <c r="AB596" s="1166">
        <v>733.01923831959186</v>
      </c>
      <c r="AC596" s="920">
        <v>17.114000000000001</v>
      </c>
      <c r="AD596" s="920">
        <v>25.12</v>
      </c>
      <c r="AE596" s="920">
        <v>33800</v>
      </c>
      <c r="AF596" s="920">
        <v>49150.053076240751</v>
      </c>
      <c r="AG596" s="920">
        <v>921.05600000000004</v>
      </c>
      <c r="AH596" s="920">
        <v>1339.3476711890535</v>
      </c>
      <c r="AI596" s="920">
        <v>1903.6110000000001</v>
      </c>
      <c r="AJ596" s="920">
        <v>2768.1237185359687</v>
      </c>
      <c r="AK596" s="920">
        <v>65.849999999999994</v>
      </c>
      <c r="AL596" s="920">
        <v>95.755354883741219</v>
      </c>
      <c r="AM596" s="920">
        <v>75.52</v>
      </c>
      <c r="AN596" s="920">
        <v>109.81692332300892</v>
      </c>
      <c r="AO596" s="920">
        <v>7.7808546462508454</v>
      </c>
      <c r="AP596" s="920">
        <v>11.314479847388862</v>
      </c>
      <c r="AS596" s="1167"/>
      <c r="AT596" s="1167"/>
      <c r="AU596" s="1168"/>
      <c r="AV596" s="1168"/>
      <c r="AW596" s="1169"/>
      <c r="AX596" s="1169"/>
      <c r="AY596" s="1169"/>
      <c r="AZ596" s="1169"/>
      <c r="BA596" s="1803" t="s">
        <v>4</v>
      </c>
      <c r="BB596" s="1802">
        <v>2010</v>
      </c>
      <c r="BC596" s="1799" t="s">
        <v>49</v>
      </c>
      <c r="BD596" s="1799">
        <v>5</v>
      </c>
      <c r="BE596" s="1800">
        <v>1203362281.3599999</v>
      </c>
      <c r="BF596" s="1801">
        <v>6.8638402679840685E-2</v>
      </c>
      <c r="BG596" s="1799"/>
      <c r="BH596" s="1815" t="s">
        <v>1</v>
      </c>
      <c r="BI596" s="1815" t="s">
        <v>320</v>
      </c>
      <c r="BJ596" s="1815" t="s">
        <v>51</v>
      </c>
      <c r="BK596" s="1815">
        <v>3</v>
      </c>
      <c r="BL596" s="1816">
        <v>3924493000</v>
      </c>
      <c r="BM596" s="1801">
        <v>0.23968976412029913</v>
      </c>
      <c r="BN596" s="1799">
        <v>2015</v>
      </c>
      <c r="BO596" s="1684"/>
      <c r="BP596" s="1696"/>
      <c r="BQ596" s="1169"/>
      <c r="BR596" s="1169"/>
      <c r="BS596" s="1169"/>
      <c r="BT596" s="1169"/>
      <c r="BU596" s="1169"/>
      <c r="BV596" s="1169"/>
      <c r="BW596" s="1169"/>
      <c r="BX596" s="1169"/>
      <c r="BY596" s="1169"/>
      <c r="BZ596" s="1169"/>
      <c r="CA596" s="1169"/>
      <c r="CB596" s="1169"/>
      <c r="CC596" s="1169"/>
      <c r="CD596" s="1169"/>
      <c r="CE596" s="1169"/>
      <c r="CF596" s="1169"/>
      <c r="CG596" s="1169"/>
      <c r="CH596" s="1169"/>
      <c r="CI596" s="1169"/>
      <c r="CJ596" s="1169"/>
      <c r="CK596" s="1169"/>
      <c r="CL596" s="1169"/>
      <c r="CM596" s="1169"/>
      <c r="CN596" s="1169"/>
      <c r="CO596" s="1169"/>
      <c r="CP596" s="1169"/>
      <c r="CQ596" s="1169"/>
      <c r="CR596" s="1169"/>
      <c r="CS596" s="1169"/>
      <c r="CT596" s="1169"/>
      <c r="CU596" s="1169"/>
      <c r="CV596" s="1169"/>
      <c r="CW596" s="1169"/>
      <c r="CX596" s="1169"/>
      <c r="CY596" s="1169"/>
      <c r="CZ596" s="1169"/>
      <c r="DA596" s="1168"/>
      <c r="DB596" s="1168"/>
      <c r="DC596" s="1168"/>
      <c r="DD596" s="1168"/>
      <c r="DE596" s="1168"/>
      <c r="DF596" s="1168"/>
      <c r="DG596" s="1168"/>
      <c r="DH596" s="1168"/>
      <c r="DI596" s="1168"/>
      <c r="DJ596" s="1168"/>
      <c r="DK596" s="1168"/>
      <c r="DL596" s="1168"/>
      <c r="DM596" s="1168"/>
      <c r="DN596" s="1168"/>
      <c r="DO596" s="1168"/>
      <c r="DP596" s="1168"/>
      <c r="DQ596" s="1168"/>
      <c r="DR596" s="1168"/>
      <c r="DS596" s="1168"/>
      <c r="DT596" s="1168"/>
      <c r="DU596" s="1168"/>
      <c r="DV596" s="1168"/>
      <c r="DW596" s="1168"/>
      <c r="DX596" s="1168"/>
      <c r="DY596" s="1168"/>
      <c r="DZ596" s="1168"/>
      <c r="EA596" s="1168"/>
      <c r="EB596" s="1168"/>
      <c r="EC596" s="1168"/>
      <c r="ED596" s="1168"/>
      <c r="EE596" s="1168"/>
      <c r="EF596" s="1168"/>
      <c r="EG596" s="1168"/>
      <c r="EH596" s="1168"/>
      <c r="EI596" s="1170"/>
      <c r="EJ596" s="1170"/>
      <c r="EK596" s="1170"/>
      <c r="EL596" s="1170"/>
      <c r="EM596" s="1170"/>
      <c r="EN596" s="1170"/>
      <c r="EO596" s="1170"/>
      <c r="EP596" s="1170"/>
      <c r="EQ596" s="1170"/>
      <c r="ER596" s="1170"/>
      <c r="ES596" s="1171"/>
      <c r="ET596" s="1171"/>
      <c r="EU596" s="1171"/>
      <c r="EV596" s="1171"/>
      <c r="EW596" s="1171"/>
      <c r="EX596" s="1171"/>
      <c r="EY596" s="1171"/>
      <c r="EZ596" s="1171"/>
      <c r="FA596" s="1171"/>
      <c r="FB596" s="1171"/>
      <c r="FC596" s="1171"/>
      <c r="FD596" s="1171"/>
      <c r="FE596" s="1171"/>
      <c r="FF596" s="1171"/>
      <c r="FG596" s="1171"/>
      <c r="FH596" s="1171"/>
      <c r="FI596" s="1171"/>
      <c r="FJ596" s="1171"/>
      <c r="FK596" s="1171"/>
      <c r="FL596" s="1171"/>
      <c r="FM596" s="1171"/>
      <c r="FN596" s="1171"/>
      <c r="FO596" s="1171"/>
      <c r="FP596" s="1171"/>
    </row>
    <row r="597" spans="1:172" s="607" customFormat="1">
      <c r="A597" s="607">
        <f t="shared" si="19"/>
        <v>2020</v>
      </c>
      <c r="B597" s="607">
        <f t="shared" si="20"/>
        <v>1</v>
      </c>
      <c r="C597" s="666">
        <v>43831</v>
      </c>
      <c r="D597" s="1709">
        <v>0.68703333333333327</v>
      </c>
      <c r="E597" s="1117">
        <v>272.7009265576977</v>
      </c>
      <c r="F597" s="1117">
        <v>396.92532127169625</v>
      </c>
      <c r="G597" s="1117">
        <v>23.348782500324798</v>
      </c>
      <c r="H597" s="1117">
        <v>33.984934016289557</v>
      </c>
      <c r="I597" s="959">
        <v>1560.673</v>
      </c>
      <c r="J597" s="959">
        <v>2268.7600000000002</v>
      </c>
      <c r="K597" s="960">
        <v>92.8</v>
      </c>
      <c r="L597" s="960">
        <v>135.07350443937705</v>
      </c>
      <c r="M597" s="916">
        <v>13552.95</v>
      </c>
      <c r="N597" s="916">
        <v>19726.772111979044</v>
      </c>
      <c r="O597" s="1176">
        <v>6049.2</v>
      </c>
      <c r="P597" s="1176">
        <v>8804.8129639512881</v>
      </c>
      <c r="Q597" s="1176">
        <v>1925.16</v>
      </c>
      <c r="R597" s="1176">
        <v>2802.1347823977489</v>
      </c>
      <c r="S597" s="1176">
        <v>2357.27</v>
      </c>
      <c r="T597" s="1176">
        <v>3431.0853427781285</v>
      </c>
      <c r="U597" s="1120">
        <v>1336.2900291991357</v>
      </c>
      <c r="V597" s="1120">
        <v>1945.014840423758</v>
      </c>
      <c r="W597" s="1120">
        <v>2771.7511704371891</v>
      </c>
      <c r="X597" s="1120">
        <v>4034.3765519924154</v>
      </c>
      <c r="Y597" s="1119">
        <v>7800.5370595090753</v>
      </c>
      <c r="Z597" s="1119">
        <v>11353.942641563839</v>
      </c>
      <c r="AA597" s="1119">
        <v>494</v>
      </c>
      <c r="AB597" s="1119">
        <v>719.03352578720103</v>
      </c>
      <c r="AC597" s="1178">
        <v>17.965</v>
      </c>
      <c r="AD597" s="1178">
        <v>26.34</v>
      </c>
      <c r="AE597" s="1178">
        <v>32397.73</v>
      </c>
      <c r="AF597" s="1178">
        <v>47155.97981660279</v>
      </c>
      <c r="AG597" s="1178">
        <v>987.36400000000003</v>
      </c>
      <c r="AH597" s="1178">
        <v>1437.1413322982876</v>
      </c>
      <c r="AI597" s="1178">
        <v>2240.5909999999999</v>
      </c>
      <c r="AJ597" s="1178">
        <v>3261.255155014313</v>
      </c>
      <c r="AK597" s="919">
        <v>63.6</v>
      </c>
      <c r="AL597" s="919">
        <v>92.571927611469619</v>
      </c>
      <c r="AM597" s="919">
        <v>71.59</v>
      </c>
      <c r="AN597" s="919">
        <v>104.20163990102374</v>
      </c>
      <c r="AO597" s="919">
        <v>8.189460592619179</v>
      </c>
      <c r="AP597" s="919">
        <v>11.920033854668644</v>
      </c>
      <c r="AS597" s="1167"/>
      <c r="AT597" s="1167"/>
      <c r="AU597" s="1168"/>
      <c r="AV597" s="1168"/>
      <c r="AW597" s="1169"/>
      <c r="AX597" s="1169"/>
      <c r="AY597" s="1169"/>
      <c r="AZ597" s="1169"/>
      <c r="BA597" s="1803" t="s">
        <v>4</v>
      </c>
      <c r="BB597" s="1802">
        <v>2010</v>
      </c>
      <c r="BC597" s="1799" t="s">
        <v>18</v>
      </c>
      <c r="BD597" s="1799">
        <v>6</v>
      </c>
      <c r="BE597" s="1800">
        <v>781996526.18000007</v>
      </c>
      <c r="BF597" s="1801">
        <v>4.4604183868483679E-2</v>
      </c>
      <c r="BG597" s="1799"/>
      <c r="BH597" s="1815" t="s">
        <v>1</v>
      </c>
      <c r="BI597" s="1815" t="s">
        <v>320</v>
      </c>
      <c r="BJ597" s="1815" t="s">
        <v>49</v>
      </c>
      <c r="BK597" s="1815">
        <v>4</v>
      </c>
      <c r="BL597" s="1816">
        <v>1189444000</v>
      </c>
      <c r="BM597" s="1801">
        <v>7.2645702717345925E-2</v>
      </c>
      <c r="BN597" s="1799">
        <v>2015</v>
      </c>
      <c r="BO597" s="1684"/>
      <c r="BP597" s="1696"/>
      <c r="BQ597" s="1169"/>
      <c r="BR597" s="1169"/>
      <c r="BS597" s="1169"/>
      <c r="BT597" s="1169"/>
      <c r="BU597" s="1169"/>
      <c r="BV597" s="1169"/>
      <c r="BW597" s="1169"/>
      <c r="BX597" s="1169"/>
      <c r="BY597" s="1169"/>
      <c r="BZ597" s="1169"/>
      <c r="CA597" s="1169"/>
      <c r="CB597" s="1169"/>
      <c r="CC597" s="1169"/>
      <c r="CD597" s="1169"/>
      <c r="CE597" s="1169"/>
      <c r="CF597" s="1169"/>
      <c r="CG597" s="1169"/>
      <c r="CH597" s="1169"/>
      <c r="CI597" s="1169"/>
      <c r="CJ597" s="1169"/>
      <c r="CK597" s="1169"/>
      <c r="CL597" s="1169"/>
      <c r="CM597" s="1169"/>
      <c r="CN597" s="1169"/>
      <c r="CO597" s="1169"/>
      <c r="CP597" s="1169"/>
      <c r="CQ597" s="1169"/>
      <c r="CR597" s="1169"/>
      <c r="CS597" s="1169"/>
      <c r="CT597" s="1169"/>
      <c r="CU597" s="1169"/>
      <c r="CV597" s="1169"/>
      <c r="CW597" s="1169"/>
      <c r="CX597" s="1169"/>
      <c r="CY597" s="1169"/>
      <c r="CZ597" s="1169"/>
      <c r="DA597" s="1168"/>
      <c r="DB597" s="1168"/>
      <c r="DC597" s="1168"/>
      <c r="DD597" s="1168"/>
      <c r="DE597" s="1168"/>
      <c r="DF597" s="1168"/>
      <c r="DG597" s="1168"/>
      <c r="DH597" s="1168"/>
      <c r="DI597" s="1168"/>
      <c r="DJ597" s="1168"/>
      <c r="DK597" s="1168"/>
      <c r="DL597" s="1168"/>
      <c r="DM597" s="1168"/>
      <c r="DN597" s="1168"/>
      <c r="DO597" s="1168"/>
      <c r="DP597" s="1168"/>
      <c r="DQ597" s="1168"/>
      <c r="DR597" s="1168"/>
      <c r="DS597" s="1168"/>
      <c r="DT597" s="1168"/>
      <c r="DU597" s="1168"/>
      <c r="DV597" s="1168"/>
      <c r="DW597" s="1168"/>
      <c r="DX597" s="1168"/>
      <c r="DY597" s="1168"/>
      <c r="DZ597" s="1168"/>
      <c r="EA597" s="1168"/>
      <c r="EB597" s="1168"/>
      <c r="EC597" s="1168"/>
      <c r="ED597" s="1168"/>
      <c r="EE597" s="1168"/>
      <c r="EF597" s="1168"/>
      <c r="EG597" s="1168"/>
      <c r="EH597" s="1168"/>
      <c r="EI597" s="1170"/>
      <c r="EJ597" s="1170"/>
      <c r="EK597" s="1170"/>
      <c r="EL597" s="1170"/>
      <c r="EM597" s="1170"/>
      <c r="EN597" s="1170"/>
      <c r="EO597" s="1170"/>
      <c r="EP597" s="1170"/>
      <c r="EQ597" s="1170"/>
      <c r="ER597" s="1170"/>
      <c r="ES597" s="1171"/>
      <c r="ET597" s="1171"/>
      <c r="EU597" s="1171"/>
      <c r="EV597" s="1171"/>
      <c r="EW597" s="1171"/>
      <c r="EX597" s="1171"/>
      <c r="EY597" s="1171"/>
      <c r="EZ597" s="1171"/>
      <c r="FA597" s="1171"/>
      <c r="FB597" s="1171"/>
      <c r="FC597" s="1171"/>
      <c r="FD597" s="1171"/>
      <c r="FE597" s="1171"/>
      <c r="FF597" s="1171"/>
      <c r="FG597" s="1171"/>
      <c r="FH597" s="1171"/>
      <c r="FI597" s="1171"/>
      <c r="FJ597" s="1171"/>
      <c r="FK597" s="1171"/>
      <c r="FL597" s="1171"/>
      <c r="FM597" s="1171"/>
      <c r="FN597" s="1171"/>
      <c r="FO597" s="1171"/>
      <c r="FP597" s="1171"/>
    </row>
    <row r="598" spans="1:172" s="607" customFormat="1">
      <c r="A598" s="607">
        <f t="shared" si="19"/>
        <v>2020</v>
      </c>
      <c r="B598" s="607">
        <f t="shared" si="20"/>
        <v>1</v>
      </c>
      <c r="C598" s="666">
        <v>43862</v>
      </c>
      <c r="D598" s="918">
        <v>0.66735499999999992</v>
      </c>
      <c r="E598" s="920">
        <v>277.74382096501847</v>
      </c>
      <c r="F598" s="1339">
        <v>416.18601938251527</v>
      </c>
      <c r="G598" s="920">
        <v>23.567383493518378</v>
      </c>
      <c r="H598" s="917">
        <v>35.314612902455785</v>
      </c>
      <c r="I598" s="954">
        <v>1597.1030000000001</v>
      </c>
      <c r="J598" s="918">
        <v>2397.5300000000002</v>
      </c>
      <c r="K598" s="1340">
        <v>86.03</v>
      </c>
      <c r="L598" s="918">
        <v>128.91189846483508</v>
      </c>
      <c r="M598" s="917">
        <v>12743.5</v>
      </c>
      <c r="N598" s="917">
        <v>19095.533861288222</v>
      </c>
      <c r="O598" s="1166">
        <v>5686.45</v>
      </c>
      <c r="P598" s="1166">
        <v>8520.8771942968888</v>
      </c>
      <c r="Q598" s="1166">
        <v>1872.3</v>
      </c>
      <c r="R598" s="1166">
        <v>2805.5532662525943</v>
      </c>
      <c r="S598" s="1166">
        <v>2120.48</v>
      </c>
      <c r="T598" s="1166">
        <v>3177.4392939290187</v>
      </c>
      <c r="U598" s="1166">
        <v>1166.7504809828495</v>
      </c>
      <c r="V598" s="1166">
        <v>1748.3205804749341</v>
      </c>
      <c r="W598" s="1166">
        <v>2728.6994698348981</v>
      </c>
      <c r="X598" s="1166">
        <v>4088.8274903685424</v>
      </c>
      <c r="Y598" s="1166">
        <v>7755.0156938647242</v>
      </c>
      <c r="Z598" s="918">
        <v>11620.525348374891</v>
      </c>
      <c r="AA598" s="1166">
        <v>490</v>
      </c>
      <c r="AB598" s="1166">
        <v>734.24189524316148</v>
      </c>
      <c r="AC598" s="1166">
        <v>17.922000000000001</v>
      </c>
      <c r="AD598" s="1166">
        <v>27.13</v>
      </c>
      <c r="AE598" s="1166">
        <v>34212.5</v>
      </c>
      <c r="AF598" s="1166">
        <v>51265.818042870742</v>
      </c>
      <c r="AG598" s="1166">
        <v>961.1</v>
      </c>
      <c r="AH598" s="1166">
        <v>1440.1630316698011</v>
      </c>
      <c r="AI598" s="1166">
        <v>2524.6999999999998</v>
      </c>
      <c r="AJ598" s="1166">
        <v>3783.1439039192037</v>
      </c>
      <c r="AK598" s="920">
        <v>55</v>
      </c>
      <c r="AL598" s="920">
        <v>82.414906608926287</v>
      </c>
      <c r="AM598" s="920">
        <v>62.95</v>
      </c>
      <c r="AN598" s="920">
        <v>94.327606746034732</v>
      </c>
      <c r="AO598" s="920">
        <v>8.1649024816039919</v>
      </c>
      <c r="AP598" s="920">
        <v>12.234721372588792</v>
      </c>
      <c r="AS598" s="1167"/>
      <c r="AT598" s="1167"/>
      <c r="AU598" s="1168"/>
      <c r="AV598" s="1168"/>
      <c r="AW598" s="1169"/>
      <c r="AX598" s="1169"/>
      <c r="AY598" s="1169"/>
      <c r="AZ598" s="1169"/>
      <c r="BA598" s="1803" t="s">
        <v>4</v>
      </c>
      <c r="BB598" s="1802">
        <v>2010</v>
      </c>
      <c r="BC598" s="1799" t="s">
        <v>21</v>
      </c>
      <c r="BD598" s="1799">
        <v>7</v>
      </c>
      <c r="BE598" s="1800">
        <v>434995825.02000004</v>
      </c>
      <c r="BF598" s="1801">
        <v>2.4811662343303984E-2</v>
      </c>
      <c r="BG598" s="1799"/>
      <c r="BH598" s="1815" t="s">
        <v>1</v>
      </c>
      <c r="BI598" s="1815" t="s">
        <v>320</v>
      </c>
      <c r="BJ598" s="1815" t="s">
        <v>18</v>
      </c>
      <c r="BK598" s="1815">
        <v>5</v>
      </c>
      <c r="BL598" s="1816">
        <v>685504000</v>
      </c>
      <c r="BM598" s="1801">
        <v>4.1867393332978689E-2</v>
      </c>
      <c r="BN598" s="1799">
        <v>2015</v>
      </c>
      <c r="BO598" s="1684"/>
      <c r="BP598" s="1696"/>
      <c r="BQ598" s="1169"/>
      <c r="BR598" s="1169"/>
      <c r="BS598" s="1169"/>
      <c r="BT598" s="1169"/>
      <c r="BU598" s="1169"/>
      <c r="BV598" s="1169"/>
      <c r="BW598" s="1169"/>
      <c r="BX598" s="1169"/>
      <c r="BY598" s="1169"/>
      <c r="BZ598" s="1169"/>
      <c r="CA598" s="1169"/>
      <c r="CB598" s="1169"/>
      <c r="CC598" s="1169"/>
      <c r="CD598" s="1169"/>
      <c r="CE598" s="1169"/>
      <c r="CF598" s="1169"/>
      <c r="CG598" s="1169"/>
      <c r="CH598" s="1169"/>
      <c r="CI598" s="1169"/>
      <c r="CJ598" s="1169"/>
      <c r="CK598" s="1169"/>
      <c r="CL598" s="1169"/>
      <c r="CM598" s="1169"/>
      <c r="CN598" s="1169"/>
      <c r="CO598" s="1169"/>
      <c r="CP598" s="1169"/>
      <c r="CQ598" s="1169"/>
      <c r="CR598" s="1169"/>
      <c r="CS598" s="1169"/>
      <c r="CT598" s="1169"/>
      <c r="CU598" s="1169"/>
      <c r="CV598" s="1169"/>
      <c r="CW598" s="1169"/>
      <c r="CX598" s="1169"/>
      <c r="CY598" s="1169"/>
      <c r="CZ598" s="1169"/>
      <c r="DA598" s="1168"/>
      <c r="DB598" s="1168"/>
      <c r="DC598" s="1168"/>
      <c r="DD598" s="1168"/>
      <c r="DE598" s="1168"/>
      <c r="DF598" s="1168"/>
      <c r="DG598" s="1168"/>
      <c r="DH598" s="1168"/>
      <c r="DI598" s="1168"/>
      <c r="DJ598" s="1168"/>
      <c r="DK598" s="1168"/>
      <c r="DL598" s="1168"/>
      <c r="DM598" s="1168"/>
      <c r="DN598" s="1168"/>
      <c r="DO598" s="1168"/>
      <c r="DP598" s="1168"/>
      <c r="DQ598" s="1168"/>
      <c r="DR598" s="1168"/>
      <c r="DS598" s="1168"/>
      <c r="DT598" s="1168"/>
      <c r="DU598" s="1168"/>
      <c r="DV598" s="1168"/>
      <c r="DW598" s="1168"/>
      <c r="DX598" s="1168"/>
      <c r="DY598" s="1168"/>
      <c r="DZ598" s="1168"/>
      <c r="EA598" s="1168"/>
      <c r="EB598" s="1168"/>
      <c r="EC598" s="1168"/>
      <c r="ED598" s="1168"/>
      <c r="EE598" s="1168"/>
      <c r="EF598" s="1168"/>
      <c r="EG598" s="1168"/>
      <c r="EH598" s="1168"/>
      <c r="EI598" s="1170"/>
      <c r="EJ598" s="1170"/>
      <c r="EK598" s="1170"/>
      <c r="EL598" s="1170"/>
      <c r="EM598" s="1170"/>
      <c r="EN598" s="1170"/>
      <c r="EO598" s="1170"/>
      <c r="EP598" s="1170"/>
      <c r="EQ598" s="1170"/>
      <c r="ER598" s="1170"/>
      <c r="ES598" s="1171"/>
      <c r="ET598" s="1171"/>
      <c r="EU598" s="1171"/>
      <c r="EV598" s="1171"/>
      <c r="EW598" s="1171"/>
      <c r="EX598" s="1171"/>
      <c r="EY598" s="1171"/>
      <c r="EZ598" s="1171"/>
      <c r="FA598" s="1171"/>
      <c r="FB598" s="1171"/>
      <c r="FC598" s="1171"/>
      <c r="FD598" s="1171"/>
      <c r="FE598" s="1171"/>
      <c r="FF598" s="1171"/>
      <c r="FG598" s="1171"/>
      <c r="FH598" s="1171"/>
      <c r="FI598" s="1171"/>
      <c r="FJ598" s="1171"/>
      <c r="FK598" s="1171"/>
      <c r="FL598" s="1171"/>
      <c r="FM598" s="1171"/>
      <c r="FN598" s="1171"/>
      <c r="FO598" s="1171"/>
      <c r="FP598" s="1171"/>
    </row>
    <row r="599" spans="1:172" s="607" customFormat="1">
      <c r="A599" s="607">
        <f t="shared" si="19"/>
        <v>2020</v>
      </c>
      <c r="B599" s="607">
        <f t="shared" si="20"/>
        <v>1</v>
      </c>
      <c r="C599" s="666">
        <v>43891</v>
      </c>
      <c r="D599" s="1709">
        <v>0.62292272727272735</v>
      </c>
      <c r="E599" s="1117">
        <v>274.13059637088844</v>
      </c>
      <c r="F599" s="1117">
        <v>440.0715921396602</v>
      </c>
      <c r="G599" s="1117">
        <v>27.890265624328087</v>
      </c>
      <c r="H599" s="1117">
        <v>44.773234950724799</v>
      </c>
      <c r="I599" s="959">
        <v>1591.9269999999999</v>
      </c>
      <c r="J599" s="959">
        <v>2565.17</v>
      </c>
      <c r="K599" s="960">
        <v>87.55</v>
      </c>
      <c r="L599" s="960">
        <v>140.54712754390957</v>
      </c>
      <c r="M599" s="916">
        <v>11873</v>
      </c>
      <c r="N599" s="916">
        <v>19060.149004327108</v>
      </c>
      <c r="O599" s="1176">
        <v>5178.68</v>
      </c>
      <c r="P599" s="1176">
        <v>8313.5191144385335</v>
      </c>
      <c r="Q599" s="1176">
        <v>1744.64</v>
      </c>
      <c r="R599" s="1176">
        <v>2800.7326167699189</v>
      </c>
      <c r="S599" s="1176">
        <v>1905.61</v>
      </c>
      <c r="T599" s="1176">
        <v>3059.1434805134149</v>
      </c>
      <c r="U599" s="1120">
        <v>1338.3012255218057</v>
      </c>
      <c r="V599" s="1120">
        <v>2148.4225361003278</v>
      </c>
      <c r="W599" s="1120">
        <v>2732.9155723699319</v>
      </c>
      <c r="X599" s="1120">
        <v>4387.2465278882173</v>
      </c>
      <c r="Y599" s="1119">
        <v>7823.5945921546363</v>
      </c>
      <c r="Z599" s="1119">
        <v>12559.494540210151</v>
      </c>
      <c r="AA599" s="1119">
        <v>483</v>
      </c>
      <c r="AB599" s="1119">
        <v>775.37707143013495</v>
      </c>
      <c r="AC599" s="1178">
        <v>14.917999999999999</v>
      </c>
      <c r="AD599" s="1178">
        <v>24.53</v>
      </c>
      <c r="AE599" s="1178">
        <v>30613.64</v>
      </c>
      <c r="AF599" s="1178">
        <v>49145.16465634873</v>
      </c>
      <c r="AG599" s="1178">
        <v>759</v>
      </c>
      <c r="AH599" s="1178">
        <v>1218.4496836759263</v>
      </c>
      <c r="AI599" s="1178">
        <v>2108.9090000000001</v>
      </c>
      <c r="AJ599" s="1178">
        <v>3385.5065928212312</v>
      </c>
      <c r="AK599" s="919">
        <v>32.979999999999997</v>
      </c>
      <c r="AL599" s="919">
        <v>52.943966492268835</v>
      </c>
      <c r="AM599" s="919">
        <v>41.32</v>
      </c>
      <c r="AN599" s="919">
        <v>66.332464992739503</v>
      </c>
      <c r="AO599" s="919">
        <v>7.8028112451555369</v>
      </c>
      <c r="AP599" s="919">
        <v>12.526130294390942</v>
      </c>
      <c r="AS599" s="1167"/>
      <c r="AT599" s="1167"/>
      <c r="AU599" s="1168"/>
      <c r="AV599" s="1168"/>
      <c r="AW599" s="1169"/>
      <c r="AX599" s="1169"/>
      <c r="AY599" s="1169"/>
      <c r="AZ599" s="1169"/>
      <c r="BA599" s="1803" t="s">
        <v>4</v>
      </c>
      <c r="BB599" s="1802">
        <v>2010</v>
      </c>
      <c r="BC599" s="1799" t="s">
        <v>583</v>
      </c>
      <c r="BD599" s="1799">
        <v>8</v>
      </c>
      <c r="BE599" s="1800">
        <v>408377948.99000001</v>
      </c>
      <c r="BF599" s="1801">
        <v>2.329340926047975E-2</v>
      </c>
      <c r="BG599" s="1799"/>
      <c r="BH599" s="1815" t="s">
        <v>1</v>
      </c>
      <c r="BI599" s="1815" t="s">
        <v>320</v>
      </c>
      <c r="BJ599" s="1815" t="s">
        <v>581</v>
      </c>
      <c r="BK599" s="1815">
        <v>6</v>
      </c>
      <c r="BL599" s="1816">
        <v>282003000</v>
      </c>
      <c r="BM599" s="1801">
        <v>1.7223430530062537E-2</v>
      </c>
      <c r="BN599" s="1799">
        <v>2015</v>
      </c>
      <c r="BO599" s="1684"/>
      <c r="BP599" s="1696"/>
      <c r="BQ599" s="1169"/>
      <c r="BR599" s="1169"/>
      <c r="BS599" s="1169"/>
      <c r="BT599" s="1169"/>
      <c r="BU599" s="1169"/>
      <c r="BV599" s="1169"/>
      <c r="BW599" s="1169"/>
      <c r="BX599" s="1169"/>
      <c r="BY599" s="1169"/>
      <c r="BZ599" s="1169"/>
      <c r="CA599" s="1169"/>
      <c r="CB599" s="1169"/>
      <c r="CC599" s="1169"/>
      <c r="CD599" s="1169"/>
      <c r="CE599" s="1169"/>
      <c r="CF599" s="1169"/>
      <c r="CG599" s="1169"/>
      <c r="CH599" s="1169"/>
      <c r="CI599" s="1169"/>
      <c r="CJ599" s="1169"/>
      <c r="CK599" s="1169"/>
      <c r="CL599" s="1169"/>
      <c r="CM599" s="1169"/>
      <c r="CN599" s="1169"/>
      <c r="CO599" s="1169"/>
      <c r="CP599" s="1169"/>
      <c r="CQ599" s="1169"/>
      <c r="CR599" s="1169"/>
      <c r="CS599" s="1169"/>
      <c r="CT599" s="1169"/>
      <c r="CU599" s="1169"/>
      <c r="CV599" s="1169"/>
      <c r="CW599" s="1169"/>
      <c r="CX599" s="1169"/>
      <c r="CY599" s="1169"/>
      <c r="CZ599" s="1169"/>
      <c r="DA599" s="1168"/>
      <c r="DB599" s="1168"/>
      <c r="DC599" s="1168"/>
      <c r="DD599" s="1168"/>
      <c r="DE599" s="1168"/>
      <c r="DF599" s="1168"/>
      <c r="DG599" s="1168"/>
      <c r="DH599" s="1168"/>
      <c r="DI599" s="1168"/>
      <c r="DJ599" s="1168"/>
      <c r="DK599" s="1168"/>
      <c r="DL599" s="1168"/>
      <c r="DM599" s="1168"/>
      <c r="DN599" s="1168"/>
      <c r="DO599" s="1168"/>
      <c r="DP599" s="1168"/>
      <c r="DQ599" s="1168"/>
      <c r="DR599" s="1168"/>
      <c r="DS599" s="1168"/>
      <c r="DT599" s="1168"/>
      <c r="DU599" s="1168"/>
      <c r="DV599" s="1168"/>
      <c r="DW599" s="1168"/>
      <c r="DX599" s="1168"/>
      <c r="DY599" s="1168"/>
      <c r="DZ599" s="1168"/>
      <c r="EA599" s="1168"/>
      <c r="EB599" s="1168"/>
      <c r="EC599" s="1168"/>
      <c r="ED599" s="1168"/>
      <c r="EE599" s="1168"/>
      <c r="EF599" s="1168"/>
      <c r="EG599" s="1168"/>
      <c r="EH599" s="1168"/>
      <c r="EI599" s="1170"/>
      <c r="EJ599" s="1170"/>
      <c r="EK599" s="1170"/>
      <c r="EL599" s="1170"/>
      <c r="EM599" s="1170"/>
      <c r="EN599" s="1170"/>
      <c r="EO599" s="1170"/>
      <c r="EP599" s="1170"/>
      <c r="EQ599" s="1170"/>
      <c r="ER599" s="1170"/>
      <c r="ES599" s="1171"/>
      <c r="ET599" s="1171"/>
      <c r="EU599" s="1171"/>
      <c r="EV599" s="1171"/>
      <c r="EW599" s="1171"/>
      <c r="EX599" s="1171"/>
      <c r="EY599" s="1171"/>
      <c r="EZ599" s="1171"/>
      <c r="FA599" s="1171"/>
      <c r="FB599" s="1171"/>
      <c r="FC599" s="1171"/>
      <c r="FD599" s="1171"/>
      <c r="FE599" s="1171"/>
      <c r="FF599" s="1171"/>
      <c r="FG599" s="1171"/>
      <c r="FH599" s="1171"/>
      <c r="FI599" s="1171"/>
      <c r="FJ599" s="1171"/>
      <c r="FK599" s="1171"/>
      <c r="FL599" s="1171"/>
      <c r="FM599" s="1171"/>
      <c r="FN599" s="1171"/>
      <c r="FO599" s="1171"/>
      <c r="FP599" s="1171"/>
    </row>
    <row r="600" spans="1:172" s="607" customFormat="1">
      <c r="A600" s="607">
        <f t="shared" si="19"/>
        <v>2020</v>
      </c>
      <c r="B600" s="607">
        <f t="shared" si="20"/>
        <v>2</v>
      </c>
      <c r="C600" s="666">
        <v>43922</v>
      </c>
      <c r="D600" s="918">
        <v>0.62978499999999993</v>
      </c>
      <c r="E600" s="920">
        <v>282.46049021627204</v>
      </c>
      <c r="F600" s="1339">
        <v>448.50304503326066</v>
      </c>
      <c r="G600" s="920">
        <v>28.414939733858233</v>
      </c>
      <c r="H600" s="917">
        <v>45.118476517951741</v>
      </c>
      <c r="I600" s="918">
        <v>1682.93</v>
      </c>
      <c r="J600" s="918">
        <v>2679.81</v>
      </c>
      <c r="K600" s="1340">
        <v>83.51</v>
      </c>
      <c r="L600" s="1340">
        <v>132.60080821232646</v>
      </c>
      <c r="M600" s="918">
        <v>11753.2</v>
      </c>
      <c r="N600" s="918">
        <v>18662.241876195847</v>
      </c>
      <c r="O600" s="1166">
        <v>5048.25</v>
      </c>
      <c r="P600" s="1166">
        <v>8015.830799399796</v>
      </c>
      <c r="Q600" s="1166">
        <v>1651.53</v>
      </c>
      <c r="R600" s="1166">
        <v>2622.3711266543346</v>
      </c>
      <c r="S600" s="1166">
        <v>1894.08</v>
      </c>
      <c r="T600" s="1166">
        <v>3007.5025603975964</v>
      </c>
      <c r="U600" s="1166">
        <v>1403.5477381329779</v>
      </c>
      <c r="V600" s="1166">
        <v>2228.6141113760696</v>
      </c>
      <c r="W600" s="1166">
        <v>2592.2771305098645</v>
      </c>
      <c r="X600" s="1166">
        <v>4116.1303151232005</v>
      </c>
      <c r="Y600" s="1166">
        <v>7550.3348251335565</v>
      </c>
      <c r="Z600" s="918">
        <v>11988.749851351742</v>
      </c>
      <c r="AA600" s="1166">
        <v>461</v>
      </c>
      <c r="AB600" s="1166">
        <v>731.9958398501077</v>
      </c>
      <c r="AC600" s="1166">
        <v>15.035</v>
      </c>
      <c r="AD600" s="1166">
        <v>24.26</v>
      </c>
      <c r="AE600" s="1166">
        <v>29500</v>
      </c>
      <c r="AF600" s="1166">
        <v>46841.382376525326</v>
      </c>
      <c r="AG600" s="1166">
        <v>754.3</v>
      </c>
      <c r="AH600" s="1166">
        <v>1197.7103297156966</v>
      </c>
      <c r="AI600" s="1166">
        <v>2073.15</v>
      </c>
      <c r="AJ600" s="1166">
        <v>3291.8376906404574</v>
      </c>
      <c r="AK600" s="1166">
        <v>23.34</v>
      </c>
      <c r="AL600" s="1166">
        <v>37.06026659891868</v>
      </c>
      <c r="AM600" s="1166">
        <v>27.08</v>
      </c>
      <c r="AN600" s="1166">
        <v>42.99880117817986</v>
      </c>
      <c r="AO600" s="1166">
        <v>7.3015255510840031</v>
      </c>
      <c r="AP600" s="1166">
        <v>11.593679670179512</v>
      </c>
      <c r="AS600" s="1167"/>
      <c r="AT600" s="1167"/>
      <c r="AU600" s="1168"/>
      <c r="AV600" s="1168"/>
      <c r="AW600" s="1169"/>
      <c r="AX600" s="1169"/>
      <c r="AY600" s="1169"/>
      <c r="AZ600" s="1169"/>
      <c r="BA600" s="1803" t="s">
        <v>4</v>
      </c>
      <c r="BB600" s="1802">
        <v>2010</v>
      </c>
      <c r="BC600" s="1799" t="s">
        <v>73</v>
      </c>
      <c r="BD600" s="1799">
        <v>9</v>
      </c>
      <c r="BE600" s="1800">
        <v>360717255.75</v>
      </c>
      <c r="BF600" s="1801">
        <v>2.0574898047954204E-2</v>
      </c>
      <c r="BG600" s="1799"/>
      <c r="BH600" s="1815" t="s">
        <v>1</v>
      </c>
      <c r="BI600" s="1815" t="s">
        <v>320</v>
      </c>
      <c r="BJ600" s="1815" t="s">
        <v>28</v>
      </c>
      <c r="BK600" s="1815">
        <v>7</v>
      </c>
      <c r="BL600" s="1816">
        <v>246629000</v>
      </c>
      <c r="BM600" s="1801">
        <v>1.5062951274272946E-2</v>
      </c>
      <c r="BN600" s="1799">
        <v>2015</v>
      </c>
      <c r="BO600" s="1684"/>
      <c r="BP600" s="1696"/>
      <c r="BQ600" s="1169"/>
      <c r="BR600" s="1169"/>
      <c r="BS600" s="1169"/>
      <c r="BT600" s="1169"/>
      <c r="BU600" s="1169"/>
      <c r="BV600" s="1169"/>
      <c r="BW600" s="1169"/>
      <c r="BX600" s="1169"/>
      <c r="BY600" s="1169"/>
      <c r="BZ600" s="1169"/>
      <c r="CA600" s="1169"/>
      <c r="CB600" s="1169"/>
      <c r="CC600" s="1169"/>
      <c r="CD600" s="1169"/>
      <c r="CE600" s="1169"/>
      <c r="CF600" s="1169"/>
      <c r="CG600" s="1169"/>
      <c r="CH600" s="1169"/>
      <c r="CI600" s="1169"/>
      <c r="CJ600" s="1169"/>
      <c r="CK600" s="1169"/>
      <c r="CL600" s="1169"/>
      <c r="CM600" s="1169"/>
      <c r="CN600" s="1169"/>
      <c r="CO600" s="1169"/>
      <c r="CP600" s="1169"/>
      <c r="CQ600" s="1169"/>
      <c r="CR600" s="1169"/>
      <c r="CS600" s="1169"/>
      <c r="CT600" s="1169"/>
      <c r="CU600" s="1169"/>
      <c r="CV600" s="1169"/>
      <c r="CW600" s="1169"/>
      <c r="CX600" s="1169"/>
      <c r="CY600" s="1169"/>
      <c r="CZ600" s="1169"/>
      <c r="DA600" s="1168"/>
      <c r="DB600" s="1168"/>
      <c r="DC600" s="1168"/>
      <c r="DD600" s="1168"/>
      <c r="DE600" s="1168"/>
      <c r="DF600" s="1168"/>
      <c r="DG600" s="1168"/>
      <c r="DH600" s="1168"/>
      <c r="DI600" s="1168"/>
      <c r="DJ600" s="1168"/>
      <c r="DK600" s="1168"/>
      <c r="DL600" s="1168"/>
      <c r="DM600" s="1168"/>
      <c r="DN600" s="1168"/>
      <c r="DO600" s="1168"/>
      <c r="DP600" s="1168"/>
      <c r="DQ600" s="1168"/>
      <c r="DR600" s="1168"/>
      <c r="DS600" s="1168"/>
      <c r="DT600" s="1168"/>
      <c r="DU600" s="1168"/>
      <c r="DV600" s="1168"/>
      <c r="DW600" s="1168"/>
      <c r="DX600" s="1168"/>
      <c r="DY600" s="1168"/>
      <c r="DZ600" s="1168"/>
      <c r="EA600" s="1168"/>
      <c r="EB600" s="1168"/>
      <c r="EC600" s="1168"/>
      <c r="ED600" s="1168"/>
      <c r="EE600" s="1168"/>
      <c r="EF600" s="1168"/>
      <c r="EG600" s="1168"/>
      <c r="EH600" s="1168"/>
      <c r="EI600" s="1170"/>
      <c r="EJ600" s="1170"/>
      <c r="EK600" s="1170"/>
      <c r="EL600" s="1170"/>
      <c r="EM600" s="1170"/>
      <c r="EN600" s="1170"/>
      <c r="EO600" s="1170"/>
      <c r="EP600" s="1170"/>
      <c r="EQ600" s="1170"/>
      <c r="ER600" s="1170"/>
      <c r="ES600" s="1171"/>
      <c r="ET600" s="1171"/>
      <c r="EU600" s="1171"/>
      <c r="EV600" s="1171"/>
      <c r="EW600" s="1171"/>
      <c r="EX600" s="1171"/>
      <c r="EY600" s="1171"/>
      <c r="EZ600" s="1171"/>
      <c r="FA600" s="1171"/>
      <c r="FB600" s="1171"/>
      <c r="FC600" s="1171"/>
      <c r="FD600" s="1171"/>
      <c r="FE600" s="1171"/>
      <c r="FF600" s="1171"/>
      <c r="FG600" s="1171"/>
      <c r="FH600" s="1171"/>
      <c r="FI600" s="1171"/>
      <c r="FJ600" s="1171"/>
      <c r="FK600" s="1171"/>
      <c r="FL600" s="1171"/>
      <c r="FM600" s="1171"/>
      <c r="FN600" s="1171"/>
      <c r="FO600" s="1171"/>
      <c r="FP600" s="1171"/>
    </row>
    <row r="601" spans="1:172" s="607" customFormat="1">
      <c r="A601" s="607">
        <f t="shared" si="19"/>
        <v>2020</v>
      </c>
      <c r="B601" s="607">
        <f t="shared" si="20"/>
        <v>2</v>
      </c>
      <c r="C601" s="666">
        <v>43952</v>
      </c>
      <c r="D601" s="1709">
        <v>0.6509571428571429</v>
      </c>
      <c r="E601" s="1117">
        <v>229.45273550141189</v>
      </c>
      <c r="F601" s="1117">
        <v>352.48516437550927</v>
      </c>
      <c r="G601" s="1117">
        <v>28.920947669758149</v>
      </c>
      <c r="H601" s="1117">
        <v>44.428343689140611</v>
      </c>
      <c r="I601" s="959">
        <v>1716.3820000000001</v>
      </c>
      <c r="J601" s="959">
        <v>2646.51</v>
      </c>
      <c r="K601" s="960">
        <v>92.29</v>
      </c>
      <c r="L601" s="960">
        <v>141.7758465556214</v>
      </c>
      <c r="M601" s="916">
        <v>12135.32</v>
      </c>
      <c r="N601" s="916">
        <v>18642.271819518508</v>
      </c>
      <c r="O601" s="1176">
        <v>5233.82</v>
      </c>
      <c r="P601" s="1176">
        <v>8040.1913665591319</v>
      </c>
      <c r="Q601" s="1176">
        <v>1618.16</v>
      </c>
      <c r="R601" s="1176">
        <v>2485.8164900037309</v>
      </c>
      <c r="S601" s="1176">
        <v>1963.39</v>
      </c>
      <c r="T601" s="1176">
        <v>3016.1586235652994</v>
      </c>
      <c r="U601" s="1120">
        <v>1384.6512049256064</v>
      </c>
      <c r="V601" s="1120">
        <v>2127.1004091731393</v>
      </c>
      <c r="W601" s="1120">
        <v>2611.0320658516353</v>
      </c>
      <c r="X601" s="1120">
        <v>4011.0660041173319</v>
      </c>
      <c r="Y601" s="1119">
        <v>7425.838905022918</v>
      </c>
      <c r="Z601" s="1119">
        <v>11407.569586578098</v>
      </c>
      <c r="AA601" s="1119">
        <v>437.11</v>
      </c>
      <c r="AB601" s="1119">
        <v>671.48813834573264</v>
      </c>
      <c r="AC601" s="1178">
        <v>16.231999999999999</v>
      </c>
      <c r="AD601" s="1178">
        <v>25.16</v>
      </c>
      <c r="AE601" s="1178">
        <v>29500</v>
      </c>
      <c r="AF601" s="1178">
        <v>45317.883556082248</v>
      </c>
      <c r="AG601" s="1178">
        <v>793.42100000000005</v>
      </c>
      <c r="AH601" s="1178">
        <v>1218.8528979305199</v>
      </c>
      <c r="AI601" s="1178">
        <v>1902</v>
      </c>
      <c r="AJ601" s="1178">
        <v>2921.8513397853708</v>
      </c>
      <c r="AK601" s="919">
        <v>31.02</v>
      </c>
      <c r="AL601" s="919">
        <v>47.652906708802419</v>
      </c>
      <c r="AM601" s="919">
        <v>31.49</v>
      </c>
      <c r="AN601" s="919">
        <v>48.374920446814578</v>
      </c>
      <c r="AO601" s="919">
        <v>6.8272107230842511</v>
      </c>
      <c r="AP601" s="919">
        <v>10.487957307171802</v>
      </c>
      <c r="AS601" s="1167"/>
      <c r="AT601" s="1167"/>
      <c r="AU601" s="1168"/>
      <c r="AV601" s="1168"/>
      <c r="AW601" s="1169"/>
      <c r="AX601" s="1169"/>
      <c r="AY601" s="1169"/>
      <c r="AZ601" s="1169"/>
      <c r="BA601" s="1803" t="s">
        <v>4</v>
      </c>
      <c r="BB601" s="1802">
        <v>2010</v>
      </c>
      <c r="BC601" s="1799" t="s">
        <v>431</v>
      </c>
      <c r="BD601" s="1799">
        <v>10</v>
      </c>
      <c r="BE601" s="1800">
        <v>201605993</v>
      </c>
      <c r="BF601" s="1801">
        <v>1.1499374331862882E-2</v>
      </c>
      <c r="BG601" s="1799"/>
      <c r="BH601" s="1815" t="s">
        <v>1</v>
      </c>
      <c r="BI601" s="1815" t="s">
        <v>320</v>
      </c>
      <c r="BJ601" s="1815" t="s">
        <v>431</v>
      </c>
      <c r="BK601" s="1815">
        <v>8</v>
      </c>
      <c r="BL601" s="1816">
        <v>141009000</v>
      </c>
      <c r="BM601" s="1801">
        <v>8.6121733301191411E-3</v>
      </c>
      <c r="BN601" s="1799">
        <v>2015</v>
      </c>
      <c r="BO601" s="1684"/>
      <c r="BP601" s="1696"/>
      <c r="BQ601" s="1169"/>
      <c r="BR601" s="1169"/>
      <c r="BS601" s="1169"/>
      <c r="BT601" s="1169"/>
      <c r="BU601" s="1169"/>
      <c r="BV601" s="1169"/>
      <c r="BW601" s="1169"/>
      <c r="BX601" s="1169"/>
      <c r="BY601" s="1169"/>
      <c r="BZ601" s="1169"/>
      <c r="CA601" s="1169"/>
      <c r="CB601" s="1169"/>
      <c r="CC601" s="1169"/>
      <c r="CD601" s="1169"/>
      <c r="CE601" s="1169"/>
      <c r="CF601" s="1169"/>
      <c r="CG601" s="1169"/>
      <c r="CH601" s="1169"/>
      <c r="CI601" s="1169"/>
      <c r="CJ601" s="1169"/>
      <c r="CK601" s="1169"/>
      <c r="CL601" s="1169"/>
      <c r="CM601" s="1169"/>
      <c r="CN601" s="1169"/>
      <c r="CO601" s="1169"/>
      <c r="CP601" s="1169"/>
      <c r="CQ601" s="1169"/>
      <c r="CR601" s="1169"/>
      <c r="CS601" s="1169"/>
      <c r="CT601" s="1169"/>
      <c r="CU601" s="1169"/>
      <c r="CV601" s="1169"/>
      <c r="CW601" s="1169"/>
      <c r="CX601" s="1169"/>
      <c r="CY601" s="1169"/>
      <c r="CZ601" s="1169"/>
      <c r="DA601" s="1168"/>
      <c r="DB601" s="1168"/>
      <c r="DC601" s="1168"/>
      <c r="DD601" s="1168"/>
      <c r="DE601" s="1168"/>
      <c r="DF601" s="1168"/>
      <c r="DG601" s="1168"/>
      <c r="DH601" s="1168"/>
      <c r="DI601" s="1168"/>
      <c r="DJ601" s="1168"/>
      <c r="DK601" s="1168"/>
      <c r="DL601" s="1168"/>
      <c r="DM601" s="1168"/>
      <c r="DN601" s="1168"/>
      <c r="DO601" s="1168"/>
      <c r="DP601" s="1168"/>
      <c r="DQ601" s="1168"/>
      <c r="DR601" s="1168"/>
      <c r="DS601" s="1168"/>
      <c r="DT601" s="1168"/>
      <c r="DU601" s="1168"/>
      <c r="DV601" s="1168"/>
      <c r="DW601" s="1168"/>
      <c r="DX601" s="1168"/>
      <c r="DY601" s="1168"/>
      <c r="DZ601" s="1168"/>
      <c r="EA601" s="1168"/>
      <c r="EB601" s="1168"/>
      <c r="EC601" s="1168"/>
      <c r="ED601" s="1168"/>
      <c r="EE601" s="1168"/>
      <c r="EF601" s="1168"/>
      <c r="EG601" s="1168"/>
      <c r="EH601" s="1168"/>
      <c r="EI601" s="1170"/>
      <c r="EJ601" s="1170"/>
      <c r="EK601" s="1170"/>
      <c r="EL601" s="1170"/>
      <c r="EM601" s="1170"/>
      <c r="EN601" s="1170"/>
      <c r="EO601" s="1170"/>
      <c r="EP601" s="1170"/>
      <c r="EQ601" s="1170"/>
      <c r="ER601" s="1170"/>
      <c r="ES601" s="1171"/>
      <c r="ET601" s="1171"/>
      <c r="EU601" s="1171"/>
      <c r="EV601" s="1171"/>
      <c r="EW601" s="1171"/>
      <c r="EX601" s="1171"/>
      <c r="EY601" s="1171"/>
      <c r="EZ601" s="1171"/>
      <c r="FA601" s="1171"/>
      <c r="FB601" s="1171"/>
      <c r="FC601" s="1171"/>
      <c r="FD601" s="1171"/>
      <c r="FE601" s="1171"/>
      <c r="FF601" s="1171"/>
      <c r="FG601" s="1171"/>
      <c r="FH601" s="1171"/>
      <c r="FI601" s="1171"/>
      <c r="FJ601" s="1171"/>
      <c r="FK601" s="1171"/>
      <c r="FL601" s="1171"/>
      <c r="FM601" s="1171"/>
      <c r="FN601" s="1171"/>
      <c r="FO601" s="1171"/>
      <c r="FP601" s="1171"/>
    </row>
    <row r="602" spans="1:172" s="607" customFormat="1">
      <c r="A602" s="607">
        <f t="shared" si="19"/>
        <v>2020</v>
      </c>
      <c r="B602" s="607">
        <f t="shared" si="20"/>
        <v>2</v>
      </c>
      <c r="C602" s="666">
        <v>43983</v>
      </c>
      <c r="D602" s="918">
        <v>0.68920476190476188</v>
      </c>
      <c r="E602" s="920">
        <v>241.31416702129872</v>
      </c>
      <c r="F602" s="1339">
        <v>350.1342131681975</v>
      </c>
      <c r="G602" s="920">
        <v>27.290495466726355</v>
      </c>
      <c r="H602" s="917">
        <v>39.597079090549734</v>
      </c>
      <c r="I602" s="918">
        <v>1732.2180000000001</v>
      </c>
      <c r="J602" s="918">
        <v>2520.19</v>
      </c>
      <c r="K602" s="1340">
        <v>100.42</v>
      </c>
      <c r="L602" s="1340">
        <v>145.70415869221256</v>
      </c>
      <c r="M602" s="918">
        <v>12703.27</v>
      </c>
      <c r="N602" s="918">
        <v>18431.779207229865</v>
      </c>
      <c r="O602" s="1166">
        <v>5742.39</v>
      </c>
      <c r="P602" s="1166">
        <v>8331.907028804766</v>
      </c>
      <c r="Q602" s="1166">
        <v>1739.86</v>
      </c>
      <c r="R602" s="1166">
        <v>2524.4457034677648</v>
      </c>
      <c r="S602" s="1166">
        <v>2020.61</v>
      </c>
      <c r="T602" s="1166">
        <v>2931.7992441253896</v>
      </c>
      <c r="U602" s="1166">
        <v>1360.0206411887741</v>
      </c>
      <c r="V602" s="1166">
        <v>1973.3186947665188</v>
      </c>
      <c r="W602" s="1166">
        <v>2696.5604454510053</v>
      </c>
      <c r="X602" s="1166">
        <v>3912.5679253847507</v>
      </c>
      <c r="Y602" s="1166">
        <v>7301.5962308323851</v>
      </c>
      <c r="Z602" s="918">
        <v>10594.233578208155</v>
      </c>
      <c r="AA602" s="1166">
        <v>422.86</v>
      </c>
      <c r="AB602" s="1166">
        <v>613.54770508453498</v>
      </c>
      <c r="AC602" s="920">
        <v>17.72</v>
      </c>
      <c r="AD602" s="920">
        <v>25.91</v>
      </c>
      <c r="AE602" s="920">
        <v>29102.27</v>
      </c>
      <c r="AF602" s="920">
        <v>42225.869013977463</v>
      </c>
      <c r="AG602" s="920">
        <v>820.77300000000002</v>
      </c>
      <c r="AH602" s="920">
        <v>1227.24</v>
      </c>
      <c r="AI602" s="920">
        <v>1920.5450000000001</v>
      </c>
      <c r="AJ602" s="920">
        <v>2828.41</v>
      </c>
      <c r="AK602" s="1166">
        <v>39.93</v>
      </c>
      <c r="AL602" s="1166">
        <v>57.936337946425489</v>
      </c>
      <c r="AM602" s="1166">
        <v>34.57</v>
      </c>
      <c r="AN602" s="1166">
        <v>50.159258773051072</v>
      </c>
      <c r="AO602" s="1166">
        <v>5.9715105366182248</v>
      </c>
      <c r="AP602" s="1166">
        <v>8.6643489231193112</v>
      </c>
      <c r="AS602" s="1167"/>
      <c r="AT602" s="1167"/>
      <c r="AU602" s="1168"/>
      <c r="AV602" s="1168"/>
      <c r="AW602" s="1169"/>
      <c r="AX602" s="1169"/>
      <c r="AY602" s="1169"/>
      <c r="AZ602" s="1169"/>
      <c r="BA602" s="1803" t="s">
        <v>4</v>
      </c>
      <c r="BB602" s="1802">
        <v>2010</v>
      </c>
      <c r="BC602" s="1799" t="s">
        <v>32</v>
      </c>
      <c r="BD602" s="1799"/>
      <c r="BE602" s="1800">
        <v>136469252.72999954</v>
      </c>
      <c r="BF602" s="1801">
        <v>7.7840494648979278E-3</v>
      </c>
      <c r="BG602" s="1799"/>
      <c r="BH602" s="1815" t="s">
        <v>1</v>
      </c>
      <c r="BI602" s="1815" t="s">
        <v>320</v>
      </c>
      <c r="BJ602" s="1815" t="s">
        <v>241</v>
      </c>
      <c r="BK602" s="1815">
        <v>9</v>
      </c>
      <c r="BL602" s="1816">
        <v>71550000</v>
      </c>
      <c r="BM602" s="1801">
        <v>4.3699409383090764E-3</v>
      </c>
      <c r="BN602" s="1799">
        <v>2015</v>
      </c>
      <c r="BO602" s="1684"/>
      <c r="BP602" s="1696"/>
      <c r="BQ602" s="1169"/>
      <c r="BR602" s="1169"/>
      <c r="BS602" s="1169"/>
      <c r="BT602" s="1169"/>
      <c r="BU602" s="1169"/>
      <c r="BV602" s="1169"/>
      <c r="BW602" s="1169"/>
      <c r="BX602" s="1169"/>
      <c r="BY602" s="1169"/>
      <c r="BZ602" s="1169"/>
      <c r="CA602" s="1169"/>
      <c r="CB602" s="1169"/>
      <c r="CC602" s="1169"/>
      <c r="CD602" s="1169"/>
      <c r="CE602" s="1169"/>
      <c r="CF602" s="1169"/>
      <c r="CG602" s="1169"/>
      <c r="CH602" s="1169"/>
      <c r="CI602" s="1169"/>
      <c r="CJ602" s="1169"/>
      <c r="CK602" s="1169"/>
      <c r="CL602" s="1169"/>
      <c r="CM602" s="1169"/>
      <c r="CN602" s="1169"/>
      <c r="CO602" s="1169"/>
      <c r="CP602" s="1169"/>
      <c r="CQ602" s="1169"/>
      <c r="CR602" s="1169"/>
      <c r="CS602" s="1169"/>
      <c r="CT602" s="1169"/>
      <c r="CU602" s="1169"/>
      <c r="CV602" s="1169"/>
      <c r="CW602" s="1169"/>
      <c r="CX602" s="1169"/>
      <c r="CY602" s="1169"/>
      <c r="CZ602" s="1169"/>
      <c r="DA602" s="1168"/>
      <c r="DB602" s="1168"/>
      <c r="DC602" s="1168"/>
      <c r="DD602" s="1168"/>
      <c r="DE602" s="1168"/>
      <c r="DF602" s="1168"/>
      <c r="DG602" s="1168"/>
      <c r="DH602" s="1168"/>
      <c r="DI602" s="1168"/>
      <c r="DJ602" s="1168"/>
      <c r="DK602" s="1168"/>
      <c r="DL602" s="1168"/>
      <c r="DM602" s="1168"/>
      <c r="DN602" s="1168"/>
      <c r="DO602" s="1168"/>
      <c r="DP602" s="1168"/>
      <c r="DQ602" s="1168"/>
      <c r="DR602" s="1168"/>
      <c r="DS602" s="1168"/>
      <c r="DT602" s="1168"/>
      <c r="DU602" s="1168"/>
      <c r="DV602" s="1168"/>
      <c r="DW602" s="1168"/>
      <c r="DX602" s="1168"/>
      <c r="DY602" s="1168"/>
      <c r="DZ602" s="1168"/>
      <c r="EA602" s="1168"/>
      <c r="EB602" s="1168"/>
      <c r="EC602" s="1168"/>
      <c r="ED602" s="1168"/>
      <c r="EE602" s="1168"/>
      <c r="EF602" s="1168"/>
      <c r="EG602" s="1168"/>
      <c r="EH602" s="1168"/>
      <c r="EI602" s="1170"/>
      <c r="EJ602" s="1170"/>
      <c r="EK602" s="1170"/>
      <c r="EL602" s="1170"/>
      <c r="EM602" s="1170"/>
      <c r="EN602" s="1170"/>
      <c r="EO602" s="1170"/>
      <c r="EP602" s="1170"/>
      <c r="EQ602" s="1170"/>
      <c r="ER602" s="1170"/>
      <c r="ES602" s="1171"/>
      <c r="ET602" s="1171"/>
      <c r="EU602" s="1171"/>
      <c r="EV602" s="1171"/>
      <c r="EW602" s="1171"/>
      <c r="EX602" s="1171"/>
      <c r="EY602" s="1171"/>
      <c r="EZ602" s="1171"/>
      <c r="FA602" s="1171"/>
      <c r="FB602" s="1171"/>
      <c r="FC602" s="1171"/>
      <c r="FD602" s="1171"/>
      <c r="FE602" s="1171"/>
      <c r="FF602" s="1171"/>
      <c r="FG602" s="1171"/>
      <c r="FH602" s="1171"/>
      <c r="FI602" s="1171"/>
      <c r="FJ602" s="1171"/>
      <c r="FK602" s="1171"/>
      <c r="FL602" s="1171"/>
      <c r="FM602" s="1171"/>
      <c r="FN602" s="1171"/>
      <c r="FO602" s="1171"/>
      <c r="FP602" s="1171"/>
    </row>
    <row r="603" spans="1:172" s="1341" customFormat="1">
      <c r="A603" s="607">
        <f t="shared" si="19"/>
        <v>2020</v>
      </c>
      <c r="B603" s="607">
        <f t="shared" si="20"/>
        <v>3</v>
      </c>
      <c r="C603" s="666">
        <v>44013</v>
      </c>
      <c r="D603" s="1709">
        <v>0.70284782608695662</v>
      </c>
      <c r="E603" s="1117">
        <v>250.83102685227888</v>
      </c>
      <c r="F603" s="1117">
        <v>356.87814281045519</v>
      </c>
      <c r="G603" s="1117">
        <v>27.528896155057357</v>
      </c>
      <c r="H603" s="1117">
        <v>39.167647865288366</v>
      </c>
      <c r="I603" s="959">
        <v>1843.3130000000001</v>
      </c>
      <c r="J603" s="959">
        <v>2616.4699999999998</v>
      </c>
      <c r="K603" s="960">
        <v>107.32</v>
      </c>
      <c r="L603" s="960">
        <v>152.69308094398562</v>
      </c>
      <c r="M603" s="916">
        <v>13341.35</v>
      </c>
      <c r="N603" s="916">
        <v>18981.847143608298</v>
      </c>
      <c r="O603" s="1174">
        <v>6353.76</v>
      </c>
      <c r="P603" s="1174">
        <v>9040.0222696483233</v>
      </c>
      <c r="Q603" s="1174">
        <v>1812.15</v>
      </c>
      <c r="R603" s="1174">
        <v>2578.2963719031268</v>
      </c>
      <c r="S603" s="1174">
        <v>2162.2399999999998</v>
      </c>
      <c r="T603" s="1174">
        <v>3076.3985029847508</v>
      </c>
      <c r="U603" s="1120">
        <v>1344.280815166054</v>
      </c>
      <c r="V603" s="1120">
        <v>1912.6200085873766</v>
      </c>
      <c r="W603" s="1120">
        <v>2680.4618391121062</v>
      </c>
      <c r="X603" s="1120">
        <v>3813.7157712151452</v>
      </c>
      <c r="Y603" s="1119">
        <v>7004.7823154251973</v>
      </c>
      <c r="Z603" s="1119">
        <v>9966.2858095808679</v>
      </c>
      <c r="AA603" s="1119">
        <v>404.78500000000003</v>
      </c>
      <c r="AB603" s="1119">
        <v>575.9212520491169</v>
      </c>
      <c r="AC603" s="1178">
        <v>20.405000000000001</v>
      </c>
      <c r="AD603" s="1178">
        <v>28.92</v>
      </c>
      <c r="AE603" s="1178">
        <v>28556.52</v>
      </c>
      <c r="AF603" s="1178">
        <v>40629.733692122107</v>
      </c>
      <c r="AG603" s="1178">
        <v>862.17399999999998</v>
      </c>
      <c r="AH603" s="1178">
        <v>1256.6500000000001</v>
      </c>
      <c r="AI603" s="1178">
        <v>2040.3910000000001</v>
      </c>
      <c r="AJ603" s="1178">
        <v>2922.31</v>
      </c>
      <c r="AK603" s="919">
        <v>42.81</v>
      </c>
      <c r="AL603" s="919">
        <v>60.909343973276414</v>
      </c>
      <c r="AM603" s="919">
        <v>43.8</v>
      </c>
      <c r="AN603" s="919">
        <v>62.317899229841316</v>
      </c>
      <c r="AO603" s="919">
        <v>5.4080822107416315</v>
      </c>
      <c r="AP603" s="919">
        <v>7.6945279049245308</v>
      </c>
      <c r="AS603" s="1342"/>
      <c r="AT603" s="1342"/>
      <c r="AU603" s="1343"/>
      <c r="AV603" s="1343"/>
      <c r="AW603" s="1345"/>
      <c r="AX603" s="1345"/>
      <c r="AY603" s="1345"/>
      <c r="AZ603" s="1345"/>
      <c r="BA603" s="1803" t="s">
        <v>4</v>
      </c>
      <c r="BB603" s="1802">
        <v>2010</v>
      </c>
      <c r="BC603" s="1799" t="s">
        <v>249</v>
      </c>
      <c r="BD603" s="1799"/>
      <c r="BE603" s="1800">
        <v>17531909752.810013</v>
      </c>
      <c r="BF603" s="1801"/>
      <c r="BG603" s="1799"/>
      <c r="BH603" s="1815" t="s">
        <v>1</v>
      </c>
      <c r="BI603" s="1815" t="s">
        <v>320</v>
      </c>
      <c r="BJ603" s="1815" t="s">
        <v>46</v>
      </c>
      <c r="BK603" s="1815">
        <v>10</v>
      </c>
      <c r="BL603" s="1816">
        <v>61998000</v>
      </c>
      <c r="BM603" s="1801">
        <v>3.7865492423939363E-3</v>
      </c>
      <c r="BN603" s="1799">
        <v>2015</v>
      </c>
      <c r="BO603" s="1686"/>
      <c r="BP603" s="1696"/>
      <c r="BQ603" s="1345"/>
      <c r="BR603" s="1345"/>
      <c r="BS603" s="1345"/>
      <c r="BT603" s="1345"/>
      <c r="BU603" s="1345"/>
      <c r="BV603" s="1345"/>
      <c r="BW603" s="1345"/>
      <c r="BX603" s="1345"/>
      <c r="BY603" s="1345"/>
      <c r="BZ603" s="1345"/>
      <c r="CA603" s="1345"/>
      <c r="CB603" s="1345"/>
      <c r="CC603" s="1345"/>
      <c r="CD603" s="1345"/>
      <c r="CE603" s="1345"/>
      <c r="CF603" s="1345"/>
      <c r="CG603" s="1345"/>
      <c r="CH603" s="1345"/>
      <c r="CI603" s="1345"/>
      <c r="CJ603" s="1345"/>
      <c r="CK603" s="1345"/>
      <c r="CL603" s="1345"/>
      <c r="CM603" s="1345"/>
      <c r="CN603" s="1345"/>
      <c r="CO603" s="1345"/>
      <c r="CP603" s="1345"/>
      <c r="CQ603" s="1345"/>
      <c r="CR603" s="1345"/>
      <c r="CS603" s="1345"/>
      <c r="CT603" s="1345"/>
      <c r="CU603" s="1345"/>
      <c r="CV603" s="1345"/>
      <c r="CW603" s="1345"/>
      <c r="CX603" s="1345"/>
      <c r="CY603" s="1345"/>
      <c r="CZ603" s="1345"/>
      <c r="DA603" s="1343"/>
      <c r="DB603" s="1343"/>
      <c r="DC603" s="1343"/>
      <c r="DD603" s="1343"/>
      <c r="DE603" s="1343"/>
      <c r="DF603" s="1343"/>
      <c r="DG603" s="1343"/>
      <c r="DH603" s="1343"/>
      <c r="DI603" s="1343"/>
      <c r="DJ603" s="1343"/>
      <c r="DK603" s="1343"/>
      <c r="DL603" s="1343"/>
      <c r="DM603" s="1343"/>
      <c r="DN603" s="1343"/>
      <c r="DO603" s="1343"/>
      <c r="DP603" s="1343"/>
      <c r="DQ603" s="1343"/>
      <c r="DR603" s="1343"/>
      <c r="DS603" s="1343"/>
      <c r="DT603" s="1343"/>
      <c r="DU603" s="1343"/>
      <c r="DV603" s="1343"/>
      <c r="DW603" s="1343"/>
      <c r="DX603" s="1343"/>
      <c r="DY603" s="1343"/>
      <c r="DZ603" s="1343"/>
      <c r="EA603" s="1343"/>
      <c r="EB603" s="1343"/>
      <c r="EC603" s="1343"/>
      <c r="ED603" s="1343"/>
      <c r="EE603" s="1343"/>
      <c r="EF603" s="1343"/>
      <c r="EG603" s="1343"/>
      <c r="EH603" s="1343"/>
      <c r="EI603" s="1344"/>
      <c r="EJ603" s="1344"/>
      <c r="EK603" s="1344"/>
      <c r="EL603" s="1344"/>
      <c r="EM603" s="1344"/>
      <c r="EN603" s="1344"/>
      <c r="EO603" s="1344"/>
      <c r="EP603" s="1344"/>
      <c r="EQ603" s="1344"/>
      <c r="ER603" s="1344"/>
      <c r="ES603" s="1331"/>
      <c r="ET603" s="1331"/>
      <c r="EU603" s="1331"/>
      <c r="EV603" s="1331"/>
      <c r="EW603" s="1331"/>
      <c r="EX603" s="1331"/>
      <c r="EY603" s="1331"/>
      <c r="EZ603" s="1331"/>
      <c r="FA603" s="1331"/>
      <c r="FB603" s="1331"/>
      <c r="FC603" s="1331"/>
      <c r="FD603" s="1331"/>
      <c r="FE603" s="1331"/>
      <c r="FF603" s="1331"/>
      <c r="FG603" s="1331"/>
      <c r="FH603" s="1331"/>
      <c r="FI603" s="1331"/>
      <c r="FJ603" s="1331"/>
      <c r="FK603" s="1331"/>
      <c r="FL603" s="1331"/>
      <c r="FM603" s="1331"/>
      <c r="FN603" s="1331"/>
      <c r="FO603" s="1331"/>
      <c r="FP603" s="1331"/>
    </row>
    <row r="604" spans="1:172" s="1341" customFormat="1">
      <c r="A604" s="607">
        <f t="shared" si="19"/>
        <v>2020</v>
      </c>
      <c r="B604" s="607">
        <f t="shared" si="20"/>
        <v>3</v>
      </c>
      <c r="C604" s="666">
        <v>44044</v>
      </c>
      <c r="D604" s="918">
        <v>0.71992</v>
      </c>
      <c r="E604" s="920">
        <v>268.13142114997692</v>
      </c>
      <c r="F604" s="917">
        <v>372.44613450102361</v>
      </c>
      <c r="G604" s="920">
        <v>27.571454133530708</v>
      </c>
      <c r="H604" s="917">
        <v>38.297941623417472</v>
      </c>
      <c r="I604" s="1166">
        <v>1968.5650000000001</v>
      </c>
      <c r="J604" s="1166">
        <v>2706.23</v>
      </c>
      <c r="K604" s="1340">
        <v>122.43</v>
      </c>
      <c r="L604" s="918">
        <v>170.06056228469831</v>
      </c>
      <c r="M604" s="917">
        <v>14486.86</v>
      </c>
      <c r="N604" s="917">
        <v>20122.874763862652</v>
      </c>
      <c r="O604" s="1166">
        <v>6496.7</v>
      </c>
      <c r="P604" s="1166">
        <v>9024.197133014779</v>
      </c>
      <c r="Q604" s="1166">
        <v>1935.2</v>
      </c>
      <c r="R604" s="1166">
        <v>2688.0764529392154</v>
      </c>
      <c r="S604" s="1166">
        <v>2406.83</v>
      </c>
      <c r="T604" s="1166">
        <v>3343.1909101011224</v>
      </c>
      <c r="U604" s="1166">
        <v>1326.9238968728689</v>
      </c>
      <c r="V604" s="1166">
        <v>1843.1546517291767</v>
      </c>
      <c r="W604" s="1166">
        <v>2688.1052891565901</v>
      </c>
      <c r="X604" s="1166">
        <v>3733.8944454336456</v>
      </c>
      <c r="Y604" s="1166">
        <v>6935.2115554103084</v>
      </c>
      <c r="Z604" s="918">
        <v>9633.3086390297649</v>
      </c>
      <c r="AA604" s="1166">
        <v>390.24</v>
      </c>
      <c r="AB604" s="1166">
        <v>542.06022891432383</v>
      </c>
      <c r="AC604" s="920">
        <v>26.893000000000001</v>
      </c>
      <c r="AD604" s="920">
        <v>37.68</v>
      </c>
      <c r="AE604" s="920">
        <v>32905</v>
      </c>
      <c r="AF604" s="920">
        <v>45706.46738526503</v>
      </c>
      <c r="AG604" s="920">
        <v>940.75</v>
      </c>
      <c r="AH604" s="920">
        <v>1341.05</v>
      </c>
      <c r="AI604" s="920">
        <v>2169.75</v>
      </c>
      <c r="AJ604" s="920">
        <v>3085.22</v>
      </c>
      <c r="AK604" s="920">
        <v>44.26</v>
      </c>
      <c r="AL604" s="920">
        <v>61.479053228136458</v>
      </c>
      <c r="AM604" s="920">
        <v>46.35</v>
      </c>
      <c r="AN604" s="920">
        <v>64.382153572619188</v>
      </c>
      <c r="AO604" s="920">
        <v>4.1211636242199274</v>
      </c>
      <c r="AP604" s="920">
        <v>5.7244744196854196</v>
      </c>
      <c r="AS604" s="1342"/>
      <c r="AT604" s="1342"/>
      <c r="AU604" s="1343"/>
      <c r="AV604" s="1343"/>
      <c r="AW604" s="1345"/>
      <c r="AX604" s="1345"/>
      <c r="AY604" s="1345"/>
      <c r="AZ604" s="1345"/>
      <c r="BA604" s="1803" t="s">
        <v>4</v>
      </c>
      <c r="BB604" s="1802">
        <v>2009</v>
      </c>
      <c r="BC604" s="1799" t="s">
        <v>20</v>
      </c>
      <c r="BD604" s="1799">
        <v>1</v>
      </c>
      <c r="BE604" s="1800">
        <v>5155799373.0300026</v>
      </c>
      <c r="BF604" s="1801">
        <v>0.51663482663482296</v>
      </c>
      <c r="BG604" s="1799"/>
      <c r="BH604" s="1815" t="s">
        <v>1</v>
      </c>
      <c r="BI604" s="1815" t="s">
        <v>320</v>
      </c>
      <c r="BJ604" s="1815" t="s">
        <v>32</v>
      </c>
      <c r="BK604" s="1815"/>
      <c r="BL604" s="1816">
        <v>121489000</v>
      </c>
      <c r="BM604" s="1801">
        <v>7.4199825947481677E-3</v>
      </c>
      <c r="BN604" s="1799">
        <v>2015</v>
      </c>
      <c r="BO604" s="1686"/>
      <c r="BP604" s="1696"/>
      <c r="BQ604" s="1345"/>
      <c r="BR604" s="1345"/>
      <c r="BS604" s="1345"/>
      <c r="BT604" s="1345"/>
      <c r="BU604" s="1345"/>
      <c r="BV604" s="1345"/>
      <c r="BW604" s="1345"/>
      <c r="BX604" s="1345"/>
      <c r="BY604" s="1345"/>
      <c r="BZ604" s="1345"/>
      <c r="CA604" s="1345"/>
      <c r="CB604" s="1345"/>
      <c r="CC604" s="1345"/>
      <c r="CD604" s="1345"/>
      <c r="CE604" s="1345"/>
      <c r="CF604" s="1345"/>
      <c r="CG604" s="1345"/>
      <c r="CH604" s="1345"/>
      <c r="CI604" s="1345"/>
      <c r="CJ604" s="1345"/>
      <c r="CK604" s="1345"/>
      <c r="CL604" s="1345"/>
      <c r="CM604" s="1345"/>
      <c r="CN604" s="1345"/>
      <c r="CO604" s="1345"/>
      <c r="CP604" s="1345"/>
      <c r="CQ604" s="1345"/>
      <c r="CR604" s="1345"/>
      <c r="CS604" s="1345"/>
      <c r="CT604" s="1345"/>
      <c r="CU604" s="1345"/>
      <c r="CV604" s="1345"/>
      <c r="CW604" s="1345"/>
      <c r="CX604" s="1345"/>
      <c r="CY604" s="1345"/>
      <c r="CZ604" s="1345"/>
      <c r="DA604" s="1343"/>
      <c r="DB604" s="1343"/>
      <c r="DC604" s="1343"/>
      <c r="DD604" s="1343"/>
      <c r="DE604" s="1343"/>
      <c r="DF604" s="1343"/>
      <c r="DG604" s="1343"/>
      <c r="DH604" s="1343"/>
      <c r="DI604" s="1343"/>
      <c r="DJ604" s="1343"/>
      <c r="DK604" s="1343"/>
      <c r="DL604" s="1343"/>
      <c r="DM604" s="1343"/>
      <c r="DN604" s="1343"/>
      <c r="DO604" s="1343"/>
      <c r="DP604" s="1343"/>
      <c r="DQ604" s="1343"/>
      <c r="DR604" s="1343"/>
      <c r="DS604" s="1343"/>
      <c r="DT604" s="1343"/>
      <c r="DU604" s="1343"/>
      <c r="DV604" s="1343"/>
      <c r="DW604" s="1343"/>
      <c r="DX604" s="1343"/>
      <c r="DY604" s="1343"/>
      <c r="DZ604" s="1343"/>
      <c r="EA604" s="1343"/>
      <c r="EB604" s="1343"/>
      <c r="EC604" s="1343"/>
      <c r="ED604" s="1343"/>
      <c r="EE604" s="1343"/>
      <c r="EF604" s="1343"/>
      <c r="EG604" s="1343"/>
      <c r="EH604" s="1343"/>
      <c r="EI604" s="1344"/>
      <c r="EJ604" s="1344"/>
      <c r="EK604" s="1344"/>
      <c r="EL604" s="1344"/>
      <c r="EM604" s="1344"/>
      <c r="EN604" s="1344"/>
      <c r="EO604" s="1344"/>
      <c r="EP604" s="1344"/>
      <c r="EQ604" s="1344"/>
      <c r="ER604" s="1344"/>
      <c r="ES604" s="1331"/>
      <c r="ET604" s="1331"/>
      <c r="EU604" s="1331"/>
      <c r="EV604" s="1331"/>
      <c r="EW604" s="1331"/>
      <c r="EX604" s="1331"/>
      <c r="EY604" s="1331"/>
      <c r="EZ604" s="1331"/>
      <c r="FA604" s="1331"/>
      <c r="FB604" s="1331"/>
      <c r="FC604" s="1331"/>
      <c r="FD604" s="1331"/>
      <c r="FE604" s="1331"/>
      <c r="FF604" s="1331"/>
      <c r="FG604" s="1331"/>
      <c r="FH604" s="1331"/>
      <c r="FI604" s="1331"/>
      <c r="FJ604" s="1331"/>
      <c r="FK604" s="1331"/>
      <c r="FL604" s="1331"/>
      <c r="FM604" s="1331"/>
      <c r="FN604" s="1331"/>
      <c r="FO604" s="1331"/>
      <c r="FP604" s="1331"/>
    </row>
    <row r="605" spans="1:172" s="1341" customFormat="1">
      <c r="A605" s="607">
        <f t="shared" si="19"/>
        <v>2020</v>
      </c>
      <c r="B605" s="607">
        <f t="shared" si="20"/>
        <v>3</v>
      </c>
      <c r="C605" s="666">
        <v>44075</v>
      </c>
      <c r="D605" s="1709">
        <v>0.72378636363636351</v>
      </c>
      <c r="E605" s="1117">
        <v>271.19874084182385</v>
      </c>
      <c r="F605" s="1117">
        <v>374.6944602262173</v>
      </c>
      <c r="G605" s="1117">
        <v>27.819153645747818</v>
      </c>
      <c r="H605" s="1117">
        <v>38.435586857400921</v>
      </c>
      <c r="I605" s="1165">
        <v>1922.2139999999999</v>
      </c>
      <c r="J605" s="1165">
        <v>2668.63</v>
      </c>
      <c r="K605" s="960">
        <v>123.96</v>
      </c>
      <c r="L605" s="960">
        <v>171.26600641826758</v>
      </c>
      <c r="M605" s="916">
        <v>14866.27</v>
      </c>
      <c r="N605" s="916">
        <v>20539.582875408996</v>
      </c>
      <c r="O605" s="1176">
        <v>6712.41</v>
      </c>
      <c r="P605" s="1176">
        <v>9274.0210885934466</v>
      </c>
      <c r="Q605" s="1176">
        <v>1881.36</v>
      </c>
      <c r="R605" s="1176">
        <v>2599.3305407798639</v>
      </c>
      <c r="S605" s="1176">
        <v>2450.5</v>
      </c>
      <c r="T605" s="1176">
        <v>3385.6675437880344</v>
      </c>
      <c r="U605" s="1120">
        <v>1371.0747828226195</v>
      </c>
      <c r="V605" s="1120">
        <v>1894.3086685610165</v>
      </c>
      <c r="W605" s="1120">
        <v>2685.4155581268983</v>
      </c>
      <c r="X605" s="1120">
        <v>3710.2323186017834</v>
      </c>
      <c r="Y605" s="1119">
        <v>6965.7978791474006</v>
      </c>
      <c r="Z605" s="1119">
        <v>9624.1076498742623</v>
      </c>
      <c r="AA605" s="1119">
        <v>390.24</v>
      </c>
      <c r="AB605" s="1119">
        <v>539.16462039903797</v>
      </c>
      <c r="AC605" s="1178">
        <v>25.885999999999999</v>
      </c>
      <c r="AD605" s="1178">
        <v>36.049999999999997</v>
      </c>
      <c r="AE605" s="1178">
        <v>33481.589999999997</v>
      </c>
      <c r="AF605" s="1178">
        <v>46258.940043835137</v>
      </c>
      <c r="AG605" s="1178">
        <v>907.18200000000002</v>
      </c>
      <c r="AH605" s="1178">
        <v>1283.3800000000001</v>
      </c>
      <c r="AI605" s="1178">
        <v>2299.636</v>
      </c>
      <c r="AJ605" s="1178">
        <v>3252.29</v>
      </c>
      <c r="AK605" s="919">
        <v>41.09</v>
      </c>
      <c r="AL605" s="919">
        <v>56.77089548020826</v>
      </c>
      <c r="AM605" s="919">
        <v>42.38</v>
      </c>
      <c r="AN605" s="919">
        <v>58.553189351453547</v>
      </c>
      <c r="AO605" s="919">
        <v>3.9786467304081907</v>
      </c>
      <c r="AP605" s="919">
        <v>5.4969904522919375</v>
      </c>
      <c r="AS605" s="1342"/>
      <c r="AT605" s="1342"/>
      <c r="AU605" s="1343"/>
      <c r="AV605" s="1343"/>
      <c r="AW605" s="1345"/>
      <c r="AX605" s="1345"/>
      <c r="AY605" s="1345"/>
      <c r="AZ605" s="1345"/>
      <c r="BA605" s="1803" t="s">
        <v>4</v>
      </c>
      <c r="BB605" s="1802">
        <v>2009</v>
      </c>
      <c r="BC605" s="1799" t="s">
        <v>581</v>
      </c>
      <c r="BD605" s="1799">
        <v>2</v>
      </c>
      <c r="BE605" s="1800">
        <v>1206140343.8699999</v>
      </c>
      <c r="BF605" s="1801">
        <v>0.1208608136911143</v>
      </c>
      <c r="BG605" s="1799"/>
      <c r="BH605" s="1815" t="s">
        <v>1</v>
      </c>
      <c r="BI605" s="1815" t="s">
        <v>320</v>
      </c>
      <c r="BJ605" s="1815" t="s">
        <v>249</v>
      </c>
      <c r="BK605" s="1815"/>
      <c r="BL605" s="1816">
        <v>16373219000</v>
      </c>
      <c r="BM605" s="1801">
        <v>1</v>
      </c>
      <c r="BN605" s="1799">
        <v>2015</v>
      </c>
      <c r="BO605" s="1686"/>
      <c r="BP605" s="1696"/>
      <c r="BQ605" s="1345"/>
      <c r="BR605" s="1345"/>
      <c r="BS605" s="1345"/>
      <c r="BT605" s="1345"/>
      <c r="BU605" s="1345"/>
      <c r="BV605" s="1345"/>
      <c r="BW605" s="1345"/>
      <c r="BX605" s="1345"/>
      <c r="BY605" s="1345"/>
      <c r="BZ605" s="1345"/>
      <c r="CA605" s="1345"/>
      <c r="CB605" s="1345"/>
      <c r="CC605" s="1345"/>
      <c r="CD605" s="1345"/>
      <c r="CE605" s="1345"/>
      <c r="CF605" s="1345"/>
      <c r="CG605" s="1345"/>
      <c r="CH605" s="1345"/>
      <c r="CI605" s="1345"/>
      <c r="CJ605" s="1345"/>
      <c r="CK605" s="1345"/>
      <c r="CL605" s="1345"/>
      <c r="CM605" s="1345"/>
      <c r="CN605" s="1345"/>
      <c r="CO605" s="1345"/>
      <c r="CP605" s="1345"/>
      <c r="CQ605" s="1345"/>
      <c r="CR605" s="1345"/>
      <c r="CS605" s="1345"/>
      <c r="CT605" s="1345"/>
      <c r="CU605" s="1345"/>
      <c r="CV605" s="1345"/>
      <c r="CW605" s="1345"/>
      <c r="CX605" s="1345"/>
      <c r="CY605" s="1345"/>
      <c r="CZ605" s="1345"/>
      <c r="DA605" s="1343"/>
      <c r="DB605" s="1343"/>
      <c r="DC605" s="1343"/>
      <c r="DD605" s="1343"/>
      <c r="DE605" s="1343"/>
      <c r="DF605" s="1343"/>
      <c r="DG605" s="1343"/>
      <c r="DH605" s="1343"/>
      <c r="DI605" s="1343"/>
      <c r="DJ605" s="1343"/>
      <c r="DK605" s="1343"/>
      <c r="DL605" s="1343"/>
      <c r="DM605" s="1343"/>
      <c r="DN605" s="1343"/>
      <c r="DO605" s="1343"/>
      <c r="DP605" s="1343"/>
      <c r="DQ605" s="1343"/>
      <c r="DR605" s="1343"/>
      <c r="DS605" s="1343"/>
      <c r="DT605" s="1343"/>
      <c r="DU605" s="1343"/>
      <c r="DV605" s="1343"/>
      <c r="DW605" s="1343"/>
      <c r="DX605" s="1343"/>
      <c r="DY605" s="1343"/>
      <c r="DZ605" s="1343"/>
      <c r="EA605" s="1343"/>
      <c r="EB605" s="1343"/>
      <c r="EC605" s="1343"/>
      <c r="ED605" s="1343"/>
      <c r="EE605" s="1343"/>
      <c r="EF605" s="1343"/>
      <c r="EG605" s="1343"/>
      <c r="EH605" s="1343"/>
      <c r="EI605" s="1344"/>
      <c r="EJ605" s="1344"/>
      <c r="EK605" s="1344"/>
      <c r="EL605" s="1344"/>
      <c r="EM605" s="1344"/>
      <c r="EN605" s="1344"/>
      <c r="EO605" s="1344"/>
      <c r="EP605" s="1344"/>
      <c r="EQ605" s="1344"/>
      <c r="ER605" s="1344"/>
      <c r="ES605" s="1331"/>
      <c r="ET605" s="1331"/>
      <c r="EU605" s="1331"/>
      <c r="EV605" s="1331"/>
      <c r="EW605" s="1331"/>
      <c r="EX605" s="1331"/>
      <c r="EY605" s="1331"/>
      <c r="EZ605" s="1331"/>
      <c r="FA605" s="1331"/>
      <c r="FB605" s="1331"/>
      <c r="FC605" s="1331"/>
      <c r="FD605" s="1331"/>
      <c r="FE605" s="1331"/>
      <c r="FF605" s="1331"/>
      <c r="FG605" s="1331"/>
      <c r="FH605" s="1331"/>
      <c r="FI605" s="1331"/>
      <c r="FJ605" s="1331"/>
      <c r="FK605" s="1331"/>
      <c r="FL605" s="1331"/>
      <c r="FM605" s="1331"/>
      <c r="FN605" s="1331"/>
      <c r="FO605" s="1331"/>
      <c r="FP605" s="1331"/>
    </row>
    <row r="606" spans="1:172" s="607" customFormat="1">
      <c r="A606" s="607">
        <f t="shared" si="19"/>
        <v>2020</v>
      </c>
      <c r="B606" s="607">
        <f t="shared" si="20"/>
        <v>4</v>
      </c>
      <c r="C606" s="666">
        <v>44105</v>
      </c>
      <c r="D606" s="957">
        <v>0.71273809523809528</v>
      </c>
      <c r="E606" s="920">
        <v>269.92627371513629</v>
      </c>
      <c r="F606" s="953">
        <v>378.71733743229407</v>
      </c>
      <c r="G606" s="920">
        <v>28.177000554288604</v>
      </c>
      <c r="H606" s="917">
        <v>39.533456598634416</v>
      </c>
      <c r="I606" s="920">
        <v>1900.2750000000001</v>
      </c>
      <c r="J606" s="1166">
        <v>2673.54</v>
      </c>
      <c r="K606" s="954">
        <v>120</v>
      </c>
      <c r="L606" s="957">
        <v>168.36479037915481</v>
      </c>
      <c r="M606" s="953">
        <v>15219.36</v>
      </c>
      <c r="N606" s="953">
        <v>21353.369634207447</v>
      </c>
      <c r="O606" s="1166">
        <v>6702.77</v>
      </c>
      <c r="P606" s="1166">
        <v>9404.2538834140632</v>
      </c>
      <c r="Q606" s="1166">
        <v>1777.07</v>
      </c>
      <c r="R606" s="1166">
        <v>2493.3001503257055</v>
      </c>
      <c r="S606" s="1166">
        <v>2441.5500000000002</v>
      </c>
      <c r="T606" s="1166">
        <v>3425.5921162518789</v>
      </c>
      <c r="U606" s="1166">
        <v>1266.7265637710088</v>
      </c>
      <c r="V606" s="1166">
        <v>1777.2679364751084</v>
      </c>
      <c r="W606" s="1166">
        <v>2726.2680815576132</v>
      </c>
      <c r="X606" s="1166">
        <v>3825.0629505735674</v>
      </c>
      <c r="Y606" s="1166">
        <v>6980.0320822312278</v>
      </c>
      <c r="Z606" s="957">
        <v>9793.2636530386353</v>
      </c>
      <c r="AA606" s="1166">
        <v>390.4</v>
      </c>
      <c r="AB606" s="1166">
        <v>547.74678470018364</v>
      </c>
      <c r="AC606" s="1166">
        <v>24.245999999999999</v>
      </c>
      <c r="AD606" s="1166">
        <v>34.200000000000003</v>
      </c>
      <c r="AE606" s="1166">
        <v>33227.949999999997</v>
      </c>
      <c r="AF606" s="1166">
        <v>46620.140303991975</v>
      </c>
      <c r="AG606" s="1166">
        <v>876.27300000000002</v>
      </c>
      <c r="AH606" s="1166">
        <v>1258.5</v>
      </c>
      <c r="AI606" s="1166">
        <v>2345.1819999999998</v>
      </c>
      <c r="AJ606" s="1166">
        <v>3382.73</v>
      </c>
      <c r="AK606" s="920">
        <v>40.47</v>
      </c>
      <c r="AL606" s="920">
        <v>56.781025555369965</v>
      </c>
      <c r="AM606" s="920">
        <v>39.450000000000003</v>
      </c>
      <c r="AN606" s="920">
        <v>55.34992483714715</v>
      </c>
      <c r="AO606" s="920">
        <v>4.5275857658208922</v>
      </c>
      <c r="AP606" s="920">
        <v>6.3523835698839974</v>
      </c>
      <c r="AS606" s="1167"/>
      <c r="AT606" s="1167"/>
      <c r="AU606" s="1168"/>
      <c r="AV606" s="1168"/>
      <c r="AW606" s="1169"/>
      <c r="AX606" s="1169"/>
      <c r="AY606" s="1169"/>
      <c r="AZ606" s="1169"/>
      <c r="BA606" s="1803" t="s">
        <v>4</v>
      </c>
      <c r="BB606" s="1802">
        <v>2009</v>
      </c>
      <c r="BC606" s="1799" t="s">
        <v>15</v>
      </c>
      <c r="BD606" s="1799">
        <v>3</v>
      </c>
      <c r="BE606" s="1800">
        <v>1070775091.5599996</v>
      </c>
      <c r="BF606" s="1801">
        <v>0.10729659239395076</v>
      </c>
      <c r="BG606" s="1799"/>
      <c r="BH606" s="1815" t="s">
        <v>2</v>
      </c>
      <c r="BI606" s="1815" t="s">
        <v>320</v>
      </c>
      <c r="BJ606" s="1799" t="s">
        <v>15</v>
      </c>
      <c r="BK606" s="1799">
        <v>1</v>
      </c>
      <c r="BL606" s="1800">
        <v>39966996676.786247</v>
      </c>
      <c r="BM606" s="1801">
        <v>0.8157986615812427</v>
      </c>
      <c r="BN606" s="1799">
        <v>2015</v>
      </c>
      <c r="BO606" s="1684"/>
      <c r="BP606" s="1696"/>
      <c r="BQ606" s="1169"/>
      <c r="BR606" s="1169"/>
      <c r="BS606" s="1169"/>
      <c r="BT606" s="1169"/>
      <c r="BU606" s="1169"/>
      <c r="BV606" s="1169"/>
      <c r="BW606" s="1169"/>
      <c r="BX606" s="1169"/>
      <c r="BY606" s="1169"/>
      <c r="BZ606" s="1169"/>
      <c r="CA606" s="1169"/>
      <c r="CB606" s="1169"/>
      <c r="CC606" s="1169"/>
      <c r="CD606" s="1169"/>
      <c r="CE606" s="1169"/>
      <c r="CF606" s="1169"/>
      <c r="CG606" s="1169"/>
      <c r="CH606" s="1169"/>
      <c r="CI606" s="1169"/>
      <c r="CJ606" s="1169"/>
      <c r="CK606" s="1169"/>
      <c r="CL606" s="1169"/>
      <c r="CM606" s="1169"/>
      <c r="CN606" s="1169"/>
      <c r="CO606" s="1169"/>
      <c r="CP606" s="1169"/>
      <c r="CQ606" s="1169"/>
      <c r="CR606" s="1169"/>
      <c r="CS606" s="1169"/>
      <c r="CT606" s="1169"/>
      <c r="CU606" s="1169"/>
      <c r="CV606" s="1169"/>
      <c r="CW606" s="1169"/>
      <c r="CX606" s="1169"/>
      <c r="CY606" s="1169"/>
      <c r="CZ606" s="1169"/>
      <c r="DA606" s="1168"/>
      <c r="DB606" s="1168"/>
      <c r="DC606" s="1168"/>
      <c r="DD606" s="1168"/>
      <c r="DE606" s="1168"/>
      <c r="DF606" s="1168"/>
      <c r="DG606" s="1168"/>
      <c r="DH606" s="1168"/>
      <c r="DI606" s="1168"/>
      <c r="DJ606" s="1168"/>
      <c r="DK606" s="1168"/>
      <c r="DL606" s="1168"/>
      <c r="DM606" s="1168"/>
      <c r="DN606" s="1168"/>
      <c r="DO606" s="1168"/>
      <c r="DP606" s="1168"/>
      <c r="DQ606" s="1168"/>
      <c r="DR606" s="1168"/>
      <c r="DS606" s="1168"/>
      <c r="DT606" s="1168"/>
      <c r="DU606" s="1168"/>
      <c r="DV606" s="1168"/>
      <c r="DW606" s="1168"/>
      <c r="DX606" s="1168"/>
      <c r="DY606" s="1168"/>
      <c r="DZ606" s="1168"/>
      <c r="EA606" s="1168"/>
      <c r="EB606" s="1168"/>
      <c r="EC606" s="1168"/>
      <c r="ED606" s="1168"/>
      <c r="EE606" s="1168"/>
      <c r="EF606" s="1168"/>
      <c r="EG606" s="1168"/>
      <c r="EH606" s="1168"/>
      <c r="EI606" s="1170"/>
      <c r="EJ606" s="1170"/>
      <c r="EK606" s="1170"/>
      <c r="EL606" s="1170"/>
      <c r="EM606" s="1170"/>
      <c r="EN606" s="1170"/>
      <c r="EO606" s="1170"/>
      <c r="EP606" s="1170"/>
      <c r="EQ606" s="1170"/>
      <c r="ER606" s="1170"/>
      <c r="ES606" s="1171"/>
      <c r="ET606" s="1171"/>
      <c r="EU606" s="1171"/>
      <c r="EV606" s="1171"/>
      <c r="EW606" s="1171"/>
      <c r="EX606" s="1171"/>
      <c r="EY606" s="1171"/>
      <c r="EZ606" s="1171"/>
      <c r="FA606" s="1171"/>
      <c r="FB606" s="1171"/>
      <c r="FC606" s="1171"/>
      <c r="FD606" s="1171"/>
      <c r="FE606" s="1171"/>
      <c r="FF606" s="1171"/>
      <c r="FG606" s="1171"/>
      <c r="FH606" s="1171"/>
      <c r="FI606" s="1171"/>
      <c r="FJ606" s="1171"/>
      <c r="FK606" s="1171"/>
      <c r="FL606" s="1171"/>
      <c r="FM606" s="1171"/>
      <c r="FN606" s="1171"/>
      <c r="FO606" s="1171"/>
      <c r="FP606" s="1171"/>
    </row>
    <row r="607" spans="1:172" s="607" customFormat="1">
      <c r="A607" s="607">
        <f t="shared" si="19"/>
        <v>2020</v>
      </c>
      <c r="B607" s="607">
        <f t="shared" si="20"/>
        <v>4</v>
      </c>
      <c r="C607" s="666">
        <v>44136</v>
      </c>
      <c r="D607" s="1709">
        <v>0.72647142857142855</v>
      </c>
      <c r="E607" s="1117">
        <v>271.24777539192365</v>
      </c>
      <c r="F607" s="958">
        <v>373.37707268862522</v>
      </c>
      <c r="G607" s="1117">
        <v>28.053300551264972</v>
      </c>
      <c r="H607" s="1117">
        <v>38.615834632933122</v>
      </c>
      <c r="I607" s="1165">
        <v>1863.4929999999999</v>
      </c>
      <c r="J607" s="1165">
        <v>2586.6999999999998</v>
      </c>
      <c r="K607" s="960">
        <v>125</v>
      </c>
      <c r="L607" s="960">
        <v>172.06457829429925</v>
      </c>
      <c r="M607" s="955">
        <v>15796.05</v>
      </c>
      <c r="N607" s="955">
        <v>21743.525455725325</v>
      </c>
      <c r="O607" s="1176">
        <v>7063.43</v>
      </c>
      <c r="P607" s="1176">
        <v>9722.9288340904186</v>
      </c>
      <c r="Q607" s="1176">
        <v>1914.48</v>
      </c>
      <c r="R607" s="1176">
        <v>2635.3135508229602</v>
      </c>
      <c r="S607" s="1176">
        <v>2669.69</v>
      </c>
      <c r="T607" s="1176">
        <v>3674.8726722120623</v>
      </c>
      <c r="U607" s="1120">
        <v>1290.0892987005232</v>
      </c>
      <c r="V607" s="1120">
        <v>1775.8293691431502</v>
      </c>
      <c r="W607" s="1120">
        <v>2676.8371642941752</v>
      </c>
      <c r="X607" s="1120">
        <v>3684.7108626942809</v>
      </c>
      <c r="Y607" s="1119">
        <v>6965.7633370324129</v>
      </c>
      <c r="Z607" s="961">
        <v>9588.4890486749828</v>
      </c>
      <c r="AA607" s="1119">
        <v>392</v>
      </c>
      <c r="AB607" s="1119">
        <v>539.59451753092253</v>
      </c>
      <c r="AC607" s="1178">
        <v>24.042999999999999</v>
      </c>
      <c r="AD607" s="1178">
        <v>33.54</v>
      </c>
      <c r="AE607" s="1178">
        <v>32238.33</v>
      </c>
      <c r="AF607" s="1178">
        <v>44376.597250899657</v>
      </c>
      <c r="AG607" s="1178">
        <v>913.76199999999994</v>
      </c>
      <c r="AH607" s="1178">
        <v>1282.1199999999999</v>
      </c>
      <c r="AI607" s="1178">
        <v>2353.2379999999998</v>
      </c>
      <c r="AJ607" s="1178">
        <v>3324.56</v>
      </c>
      <c r="AK607" s="919">
        <v>43.22</v>
      </c>
      <c r="AL607" s="919">
        <v>59.351826421312829</v>
      </c>
      <c r="AM607" s="919">
        <v>41.24</v>
      </c>
      <c r="AN607" s="919">
        <v>56.632793188684431</v>
      </c>
      <c r="AO607" s="919">
        <v>5.1965459791884152</v>
      </c>
      <c r="AP607" s="919">
        <v>7.1361521274216084</v>
      </c>
      <c r="AS607" s="1167"/>
      <c r="AT607" s="1167"/>
      <c r="AU607" s="1168"/>
      <c r="AV607" s="1168"/>
      <c r="AW607" s="1169"/>
      <c r="AX607" s="1169"/>
      <c r="AY607" s="1169"/>
      <c r="AZ607" s="1169"/>
      <c r="BA607" s="1803" t="s">
        <v>4</v>
      </c>
      <c r="BB607" s="1802">
        <v>2009</v>
      </c>
      <c r="BC607" s="1799" t="s">
        <v>49</v>
      </c>
      <c r="BD607" s="1799">
        <v>4</v>
      </c>
      <c r="BE607" s="1800">
        <v>1028108470.5899999</v>
      </c>
      <c r="BF607" s="1801">
        <v>0.10302120060053908</v>
      </c>
      <c r="BG607" s="1799"/>
      <c r="BH607" s="1815" t="s">
        <v>2</v>
      </c>
      <c r="BI607" s="1815" t="s">
        <v>320</v>
      </c>
      <c r="BJ607" s="1799" t="s">
        <v>20</v>
      </c>
      <c r="BK607" s="1799">
        <v>2</v>
      </c>
      <c r="BL607" s="1800">
        <v>4779371529.131134</v>
      </c>
      <c r="BM607" s="1801">
        <v>9.755561390304085E-2</v>
      </c>
      <c r="BN607" s="1799">
        <v>2015</v>
      </c>
      <c r="BO607" s="1684"/>
      <c r="BP607" s="1696"/>
      <c r="BQ607" s="1169"/>
      <c r="BR607" s="1169"/>
      <c r="BS607" s="1169"/>
      <c r="BT607" s="1169"/>
      <c r="BU607" s="1169"/>
      <c r="BV607" s="1169"/>
      <c r="BW607" s="1169"/>
      <c r="BX607" s="1169"/>
      <c r="BY607" s="1169"/>
      <c r="BZ607" s="1169"/>
      <c r="CA607" s="1169"/>
      <c r="CB607" s="1169"/>
      <c r="CC607" s="1169"/>
      <c r="CD607" s="1169"/>
      <c r="CE607" s="1169"/>
      <c r="CF607" s="1169"/>
      <c r="CG607" s="1169"/>
      <c r="CH607" s="1169"/>
      <c r="CI607" s="1169"/>
      <c r="CJ607" s="1169"/>
      <c r="CK607" s="1169"/>
      <c r="CL607" s="1169"/>
      <c r="CM607" s="1169"/>
      <c r="CN607" s="1169"/>
      <c r="CO607" s="1169"/>
      <c r="CP607" s="1169"/>
      <c r="CQ607" s="1169"/>
      <c r="CR607" s="1169"/>
      <c r="CS607" s="1169"/>
      <c r="CT607" s="1169"/>
      <c r="CU607" s="1169"/>
      <c r="CV607" s="1169"/>
      <c r="CW607" s="1169"/>
      <c r="CX607" s="1169"/>
      <c r="CY607" s="1169"/>
      <c r="CZ607" s="1169"/>
      <c r="DA607" s="1168"/>
      <c r="DB607" s="1168"/>
      <c r="DC607" s="1168"/>
      <c r="DD607" s="1168"/>
      <c r="DE607" s="1168"/>
      <c r="DF607" s="1168"/>
      <c r="DG607" s="1168"/>
      <c r="DH607" s="1168"/>
      <c r="DI607" s="1168"/>
      <c r="DJ607" s="1168"/>
      <c r="DK607" s="1168"/>
      <c r="DL607" s="1168"/>
      <c r="DM607" s="1168"/>
      <c r="DN607" s="1168"/>
      <c r="DO607" s="1168"/>
      <c r="DP607" s="1168"/>
      <c r="DQ607" s="1168"/>
      <c r="DR607" s="1168"/>
      <c r="DS607" s="1168"/>
      <c r="DT607" s="1168"/>
      <c r="DU607" s="1168"/>
      <c r="DV607" s="1168"/>
      <c r="DW607" s="1168"/>
      <c r="DX607" s="1168"/>
      <c r="DY607" s="1168"/>
      <c r="DZ607" s="1168"/>
      <c r="EA607" s="1168"/>
      <c r="EB607" s="1168"/>
      <c r="EC607" s="1168"/>
      <c r="ED607" s="1168"/>
      <c r="EE607" s="1168"/>
      <c r="EF607" s="1168"/>
      <c r="EG607" s="1168"/>
      <c r="EH607" s="1168"/>
      <c r="EI607" s="1170"/>
      <c r="EJ607" s="1170"/>
      <c r="EK607" s="1170"/>
      <c r="EL607" s="1170"/>
      <c r="EM607" s="1170"/>
      <c r="EN607" s="1170"/>
      <c r="EO607" s="1170"/>
      <c r="EP607" s="1170"/>
      <c r="EQ607" s="1170"/>
      <c r="ER607" s="1170"/>
      <c r="ES607" s="1171"/>
      <c r="ET607" s="1171"/>
      <c r="EU607" s="1171"/>
      <c r="EV607" s="1171"/>
      <c r="EW607" s="1171"/>
      <c r="EX607" s="1171"/>
      <c r="EY607" s="1171"/>
      <c r="EZ607" s="1171"/>
      <c r="FA607" s="1171"/>
      <c r="FB607" s="1171"/>
      <c r="FC607" s="1171"/>
      <c r="FD607" s="1171"/>
      <c r="FE607" s="1171"/>
      <c r="FF607" s="1171"/>
      <c r="FG607" s="1171"/>
      <c r="FH607" s="1171"/>
      <c r="FI607" s="1171"/>
      <c r="FJ607" s="1171"/>
      <c r="FK607" s="1171"/>
      <c r="FL607" s="1171"/>
      <c r="FM607" s="1171"/>
      <c r="FN607" s="1171"/>
      <c r="FO607" s="1171"/>
      <c r="FP607" s="1171"/>
    </row>
    <row r="608" spans="1:172" s="607" customFormat="1">
      <c r="A608" s="607">
        <f t="shared" si="19"/>
        <v>2020</v>
      </c>
      <c r="B608" s="607">
        <f t="shared" si="20"/>
        <v>4</v>
      </c>
      <c r="C608" s="666">
        <v>44166</v>
      </c>
      <c r="D608" s="957">
        <v>0.75204761904761896</v>
      </c>
      <c r="E608" s="920">
        <v>277.59233865007815</v>
      </c>
      <c r="F608" s="954">
        <v>369.11537463760158</v>
      </c>
      <c r="G608" s="920">
        <v>28.411284823706094</v>
      </c>
      <c r="H608" s="920">
        <v>37.778571601204838</v>
      </c>
      <c r="I608" s="1166">
        <v>1855.9549999999999</v>
      </c>
      <c r="J608" s="1166">
        <v>2472.54</v>
      </c>
      <c r="K608" s="954">
        <v>156</v>
      </c>
      <c r="L608" s="954">
        <v>207.43367314633068</v>
      </c>
      <c r="M608" s="1166">
        <v>16807.05</v>
      </c>
      <c r="N608" s="1166">
        <v>22348.385360602799</v>
      </c>
      <c r="O608" s="1166">
        <v>7755.24</v>
      </c>
      <c r="P608" s="1166">
        <v>10312.166149559933</v>
      </c>
      <c r="Q608" s="1166">
        <v>2018.6</v>
      </c>
      <c r="R608" s="1166">
        <v>2684.1385423921993</v>
      </c>
      <c r="S608" s="1166">
        <v>2782.36</v>
      </c>
      <c r="T608" s="1166">
        <v>3699.7125308681066</v>
      </c>
      <c r="U608" s="1166">
        <v>1147.23052314037</v>
      </c>
      <c r="V608" s="1166">
        <v>1525.4759061576503</v>
      </c>
      <c r="W608" s="1166">
        <v>2718.4900191980423</v>
      </c>
      <c r="X608" s="1166">
        <v>3614.7844236787751</v>
      </c>
      <c r="Y608" s="1166">
        <v>7073.6607804063178</v>
      </c>
      <c r="Z608" s="957">
        <v>9405.8681940437345</v>
      </c>
      <c r="AA608" s="1166">
        <v>396.74</v>
      </c>
      <c r="AB608" s="1166">
        <v>527.54638130817455</v>
      </c>
      <c r="AC608" s="1166">
        <v>24.887</v>
      </c>
      <c r="AD608" s="1166">
        <v>33.299999999999997</v>
      </c>
      <c r="AE608" s="1166">
        <v>31890.71</v>
      </c>
      <c r="AF608" s="1166">
        <v>42405.173811182176</v>
      </c>
      <c r="AG608" s="1166">
        <v>1025.895</v>
      </c>
      <c r="AH608" s="1166">
        <v>1392.49</v>
      </c>
      <c r="AI608" s="1166">
        <v>2345.0529999999999</v>
      </c>
      <c r="AJ608" s="1166">
        <v>3189.74</v>
      </c>
      <c r="AK608" s="1166">
        <v>49.87</v>
      </c>
      <c r="AL608" s="1166">
        <v>66.158132130538604</v>
      </c>
      <c r="AM608" s="1166">
        <v>49.55</v>
      </c>
      <c r="AN608" s="1166">
        <v>65.733616343857776</v>
      </c>
      <c r="AO608" s="1166">
        <v>5.7800438005380972</v>
      </c>
      <c r="AP608" s="1166">
        <v>7.6678745032344082</v>
      </c>
      <c r="AS608" s="1167"/>
      <c r="AT608" s="1167"/>
      <c r="AU608" s="1168"/>
      <c r="AV608" s="1168"/>
      <c r="AW608" s="1169"/>
      <c r="AX608" s="1169"/>
      <c r="AY608" s="1169"/>
      <c r="AZ608" s="1169"/>
      <c r="BA608" s="1803" t="s">
        <v>4</v>
      </c>
      <c r="BB608" s="1802">
        <v>2009</v>
      </c>
      <c r="BC608" s="1799" t="s">
        <v>28</v>
      </c>
      <c r="BD608" s="1799">
        <v>5</v>
      </c>
      <c r="BE608" s="1800">
        <v>366451537.58000004</v>
      </c>
      <c r="BF608" s="1801">
        <v>3.6720130650942207E-2</v>
      </c>
      <c r="BG608" s="1799"/>
      <c r="BH608" s="1815" t="s">
        <v>2</v>
      </c>
      <c r="BI608" s="1815" t="s">
        <v>320</v>
      </c>
      <c r="BJ608" s="1799" t="s">
        <v>581</v>
      </c>
      <c r="BK608" s="1799">
        <v>3</v>
      </c>
      <c r="BL608" s="1800">
        <v>2930892424.5567236</v>
      </c>
      <c r="BM608" s="1801">
        <v>5.9824813371096679E-2</v>
      </c>
      <c r="BN608" s="1799">
        <v>2015</v>
      </c>
      <c r="BO608" s="1684"/>
      <c r="BP608" s="1696"/>
      <c r="BQ608" s="1169"/>
      <c r="BR608" s="1169"/>
      <c r="BS608" s="1169"/>
      <c r="BT608" s="1169"/>
      <c r="BU608" s="1169"/>
      <c r="BV608" s="1169"/>
      <c r="BW608" s="1169"/>
      <c r="BX608" s="1169"/>
      <c r="BY608" s="1169"/>
      <c r="BZ608" s="1169"/>
      <c r="CA608" s="1169"/>
      <c r="CB608" s="1169"/>
      <c r="CC608" s="1169"/>
      <c r="CD608" s="1169"/>
      <c r="CE608" s="1169"/>
      <c r="CF608" s="1169"/>
      <c r="CG608" s="1169"/>
      <c r="CH608" s="1169"/>
      <c r="CI608" s="1169"/>
      <c r="CJ608" s="1169"/>
      <c r="CK608" s="1169"/>
      <c r="CL608" s="1169"/>
      <c r="CM608" s="1169"/>
      <c r="CN608" s="1169"/>
      <c r="CO608" s="1169"/>
      <c r="CP608" s="1169"/>
      <c r="CQ608" s="1169"/>
      <c r="CR608" s="1169"/>
      <c r="CS608" s="1169"/>
      <c r="CT608" s="1169"/>
      <c r="CU608" s="1169"/>
      <c r="CV608" s="1169"/>
      <c r="CW608" s="1169"/>
      <c r="CX608" s="1169"/>
      <c r="CY608" s="1169"/>
      <c r="CZ608" s="1169"/>
      <c r="DA608" s="1168"/>
      <c r="DB608" s="1168"/>
      <c r="DC608" s="1168"/>
      <c r="DD608" s="1168"/>
      <c r="DE608" s="1168"/>
      <c r="DF608" s="1168"/>
      <c r="DG608" s="1168"/>
      <c r="DH608" s="1168"/>
      <c r="DI608" s="1168"/>
      <c r="DJ608" s="1168"/>
      <c r="DK608" s="1168"/>
      <c r="DL608" s="1168"/>
      <c r="DM608" s="1168"/>
      <c r="DN608" s="1168"/>
      <c r="DO608" s="1168"/>
      <c r="DP608" s="1168"/>
      <c r="DQ608" s="1168"/>
      <c r="DR608" s="1168"/>
      <c r="DS608" s="1168"/>
      <c r="DT608" s="1168"/>
      <c r="DU608" s="1168"/>
      <c r="DV608" s="1168"/>
      <c r="DW608" s="1168"/>
      <c r="DX608" s="1168"/>
      <c r="DY608" s="1168"/>
      <c r="DZ608" s="1168"/>
      <c r="EA608" s="1168"/>
      <c r="EB608" s="1168"/>
      <c r="EC608" s="1168"/>
      <c r="ED608" s="1168"/>
      <c r="EE608" s="1168"/>
      <c r="EF608" s="1168"/>
      <c r="EG608" s="1168"/>
      <c r="EH608" s="1168"/>
      <c r="EI608" s="1170"/>
      <c r="EJ608" s="1170"/>
      <c r="EK608" s="1170"/>
      <c r="EL608" s="1170"/>
      <c r="EM608" s="1170"/>
      <c r="EN608" s="1170"/>
      <c r="EO608" s="1170"/>
      <c r="EP608" s="1170"/>
      <c r="EQ608" s="1170"/>
      <c r="ER608" s="1170"/>
      <c r="ES608" s="1171"/>
      <c r="ET608" s="1171"/>
      <c r="EU608" s="1171"/>
      <c r="EV608" s="1171"/>
      <c r="EW608" s="1171"/>
      <c r="EX608" s="1171"/>
      <c r="EY608" s="1171"/>
      <c r="EZ608" s="1171"/>
      <c r="FA608" s="1171"/>
      <c r="FB608" s="1171"/>
      <c r="FC608" s="1171"/>
      <c r="FD608" s="1171"/>
      <c r="FE608" s="1171"/>
      <c r="FF608" s="1171"/>
      <c r="FG608" s="1171"/>
      <c r="FH608" s="1171"/>
      <c r="FI608" s="1171"/>
      <c r="FJ608" s="1171"/>
      <c r="FK608" s="1171"/>
      <c r="FL608" s="1171"/>
      <c r="FM608" s="1171"/>
      <c r="FN608" s="1171"/>
      <c r="FO608" s="1171"/>
      <c r="FP608" s="1171"/>
    </row>
    <row r="609" spans="1:172" s="1331" customFormat="1">
      <c r="A609" s="1346">
        <f t="shared" si="19"/>
        <v>2021</v>
      </c>
      <c r="B609" s="1346">
        <f t="shared" si="20"/>
        <v>1</v>
      </c>
      <c r="C609" s="1173">
        <v>44197</v>
      </c>
      <c r="D609" s="1712">
        <v>0.77258421052631587</v>
      </c>
      <c r="E609" s="1337">
        <v>290.96031566347619</v>
      </c>
      <c r="F609" s="1337">
        <v>376.60660378402264</v>
      </c>
      <c r="G609" s="1117">
        <v>28.520360781558029</v>
      </c>
      <c r="H609" s="1117">
        <v>36.915536705220518</v>
      </c>
      <c r="I609" s="1165">
        <v>1866.9849999999999</v>
      </c>
      <c r="J609" s="1165">
        <v>2420.9499999999998</v>
      </c>
      <c r="K609" s="1121">
        <v>168</v>
      </c>
      <c r="L609" s="1121">
        <v>217.45202362542659</v>
      </c>
      <c r="M609" s="916">
        <v>17847.599999999999</v>
      </c>
      <c r="N609" s="916">
        <v>23101.171052721213</v>
      </c>
      <c r="O609" s="1174">
        <v>7970.5</v>
      </c>
      <c r="P609" s="1174">
        <v>10316.674728014659</v>
      </c>
      <c r="Q609" s="1174">
        <v>2014.93</v>
      </c>
      <c r="R609" s="1174">
        <v>2608.0393212117906</v>
      </c>
      <c r="S609" s="1174">
        <v>2707.7</v>
      </c>
      <c r="T609" s="1174">
        <v>3504.7312164914738</v>
      </c>
      <c r="U609" s="1120">
        <v>1325.7951260766774</v>
      </c>
      <c r="V609" s="1120">
        <v>1716.0525778458398</v>
      </c>
      <c r="W609" s="1120">
        <v>2792.7253701906902</v>
      </c>
      <c r="X609" s="1120">
        <v>3614.7844236787751</v>
      </c>
      <c r="Y609" s="1119">
        <v>7983.8371568955763</v>
      </c>
      <c r="Z609" s="1119">
        <v>10333.937774183427</v>
      </c>
      <c r="AA609" s="1119">
        <v>417.75</v>
      </c>
      <c r="AB609" s="1119">
        <v>540.71775517572598</v>
      </c>
      <c r="AC609" s="1178">
        <v>25.896999999999998</v>
      </c>
      <c r="AD609" s="1178">
        <v>33.67</v>
      </c>
      <c r="AE609" s="1178">
        <v>37691.5</v>
      </c>
      <c r="AF609" s="1178">
        <v>48786.267550462901</v>
      </c>
      <c r="AG609" s="1178">
        <v>1090.95</v>
      </c>
      <c r="AH609" s="1178">
        <v>1432.62</v>
      </c>
      <c r="AI609" s="1178">
        <v>2378.1</v>
      </c>
      <c r="AJ609" s="1178">
        <v>3153.94</v>
      </c>
      <c r="AK609" s="919">
        <v>54.55</v>
      </c>
      <c r="AL609" s="919">
        <v>70.607189814089409</v>
      </c>
      <c r="AM609" s="919">
        <v>55.49</v>
      </c>
      <c r="AN609" s="919">
        <v>71.823885660565011</v>
      </c>
      <c r="AO609" s="919">
        <v>6.3589640738110358</v>
      </c>
      <c r="AP609" s="919">
        <v>8.2307714643547403</v>
      </c>
      <c r="AS609" s="1342"/>
      <c r="AT609" s="1342"/>
      <c r="AU609" s="1343"/>
      <c r="AV609" s="1343"/>
      <c r="AW609" s="1345"/>
      <c r="AX609" s="1345"/>
      <c r="AY609" s="1345"/>
      <c r="AZ609" s="1345"/>
      <c r="BA609" s="1803" t="s">
        <v>4</v>
      </c>
      <c r="BB609" s="1802">
        <v>2009</v>
      </c>
      <c r="BC609" s="1799" t="s">
        <v>73</v>
      </c>
      <c r="BD609" s="1799">
        <v>6</v>
      </c>
      <c r="BE609" s="1800">
        <v>260725064.34</v>
      </c>
      <c r="BF609" s="1801">
        <v>2.6125851428444462E-2</v>
      </c>
      <c r="BG609" s="1799"/>
      <c r="BH609" s="1815" t="s">
        <v>2</v>
      </c>
      <c r="BI609" s="1815" t="s">
        <v>320</v>
      </c>
      <c r="BJ609" s="1799" t="s">
        <v>583</v>
      </c>
      <c r="BK609" s="1799">
        <v>4</v>
      </c>
      <c r="BL609" s="1800">
        <v>1044629323.0914229</v>
      </c>
      <c r="BM609" s="1801">
        <v>2.1322773150014643E-2</v>
      </c>
      <c r="BN609" s="1799">
        <v>2015</v>
      </c>
      <c r="BO609" s="1686"/>
      <c r="BP609" s="1696"/>
      <c r="BQ609" s="1345"/>
      <c r="BR609" s="1345"/>
      <c r="BS609" s="1345"/>
      <c r="BT609" s="1345"/>
      <c r="BU609" s="1345"/>
      <c r="BV609" s="1345"/>
      <c r="BW609" s="1345"/>
      <c r="BX609" s="1345"/>
      <c r="BY609" s="1345"/>
      <c r="BZ609" s="1345"/>
      <c r="CA609" s="1345"/>
      <c r="CB609" s="1345"/>
      <c r="CC609" s="1345"/>
      <c r="CD609" s="1345"/>
      <c r="CE609" s="1345"/>
      <c r="CF609" s="1345"/>
      <c r="CG609" s="1345"/>
      <c r="CH609" s="1345"/>
      <c r="CI609" s="1345"/>
      <c r="CJ609" s="1345"/>
      <c r="CK609" s="1345"/>
      <c r="CL609" s="1345"/>
      <c r="CM609" s="1345"/>
      <c r="CN609" s="1345"/>
      <c r="CO609" s="1345"/>
      <c r="CP609" s="1345"/>
      <c r="CQ609" s="1345"/>
      <c r="CR609" s="1345"/>
      <c r="CS609" s="1345"/>
      <c r="CT609" s="1345"/>
      <c r="CU609" s="1345"/>
      <c r="CV609" s="1345"/>
      <c r="CW609" s="1345"/>
      <c r="CX609" s="1345"/>
      <c r="CY609" s="1345"/>
      <c r="CZ609" s="1345"/>
      <c r="DA609" s="1343"/>
      <c r="DB609" s="1343"/>
      <c r="DC609" s="1343"/>
      <c r="DD609" s="1343"/>
      <c r="DE609" s="1343"/>
      <c r="DF609" s="1343"/>
      <c r="DG609" s="1343"/>
      <c r="DH609" s="1343"/>
      <c r="DI609" s="1343"/>
      <c r="DJ609" s="1343"/>
      <c r="DK609" s="1343"/>
      <c r="DL609" s="1343"/>
      <c r="DM609" s="1343"/>
      <c r="DN609" s="1343"/>
      <c r="DO609" s="1343"/>
      <c r="DP609" s="1343"/>
      <c r="DQ609" s="1343"/>
      <c r="DR609" s="1343"/>
      <c r="DS609" s="1343"/>
      <c r="DT609" s="1343"/>
      <c r="DU609" s="1343"/>
      <c r="DV609" s="1343"/>
      <c r="DW609" s="1343"/>
      <c r="DX609" s="1343"/>
      <c r="DY609" s="1343"/>
      <c r="DZ609" s="1343"/>
      <c r="EA609" s="1343"/>
      <c r="EB609" s="1343"/>
      <c r="EC609" s="1343"/>
      <c r="ED609" s="1343"/>
      <c r="EE609" s="1343"/>
      <c r="EF609" s="1343"/>
      <c r="EG609" s="1343"/>
      <c r="EH609" s="1343"/>
      <c r="EI609" s="1343"/>
      <c r="EJ609" s="1343"/>
      <c r="EK609" s="1343"/>
      <c r="EL609" s="1343"/>
      <c r="EM609" s="1343"/>
      <c r="EN609" s="1343"/>
      <c r="EO609" s="1343"/>
      <c r="EP609" s="1343"/>
      <c r="EQ609" s="1343"/>
      <c r="ER609" s="1343"/>
    </row>
    <row r="610" spans="1:172" s="607" customFormat="1">
      <c r="A610" s="1347">
        <f t="shared" si="19"/>
        <v>2021</v>
      </c>
      <c r="B610" s="1347">
        <f t="shared" si="20"/>
        <v>1</v>
      </c>
      <c r="C610" s="1173">
        <v>44228</v>
      </c>
      <c r="D610" s="1166">
        <v>0.77545499999999989</v>
      </c>
      <c r="E610" s="920">
        <v>297.85058503507719</v>
      </c>
      <c r="F610" s="917">
        <v>384.0978329304437</v>
      </c>
      <c r="G610" s="920">
        <v>28.21141516790291</v>
      </c>
      <c r="H610" s="917">
        <v>36.380467168182442</v>
      </c>
      <c r="I610" s="1166">
        <v>1808.175</v>
      </c>
      <c r="J610" s="1166">
        <v>2340.19</v>
      </c>
      <c r="K610" s="920">
        <v>165.36</v>
      </c>
      <c r="L610" s="1166">
        <v>213.24254792347722</v>
      </c>
      <c r="M610" s="917">
        <v>18568.05</v>
      </c>
      <c r="N610" s="917">
        <v>23944.716327833339</v>
      </c>
      <c r="O610" s="1166">
        <v>8460.25</v>
      </c>
      <c r="P610" s="1166">
        <v>10910.046359879041</v>
      </c>
      <c r="Q610" s="1166">
        <v>2085.75</v>
      </c>
      <c r="R610" s="1166">
        <v>2689.7112018105504</v>
      </c>
      <c r="S610" s="1166">
        <v>2713.2</v>
      </c>
      <c r="T610" s="1166">
        <v>3498.8490628082868</v>
      </c>
      <c r="U610" s="1166">
        <v>1322.139257102034</v>
      </c>
      <c r="V610" s="1166">
        <v>1704.9851469163707</v>
      </c>
      <c r="W610" s="1166">
        <v>2756.9539147751661</v>
      </c>
      <c r="X610" s="1166">
        <v>3555.2726009570724</v>
      </c>
      <c r="Y610" s="1166">
        <v>9250.6835674283484</v>
      </c>
      <c r="Z610" s="957">
        <v>11929.36220338814</v>
      </c>
      <c r="AA610" s="1166">
        <v>434</v>
      </c>
      <c r="AB610" s="1166">
        <v>559.67141871546391</v>
      </c>
      <c r="AC610" s="920">
        <v>27.350999999999999</v>
      </c>
      <c r="AD610" s="920">
        <v>35.5</v>
      </c>
      <c r="AE610" s="920">
        <v>47291.25</v>
      </c>
      <c r="AF610" s="920">
        <v>60985.163549142126</v>
      </c>
      <c r="AG610" s="920">
        <v>1206.7</v>
      </c>
      <c r="AH610" s="920">
        <v>1580.15</v>
      </c>
      <c r="AI610" s="920">
        <v>2345.9499999999998</v>
      </c>
      <c r="AJ610" s="920">
        <v>3106.09</v>
      </c>
      <c r="AK610" s="920">
        <v>61.96</v>
      </c>
      <c r="AL610" s="920">
        <v>79.901477197258401</v>
      </c>
      <c r="AM610" s="920">
        <v>63.02</v>
      </c>
      <c r="AN610" s="920">
        <v>81.268416607024278</v>
      </c>
      <c r="AO610" s="920">
        <v>6.3349208445330447</v>
      </c>
      <c r="AP610" s="920">
        <v>8.1692952454146859</v>
      </c>
      <c r="AR610" s="1331"/>
      <c r="AS610" s="1167"/>
      <c r="AT610" s="1167"/>
      <c r="AU610" s="1168"/>
      <c r="AV610" s="1168"/>
      <c r="AW610" s="1169"/>
      <c r="AX610" s="1169"/>
      <c r="AY610" s="1169"/>
      <c r="AZ610" s="1169"/>
      <c r="BA610" s="1803" t="s">
        <v>4</v>
      </c>
      <c r="BB610" s="1802">
        <v>2009</v>
      </c>
      <c r="BC610" s="1799" t="s">
        <v>18</v>
      </c>
      <c r="BD610" s="1799">
        <v>7</v>
      </c>
      <c r="BE610" s="1800">
        <v>205126908.61999995</v>
      </c>
      <c r="BF610" s="1801">
        <v>2.0554660335968457E-2</v>
      </c>
      <c r="BG610" s="1799"/>
      <c r="BH610" s="1815" t="s">
        <v>2</v>
      </c>
      <c r="BI610" s="1815" t="s">
        <v>320</v>
      </c>
      <c r="BJ610" s="1799" t="s">
        <v>19</v>
      </c>
      <c r="BK610" s="1799">
        <v>5</v>
      </c>
      <c r="BL610" s="1800">
        <v>182006724.85292566</v>
      </c>
      <c r="BM610" s="1801">
        <v>3.7150863182082265E-3</v>
      </c>
      <c r="BN610" s="1799">
        <v>2015</v>
      </c>
      <c r="BO610" s="1684"/>
      <c r="BP610" s="1696"/>
      <c r="BQ610" s="1169"/>
      <c r="BR610" s="1169"/>
      <c r="BS610" s="1169"/>
      <c r="BT610" s="1169"/>
      <c r="BU610" s="1169"/>
      <c r="BV610" s="1169"/>
      <c r="BW610" s="1169"/>
      <c r="BX610" s="1169"/>
      <c r="BY610" s="1169"/>
      <c r="BZ610" s="1169"/>
      <c r="CA610" s="1169"/>
      <c r="CB610" s="1169"/>
      <c r="CC610" s="1169"/>
      <c r="CD610" s="1169"/>
      <c r="CE610" s="1169"/>
      <c r="CF610" s="1169"/>
      <c r="CG610" s="1169"/>
      <c r="CH610" s="1169"/>
      <c r="CI610" s="1169"/>
      <c r="CJ610" s="1169"/>
      <c r="CK610" s="1169"/>
      <c r="CL610" s="1169"/>
      <c r="CM610" s="1169"/>
      <c r="CN610" s="1169"/>
      <c r="CO610" s="1169"/>
      <c r="CP610" s="1169"/>
      <c r="CQ610" s="1169"/>
      <c r="CR610" s="1169"/>
      <c r="CS610" s="1169"/>
      <c r="CT610" s="1169"/>
      <c r="CU610" s="1169"/>
      <c r="CV610" s="1169"/>
      <c r="CW610" s="1169"/>
      <c r="CX610" s="1169"/>
      <c r="CY610" s="1169"/>
      <c r="CZ610" s="1169"/>
      <c r="DA610" s="1168"/>
      <c r="DB610" s="1168"/>
      <c r="DC610" s="1168"/>
      <c r="DD610" s="1168"/>
      <c r="DE610" s="1168"/>
      <c r="DF610" s="1168"/>
      <c r="DG610" s="1168"/>
      <c r="DH610" s="1168"/>
      <c r="DI610" s="1168"/>
      <c r="DJ610" s="1168"/>
      <c r="DK610" s="1168"/>
      <c r="DL610" s="1168"/>
      <c r="DM610" s="1168"/>
      <c r="DN610" s="1168"/>
      <c r="DO610" s="1168"/>
      <c r="DP610" s="1168"/>
      <c r="DQ610" s="1168"/>
      <c r="DR610" s="1168"/>
      <c r="DS610" s="1168"/>
      <c r="DT610" s="1168"/>
      <c r="DU610" s="1168"/>
      <c r="DV610" s="1168"/>
      <c r="DW610" s="1168"/>
      <c r="DX610" s="1168"/>
      <c r="DY610" s="1168"/>
      <c r="DZ610" s="1168"/>
      <c r="EA610" s="1168"/>
      <c r="EB610" s="1168"/>
      <c r="EC610" s="1168"/>
      <c r="ED610" s="1168"/>
      <c r="EE610" s="1168"/>
      <c r="EF610" s="1168"/>
      <c r="EG610" s="1168"/>
      <c r="EH610" s="1168"/>
      <c r="EI610" s="1170"/>
      <c r="EJ610" s="1170"/>
      <c r="EK610" s="1170"/>
      <c r="EL610" s="1170"/>
      <c r="EM610" s="1170"/>
      <c r="EN610" s="1170"/>
      <c r="EO610" s="1170"/>
      <c r="EP610" s="1170"/>
      <c r="EQ610" s="1170"/>
      <c r="ER610" s="1170"/>
      <c r="ES610" s="1171"/>
      <c r="ET610" s="1171"/>
      <c r="EU610" s="1171"/>
      <c r="EV610" s="1171"/>
      <c r="EW610" s="1171"/>
      <c r="EX610" s="1171"/>
      <c r="EY610" s="1171"/>
      <c r="EZ610" s="1171"/>
      <c r="FA610" s="1171"/>
      <c r="FB610" s="1171"/>
      <c r="FC610" s="1171"/>
      <c r="FD610" s="1171"/>
      <c r="FE610" s="1171"/>
      <c r="FF610" s="1171"/>
      <c r="FG610" s="1171"/>
      <c r="FH610" s="1171"/>
      <c r="FI610" s="1171"/>
      <c r="FJ610" s="1171"/>
      <c r="FK610" s="1171"/>
      <c r="FL610" s="1171"/>
      <c r="FM610" s="1171"/>
      <c r="FN610" s="1171"/>
      <c r="FO610" s="1171"/>
      <c r="FP610" s="1171"/>
    </row>
    <row r="611" spans="1:172" s="1171" customFormat="1">
      <c r="A611" s="1347">
        <f t="shared" si="19"/>
        <v>2021</v>
      </c>
      <c r="B611" s="1347">
        <f t="shared" si="20"/>
        <v>1</v>
      </c>
      <c r="C611" s="1173">
        <v>44256</v>
      </c>
      <c r="D611" s="1712">
        <v>0.77108260869565215</v>
      </c>
      <c r="E611" s="1117">
        <v>307.13817390562298</v>
      </c>
      <c r="F611" s="1117">
        <v>398.32071225827769</v>
      </c>
      <c r="G611" s="1117">
        <v>28.840846271259664</v>
      </c>
      <c r="H611" s="1117">
        <v>37.40305636000047</v>
      </c>
      <c r="I611" s="1165">
        <v>1718.2280000000001</v>
      </c>
      <c r="J611" s="1165">
        <v>2241.92</v>
      </c>
      <c r="K611" s="1121">
        <v>166.9</v>
      </c>
      <c r="L611" s="1121">
        <v>216.44892274554692</v>
      </c>
      <c r="M611" s="916">
        <v>16460.740000000002</v>
      </c>
      <c r="N611" s="916">
        <v>21347.5700455035</v>
      </c>
      <c r="O611" s="1176">
        <v>9004.98</v>
      </c>
      <c r="P611" s="1176">
        <v>11678.359618605124</v>
      </c>
      <c r="Q611" s="1176">
        <v>1960.76</v>
      </c>
      <c r="R611" s="1176">
        <v>2542.8663257193443</v>
      </c>
      <c r="S611" s="1176">
        <v>2791.65</v>
      </c>
      <c r="T611" s="1176">
        <v>3620.4292102013546</v>
      </c>
      <c r="U611" s="1120">
        <v>1194.640479064775</v>
      </c>
      <c r="V611" s="1120">
        <v>1549.3028445883442</v>
      </c>
      <c r="W611" s="1120">
        <v>2750.3757267568735</v>
      </c>
      <c r="X611" s="1120">
        <v>3566.9015170882326</v>
      </c>
      <c r="Y611" s="1119">
        <v>10499.060123891291</v>
      </c>
      <c r="Z611" s="961">
        <v>13615.999123169553</v>
      </c>
      <c r="AA611" s="1119">
        <v>482.87</v>
      </c>
      <c r="AB611" s="1119">
        <v>626.2234351476468</v>
      </c>
      <c r="AC611" s="1178">
        <v>25.613</v>
      </c>
      <c r="AD611" s="1178">
        <v>33.56</v>
      </c>
      <c r="AE611" s="1178">
        <v>52466.52</v>
      </c>
      <c r="AF611" s="1178">
        <v>68042.670666313308</v>
      </c>
      <c r="AG611" s="1178">
        <v>1181</v>
      </c>
      <c r="AH611" s="1178">
        <v>1558.54</v>
      </c>
      <c r="AI611" s="1178">
        <v>2480.261</v>
      </c>
      <c r="AJ611" s="1178">
        <v>3292.73</v>
      </c>
      <c r="AK611" s="919">
        <v>65.19</v>
      </c>
      <c r="AL611" s="919">
        <v>84.543470783596192</v>
      </c>
      <c r="AM611" s="919">
        <v>66.459999999999994</v>
      </c>
      <c r="AN611" s="919">
        <v>86.19050572599788</v>
      </c>
      <c r="AO611" s="919">
        <v>6.0511350846434482</v>
      </c>
      <c r="AP611" s="919">
        <v>7.8475834059847713</v>
      </c>
      <c r="AR611" s="1331"/>
      <c r="AS611" s="1167"/>
      <c r="AT611" s="1167"/>
      <c r="AU611" s="1168"/>
      <c r="AV611" s="1168"/>
      <c r="AW611" s="1169"/>
      <c r="AX611" s="1169"/>
      <c r="AY611" s="1169"/>
      <c r="AZ611" s="1169"/>
      <c r="BA611" s="1803" t="s">
        <v>4</v>
      </c>
      <c r="BB611" s="1802">
        <v>2009</v>
      </c>
      <c r="BC611" s="1799" t="s">
        <v>583</v>
      </c>
      <c r="BD611" s="1799">
        <v>8</v>
      </c>
      <c r="BE611" s="1800">
        <v>178174051.93000004</v>
      </c>
      <c r="BF611" s="1801">
        <v>1.7853860045679446E-2</v>
      </c>
      <c r="BG611" s="1799"/>
      <c r="BH611" s="1815" t="s">
        <v>2</v>
      </c>
      <c r="BI611" s="1815" t="s">
        <v>320</v>
      </c>
      <c r="BJ611" s="1799" t="s">
        <v>32</v>
      </c>
      <c r="BK611" s="1799"/>
      <c r="BL611" s="1800">
        <v>87353931.528845891</v>
      </c>
      <c r="BM611" s="1801">
        <v>1.7830516763968735E-3</v>
      </c>
      <c r="BN611" s="1799">
        <v>2015</v>
      </c>
      <c r="BO611" s="1684"/>
      <c r="BP611" s="1696"/>
      <c r="BQ611" s="1169"/>
      <c r="BR611" s="1169"/>
      <c r="BS611" s="1169"/>
      <c r="BT611" s="1169"/>
      <c r="BU611" s="1169"/>
      <c r="BV611" s="1169"/>
      <c r="BW611" s="1169"/>
      <c r="BX611" s="1169"/>
      <c r="BY611" s="1169"/>
      <c r="BZ611" s="1169"/>
      <c r="CA611" s="1169"/>
      <c r="CB611" s="1169"/>
      <c r="CC611" s="1169"/>
      <c r="CD611" s="1169"/>
      <c r="CE611" s="1169"/>
      <c r="CF611" s="1169"/>
      <c r="CG611" s="1169"/>
      <c r="CH611" s="1169"/>
      <c r="CI611" s="1169"/>
      <c r="CJ611" s="1169"/>
      <c r="CK611" s="1169"/>
      <c r="CL611" s="1169"/>
      <c r="CM611" s="1169"/>
      <c r="CN611" s="1169"/>
      <c r="CO611" s="1169"/>
      <c r="CP611" s="1169"/>
      <c r="CQ611" s="1169"/>
      <c r="CR611" s="1169"/>
      <c r="CS611" s="1169"/>
      <c r="CT611" s="1169"/>
      <c r="CU611" s="1169"/>
      <c r="CV611" s="1169"/>
      <c r="CW611" s="1169"/>
      <c r="CX611" s="1169"/>
      <c r="CY611" s="1169"/>
      <c r="CZ611" s="1169"/>
      <c r="DA611" s="1168"/>
      <c r="DB611" s="1168"/>
      <c r="DC611" s="1168"/>
      <c r="DD611" s="1168"/>
      <c r="DE611" s="1168"/>
      <c r="DF611" s="1168"/>
      <c r="DG611" s="1168"/>
      <c r="DH611" s="1168"/>
      <c r="DI611" s="1168"/>
      <c r="DJ611" s="1168"/>
      <c r="DK611" s="1168"/>
      <c r="DL611" s="1168"/>
      <c r="DM611" s="1168"/>
      <c r="DN611" s="1168"/>
      <c r="DO611" s="1168"/>
      <c r="DP611" s="1168"/>
      <c r="DQ611" s="1168"/>
      <c r="DR611" s="1168"/>
      <c r="DS611" s="1168"/>
      <c r="DT611" s="1168"/>
      <c r="DU611" s="1168"/>
      <c r="DV611" s="1168"/>
      <c r="DW611" s="1168"/>
      <c r="DX611" s="1168"/>
      <c r="DY611" s="1168"/>
      <c r="DZ611" s="1168"/>
      <c r="EA611" s="1168"/>
      <c r="EB611" s="1168"/>
      <c r="EC611" s="1168"/>
      <c r="ED611" s="1168"/>
      <c r="EE611" s="1168"/>
      <c r="EF611" s="1168"/>
      <c r="EG611" s="1168"/>
      <c r="EH611" s="1168"/>
      <c r="EI611" s="1170"/>
      <c r="EJ611" s="1170"/>
      <c r="EK611" s="1170"/>
      <c r="EL611" s="1170"/>
      <c r="EM611" s="1170"/>
      <c r="EN611" s="1170"/>
      <c r="EO611" s="1170"/>
      <c r="EP611" s="1170"/>
      <c r="EQ611" s="1170"/>
      <c r="ER611" s="1170"/>
    </row>
    <row r="612" spans="1:172" s="607" customFormat="1">
      <c r="A612" s="607">
        <f t="shared" si="19"/>
        <v>2021</v>
      </c>
      <c r="B612" s="607">
        <f t="shared" si="20"/>
        <v>2</v>
      </c>
      <c r="C612" s="666">
        <v>44287</v>
      </c>
      <c r="D612" s="957">
        <v>0.77033000000000007</v>
      </c>
      <c r="E612" s="917">
        <v>295.22360925145608</v>
      </c>
      <c r="F612" s="917">
        <v>383.24303772598245</v>
      </c>
      <c r="G612" s="917">
        <v>28.721411588296451</v>
      </c>
      <c r="H612" s="917">
        <v>37.284555435068668</v>
      </c>
      <c r="I612" s="1166">
        <v>1761.6780000000001</v>
      </c>
      <c r="J612" s="1166">
        <v>2289.79</v>
      </c>
      <c r="K612" s="920">
        <v>179.85</v>
      </c>
      <c r="L612" s="1166">
        <v>233.47136941310865</v>
      </c>
      <c r="M612" s="917">
        <v>16480.7</v>
      </c>
      <c r="N612" s="917">
        <v>21394.337491724324</v>
      </c>
      <c r="O612" s="1166">
        <v>9335.5499999999993</v>
      </c>
      <c r="P612" s="1166">
        <v>12118.897096049743</v>
      </c>
      <c r="Q612" s="1166">
        <v>2006.33</v>
      </c>
      <c r="R612" s="1166">
        <v>2604.5071592694035</v>
      </c>
      <c r="S612" s="1166">
        <v>2827.35</v>
      </c>
      <c r="T612" s="1166">
        <v>3670.3101268287614</v>
      </c>
      <c r="U612" s="1166">
        <v>1366.3281138826969</v>
      </c>
      <c r="V612" s="1166">
        <v>1773.6919422620135</v>
      </c>
      <c r="W612" s="1166">
        <v>2838.2698537383149</v>
      </c>
      <c r="X612" s="1166">
        <v>3684.4856798233413</v>
      </c>
      <c r="Y612" s="1166">
        <v>11785.33560363267</v>
      </c>
      <c r="Z612" s="957">
        <v>15299.073908107783</v>
      </c>
      <c r="AA612" s="1166">
        <v>762.95</v>
      </c>
      <c r="AB612" s="1166">
        <v>990.41969026261472</v>
      </c>
      <c r="AC612" s="1166">
        <v>25.64</v>
      </c>
      <c r="AD612" s="1166">
        <v>33.49</v>
      </c>
      <c r="AE612" s="1166">
        <v>48988.25</v>
      </c>
      <c r="AF612" s="1166">
        <v>63593.849389222793</v>
      </c>
      <c r="AG612" s="1166">
        <v>1209.05</v>
      </c>
      <c r="AH612" s="1166">
        <v>1597.95</v>
      </c>
      <c r="AI612" s="1166">
        <v>2782.85</v>
      </c>
      <c r="AJ612" s="1166">
        <v>3647.04</v>
      </c>
      <c r="AK612" s="920">
        <v>64.77</v>
      </c>
      <c r="AL612" s="920">
        <v>84.080848467539866</v>
      </c>
      <c r="AM612" s="920">
        <v>64.650000000000006</v>
      </c>
      <c r="AN612" s="920">
        <v>83.925071073436058</v>
      </c>
      <c r="AO612" s="920">
        <v>6.4718349055047524</v>
      </c>
      <c r="AP612" s="920">
        <v>8.4013798054142406</v>
      </c>
      <c r="AR612" s="1331"/>
      <c r="AS612" s="1167"/>
      <c r="AT612" s="1167"/>
      <c r="AU612" s="1168"/>
      <c r="AV612" s="1168"/>
      <c r="AW612" s="1169"/>
      <c r="AX612" s="1169"/>
      <c r="AY612" s="1169"/>
      <c r="AZ612" s="1169"/>
      <c r="BA612" s="1803" t="s">
        <v>4</v>
      </c>
      <c r="BB612" s="1802">
        <v>2009</v>
      </c>
      <c r="BC612" s="1799" t="s">
        <v>431</v>
      </c>
      <c r="BD612" s="1799">
        <v>9</v>
      </c>
      <c r="BE612" s="1800">
        <v>151547605.91</v>
      </c>
      <c r="BF612" s="1801">
        <v>1.5185767606822605E-2</v>
      </c>
      <c r="BG612" s="1799"/>
      <c r="BH612" s="1815" t="s">
        <v>2</v>
      </c>
      <c r="BI612" s="1815" t="s">
        <v>320</v>
      </c>
      <c r="BJ612" s="1799" t="s">
        <v>249</v>
      </c>
      <c r="BK612" s="1799"/>
      <c r="BL612" s="1800">
        <v>48991250609.947304</v>
      </c>
      <c r="BM612" s="1801"/>
      <c r="BN612" s="1799">
        <v>2015</v>
      </c>
      <c r="BO612" s="1684"/>
      <c r="BP612" s="1696"/>
      <c r="BQ612" s="1169"/>
      <c r="BR612" s="1169"/>
      <c r="BS612" s="1169"/>
      <c r="BT612" s="1169"/>
      <c r="BU612" s="1169"/>
      <c r="BV612" s="1169"/>
      <c r="BW612" s="1169"/>
      <c r="BX612" s="1169"/>
      <c r="BY612" s="1169"/>
      <c r="BZ612" s="1169"/>
      <c r="CA612" s="1169"/>
      <c r="CB612" s="1169"/>
      <c r="CC612" s="1169"/>
      <c r="CD612" s="1169"/>
      <c r="CE612" s="1169"/>
      <c r="CF612" s="1169"/>
      <c r="CG612" s="1169"/>
      <c r="CH612" s="1169"/>
      <c r="CI612" s="1169"/>
      <c r="CJ612" s="1169"/>
      <c r="CK612" s="1169"/>
      <c r="CL612" s="1169"/>
      <c r="CM612" s="1169"/>
      <c r="CN612" s="1169"/>
      <c r="CO612" s="1169"/>
      <c r="CP612" s="1169"/>
      <c r="CQ612" s="1169"/>
      <c r="CR612" s="1169"/>
      <c r="CS612" s="1169"/>
      <c r="CT612" s="1169"/>
      <c r="CU612" s="1169"/>
      <c r="CV612" s="1169"/>
      <c r="CW612" s="1169"/>
      <c r="CX612" s="1169"/>
      <c r="CY612" s="1169"/>
      <c r="CZ612" s="1169"/>
      <c r="DA612" s="1168"/>
      <c r="DB612" s="1168"/>
      <c r="DC612" s="1168"/>
      <c r="DD612" s="1168"/>
      <c r="DE612" s="1168"/>
      <c r="DF612" s="1168"/>
      <c r="DG612" s="1168"/>
      <c r="DH612" s="1168"/>
      <c r="DI612" s="1168"/>
      <c r="DJ612" s="1168"/>
      <c r="DK612" s="1168"/>
      <c r="DL612" s="1168"/>
      <c r="DM612" s="1168"/>
      <c r="DN612" s="1168"/>
      <c r="DO612" s="1168"/>
      <c r="DP612" s="1168"/>
      <c r="DQ612" s="1168"/>
      <c r="DR612" s="1168"/>
      <c r="DS612" s="1168"/>
      <c r="DT612" s="1168"/>
      <c r="DU612" s="1168"/>
      <c r="DV612" s="1168"/>
      <c r="DW612" s="1168"/>
      <c r="DX612" s="1168"/>
      <c r="DY612" s="1168"/>
      <c r="DZ612" s="1168"/>
      <c r="EA612" s="1168"/>
      <c r="EB612" s="1168"/>
      <c r="EC612" s="1168"/>
      <c r="ED612" s="1168"/>
      <c r="EE612" s="1168"/>
      <c r="EF612" s="1168"/>
      <c r="EG612" s="1168"/>
      <c r="EH612" s="1168"/>
      <c r="EI612" s="1170"/>
      <c r="EJ612" s="1170"/>
      <c r="EK612" s="1170"/>
      <c r="EL612" s="1170"/>
      <c r="EM612" s="1170"/>
      <c r="EN612" s="1170"/>
      <c r="EO612" s="1170"/>
      <c r="EP612" s="1170"/>
      <c r="EQ612" s="1170"/>
      <c r="ER612" s="1170"/>
      <c r="ES612" s="1171"/>
      <c r="ET612" s="1171"/>
      <c r="EU612" s="1171"/>
      <c r="EV612" s="1171"/>
      <c r="EW612" s="1171"/>
      <c r="EX612" s="1171"/>
      <c r="EY612" s="1171"/>
      <c r="EZ612" s="1171"/>
      <c r="FA612" s="1171"/>
      <c r="FB612" s="1171"/>
      <c r="FC612" s="1171"/>
      <c r="FD612" s="1171"/>
      <c r="FE612" s="1171"/>
      <c r="FF612" s="1171"/>
      <c r="FG612" s="1171"/>
      <c r="FH612" s="1171"/>
      <c r="FI612" s="1171"/>
      <c r="FJ612" s="1171"/>
      <c r="FK612" s="1171"/>
      <c r="FL612" s="1171"/>
      <c r="FM612" s="1171"/>
      <c r="FN612" s="1171"/>
      <c r="FO612" s="1171"/>
      <c r="FP612" s="1171"/>
    </row>
    <row r="613" spans="1:172" s="607" customFormat="1">
      <c r="A613" s="607">
        <f t="shared" si="19"/>
        <v>2021</v>
      </c>
      <c r="B613" s="607">
        <f t="shared" si="20"/>
        <v>2</v>
      </c>
      <c r="C613" s="666">
        <v>44317</v>
      </c>
      <c r="D613" s="1709">
        <v>0.77594285714285727</v>
      </c>
      <c r="E613" s="1117">
        <v>285.27286095811257</v>
      </c>
      <c r="F613" s="1117">
        <v>367.64673884431613</v>
      </c>
      <c r="G613" s="1117">
        <v>27.227348832372588</v>
      </c>
      <c r="H613" s="1117">
        <v>35.089373633295544</v>
      </c>
      <c r="I613" s="1165">
        <v>1853.2239999999999</v>
      </c>
      <c r="J613" s="1165">
        <v>2385.63</v>
      </c>
      <c r="K613" s="1121">
        <v>205.37</v>
      </c>
      <c r="L613" s="1121">
        <v>264.67155166065243</v>
      </c>
      <c r="M613" s="916">
        <v>17605.740000000002</v>
      </c>
      <c r="N613" s="1172">
        <v>22689.480079534573</v>
      </c>
      <c r="O613" s="1176">
        <v>10183.969999999999</v>
      </c>
      <c r="P613" s="1176">
        <v>13124.639148685466</v>
      </c>
      <c r="Q613" s="1176">
        <v>2185.92</v>
      </c>
      <c r="R613" s="1176">
        <v>2817.1146623462696</v>
      </c>
      <c r="S613" s="1176">
        <v>2970.29</v>
      </c>
      <c r="T613" s="1176">
        <v>3827.9751822667349</v>
      </c>
      <c r="U613" s="1120">
        <v>1383.1526397076739</v>
      </c>
      <c r="V613" s="1120">
        <v>1782.5444579780756</v>
      </c>
      <c r="W613" s="1120">
        <v>2810.18887417526</v>
      </c>
      <c r="X613" s="1120">
        <v>3621.6441047254616</v>
      </c>
      <c r="Y613" s="1119">
        <v>13249.57583026559</v>
      </c>
      <c r="Z613" s="961">
        <v>17075.453054690905</v>
      </c>
      <c r="AA613" s="1119">
        <v>634.74</v>
      </c>
      <c r="AB613" s="1119">
        <v>818.02415494513571</v>
      </c>
      <c r="AC613" s="1178">
        <v>27.463000000000001</v>
      </c>
      <c r="AD613" s="1178">
        <v>35.49</v>
      </c>
      <c r="AE613" s="1178">
        <v>44248.160000000003</v>
      </c>
      <c r="AF613" s="1178">
        <v>57025.023934015757</v>
      </c>
      <c r="AG613" s="1178">
        <v>1214</v>
      </c>
      <c r="AH613" s="1178">
        <v>1587.7</v>
      </c>
      <c r="AI613" s="1178">
        <v>2870.3679999999999</v>
      </c>
      <c r="AJ613" s="1178">
        <v>3780.18</v>
      </c>
      <c r="AK613" s="919">
        <v>68.040000000000006</v>
      </c>
      <c r="AL613" s="919">
        <v>87.686869430738639</v>
      </c>
      <c r="AM613" s="919">
        <v>68.94</v>
      </c>
      <c r="AN613" s="919">
        <v>88.846748656012949</v>
      </c>
      <c r="AO613" s="919">
        <v>6.8173623456454919</v>
      </c>
      <c r="AP613" s="919">
        <v>8.785907728757353</v>
      </c>
      <c r="AR613" s="1331"/>
      <c r="AS613" s="1167"/>
      <c r="AT613" s="1167"/>
      <c r="AU613" s="1168"/>
      <c r="AV613" s="1168"/>
      <c r="AW613" s="1169"/>
      <c r="AX613" s="1169"/>
      <c r="AY613" s="1169"/>
      <c r="AZ613" s="1169"/>
      <c r="BA613" s="1803" t="s">
        <v>4</v>
      </c>
      <c r="BB613" s="1802">
        <v>2009</v>
      </c>
      <c r="BC613" s="1799" t="s">
        <v>21</v>
      </c>
      <c r="BD613" s="1799">
        <v>10</v>
      </c>
      <c r="BE613" s="1800">
        <v>111679785.52000001</v>
      </c>
      <c r="BF613" s="1801">
        <v>1.1190828512947193E-2</v>
      </c>
      <c r="BG613" s="1799"/>
      <c r="BH613" s="1815" t="s">
        <v>2</v>
      </c>
      <c r="BI613" s="1815" t="s">
        <v>319</v>
      </c>
      <c r="BJ613" s="1799" t="s">
        <v>15</v>
      </c>
      <c r="BK613" s="1799">
        <v>1</v>
      </c>
      <c r="BL613" s="1800">
        <v>42923552957.242661</v>
      </c>
      <c r="BM613" s="1801">
        <v>0.7894723012368795</v>
      </c>
      <c r="BN613" s="1799">
        <v>2014</v>
      </c>
      <c r="BO613" s="1684"/>
      <c r="BP613" s="1696"/>
      <c r="BQ613" s="1169"/>
      <c r="BR613" s="1169"/>
      <c r="BS613" s="1169"/>
      <c r="BT613" s="1169"/>
      <c r="BU613" s="1169"/>
      <c r="BV613" s="1169"/>
      <c r="BW613" s="1169"/>
      <c r="BX613" s="1169"/>
      <c r="BY613" s="1169"/>
      <c r="BZ613" s="1169"/>
      <c r="CA613" s="1169"/>
      <c r="CB613" s="1169"/>
      <c r="CC613" s="1169"/>
      <c r="CD613" s="1169"/>
      <c r="CE613" s="1169"/>
      <c r="CF613" s="1169"/>
      <c r="CG613" s="1169"/>
      <c r="CH613" s="1169"/>
      <c r="CI613" s="1169"/>
      <c r="CJ613" s="1169"/>
      <c r="CK613" s="1169"/>
      <c r="CL613" s="1169"/>
      <c r="CM613" s="1169"/>
      <c r="CN613" s="1169"/>
      <c r="CO613" s="1169"/>
      <c r="CP613" s="1169"/>
      <c r="CQ613" s="1169"/>
      <c r="CR613" s="1169"/>
      <c r="CS613" s="1169"/>
      <c r="CT613" s="1169"/>
      <c r="CU613" s="1169"/>
      <c r="CV613" s="1169"/>
      <c r="CW613" s="1169"/>
      <c r="CX613" s="1169"/>
      <c r="CY613" s="1169"/>
      <c r="CZ613" s="1169"/>
      <c r="DA613" s="1168"/>
      <c r="DB613" s="1168"/>
      <c r="DC613" s="1168"/>
      <c r="DD613" s="1168"/>
      <c r="DE613" s="1168"/>
      <c r="DF613" s="1168"/>
      <c r="DG613" s="1168"/>
      <c r="DH613" s="1168"/>
      <c r="DI613" s="1168"/>
      <c r="DJ613" s="1168"/>
      <c r="DK613" s="1168"/>
      <c r="DL613" s="1168"/>
      <c r="DM613" s="1168"/>
      <c r="DN613" s="1168"/>
      <c r="DO613" s="1168"/>
      <c r="DP613" s="1168"/>
      <c r="DQ613" s="1168"/>
      <c r="DR613" s="1168"/>
      <c r="DS613" s="1168"/>
      <c r="DT613" s="1168"/>
      <c r="DU613" s="1168"/>
      <c r="DV613" s="1168"/>
      <c r="DW613" s="1168"/>
      <c r="DX613" s="1168"/>
      <c r="DY613" s="1168"/>
      <c r="DZ613" s="1168"/>
      <c r="EA613" s="1168"/>
      <c r="EB613" s="1168"/>
      <c r="EC613" s="1168"/>
      <c r="ED613" s="1168"/>
      <c r="EE613" s="1168"/>
      <c r="EF613" s="1168"/>
      <c r="EG613" s="1168"/>
      <c r="EH613" s="1168"/>
      <c r="EI613" s="1170"/>
      <c r="EJ613" s="1170"/>
      <c r="EK613" s="1170"/>
      <c r="EL613" s="1170"/>
      <c r="EM613" s="1170"/>
      <c r="EN613" s="1170"/>
      <c r="EO613" s="1170"/>
      <c r="EP613" s="1170"/>
      <c r="EQ613" s="1170"/>
      <c r="ER613" s="1170"/>
      <c r="ES613" s="1171"/>
      <c r="ET613" s="1171"/>
      <c r="EU613" s="1171"/>
      <c r="EV613" s="1171"/>
      <c r="EW613" s="1171"/>
      <c r="EX613" s="1171"/>
      <c r="EY613" s="1171"/>
      <c r="EZ613" s="1171"/>
      <c r="FA613" s="1171"/>
      <c r="FB613" s="1171"/>
      <c r="FC613" s="1171"/>
      <c r="FD613" s="1171"/>
      <c r="FE613" s="1171"/>
      <c r="FF613" s="1171"/>
      <c r="FG613" s="1171"/>
      <c r="FH613" s="1171"/>
      <c r="FI613" s="1171"/>
      <c r="FJ613" s="1171"/>
      <c r="FK613" s="1171"/>
      <c r="FL613" s="1171"/>
      <c r="FM613" s="1171"/>
      <c r="FN613" s="1171"/>
      <c r="FO613" s="1171"/>
      <c r="FP613" s="1171"/>
    </row>
    <row r="614" spans="1:172" s="607" customFormat="1">
      <c r="A614" s="607">
        <f t="shared" si="19"/>
        <v>2021</v>
      </c>
      <c r="B614" s="607">
        <f t="shared" si="20"/>
        <v>2</v>
      </c>
      <c r="C614" s="666">
        <v>44348</v>
      </c>
      <c r="D614" s="957">
        <v>0.7645142857142857</v>
      </c>
      <c r="E614" s="1166">
        <v>296.99628237216211</v>
      </c>
      <c r="F614" s="1166">
        <v>388.47708659188561</v>
      </c>
      <c r="G614" s="917">
        <v>25.781174724621959</v>
      </c>
      <c r="H614" s="1166">
        <v>33.722292972635046</v>
      </c>
      <c r="I614" s="1166">
        <v>1834.566</v>
      </c>
      <c r="J614" s="1166">
        <v>2409.0100000000002</v>
      </c>
      <c r="K614" s="1166">
        <v>214.61</v>
      </c>
      <c r="L614" s="1166">
        <v>280.71417893714033</v>
      </c>
      <c r="M614" s="920">
        <v>17943.23</v>
      </c>
      <c r="N614" s="917">
        <v>23470.104267882503</v>
      </c>
      <c r="O614" s="1166">
        <v>9587.65</v>
      </c>
      <c r="P614" s="1166">
        <v>12540.838253980119</v>
      </c>
      <c r="Q614" s="1166">
        <v>2188.98</v>
      </c>
      <c r="R614" s="1166">
        <v>2863.2296883175127</v>
      </c>
      <c r="S614" s="1166">
        <v>2950.07</v>
      </c>
      <c r="T614" s="1166">
        <v>3858.7506540100158</v>
      </c>
      <c r="U614" s="1166">
        <v>1404.4585252359805</v>
      </c>
      <c r="V614" s="1166">
        <v>1837.0598842686045</v>
      </c>
      <c r="W614" s="1166">
        <v>2926.5968105786847</v>
      </c>
      <c r="X614" s="1166">
        <v>3828.0472520462649</v>
      </c>
      <c r="Y614" s="1166">
        <v>14157.767896660145</v>
      </c>
      <c r="Z614" s="957">
        <v>18518.64400863686</v>
      </c>
      <c r="AA614" s="1166">
        <v>664.29</v>
      </c>
      <c r="AB614" s="1166">
        <v>868.90462665371103</v>
      </c>
      <c r="AC614" s="1166">
        <v>26.981999999999999</v>
      </c>
      <c r="AD614" s="1166">
        <v>35.58</v>
      </c>
      <c r="AE614" s="1166">
        <v>44127.27</v>
      </c>
      <c r="AF614" s="1166">
        <v>57719.353090664474</v>
      </c>
      <c r="AG614" s="1166">
        <v>1124</v>
      </c>
      <c r="AH614" s="1166">
        <v>1502.46</v>
      </c>
      <c r="AI614" s="1166">
        <v>2721.2269999999999</v>
      </c>
      <c r="AJ614" s="1166">
        <v>3629.23</v>
      </c>
      <c r="AK614" s="920">
        <v>73.069999999999993</v>
      </c>
      <c r="AL614" s="920">
        <v>95.57702369384856</v>
      </c>
      <c r="AM614" s="920">
        <v>73.760000000000005</v>
      </c>
      <c r="AN614" s="1166">
        <v>96.479557515509384</v>
      </c>
      <c r="AO614" s="1166">
        <v>7.8214781331633798</v>
      </c>
      <c r="AP614" s="1166">
        <v>10.230650073275966</v>
      </c>
      <c r="AR614" s="1331"/>
      <c r="AS614" s="1167"/>
      <c r="AT614" s="1167"/>
      <c r="AU614" s="1168"/>
      <c r="AV614" s="1168"/>
      <c r="AW614" s="1169"/>
      <c r="AX614" s="1169"/>
      <c r="AY614" s="1169"/>
      <c r="AZ614" s="1169"/>
      <c r="BA614" s="1803" t="s">
        <v>4</v>
      </c>
      <c r="BB614" s="1802">
        <v>2009</v>
      </c>
      <c r="BC614" s="1799" t="s">
        <v>32</v>
      </c>
      <c r="BD614" s="1799"/>
      <c r="BE614" s="1800">
        <v>245053295.86999702</v>
      </c>
      <c r="BF614" s="1801">
        <v>2.455546809876831E-2</v>
      </c>
      <c r="BG614" s="1799"/>
      <c r="BH614" s="1815" t="s">
        <v>2</v>
      </c>
      <c r="BI614" s="1815" t="s">
        <v>319</v>
      </c>
      <c r="BJ614" s="1799" t="s">
        <v>20</v>
      </c>
      <c r="BK614" s="1799">
        <v>2</v>
      </c>
      <c r="BL614" s="1800">
        <v>6107351979.1707363</v>
      </c>
      <c r="BM614" s="1801">
        <v>0.1123295927124776</v>
      </c>
      <c r="BN614" s="1799">
        <v>2014</v>
      </c>
      <c r="BO614" s="1684"/>
      <c r="BP614" s="1696"/>
      <c r="BQ614" s="1169"/>
      <c r="BR614" s="1169"/>
      <c r="BS614" s="1169"/>
      <c r="BT614" s="1169"/>
      <c r="BU614" s="1169"/>
      <c r="BV614" s="1169"/>
      <c r="BW614" s="1169"/>
      <c r="BX614" s="1169"/>
      <c r="BY614" s="1169"/>
      <c r="BZ614" s="1169"/>
      <c r="CA614" s="1169"/>
      <c r="CB614" s="1169"/>
      <c r="CC614" s="1169"/>
      <c r="CD614" s="1169"/>
      <c r="CE614" s="1169"/>
      <c r="CF614" s="1169"/>
      <c r="CG614" s="1169"/>
      <c r="CH614" s="1169"/>
      <c r="CI614" s="1169"/>
      <c r="CJ614" s="1169"/>
      <c r="CK614" s="1169"/>
      <c r="CL614" s="1169"/>
      <c r="CM614" s="1169"/>
      <c r="CN614" s="1169"/>
      <c r="CO614" s="1169"/>
      <c r="CP614" s="1169"/>
      <c r="CQ614" s="1169"/>
      <c r="CR614" s="1169"/>
      <c r="CS614" s="1169"/>
      <c r="CT614" s="1169"/>
      <c r="CU614" s="1169"/>
      <c r="CV614" s="1169"/>
      <c r="CW614" s="1169"/>
      <c r="CX614" s="1169"/>
      <c r="CY614" s="1169"/>
      <c r="CZ614" s="1169"/>
      <c r="DA614" s="1168"/>
      <c r="DB614" s="1168"/>
      <c r="DC614" s="1168"/>
      <c r="DD614" s="1168"/>
      <c r="DE614" s="1168"/>
      <c r="DF614" s="1168"/>
      <c r="DG614" s="1168"/>
      <c r="DH614" s="1168"/>
      <c r="DI614" s="1168"/>
      <c r="DJ614" s="1168"/>
      <c r="DK614" s="1168"/>
      <c r="DL614" s="1168"/>
      <c r="DM614" s="1168"/>
      <c r="DN614" s="1168"/>
      <c r="DO614" s="1168"/>
      <c r="DP614" s="1168"/>
      <c r="DQ614" s="1168"/>
      <c r="DR614" s="1168"/>
      <c r="DS614" s="1168"/>
      <c r="DT614" s="1168"/>
      <c r="DU614" s="1168"/>
      <c r="DV614" s="1168"/>
      <c r="DW614" s="1168"/>
      <c r="DX614" s="1168"/>
      <c r="DY614" s="1168"/>
      <c r="DZ614" s="1168"/>
      <c r="EA614" s="1168"/>
      <c r="EB614" s="1168"/>
      <c r="EC614" s="1168"/>
      <c r="ED614" s="1168"/>
      <c r="EE614" s="1168"/>
      <c r="EF614" s="1168"/>
      <c r="EG614" s="1168"/>
      <c r="EH614" s="1168"/>
      <c r="EI614" s="1170"/>
      <c r="EJ614" s="1170"/>
      <c r="EK614" s="1170"/>
      <c r="EL614" s="1170"/>
      <c r="EM614" s="1170"/>
      <c r="EN614" s="1170"/>
      <c r="EO614" s="1170"/>
      <c r="EP614" s="1170"/>
      <c r="EQ614" s="1170"/>
      <c r="ER614" s="1170"/>
      <c r="ES614" s="1171"/>
      <c r="ET614" s="1171"/>
      <c r="EU614" s="1171"/>
      <c r="EV614" s="1171"/>
      <c r="EW614" s="1171"/>
      <c r="EX614" s="1171"/>
      <c r="EY614" s="1171"/>
      <c r="EZ614" s="1171"/>
      <c r="FA614" s="1171"/>
      <c r="FB614" s="1171"/>
      <c r="FC614" s="1171"/>
      <c r="FD614" s="1171"/>
      <c r="FE614" s="1171"/>
      <c r="FF614" s="1171"/>
      <c r="FG614" s="1171"/>
      <c r="FH614" s="1171"/>
      <c r="FI614" s="1171"/>
      <c r="FJ614" s="1171"/>
      <c r="FK614" s="1171"/>
      <c r="FL614" s="1171"/>
      <c r="FM614" s="1171"/>
      <c r="FN614" s="1171"/>
      <c r="FO614" s="1171"/>
      <c r="FP614" s="1171"/>
    </row>
    <row r="615" spans="1:172" s="607" customFormat="1">
      <c r="A615" s="607">
        <f t="shared" si="19"/>
        <v>2021</v>
      </c>
      <c r="B615" s="607">
        <f t="shared" si="20"/>
        <v>3</v>
      </c>
      <c r="C615" s="666">
        <v>44378</v>
      </c>
      <c r="D615" s="1709">
        <v>0.74247727272727271</v>
      </c>
      <c r="E615" s="1117">
        <v>283.27731826852471</v>
      </c>
      <c r="F615" s="1117">
        <v>381.52995205898827</v>
      </c>
      <c r="G615" s="1117">
        <v>26.31687417248812</v>
      </c>
      <c r="H615" s="1117">
        <v>35.444686509825132</v>
      </c>
      <c r="I615" s="1165">
        <v>1807.0930000000001</v>
      </c>
      <c r="J615" s="1165">
        <v>2436.5100000000002</v>
      </c>
      <c r="K615" s="1121">
        <v>211.88</v>
      </c>
      <c r="L615" s="1121">
        <v>285.36900425479814</v>
      </c>
      <c r="M615" s="916">
        <v>18817.05</v>
      </c>
      <c r="N615" s="1172">
        <v>25343.604028283695</v>
      </c>
      <c r="O615" s="1176">
        <v>9433.59</v>
      </c>
      <c r="P615" s="1176">
        <v>12705.56062322079</v>
      </c>
      <c r="Q615" s="1176">
        <v>2336.98</v>
      </c>
      <c r="R615" s="1176">
        <v>3147.544155009336</v>
      </c>
      <c r="S615" s="1176">
        <v>2942.98</v>
      </c>
      <c r="T615" s="1176">
        <v>3963.7307539257399</v>
      </c>
      <c r="U615" s="1120">
        <v>1448.9502884009526</v>
      </c>
      <c r="V615" s="1120">
        <v>1951.5079338100927</v>
      </c>
      <c r="W615" s="1120">
        <v>2909.6137523260268</v>
      </c>
      <c r="X615" s="1120">
        <v>3918.7916710748777</v>
      </c>
      <c r="Y615" s="1177">
        <v>14508.818445033876</v>
      </c>
      <c r="Z615" s="1118">
        <v>19541.094357999649</v>
      </c>
      <c r="AA615" s="1177">
        <v>705</v>
      </c>
      <c r="AB615" s="1177">
        <v>949.52401359086593</v>
      </c>
      <c r="AC615" s="1178">
        <v>25.753</v>
      </c>
      <c r="AD615" s="1178">
        <v>34.9</v>
      </c>
      <c r="AE615" s="1178">
        <v>51555.68</v>
      </c>
      <c r="AF615" s="1178">
        <v>69437.384676604735</v>
      </c>
      <c r="AG615" s="1178">
        <v>1087.0450000000001</v>
      </c>
      <c r="AH615" s="1178">
        <v>1492.12</v>
      </c>
      <c r="AI615" s="1178">
        <v>2733.636</v>
      </c>
      <c r="AJ615" s="1178">
        <v>3746.33</v>
      </c>
      <c r="AK615" s="919">
        <v>74.39</v>
      </c>
      <c r="AL615" s="919">
        <v>100.19161896599223</v>
      </c>
      <c r="AM615" s="919">
        <v>75.459999999999994</v>
      </c>
      <c r="AN615" s="919">
        <v>101.63274051853439</v>
      </c>
      <c r="AO615" s="919">
        <v>8.8219028970097142</v>
      </c>
      <c r="AP615" s="919">
        <v>11.881714391883053</v>
      </c>
      <c r="AR615" s="1331"/>
      <c r="AS615" s="1167"/>
      <c r="AT615" s="1167"/>
      <c r="AU615" s="1168"/>
      <c r="AV615" s="1168"/>
      <c r="AW615" s="1169"/>
      <c r="AX615" s="1169"/>
      <c r="AY615" s="1169"/>
      <c r="AZ615" s="1169"/>
      <c r="BA615" s="1803" t="s">
        <v>4</v>
      </c>
      <c r="BB615" s="1802">
        <v>2009</v>
      </c>
      <c r="BC615" s="1799" t="s">
        <v>249</v>
      </c>
      <c r="BD615" s="1799"/>
      <c r="BE615" s="1800">
        <v>9979581528.8200016</v>
      </c>
      <c r="BF615" s="1801"/>
      <c r="BG615" s="1799"/>
      <c r="BH615" s="1815" t="s">
        <v>2</v>
      </c>
      <c r="BI615" s="1815" t="s">
        <v>319</v>
      </c>
      <c r="BJ615" s="1799" t="s">
        <v>581</v>
      </c>
      <c r="BK615" s="1799">
        <v>3</v>
      </c>
      <c r="BL615" s="1800">
        <v>3728621644.7344747</v>
      </c>
      <c r="BM615" s="1801">
        <v>6.8578747738855847E-2</v>
      </c>
      <c r="BN615" s="1799">
        <v>2014</v>
      </c>
      <c r="BO615" s="1684"/>
      <c r="BP615" s="1696"/>
      <c r="BQ615" s="1169"/>
      <c r="BR615" s="1169"/>
      <c r="BS615" s="1169"/>
      <c r="BT615" s="1169"/>
      <c r="BU615" s="1169"/>
      <c r="BV615" s="1169"/>
      <c r="BW615" s="1169"/>
      <c r="BX615" s="1169"/>
      <c r="BY615" s="1169"/>
      <c r="BZ615" s="1169"/>
      <c r="CA615" s="1169"/>
      <c r="CB615" s="1169"/>
      <c r="CC615" s="1169"/>
      <c r="CD615" s="1169"/>
      <c r="CE615" s="1169"/>
      <c r="CF615" s="1169"/>
      <c r="CG615" s="1169"/>
      <c r="CH615" s="1169"/>
      <c r="CI615" s="1169"/>
      <c r="CJ615" s="1169"/>
      <c r="CK615" s="1169"/>
      <c r="CL615" s="1169"/>
      <c r="CM615" s="1169"/>
      <c r="CN615" s="1169"/>
      <c r="CO615" s="1169"/>
      <c r="CP615" s="1169"/>
      <c r="CQ615" s="1169"/>
      <c r="CR615" s="1169"/>
      <c r="CS615" s="1169"/>
      <c r="CT615" s="1169"/>
      <c r="CU615" s="1169"/>
      <c r="CV615" s="1169"/>
      <c r="CW615" s="1169"/>
      <c r="CX615" s="1169"/>
      <c r="CY615" s="1169"/>
      <c r="CZ615" s="1169"/>
      <c r="DA615" s="1168"/>
      <c r="DB615" s="1168"/>
      <c r="DC615" s="1168"/>
      <c r="DD615" s="1168"/>
      <c r="DE615" s="1168"/>
      <c r="DF615" s="1168"/>
      <c r="DG615" s="1168"/>
      <c r="DH615" s="1168"/>
      <c r="DI615" s="1168"/>
      <c r="DJ615" s="1168"/>
      <c r="DK615" s="1168"/>
      <c r="DL615" s="1168"/>
      <c r="DM615" s="1168"/>
      <c r="DN615" s="1168"/>
      <c r="DO615" s="1168"/>
      <c r="DP615" s="1168"/>
      <c r="DQ615" s="1168"/>
      <c r="DR615" s="1168"/>
      <c r="DS615" s="1168"/>
      <c r="DT615" s="1168"/>
      <c r="DU615" s="1168"/>
      <c r="DV615" s="1168"/>
      <c r="DW615" s="1168"/>
      <c r="DX615" s="1168"/>
      <c r="DY615" s="1168"/>
      <c r="DZ615" s="1168"/>
      <c r="EA615" s="1168"/>
      <c r="EB615" s="1168"/>
      <c r="EC615" s="1168"/>
      <c r="ED615" s="1168"/>
      <c r="EE615" s="1168"/>
      <c r="EF615" s="1168"/>
      <c r="EG615" s="1168"/>
      <c r="EH615" s="1168"/>
      <c r="EI615" s="1170"/>
      <c r="EJ615" s="1170"/>
      <c r="EK615" s="1170"/>
      <c r="EL615" s="1170"/>
      <c r="EM615" s="1170"/>
      <c r="EN615" s="1170"/>
      <c r="EO615" s="1170"/>
      <c r="EP615" s="1170"/>
      <c r="EQ615" s="1170"/>
      <c r="ER615" s="1170"/>
      <c r="ES615" s="1171"/>
      <c r="ET615" s="1171"/>
      <c r="EU615" s="1171"/>
      <c r="EV615" s="1171"/>
      <c r="EW615" s="1171"/>
      <c r="EX615" s="1171"/>
      <c r="EY615" s="1171"/>
      <c r="EZ615" s="1171"/>
      <c r="FA615" s="1171"/>
      <c r="FB615" s="1171"/>
      <c r="FC615" s="1171"/>
      <c r="FD615" s="1171"/>
      <c r="FE615" s="1171"/>
      <c r="FF615" s="1171"/>
      <c r="FG615" s="1171"/>
      <c r="FH615" s="1171"/>
      <c r="FI615" s="1171"/>
      <c r="FJ615" s="1171"/>
      <c r="FK615" s="1171"/>
      <c r="FL615" s="1171"/>
      <c r="FM615" s="1171"/>
      <c r="FN615" s="1171"/>
      <c r="FO615" s="1171"/>
      <c r="FP615" s="1171"/>
    </row>
    <row r="616" spans="1:172" s="607" customFormat="1">
      <c r="A616" s="607">
        <f t="shared" si="19"/>
        <v>2021</v>
      </c>
      <c r="B616" s="607">
        <f t="shared" si="20"/>
        <v>3</v>
      </c>
      <c r="C616" s="666">
        <v>44409</v>
      </c>
      <c r="D616" s="957">
        <v>0.73009047619047618</v>
      </c>
      <c r="E616" s="1166">
        <v>288.40078187845972</v>
      </c>
      <c r="F616" s="1166">
        <v>395.0206053683923</v>
      </c>
      <c r="G616" s="917">
        <v>26.390986686720076</v>
      </c>
      <c r="H616" s="1166">
        <v>36.147556429478513</v>
      </c>
      <c r="I616" s="1166">
        <v>1783.9690000000001</v>
      </c>
      <c r="J616" s="1166">
        <v>2449.9299999999998</v>
      </c>
      <c r="K616" s="1166">
        <v>159.19999999999999</v>
      </c>
      <c r="L616" s="1166">
        <v>218.0551660263894</v>
      </c>
      <c r="M616" s="920">
        <v>19160.43</v>
      </c>
      <c r="N616" s="917">
        <v>26243.911713486261</v>
      </c>
      <c r="O616" s="1166">
        <v>9357.19</v>
      </c>
      <c r="P616" s="1166">
        <v>12816.480018784365</v>
      </c>
      <c r="Q616" s="1166">
        <v>2428.52</v>
      </c>
      <c r="R616" s="1166">
        <v>3326.3274610452718</v>
      </c>
      <c r="S616" s="1166">
        <v>2988.9</v>
      </c>
      <c r="T616" s="1166">
        <v>4093.8761666851469</v>
      </c>
      <c r="U616" s="1166">
        <v>1519.4196824074072</v>
      </c>
      <c r="V616" s="1166">
        <v>2081.1388888888887</v>
      </c>
      <c r="W616" s="1166">
        <v>2944.1146633221656</v>
      </c>
      <c r="X616" s="1166">
        <v>4032.5339931623266</v>
      </c>
      <c r="Y616" s="1166">
        <v>16785.068307583409</v>
      </c>
      <c r="Z616" s="957">
        <v>22990.394827728567</v>
      </c>
      <c r="AA616" s="1166">
        <v>864.55</v>
      </c>
      <c r="AB616" s="1166">
        <v>1184.1683026891644</v>
      </c>
      <c r="AC616" s="1166">
        <v>24.015999999999998</v>
      </c>
      <c r="AD616" s="1166">
        <v>33.06</v>
      </c>
      <c r="AE616" s="1166">
        <v>51729.52</v>
      </c>
      <c r="AF616" s="1166">
        <v>70853.574573275328</v>
      </c>
      <c r="AG616" s="1166">
        <v>1008.2859999999999</v>
      </c>
      <c r="AH616" s="1166">
        <v>1412.45</v>
      </c>
      <c r="AI616" s="1166">
        <v>2544.7139999999999</v>
      </c>
      <c r="AJ616" s="1166">
        <v>3533.81</v>
      </c>
      <c r="AK616" s="920">
        <v>70.02</v>
      </c>
      <c r="AL616" s="920">
        <v>95.905921640501177</v>
      </c>
      <c r="AM616" s="920">
        <v>70.959999999999994</v>
      </c>
      <c r="AN616" s="1166">
        <v>97.193433299199697</v>
      </c>
      <c r="AO616" s="1166">
        <v>9.3371696268255722</v>
      </c>
      <c r="AP616" s="1166">
        <v>12.789058248706098</v>
      </c>
      <c r="AR616" s="1331"/>
      <c r="AS616" s="1167"/>
      <c r="AT616" s="1167"/>
      <c r="AU616" s="1168"/>
      <c r="AV616" s="1168"/>
      <c r="AW616" s="1169"/>
      <c r="AX616" s="1169"/>
      <c r="AY616" s="1169"/>
      <c r="AZ616" s="1169"/>
      <c r="BA616" s="1803" t="s">
        <v>4</v>
      </c>
      <c r="BB616" s="1802">
        <v>2008</v>
      </c>
      <c r="BC616" s="1799" t="s">
        <v>20</v>
      </c>
      <c r="BD616" s="1799">
        <v>1</v>
      </c>
      <c r="BE616" s="1800">
        <v>7689296422.5899925</v>
      </c>
      <c r="BF616" s="1801">
        <v>0.59272203080613262</v>
      </c>
      <c r="BG616" s="1799"/>
      <c r="BH616" s="1815" t="s">
        <v>2</v>
      </c>
      <c r="BI616" s="1815" t="s">
        <v>319</v>
      </c>
      <c r="BJ616" s="1799" t="s">
        <v>583</v>
      </c>
      <c r="BK616" s="1799">
        <v>4</v>
      </c>
      <c r="BL616" s="1800">
        <v>1231981920.7978566</v>
      </c>
      <c r="BM616" s="1801">
        <v>2.2659251974396531E-2</v>
      </c>
      <c r="BN616" s="1799">
        <v>2014</v>
      </c>
      <c r="BO616" s="1684"/>
      <c r="BP616" s="1696"/>
      <c r="BQ616" s="1169"/>
      <c r="BR616" s="1169"/>
      <c r="BS616" s="1169"/>
      <c r="BT616" s="1169"/>
      <c r="BU616" s="1169"/>
      <c r="BV616" s="1169"/>
      <c r="BW616" s="1169"/>
      <c r="BX616" s="1169"/>
      <c r="BY616" s="1169"/>
      <c r="BZ616" s="1169"/>
      <c r="CA616" s="1169"/>
      <c r="CB616" s="1169"/>
      <c r="CC616" s="1169"/>
      <c r="CD616" s="1169"/>
      <c r="CE616" s="1169"/>
      <c r="CF616" s="1169"/>
      <c r="CG616" s="1169"/>
      <c r="CH616" s="1169"/>
      <c r="CI616" s="1169"/>
      <c r="CJ616" s="1169"/>
      <c r="CK616" s="1169"/>
      <c r="CL616" s="1169"/>
      <c r="CM616" s="1169"/>
      <c r="CN616" s="1169"/>
      <c r="CO616" s="1169"/>
      <c r="CP616" s="1169"/>
      <c r="CQ616" s="1169"/>
      <c r="CR616" s="1169"/>
      <c r="CS616" s="1169"/>
      <c r="CT616" s="1169"/>
      <c r="CU616" s="1169"/>
      <c r="CV616" s="1169"/>
      <c r="CW616" s="1169"/>
      <c r="CX616" s="1169"/>
      <c r="CY616" s="1169"/>
      <c r="CZ616" s="1169"/>
      <c r="DA616" s="1168"/>
      <c r="DB616" s="1168"/>
      <c r="DC616" s="1168"/>
      <c r="DD616" s="1168"/>
      <c r="DE616" s="1168"/>
      <c r="DF616" s="1168"/>
      <c r="DG616" s="1168"/>
      <c r="DH616" s="1168"/>
      <c r="DI616" s="1168"/>
      <c r="DJ616" s="1168"/>
      <c r="DK616" s="1168"/>
      <c r="DL616" s="1168"/>
      <c r="DM616" s="1168"/>
      <c r="DN616" s="1168"/>
      <c r="DO616" s="1168"/>
      <c r="DP616" s="1168"/>
      <c r="DQ616" s="1168"/>
      <c r="DR616" s="1168"/>
      <c r="DS616" s="1168"/>
      <c r="DT616" s="1168"/>
      <c r="DU616" s="1168"/>
      <c r="DV616" s="1168"/>
      <c r="DW616" s="1168"/>
      <c r="DX616" s="1168"/>
      <c r="DY616" s="1168"/>
      <c r="DZ616" s="1168"/>
      <c r="EA616" s="1168"/>
      <c r="EB616" s="1168"/>
      <c r="EC616" s="1168"/>
      <c r="ED616" s="1168"/>
      <c r="EE616" s="1168"/>
      <c r="EF616" s="1168"/>
      <c r="EG616" s="1168"/>
      <c r="EH616" s="1168"/>
      <c r="EI616" s="1170"/>
      <c r="EJ616" s="1170"/>
      <c r="EK616" s="1170"/>
      <c r="EL616" s="1170"/>
      <c r="EM616" s="1170"/>
      <c r="EN616" s="1170"/>
      <c r="EO616" s="1170"/>
      <c r="EP616" s="1170"/>
      <c r="EQ616" s="1170"/>
      <c r="ER616" s="1170"/>
      <c r="ES616" s="1171"/>
      <c r="ET616" s="1171"/>
      <c r="EU616" s="1171"/>
      <c r="EV616" s="1171"/>
      <c r="EW616" s="1171"/>
      <c r="EX616" s="1171"/>
      <c r="EY616" s="1171"/>
      <c r="EZ616" s="1171"/>
      <c r="FA616" s="1171"/>
      <c r="FB616" s="1171"/>
      <c r="FC616" s="1171"/>
      <c r="FD616" s="1171"/>
      <c r="FE616" s="1171"/>
      <c r="FF616" s="1171"/>
      <c r="FG616" s="1171"/>
      <c r="FH616" s="1171"/>
      <c r="FI616" s="1171"/>
      <c r="FJ616" s="1171"/>
      <c r="FK616" s="1171"/>
      <c r="FL616" s="1171"/>
      <c r="FM616" s="1171"/>
      <c r="FN616" s="1171"/>
      <c r="FO616" s="1171"/>
      <c r="FP616" s="1171"/>
    </row>
    <row r="617" spans="1:172" s="607" customFormat="1">
      <c r="A617" s="607">
        <f t="shared" si="19"/>
        <v>2021</v>
      </c>
      <c r="B617" s="607">
        <f t="shared" si="20"/>
        <v>3</v>
      </c>
      <c r="C617" s="666">
        <v>44440</v>
      </c>
      <c r="D617" s="1709">
        <v>0.73220454545454539</v>
      </c>
      <c r="E617" s="1117">
        <v>303.41583813152442</v>
      </c>
      <c r="F617" s="1117">
        <v>414.38671750278041</v>
      </c>
      <c r="G617" s="1117">
        <v>26.118652560759507</v>
      </c>
      <c r="H617" s="958">
        <v>35.67125159615788</v>
      </c>
      <c r="I617" s="959">
        <v>1777.252</v>
      </c>
      <c r="J617" s="959">
        <v>2437.69</v>
      </c>
      <c r="K617" s="1121">
        <v>120.32</v>
      </c>
      <c r="L617" s="1121">
        <v>164.32566657354812</v>
      </c>
      <c r="M617" s="916">
        <v>19541</v>
      </c>
      <c r="N617" s="1172">
        <v>26687.897693764164</v>
      </c>
      <c r="O617" s="1176">
        <v>9323.69</v>
      </c>
      <c r="P617" s="1176">
        <v>12733.723189620388</v>
      </c>
      <c r="Q617" s="1176">
        <v>2256.48</v>
      </c>
      <c r="R617" s="1176">
        <v>3081.7618027749327</v>
      </c>
      <c r="S617" s="1176">
        <v>3041.05</v>
      </c>
      <c r="T617" s="1176">
        <v>4153.2793245801913</v>
      </c>
      <c r="U617" s="1120">
        <v>1512.9222945283245</v>
      </c>
      <c r="V617" s="1120">
        <v>2066.2563540753727</v>
      </c>
      <c r="W617" s="1120">
        <v>2994.5152273200001</v>
      </c>
      <c r="X617" s="1120">
        <v>4089.7249899767207</v>
      </c>
      <c r="Y617" s="1177">
        <v>22963.317489067074</v>
      </c>
      <c r="Z617" s="1118">
        <v>31361.888739452817</v>
      </c>
      <c r="AA617" s="1177">
        <v>993.33</v>
      </c>
      <c r="AB617" s="1177">
        <v>1356.6291088555733</v>
      </c>
      <c r="AC617" s="1178">
        <v>23.306999999999999</v>
      </c>
      <c r="AD617" s="1178">
        <v>32.159999999999997</v>
      </c>
      <c r="AE617" s="1178">
        <v>51496.36</v>
      </c>
      <c r="AF617" s="1178">
        <v>70330.565850327475</v>
      </c>
      <c r="AG617" s="1178">
        <v>975.18200000000002</v>
      </c>
      <c r="AH617" s="1178">
        <v>1363.46</v>
      </c>
      <c r="AI617" s="1178">
        <v>2112.1819999999998</v>
      </c>
      <c r="AJ617" s="1178">
        <v>2983.2</v>
      </c>
      <c r="AK617" s="919">
        <v>74.599999999999994</v>
      </c>
      <c r="AL617" s="919">
        <v>101.88409845733619</v>
      </c>
      <c r="AM617" s="919">
        <v>76.290000000000006</v>
      </c>
      <c r="AN617" s="919">
        <v>104.1921966663563</v>
      </c>
      <c r="AO617" s="919">
        <v>10.253990117520583</v>
      </c>
      <c r="AP617" s="919">
        <v>14.004269955952005</v>
      </c>
      <c r="AR617" s="1331"/>
      <c r="AS617" s="964"/>
      <c r="AT617" s="1167"/>
      <c r="AU617" s="1168"/>
      <c r="AV617" s="1168"/>
      <c r="AW617" s="1169"/>
      <c r="AX617" s="1169"/>
      <c r="AY617" s="1169"/>
      <c r="AZ617" s="1169"/>
      <c r="BA617" s="1803" t="s">
        <v>4</v>
      </c>
      <c r="BB617" s="1802">
        <v>2008</v>
      </c>
      <c r="BC617" s="1799" t="s">
        <v>49</v>
      </c>
      <c r="BD617" s="1799">
        <v>2</v>
      </c>
      <c r="BE617" s="1800">
        <v>1386728353.9400005</v>
      </c>
      <c r="BF617" s="1801">
        <v>0.10689462350664669</v>
      </c>
      <c r="BG617" s="1799"/>
      <c r="BH617" s="1815" t="s">
        <v>2</v>
      </c>
      <c r="BI617" s="1815" t="s">
        <v>319</v>
      </c>
      <c r="BJ617" s="1799" t="s">
        <v>19</v>
      </c>
      <c r="BK617" s="1799">
        <v>5</v>
      </c>
      <c r="BL617" s="1800">
        <v>192493931.61318237</v>
      </c>
      <c r="BM617" s="1801">
        <v>3.5404484646500197E-3</v>
      </c>
      <c r="BN617" s="1799">
        <v>2014</v>
      </c>
      <c r="BO617" s="1684"/>
      <c r="BP617" s="1696"/>
      <c r="BQ617" s="1169"/>
      <c r="BR617" s="1169"/>
      <c r="BS617" s="1169"/>
      <c r="BT617" s="1169"/>
      <c r="BU617" s="1169"/>
      <c r="BV617" s="1169"/>
      <c r="BW617" s="1169"/>
      <c r="BX617" s="1169"/>
      <c r="BY617" s="1169"/>
      <c r="BZ617" s="1169"/>
      <c r="CA617" s="1169"/>
      <c r="CB617" s="1169"/>
      <c r="CC617" s="1169"/>
      <c r="CD617" s="1169"/>
      <c r="CE617" s="1169"/>
      <c r="CF617" s="1169"/>
      <c r="CG617" s="1169"/>
      <c r="CH617" s="1169"/>
      <c r="CI617" s="1169"/>
      <c r="CJ617" s="1169"/>
      <c r="CK617" s="1169"/>
      <c r="CL617" s="1169"/>
      <c r="CM617" s="1169"/>
      <c r="CN617" s="1169"/>
      <c r="CO617" s="1169"/>
      <c r="CP617" s="1169"/>
      <c r="CQ617" s="1169"/>
      <c r="CR617" s="1169"/>
      <c r="CS617" s="1169"/>
      <c r="CT617" s="1169"/>
      <c r="CU617" s="1169"/>
      <c r="CV617" s="1169"/>
      <c r="CW617" s="1169"/>
      <c r="CX617" s="1169"/>
      <c r="CY617" s="1169"/>
      <c r="CZ617" s="1169"/>
      <c r="DA617" s="1168"/>
      <c r="DB617" s="1168"/>
      <c r="DC617" s="1168"/>
      <c r="DD617" s="1168"/>
      <c r="DE617" s="1168"/>
      <c r="DF617" s="1168"/>
      <c r="DG617" s="1168"/>
      <c r="DH617" s="1168"/>
      <c r="DI617" s="1168"/>
      <c r="DJ617" s="1168"/>
      <c r="DK617" s="1168"/>
      <c r="DL617" s="1168"/>
      <c r="DM617" s="1168"/>
      <c r="DN617" s="1168"/>
      <c r="DO617" s="1168"/>
      <c r="DP617" s="1168"/>
      <c r="DQ617" s="1168"/>
      <c r="DR617" s="1168"/>
      <c r="DS617" s="1168"/>
      <c r="DT617" s="1168"/>
      <c r="DU617" s="1168"/>
      <c r="DV617" s="1168"/>
      <c r="DW617" s="1168"/>
      <c r="DX617" s="1168"/>
      <c r="DY617" s="1168"/>
      <c r="DZ617" s="1168"/>
      <c r="EA617" s="1168"/>
      <c r="EB617" s="1168"/>
      <c r="EC617" s="1168"/>
      <c r="ED617" s="1168"/>
      <c r="EE617" s="1168"/>
      <c r="EF617" s="1168"/>
      <c r="EG617" s="1168"/>
      <c r="EH617" s="1168"/>
      <c r="EI617" s="1170"/>
      <c r="EJ617" s="1170"/>
      <c r="EK617" s="1170"/>
      <c r="EL617" s="1170"/>
      <c r="EM617" s="1170"/>
      <c r="EN617" s="1170"/>
      <c r="EO617" s="1170"/>
      <c r="EP617" s="1170"/>
      <c r="EQ617" s="1170"/>
      <c r="ER617" s="1170"/>
      <c r="ES617" s="1171"/>
      <c r="ET617" s="1171"/>
      <c r="EU617" s="1171"/>
      <c r="EV617" s="1171"/>
      <c r="EW617" s="1171"/>
      <c r="EX617" s="1171"/>
      <c r="EY617" s="1171"/>
      <c r="EZ617" s="1171"/>
      <c r="FA617" s="1171"/>
      <c r="FB617" s="1171"/>
      <c r="FC617" s="1171"/>
      <c r="FD617" s="1171"/>
      <c r="FE617" s="1171"/>
      <c r="FF617" s="1171"/>
      <c r="FG617" s="1171"/>
      <c r="FH617" s="1171"/>
      <c r="FI617" s="1171"/>
      <c r="FJ617" s="1171"/>
      <c r="FK617" s="1171"/>
      <c r="FL617" s="1171"/>
      <c r="FM617" s="1171"/>
      <c r="FN617" s="1171"/>
      <c r="FO617" s="1171"/>
      <c r="FP617" s="1171"/>
    </row>
    <row r="618" spans="1:172" s="607" customFormat="1">
      <c r="A618" s="607">
        <f t="shared" si="19"/>
        <v>2021</v>
      </c>
      <c r="B618" s="607">
        <f t="shared" si="20"/>
        <v>4</v>
      </c>
      <c r="C618" s="666">
        <v>44470</v>
      </c>
      <c r="D618" s="957">
        <v>0.74029499999999993</v>
      </c>
      <c r="E618" s="1166">
        <v>365.12796567667891</v>
      </c>
      <c r="F618" s="1166">
        <v>493.21954852684263</v>
      </c>
      <c r="G618" s="917">
        <v>25.839692870554888</v>
      </c>
      <c r="H618" s="957">
        <v>34.904589211807306</v>
      </c>
      <c r="I618" s="957">
        <v>1776.855</v>
      </c>
      <c r="J618" s="957">
        <v>2405.17</v>
      </c>
      <c r="K618" s="1166">
        <v>120.97</v>
      </c>
      <c r="L618" s="1166">
        <v>163.40783066210093</v>
      </c>
      <c r="M618" s="920">
        <v>19416.189999999999</v>
      </c>
      <c r="N618" s="917">
        <v>26227.638981757274</v>
      </c>
      <c r="O618" s="1166">
        <v>9777.43</v>
      </c>
      <c r="P618" s="1166">
        <v>13207.478099946644</v>
      </c>
      <c r="Q618" s="1166">
        <v>2338.83</v>
      </c>
      <c r="R618" s="1166">
        <v>3159.3216217859099</v>
      </c>
      <c r="S618" s="1166">
        <v>3369.49</v>
      </c>
      <c r="T618" s="1166">
        <v>4551.5503954504629</v>
      </c>
      <c r="U618" s="1166">
        <v>979.50259767000477</v>
      </c>
      <c r="V618" s="1166">
        <v>1323.1246971410112</v>
      </c>
      <c r="W618" s="1166">
        <v>3124.599911138735</v>
      </c>
      <c r="X618" s="1166">
        <v>4220.7497161790034</v>
      </c>
      <c r="Y618" s="1166">
        <v>28113.956908549804</v>
      </c>
      <c r="Z618" s="918">
        <v>37976.69430233867</v>
      </c>
      <c r="AA618" s="1166">
        <v>1250</v>
      </c>
      <c r="AB618" s="1166">
        <v>1688.5160645418382</v>
      </c>
      <c r="AC618" s="1166">
        <v>23.295999999999999</v>
      </c>
      <c r="AD618" s="1166">
        <v>31.8</v>
      </c>
      <c r="AE618" s="1166">
        <v>54628.33</v>
      </c>
      <c r="AF618" s="1166">
        <v>73792.650227274265</v>
      </c>
      <c r="AG618" s="1166">
        <v>1017.095</v>
      </c>
      <c r="AH618" s="1166">
        <v>1409.03</v>
      </c>
      <c r="AI618" s="1166">
        <v>2008.857</v>
      </c>
      <c r="AJ618" s="1166">
        <v>2807.74</v>
      </c>
      <c r="AK618" s="957">
        <v>83.65</v>
      </c>
      <c r="AL618" s="957">
        <v>112.99549503913983</v>
      </c>
      <c r="AM618" s="1166">
        <v>85.17</v>
      </c>
      <c r="AN618" s="1166">
        <v>115.04873057362269</v>
      </c>
      <c r="AO618" s="1166">
        <v>11.418899064697863</v>
      </c>
      <c r="AP618" s="1166">
        <v>15.42479560809929</v>
      </c>
      <c r="AR618" s="1331"/>
      <c r="AS618" s="964"/>
      <c r="AT618" s="1167"/>
      <c r="AU618" s="1168"/>
      <c r="AV618" s="1168"/>
      <c r="AW618" s="1169"/>
      <c r="AX618" s="1169"/>
      <c r="AY618" s="1169"/>
      <c r="AZ618" s="1169"/>
      <c r="BA618" s="1803" t="s">
        <v>4</v>
      </c>
      <c r="BB618" s="1802">
        <v>2008</v>
      </c>
      <c r="BC618" s="1799" t="s">
        <v>581</v>
      </c>
      <c r="BD618" s="1799">
        <v>3</v>
      </c>
      <c r="BE618" s="1800">
        <v>1369947130.47</v>
      </c>
      <c r="BF618" s="1801">
        <v>0.10560105901024769</v>
      </c>
      <c r="BG618" s="1799"/>
      <c r="BH618" s="1815" t="s">
        <v>2</v>
      </c>
      <c r="BI618" s="1815" t="s">
        <v>319</v>
      </c>
      <c r="BJ618" s="1799" t="s">
        <v>32</v>
      </c>
      <c r="BK618" s="1799"/>
      <c r="BL618" s="1800">
        <v>185926555.70849308</v>
      </c>
      <c r="BM618" s="1801">
        <v>3.419657872740553E-3</v>
      </c>
      <c r="BN618" s="1799">
        <v>2014</v>
      </c>
      <c r="BO618" s="1684"/>
      <c r="BP618" s="1696"/>
      <c r="BQ618" s="1169"/>
      <c r="BR618" s="1169"/>
      <c r="BS618" s="1169"/>
      <c r="BT618" s="1169"/>
      <c r="BU618" s="1169"/>
      <c r="BV618" s="1169"/>
      <c r="BW618" s="1169"/>
      <c r="BX618" s="1169"/>
      <c r="BY618" s="1169"/>
      <c r="BZ618" s="1169"/>
      <c r="CA618" s="1169"/>
      <c r="CB618" s="1169"/>
      <c r="CC618" s="1169"/>
      <c r="CD618" s="1169"/>
      <c r="CE618" s="1169"/>
      <c r="CF618" s="1169"/>
      <c r="CG618" s="1169"/>
      <c r="CH618" s="1169"/>
      <c r="CI618" s="1169"/>
      <c r="CJ618" s="1169"/>
      <c r="CK618" s="1169"/>
      <c r="CL618" s="1169"/>
      <c r="CM618" s="1169"/>
      <c r="CN618" s="1169"/>
      <c r="CO618" s="1169"/>
      <c r="CP618" s="1169"/>
      <c r="CQ618" s="1169"/>
      <c r="CR618" s="1169"/>
      <c r="CS618" s="1169"/>
      <c r="CT618" s="1169"/>
      <c r="CU618" s="1169"/>
      <c r="CV618" s="1169"/>
      <c r="CW618" s="1169"/>
      <c r="CX618" s="1169"/>
      <c r="CY618" s="1169"/>
      <c r="CZ618" s="1169"/>
      <c r="DA618" s="1168"/>
      <c r="DB618" s="1168"/>
      <c r="DC618" s="1168"/>
      <c r="DD618" s="1168"/>
      <c r="DE618" s="1168"/>
      <c r="DF618" s="1168"/>
      <c r="DG618" s="1168"/>
      <c r="DH618" s="1168"/>
      <c r="DI618" s="1168"/>
      <c r="DJ618" s="1168"/>
      <c r="DK618" s="1168"/>
      <c r="DL618" s="1168"/>
      <c r="DM618" s="1168"/>
      <c r="DN618" s="1168"/>
      <c r="DO618" s="1168"/>
      <c r="DP618" s="1168"/>
      <c r="DQ618" s="1168"/>
      <c r="DR618" s="1168"/>
      <c r="DS618" s="1168"/>
      <c r="DT618" s="1168"/>
      <c r="DU618" s="1168"/>
      <c r="DV618" s="1168"/>
      <c r="DW618" s="1168"/>
      <c r="DX618" s="1168"/>
      <c r="DY618" s="1168"/>
      <c r="DZ618" s="1168"/>
      <c r="EA618" s="1168"/>
      <c r="EB618" s="1168"/>
      <c r="EC618" s="1168"/>
      <c r="ED618" s="1168"/>
      <c r="EE618" s="1168"/>
      <c r="EF618" s="1168"/>
      <c r="EG618" s="1168"/>
      <c r="EH618" s="1168"/>
      <c r="EI618" s="1170"/>
      <c r="EJ618" s="1170"/>
      <c r="EK618" s="1170"/>
      <c r="EL618" s="1170"/>
      <c r="EM618" s="1170"/>
      <c r="EN618" s="1170"/>
      <c r="EO618" s="1170"/>
      <c r="EP618" s="1170"/>
      <c r="EQ618" s="1170"/>
      <c r="ER618" s="1170"/>
      <c r="ES618" s="1171"/>
      <c r="ET618" s="1171"/>
      <c r="EU618" s="1171"/>
      <c r="EV618" s="1171"/>
      <c r="EW618" s="1171"/>
      <c r="EX618" s="1171"/>
      <c r="EY618" s="1171"/>
      <c r="EZ618" s="1171"/>
      <c r="FA618" s="1171"/>
      <c r="FB618" s="1171"/>
      <c r="FC618" s="1171"/>
      <c r="FD618" s="1171"/>
      <c r="FE618" s="1171"/>
      <c r="FF618" s="1171"/>
      <c r="FG618" s="1171"/>
      <c r="FH618" s="1171"/>
      <c r="FI618" s="1171"/>
      <c r="FJ618" s="1171"/>
      <c r="FK618" s="1171"/>
      <c r="FL618" s="1171"/>
      <c r="FM618" s="1171"/>
      <c r="FN618" s="1171"/>
      <c r="FO618" s="1171"/>
      <c r="FP618" s="1171"/>
    </row>
    <row r="619" spans="1:172" s="607" customFormat="1">
      <c r="A619" s="607">
        <f t="shared" si="19"/>
        <v>2021</v>
      </c>
      <c r="B619" s="607">
        <f t="shared" si="20"/>
        <v>4</v>
      </c>
      <c r="C619" s="666">
        <v>44501</v>
      </c>
      <c r="D619" s="1709">
        <v>0.73131818181818176</v>
      </c>
      <c r="E619" s="1117">
        <v>446.91483462634574</v>
      </c>
      <c r="F619" s="1117">
        <v>611.10860599040382</v>
      </c>
      <c r="G619" s="1117">
        <v>26.980449613899477</v>
      </c>
      <c r="H619" s="958">
        <v>36.892901454769628</v>
      </c>
      <c r="I619" s="959">
        <v>1820.2339999999999</v>
      </c>
      <c r="J619" s="959">
        <v>2495.37</v>
      </c>
      <c r="K619" s="1121">
        <v>94.94</v>
      </c>
      <c r="L619" s="1121">
        <v>129.8203741686867</v>
      </c>
      <c r="M619" s="916">
        <v>19957.95</v>
      </c>
      <c r="N619" s="1172">
        <v>27290.378519485366</v>
      </c>
      <c r="O619" s="1176">
        <v>9764.59</v>
      </c>
      <c r="P619" s="1176">
        <v>13352.040524582015</v>
      </c>
      <c r="Q619" s="1176">
        <v>2346.94</v>
      </c>
      <c r="R619" s="1176">
        <v>3209.191372987756</v>
      </c>
      <c r="S619" s="1176">
        <v>3316.65</v>
      </c>
      <c r="T619" s="1176">
        <v>4535.166884206601</v>
      </c>
      <c r="U619" s="1120">
        <v>1684.7474757651003</v>
      </c>
      <c r="V619" s="1120">
        <v>2303.7133735367152</v>
      </c>
      <c r="W619" s="1120">
        <v>3206.7674763366977</v>
      </c>
      <c r="X619" s="1120">
        <v>4384.9141947546368</v>
      </c>
      <c r="Y619" s="1177">
        <v>28558.364254416887</v>
      </c>
      <c r="Z619" s="1118">
        <v>39050.532264104142</v>
      </c>
      <c r="AA619" s="1177">
        <v>1922.73</v>
      </c>
      <c r="AB619" s="1177">
        <v>2629.1292187208655</v>
      </c>
      <c r="AC619" s="1178">
        <v>24.196000000000002</v>
      </c>
      <c r="AD619" s="1178">
        <v>33.4</v>
      </c>
      <c r="AE619" s="1178">
        <v>59900.23</v>
      </c>
      <c r="AF619" s="1178">
        <v>81907.207408788629</v>
      </c>
      <c r="AG619" s="1178">
        <v>1035.7729999999999</v>
      </c>
      <c r="AH619" s="1178">
        <v>1434.0845630000003</v>
      </c>
      <c r="AI619" s="1178">
        <v>2004.4760000000001</v>
      </c>
      <c r="AJ619" s="1178">
        <v>2822.51</v>
      </c>
      <c r="AK619" s="956">
        <v>80.77</v>
      </c>
      <c r="AL619" s="956">
        <v>110.44440300826652</v>
      </c>
      <c r="AM619" s="919">
        <v>83.59</v>
      </c>
      <c r="AN619" s="919">
        <v>114.30045372614832</v>
      </c>
      <c r="AO619" s="919">
        <v>12.818625212223122</v>
      </c>
      <c r="AP619" s="956">
        <v>17.52810955739379</v>
      </c>
      <c r="AR619" s="1331"/>
      <c r="AS619" s="964"/>
      <c r="AT619" s="1167"/>
      <c r="AU619" s="1168"/>
      <c r="AV619" s="1168"/>
      <c r="AW619" s="1169"/>
      <c r="AX619" s="1169"/>
      <c r="AY619" s="1169"/>
      <c r="AZ619" s="1169"/>
      <c r="BA619" s="1803" t="s">
        <v>4</v>
      </c>
      <c r="BB619" s="1802">
        <v>2008</v>
      </c>
      <c r="BC619" s="1799" t="s">
        <v>15</v>
      </c>
      <c r="BD619" s="1799">
        <v>4</v>
      </c>
      <c r="BE619" s="1800">
        <v>855348594.64000022</v>
      </c>
      <c r="BF619" s="1801">
        <v>6.5933725037930657E-2</v>
      </c>
      <c r="BG619" s="1799"/>
      <c r="BH619" s="1815" t="s">
        <v>2</v>
      </c>
      <c r="BI619" s="1815" t="s">
        <v>319</v>
      </c>
      <c r="BJ619" s="1799" t="s">
        <v>249</v>
      </c>
      <c r="BK619" s="1799"/>
      <c r="BL619" s="1800">
        <v>54369928989.267403</v>
      </c>
      <c r="BM619" s="1801"/>
      <c r="BN619" s="1799">
        <v>2014</v>
      </c>
      <c r="BO619" s="1684"/>
      <c r="BP619" s="1696"/>
      <c r="BQ619" s="1169"/>
      <c r="BR619" s="1169"/>
      <c r="BS619" s="1169"/>
      <c r="BT619" s="1169"/>
      <c r="BU619" s="1169"/>
      <c r="BV619" s="1169"/>
      <c r="BW619" s="1169"/>
      <c r="BX619" s="1169"/>
      <c r="BY619" s="1169"/>
      <c r="BZ619" s="1169"/>
      <c r="CA619" s="1169"/>
      <c r="CB619" s="1169"/>
      <c r="CC619" s="1169"/>
      <c r="CD619" s="1169"/>
      <c r="CE619" s="1169"/>
      <c r="CF619" s="1169"/>
      <c r="CG619" s="1169"/>
      <c r="CH619" s="1169"/>
      <c r="CI619" s="1169"/>
      <c r="CJ619" s="1169"/>
      <c r="CK619" s="1169"/>
      <c r="CL619" s="1169"/>
      <c r="CM619" s="1169"/>
      <c r="CN619" s="1169"/>
      <c r="CO619" s="1169"/>
      <c r="CP619" s="1169"/>
      <c r="CQ619" s="1169"/>
      <c r="CR619" s="1169"/>
      <c r="CS619" s="1169"/>
      <c r="CT619" s="1169"/>
      <c r="CU619" s="1169"/>
      <c r="CV619" s="1169"/>
      <c r="CW619" s="1169"/>
      <c r="CX619" s="1169"/>
      <c r="CY619" s="1169"/>
      <c r="CZ619" s="1169"/>
      <c r="DA619" s="1168"/>
      <c r="DB619" s="1168"/>
      <c r="DC619" s="1168"/>
      <c r="DD619" s="1168"/>
      <c r="DE619" s="1168"/>
      <c r="DF619" s="1168"/>
      <c r="DG619" s="1168"/>
      <c r="DH619" s="1168"/>
      <c r="DI619" s="1168"/>
      <c r="DJ619" s="1168"/>
      <c r="DK619" s="1168"/>
      <c r="DL619" s="1168"/>
      <c r="DM619" s="1168"/>
      <c r="DN619" s="1168"/>
      <c r="DO619" s="1168"/>
      <c r="DP619" s="1168"/>
      <c r="DQ619" s="1168"/>
      <c r="DR619" s="1168"/>
      <c r="DS619" s="1168"/>
      <c r="DT619" s="1168"/>
      <c r="DU619" s="1168"/>
      <c r="DV619" s="1168"/>
      <c r="DW619" s="1168"/>
      <c r="DX619" s="1168"/>
      <c r="DY619" s="1168"/>
      <c r="DZ619" s="1168"/>
      <c r="EA619" s="1168"/>
      <c r="EB619" s="1168"/>
      <c r="EC619" s="1168"/>
      <c r="ED619" s="1168"/>
      <c r="EE619" s="1168"/>
      <c r="EF619" s="1168"/>
      <c r="EG619" s="1168"/>
      <c r="EH619" s="1168"/>
      <c r="EI619" s="1170"/>
      <c r="EJ619" s="1170"/>
      <c r="EK619" s="1170"/>
      <c r="EL619" s="1170"/>
      <c r="EM619" s="1170"/>
      <c r="EN619" s="1170"/>
      <c r="EO619" s="1170"/>
      <c r="EP619" s="1170"/>
      <c r="EQ619" s="1170"/>
      <c r="ER619" s="1170"/>
      <c r="ES619" s="1171"/>
      <c r="ET619" s="1171"/>
      <c r="EU619" s="1171"/>
      <c r="EV619" s="1171"/>
      <c r="EW619" s="1171"/>
      <c r="EX619" s="1171"/>
      <c r="EY619" s="1171"/>
      <c r="EZ619" s="1171"/>
      <c r="FA619" s="1171"/>
      <c r="FB619" s="1171"/>
      <c r="FC619" s="1171"/>
      <c r="FD619" s="1171"/>
      <c r="FE619" s="1171"/>
      <c r="FF619" s="1171"/>
      <c r="FG619" s="1171"/>
      <c r="FH619" s="1171"/>
      <c r="FI619" s="1171"/>
      <c r="FJ619" s="1171"/>
      <c r="FK619" s="1171"/>
      <c r="FL619" s="1171"/>
      <c r="FM619" s="1171"/>
      <c r="FN619" s="1171"/>
      <c r="FO619" s="1171"/>
      <c r="FP619" s="1171"/>
    </row>
    <row r="620" spans="1:172" s="607" customFormat="1">
      <c r="A620" s="607">
        <f t="shared" si="19"/>
        <v>2021</v>
      </c>
      <c r="B620" s="607">
        <f t="shared" si="20"/>
        <v>4</v>
      </c>
      <c r="C620" s="666">
        <v>44531</v>
      </c>
      <c r="D620" s="957">
        <v>0.71505714285714284</v>
      </c>
      <c r="E620" s="1166">
        <v>385.65197234914837</v>
      </c>
      <c r="F620" s="1166">
        <v>539.33028458145975</v>
      </c>
      <c r="G620" s="917">
        <v>24.183006323303118</v>
      </c>
      <c r="H620" s="957">
        <v>33.819683594342479</v>
      </c>
      <c r="I620" s="957">
        <v>1786.653</v>
      </c>
      <c r="J620" s="957">
        <v>2514.13</v>
      </c>
      <c r="K620" s="918">
        <v>112.94</v>
      </c>
      <c r="L620" s="1166">
        <v>157.94541894753667</v>
      </c>
      <c r="M620" s="920">
        <v>20064.759999999998</v>
      </c>
      <c r="N620" s="917">
        <v>28060.358812482518</v>
      </c>
      <c r="O620" s="1166">
        <v>9549.11</v>
      </c>
      <c r="P620" s="1166">
        <v>13354.331322172055</v>
      </c>
      <c r="Q620" s="1166">
        <v>2304.1999999999998</v>
      </c>
      <c r="R620" s="1166">
        <v>3222.3998082071362</v>
      </c>
      <c r="S620" s="918">
        <v>3407.32</v>
      </c>
      <c r="T620" s="1166">
        <v>4765.1016901746116</v>
      </c>
      <c r="U620" s="1166">
        <v>1660.5109562157866</v>
      </c>
      <c r="V620" s="1166">
        <v>2322.2073547589616</v>
      </c>
      <c r="W620" s="1166">
        <v>3101.8693085260211</v>
      </c>
      <c r="X620" s="1166">
        <v>4337.9320653058994</v>
      </c>
      <c r="Y620" s="1166">
        <v>30272.472691251791</v>
      </c>
      <c r="Z620" s="918">
        <v>42335.739169449502</v>
      </c>
      <c r="AA620" s="1166">
        <v>2379.13</v>
      </c>
      <c r="AB620" s="1166">
        <v>3327.1886362728255</v>
      </c>
      <c r="AC620" s="1166">
        <v>22.468</v>
      </c>
      <c r="AD620" s="1166">
        <v>31.82</v>
      </c>
      <c r="AE620" s="1166">
        <v>68925.240000000005</v>
      </c>
      <c r="AF620" s="1166">
        <v>96391.233467854734</v>
      </c>
      <c r="AG620" s="1166">
        <v>940.11099999999999</v>
      </c>
      <c r="AH620" s="1166">
        <v>1324.6177087096776</v>
      </c>
      <c r="AI620" s="1166">
        <v>1789.421</v>
      </c>
      <c r="AJ620" s="1166">
        <v>2655.05</v>
      </c>
      <c r="AK620" s="954">
        <v>74.31</v>
      </c>
      <c r="AL620" s="954">
        <v>103.92176449434611</v>
      </c>
      <c r="AM620" s="920">
        <v>77.239999999999995</v>
      </c>
      <c r="AN620" s="1166">
        <v>108.01933911375714</v>
      </c>
      <c r="AO620" s="1166">
        <v>12.421455019498751</v>
      </c>
      <c r="AP620" s="918">
        <v>17.371276049165154</v>
      </c>
      <c r="AR620" s="1331"/>
      <c r="AS620" s="964"/>
      <c r="AT620" s="1167"/>
      <c r="AU620" s="1168"/>
      <c r="AV620" s="1168"/>
      <c r="AW620" s="1169"/>
      <c r="AX620" s="1169"/>
      <c r="AY620" s="1169"/>
      <c r="AZ620" s="1169"/>
      <c r="BA620" s="1803" t="s">
        <v>4</v>
      </c>
      <c r="BB620" s="1802">
        <v>2008</v>
      </c>
      <c r="BC620" s="1799" t="s">
        <v>28</v>
      </c>
      <c r="BD620" s="1799">
        <v>5</v>
      </c>
      <c r="BE620" s="1800">
        <v>592867349.92000008</v>
      </c>
      <c r="BF620" s="1801">
        <v>4.5700610345942187E-2</v>
      </c>
      <c r="BG620" s="1799"/>
      <c r="BH620" s="1815" t="s">
        <v>2</v>
      </c>
      <c r="BI620" s="1815" t="s">
        <v>318</v>
      </c>
      <c r="BJ620" s="1799" t="s">
        <v>15</v>
      </c>
      <c r="BK620" s="1799">
        <v>1</v>
      </c>
      <c r="BL620" s="1800">
        <v>49014730714.380302</v>
      </c>
      <c r="BM620" s="1801">
        <v>0.65372439248930869</v>
      </c>
      <c r="BN620" s="1799">
        <v>2013</v>
      </c>
      <c r="BO620" s="1684"/>
      <c r="BP620" s="1696"/>
      <c r="BQ620" s="1169"/>
      <c r="BR620" s="1169"/>
      <c r="BS620" s="1169"/>
      <c r="BT620" s="1169"/>
      <c r="BU620" s="1169"/>
      <c r="BV620" s="1169"/>
      <c r="BW620" s="1169"/>
      <c r="BX620" s="1169"/>
      <c r="BY620" s="1169"/>
      <c r="BZ620" s="1169"/>
      <c r="CA620" s="1169"/>
      <c r="CB620" s="1169"/>
      <c r="CC620" s="1169"/>
      <c r="CD620" s="1169"/>
      <c r="CE620" s="1169"/>
      <c r="CF620" s="1169"/>
      <c r="CG620" s="1169"/>
      <c r="CH620" s="1169"/>
      <c r="CI620" s="1169"/>
      <c r="CJ620" s="1169"/>
      <c r="CK620" s="1169"/>
      <c r="CL620" s="1169"/>
      <c r="CM620" s="1169"/>
      <c r="CN620" s="1169"/>
      <c r="CO620" s="1169"/>
      <c r="CP620" s="1169"/>
      <c r="CQ620" s="1169"/>
      <c r="CR620" s="1169"/>
      <c r="CS620" s="1169"/>
      <c r="CT620" s="1169"/>
      <c r="CU620" s="1169"/>
      <c r="CV620" s="1169"/>
      <c r="CW620" s="1169"/>
      <c r="CX620" s="1169"/>
      <c r="CY620" s="1169"/>
      <c r="CZ620" s="1169"/>
      <c r="DA620" s="1168"/>
      <c r="DB620" s="1168"/>
      <c r="DC620" s="1168"/>
      <c r="DD620" s="1168"/>
      <c r="DE620" s="1168"/>
      <c r="DF620" s="1168"/>
      <c r="DG620" s="1168"/>
      <c r="DH620" s="1168"/>
      <c r="DI620" s="1168"/>
      <c r="DJ620" s="1168"/>
      <c r="DK620" s="1168"/>
      <c r="DL620" s="1168"/>
      <c r="DM620" s="1168"/>
      <c r="DN620" s="1168"/>
      <c r="DO620" s="1168"/>
      <c r="DP620" s="1168"/>
      <c r="DQ620" s="1168"/>
      <c r="DR620" s="1168"/>
      <c r="DS620" s="1168"/>
      <c r="DT620" s="1168"/>
      <c r="DU620" s="1168"/>
      <c r="DV620" s="1168"/>
      <c r="DW620" s="1168"/>
      <c r="DX620" s="1168"/>
      <c r="DY620" s="1168"/>
      <c r="DZ620" s="1168"/>
      <c r="EA620" s="1168"/>
      <c r="EB620" s="1168"/>
      <c r="EC620" s="1168"/>
      <c r="ED620" s="1168"/>
      <c r="EE620" s="1168"/>
      <c r="EF620" s="1168"/>
      <c r="EG620" s="1168"/>
      <c r="EH620" s="1168"/>
      <c r="EI620" s="1170"/>
      <c r="EJ620" s="1170"/>
      <c r="EK620" s="1170"/>
      <c r="EL620" s="1170"/>
      <c r="EM620" s="1170"/>
      <c r="EN620" s="1170"/>
      <c r="EO620" s="1170"/>
      <c r="EP620" s="1170"/>
      <c r="EQ620" s="1170"/>
      <c r="ER620" s="1170"/>
      <c r="ES620" s="1171"/>
      <c r="ET620" s="1171"/>
      <c r="EU620" s="1171"/>
      <c r="EV620" s="1171"/>
      <c r="EW620" s="1171"/>
      <c r="EX620" s="1171"/>
      <c r="EY620" s="1171"/>
      <c r="EZ620" s="1171"/>
      <c r="FA620" s="1171"/>
      <c r="FB620" s="1171"/>
      <c r="FC620" s="1171"/>
      <c r="FD620" s="1171"/>
      <c r="FE620" s="1171"/>
      <c r="FF620" s="1171"/>
      <c r="FG620" s="1171"/>
      <c r="FH620" s="1171"/>
      <c r="FI620" s="1171"/>
      <c r="FJ620" s="1171"/>
      <c r="FK620" s="1171"/>
      <c r="FL620" s="1171"/>
      <c r="FM620" s="1171"/>
      <c r="FN620" s="1171"/>
      <c r="FO620" s="1171"/>
      <c r="FP620" s="1171"/>
    </row>
    <row r="621" spans="1:172" s="268" customFormat="1">
      <c r="A621" s="268">
        <f t="shared" si="19"/>
        <v>2022</v>
      </c>
      <c r="B621" s="268">
        <f t="shared" si="20"/>
        <v>1</v>
      </c>
      <c r="C621" s="1533">
        <v>44562</v>
      </c>
      <c r="D621" s="1709">
        <v>0.71793157894736848</v>
      </c>
      <c r="E621" s="958">
        <v>372.96482302981616</v>
      </c>
      <c r="F621" s="958">
        <v>519.4991193682514</v>
      </c>
      <c r="G621" s="958">
        <v>21.406879188441941</v>
      </c>
      <c r="H621" s="958">
        <v>29.817436391123394</v>
      </c>
      <c r="I621" s="1165">
        <v>1816.7650000000001</v>
      </c>
      <c r="J621" s="1165">
        <v>2538.2399999999998</v>
      </c>
      <c r="K621" s="1121">
        <v>131.37</v>
      </c>
      <c r="L621" s="1121">
        <v>182.98401108447513</v>
      </c>
      <c r="M621" s="916">
        <v>22319.38</v>
      </c>
      <c r="N621" s="916">
        <v>31088.450006231349</v>
      </c>
      <c r="O621" s="1176">
        <v>9774.51</v>
      </c>
      <c r="P621" s="1176">
        <v>13614.821086894366</v>
      </c>
      <c r="Q621" s="1176">
        <v>2341.9899999999998</v>
      </c>
      <c r="R621" s="1176">
        <v>3262.1353742843103</v>
      </c>
      <c r="S621" s="1176">
        <v>3674.5</v>
      </c>
      <c r="T621" s="1176">
        <v>5118.1757534437374</v>
      </c>
      <c r="U621" s="1120">
        <v>1765.139287149653</v>
      </c>
      <c r="V621" s="1120">
        <v>2458.6455574745728</v>
      </c>
      <c r="W621" s="1120">
        <v>3224.0364966995649</v>
      </c>
      <c r="X621" s="1120">
        <v>4490.7294667642955</v>
      </c>
      <c r="Y621" s="1177">
        <v>40713.478177145567</v>
      </c>
      <c r="Z621" s="1118">
        <v>56709.412666928067</v>
      </c>
      <c r="AA621" s="1177">
        <v>2663.16</v>
      </c>
      <c r="AB621" s="1177">
        <v>3709.4899821856643</v>
      </c>
      <c r="AC621" s="1178">
        <v>23.129000000000001</v>
      </c>
      <c r="AD621" s="1178">
        <v>32.590000000000003</v>
      </c>
      <c r="AE621" s="1178">
        <v>70465</v>
      </c>
      <c r="AF621" s="1178">
        <v>98150.021626456117</v>
      </c>
      <c r="AG621" s="1178">
        <v>995.5</v>
      </c>
      <c r="AH621" s="1178">
        <v>1383.7888109677422</v>
      </c>
      <c r="AI621" s="1178">
        <v>2033.75</v>
      </c>
      <c r="AJ621" s="1178">
        <v>2901.49</v>
      </c>
      <c r="AK621" s="919">
        <v>85.53</v>
      </c>
      <c r="AL621" s="919">
        <v>119.13391541489806</v>
      </c>
      <c r="AM621" s="919">
        <v>89.75</v>
      </c>
      <c r="AN621" s="919">
        <v>125.01191287837133</v>
      </c>
      <c r="AO621" s="919">
        <v>12.805328196950629</v>
      </c>
      <c r="AP621" s="919">
        <v>17.836418639957035</v>
      </c>
      <c r="AS621" s="964"/>
      <c r="AT621" s="964"/>
      <c r="AU621" s="962"/>
      <c r="AV621" s="962"/>
      <c r="AW621" s="983"/>
      <c r="AX621" s="983"/>
      <c r="AY621" s="983"/>
      <c r="AZ621" s="983"/>
      <c r="BA621" s="1817" t="s">
        <v>4</v>
      </c>
      <c r="BB621" s="1818">
        <v>2008</v>
      </c>
      <c r="BC621" s="452" t="s">
        <v>24</v>
      </c>
      <c r="BD621" s="452">
        <v>6</v>
      </c>
      <c r="BE621" s="1819">
        <v>224188668.60000002</v>
      </c>
      <c r="BF621" s="1820">
        <v>1.7281368233630464E-2</v>
      </c>
      <c r="BG621" s="452"/>
      <c r="BH621" s="1821" t="s">
        <v>2</v>
      </c>
      <c r="BI621" s="1821" t="s">
        <v>318</v>
      </c>
      <c r="BJ621" s="452" t="s">
        <v>20</v>
      </c>
      <c r="BK621" s="452">
        <v>2</v>
      </c>
      <c r="BL621" s="1819">
        <v>10956237957.531624</v>
      </c>
      <c r="BM621" s="1820">
        <v>0.14612668270060125</v>
      </c>
      <c r="BN621" s="452">
        <v>2013</v>
      </c>
      <c r="BO621" s="1683"/>
      <c r="BP621" s="297"/>
      <c r="BQ621" s="983"/>
      <c r="BR621" s="983"/>
      <c r="BS621" s="983"/>
      <c r="BT621" s="983"/>
      <c r="BU621" s="983"/>
      <c r="BV621" s="983"/>
      <c r="BW621" s="983"/>
      <c r="BX621" s="983"/>
      <c r="BY621" s="983"/>
      <c r="BZ621" s="983"/>
      <c r="CA621" s="983"/>
      <c r="CB621" s="983"/>
      <c r="CC621" s="983"/>
      <c r="CD621" s="983"/>
      <c r="CE621" s="983"/>
      <c r="CF621" s="983"/>
      <c r="CG621" s="983"/>
      <c r="CH621" s="983"/>
      <c r="CI621" s="983"/>
      <c r="CJ621" s="983"/>
      <c r="CK621" s="983"/>
      <c r="CL621" s="983"/>
      <c r="CM621" s="983"/>
      <c r="CN621" s="983"/>
      <c r="CO621" s="983"/>
      <c r="CP621" s="983"/>
      <c r="CQ621" s="983"/>
      <c r="CR621" s="983"/>
      <c r="CS621" s="983"/>
      <c r="CT621" s="983"/>
      <c r="CU621" s="983"/>
      <c r="CV621" s="983"/>
      <c r="CW621" s="983"/>
      <c r="CX621" s="983"/>
      <c r="CY621" s="983"/>
      <c r="CZ621" s="983"/>
      <c r="DA621" s="962"/>
      <c r="DB621" s="962"/>
      <c r="DC621" s="962"/>
      <c r="DD621" s="962"/>
      <c r="DE621" s="962"/>
      <c r="DF621" s="962"/>
      <c r="DG621" s="962"/>
      <c r="DH621" s="962"/>
      <c r="DI621" s="962"/>
      <c r="DJ621" s="962"/>
      <c r="DK621" s="962"/>
      <c r="DL621" s="962"/>
      <c r="DM621" s="962"/>
      <c r="DN621" s="962"/>
      <c r="DO621" s="962"/>
      <c r="DP621" s="962"/>
      <c r="DQ621" s="962"/>
      <c r="DR621" s="962"/>
      <c r="DS621" s="962"/>
      <c r="DT621" s="962"/>
      <c r="DU621" s="962"/>
      <c r="DV621" s="962"/>
      <c r="DW621" s="962"/>
      <c r="DX621" s="962"/>
      <c r="DY621" s="962"/>
      <c r="DZ621" s="962"/>
      <c r="EA621" s="962"/>
      <c r="EB621" s="962"/>
      <c r="EC621" s="962"/>
      <c r="ED621" s="962"/>
      <c r="EE621" s="962"/>
      <c r="EF621" s="962"/>
      <c r="EG621" s="962"/>
      <c r="EH621" s="962"/>
      <c r="EI621" s="913"/>
      <c r="EJ621" s="913"/>
      <c r="EK621" s="913"/>
      <c r="EL621" s="913"/>
      <c r="EM621" s="913"/>
      <c r="EN621" s="913"/>
      <c r="EO621" s="913"/>
      <c r="EP621" s="913"/>
      <c r="EQ621" s="913"/>
      <c r="ER621" s="913"/>
      <c r="ES621" s="95"/>
      <c r="ET621" s="95"/>
      <c r="EU621" s="95"/>
      <c r="EV621" s="95"/>
      <c r="EW621" s="95"/>
      <c r="EX621" s="95"/>
      <c r="EY621" s="95"/>
      <c r="EZ621" s="95"/>
      <c r="FA621" s="95"/>
      <c r="FB621" s="95"/>
      <c r="FC621" s="95"/>
      <c r="FD621" s="95"/>
      <c r="FE621" s="95"/>
      <c r="FF621" s="95"/>
      <c r="FG621" s="95"/>
      <c r="FH621" s="95"/>
      <c r="FI621" s="95"/>
      <c r="FJ621" s="95"/>
      <c r="FK621" s="95"/>
      <c r="FL621" s="95"/>
      <c r="FM621" s="95"/>
      <c r="FN621" s="95"/>
      <c r="FO621" s="95"/>
      <c r="FP621" s="95"/>
    </row>
    <row r="622" spans="1:172">
      <c r="A622" s="228">
        <f t="shared" si="19"/>
        <v>2022</v>
      </c>
      <c r="B622" s="228">
        <f t="shared" si="20"/>
        <v>1</v>
      </c>
      <c r="C622" s="666">
        <v>44593</v>
      </c>
      <c r="D622" s="957">
        <v>0.71576499999999998</v>
      </c>
      <c r="E622" s="957">
        <v>375.76197630859633</v>
      </c>
      <c r="F622" s="957">
        <v>524.97953421667216</v>
      </c>
      <c r="G622" s="954">
        <v>22.763237241182082</v>
      </c>
      <c r="H622" s="957">
        <v>31.802668810548269</v>
      </c>
      <c r="I622" s="1166">
        <v>1856.2950000000001</v>
      </c>
      <c r="J622" s="1166">
        <v>2595.4325389285709</v>
      </c>
      <c r="K622" s="1166">
        <v>141.65</v>
      </c>
      <c r="L622" s="1166">
        <v>197.90014879185208</v>
      </c>
      <c r="M622" s="917">
        <v>24172.5</v>
      </c>
      <c r="N622" s="917">
        <v>33771.559101101622</v>
      </c>
      <c r="O622" s="1166">
        <v>9939.98</v>
      </c>
      <c r="P622" s="1166">
        <v>13887.211584807863</v>
      </c>
      <c r="Q622" s="1166">
        <v>2299.16</v>
      </c>
      <c r="R622" s="1166">
        <v>3212.1715926316597</v>
      </c>
      <c r="S622" s="1166">
        <v>3643.68</v>
      </c>
      <c r="T622" s="1166">
        <v>5090.6093480402087</v>
      </c>
      <c r="U622" s="1166">
        <v>1855.4970346360819</v>
      </c>
      <c r="V622" s="1166">
        <v>2592.3271389856754</v>
      </c>
      <c r="W622" s="1166">
        <v>3238.463441213547</v>
      </c>
      <c r="X622" s="1166">
        <v>4524.4786224718264</v>
      </c>
      <c r="Y622" s="1166">
        <v>56978.311792570181</v>
      </c>
      <c r="Z622" s="957">
        <v>79604.775020530738</v>
      </c>
      <c r="AA622" s="1166">
        <v>2710.63</v>
      </c>
      <c r="AB622" s="1166">
        <v>3787.0390421437205</v>
      </c>
      <c r="AC622" s="1166">
        <v>23.465</v>
      </c>
      <c r="AD622" s="1166">
        <v>32.828287142857143</v>
      </c>
      <c r="AE622" s="1166">
        <v>71287.75</v>
      </c>
      <c r="AF622" s="1166">
        <v>99596.58547148855</v>
      </c>
      <c r="AG622" s="1166">
        <v>1051.222</v>
      </c>
      <c r="AH622" s="1166">
        <v>1464.9692707142856</v>
      </c>
      <c r="AI622" s="1166">
        <v>2356.6669999999999</v>
      </c>
      <c r="AJ622" s="1166">
        <v>3358.66</v>
      </c>
      <c r="AK622" s="920">
        <v>95.76</v>
      </c>
      <c r="AL622" s="920">
        <v>133.78692727361636</v>
      </c>
      <c r="AM622" s="920">
        <v>99.98</v>
      </c>
      <c r="AN622" s="1166">
        <v>139.68271709290062</v>
      </c>
      <c r="AO622" s="1166">
        <v>12.337731353979118</v>
      </c>
      <c r="AP622" s="1166">
        <v>17.237125808022352</v>
      </c>
      <c r="BA622" s="1817" t="s">
        <v>4</v>
      </c>
      <c r="BB622" s="1818">
        <v>2008</v>
      </c>
      <c r="BC622" s="452" t="s">
        <v>583</v>
      </c>
      <c r="BD622" s="452">
        <v>7</v>
      </c>
      <c r="BE622" s="1819">
        <v>206714278.58000001</v>
      </c>
      <c r="BF622" s="1820">
        <v>1.5934371659363386E-2</v>
      </c>
      <c r="BH622" s="1821" t="s">
        <v>2</v>
      </c>
      <c r="BI622" s="1821" t="s">
        <v>318</v>
      </c>
      <c r="BJ622" s="452" t="s">
        <v>581</v>
      </c>
      <c r="BK622" s="452">
        <v>3</v>
      </c>
      <c r="BL622" s="1819">
        <v>5237371639.0353251</v>
      </c>
      <c r="BM622" s="1820">
        <v>6.9852420753269667E-2</v>
      </c>
      <c r="BN622" s="452">
        <v>2013</v>
      </c>
      <c r="ES622" s="95"/>
      <c r="ET622" s="95"/>
      <c r="EU622" s="95"/>
      <c r="EV622" s="95"/>
      <c r="EW622" s="95"/>
      <c r="EX622" s="95"/>
      <c r="EY622" s="95"/>
      <c r="EZ622" s="95"/>
      <c r="FA622" s="95"/>
      <c r="FB622" s="95"/>
      <c r="FC622" s="95"/>
      <c r="FD622" s="95"/>
      <c r="FE622" s="95"/>
      <c r="FF622" s="95"/>
      <c r="FG622" s="95"/>
      <c r="FH622" s="95"/>
      <c r="FI622" s="95"/>
      <c r="FJ622" s="95"/>
      <c r="FK622" s="95"/>
      <c r="FL622" s="95"/>
      <c r="FM622" s="95"/>
      <c r="FN622" s="95"/>
      <c r="FO622" s="95"/>
      <c r="FP622" s="95"/>
    </row>
    <row r="623" spans="1:172">
      <c r="A623" s="228">
        <f t="shared" si="19"/>
        <v>2022</v>
      </c>
      <c r="B623" s="228">
        <f t="shared" si="20"/>
        <v>1</v>
      </c>
      <c r="C623" s="666">
        <v>44621</v>
      </c>
      <c r="D623" s="1709">
        <v>0.73686521739130439</v>
      </c>
      <c r="E623" s="958">
        <v>401.94559885645685</v>
      </c>
      <c r="F623" s="958">
        <v>545.48048865632359</v>
      </c>
      <c r="G623" s="958">
        <v>21.105672792191882</v>
      </c>
      <c r="H623" s="958">
        <v>28.642514660837818</v>
      </c>
      <c r="I623" s="959">
        <v>1947.828</v>
      </c>
      <c r="J623" s="959">
        <v>2640.7890441935479</v>
      </c>
      <c r="K623" s="1121">
        <v>150.49</v>
      </c>
      <c r="L623" s="1121">
        <v>204.23002259867005</v>
      </c>
      <c r="M623" s="916">
        <v>34101.18</v>
      </c>
      <c r="N623" s="1172">
        <v>46278.721257500925</v>
      </c>
      <c r="O623" s="1176">
        <v>10236.700000000001</v>
      </c>
      <c r="P623" s="1176">
        <v>13892.228535688788</v>
      </c>
      <c r="Q623" s="1176">
        <v>2358.79</v>
      </c>
      <c r="R623" s="1176">
        <v>3201.1145923683757</v>
      </c>
      <c r="S623" s="1176">
        <v>3973.62</v>
      </c>
      <c r="T623" s="1176">
        <v>5392.600853203051</v>
      </c>
      <c r="U623" s="1120">
        <v>1862.4105596803022</v>
      </c>
      <c r="V623" s="1120">
        <v>2527.4779101037266</v>
      </c>
      <c r="W623" s="1120">
        <v>3387.1068061597693</v>
      </c>
      <c r="X623" s="1120">
        <v>4596.6436279229101</v>
      </c>
      <c r="Y623" s="1177">
        <v>72551.840092643746</v>
      </c>
      <c r="Z623" s="1118">
        <v>98460.123208822682</v>
      </c>
      <c r="AA623" s="1177">
        <v>2763</v>
      </c>
      <c r="AB623" s="1177">
        <v>3749.6681004726247</v>
      </c>
      <c r="AC623" s="1178">
        <v>25.24</v>
      </c>
      <c r="AD623" s="1178">
        <v>34.249204193548387</v>
      </c>
      <c r="AE623" s="1178">
        <v>80399.13</v>
      </c>
      <c r="AF623" s="1178">
        <v>109109.68261554529</v>
      </c>
      <c r="AG623" s="1178">
        <v>1043.261</v>
      </c>
      <c r="AH623" s="1178">
        <v>1422.8114396774195</v>
      </c>
      <c r="AI623" s="1178">
        <v>2582.7829999999999</v>
      </c>
      <c r="AJ623" s="1178">
        <v>3665.58</v>
      </c>
      <c r="AK623" s="919">
        <v>115.59</v>
      </c>
      <c r="AL623" s="919">
        <v>156.86722248774183</v>
      </c>
      <c r="AM623" s="919">
        <v>121.43</v>
      </c>
      <c r="AN623" s="919">
        <v>164.79268817965647</v>
      </c>
      <c r="AO623" s="919">
        <v>12.888328608494382</v>
      </c>
      <c r="AP623" s="919">
        <v>17.490754488483574</v>
      </c>
      <c r="BA623" s="1817" t="s">
        <v>4</v>
      </c>
      <c r="BB623" s="1818">
        <v>2008</v>
      </c>
      <c r="BC623" s="452" t="s">
        <v>431</v>
      </c>
      <c r="BD623" s="452">
        <v>8</v>
      </c>
      <c r="BE623" s="1819">
        <v>192480190.47</v>
      </c>
      <c r="BF623" s="1820">
        <v>1.4837150646209774E-2</v>
      </c>
      <c r="BH623" s="1821" t="s">
        <v>2</v>
      </c>
      <c r="BI623" s="1821" t="s">
        <v>318</v>
      </c>
      <c r="BJ623" s="452" t="s">
        <v>583</v>
      </c>
      <c r="BK623" s="452">
        <v>4</v>
      </c>
      <c r="BL623" s="1819">
        <v>1952610827.1688156</v>
      </c>
      <c r="BM623" s="1820">
        <v>2.6042565329946421E-2</v>
      </c>
      <c r="BN623" s="452">
        <v>2013</v>
      </c>
      <c r="ES623" s="95"/>
      <c r="ET623" s="95"/>
      <c r="EU623" s="95"/>
      <c r="EV623" s="95"/>
      <c r="EW623" s="95"/>
      <c r="EX623" s="95"/>
      <c r="EY623" s="95"/>
      <c r="EZ623" s="95"/>
      <c r="FA623" s="95"/>
      <c r="FB623" s="95"/>
      <c r="FC623" s="95"/>
      <c r="FD623" s="95"/>
      <c r="FE623" s="95"/>
      <c r="FF623" s="95"/>
      <c r="FG623" s="95"/>
      <c r="FH623" s="95"/>
      <c r="FI623" s="95"/>
      <c r="FJ623" s="95"/>
      <c r="FK623" s="95"/>
      <c r="FL623" s="95"/>
      <c r="FM623" s="95"/>
      <c r="FN623" s="95"/>
      <c r="FO623" s="95"/>
      <c r="FP623" s="95"/>
    </row>
    <row r="624" spans="1:172">
      <c r="A624" s="228">
        <f t="shared" si="19"/>
        <v>2022</v>
      </c>
      <c r="B624" s="228">
        <f t="shared" si="20"/>
        <v>2</v>
      </c>
      <c r="C624" s="666">
        <v>44652</v>
      </c>
      <c r="D624" s="957">
        <v>0.73974999999999991</v>
      </c>
      <c r="E624" s="957">
        <v>460.09803697424434</v>
      </c>
      <c r="F624" s="957">
        <v>621.96422706893463</v>
      </c>
      <c r="G624" s="954">
        <v>22.409576231430414</v>
      </c>
      <c r="H624" s="957">
        <v>30.293445395647741</v>
      </c>
      <c r="I624" s="957">
        <v>1933.9</v>
      </c>
      <c r="J624" s="957">
        <v>2630.7344226666669</v>
      </c>
      <c r="K624" s="1166">
        <v>150.71</v>
      </c>
      <c r="L624" s="1166">
        <v>203.73099019939173</v>
      </c>
      <c r="M624" s="920">
        <v>33287.24</v>
      </c>
      <c r="N624" s="917">
        <v>44997.958769854682</v>
      </c>
      <c r="O624" s="1166">
        <v>10182.33</v>
      </c>
      <c r="P624" s="1166">
        <v>13764.555593105781</v>
      </c>
      <c r="Q624" s="1166">
        <v>2396.0500000000002</v>
      </c>
      <c r="R624" s="1166">
        <v>3238.9996620479897</v>
      </c>
      <c r="S624" s="1166">
        <v>4370.41</v>
      </c>
      <c r="T624" s="1166">
        <v>5907.9553903345732</v>
      </c>
      <c r="U624" s="1166">
        <v>2015.5142967997244</v>
      </c>
      <c r="V624" s="1166">
        <v>2724.5884377150724</v>
      </c>
      <c r="W624" s="1166">
        <v>3278.4088281211384</v>
      </c>
      <c r="X624" s="1166">
        <v>4431.7794229417223</v>
      </c>
      <c r="Y624" s="1166">
        <v>74847.210889658047</v>
      </c>
      <c r="Z624" s="957">
        <v>101179.06169605686</v>
      </c>
      <c r="AA624" s="1166">
        <v>3107.14</v>
      </c>
      <c r="AB624" s="1166">
        <v>4200.2568435282192</v>
      </c>
      <c r="AC624" s="1166">
        <v>24.541</v>
      </c>
      <c r="AD624" s="1166">
        <v>33.376000666666663</v>
      </c>
      <c r="AE624" s="1166">
        <v>81539.47</v>
      </c>
      <c r="AF624" s="1166">
        <v>110225.71138898277</v>
      </c>
      <c r="AG624" s="1166">
        <v>962.31600000000003</v>
      </c>
      <c r="AH624" s="1166">
        <v>1313.6448070000004</v>
      </c>
      <c r="AI624" s="1166">
        <v>2325.3679999999999</v>
      </c>
      <c r="AJ624" s="1166">
        <v>3263.69</v>
      </c>
      <c r="AK624" s="920">
        <v>105.78</v>
      </c>
      <c r="AL624" s="920">
        <v>142.99425481581616</v>
      </c>
      <c r="AM624" s="1166">
        <v>111.16</v>
      </c>
      <c r="AN624" s="1166">
        <v>150.26698208854344</v>
      </c>
      <c r="AO624" s="1166">
        <v>13.80613581202075</v>
      </c>
      <c r="AP624" s="1166">
        <v>18.663245437000004</v>
      </c>
      <c r="BA624" s="1817" t="s">
        <v>4</v>
      </c>
      <c r="BB624" s="1818">
        <v>2008</v>
      </c>
      <c r="BC624" s="452" t="s">
        <v>73</v>
      </c>
      <c r="BD624" s="452">
        <v>9</v>
      </c>
      <c r="BE624" s="1819">
        <v>155580477.22999999</v>
      </c>
      <c r="BF624" s="1820">
        <v>1.1992771685408854E-2</v>
      </c>
      <c r="BH624" s="1821" t="s">
        <v>2</v>
      </c>
      <c r="BI624" s="1821" t="s">
        <v>318</v>
      </c>
      <c r="BJ624" s="452" t="s">
        <v>431</v>
      </c>
      <c r="BK624" s="452">
        <v>5</v>
      </c>
      <c r="BL624" s="1819">
        <v>1122577092.247129</v>
      </c>
      <c r="BM624" s="1820">
        <v>1.4972152594859916E-2</v>
      </c>
      <c r="BN624" s="452">
        <v>2013</v>
      </c>
      <c r="ES624" s="95"/>
      <c r="ET624" s="95"/>
      <c r="EU624" s="95"/>
      <c r="EV624" s="95"/>
      <c r="EW624" s="95"/>
      <c r="EX624" s="95"/>
      <c r="EY624" s="95"/>
      <c r="EZ624" s="95"/>
      <c r="FA624" s="95"/>
      <c r="FB624" s="95"/>
      <c r="FC624" s="95"/>
      <c r="FD624" s="95"/>
      <c r="FE624" s="95"/>
      <c r="FF624" s="95"/>
      <c r="FG624" s="95"/>
      <c r="FH624" s="95"/>
      <c r="FI624" s="95"/>
      <c r="FJ624" s="95"/>
      <c r="FK624" s="95"/>
      <c r="FL624" s="95"/>
      <c r="FM624" s="95"/>
      <c r="FN624" s="95"/>
      <c r="FO624" s="95"/>
      <c r="FP624" s="95"/>
    </row>
    <row r="625" spans="1:172">
      <c r="A625" s="228">
        <f t="shared" si="19"/>
        <v>2022</v>
      </c>
      <c r="B625" s="228">
        <f t="shared" si="20"/>
        <v>2</v>
      </c>
      <c r="C625" s="666">
        <v>44682</v>
      </c>
      <c r="D625" s="1709">
        <v>0.70520000000000005</v>
      </c>
      <c r="E625" s="958">
        <v>396.73291139959559</v>
      </c>
      <c r="F625" s="958">
        <v>562.58212053260854</v>
      </c>
      <c r="G625" s="958">
        <v>20.874379627919211</v>
      </c>
      <c r="H625" s="958">
        <v>29.600651769596155</v>
      </c>
      <c r="I625" s="959">
        <v>1848.3019999999999</v>
      </c>
      <c r="J625" s="959">
        <v>2623.7636222580645</v>
      </c>
      <c r="K625" s="1121">
        <v>133.41999999999999</v>
      </c>
      <c r="L625" s="1121">
        <v>189.19455473624501</v>
      </c>
      <c r="M625" s="916">
        <v>27938.57</v>
      </c>
      <c r="N625" s="1172">
        <v>39617.938173567782</v>
      </c>
      <c r="O625" s="1176">
        <v>9362.08</v>
      </c>
      <c r="P625" s="1176">
        <v>13275.779920589903</v>
      </c>
      <c r="Q625" s="1176">
        <v>2144.48</v>
      </c>
      <c r="R625" s="1176">
        <v>3040.9529211571185</v>
      </c>
      <c r="S625" s="1176">
        <v>3758.77</v>
      </c>
      <c r="T625" s="1176">
        <v>5330.0765740215538</v>
      </c>
      <c r="U625" s="1120">
        <v>1986.1884642925613</v>
      </c>
      <c r="V625" s="1120">
        <v>2816.4895976922307</v>
      </c>
      <c r="W625" s="1120">
        <v>3272.4548813472575</v>
      </c>
      <c r="X625" s="1120">
        <v>4640.4635299876027</v>
      </c>
      <c r="Y625" s="1177">
        <v>69192.00478027387</v>
      </c>
      <c r="Z625" s="1118">
        <v>98116.853063349205</v>
      </c>
      <c r="AA625" s="1177">
        <v>4030.5</v>
      </c>
      <c r="AB625" s="1177">
        <v>5715.3998865570047</v>
      </c>
      <c r="AC625" s="1178">
        <v>21.904</v>
      </c>
      <c r="AD625" s="1178">
        <v>31.063537096774194</v>
      </c>
      <c r="AE625" s="1178">
        <v>77327.38</v>
      </c>
      <c r="AF625" s="1178">
        <v>109653.11968235961</v>
      </c>
      <c r="AG625" s="1178">
        <v>960.1</v>
      </c>
      <c r="AH625" s="1178">
        <v>1358.5576329032258</v>
      </c>
      <c r="AI625" s="1178">
        <v>2048.0479999999998</v>
      </c>
      <c r="AJ625" s="1178">
        <v>2904.2087351106065</v>
      </c>
      <c r="AK625" s="919">
        <v>112.37</v>
      </c>
      <c r="AL625" s="919">
        <v>159.34486670448101</v>
      </c>
      <c r="AM625" s="919">
        <v>118.62</v>
      </c>
      <c r="AN625" s="919">
        <v>168.20760068065798</v>
      </c>
      <c r="AO625" s="919">
        <v>12.854020542703786</v>
      </c>
      <c r="AP625" s="919">
        <v>18.227482335087615</v>
      </c>
      <c r="AR625" s="1604"/>
      <c r="BA625" s="1817" t="s">
        <v>4</v>
      </c>
      <c r="BB625" s="1818">
        <v>2008</v>
      </c>
      <c r="BC625" s="452" t="s">
        <v>18</v>
      </c>
      <c r="BD625" s="452">
        <v>10</v>
      </c>
      <c r="BE625" s="1819">
        <v>117731109.77</v>
      </c>
      <c r="BF625" s="1820">
        <v>9.0751895409995707E-3</v>
      </c>
      <c r="BH625" s="1821" t="s">
        <v>2</v>
      </c>
      <c r="BI625" s="1821" t="s">
        <v>318</v>
      </c>
      <c r="BJ625" s="452" t="s">
        <v>32</v>
      </c>
      <c r="BL625" s="1819">
        <v>6694140153.3080044</v>
      </c>
      <c r="BM625" s="1820">
        <v>8.9281786132014054E-2</v>
      </c>
      <c r="BN625" s="452">
        <v>2013</v>
      </c>
      <c r="ES625" s="95"/>
      <c r="ET625" s="95"/>
      <c r="EU625" s="95"/>
      <c r="EV625" s="95"/>
      <c r="EW625" s="95"/>
      <c r="EX625" s="95"/>
      <c r="EY625" s="95"/>
      <c r="EZ625" s="95"/>
      <c r="FA625" s="95"/>
      <c r="FB625" s="95"/>
      <c r="FC625" s="95"/>
      <c r="FD625" s="95"/>
      <c r="FE625" s="95"/>
      <c r="FF625" s="95"/>
      <c r="FG625" s="95"/>
      <c r="FH625" s="95"/>
      <c r="FI625" s="95"/>
      <c r="FJ625" s="95"/>
      <c r="FK625" s="95"/>
      <c r="FL625" s="95"/>
      <c r="FM625" s="95"/>
      <c r="FN625" s="95"/>
      <c r="FO625" s="95"/>
      <c r="FP625" s="95"/>
    </row>
    <row r="626" spans="1:172">
      <c r="A626" s="228">
        <f t="shared" si="19"/>
        <v>2022</v>
      </c>
      <c r="B626" s="228">
        <f t="shared" si="20"/>
        <v>2</v>
      </c>
      <c r="C626" s="666">
        <v>44713</v>
      </c>
      <c r="D626" s="957">
        <v>0.70303333333333329</v>
      </c>
      <c r="E626" s="957">
        <v>373.28834830610083</v>
      </c>
      <c r="F626" s="957">
        <v>530.9682067793384</v>
      </c>
      <c r="G626" s="954">
        <v>20.502355266631927</v>
      </c>
      <c r="H626" s="957">
        <v>29.162707221040151</v>
      </c>
      <c r="I626" s="1166">
        <v>1833.825</v>
      </c>
      <c r="J626" s="1166">
        <v>2618.6942396666664</v>
      </c>
      <c r="K626" s="1166">
        <v>130.07</v>
      </c>
      <c r="L626" s="1166">
        <v>185.01256460101465</v>
      </c>
      <c r="M626" s="917">
        <v>25824.880000000001</v>
      </c>
      <c r="N626" s="917">
        <v>36733.507183158697</v>
      </c>
      <c r="O626" s="1166">
        <v>9031.99</v>
      </c>
      <c r="P626" s="1166">
        <v>12847.171779431987</v>
      </c>
      <c r="Q626" s="1166">
        <v>2066.73</v>
      </c>
      <c r="R626" s="1166">
        <v>2939.7325873595373</v>
      </c>
      <c r="S626" s="1166">
        <v>3643.29</v>
      </c>
      <c r="T626" s="1166">
        <v>5182.2436110189183</v>
      </c>
      <c r="U626" s="1166">
        <v>1949.0415780241326</v>
      </c>
      <c r="V626" s="1166">
        <v>2772.3316742081447</v>
      </c>
      <c r="W626" s="1166">
        <v>3387.8235332540198</v>
      </c>
      <c r="X626" s="1166">
        <v>4818.8661513261868</v>
      </c>
      <c r="Y626" s="920">
        <v>71256.455086269038</v>
      </c>
      <c r="Z626" s="954">
        <v>101355.72768422887</v>
      </c>
      <c r="AA626" s="920">
        <v>4500</v>
      </c>
      <c r="AB626" s="920">
        <v>6400.8344791617283</v>
      </c>
      <c r="AC626" s="1166">
        <v>21.49</v>
      </c>
      <c r="AD626" s="1166">
        <v>30.70160233333333</v>
      </c>
      <c r="AE626" s="1166">
        <v>71827.75</v>
      </c>
      <c r="AF626" s="1166">
        <v>102168.34194680196</v>
      </c>
      <c r="AG626" s="1166">
        <v>950.5</v>
      </c>
      <c r="AH626" s="1166">
        <v>1363.8314016666668</v>
      </c>
      <c r="AI626" s="1166">
        <v>1902.95</v>
      </c>
      <c r="AJ626" s="1166">
        <v>2706.7706604712912</v>
      </c>
      <c r="AK626" s="957">
        <v>120.08</v>
      </c>
      <c r="AL626" s="954">
        <v>170.80271205727561</v>
      </c>
      <c r="AM626" s="1166">
        <v>126.18</v>
      </c>
      <c r="AN626" s="1166">
        <v>179.47939879569486</v>
      </c>
      <c r="AO626" s="1166">
        <v>13.182748873130544</v>
      </c>
      <c r="AP626" s="1166">
        <v>18.751243003836535</v>
      </c>
      <c r="AR626" s="1604"/>
      <c r="BA626" s="1817" t="s">
        <v>4</v>
      </c>
      <c r="BB626" s="1818">
        <v>2008</v>
      </c>
      <c r="BC626" s="452" t="s">
        <v>32</v>
      </c>
      <c r="BE626" s="1819">
        <v>181971515.5</v>
      </c>
      <c r="BF626" s="1820">
        <v>1.4027099527488309E-2</v>
      </c>
      <c r="BH626" s="1821" t="s">
        <v>2</v>
      </c>
      <c r="BI626" s="1821" t="s">
        <v>318</v>
      </c>
      <c r="BJ626" s="452" t="s">
        <v>249</v>
      </c>
      <c r="BL626" s="1819">
        <v>74977668383.671204</v>
      </c>
      <c r="BN626" s="452">
        <v>2013</v>
      </c>
      <c r="ES626" s="95"/>
      <c r="ET626" s="95"/>
      <c r="EU626" s="95"/>
      <c r="EV626" s="95"/>
      <c r="EW626" s="95"/>
      <c r="EX626" s="95"/>
      <c r="EY626" s="95"/>
      <c r="EZ626" s="95"/>
      <c r="FA626" s="95"/>
      <c r="FB626" s="95"/>
      <c r="FC626" s="95"/>
      <c r="FD626" s="95"/>
      <c r="FE626" s="95"/>
      <c r="FF626" s="95"/>
      <c r="FG626" s="95"/>
      <c r="FH626" s="95"/>
      <c r="FI626" s="95"/>
      <c r="FJ626" s="95"/>
      <c r="FK626" s="95"/>
      <c r="FL626" s="95"/>
      <c r="FM626" s="95"/>
      <c r="FN626" s="95"/>
      <c r="FO626" s="95"/>
      <c r="FP626" s="95"/>
    </row>
    <row r="627" spans="1:172">
      <c r="A627" s="228">
        <f t="shared" si="19"/>
        <v>2022</v>
      </c>
      <c r="C627" s="666">
        <v>44743</v>
      </c>
      <c r="D627" s="1709">
        <v>0.68548571428571436</v>
      </c>
      <c r="E627" s="958">
        <v>346.79557030924474</v>
      </c>
      <c r="F627" s="958">
        <v>505.91217742679078</v>
      </c>
      <c r="G627" s="958">
        <v>21.863757350186809</v>
      </c>
      <c r="H627" s="958">
        <v>31.895277894987423</v>
      </c>
      <c r="I627" s="1165">
        <v>1736.3710000000001</v>
      </c>
      <c r="J627" s="1165">
        <v>2539.8083667741939</v>
      </c>
      <c r="K627" s="1121">
        <v>107.43</v>
      </c>
      <c r="L627" s="1121">
        <v>156.72099033011003</v>
      </c>
      <c r="M627" s="1172">
        <v>21470.95</v>
      </c>
      <c r="N627" s="1172">
        <v>31322.242830943644</v>
      </c>
      <c r="O627" s="1176">
        <v>7529.08</v>
      </c>
      <c r="P627" s="1176">
        <v>10983.56952317439</v>
      </c>
      <c r="Q627" s="1176">
        <v>1975.54</v>
      </c>
      <c r="R627" s="1176">
        <v>2881.9564854951645</v>
      </c>
      <c r="S627" s="1176">
        <v>3096.58</v>
      </c>
      <c r="T627" s="1176">
        <v>4517.3516172057343</v>
      </c>
      <c r="U627" s="1120">
        <v>2151.869493305976</v>
      </c>
      <c r="V627" s="1120">
        <v>3139.1894075403948</v>
      </c>
      <c r="W627" s="1120">
        <v>3286.2220123551174</v>
      </c>
      <c r="X627" s="1120">
        <v>4794.00510305223</v>
      </c>
      <c r="Y627" s="1177">
        <v>70918.02192836297</v>
      </c>
      <c r="Z627" s="1118">
        <v>103456.60084581125</v>
      </c>
      <c r="AA627" s="1177">
        <v>4653.33</v>
      </c>
      <c r="AB627" s="1177">
        <v>6788.369039679892</v>
      </c>
      <c r="AC627" s="1178">
        <v>19.076000000000001</v>
      </c>
      <c r="AD627" s="1178">
        <v>27.944459354838713</v>
      </c>
      <c r="AE627" s="1178">
        <v>55940</v>
      </c>
      <c r="AF627" s="1178">
        <v>81606.368789596527</v>
      </c>
      <c r="AG627" s="1178">
        <v>870</v>
      </c>
      <c r="AH627" s="1178">
        <v>1276.4314993548389</v>
      </c>
      <c r="AI627" s="1178">
        <v>1973.095</v>
      </c>
      <c r="AJ627" s="1178">
        <v>2878.3896715571855</v>
      </c>
      <c r="AK627" s="1713">
        <v>108.92</v>
      </c>
      <c r="AL627" s="956">
        <v>158.89463154384794</v>
      </c>
      <c r="AM627" s="1713">
        <v>114.82</v>
      </c>
      <c r="AN627" s="919">
        <v>167.50166722240743</v>
      </c>
      <c r="AO627" s="919">
        <v>15.253926414988785</v>
      </c>
      <c r="AP627" s="919">
        <v>22.252726930835586</v>
      </c>
      <c r="AR627" s="1604"/>
      <c r="BA627" s="1817" t="s">
        <v>4</v>
      </c>
      <c r="BB627" s="1818">
        <v>2008</v>
      </c>
      <c r="BC627" s="452" t="s">
        <v>249</v>
      </c>
      <c r="BE627" s="1819">
        <v>12972854091.709991</v>
      </c>
      <c r="BH627" s="1821" t="s">
        <v>2</v>
      </c>
      <c r="BI627" s="452" t="s">
        <v>317</v>
      </c>
      <c r="BJ627" s="452" t="s">
        <v>15</v>
      </c>
      <c r="BK627" s="45">
        <v>1</v>
      </c>
      <c r="BL627" s="1819">
        <v>41507439528.252579</v>
      </c>
      <c r="BM627" s="1820">
        <v>0.73192243194079032</v>
      </c>
      <c r="BN627" s="452">
        <v>2012</v>
      </c>
      <c r="ES627" s="95"/>
      <c r="ET627" s="95"/>
      <c r="EU627" s="95"/>
      <c r="EV627" s="95"/>
      <c r="EW627" s="95"/>
      <c r="EX627" s="95"/>
      <c r="EY627" s="95"/>
      <c r="EZ627" s="95"/>
      <c r="FA627" s="95"/>
      <c r="FB627" s="95"/>
      <c r="FC627" s="95"/>
      <c r="FD627" s="95"/>
      <c r="FE627" s="95"/>
      <c r="FF627" s="95"/>
      <c r="FG627" s="95"/>
      <c r="FH627" s="95"/>
      <c r="FI627" s="95"/>
      <c r="FJ627" s="95"/>
      <c r="FK627" s="95"/>
      <c r="FL627" s="95"/>
      <c r="FM627" s="95"/>
      <c r="FN627" s="95"/>
      <c r="FO627" s="95"/>
      <c r="FP627" s="95"/>
    </row>
    <row r="628" spans="1:172">
      <c r="A628" s="228">
        <f t="shared" si="19"/>
        <v>2022</v>
      </c>
      <c r="B628" s="228">
        <f t="shared" si="20"/>
        <v>3</v>
      </c>
      <c r="C628" s="1533">
        <v>44774</v>
      </c>
      <c r="D628" s="957">
        <v>0.6960045454545456</v>
      </c>
      <c r="E628" s="957">
        <v>343.46431867387611</v>
      </c>
      <c r="F628" s="957">
        <v>493.47999365372959</v>
      </c>
      <c r="G628" s="954">
        <v>19.21643929872371</v>
      </c>
      <c r="H628" s="957">
        <v>27.609646264844244</v>
      </c>
      <c r="I628" s="1166">
        <v>1765.655</v>
      </c>
      <c r="J628" s="1166">
        <v>2537.6864038709678</v>
      </c>
      <c r="K628" s="1166">
        <v>104.84</v>
      </c>
      <c r="L628" s="1166">
        <v>150.63120016196339</v>
      </c>
      <c r="M628" s="917">
        <v>21987.95</v>
      </c>
      <c r="N628" s="917">
        <v>31591.675864185836</v>
      </c>
      <c r="O628" s="920">
        <v>7960.24</v>
      </c>
      <c r="P628" s="920">
        <v>11437.051743392478</v>
      </c>
      <c r="Q628" s="920">
        <v>2077.2399999999998</v>
      </c>
      <c r="R628" s="920">
        <v>2984.520738500923</v>
      </c>
      <c r="S628" s="920">
        <v>3572.13</v>
      </c>
      <c r="T628" s="920">
        <v>5132.3371712567177</v>
      </c>
      <c r="U628" s="1166">
        <v>2151.4212785353538</v>
      </c>
      <c r="V628" s="1166">
        <v>3091.1023391812864</v>
      </c>
      <c r="W628" s="1166">
        <v>3280.4514868695555</v>
      </c>
      <c r="X628" s="1166">
        <v>4713.261584702961</v>
      </c>
      <c r="Y628" s="920">
        <v>70328.345507790116</v>
      </c>
      <c r="Z628" s="954">
        <v>101045.81351815768</v>
      </c>
      <c r="AA628" s="920">
        <v>4770.87</v>
      </c>
      <c r="AB628" s="920">
        <v>6854.6535093161601</v>
      </c>
      <c r="AC628" s="1166">
        <v>19.75</v>
      </c>
      <c r="AD628" s="1166">
        <v>28.314165806451605</v>
      </c>
      <c r="AE628" s="1166">
        <v>49095</v>
      </c>
      <c r="AF628" s="920">
        <v>70538.332429908362</v>
      </c>
      <c r="AG628" s="920">
        <v>910.40899999999999</v>
      </c>
      <c r="AH628" s="920">
        <v>1309.6337922580642</v>
      </c>
      <c r="AI628" s="920">
        <v>2134.7269999999999</v>
      </c>
      <c r="AJ628" s="920">
        <v>3067.116463450473</v>
      </c>
      <c r="AK628" s="920">
        <v>98.6</v>
      </c>
      <c r="AL628" s="954">
        <v>141.66574147243026</v>
      </c>
      <c r="AM628" s="920">
        <v>112.4</v>
      </c>
      <c r="AN628" s="920">
        <v>161.49319818966697</v>
      </c>
      <c r="AO628" s="1166">
        <v>16.719651337147202</v>
      </c>
      <c r="AP628" s="1166">
        <v>24.022330667722805</v>
      </c>
      <c r="AR628" s="1604"/>
      <c r="BA628" s="1817" t="s">
        <v>4</v>
      </c>
      <c r="BB628" s="1818">
        <v>2007</v>
      </c>
      <c r="BC628" s="452" t="s">
        <v>20</v>
      </c>
      <c r="BD628" s="452">
        <v>1</v>
      </c>
      <c r="BE628" s="1819">
        <v>4499727895.9300003</v>
      </c>
      <c r="BF628" s="1820">
        <v>0.45126358876600725</v>
      </c>
      <c r="BH628" s="1821" t="s">
        <v>2</v>
      </c>
      <c r="BI628" s="452" t="s">
        <v>317</v>
      </c>
      <c r="BJ628" s="452" t="s">
        <v>20</v>
      </c>
      <c r="BK628" s="452">
        <v>2</v>
      </c>
      <c r="BL628" s="1819">
        <v>8441257893.429245</v>
      </c>
      <c r="BM628" s="1820">
        <v>0.14884912382496526</v>
      </c>
      <c r="BN628" s="452">
        <v>2012</v>
      </c>
      <c r="ES628" s="95"/>
      <c r="ET628" s="95"/>
      <c r="EU628" s="95"/>
      <c r="EV628" s="95"/>
      <c r="EW628" s="95"/>
      <c r="EX628" s="95"/>
      <c r="EY628" s="95"/>
      <c r="EZ628" s="95"/>
      <c r="FA628" s="95"/>
      <c r="FB628" s="95"/>
      <c r="FC628" s="95"/>
      <c r="FD628" s="95"/>
      <c r="FE628" s="95"/>
      <c r="FF628" s="95"/>
      <c r="FG628" s="95"/>
      <c r="FH628" s="95"/>
      <c r="FI628" s="95"/>
      <c r="FJ628" s="95"/>
      <c r="FK628" s="95"/>
      <c r="FL628" s="95"/>
      <c r="FM628" s="95"/>
      <c r="FN628" s="95"/>
      <c r="FO628" s="95"/>
      <c r="FP628" s="95"/>
    </row>
    <row r="629" spans="1:172">
      <c r="A629" s="228">
        <f t="shared" si="19"/>
        <v>2022</v>
      </c>
      <c r="B629" s="228">
        <f t="shared" si="20"/>
        <v>3</v>
      </c>
      <c r="C629" s="666">
        <v>44805</v>
      </c>
      <c r="D629" s="1709">
        <v>0.66874761904761915</v>
      </c>
      <c r="E629" s="958">
        <v>327.67612362150766</v>
      </c>
      <c r="F629" s="958">
        <v>489.98473308684032</v>
      </c>
      <c r="G629" s="958">
        <v>21.791104954644787</v>
      </c>
      <c r="H629" s="958">
        <v>32.584945850989442</v>
      </c>
      <c r="I629" s="1165">
        <v>1682.9670000000001</v>
      </c>
      <c r="J629" s="1165">
        <v>2517.5442363333336</v>
      </c>
      <c r="K629" s="1121">
        <v>98.35</v>
      </c>
      <c r="L629" s="1121">
        <v>147.06594416001479</v>
      </c>
      <c r="M629" s="1172">
        <v>22672.84</v>
      </c>
      <c r="N629" s="1172">
        <v>33903.432856013722</v>
      </c>
      <c r="O629" s="1176">
        <v>7733.82</v>
      </c>
      <c r="P629" s="1176">
        <v>11564.631827794667</v>
      </c>
      <c r="Q629" s="1176">
        <v>1873.66</v>
      </c>
      <c r="R629" s="1176">
        <v>2801.7445544977459</v>
      </c>
      <c r="S629" s="1176">
        <v>3135.72</v>
      </c>
      <c r="T629" s="1176">
        <v>4688.9437968626489</v>
      </c>
      <c r="U629" s="1120">
        <v>2160.707532381768</v>
      </c>
      <c r="V629" s="1120">
        <v>3230.9760376551135</v>
      </c>
      <c r="W629" s="1120">
        <v>3307.122388057468</v>
      </c>
      <c r="X629" s="1120">
        <v>4945.2473457284632</v>
      </c>
      <c r="Y629" s="1177">
        <v>69325.522267157154</v>
      </c>
      <c r="Z629" s="1118">
        <v>103664.70143981288</v>
      </c>
      <c r="AA629" s="1177">
        <v>5258.5</v>
      </c>
      <c r="AB629" s="1177">
        <v>7863.2055654848782</v>
      </c>
      <c r="AC629" s="1178">
        <v>18.835999999999999</v>
      </c>
      <c r="AD629" s="1178">
        <v>28.221303666666675</v>
      </c>
      <c r="AE629" s="1178">
        <v>51265</v>
      </c>
      <c r="AF629" s="1178">
        <v>76658.216851684367</v>
      </c>
      <c r="AG629" s="1178">
        <v>878.33299999999997</v>
      </c>
      <c r="AH629" s="1178">
        <v>1314.3049456666665</v>
      </c>
      <c r="AI629" s="1178">
        <v>2115.143</v>
      </c>
      <c r="AJ629" s="1178">
        <v>3162.8419148799812</v>
      </c>
      <c r="AK629" s="1713">
        <v>90.16</v>
      </c>
      <c r="AL629" s="956">
        <v>134.81917158583562</v>
      </c>
      <c r="AM629" s="1713">
        <v>103.14</v>
      </c>
      <c r="AN629" s="919">
        <v>154.22858648361895</v>
      </c>
      <c r="AO629" s="919">
        <v>18.880296803952341</v>
      </c>
      <c r="AP629" s="919">
        <v>28.232320035531881</v>
      </c>
      <c r="AR629" s="1604"/>
      <c r="BA629" s="1817" t="s">
        <v>4</v>
      </c>
      <c r="BB629" s="1818">
        <v>2007</v>
      </c>
      <c r="BC629" s="452" t="s">
        <v>581</v>
      </c>
      <c r="BD629" s="452">
        <v>2</v>
      </c>
      <c r="BE629" s="1819">
        <v>2048579250.27</v>
      </c>
      <c r="BF629" s="1820">
        <v>0.20544558376176039</v>
      </c>
      <c r="BH629" s="1821" t="s">
        <v>2</v>
      </c>
      <c r="BI629" s="452" t="s">
        <v>317</v>
      </c>
      <c r="BJ629" s="452" t="s">
        <v>581</v>
      </c>
      <c r="BK629" s="452">
        <v>3</v>
      </c>
      <c r="BL629" s="1819">
        <v>4956212326.0423832</v>
      </c>
      <c r="BM629" s="1820">
        <v>8.7395489100760226E-2</v>
      </c>
      <c r="BN629" s="452">
        <v>2012</v>
      </c>
      <c r="ES629" s="95"/>
      <c r="ET629" s="95"/>
      <c r="EU629" s="95"/>
      <c r="EV629" s="95"/>
      <c r="EW629" s="95"/>
      <c r="EX629" s="95"/>
      <c r="EY629" s="95"/>
      <c r="EZ629" s="95"/>
      <c r="FA629" s="95"/>
      <c r="FB629" s="95"/>
      <c r="FC629" s="95"/>
      <c r="FD629" s="95"/>
      <c r="FE629" s="95"/>
      <c r="FF629" s="95"/>
      <c r="FG629" s="95"/>
      <c r="FH629" s="95"/>
      <c r="FI629" s="95"/>
      <c r="FJ629" s="95"/>
      <c r="FK629" s="95"/>
      <c r="FL629" s="95"/>
      <c r="FM629" s="95"/>
      <c r="FN629" s="95"/>
      <c r="FO629" s="95"/>
      <c r="FP629" s="95"/>
    </row>
    <row r="630" spans="1:172">
      <c r="A630" s="228">
        <f t="shared" si="19"/>
        <v>2022</v>
      </c>
      <c r="B630" s="228">
        <f t="shared" si="20"/>
        <v>4</v>
      </c>
      <c r="C630" s="666">
        <v>44835</v>
      </c>
      <c r="D630" s="957">
        <v>0.63608999999999993</v>
      </c>
      <c r="E630" s="957">
        <v>337.59187699119093</v>
      </c>
      <c r="F630" s="957">
        <v>530.72973477210928</v>
      </c>
      <c r="G630" s="954">
        <v>21.169342004318196</v>
      </c>
      <c r="H630" s="957">
        <v>33.280419444289642</v>
      </c>
      <c r="I630" s="1166">
        <v>1664.4449999999999</v>
      </c>
      <c r="J630" s="1166">
        <v>2617.8040206451606</v>
      </c>
      <c r="K630" s="1166">
        <v>92.28</v>
      </c>
      <c r="L630" s="1166">
        <v>145.07381030986184</v>
      </c>
      <c r="M630" s="917">
        <v>21924.52</v>
      </c>
      <c r="N630" s="917">
        <v>34467.638227294883</v>
      </c>
      <c r="O630" s="920">
        <v>7620.25</v>
      </c>
      <c r="P630" s="920">
        <v>11979.829898284836</v>
      </c>
      <c r="Q630" s="920">
        <v>1987.32</v>
      </c>
      <c r="R630" s="920">
        <v>3124.2748667641372</v>
      </c>
      <c r="S630" s="920">
        <v>2959.05</v>
      </c>
      <c r="T630" s="920">
        <v>4651.9360467858332</v>
      </c>
      <c r="U630" s="1166">
        <v>2148.5148997138181</v>
      </c>
      <c r="V630" s="1166">
        <v>3377.6901062959932</v>
      </c>
      <c r="W630" s="1166">
        <v>3093.7189753878815</v>
      </c>
      <c r="X630" s="1166">
        <v>4863.6497592917385</v>
      </c>
      <c r="Y630" s="920">
        <v>73594.508578656227</v>
      </c>
      <c r="Z630" s="954">
        <v>115698.2637341512</v>
      </c>
      <c r="AA630" s="920">
        <v>5738.75</v>
      </c>
      <c r="AB630" s="920">
        <v>9021.9151377949674</v>
      </c>
      <c r="AC630" s="1166">
        <v>19.363</v>
      </c>
      <c r="AD630" s="1166">
        <v>30.414000645161291</v>
      </c>
      <c r="AE630" s="1166">
        <v>51260</v>
      </c>
      <c r="AF630" s="920">
        <v>80586.080586080599</v>
      </c>
      <c r="AG630" s="920">
        <v>914.66700000000003</v>
      </c>
      <c r="AH630" s="920">
        <v>1439.4807512903221</v>
      </c>
      <c r="AI630" s="920">
        <v>2078.857</v>
      </c>
      <c r="AJ630" s="920">
        <v>3268.1806033737366</v>
      </c>
      <c r="AK630" s="918">
        <v>93.13</v>
      </c>
      <c r="AL630" s="954">
        <v>146.41009919979876</v>
      </c>
      <c r="AM630" s="918">
        <v>105.45</v>
      </c>
      <c r="AN630" s="1166">
        <v>165.77842758100272</v>
      </c>
      <c r="AO630" s="1166">
        <v>17.409252017929251</v>
      </c>
      <c r="AP630" s="1166">
        <v>27.369164769025222</v>
      </c>
      <c r="AR630" s="1604"/>
      <c r="BA630" s="1817" t="s">
        <v>4</v>
      </c>
      <c r="BB630" s="1818">
        <v>2007</v>
      </c>
      <c r="BC630" s="452" t="s">
        <v>15</v>
      </c>
      <c r="BD630" s="452">
        <v>3</v>
      </c>
      <c r="BE630" s="1819">
        <v>678326661.55999982</v>
      </c>
      <c r="BF630" s="1820">
        <v>6.8027252031862023E-2</v>
      </c>
      <c r="BH630" s="1821" t="s">
        <v>2</v>
      </c>
      <c r="BI630" s="452" t="s">
        <v>317</v>
      </c>
      <c r="BJ630" s="452" t="s">
        <v>583</v>
      </c>
      <c r="BK630" s="452">
        <v>4</v>
      </c>
      <c r="BL630" s="1819">
        <v>1518699067.1814537</v>
      </c>
      <c r="BM630" s="1820">
        <v>2.6780016480685464E-2</v>
      </c>
      <c r="BN630" s="452">
        <v>2012</v>
      </c>
      <c r="ES630" s="95"/>
      <c r="ET630" s="95"/>
      <c r="EU630" s="95"/>
      <c r="EV630" s="95"/>
      <c r="EW630" s="95"/>
      <c r="EX630" s="95"/>
      <c r="EY630" s="95"/>
      <c r="EZ630" s="95"/>
      <c r="FA630" s="95"/>
      <c r="FB630" s="95"/>
      <c r="FC630" s="95"/>
      <c r="FD630" s="95"/>
      <c r="FE630" s="95"/>
      <c r="FF630" s="95"/>
      <c r="FG630" s="95"/>
      <c r="FH630" s="95"/>
      <c r="FI630" s="95"/>
      <c r="FJ630" s="95"/>
      <c r="FK630" s="95"/>
      <c r="FL630" s="95"/>
      <c r="FM630" s="95"/>
      <c r="FN630" s="95"/>
      <c r="FO630" s="95"/>
      <c r="FP630" s="95"/>
    </row>
    <row r="631" spans="1:172">
      <c r="A631" s="228">
        <f t="shared" si="19"/>
        <v>2022</v>
      </c>
      <c r="B631" s="228">
        <f t="shared" si="20"/>
        <v>4</v>
      </c>
      <c r="C631" s="666">
        <v>44866</v>
      </c>
      <c r="D631" s="1709">
        <v>0.65939545454545467</v>
      </c>
      <c r="E631" s="958">
        <v>317.04978443553046</v>
      </c>
      <c r="F631" s="958">
        <v>480.81888076417579</v>
      </c>
      <c r="G631" s="958">
        <v>23.343434299529374</v>
      </c>
      <c r="H631" s="958">
        <v>35.40126662780964</v>
      </c>
      <c r="I631" s="1165">
        <v>1726.4480000000001</v>
      </c>
      <c r="J631" s="1165">
        <v>2614.5277180000003</v>
      </c>
      <c r="K631" s="1121">
        <v>93.13</v>
      </c>
      <c r="L631" s="1121">
        <v>141.23542914653225</v>
      </c>
      <c r="M631" s="1172">
        <v>25246.25</v>
      </c>
      <c r="N631" s="1172">
        <v>38286.963954586492</v>
      </c>
      <c r="O631" s="1176">
        <v>8028.88</v>
      </c>
      <c r="P631" s="1176">
        <v>12176.122757070869</v>
      </c>
      <c r="Q631" s="1176">
        <v>2098.65</v>
      </c>
      <c r="R631" s="1176">
        <v>3182.6879993382363</v>
      </c>
      <c r="S631" s="1176">
        <v>2922.97</v>
      </c>
      <c r="T631" s="1176">
        <v>4432.802773890684</v>
      </c>
      <c r="U631" s="1120">
        <v>2025.5218715754534</v>
      </c>
      <c r="V631" s="1120">
        <v>3071.7862211709048</v>
      </c>
      <c r="W631" s="1120">
        <v>3339.8903199958272</v>
      </c>
      <c r="X631" s="1120">
        <v>5065.079379866419</v>
      </c>
      <c r="Y631" s="1177">
        <v>78847.972986360241</v>
      </c>
      <c r="Z631" s="1118">
        <v>119576.15485947355</v>
      </c>
      <c r="AA631" s="1177">
        <v>6107.73</v>
      </c>
      <c r="AB631" s="1177">
        <v>9262.6207200810641</v>
      </c>
      <c r="AC631" s="1178">
        <v>20.998999999999999</v>
      </c>
      <c r="AD631" s="1178">
        <v>31.871683666666669</v>
      </c>
      <c r="AE631" s="1178">
        <v>51255.45</v>
      </c>
      <c r="AF631" s="1178">
        <v>77730.972585081356</v>
      </c>
      <c r="AG631" s="1178">
        <v>989</v>
      </c>
      <c r="AH631" s="1178">
        <v>1497.8258660000001</v>
      </c>
      <c r="AI631" s="1178">
        <v>1911.5450000000001</v>
      </c>
      <c r="AJ631" s="1178">
        <v>2898.9356642103298</v>
      </c>
      <c r="AK631" s="1713">
        <v>91.07</v>
      </c>
      <c r="AL631" s="956">
        <v>138.1113554426575</v>
      </c>
      <c r="AM631" s="1713">
        <v>98.38</v>
      </c>
      <c r="AN631" s="919">
        <v>149.19726746951406</v>
      </c>
      <c r="AO631" s="919">
        <v>15.39536833135919</v>
      </c>
      <c r="AP631" s="919">
        <v>23.347701633721115</v>
      </c>
      <c r="AR631" s="1604"/>
      <c r="BA631" s="1817" t="s">
        <v>4</v>
      </c>
      <c r="BB631" s="1818">
        <v>2007</v>
      </c>
      <c r="BC631" s="452" t="s">
        <v>49</v>
      </c>
      <c r="BD631" s="452">
        <v>4</v>
      </c>
      <c r="BE631" s="1819">
        <v>666280634.88</v>
      </c>
      <c r="BF631" s="1820">
        <v>6.6819193821296766E-2</v>
      </c>
      <c r="BH631" s="1821" t="s">
        <v>2</v>
      </c>
      <c r="BI631" s="452" t="s">
        <v>317</v>
      </c>
      <c r="BJ631" s="452" t="s">
        <v>431</v>
      </c>
      <c r="BK631" s="452">
        <v>5</v>
      </c>
      <c r="BL631" s="1819">
        <v>44076354.093250401</v>
      </c>
      <c r="BM631" s="1820">
        <v>7.7722144862866647E-4</v>
      </c>
      <c r="BN631" s="452">
        <v>2012</v>
      </c>
      <c r="ES631" s="95"/>
      <c r="ET631" s="95"/>
      <c r="EU631" s="95"/>
      <c r="EV631" s="95"/>
      <c r="EW631" s="95"/>
      <c r="EX631" s="95"/>
      <c r="EY631" s="95"/>
      <c r="EZ631" s="95"/>
      <c r="FA631" s="95"/>
      <c r="FB631" s="95"/>
      <c r="FC631" s="95"/>
      <c r="FD631" s="95"/>
      <c r="FE631" s="95"/>
      <c r="FF631" s="95"/>
      <c r="FG631" s="95"/>
      <c r="FH631" s="95"/>
      <c r="FI631" s="95"/>
      <c r="FJ631" s="95"/>
      <c r="FK631" s="95"/>
      <c r="FL631" s="95"/>
      <c r="FM631" s="95"/>
      <c r="FN631" s="95"/>
      <c r="FO631" s="95"/>
      <c r="FP631" s="95"/>
    </row>
    <row r="632" spans="1:172">
      <c r="A632" s="228">
        <f t="shared" si="19"/>
        <v>2022</v>
      </c>
      <c r="B632" s="228">
        <f t="shared" si="20"/>
        <v>4</v>
      </c>
      <c r="C632" s="666">
        <v>44896</v>
      </c>
      <c r="D632" s="957">
        <v>0.67519499999999999</v>
      </c>
      <c r="E632" s="957">
        <v>316.50059945480268</v>
      </c>
      <c r="F632" s="957">
        <v>468.754359044132</v>
      </c>
      <c r="G632" s="954">
        <v>25.988041541742664</v>
      </c>
      <c r="H632" s="957">
        <v>38.489683042295432</v>
      </c>
      <c r="I632" s="1166">
        <v>1796.742</v>
      </c>
      <c r="J632" s="1166">
        <v>2662.9885051612905</v>
      </c>
      <c r="K632" s="1166">
        <v>111.15</v>
      </c>
      <c r="L632" s="1166">
        <v>164.61911003487882</v>
      </c>
      <c r="M632" s="917">
        <v>26925</v>
      </c>
      <c r="N632" s="917">
        <v>39877.368760135963</v>
      </c>
      <c r="O632" s="920">
        <v>8366.7900000000009</v>
      </c>
      <c r="P632" s="920">
        <v>12391.664630217938</v>
      </c>
      <c r="Q632" s="920">
        <v>2211.8000000000002</v>
      </c>
      <c r="R632" s="920">
        <v>3275.7944001362571</v>
      </c>
      <c r="S632" s="920">
        <v>3127.5</v>
      </c>
      <c r="T632" s="920">
        <v>4631.9952013862667</v>
      </c>
      <c r="U632" s="1166">
        <v>1887.3570360392341</v>
      </c>
      <c r="V632" s="1166">
        <v>2795.2769733769269</v>
      </c>
      <c r="W632" s="1166">
        <v>3463.9172127307284</v>
      </c>
      <c r="X632" s="1166">
        <v>5130.2471326516461</v>
      </c>
      <c r="Y632" s="920">
        <v>79577.392388813882</v>
      </c>
      <c r="Z632" s="954">
        <v>117858.38519066919</v>
      </c>
      <c r="AA632" s="920">
        <v>6066.36</v>
      </c>
      <c r="AB632" s="920">
        <v>8984.6044476040261</v>
      </c>
      <c r="AC632" s="1166">
        <v>23.242000000000001</v>
      </c>
      <c r="AD632" s="1166">
        <v>34.622875161290317</v>
      </c>
      <c r="AE632" s="1166">
        <v>51246.25</v>
      </c>
      <c r="AF632" s="920">
        <v>75898.444153170567</v>
      </c>
      <c r="AG632" s="920">
        <v>1008.833</v>
      </c>
      <c r="AH632" s="920">
        <v>1506.2496583870968</v>
      </c>
      <c r="AI632" s="920">
        <v>1829.6110000000001</v>
      </c>
      <c r="AJ632" s="920">
        <v>2709.7519975710725</v>
      </c>
      <c r="AK632" s="918">
        <v>80.900000000000006</v>
      </c>
      <c r="AL632" s="954">
        <v>119.81723798310119</v>
      </c>
      <c r="AM632" s="918">
        <v>88.11</v>
      </c>
      <c r="AN632" s="1166">
        <v>130.49563459445051</v>
      </c>
      <c r="AO632" s="1166">
        <v>15.909924436635091</v>
      </c>
      <c r="AP632" s="1166">
        <v>23.563451205407461</v>
      </c>
      <c r="AR632" s="1604"/>
      <c r="BA632" s="1817" t="s">
        <v>4</v>
      </c>
      <c r="BB632" s="1818">
        <v>2007</v>
      </c>
      <c r="BC632" s="452" t="s">
        <v>28</v>
      </c>
      <c r="BD632" s="452">
        <v>5</v>
      </c>
      <c r="BE632" s="1819">
        <v>638197708.50999999</v>
      </c>
      <c r="BF632" s="1820">
        <v>6.4002845270923245E-2</v>
      </c>
      <c r="BH632" s="1821" t="s">
        <v>2</v>
      </c>
      <c r="BI632" s="452" t="s">
        <v>317</v>
      </c>
      <c r="BJ632" s="452" t="s">
        <v>32</v>
      </c>
      <c r="BL632" s="1819">
        <v>242476614.3884967</v>
      </c>
      <c r="BM632" s="1820">
        <v>4.2757172041700551E-3</v>
      </c>
      <c r="BN632" s="452">
        <v>2012</v>
      </c>
      <c r="ES632" s="95"/>
      <c r="ET632" s="95"/>
      <c r="EU632" s="95"/>
      <c r="EV632" s="95"/>
      <c r="EW632" s="95"/>
      <c r="EX632" s="95"/>
      <c r="EY632" s="95"/>
      <c r="EZ632" s="95"/>
      <c r="FA632" s="95"/>
      <c r="FB632" s="95"/>
      <c r="FC632" s="95"/>
      <c r="FD632" s="95"/>
      <c r="FE632" s="95"/>
      <c r="FF632" s="95"/>
      <c r="FG632" s="95"/>
      <c r="FH632" s="95"/>
      <c r="FI632" s="95"/>
      <c r="FJ632" s="95"/>
      <c r="FK632" s="95"/>
      <c r="FL632" s="95"/>
      <c r="FM632" s="95"/>
      <c r="FN632" s="95"/>
      <c r="FO632" s="95"/>
      <c r="FP632" s="95"/>
    </row>
    <row r="633" spans="1:172">
      <c r="A633" s="228">
        <f t="shared" si="19"/>
        <v>2023</v>
      </c>
      <c r="B633" s="228">
        <f t="shared" si="20"/>
        <v>1</v>
      </c>
      <c r="C633" s="666">
        <v>44927</v>
      </c>
      <c r="D633" s="1709">
        <v>0.6948700000000001</v>
      </c>
      <c r="E633" s="958">
        <v>319.94372456323663</v>
      </c>
      <c r="F633" s="958">
        <v>460.43680769530499</v>
      </c>
      <c r="G633" s="958">
        <v>23.823512411737173</v>
      </c>
      <c r="H633" s="958">
        <v>34.284848117974832</v>
      </c>
      <c r="I633" s="1165">
        <v>1898.6289999999999</v>
      </c>
      <c r="J633" s="1165">
        <v>2730.4556435483869</v>
      </c>
      <c r="K633" s="1121">
        <v>122.93</v>
      </c>
      <c r="L633" s="1121">
        <v>176.91078906845883</v>
      </c>
      <c r="M633" s="1172">
        <v>28226.07</v>
      </c>
      <c r="N633" s="1172">
        <v>40620.648466619648</v>
      </c>
      <c r="O633" s="1176">
        <v>8999.27</v>
      </c>
      <c r="P633" s="1176">
        <v>12951.012419589275</v>
      </c>
      <c r="Q633" s="1176">
        <v>2207.5</v>
      </c>
      <c r="R633" s="1176">
        <v>3176.8532243441214</v>
      </c>
      <c r="S633" s="1176">
        <v>3288.55</v>
      </c>
      <c r="T633" s="1176">
        <v>4732.6118554549766</v>
      </c>
      <c r="U633" s="1120">
        <v>2194.939417331992</v>
      </c>
      <c r="V633" s="1120">
        <v>3158.7770623742454</v>
      </c>
      <c r="W633" s="1120">
        <v>3345.0167785124622</v>
      </c>
      <c r="X633" s="1120">
        <v>4813.8742189365803</v>
      </c>
      <c r="Y633" s="1177">
        <v>74141.049646210566</v>
      </c>
      <c r="Z633" s="1118">
        <v>106697.72712336201</v>
      </c>
      <c r="AA633" s="1177">
        <v>5978.57</v>
      </c>
      <c r="AB633" s="1177">
        <v>8603.8683494754405</v>
      </c>
      <c r="AC633" s="1178">
        <v>23.748000000000001</v>
      </c>
      <c r="AD633" s="1178">
        <v>34.272043225806456</v>
      </c>
      <c r="AE633" s="1178">
        <v>48639.76</v>
      </c>
      <c r="AF633" s="1178">
        <v>69998.359405356387</v>
      </c>
      <c r="AG633" s="1178">
        <v>1053.5239999999999</v>
      </c>
      <c r="AH633" s="1178">
        <v>1519.0419874193549</v>
      </c>
      <c r="AI633" s="1178">
        <v>1732.3330000000001</v>
      </c>
      <c r="AJ633" s="1178">
        <v>2493.0317901190147</v>
      </c>
      <c r="AK633" s="1713">
        <v>83.09</v>
      </c>
      <c r="AL633" s="956">
        <v>119.5763236288802</v>
      </c>
      <c r="AM633" s="1713">
        <v>88.05</v>
      </c>
      <c r="AN633" s="919">
        <v>126.71434944665907</v>
      </c>
      <c r="AO633" s="919">
        <v>16.269229450429968</v>
      </c>
      <c r="AP633" s="919">
        <v>23.413342712205111</v>
      </c>
      <c r="BA633" s="1817" t="s">
        <v>4</v>
      </c>
      <c r="BB633" s="1818">
        <v>2007</v>
      </c>
      <c r="BC633" s="452" t="s">
        <v>73</v>
      </c>
      <c r="BD633" s="452">
        <v>6</v>
      </c>
      <c r="BE633" s="1819">
        <v>436184095.39999998</v>
      </c>
      <c r="BF633" s="1820">
        <v>4.3743534010333075E-2</v>
      </c>
      <c r="BH633" s="1821" t="s">
        <v>2</v>
      </c>
      <c r="BI633" s="452" t="s">
        <v>317</v>
      </c>
      <c r="BJ633" s="452" t="s">
        <v>249</v>
      </c>
      <c r="BL633" s="1819">
        <v>56710161783.387405</v>
      </c>
      <c r="BN633" s="452">
        <v>2012</v>
      </c>
      <c r="ES633" s="95"/>
      <c r="ET633" s="95"/>
      <c r="EU633" s="95"/>
      <c r="EV633" s="95"/>
      <c r="EW633" s="95"/>
      <c r="EX633" s="95"/>
      <c r="EY633" s="95"/>
      <c r="EZ633" s="95"/>
      <c r="FA633" s="95"/>
      <c r="FB633" s="95"/>
      <c r="FC633" s="95"/>
      <c r="FD633" s="95"/>
      <c r="FE633" s="95"/>
      <c r="FF633" s="95"/>
      <c r="FG633" s="95"/>
      <c r="FH633" s="95"/>
      <c r="FI633" s="95"/>
      <c r="FJ633" s="95"/>
      <c r="FK633" s="95"/>
      <c r="FL633" s="95"/>
      <c r="FM633" s="95"/>
      <c r="FN633" s="95"/>
      <c r="FO633" s="95"/>
      <c r="FP633" s="95"/>
    </row>
    <row r="634" spans="1:172">
      <c r="A634" s="228">
        <f t="shared" si="19"/>
        <v>2023</v>
      </c>
      <c r="B634" s="228">
        <f t="shared" si="20"/>
        <v>1</v>
      </c>
      <c r="C634" s="1533">
        <v>44958</v>
      </c>
      <c r="D634" s="957">
        <v>0.69146000000000007</v>
      </c>
      <c r="E634" s="957">
        <v>344.26909250196201</v>
      </c>
      <c r="F634" s="957">
        <v>497.88721329066323</v>
      </c>
      <c r="G634" s="954">
        <v>26.703115609585634</v>
      </c>
      <c r="H634" s="957">
        <v>38.618453142026482</v>
      </c>
      <c r="I634" s="1166">
        <v>1854.54</v>
      </c>
      <c r="J634" s="1166">
        <v>2690.315099285714</v>
      </c>
      <c r="K634" s="1166">
        <v>125.75</v>
      </c>
      <c r="L634" s="1166">
        <v>181.86156827582215</v>
      </c>
      <c r="M634" s="917">
        <v>26678.880000000001</v>
      </c>
      <c r="N634" s="917">
        <v>38583.403233737306</v>
      </c>
      <c r="O634" s="920">
        <v>8954.4</v>
      </c>
      <c r="P634" s="920">
        <v>12949.989876493215</v>
      </c>
      <c r="Q634" s="920">
        <v>2098.29</v>
      </c>
      <c r="R634" s="920">
        <v>3034.5790067393627</v>
      </c>
      <c r="S634" s="920">
        <v>3143.04</v>
      </c>
      <c r="T634" s="920">
        <v>4545.5123940647318</v>
      </c>
      <c r="U634" s="1166">
        <v>2182.9078504190697</v>
      </c>
      <c r="V634" s="1166">
        <v>3156.9546328335255</v>
      </c>
      <c r="W634" s="1166">
        <v>3277.3978849911737</v>
      </c>
      <c r="X634" s="1166">
        <v>4739.822816925308</v>
      </c>
      <c r="Y634" s="920">
        <v>65667.023151782691</v>
      </c>
      <c r="Z634" s="954">
        <v>94968.650611434772</v>
      </c>
      <c r="AA634" s="920">
        <v>5919.5</v>
      </c>
      <c r="AB634" s="920">
        <v>8560.8712000694177</v>
      </c>
      <c r="AC634" s="1166">
        <v>22.01</v>
      </c>
      <c r="AD634" s="1166">
        <v>31.809828928571424</v>
      </c>
      <c r="AE634" s="1166">
        <v>37106</v>
      </c>
      <c r="AF634" s="920">
        <v>53663.263240100649</v>
      </c>
      <c r="AG634" s="920">
        <v>958.85</v>
      </c>
      <c r="AH634" s="920">
        <v>1382.6721650000002</v>
      </c>
      <c r="AI634" s="920">
        <v>1543.9</v>
      </c>
      <c r="AJ634" s="920">
        <v>2232.8117316981456</v>
      </c>
      <c r="AK634" s="918">
        <v>82.72</v>
      </c>
      <c r="AL634" s="954">
        <v>119.63092586700603</v>
      </c>
      <c r="AM634" s="918">
        <v>86.63</v>
      </c>
      <c r="AN634" s="1166">
        <v>125.28562751279898</v>
      </c>
      <c r="AO634" s="1166">
        <v>14.293998024101132</v>
      </c>
      <c r="AP634" s="1166">
        <v>20.672197992799482</v>
      </c>
      <c r="BA634" s="1817" t="s">
        <v>4</v>
      </c>
      <c r="BB634" s="1818">
        <v>2007</v>
      </c>
      <c r="BC634" s="452" t="s">
        <v>19</v>
      </c>
      <c r="BD634" s="452">
        <v>7</v>
      </c>
      <c r="BE634" s="1819">
        <v>303777385.22000003</v>
      </c>
      <c r="BF634" s="1820">
        <v>3.0464880590740415E-2</v>
      </c>
      <c r="BH634" s="1821" t="s">
        <v>2</v>
      </c>
      <c r="BI634" s="452" t="s">
        <v>316</v>
      </c>
      <c r="BJ634" s="452" t="s">
        <v>15</v>
      </c>
      <c r="BK634" s="45">
        <v>1</v>
      </c>
      <c r="BL634" s="1819">
        <v>42198077215.796463</v>
      </c>
      <c r="BM634" s="1820">
        <v>0.69325972763464394</v>
      </c>
      <c r="BN634" s="452">
        <v>2011</v>
      </c>
      <c r="ES634" s="95"/>
      <c r="ET634" s="95"/>
      <c r="EU634" s="95"/>
      <c r="EV634" s="95"/>
      <c r="EW634" s="95"/>
      <c r="EX634" s="95"/>
      <c r="EY634" s="95"/>
      <c r="EZ634" s="95"/>
      <c r="FA634" s="95"/>
      <c r="FB634" s="95"/>
      <c r="FC634" s="95"/>
      <c r="FD634" s="95"/>
      <c r="FE634" s="95"/>
      <c r="FF634" s="95"/>
      <c r="FG634" s="95"/>
      <c r="FH634" s="95"/>
      <c r="FI634" s="95"/>
      <c r="FJ634" s="95"/>
      <c r="FK634" s="95"/>
      <c r="FL634" s="95"/>
      <c r="FM634" s="95"/>
      <c r="FN634" s="95"/>
      <c r="FO634" s="95"/>
      <c r="FP634" s="95"/>
    </row>
    <row r="635" spans="1:172">
      <c r="A635" s="228">
        <f t="shared" si="19"/>
        <v>2023</v>
      </c>
      <c r="B635" s="228">
        <f t="shared" si="20"/>
        <v>1</v>
      </c>
      <c r="C635" s="666">
        <v>44986</v>
      </c>
      <c r="D635" s="1709">
        <v>0.66871304347826088</v>
      </c>
      <c r="E635" s="958">
        <v>364.2671463352101</v>
      </c>
      <c r="F635" s="958">
        <v>544.72863941833975</v>
      </c>
      <c r="G635" s="958">
        <v>31.725754213643871</v>
      </c>
      <c r="H635" s="958">
        <v>47.443001931926936</v>
      </c>
      <c r="I635" s="1165">
        <v>1912.73</v>
      </c>
      <c r="J635" s="1165">
        <v>2866.6851138709671</v>
      </c>
      <c r="K635" s="1121">
        <v>126.67</v>
      </c>
      <c r="L635" s="1121">
        <v>189.4235520532626</v>
      </c>
      <c r="M635" s="1172">
        <v>23289.46</v>
      </c>
      <c r="N635" s="1172">
        <v>34827.285376193075</v>
      </c>
      <c r="O635" s="1176">
        <v>8834.68</v>
      </c>
      <c r="P635" s="1176">
        <v>13211.466541832462</v>
      </c>
      <c r="Q635" s="1176">
        <v>2114.08</v>
      </c>
      <c r="R635" s="1176">
        <v>3161.4158279368544</v>
      </c>
      <c r="S635" s="1176">
        <v>2955.59</v>
      </c>
      <c r="T635" s="1176">
        <v>4419.818080153962</v>
      </c>
      <c r="U635" s="1120">
        <v>2207.4558129060406</v>
      </c>
      <c r="V635" s="1120">
        <v>3301.0509282488711</v>
      </c>
      <c r="W635" s="1120">
        <v>3379.0596046937012</v>
      </c>
      <c r="X635" s="1120">
        <v>5053.0786525678868</v>
      </c>
      <c r="Y635" s="1177">
        <v>53163.830238952949</v>
      </c>
      <c r="Z635" s="1118">
        <v>79501.709675685794</v>
      </c>
      <c r="AA635" s="1177">
        <v>5092.17</v>
      </c>
      <c r="AB635" s="1177">
        <v>7614.8806272918782</v>
      </c>
      <c r="AC635" s="1178">
        <v>21.917000000000002</v>
      </c>
      <c r="AD635" s="1178">
        <v>32.856749999999998</v>
      </c>
      <c r="AE635" s="1178">
        <v>33582.61</v>
      </c>
      <c r="AF635" s="1178">
        <v>50219.762164833162</v>
      </c>
      <c r="AG635" s="1178">
        <v>970.60900000000004</v>
      </c>
      <c r="AH635" s="1178">
        <v>1456.7341290322581</v>
      </c>
      <c r="AI635" s="1178">
        <v>1426</v>
      </c>
      <c r="AJ635" s="1178">
        <v>2132.4542924761386</v>
      </c>
      <c r="AK635" s="1713">
        <v>78.53</v>
      </c>
      <c r="AL635" s="956">
        <v>117.43452706041455</v>
      </c>
      <c r="AM635" s="1713">
        <v>82.73</v>
      </c>
      <c r="AN635" s="919">
        <v>123.71524797794596</v>
      </c>
      <c r="AO635" s="919">
        <v>12.852979986537187</v>
      </c>
      <c r="AP635" s="919">
        <v>19.220471489061097</v>
      </c>
      <c r="BA635" s="1817" t="s">
        <v>4</v>
      </c>
      <c r="BB635" s="1818">
        <v>2007</v>
      </c>
      <c r="BC635" s="452" t="s">
        <v>24</v>
      </c>
      <c r="BD635" s="452">
        <v>8</v>
      </c>
      <c r="BE635" s="1819">
        <v>229810652.37000006</v>
      </c>
      <c r="BF635" s="1820">
        <v>2.3046989089928038E-2</v>
      </c>
      <c r="BH635" s="1821" t="s">
        <v>2</v>
      </c>
      <c r="BI635" s="452" t="s">
        <v>316</v>
      </c>
      <c r="BJ635" s="452" t="s">
        <v>20</v>
      </c>
      <c r="BK635" s="452">
        <v>2</v>
      </c>
      <c r="BL635" s="1819">
        <v>10399054315.637474</v>
      </c>
      <c r="BM635" s="1820">
        <v>0.1708429871259155</v>
      </c>
      <c r="BN635" s="452">
        <v>2011</v>
      </c>
      <c r="ES635" s="95"/>
      <c r="ET635" s="95"/>
      <c r="EU635" s="95"/>
      <c r="EV635" s="95"/>
      <c r="EW635" s="95"/>
      <c r="EX635" s="95"/>
      <c r="EY635" s="95"/>
      <c r="EZ635" s="95"/>
      <c r="FA635" s="95"/>
      <c r="FB635" s="95"/>
      <c r="FC635" s="95"/>
      <c r="FD635" s="95"/>
      <c r="FE635" s="95"/>
      <c r="FF635" s="95"/>
      <c r="FG635" s="95"/>
      <c r="FH635" s="95"/>
      <c r="FI635" s="95"/>
      <c r="FJ635" s="95"/>
      <c r="FK635" s="95"/>
      <c r="FL635" s="95"/>
      <c r="FM635" s="95"/>
      <c r="FN635" s="95"/>
      <c r="FO635" s="95"/>
      <c r="FP635" s="95"/>
    </row>
    <row r="636" spans="1:172">
      <c r="A636" s="228">
        <f t="shared" si="19"/>
        <v>2023</v>
      </c>
      <c r="B636" s="228">
        <f t="shared" si="20"/>
        <v>2</v>
      </c>
      <c r="C636" s="666">
        <v>45017</v>
      </c>
      <c r="D636" s="957">
        <v>0.66947058823529404</v>
      </c>
      <c r="E636" s="957">
        <v>358.7971686830727</v>
      </c>
      <c r="F636" s="957">
        <v>535.9416455155291</v>
      </c>
      <c r="G636" s="954">
        <v>30.205072678142315</v>
      </c>
      <c r="H636" s="957">
        <v>45.117848653757967</v>
      </c>
      <c r="I636" s="1166">
        <v>2000.4169999999999</v>
      </c>
      <c r="J636" s="1166">
        <v>2986.6147209999995</v>
      </c>
      <c r="K636" s="1166">
        <v>115.37</v>
      </c>
      <c r="L636" s="1166">
        <v>172.33019945523245</v>
      </c>
      <c r="M636" s="917">
        <v>23749.17</v>
      </c>
      <c r="N636" s="917">
        <v>35474.553202706265</v>
      </c>
      <c r="O636" s="920">
        <v>8813.35</v>
      </c>
      <c r="P636" s="920">
        <v>13164.65600562341</v>
      </c>
      <c r="Q636" s="920">
        <v>2148.31</v>
      </c>
      <c r="R636" s="920">
        <v>3208.9684561989284</v>
      </c>
      <c r="S636" s="920">
        <v>2772.06</v>
      </c>
      <c r="T636" s="920">
        <v>4140.6748088920131</v>
      </c>
      <c r="U636" s="1166">
        <v>2185.8593922229024</v>
      </c>
      <c r="V636" s="1166">
        <v>3265.0566442131048</v>
      </c>
      <c r="W636" s="1166">
        <v>3334.5415611148915</v>
      </c>
      <c r="X636" s="1166">
        <v>4980.8634161280343</v>
      </c>
      <c r="Y636" s="920">
        <v>42118.560798413782</v>
      </c>
      <c r="Z636" s="954">
        <v>62913.235530536367</v>
      </c>
      <c r="AA636" s="920">
        <v>4414</v>
      </c>
      <c r="AB636" s="920">
        <v>6593.2694842280998</v>
      </c>
      <c r="AC636" s="1166">
        <v>24.995999999999999</v>
      </c>
      <c r="AD636" s="1166">
        <v>37.344565000000003</v>
      </c>
      <c r="AE636" s="1166">
        <v>34247.67</v>
      </c>
      <c r="AF636" s="920">
        <v>51156.347421140497</v>
      </c>
      <c r="AG636" s="920">
        <v>1053.556</v>
      </c>
      <c r="AH636" s="920">
        <v>1571.4606073333334</v>
      </c>
      <c r="AI636" s="920">
        <v>1515</v>
      </c>
      <c r="AJ636" s="920">
        <v>2262.9821632545472</v>
      </c>
      <c r="AK636" s="918">
        <v>84.11</v>
      </c>
      <c r="AL636" s="954">
        <v>125.63658729461385</v>
      </c>
      <c r="AM636" s="918">
        <v>86.05</v>
      </c>
      <c r="AN636" s="1166">
        <v>128.53439943765926</v>
      </c>
      <c r="AO636" s="1166">
        <v>11.585918207688394</v>
      </c>
      <c r="AP636" s="1166">
        <v>17.306089933283783</v>
      </c>
      <c r="BA636" s="1817" t="s">
        <v>4</v>
      </c>
      <c r="BB636" s="1818">
        <v>2007</v>
      </c>
      <c r="BC636" s="452" t="s">
        <v>21</v>
      </c>
      <c r="BD636" s="452">
        <v>9</v>
      </c>
      <c r="BE636" s="1819">
        <v>144629099.77000001</v>
      </c>
      <c r="BF636" s="1820">
        <v>1.450439851290564E-2</v>
      </c>
      <c r="BH636" s="1821" t="s">
        <v>2</v>
      </c>
      <c r="BI636" s="452" t="s">
        <v>316</v>
      </c>
      <c r="BJ636" s="452" t="s">
        <v>581</v>
      </c>
      <c r="BK636" s="452">
        <v>3</v>
      </c>
      <c r="BL636" s="1819">
        <v>6379743143.9624119</v>
      </c>
      <c r="BM636" s="1820">
        <v>0.104810912870379</v>
      </c>
      <c r="BN636" s="452">
        <v>2011</v>
      </c>
      <c r="ES636" s="95"/>
      <c r="ET636" s="95"/>
      <c r="EU636" s="95"/>
      <c r="EV636" s="95"/>
      <c r="EW636" s="95"/>
      <c r="EX636" s="95"/>
      <c r="EY636" s="95"/>
      <c r="EZ636" s="95"/>
      <c r="FA636" s="95"/>
      <c r="FB636" s="95"/>
      <c r="FC636" s="95"/>
      <c r="FD636" s="95"/>
      <c r="FE636" s="95"/>
      <c r="FF636" s="95"/>
      <c r="FG636" s="95"/>
      <c r="FH636" s="95"/>
      <c r="FI636" s="95"/>
      <c r="FJ636" s="95"/>
      <c r="FK636" s="95"/>
      <c r="FL636" s="95"/>
      <c r="FM636" s="95"/>
      <c r="FN636" s="95"/>
      <c r="FO636" s="95"/>
      <c r="FP636" s="95"/>
    </row>
    <row r="637" spans="1:172">
      <c r="A637" s="228">
        <f t="shared" si="19"/>
        <v>2023</v>
      </c>
      <c r="B637" s="228">
        <f t="shared" si="20"/>
        <v>2</v>
      </c>
      <c r="C637" s="666">
        <v>45047</v>
      </c>
      <c r="D637" s="1709">
        <v>0.66509565217391309</v>
      </c>
      <c r="E637" s="958">
        <v>360.93684830757269</v>
      </c>
      <c r="F637" s="958">
        <v>542.68411938617339</v>
      </c>
      <c r="G637" s="958">
        <v>30.041708231626405</v>
      </c>
      <c r="H637" s="958">
        <v>45.169004087506686</v>
      </c>
      <c r="I637" s="1165">
        <v>1990.2180000000001</v>
      </c>
      <c r="J637" s="1165">
        <v>2995.5709090322575</v>
      </c>
      <c r="K637" s="1121">
        <v>104.37</v>
      </c>
      <c r="L637" s="1121">
        <v>156.92479669481997</v>
      </c>
      <c r="M637" s="1172">
        <v>22214.880000000001</v>
      </c>
      <c r="N637" s="1172">
        <v>33401.030253902674</v>
      </c>
      <c r="O637" s="1176">
        <v>8233.58</v>
      </c>
      <c r="P637" s="1176">
        <v>12379.542661402085</v>
      </c>
      <c r="Q637" s="1176">
        <v>2086.84</v>
      </c>
      <c r="R637" s="1176">
        <v>3137.6539497424365</v>
      </c>
      <c r="S637" s="1176">
        <v>2477.1</v>
      </c>
      <c r="T637" s="1176">
        <v>3724.4266924665949</v>
      </c>
      <c r="U637" s="1120">
        <v>2292.9872619302291</v>
      </c>
      <c r="V637" s="1120">
        <v>3447.6052496139991</v>
      </c>
      <c r="W637" s="1120">
        <v>3414.1231553955272</v>
      </c>
      <c r="X637" s="1120">
        <v>5133.2814223581518</v>
      </c>
      <c r="Y637" s="1177">
        <v>41677.254484793026</v>
      </c>
      <c r="Z637" s="1118">
        <v>62663.549744413322</v>
      </c>
      <c r="AA637" s="1177">
        <v>4009.05</v>
      </c>
      <c r="AB637" s="1177">
        <v>6027.7795936511257</v>
      </c>
      <c r="AC637" s="1178">
        <v>24.146999999999998</v>
      </c>
      <c r="AD637" s="1178">
        <v>36.454196451612901</v>
      </c>
      <c r="AE637" s="1178">
        <v>33226.25</v>
      </c>
      <c r="AF637" s="1178">
        <v>49957.099992155425</v>
      </c>
      <c r="AG637" s="1178">
        <v>1060.095</v>
      </c>
      <c r="AH637" s="1178">
        <v>1593.1196767741937</v>
      </c>
      <c r="AI637" s="1178">
        <v>1483.857</v>
      </c>
      <c r="AJ637" s="1178">
        <v>2231.0430013335772</v>
      </c>
      <c r="AK637" s="1713">
        <v>75.7</v>
      </c>
      <c r="AL637" s="956">
        <v>113.81821509818791</v>
      </c>
      <c r="AM637" s="1713">
        <v>79.62</v>
      </c>
      <c r="AN637" s="919">
        <v>119.71210417592762</v>
      </c>
      <c r="AO637" s="919">
        <v>11.16550881990536</v>
      </c>
      <c r="AP637" s="919">
        <v>16.787824102307827</v>
      </c>
      <c r="BA637" s="1817" t="s">
        <v>4</v>
      </c>
      <c r="BB637" s="1818">
        <v>2007</v>
      </c>
      <c r="BC637" s="452" t="s">
        <v>431</v>
      </c>
      <c r="BD637" s="452">
        <v>10</v>
      </c>
      <c r="BE637" s="1819">
        <v>136152981.06</v>
      </c>
      <c r="BF637" s="1820">
        <v>1.3654355168875663E-2</v>
      </c>
      <c r="BH637" s="1821" t="s">
        <v>2</v>
      </c>
      <c r="BI637" s="452" t="s">
        <v>316</v>
      </c>
      <c r="BJ637" s="452" t="s">
        <v>583</v>
      </c>
      <c r="BK637" s="452">
        <v>4</v>
      </c>
      <c r="BL637" s="1819">
        <v>1747417687.4970729</v>
      </c>
      <c r="BM637" s="1820">
        <v>2.8707808270579168E-2</v>
      </c>
      <c r="BN637" s="452">
        <v>2011</v>
      </c>
      <c r="ES637" s="95"/>
      <c r="ET637" s="95"/>
      <c r="EU637" s="95"/>
      <c r="EV637" s="95"/>
      <c r="EW637" s="95"/>
      <c r="EX637" s="95"/>
      <c r="EY637" s="95"/>
      <c r="EZ637" s="95"/>
      <c r="FA637" s="95"/>
      <c r="FB637" s="95"/>
      <c r="FC637" s="95"/>
      <c r="FD637" s="95"/>
      <c r="FE637" s="95"/>
      <c r="FF637" s="95"/>
      <c r="FG637" s="95"/>
      <c r="FH637" s="95"/>
      <c r="FI637" s="95"/>
      <c r="FJ637" s="95"/>
      <c r="FK637" s="95"/>
      <c r="FL637" s="95"/>
      <c r="FM637" s="95"/>
      <c r="FN637" s="95"/>
      <c r="FO637" s="95"/>
      <c r="FP637" s="95"/>
    </row>
    <row r="638" spans="1:172">
      <c r="A638" s="228">
        <f t="shared" si="19"/>
        <v>2023</v>
      </c>
      <c r="B638" s="228">
        <f t="shared" si="20"/>
        <v>2</v>
      </c>
      <c r="C638" s="666">
        <v>45078</v>
      </c>
      <c r="D638" s="957">
        <v>0.67080952380952397</v>
      </c>
      <c r="E638" s="957">
        <v>341.49841372563816</v>
      </c>
      <c r="F638" s="957">
        <v>509.08402699214878</v>
      </c>
      <c r="G638" s="954">
        <v>28.606276110154035</v>
      </c>
      <c r="H638" s="957">
        <v>42.644409619736962</v>
      </c>
      <c r="I638" s="1166">
        <v>1942.9</v>
      </c>
      <c r="J638" s="1166">
        <v>2895.1332883333325</v>
      </c>
      <c r="K638" s="1166">
        <v>112.91</v>
      </c>
      <c r="L638" s="1166">
        <v>168.31901753389644</v>
      </c>
      <c r="M638" s="917">
        <v>21184.09</v>
      </c>
      <c r="N638" s="917">
        <v>31579.888549726693</v>
      </c>
      <c r="O638" s="920">
        <v>8385.56</v>
      </c>
      <c r="P638" s="920">
        <v>12500.657343650169</v>
      </c>
      <c r="Q638" s="920">
        <v>2117.64</v>
      </c>
      <c r="R638" s="920">
        <v>3156.8424788812372</v>
      </c>
      <c r="S638" s="920">
        <v>2367.64</v>
      </c>
      <c r="T638" s="920">
        <v>3529.5265138070549</v>
      </c>
      <c r="U638" s="1166">
        <v>2178.3203636050644</v>
      </c>
      <c r="V638" s="1166">
        <v>3247.300889877642</v>
      </c>
      <c r="W638" s="1166">
        <v>3518.5498048921754</v>
      </c>
      <c r="X638" s="1166">
        <v>5245.2293534986629</v>
      </c>
      <c r="Y638" s="920">
        <v>43361.820769964157</v>
      </c>
      <c r="Z638" s="954">
        <v>64641.033305121535</v>
      </c>
      <c r="AA638" s="920">
        <v>4077.14</v>
      </c>
      <c r="AB638" s="920">
        <v>6077.9399446297994</v>
      </c>
      <c r="AC638" s="1166">
        <v>23.408000000000001</v>
      </c>
      <c r="AD638" s="1166">
        <v>34.925759333333325</v>
      </c>
      <c r="AE638" s="1166">
        <v>28924.09</v>
      </c>
      <c r="AF638" s="920">
        <v>43118.186271030019</v>
      </c>
      <c r="AG638" s="920">
        <v>970.63599999999997</v>
      </c>
      <c r="AH638" s="920">
        <v>1451.3903586666668</v>
      </c>
      <c r="AI638" s="920">
        <v>1348.0909999999999</v>
      </c>
      <c r="AJ638" s="920">
        <v>2009.6479733087237</v>
      </c>
      <c r="AK638" s="918">
        <v>74.89</v>
      </c>
      <c r="AL638" s="954">
        <v>111.64122950237805</v>
      </c>
      <c r="AM638" s="918">
        <v>77.22</v>
      </c>
      <c r="AN638" s="1166">
        <v>115.11464470788667</v>
      </c>
      <c r="AO638" s="1166">
        <v>10.482997896251357</v>
      </c>
      <c r="AP638" s="1166">
        <v>15.62738381637527</v>
      </c>
      <c r="BA638" s="1817" t="s">
        <v>4</v>
      </c>
      <c r="BB638" s="1818">
        <v>2007</v>
      </c>
      <c r="BC638" s="452" t="s">
        <v>32</v>
      </c>
      <c r="BE638" s="1819">
        <v>189729528.57999802</v>
      </c>
      <c r="BF638" s="1820">
        <v>1.9027378975367392E-2</v>
      </c>
      <c r="BH638" s="1821" t="s">
        <v>2</v>
      </c>
      <c r="BI638" s="452" t="s">
        <v>316</v>
      </c>
      <c r="BJ638" s="452" t="s">
        <v>23</v>
      </c>
      <c r="BK638" s="452">
        <v>5</v>
      </c>
      <c r="BL638" s="1819">
        <v>83854138.601706073</v>
      </c>
      <c r="BM638" s="1820">
        <v>1.3776148375380238E-3</v>
      </c>
      <c r="BN638" s="452">
        <v>2011</v>
      </c>
      <c r="ES638" s="95"/>
      <c r="ET638" s="95"/>
      <c r="EU638" s="95"/>
      <c r="EV638" s="95"/>
      <c r="EW638" s="95"/>
      <c r="EX638" s="95"/>
      <c r="EY638" s="95"/>
      <c r="EZ638" s="95"/>
      <c r="FA638" s="95"/>
      <c r="FB638" s="95"/>
      <c r="FC638" s="95"/>
      <c r="FD638" s="95"/>
      <c r="FE638" s="95"/>
      <c r="FF638" s="95"/>
      <c r="FG638" s="95"/>
      <c r="FH638" s="95"/>
      <c r="FI638" s="95"/>
      <c r="FJ638" s="95"/>
      <c r="FK638" s="95"/>
      <c r="FL638" s="95"/>
      <c r="FM638" s="95"/>
      <c r="FN638" s="95"/>
      <c r="FO638" s="95"/>
      <c r="FP638" s="95"/>
    </row>
    <row r="639" spans="1:172">
      <c r="A639" s="228">
        <f t="shared" si="19"/>
        <v>2023</v>
      </c>
      <c r="B639" s="228">
        <f t="shared" si="20"/>
        <v>3</v>
      </c>
      <c r="C639" s="1533">
        <v>45108</v>
      </c>
      <c r="D639" s="1709">
        <v>0.67375714285714283</v>
      </c>
      <c r="E639" s="958">
        <v>334.98200298049187</v>
      </c>
      <c r="F639" s="958">
        <v>497.18508594946104</v>
      </c>
      <c r="G639" s="958">
        <v>29.600653338950181</v>
      </c>
      <c r="H639" s="958">
        <v>43.933713583243488</v>
      </c>
      <c r="I639" s="1165">
        <v>1948.855</v>
      </c>
      <c r="J639" s="1165">
        <v>2894.3292848387091</v>
      </c>
      <c r="K639" s="1121">
        <v>112.96</v>
      </c>
      <c r="L639" s="1121">
        <v>167.65684964908934</v>
      </c>
      <c r="M639" s="1172">
        <v>20889.88</v>
      </c>
      <c r="N639" s="1172">
        <v>31005.059050526899</v>
      </c>
      <c r="O639" s="1176">
        <v>8444.6200000000008</v>
      </c>
      <c r="P639" s="1176">
        <v>12533.6259355851</v>
      </c>
      <c r="Q639" s="1176">
        <v>2106.13</v>
      </c>
      <c r="R639" s="1176">
        <v>3125.9483069355219</v>
      </c>
      <c r="S639" s="1176">
        <v>2395.9899999999998</v>
      </c>
      <c r="T639" s="1176">
        <v>3556.162669889532</v>
      </c>
      <c r="U639" s="1120">
        <v>2176.5075827474443</v>
      </c>
      <c r="V639" s="1120">
        <v>3230.4037230948225</v>
      </c>
      <c r="W639" s="1120">
        <v>3316.0577010978363</v>
      </c>
      <c r="X639" s="1120">
        <v>4921.7403277325138</v>
      </c>
      <c r="Y639" s="1177">
        <v>39612.200514729964</v>
      </c>
      <c r="Z639" s="1118">
        <v>58792.995272376604</v>
      </c>
      <c r="AA639" s="1177">
        <v>4058.57</v>
      </c>
      <c r="AB639" s="1177">
        <v>6023.7877149460382</v>
      </c>
      <c r="AC639" s="1178">
        <v>24.041</v>
      </c>
      <c r="AD639" s="1178">
        <v>35.741268387096781</v>
      </c>
      <c r="AE639" s="1178">
        <v>32732.14</v>
      </c>
      <c r="AF639" s="1178">
        <v>48581.510930178316</v>
      </c>
      <c r="AG639" s="1178">
        <v>947</v>
      </c>
      <c r="AH639" s="1178">
        <v>1405.230608064516</v>
      </c>
      <c r="AI639" s="1178">
        <v>1264.4760000000001</v>
      </c>
      <c r="AJ639" s="1178">
        <v>1876.7533871891103</v>
      </c>
      <c r="AK639" s="1713">
        <v>80.099999999999994</v>
      </c>
      <c r="AL639" s="956">
        <v>118.88556707588576</v>
      </c>
      <c r="AM639" s="1713">
        <v>83.03</v>
      </c>
      <c r="AN639" s="919">
        <v>123.23431503509107</v>
      </c>
      <c r="AO639" s="919">
        <v>10.697541931866301</v>
      </c>
      <c r="AP639" s="919">
        <v>15.877444929937473</v>
      </c>
      <c r="BA639" s="1817" t="s">
        <v>4</v>
      </c>
      <c r="BB639" s="1818">
        <v>2007</v>
      </c>
      <c r="BC639" s="452" t="s">
        <v>249</v>
      </c>
      <c r="BE639" s="1819">
        <v>9971395893.5499992</v>
      </c>
      <c r="BH639" s="1821" t="s">
        <v>2</v>
      </c>
      <c r="BI639" s="452" t="s">
        <v>316</v>
      </c>
      <c r="BJ639" s="452" t="s">
        <v>32</v>
      </c>
      <c r="BL639" s="1819">
        <v>60926853.989545316</v>
      </c>
      <c r="BM639" s="1820">
        <v>1.0009492609444404E-3</v>
      </c>
      <c r="BN639" s="452">
        <v>2011</v>
      </c>
      <c r="ES639" s="95"/>
      <c r="ET639" s="95"/>
      <c r="EU639" s="95"/>
      <c r="EV639" s="95"/>
      <c r="EW639" s="95"/>
      <c r="EX639" s="95"/>
      <c r="EY639" s="95"/>
      <c r="EZ639" s="95"/>
      <c r="FA639" s="95"/>
      <c r="FB639" s="95"/>
      <c r="FC639" s="95"/>
      <c r="FD639" s="95"/>
      <c r="FE639" s="95"/>
      <c r="FF639" s="95"/>
      <c r="FG639" s="95"/>
      <c r="FH639" s="95"/>
      <c r="FI639" s="95"/>
      <c r="FJ639" s="95"/>
      <c r="FK639" s="95"/>
      <c r="FL639" s="95"/>
      <c r="FM639" s="95"/>
      <c r="FN639" s="95"/>
      <c r="FO639" s="95"/>
      <c r="FP639" s="95"/>
    </row>
    <row r="640" spans="1:172">
      <c r="A640" s="228">
        <f t="shared" si="19"/>
        <v>2023</v>
      </c>
      <c r="B640" s="228">
        <f t="shared" si="20"/>
        <v>3</v>
      </c>
      <c r="C640" s="666">
        <v>45139</v>
      </c>
      <c r="D640" s="957">
        <v>0.64881818181818196</v>
      </c>
      <c r="E640" s="957">
        <v>330.06982309848189</v>
      </c>
      <c r="F640" s="957">
        <v>508.7246818107468</v>
      </c>
      <c r="G640" s="954">
        <v>28.971506165937267</v>
      </c>
      <c r="H640" s="957">
        <v>44.652734738028563</v>
      </c>
      <c r="I640" s="1166">
        <v>1920.0250000000001</v>
      </c>
      <c r="J640" s="1166">
        <v>2960.7191825806458</v>
      </c>
      <c r="K640" s="1166">
        <v>109.3</v>
      </c>
      <c r="L640" s="1166">
        <v>168.46013731259629</v>
      </c>
      <c r="M640" s="917">
        <v>20484.43</v>
      </c>
      <c r="N640" s="917">
        <v>31571.911167157061</v>
      </c>
      <c r="O640" s="920">
        <v>8351.19</v>
      </c>
      <c r="P640" s="920">
        <v>12871.38713745271</v>
      </c>
      <c r="Q640" s="920">
        <v>2151.06</v>
      </c>
      <c r="R640" s="920">
        <v>3315.3509878100035</v>
      </c>
      <c r="S640" s="920">
        <v>2400.48</v>
      </c>
      <c r="T640" s="920">
        <v>3699.7730138713737</v>
      </c>
      <c r="U640" s="1166">
        <v>2029.0665681818184</v>
      </c>
      <c r="V640" s="1166">
        <v>3127.3269230769229</v>
      </c>
      <c r="W640" s="1166">
        <v>3278.2032708729366</v>
      </c>
      <c r="X640" s="1166">
        <v>5052.5761495869829</v>
      </c>
      <c r="Y640" s="920">
        <v>31038.28596767745</v>
      </c>
      <c r="Z640" s="954">
        <v>47838.187704140655</v>
      </c>
      <c r="AA640" s="920">
        <v>3377.39</v>
      </c>
      <c r="AB640" s="920">
        <v>5205.4490682359519</v>
      </c>
      <c r="AC640" s="1166">
        <v>23.439</v>
      </c>
      <c r="AD640" s="1166">
        <v>36.160697419354847</v>
      </c>
      <c r="AE640" s="1166">
        <v>32729.77</v>
      </c>
      <c r="AF640" s="920">
        <v>50445.210872915777</v>
      </c>
      <c r="AG640" s="920">
        <v>923.95500000000004</v>
      </c>
      <c r="AH640" s="920">
        <v>1430.0717251612903</v>
      </c>
      <c r="AI640" s="920">
        <v>1247.9549999999999</v>
      </c>
      <c r="AJ640" s="920">
        <v>1923.4279108869268</v>
      </c>
      <c r="AK640" s="918">
        <v>86.16</v>
      </c>
      <c r="AL640" s="954">
        <v>132.79529213955439</v>
      </c>
      <c r="AM640" s="918">
        <v>89.84</v>
      </c>
      <c r="AN640" s="1166">
        <v>138.46714305730697</v>
      </c>
      <c r="AO640" s="1166">
        <v>10.794511553812832</v>
      </c>
      <c r="AP640" s="1166">
        <v>16.637190288908663</v>
      </c>
      <c r="BA640" s="1817" t="s">
        <v>0</v>
      </c>
      <c r="BB640" s="1818">
        <v>2016</v>
      </c>
      <c r="BC640" s="452" t="s">
        <v>29</v>
      </c>
      <c r="BD640" s="452">
        <v>1</v>
      </c>
      <c r="BE640" s="1819">
        <v>966122261.19000018</v>
      </c>
      <c r="BF640" s="1820">
        <v>0.21394147123030136</v>
      </c>
      <c r="BH640" s="1821" t="s">
        <v>2</v>
      </c>
      <c r="BI640" s="452" t="s">
        <v>316</v>
      </c>
      <c r="BJ640" s="452" t="s">
        <v>249</v>
      </c>
      <c r="BL640" s="1819">
        <v>60869073355.484673</v>
      </c>
      <c r="BN640" s="452">
        <v>2011</v>
      </c>
      <c r="ES640" s="95"/>
      <c r="ET640" s="95"/>
      <c r="EU640" s="95"/>
      <c r="EV640" s="95"/>
      <c r="EW640" s="95"/>
      <c r="EX640" s="95"/>
      <c r="EY640" s="95"/>
      <c r="EZ640" s="95"/>
      <c r="FA640" s="95"/>
      <c r="FB640" s="95"/>
      <c r="FC640" s="95"/>
      <c r="FD640" s="95"/>
      <c r="FE640" s="95"/>
      <c r="FF640" s="95"/>
      <c r="FG640" s="95"/>
      <c r="FH640" s="95"/>
      <c r="FI640" s="95"/>
      <c r="FJ640" s="95"/>
      <c r="FK640" s="95"/>
      <c r="FL640" s="95"/>
      <c r="FM640" s="95"/>
      <c r="FN640" s="95"/>
      <c r="FO640" s="95"/>
      <c r="FP640" s="95"/>
    </row>
    <row r="641" spans="1:172">
      <c r="A641" s="228">
        <f t="shared" si="19"/>
        <v>2023</v>
      </c>
      <c r="B641" s="228">
        <f t="shared" si="20"/>
        <v>3</v>
      </c>
      <c r="C641" s="666">
        <v>45170</v>
      </c>
      <c r="D641" s="1709">
        <v>0.64246190476190479</v>
      </c>
      <c r="E641" s="958">
        <v>337.38973856370689</v>
      </c>
      <c r="F641" s="958">
        <v>525.15135304208104</v>
      </c>
      <c r="G641" s="958">
        <v>30.060202200002617</v>
      </c>
      <c r="H641" s="958">
        <v>46.789081153602211</v>
      </c>
      <c r="I641" s="1165">
        <v>1916.96</v>
      </c>
      <c r="J641" s="1165">
        <v>2984.2054969999995</v>
      </c>
      <c r="K641" s="1121">
        <v>120.53</v>
      </c>
      <c r="L641" s="1121">
        <v>187.60645433859335</v>
      </c>
      <c r="M641" s="1172">
        <v>19620.599999999999</v>
      </c>
      <c r="N641" s="1172">
        <v>30539.709599235081</v>
      </c>
      <c r="O641" s="1176">
        <v>8270.19</v>
      </c>
      <c r="P641" s="1176">
        <v>12872.65429856875</v>
      </c>
      <c r="Q641" s="1176">
        <v>2252.2399999999998</v>
      </c>
      <c r="R641" s="1176">
        <v>3505.6397637065747</v>
      </c>
      <c r="S641" s="1176">
        <v>2487.75</v>
      </c>
      <c r="T641" s="1176">
        <v>3872.2140278838101</v>
      </c>
      <c r="U641" s="1120">
        <v>1988.5555411493426</v>
      </c>
      <c r="V641" s="1120">
        <v>3095.211601513241</v>
      </c>
      <c r="W641" s="1120">
        <v>3186.3556003907102</v>
      </c>
      <c r="X641" s="1120">
        <v>4959.602393190251</v>
      </c>
      <c r="Y641" s="1177">
        <v>23220.109400402143</v>
      </c>
      <c r="Z641" s="1118">
        <v>36142.391055867309</v>
      </c>
      <c r="AA641" s="1177">
        <v>2612.11</v>
      </c>
      <c r="AB641" s="1177">
        <v>4065.7819251836313</v>
      </c>
      <c r="AC641" s="1178">
        <v>23.239000000000001</v>
      </c>
      <c r="AD641" s="1178">
        <v>36.13203533333332</v>
      </c>
      <c r="AE641" s="1178">
        <v>32732.14</v>
      </c>
      <c r="AF641" s="1178">
        <v>50947.985798676222</v>
      </c>
      <c r="AG641" s="1178">
        <v>922.76199999999994</v>
      </c>
      <c r="AH641" s="1178">
        <v>1438.2920159999999</v>
      </c>
      <c r="AI641" s="1178">
        <v>1239.2860000000001</v>
      </c>
      <c r="AJ641" s="1178">
        <v>1928.9641779760891</v>
      </c>
      <c r="AK641" s="1713">
        <v>94</v>
      </c>
      <c r="AL641" s="956">
        <v>146.31217711630111</v>
      </c>
      <c r="AM641" s="1713">
        <v>98.4</v>
      </c>
      <c r="AN641" s="919">
        <v>153.16083221536203</v>
      </c>
      <c r="AO641" s="919">
        <v>10.819773989555088</v>
      </c>
      <c r="AP641" s="919">
        <v>16.841113705512043</v>
      </c>
      <c r="BA641" s="1817" t="s">
        <v>0</v>
      </c>
      <c r="BB641" s="1818">
        <v>2016</v>
      </c>
      <c r="BC641" s="452" t="s">
        <v>14</v>
      </c>
      <c r="BD641" s="452">
        <v>2</v>
      </c>
      <c r="BE641" s="1819">
        <v>608194648.67000008</v>
      </c>
      <c r="BF641" s="1820">
        <v>0.13468073675332351</v>
      </c>
      <c r="BH641" s="1821" t="s">
        <v>2</v>
      </c>
      <c r="BI641" s="452" t="s">
        <v>315</v>
      </c>
      <c r="BJ641" s="452" t="s">
        <v>15</v>
      </c>
      <c r="BK641" s="452">
        <v>1</v>
      </c>
      <c r="BL641" s="1819">
        <v>39558337456.315392</v>
      </c>
      <c r="BM641" s="1820">
        <v>0.68252458418875683</v>
      </c>
      <c r="BN641" s="452">
        <v>2010</v>
      </c>
      <c r="ES641" s="95"/>
      <c r="ET641" s="95"/>
      <c r="EU641" s="95"/>
      <c r="EV641" s="95"/>
      <c r="EW641" s="95"/>
      <c r="EX641" s="95"/>
      <c r="EY641" s="95"/>
      <c r="EZ641" s="95"/>
      <c r="FA641" s="95"/>
      <c r="FB641" s="95"/>
      <c r="FC641" s="95"/>
      <c r="FD641" s="95"/>
      <c r="FE641" s="95"/>
      <c r="FF641" s="95"/>
      <c r="FG641" s="95"/>
      <c r="FH641" s="95"/>
      <c r="FI641" s="95"/>
      <c r="FJ641" s="95"/>
      <c r="FK641" s="95"/>
      <c r="FL641" s="95"/>
      <c r="FM641" s="95"/>
      <c r="FN641" s="95"/>
      <c r="FO641" s="95"/>
      <c r="FP641" s="95"/>
    </row>
    <row r="642" spans="1:172">
      <c r="A642" s="228">
        <f t="shared" si="19"/>
        <v>2023</v>
      </c>
      <c r="B642" s="228">
        <f t="shared" si="20"/>
        <v>4</v>
      </c>
      <c r="C642" s="666">
        <v>45200</v>
      </c>
      <c r="D642" s="957">
        <v>0.63501428571428575</v>
      </c>
      <c r="E642" s="957">
        <v>338.8692439286898</v>
      </c>
      <c r="F642" s="957">
        <v>533.64034723646898</v>
      </c>
      <c r="G642" s="954">
        <v>29.853022643277146</v>
      </c>
      <c r="H642" s="957">
        <v>47.011576455634298</v>
      </c>
      <c r="I642" s="1166">
        <v>1913.0360000000001</v>
      </c>
      <c r="J642" s="1166">
        <v>3023.2649787096771</v>
      </c>
      <c r="K642" s="1166">
        <v>118.97</v>
      </c>
      <c r="L642" s="1166">
        <v>187.35011585791094</v>
      </c>
      <c r="M642" s="917">
        <v>18249.2</v>
      </c>
      <c r="N642" s="917">
        <v>28738.251107961576</v>
      </c>
      <c r="O642" s="920">
        <v>7939.24</v>
      </c>
      <c r="P642" s="920">
        <v>12502.45888731412</v>
      </c>
      <c r="Q642" s="920">
        <v>2135.8000000000002</v>
      </c>
      <c r="R642" s="920">
        <v>3363.3889001372299</v>
      </c>
      <c r="S642" s="920">
        <v>2448.75</v>
      </c>
      <c r="T642" s="920">
        <v>3856.2124586623472</v>
      </c>
      <c r="U642" s="1166">
        <v>1919.4064031538321</v>
      </c>
      <c r="V642" s="1166">
        <v>3022.6192486281129</v>
      </c>
      <c r="W642" s="1166">
        <v>3096.4595990885587</v>
      </c>
      <c r="X642" s="1166">
        <v>4876.2046283817936</v>
      </c>
      <c r="Y642" s="920">
        <v>21571.801175382097</v>
      </c>
      <c r="Z642" s="954">
        <v>33970.576191238593</v>
      </c>
      <c r="AA642" s="920">
        <v>2131.1799999999998</v>
      </c>
      <c r="AB642" s="920">
        <v>3356.1134732626933</v>
      </c>
      <c r="AC642" s="1166">
        <v>22.321999999999999</v>
      </c>
      <c r="AD642" s="1166">
        <v>35.368359677419349</v>
      </c>
      <c r="AE642" s="1166">
        <v>32732.5</v>
      </c>
      <c r="AF642" s="920">
        <v>51546.084452543248</v>
      </c>
      <c r="AG642" s="920">
        <v>891.36400000000003</v>
      </c>
      <c r="AH642" s="920">
        <v>1407.6872970967745</v>
      </c>
      <c r="AI642" s="920">
        <v>1142.0909999999999</v>
      </c>
      <c r="AJ642" s="920">
        <v>1798.5280421137879</v>
      </c>
      <c r="AK642" s="918">
        <v>91.06</v>
      </c>
      <c r="AL642" s="954">
        <v>143.39834874356032</v>
      </c>
      <c r="AM642" s="918">
        <v>95.93</v>
      </c>
      <c r="AN642" s="1166">
        <v>151.0674675485366</v>
      </c>
      <c r="AO642" s="1166">
        <v>10.699036314987945</v>
      </c>
      <c r="AP642" s="1166">
        <v>16.8484970427922</v>
      </c>
      <c r="BA642" s="1817" t="s">
        <v>0</v>
      </c>
      <c r="BB642" s="1818">
        <v>2016</v>
      </c>
      <c r="BC642" s="452" t="s">
        <v>22</v>
      </c>
      <c r="BD642" s="452">
        <v>3</v>
      </c>
      <c r="BE642" s="1819">
        <v>384411897.37999988</v>
      </c>
      <c r="BF642" s="1820">
        <v>8.5125506561260098E-2</v>
      </c>
      <c r="BH642" s="1821" t="s">
        <v>2</v>
      </c>
      <c r="BI642" s="452" t="s">
        <v>315</v>
      </c>
      <c r="BJ642" s="452" t="s">
        <v>20</v>
      </c>
      <c r="BK642" s="452">
        <v>2</v>
      </c>
      <c r="BL642" s="1819">
        <v>10347639130.988295</v>
      </c>
      <c r="BM642" s="1820">
        <v>0.17853424965122189</v>
      </c>
      <c r="BN642" s="452">
        <v>2010</v>
      </c>
      <c r="ES642" s="95"/>
      <c r="ET642" s="95"/>
      <c r="EU642" s="95"/>
      <c r="EV642" s="95"/>
      <c r="EW642" s="95"/>
      <c r="EX642" s="95"/>
      <c r="EY642" s="95"/>
      <c r="EZ642" s="95"/>
      <c r="FA642" s="95"/>
      <c r="FB642" s="95"/>
      <c r="FC642" s="95"/>
      <c r="FD642" s="95"/>
      <c r="FE642" s="95"/>
      <c r="FF642" s="95"/>
      <c r="FG642" s="95"/>
      <c r="FH642" s="95"/>
      <c r="FI642" s="95"/>
      <c r="FJ642" s="95"/>
      <c r="FK642" s="95"/>
      <c r="FL642" s="95"/>
      <c r="FM642" s="95"/>
      <c r="FN642" s="95"/>
      <c r="FO642" s="95"/>
      <c r="FP642" s="95"/>
    </row>
    <row r="643" spans="1:172">
      <c r="A643" s="228">
        <f t="shared" si="19"/>
        <v>2023</v>
      </c>
      <c r="B643" s="228">
        <f t="shared" si="20"/>
        <v>4</v>
      </c>
      <c r="C643" s="666">
        <v>45231</v>
      </c>
      <c r="D643" s="1709">
        <v>0.64918636363636362</v>
      </c>
      <c r="E643" s="958">
        <v>334.84082852011335</v>
      </c>
      <c r="F643" s="958">
        <v>515.78536961948828</v>
      </c>
      <c r="G643" s="958">
        <v>31.299647089921308</v>
      </c>
      <c r="H643" s="958">
        <v>48.213654573085805</v>
      </c>
      <c r="I643" s="1165">
        <v>1985.2729999999999</v>
      </c>
      <c r="J643" s="1165">
        <v>3052.067697</v>
      </c>
      <c r="K643" s="1121">
        <v>130.69</v>
      </c>
      <c r="L643" s="1121">
        <v>201.31353232367789</v>
      </c>
      <c r="M643" s="1172">
        <v>16974.32</v>
      </c>
      <c r="N643" s="1172">
        <v>26147.068008206075</v>
      </c>
      <c r="O643" s="1176">
        <v>8173.48</v>
      </c>
      <c r="P643" s="1176">
        <v>12590.344557172964</v>
      </c>
      <c r="Q643" s="1176">
        <v>2184.64</v>
      </c>
      <c r="R643" s="1176">
        <v>3365.1969948396945</v>
      </c>
      <c r="S643" s="1176">
        <v>2543.25</v>
      </c>
      <c r="T643" s="1176">
        <v>3917.5961518264121</v>
      </c>
      <c r="U643" s="1120">
        <v>1902.8289886631483</v>
      </c>
      <c r="V643" s="1120">
        <v>2931.0982103884767</v>
      </c>
      <c r="W643" s="1120">
        <v>3211.2551210802635</v>
      </c>
      <c r="X643" s="1120">
        <v>4946.5843723098005</v>
      </c>
      <c r="Y643" s="1177">
        <v>19098.286519385307</v>
      </c>
      <c r="Z643" s="1118">
        <v>29418.804197315294</v>
      </c>
      <c r="AA643" s="1177">
        <v>1730.91</v>
      </c>
      <c r="AB643" s="1177">
        <v>2666.2759678198586</v>
      </c>
      <c r="AC643" s="1178">
        <v>23.39</v>
      </c>
      <c r="AD643" s="1178">
        <v>36.084102000000001</v>
      </c>
      <c r="AE643" s="1178">
        <v>32753.41</v>
      </c>
      <c r="AF643" s="1178">
        <v>50453.016013051303</v>
      </c>
      <c r="AG643" s="1178">
        <v>906.90899999999999</v>
      </c>
      <c r="AH643" s="1178">
        <v>1396.2423250000002</v>
      </c>
      <c r="AI643" s="1178">
        <v>1050.2729999999999</v>
      </c>
      <c r="AJ643" s="1178">
        <v>1617.8297309219231</v>
      </c>
      <c r="AK643" s="1713">
        <v>83.18</v>
      </c>
      <c r="AL643" s="956">
        <v>128.12961679304865</v>
      </c>
      <c r="AM643" s="1713">
        <v>87.89</v>
      </c>
      <c r="AN643" s="919">
        <v>135.38485236764902</v>
      </c>
      <c r="AO643" s="919">
        <v>11.151420335970423</v>
      </c>
      <c r="AP643" s="919">
        <v>17.177533233302476</v>
      </c>
      <c r="BA643" s="1817" t="s">
        <v>0</v>
      </c>
      <c r="BB643" s="1818">
        <v>2016</v>
      </c>
      <c r="BC643" s="452" t="s">
        <v>27</v>
      </c>
      <c r="BD643" s="452">
        <v>4</v>
      </c>
      <c r="BE643" s="1819">
        <v>373831019.82999992</v>
      </c>
      <c r="BF643" s="1820">
        <v>8.278244026324684E-2</v>
      </c>
      <c r="BH643" s="1821" t="s">
        <v>2</v>
      </c>
      <c r="BI643" s="452" t="s">
        <v>315</v>
      </c>
      <c r="BJ643" s="452" t="s">
        <v>581</v>
      </c>
      <c r="BK643" s="452">
        <v>3</v>
      </c>
      <c r="BL643" s="1819">
        <v>6017937682.9607887</v>
      </c>
      <c r="BM643" s="1820">
        <v>0.10383121938004823</v>
      </c>
      <c r="BN643" s="452">
        <v>2010</v>
      </c>
      <c r="ES643" s="95"/>
      <c r="ET643" s="95"/>
      <c r="EU643" s="95"/>
      <c r="EV643" s="95"/>
      <c r="EW643" s="95"/>
      <c r="EX643" s="95"/>
      <c r="EY643" s="95"/>
      <c r="EZ643" s="95"/>
      <c r="FA643" s="95"/>
      <c r="FB643" s="95"/>
      <c r="FC643" s="95"/>
      <c r="FD643" s="95"/>
      <c r="FE643" s="95"/>
      <c r="FF643" s="95"/>
      <c r="FG643" s="95"/>
      <c r="FH643" s="95"/>
      <c r="FI643" s="95"/>
      <c r="FJ643" s="95"/>
      <c r="FK643" s="95"/>
      <c r="FL643" s="95"/>
      <c r="FM643" s="95"/>
      <c r="FN643" s="95"/>
      <c r="FO643" s="95"/>
      <c r="FP643" s="95"/>
    </row>
    <row r="644" spans="1:172">
      <c r="A644" s="228">
        <f t="shared" si="19"/>
        <v>2023</v>
      </c>
      <c r="B644" s="228">
        <f t="shared" si="20"/>
        <v>4</v>
      </c>
      <c r="C644" s="1533">
        <v>45261</v>
      </c>
      <c r="D644" s="957">
        <v>0.66826842105263162</v>
      </c>
      <c r="E644" s="957">
        <v>329.00129734023977</v>
      </c>
      <c r="F644" s="957">
        <v>492.31908463070744</v>
      </c>
      <c r="G644" s="954">
        <v>31.800483305093678</v>
      </c>
      <c r="H644" s="957">
        <v>47.586392388559581</v>
      </c>
      <c r="I644" s="1166">
        <v>2029.2909999999999</v>
      </c>
      <c r="J644" s="1166">
        <v>3042.6198648387103</v>
      </c>
      <c r="K644" s="1166">
        <v>136.36000000000001</v>
      </c>
      <c r="L644" s="1166">
        <v>204.04974364224901</v>
      </c>
      <c r="M644" s="917">
        <v>16381.71</v>
      </c>
      <c r="N644" s="917">
        <v>24513.667687897232</v>
      </c>
      <c r="O644" s="920">
        <v>8393.64</v>
      </c>
      <c r="P644" s="920">
        <v>12560.282269179575</v>
      </c>
      <c r="Q644" s="920">
        <v>2035.8</v>
      </c>
      <c r="R644" s="920">
        <v>3046.38066960172</v>
      </c>
      <c r="S644" s="920">
        <v>2501.29</v>
      </c>
      <c r="T644" s="920">
        <v>3742.9420891384643</v>
      </c>
      <c r="U644" s="1166">
        <v>1910.3778031691711</v>
      </c>
      <c r="V644" s="1166">
        <v>2858.6983059292475</v>
      </c>
      <c r="W644" s="1166">
        <v>3157.7767737112727</v>
      </c>
      <c r="X644" s="1166">
        <v>4725.3119767910921</v>
      </c>
      <c r="Y644" s="920">
        <v>14280.526129582391</v>
      </c>
      <c r="Z644" s="954">
        <v>21369.446287897663</v>
      </c>
      <c r="AA644" s="920">
        <v>1355.71</v>
      </c>
      <c r="AB644" s="920">
        <v>2028.6908034118026</v>
      </c>
      <c r="AC644" s="1166">
        <v>23.984999999999999</v>
      </c>
      <c r="AD644" s="1166">
        <v>35.875717741935482</v>
      </c>
      <c r="AE644" s="1166">
        <v>30140.53</v>
      </c>
      <c r="AF644" s="920">
        <v>45102.430476250476</v>
      </c>
      <c r="AG644" s="920">
        <v>939.05899999999997</v>
      </c>
      <c r="AH644" s="920">
        <v>1418.6223241935486</v>
      </c>
      <c r="AI644" s="920">
        <v>1062.059</v>
      </c>
      <c r="AJ644" s="920">
        <v>1589.2700695434389</v>
      </c>
      <c r="AK644" s="918">
        <v>77.86</v>
      </c>
      <c r="AL644" s="954">
        <v>116.51006922840648</v>
      </c>
      <c r="AM644" s="918">
        <v>83.31</v>
      </c>
      <c r="AN644" s="1166">
        <v>124.66547479345677</v>
      </c>
      <c r="AO644" s="1166">
        <v>11.180070221725945</v>
      </c>
      <c r="AP644" s="1166">
        <v>16.729909523654452</v>
      </c>
      <c r="BA644" s="1817" t="s">
        <v>0</v>
      </c>
      <c r="BB644" s="1818">
        <v>2016</v>
      </c>
      <c r="BC644" s="452" t="s">
        <v>15</v>
      </c>
      <c r="BD644" s="452">
        <v>5</v>
      </c>
      <c r="BE644" s="1819">
        <v>371852281</v>
      </c>
      <c r="BF644" s="1820">
        <v>8.2344261459718099E-2</v>
      </c>
      <c r="BH644" s="1821" t="s">
        <v>2</v>
      </c>
      <c r="BI644" s="452" t="s">
        <v>315</v>
      </c>
      <c r="BJ644" s="452" t="s">
        <v>583</v>
      </c>
      <c r="BK644" s="452">
        <v>4</v>
      </c>
      <c r="BL644" s="1819">
        <v>1890021164.969667</v>
      </c>
      <c r="BM644" s="1820">
        <v>3.2609709929124653E-2</v>
      </c>
      <c r="BN644" s="452">
        <v>2010</v>
      </c>
      <c r="ES644" s="95"/>
      <c r="ET644" s="95"/>
      <c r="EU644" s="95"/>
      <c r="EV644" s="95"/>
      <c r="EW644" s="95"/>
      <c r="EX644" s="95"/>
      <c r="EY644" s="95"/>
      <c r="EZ644" s="95"/>
      <c r="FA644" s="95"/>
      <c r="FB644" s="95"/>
      <c r="FC644" s="95"/>
      <c r="FD644" s="95"/>
      <c r="FE644" s="95"/>
      <c r="FF644" s="95"/>
      <c r="FG644" s="95"/>
      <c r="FH644" s="95"/>
      <c r="FI644" s="95"/>
      <c r="FJ644" s="95"/>
      <c r="FK644" s="95"/>
      <c r="FL644" s="95"/>
      <c r="FM644" s="95"/>
      <c r="FN644" s="95"/>
      <c r="FO644" s="95"/>
      <c r="FP644" s="95"/>
    </row>
    <row r="645" spans="1:172">
      <c r="A645" s="228">
        <f t="shared" si="19"/>
        <v>1900</v>
      </c>
      <c r="B645" s="228">
        <f t="shared" si="20"/>
        <v>1</v>
      </c>
      <c r="G645" s="1116"/>
      <c r="H645" s="1099"/>
      <c r="O645" s="1098"/>
      <c r="BA645" s="1817" t="s">
        <v>0</v>
      </c>
      <c r="BB645" s="1818">
        <v>2016</v>
      </c>
      <c r="BC645" s="452" t="s">
        <v>21</v>
      </c>
      <c r="BD645" s="452">
        <v>6</v>
      </c>
      <c r="BE645" s="1819">
        <v>330773158.39000005</v>
      </c>
      <c r="BF645" s="1820">
        <v>7.3247557780405037E-2</v>
      </c>
      <c r="BH645" s="1821" t="s">
        <v>2</v>
      </c>
      <c r="BI645" s="452" t="s">
        <v>315</v>
      </c>
      <c r="BJ645" s="452" t="s">
        <v>23</v>
      </c>
      <c r="BK645" s="452">
        <v>5</v>
      </c>
      <c r="BL645" s="1819">
        <v>84333713.038426876</v>
      </c>
      <c r="BM645" s="1820">
        <v>1.4550619698871332E-3</v>
      </c>
      <c r="BN645" s="452">
        <v>2010</v>
      </c>
      <c r="ES645" s="95"/>
      <c r="ET645" s="95"/>
      <c r="EU645" s="95"/>
      <c r="EV645" s="95"/>
      <c r="EW645" s="95"/>
      <c r="EX645" s="95"/>
      <c r="EY645" s="95"/>
      <c r="EZ645" s="95"/>
      <c r="FA645" s="95"/>
      <c r="FB645" s="95"/>
      <c r="FC645" s="95"/>
      <c r="FD645" s="95"/>
      <c r="FE645" s="95"/>
      <c r="FF645" s="95"/>
      <c r="FG645" s="95"/>
      <c r="FH645" s="95"/>
      <c r="FI645" s="95"/>
      <c r="FJ645" s="95"/>
      <c r="FK645" s="95"/>
      <c r="FL645" s="95"/>
      <c r="FM645" s="95"/>
      <c r="FN645" s="95"/>
      <c r="FO645" s="95"/>
      <c r="FP645" s="95"/>
    </row>
    <row r="646" spans="1:172">
      <c r="A646" s="228">
        <f t="shared" si="19"/>
        <v>1900</v>
      </c>
      <c r="B646" s="228">
        <f t="shared" si="20"/>
        <v>1</v>
      </c>
      <c r="G646" s="1116"/>
      <c r="H646" s="1099"/>
      <c r="O646" s="1098"/>
      <c r="BA646" s="1817" t="s">
        <v>0</v>
      </c>
      <c r="BB646" s="1818">
        <v>2016</v>
      </c>
      <c r="BC646" s="452" t="s">
        <v>18</v>
      </c>
      <c r="BD646" s="452">
        <v>7</v>
      </c>
      <c r="BE646" s="1819">
        <v>294070140.32999998</v>
      </c>
      <c r="BF646" s="1820">
        <v>6.5119913901589083E-2</v>
      </c>
      <c r="BH646" s="1821" t="s">
        <v>2</v>
      </c>
      <c r="BI646" s="452" t="s">
        <v>315</v>
      </c>
      <c r="BJ646" s="452" t="s">
        <v>32</v>
      </c>
      <c r="BL646" s="1819">
        <v>60577130.259819478</v>
      </c>
      <c r="BM646" s="1820">
        <v>1.0451748809613018E-3</v>
      </c>
      <c r="BN646" s="452">
        <v>2010</v>
      </c>
      <c r="ES646" s="95"/>
      <c r="ET646" s="95"/>
      <c r="EU646" s="95"/>
      <c r="EV646" s="95"/>
      <c r="EW646" s="95"/>
      <c r="EX646" s="95"/>
      <c r="EY646" s="95"/>
      <c r="EZ646" s="95"/>
      <c r="FA646" s="95"/>
      <c r="FB646" s="95"/>
      <c r="FC646" s="95"/>
      <c r="FD646" s="95"/>
      <c r="FE646" s="95"/>
      <c r="FF646" s="95"/>
      <c r="FG646" s="95"/>
      <c r="FH646" s="95"/>
      <c r="FI646" s="95"/>
      <c r="FJ646" s="95"/>
      <c r="FK646" s="95"/>
      <c r="FL646" s="95"/>
      <c r="FM646" s="95"/>
      <c r="FN646" s="95"/>
      <c r="FO646" s="95"/>
      <c r="FP646" s="95"/>
    </row>
    <row r="647" spans="1:172">
      <c r="A647" s="228">
        <f t="shared" si="19"/>
        <v>1900</v>
      </c>
      <c r="B647" s="228">
        <f t="shared" si="20"/>
        <v>1</v>
      </c>
      <c r="G647" s="1116"/>
      <c r="H647" s="1099"/>
      <c r="O647" s="1078"/>
      <c r="BA647" s="1817" t="s">
        <v>0</v>
      </c>
      <c r="BB647" s="1818">
        <v>2016</v>
      </c>
      <c r="BC647" s="452" t="s">
        <v>250</v>
      </c>
      <c r="BD647" s="452">
        <v>8</v>
      </c>
      <c r="BE647" s="1819">
        <v>211057990.67000002</v>
      </c>
      <c r="BF647" s="1820">
        <v>4.6737414976064713E-2</v>
      </c>
      <c r="BH647" s="1821" t="s">
        <v>2</v>
      </c>
      <c r="BI647" s="452" t="s">
        <v>315</v>
      </c>
      <c r="BJ647" s="452" t="s">
        <v>249</v>
      </c>
      <c r="BL647" s="1819">
        <v>57958846278.532387</v>
      </c>
      <c r="BN647" s="452">
        <v>2010</v>
      </c>
      <c r="ES647" s="95"/>
      <c r="ET647" s="95"/>
      <c r="EU647" s="95"/>
      <c r="EV647" s="95"/>
      <c r="EW647" s="95"/>
      <c r="EX647" s="95"/>
      <c r="EY647" s="95"/>
      <c r="EZ647" s="95"/>
      <c r="FA647" s="95"/>
      <c r="FB647" s="95"/>
      <c r="FC647" s="95"/>
      <c r="FD647" s="95"/>
      <c r="FE647" s="95"/>
      <c r="FF647" s="95"/>
      <c r="FG647" s="95"/>
      <c r="FH647" s="95"/>
      <c r="FI647" s="95"/>
      <c r="FJ647" s="95"/>
      <c r="FK647" s="95"/>
      <c r="FL647" s="95"/>
      <c r="FM647" s="95"/>
      <c r="FN647" s="95"/>
      <c r="FO647" s="95"/>
      <c r="FP647" s="95"/>
    </row>
    <row r="648" spans="1:172">
      <c r="A648" s="228">
        <f t="shared" si="19"/>
        <v>1900</v>
      </c>
      <c r="B648" s="228">
        <f t="shared" si="20"/>
        <v>1</v>
      </c>
      <c r="G648" s="1116"/>
      <c r="H648" s="1099"/>
      <c r="O648" s="1078"/>
      <c r="BA648" s="1817" t="s">
        <v>0</v>
      </c>
      <c r="BB648" s="1818">
        <v>2016</v>
      </c>
      <c r="BC648" s="452" t="s">
        <v>44</v>
      </c>
      <c r="BD648" s="452">
        <v>9</v>
      </c>
      <c r="BE648" s="1819">
        <v>183952047.45000002</v>
      </c>
      <c r="BF648" s="1820">
        <v>4.0734980703999696E-2</v>
      </c>
      <c r="BH648" s="1821" t="s">
        <v>2</v>
      </c>
      <c r="BI648" s="452" t="s">
        <v>314</v>
      </c>
      <c r="BJ648" s="452" t="s">
        <v>15</v>
      </c>
      <c r="BK648" s="452">
        <v>1</v>
      </c>
      <c r="BL648" s="1819">
        <v>24638089610.395767</v>
      </c>
      <c r="BM648" s="1820">
        <v>0.69334961278812635</v>
      </c>
      <c r="BN648" s="452">
        <v>2009</v>
      </c>
      <c r="ES648" s="95"/>
      <c r="ET648" s="95"/>
      <c r="EU648" s="95"/>
      <c r="EV648" s="95"/>
      <c r="EW648" s="95"/>
      <c r="EX648" s="95"/>
      <c r="EY648" s="95"/>
      <c r="EZ648" s="95"/>
      <c r="FA648" s="95"/>
      <c r="FB648" s="95"/>
      <c r="FC648" s="95"/>
      <c r="FD648" s="95"/>
      <c r="FE648" s="95"/>
      <c r="FF648" s="95"/>
      <c r="FG648" s="95"/>
      <c r="FH648" s="95"/>
      <c r="FI648" s="95"/>
      <c r="FJ648" s="95"/>
      <c r="FK648" s="95"/>
      <c r="FL648" s="95"/>
      <c r="FM648" s="95"/>
      <c r="FN648" s="95"/>
      <c r="FO648" s="95"/>
      <c r="FP648" s="95"/>
    </row>
    <row r="649" spans="1:172">
      <c r="A649" s="228">
        <f t="shared" si="19"/>
        <v>1900</v>
      </c>
      <c r="B649" s="228">
        <f t="shared" si="20"/>
        <v>1</v>
      </c>
      <c r="G649" s="1116"/>
      <c r="H649" s="1099"/>
      <c r="O649" s="1078"/>
      <c r="BA649" s="1817" t="s">
        <v>0</v>
      </c>
      <c r="BB649" s="1818">
        <v>2016</v>
      </c>
      <c r="BC649" s="452" t="s">
        <v>25</v>
      </c>
      <c r="BD649" s="452">
        <v>10</v>
      </c>
      <c r="BE649" s="1819">
        <v>179823287.33999997</v>
      </c>
      <c r="BF649" s="1820">
        <v>3.9820693715930097E-2</v>
      </c>
      <c r="BH649" s="1821" t="s">
        <v>2</v>
      </c>
      <c r="BI649" s="452" t="s">
        <v>314</v>
      </c>
      <c r="BJ649" s="452" t="s">
        <v>20</v>
      </c>
      <c r="BK649" s="452">
        <v>2</v>
      </c>
      <c r="BL649" s="1819">
        <v>6543698100.4362917</v>
      </c>
      <c r="BM649" s="1820">
        <v>0.18414863391947137</v>
      </c>
      <c r="BN649" s="452">
        <v>2009</v>
      </c>
      <c r="ES649" s="95"/>
      <c r="ET649" s="95"/>
      <c r="EU649" s="95"/>
      <c r="EV649" s="95"/>
      <c r="EW649" s="95"/>
      <c r="EX649" s="95"/>
      <c r="EY649" s="95"/>
      <c r="EZ649" s="95"/>
      <c r="FA649" s="95"/>
      <c r="FB649" s="95"/>
      <c r="FC649" s="95"/>
      <c r="FD649" s="95"/>
      <c r="FE649" s="95"/>
      <c r="FF649" s="95"/>
      <c r="FG649" s="95"/>
      <c r="FH649" s="95"/>
      <c r="FI649" s="95"/>
      <c r="FJ649" s="95"/>
      <c r="FK649" s="95"/>
      <c r="FL649" s="95"/>
      <c r="FM649" s="95"/>
      <c r="FN649" s="95"/>
      <c r="FO649" s="95"/>
      <c r="FP649" s="95"/>
    </row>
    <row r="650" spans="1:172">
      <c r="A650" s="228">
        <f t="shared" ref="A650:A713" si="21">YEAR(C650)</f>
        <v>1900</v>
      </c>
      <c r="B650" s="228">
        <f t="shared" ref="B650:B713" si="22">IF(OR(MONTH(C650)=1,MONTH(C650)=2,MONTH(C650)=3),1,IF(OR(MONTH(C650)=4,MONTH(C650)=5,MONTH(C650)=6),2,IF(OR(MONTH(C650)=7,MONTH(C650)=8,MONTH(C650)=9),3,4)))</f>
        <v>1</v>
      </c>
      <c r="G650" s="1116"/>
      <c r="H650" s="1099"/>
      <c r="O650" s="1078"/>
      <c r="BA650" s="1817" t="s">
        <v>0</v>
      </c>
      <c r="BB650" s="1818">
        <v>2016</v>
      </c>
      <c r="BC650" s="452" t="s">
        <v>32</v>
      </c>
      <c r="BE650" s="1819">
        <v>611736346.61000109</v>
      </c>
      <c r="BF650" s="1820">
        <v>0.1354650226541616</v>
      </c>
      <c r="BH650" s="1821" t="s">
        <v>2</v>
      </c>
      <c r="BI650" s="452" t="s">
        <v>314</v>
      </c>
      <c r="BJ650" s="452" t="s">
        <v>581</v>
      </c>
      <c r="BK650" s="452">
        <v>3</v>
      </c>
      <c r="BL650" s="1819">
        <v>3091787345.8649349</v>
      </c>
      <c r="BM650" s="1820">
        <v>8.7007133790688695E-2</v>
      </c>
      <c r="BN650" s="452">
        <v>2009</v>
      </c>
      <c r="ES650" s="95"/>
      <c r="ET650" s="95"/>
      <c r="EU650" s="95"/>
      <c r="EV650" s="95"/>
      <c r="EW650" s="95"/>
      <c r="EX650" s="95"/>
      <c r="EY650" s="95"/>
      <c r="EZ650" s="95"/>
      <c r="FA650" s="95"/>
      <c r="FB650" s="95"/>
      <c r="FC650" s="95"/>
      <c r="FD650" s="95"/>
      <c r="FE650" s="95"/>
      <c r="FF650" s="95"/>
      <c r="FG650" s="95"/>
      <c r="FH650" s="95"/>
      <c r="FI650" s="95"/>
      <c r="FJ650" s="95"/>
      <c r="FK650" s="95"/>
      <c r="FL650" s="95"/>
      <c r="FM650" s="95"/>
      <c r="FN650" s="95"/>
      <c r="FO650" s="95"/>
      <c r="FP650" s="95"/>
    </row>
    <row r="651" spans="1:172">
      <c r="A651" s="228">
        <f t="shared" si="21"/>
        <v>1900</v>
      </c>
      <c r="B651" s="228">
        <f t="shared" si="22"/>
        <v>1</v>
      </c>
      <c r="G651" s="1116"/>
      <c r="H651" s="1099"/>
      <c r="O651" s="1078"/>
      <c r="BA651" s="1817" t="s">
        <v>0</v>
      </c>
      <c r="BB651" s="1818">
        <v>2016</v>
      </c>
      <c r="BC651" s="452" t="s">
        <v>249</v>
      </c>
      <c r="BE651" s="1819">
        <v>4515825078.8600006</v>
      </c>
      <c r="BH651" s="1821" t="s">
        <v>2</v>
      </c>
      <c r="BI651" s="452" t="s">
        <v>314</v>
      </c>
      <c r="BJ651" s="452" t="s">
        <v>583</v>
      </c>
      <c r="BK651" s="452">
        <v>4</v>
      </c>
      <c r="BL651" s="1819">
        <v>978960360.77848065</v>
      </c>
      <c r="BM651" s="1820">
        <v>2.7549286402233395E-2</v>
      </c>
      <c r="BN651" s="452">
        <v>2009</v>
      </c>
      <c r="ES651" s="95"/>
      <c r="ET651" s="95"/>
      <c r="EU651" s="95"/>
      <c r="EV651" s="95"/>
      <c r="EW651" s="95"/>
      <c r="EX651" s="95"/>
      <c r="EY651" s="95"/>
      <c r="EZ651" s="95"/>
      <c r="FA651" s="95"/>
      <c r="FB651" s="95"/>
      <c r="FC651" s="95"/>
      <c r="FD651" s="95"/>
      <c r="FE651" s="95"/>
      <c r="FF651" s="95"/>
      <c r="FG651" s="95"/>
      <c r="FH651" s="95"/>
      <c r="FI651" s="95"/>
      <c r="FJ651" s="95"/>
      <c r="FK651" s="95"/>
      <c r="FL651" s="95"/>
      <c r="FM651" s="95"/>
      <c r="FN651" s="95"/>
      <c r="FO651" s="95"/>
      <c r="FP651" s="95"/>
    </row>
    <row r="652" spans="1:172">
      <c r="A652" s="228">
        <f t="shared" si="21"/>
        <v>1900</v>
      </c>
      <c r="B652" s="228">
        <f t="shared" si="22"/>
        <v>1</v>
      </c>
      <c r="G652" s="1116"/>
      <c r="O652" s="1078"/>
      <c r="BA652" s="1817" t="s">
        <v>3</v>
      </c>
      <c r="BB652" s="1818">
        <v>2016</v>
      </c>
      <c r="BC652" s="452" t="s">
        <v>21</v>
      </c>
      <c r="BD652" s="452">
        <v>1</v>
      </c>
      <c r="BE652" s="1819">
        <v>589077775.14677739</v>
      </c>
      <c r="BF652" s="1820">
        <v>0.29364614445923903</v>
      </c>
      <c r="BH652" s="1821" t="s">
        <v>2</v>
      </c>
      <c r="BI652" s="452" t="s">
        <v>314</v>
      </c>
      <c r="BJ652" s="452" t="s">
        <v>241</v>
      </c>
      <c r="BK652" s="452">
        <v>5</v>
      </c>
      <c r="BL652" s="1819">
        <v>124134876.57906669</v>
      </c>
      <c r="BM652" s="1820">
        <v>3.493325577210416E-3</v>
      </c>
      <c r="BN652" s="452">
        <v>2009</v>
      </c>
      <c r="ES652" s="95"/>
      <c r="ET652" s="95"/>
      <c r="EU652" s="95"/>
      <c r="EV652" s="95"/>
      <c r="EW652" s="95"/>
      <c r="EX652" s="95"/>
      <c r="EY652" s="95"/>
      <c r="EZ652" s="95"/>
      <c r="FA652" s="95"/>
      <c r="FB652" s="95"/>
      <c r="FC652" s="95"/>
      <c r="FD652" s="95"/>
      <c r="FE652" s="95"/>
      <c r="FF652" s="95"/>
      <c r="FG652" s="95"/>
      <c r="FH652" s="95"/>
      <c r="FI652" s="95"/>
      <c r="FJ652" s="95"/>
      <c r="FK652" s="95"/>
      <c r="FL652" s="95"/>
      <c r="FM652" s="95"/>
      <c r="FN652" s="95"/>
      <c r="FO652" s="95"/>
      <c r="FP652" s="95"/>
    </row>
    <row r="653" spans="1:172">
      <c r="A653" s="228">
        <f t="shared" si="21"/>
        <v>1900</v>
      </c>
      <c r="B653" s="228">
        <f t="shared" si="22"/>
        <v>1</v>
      </c>
      <c r="G653" s="1116"/>
      <c r="O653" s="1078"/>
      <c r="BA653" s="1817" t="s">
        <v>3</v>
      </c>
      <c r="BB653" s="1818">
        <v>2016</v>
      </c>
      <c r="BC653" s="452" t="s">
        <v>15</v>
      </c>
      <c r="BD653" s="452">
        <v>2</v>
      </c>
      <c r="BE653" s="1819">
        <v>462829908.42104566</v>
      </c>
      <c r="BF653" s="1820">
        <v>0.23071353882668413</v>
      </c>
      <c r="BH653" s="1821" t="s">
        <v>2</v>
      </c>
      <c r="BI653" s="452" t="s">
        <v>314</v>
      </c>
      <c r="BJ653" s="452" t="s">
        <v>32</v>
      </c>
      <c r="BL653" s="1819">
        <v>158201516.60394403</v>
      </c>
      <c r="BM653" s="1820">
        <v>4.452007522269783E-3</v>
      </c>
      <c r="BN653" s="452">
        <v>2009</v>
      </c>
      <c r="ES653" s="95"/>
      <c r="ET653" s="95"/>
      <c r="EU653" s="95"/>
      <c r="EV653" s="95"/>
      <c r="EW653" s="95"/>
      <c r="EX653" s="95"/>
      <c r="EY653" s="95"/>
      <c r="EZ653" s="95"/>
      <c r="FA653" s="95"/>
      <c r="FB653" s="95"/>
      <c r="FC653" s="95"/>
      <c r="FD653" s="95"/>
      <c r="FE653" s="95"/>
      <c r="FF653" s="95"/>
      <c r="FG653" s="95"/>
      <c r="FH653" s="95"/>
      <c r="FI653" s="95"/>
      <c r="FJ653" s="95"/>
      <c r="FK653" s="95"/>
      <c r="FL653" s="95"/>
      <c r="FM653" s="95"/>
      <c r="FN653" s="95"/>
      <c r="FO653" s="95"/>
      <c r="FP653" s="95"/>
    </row>
    <row r="654" spans="1:172">
      <c r="A654" s="228">
        <f t="shared" si="21"/>
        <v>1900</v>
      </c>
      <c r="B654" s="228">
        <f t="shared" si="22"/>
        <v>1</v>
      </c>
      <c r="G654" s="1116"/>
      <c r="O654" s="1078"/>
      <c r="BA654" s="1817" t="s">
        <v>3</v>
      </c>
      <c r="BB654" s="1818">
        <v>2016</v>
      </c>
      <c r="BC654" s="452" t="s">
        <v>583</v>
      </c>
      <c r="BD654" s="452">
        <v>3</v>
      </c>
      <c r="BE654" s="1819">
        <v>297910826.61290324</v>
      </c>
      <c r="BF654" s="1820">
        <v>0.14850393160011319</v>
      </c>
      <c r="BH654" s="1821" t="s">
        <v>2</v>
      </c>
      <c r="BI654" s="452" t="s">
        <v>314</v>
      </c>
      <c r="BJ654" s="452" t="s">
        <v>249</v>
      </c>
      <c r="BL654" s="1819">
        <v>35534871810.658485</v>
      </c>
      <c r="BN654" s="452">
        <v>2009</v>
      </c>
      <c r="ES654" s="95"/>
      <c r="ET654" s="95"/>
      <c r="EU654" s="95"/>
      <c r="EV654" s="95"/>
      <c r="EW654" s="95"/>
      <c r="EX654" s="95"/>
      <c r="EY654" s="95"/>
      <c r="EZ654" s="95"/>
      <c r="FA654" s="95"/>
      <c r="FB654" s="95"/>
      <c r="FC654" s="95"/>
      <c r="FD654" s="95"/>
      <c r="FE654" s="95"/>
      <c r="FF654" s="95"/>
      <c r="FG654" s="95"/>
      <c r="FH654" s="95"/>
      <c r="FI654" s="95"/>
      <c r="FJ654" s="95"/>
      <c r="FK654" s="95"/>
      <c r="FL654" s="95"/>
      <c r="FM654" s="95"/>
      <c r="FN654" s="95"/>
      <c r="FO654" s="95"/>
      <c r="FP654" s="95"/>
    </row>
    <row r="655" spans="1:172">
      <c r="A655" s="228">
        <f t="shared" si="21"/>
        <v>1900</v>
      </c>
      <c r="B655" s="228">
        <f t="shared" si="22"/>
        <v>1</v>
      </c>
      <c r="G655" s="1116"/>
      <c r="O655" s="1078"/>
      <c r="BA655" s="1817" t="s">
        <v>3</v>
      </c>
      <c r="BB655" s="1818">
        <v>2016</v>
      </c>
      <c r="BC655" s="452" t="s">
        <v>49</v>
      </c>
      <c r="BD655" s="452">
        <v>4</v>
      </c>
      <c r="BE655" s="1819">
        <v>207400753</v>
      </c>
      <c r="BF655" s="1820">
        <v>0.1033860621565942</v>
      </c>
      <c r="BH655" s="1821" t="s">
        <v>2</v>
      </c>
      <c r="BI655" s="452" t="s">
        <v>313</v>
      </c>
      <c r="BJ655" s="452" t="s">
        <v>15</v>
      </c>
      <c r="BK655" s="452">
        <v>1</v>
      </c>
      <c r="BL655" s="1819">
        <v>21595554164.365742</v>
      </c>
      <c r="BM655" s="1820">
        <v>0.64243510106795965</v>
      </c>
      <c r="BN655" s="452">
        <v>2008</v>
      </c>
      <c r="ES655" s="95"/>
      <c r="ET655" s="95"/>
      <c r="EU655" s="95"/>
      <c r="EV655" s="95"/>
      <c r="EW655" s="95"/>
      <c r="EX655" s="95"/>
      <c r="EY655" s="95"/>
      <c r="EZ655" s="95"/>
      <c r="FA655" s="95"/>
      <c r="FB655" s="95"/>
      <c r="FC655" s="95"/>
      <c r="FD655" s="95"/>
      <c r="FE655" s="95"/>
      <c r="FF655" s="95"/>
      <c r="FG655" s="95"/>
      <c r="FH655" s="95"/>
      <c r="FI655" s="95"/>
      <c r="FJ655" s="95"/>
      <c r="FK655" s="95"/>
      <c r="FL655" s="95"/>
      <c r="FM655" s="95"/>
      <c r="FN655" s="95"/>
      <c r="FO655" s="95"/>
      <c r="FP655" s="95"/>
    </row>
    <row r="656" spans="1:172">
      <c r="A656" s="228">
        <f t="shared" si="21"/>
        <v>1900</v>
      </c>
      <c r="B656" s="228">
        <f t="shared" si="22"/>
        <v>1</v>
      </c>
      <c r="G656" s="1116"/>
      <c r="O656" s="1078"/>
      <c r="BA656" s="1817" t="s">
        <v>3</v>
      </c>
      <c r="BB656" s="1818">
        <v>2016</v>
      </c>
      <c r="BC656" s="452" t="s">
        <v>20</v>
      </c>
      <c r="BD656" s="452">
        <v>5</v>
      </c>
      <c r="BE656" s="1819">
        <v>185870947.81962851</v>
      </c>
      <c r="BF656" s="1820">
        <v>9.2653787830679624E-2</v>
      </c>
      <c r="BH656" s="1821" t="s">
        <v>2</v>
      </c>
      <c r="BI656" s="452" t="s">
        <v>313</v>
      </c>
      <c r="BJ656" s="452" t="s">
        <v>20</v>
      </c>
      <c r="BK656" s="452">
        <v>2</v>
      </c>
      <c r="BL656" s="1819">
        <v>7078121538.2306223</v>
      </c>
      <c r="BM656" s="1820">
        <v>0.21056341926560806</v>
      </c>
      <c r="BN656" s="452">
        <v>2008</v>
      </c>
      <c r="ES656" s="95"/>
      <c r="ET656" s="95"/>
      <c r="EU656" s="95"/>
      <c r="EV656" s="95"/>
      <c r="EW656" s="95"/>
      <c r="EX656" s="95"/>
      <c r="EY656" s="95"/>
      <c r="EZ656" s="95"/>
      <c r="FA656" s="95"/>
      <c r="FB656" s="95"/>
      <c r="FC656" s="95"/>
      <c r="FD656" s="95"/>
      <c r="FE656" s="95"/>
      <c r="FF656" s="95"/>
      <c r="FG656" s="95"/>
      <c r="FH656" s="95"/>
      <c r="FI656" s="95"/>
      <c r="FJ656" s="95"/>
      <c r="FK656" s="95"/>
      <c r="FL656" s="95"/>
      <c r="FM656" s="95"/>
      <c r="FN656" s="95"/>
      <c r="FO656" s="95"/>
      <c r="FP656" s="95"/>
    </row>
    <row r="657" spans="1:172">
      <c r="A657" s="228">
        <f t="shared" si="21"/>
        <v>1900</v>
      </c>
      <c r="B657" s="228">
        <f t="shared" si="22"/>
        <v>1</v>
      </c>
      <c r="G657" s="1116"/>
      <c r="O657" s="1078"/>
      <c r="BA657" s="1817" t="s">
        <v>3</v>
      </c>
      <c r="BB657" s="1818">
        <v>2016</v>
      </c>
      <c r="BC657" s="452" t="s">
        <v>581</v>
      </c>
      <c r="BD657" s="452">
        <v>6</v>
      </c>
      <c r="BE657" s="1819">
        <v>90085720.329999998</v>
      </c>
      <c r="BF657" s="1820">
        <v>4.4906335906403104E-2</v>
      </c>
      <c r="BH657" s="1821" t="s">
        <v>2</v>
      </c>
      <c r="BI657" s="452" t="s">
        <v>313</v>
      </c>
      <c r="BJ657" s="452" t="s">
        <v>581</v>
      </c>
      <c r="BK657" s="452">
        <v>3</v>
      </c>
      <c r="BL657" s="1819">
        <v>3460345456.2001505</v>
      </c>
      <c r="BM657" s="1820">
        <v>0.10294004802859799</v>
      </c>
      <c r="BN657" s="452">
        <v>2008</v>
      </c>
      <c r="ES657" s="95"/>
      <c r="ET657" s="95"/>
      <c r="EU657" s="95"/>
      <c r="EV657" s="95"/>
      <c r="EW657" s="95"/>
      <c r="EX657" s="95"/>
      <c r="EY657" s="95"/>
      <c r="EZ657" s="95"/>
      <c r="FA657" s="95"/>
      <c r="FB657" s="95"/>
      <c r="FC657" s="95"/>
      <c r="FD657" s="95"/>
      <c r="FE657" s="95"/>
      <c r="FF657" s="95"/>
      <c r="FG657" s="95"/>
      <c r="FH657" s="95"/>
      <c r="FI657" s="95"/>
      <c r="FJ657" s="95"/>
      <c r="FK657" s="95"/>
      <c r="FL657" s="95"/>
      <c r="FM657" s="95"/>
      <c r="FN657" s="95"/>
      <c r="FO657" s="95"/>
      <c r="FP657" s="95"/>
    </row>
    <row r="658" spans="1:172">
      <c r="A658" s="228">
        <f t="shared" si="21"/>
        <v>1900</v>
      </c>
      <c r="B658" s="228">
        <f t="shared" si="22"/>
        <v>1</v>
      </c>
      <c r="G658" s="1116"/>
      <c r="O658" s="1078"/>
      <c r="BA658" s="1817" t="s">
        <v>3</v>
      </c>
      <c r="BB658" s="1818">
        <v>2016</v>
      </c>
      <c r="BC658" s="452" t="s">
        <v>431</v>
      </c>
      <c r="BD658" s="452">
        <v>7</v>
      </c>
      <c r="BE658" s="1819">
        <v>59590613.809999973</v>
      </c>
      <c r="BF658" s="1820">
        <v>2.9704997760110628E-2</v>
      </c>
      <c r="BH658" s="1821" t="s">
        <v>2</v>
      </c>
      <c r="BI658" s="452" t="s">
        <v>313</v>
      </c>
      <c r="BJ658" s="452" t="s">
        <v>583</v>
      </c>
      <c r="BK658" s="452">
        <v>4</v>
      </c>
      <c r="BL658" s="1819">
        <v>1006668518.1948214</v>
      </c>
      <c r="BM658" s="1820">
        <v>2.9946867133215673E-2</v>
      </c>
      <c r="BN658" s="452">
        <v>2008</v>
      </c>
      <c r="ES658" s="95"/>
      <c r="ET658" s="95"/>
      <c r="EU658" s="95"/>
      <c r="EV658" s="95"/>
      <c r="EW658" s="95"/>
      <c r="EX658" s="95"/>
      <c r="EY658" s="95"/>
      <c r="EZ658" s="95"/>
      <c r="FA658" s="95"/>
      <c r="FB658" s="95"/>
      <c r="FC658" s="95"/>
      <c r="FD658" s="95"/>
      <c r="FE658" s="95"/>
      <c r="FF658" s="95"/>
      <c r="FG658" s="95"/>
      <c r="FH658" s="95"/>
      <c r="FI658" s="95"/>
      <c r="FJ658" s="95"/>
      <c r="FK658" s="95"/>
      <c r="FL658" s="95"/>
      <c r="FM658" s="95"/>
      <c r="FN658" s="95"/>
      <c r="FO658" s="95"/>
      <c r="FP658" s="95"/>
    </row>
    <row r="659" spans="1:172">
      <c r="A659" s="228">
        <f t="shared" si="21"/>
        <v>1900</v>
      </c>
      <c r="B659" s="228">
        <f t="shared" si="22"/>
        <v>1</v>
      </c>
      <c r="G659" s="1116"/>
      <c r="O659" s="1078"/>
      <c r="BA659" s="1817" t="s">
        <v>3</v>
      </c>
      <c r="BB659" s="1818">
        <v>2016</v>
      </c>
      <c r="BC659" s="452" t="s">
        <v>23</v>
      </c>
      <c r="BD659" s="452">
        <v>8</v>
      </c>
      <c r="BE659" s="1819">
        <v>40861930.779999986</v>
      </c>
      <c r="BF659" s="1820">
        <v>2.0369039428991504E-2</v>
      </c>
      <c r="BH659" s="1821" t="s">
        <v>2</v>
      </c>
      <c r="BI659" s="452" t="s">
        <v>313</v>
      </c>
      <c r="BJ659" s="452" t="s">
        <v>17</v>
      </c>
      <c r="BK659" s="452">
        <v>5</v>
      </c>
      <c r="BL659" s="1819">
        <v>124664454.95307282</v>
      </c>
      <c r="BM659" s="1820">
        <v>3.7085791412341672E-3</v>
      </c>
      <c r="BN659" s="452">
        <v>2008</v>
      </c>
      <c r="ES659" s="95"/>
      <c r="ET659" s="95"/>
      <c r="EU659" s="95"/>
      <c r="EV659" s="95"/>
      <c r="EW659" s="95"/>
      <c r="EX659" s="95"/>
      <c r="EY659" s="95"/>
      <c r="EZ659" s="95"/>
      <c r="FA659" s="95"/>
      <c r="FB659" s="95"/>
      <c r="FC659" s="95"/>
      <c r="FD659" s="95"/>
      <c r="FE659" s="95"/>
      <c r="FF659" s="95"/>
      <c r="FG659" s="95"/>
      <c r="FH659" s="95"/>
      <c r="FI659" s="95"/>
      <c r="FJ659" s="95"/>
      <c r="FK659" s="95"/>
      <c r="FL659" s="95"/>
      <c r="FM659" s="95"/>
      <c r="FN659" s="95"/>
      <c r="FO659" s="95"/>
      <c r="FP659" s="95"/>
    </row>
    <row r="660" spans="1:172">
      <c r="A660" s="228">
        <f t="shared" si="21"/>
        <v>1900</v>
      </c>
      <c r="B660" s="228">
        <f t="shared" si="22"/>
        <v>1</v>
      </c>
      <c r="G660" s="1116"/>
      <c r="O660" s="1078"/>
      <c r="BA660" s="1817" t="s">
        <v>3</v>
      </c>
      <c r="BB660" s="1818">
        <v>2016</v>
      </c>
      <c r="BC660" s="452" t="s">
        <v>51</v>
      </c>
      <c r="BD660" s="452">
        <v>9</v>
      </c>
      <c r="BE660" s="1819">
        <v>26628063.220000003</v>
      </c>
      <c r="BF660" s="1820">
        <v>1.3273676972487367E-2</v>
      </c>
      <c r="BH660" s="1821" t="s">
        <v>2</v>
      </c>
      <c r="BI660" s="452" t="s">
        <v>313</v>
      </c>
      <c r="BJ660" s="452" t="s">
        <v>32</v>
      </c>
      <c r="BL660" s="1819">
        <v>349798789.28625667</v>
      </c>
      <c r="BM660" s="1820">
        <v>1.0405985363384461E-2</v>
      </c>
      <c r="BN660" s="452">
        <v>2008</v>
      </c>
      <c r="ES660" s="95"/>
      <c r="ET660" s="95"/>
      <c r="EU660" s="95"/>
      <c r="EV660" s="95"/>
      <c r="EW660" s="95"/>
      <c r="EX660" s="95"/>
      <c r="EY660" s="95"/>
      <c r="EZ660" s="95"/>
      <c r="FA660" s="95"/>
      <c r="FB660" s="95"/>
      <c r="FC660" s="95"/>
      <c r="FD660" s="95"/>
      <c r="FE660" s="95"/>
      <c r="FF660" s="95"/>
      <c r="FG660" s="95"/>
      <c r="FH660" s="95"/>
      <c r="FI660" s="95"/>
      <c r="FJ660" s="95"/>
      <c r="FK660" s="95"/>
      <c r="FL660" s="95"/>
      <c r="FM660" s="95"/>
      <c r="FN660" s="95"/>
      <c r="FO660" s="95"/>
      <c r="FP660" s="95"/>
    </row>
    <row r="661" spans="1:172">
      <c r="A661" s="228">
        <f t="shared" si="21"/>
        <v>1900</v>
      </c>
      <c r="B661" s="228">
        <f t="shared" si="22"/>
        <v>1</v>
      </c>
      <c r="G661" s="1116"/>
      <c r="O661" s="1078"/>
      <c r="BA661" s="1817" t="s">
        <v>3</v>
      </c>
      <c r="BB661" s="1818">
        <v>2016</v>
      </c>
      <c r="BC661" s="452" t="s">
        <v>54</v>
      </c>
      <c r="BD661" s="452">
        <v>10</v>
      </c>
      <c r="BE661" s="1819">
        <v>17107816.640000001</v>
      </c>
      <c r="BF661" s="1820">
        <v>8.5279815474279229E-3</v>
      </c>
      <c r="BH661" s="1821" t="s">
        <v>2</v>
      </c>
      <c r="BI661" s="452" t="s">
        <v>313</v>
      </c>
      <c r="BJ661" s="452" t="s">
        <v>249</v>
      </c>
      <c r="BL661" s="1819">
        <v>33615152921.230663</v>
      </c>
      <c r="BN661" s="452">
        <v>2008</v>
      </c>
      <c r="ES661" s="95"/>
      <c r="ET661" s="95"/>
      <c r="EU661" s="95"/>
      <c r="EV661" s="95"/>
      <c r="EW661" s="95"/>
      <c r="EX661" s="95"/>
      <c r="EY661" s="95"/>
      <c r="EZ661" s="95"/>
      <c r="FA661" s="95"/>
      <c r="FB661" s="95"/>
      <c r="FC661" s="95"/>
      <c r="FD661" s="95"/>
      <c r="FE661" s="95"/>
      <c r="FF661" s="95"/>
      <c r="FG661" s="95"/>
      <c r="FH661" s="95"/>
      <c r="FI661" s="95"/>
      <c r="FJ661" s="95"/>
      <c r="FK661" s="95"/>
      <c r="FL661" s="95"/>
      <c r="FM661" s="95"/>
      <c r="FN661" s="95"/>
      <c r="FO661" s="95"/>
      <c r="FP661" s="95"/>
    </row>
    <row r="662" spans="1:172">
      <c r="A662" s="228">
        <f t="shared" si="21"/>
        <v>1900</v>
      </c>
      <c r="B662" s="228">
        <f t="shared" si="22"/>
        <v>1</v>
      </c>
      <c r="G662" s="1116"/>
      <c r="O662" s="1078"/>
      <c r="BA662" s="1817" t="s">
        <v>3</v>
      </c>
      <c r="BB662" s="1818">
        <v>2016</v>
      </c>
      <c r="BC662" s="452" t="s">
        <v>32</v>
      </c>
      <c r="BE662" s="1819">
        <v>28716044.940000057</v>
      </c>
      <c r="BF662" s="1820">
        <v>1.4314503511269307E-2</v>
      </c>
      <c r="BH662" s="1821" t="s">
        <v>2</v>
      </c>
      <c r="BI662" s="452" t="s">
        <v>312</v>
      </c>
      <c r="BJ662" s="452" t="s">
        <v>15</v>
      </c>
      <c r="BK662" s="452">
        <v>1</v>
      </c>
      <c r="BL662" s="1819">
        <v>13068287373.815794</v>
      </c>
      <c r="BM662" s="1820">
        <v>0.5900684503769309</v>
      </c>
      <c r="BN662" s="452">
        <v>2007</v>
      </c>
      <c r="ES662" s="95"/>
      <c r="ET662" s="95"/>
      <c r="EU662" s="95"/>
      <c r="EV662" s="95"/>
      <c r="EW662" s="95"/>
      <c r="EX662" s="95"/>
      <c r="EY662" s="95"/>
      <c r="EZ662" s="95"/>
      <c r="FA662" s="95"/>
      <c r="FB662" s="95"/>
      <c r="FC662" s="95"/>
      <c r="FD662" s="95"/>
      <c r="FE662" s="95"/>
      <c r="FF662" s="95"/>
      <c r="FG662" s="95"/>
      <c r="FH662" s="95"/>
      <c r="FI662" s="95"/>
      <c r="FJ662" s="95"/>
      <c r="FK662" s="95"/>
      <c r="FL662" s="95"/>
      <c r="FM662" s="95"/>
      <c r="FN662" s="95"/>
      <c r="FO662" s="95"/>
      <c r="FP662" s="95"/>
    </row>
    <row r="663" spans="1:172">
      <c r="A663" s="228">
        <f t="shared" si="21"/>
        <v>1900</v>
      </c>
      <c r="B663" s="228">
        <f t="shared" si="22"/>
        <v>1</v>
      </c>
      <c r="G663" s="1116"/>
      <c r="O663" s="1078"/>
      <c r="BA663" s="1817" t="s">
        <v>3</v>
      </c>
      <c r="BB663" s="1818">
        <v>2016</v>
      </c>
      <c r="BC663" s="452" t="s">
        <v>70</v>
      </c>
      <c r="BE663" s="1819">
        <v>2006080400.7203548</v>
      </c>
      <c r="BH663" s="1821" t="s">
        <v>2</v>
      </c>
      <c r="BI663" s="452" t="s">
        <v>312</v>
      </c>
      <c r="BJ663" s="452" t="s">
        <v>20</v>
      </c>
      <c r="BK663" s="452">
        <v>2</v>
      </c>
      <c r="BL663" s="1819">
        <v>5659730157.2008905</v>
      </c>
      <c r="BM663" s="1820">
        <v>0.25555209400296336</v>
      </c>
      <c r="BN663" s="452">
        <v>2007</v>
      </c>
      <c r="ES663" s="95"/>
      <c r="ET663" s="95"/>
      <c r="EU663" s="95"/>
      <c r="EV663" s="95"/>
      <c r="EW663" s="95"/>
      <c r="EX663" s="95"/>
      <c r="EY663" s="95"/>
      <c r="EZ663" s="95"/>
      <c r="FA663" s="95"/>
      <c r="FB663" s="95"/>
      <c r="FC663" s="95"/>
      <c r="FD663" s="95"/>
      <c r="FE663" s="95"/>
      <c r="FF663" s="95"/>
      <c r="FG663" s="95"/>
      <c r="FH663" s="95"/>
      <c r="FI663" s="95"/>
      <c r="FJ663" s="95"/>
      <c r="FK663" s="95"/>
      <c r="FL663" s="95"/>
      <c r="FM663" s="95"/>
      <c r="FN663" s="95"/>
      <c r="FO663" s="95"/>
      <c r="FP663" s="95"/>
    </row>
    <row r="664" spans="1:172">
      <c r="A664" s="228">
        <f t="shared" si="21"/>
        <v>1900</v>
      </c>
      <c r="B664" s="228">
        <f t="shared" si="22"/>
        <v>1</v>
      </c>
      <c r="G664" s="1116"/>
      <c r="O664" s="1078"/>
      <c r="BA664" s="1817" t="s">
        <v>2</v>
      </c>
      <c r="BB664" s="1818">
        <v>2016</v>
      </c>
      <c r="BC664" s="452" t="s">
        <v>15</v>
      </c>
      <c r="BD664" s="452">
        <v>1</v>
      </c>
      <c r="BE664" s="1819">
        <v>43707756513.134193</v>
      </c>
      <c r="BF664" s="1820">
        <v>0.81117332360199623</v>
      </c>
      <c r="BH664" s="1821" t="s">
        <v>2</v>
      </c>
      <c r="BI664" s="452" t="s">
        <v>312</v>
      </c>
      <c r="BJ664" s="452" t="s">
        <v>581</v>
      </c>
      <c r="BK664" s="452">
        <v>3</v>
      </c>
      <c r="BL664" s="1819">
        <v>2344145245.6895409</v>
      </c>
      <c r="BM664" s="1820">
        <v>0.10584448543379381</v>
      </c>
      <c r="BN664" s="452">
        <v>2007</v>
      </c>
      <c r="ES664" s="95"/>
      <c r="ET664" s="95"/>
      <c r="EU664" s="95"/>
      <c r="EV664" s="95"/>
      <c r="EW664" s="95"/>
      <c r="EX664" s="95"/>
      <c r="EY664" s="95"/>
      <c r="EZ664" s="95"/>
      <c r="FA664" s="95"/>
      <c r="FB664" s="95"/>
      <c r="FC664" s="95"/>
      <c r="FD664" s="95"/>
      <c r="FE664" s="95"/>
      <c r="FF664" s="95"/>
      <c r="FG664" s="95"/>
      <c r="FH664" s="95"/>
      <c r="FI664" s="95"/>
      <c r="FJ664" s="95"/>
      <c r="FK664" s="95"/>
      <c r="FL664" s="95"/>
      <c r="FM664" s="95"/>
      <c r="FN664" s="95"/>
      <c r="FO664" s="95"/>
      <c r="FP664" s="95"/>
    </row>
    <row r="665" spans="1:172">
      <c r="A665" s="228">
        <f t="shared" si="21"/>
        <v>1900</v>
      </c>
      <c r="B665" s="228">
        <f t="shared" si="22"/>
        <v>1</v>
      </c>
      <c r="G665" s="1116"/>
      <c r="O665" s="1078"/>
      <c r="BA665" s="1817" t="s">
        <v>2</v>
      </c>
      <c r="BB665" s="1818">
        <v>2016</v>
      </c>
      <c r="BC665" s="452" t="s">
        <v>20</v>
      </c>
      <c r="BD665" s="452">
        <v>2</v>
      </c>
      <c r="BE665" s="1819">
        <v>5216384281.3427105</v>
      </c>
      <c r="BF665" s="1820">
        <v>9.6811003635257326E-2</v>
      </c>
      <c r="BH665" s="1821" t="s">
        <v>2</v>
      </c>
      <c r="BI665" s="452" t="s">
        <v>312</v>
      </c>
      <c r="BJ665" s="452" t="s">
        <v>583</v>
      </c>
      <c r="BK665" s="452">
        <v>4</v>
      </c>
      <c r="BL665" s="1819">
        <v>764903834.98100543</v>
      </c>
      <c r="BM665" s="1820">
        <v>3.4537472867251895E-2</v>
      </c>
      <c r="BN665" s="452">
        <v>2007</v>
      </c>
      <c r="ES665" s="95"/>
      <c r="ET665" s="95"/>
      <c r="EU665" s="95"/>
      <c r="EV665" s="95"/>
      <c r="EW665" s="95"/>
      <c r="EX665" s="95"/>
      <c r="EY665" s="95"/>
      <c r="EZ665" s="95"/>
      <c r="FA665" s="95"/>
      <c r="FB665" s="95"/>
      <c r="FC665" s="95"/>
      <c r="FD665" s="95"/>
      <c r="FE665" s="95"/>
      <c r="FF665" s="95"/>
      <c r="FG665" s="95"/>
      <c r="FH665" s="95"/>
      <c r="FI665" s="95"/>
      <c r="FJ665" s="95"/>
      <c r="FK665" s="95"/>
      <c r="FL665" s="95"/>
      <c r="FM665" s="95"/>
      <c r="FN665" s="95"/>
      <c r="FO665" s="95"/>
      <c r="FP665" s="95"/>
    </row>
    <row r="666" spans="1:172">
      <c r="A666" s="228">
        <f t="shared" si="21"/>
        <v>1900</v>
      </c>
      <c r="B666" s="228">
        <f t="shared" si="22"/>
        <v>1</v>
      </c>
      <c r="G666" s="1116"/>
      <c r="O666" s="1078"/>
      <c r="AQ666" s="317"/>
      <c r="BA666" s="1817" t="s">
        <v>2</v>
      </c>
      <c r="BB666" s="1818">
        <v>2016</v>
      </c>
      <c r="BC666" s="452" t="s">
        <v>581</v>
      </c>
      <c r="BD666" s="452">
        <v>3</v>
      </c>
      <c r="BE666" s="1819">
        <v>3233991205.6600304</v>
      </c>
      <c r="BF666" s="1820">
        <v>6.0019721991600349E-2</v>
      </c>
      <c r="BH666" s="1821" t="s">
        <v>2</v>
      </c>
      <c r="BI666" s="452" t="s">
        <v>312</v>
      </c>
      <c r="BJ666" s="452" t="s">
        <v>17</v>
      </c>
      <c r="BK666" s="452">
        <v>5</v>
      </c>
      <c r="BL666" s="1819">
        <v>156814736.91208699</v>
      </c>
      <c r="BM666" s="1820">
        <v>7.0806086642524711E-3</v>
      </c>
      <c r="BN666" s="452">
        <v>2007</v>
      </c>
      <c r="ES666" s="95"/>
      <c r="ET666" s="95"/>
      <c r="EU666" s="95"/>
      <c r="EV666" s="95"/>
      <c r="EW666" s="95"/>
      <c r="EX666" s="95"/>
      <c r="EY666" s="95"/>
      <c r="EZ666" s="95"/>
      <c r="FA666" s="95"/>
      <c r="FB666" s="95"/>
      <c r="FC666" s="95"/>
      <c r="FD666" s="95"/>
      <c r="FE666" s="95"/>
      <c r="FF666" s="95"/>
      <c r="FG666" s="95"/>
      <c r="FH666" s="95"/>
      <c r="FI666" s="95"/>
      <c r="FJ666" s="95"/>
      <c r="FK666" s="95"/>
      <c r="FL666" s="95"/>
      <c r="FM666" s="95"/>
      <c r="FN666" s="95"/>
      <c r="FO666" s="95"/>
      <c r="FP666" s="95"/>
    </row>
    <row r="667" spans="1:172">
      <c r="A667" s="228">
        <f t="shared" si="21"/>
        <v>1900</v>
      </c>
      <c r="B667" s="228">
        <f t="shared" si="22"/>
        <v>1</v>
      </c>
      <c r="G667" s="1116"/>
      <c r="O667" s="1078"/>
      <c r="AQ667" s="317"/>
      <c r="BA667" s="1817" t="s">
        <v>2</v>
      </c>
      <c r="BB667" s="1818">
        <v>2016</v>
      </c>
      <c r="BC667" s="452" t="s">
        <v>583</v>
      </c>
      <c r="BD667" s="452">
        <v>4</v>
      </c>
      <c r="BE667" s="1819">
        <v>1406831519.7881303</v>
      </c>
      <c r="BF667" s="1820">
        <v>2.6109420631362283E-2</v>
      </c>
      <c r="BH667" s="1821" t="s">
        <v>2</v>
      </c>
      <c r="BI667" s="452" t="s">
        <v>312</v>
      </c>
      <c r="BJ667" s="452" t="s">
        <v>32</v>
      </c>
      <c r="BL667" s="1819">
        <v>153188818.37517339</v>
      </c>
      <c r="BM667" s="1820">
        <v>6.9168886548075853E-3</v>
      </c>
      <c r="BN667" s="452">
        <v>2007</v>
      </c>
      <c r="ES667" s="95"/>
      <c r="ET667" s="95"/>
      <c r="EU667" s="95"/>
      <c r="EV667" s="95"/>
      <c r="EW667" s="95"/>
      <c r="EX667" s="95"/>
      <c r="EY667" s="95"/>
      <c r="EZ667" s="95"/>
      <c r="FA667" s="95"/>
      <c r="FB667" s="95"/>
      <c r="FC667" s="95"/>
      <c r="FD667" s="95"/>
      <c r="FE667" s="95"/>
      <c r="FF667" s="95"/>
      <c r="FG667" s="95"/>
      <c r="FH667" s="95"/>
      <c r="FI667" s="95"/>
      <c r="FJ667" s="95"/>
      <c r="FK667" s="95"/>
      <c r="FL667" s="95"/>
      <c r="FM667" s="95"/>
      <c r="FN667" s="95"/>
      <c r="FO667" s="95"/>
      <c r="FP667" s="95"/>
    </row>
    <row r="668" spans="1:172">
      <c r="A668" s="228">
        <f t="shared" si="21"/>
        <v>1900</v>
      </c>
      <c r="B668" s="228">
        <f t="shared" si="22"/>
        <v>1</v>
      </c>
      <c r="O668" s="1078"/>
      <c r="BA668" s="1817" t="s">
        <v>2</v>
      </c>
      <c r="BB668" s="1818">
        <v>2016</v>
      </c>
      <c r="BC668" s="452" t="s">
        <v>19</v>
      </c>
      <c r="BD668" s="452">
        <v>5</v>
      </c>
      <c r="BE668" s="1819">
        <v>221629215.81880534</v>
      </c>
      <c r="BF668" s="1820">
        <v>4.1132220444446872E-3</v>
      </c>
      <c r="BH668" s="1821" t="s">
        <v>2</v>
      </c>
      <c r="BI668" s="452" t="s">
        <v>312</v>
      </c>
      <c r="BJ668" s="452" t="s">
        <v>249</v>
      </c>
      <c r="BL668" s="1819">
        <v>22147070166.974491</v>
      </c>
      <c r="BN668" s="452">
        <v>2007</v>
      </c>
      <c r="ES668" s="95"/>
      <c r="ET668" s="95"/>
      <c r="EU668" s="95"/>
      <c r="EV668" s="95"/>
      <c r="EW668" s="95"/>
      <c r="EX668" s="95"/>
      <c r="EY668" s="95"/>
      <c r="EZ668" s="95"/>
      <c r="FA668" s="95"/>
      <c r="FB668" s="95"/>
      <c r="FC668" s="95"/>
      <c r="FD668" s="95"/>
      <c r="FE668" s="95"/>
      <c r="FF668" s="95"/>
      <c r="FG668" s="95"/>
      <c r="FH668" s="95"/>
      <c r="FI668" s="95"/>
      <c r="FJ668" s="95"/>
      <c r="FK668" s="95"/>
      <c r="FL668" s="95"/>
      <c r="FM668" s="95"/>
      <c r="FN668" s="95"/>
      <c r="FO668" s="95"/>
      <c r="FP668" s="95"/>
    </row>
    <row r="669" spans="1:172">
      <c r="A669" s="228">
        <f t="shared" si="21"/>
        <v>1900</v>
      </c>
      <c r="B669" s="228">
        <f t="shared" si="22"/>
        <v>1</v>
      </c>
      <c r="O669" s="1078"/>
      <c r="BA669" s="1817" t="s">
        <v>2</v>
      </c>
      <c r="BB669" s="1818">
        <v>2016</v>
      </c>
      <c r="BC669" s="452" t="s">
        <v>32</v>
      </c>
      <c r="BE669" s="1819">
        <v>95549639.267835259</v>
      </c>
      <c r="BF669" s="1820">
        <v>1.7733080953393422E-3</v>
      </c>
      <c r="BH669" s="1821" t="s">
        <v>4</v>
      </c>
      <c r="BI669" s="452" t="s">
        <v>320</v>
      </c>
      <c r="BJ669" s="452" t="s">
        <v>20</v>
      </c>
      <c r="BK669" s="452">
        <v>1</v>
      </c>
      <c r="BL669" s="1819">
        <v>8337940889.7599955</v>
      </c>
      <c r="BM669" s="1820">
        <v>0.58528471532344073</v>
      </c>
      <c r="BN669" s="452">
        <v>2015</v>
      </c>
      <c r="ES669" s="95"/>
      <c r="ET669" s="95"/>
      <c r="EU669" s="95"/>
      <c r="EV669" s="95"/>
      <c r="EW669" s="95"/>
      <c r="EX669" s="95"/>
      <c r="EY669" s="95"/>
      <c r="EZ669" s="95"/>
      <c r="FA669" s="95"/>
      <c r="FB669" s="95"/>
      <c r="FC669" s="95"/>
      <c r="FD669" s="95"/>
      <c r="FE669" s="95"/>
      <c r="FF669" s="95"/>
      <c r="FG669" s="95"/>
      <c r="FH669" s="95"/>
      <c r="FI669" s="95"/>
      <c r="FJ669" s="95"/>
      <c r="FK669" s="95"/>
      <c r="FL669" s="95"/>
      <c r="FM669" s="95"/>
      <c r="FN669" s="95"/>
      <c r="FO669" s="95"/>
      <c r="FP669" s="95"/>
    </row>
    <row r="670" spans="1:172">
      <c r="A670" s="228">
        <f t="shared" si="21"/>
        <v>1900</v>
      </c>
      <c r="B670" s="228">
        <f t="shared" si="22"/>
        <v>1</v>
      </c>
      <c r="O670" s="1078"/>
      <c r="BA670" s="1817" t="s">
        <v>2</v>
      </c>
      <c r="BB670" s="1818">
        <v>2016</v>
      </c>
      <c r="BC670" s="452" t="s">
        <v>249</v>
      </c>
      <c r="BE670" s="1819">
        <v>53882142375.011696</v>
      </c>
      <c r="BH670" s="1821" t="s">
        <v>4</v>
      </c>
      <c r="BI670" s="452" t="s">
        <v>320</v>
      </c>
      <c r="BJ670" s="452" t="s">
        <v>15</v>
      </c>
      <c r="BK670" s="452">
        <v>2</v>
      </c>
      <c r="BL670" s="1819">
        <v>1936328375.98</v>
      </c>
      <c r="BM670" s="1820">
        <v>0.13592125649391312</v>
      </c>
      <c r="BN670" s="452">
        <v>2015</v>
      </c>
      <c r="ES670" s="95"/>
      <c r="ET670" s="95"/>
      <c r="EU670" s="95"/>
      <c r="EV670" s="95"/>
      <c r="EW670" s="95"/>
      <c r="EX670" s="95"/>
      <c r="EY670" s="95"/>
      <c r="EZ670" s="95"/>
      <c r="FA670" s="95"/>
      <c r="FB670" s="95"/>
      <c r="FC670" s="95"/>
      <c r="FD670" s="95"/>
      <c r="FE670" s="95"/>
      <c r="FF670" s="95"/>
      <c r="FG670" s="95"/>
      <c r="FH670" s="95"/>
      <c r="FI670" s="95"/>
      <c r="FJ670" s="95"/>
      <c r="FK670" s="95"/>
      <c r="FL670" s="95"/>
      <c r="FM670" s="95"/>
      <c r="FN670" s="95"/>
      <c r="FO670" s="95"/>
      <c r="FP670" s="95"/>
    </row>
    <row r="671" spans="1:172">
      <c r="A671" s="228">
        <f t="shared" si="21"/>
        <v>1900</v>
      </c>
      <c r="B671" s="228">
        <f t="shared" si="22"/>
        <v>1</v>
      </c>
      <c r="O671" s="1078"/>
      <c r="BA671" s="1817" t="s">
        <v>4</v>
      </c>
      <c r="BB671" s="1818">
        <v>2016</v>
      </c>
      <c r="BC671" s="452" t="s">
        <v>20</v>
      </c>
      <c r="BD671" s="452">
        <v>1</v>
      </c>
      <c r="BE671" s="1819">
        <v>7804566507</v>
      </c>
      <c r="BF671" s="1820">
        <v>0.54800000000000004</v>
      </c>
      <c r="BH671" s="1821" t="s">
        <v>4</v>
      </c>
      <c r="BI671" s="452" t="s">
        <v>320</v>
      </c>
      <c r="BJ671" s="452" t="s">
        <v>581</v>
      </c>
      <c r="BK671" s="452">
        <v>3</v>
      </c>
      <c r="BL671" s="1819">
        <v>1449121793.45</v>
      </c>
      <c r="BM671" s="1820">
        <v>0.1017216177905515</v>
      </c>
      <c r="BN671" s="452">
        <v>2015</v>
      </c>
      <c r="ES671" s="95"/>
      <c r="ET671" s="95"/>
      <c r="EU671" s="95"/>
      <c r="EV671" s="95"/>
      <c r="EW671" s="95"/>
      <c r="EX671" s="95"/>
      <c r="EY671" s="95"/>
      <c r="EZ671" s="95"/>
      <c r="FA671" s="95"/>
      <c r="FB671" s="95"/>
      <c r="FC671" s="95"/>
      <c r="FD671" s="95"/>
      <c r="FE671" s="95"/>
      <c r="FF671" s="95"/>
      <c r="FG671" s="95"/>
      <c r="FH671" s="95"/>
      <c r="FI671" s="95"/>
      <c r="FJ671" s="95"/>
      <c r="FK671" s="95"/>
      <c r="FL671" s="95"/>
      <c r="FM671" s="95"/>
      <c r="FN671" s="95"/>
      <c r="FO671" s="95"/>
      <c r="FP671" s="95"/>
    </row>
    <row r="672" spans="1:172">
      <c r="A672" s="228">
        <f t="shared" si="21"/>
        <v>1900</v>
      </c>
      <c r="B672" s="228">
        <f t="shared" si="22"/>
        <v>1</v>
      </c>
      <c r="O672" s="1078"/>
      <c r="BA672" s="1817" t="s">
        <v>4</v>
      </c>
      <c r="BB672" s="1818">
        <v>2016</v>
      </c>
      <c r="BC672" s="452" t="s">
        <v>15</v>
      </c>
      <c r="BD672" s="452">
        <v>2</v>
      </c>
      <c r="BE672" s="1819">
        <v>1936328376</v>
      </c>
      <c r="BF672" s="1820">
        <v>0.13600000000000001</v>
      </c>
      <c r="BH672" s="1821" t="s">
        <v>4</v>
      </c>
      <c r="BI672" s="452" t="s">
        <v>320</v>
      </c>
      <c r="BJ672" s="452" t="s">
        <v>49</v>
      </c>
      <c r="BK672" s="452">
        <v>4</v>
      </c>
      <c r="BL672" s="1819">
        <v>598440244.89999998</v>
      </c>
      <c r="BM672" s="1820">
        <v>4.2007725049303953E-2</v>
      </c>
      <c r="BN672" s="452">
        <v>2015</v>
      </c>
      <c r="ES672" s="95"/>
      <c r="ET672" s="95"/>
      <c r="EU672" s="95"/>
      <c r="EV672" s="95"/>
      <c r="EW672" s="95"/>
      <c r="EX672" s="95"/>
      <c r="EY672" s="95"/>
      <c r="EZ672" s="95"/>
      <c r="FA672" s="95"/>
      <c r="FB672" s="95"/>
      <c r="FC672" s="95"/>
      <c r="FD672" s="95"/>
      <c r="FE672" s="95"/>
      <c r="FF672" s="95"/>
      <c r="FG672" s="95"/>
      <c r="FH672" s="95"/>
      <c r="FI672" s="95"/>
      <c r="FJ672" s="95"/>
      <c r="FK672" s="95"/>
      <c r="FL672" s="95"/>
      <c r="FM672" s="95"/>
      <c r="FN672" s="95"/>
      <c r="FO672" s="95"/>
      <c r="FP672" s="95"/>
    </row>
    <row r="673" spans="1:172">
      <c r="A673" s="228">
        <f t="shared" si="21"/>
        <v>1900</v>
      </c>
      <c r="B673" s="228">
        <f t="shared" si="22"/>
        <v>1</v>
      </c>
      <c r="D673" s="447"/>
      <c r="O673" s="1078"/>
      <c r="AQ673" s="317"/>
      <c r="AS673" s="965"/>
      <c r="BA673" s="1817" t="s">
        <v>4</v>
      </c>
      <c r="BB673" s="1818">
        <v>2016</v>
      </c>
      <c r="BC673" s="452" t="s">
        <v>49</v>
      </c>
      <c r="BD673" s="452">
        <v>3</v>
      </c>
      <c r="BE673" s="1819">
        <v>1100069778</v>
      </c>
      <c r="BF673" s="1820">
        <v>7.6999999999999999E-2</v>
      </c>
      <c r="BH673" s="1821" t="s">
        <v>4</v>
      </c>
      <c r="BI673" s="452" t="s">
        <v>320</v>
      </c>
      <c r="BJ673" s="452" t="s">
        <v>19</v>
      </c>
      <c r="BK673" s="452">
        <v>5</v>
      </c>
      <c r="BL673" s="1819">
        <v>389001810.10000002</v>
      </c>
      <c r="BM673" s="1820">
        <v>2.7306119903571929E-2</v>
      </c>
      <c r="BN673" s="452">
        <v>2015</v>
      </c>
      <c r="ES673" s="95"/>
      <c r="ET673" s="95"/>
      <c r="EU673" s="95"/>
      <c r="EV673" s="95"/>
      <c r="EW673" s="95"/>
      <c r="EX673" s="95"/>
      <c r="EY673" s="95"/>
      <c r="EZ673" s="95"/>
      <c r="FA673" s="95"/>
      <c r="FB673" s="95"/>
      <c r="FC673" s="95"/>
      <c r="FD673" s="95"/>
      <c r="FE673" s="95"/>
      <c r="FF673" s="95"/>
      <c r="FG673" s="95"/>
      <c r="FH673" s="95"/>
      <c r="FI673" s="95"/>
      <c r="FJ673" s="95"/>
      <c r="FK673" s="95"/>
      <c r="FL673" s="95"/>
      <c r="FM673" s="95"/>
      <c r="FN673" s="95"/>
      <c r="FO673" s="95"/>
      <c r="FP673" s="95"/>
    </row>
    <row r="674" spans="1:172">
      <c r="A674" s="228">
        <f t="shared" si="21"/>
        <v>1900</v>
      </c>
      <c r="B674" s="228">
        <f t="shared" si="22"/>
        <v>1</v>
      </c>
      <c r="O674" s="1078"/>
      <c r="BA674" s="1817" t="s">
        <v>4</v>
      </c>
      <c r="BB674" s="1818">
        <v>2016</v>
      </c>
      <c r="BC674" s="452" t="s">
        <v>581</v>
      </c>
      <c r="BD674" s="452">
        <v>4</v>
      </c>
      <c r="BE674" s="1819">
        <v>1073013912</v>
      </c>
      <c r="BF674" s="1820">
        <v>7.4999999999999997E-2</v>
      </c>
      <c r="BH674" s="1821" t="s">
        <v>4</v>
      </c>
      <c r="BI674" s="452" t="s">
        <v>320</v>
      </c>
      <c r="BJ674" s="452" t="s">
        <v>28</v>
      </c>
      <c r="BK674" s="452">
        <v>6</v>
      </c>
      <c r="BL674" s="1819">
        <v>352297445.79000002</v>
      </c>
      <c r="BM674" s="1820">
        <v>2.4729644044563463E-2</v>
      </c>
      <c r="BN674" s="452">
        <v>2015</v>
      </c>
      <c r="ES674" s="95"/>
      <c r="ET674" s="95"/>
      <c r="EU674" s="95"/>
      <c r="EV674" s="95"/>
      <c r="EW674" s="95"/>
      <c r="EX674" s="95"/>
      <c r="EY674" s="95"/>
      <c r="EZ674" s="95"/>
      <c r="FA674" s="95"/>
      <c r="FB674" s="95"/>
      <c r="FC674" s="95"/>
      <c r="FD674" s="95"/>
      <c r="FE674" s="95"/>
      <c r="FF674" s="95"/>
      <c r="FG674" s="95"/>
      <c r="FH674" s="95"/>
      <c r="FI674" s="95"/>
      <c r="FJ674" s="95"/>
      <c r="FK674" s="95"/>
      <c r="FL674" s="95"/>
      <c r="FM674" s="95"/>
      <c r="FN674" s="95"/>
      <c r="FO674" s="95"/>
      <c r="FP674" s="95"/>
    </row>
    <row r="675" spans="1:172">
      <c r="A675" s="228">
        <f t="shared" si="21"/>
        <v>1900</v>
      </c>
      <c r="B675" s="228">
        <f t="shared" si="22"/>
        <v>1</v>
      </c>
      <c r="O675" s="1078"/>
      <c r="BA675" s="1817" t="s">
        <v>4</v>
      </c>
      <c r="BB675" s="1818">
        <v>2016</v>
      </c>
      <c r="BC675" s="452" t="s">
        <v>28</v>
      </c>
      <c r="BD675" s="452">
        <v>5</v>
      </c>
      <c r="BE675" s="1819">
        <v>695159292</v>
      </c>
      <c r="BF675" s="1820">
        <v>4.9000000000000002E-2</v>
      </c>
      <c r="BH675" s="1821" t="s">
        <v>4</v>
      </c>
      <c r="BI675" s="452" t="s">
        <v>320</v>
      </c>
      <c r="BJ675" s="452" t="s">
        <v>18</v>
      </c>
      <c r="BK675" s="452">
        <v>7</v>
      </c>
      <c r="BL675" s="1819">
        <v>277793585.93000007</v>
      </c>
      <c r="BM675" s="1820">
        <v>1.9499819201092693E-2</v>
      </c>
      <c r="BN675" s="452">
        <v>2015</v>
      </c>
      <c r="ES675" s="95"/>
      <c r="ET675" s="95"/>
      <c r="EU675" s="95"/>
      <c r="EV675" s="95"/>
      <c r="EW675" s="95"/>
      <c r="EX675" s="95"/>
      <c r="EY675" s="95"/>
      <c r="EZ675" s="95"/>
      <c r="FA675" s="95"/>
      <c r="FB675" s="95"/>
      <c r="FC675" s="95"/>
      <c r="FD675" s="95"/>
      <c r="FE675" s="95"/>
      <c r="FF675" s="95"/>
      <c r="FG675" s="95"/>
      <c r="FH675" s="95"/>
      <c r="FI675" s="95"/>
      <c r="FJ675" s="95"/>
      <c r="FK675" s="95"/>
      <c r="FL675" s="95"/>
      <c r="FM675" s="95"/>
      <c r="FN675" s="95"/>
      <c r="FO675" s="95"/>
      <c r="FP675" s="95"/>
    </row>
    <row r="676" spans="1:172">
      <c r="A676" s="228">
        <f t="shared" si="21"/>
        <v>1900</v>
      </c>
      <c r="B676" s="228">
        <f t="shared" si="22"/>
        <v>1</v>
      </c>
      <c r="O676" s="1078"/>
      <c r="BA676" s="1817" t="s">
        <v>4</v>
      </c>
      <c r="BB676" s="1818">
        <v>2016</v>
      </c>
      <c r="BC676" s="452" t="s">
        <v>19</v>
      </c>
      <c r="BD676" s="452">
        <v>6</v>
      </c>
      <c r="BE676" s="1819">
        <v>655885163</v>
      </c>
      <c r="BF676" s="1820">
        <v>4.5999999999999999E-2</v>
      </c>
      <c r="BH676" s="1821" t="s">
        <v>4</v>
      </c>
      <c r="BI676" s="452" t="s">
        <v>320</v>
      </c>
      <c r="BJ676" s="452" t="s">
        <v>21</v>
      </c>
      <c r="BK676" s="452">
        <v>8</v>
      </c>
      <c r="BL676" s="1819">
        <v>253206484.62</v>
      </c>
      <c r="BM676" s="1820">
        <v>1.7773918912146629E-2</v>
      </c>
      <c r="BN676" s="452">
        <v>2015</v>
      </c>
      <c r="ES676" s="95"/>
      <c r="ET676" s="95"/>
      <c r="EU676" s="95"/>
      <c r="EV676" s="95"/>
      <c r="EW676" s="95"/>
      <c r="EX676" s="95"/>
      <c r="EY676" s="95"/>
      <c r="EZ676" s="95"/>
      <c r="FA676" s="95"/>
      <c r="FB676" s="95"/>
      <c r="FC676" s="95"/>
      <c r="FD676" s="95"/>
      <c r="FE676" s="95"/>
      <c r="FF676" s="95"/>
      <c r="FG676" s="95"/>
      <c r="FH676" s="95"/>
      <c r="FI676" s="95"/>
      <c r="FJ676" s="95"/>
      <c r="FK676" s="95"/>
      <c r="FL676" s="95"/>
      <c r="FM676" s="95"/>
      <c r="FN676" s="95"/>
      <c r="FO676" s="95"/>
      <c r="FP676" s="95"/>
    </row>
    <row r="677" spans="1:172">
      <c r="A677" s="228">
        <f t="shared" si="21"/>
        <v>1900</v>
      </c>
      <c r="B677" s="228">
        <f t="shared" si="22"/>
        <v>1</v>
      </c>
      <c r="O677" s="1078"/>
      <c r="BA677" s="1817" t="s">
        <v>4</v>
      </c>
      <c r="BB677" s="1818">
        <v>2016</v>
      </c>
      <c r="BC677" s="452" t="s">
        <v>21</v>
      </c>
      <c r="BD677" s="452">
        <v>7</v>
      </c>
      <c r="BE677" s="1819">
        <v>357107506</v>
      </c>
      <c r="BF677" s="1820">
        <v>2.5000000000000001E-2</v>
      </c>
      <c r="BH677" s="1821" t="s">
        <v>4</v>
      </c>
      <c r="BI677" s="452" t="s">
        <v>320</v>
      </c>
      <c r="BJ677" s="452" t="s">
        <v>431</v>
      </c>
      <c r="BK677" s="452">
        <v>9</v>
      </c>
      <c r="BL677" s="1819">
        <v>205282023.37000003</v>
      </c>
      <c r="BM677" s="1820">
        <v>1.440984437257012E-2</v>
      </c>
      <c r="BN677" s="452">
        <v>2015</v>
      </c>
      <c r="ES677" s="95"/>
      <c r="ET677" s="95"/>
      <c r="EU677" s="95"/>
      <c r="EV677" s="95"/>
      <c r="EW677" s="95"/>
      <c r="EX677" s="95"/>
      <c r="EY677" s="95"/>
      <c r="EZ677" s="95"/>
      <c r="FA677" s="95"/>
      <c r="FB677" s="95"/>
      <c r="FC677" s="95"/>
      <c r="FD677" s="95"/>
      <c r="FE677" s="95"/>
      <c r="FF677" s="95"/>
      <c r="FG677" s="95"/>
      <c r="FH677" s="95"/>
      <c r="FI677" s="95"/>
      <c r="FJ677" s="95"/>
      <c r="FK677" s="95"/>
      <c r="FL677" s="95"/>
      <c r="FM677" s="95"/>
      <c r="FN677" s="95"/>
      <c r="FO677" s="95"/>
      <c r="FP677" s="95"/>
    </row>
    <row r="678" spans="1:172">
      <c r="A678" s="228">
        <f t="shared" si="21"/>
        <v>1900</v>
      </c>
      <c r="B678" s="228">
        <f t="shared" si="22"/>
        <v>1</v>
      </c>
      <c r="D678" s="448"/>
      <c r="O678" s="1078"/>
      <c r="AQ678" s="324"/>
      <c r="AR678" s="324"/>
      <c r="AS678" s="966"/>
      <c r="BA678" s="1817" t="s">
        <v>4</v>
      </c>
      <c r="BB678" s="1818">
        <v>2016</v>
      </c>
      <c r="BC678" s="452" t="s">
        <v>18</v>
      </c>
      <c r="BD678" s="452">
        <v>8</v>
      </c>
      <c r="BE678" s="1819">
        <v>323494386</v>
      </c>
      <c r="BF678" s="1820">
        <v>2.3E-2</v>
      </c>
      <c r="BH678" s="1821" t="s">
        <v>4</v>
      </c>
      <c r="BI678" s="452" t="s">
        <v>320</v>
      </c>
      <c r="BJ678" s="452" t="s">
        <v>583</v>
      </c>
      <c r="BK678" s="452">
        <v>10</v>
      </c>
      <c r="BL678" s="1819">
        <v>145876042.13999999</v>
      </c>
      <c r="BM678" s="1820">
        <v>1.0239820469496964E-2</v>
      </c>
      <c r="BN678" s="452">
        <v>2015</v>
      </c>
      <c r="ES678" s="95"/>
      <c r="ET678" s="95"/>
      <c r="EU678" s="95"/>
      <c r="EV678" s="95"/>
      <c r="EW678" s="95"/>
      <c r="EX678" s="95"/>
      <c r="EY678" s="95"/>
      <c r="EZ678" s="95"/>
      <c r="FA678" s="95"/>
      <c r="FB678" s="95"/>
      <c r="FC678" s="95"/>
      <c r="FD678" s="95"/>
      <c r="FE678" s="95"/>
      <c r="FF678" s="95"/>
      <c r="FG678" s="95"/>
      <c r="FH678" s="95"/>
      <c r="FI678" s="95"/>
      <c r="FJ678" s="95"/>
      <c r="FK678" s="95"/>
      <c r="FL678" s="95"/>
      <c r="FM678" s="95"/>
      <c r="FN678" s="95"/>
      <c r="FO678" s="95"/>
      <c r="FP678" s="95"/>
    </row>
    <row r="679" spans="1:172">
      <c r="A679" s="228">
        <f t="shared" si="21"/>
        <v>1900</v>
      </c>
      <c r="B679" s="228">
        <f t="shared" si="22"/>
        <v>1</v>
      </c>
      <c r="O679" s="1078"/>
      <c r="BA679" s="1817" t="s">
        <v>4</v>
      </c>
      <c r="BB679" s="1818">
        <v>2016</v>
      </c>
      <c r="BC679" s="452" t="s">
        <v>583</v>
      </c>
      <c r="BD679" s="452">
        <v>9</v>
      </c>
      <c r="BE679" s="1819">
        <v>104617048</v>
      </c>
      <c r="BF679" s="1820">
        <v>7.0000000000000001E-3</v>
      </c>
      <c r="BH679" s="1821" t="s">
        <v>4</v>
      </c>
      <c r="BI679" s="452" t="s">
        <v>320</v>
      </c>
      <c r="BJ679" s="452" t="s">
        <v>32</v>
      </c>
      <c r="BL679" s="1819">
        <v>300668308.23999977</v>
      </c>
      <c r="BM679" s="1820">
        <v>2.1105518439348665E-2</v>
      </c>
      <c r="BN679" s="452">
        <v>2015</v>
      </c>
      <c r="ES679" s="95"/>
      <c r="ET679" s="95"/>
      <c r="EU679" s="95"/>
      <c r="EV679" s="95"/>
      <c r="EW679" s="95"/>
      <c r="EX679" s="95"/>
      <c r="EY679" s="95"/>
      <c r="EZ679" s="95"/>
      <c r="FA679" s="95"/>
      <c r="FB679" s="95"/>
      <c r="FC679" s="95"/>
      <c r="FD679" s="95"/>
      <c r="FE679" s="95"/>
      <c r="FF679" s="95"/>
      <c r="FG679" s="95"/>
      <c r="FH679" s="95"/>
      <c r="FI679" s="95"/>
      <c r="FJ679" s="95"/>
      <c r="FK679" s="95"/>
      <c r="FL679" s="95"/>
      <c r="FM679" s="95"/>
      <c r="FN679" s="95"/>
      <c r="FO679" s="95"/>
      <c r="FP679" s="95"/>
    </row>
    <row r="680" spans="1:172">
      <c r="A680" s="228">
        <f t="shared" si="21"/>
        <v>1900</v>
      </c>
      <c r="B680" s="228">
        <f t="shared" si="22"/>
        <v>1</v>
      </c>
      <c r="O680" s="1078"/>
      <c r="BA680" s="1817" t="s">
        <v>4</v>
      </c>
      <c r="BB680" s="1818">
        <v>2016</v>
      </c>
      <c r="BC680" s="452" t="s">
        <v>24</v>
      </c>
      <c r="BD680" s="452">
        <v>10</v>
      </c>
      <c r="BE680" s="1819">
        <v>88824877</v>
      </c>
      <c r="BF680" s="1820">
        <v>6.0000000000000001E-3</v>
      </c>
      <c r="BH680" s="1821" t="s">
        <v>4</v>
      </c>
      <c r="BI680" s="452" t="s">
        <v>320</v>
      </c>
      <c r="BJ680" s="452" t="s">
        <v>249</v>
      </c>
      <c r="BL680" s="1819">
        <v>14245957004.279999</v>
      </c>
      <c r="BN680" s="452">
        <v>2015</v>
      </c>
      <c r="ES680" s="95"/>
      <c r="ET680" s="95"/>
      <c r="EU680" s="95"/>
      <c r="EV680" s="95"/>
      <c r="EW680" s="95"/>
      <c r="EX680" s="95"/>
      <c r="EY680" s="95"/>
      <c r="EZ680" s="95"/>
      <c r="FA680" s="95"/>
      <c r="FB680" s="95"/>
      <c r="FC680" s="95"/>
      <c r="FD680" s="95"/>
      <c r="FE680" s="95"/>
      <c r="FF680" s="95"/>
      <c r="FG680" s="95"/>
      <c r="FH680" s="95"/>
      <c r="FI680" s="95"/>
      <c r="FJ680" s="95"/>
      <c r="FK680" s="95"/>
      <c r="FL680" s="95"/>
      <c r="FM680" s="95"/>
      <c r="FN680" s="95"/>
      <c r="FO680" s="95"/>
      <c r="FP680" s="95"/>
    </row>
    <row r="681" spans="1:172">
      <c r="A681" s="228">
        <f t="shared" si="21"/>
        <v>1900</v>
      </c>
      <c r="B681" s="228">
        <f t="shared" si="22"/>
        <v>1</v>
      </c>
      <c r="O681" s="1078"/>
      <c r="BA681" s="1817" t="s">
        <v>4</v>
      </c>
      <c r="BB681" s="1818">
        <v>2016</v>
      </c>
      <c r="BC681" s="452" t="s">
        <v>32</v>
      </c>
      <c r="BE681" s="1819">
        <v>113587877</v>
      </c>
      <c r="BF681" s="1820">
        <v>8.0000000000000002E-3</v>
      </c>
      <c r="BH681" s="1821" t="s">
        <v>4</v>
      </c>
      <c r="BI681" s="452" t="s">
        <v>319</v>
      </c>
      <c r="BJ681" s="452" t="s">
        <v>20</v>
      </c>
      <c r="BK681" s="452">
        <v>1</v>
      </c>
      <c r="BL681" s="1819">
        <v>12251880772</v>
      </c>
      <c r="BM681" s="1820">
        <v>0.61899999999999999</v>
      </c>
      <c r="BN681" s="452">
        <v>2014</v>
      </c>
      <c r="ES681" s="95"/>
      <c r="ET681" s="95"/>
      <c r="EU681" s="95"/>
      <c r="EV681" s="95"/>
      <c r="EW681" s="95"/>
      <c r="EX681" s="95"/>
      <c r="EY681" s="95"/>
      <c r="EZ681" s="95"/>
      <c r="FA681" s="95"/>
      <c r="FB681" s="95"/>
      <c r="FC681" s="95"/>
      <c r="FD681" s="95"/>
      <c r="FE681" s="95"/>
      <c r="FF681" s="95"/>
      <c r="FG681" s="95"/>
      <c r="FH681" s="95"/>
      <c r="FI681" s="95"/>
      <c r="FJ681" s="95"/>
      <c r="FK681" s="95"/>
      <c r="FL681" s="95"/>
      <c r="FM681" s="95"/>
      <c r="FN681" s="95"/>
      <c r="FO681" s="95"/>
      <c r="FP681" s="95"/>
    </row>
    <row r="682" spans="1:172">
      <c r="A682" s="228">
        <f t="shared" si="21"/>
        <v>1900</v>
      </c>
      <c r="B682" s="228">
        <f t="shared" si="22"/>
        <v>1</v>
      </c>
      <c r="O682" s="1078"/>
      <c r="BA682" s="1817" t="s">
        <v>4</v>
      </c>
      <c r="BB682" s="1818">
        <v>2016</v>
      </c>
      <c r="BC682" s="452" t="s">
        <v>70</v>
      </c>
      <c r="BE682" s="1819">
        <v>14252654720</v>
      </c>
      <c r="BF682" s="1820">
        <v>1</v>
      </c>
      <c r="BH682" s="1821" t="s">
        <v>4</v>
      </c>
      <c r="BI682" s="452" t="s">
        <v>319</v>
      </c>
      <c r="BJ682" s="452" t="s">
        <v>581</v>
      </c>
      <c r="BK682" s="452">
        <v>2</v>
      </c>
      <c r="BL682" s="1819">
        <v>2271243378</v>
      </c>
      <c r="BM682" s="1820">
        <v>0.115</v>
      </c>
      <c r="BN682" s="452">
        <v>2014</v>
      </c>
    </row>
    <row r="683" spans="1:172">
      <c r="A683" s="228">
        <f t="shared" si="21"/>
        <v>1900</v>
      </c>
      <c r="B683" s="228">
        <f t="shared" si="22"/>
        <v>1</v>
      </c>
      <c r="O683" s="1078"/>
      <c r="BA683" s="1817" t="s">
        <v>280</v>
      </c>
      <c r="BB683" s="1818">
        <v>2016</v>
      </c>
      <c r="BC683" s="452" t="s">
        <v>51</v>
      </c>
      <c r="BD683" s="452">
        <v>1</v>
      </c>
      <c r="BE683" s="1819">
        <v>116184485.22999999</v>
      </c>
      <c r="BF683" s="1820">
        <v>0.15468502215532481</v>
      </c>
      <c r="BH683" s="1821" t="s">
        <v>4</v>
      </c>
      <c r="BI683" s="452" t="s">
        <v>319</v>
      </c>
      <c r="BJ683" s="452" t="s">
        <v>15</v>
      </c>
      <c r="BK683" s="452">
        <v>3</v>
      </c>
      <c r="BL683" s="1819">
        <v>1936328376</v>
      </c>
      <c r="BM683" s="1820">
        <v>9.8000000000000004E-2</v>
      </c>
      <c r="BN683" s="452">
        <v>2014</v>
      </c>
    </row>
    <row r="684" spans="1:172">
      <c r="A684" s="228">
        <f t="shared" si="21"/>
        <v>1900</v>
      </c>
      <c r="B684" s="228">
        <f t="shared" si="22"/>
        <v>1</v>
      </c>
      <c r="O684" s="1078"/>
      <c r="BA684" s="1817" t="s">
        <v>280</v>
      </c>
      <c r="BB684" s="1818">
        <v>2016</v>
      </c>
      <c r="BC684" s="452" t="s">
        <v>431</v>
      </c>
      <c r="BD684" s="452">
        <v>2</v>
      </c>
      <c r="BE684" s="1819">
        <v>110455581.50999999</v>
      </c>
      <c r="BF684" s="1820">
        <v>0.1470577077415316</v>
      </c>
      <c r="BH684" s="1821" t="s">
        <v>4</v>
      </c>
      <c r="BI684" s="452" t="s">
        <v>319</v>
      </c>
      <c r="BJ684" s="452" t="s">
        <v>49</v>
      </c>
      <c r="BK684" s="452">
        <v>4</v>
      </c>
      <c r="BL684" s="1819">
        <v>1472235510</v>
      </c>
      <c r="BM684" s="1820">
        <v>7.3999999999999996E-2</v>
      </c>
      <c r="BN684" s="452">
        <v>2014</v>
      </c>
    </row>
    <row r="685" spans="1:172">
      <c r="A685" s="228">
        <f t="shared" si="21"/>
        <v>1900</v>
      </c>
      <c r="B685" s="228">
        <f t="shared" si="22"/>
        <v>1</v>
      </c>
      <c r="O685" s="1078"/>
      <c r="BA685" s="1817" t="s">
        <v>280</v>
      </c>
      <c r="BB685" s="1818">
        <v>2016</v>
      </c>
      <c r="BC685" s="452" t="s">
        <v>15</v>
      </c>
      <c r="BD685" s="452">
        <v>3</v>
      </c>
      <c r="BE685" s="1819">
        <v>109730907.50999998</v>
      </c>
      <c r="BF685" s="1820">
        <v>0.14609289549897198</v>
      </c>
      <c r="BH685" s="1821" t="s">
        <v>4</v>
      </c>
      <c r="BI685" s="452" t="s">
        <v>319</v>
      </c>
      <c r="BJ685" s="452" t="s">
        <v>21</v>
      </c>
      <c r="BK685" s="452">
        <v>5</v>
      </c>
      <c r="BL685" s="1819">
        <v>684083684</v>
      </c>
      <c r="BM685" s="1820">
        <v>3.5000000000000003E-2</v>
      </c>
      <c r="BN685" s="452">
        <v>2014</v>
      </c>
    </row>
    <row r="686" spans="1:172">
      <c r="A686" s="228">
        <f t="shared" si="21"/>
        <v>1900</v>
      </c>
      <c r="B686" s="228">
        <f t="shared" si="22"/>
        <v>1</v>
      </c>
      <c r="O686" s="1078"/>
      <c r="BA686" s="1817" t="s">
        <v>280</v>
      </c>
      <c r="BB686" s="1818">
        <v>2016</v>
      </c>
      <c r="BC686" s="452" t="s">
        <v>26</v>
      </c>
      <c r="BD686" s="452">
        <v>4</v>
      </c>
      <c r="BE686" s="1819">
        <v>90044172.909999996</v>
      </c>
      <c r="BF686" s="1820">
        <v>0.11988248563453439</v>
      </c>
      <c r="BH686" s="1821" t="s">
        <v>4</v>
      </c>
      <c r="BI686" s="452" t="s">
        <v>319</v>
      </c>
      <c r="BJ686" s="452" t="s">
        <v>28</v>
      </c>
      <c r="BK686" s="452">
        <v>6</v>
      </c>
      <c r="BL686" s="1819">
        <v>456657713</v>
      </c>
      <c r="BM686" s="1820">
        <v>2.3E-2</v>
      </c>
      <c r="BN686" s="452">
        <v>2014</v>
      </c>
    </row>
    <row r="687" spans="1:172">
      <c r="A687" s="228">
        <f t="shared" si="21"/>
        <v>1900</v>
      </c>
      <c r="B687" s="228">
        <f t="shared" si="22"/>
        <v>1</v>
      </c>
      <c r="O687" s="1078"/>
      <c r="BA687" s="1817" t="s">
        <v>280</v>
      </c>
      <c r="BB687" s="1818">
        <v>2016</v>
      </c>
      <c r="BC687" s="452" t="s">
        <v>23</v>
      </c>
      <c r="BD687" s="452">
        <v>5</v>
      </c>
      <c r="BE687" s="1819">
        <v>65183914.619999997</v>
      </c>
      <c r="BF687" s="1820">
        <v>8.6784179980701717E-2</v>
      </c>
      <c r="BH687" s="1821" t="s">
        <v>4</v>
      </c>
      <c r="BI687" s="452" t="s">
        <v>319</v>
      </c>
      <c r="BJ687" s="452" t="s">
        <v>73</v>
      </c>
      <c r="BK687" s="452">
        <v>7</v>
      </c>
      <c r="BL687" s="1819">
        <v>193116456</v>
      </c>
      <c r="BM687" s="1820">
        <v>0.01</v>
      </c>
      <c r="BN687" s="452">
        <v>2014</v>
      </c>
    </row>
    <row r="688" spans="1:172">
      <c r="A688" s="228">
        <f t="shared" si="21"/>
        <v>1900</v>
      </c>
      <c r="B688" s="228">
        <f t="shared" si="22"/>
        <v>1</v>
      </c>
      <c r="O688" s="1078"/>
      <c r="BA688" s="1817" t="s">
        <v>280</v>
      </c>
      <c r="BB688" s="1818">
        <v>2016</v>
      </c>
      <c r="BC688" s="452" t="s">
        <v>54</v>
      </c>
      <c r="BD688" s="452">
        <v>6</v>
      </c>
      <c r="BE688" s="1819">
        <v>51054366.489999995</v>
      </c>
      <c r="BF688" s="1820">
        <v>6.7972464619506248E-2</v>
      </c>
      <c r="BH688" s="1821" t="s">
        <v>4</v>
      </c>
      <c r="BI688" s="452" t="s">
        <v>319</v>
      </c>
      <c r="BJ688" s="452" t="s">
        <v>583</v>
      </c>
      <c r="BK688" s="452">
        <v>8</v>
      </c>
      <c r="BL688" s="1819">
        <v>126956301</v>
      </c>
      <c r="BM688" s="1820">
        <v>6.0000000000000001E-3</v>
      </c>
      <c r="BN688" s="452">
        <v>2014</v>
      </c>
    </row>
    <row r="689" spans="1:66">
      <c r="A689" s="228">
        <f t="shared" si="21"/>
        <v>1900</v>
      </c>
      <c r="B689" s="228">
        <f t="shared" si="22"/>
        <v>1</v>
      </c>
      <c r="O689" s="1078"/>
      <c r="BA689" s="1817" t="s">
        <v>280</v>
      </c>
      <c r="BB689" s="1818">
        <v>2016</v>
      </c>
      <c r="BC689" s="452" t="s">
        <v>21</v>
      </c>
      <c r="BD689" s="452">
        <v>7</v>
      </c>
      <c r="BE689" s="1819">
        <v>33636942.020000011</v>
      </c>
      <c r="BF689" s="1820">
        <v>4.4783355637380548E-2</v>
      </c>
      <c r="BH689" s="1821" t="s">
        <v>4</v>
      </c>
      <c r="BI689" s="452" t="s">
        <v>319</v>
      </c>
      <c r="BJ689" s="452" t="s">
        <v>18</v>
      </c>
      <c r="BK689" s="452">
        <v>9</v>
      </c>
      <c r="BL689" s="1819">
        <v>123007257</v>
      </c>
      <c r="BM689" s="1820">
        <v>6.0000000000000001E-3</v>
      </c>
      <c r="BN689" s="452">
        <v>2014</v>
      </c>
    </row>
    <row r="690" spans="1:66">
      <c r="A690" s="228">
        <f t="shared" si="21"/>
        <v>1900</v>
      </c>
      <c r="B690" s="228">
        <f t="shared" si="22"/>
        <v>1</v>
      </c>
      <c r="O690" s="1078"/>
      <c r="BA690" s="1817" t="s">
        <v>280</v>
      </c>
      <c r="BB690" s="1818">
        <v>2016</v>
      </c>
      <c r="BC690" s="452" t="s">
        <v>42</v>
      </c>
      <c r="BD690" s="452">
        <v>8</v>
      </c>
      <c r="BE690" s="1819">
        <v>31618901.259999998</v>
      </c>
      <c r="BF690" s="1820">
        <v>4.2096588303058811E-2</v>
      </c>
      <c r="BH690" s="1821" t="s">
        <v>4</v>
      </c>
      <c r="BI690" s="452" t="s">
        <v>319</v>
      </c>
      <c r="BJ690" s="452" t="s">
        <v>341</v>
      </c>
      <c r="BK690" s="452">
        <v>10</v>
      </c>
      <c r="BL690" s="1819">
        <v>70357677</v>
      </c>
      <c r="BM690" s="1820">
        <v>4.0000000000000001E-3</v>
      </c>
      <c r="BN690" s="452">
        <v>2014</v>
      </c>
    </row>
    <row r="691" spans="1:66">
      <c r="A691" s="228">
        <f t="shared" si="21"/>
        <v>1900</v>
      </c>
      <c r="B691" s="228">
        <f t="shared" si="22"/>
        <v>1</v>
      </c>
      <c r="O691" s="1078"/>
      <c r="BA691" s="1817" t="s">
        <v>280</v>
      </c>
      <c r="BB691" s="1818">
        <v>2016</v>
      </c>
      <c r="BC691" s="452" t="s">
        <v>18</v>
      </c>
      <c r="BD691" s="452">
        <v>9</v>
      </c>
      <c r="BE691" s="1819">
        <v>29056666.979999997</v>
      </c>
      <c r="BF691" s="1820">
        <v>3.8685295774763526E-2</v>
      </c>
      <c r="BH691" s="1821" t="s">
        <v>4</v>
      </c>
      <c r="BI691" s="452" t="s">
        <v>319</v>
      </c>
      <c r="BJ691" s="452" t="s">
        <v>32</v>
      </c>
      <c r="BL691" s="1819">
        <v>217463237</v>
      </c>
      <c r="BM691" s="1820">
        <v>1.0999999999999999E-2</v>
      </c>
      <c r="BN691" s="452">
        <v>2014</v>
      </c>
    </row>
    <row r="692" spans="1:66">
      <c r="A692" s="228">
        <f t="shared" si="21"/>
        <v>1900</v>
      </c>
      <c r="B692" s="228">
        <f t="shared" si="22"/>
        <v>1</v>
      </c>
      <c r="O692" s="1078"/>
      <c r="BA692" s="1817" t="s">
        <v>280</v>
      </c>
      <c r="BB692" s="1818">
        <v>2016</v>
      </c>
      <c r="BC692" s="452" t="s">
        <v>583</v>
      </c>
      <c r="BD692" s="452">
        <v>10</v>
      </c>
      <c r="BE692" s="1819">
        <v>20632773.189999998</v>
      </c>
      <c r="BF692" s="1820">
        <v>2.7469941203447732E-2</v>
      </c>
      <c r="BH692" s="1821" t="s">
        <v>4</v>
      </c>
      <c r="BI692" s="452" t="s">
        <v>319</v>
      </c>
      <c r="BJ692" s="452" t="s">
        <v>249</v>
      </c>
      <c r="BL692" s="1819">
        <v>19803330360</v>
      </c>
      <c r="BM692" s="1820">
        <v>1</v>
      </c>
      <c r="BN692" s="452">
        <v>2014</v>
      </c>
    </row>
    <row r="693" spans="1:66">
      <c r="A693" s="228">
        <f t="shared" si="21"/>
        <v>1900</v>
      </c>
      <c r="B693" s="228">
        <f t="shared" si="22"/>
        <v>1</v>
      </c>
      <c r="O693" s="1078"/>
      <c r="BA693" s="1817" t="s">
        <v>280</v>
      </c>
      <c r="BB693" s="1818">
        <v>2016</v>
      </c>
      <c r="BC693" s="452" t="s">
        <v>32</v>
      </c>
      <c r="BE693" s="1819">
        <v>93504941.439999938</v>
      </c>
      <c r="BF693" s="1820">
        <v>0.12449006345077852</v>
      </c>
      <c r="BH693" s="1821" t="s">
        <v>4</v>
      </c>
      <c r="BI693" s="452" t="s">
        <v>318</v>
      </c>
      <c r="BJ693" s="452" t="s">
        <v>20</v>
      </c>
      <c r="BK693" s="452">
        <v>1</v>
      </c>
      <c r="BL693" s="1819">
        <v>12934183492</v>
      </c>
      <c r="BM693" s="1820">
        <v>0.61099999999999999</v>
      </c>
      <c r="BN693" s="452">
        <v>2013</v>
      </c>
    </row>
    <row r="694" spans="1:66">
      <c r="A694" s="228">
        <f t="shared" si="21"/>
        <v>1900</v>
      </c>
      <c r="B694" s="228">
        <f t="shared" si="22"/>
        <v>1</v>
      </c>
      <c r="O694" s="1078"/>
      <c r="BA694" s="1817" t="s">
        <v>280</v>
      </c>
      <c r="BB694" s="1818">
        <v>2016</v>
      </c>
      <c r="BC694" s="452" t="s">
        <v>249</v>
      </c>
      <c r="BE694" s="1819">
        <v>751103653.15999997</v>
      </c>
      <c r="BH694" s="1821" t="s">
        <v>4</v>
      </c>
      <c r="BI694" s="452" t="s">
        <v>318</v>
      </c>
      <c r="BJ694" s="452" t="s">
        <v>581</v>
      </c>
      <c r="BK694" s="452">
        <v>2</v>
      </c>
      <c r="BL694" s="1819">
        <v>2210936410</v>
      </c>
      <c r="BM694" s="1820">
        <v>0.104</v>
      </c>
      <c r="BN694" s="452">
        <v>2013</v>
      </c>
    </row>
    <row r="695" spans="1:66">
      <c r="A695" s="228">
        <f t="shared" si="21"/>
        <v>1900</v>
      </c>
      <c r="B695" s="228">
        <f t="shared" si="22"/>
        <v>1</v>
      </c>
      <c r="O695" s="1078"/>
      <c r="BA695" s="1817" t="s">
        <v>1</v>
      </c>
      <c r="BB695" s="1818">
        <v>2016</v>
      </c>
      <c r="BC695" s="452" t="s">
        <v>15</v>
      </c>
      <c r="BD695" s="452">
        <v>1</v>
      </c>
      <c r="BE695" s="1819">
        <v>8826362000</v>
      </c>
      <c r="BF695" s="1820">
        <v>0.49722621569246023</v>
      </c>
      <c r="BH695" s="1821" t="s">
        <v>4</v>
      </c>
      <c r="BI695" s="452" t="s">
        <v>318</v>
      </c>
      <c r="BJ695" s="452" t="s">
        <v>15</v>
      </c>
      <c r="BK695" s="452">
        <v>3</v>
      </c>
      <c r="BL695" s="1819">
        <v>1936328376</v>
      </c>
      <c r="BM695" s="1820">
        <v>9.0999999999999998E-2</v>
      </c>
      <c r="BN695" s="452">
        <v>2013</v>
      </c>
    </row>
    <row r="696" spans="1:66">
      <c r="A696" s="228">
        <f t="shared" si="21"/>
        <v>1900</v>
      </c>
      <c r="B696" s="228">
        <f t="shared" si="22"/>
        <v>1</v>
      </c>
      <c r="O696" s="1078"/>
      <c r="BA696" s="1817" t="s">
        <v>1</v>
      </c>
      <c r="BB696" s="1818">
        <v>2016</v>
      </c>
      <c r="BC696" s="452" t="s">
        <v>51</v>
      </c>
      <c r="BD696" s="452">
        <v>2</v>
      </c>
      <c r="BE696" s="1819">
        <v>6962954000</v>
      </c>
      <c r="BF696" s="1820">
        <v>0.39225258010726033</v>
      </c>
      <c r="BH696" s="1821" t="s">
        <v>4</v>
      </c>
      <c r="BI696" s="452" t="s">
        <v>318</v>
      </c>
      <c r="BJ696" s="452" t="s">
        <v>28</v>
      </c>
      <c r="BK696" s="452">
        <v>4</v>
      </c>
      <c r="BL696" s="1819">
        <v>1124351431</v>
      </c>
      <c r="BM696" s="1820">
        <v>5.2999999999999999E-2</v>
      </c>
      <c r="BN696" s="452">
        <v>2013</v>
      </c>
    </row>
    <row r="697" spans="1:66">
      <c r="A697" s="228">
        <f t="shared" si="21"/>
        <v>1900</v>
      </c>
      <c r="B697" s="228">
        <f t="shared" si="22"/>
        <v>1</v>
      </c>
      <c r="O697" s="1078"/>
      <c r="BA697" s="1817" t="s">
        <v>1</v>
      </c>
      <c r="BB697" s="1818">
        <v>2016</v>
      </c>
      <c r="BC697" s="452" t="s">
        <v>49</v>
      </c>
      <c r="BD697" s="452">
        <v>3</v>
      </c>
      <c r="BE697" s="1819">
        <v>677095000</v>
      </c>
      <c r="BF697" s="1820">
        <v>3.8143618459597101E-2</v>
      </c>
      <c r="BH697" s="1821" t="s">
        <v>4</v>
      </c>
      <c r="BI697" s="452" t="s">
        <v>318</v>
      </c>
      <c r="BJ697" s="452" t="s">
        <v>49</v>
      </c>
      <c r="BK697" s="452">
        <v>5</v>
      </c>
      <c r="BL697" s="1819">
        <v>1108091708</v>
      </c>
      <c r="BM697" s="1820">
        <v>5.1999999999999998E-2</v>
      </c>
      <c r="BN697" s="452">
        <v>2013</v>
      </c>
    </row>
    <row r="698" spans="1:66">
      <c r="A698" s="228">
        <f t="shared" si="21"/>
        <v>1900</v>
      </c>
      <c r="B698" s="228">
        <f t="shared" si="22"/>
        <v>1</v>
      </c>
      <c r="O698" s="1078"/>
      <c r="BA698" s="1817" t="s">
        <v>1</v>
      </c>
      <c r="BB698" s="1818">
        <v>2016</v>
      </c>
      <c r="BC698" s="452" t="s">
        <v>28</v>
      </c>
      <c r="BD698" s="452">
        <v>4</v>
      </c>
      <c r="BE698" s="1819">
        <v>413398000</v>
      </c>
      <c r="BF698" s="1820">
        <v>2.3288453738338818E-2</v>
      </c>
      <c r="BH698" s="1821" t="s">
        <v>4</v>
      </c>
      <c r="BI698" s="452" t="s">
        <v>318</v>
      </c>
      <c r="BJ698" s="452" t="s">
        <v>21</v>
      </c>
      <c r="BK698" s="452">
        <v>6</v>
      </c>
      <c r="BL698" s="1819">
        <v>654849377</v>
      </c>
      <c r="BM698" s="1820">
        <v>3.1E-2</v>
      </c>
      <c r="BN698" s="452">
        <v>2013</v>
      </c>
    </row>
    <row r="699" spans="1:66">
      <c r="A699" s="228">
        <f t="shared" si="21"/>
        <v>1900</v>
      </c>
      <c r="B699" s="228">
        <f t="shared" si="22"/>
        <v>1</v>
      </c>
      <c r="O699" s="1078"/>
      <c r="BA699" s="1817" t="s">
        <v>1</v>
      </c>
      <c r="BB699" s="1818">
        <v>2016</v>
      </c>
      <c r="BC699" s="452" t="s">
        <v>18</v>
      </c>
      <c r="BD699" s="452">
        <v>5</v>
      </c>
      <c r="BE699" s="1819">
        <v>292369000</v>
      </c>
      <c r="BF699" s="1820">
        <v>1.647037946730362E-2</v>
      </c>
      <c r="BH699" s="1821" t="s">
        <v>4</v>
      </c>
      <c r="BI699" s="452" t="s">
        <v>318</v>
      </c>
      <c r="BJ699" s="452" t="s">
        <v>73</v>
      </c>
      <c r="BK699" s="452">
        <v>7</v>
      </c>
      <c r="BL699" s="1819">
        <v>425405185</v>
      </c>
      <c r="BM699" s="1820">
        <v>0.02</v>
      </c>
      <c r="BN699" s="452">
        <v>2013</v>
      </c>
    </row>
    <row r="700" spans="1:66">
      <c r="A700" s="228">
        <f t="shared" si="21"/>
        <v>1900</v>
      </c>
      <c r="B700" s="228">
        <f t="shared" si="22"/>
        <v>1</v>
      </c>
      <c r="O700" s="1078"/>
      <c r="BA700" s="1817" t="s">
        <v>1</v>
      </c>
      <c r="BB700" s="1818">
        <v>2016</v>
      </c>
      <c r="BC700" s="452" t="s">
        <v>581</v>
      </c>
      <c r="BD700" s="452">
        <v>6</v>
      </c>
      <c r="BE700" s="1819">
        <v>216016000</v>
      </c>
      <c r="BF700" s="1820">
        <v>1.2169092793726622E-2</v>
      </c>
      <c r="BH700" s="1821" t="s">
        <v>4</v>
      </c>
      <c r="BI700" s="452" t="s">
        <v>318</v>
      </c>
      <c r="BJ700" s="452" t="s">
        <v>19</v>
      </c>
      <c r="BK700" s="452">
        <v>8</v>
      </c>
      <c r="BL700" s="1819">
        <v>307454638</v>
      </c>
      <c r="BM700" s="1820">
        <v>1.4999999999999999E-2</v>
      </c>
      <c r="BN700" s="452">
        <v>2013</v>
      </c>
    </row>
    <row r="701" spans="1:66">
      <c r="A701" s="228">
        <f t="shared" si="21"/>
        <v>1900</v>
      </c>
      <c r="B701" s="228">
        <f t="shared" si="22"/>
        <v>1</v>
      </c>
      <c r="O701" s="1078"/>
      <c r="BA701" s="1817" t="s">
        <v>1</v>
      </c>
      <c r="BB701" s="1818">
        <v>2016</v>
      </c>
      <c r="BC701" s="452" t="s">
        <v>431</v>
      </c>
      <c r="BD701" s="452">
        <v>7</v>
      </c>
      <c r="BE701" s="1819">
        <v>147318000</v>
      </c>
      <c r="BF701" s="1820">
        <v>8.299044571634594E-3</v>
      </c>
      <c r="BH701" s="1821" t="s">
        <v>4</v>
      </c>
      <c r="BI701" s="452" t="s">
        <v>318</v>
      </c>
      <c r="BJ701" s="452" t="s">
        <v>18</v>
      </c>
      <c r="BK701" s="452">
        <v>9</v>
      </c>
      <c r="BL701" s="1819">
        <v>182139294</v>
      </c>
      <c r="BM701" s="1820">
        <v>8.9999999999999993E-3</v>
      </c>
      <c r="BN701" s="452">
        <v>2013</v>
      </c>
    </row>
    <row r="702" spans="1:66">
      <c r="A702" s="228">
        <f t="shared" si="21"/>
        <v>1900</v>
      </c>
      <c r="B702" s="228">
        <f t="shared" si="22"/>
        <v>1</v>
      </c>
      <c r="O702" s="1078"/>
      <c r="BA702" s="1817" t="s">
        <v>1</v>
      </c>
      <c r="BB702" s="1818">
        <v>2016</v>
      </c>
      <c r="BC702" s="452" t="s">
        <v>55</v>
      </c>
      <c r="BD702" s="452">
        <v>8</v>
      </c>
      <c r="BE702" s="1819">
        <v>74805000</v>
      </c>
      <c r="BF702" s="1820">
        <v>4.2140813015458106E-3</v>
      </c>
      <c r="BH702" s="1821" t="s">
        <v>4</v>
      </c>
      <c r="BI702" s="452" t="s">
        <v>318</v>
      </c>
      <c r="BJ702" s="452" t="s">
        <v>583</v>
      </c>
      <c r="BK702" s="452">
        <v>10</v>
      </c>
      <c r="BL702" s="1819">
        <v>165872276</v>
      </c>
      <c r="BM702" s="1820">
        <v>8.0000000000000002E-3</v>
      </c>
      <c r="BN702" s="452">
        <v>2013</v>
      </c>
    </row>
    <row r="703" spans="1:66">
      <c r="A703" s="228">
        <f t="shared" si="21"/>
        <v>1900</v>
      </c>
      <c r="B703" s="228">
        <f t="shared" si="22"/>
        <v>1</v>
      </c>
      <c r="O703" s="1078"/>
      <c r="BA703" s="1817" t="s">
        <v>1</v>
      </c>
      <c r="BB703" s="1818">
        <v>2016</v>
      </c>
      <c r="BC703" s="452" t="s">
        <v>46</v>
      </c>
      <c r="BD703" s="452">
        <v>9</v>
      </c>
      <c r="BE703" s="1819">
        <v>73367000</v>
      </c>
      <c r="BF703" s="1820">
        <v>4.133072693677047E-3</v>
      </c>
      <c r="BH703" s="1821" t="s">
        <v>4</v>
      </c>
      <c r="BI703" s="452" t="s">
        <v>318</v>
      </c>
      <c r="BJ703" s="452" t="s">
        <v>32</v>
      </c>
      <c r="BL703" s="1819">
        <v>113248309</v>
      </c>
      <c r="BM703" s="1820">
        <v>5.0000000000000001E-3</v>
      </c>
      <c r="BN703" s="452">
        <v>2013</v>
      </c>
    </row>
    <row r="704" spans="1:66">
      <c r="A704" s="228">
        <f t="shared" si="21"/>
        <v>1900</v>
      </c>
      <c r="B704" s="228">
        <f t="shared" si="22"/>
        <v>1</v>
      </c>
      <c r="O704" s="1078"/>
      <c r="BA704" s="1817" t="s">
        <v>1</v>
      </c>
      <c r="BB704" s="1818">
        <v>2016</v>
      </c>
      <c r="BC704" s="452" t="s">
        <v>24</v>
      </c>
      <c r="BD704" s="452">
        <v>10</v>
      </c>
      <c r="BE704" s="1819">
        <v>25361000</v>
      </c>
      <c r="BF704" s="1820">
        <v>1.4286921447564109E-3</v>
      </c>
      <c r="BH704" s="1821" t="s">
        <v>4</v>
      </c>
      <c r="BI704" s="452" t="s">
        <v>318</v>
      </c>
      <c r="BJ704" s="452" t="s">
        <v>249</v>
      </c>
      <c r="BL704" s="1819">
        <v>21162860496</v>
      </c>
      <c r="BM704" s="1820">
        <v>1</v>
      </c>
      <c r="BN704" s="452">
        <v>2013</v>
      </c>
    </row>
    <row r="705" spans="1:66">
      <c r="A705" s="228">
        <f t="shared" si="21"/>
        <v>1900</v>
      </c>
      <c r="B705" s="228">
        <f t="shared" si="22"/>
        <v>1</v>
      </c>
      <c r="O705" s="1078"/>
      <c r="BA705" s="1817" t="s">
        <v>1</v>
      </c>
      <c r="BB705" s="1818">
        <v>2016</v>
      </c>
      <c r="BC705" s="452" t="s">
        <v>32</v>
      </c>
      <c r="BE705" s="1819">
        <v>42155000</v>
      </c>
      <c r="BF705" s="1820">
        <v>2.3747690296994006E-3</v>
      </c>
      <c r="BH705" s="1821" t="s">
        <v>4</v>
      </c>
      <c r="BI705" s="452" t="s">
        <v>317</v>
      </c>
      <c r="BJ705" s="452" t="s">
        <v>20</v>
      </c>
      <c r="BK705" s="452">
        <v>1</v>
      </c>
      <c r="BL705" s="1819">
        <v>11181272350</v>
      </c>
      <c r="BM705" s="1820">
        <v>0.55800000000000005</v>
      </c>
      <c r="BN705" s="452">
        <v>2012</v>
      </c>
    </row>
    <row r="706" spans="1:66">
      <c r="A706" s="228">
        <f t="shared" si="21"/>
        <v>1900</v>
      </c>
      <c r="B706" s="228">
        <f t="shared" si="22"/>
        <v>1</v>
      </c>
      <c r="O706" s="1078"/>
      <c r="BA706" s="1817" t="s">
        <v>1</v>
      </c>
      <c r="BB706" s="1818">
        <v>2016</v>
      </c>
      <c r="BC706" s="452" t="s">
        <v>249</v>
      </c>
      <c r="BE706" s="1819">
        <v>17751200000</v>
      </c>
      <c r="BH706" s="1821" t="s">
        <v>4</v>
      </c>
      <c r="BI706" s="452" t="s">
        <v>317</v>
      </c>
      <c r="BJ706" s="452" t="s">
        <v>15</v>
      </c>
      <c r="BK706" s="452">
        <v>2</v>
      </c>
      <c r="BL706" s="1819">
        <v>1936328376</v>
      </c>
      <c r="BM706" s="1820">
        <v>9.7000000000000003E-2</v>
      </c>
      <c r="BN706" s="452">
        <v>2012</v>
      </c>
    </row>
    <row r="707" spans="1:66">
      <c r="A707" s="228">
        <f t="shared" si="21"/>
        <v>1900</v>
      </c>
      <c r="B707" s="228">
        <f t="shared" si="22"/>
        <v>1</v>
      </c>
      <c r="O707" s="1078"/>
      <c r="BA707" s="1817" t="s">
        <v>342</v>
      </c>
      <c r="BB707" s="1818">
        <v>2016</v>
      </c>
      <c r="BE707" s="1819">
        <v>1571587536</v>
      </c>
      <c r="BH707" s="1821" t="s">
        <v>4</v>
      </c>
      <c r="BI707" s="452" t="s">
        <v>317</v>
      </c>
      <c r="BJ707" s="452" t="s">
        <v>581</v>
      </c>
      <c r="BK707" s="452">
        <v>3</v>
      </c>
      <c r="BL707" s="1819">
        <v>1925099567</v>
      </c>
      <c r="BM707" s="1820">
        <v>9.6000000000000002E-2</v>
      </c>
      <c r="BN707" s="452">
        <v>2012</v>
      </c>
    </row>
    <row r="708" spans="1:66">
      <c r="A708" s="228">
        <f t="shared" si="21"/>
        <v>1900</v>
      </c>
      <c r="B708" s="228">
        <f t="shared" si="22"/>
        <v>1</v>
      </c>
      <c r="O708" s="1078"/>
      <c r="BA708" s="1817" t="s">
        <v>342</v>
      </c>
      <c r="BB708" s="1818">
        <v>2015</v>
      </c>
      <c r="BE708" s="1819">
        <v>1677383069.8900001</v>
      </c>
      <c r="BH708" s="1821" t="s">
        <v>4</v>
      </c>
      <c r="BI708" s="452" t="s">
        <v>317</v>
      </c>
      <c r="BJ708" s="452" t="s">
        <v>49</v>
      </c>
      <c r="BK708" s="452">
        <v>4</v>
      </c>
      <c r="BL708" s="1819">
        <v>1895077906</v>
      </c>
      <c r="BM708" s="1820">
        <v>9.5000000000000001E-2</v>
      </c>
      <c r="BN708" s="452">
        <v>2012</v>
      </c>
    </row>
    <row r="709" spans="1:66">
      <c r="A709" s="228">
        <f t="shared" si="21"/>
        <v>1900</v>
      </c>
      <c r="B709" s="228">
        <f t="shared" si="22"/>
        <v>1</v>
      </c>
      <c r="O709" s="1078"/>
      <c r="BA709" s="1817" t="s">
        <v>342</v>
      </c>
      <c r="BB709" s="1818">
        <v>2014</v>
      </c>
      <c r="BE709" s="1819">
        <v>1394427032.1800001</v>
      </c>
      <c r="BH709" s="1821" t="s">
        <v>4</v>
      </c>
      <c r="BI709" s="452" t="s">
        <v>317</v>
      </c>
      <c r="BJ709" s="452" t="s">
        <v>28</v>
      </c>
      <c r="BK709" s="452">
        <v>5</v>
      </c>
      <c r="BL709" s="1819">
        <v>725008512</v>
      </c>
      <c r="BM709" s="1820">
        <v>3.5999999999999997E-2</v>
      </c>
      <c r="BN709" s="452">
        <v>2012</v>
      </c>
    </row>
    <row r="710" spans="1:66">
      <c r="A710" s="228">
        <f t="shared" si="21"/>
        <v>1900</v>
      </c>
      <c r="B710" s="228">
        <f t="shared" si="22"/>
        <v>1</v>
      </c>
      <c r="O710" s="1078"/>
      <c r="BA710" s="1817" t="s">
        <v>342</v>
      </c>
      <c r="BB710" s="1818">
        <v>2013</v>
      </c>
      <c r="BE710" s="1819">
        <v>1437108629.9100001</v>
      </c>
      <c r="BH710" s="1821" t="s">
        <v>4</v>
      </c>
      <c r="BI710" s="452" t="s">
        <v>317</v>
      </c>
      <c r="BJ710" s="452" t="s">
        <v>21</v>
      </c>
      <c r="BK710" s="452">
        <v>6</v>
      </c>
      <c r="BL710" s="1819">
        <v>692532916</v>
      </c>
      <c r="BM710" s="1820">
        <v>3.5000000000000003E-2</v>
      </c>
      <c r="BN710" s="452">
        <v>2012</v>
      </c>
    </row>
    <row r="711" spans="1:66">
      <c r="A711" s="228">
        <f t="shared" si="21"/>
        <v>1900</v>
      </c>
      <c r="B711" s="228">
        <f t="shared" si="22"/>
        <v>1</v>
      </c>
      <c r="O711" s="1078"/>
      <c r="BA711" s="1817" t="s">
        <v>342</v>
      </c>
      <c r="BB711" s="1818">
        <v>2012</v>
      </c>
      <c r="BE711" s="1819">
        <v>1538980691.24</v>
      </c>
      <c r="BH711" s="1821" t="s">
        <v>4</v>
      </c>
      <c r="BI711" s="452" t="s">
        <v>317</v>
      </c>
      <c r="BJ711" s="452" t="s">
        <v>73</v>
      </c>
      <c r="BK711" s="452">
        <v>7</v>
      </c>
      <c r="BL711" s="1819">
        <v>544784212</v>
      </c>
      <c r="BM711" s="1820">
        <v>2.7E-2</v>
      </c>
      <c r="BN711" s="452">
        <v>2012</v>
      </c>
    </row>
    <row r="712" spans="1:66">
      <c r="A712" s="228">
        <f t="shared" si="21"/>
        <v>1900</v>
      </c>
      <c r="B712" s="228">
        <f t="shared" si="22"/>
        <v>1</v>
      </c>
      <c r="O712" s="1078"/>
      <c r="BA712" s="1817" t="s">
        <v>342</v>
      </c>
      <c r="BB712" s="1818">
        <v>2011</v>
      </c>
      <c r="BE712" s="1819">
        <v>1426935860.8</v>
      </c>
      <c r="BH712" s="1821" t="s">
        <v>4</v>
      </c>
      <c r="BI712" s="452" t="s">
        <v>317</v>
      </c>
      <c r="BJ712" s="452" t="s">
        <v>583</v>
      </c>
      <c r="BK712" s="452">
        <v>8</v>
      </c>
      <c r="BL712" s="1819">
        <v>309798437</v>
      </c>
      <c r="BM712" s="1820">
        <v>1.4999999999999999E-2</v>
      </c>
      <c r="BN712" s="452">
        <v>2012</v>
      </c>
    </row>
    <row r="713" spans="1:66">
      <c r="A713" s="228">
        <f t="shared" si="21"/>
        <v>1900</v>
      </c>
      <c r="B713" s="228">
        <f t="shared" si="22"/>
        <v>1</v>
      </c>
      <c r="O713" s="1078"/>
      <c r="BA713" s="1817" t="s">
        <v>342</v>
      </c>
      <c r="BB713" s="1818">
        <v>2010</v>
      </c>
      <c r="BE713" s="1819">
        <v>1352345032.6700001</v>
      </c>
      <c r="BH713" s="1821" t="s">
        <v>4</v>
      </c>
      <c r="BI713" s="452" t="s">
        <v>317</v>
      </c>
      <c r="BJ713" s="452" t="s">
        <v>19</v>
      </c>
      <c r="BK713" s="452">
        <v>9</v>
      </c>
      <c r="BL713" s="1819">
        <v>241839267</v>
      </c>
      <c r="BM713" s="1820">
        <v>1.2E-2</v>
      </c>
      <c r="BN713" s="452">
        <v>2012</v>
      </c>
    </row>
    <row r="714" spans="1:66">
      <c r="A714" s="228">
        <f t="shared" ref="A714:A777" si="23">YEAR(C714)</f>
        <v>1900</v>
      </c>
      <c r="B714" s="228">
        <f t="shared" ref="B714:B777" si="24">IF(OR(MONTH(C714)=1,MONTH(C714)=2,MONTH(C714)=3),1,IF(OR(MONTH(C714)=4,MONTH(C714)=5,MONTH(C714)=6),2,IF(OR(MONTH(C714)=7,MONTH(C714)=8,MONTH(C714)=9),3,4)))</f>
        <v>1</v>
      </c>
      <c r="O714" s="1078"/>
      <c r="BA714" s="1817" t="s">
        <v>342</v>
      </c>
      <c r="BB714" s="1818">
        <v>2009</v>
      </c>
      <c r="BE714" s="1819">
        <v>694236040.76999998</v>
      </c>
      <c r="BH714" s="1821" t="s">
        <v>4</v>
      </c>
      <c r="BI714" s="452" t="s">
        <v>317</v>
      </c>
      <c r="BJ714" s="452" t="s">
        <v>431</v>
      </c>
      <c r="BK714" s="452">
        <v>10</v>
      </c>
      <c r="BL714" s="1819">
        <v>191997945</v>
      </c>
      <c r="BM714" s="1820">
        <v>0.01</v>
      </c>
      <c r="BN714" s="452">
        <v>2012</v>
      </c>
    </row>
    <row r="715" spans="1:66">
      <c r="A715" s="228">
        <f t="shared" si="23"/>
        <v>1900</v>
      </c>
      <c r="B715" s="228">
        <f t="shared" si="24"/>
        <v>1</v>
      </c>
      <c r="BA715" s="1817" t="s">
        <v>342</v>
      </c>
      <c r="BB715" s="1818">
        <v>2008</v>
      </c>
      <c r="BE715" s="1819">
        <v>491296568.06999999</v>
      </c>
      <c r="BH715" s="1821" t="s">
        <v>4</v>
      </c>
      <c r="BI715" s="452" t="s">
        <v>317</v>
      </c>
      <c r="BJ715" s="452" t="s">
        <v>32</v>
      </c>
      <c r="BL715" s="1819">
        <v>391965781</v>
      </c>
      <c r="BM715" s="1820">
        <v>0.02</v>
      </c>
      <c r="BN715" s="452">
        <v>2012</v>
      </c>
    </row>
    <row r="716" spans="1:66">
      <c r="A716" s="228">
        <f t="shared" si="23"/>
        <v>1900</v>
      </c>
      <c r="B716" s="228">
        <f t="shared" si="24"/>
        <v>1</v>
      </c>
      <c r="BA716" s="1817" t="s">
        <v>342</v>
      </c>
      <c r="BB716" s="1818">
        <v>2007</v>
      </c>
      <c r="BE716" s="1819">
        <v>437912431</v>
      </c>
      <c r="BH716" s="1821" t="s">
        <v>4</v>
      </c>
      <c r="BI716" s="452" t="s">
        <v>317</v>
      </c>
      <c r="BJ716" s="452" t="s">
        <v>249</v>
      </c>
      <c r="BL716" s="1819">
        <v>20035705269</v>
      </c>
      <c r="BM716" s="1820">
        <v>1</v>
      </c>
      <c r="BN716" s="452">
        <v>2012</v>
      </c>
    </row>
    <row r="717" spans="1:66">
      <c r="A717" s="228">
        <f t="shared" si="23"/>
        <v>1900</v>
      </c>
      <c r="B717" s="228">
        <f t="shared" si="24"/>
        <v>1</v>
      </c>
      <c r="BA717" s="1817" t="s">
        <v>228</v>
      </c>
      <c r="BB717" s="1818">
        <v>2016</v>
      </c>
      <c r="BC717" s="452" t="s">
        <v>581</v>
      </c>
      <c r="BD717" s="452">
        <v>1</v>
      </c>
      <c r="BE717" s="1819">
        <v>866456650</v>
      </c>
      <c r="BF717" s="1820">
        <v>0.27100000000000002</v>
      </c>
      <c r="BH717" s="1821" t="s">
        <v>4</v>
      </c>
      <c r="BI717" s="452" t="s">
        <v>316</v>
      </c>
      <c r="BJ717" s="452" t="s">
        <v>20</v>
      </c>
      <c r="BK717" s="452">
        <v>1</v>
      </c>
      <c r="BL717" s="1819">
        <v>10278079882</v>
      </c>
      <c r="BM717" s="1820">
        <v>0.48699999999999999</v>
      </c>
      <c r="BN717" s="452">
        <v>2011</v>
      </c>
    </row>
    <row r="718" spans="1:66">
      <c r="A718" s="228">
        <f t="shared" si="23"/>
        <v>1900</v>
      </c>
      <c r="B718" s="228">
        <f t="shared" si="24"/>
        <v>1</v>
      </c>
      <c r="BA718" s="1817" t="s">
        <v>228</v>
      </c>
      <c r="BB718" s="1818">
        <v>2016</v>
      </c>
      <c r="BC718" s="452" t="s">
        <v>15</v>
      </c>
      <c r="BD718" s="452">
        <v>2</v>
      </c>
      <c r="BE718" s="1819">
        <v>764196974</v>
      </c>
      <c r="BF718" s="1820">
        <v>0.23899999999999999</v>
      </c>
      <c r="BH718" s="1821" t="s">
        <v>4</v>
      </c>
      <c r="BI718" s="452" t="s">
        <v>316</v>
      </c>
      <c r="BJ718" s="452" t="s">
        <v>15</v>
      </c>
      <c r="BK718" s="452">
        <v>2</v>
      </c>
      <c r="BL718" s="1819">
        <v>3572345774</v>
      </c>
      <c r="BM718" s="1820">
        <v>0.16900000000000001</v>
      </c>
      <c r="BN718" s="452">
        <v>2011</v>
      </c>
    </row>
    <row r="719" spans="1:66">
      <c r="A719" s="228">
        <f t="shared" si="23"/>
        <v>1900</v>
      </c>
      <c r="B719" s="228">
        <f t="shared" si="24"/>
        <v>1</v>
      </c>
      <c r="BA719" s="1817" t="s">
        <v>228</v>
      </c>
      <c r="BB719" s="1818">
        <v>2016</v>
      </c>
      <c r="BC719" s="452" t="s">
        <v>53</v>
      </c>
      <c r="BD719" s="452">
        <v>3</v>
      </c>
      <c r="BE719" s="1819">
        <v>597028917</v>
      </c>
      <c r="BF719" s="1820">
        <v>0.187</v>
      </c>
      <c r="BH719" s="1821" t="s">
        <v>4</v>
      </c>
      <c r="BI719" s="452" t="s">
        <v>316</v>
      </c>
      <c r="BJ719" s="452" t="s">
        <v>581</v>
      </c>
      <c r="BK719" s="452">
        <v>3</v>
      </c>
      <c r="BL719" s="1819">
        <v>1939758548</v>
      </c>
      <c r="BM719" s="1820">
        <v>9.1999999999999998E-2</v>
      </c>
      <c r="BN719" s="452">
        <v>2011</v>
      </c>
    </row>
    <row r="720" spans="1:66">
      <c r="A720" s="228">
        <f t="shared" si="23"/>
        <v>1900</v>
      </c>
      <c r="B720" s="228">
        <f t="shared" si="24"/>
        <v>1</v>
      </c>
      <c r="BA720" s="1817" t="s">
        <v>228</v>
      </c>
      <c r="BB720" s="1818">
        <v>2016</v>
      </c>
      <c r="BC720" s="452" t="s">
        <v>20</v>
      </c>
      <c r="BD720" s="452">
        <v>4</v>
      </c>
      <c r="BE720" s="1819">
        <v>381058259</v>
      </c>
      <c r="BF720" s="1820">
        <v>0.11899999999999999</v>
      </c>
      <c r="BH720" s="1821" t="s">
        <v>4</v>
      </c>
      <c r="BI720" s="452" t="s">
        <v>316</v>
      </c>
      <c r="BJ720" s="452" t="s">
        <v>28</v>
      </c>
      <c r="BK720" s="452">
        <v>4</v>
      </c>
      <c r="BL720" s="1819">
        <v>1204001673</v>
      </c>
      <c r="BM720" s="1820">
        <v>5.7000000000000002E-2</v>
      </c>
      <c r="BN720" s="452">
        <v>2011</v>
      </c>
    </row>
    <row r="721" spans="1:66">
      <c r="A721" s="228">
        <f t="shared" si="23"/>
        <v>1900</v>
      </c>
      <c r="B721" s="228">
        <f t="shared" si="24"/>
        <v>1</v>
      </c>
      <c r="BA721" s="1817" t="s">
        <v>228</v>
      </c>
      <c r="BB721" s="1818">
        <v>2016</v>
      </c>
      <c r="BC721" s="452" t="s">
        <v>46</v>
      </c>
      <c r="BD721" s="452">
        <v>5</v>
      </c>
      <c r="BE721" s="1819">
        <v>300388036</v>
      </c>
      <c r="BF721" s="1820">
        <v>9.4E-2</v>
      </c>
      <c r="BH721" s="1821" t="s">
        <v>4</v>
      </c>
      <c r="BI721" s="452" t="s">
        <v>316</v>
      </c>
      <c r="BJ721" s="452" t="s">
        <v>49</v>
      </c>
      <c r="BK721" s="452">
        <v>5</v>
      </c>
      <c r="BL721" s="1819">
        <v>989510479.70000005</v>
      </c>
      <c r="BM721" s="1820">
        <v>4.7E-2</v>
      </c>
      <c r="BN721" s="452">
        <v>2011</v>
      </c>
    </row>
    <row r="722" spans="1:66">
      <c r="A722" s="228">
        <f t="shared" si="23"/>
        <v>1900</v>
      </c>
      <c r="B722" s="228">
        <f t="shared" si="24"/>
        <v>1</v>
      </c>
      <c r="BA722" s="1817" t="s">
        <v>228</v>
      </c>
      <c r="BB722" s="1818">
        <v>2016</v>
      </c>
      <c r="BC722" s="452" t="s">
        <v>18</v>
      </c>
      <c r="BD722" s="452">
        <v>6</v>
      </c>
      <c r="BE722" s="1819">
        <v>197316612</v>
      </c>
      <c r="BF722" s="1820">
        <v>6.2E-2</v>
      </c>
      <c r="BH722" s="1821" t="s">
        <v>4</v>
      </c>
      <c r="BI722" s="452" t="s">
        <v>316</v>
      </c>
      <c r="BJ722" s="452" t="s">
        <v>18</v>
      </c>
      <c r="BK722" s="452">
        <v>6</v>
      </c>
      <c r="BL722" s="1819">
        <v>968737223.60000002</v>
      </c>
      <c r="BM722" s="1820">
        <v>4.5999999999999999E-2</v>
      </c>
      <c r="BN722" s="452">
        <v>2011</v>
      </c>
    </row>
    <row r="723" spans="1:66">
      <c r="A723" s="228">
        <f t="shared" si="23"/>
        <v>1900</v>
      </c>
      <c r="B723" s="228">
        <f t="shared" si="24"/>
        <v>1</v>
      </c>
      <c r="BA723" s="1817" t="s">
        <v>228</v>
      </c>
      <c r="BB723" s="1818">
        <v>2016</v>
      </c>
      <c r="BC723" s="452" t="s">
        <v>42</v>
      </c>
      <c r="BD723" s="452">
        <v>7</v>
      </c>
      <c r="BE723" s="1819">
        <v>34609876</v>
      </c>
      <c r="BF723" s="1820">
        <v>1.0999999999999999E-2</v>
      </c>
      <c r="BH723" s="1821" t="s">
        <v>4</v>
      </c>
      <c r="BI723" s="452" t="s">
        <v>316</v>
      </c>
      <c r="BJ723" s="452" t="s">
        <v>21</v>
      </c>
      <c r="BK723" s="452">
        <v>7</v>
      </c>
      <c r="BL723" s="1819">
        <v>528099909.80000001</v>
      </c>
      <c r="BM723" s="1820">
        <v>2.5000000000000001E-2</v>
      </c>
      <c r="BN723" s="452">
        <v>2011</v>
      </c>
    </row>
    <row r="724" spans="1:66">
      <c r="A724" s="228">
        <f t="shared" si="23"/>
        <v>1900</v>
      </c>
      <c r="B724" s="228">
        <f t="shared" si="24"/>
        <v>1</v>
      </c>
      <c r="BA724" s="1817" t="s">
        <v>228</v>
      </c>
      <c r="BB724" s="1818">
        <v>2016</v>
      </c>
      <c r="BC724" s="452" t="s">
        <v>583</v>
      </c>
      <c r="BD724" s="452">
        <v>8</v>
      </c>
      <c r="BE724" s="1819">
        <v>29200956</v>
      </c>
      <c r="BF724" s="1820">
        <v>8.9999999999999993E-3</v>
      </c>
      <c r="BH724" s="1821" t="s">
        <v>4</v>
      </c>
      <c r="BI724" s="452" t="s">
        <v>316</v>
      </c>
      <c r="BJ724" s="452" t="s">
        <v>583</v>
      </c>
      <c r="BK724" s="452">
        <v>8</v>
      </c>
      <c r="BL724" s="1819">
        <v>392696843.60000002</v>
      </c>
      <c r="BM724" s="1820">
        <v>1.9E-2</v>
      </c>
      <c r="BN724" s="452">
        <v>2011</v>
      </c>
    </row>
    <row r="725" spans="1:66">
      <c r="A725" s="228">
        <f t="shared" si="23"/>
        <v>1900</v>
      </c>
      <c r="B725" s="228">
        <f t="shared" si="24"/>
        <v>1</v>
      </c>
      <c r="BA725" s="1817" t="s">
        <v>228</v>
      </c>
      <c r="BB725" s="1818">
        <v>2016</v>
      </c>
      <c r="BC725" s="452" t="s">
        <v>45</v>
      </c>
      <c r="BD725" s="452">
        <v>9</v>
      </c>
      <c r="BE725" s="1819">
        <v>26896181</v>
      </c>
      <c r="BF725" s="1820">
        <v>8.0000000000000002E-3</v>
      </c>
      <c r="BH725" s="1821" t="s">
        <v>4</v>
      </c>
      <c r="BI725" s="452" t="s">
        <v>316</v>
      </c>
      <c r="BJ725" s="452" t="s">
        <v>73</v>
      </c>
      <c r="BK725" s="452">
        <v>9</v>
      </c>
      <c r="BL725" s="1819">
        <v>362910453.19999999</v>
      </c>
      <c r="BM725" s="1820">
        <v>1.7000000000000001E-2</v>
      </c>
      <c r="BN725" s="452">
        <v>2011</v>
      </c>
    </row>
    <row r="726" spans="1:66">
      <c r="A726" s="228">
        <f t="shared" si="23"/>
        <v>1900</v>
      </c>
      <c r="B726" s="228">
        <f t="shared" si="24"/>
        <v>1</v>
      </c>
      <c r="BA726" s="1817" t="s">
        <v>228</v>
      </c>
      <c r="BB726" s="1818">
        <v>2016</v>
      </c>
      <c r="BC726" s="452" t="s">
        <v>21</v>
      </c>
      <c r="BD726" s="452">
        <v>10</v>
      </c>
      <c r="BE726" s="1819">
        <v>3402178</v>
      </c>
      <c r="BF726" s="1820">
        <v>1E-3</v>
      </c>
      <c r="BH726" s="1821" t="s">
        <v>4</v>
      </c>
      <c r="BI726" s="452" t="s">
        <v>316</v>
      </c>
      <c r="BJ726" s="452" t="s">
        <v>19</v>
      </c>
      <c r="BK726" s="452">
        <v>10</v>
      </c>
      <c r="BL726" s="1819">
        <v>307686624.39999998</v>
      </c>
      <c r="BM726" s="1820">
        <v>1.4999999999999999E-2</v>
      </c>
      <c r="BN726" s="452">
        <v>2011</v>
      </c>
    </row>
    <row r="727" spans="1:66">
      <c r="A727" s="228">
        <f t="shared" si="23"/>
        <v>1900</v>
      </c>
      <c r="B727" s="228">
        <f t="shared" si="24"/>
        <v>1</v>
      </c>
      <c r="BA727" s="1817" t="s">
        <v>228</v>
      </c>
      <c r="BB727" s="1818">
        <v>2016</v>
      </c>
      <c r="BC727" s="452" t="s">
        <v>32</v>
      </c>
      <c r="BE727" s="1819">
        <v>0</v>
      </c>
      <c r="BF727" s="1820">
        <v>0</v>
      </c>
      <c r="BH727" s="1821" t="s">
        <v>4</v>
      </c>
      <c r="BI727" s="452" t="s">
        <v>316</v>
      </c>
      <c r="BJ727" s="452" t="s">
        <v>32</v>
      </c>
      <c r="BL727" s="1819">
        <v>540163619.20000076</v>
      </c>
      <c r="BN727" s="452">
        <v>2011</v>
      </c>
    </row>
    <row r="728" spans="1:66">
      <c r="A728" s="228">
        <f t="shared" si="23"/>
        <v>1900</v>
      </c>
      <c r="B728" s="228">
        <f t="shared" si="24"/>
        <v>1</v>
      </c>
      <c r="BA728" s="1817" t="s">
        <v>228</v>
      </c>
      <c r="BB728" s="1818">
        <v>2016</v>
      </c>
      <c r="BC728" s="452" t="s">
        <v>70</v>
      </c>
      <c r="BE728" s="1819">
        <v>3200554639</v>
      </c>
      <c r="BH728" s="1821" t="s">
        <v>4</v>
      </c>
      <c r="BI728" s="452" t="s">
        <v>316</v>
      </c>
      <c r="BJ728" s="452" t="s">
        <v>249</v>
      </c>
      <c r="BL728" s="1819">
        <v>21083991030.5</v>
      </c>
      <c r="BN728" s="452">
        <v>2011</v>
      </c>
    </row>
    <row r="729" spans="1:66">
      <c r="A729" s="228">
        <f t="shared" si="23"/>
        <v>1900</v>
      </c>
      <c r="B729" s="228">
        <f t="shared" si="24"/>
        <v>1</v>
      </c>
      <c r="BA729" s="1817" t="s">
        <v>228</v>
      </c>
      <c r="BB729" s="1818">
        <v>2015</v>
      </c>
      <c r="BC729" s="452" t="s">
        <v>15</v>
      </c>
      <c r="BD729" s="452">
        <v>1</v>
      </c>
      <c r="BE729" s="1819">
        <v>761233963</v>
      </c>
      <c r="BF729" s="1820">
        <v>0.26900000000000002</v>
      </c>
      <c r="BH729" s="1821" t="s">
        <v>4</v>
      </c>
      <c r="BI729" s="452" t="s">
        <v>315</v>
      </c>
      <c r="BJ729" s="452" t="s">
        <v>20</v>
      </c>
      <c r="BK729" s="452">
        <v>1</v>
      </c>
      <c r="BL729" s="1819">
        <v>7876986740.7000008</v>
      </c>
      <c r="BM729" s="1820">
        <v>0.42320556894639833</v>
      </c>
      <c r="BN729" s="452">
        <v>2010</v>
      </c>
    </row>
    <row r="730" spans="1:66">
      <c r="A730" s="228">
        <f t="shared" si="23"/>
        <v>1900</v>
      </c>
      <c r="B730" s="228">
        <f t="shared" si="24"/>
        <v>1</v>
      </c>
      <c r="BA730" s="1817" t="s">
        <v>228</v>
      </c>
      <c r="BB730" s="1818">
        <v>2015</v>
      </c>
      <c r="BC730" s="452" t="s">
        <v>581</v>
      </c>
      <c r="BD730" s="452">
        <v>2</v>
      </c>
      <c r="BE730" s="1819">
        <v>682922009</v>
      </c>
      <c r="BF730" s="1820">
        <v>0.24199999999999999</v>
      </c>
      <c r="BH730" s="1821" t="s">
        <v>4</v>
      </c>
      <c r="BI730" s="452" t="s">
        <v>315</v>
      </c>
      <c r="BJ730" s="452" t="s">
        <v>15</v>
      </c>
      <c r="BK730" s="452">
        <v>2</v>
      </c>
      <c r="BL730" s="1819">
        <v>2795098090.7600002</v>
      </c>
      <c r="BM730" s="1820">
        <v>0.15017177465198542</v>
      </c>
      <c r="BN730" s="452">
        <v>2010</v>
      </c>
    </row>
    <row r="731" spans="1:66">
      <c r="A731" s="228">
        <f t="shared" si="23"/>
        <v>1900</v>
      </c>
      <c r="B731" s="228">
        <f t="shared" si="24"/>
        <v>1</v>
      </c>
      <c r="BA731" s="1817" t="s">
        <v>228</v>
      </c>
      <c r="BB731" s="1818">
        <v>2015</v>
      </c>
      <c r="BC731" s="452" t="s">
        <v>20</v>
      </c>
      <c r="BD731" s="452">
        <v>3</v>
      </c>
      <c r="BE731" s="1819">
        <v>464918292</v>
      </c>
      <c r="BF731" s="1820">
        <v>0.16500000000000001</v>
      </c>
      <c r="BH731" s="1821" t="s">
        <v>4</v>
      </c>
      <c r="BI731" s="452" t="s">
        <v>315</v>
      </c>
      <c r="BJ731" s="452" t="s">
        <v>581</v>
      </c>
      <c r="BK731" s="452">
        <v>3</v>
      </c>
      <c r="BL731" s="1819">
        <v>2461601685.7299995</v>
      </c>
      <c r="BM731" s="1820">
        <v>0.13225406823983046</v>
      </c>
      <c r="BN731" s="452">
        <v>2010</v>
      </c>
    </row>
    <row r="732" spans="1:66">
      <c r="A732" s="228">
        <f t="shared" si="23"/>
        <v>1900</v>
      </c>
      <c r="B732" s="228">
        <f t="shared" si="24"/>
        <v>1</v>
      </c>
      <c r="BA732" s="1817" t="s">
        <v>228</v>
      </c>
      <c r="BB732" s="1818">
        <v>2015</v>
      </c>
      <c r="BC732" s="452" t="s">
        <v>53</v>
      </c>
      <c r="BD732" s="452">
        <v>4</v>
      </c>
      <c r="BE732" s="1819">
        <v>369239008</v>
      </c>
      <c r="BF732" s="1820">
        <v>0.13100000000000001</v>
      </c>
      <c r="BH732" s="1821" t="s">
        <v>4</v>
      </c>
      <c r="BI732" s="452" t="s">
        <v>315</v>
      </c>
      <c r="BJ732" s="452" t="s">
        <v>28</v>
      </c>
      <c r="BK732" s="452">
        <v>4</v>
      </c>
      <c r="BL732" s="1819">
        <v>1594005741.51</v>
      </c>
      <c r="BM732" s="1820">
        <v>8.5640883874284188E-2</v>
      </c>
      <c r="BN732" s="452">
        <v>2010</v>
      </c>
    </row>
    <row r="733" spans="1:66">
      <c r="A733" s="228">
        <f t="shared" si="23"/>
        <v>1900</v>
      </c>
      <c r="B733" s="228">
        <f t="shared" si="24"/>
        <v>1</v>
      </c>
      <c r="BA733" s="1817" t="s">
        <v>228</v>
      </c>
      <c r="BB733" s="1818">
        <v>2015</v>
      </c>
      <c r="BC733" s="452" t="s">
        <v>46</v>
      </c>
      <c r="BD733" s="452">
        <v>5</v>
      </c>
      <c r="BE733" s="1819">
        <v>253135438</v>
      </c>
      <c r="BF733" s="1820">
        <v>0.09</v>
      </c>
      <c r="BH733" s="1821" t="s">
        <v>4</v>
      </c>
      <c r="BI733" s="452" t="s">
        <v>315</v>
      </c>
      <c r="BJ733" s="452" t="s">
        <v>49</v>
      </c>
      <c r="BK733" s="452">
        <v>5</v>
      </c>
      <c r="BL733" s="1819">
        <v>1164623296.97</v>
      </c>
      <c r="BM733" s="1820">
        <v>6.2571524013841223E-2</v>
      </c>
      <c r="BN733" s="452">
        <v>2010</v>
      </c>
    </row>
    <row r="734" spans="1:66">
      <c r="A734" s="228">
        <f t="shared" si="23"/>
        <v>1900</v>
      </c>
      <c r="B734" s="228">
        <f t="shared" si="24"/>
        <v>1</v>
      </c>
      <c r="BA734" s="1817" t="s">
        <v>228</v>
      </c>
      <c r="BB734" s="1818">
        <v>2015</v>
      </c>
      <c r="BC734" s="452" t="s">
        <v>18</v>
      </c>
      <c r="BD734" s="452">
        <v>6</v>
      </c>
      <c r="BE734" s="1819">
        <v>156089315</v>
      </c>
      <c r="BF734" s="1820">
        <v>5.5E-2</v>
      </c>
      <c r="BH734" s="1821" t="s">
        <v>4</v>
      </c>
      <c r="BI734" s="452" t="s">
        <v>315</v>
      </c>
      <c r="BJ734" s="452" t="s">
        <v>18</v>
      </c>
      <c r="BK734" s="452">
        <v>6</v>
      </c>
      <c r="BL734" s="1819">
        <v>901731950.97000003</v>
      </c>
      <c r="BM734" s="1820">
        <v>4.8447203976566745E-2</v>
      </c>
      <c r="BN734" s="452">
        <v>2010</v>
      </c>
    </row>
    <row r="735" spans="1:66">
      <c r="A735" s="228">
        <f t="shared" si="23"/>
        <v>1900</v>
      </c>
      <c r="B735" s="228">
        <f t="shared" si="24"/>
        <v>1</v>
      </c>
      <c r="BA735" s="1817" t="s">
        <v>228</v>
      </c>
      <c r="BB735" s="1818">
        <v>2015</v>
      </c>
      <c r="BC735" s="452" t="s">
        <v>583</v>
      </c>
      <c r="BD735" s="452">
        <v>7</v>
      </c>
      <c r="BE735" s="1819">
        <v>57402316</v>
      </c>
      <c r="BF735" s="1820">
        <v>0.02</v>
      </c>
      <c r="BH735" s="1821" t="s">
        <v>4</v>
      </c>
      <c r="BI735" s="452" t="s">
        <v>315</v>
      </c>
      <c r="BJ735" s="452" t="s">
        <v>21</v>
      </c>
      <c r="BK735" s="452">
        <v>7</v>
      </c>
      <c r="BL735" s="1819">
        <v>532895170.69</v>
      </c>
      <c r="BM735" s="1820">
        <v>2.8630771045402056E-2</v>
      </c>
      <c r="BN735" s="452">
        <v>2010</v>
      </c>
    </row>
    <row r="736" spans="1:66">
      <c r="A736" s="228">
        <f t="shared" si="23"/>
        <v>1900</v>
      </c>
      <c r="B736" s="228">
        <f t="shared" si="24"/>
        <v>1</v>
      </c>
      <c r="BA736" s="1817" t="s">
        <v>228</v>
      </c>
      <c r="BB736" s="1818">
        <v>2015</v>
      </c>
      <c r="BC736" s="452" t="s">
        <v>42</v>
      </c>
      <c r="BD736" s="452">
        <v>8</v>
      </c>
      <c r="BE736" s="1819">
        <v>55730468</v>
      </c>
      <c r="BF736" s="1820">
        <v>0.02</v>
      </c>
      <c r="BH736" s="1821" t="s">
        <v>4</v>
      </c>
      <c r="BI736" s="452" t="s">
        <v>315</v>
      </c>
      <c r="BJ736" s="452" t="s">
        <v>583</v>
      </c>
      <c r="BK736" s="452">
        <v>8</v>
      </c>
      <c r="BL736" s="1819">
        <v>479497291.08999997</v>
      </c>
      <c r="BM736" s="1820">
        <v>2.5761871965010681E-2</v>
      </c>
      <c r="BN736" s="452">
        <v>2010</v>
      </c>
    </row>
    <row r="737" spans="1:66">
      <c r="A737" s="228">
        <f t="shared" si="23"/>
        <v>1900</v>
      </c>
      <c r="B737" s="228">
        <f t="shared" si="24"/>
        <v>1</v>
      </c>
      <c r="BA737" s="1817" t="s">
        <v>228</v>
      </c>
      <c r="BB737" s="1818">
        <v>2015</v>
      </c>
      <c r="BC737" s="452" t="s">
        <v>28</v>
      </c>
      <c r="BD737" s="452">
        <v>9</v>
      </c>
      <c r="BE737" s="1819">
        <v>17560885</v>
      </c>
      <c r="BF737" s="1820">
        <v>6.0000000000000001E-3</v>
      </c>
      <c r="BH737" s="1821" t="s">
        <v>4</v>
      </c>
      <c r="BI737" s="452" t="s">
        <v>315</v>
      </c>
      <c r="BJ737" s="452" t="s">
        <v>73</v>
      </c>
      <c r="BK737" s="452">
        <v>9</v>
      </c>
      <c r="BL737" s="1819">
        <v>372208692.46000004</v>
      </c>
      <c r="BM737" s="1820">
        <v>1.9997595101363719E-2</v>
      </c>
      <c r="BN737" s="452">
        <v>2010</v>
      </c>
    </row>
    <row r="738" spans="1:66">
      <c r="A738" s="228">
        <f t="shared" si="23"/>
        <v>1900</v>
      </c>
      <c r="B738" s="228">
        <f t="shared" si="24"/>
        <v>1</v>
      </c>
      <c r="BA738" s="1817" t="s">
        <v>228</v>
      </c>
      <c r="BB738" s="1818">
        <v>2015</v>
      </c>
      <c r="BC738" s="452" t="s">
        <v>27</v>
      </c>
      <c r="BD738" s="452">
        <v>10</v>
      </c>
      <c r="BE738" s="1819">
        <v>2957293</v>
      </c>
      <c r="BF738" s="1820">
        <v>1E-3</v>
      </c>
      <c r="BH738" s="1821" t="s">
        <v>4</v>
      </c>
      <c r="BI738" s="452" t="s">
        <v>315</v>
      </c>
      <c r="BJ738" s="452" t="s">
        <v>19</v>
      </c>
      <c r="BK738" s="452">
        <v>10</v>
      </c>
      <c r="BL738" s="1819">
        <v>178928500.53000003</v>
      </c>
      <c r="BM738" s="1820">
        <v>9.6132620709217173E-3</v>
      </c>
      <c r="BN738" s="452">
        <v>2010</v>
      </c>
    </row>
    <row r="739" spans="1:66">
      <c r="A739" s="228">
        <f t="shared" si="23"/>
        <v>1900</v>
      </c>
      <c r="B739" s="228">
        <f t="shared" si="24"/>
        <v>1</v>
      </c>
      <c r="BA739" s="1817" t="s">
        <v>228</v>
      </c>
      <c r="BB739" s="1818">
        <v>2015</v>
      </c>
      <c r="BC739" s="452" t="s">
        <v>32</v>
      </c>
      <c r="BE739" s="1819">
        <v>3718762</v>
      </c>
      <c r="BF739" s="1820">
        <v>1E-3</v>
      </c>
      <c r="BH739" s="1821" t="s">
        <v>4</v>
      </c>
      <c r="BI739" s="452" t="s">
        <v>315</v>
      </c>
      <c r="BJ739" s="452" t="s">
        <v>32</v>
      </c>
      <c r="BL739" s="1819">
        <v>255095541.15000153</v>
      </c>
      <c r="BM739" s="1820">
        <v>1.3705476114395734E-2</v>
      </c>
      <c r="BN739" s="452">
        <v>2010</v>
      </c>
    </row>
    <row r="740" spans="1:66">
      <c r="A740" s="228">
        <f t="shared" si="23"/>
        <v>1900</v>
      </c>
      <c r="B740" s="228">
        <f t="shared" si="24"/>
        <v>1</v>
      </c>
      <c r="BA740" s="1817" t="s">
        <v>228</v>
      </c>
      <c r="BB740" s="1818">
        <v>2015</v>
      </c>
      <c r="BC740" s="452" t="s">
        <v>249</v>
      </c>
      <c r="BE740" s="1819">
        <v>2824907750</v>
      </c>
      <c r="BH740" s="1821" t="s">
        <v>4</v>
      </c>
      <c r="BI740" s="452" t="s">
        <v>315</v>
      </c>
      <c r="BJ740" s="452" t="s">
        <v>249</v>
      </c>
      <c r="BL740" s="1819">
        <v>18612672702.559998</v>
      </c>
      <c r="BM740" s="1820">
        <v>1</v>
      </c>
      <c r="BN740" s="452">
        <v>2010</v>
      </c>
    </row>
    <row r="741" spans="1:66">
      <c r="A741" s="228">
        <f t="shared" si="23"/>
        <v>1900</v>
      </c>
      <c r="B741" s="228">
        <f t="shared" si="24"/>
        <v>1</v>
      </c>
      <c r="BA741" s="1817" t="s">
        <v>228</v>
      </c>
      <c r="BB741" s="1818">
        <v>2014</v>
      </c>
      <c r="BC741" s="452" t="s">
        <v>15</v>
      </c>
      <c r="BD741" s="452">
        <v>1</v>
      </c>
      <c r="BE741" s="1819">
        <v>973599788</v>
      </c>
      <c r="BF741" s="1820">
        <v>0.35399999999999998</v>
      </c>
      <c r="BH741" s="1821" t="s">
        <v>4</v>
      </c>
      <c r="BI741" s="452" t="s">
        <v>314</v>
      </c>
      <c r="BJ741" s="452" t="s">
        <v>20</v>
      </c>
      <c r="BK741" s="452">
        <v>1</v>
      </c>
      <c r="BL741" s="1819">
        <v>5979438355.0500021</v>
      </c>
      <c r="BM741" s="1820">
        <v>0.46064543998597707</v>
      </c>
      <c r="BN741" s="452">
        <v>2009</v>
      </c>
    </row>
    <row r="742" spans="1:66">
      <c r="A742" s="228">
        <f t="shared" si="23"/>
        <v>1900</v>
      </c>
      <c r="B742" s="228">
        <f t="shared" si="24"/>
        <v>1</v>
      </c>
      <c r="BA742" s="1817" t="s">
        <v>228</v>
      </c>
      <c r="BB742" s="1818">
        <v>2014</v>
      </c>
      <c r="BC742" s="452" t="s">
        <v>581</v>
      </c>
      <c r="BD742" s="452">
        <v>2</v>
      </c>
      <c r="BE742" s="1819">
        <v>504391398</v>
      </c>
      <c r="BF742" s="1820">
        <v>0.183</v>
      </c>
      <c r="BH742" s="1821" t="s">
        <v>4</v>
      </c>
      <c r="BI742" s="452" t="s">
        <v>314</v>
      </c>
      <c r="BJ742" s="452" t="s">
        <v>581</v>
      </c>
      <c r="BK742" s="452">
        <v>2</v>
      </c>
      <c r="BL742" s="1819">
        <v>1652449589.97</v>
      </c>
      <c r="BM742" s="1820">
        <v>0.12730181719885172</v>
      </c>
      <c r="BN742" s="452">
        <v>2009</v>
      </c>
    </row>
    <row r="743" spans="1:66">
      <c r="A743" s="228">
        <f t="shared" si="23"/>
        <v>1900</v>
      </c>
      <c r="B743" s="228">
        <f t="shared" si="24"/>
        <v>1</v>
      </c>
      <c r="BA743" s="1817" t="s">
        <v>228</v>
      </c>
      <c r="BB743" s="1818">
        <v>2014</v>
      </c>
      <c r="BC743" s="452" t="s">
        <v>53</v>
      </c>
      <c r="BD743" s="452">
        <v>3</v>
      </c>
      <c r="BE743" s="1819">
        <v>392778223</v>
      </c>
      <c r="BF743" s="1820">
        <v>0.14299999999999999</v>
      </c>
      <c r="BH743" s="1821" t="s">
        <v>4</v>
      </c>
      <c r="BI743" s="452" t="s">
        <v>314</v>
      </c>
      <c r="BJ743" s="452" t="s">
        <v>15</v>
      </c>
      <c r="BK743" s="452">
        <v>3</v>
      </c>
      <c r="BL743" s="1819">
        <v>1397985090.3800001</v>
      </c>
      <c r="BM743" s="1820">
        <v>0.107698318606806</v>
      </c>
      <c r="BN743" s="452">
        <v>2009</v>
      </c>
    </row>
    <row r="744" spans="1:66">
      <c r="A744" s="228">
        <f t="shared" si="23"/>
        <v>1900</v>
      </c>
      <c r="B744" s="228">
        <f t="shared" si="24"/>
        <v>1</v>
      </c>
      <c r="BA744" s="1817" t="s">
        <v>228</v>
      </c>
      <c r="BB744" s="1818">
        <v>2014</v>
      </c>
      <c r="BC744" s="452" t="s">
        <v>20</v>
      </c>
      <c r="BD744" s="452">
        <v>4</v>
      </c>
      <c r="BE744" s="1819">
        <v>364022458</v>
      </c>
      <c r="BF744" s="1820">
        <v>0.13200000000000001</v>
      </c>
      <c r="BH744" s="1821" t="s">
        <v>4</v>
      </c>
      <c r="BI744" s="452" t="s">
        <v>314</v>
      </c>
      <c r="BJ744" s="452" t="s">
        <v>49</v>
      </c>
      <c r="BK744" s="452">
        <v>4</v>
      </c>
      <c r="BL744" s="1819">
        <v>1341637524.1100001</v>
      </c>
      <c r="BM744" s="1820">
        <v>0.10335740096281666</v>
      </c>
      <c r="BN744" s="452">
        <v>2009</v>
      </c>
    </row>
    <row r="745" spans="1:66">
      <c r="A745" s="228">
        <f t="shared" si="23"/>
        <v>1900</v>
      </c>
      <c r="B745" s="228">
        <f t="shared" si="24"/>
        <v>1</v>
      </c>
      <c r="BA745" s="1817" t="s">
        <v>228</v>
      </c>
      <c r="BB745" s="1818">
        <v>2014</v>
      </c>
      <c r="BC745" s="452" t="s">
        <v>46</v>
      </c>
      <c r="BD745" s="452">
        <v>5</v>
      </c>
      <c r="BE745" s="1819">
        <v>190807971</v>
      </c>
      <c r="BF745" s="1820">
        <v>6.9000000000000006E-2</v>
      </c>
      <c r="BH745" s="1821" t="s">
        <v>4</v>
      </c>
      <c r="BI745" s="452" t="s">
        <v>314</v>
      </c>
      <c r="BJ745" s="452" t="s">
        <v>28</v>
      </c>
      <c r="BK745" s="452">
        <v>5</v>
      </c>
      <c r="BL745" s="1819">
        <v>936982008.54999995</v>
      </c>
      <c r="BM745" s="1820">
        <v>7.2183450009637232E-2</v>
      </c>
      <c r="BN745" s="452">
        <v>2009</v>
      </c>
    </row>
    <row r="746" spans="1:66">
      <c r="A746" s="228">
        <f t="shared" si="23"/>
        <v>1900</v>
      </c>
      <c r="B746" s="228">
        <f t="shared" si="24"/>
        <v>1</v>
      </c>
      <c r="BA746" s="1817" t="s">
        <v>228</v>
      </c>
      <c r="BB746" s="1818">
        <v>2014</v>
      </c>
      <c r="BC746" s="452" t="s">
        <v>18</v>
      </c>
      <c r="BD746" s="452">
        <v>6</v>
      </c>
      <c r="BE746" s="1819">
        <v>187620288</v>
      </c>
      <c r="BF746" s="1820">
        <v>6.8000000000000005E-2</v>
      </c>
      <c r="BH746" s="1821" t="s">
        <v>4</v>
      </c>
      <c r="BI746" s="452" t="s">
        <v>314</v>
      </c>
      <c r="BJ746" s="452" t="s">
        <v>18</v>
      </c>
      <c r="BK746" s="452">
        <v>6</v>
      </c>
      <c r="BL746" s="1819">
        <v>435511897.07000005</v>
      </c>
      <c r="BM746" s="1820">
        <v>3.3551072447382077E-2</v>
      </c>
      <c r="BN746" s="452">
        <v>2009</v>
      </c>
    </row>
    <row r="747" spans="1:66">
      <c r="A747" s="228">
        <f t="shared" si="23"/>
        <v>1900</v>
      </c>
      <c r="B747" s="228">
        <f t="shared" si="24"/>
        <v>1</v>
      </c>
      <c r="BA747" s="1817" t="s">
        <v>228</v>
      </c>
      <c r="BB747" s="1818">
        <v>2014</v>
      </c>
      <c r="BC747" s="452" t="s">
        <v>245</v>
      </c>
      <c r="BD747" s="452">
        <v>7</v>
      </c>
      <c r="BE747" s="1819">
        <v>50575557</v>
      </c>
      <c r="BF747" s="1820">
        <v>1.7999999999999999E-2</v>
      </c>
      <c r="BH747" s="1821" t="s">
        <v>4</v>
      </c>
      <c r="BI747" s="452" t="s">
        <v>314</v>
      </c>
      <c r="BJ747" s="452" t="s">
        <v>73</v>
      </c>
      <c r="BK747" s="452">
        <v>7</v>
      </c>
      <c r="BL747" s="1819">
        <v>320329681.07999998</v>
      </c>
      <c r="BM747" s="1820">
        <v>2.46776366139877E-2</v>
      </c>
      <c r="BN747" s="452">
        <v>2009</v>
      </c>
    </row>
    <row r="748" spans="1:66">
      <c r="A748" s="228">
        <f t="shared" si="23"/>
        <v>1900</v>
      </c>
      <c r="B748" s="228">
        <f t="shared" si="24"/>
        <v>1</v>
      </c>
      <c r="BA748" s="1817" t="s">
        <v>228</v>
      </c>
      <c r="BB748" s="1818">
        <v>2014</v>
      </c>
      <c r="BC748" s="452" t="s">
        <v>583</v>
      </c>
      <c r="BD748" s="452">
        <v>8</v>
      </c>
      <c r="BE748" s="1819">
        <v>32206698</v>
      </c>
      <c r="BF748" s="1820">
        <v>1.2E-2</v>
      </c>
      <c r="BH748" s="1821" t="s">
        <v>4</v>
      </c>
      <c r="BI748" s="452" t="s">
        <v>314</v>
      </c>
      <c r="BJ748" s="452" t="s">
        <v>583</v>
      </c>
      <c r="BK748" s="452">
        <v>8</v>
      </c>
      <c r="BL748" s="1819">
        <v>290649015.20999998</v>
      </c>
      <c r="BM748" s="1820">
        <v>2.2391090189904931E-2</v>
      </c>
      <c r="BN748" s="452">
        <v>2009</v>
      </c>
    </row>
    <row r="749" spans="1:66">
      <c r="A749" s="228">
        <f t="shared" si="23"/>
        <v>1900</v>
      </c>
      <c r="B749" s="228">
        <f t="shared" si="24"/>
        <v>1</v>
      </c>
      <c r="BA749" s="1817" t="s">
        <v>228</v>
      </c>
      <c r="BB749" s="1818">
        <v>2014</v>
      </c>
      <c r="BC749" s="452" t="s">
        <v>42</v>
      </c>
      <c r="BD749" s="452">
        <v>9</v>
      </c>
      <c r="BE749" s="1819">
        <v>23029553</v>
      </c>
      <c r="BF749" s="1820">
        <v>8.0000000000000002E-3</v>
      </c>
      <c r="BH749" s="1821" t="s">
        <v>4</v>
      </c>
      <c r="BI749" s="452" t="s">
        <v>314</v>
      </c>
      <c r="BJ749" s="452" t="s">
        <v>431</v>
      </c>
      <c r="BK749" s="452">
        <v>9</v>
      </c>
      <c r="BL749" s="1819">
        <v>229174475.24000001</v>
      </c>
      <c r="BM749" s="1820">
        <v>1.7655199487310782E-2</v>
      </c>
      <c r="BN749" s="452">
        <v>2009</v>
      </c>
    </row>
    <row r="750" spans="1:66">
      <c r="A750" s="228">
        <f t="shared" si="23"/>
        <v>1900</v>
      </c>
      <c r="B750" s="228">
        <f t="shared" si="24"/>
        <v>1</v>
      </c>
      <c r="BA750" s="1817" t="s">
        <v>228</v>
      </c>
      <c r="BB750" s="1818">
        <v>2014</v>
      </c>
      <c r="BC750" s="452" t="s">
        <v>19</v>
      </c>
      <c r="BD750" s="452">
        <v>10</v>
      </c>
      <c r="BE750" s="1819">
        <v>15865259</v>
      </c>
      <c r="BF750" s="1820">
        <v>6.0000000000000001E-3</v>
      </c>
      <c r="BH750" s="1821" t="s">
        <v>4</v>
      </c>
      <c r="BI750" s="452" t="s">
        <v>314</v>
      </c>
      <c r="BJ750" s="452" t="s">
        <v>21</v>
      </c>
      <c r="BK750" s="452">
        <v>10</v>
      </c>
      <c r="BL750" s="1819">
        <v>202973606.83000001</v>
      </c>
      <c r="BM750" s="1820">
        <v>1.5636730554263605E-2</v>
      </c>
      <c r="BN750" s="452">
        <v>2009</v>
      </c>
    </row>
    <row r="751" spans="1:66">
      <c r="A751" s="228">
        <f t="shared" si="23"/>
        <v>1900</v>
      </c>
      <c r="B751" s="228">
        <f t="shared" si="24"/>
        <v>1</v>
      </c>
      <c r="BA751" s="1817" t="s">
        <v>228</v>
      </c>
      <c r="BB751" s="1818">
        <v>2014</v>
      </c>
      <c r="BC751" s="452" t="s">
        <v>32</v>
      </c>
      <c r="BE751" s="1819">
        <v>14407936</v>
      </c>
      <c r="BF751" s="1820">
        <v>5.0000000000000001E-3</v>
      </c>
      <c r="BH751" s="1821" t="s">
        <v>4</v>
      </c>
      <c r="BI751" s="452" t="s">
        <v>314</v>
      </c>
      <c r="BJ751" s="452" t="s">
        <v>32</v>
      </c>
      <c r="BL751" s="1819">
        <v>193434362.96000099</v>
      </c>
      <c r="BM751" s="1820">
        <v>1.4901843943062395E-2</v>
      </c>
      <c r="BN751" s="452">
        <v>2009</v>
      </c>
    </row>
    <row r="752" spans="1:66">
      <c r="A752" s="228">
        <f t="shared" si="23"/>
        <v>1900</v>
      </c>
      <c r="B752" s="228">
        <f t="shared" si="24"/>
        <v>1</v>
      </c>
      <c r="BA752" s="1817" t="s">
        <v>228</v>
      </c>
      <c r="BB752" s="1818">
        <v>2014</v>
      </c>
      <c r="BC752" s="452" t="s">
        <v>249</v>
      </c>
      <c r="BE752" s="1819">
        <v>2749305131</v>
      </c>
      <c r="BH752" s="1821" t="s">
        <v>4</v>
      </c>
      <c r="BI752" s="452" t="s">
        <v>314</v>
      </c>
      <c r="BJ752" s="452" t="s">
        <v>249</v>
      </c>
      <c r="BL752" s="1819">
        <v>12980565606.450001</v>
      </c>
      <c r="BM752" s="1820">
        <v>1</v>
      </c>
      <c r="BN752" s="452">
        <v>2009</v>
      </c>
    </row>
    <row r="753" spans="1:66">
      <c r="A753" s="228">
        <f t="shared" si="23"/>
        <v>1900</v>
      </c>
      <c r="B753" s="228">
        <f t="shared" si="24"/>
        <v>1</v>
      </c>
      <c r="BA753" s="1817" t="s">
        <v>228</v>
      </c>
      <c r="BB753" s="1818">
        <v>2013</v>
      </c>
      <c r="BC753" s="452" t="s">
        <v>15</v>
      </c>
      <c r="BD753" s="452">
        <v>1</v>
      </c>
      <c r="BE753" s="1819">
        <v>893758146</v>
      </c>
      <c r="BF753" s="1820">
        <v>0.33301379192245451</v>
      </c>
      <c r="BH753" s="1821" t="s">
        <v>4</v>
      </c>
      <c r="BI753" s="452" t="s">
        <v>313</v>
      </c>
      <c r="BJ753" s="452" t="s">
        <v>20</v>
      </c>
      <c r="BK753" s="452">
        <v>1</v>
      </c>
      <c r="BL753" s="1819">
        <v>7537525484.4000053</v>
      </c>
      <c r="BM753" s="1820">
        <v>0.61116818224090752</v>
      </c>
      <c r="BN753" s="452">
        <v>2008</v>
      </c>
    </row>
    <row r="754" spans="1:66">
      <c r="A754" s="228">
        <f t="shared" si="23"/>
        <v>1900</v>
      </c>
      <c r="B754" s="228">
        <f t="shared" si="24"/>
        <v>1</v>
      </c>
      <c r="BA754" s="1817" t="s">
        <v>228</v>
      </c>
      <c r="BB754" s="1818">
        <v>2013</v>
      </c>
      <c r="BC754" s="452" t="s">
        <v>581</v>
      </c>
      <c r="BD754" s="452">
        <v>2</v>
      </c>
      <c r="BE754" s="1819">
        <v>499164434</v>
      </c>
      <c r="BF754" s="1820">
        <v>0.18598839261283306</v>
      </c>
      <c r="BH754" s="1821" t="s">
        <v>4</v>
      </c>
      <c r="BI754" s="452" t="s">
        <v>313</v>
      </c>
      <c r="BJ754" s="452" t="s">
        <v>581</v>
      </c>
      <c r="BK754" s="452">
        <v>2</v>
      </c>
      <c r="BL754" s="1819">
        <v>1476797969.1000001</v>
      </c>
      <c r="BM754" s="1820">
        <v>0.11974379817088694</v>
      </c>
      <c r="BN754" s="452">
        <v>2008</v>
      </c>
    </row>
    <row r="755" spans="1:66">
      <c r="A755" s="228">
        <f t="shared" si="23"/>
        <v>1900</v>
      </c>
      <c r="B755" s="228">
        <f t="shared" si="24"/>
        <v>1</v>
      </c>
      <c r="BA755" s="1817" t="s">
        <v>228</v>
      </c>
      <c r="BB755" s="1818">
        <v>2013</v>
      </c>
      <c r="BC755" s="452" t="s">
        <v>20</v>
      </c>
      <c r="BD755" s="452">
        <v>3</v>
      </c>
      <c r="BE755" s="1819">
        <v>333612601</v>
      </c>
      <c r="BF755" s="1820">
        <v>0.12430387100731705</v>
      </c>
      <c r="BH755" s="1821" t="s">
        <v>4</v>
      </c>
      <c r="BI755" s="452" t="s">
        <v>313</v>
      </c>
      <c r="BJ755" s="452" t="s">
        <v>15</v>
      </c>
      <c r="BK755" s="452">
        <v>3</v>
      </c>
      <c r="BL755" s="1819">
        <v>896703869.18999982</v>
      </c>
      <c r="BM755" s="1820">
        <v>7.2707797124597712E-2</v>
      </c>
      <c r="BN755" s="452">
        <v>2008</v>
      </c>
    </row>
    <row r="756" spans="1:66">
      <c r="A756" s="228">
        <f t="shared" si="23"/>
        <v>1900</v>
      </c>
      <c r="B756" s="228">
        <f t="shared" si="24"/>
        <v>1</v>
      </c>
      <c r="BA756" s="1817" t="s">
        <v>228</v>
      </c>
      <c r="BB756" s="1818">
        <v>2013</v>
      </c>
      <c r="BC756" s="452" t="s">
        <v>53</v>
      </c>
      <c r="BD756" s="452">
        <v>4</v>
      </c>
      <c r="BE756" s="1819">
        <v>294208904</v>
      </c>
      <c r="BF756" s="1820">
        <v>0.10962207525254757</v>
      </c>
      <c r="BH756" s="1821" t="s">
        <v>4</v>
      </c>
      <c r="BI756" s="452" t="s">
        <v>313</v>
      </c>
      <c r="BJ756" s="452" t="s">
        <v>49</v>
      </c>
      <c r="BK756" s="452">
        <v>4</v>
      </c>
      <c r="BL756" s="1819">
        <v>852033317.38999987</v>
      </c>
      <c r="BM756" s="1820">
        <v>6.9085756973647897E-2</v>
      </c>
      <c r="BN756" s="452">
        <v>2008</v>
      </c>
    </row>
    <row r="757" spans="1:66">
      <c r="A757" s="228">
        <f t="shared" si="23"/>
        <v>1900</v>
      </c>
      <c r="B757" s="228">
        <f t="shared" si="24"/>
        <v>1</v>
      </c>
      <c r="BA757" s="1817" t="s">
        <v>228</v>
      </c>
      <c r="BB757" s="1818">
        <v>2013</v>
      </c>
      <c r="BC757" s="452" t="s">
        <v>18</v>
      </c>
      <c r="BD757" s="452">
        <v>5</v>
      </c>
      <c r="BE757" s="1819">
        <v>289065688</v>
      </c>
      <c r="BF757" s="1820">
        <v>0.10770571580955766</v>
      </c>
      <c r="BH757" s="1821" t="s">
        <v>4</v>
      </c>
      <c r="BI757" s="452" t="s">
        <v>313</v>
      </c>
      <c r="BJ757" s="452" t="s">
        <v>28</v>
      </c>
      <c r="BK757" s="452">
        <v>5</v>
      </c>
      <c r="BL757" s="1819">
        <v>514536955.93999994</v>
      </c>
      <c r="BM757" s="1820">
        <v>4.1720405019984051E-2</v>
      </c>
      <c r="BN757" s="452">
        <v>2008</v>
      </c>
    </row>
    <row r="758" spans="1:66">
      <c r="A758" s="228">
        <f t="shared" si="23"/>
        <v>1900</v>
      </c>
      <c r="B758" s="228">
        <f t="shared" si="24"/>
        <v>1</v>
      </c>
      <c r="BA758" s="1817" t="s">
        <v>228</v>
      </c>
      <c r="BB758" s="1818">
        <v>2013</v>
      </c>
      <c r="BC758" s="452" t="s">
        <v>46</v>
      </c>
      <c r="BD758" s="452">
        <v>6</v>
      </c>
      <c r="BE758" s="1819">
        <v>198529645</v>
      </c>
      <c r="BF758" s="1820">
        <v>7.3972036155817877E-2</v>
      </c>
      <c r="BH758" s="1821" t="s">
        <v>4</v>
      </c>
      <c r="BI758" s="452" t="s">
        <v>313</v>
      </c>
      <c r="BJ758" s="452" t="s">
        <v>431</v>
      </c>
      <c r="BK758" s="452">
        <v>6</v>
      </c>
      <c r="BL758" s="1819">
        <v>221719373.13999999</v>
      </c>
      <c r="BM758" s="1820">
        <v>1.7977760278226621E-2</v>
      </c>
      <c r="BN758" s="452">
        <v>2008</v>
      </c>
    </row>
    <row r="759" spans="1:66">
      <c r="A759" s="228">
        <f t="shared" si="23"/>
        <v>1900</v>
      </c>
      <c r="B759" s="228">
        <f t="shared" si="24"/>
        <v>1</v>
      </c>
      <c r="BA759" s="1817" t="s">
        <v>228</v>
      </c>
      <c r="BB759" s="1818">
        <v>2013</v>
      </c>
      <c r="BC759" s="452" t="s">
        <v>42</v>
      </c>
      <c r="BD759" s="452">
        <v>7</v>
      </c>
      <c r="BE759" s="1819">
        <v>42798820</v>
      </c>
      <c r="BF759" s="1820">
        <v>1.5946816710755422E-2</v>
      </c>
      <c r="BH759" s="1821" t="s">
        <v>4</v>
      </c>
      <c r="BI759" s="452" t="s">
        <v>313</v>
      </c>
      <c r="BJ759" s="452" t="s">
        <v>583</v>
      </c>
      <c r="BK759" s="452">
        <v>7</v>
      </c>
      <c r="BL759" s="1819">
        <v>217793123.30000001</v>
      </c>
      <c r="BM759" s="1820">
        <v>1.7659406598003219E-2</v>
      </c>
      <c r="BN759" s="452">
        <v>2008</v>
      </c>
    </row>
    <row r="760" spans="1:66">
      <c r="A760" s="228">
        <f t="shared" si="23"/>
        <v>1900</v>
      </c>
      <c r="B760" s="228">
        <f t="shared" si="24"/>
        <v>1</v>
      </c>
      <c r="BA760" s="1817" t="s">
        <v>228</v>
      </c>
      <c r="BB760" s="1818">
        <v>2013</v>
      </c>
      <c r="BC760" s="452" t="s">
        <v>583</v>
      </c>
      <c r="BD760" s="452">
        <v>8</v>
      </c>
      <c r="BE760" s="1819">
        <v>40312589</v>
      </c>
      <c r="BF760" s="1820">
        <v>1.502044841233976E-2</v>
      </c>
      <c r="BH760" s="1821" t="s">
        <v>4</v>
      </c>
      <c r="BI760" s="452" t="s">
        <v>313</v>
      </c>
      <c r="BJ760" s="452" t="s">
        <v>18</v>
      </c>
      <c r="BK760" s="452">
        <v>8</v>
      </c>
      <c r="BL760" s="1819">
        <v>181852500.06999999</v>
      </c>
      <c r="BM760" s="1820">
        <v>1.474521872380687E-2</v>
      </c>
      <c r="BN760" s="452">
        <v>2008</v>
      </c>
    </row>
    <row r="761" spans="1:66">
      <c r="A761" s="228">
        <f t="shared" si="23"/>
        <v>1900</v>
      </c>
      <c r="B761" s="228">
        <f t="shared" si="24"/>
        <v>1</v>
      </c>
      <c r="BA761" s="1817" t="s">
        <v>228</v>
      </c>
      <c r="BB761" s="1818">
        <v>2013</v>
      </c>
      <c r="BC761" s="452" t="s">
        <v>431</v>
      </c>
      <c r="BD761" s="452">
        <v>9</v>
      </c>
      <c r="BE761" s="1819">
        <v>38193450</v>
      </c>
      <c r="BF761" s="1820">
        <v>1.4230858390521087E-2</v>
      </c>
      <c r="BH761" s="1821" t="s">
        <v>4</v>
      </c>
      <c r="BI761" s="452" t="s">
        <v>313</v>
      </c>
      <c r="BJ761" s="452" t="s">
        <v>73</v>
      </c>
      <c r="BK761" s="452">
        <v>9</v>
      </c>
      <c r="BL761" s="1819">
        <v>177395280.74000001</v>
      </c>
      <c r="BM761" s="1820">
        <v>1.4383812232856615E-2</v>
      </c>
      <c r="BN761" s="452">
        <v>2008</v>
      </c>
    </row>
    <row r="762" spans="1:66">
      <c r="A762" s="228">
        <f t="shared" si="23"/>
        <v>1900</v>
      </c>
      <c r="B762" s="228">
        <f t="shared" si="24"/>
        <v>1</v>
      </c>
      <c r="BA762" s="1817" t="s">
        <v>228</v>
      </c>
      <c r="BB762" s="1818">
        <v>2013</v>
      </c>
      <c r="BC762" s="452" t="s">
        <v>28</v>
      </c>
      <c r="BD762" s="452">
        <v>10</v>
      </c>
      <c r="BE762" s="1819">
        <v>18726083</v>
      </c>
      <c r="BF762" s="1820">
        <v>6.9773281906228496E-3</v>
      </c>
      <c r="BH762" s="1821" t="s">
        <v>4</v>
      </c>
      <c r="BI762" s="452" t="s">
        <v>313</v>
      </c>
      <c r="BJ762" s="452" t="s">
        <v>24</v>
      </c>
      <c r="BK762" s="452">
        <v>10</v>
      </c>
      <c r="BL762" s="1819">
        <v>73127857.849999994</v>
      </c>
      <c r="BM762" s="1820">
        <v>5.9294552364506691E-3</v>
      </c>
      <c r="BN762" s="452">
        <v>2008</v>
      </c>
    </row>
    <row r="763" spans="1:66">
      <c r="A763" s="228">
        <f t="shared" si="23"/>
        <v>1900</v>
      </c>
      <c r="B763" s="228">
        <f t="shared" si="24"/>
        <v>1</v>
      </c>
      <c r="BA763" s="1817" t="s">
        <v>228</v>
      </c>
      <c r="BB763" s="1818">
        <v>2013</v>
      </c>
      <c r="BC763" s="452" t="s">
        <v>32</v>
      </c>
      <c r="BE763" s="1819">
        <v>35476878</v>
      </c>
      <c r="BF763" s="1820">
        <v>1.3218665162633722E-2</v>
      </c>
      <c r="BH763" s="1821" t="s">
        <v>4</v>
      </c>
      <c r="BI763" s="452" t="s">
        <v>313</v>
      </c>
      <c r="BJ763" s="452" t="s">
        <v>32</v>
      </c>
      <c r="BL763" s="1819">
        <v>183495113.46999931</v>
      </c>
      <c r="BM763" s="1820">
        <v>1.4878407400631895E-2</v>
      </c>
      <c r="BN763" s="452">
        <v>2008</v>
      </c>
    </row>
    <row r="764" spans="1:66">
      <c r="A764" s="228">
        <f t="shared" si="23"/>
        <v>1900</v>
      </c>
      <c r="B764" s="228">
        <f t="shared" si="24"/>
        <v>1</v>
      </c>
      <c r="BA764" s="1817" t="s">
        <v>228</v>
      </c>
      <c r="BB764" s="1818">
        <v>2013</v>
      </c>
      <c r="BC764" s="452" t="s">
        <v>249</v>
      </c>
      <c r="BE764" s="1819">
        <v>2683847239</v>
      </c>
      <c r="BH764" s="1821" t="s">
        <v>4</v>
      </c>
      <c r="BI764" s="452" t="s">
        <v>313</v>
      </c>
      <c r="BJ764" s="452" t="s">
        <v>249</v>
      </c>
      <c r="BL764" s="1819">
        <v>12332980844.590004</v>
      </c>
      <c r="BM764" s="1820">
        <v>1</v>
      </c>
      <c r="BN764" s="452">
        <v>2008</v>
      </c>
    </row>
    <row r="765" spans="1:66">
      <c r="A765" s="228">
        <f t="shared" si="23"/>
        <v>1900</v>
      </c>
      <c r="B765" s="228">
        <f t="shared" si="24"/>
        <v>1</v>
      </c>
      <c r="BA765" s="1817" t="s">
        <v>228</v>
      </c>
      <c r="BB765" s="1818">
        <v>2012</v>
      </c>
      <c r="BC765" s="452" t="s">
        <v>581</v>
      </c>
      <c r="BD765" s="452">
        <v>1</v>
      </c>
      <c r="BE765" s="1819">
        <v>628330244</v>
      </c>
      <c r="BF765" s="1820">
        <v>0.253</v>
      </c>
      <c r="BH765" s="1821" t="s">
        <v>4</v>
      </c>
      <c r="BI765" s="452" t="s">
        <v>312</v>
      </c>
      <c r="BJ765" s="452" t="s">
        <v>20</v>
      </c>
      <c r="BK765" s="452">
        <v>1</v>
      </c>
      <c r="BL765" s="1819">
        <v>5247427978.6699991</v>
      </c>
      <c r="BM765" s="1820">
        <v>0.49036192243478655</v>
      </c>
      <c r="BN765" s="452">
        <v>2007</v>
      </c>
    </row>
    <row r="766" spans="1:66">
      <c r="A766" s="228">
        <f t="shared" si="23"/>
        <v>1900</v>
      </c>
      <c r="B766" s="228">
        <f t="shared" si="24"/>
        <v>1</v>
      </c>
      <c r="BA766" s="1817" t="s">
        <v>228</v>
      </c>
      <c r="BB766" s="1818">
        <v>2012</v>
      </c>
      <c r="BC766" s="452" t="s">
        <v>15</v>
      </c>
      <c r="BD766" s="452">
        <v>2</v>
      </c>
      <c r="BE766" s="1819">
        <v>606672670</v>
      </c>
      <c r="BF766" s="1820">
        <v>0.245</v>
      </c>
      <c r="BH766" s="1821" t="s">
        <v>4</v>
      </c>
      <c r="BI766" s="452" t="s">
        <v>312</v>
      </c>
      <c r="BJ766" s="452" t="s">
        <v>581</v>
      </c>
      <c r="BK766" s="452">
        <v>2</v>
      </c>
      <c r="BL766" s="1819">
        <v>1687747371.78</v>
      </c>
      <c r="BM766" s="1820">
        <v>0.15771670410235197</v>
      </c>
      <c r="BN766" s="452">
        <v>2007</v>
      </c>
    </row>
    <row r="767" spans="1:66">
      <c r="A767" s="228">
        <f t="shared" si="23"/>
        <v>1900</v>
      </c>
      <c r="B767" s="228">
        <f t="shared" si="24"/>
        <v>1</v>
      </c>
      <c r="BA767" s="1817" t="s">
        <v>228</v>
      </c>
      <c r="BB767" s="1818">
        <v>2012</v>
      </c>
      <c r="BC767" s="452" t="s">
        <v>20</v>
      </c>
      <c r="BD767" s="452">
        <v>3</v>
      </c>
      <c r="BE767" s="1819">
        <v>473412647</v>
      </c>
      <c r="BF767" s="1820">
        <v>0.191</v>
      </c>
      <c r="BH767" s="1821" t="s">
        <v>4</v>
      </c>
      <c r="BI767" s="452" t="s">
        <v>312</v>
      </c>
      <c r="BJ767" s="452" t="s">
        <v>49</v>
      </c>
      <c r="BK767" s="452">
        <v>3</v>
      </c>
      <c r="BL767" s="1819">
        <v>1250954274.49</v>
      </c>
      <c r="BM767" s="1820">
        <v>0.11689924004872311</v>
      </c>
      <c r="BN767" s="452">
        <v>2007</v>
      </c>
    </row>
    <row r="768" spans="1:66">
      <c r="A768" s="228">
        <f t="shared" si="23"/>
        <v>1900</v>
      </c>
      <c r="B768" s="228">
        <f t="shared" si="24"/>
        <v>1</v>
      </c>
      <c r="BA768" s="1817" t="s">
        <v>228</v>
      </c>
      <c r="BB768" s="1818">
        <v>2012</v>
      </c>
      <c r="BC768" s="452" t="s">
        <v>18</v>
      </c>
      <c r="BD768" s="452">
        <v>4</v>
      </c>
      <c r="BE768" s="1819">
        <v>336543866</v>
      </c>
      <c r="BF768" s="1820">
        <v>0.13600000000000001</v>
      </c>
      <c r="BH768" s="1821" t="s">
        <v>4</v>
      </c>
      <c r="BI768" s="452" t="s">
        <v>312</v>
      </c>
      <c r="BJ768" s="452" t="s">
        <v>15</v>
      </c>
      <c r="BK768" s="452">
        <v>4</v>
      </c>
      <c r="BL768" s="1819">
        <v>769675146.28999996</v>
      </c>
      <c r="BM768" s="1820">
        <v>7.1924643066887756E-2</v>
      </c>
      <c r="BN768" s="452">
        <v>2007</v>
      </c>
    </row>
    <row r="769" spans="1:67">
      <c r="A769" s="228">
        <f t="shared" si="23"/>
        <v>1900</v>
      </c>
      <c r="B769" s="228">
        <f t="shared" si="24"/>
        <v>1</v>
      </c>
      <c r="BA769" s="1817" t="s">
        <v>228</v>
      </c>
      <c r="BB769" s="1818">
        <v>2012</v>
      </c>
      <c r="BC769" s="452" t="s">
        <v>46</v>
      </c>
      <c r="BD769" s="452">
        <v>5</v>
      </c>
      <c r="BE769" s="1819">
        <v>193176932</v>
      </c>
      <c r="BF769" s="1820">
        <v>7.8E-2</v>
      </c>
      <c r="BH769" s="1821" t="s">
        <v>4</v>
      </c>
      <c r="BI769" s="452" t="s">
        <v>312</v>
      </c>
      <c r="BJ769" s="452" t="s">
        <v>28</v>
      </c>
      <c r="BK769" s="452">
        <v>5</v>
      </c>
      <c r="BL769" s="1819">
        <v>561125122.26999998</v>
      </c>
      <c r="BM769" s="1820">
        <v>5.2436049584907662E-2</v>
      </c>
      <c r="BN769" s="452">
        <v>2007</v>
      </c>
    </row>
    <row r="770" spans="1:67">
      <c r="A770" s="228">
        <f t="shared" si="23"/>
        <v>1900</v>
      </c>
      <c r="B770" s="228">
        <f t="shared" si="24"/>
        <v>1</v>
      </c>
      <c r="BA770" s="1817" t="s">
        <v>228</v>
      </c>
      <c r="BB770" s="1818">
        <v>2012</v>
      </c>
      <c r="BC770" s="452" t="s">
        <v>53</v>
      </c>
      <c r="BD770" s="452">
        <v>6</v>
      </c>
      <c r="BE770" s="1819">
        <v>186862862</v>
      </c>
      <c r="BF770" s="1820">
        <v>7.4999999999999997E-2</v>
      </c>
      <c r="BH770" s="1821" t="s">
        <v>4</v>
      </c>
      <c r="BI770" s="452" t="s">
        <v>312</v>
      </c>
      <c r="BJ770" s="452" t="s">
        <v>73</v>
      </c>
      <c r="BK770" s="452">
        <v>6</v>
      </c>
      <c r="BL770" s="1819">
        <v>291379022.33999997</v>
      </c>
      <c r="BM770" s="1820">
        <v>2.722880202121904E-2</v>
      </c>
      <c r="BN770" s="452">
        <v>2007</v>
      </c>
    </row>
    <row r="771" spans="1:67">
      <c r="A771" s="228">
        <f t="shared" si="23"/>
        <v>1900</v>
      </c>
      <c r="B771" s="228">
        <f t="shared" si="24"/>
        <v>1</v>
      </c>
      <c r="BA771" s="1817" t="s">
        <v>228</v>
      </c>
      <c r="BB771" s="1818">
        <v>2012</v>
      </c>
      <c r="BC771" s="452" t="s">
        <v>42</v>
      </c>
      <c r="BD771" s="452">
        <v>7</v>
      </c>
      <c r="BE771" s="1819">
        <v>38732849</v>
      </c>
      <c r="BF771" s="1820">
        <v>1.6E-2</v>
      </c>
      <c r="BH771" s="1821" t="s">
        <v>4</v>
      </c>
      <c r="BI771" s="452" t="s">
        <v>312</v>
      </c>
      <c r="BJ771" s="452" t="s">
        <v>24</v>
      </c>
      <c r="BK771" s="452">
        <v>7</v>
      </c>
      <c r="BL771" s="1819">
        <v>244811358.72000003</v>
      </c>
      <c r="BM771" s="1820">
        <v>2.2877144571355888E-2</v>
      </c>
      <c r="BN771" s="452">
        <v>2007</v>
      </c>
    </row>
    <row r="772" spans="1:67">
      <c r="A772" s="228">
        <f t="shared" si="23"/>
        <v>1900</v>
      </c>
      <c r="B772" s="228">
        <f t="shared" si="24"/>
        <v>1</v>
      </c>
      <c r="BA772" s="1817" t="s">
        <v>228</v>
      </c>
      <c r="BB772" s="1818">
        <v>2012</v>
      </c>
      <c r="BC772" s="452" t="s">
        <v>19</v>
      </c>
      <c r="BD772" s="452">
        <v>8</v>
      </c>
      <c r="BE772" s="1819">
        <v>11002578</v>
      </c>
      <c r="BF772" s="1820">
        <v>4.0000000000000001E-3</v>
      </c>
      <c r="BH772" s="1821" t="s">
        <v>4</v>
      </c>
      <c r="BI772" s="452" t="s">
        <v>312</v>
      </c>
      <c r="BJ772" s="452" t="s">
        <v>21</v>
      </c>
      <c r="BK772" s="452">
        <v>8</v>
      </c>
      <c r="BL772" s="1819">
        <v>186951828.81999999</v>
      </c>
      <c r="BM772" s="1820">
        <v>1.7470284214574361E-2</v>
      </c>
      <c r="BN772" s="452">
        <v>2007</v>
      </c>
    </row>
    <row r="773" spans="1:67">
      <c r="A773" s="228">
        <f t="shared" si="23"/>
        <v>1900</v>
      </c>
      <c r="B773" s="228">
        <f t="shared" si="24"/>
        <v>1</v>
      </c>
      <c r="BA773" s="1817" t="s">
        <v>228</v>
      </c>
      <c r="BB773" s="1818">
        <v>2012</v>
      </c>
      <c r="BC773" s="452" t="s">
        <v>28</v>
      </c>
      <c r="BD773" s="452">
        <v>9</v>
      </c>
      <c r="BE773" s="1819">
        <v>6491219</v>
      </c>
      <c r="BF773" s="1820">
        <v>3.0000000000000001E-3</v>
      </c>
      <c r="BH773" s="1821" t="s">
        <v>4</v>
      </c>
      <c r="BI773" s="452" t="s">
        <v>312</v>
      </c>
      <c r="BJ773" s="452" t="s">
        <v>431</v>
      </c>
      <c r="BK773" s="452">
        <v>9</v>
      </c>
      <c r="BL773" s="1819">
        <v>136152981.06</v>
      </c>
      <c r="BM773" s="1820">
        <v>1.2723230849321841E-2</v>
      </c>
      <c r="BN773" s="452">
        <v>2007</v>
      </c>
    </row>
    <row r="774" spans="1:67">
      <c r="A774" s="228">
        <f t="shared" si="23"/>
        <v>1900</v>
      </c>
      <c r="B774" s="228">
        <f t="shared" si="24"/>
        <v>1</v>
      </c>
      <c r="BA774" s="1817" t="s">
        <v>228</v>
      </c>
      <c r="BB774" s="1818">
        <v>2012</v>
      </c>
      <c r="BC774" s="452" t="s">
        <v>75</v>
      </c>
      <c r="BD774" s="452">
        <v>10</v>
      </c>
      <c r="BE774" s="1819">
        <v>4235</v>
      </c>
      <c r="BF774" s="1820">
        <v>0</v>
      </c>
      <c r="BH774" s="1821" t="s">
        <v>4</v>
      </c>
      <c r="BI774" s="452" t="s">
        <v>312</v>
      </c>
      <c r="BJ774" s="452" t="s">
        <v>19</v>
      </c>
      <c r="BK774" s="452">
        <v>10</v>
      </c>
      <c r="BL774" s="1819">
        <v>113789725.36</v>
      </c>
      <c r="BM774" s="1820">
        <v>1.0633428168555533E-2</v>
      </c>
      <c r="BN774" s="452">
        <v>2007</v>
      </c>
    </row>
    <row r="775" spans="1:67">
      <c r="A775" s="228">
        <f t="shared" si="23"/>
        <v>1900</v>
      </c>
      <c r="B775" s="228">
        <f t="shared" si="24"/>
        <v>1</v>
      </c>
      <c r="BA775" s="1817" t="s">
        <v>228</v>
      </c>
      <c r="BB775" s="1818">
        <v>2012</v>
      </c>
      <c r="BC775" s="452" t="s">
        <v>32</v>
      </c>
      <c r="BE775" s="1819">
        <v>0</v>
      </c>
      <c r="BF775" s="1820">
        <v>0</v>
      </c>
      <c r="BH775" s="1821" t="s">
        <v>4</v>
      </c>
      <c r="BI775" s="452" t="s">
        <v>312</v>
      </c>
      <c r="BJ775" s="452" t="s">
        <v>32</v>
      </c>
      <c r="BL775" s="1819">
        <v>211117840.57999992</v>
      </c>
      <c r="BM775" s="1820">
        <v>1.9728550937316257E-2</v>
      </c>
      <c r="BN775" s="452">
        <v>2007</v>
      </c>
    </row>
    <row r="776" spans="1:67">
      <c r="A776" s="228">
        <f t="shared" si="23"/>
        <v>1900</v>
      </c>
      <c r="B776" s="228">
        <f t="shared" si="24"/>
        <v>1</v>
      </c>
      <c r="BA776" s="1817" t="s">
        <v>228</v>
      </c>
      <c r="BB776" s="1818">
        <v>2012</v>
      </c>
      <c r="BC776" s="452" t="s">
        <v>249</v>
      </c>
      <c r="BE776" s="1819">
        <v>2481230102</v>
      </c>
      <c r="BH776" s="1821" t="s">
        <v>4</v>
      </c>
      <c r="BI776" s="452" t="s">
        <v>312</v>
      </c>
      <c r="BJ776" s="452" t="s">
        <v>249</v>
      </c>
      <c r="BL776" s="1819">
        <v>10701132650.379999</v>
      </c>
      <c r="BM776" s="1820">
        <v>1</v>
      </c>
      <c r="BN776" s="452">
        <v>2007</v>
      </c>
    </row>
    <row r="777" spans="1:67">
      <c r="A777" s="228">
        <f t="shared" si="23"/>
        <v>1900</v>
      </c>
      <c r="B777" s="228">
        <f t="shared" si="24"/>
        <v>1</v>
      </c>
      <c r="BA777" s="1817" t="s">
        <v>228</v>
      </c>
      <c r="BB777" s="1818">
        <v>2011</v>
      </c>
      <c r="BC777" s="452" t="s">
        <v>581</v>
      </c>
      <c r="BD777" s="452">
        <v>1</v>
      </c>
      <c r="BE777" s="1819">
        <v>488514317</v>
      </c>
      <c r="BF777" s="1820">
        <v>0.23799999999999999</v>
      </c>
      <c r="BH777" s="1817" t="s">
        <v>342</v>
      </c>
      <c r="BI777" s="452" t="s">
        <v>320</v>
      </c>
      <c r="BJ777" s="1822"/>
      <c r="BL777" s="1819">
        <v>1588816202.8699999</v>
      </c>
      <c r="BN777" s="452">
        <v>2015</v>
      </c>
    </row>
    <row r="778" spans="1:67">
      <c r="A778" s="228">
        <f t="shared" ref="A778:A841" si="25">YEAR(C778)</f>
        <v>1900</v>
      </c>
      <c r="B778" s="228">
        <f t="shared" ref="B778:B841" si="26">IF(OR(MONTH(C778)=1,MONTH(C778)=2,MONTH(C778)=3),1,IF(OR(MONTH(C778)=4,MONTH(C778)=5,MONTH(C778)=6),2,IF(OR(MONTH(C778)=7,MONTH(C778)=8,MONTH(C778)=9),3,4)))</f>
        <v>1</v>
      </c>
      <c r="BA778" s="1817" t="s">
        <v>228</v>
      </c>
      <c r="BB778" s="1818">
        <v>2011</v>
      </c>
      <c r="BC778" s="452" t="s">
        <v>15</v>
      </c>
      <c r="BD778" s="452">
        <v>2</v>
      </c>
      <c r="BE778" s="1819">
        <v>487302886</v>
      </c>
      <c r="BF778" s="1820">
        <v>0.23799999999999999</v>
      </c>
      <c r="BH778" s="1817" t="s">
        <v>342</v>
      </c>
      <c r="BI778" s="452" t="s">
        <v>319</v>
      </c>
      <c r="BJ778" s="1822"/>
      <c r="BL778" s="1819">
        <v>1520554770.7800002</v>
      </c>
      <c r="BN778" s="452">
        <v>2014</v>
      </c>
    </row>
    <row r="779" spans="1:67">
      <c r="A779" s="228">
        <f t="shared" si="25"/>
        <v>1900</v>
      </c>
      <c r="B779" s="228">
        <f t="shared" si="26"/>
        <v>1</v>
      </c>
      <c r="BA779" s="1817" t="s">
        <v>228</v>
      </c>
      <c r="BB779" s="1818">
        <v>2011</v>
      </c>
      <c r="BC779" s="452" t="s">
        <v>18</v>
      </c>
      <c r="BD779" s="452">
        <v>3</v>
      </c>
      <c r="BE779" s="1819">
        <v>413066524</v>
      </c>
      <c r="BF779" s="1820">
        <v>0.20100000000000001</v>
      </c>
      <c r="BH779" s="1817" t="s">
        <v>342</v>
      </c>
      <c r="BI779" s="452" t="s">
        <v>318</v>
      </c>
      <c r="BJ779" s="1822"/>
      <c r="BL779" s="1819">
        <v>1450427560.1800001</v>
      </c>
      <c r="BN779" s="452">
        <v>2013</v>
      </c>
    </row>
    <row r="780" spans="1:67">
      <c r="A780" s="228">
        <f t="shared" si="25"/>
        <v>1900</v>
      </c>
      <c r="B780" s="228">
        <f t="shared" si="26"/>
        <v>1</v>
      </c>
      <c r="BA780" s="1817" t="s">
        <v>228</v>
      </c>
      <c r="BB780" s="1818">
        <v>2011</v>
      </c>
      <c r="BC780" s="452" t="s">
        <v>20</v>
      </c>
      <c r="BD780" s="452">
        <v>4</v>
      </c>
      <c r="BE780" s="1819">
        <v>290029875</v>
      </c>
      <c r="BF780" s="1820">
        <v>0.14099999999999999</v>
      </c>
      <c r="BH780" s="1817" t="s">
        <v>342</v>
      </c>
      <c r="BI780" s="452" t="s">
        <v>317</v>
      </c>
      <c r="BJ780" s="1822"/>
      <c r="BL780" s="1819">
        <v>1541281662.23</v>
      </c>
      <c r="BN780" s="452">
        <v>2012</v>
      </c>
    </row>
    <row r="781" spans="1:67">
      <c r="A781" s="228">
        <f t="shared" si="25"/>
        <v>1900</v>
      </c>
      <c r="B781" s="228">
        <f t="shared" si="26"/>
        <v>1</v>
      </c>
      <c r="BA781" s="1817" t="s">
        <v>228</v>
      </c>
      <c r="BB781" s="1818">
        <v>2011</v>
      </c>
      <c r="BC781" s="452" t="s">
        <v>53</v>
      </c>
      <c r="BD781" s="452">
        <v>5</v>
      </c>
      <c r="BE781" s="1819">
        <v>177026486</v>
      </c>
      <c r="BF781" s="1820">
        <v>8.5999999999999993E-2</v>
      </c>
      <c r="BH781" s="1817" t="s">
        <v>342</v>
      </c>
      <c r="BI781" s="452" t="s">
        <v>316</v>
      </c>
      <c r="BJ781" s="1822"/>
      <c r="BL781" s="1819">
        <v>1547839336.1300001</v>
      </c>
      <c r="BN781" s="452">
        <v>2011</v>
      </c>
    </row>
    <row r="782" spans="1:67">
      <c r="A782" s="228">
        <f t="shared" si="25"/>
        <v>1900</v>
      </c>
      <c r="B782" s="228">
        <f t="shared" si="26"/>
        <v>1</v>
      </c>
      <c r="BA782" s="1817" t="s">
        <v>228</v>
      </c>
      <c r="BB782" s="1818">
        <v>2011</v>
      </c>
      <c r="BC782" s="452" t="s">
        <v>46</v>
      </c>
      <c r="BD782" s="452">
        <v>6</v>
      </c>
      <c r="BE782" s="1819">
        <v>153540432</v>
      </c>
      <c r="BF782" s="1820">
        <v>7.4999999999999997E-2</v>
      </c>
      <c r="BH782" s="1817" t="s">
        <v>342</v>
      </c>
      <c r="BI782" s="452" t="s">
        <v>315</v>
      </c>
      <c r="BJ782" s="1822"/>
      <c r="BL782" s="1819">
        <v>1349644552.73</v>
      </c>
      <c r="BN782" s="452">
        <v>2010</v>
      </c>
      <c r="BO782" s="1687"/>
    </row>
    <row r="783" spans="1:67">
      <c r="A783" s="228">
        <f t="shared" si="25"/>
        <v>1900</v>
      </c>
      <c r="B783" s="228">
        <f t="shared" si="26"/>
        <v>1</v>
      </c>
      <c r="BA783" s="1817" t="s">
        <v>228</v>
      </c>
      <c r="BB783" s="1818">
        <v>2011</v>
      </c>
      <c r="BC783" s="452" t="s">
        <v>42</v>
      </c>
      <c r="BD783" s="452">
        <v>7</v>
      </c>
      <c r="BE783" s="1819">
        <v>22577985</v>
      </c>
      <c r="BF783" s="1820">
        <v>1.0999999999999999E-2</v>
      </c>
      <c r="BH783" s="1817" t="s">
        <v>342</v>
      </c>
      <c r="BI783" s="452" t="s">
        <v>314</v>
      </c>
      <c r="BJ783" s="1822"/>
      <c r="BL783" s="1819">
        <v>966602084.71000004</v>
      </c>
      <c r="BN783" s="452">
        <v>2009</v>
      </c>
      <c r="BO783" s="1687"/>
    </row>
    <row r="784" spans="1:67">
      <c r="A784" s="228">
        <f t="shared" si="25"/>
        <v>1900</v>
      </c>
      <c r="B784" s="228">
        <f t="shared" si="26"/>
        <v>1</v>
      </c>
      <c r="BA784" s="1817" t="s">
        <v>228</v>
      </c>
      <c r="BB784" s="1818">
        <v>2011</v>
      </c>
      <c r="BC784" s="452" t="s">
        <v>28</v>
      </c>
      <c r="BD784" s="452">
        <v>8</v>
      </c>
      <c r="BE784" s="1819">
        <v>14988448</v>
      </c>
      <c r="BF784" s="1820">
        <v>7.0000000000000001E-3</v>
      </c>
      <c r="BH784" s="1817" t="s">
        <v>342</v>
      </c>
      <c r="BI784" s="452" t="s">
        <v>313</v>
      </c>
      <c r="BJ784" s="1822"/>
      <c r="BL784" s="1819">
        <v>621565632.72000003</v>
      </c>
      <c r="BN784" s="452">
        <v>2008</v>
      </c>
      <c r="BO784" s="1687"/>
    </row>
    <row r="785" spans="1:67">
      <c r="A785" s="228">
        <f t="shared" si="25"/>
        <v>1900</v>
      </c>
      <c r="B785" s="228">
        <f t="shared" si="26"/>
        <v>1</v>
      </c>
      <c r="BA785" s="1817" t="s">
        <v>228</v>
      </c>
      <c r="BB785" s="1818">
        <v>2011</v>
      </c>
      <c r="BC785" s="452" t="s">
        <v>255</v>
      </c>
      <c r="BD785" s="452">
        <v>9</v>
      </c>
      <c r="BE785" s="1819">
        <v>2750648</v>
      </c>
      <c r="BF785" s="1820">
        <v>1E-3</v>
      </c>
      <c r="BH785" s="1817" t="s">
        <v>342</v>
      </c>
      <c r="BI785" s="452" t="s">
        <v>312</v>
      </c>
      <c r="BJ785" s="1822"/>
      <c r="BL785" s="1819">
        <v>456211782.08000004</v>
      </c>
      <c r="BN785" s="452">
        <v>2007</v>
      </c>
      <c r="BO785" s="1687"/>
    </row>
    <row r="786" spans="1:67">
      <c r="A786" s="228">
        <f t="shared" si="25"/>
        <v>1900</v>
      </c>
      <c r="B786" s="228">
        <f t="shared" si="26"/>
        <v>1</v>
      </c>
      <c r="BA786" s="1817" t="s">
        <v>228</v>
      </c>
      <c r="BB786" s="1818">
        <v>2011</v>
      </c>
      <c r="BC786" s="452" t="s">
        <v>54</v>
      </c>
      <c r="BD786" s="452">
        <v>10</v>
      </c>
      <c r="BE786" s="1819">
        <v>270041</v>
      </c>
      <c r="BF786" s="1820">
        <v>0</v>
      </c>
      <c r="BH786" s="1817" t="s">
        <v>228</v>
      </c>
      <c r="BI786" s="452" t="s">
        <v>320</v>
      </c>
      <c r="BJ786" s="452" t="s">
        <v>15</v>
      </c>
      <c r="BK786" s="452">
        <v>1</v>
      </c>
      <c r="BL786" s="1819">
        <v>847806669</v>
      </c>
      <c r="BM786" s="1820">
        <v>0.27600000000000002</v>
      </c>
      <c r="BN786" s="452">
        <v>2015</v>
      </c>
      <c r="BO786" s="1687"/>
    </row>
    <row r="787" spans="1:67">
      <c r="A787" s="228">
        <f t="shared" si="25"/>
        <v>1900</v>
      </c>
      <c r="B787" s="228">
        <f t="shared" si="26"/>
        <v>1</v>
      </c>
      <c r="BA787" s="1817" t="s">
        <v>228</v>
      </c>
      <c r="BB787" s="1818">
        <v>2011</v>
      </c>
      <c r="BC787" s="452" t="s">
        <v>32</v>
      </c>
      <c r="BE787" s="1819">
        <v>91632</v>
      </c>
      <c r="BF787" s="1820">
        <v>0</v>
      </c>
      <c r="BH787" s="1817" t="s">
        <v>228</v>
      </c>
      <c r="BI787" s="452" t="s">
        <v>320</v>
      </c>
      <c r="BJ787" s="452" t="s">
        <v>581</v>
      </c>
      <c r="BK787" s="452">
        <v>2</v>
      </c>
      <c r="BL787" s="1819">
        <v>816366257</v>
      </c>
      <c r="BM787" s="1820">
        <v>0.26600000000000001</v>
      </c>
      <c r="BN787" s="452">
        <v>2015</v>
      </c>
      <c r="BO787" s="1687"/>
    </row>
    <row r="788" spans="1:67">
      <c r="A788" s="228">
        <f t="shared" si="25"/>
        <v>1900</v>
      </c>
      <c r="B788" s="228">
        <f t="shared" si="26"/>
        <v>1</v>
      </c>
      <c r="BA788" s="1817" t="s">
        <v>228</v>
      </c>
      <c r="BB788" s="1818">
        <v>2011</v>
      </c>
      <c r="BC788" s="452" t="s">
        <v>249</v>
      </c>
      <c r="BE788" s="1819">
        <v>2050159274</v>
      </c>
      <c r="BH788" s="1817" t="s">
        <v>228</v>
      </c>
      <c r="BI788" s="452" t="s">
        <v>320</v>
      </c>
      <c r="BJ788" s="452" t="s">
        <v>53</v>
      </c>
      <c r="BK788" s="452">
        <v>3</v>
      </c>
      <c r="BL788" s="1819">
        <v>520528130</v>
      </c>
      <c r="BM788" s="1820">
        <v>0.16900000000000001</v>
      </c>
      <c r="BN788" s="452">
        <v>2015</v>
      </c>
      <c r="BO788" s="1687"/>
    </row>
    <row r="789" spans="1:67">
      <c r="A789" s="228">
        <f t="shared" si="25"/>
        <v>1900</v>
      </c>
      <c r="B789" s="228">
        <f t="shared" si="26"/>
        <v>1</v>
      </c>
      <c r="BA789" s="1817" t="s">
        <v>228</v>
      </c>
      <c r="BB789" s="1818">
        <v>2010</v>
      </c>
      <c r="BC789" s="452" t="s">
        <v>15</v>
      </c>
      <c r="BD789" s="452">
        <v>1</v>
      </c>
      <c r="BE789" s="1819">
        <v>839808558</v>
      </c>
      <c r="BF789" s="1820">
        <v>0.28000000000000003</v>
      </c>
      <c r="BH789" s="1817" t="s">
        <v>228</v>
      </c>
      <c r="BI789" s="452" t="s">
        <v>320</v>
      </c>
      <c r="BJ789" s="452" t="s">
        <v>20</v>
      </c>
      <c r="BK789" s="452">
        <v>4</v>
      </c>
      <c r="BL789" s="1819">
        <v>371624283</v>
      </c>
      <c r="BM789" s="1820">
        <v>0.121</v>
      </c>
      <c r="BN789" s="452">
        <v>2015</v>
      </c>
      <c r="BO789" s="1687"/>
    </row>
    <row r="790" spans="1:67">
      <c r="A790" s="228">
        <f t="shared" si="25"/>
        <v>1900</v>
      </c>
      <c r="B790" s="228">
        <f t="shared" si="26"/>
        <v>1</v>
      </c>
      <c r="BA790" s="1817" t="s">
        <v>228</v>
      </c>
      <c r="BB790" s="1818">
        <v>2010</v>
      </c>
      <c r="BC790" s="452" t="s">
        <v>581</v>
      </c>
      <c r="BD790" s="452">
        <v>2</v>
      </c>
      <c r="BE790" s="1819">
        <v>754039946</v>
      </c>
      <c r="BF790" s="1820">
        <v>0.251</v>
      </c>
      <c r="BH790" s="1817" t="s">
        <v>228</v>
      </c>
      <c r="BI790" s="452" t="s">
        <v>320</v>
      </c>
      <c r="BJ790" s="452" t="s">
        <v>18</v>
      </c>
      <c r="BK790" s="452">
        <v>5</v>
      </c>
      <c r="BL790" s="1819">
        <v>200594224</v>
      </c>
      <c r="BM790" s="1820">
        <v>6.5000000000000002E-2</v>
      </c>
      <c r="BN790" s="452">
        <v>2015</v>
      </c>
      <c r="BO790" s="1687"/>
    </row>
    <row r="791" spans="1:67">
      <c r="A791" s="228">
        <f t="shared" si="25"/>
        <v>1900</v>
      </c>
      <c r="B791" s="228">
        <f t="shared" si="26"/>
        <v>1</v>
      </c>
      <c r="BA791" s="1817" t="s">
        <v>228</v>
      </c>
      <c r="BB791" s="1818">
        <v>2010</v>
      </c>
      <c r="BC791" s="452" t="s">
        <v>20</v>
      </c>
      <c r="BD791" s="452">
        <v>3</v>
      </c>
      <c r="BE791" s="1819">
        <v>521627226</v>
      </c>
      <c r="BF791" s="1820">
        <v>0.17399999999999999</v>
      </c>
      <c r="BH791" s="1817" t="s">
        <v>228</v>
      </c>
      <c r="BI791" s="452" t="s">
        <v>320</v>
      </c>
      <c r="BJ791" s="452" t="s">
        <v>46</v>
      </c>
      <c r="BK791" s="452">
        <v>6</v>
      </c>
      <c r="BL791" s="1819">
        <v>197377870</v>
      </c>
      <c r="BM791" s="1820">
        <v>6.4000000000000001E-2</v>
      </c>
      <c r="BN791" s="452">
        <v>2015</v>
      </c>
    </row>
    <row r="792" spans="1:67">
      <c r="A792" s="228">
        <f t="shared" si="25"/>
        <v>1900</v>
      </c>
      <c r="B792" s="228">
        <f t="shared" si="26"/>
        <v>1</v>
      </c>
      <c r="BA792" s="1817" t="s">
        <v>228</v>
      </c>
      <c r="BB792" s="1818">
        <v>2010</v>
      </c>
      <c r="BC792" s="452" t="s">
        <v>18</v>
      </c>
      <c r="BD792" s="452">
        <v>4</v>
      </c>
      <c r="BE792" s="1819">
        <v>473161178</v>
      </c>
      <c r="BF792" s="1820">
        <v>0.157</v>
      </c>
      <c r="BH792" s="1817" t="s">
        <v>228</v>
      </c>
      <c r="BI792" s="452" t="s">
        <v>320</v>
      </c>
      <c r="BJ792" s="452" t="s">
        <v>583</v>
      </c>
      <c r="BK792" s="452">
        <v>7</v>
      </c>
      <c r="BL792" s="1819">
        <v>57402316</v>
      </c>
      <c r="BM792" s="1820">
        <v>1.9E-2</v>
      </c>
      <c r="BN792" s="452">
        <v>2015</v>
      </c>
    </row>
    <row r="793" spans="1:67">
      <c r="A793" s="228">
        <f t="shared" si="25"/>
        <v>1900</v>
      </c>
      <c r="B793" s="228">
        <f t="shared" si="26"/>
        <v>1</v>
      </c>
      <c r="BA793" s="1817" t="s">
        <v>228</v>
      </c>
      <c r="BB793" s="1818">
        <v>2010</v>
      </c>
      <c r="BC793" s="452" t="s">
        <v>46</v>
      </c>
      <c r="BD793" s="452">
        <v>5</v>
      </c>
      <c r="BE793" s="1819">
        <v>185377130</v>
      </c>
      <c r="BF793" s="1820">
        <v>6.2E-2</v>
      </c>
      <c r="BH793" s="1817" t="s">
        <v>228</v>
      </c>
      <c r="BI793" s="452" t="s">
        <v>320</v>
      </c>
      <c r="BJ793" s="452" t="s">
        <v>42</v>
      </c>
      <c r="BK793" s="452">
        <v>8</v>
      </c>
      <c r="BL793" s="1819">
        <v>52861207</v>
      </c>
      <c r="BM793" s="1820">
        <v>1.7000000000000001E-2</v>
      </c>
      <c r="BN793" s="452">
        <v>2015</v>
      </c>
    </row>
    <row r="794" spans="1:67">
      <c r="A794" s="228">
        <f t="shared" si="25"/>
        <v>1900</v>
      </c>
      <c r="B794" s="228">
        <f t="shared" si="26"/>
        <v>1</v>
      </c>
      <c r="BA794" s="1817" t="s">
        <v>228</v>
      </c>
      <c r="BB794" s="1818">
        <v>2010</v>
      </c>
      <c r="BC794" s="452" t="s">
        <v>53</v>
      </c>
      <c r="BD794" s="452">
        <v>6</v>
      </c>
      <c r="BE794" s="1819">
        <v>159454759</v>
      </c>
      <c r="BF794" s="1820">
        <v>5.2999999999999999E-2</v>
      </c>
      <c r="BH794" s="1817" t="s">
        <v>228</v>
      </c>
      <c r="BI794" s="452" t="s">
        <v>320</v>
      </c>
      <c r="BJ794" s="452" t="s">
        <v>28</v>
      </c>
      <c r="BK794" s="452">
        <v>9</v>
      </c>
      <c r="BL794" s="1819">
        <v>7460387</v>
      </c>
      <c r="BM794" s="1820">
        <v>2E-3</v>
      </c>
      <c r="BN794" s="452">
        <v>2015</v>
      </c>
    </row>
    <row r="795" spans="1:67">
      <c r="A795" s="228">
        <f t="shared" si="25"/>
        <v>1900</v>
      </c>
      <c r="B795" s="228">
        <f t="shared" si="26"/>
        <v>1</v>
      </c>
      <c r="BA795" s="1817" t="s">
        <v>228</v>
      </c>
      <c r="BB795" s="1818">
        <v>2010</v>
      </c>
      <c r="BC795" s="452" t="s">
        <v>42</v>
      </c>
      <c r="BD795" s="452">
        <v>7</v>
      </c>
      <c r="BE795" s="1819">
        <v>36370523</v>
      </c>
      <c r="BF795" s="1820">
        <v>1.2E-2</v>
      </c>
      <c r="BH795" s="1817" t="s">
        <v>228</v>
      </c>
      <c r="BI795" s="452" t="s">
        <v>320</v>
      </c>
      <c r="BJ795" s="452" t="s">
        <v>75</v>
      </c>
      <c r="BK795" s="452">
        <v>10</v>
      </c>
      <c r="BL795" s="1819">
        <v>2043</v>
      </c>
      <c r="BM795" s="1820">
        <v>0</v>
      </c>
      <c r="BN795" s="452">
        <v>2015</v>
      </c>
    </row>
    <row r="796" spans="1:67">
      <c r="A796" s="228">
        <f t="shared" si="25"/>
        <v>1900</v>
      </c>
      <c r="B796" s="228">
        <f t="shared" si="26"/>
        <v>1</v>
      </c>
      <c r="BA796" s="1817" t="s">
        <v>228</v>
      </c>
      <c r="BB796" s="1818">
        <v>2010</v>
      </c>
      <c r="BC796" s="452" t="s">
        <v>28</v>
      </c>
      <c r="BD796" s="452">
        <v>8</v>
      </c>
      <c r="BE796" s="1819">
        <v>26759529</v>
      </c>
      <c r="BF796" s="1820">
        <v>8.9999999999999993E-3</v>
      </c>
      <c r="BH796" s="1817" t="s">
        <v>228</v>
      </c>
      <c r="BI796" s="452" t="s">
        <v>320</v>
      </c>
      <c r="BJ796" s="452" t="s">
        <v>32</v>
      </c>
      <c r="BM796" s="1820">
        <v>0</v>
      </c>
      <c r="BN796" s="452">
        <v>2015</v>
      </c>
    </row>
    <row r="797" spans="1:67">
      <c r="A797" s="228">
        <f t="shared" si="25"/>
        <v>1900</v>
      </c>
      <c r="B797" s="228">
        <f t="shared" si="26"/>
        <v>1</v>
      </c>
      <c r="BA797" s="1817" t="s">
        <v>228</v>
      </c>
      <c r="BB797" s="1818">
        <v>2010</v>
      </c>
      <c r="BC797" s="452" t="s">
        <v>256</v>
      </c>
      <c r="BD797" s="452">
        <v>9</v>
      </c>
      <c r="BE797" s="1819">
        <v>4939426</v>
      </c>
      <c r="BF797" s="1820">
        <v>2E-3</v>
      </c>
      <c r="BH797" s="1817" t="s">
        <v>228</v>
      </c>
      <c r="BI797" s="452" t="s">
        <v>320</v>
      </c>
      <c r="BJ797" s="452" t="s">
        <v>249</v>
      </c>
      <c r="BL797" s="1819">
        <v>3072023386</v>
      </c>
      <c r="BN797" s="452">
        <v>2015</v>
      </c>
    </row>
    <row r="798" spans="1:67">
      <c r="A798" s="228">
        <f t="shared" si="25"/>
        <v>1900</v>
      </c>
      <c r="B798" s="228">
        <f t="shared" si="26"/>
        <v>1</v>
      </c>
      <c r="BA798" s="1817" t="s">
        <v>228</v>
      </c>
      <c r="BB798" s="1818">
        <v>2010</v>
      </c>
      <c r="BC798" s="452" t="s">
        <v>255</v>
      </c>
      <c r="BD798" s="452">
        <v>10</v>
      </c>
      <c r="BE798" s="1819">
        <v>2197618</v>
      </c>
      <c r="BF798" s="1820">
        <v>1E-3</v>
      </c>
      <c r="BH798" s="1817" t="s">
        <v>228</v>
      </c>
      <c r="BI798" s="452" t="s">
        <v>319</v>
      </c>
      <c r="BJ798" s="452" t="s">
        <v>15</v>
      </c>
      <c r="BK798" s="452">
        <v>1</v>
      </c>
      <c r="BL798" s="1819">
        <v>884908791</v>
      </c>
      <c r="BM798" s="1820">
        <v>0.314</v>
      </c>
      <c r="BN798" s="452">
        <v>2014</v>
      </c>
    </row>
    <row r="799" spans="1:67">
      <c r="A799" s="228">
        <f t="shared" si="25"/>
        <v>1900</v>
      </c>
      <c r="B799" s="228">
        <f t="shared" si="26"/>
        <v>1</v>
      </c>
      <c r="BA799" s="1817" t="s">
        <v>228</v>
      </c>
      <c r="BB799" s="1818">
        <v>2010</v>
      </c>
      <c r="BC799" s="452" t="s">
        <v>32</v>
      </c>
      <c r="BE799" s="1819">
        <v>517109</v>
      </c>
      <c r="BF799" s="1820">
        <v>0</v>
      </c>
      <c r="BH799" s="1817" t="s">
        <v>228</v>
      </c>
      <c r="BI799" s="452" t="s">
        <v>319</v>
      </c>
      <c r="BJ799" s="452" t="s">
        <v>581</v>
      </c>
      <c r="BK799" s="452">
        <v>2</v>
      </c>
      <c r="BL799" s="1819">
        <v>629178546</v>
      </c>
      <c r="BM799" s="1820">
        <v>0.224</v>
      </c>
      <c r="BN799" s="452">
        <v>2014</v>
      </c>
    </row>
    <row r="800" spans="1:67">
      <c r="A800" s="228">
        <f t="shared" si="25"/>
        <v>1900</v>
      </c>
      <c r="B800" s="228">
        <f t="shared" si="26"/>
        <v>1</v>
      </c>
      <c r="BA800" s="1817" t="s">
        <v>228</v>
      </c>
      <c r="BB800" s="1818">
        <v>2010</v>
      </c>
      <c r="BC800" s="452" t="s">
        <v>249</v>
      </c>
      <c r="BE800" s="1819">
        <v>3004253002</v>
      </c>
      <c r="BH800" s="1817" t="s">
        <v>228</v>
      </c>
      <c r="BI800" s="452" t="s">
        <v>319</v>
      </c>
      <c r="BJ800" s="452" t="s">
        <v>20</v>
      </c>
      <c r="BK800" s="452">
        <v>3</v>
      </c>
      <c r="BL800" s="1819">
        <v>453952993</v>
      </c>
      <c r="BM800" s="1820">
        <v>0.161</v>
      </c>
      <c r="BN800" s="452">
        <v>2014</v>
      </c>
    </row>
    <row r="801" spans="1:66">
      <c r="A801" s="228">
        <f t="shared" si="25"/>
        <v>1900</v>
      </c>
      <c r="B801" s="228">
        <f t="shared" si="26"/>
        <v>1</v>
      </c>
      <c r="BA801" s="1817" t="s">
        <v>228</v>
      </c>
      <c r="BB801" s="1818">
        <v>2009</v>
      </c>
      <c r="BC801" s="452" t="s">
        <v>15</v>
      </c>
      <c r="BD801" s="452">
        <v>1</v>
      </c>
      <c r="BE801" s="1819">
        <v>541226418</v>
      </c>
      <c r="BF801" s="1820">
        <v>0.36199999999999999</v>
      </c>
      <c r="BH801" s="1817" t="s">
        <v>228</v>
      </c>
      <c r="BI801" s="452" t="s">
        <v>319</v>
      </c>
      <c r="BJ801" s="452" t="s">
        <v>53</v>
      </c>
      <c r="BK801" s="452">
        <v>4</v>
      </c>
      <c r="BL801" s="1819">
        <v>334968968</v>
      </c>
      <c r="BM801" s="1820">
        <v>0.11899999999999999</v>
      </c>
      <c r="BN801" s="452">
        <v>2014</v>
      </c>
    </row>
    <row r="802" spans="1:66">
      <c r="A802" s="228">
        <f t="shared" si="25"/>
        <v>1900</v>
      </c>
      <c r="B802" s="228">
        <f t="shared" si="26"/>
        <v>1</v>
      </c>
      <c r="BA802" s="1817" t="s">
        <v>228</v>
      </c>
      <c r="BB802" s="1818">
        <v>2009</v>
      </c>
      <c r="BC802" s="452" t="s">
        <v>18</v>
      </c>
      <c r="BD802" s="452">
        <v>2</v>
      </c>
      <c r="BE802" s="1819">
        <v>322634456</v>
      </c>
      <c r="BF802" s="1820">
        <v>0.216</v>
      </c>
      <c r="BH802" s="1817" t="s">
        <v>228</v>
      </c>
      <c r="BI802" s="452" t="s">
        <v>319</v>
      </c>
      <c r="BJ802" s="452" t="s">
        <v>46</v>
      </c>
      <c r="BK802" s="452">
        <v>5</v>
      </c>
      <c r="BL802" s="1819">
        <v>244355877</v>
      </c>
      <c r="BM802" s="1820">
        <v>8.6999999999999994E-2</v>
      </c>
      <c r="BN802" s="452">
        <v>2014</v>
      </c>
    </row>
    <row r="803" spans="1:66">
      <c r="A803" s="228">
        <f t="shared" si="25"/>
        <v>1900</v>
      </c>
      <c r="B803" s="228">
        <f t="shared" si="26"/>
        <v>1</v>
      </c>
      <c r="BA803" s="1817" t="s">
        <v>228</v>
      </c>
      <c r="BB803" s="1818">
        <v>2009</v>
      </c>
      <c r="BC803" s="452" t="s">
        <v>581</v>
      </c>
      <c r="BD803" s="452">
        <v>3</v>
      </c>
      <c r="BE803" s="1819">
        <v>298376415</v>
      </c>
      <c r="BF803" s="1820">
        <v>0.2</v>
      </c>
      <c r="BH803" s="1817" t="s">
        <v>228</v>
      </c>
      <c r="BI803" s="452" t="s">
        <v>319</v>
      </c>
      <c r="BJ803" s="452" t="s">
        <v>18</v>
      </c>
      <c r="BK803" s="452">
        <v>6</v>
      </c>
      <c r="BL803" s="1819">
        <v>114428051</v>
      </c>
      <c r="BM803" s="1820">
        <v>4.1000000000000002E-2</v>
      </c>
      <c r="BN803" s="452">
        <v>2014</v>
      </c>
    </row>
    <row r="804" spans="1:66">
      <c r="A804" s="228">
        <f t="shared" si="25"/>
        <v>1900</v>
      </c>
      <c r="B804" s="228">
        <f t="shared" si="26"/>
        <v>1</v>
      </c>
      <c r="BA804" s="1817" t="s">
        <v>228</v>
      </c>
      <c r="BB804" s="1818">
        <v>2009</v>
      </c>
      <c r="BC804" s="452" t="s">
        <v>20</v>
      </c>
      <c r="BD804" s="452">
        <v>4</v>
      </c>
      <c r="BE804" s="1819">
        <v>238807947</v>
      </c>
      <c r="BF804" s="1820">
        <v>0.16</v>
      </c>
      <c r="BH804" s="1817" t="s">
        <v>228</v>
      </c>
      <c r="BI804" s="452" t="s">
        <v>319</v>
      </c>
      <c r="BJ804" s="452" t="s">
        <v>245</v>
      </c>
      <c r="BK804" s="452">
        <v>7</v>
      </c>
      <c r="BL804" s="1819">
        <v>50575557</v>
      </c>
      <c r="BM804" s="1820">
        <v>1.7999999999999999E-2</v>
      </c>
      <c r="BN804" s="452">
        <v>2014</v>
      </c>
    </row>
    <row r="805" spans="1:66">
      <c r="A805" s="228">
        <f t="shared" si="25"/>
        <v>1900</v>
      </c>
      <c r="B805" s="228">
        <f t="shared" si="26"/>
        <v>1</v>
      </c>
      <c r="BA805" s="1817" t="s">
        <v>228</v>
      </c>
      <c r="BB805" s="1818">
        <v>2009</v>
      </c>
      <c r="BC805" s="452" t="s">
        <v>42</v>
      </c>
      <c r="BD805" s="452">
        <v>5</v>
      </c>
      <c r="BE805" s="1819">
        <v>39789405</v>
      </c>
      <c r="BF805" s="1820">
        <v>2.7E-2</v>
      </c>
      <c r="BH805" s="1817" t="s">
        <v>228</v>
      </c>
      <c r="BI805" s="452" t="s">
        <v>319</v>
      </c>
      <c r="BJ805" s="452" t="s">
        <v>42</v>
      </c>
      <c r="BK805" s="452">
        <v>8</v>
      </c>
      <c r="BL805" s="1819">
        <v>30474982</v>
      </c>
      <c r="BM805" s="1820">
        <v>1.0999999999999999E-2</v>
      </c>
      <c r="BN805" s="452">
        <v>2014</v>
      </c>
    </row>
    <row r="806" spans="1:66">
      <c r="A806" s="228">
        <f t="shared" si="25"/>
        <v>1900</v>
      </c>
      <c r="B806" s="228">
        <f t="shared" si="26"/>
        <v>1</v>
      </c>
      <c r="BA806" s="1817" t="s">
        <v>228</v>
      </c>
      <c r="BB806" s="1818">
        <v>2009</v>
      </c>
      <c r="BC806" s="452" t="s">
        <v>46</v>
      </c>
      <c r="BD806" s="452">
        <v>6</v>
      </c>
      <c r="BE806" s="1819">
        <v>22843790</v>
      </c>
      <c r="BF806" s="1820">
        <v>1.4999999999999999E-2</v>
      </c>
      <c r="BH806" s="1817" t="s">
        <v>228</v>
      </c>
      <c r="BI806" s="452" t="s">
        <v>319</v>
      </c>
      <c r="BJ806" s="452" t="s">
        <v>583</v>
      </c>
      <c r="BK806" s="452">
        <v>9</v>
      </c>
      <c r="BL806" s="1819">
        <v>26382998</v>
      </c>
      <c r="BM806" s="1820">
        <v>8.9999999999999993E-3</v>
      </c>
      <c r="BN806" s="452">
        <v>2014</v>
      </c>
    </row>
    <row r="807" spans="1:66">
      <c r="A807" s="228">
        <f t="shared" si="25"/>
        <v>1900</v>
      </c>
      <c r="B807" s="228">
        <f t="shared" si="26"/>
        <v>1</v>
      </c>
      <c r="BA807" s="1817" t="s">
        <v>228</v>
      </c>
      <c r="BB807" s="1818">
        <v>2009</v>
      </c>
      <c r="BC807" s="452" t="s">
        <v>28</v>
      </c>
      <c r="BD807" s="452">
        <v>7</v>
      </c>
      <c r="BE807" s="1819">
        <v>19315224</v>
      </c>
      <c r="BF807" s="1820">
        <v>1.2999999999999999E-2</v>
      </c>
      <c r="BH807" s="1817" t="s">
        <v>228</v>
      </c>
      <c r="BI807" s="452" t="s">
        <v>319</v>
      </c>
      <c r="BJ807" s="452" t="s">
        <v>28</v>
      </c>
      <c r="BK807" s="452">
        <v>10</v>
      </c>
      <c r="BL807" s="1819">
        <v>18821277</v>
      </c>
      <c r="BM807" s="1820">
        <v>7.0000000000000001E-3</v>
      </c>
      <c r="BN807" s="452">
        <v>2014</v>
      </c>
    </row>
    <row r="808" spans="1:66">
      <c r="A808" s="228">
        <f t="shared" si="25"/>
        <v>1900</v>
      </c>
      <c r="B808" s="228">
        <f t="shared" si="26"/>
        <v>1</v>
      </c>
      <c r="BA808" s="1817" t="s">
        <v>228</v>
      </c>
      <c r="BB808" s="1818">
        <v>2009</v>
      </c>
      <c r="BC808" s="452" t="s">
        <v>53</v>
      </c>
      <c r="BD808" s="452">
        <v>8</v>
      </c>
      <c r="BE808" s="1819">
        <v>7754809</v>
      </c>
      <c r="BF808" s="1820">
        <v>5.0000000000000001E-3</v>
      </c>
      <c r="BH808" s="1817" t="s">
        <v>228</v>
      </c>
      <c r="BI808" s="452" t="s">
        <v>319</v>
      </c>
      <c r="BJ808" s="452" t="s">
        <v>32</v>
      </c>
      <c r="BL808" s="1819">
        <v>26592680</v>
      </c>
      <c r="BM808" s="1820">
        <v>8.9999999999999993E-3</v>
      </c>
      <c r="BN808" s="452">
        <v>2014</v>
      </c>
    </row>
    <row r="809" spans="1:66">
      <c r="A809" s="228">
        <f t="shared" si="25"/>
        <v>1900</v>
      </c>
      <c r="B809" s="228">
        <f t="shared" si="26"/>
        <v>1</v>
      </c>
      <c r="BA809" s="1817" t="s">
        <v>228</v>
      </c>
      <c r="BB809" s="1818">
        <v>2009</v>
      </c>
      <c r="BC809" s="452" t="s">
        <v>256</v>
      </c>
      <c r="BD809" s="452">
        <v>9</v>
      </c>
      <c r="BE809" s="1819">
        <v>3259498</v>
      </c>
      <c r="BF809" s="1820">
        <v>2E-3</v>
      </c>
      <c r="BH809" s="1817" t="s">
        <v>228</v>
      </c>
      <c r="BI809" s="452" t="s">
        <v>319</v>
      </c>
      <c r="BJ809" s="452" t="s">
        <v>249</v>
      </c>
      <c r="BL809" s="1819">
        <v>2814640719</v>
      </c>
      <c r="BN809" s="452">
        <v>2014</v>
      </c>
    </row>
    <row r="810" spans="1:66">
      <c r="A810" s="228">
        <f t="shared" si="25"/>
        <v>1900</v>
      </c>
      <c r="B810" s="228">
        <f t="shared" si="26"/>
        <v>1</v>
      </c>
      <c r="BA810" s="1817" t="s">
        <v>228</v>
      </c>
      <c r="BB810" s="1818">
        <v>2009</v>
      </c>
      <c r="BC810" s="452" t="s">
        <v>165</v>
      </c>
      <c r="BD810" s="452">
        <v>10</v>
      </c>
      <c r="BE810" s="1824" t="s">
        <v>165</v>
      </c>
      <c r="BF810" s="1820">
        <v>0</v>
      </c>
      <c r="BH810" s="1817" t="s">
        <v>228</v>
      </c>
      <c r="BI810" s="452" t="s">
        <v>318</v>
      </c>
      <c r="BJ810" s="452" t="s">
        <v>15</v>
      </c>
      <c r="BK810" s="452">
        <v>1</v>
      </c>
      <c r="BL810" s="1819">
        <v>956010000</v>
      </c>
      <c r="BM810" s="1820">
        <v>0.373</v>
      </c>
      <c r="BN810" s="452">
        <v>2013</v>
      </c>
    </row>
    <row r="811" spans="1:66">
      <c r="A811" s="228">
        <f t="shared" si="25"/>
        <v>1900</v>
      </c>
      <c r="B811" s="228">
        <f t="shared" si="26"/>
        <v>1</v>
      </c>
      <c r="BA811" s="1817" t="s">
        <v>228</v>
      </c>
      <c r="BB811" s="1818">
        <v>2009</v>
      </c>
      <c r="BC811" s="452" t="s">
        <v>32</v>
      </c>
      <c r="BE811" s="1819">
        <v>0</v>
      </c>
      <c r="BF811" s="1820">
        <v>0</v>
      </c>
      <c r="BH811" s="1817" t="s">
        <v>228</v>
      </c>
      <c r="BI811" s="452" t="s">
        <v>318</v>
      </c>
      <c r="BJ811" s="452" t="s">
        <v>581</v>
      </c>
      <c r="BK811" s="452">
        <v>2</v>
      </c>
      <c r="BL811" s="1819">
        <v>502737544</v>
      </c>
      <c r="BM811" s="1820">
        <v>0.19600000000000001</v>
      </c>
      <c r="BN811" s="452">
        <v>2013</v>
      </c>
    </row>
    <row r="812" spans="1:66">
      <c r="A812" s="228">
        <f t="shared" si="25"/>
        <v>1900</v>
      </c>
      <c r="B812" s="228">
        <f t="shared" si="26"/>
        <v>1</v>
      </c>
      <c r="BA812" s="1817" t="s">
        <v>228</v>
      </c>
      <c r="BB812" s="1818">
        <v>2009</v>
      </c>
      <c r="BC812" s="452" t="s">
        <v>249</v>
      </c>
      <c r="BE812" s="1819">
        <v>1494007960</v>
      </c>
      <c r="BH812" s="1817" t="s">
        <v>228</v>
      </c>
      <c r="BI812" s="452" t="s">
        <v>318</v>
      </c>
      <c r="BJ812" s="452" t="s">
        <v>53</v>
      </c>
      <c r="BK812" s="452">
        <v>3</v>
      </c>
      <c r="BL812" s="1819">
        <v>357401377</v>
      </c>
      <c r="BM812" s="1820">
        <v>0.14000000000000001</v>
      </c>
      <c r="BN812" s="452">
        <v>2013</v>
      </c>
    </row>
    <row r="813" spans="1:66">
      <c r="A813" s="228">
        <f t="shared" si="25"/>
        <v>1900</v>
      </c>
      <c r="B813" s="228">
        <f t="shared" si="26"/>
        <v>1</v>
      </c>
      <c r="BA813" s="1817" t="s">
        <v>228</v>
      </c>
      <c r="BB813" s="1818">
        <v>2008</v>
      </c>
      <c r="BC813" s="452" t="s">
        <v>18</v>
      </c>
      <c r="BD813" s="452">
        <v>1</v>
      </c>
      <c r="BE813" s="1819">
        <v>464587044</v>
      </c>
      <c r="BF813" s="1820">
        <v>0.308</v>
      </c>
      <c r="BH813" s="1817" t="s">
        <v>228</v>
      </c>
      <c r="BI813" s="452" t="s">
        <v>318</v>
      </c>
      <c r="BJ813" s="452" t="s">
        <v>18</v>
      </c>
      <c r="BK813" s="452">
        <v>4</v>
      </c>
      <c r="BL813" s="1819">
        <v>295726921</v>
      </c>
      <c r="BM813" s="1820">
        <v>0.11600000000000001</v>
      </c>
      <c r="BN813" s="452">
        <v>2013</v>
      </c>
    </row>
    <row r="814" spans="1:66">
      <c r="A814" s="228">
        <f t="shared" si="25"/>
        <v>1900</v>
      </c>
      <c r="B814" s="228">
        <f t="shared" si="26"/>
        <v>1</v>
      </c>
      <c r="BA814" s="1817" t="s">
        <v>228</v>
      </c>
      <c r="BB814" s="1818">
        <v>2008</v>
      </c>
      <c r="BC814" s="452" t="s">
        <v>15</v>
      </c>
      <c r="BD814" s="452">
        <v>2</v>
      </c>
      <c r="BE814" s="1819">
        <v>379573095</v>
      </c>
      <c r="BF814" s="1820">
        <v>0.251</v>
      </c>
      <c r="BH814" s="1817" t="s">
        <v>228</v>
      </c>
      <c r="BI814" s="452" t="s">
        <v>318</v>
      </c>
      <c r="BJ814" s="452" t="s">
        <v>20</v>
      </c>
      <c r="BK814" s="452">
        <v>5</v>
      </c>
      <c r="BL814" s="1819">
        <v>229895487</v>
      </c>
      <c r="BM814" s="1820">
        <v>0.09</v>
      </c>
      <c r="BN814" s="452">
        <v>2013</v>
      </c>
    </row>
    <row r="815" spans="1:66">
      <c r="A815" s="228">
        <f t="shared" si="25"/>
        <v>1900</v>
      </c>
      <c r="B815" s="228">
        <f t="shared" si="26"/>
        <v>1</v>
      </c>
      <c r="BA815" s="1817" t="s">
        <v>228</v>
      </c>
      <c r="BB815" s="1818">
        <v>2008</v>
      </c>
      <c r="BC815" s="452" t="s">
        <v>581</v>
      </c>
      <c r="BD815" s="452">
        <v>3</v>
      </c>
      <c r="BE815" s="1819">
        <v>264550168</v>
      </c>
      <c r="BF815" s="1820">
        <v>0.17499999999999999</v>
      </c>
      <c r="BH815" s="1817" t="s">
        <v>228</v>
      </c>
      <c r="BI815" s="452" t="s">
        <v>318</v>
      </c>
      <c r="BJ815" s="452" t="s">
        <v>46</v>
      </c>
      <c r="BK815" s="452">
        <v>6</v>
      </c>
      <c r="BL815" s="1819">
        <v>150596969</v>
      </c>
      <c r="BM815" s="1820">
        <v>5.8999999999999997E-2</v>
      </c>
      <c r="BN815" s="452">
        <v>2013</v>
      </c>
    </row>
    <row r="816" spans="1:66">
      <c r="A816" s="228">
        <f t="shared" si="25"/>
        <v>1900</v>
      </c>
      <c r="B816" s="228">
        <f t="shared" si="26"/>
        <v>1</v>
      </c>
      <c r="BA816" s="1817" t="s">
        <v>228</v>
      </c>
      <c r="BB816" s="1818">
        <v>2008</v>
      </c>
      <c r="BC816" s="452" t="s">
        <v>20</v>
      </c>
      <c r="BD816" s="452">
        <v>4</v>
      </c>
      <c r="BE816" s="1819">
        <v>237000783</v>
      </c>
      <c r="BF816" s="1820">
        <v>0.157</v>
      </c>
      <c r="BH816" s="1817" t="s">
        <v>228</v>
      </c>
      <c r="BI816" s="452" t="s">
        <v>318</v>
      </c>
      <c r="BJ816" s="452" t="s">
        <v>42</v>
      </c>
      <c r="BK816" s="452">
        <v>7</v>
      </c>
      <c r="BL816" s="1819">
        <v>20214113</v>
      </c>
      <c r="BM816" s="1820">
        <v>8.0000000000000002E-3</v>
      </c>
      <c r="BN816" s="452">
        <v>2013</v>
      </c>
    </row>
    <row r="817" spans="1:66">
      <c r="A817" s="228">
        <f t="shared" si="25"/>
        <v>1900</v>
      </c>
      <c r="B817" s="228">
        <f t="shared" si="26"/>
        <v>1</v>
      </c>
      <c r="BA817" s="1817" t="s">
        <v>228</v>
      </c>
      <c r="BB817" s="1818">
        <v>2008</v>
      </c>
      <c r="BC817" s="452" t="s">
        <v>53</v>
      </c>
      <c r="BD817" s="452">
        <v>5</v>
      </c>
      <c r="BE817" s="1819">
        <v>62414814</v>
      </c>
      <c r="BF817" s="1820">
        <v>4.1000000000000002E-2</v>
      </c>
      <c r="BH817" s="1817" t="s">
        <v>228</v>
      </c>
      <c r="BI817" s="452" t="s">
        <v>318</v>
      </c>
      <c r="BJ817" s="452" t="s">
        <v>19</v>
      </c>
      <c r="BK817" s="452">
        <v>8</v>
      </c>
      <c r="BL817" s="1819">
        <v>16007580</v>
      </c>
      <c r="BM817" s="1820">
        <v>6.0000000000000001E-3</v>
      </c>
      <c r="BN817" s="452">
        <v>2013</v>
      </c>
    </row>
    <row r="818" spans="1:66">
      <c r="A818" s="228">
        <f t="shared" si="25"/>
        <v>1900</v>
      </c>
      <c r="B818" s="228">
        <f t="shared" si="26"/>
        <v>1</v>
      </c>
      <c r="BA818" s="1817" t="s">
        <v>228</v>
      </c>
      <c r="BB818" s="1818">
        <v>2008</v>
      </c>
      <c r="BC818" s="452" t="s">
        <v>28</v>
      </c>
      <c r="BD818" s="452">
        <v>6</v>
      </c>
      <c r="BE818" s="1819">
        <v>60258530</v>
      </c>
      <c r="BF818" s="1820">
        <v>0.04</v>
      </c>
      <c r="BH818" s="1817" t="s">
        <v>228</v>
      </c>
      <c r="BI818" s="452" t="s">
        <v>318</v>
      </c>
      <c r="BJ818" s="452" t="s">
        <v>44</v>
      </c>
      <c r="BK818" s="452">
        <v>9</v>
      </c>
      <c r="BL818" s="1819">
        <v>12434191</v>
      </c>
      <c r="BM818" s="1820">
        <v>5.0000000000000001E-3</v>
      </c>
      <c r="BN818" s="452">
        <v>2013</v>
      </c>
    </row>
    <row r="819" spans="1:66">
      <c r="A819" s="228">
        <f t="shared" si="25"/>
        <v>1900</v>
      </c>
      <c r="B819" s="228">
        <f t="shared" si="26"/>
        <v>1</v>
      </c>
      <c r="BA819" s="1817" t="s">
        <v>228</v>
      </c>
      <c r="BB819" s="1818">
        <v>2008</v>
      </c>
      <c r="BC819" s="452" t="s">
        <v>27</v>
      </c>
      <c r="BD819" s="452">
        <v>7</v>
      </c>
      <c r="BE819" s="1819">
        <v>14639640</v>
      </c>
      <c r="BF819" s="1820">
        <v>0.01</v>
      </c>
      <c r="BH819" s="1817" t="s">
        <v>228</v>
      </c>
      <c r="BI819" s="452" t="s">
        <v>318</v>
      </c>
      <c r="BJ819" s="452" t="s">
        <v>28</v>
      </c>
      <c r="BK819" s="452">
        <v>10</v>
      </c>
      <c r="BL819" s="1819">
        <v>7190591</v>
      </c>
      <c r="BM819" s="1820">
        <v>3.0000000000000001E-3</v>
      </c>
      <c r="BN819" s="452">
        <v>2013</v>
      </c>
    </row>
    <row r="820" spans="1:66">
      <c r="A820" s="228">
        <f t="shared" si="25"/>
        <v>1900</v>
      </c>
      <c r="B820" s="228">
        <f t="shared" si="26"/>
        <v>1</v>
      </c>
      <c r="BA820" s="1817" t="s">
        <v>228</v>
      </c>
      <c r="BB820" s="1818">
        <v>2008</v>
      </c>
      <c r="BC820" s="452" t="s">
        <v>23</v>
      </c>
      <c r="BD820" s="452">
        <v>8</v>
      </c>
      <c r="BE820" s="1819">
        <v>13505402</v>
      </c>
      <c r="BF820" s="1820">
        <v>8.9999999999999993E-3</v>
      </c>
      <c r="BH820" s="1817" t="s">
        <v>228</v>
      </c>
      <c r="BI820" s="452" t="s">
        <v>318</v>
      </c>
      <c r="BJ820" s="452" t="s">
        <v>32</v>
      </c>
      <c r="BL820" s="1819">
        <v>12076932</v>
      </c>
      <c r="BM820" s="1820">
        <v>5.0000000000000001E-3</v>
      </c>
      <c r="BN820" s="452">
        <v>2013</v>
      </c>
    </row>
    <row r="821" spans="1:66">
      <c r="A821" s="228">
        <f t="shared" si="25"/>
        <v>1900</v>
      </c>
      <c r="B821" s="228">
        <f t="shared" si="26"/>
        <v>1</v>
      </c>
      <c r="BA821" s="1817" t="s">
        <v>228</v>
      </c>
      <c r="BB821" s="1818">
        <v>2008</v>
      </c>
      <c r="BC821" s="452" t="s">
        <v>42</v>
      </c>
      <c r="BD821" s="452">
        <v>9</v>
      </c>
      <c r="BE821" s="1819">
        <v>12863196</v>
      </c>
      <c r="BF821" s="1820">
        <v>8.9999999999999993E-3</v>
      </c>
      <c r="BH821" s="1817" t="s">
        <v>228</v>
      </c>
      <c r="BI821" s="452" t="s">
        <v>318</v>
      </c>
      <c r="BJ821" s="452" t="s">
        <v>249</v>
      </c>
      <c r="BL821" s="1819">
        <v>2560291703</v>
      </c>
      <c r="BN821" s="452">
        <v>2013</v>
      </c>
    </row>
    <row r="822" spans="1:66">
      <c r="A822" s="228">
        <f t="shared" si="25"/>
        <v>1900</v>
      </c>
      <c r="B822" s="228">
        <f t="shared" si="26"/>
        <v>1</v>
      </c>
      <c r="BA822" s="1817" t="s">
        <v>228</v>
      </c>
      <c r="BB822" s="1818">
        <v>2008</v>
      </c>
      <c r="BC822" s="452" t="s">
        <v>75</v>
      </c>
      <c r="BD822" s="452">
        <v>10</v>
      </c>
      <c r="BE822" s="1819">
        <v>2394</v>
      </c>
      <c r="BF822" s="1820">
        <v>0</v>
      </c>
      <c r="BH822" s="1817" t="s">
        <v>228</v>
      </c>
      <c r="BI822" s="452" t="s">
        <v>317</v>
      </c>
      <c r="BJ822" s="452" t="s">
        <v>15</v>
      </c>
      <c r="BK822" s="452">
        <v>1</v>
      </c>
      <c r="BL822" s="1819">
        <v>822469101</v>
      </c>
      <c r="BM822" s="1820">
        <v>0.29899999999999999</v>
      </c>
      <c r="BN822" s="452">
        <v>2012</v>
      </c>
    </row>
    <row r="823" spans="1:66">
      <c r="A823" s="228">
        <f t="shared" si="25"/>
        <v>1900</v>
      </c>
      <c r="B823" s="228">
        <f t="shared" si="26"/>
        <v>1</v>
      </c>
      <c r="BA823" s="1817" t="s">
        <v>228</v>
      </c>
      <c r="BB823" s="1818">
        <v>2008</v>
      </c>
      <c r="BC823" s="452" t="s">
        <v>32</v>
      </c>
      <c r="BE823" s="1819">
        <v>0</v>
      </c>
      <c r="BF823" s="1820">
        <v>0</v>
      </c>
      <c r="BH823" s="1817" t="s">
        <v>228</v>
      </c>
      <c r="BI823" s="452" t="s">
        <v>317</v>
      </c>
      <c r="BJ823" s="452" t="s">
        <v>581</v>
      </c>
      <c r="BK823" s="452">
        <v>2</v>
      </c>
      <c r="BL823" s="1819">
        <v>537000994</v>
      </c>
      <c r="BM823" s="1820">
        <v>0.19500000000000001</v>
      </c>
      <c r="BN823" s="452">
        <v>2012</v>
      </c>
    </row>
    <row r="824" spans="1:66">
      <c r="A824" s="228">
        <f t="shared" si="25"/>
        <v>1900</v>
      </c>
      <c r="B824" s="228">
        <f t="shared" si="26"/>
        <v>1</v>
      </c>
      <c r="BA824" s="1817" t="s">
        <v>228</v>
      </c>
      <c r="BB824" s="1818">
        <v>2008</v>
      </c>
      <c r="BC824" s="452" t="s">
        <v>249</v>
      </c>
      <c r="BE824" s="1819">
        <v>1509395066</v>
      </c>
      <c r="BH824" s="1817" t="s">
        <v>228</v>
      </c>
      <c r="BI824" s="452" t="s">
        <v>317</v>
      </c>
      <c r="BJ824" s="452" t="s">
        <v>20</v>
      </c>
      <c r="BK824" s="452">
        <v>3</v>
      </c>
      <c r="BL824" s="1819">
        <v>456278097</v>
      </c>
      <c r="BM824" s="1820">
        <v>0.16600000000000001</v>
      </c>
      <c r="BN824" s="452">
        <v>2012</v>
      </c>
    </row>
    <row r="825" spans="1:66">
      <c r="A825" s="228">
        <f t="shared" si="25"/>
        <v>1900</v>
      </c>
      <c r="B825" s="228">
        <f t="shared" si="26"/>
        <v>1</v>
      </c>
      <c r="BA825" s="1817" t="s">
        <v>228</v>
      </c>
      <c r="BB825" s="1818">
        <v>2007</v>
      </c>
      <c r="BC825" s="452" t="s">
        <v>18</v>
      </c>
      <c r="BD825" s="452">
        <v>1</v>
      </c>
      <c r="BE825" s="1819">
        <v>379747670</v>
      </c>
      <c r="BF825" s="1820">
        <v>0.27500000000000002</v>
      </c>
      <c r="BH825" s="1817" t="s">
        <v>228</v>
      </c>
      <c r="BI825" s="452" t="s">
        <v>317</v>
      </c>
      <c r="BJ825" s="452" t="s">
        <v>18</v>
      </c>
      <c r="BK825" s="452">
        <v>4</v>
      </c>
      <c r="BL825" s="1819">
        <v>292121906</v>
      </c>
      <c r="BM825" s="1820">
        <v>0.106</v>
      </c>
      <c r="BN825" s="452">
        <v>2012</v>
      </c>
    </row>
    <row r="826" spans="1:66">
      <c r="A826" s="228">
        <f t="shared" si="25"/>
        <v>1900</v>
      </c>
      <c r="B826" s="228">
        <f t="shared" si="26"/>
        <v>1</v>
      </c>
      <c r="BA826" s="1817" t="s">
        <v>228</v>
      </c>
      <c r="BB826" s="1818">
        <v>2007</v>
      </c>
      <c r="BC826" s="452" t="s">
        <v>15</v>
      </c>
      <c r="BD826" s="452">
        <v>2</v>
      </c>
      <c r="BE826" s="1819">
        <v>297492519</v>
      </c>
      <c r="BF826" s="1820">
        <v>0.216</v>
      </c>
      <c r="BH826" s="1817" t="s">
        <v>228</v>
      </c>
      <c r="BI826" s="452" t="s">
        <v>317</v>
      </c>
      <c r="BJ826" s="452" t="s">
        <v>53</v>
      </c>
      <c r="BK826" s="452">
        <v>5</v>
      </c>
      <c r="BL826" s="1819">
        <v>265578998</v>
      </c>
      <c r="BM826" s="1820">
        <v>9.7000000000000003E-2</v>
      </c>
      <c r="BN826" s="452">
        <v>2012</v>
      </c>
    </row>
    <row r="827" spans="1:66">
      <c r="A827" s="228">
        <f t="shared" si="25"/>
        <v>1900</v>
      </c>
      <c r="B827" s="228">
        <f t="shared" si="26"/>
        <v>1</v>
      </c>
      <c r="BA827" s="1817" t="s">
        <v>228</v>
      </c>
      <c r="BB827" s="1818">
        <v>2007</v>
      </c>
      <c r="BC827" s="452" t="s">
        <v>20</v>
      </c>
      <c r="BD827" s="452">
        <v>3</v>
      </c>
      <c r="BE827" s="1819">
        <v>288281068</v>
      </c>
      <c r="BF827" s="1820">
        <v>0.20899999999999999</v>
      </c>
      <c r="BH827" s="1817" t="s">
        <v>228</v>
      </c>
      <c r="BI827" s="452" t="s">
        <v>317</v>
      </c>
      <c r="BJ827" s="452" t="s">
        <v>46</v>
      </c>
      <c r="BK827" s="452">
        <v>6</v>
      </c>
      <c r="BL827" s="1819">
        <v>233320808</v>
      </c>
      <c r="BM827" s="1820">
        <v>8.5000000000000006E-2</v>
      </c>
      <c r="BN827" s="452">
        <v>2012</v>
      </c>
    </row>
    <row r="828" spans="1:66">
      <c r="A828" s="228">
        <f t="shared" si="25"/>
        <v>1900</v>
      </c>
      <c r="B828" s="228">
        <f t="shared" si="26"/>
        <v>1</v>
      </c>
      <c r="BA828" s="1817" t="s">
        <v>228</v>
      </c>
      <c r="BB828" s="1818">
        <v>2007</v>
      </c>
      <c r="BC828" s="452" t="s">
        <v>581</v>
      </c>
      <c r="BD828" s="452">
        <v>4</v>
      </c>
      <c r="BE828" s="1819">
        <v>239939224</v>
      </c>
      <c r="BF828" s="1820">
        <v>0.17399999999999999</v>
      </c>
      <c r="BH828" s="1817" t="s">
        <v>228</v>
      </c>
      <c r="BI828" s="452" t="s">
        <v>317</v>
      </c>
      <c r="BJ828" s="452" t="s">
        <v>42</v>
      </c>
      <c r="BK828" s="452">
        <v>7</v>
      </c>
      <c r="BL828" s="1819">
        <v>51302871</v>
      </c>
      <c r="BM828" s="1820">
        <v>1.9E-2</v>
      </c>
      <c r="BN828" s="452">
        <v>2012</v>
      </c>
    </row>
    <row r="829" spans="1:66">
      <c r="A829" s="228">
        <f t="shared" si="25"/>
        <v>1900</v>
      </c>
      <c r="B829" s="228">
        <f t="shared" si="26"/>
        <v>1</v>
      </c>
      <c r="BA829" s="1817" t="s">
        <v>228</v>
      </c>
      <c r="BB829" s="1818">
        <v>2007</v>
      </c>
      <c r="BC829" s="452" t="s">
        <v>28</v>
      </c>
      <c r="BD829" s="452">
        <v>5</v>
      </c>
      <c r="BE829" s="1819">
        <v>91506671</v>
      </c>
      <c r="BF829" s="1820">
        <v>6.6000000000000003E-2</v>
      </c>
      <c r="BH829" s="1817" t="s">
        <v>228</v>
      </c>
      <c r="BI829" s="452" t="s">
        <v>317</v>
      </c>
      <c r="BJ829" s="452" t="s">
        <v>583</v>
      </c>
      <c r="BK829" s="452">
        <v>8</v>
      </c>
      <c r="BL829" s="1819">
        <v>40312589</v>
      </c>
      <c r="BM829" s="1820">
        <v>1.4999999999999999E-2</v>
      </c>
      <c r="BN829" s="452">
        <v>2012</v>
      </c>
    </row>
    <row r="830" spans="1:66">
      <c r="A830" s="228">
        <f t="shared" si="25"/>
        <v>1900</v>
      </c>
      <c r="B830" s="228">
        <f t="shared" si="26"/>
        <v>1</v>
      </c>
      <c r="BA830" s="1817" t="s">
        <v>228</v>
      </c>
      <c r="BB830" s="1818">
        <v>2007</v>
      </c>
      <c r="BC830" s="452" t="s">
        <v>42</v>
      </c>
      <c r="BD830" s="452">
        <v>6</v>
      </c>
      <c r="BE830" s="1819">
        <v>49197222</v>
      </c>
      <c r="BF830" s="1820">
        <v>3.5999999999999997E-2</v>
      </c>
      <c r="BH830" s="1817" t="s">
        <v>228</v>
      </c>
      <c r="BI830" s="452" t="s">
        <v>317</v>
      </c>
      <c r="BJ830" s="452" t="s">
        <v>431</v>
      </c>
      <c r="BK830" s="452">
        <v>9</v>
      </c>
      <c r="BL830" s="1819">
        <v>38193450</v>
      </c>
      <c r="BM830" s="1820">
        <v>1.4E-2</v>
      </c>
      <c r="BN830" s="452">
        <v>2012</v>
      </c>
    </row>
    <row r="831" spans="1:66">
      <c r="A831" s="228">
        <f t="shared" si="25"/>
        <v>1900</v>
      </c>
      <c r="B831" s="228">
        <f t="shared" si="26"/>
        <v>1</v>
      </c>
      <c r="BA831" s="1817" t="s">
        <v>228</v>
      </c>
      <c r="BB831" s="1818">
        <v>2007</v>
      </c>
      <c r="BC831" s="452" t="s">
        <v>53</v>
      </c>
      <c r="BD831" s="452">
        <v>7</v>
      </c>
      <c r="BE831" s="1819">
        <v>18168605</v>
      </c>
      <c r="BF831" s="1820">
        <v>1.2999999999999999E-2</v>
      </c>
      <c r="BH831" s="1817" t="s">
        <v>228</v>
      </c>
      <c r="BI831" s="452" t="s">
        <v>317</v>
      </c>
      <c r="BJ831" s="452" t="s">
        <v>28</v>
      </c>
      <c r="BK831" s="452">
        <v>10</v>
      </c>
      <c r="BL831" s="1819">
        <v>11535492</v>
      </c>
      <c r="BM831" s="1820">
        <v>4.0000000000000001E-3</v>
      </c>
      <c r="BN831" s="452">
        <v>2012</v>
      </c>
    </row>
    <row r="832" spans="1:66">
      <c r="A832" s="228">
        <f t="shared" si="25"/>
        <v>1900</v>
      </c>
      <c r="B832" s="228">
        <f t="shared" si="26"/>
        <v>1</v>
      </c>
      <c r="BA832" s="1817" t="s">
        <v>228</v>
      </c>
      <c r="BB832" s="1818">
        <v>2007</v>
      </c>
      <c r="BC832" s="452" t="s">
        <v>44</v>
      </c>
      <c r="BD832" s="452">
        <v>8</v>
      </c>
      <c r="BE832" s="1819">
        <v>14456853</v>
      </c>
      <c r="BF832" s="1820">
        <v>0.01</v>
      </c>
      <c r="BH832" s="1817" t="s">
        <v>228</v>
      </c>
      <c r="BI832" s="452" t="s">
        <v>317</v>
      </c>
      <c r="BJ832" s="452" t="s">
        <v>32</v>
      </c>
      <c r="BL832" s="1819">
        <v>2417961</v>
      </c>
      <c r="BM832" s="1820">
        <v>1E-3</v>
      </c>
      <c r="BN832" s="452">
        <v>2012</v>
      </c>
    </row>
    <row r="833" spans="1:66">
      <c r="A833" s="228">
        <f t="shared" si="25"/>
        <v>1900</v>
      </c>
      <c r="B833" s="228">
        <f t="shared" si="26"/>
        <v>1</v>
      </c>
      <c r="BA833" s="1817" t="s">
        <v>228</v>
      </c>
      <c r="BB833" s="1818">
        <v>2007</v>
      </c>
      <c r="BC833" s="452" t="s">
        <v>431</v>
      </c>
      <c r="BD833" s="452">
        <v>9</v>
      </c>
      <c r="BE833" s="1819">
        <v>1700</v>
      </c>
      <c r="BF833" s="1820">
        <v>0</v>
      </c>
      <c r="BH833" s="1817" t="s">
        <v>228</v>
      </c>
      <c r="BI833" s="452" t="s">
        <v>317</v>
      </c>
      <c r="BJ833" s="452" t="s">
        <v>249</v>
      </c>
      <c r="BL833" s="1819">
        <v>2750532266</v>
      </c>
      <c r="BN833" s="452">
        <v>2012</v>
      </c>
    </row>
    <row r="834" spans="1:66">
      <c r="A834" s="228">
        <f t="shared" si="25"/>
        <v>1900</v>
      </c>
      <c r="B834" s="228">
        <f t="shared" si="26"/>
        <v>1</v>
      </c>
      <c r="BA834" s="1817" t="s">
        <v>228</v>
      </c>
      <c r="BB834" s="1818">
        <v>2007</v>
      </c>
      <c r="BC834" s="452" t="s">
        <v>165</v>
      </c>
      <c r="BD834" s="452">
        <v>10</v>
      </c>
      <c r="BE834" s="1819">
        <v>0</v>
      </c>
      <c r="BF834" s="1820">
        <v>0</v>
      </c>
      <c r="BH834" s="1817" t="s">
        <v>228</v>
      </c>
      <c r="BI834" s="452" t="s">
        <v>316</v>
      </c>
      <c r="BJ834" s="452" t="s">
        <v>581</v>
      </c>
      <c r="BK834" s="452">
        <v>1</v>
      </c>
      <c r="BL834" s="1819">
        <v>376008888</v>
      </c>
      <c r="BM834" s="1820">
        <v>0.31</v>
      </c>
      <c r="BN834" s="452">
        <v>2011</v>
      </c>
    </row>
    <row r="835" spans="1:66">
      <c r="A835" s="228">
        <f t="shared" si="25"/>
        <v>1900</v>
      </c>
      <c r="B835" s="228">
        <f t="shared" si="26"/>
        <v>1</v>
      </c>
      <c r="BA835" s="1817" t="s">
        <v>228</v>
      </c>
      <c r="BB835" s="1818">
        <v>2007</v>
      </c>
      <c r="BC835" s="452" t="s">
        <v>32</v>
      </c>
      <c r="BE835" s="1819">
        <v>0</v>
      </c>
      <c r="BF835" s="1820">
        <v>0</v>
      </c>
      <c r="BH835" s="1817" t="s">
        <v>228</v>
      </c>
      <c r="BI835" s="452" t="s">
        <v>316</v>
      </c>
      <c r="BJ835" s="452" t="s">
        <v>20</v>
      </c>
      <c r="BK835" s="452">
        <v>2</v>
      </c>
      <c r="BL835" s="1819">
        <v>290957394</v>
      </c>
      <c r="BM835" s="1820">
        <v>0.24</v>
      </c>
      <c r="BN835" s="452">
        <v>2011</v>
      </c>
    </row>
    <row r="836" spans="1:66">
      <c r="A836" s="228">
        <f t="shared" si="25"/>
        <v>1900</v>
      </c>
      <c r="B836" s="228">
        <f t="shared" si="26"/>
        <v>1</v>
      </c>
      <c r="BA836" s="1817" t="s">
        <v>228</v>
      </c>
      <c r="BB836" s="1818">
        <v>2007</v>
      </c>
      <c r="BC836" s="452" t="s">
        <v>249</v>
      </c>
      <c r="BE836" s="1819">
        <v>1378791531</v>
      </c>
      <c r="BH836" s="1817" t="s">
        <v>228</v>
      </c>
      <c r="BI836" s="452" t="s">
        <v>316</v>
      </c>
      <c r="BJ836" s="452" t="s">
        <v>15</v>
      </c>
      <c r="BK836" s="452">
        <v>3</v>
      </c>
      <c r="BL836" s="1819">
        <v>181537424</v>
      </c>
      <c r="BM836" s="1820">
        <v>0.15</v>
      </c>
      <c r="BN836" s="452">
        <v>2011</v>
      </c>
    </row>
    <row r="837" spans="1:66">
      <c r="A837" s="228">
        <f t="shared" si="25"/>
        <v>1900</v>
      </c>
      <c r="B837" s="228">
        <f t="shared" si="26"/>
        <v>1</v>
      </c>
      <c r="BA837" s="1817" t="s">
        <v>0</v>
      </c>
      <c r="BB837" s="1818">
        <v>2007</v>
      </c>
      <c r="BC837" s="452" t="s">
        <v>15</v>
      </c>
      <c r="BD837" s="452">
        <v>1</v>
      </c>
      <c r="BE837" s="1819">
        <v>837070605.00999999</v>
      </c>
      <c r="BF837" s="1820">
        <v>0.20177416774446275</v>
      </c>
      <c r="BH837" s="1817" t="s">
        <v>228</v>
      </c>
      <c r="BI837" s="452" t="s">
        <v>316</v>
      </c>
      <c r="BJ837" s="452" t="s">
        <v>18</v>
      </c>
      <c r="BK837" s="452">
        <v>4</v>
      </c>
      <c r="BL837" s="1819">
        <v>165530679</v>
      </c>
      <c r="BM837" s="1820">
        <v>0.13700000000000001</v>
      </c>
      <c r="BN837" s="452">
        <v>2011</v>
      </c>
    </row>
    <row r="838" spans="1:66">
      <c r="A838" s="228">
        <f t="shared" si="25"/>
        <v>1900</v>
      </c>
      <c r="B838" s="228">
        <f t="shared" si="26"/>
        <v>1</v>
      </c>
      <c r="BA838" s="1817" t="s">
        <v>0</v>
      </c>
      <c r="BB838" s="1818">
        <v>2007</v>
      </c>
      <c r="BC838" s="452" t="s">
        <v>14</v>
      </c>
      <c r="BD838" s="452">
        <v>2</v>
      </c>
      <c r="BE838" s="1819">
        <v>716092011.2299999</v>
      </c>
      <c r="BF838" s="1820">
        <v>0.17261252363851146</v>
      </c>
      <c r="BH838" s="1817" t="s">
        <v>228</v>
      </c>
      <c r="BI838" s="452" t="s">
        <v>316</v>
      </c>
      <c r="BJ838" s="452" t="s">
        <v>46</v>
      </c>
      <c r="BK838" s="452">
        <v>5</v>
      </c>
      <c r="BL838" s="1819">
        <v>104646144</v>
      </c>
      <c r="BM838" s="1820">
        <v>8.5999999999999993E-2</v>
      </c>
      <c r="BN838" s="452">
        <v>2011</v>
      </c>
    </row>
    <row r="839" spans="1:66">
      <c r="A839" s="228">
        <f t="shared" si="25"/>
        <v>1900</v>
      </c>
      <c r="B839" s="228">
        <f t="shared" si="26"/>
        <v>1</v>
      </c>
      <c r="BA839" s="1817" t="s">
        <v>0</v>
      </c>
      <c r="BB839" s="1818">
        <v>2007</v>
      </c>
      <c r="BC839" s="452" t="s">
        <v>27</v>
      </c>
      <c r="BD839" s="452">
        <v>3</v>
      </c>
      <c r="BE839" s="1819">
        <v>690266140.17999995</v>
      </c>
      <c r="BF839" s="1820">
        <v>0.16638724992061843</v>
      </c>
      <c r="BH839" s="1817" t="s">
        <v>228</v>
      </c>
      <c r="BI839" s="452" t="s">
        <v>316</v>
      </c>
      <c r="BJ839" s="452" t="s">
        <v>53</v>
      </c>
      <c r="BK839" s="452">
        <v>6</v>
      </c>
      <c r="BL839" s="1819">
        <v>55207261</v>
      </c>
      <c r="BM839" s="1820">
        <v>4.5999999999999999E-2</v>
      </c>
      <c r="BN839" s="452">
        <v>2011</v>
      </c>
    </row>
    <row r="840" spans="1:66">
      <c r="A840" s="228">
        <f t="shared" si="25"/>
        <v>1900</v>
      </c>
      <c r="B840" s="228">
        <f t="shared" si="26"/>
        <v>1</v>
      </c>
      <c r="BA840" s="1817" t="s">
        <v>0</v>
      </c>
      <c r="BB840" s="1818">
        <v>2007</v>
      </c>
      <c r="BC840" s="452" t="s">
        <v>29</v>
      </c>
      <c r="BD840" s="452">
        <v>4</v>
      </c>
      <c r="BE840" s="1819">
        <v>590935072.19999993</v>
      </c>
      <c r="BF840" s="1820">
        <v>0.14244369790376829</v>
      </c>
      <c r="BH840" s="1817" t="s">
        <v>228</v>
      </c>
      <c r="BI840" s="452" t="s">
        <v>316</v>
      </c>
      <c r="BJ840" s="452" t="s">
        <v>42</v>
      </c>
      <c r="BK840" s="452">
        <v>7</v>
      </c>
      <c r="BL840" s="1819">
        <v>20512816</v>
      </c>
      <c r="BM840" s="1820">
        <v>1.7000000000000001E-2</v>
      </c>
      <c r="BN840" s="452">
        <v>2011</v>
      </c>
    </row>
    <row r="841" spans="1:66">
      <c r="A841" s="228">
        <f t="shared" si="25"/>
        <v>1900</v>
      </c>
      <c r="B841" s="228">
        <f t="shared" si="26"/>
        <v>1</v>
      </c>
      <c r="BA841" s="1817" t="s">
        <v>0</v>
      </c>
      <c r="BB841" s="1818">
        <v>2007</v>
      </c>
      <c r="BC841" s="452" t="s">
        <v>22</v>
      </c>
      <c r="BD841" s="452">
        <v>5</v>
      </c>
      <c r="BE841" s="1819">
        <v>334448851.42999995</v>
      </c>
      <c r="BF841" s="1820">
        <v>8.0618215771145765E-2</v>
      </c>
      <c r="BH841" s="1817" t="s">
        <v>228</v>
      </c>
      <c r="BI841" s="452" t="s">
        <v>316</v>
      </c>
      <c r="BJ841" s="452" t="s">
        <v>19</v>
      </c>
      <c r="BK841" s="452">
        <v>8</v>
      </c>
      <c r="BL841" s="1819">
        <v>11002578</v>
      </c>
      <c r="BM841" s="1820">
        <v>8.9999999999999993E-3</v>
      </c>
      <c r="BN841" s="452">
        <v>2011</v>
      </c>
    </row>
    <row r="842" spans="1:66">
      <c r="A842" s="228">
        <f t="shared" ref="A842:A905" si="27">YEAR(C842)</f>
        <v>1900</v>
      </c>
      <c r="B842" s="228">
        <f t="shared" ref="B842:B905" si="28">IF(OR(MONTH(C842)=1,MONTH(C842)=2,MONTH(C842)=3),1,IF(OR(MONTH(C842)=4,MONTH(C842)=5,MONTH(C842)=6),2,IF(OR(MONTH(C842)=7,MONTH(C842)=8,MONTH(C842)=9),3,4)))</f>
        <v>1</v>
      </c>
      <c r="BA842" s="1817" t="s">
        <v>0</v>
      </c>
      <c r="BB842" s="1818">
        <v>2007</v>
      </c>
      <c r="BC842" s="452" t="s">
        <v>431</v>
      </c>
      <c r="BD842" s="452">
        <v>6</v>
      </c>
      <c r="BE842" s="1819">
        <v>239638706.48999998</v>
      </c>
      <c r="BF842" s="1820">
        <v>5.7764423062976494E-2</v>
      </c>
      <c r="BH842" s="1817" t="s">
        <v>228</v>
      </c>
      <c r="BI842" s="452" t="s">
        <v>316</v>
      </c>
      <c r="BJ842" s="452" t="s">
        <v>28</v>
      </c>
      <c r="BK842" s="452">
        <v>9</v>
      </c>
      <c r="BL842" s="1819">
        <v>6491219</v>
      </c>
      <c r="BM842" s="1820">
        <v>5.0000000000000001E-3</v>
      </c>
      <c r="BN842" s="452">
        <v>2011</v>
      </c>
    </row>
    <row r="843" spans="1:66">
      <c r="A843" s="228">
        <f t="shared" si="27"/>
        <v>1900</v>
      </c>
      <c r="B843" s="228">
        <f t="shared" si="28"/>
        <v>1</v>
      </c>
      <c r="BA843" s="1817" t="s">
        <v>0</v>
      </c>
      <c r="BB843" s="1818">
        <v>2007</v>
      </c>
      <c r="BC843" s="452" t="s">
        <v>44</v>
      </c>
      <c r="BD843" s="452">
        <v>7</v>
      </c>
      <c r="BE843" s="1819">
        <v>231221894.25999996</v>
      </c>
      <c r="BF843" s="1820">
        <v>5.5735567584591396E-2</v>
      </c>
      <c r="BH843" s="1817" t="s">
        <v>228</v>
      </c>
      <c r="BI843" s="452" t="s">
        <v>316</v>
      </c>
      <c r="BJ843" s="452" t="s">
        <v>75</v>
      </c>
      <c r="BK843" s="452">
        <v>10</v>
      </c>
      <c r="BL843" s="1819">
        <v>1899</v>
      </c>
      <c r="BM843" s="1820">
        <v>0</v>
      </c>
      <c r="BN843" s="452">
        <v>2011</v>
      </c>
    </row>
    <row r="844" spans="1:66">
      <c r="A844" s="228">
        <f t="shared" si="27"/>
        <v>1900</v>
      </c>
      <c r="B844" s="228">
        <f t="shared" si="28"/>
        <v>1</v>
      </c>
      <c r="BA844" s="1817" t="s">
        <v>0</v>
      </c>
      <c r="BB844" s="1818">
        <v>2007</v>
      </c>
      <c r="BC844" s="452" t="s">
        <v>74</v>
      </c>
      <c r="BD844" s="452">
        <v>8</v>
      </c>
      <c r="BE844" s="1819">
        <v>115635007.34999999</v>
      </c>
      <c r="BF844" s="1820">
        <v>2.7873583459417199E-2</v>
      </c>
      <c r="BH844" s="1817" t="s">
        <v>228</v>
      </c>
      <c r="BI844" s="452" t="s">
        <v>316</v>
      </c>
      <c r="BJ844" s="452" t="s">
        <v>32</v>
      </c>
      <c r="BL844" s="1819">
        <v>0</v>
      </c>
      <c r="BM844" s="1820">
        <v>0</v>
      </c>
      <c r="BN844" s="452">
        <v>2011</v>
      </c>
    </row>
    <row r="845" spans="1:66">
      <c r="A845" s="228">
        <f t="shared" si="27"/>
        <v>1900</v>
      </c>
      <c r="B845" s="228">
        <f t="shared" si="28"/>
        <v>1</v>
      </c>
      <c r="BA845" s="1817" t="s">
        <v>0</v>
      </c>
      <c r="BB845" s="1818">
        <v>2007</v>
      </c>
      <c r="BC845" s="452" t="s">
        <v>24</v>
      </c>
      <c r="BD845" s="452">
        <v>9</v>
      </c>
      <c r="BE845" s="1819">
        <v>95825117.779999986</v>
      </c>
      <c r="BF845" s="1820">
        <v>2.3098449848019252E-2</v>
      </c>
      <c r="BH845" s="1817" t="s">
        <v>228</v>
      </c>
      <c r="BI845" s="452" t="s">
        <v>316</v>
      </c>
      <c r="BJ845" s="452" t="s">
        <v>249</v>
      </c>
      <c r="BL845" s="1819">
        <v>1211896302</v>
      </c>
      <c r="BN845" s="452">
        <v>2011</v>
      </c>
    </row>
    <row r="846" spans="1:66">
      <c r="A846" s="228">
        <f t="shared" si="27"/>
        <v>1900</v>
      </c>
      <c r="B846" s="228">
        <f t="shared" si="28"/>
        <v>1</v>
      </c>
      <c r="BA846" s="1817" t="s">
        <v>0</v>
      </c>
      <c r="BB846" s="1818">
        <v>2007</v>
      </c>
      <c r="BC846" s="452" t="s">
        <v>19</v>
      </c>
      <c r="BD846" s="452">
        <v>10</v>
      </c>
      <c r="BE846" s="1819">
        <v>72265104.310000002</v>
      </c>
      <c r="BF846" s="1820">
        <v>1.7419356493760578E-2</v>
      </c>
      <c r="BH846" s="1817" t="s">
        <v>228</v>
      </c>
      <c r="BI846" s="452" t="s">
        <v>315</v>
      </c>
      <c r="BJ846" s="452" t="s">
        <v>581</v>
      </c>
      <c r="BK846" s="452">
        <v>1</v>
      </c>
      <c r="BL846" s="1819">
        <v>549299334</v>
      </c>
      <c r="BM846" s="1820">
        <v>0.245</v>
      </c>
      <c r="BN846" s="452">
        <v>2010</v>
      </c>
    </row>
    <row r="847" spans="1:66">
      <c r="A847" s="228">
        <f t="shared" si="27"/>
        <v>1900</v>
      </c>
      <c r="B847" s="228">
        <f t="shared" si="28"/>
        <v>1</v>
      </c>
      <c r="BA847" s="1817" t="s">
        <v>0</v>
      </c>
      <c r="BB847" s="1818">
        <v>2007</v>
      </c>
      <c r="BC847" s="452" t="s">
        <v>32</v>
      </c>
      <c r="BE847" s="1819">
        <v>225153380.05999994</v>
      </c>
      <c r="BF847" s="1820">
        <v>5.4272764572728574E-2</v>
      </c>
      <c r="BH847" s="1817" t="s">
        <v>228</v>
      </c>
      <c r="BI847" s="452" t="s">
        <v>315</v>
      </c>
      <c r="BJ847" s="452" t="s">
        <v>15</v>
      </c>
      <c r="BK847" s="452">
        <v>2</v>
      </c>
      <c r="BL847" s="1819">
        <v>543770287</v>
      </c>
      <c r="BM847" s="1820">
        <v>0.24199999999999999</v>
      </c>
      <c r="BN847" s="452">
        <v>2010</v>
      </c>
    </row>
    <row r="848" spans="1:66">
      <c r="A848" s="228">
        <f t="shared" si="27"/>
        <v>1900</v>
      </c>
      <c r="B848" s="228">
        <f t="shared" si="28"/>
        <v>1</v>
      </c>
      <c r="BA848" s="1817" t="s">
        <v>0</v>
      </c>
      <c r="BB848" s="1818">
        <v>2007</v>
      </c>
      <c r="BC848" s="452" t="s">
        <v>249</v>
      </c>
      <c r="BE848" s="1819">
        <v>4148551890.2999988</v>
      </c>
      <c r="BH848" s="1817" t="s">
        <v>228</v>
      </c>
      <c r="BI848" s="452" t="s">
        <v>315</v>
      </c>
      <c r="BJ848" s="452" t="s">
        <v>18</v>
      </c>
      <c r="BK848" s="452">
        <v>3</v>
      </c>
      <c r="BL848" s="1819">
        <v>445391954</v>
      </c>
      <c r="BM848" s="1820">
        <v>0.19900000000000001</v>
      </c>
      <c r="BN848" s="452">
        <v>2010</v>
      </c>
    </row>
    <row r="849" spans="1:66">
      <c r="A849" s="228">
        <f t="shared" si="27"/>
        <v>1900</v>
      </c>
      <c r="B849" s="228">
        <f t="shared" si="28"/>
        <v>1</v>
      </c>
      <c r="BA849" s="1817" t="s">
        <v>3</v>
      </c>
      <c r="BB849" s="1818">
        <v>2007</v>
      </c>
      <c r="BC849" s="452" t="s">
        <v>15</v>
      </c>
      <c r="BD849" s="452">
        <v>1</v>
      </c>
      <c r="BE849" s="1819">
        <v>1898006642.6199999</v>
      </c>
      <c r="BF849" s="1820">
        <v>0.35966858708361105</v>
      </c>
      <c r="BH849" s="1817" t="s">
        <v>228</v>
      </c>
      <c r="BI849" s="452" t="s">
        <v>315</v>
      </c>
      <c r="BJ849" s="452" t="s">
        <v>20</v>
      </c>
      <c r="BK849" s="452">
        <v>4</v>
      </c>
      <c r="BL849" s="1819">
        <v>379078335</v>
      </c>
      <c r="BM849" s="1820">
        <v>0.16900000000000001</v>
      </c>
      <c r="BN849" s="452">
        <v>2010</v>
      </c>
    </row>
    <row r="850" spans="1:66">
      <c r="A850" s="228">
        <f t="shared" si="27"/>
        <v>1900</v>
      </c>
      <c r="B850" s="228">
        <f t="shared" si="28"/>
        <v>1</v>
      </c>
      <c r="BA850" s="1817" t="s">
        <v>3</v>
      </c>
      <c r="BB850" s="1818">
        <v>2007</v>
      </c>
      <c r="BC850" s="452" t="s">
        <v>45</v>
      </c>
      <c r="BD850" s="452">
        <v>2</v>
      </c>
      <c r="BE850" s="1819">
        <v>1038109679.0400001</v>
      </c>
      <c r="BF850" s="1820">
        <v>0.1967197759554371</v>
      </c>
      <c r="BH850" s="1817" t="s">
        <v>228</v>
      </c>
      <c r="BI850" s="452" t="s">
        <v>315</v>
      </c>
      <c r="BJ850" s="452" t="s">
        <v>53</v>
      </c>
      <c r="BK850" s="452">
        <v>5</v>
      </c>
      <c r="BL850" s="1819">
        <v>176882617</v>
      </c>
      <c r="BM850" s="1820">
        <v>7.9000000000000001E-2</v>
      </c>
      <c r="BN850" s="452">
        <v>2010</v>
      </c>
    </row>
    <row r="851" spans="1:66">
      <c r="A851" s="228">
        <f t="shared" si="27"/>
        <v>1900</v>
      </c>
      <c r="B851" s="228">
        <f t="shared" si="28"/>
        <v>1</v>
      </c>
      <c r="BA851" s="1817" t="s">
        <v>3</v>
      </c>
      <c r="BB851" s="1818">
        <v>2007</v>
      </c>
      <c r="BC851" s="452" t="s">
        <v>20</v>
      </c>
      <c r="BD851" s="452">
        <v>3</v>
      </c>
      <c r="BE851" s="1819">
        <v>632438784.75</v>
      </c>
      <c r="BF851" s="1820">
        <v>0.11984592625761953</v>
      </c>
      <c r="BH851" s="1817" t="s">
        <v>228</v>
      </c>
      <c r="BI851" s="452" t="s">
        <v>315</v>
      </c>
      <c r="BJ851" s="452" t="s">
        <v>46</v>
      </c>
      <c r="BK851" s="452">
        <v>6</v>
      </c>
      <c r="BL851" s="1819">
        <v>108183042</v>
      </c>
      <c r="BM851" s="1820">
        <v>4.8000000000000001E-2</v>
      </c>
      <c r="BN851" s="452">
        <v>2010</v>
      </c>
    </row>
    <row r="852" spans="1:66">
      <c r="A852" s="228">
        <f t="shared" si="27"/>
        <v>1900</v>
      </c>
      <c r="B852" s="228">
        <f t="shared" si="28"/>
        <v>1</v>
      </c>
      <c r="BA852" s="1817" t="s">
        <v>3</v>
      </c>
      <c r="BB852" s="1818">
        <v>2007</v>
      </c>
      <c r="BC852" s="452" t="s">
        <v>23</v>
      </c>
      <c r="BD852" s="452">
        <v>4</v>
      </c>
      <c r="BE852" s="1819">
        <v>468796418.55999988</v>
      </c>
      <c r="BF852" s="1820">
        <v>8.8836014430688157E-2</v>
      </c>
      <c r="BH852" s="1817" t="s">
        <v>228</v>
      </c>
      <c r="BI852" s="452" t="s">
        <v>315</v>
      </c>
      <c r="BJ852" s="452" t="s">
        <v>42</v>
      </c>
      <c r="BK852" s="452">
        <v>7</v>
      </c>
      <c r="BL852" s="1819">
        <v>19493912</v>
      </c>
      <c r="BM852" s="1820">
        <v>8.9999999999999993E-3</v>
      </c>
      <c r="BN852" s="452">
        <v>2010</v>
      </c>
    </row>
    <row r="853" spans="1:66">
      <c r="A853" s="228">
        <f t="shared" si="27"/>
        <v>1900</v>
      </c>
      <c r="B853" s="228">
        <f t="shared" si="28"/>
        <v>1</v>
      </c>
      <c r="BA853" s="1817" t="s">
        <v>3</v>
      </c>
      <c r="BB853" s="1818">
        <v>2007</v>
      </c>
      <c r="BC853" s="452" t="s">
        <v>431</v>
      </c>
      <c r="BD853" s="452">
        <v>5</v>
      </c>
      <c r="BE853" s="1819">
        <v>345042014.34000003</v>
      </c>
      <c r="BF853" s="1820">
        <v>6.5384794233829827E-2</v>
      </c>
      <c r="BH853" s="1817" t="s">
        <v>228</v>
      </c>
      <c r="BI853" s="452" t="s">
        <v>315</v>
      </c>
      <c r="BJ853" s="452" t="s">
        <v>28</v>
      </c>
      <c r="BK853" s="452">
        <v>8</v>
      </c>
      <c r="BL853" s="1819">
        <v>13723943</v>
      </c>
      <c r="BM853" s="1820">
        <v>6.0000000000000001E-3</v>
      </c>
      <c r="BN853" s="452">
        <v>2010</v>
      </c>
    </row>
    <row r="854" spans="1:66">
      <c r="A854" s="228">
        <f t="shared" si="27"/>
        <v>1900</v>
      </c>
      <c r="B854" s="228">
        <f t="shared" si="28"/>
        <v>1</v>
      </c>
      <c r="BA854" s="1817" t="s">
        <v>3</v>
      </c>
      <c r="BB854" s="1818">
        <v>2007</v>
      </c>
      <c r="BC854" s="452" t="s">
        <v>42</v>
      </c>
      <c r="BD854" s="452">
        <v>6</v>
      </c>
      <c r="BE854" s="1819">
        <v>200676667.62</v>
      </c>
      <c r="BF854" s="1820">
        <v>3.8027840305079177E-2</v>
      </c>
      <c r="BH854" s="1817" t="s">
        <v>228</v>
      </c>
      <c r="BI854" s="452" t="s">
        <v>315</v>
      </c>
      <c r="BJ854" s="452" t="s">
        <v>255</v>
      </c>
      <c r="BK854" s="452">
        <v>9</v>
      </c>
      <c r="BL854" s="1819">
        <v>4948266</v>
      </c>
      <c r="BM854" s="1820">
        <v>2E-3</v>
      </c>
      <c r="BN854" s="452">
        <v>2010</v>
      </c>
    </row>
    <row r="855" spans="1:66">
      <c r="A855" s="228">
        <f t="shared" si="27"/>
        <v>1900</v>
      </c>
      <c r="B855" s="228">
        <f t="shared" si="28"/>
        <v>1</v>
      </c>
      <c r="BA855" s="1817" t="s">
        <v>3</v>
      </c>
      <c r="BB855" s="1818">
        <v>2007</v>
      </c>
      <c r="BC855" s="452" t="s">
        <v>51</v>
      </c>
      <c r="BD855" s="452">
        <v>7</v>
      </c>
      <c r="BE855" s="1819">
        <v>146610136.13999999</v>
      </c>
      <c r="BF855" s="1820">
        <v>2.7782337181296655E-2</v>
      </c>
      <c r="BH855" s="1817" t="s">
        <v>228</v>
      </c>
      <c r="BI855" s="452" t="s">
        <v>315</v>
      </c>
      <c r="BJ855" s="452" t="s">
        <v>256</v>
      </c>
      <c r="BK855" s="452">
        <v>10</v>
      </c>
      <c r="BL855" s="1819">
        <v>1414878</v>
      </c>
      <c r="BM855" s="1820">
        <v>1E-3</v>
      </c>
      <c r="BN855" s="452">
        <v>2010</v>
      </c>
    </row>
    <row r="856" spans="1:66">
      <c r="A856" s="228">
        <f t="shared" si="27"/>
        <v>1900</v>
      </c>
      <c r="B856" s="228">
        <f t="shared" si="28"/>
        <v>1</v>
      </c>
      <c r="BA856" s="1817" t="s">
        <v>3</v>
      </c>
      <c r="BB856" s="1818">
        <v>2007</v>
      </c>
      <c r="BC856" s="452" t="s">
        <v>47</v>
      </c>
      <c r="BD856" s="452">
        <v>8</v>
      </c>
      <c r="BE856" s="1819">
        <v>136281734.66000006</v>
      </c>
      <c r="BF856" s="1820">
        <v>2.5825125081124046E-2</v>
      </c>
      <c r="BH856" s="1817" t="s">
        <v>228</v>
      </c>
      <c r="BI856" s="452" t="s">
        <v>315</v>
      </c>
      <c r="BJ856" s="452" t="s">
        <v>32</v>
      </c>
      <c r="BL856" s="1819">
        <v>408286</v>
      </c>
      <c r="BM856" s="1820">
        <v>0</v>
      </c>
      <c r="BN856" s="452">
        <v>2010</v>
      </c>
    </row>
    <row r="857" spans="1:66">
      <c r="A857" s="228">
        <f t="shared" si="27"/>
        <v>1900</v>
      </c>
      <c r="B857" s="228">
        <f t="shared" si="28"/>
        <v>1</v>
      </c>
      <c r="BA857" s="1817" t="s">
        <v>3</v>
      </c>
      <c r="BB857" s="1818">
        <v>2007</v>
      </c>
      <c r="BC857" s="452" t="s">
        <v>44</v>
      </c>
      <c r="BD857" s="452">
        <v>9</v>
      </c>
      <c r="BE857" s="1819">
        <v>118973233.83</v>
      </c>
      <c r="BF857" s="1820">
        <v>2.2545197657125034E-2</v>
      </c>
      <c r="BH857" s="1817" t="s">
        <v>228</v>
      </c>
      <c r="BI857" s="452" t="s">
        <v>315</v>
      </c>
      <c r="BJ857" s="452" t="s">
        <v>249</v>
      </c>
      <c r="BL857" s="1819">
        <v>2242594855</v>
      </c>
      <c r="BN857" s="452">
        <v>2010</v>
      </c>
    </row>
    <row r="858" spans="1:66">
      <c r="A858" s="228">
        <f t="shared" si="27"/>
        <v>1900</v>
      </c>
      <c r="B858" s="228">
        <f t="shared" si="28"/>
        <v>1</v>
      </c>
      <c r="BA858" s="1817" t="s">
        <v>3</v>
      </c>
      <c r="BB858" s="1818">
        <v>2007</v>
      </c>
      <c r="BC858" s="452" t="s">
        <v>581</v>
      </c>
      <c r="BD858" s="452">
        <v>10</v>
      </c>
      <c r="BE858" s="1819">
        <v>107449740.98000002</v>
      </c>
      <c r="BF858" s="1820">
        <v>2.0361518054241062E-2</v>
      </c>
      <c r="BH858" s="1817" t="s">
        <v>228</v>
      </c>
      <c r="BI858" s="452" t="s">
        <v>314</v>
      </c>
      <c r="BJ858" s="452" t="s">
        <v>15</v>
      </c>
      <c r="BK858" s="452">
        <v>1</v>
      </c>
      <c r="BL858" s="1819">
        <v>757048804</v>
      </c>
      <c r="BM858" s="1820">
        <v>0.32900000000000001</v>
      </c>
      <c r="BN858" s="452">
        <v>2009</v>
      </c>
    </row>
    <row r="859" spans="1:66">
      <c r="A859" s="228">
        <f t="shared" si="27"/>
        <v>1900</v>
      </c>
      <c r="B859" s="228">
        <f t="shared" si="28"/>
        <v>1</v>
      </c>
      <c r="BA859" s="1817" t="s">
        <v>3</v>
      </c>
      <c r="BB859" s="1818">
        <v>2007</v>
      </c>
      <c r="BC859" s="452" t="s">
        <v>32</v>
      </c>
      <c r="BE859" s="1819">
        <v>184713673.28999996</v>
      </c>
      <c r="BF859" s="1820">
        <v>3.5002883759948533E-2</v>
      </c>
      <c r="BH859" s="1817" t="s">
        <v>228</v>
      </c>
      <c r="BI859" s="452" t="s">
        <v>314</v>
      </c>
      <c r="BJ859" s="452" t="s">
        <v>581</v>
      </c>
      <c r="BK859" s="452">
        <v>2</v>
      </c>
      <c r="BL859" s="1819">
        <v>473072647</v>
      </c>
      <c r="BM859" s="1820">
        <v>0.20599999999999999</v>
      </c>
      <c r="BN859" s="452">
        <v>2009</v>
      </c>
    </row>
    <row r="860" spans="1:66">
      <c r="A860" s="228">
        <f t="shared" si="27"/>
        <v>1900</v>
      </c>
      <c r="B860" s="228">
        <f t="shared" si="28"/>
        <v>1</v>
      </c>
      <c r="BA860" s="1817" t="s">
        <v>3</v>
      </c>
      <c r="BB860" s="1818">
        <v>2007</v>
      </c>
      <c r="BC860" s="452" t="s">
        <v>249</v>
      </c>
      <c r="BE860" s="1819">
        <v>5277098725.829999</v>
      </c>
      <c r="BH860" s="1817" t="s">
        <v>228</v>
      </c>
      <c r="BI860" s="452" t="s">
        <v>314</v>
      </c>
      <c r="BJ860" s="452" t="s">
        <v>18</v>
      </c>
      <c r="BK860" s="452">
        <v>3</v>
      </c>
      <c r="BL860" s="1819">
        <v>427718340</v>
      </c>
      <c r="BM860" s="1820">
        <v>0.186</v>
      </c>
      <c r="BN860" s="452">
        <v>2009</v>
      </c>
    </row>
    <row r="861" spans="1:66">
      <c r="A861" s="228">
        <f t="shared" si="27"/>
        <v>1900</v>
      </c>
      <c r="B861" s="228">
        <f t="shared" si="28"/>
        <v>1</v>
      </c>
      <c r="BA861" s="1817" t="s">
        <v>0</v>
      </c>
      <c r="BB861" s="1818">
        <v>2017</v>
      </c>
      <c r="BC861" s="452" t="s">
        <v>29</v>
      </c>
      <c r="BD861" s="452">
        <v>1</v>
      </c>
      <c r="BE861" s="1819">
        <v>1624053758.9600003</v>
      </c>
      <c r="BF861" s="1820">
        <v>0.26889193656596555</v>
      </c>
      <c r="BH861" s="1817" t="s">
        <v>228</v>
      </c>
      <c r="BI861" s="452" t="s">
        <v>314</v>
      </c>
      <c r="BJ861" s="452" t="s">
        <v>20</v>
      </c>
      <c r="BK861" s="452">
        <v>4</v>
      </c>
      <c r="BL861" s="1819">
        <v>394060290</v>
      </c>
      <c r="BM861" s="1820">
        <v>0.17100000000000001</v>
      </c>
      <c r="BN861" s="452">
        <v>2009</v>
      </c>
    </row>
    <row r="862" spans="1:66">
      <c r="A862" s="228">
        <f t="shared" si="27"/>
        <v>1900</v>
      </c>
      <c r="B862" s="228">
        <f t="shared" si="28"/>
        <v>1</v>
      </c>
      <c r="BA862" s="1817" t="s">
        <v>0</v>
      </c>
      <c r="BB862" s="1818">
        <v>2017</v>
      </c>
      <c r="BC862" s="452" t="s">
        <v>14</v>
      </c>
      <c r="BD862" s="452">
        <v>2</v>
      </c>
      <c r="BE862" s="1819">
        <v>703176648.66999996</v>
      </c>
      <c r="BF862" s="1820">
        <v>0.11642381279910501</v>
      </c>
      <c r="BH862" s="1817" t="s">
        <v>228</v>
      </c>
      <c r="BI862" s="452" t="s">
        <v>314</v>
      </c>
      <c r="BJ862" s="452" t="s">
        <v>46</v>
      </c>
      <c r="BK862" s="452">
        <v>5</v>
      </c>
      <c r="BL862" s="1819">
        <v>138660093</v>
      </c>
      <c r="BM862" s="1820">
        <v>0.06</v>
      </c>
      <c r="BN862" s="452">
        <v>2009</v>
      </c>
    </row>
    <row r="863" spans="1:66">
      <c r="A863" s="228">
        <f t="shared" si="27"/>
        <v>1900</v>
      </c>
      <c r="B863" s="228">
        <f t="shared" si="28"/>
        <v>1</v>
      </c>
      <c r="BA863" s="1817" t="s">
        <v>0</v>
      </c>
      <c r="BB863" s="1818">
        <v>2017</v>
      </c>
      <c r="BC863" s="452" t="s">
        <v>18</v>
      </c>
      <c r="BD863" s="452">
        <v>3</v>
      </c>
      <c r="BE863" s="1819">
        <v>631154374.48000002</v>
      </c>
      <c r="BF863" s="1820">
        <v>0.10449920212905205</v>
      </c>
      <c r="BH863" s="1817" t="s">
        <v>228</v>
      </c>
      <c r="BI863" s="452" t="s">
        <v>314</v>
      </c>
      <c r="BJ863" s="452" t="s">
        <v>53</v>
      </c>
      <c r="BK863" s="452">
        <v>6</v>
      </c>
      <c r="BL863" s="1819">
        <v>49638125</v>
      </c>
      <c r="BM863" s="1820">
        <v>2.1999999999999999E-2</v>
      </c>
      <c r="BN863" s="452">
        <v>2009</v>
      </c>
    </row>
    <row r="864" spans="1:66">
      <c r="A864" s="228">
        <f t="shared" si="27"/>
        <v>1900</v>
      </c>
      <c r="B864" s="228">
        <f t="shared" si="28"/>
        <v>1</v>
      </c>
      <c r="BA864" s="1817" t="s">
        <v>0</v>
      </c>
      <c r="BB864" s="1818">
        <v>2017</v>
      </c>
      <c r="BC864" s="452" t="s">
        <v>27</v>
      </c>
      <c r="BD864" s="452">
        <v>4</v>
      </c>
      <c r="BE864" s="1819">
        <v>578768509.75999987</v>
      </c>
      <c r="BF864" s="1820">
        <v>9.5825759802694629E-2</v>
      </c>
      <c r="BH864" s="1817" t="s">
        <v>228</v>
      </c>
      <c r="BI864" s="452" t="s">
        <v>314</v>
      </c>
      <c r="BJ864" s="452" t="s">
        <v>28</v>
      </c>
      <c r="BK864" s="452">
        <v>7</v>
      </c>
      <c r="BL864" s="1819">
        <v>29209847</v>
      </c>
      <c r="BM864" s="1820">
        <v>1.2999999999999999E-2</v>
      </c>
      <c r="BN864" s="452">
        <v>2009</v>
      </c>
    </row>
    <row r="865" spans="1:66">
      <c r="A865" s="228">
        <f t="shared" si="27"/>
        <v>1900</v>
      </c>
      <c r="B865" s="228">
        <f t="shared" si="28"/>
        <v>1</v>
      </c>
      <c r="BA865" s="1817" t="s">
        <v>0</v>
      </c>
      <c r="BB865" s="1818">
        <v>2017</v>
      </c>
      <c r="BC865" s="452" t="s">
        <v>22</v>
      </c>
      <c r="BD865" s="452">
        <v>5</v>
      </c>
      <c r="BE865" s="1819">
        <v>508372371.02000004</v>
      </c>
      <c r="BF865" s="1820">
        <v>8.4170385731403702E-2</v>
      </c>
      <c r="BH865" s="1817" t="s">
        <v>228</v>
      </c>
      <c r="BI865" s="452" t="s">
        <v>314</v>
      </c>
      <c r="BJ865" s="452" t="s">
        <v>42</v>
      </c>
      <c r="BK865" s="452">
        <v>8</v>
      </c>
      <c r="BL865" s="1819">
        <v>22568061</v>
      </c>
      <c r="BM865" s="1820">
        <v>0.01</v>
      </c>
      <c r="BN865" s="452">
        <v>2009</v>
      </c>
    </row>
    <row r="866" spans="1:66">
      <c r="A866" s="228">
        <f t="shared" si="27"/>
        <v>1900</v>
      </c>
      <c r="B866" s="228">
        <f t="shared" si="28"/>
        <v>1</v>
      </c>
      <c r="BA866" s="1817" t="s">
        <v>0</v>
      </c>
      <c r="BB866" s="1818">
        <v>2017</v>
      </c>
      <c r="BC866" s="452" t="s">
        <v>21</v>
      </c>
      <c r="BD866" s="452">
        <v>6</v>
      </c>
      <c r="BE866" s="1819">
        <v>408860835.13999999</v>
      </c>
      <c r="BF866" s="1820">
        <v>6.7694422761703871E-2</v>
      </c>
      <c r="BH866" s="1817" t="s">
        <v>228</v>
      </c>
      <c r="BI866" s="452" t="s">
        <v>314</v>
      </c>
      <c r="BJ866" s="452" t="s">
        <v>256</v>
      </c>
      <c r="BK866" s="452">
        <v>9</v>
      </c>
      <c r="BL866" s="1819">
        <v>6784046</v>
      </c>
      <c r="BM866" s="1820">
        <v>3.0000000000000001E-3</v>
      </c>
      <c r="BN866" s="452">
        <v>2009</v>
      </c>
    </row>
    <row r="867" spans="1:66">
      <c r="A867" s="228">
        <f t="shared" si="27"/>
        <v>1900</v>
      </c>
      <c r="B867" s="228">
        <f t="shared" si="28"/>
        <v>1</v>
      </c>
      <c r="BA867" s="1817" t="s">
        <v>0</v>
      </c>
      <c r="BB867" s="1818">
        <v>2017</v>
      </c>
      <c r="BC867" s="452" t="s">
        <v>250</v>
      </c>
      <c r="BD867" s="452">
        <v>7</v>
      </c>
      <c r="BE867" s="1819">
        <v>269526785.87</v>
      </c>
      <c r="BF867" s="1820">
        <v>4.4625111089545907E-2</v>
      </c>
      <c r="BH867" s="1817" t="s">
        <v>228</v>
      </c>
      <c r="BI867" s="452" t="s">
        <v>314</v>
      </c>
      <c r="BJ867" s="452" t="s">
        <v>54</v>
      </c>
      <c r="BK867" s="452">
        <v>10</v>
      </c>
      <c r="BL867" s="1819">
        <v>418389</v>
      </c>
      <c r="BM867" s="1820">
        <v>0</v>
      </c>
      <c r="BN867" s="452">
        <v>2009</v>
      </c>
    </row>
    <row r="868" spans="1:66">
      <c r="A868" s="228">
        <f t="shared" si="27"/>
        <v>1900</v>
      </c>
      <c r="B868" s="228">
        <f t="shared" si="28"/>
        <v>1</v>
      </c>
      <c r="BA868" s="1817" t="s">
        <v>0</v>
      </c>
      <c r="BB868" s="1818">
        <v>2017</v>
      </c>
      <c r="BC868" s="452" t="s">
        <v>15</v>
      </c>
      <c r="BD868" s="452">
        <v>8</v>
      </c>
      <c r="BE868" s="1819">
        <v>261292134.10000002</v>
      </c>
      <c r="BF868" s="1820">
        <v>4.3261713203752036E-2</v>
      </c>
      <c r="BH868" s="1817" t="s">
        <v>228</v>
      </c>
      <c r="BI868" s="452" t="s">
        <v>314</v>
      </c>
      <c r="BJ868" s="452" t="s">
        <v>32</v>
      </c>
      <c r="BL868" s="1819">
        <v>52107</v>
      </c>
      <c r="BM868" s="1820">
        <v>0</v>
      </c>
      <c r="BN868" s="452">
        <v>2009</v>
      </c>
    </row>
    <row r="869" spans="1:66">
      <c r="A869" s="228">
        <f t="shared" si="27"/>
        <v>1900</v>
      </c>
      <c r="B869" s="228">
        <f t="shared" si="28"/>
        <v>1</v>
      </c>
      <c r="BA869" s="1817" t="s">
        <v>0</v>
      </c>
      <c r="BB869" s="1818">
        <v>2017</v>
      </c>
      <c r="BC869" s="452" t="s">
        <v>13</v>
      </c>
      <c r="BD869" s="452">
        <v>9</v>
      </c>
      <c r="BE869" s="1819">
        <v>207337004.41999999</v>
      </c>
      <c r="BF869" s="1820">
        <v>3.4328450233064661E-2</v>
      </c>
      <c r="BH869" s="1817" t="s">
        <v>228</v>
      </c>
      <c r="BI869" s="452" t="s">
        <v>314</v>
      </c>
      <c r="BJ869" s="452" t="s">
        <v>249</v>
      </c>
      <c r="BL869" s="1819">
        <v>2299230749</v>
      </c>
      <c r="BN869" s="452">
        <v>2009</v>
      </c>
    </row>
    <row r="870" spans="1:66">
      <c r="A870" s="228">
        <f t="shared" si="27"/>
        <v>1900</v>
      </c>
      <c r="B870" s="228">
        <f t="shared" si="28"/>
        <v>1</v>
      </c>
      <c r="BA870" s="1817" t="s">
        <v>0</v>
      </c>
      <c r="BB870" s="1818">
        <v>2017</v>
      </c>
      <c r="BC870" s="452" t="s">
        <v>19</v>
      </c>
      <c r="BD870" s="452">
        <v>10</v>
      </c>
      <c r="BE870" s="1819">
        <v>164780567.56000003</v>
      </c>
      <c r="BF870" s="1820">
        <v>2.7282450273087677E-2</v>
      </c>
      <c r="BH870" s="1817" t="s">
        <v>228</v>
      </c>
      <c r="BI870" s="452" t="s">
        <v>313</v>
      </c>
      <c r="BJ870" s="452" t="s">
        <v>15</v>
      </c>
      <c r="BK870" s="452">
        <v>1</v>
      </c>
      <c r="BL870" s="1819">
        <v>421798865</v>
      </c>
      <c r="BM870" s="1820">
        <v>0.28399999999999997</v>
      </c>
      <c r="BN870" s="452">
        <v>2008</v>
      </c>
    </row>
    <row r="871" spans="1:66">
      <c r="A871" s="228">
        <f t="shared" si="27"/>
        <v>1900</v>
      </c>
      <c r="B871" s="228">
        <f t="shared" si="28"/>
        <v>1</v>
      </c>
      <c r="BA871" s="1817" t="s">
        <v>0</v>
      </c>
      <c r="BB871" s="1818">
        <v>2017</v>
      </c>
      <c r="BC871" s="452" t="s">
        <v>32</v>
      </c>
      <c r="BE871" s="1819">
        <v>682477904.39000034</v>
      </c>
      <c r="BF871" s="1820">
        <v>0.11299675541062487</v>
      </c>
      <c r="BH871" s="1817" t="s">
        <v>228</v>
      </c>
      <c r="BI871" s="452" t="s">
        <v>313</v>
      </c>
      <c r="BJ871" s="452" t="s">
        <v>18</v>
      </c>
      <c r="BK871" s="452">
        <v>2</v>
      </c>
      <c r="BL871" s="1819">
        <v>330805323</v>
      </c>
      <c r="BM871" s="1820">
        <v>0.223</v>
      </c>
      <c r="BN871" s="452">
        <v>2008</v>
      </c>
    </row>
    <row r="872" spans="1:66">
      <c r="A872" s="228">
        <f t="shared" si="27"/>
        <v>1900</v>
      </c>
      <c r="B872" s="228">
        <f t="shared" si="28"/>
        <v>1</v>
      </c>
      <c r="BA872" s="1817" t="s">
        <v>0</v>
      </c>
      <c r="BB872" s="1818">
        <v>2017</v>
      </c>
      <c r="BC872" s="452" t="s">
        <v>249</v>
      </c>
      <c r="BE872" s="1819">
        <v>6039800894.3700008</v>
      </c>
      <c r="BH872" s="1817" t="s">
        <v>228</v>
      </c>
      <c r="BI872" s="452" t="s">
        <v>313</v>
      </c>
      <c r="BJ872" s="452" t="s">
        <v>581</v>
      </c>
      <c r="BK872" s="452">
        <v>3</v>
      </c>
      <c r="BL872" s="1819">
        <v>308467547</v>
      </c>
      <c r="BM872" s="1820">
        <v>0.20799999999999999</v>
      </c>
      <c r="BN872" s="452">
        <v>2008</v>
      </c>
    </row>
    <row r="873" spans="1:66">
      <c r="A873" s="228">
        <f t="shared" si="27"/>
        <v>1900</v>
      </c>
      <c r="B873" s="228">
        <f t="shared" si="28"/>
        <v>1</v>
      </c>
      <c r="BA873" s="452" t="s">
        <v>280</v>
      </c>
      <c r="BB873" s="1818">
        <v>2017</v>
      </c>
      <c r="BC873" s="452" t="s">
        <v>15</v>
      </c>
      <c r="BD873" s="452">
        <v>1</v>
      </c>
      <c r="BE873" s="1819">
        <v>248407213.91</v>
      </c>
      <c r="BF873" s="1820">
        <v>0.27070210670960199</v>
      </c>
      <c r="BH873" s="1817" t="s">
        <v>228</v>
      </c>
      <c r="BI873" s="452" t="s">
        <v>313</v>
      </c>
      <c r="BJ873" s="452" t="s">
        <v>20</v>
      </c>
      <c r="BK873" s="452">
        <v>4</v>
      </c>
      <c r="BL873" s="1819">
        <v>254840208</v>
      </c>
      <c r="BM873" s="1820">
        <v>0.17199999999999999</v>
      </c>
      <c r="BN873" s="452">
        <v>2008</v>
      </c>
    </row>
    <row r="874" spans="1:66">
      <c r="A874" s="228">
        <f t="shared" si="27"/>
        <v>1900</v>
      </c>
      <c r="B874" s="228">
        <f t="shared" si="28"/>
        <v>1</v>
      </c>
      <c r="BA874" s="452" t="s">
        <v>280</v>
      </c>
      <c r="BB874" s="1818">
        <v>2017</v>
      </c>
      <c r="BC874" s="452" t="s">
        <v>26</v>
      </c>
      <c r="BD874" s="452">
        <v>2</v>
      </c>
      <c r="BE874" s="1819">
        <v>115191379.36999999</v>
      </c>
      <c r="BF874" s="1820">
        <v>0.12552996581468717</v>
      </c>
      <c r="BH874" s="1817" t="s">
        <v>228</v>
      </c>
      <c r="BI874" s="452" t="s">
        <v>313</v>
      </c>
      <c r="BJ874" s="452" t="s">
        <v>28</v>
      </c>
      <c r="BK874" s="452">
        <v>5</v>
      </c>
      <c r="BL874" s="1819">
        <v>62727851</v>
      </c>
      <c r="BM874" s="1820">
        <v>4.2000000000000003E-2</v>
      </c>
      <c r="BN874" s="452">
        <v>2008</v>
      </c>
    </row>
    <row r="875" spans="1:66">
      <c r="A875" s="228">
        <f t="shared" si="27"/>
        <v>1900</v>
      </c>
      <c r="B875" s="228">
        <f t="shared" si="28"/>
        <v>1</v>
      </c>
      <c r="BA875" s="452" t="s">
        <v>280</v>
      </c>
      <c r="BB875" s="1818">
        <v>2017</v>
      </c>
      <c r="BC875" s="452" t="s">
        <v>21</v>
      </c>
      <c r="BD875" s="452">
        <v>3</v>
      </c>
      <c r="BE875" s="1819">
        <v>90739758.179999992</v>
      </c>
      <c r="BF875" s="1820">
        <v>9.8883777628718056E-2</v>
      </c>
      <c r="BH875" s="1817" t="s">
        <v>228</v>
      </c>
      <c r="BI875" s="452" t="s">
        <v>313</v>
      </c>
      <c r="BJ875" s="452" t="s">
        <v>42</v>
      </c>
      <c r="BK875" s="452">
        <v>6</v>
      </c>
      <c r="BL875" s="1819">
        <v>46961150</v>
      </c>
      <c r="BM875" s="1820">
        <v>3.2000000000000001E-2</v>
      </c>
      <c r="BN875" s="452">
        <v>2008</v>
      </c>
    </row>
    <row r="876" spans="1:66">
      <c r="A876" s="228">
        <f t="shared" si="27"/>
        <v>1900</v>
      </c>
      <c r="B876" s="228">
        <f t="shared" si="28"/>
        <v>1</v>
      </c>
      <c r="BA876" s="452" t="s">
        <v>280</v>
      </c>
      <c r="BB876" s="1818">
        <v>2017</v>
      </c>
      <c r="BC876" s="452" t="s">
        <v>23</v>
      </c>
      <c r="BD876" s="452">
        <v>4</v>
      </c>
      <c r="BE876" s="1819">
        <v>82714576.290000007</v>
      </c>
      <c r="BF876" s="1820">
        <v>9.0138324506982906E-2</v>
      </c>
      <c r="BH876" s="1817" t="s">
        <v>228</v>
      </c>
      <c r="BI876" s="452" t="s">
        <v>313</v>
      </c>
      <c r="BJ876" s="452" t="s">
        <v>53</v>
      </c>
      <c r="BK876" s="452">
        <v>7</v>
      </c>
      <c r="BL876" s="1819">
        <v>33030544</v>
      </c>
      <c r="BM876" s="1820">
        <v>2.1999999999999999E-2</v>
      </c>
      <c r="BN876" s="452">
        <v>2008</v>
      </c>
    </row>
    <row r="877" spans="1:66">
      <c r="A877" s="228">
        <f t="shared" si="27"/>
        <v>1900</v>
      </c>
      <c r="B877" s="228">
        <f t="shared" si="28"/>
        <v>1</v>
      </c>
      <c r="BA877" s="452" t="s">
        <v>280</v>
      </c>
      <c r="BB877" s="1818">
        <v>2017</v>
      </c>
      <c r="BC877" s="452" t="s">
        <v>431</v>
      </c>
      <c r="BD877" s="452">
        <v>5</v>
      </c>
      <c r="BE877" s="1819">
        <v>82456370.829999998</v>
      </c>
      <c r="BF877" s="1820">
        <v>8.9856944747974579E-2</v>
      </c>
      <c r="BH877" s="1817" t="s">
        <v>228</v>
      </c>
      <c r="BI877" s="452" t="s">
        <v>313</v>
      </c>
      <c r="BJ877" s="452" t="s">
        <v>23</v>
      </c>
      <c r="BK877" s="452">
        <v>8</v>
      </c>
      <c r="BL877" s="1819">
        <v>13505402</v>
      </c>
      <c r="BM877" s="1820">
        <v>8.9999999999999993E-3</v>
      </c>
      <c r="BN877" s="452">
        <v>2008</v>
      </c>
    </row>
    <row r="878" spans="1:66">
      <c r="A878" s="228">
        <f t="shared" si="27"/>
        <v>1900</v>
      </c>
      <c r="B878" s="228">
        <f t="shared" si="28"/>
        <v>1</v>
      </c>
      <c r="BA878" s="452" t="s">
        <v>280</v>
      </c>
      <c r="BB878" s="1818">
        <v>2017</v>
      </c>
      <c r="BC878" s="452" t="s">
        <v>51</v>
      </c>
      <c r="BD878" s="452">
        <v>6</v>
      </c>
      <c r="BE878" s="1819">
        <v>65236124.170000002</v>
      </c>
      <c r="BF878" s="1820">
        <v>7.10911570095802E-2</v>
      </c>
      <c r="BH878" s="1817" t="s">
        <v>228</v>
      </c>
      <c r="BI878" s="452" t="s">
        <v>313</v>
      </c>
      <c r="BJ878" s="452" t="s">
        <v>46</v>
      </c>
      <c r="BK878" s="452">
        <v>9</v>
      </c>
      <c r="BL878" s="1819">
        <v>11787985</v>
      </c>
      <c r="BM878" s="1820">
        <v>8.0000000000000002E-3</v>
      </c>
      <c r="BN878" s="452">
        <v>2008</v>
      </c>
    </row>
    <row r="879" spans="1:66">
      <c r="A879" s="228">
        <f t="shared" si="27"/>
        <v>1900</v>
      </c>
      <c r="B879" s="228">
        <f t="shared" si="28"/>
        <v>1</v>
      </c>
      <c r="BA879" s="452" t="s">
        <v>280</v>
      </c>
      <c r="BB879" s="1818">
        <v>2017</v>
      </c>
      <c r="BC879" s="452" t="s">
        <v>583</v>
      </c>
      <c r="BD879" s="452">
        <v>7</v>
      </c>
      <c r="BE879" s="1819">
        <v>58514030.589999996</v>
      </c>
      <c r="BF879" s="1820">
        <v>6.376574618530205E-2</v>
      </c>
      <c r="BH879" s="1817" t="s">
        <v>228</v>
      </c>
      <c r="BI879" s="452" t="s">
        <v>313</v>
      </c>
      <c r="BJ879" s="452" t="s">
        <v>75</v>
      </c>
      <c r="BK879" s="452">
        <v>10</v>
      </c>
      <c r="BL879" s="1819">
        <v>2394</v>
      </c>
      <c r="BM879" s="1820">
        <v>0</v>
      </c>
      <c r="BN879" s="452">
        <v>2008</v>
      </c>
    </row>
    <row r="880" spans="1:66">
      <c r="A880" s="228">
        <f t="shared" si="27"/>
        <v>1900</v>
      </c>
      <c r="B880" s="228">
        <f t="shared" si="28"/>
        <v>1</v>
      </c>
      <c r="BA880" s="452" t="s">
        <v>280</v>
      </c>
      <c r="BB880" s="1818">
        <v>2017</v>
      </c>
      <c r="BC880" s="452" t="s">
        <v>54</v>
      </c>
      <c r="BD880" s="452">
        <v>8</v>
      </c>
      <c r="BE880" s="1819">
        <v>54664160.530000009</v>
      </c>
      <c r="BF880" s="1820">
        <v>5.9570344935087942E-2</v>
      </c>
      <c r="BH880" s="1817" t="s">
        <v>228</v>
      </c>
      <c r="BI880" s="452" t="s">
        <v>313</v>
      </c>
      <c r="BJ880" s="452" t="s">
        <v>32</v>
      </c>
      <c r="BL880" s="1819">
        <v>0</v>
      </c>
      <c r="BM880" s="1820">
        <v>0</v>
      </c>
      <c r="BN880" s="452">
        <v>2008</v>
      </c>
    </row>
    <row r="881" spans="1:66">
      <c r="A881" s="228">
        <f t="shared" si="27"/>
        <v>1900</v>
      </c>
      <c r="B881" s="228">
        <f t="shared" si="28"/>
        <v>1</v>
      </c>
      <c r="BA881" s="452" t="s">
        <v>280</v>
      </c>
      <c r="BB881" s="1818">
        <v>2017</v>
      </c>
      <c r="BC881" s="452" t="s">
        <v>20</v>
      </c>
      <c r="BD881" s="452">
        <v>9</v>
      </c>
      <c r="BE881" s="1819">
        <v>32256598.260000002</v>
      </c>
      <c r="BF881" s="1820">
        <v>3.5151672798966832E-2</v>
      </c>
      <c r="BH881" s="1817" t="s">
        <v>228</v>
      </c>
      <c r="BI881" s="452" t="s">
        <v>313</v>
      </c>
      <c r="BJ881" s="452" t="s">
        <v>249</v>
      </c>
      <c r="BL881" s="1819">
        <v>1483927269</v>
      </c>
      <c r="BN881" s="452">
        <v>2008</v>
      </c>
    </row>
    <row r="882" spans="1:66">
      <c r="A882" s="228">
        <f t="shared" si="27"/>
        <v>1900</v>
      </c>
      <c r="B882" s="228">
        <f t="shared" si="28"/>
        <v>1</v>
      </c>
      <c r="BA882" s="452" t="s">
        <v>280</v>
      </c>
      <c r="BB882" s="1818">
        <v>2017</v>
      </c>
      <c r="BC882" s="452" t="s">
        <v>29</v>
      </c>
      <c r="BD882" s="452">
        <v>10</v>
      </c>
      <c r="BE882" s="1819">
        <v>14779667.939999999</v>
      </c>
      <c r="BF882" s="1820">
        <v>1.6106163685229841E-2</v>
      </c>
      <c r="BH882" s="1817" t="s">
        <v>228</v>
      </c>
      <c r="BI882" s="452" t="s">
        <v>312</v>
      </c>
      <c r="BJ882" s="452" t="s">
        <v>18</v>
      </c>
      <c r="BK882" s="452">
        <v>1</v>
      </c>
      <c r="BL882" s="1819">
        <v>493447011</v>
      </c>
      <c r="BM882" s="1820">
        <v>0.315</v>
      </c>
      <c r="BN882" s="452">
        <v>2007</v>
      </c>
    </row>
    <row r="883" spans="1:66">
      <c r="A883" s="228">
        <f t="shared" si="27"/>
        <v>1900</v>
      </c>
      <c r="B883" s="228">
        <f t="shared" si="28"/>
        <v>1</v>
      </c>
      <c r="BA883" s="452" t="s">
        <v>280</v>
      </c>
      <c r="BB883" s="1818">
        <v>2017</v>
      </c>
      <c r="BC883" s="452" t="s">
        <v>32</v>
      </c>
      <c r="BE883" s="1819">
        <v>72680610.170000076</v>
      </c>
      <c r="BF883" s="1820">
        <v>7.9203795977868363E-2</v>
      </c>
      <c r="BH883" s="1817" t="s">
        <v>228</v>
      </c>
      <c r="BI883" s="452" t="s">
        <v>312</v>
      </c>
      <c r="BJ883" s="452" t="s">
        <v>15</v>
      </c>
      <c r="BK883" s="452">
        <v>2</v>
      </c>
      <c r="BL883" s="1819">
        <v>379152167</v>
      </c>
      <c r="BM883" s="1820">
        <v>0.24199999999999999</v>
      </c>
      <c r="BN883" s="452">
        <v>2007</v>
      </c>
    </row>
    <row r="884" spans="1:66">
      <c r="A884" s="228">
        <f t="shared" si="27"/>
        <v>1900</v>
      </c>
      <c r="B884" s="228">
        <f t="shared" si="28"/>
        <v>1</v>
      </c>
      <c r="AY884" s="1564"/>
      <c r="BA884" s="452" t="s">
        <v>280</v>
      </c>
      <c r="BB884" s="1818">
        <v>2017</v>
      </c>
      <c r="BC884" s="452" t="s">
        <v>249</v>
      </c>
      <c r="BE884" s="1819">
        <v>917640490.24000013</v>
      </c>
      <c r="BH884" s="1817" t="s">
        <v>228</v>
      </c>
      <c r="BI884" s="452" t="s">
        <v>312</v>
      </c>
      <c r="BJ884" s="452" t="s">
        <v>581</v>
      </c>
      <c r="BK884" s="452">
        <v>3</v>
      </c>
      <c r="BL884" s="1819">
        <v>268983201</v>
      </c>
      <c r="BM884" s="1820">
        <v>0.17199999999999999</v>
      </c>
      <c r="BN884" s="452">
        <v>2007</v>
      </c>
    </row>
    <row r="885" spans="1:66">
      <c r="A885" s="228">
        <f t="shared" si="27"/>
        <v>1900</v>
      </c>
      <c r="B885" s="228">
        <f t="shared" si="28"/>
        <v>1</v>
      </c>
      <c r="AY885" s="1564"/>
      <c r="BA885" s="452" t="s">
        <v>228</v>
      </c>
      <c r="BB885" s="1818">
        <v>2017</v>
      </c>
      <c r="BC885" s="452" t="s">
        <v>15</v>
      </c>
      <c r="BD885" s="452">
        <v>1</v>
      </c>
      <c r="BE885" s="1819">
        <v>911567422.16099977</v>
      </c>
      <c r="BF885" s="1820">
        <v>0.25984922915411907</v>
      </c>
      <c r="BH885" s="1817" t="s">
        <v>228</v>
      </c>
      <c r="BI885" s="452" t="s">
        <v>312</v>
      </c>
      <c r="BJ885" s="452" t="s">
        <v>20</v>
      </c>
      <c r="BK885" s="452">
        <v>4</v>
      </c>
      <c r="BL885" s="1819">
        <v>254992821</v>
      </c>
      <c r="BM885" s="1820">
        <v>0.16300000000000001</v>
      </c>
      <c r="BN885" s="452">
        <v>2007</v>
      </c>
    </row>
    <row r="886" spans="1:66">
      <c r="A886" s="228">
        <f t="shared" si="27"/>
        <v>1900</v>
      </c>
      <c r="B886" s="228">
        <f t="shared" si="28"/>
        <v>1</v>
      </c>
      <c r="BA886" s="452" t="s">
        <v>228</v>
      </c>
      <c r="BB886" s="1818">
        <v>2017</v>
      </c>
      <c r="BC886" s="452" t="s">
        <v>53</v>
      </c>
      <c r="BD886" s="452">
        <v>2</v>
      </c>
      <c r="BE886" s="1819">
        <v>900882864.80999994</v>
      </c>
      <c r="BF886" s="1820">
        <v>0.25680351479003122</v>
      </c>
      <c r="BH886" s="1817" t="s">
        <v>228</v>
      </c>
      <c r="BI886" s="452" t="s">
        <v>312</v>
      </c>
      <c r="BJ886" s="452" t="s">
        <v>53</v>
      </c>
      <c r="BK886" s="452">
        <v>5</v>
      </c>
      <c r="BL886" s="1819">
        <v>55307683</v>
      </c>
      <c r="BM886" s="1820">
        <v>3.5000000000000003E-2</v>
      </c>
      <c r="BN886" s="452">
        <v>2007</v>
      </c>
    </row>
    <row r="887" spans="1:66">
      <c r="A887" s="228">
        <f t="shared" si="27"/>
        <v>1900</v>
      </c>
      <c r="B887" s="228">
        <f t="shared" si="28"/>
        <v>1</v>
      </c>
      <c r="BA887" s="452" t="s">
        <v>228</v>
      </c>
      <c r="BB887" s="1818">
        <v>2017</v>
      </c>
      <c r="BC887" s="946" t="s">
        <v>581</v>
      </c>
      <c r="BD887" s="452">
        <v>3</v>
      </c>
      <c r="BE887" s="1819">
        <v>745675037.17999983</v>
      </c>
      <c r="BF887" s="1820">
        <v>0.21256034265830734</v>
      </c>
      <c r="BH887" s="1817" t="s">
        <v>228</v>
      </c>
      <c r="BI887" s="452" t="s">
        <v>312</v>
      </c>
      <c r="BJ887" s="452" t="s">
        <v>28</v>
      </c>
      <c r="BK887" s="452">
        <v>6</v>
      </c>
      <c r="BL887" s="1819">
        <v>48328777</v>
      </c>
      <c r="BM887" s="1820">
        <v>3.1E-2</v>
      </c>
      <c r="BN887" s="452">
        <v>2007</v>
      </c>
    </row>
    <row r="888" spans="1:66">
      <c r="A888" s="228">
        <f t="shared" si="27"/>
        <v>1900</v>
      </c>
      <c r="B888" s="228">
        <f t="shared" si="28"/>
        <v>1</v>
      </c>
      <c r="AY888" s="1564"/>
      <c r="BA888" s="452" t="s">
        <v>228</v>
      </c>
      <c r="BB888" s="1818">
        <v>2017</v>
      </c>
      <c r="BC888" s="946" t="s">
        <v>46</v>
      </c>
      <c r="BD888" s="452">
        <v>4</v>
      </c>
      <c r="BE888" s="1819">
        <v>337072844.76999998</v>
      </c>
      <c r="BF888" s="1820">
        <v>9.608517894883789E-2</v>
      </c>
      <c r="BH888" s="1817" t="s">
        <v>228</v>
      </c>
      <c r="BI888" s="452" t="s">
        <v>312</v>
      </c>
      <c r="BJ888" s="452" t="s">
        <v>42</v>
      </c>
      <c r="BK888" s="452">
        <v>7</v>
      </c>
      <c r="BL888" s="1819">
        <v>35640758</v>
      </c>
      <c r="BM888" s="1820">
        <v>2.3E-2</v>
      </c>
      <c r="BN888" s="452">
        <v>2007</v>
      </c>
    </row>
    <row r="889" spans="1:66">
      <c r="A889" s="228">
        <f t="shared" si="27"/>
        <v>1900</v>
      </c>
      <c r="B889" s="228">
        <f t="shared" si="28"/>
        <v>1</v>
      </c>
      <c r="AY889" s="1564"/>
      <c r="BA889" s="452" t="s">
        <v>228</v>
      </c>
      <c r="BB889" s="1818">
        <v>2017</v>
      </c>
      <c r="BC889" s="452" t="s">
        <v>20</v>
      </c>
      <c r="BD889" s="452">
        <v>5</v>
      </c>
      <c r="BE889" s="1819">
        <v>331428242.59000003</v>
      </c>
      <c r="BF889" s="1820">
        <v>9.4476142151672063E-2</v>
      </c>
      <c r="BH889" s="1817" t="s">
        <v>228</v>
      </c>
      <c r="BI889" s="452" t="s">
        <v>312</v>
      </c>
      <c r="BJ889" s="452" t="s">
        <v>27</v>
      </c>
      <c r="BK889" s="452">
        <v>8</v>
      </c>
      <c r="BL889" s="1819">
        <v>14639640</v>
      </c>
      <c r="BM889" s="1820">
        <v>8.9999999999999993E-3</v>
      </c>
      <c r="BN889" s="452">
        <v>2007</v>
      </c>
    </row>
    <row r="890" spans="1:66">
      <c r="A890" s="228">
        <f t="shared" si="27"/>
        <v>1900</v>
      </c>
      <c r="B890" s="228">
        <f t="shared" si="28"/>
        <v>1</v>
      </c>
      <c r="AY890" s="1564"/>
      <c r="BA890" s="452" t="s">
        <v>228</v>
      </c>
      <c r="BB890" s="1818">
        <v>2017</v>
      </c>
      <c r="BC890" s="452" t="s">
        <v>18</v>
      </c>
      <c r="BD890" s="452">
        <v>6</v>
      </c>
      <c r="BE890" s="1819">
        <v>245558032.97999999</v>
      </c>
      <c r="BF890" s="1820">
        <v>6.9998185577089492E-2</v>
      </c>
      <c r="BH890" s="1817" t="s">
        <v>228</v>
      </c>
      <c r="BI890" s="452" t="s">
        <v>312</v>
      </c>
      <c r="BJ890" s="452" t="s">
        <v>44</v>
      </c>
      <c r="BK890" s="452">
        <v>9</v>
      </c>
      <c r="BL890" s="1819">
        <v>14456853</v>
      </c>
      <c r="BM890" s="1820">
        <v>8.9999999999999993E-3</v>
      </c>
      <c r="BN890" s="452">
        <v>2007</v>
      </c>
    </row>
    <row r="891" spans="1:66">
      <c r="A891" s="228">
        <f t="shared" si="27"/>
        <v>1900</v>
      </c>
      <c r="B891" s="228">
        <f t="shared" si="28"/>
        <v>1</v>
      </c>
      <c r="BA891" s="452" t="s">
        <v>228</v>
      </c>
      <c r="BB891" s="1818">
        <v>2017</v>
      </c>
      <c r="BC891" s="452" t="s">
        <v>42</v>
      </c>
      <c r="BD891" s="452">
        <v>7</v>
      </c>
      <c r="BE891" s="1819">
        <v>35878385.359999999</v>
      </c>
      <c r="BF891" s="1820">
        <v>1.0227406719942893E-2</v>
      </c>
      <c r="BH891" s="1817" t="s">
        <v>228</v>
      </c>
      <c r="BI891" s="452" t="s">
        <v>312</v>
      </c>
      <c r="BJ891" s="452" t="s">
        <v>431</v>
      </c>
      <c r="BK891" s="452">
        <v>10</v>
      </c>
      <c r="BL891" s="1819">
        <v>1700</v>
      </c>
      <c r="BM891" s="1820">
        <v>0</v>
      </c>
      <c r="BN891" s="452">
        <v>2007</v>
      </c>
    </row>
    <row r="892" spans="1:66">
      <c r="A892" s="228">
        <f t="shared" si="27"/>
        <v>1900</v>
      </c>
      <c r="B892" s="228">
        <f t="shared" si="28"/>
        <v>1</v>
      </c>
      <c r="BA892" s="452" t="s">
        <v>228</v>
      </c>
      <c r="BB892" s="1818">
        <v>2017</v>
      </c>
      <c r="BC892" s="452" t="s">
        <v>165</v>
      </c>
      <c r="BD892" s="452">
        <v>8</v>
      </c>
      <c r="BE892" s="1824" t="s">
        <v>165</v>
      </c>
      <c r="BH892" s="1817" t="s">
        <v>228</v>
      </c>
      <c r="BI892" s="452" t="s">
        <v>312</v>
      </c>
      <c r="BJ892" s="452" t="s">
        <v>32</v>
      </c>
      <c r="BL892" s="1819">
        <v>0</v>
      </c>
      <c r="BM892" s="1820">
        <v>0</v>
      </c>
      <c r="BN892" s="452">
        <v>2007</v>
      </c>
    </row>
    <row r="893" spans="1:66">
      <c r="A893" s="228">
        <f t="shared" si="27"/>
        <v>1900</v>
      </c>
      <c r="B893" s="228">
        <f t="shared" si="28"/>
        <v>1</v>
      </c>
      <c r="BA893" s="452" t="s">
        <v>228</v>
      </c>
      <c r="BB893" s="1818">
        <v>2017</v>
      </c>
      <c r="BC893" s="452" t="s">
        <v>165</v>
      </c>
      <c r="BD893" s="452">
        <v>9</v>
      </c>
      <c r="BE893" s="1824" t="s">
        <v>165</v>
      </c>
      <c r="BH893" s="1817" t="s">
        <v>228</v>
      </c>
      <c r="BI893" s="452" t="s">
        <v>312</v>
      </c>
      <c r="BJ893" s="452" t="s">
        <v>249</v>
      </c>
      <c r="BL893" s="1819">
        <v>1564950612</v>
      </c>
      <c r="BN893" s="452">
        <v>2007</v>
      </c>
    </row>
    <row r="894" spans="1:66">
      <c r="A894" s="228">
        <f t="shared" si="27"/>
        <v>1900</v>
      </c>
      <c r="B894" s="228">
        <f t="shared" si="28"/>
        <v>1</v>
      </c>
      <c r="BA894" s="452" t="s">
        <v>228</v>
      </c>
      <c r="BB894" s="1818">
        <v>2017</v>
      </c>
      <c r="BC894" s="452" t="s">
        <v>165</v>
      </c>
      <c r="BD894" s="452">
        <v>10</v>
      </c>
      <c r="BE894" s="1824" t="s">
        <v>165</v>
      </c>
      <c r="BH894" s="1817" t="s">
        <v>0</v>
      </c>
      <c r="BI894" s="452" t="s">
        <v>344</v>
      </c>
      <c r="BJ894" s="452" t="s">
        <v>29</v>
      </c>
      <c r="BK894" s="452">
        <v>1</v>
      </c>
      <c r="BL894" s="1819">
        <v>1206670597.75</v>
      </c>
      <c r="BM894" s="1820">
        <v>0.22664407779028015</v>
      </c>
      <c r="BN894" s="452">
        <v>2016</v>
      </c>
    </row>
    <row r="895" spans="1:66">
      <c r="A895" s="228">
        <f t="shared" si="27"/>
        <v>1900</v>
      </c>
      <c r="B895" s="228">
        <f t="shared" si="28"/>
        <v>1</v>
      </c>
      <c r="BA895" s="452" t="s">
        <v>228</v>
      </c>
      <c r="BB895" s="1818">
        <v>2017</v>
      </c>
      <c r="BC895" s="452" t="s">
        <v>32</v>
      </c>
      <c r="BE895" s="1819">
        <v>0</v>
      </c>
      <c r="BH895" s="452" t="s">
        <v>0</v>
      </c>
      <c r="BI895" s="452" t="s">
        <v>344</v>
      </c>
      <c r="BJ895" s="452" t="s">
        <v>14</v>
      </c>
      <c r="BK895" s="452">
        <v>2</v>
      </c>
      <c r="BL895" s="1819">
        <v>764304801.37</v>
      </c>
      <c r="BM895" s="1820">
        <v>0.14355629214815424</v>
      </c>
      <c r="BN895" s="452">
        <v>2016</v>
      </c>
    </row>
    <row r="896" spans="1:66">
      <c r="A896" s="228">
        <f t="shared" si="27"/>
        <v>1900</v>
      </c>
      <c r="B896" s="228">
        <f t="shared" si="28"/>
        <v>1</v>
      </c>
      <c r="AQ896" s="349"/>
      <c r="AR896" s="349"/>
      <c r="BA896" s="452" t="s">
        <v>228</v>
      </c>
      <c r="BB896" s="1818">
        <v>2017</v>
      </c>
      <c r="BC896" s="452" t="s">
        <v>249</v>
      </c>
      <c r="BE896" s="1819">
        <v>3508062829.8509998</v>
      </c>
      <c r="BH896" s="452" t="s">
        <v>0</v>
      </c>
      <c r="BI896" s="452" t="s">
        <v>344</v>
      </c>
      <c r="BJ896" s="452" t="s">
        <v>18</v>
      </c>
      <c r="BK896" s="452">
        <v>3</v>
      </c>
      <c r="BL896" s="1819">
        <v>459909051.93999994</v>
      </c>
      <c r="BM896" s="1820">
        <v>8.6382864668041792E-2</v>
      </c>
      <c r="BN896" s="452">
        <v>2016</v>
      </c>
    </row>
    <row r="897" spans="1:76">
      <c r="A897" s="228">
        <f t="shared" si="27"/>
        <v>1900</v>
      </c>
      <c r="B897" s="228">
        <f t="shared" si="28"/>
        <v>1</v>
      </c>
      <c r="AR897" s="317"/>
      <c r="BA897" s="452" t="s">
        <v>2</v>
      </c>
      <c r="BB897" s="1818">
        <v>2017</v>
      </c>
      <c r="BC897" s="452" t="s">
        <v>15</v>
      </c>
      <c r="BD897" s="452">
        <v>1</v>
      </c>
      <c r="BE897" s="1819">
        <v>51318527000</v>
      </c>
      <c r="BF897" s="1820">
        <v>0.81901062814891057</v>
      </c>
      <c r="BH897" s="452" t="s">
        <v>0</v>
      </c>
      <c r="BI897" s="452" t="s">
        <v>344</v>
      </c>
      <c r="BJ897" s="452" t="s">
        <v>22</v>
      </c>
      <c r="BK897" s="452">
        <v>4</v>
      </c>
      <c r="BL897" s="1819">
        <v>435985698.21000004</v>
      </c>
      <c r="BM897" s="1820">
        <v>8.1889437502503243E-2</v>
      </c>
      <c r="BN897" s="452">
        <v>2016</v>
      </c>
    </row>
    <row r="898" spans="1:76">
      <c r="A898" s="228">
        <f t="shared" si="27"/>
        <v>1900</v>
      </c>
      <c r="B898" s="228">
        <f t="shared" si="28"/>
        <v>1</v>
      </c>
      <c r="AR898" s="317"/>
      <c r="BA898" s="452" t="s">
        <v>2</v>
      </c>
      <c r="BB898" s="1818">
        <v>2017</v>
      </c>
      <c r="BC898" s="452" t="s">
        <v>20</v>
      </c>
      <c r="BD898" s="452">
        <v>2</v>
      </c>
      <c r="BE898" s="1819">
        <v>5538714000</v>
      </c>
      <c r="BF898" s="1820">
        <v>8.8394307036076175E-2</v>
      </c>
      <c r="BH898" s="452" t="s">
        <v>0</v>
      </c>
      <c r="BI898" s="452" t="s">
        <v>344</v>
      </c>
      <c r="BJ898" s="452" t="s">
        <v>27</v>
      </c>
      <c r="BK898" s="452">
        <v>5</v>
      </c>
      <c r="BL898" s="1819">
        <v>420447297.48000008</v>
      </c>
      <c r="BM898" s="1820">
        <v>7.8970922283558398E-2</v>
      </c>
      <c r="BN898" s="452">
        <v>2016</v>
      </c>
    </row>
    <row r="899" spans="1:76">
      <c r="A899" s="228">
        <f t="shared" si="27"/>
        <v>1900</v>
      </c>
      <c r="B899" s="228">
        <f t="shared" si="28"/>
        <v>1</v>
      </c>
      <c r="BA899" s="452" t="s">
        <v>2</v>
      </c>
      <c r="BB899" s="1818">
        <v>2017</v>
      </c>
      <c r="BC899" s="452" t="s">
        <v>581</v>
      </c>
      <c r="BD899" s="452">
        <v>3</v>
      </c>
      <c r="BE899" s="1819">
        <v>3846110000</v>
      </c>
      <c r="BF899" s="1820">
        <v>6.1381437682921147E-2</v>
      </c>
      <c r="BH899" s="452" t="s">
        <v>0</v>
      </c>
      <c r="BI899" s="452" t="s">
        <v>344</v>
      </c>
      <c r="BJ899" s="452" t="s">
        <v>21</v>
      </c>
      <c r="BK899" s="452">
        <v>6</v>
      </c>
      <c r="BL899" s="1819">
        <v>418001102.38</v>
      </c>
      <c r="BM899" s="1820">
        <v>7.8511463311434271E-2</v>
      </c>
      <c r="BN899" s="452">
        <v>2016</v>
      </c>
    </row>
    <row r="900" spans="1:76">
      <c r="A900" s="228">
        <f t="shared" si="27"/>
        <v>1900</v>
      </c>
      <c r="B900" s="228">
        <f t="shared" si="28"/>
        <v>1</v>
      </c>
      <c r="BA900" s="452" t="s">
        <v>2</v>
      </c>
      <c r="BB900" s="1818">
        <v>2017</v>
      </c>
      <c r="BC900" s="452" t="s">
        <v>583</v>
      </c>
      <c r="BD900" s="452">
        <v>4</v>
      </c>
      <c r="BE900" s="1819">
        <v>1392116000</v>
      </c>
      <c r="BF900" s="1820">
        <v>2.2217274467292266E-2</v>
      </c>
      <c r="BH900" s="452" t="s">
        <v>0</v>
      </c>
      <c r="BI900" s="452" t="s">
        <v>344</v>
      </c>
      <c r="BJ900" s="452" t="s">
        <v>15</v>
      </c>
      <c r="BK900" s="452">
        <v>7</v>
      </c>
      <c r="BL900" s="1819">
        <v>299086580.08999997</v>
      </c>
      <c r="BM900" s="1820">
        <v>5.6176227588824429E-2</v>
      </c>
      <c r="BN900" s="452">
        <v>2016</v>
      </c>
    </row>
    <row r="901" spans="1:76">
      <c r="A901" s="228">
        <f t="shared" si="27"/>
        <v>1900</v>
      </c>
      <c r="B901" s="228">
        <f t="shared" si="28"/>
        <v>1</v>
      </c>
      <c r="BA901" s="452" t="s">
        <v>2</v>
      </c>
      <c r="BB901" s="1818">
        <v>2017</v>
      </c>
      <c r="BC901" s="452" t="s">
        <v>19</v>
      </c>
      <c r="BD901" s="452">
        <v>5</v>
      </c>
      <c r="BE901" s="1819">
        <v>280831000</v>
      </c>
      <c r="BF901" s="1820">
        <v>4.4818818301952954E-3</v>
      </c>
      <c r="BH901" s="452" t="s">
        <v>0</v>
      </c>
      <c r="BI901" s="452" t="s">
        <v>344</v>
      </c>
      <c r="BJ901" s="452" t="s">
        <v>250</v>
      </c>
      <c r="BK901" s="452">
        <v>8</v>
      </c>
      <c r="BL901" s="1819">
        <v>240535269.83999997</v>
      </c>
      <c r="BM901" s="1820">
        <v>4.5178770834870111E-2</v>
      </c>
      <c r="BN901" s="452">
        <v>2016</v>
      </c>
    </row>
    <row r="902" spans="1:76">
      <c r="A902" s="228">
        <f t="shared" si="27"/>
        <v>1900</v>
      </c>
      <c r="B902" s="228">
        <f t="shared" si="28"/>
        <v>1</v>
      </c>
      <c r="AR902" s="324"/>
      <c r="BA902" s="452" t="s">
        <v>2</v>
      </c>
      <c r="BB902" s="1818">
        <v>2017</v>
      </c>
      <c r="BC902" s="452" t="s">
        <v>32</v>
      </c>
      <c r="BE902" s="1819">
        <v>282873000</v>
      </c>
      <c r="BF902" s="1820">
        <v>4.5144708346045621E-3</v>
      </c>
      <c r="BH902" s="452" t="s">
        <v>0</v>
      </c>
      <c r="BI902" s="452" t="s">
        <v>344</v>
      </c>
      <c r="BJ902" s="452" t="s">
        <v>19</v>
      </c>
      <c r="BK902" s="452">
        <v>9</v>
      </c>
      <c r="BL902" s="1819">
        <v>204660764.86999997</v>
      </c>
      <c r="BM902" s="1820">
        <v>3.8440607072307786E-2</v>
      </c>
      <c r="BN902" s="452">
        <v>2016</v>
      </c>
    </row>
    <row r="903" spans="1:76">
      <c r="A903" s="228">
        <f t="shared" si="27"/>
        <v>1900</v>
      </c>
      <c r="B903" s="228">
        <f t="shared" si="28"/>
        <v>1</v>
      </c>
      <c r="P903" s="445"/>
      <c r="Q903" s="445"/>
      <c r="BA903" s="452" t="s">
        <v>2</v>
      </c>
      <c r="BB903" s="1818">
        <v>2017</v>
      </c>
      <c r="BC903" s="452" t="s">
        <v>70</v>
      </c>
      <c r="BE903" s="1819">
        <v>62659171000</v>
      </c>
      <c r="BH903" s="452" t="s">
        <v>0</v>
      </c>
      <c r="BI903" s="452" t="s">
        <v>344</v>
      </c>
      <c r="BJ903" s="452" t="s">
        <v>25</v>
      </c>
      <c r="BK903" s="452">
        <v>10</v>
      </c>
      <c r="BL903" s="1819">
        <v>170293338.83000001</v>
      </c>
      <c r="BM903" s="1820">
        <v>3.1985511874508633E-2</v>
      </c>
      <c r="BN903" s="452">
        <v>2016</v>
      </c>
    </row>
    <row r="904" spans="1:76">
      <c r="A904" s="228">
        <f t="shared" si="27"/>
        <v>1900</v>
      </c>
      <c r="B904" s="228">
        <f t="shared" si="28"/>
        <v>1</v>
      </c>
      <c r="R904" s="445"/>
      <c r="S904" s="445"/>
      <c r="BA904" s="452" t="s">
        <v>1</v>
      </c>
      <c r="BB904" s="1818">
        <v>2017</v>
      </c>
      <c r="BC904" s="452" t="s">
        <v>15</v>
      </c>
      <c r="BD904" s="452">
        <v>1</v>
      </c>
      <c r="BE904" s="1819">
        <v>9571487000</v>
      </c>
      <c r="BF904" s="1820">
        <v>0.59511152970388692</v>
      </c>
      <c r="BH904" s="452" t="s">
        <v>0</v>
      </c>
      <c r="BI904" s="452" t="s">
        <v>344</v>
      </c>
      <c r="BJ904" s="452" t="s">
        <v>32</v>
      </c>
      <c r="BL904" s="1819">
        <v>704182832.56999969</v>
      </c>
      <c r="BM904" s="1820">
        <v>0.13226382492551692</v>
      </c>
      <c r="BN904" s="452">
        <v>2016</v>
      </c>
    </row>
    <row r="905" spans="1:76">
      <c r="A905" s="228">
        <f t="shared" si="27"/>
        <v>1900</v>
      </c>
      <c r="B905" s="228">
        <f t="shared" si="28"/>
        <v>1</v>
      </c>
      <c r="BA905" s="452" t="s">
        <v>1</v>
      </c>
      <c r="BB905" s="1818">
        <v>2017</v>
      </c>
      <c r="BC905" s="452" t="s">
        <v>51</v>
      </c>
      <c r="BD905" s="452">
        <v>2</v>
      </c>
      <c r="BE905" s="1819">
        <v>2793864000</v>
      </c>
      <c r="BF905" s="1820">
        <v>0.17370975678331071</v>
      </c>
      <c r="BH905" s="452" t="s">
        <v>0</v>
      </c>
      <c r="BI905" s="452" t="s">
        <v>344</v>
      </c>
      <c r="BJ905" s="452" t="s">
        <v>249</v>
      </c>
      <c r="BL905" s="1819">
        <v>5324077335.3299999</v>
      </c>
      <c r="BN905" s="452">
        <v>2016</v>
      </c>
      <c r="BX905" s="1000"/>
    </row>
    <row r="906" spans="1:76">
      <c r="A906" s="228">
        <f t="shared" ref="A906:A969" si="29">YEAR(C906)</f>
        <v>1900</v>
      </c>
      <c r="B906" s="228">
        <f t="shared" ref="B906:B969" si="30">IF(OR(MONTH(C906)=1,MONTH(C906)=2,MONTH(C906)=3),1,IF(OR(MONTH(C906)=4,MONTH(C906)=5,MONTH(C906)=6),2,IF(OR(MONTH(C906)=7,MONTH(C906)=8,MONTH(C906)=9),3,4)))</f>
        <v>1</v>
      </c>
      <c r="BA906" s="452" t="s">
        <v>1</v>
      </c>
      <c r="BB906" s="1818">
        <v>2017</v>
      </c>
      <c r="BC906" s="452" t="s">
        <v>28</v>
      </c>
      <c r="BD906" s="452">
        <v>3</v>
      </c>
      <c r="BE906" s="1819">
        <v>941625000</v>
      </c>
      <c r="BF906" s="1820">
        <v>5.8545959907527693E-2</v>
      </c>
      <c r="BH906" s="452" t="s">
        <v>3</v>
      </c>
      <c r="BI906" s="452" t="s">
        <v>344</v>
      </c>
      <c r="BJ906" s="452" t="s">
        <v>583</v>
      </c>
      <c r="BK906" s="452">
        <v>1</v>
      </c>
      <c r="BL906" s="1819">
        <v>458833709.91362566</v>
      </c>
      <c r="BM906" s="1820">
        <v>0.2652486150278881</v>
      </c>
      <c r="BN906" s="452">
        <v>2016</v>
      </c>
    </row>
    <row r="907" spans="1:76">
      <c r="A907" s="228">
        <f t="shared" si="29"/>
        <v>1900</v>
      </c>
      <c r="B907" s="228">
        <f t="shared" si="30"/>
        <v>1</v>
      </c>
      <c r="AQ907" s="317"/>
      <c r="BA907" s="452" t="s">
        <v>1</v>
      </c>
      <c r="BB907" s="1818">
        <v>2017</v>
      </c>
      <c r="BC907" s="452" t="s">
        <v>55</v>
      </c>
      <c r="BD907" s="452">
        <v>4</v>
      </c>
      <c r="BE907" s="1819">
        <v>896500000</v>
      </c>
      <c r="BF907" s="1820">
        <v>5.5740292639956009E-2</v>
      </c>
      <c r="BH907" s="452" t="s">
        <v>3</v>
      </c>
      <c r="BI907" s="452" t="s">
        <v>344</v>
      </c>
      <c r="BJ907" s="452" t="s">
        <v>15</v>
      </c>
      <c r="BK907" s="452">
        <v>2</v>
      </c>
      <c r="BL907" s="1819">
        <v>447484057.32489848</v>
      </c>
      <c r="BM907" s="1820">
        <v>0.25868745885046973</v>
      </c>
      <c r="BN907" s="452">
        <v>2016</v>
      </c>
    </row>
    <row r="908" spans="1:76">
      <c r="A908" s="228">
        <f t="shared" si="29"/>
        <v>1900</v>
      </c>
      <c r="B908" s="228">
        <f t="shared" si="30"/>
        <v>1</v>
      </c>
      <c r="P908" s="445"/>
      <c r="Q908" s="445"/>
      <c r="AQ908" s="317"/>
      <c r="BA908" s="452" t="s">
        <v>1</v>
      </c>
      <c r="BB908" s="1818">
        <v>2017</v>
      </c>
      <c r="BC908" s="452" t="s">
        <v>49</v>
      </c>
      <c r="BD908" s="452">
        <v>5</v>
      </c>
      <c r="BE908" s="1819">
        <v>775645000</v>
      </c>
      <c r="BF908" s="1820">
        <v>4.8226078399016929E-2</v>
      </c>
      <c r="BH908" s="452" t="s">
        <v>3</v>
      </c>
      <c r="BI908" s="452" t="s">
        <v>344</v>
      </c>
      <c r="BJ908" s="452" t="s">
        <v>21</v>
      </c>
      <c r="BK908" s="452">
        <v>3</v>
      </c>
      <c r="BL908" s="1819">
        <v>252748675.40000007</v>
      </c>
      <c r="BM908" s="1820">
        <v>0.14611227259785167</v>
      </c>
      <c r="BN908" s="452">
        <v>2016</v>
      </c>
    </row>
    <row r="909" spans="1:76">
      <c r="A909" s="228">
        <f t="shared" si="29"/>
        <v>1900</v>
      </c>
      <c r="B909" s="228">
        <f t="shared" si="30"/>
        <v>1</v>
      </c>
      <c r="BA909" s="452" t="s">
        <v>1</v>
      </c>
      <c r="BB909" s="1818">
        <v>2017</v>
      </c>
      <c r="BC909" s="452" t="s">
        <v>18</v>
      </c>
      <c r="BD909" s="452">
        <v>6</v>
      </c>
      <c r="BE909" s="1819">
        <v>688382000</v>
      </c>
      <c r="BF909" s="1820">
        <v>4.280046193873753E-2</v>
      </c>
      <c r="BH909" s="452" t="s">
        <v>3</v>
      </c>
      <c r="BI909" s="452" t="s">
        <v>344</v>
      </c>
      <c r="BJ909" s="452" t="s">
        <v>20</v>
      </c>
      <c r="BK909" s="452">
        <v>4</v>
      </c>
      <c r="BL909" s="1819">
        <v>204876484.44739115</v>
      </c>
      <c r="BM909" s="1820">
        <v>0.11843768794076427</v>
      </c>
      <c r="BN909" s="452">
        <v>2016</v>
      </c>
      <c r="BU909" s="1001"/>
    </row>
    <row r="910" spans="1:76">
      <c r="A910" s="228">
        <f t="shared" si="29"/>
        <v>1900</v>
      </c>
      <c r="B910" s="228">
        <f t="shared" si="30"/>
        <v>1</v>
      </c>
      <c r="BA910" s="452" t="s">
        <v>1</v>
      </c>
      <c r="BB910" s="1818">
        <v>2017</v>
      </c>
      <c r="BC910" s="452" t="s">
        <v>581</v>
      </c>
      <c r="BD910" s="452">
        <v>7</v>
      </c>
      <c r="BE910" s="1819">
        <v>184030000</v>
      </c>
      <c r="BF910" s="1820">
        <v>1.1442148415539435E-2</v>
      </c>
      <c r="BH910" s="452" t="s">
        <v>3</v>
      </c>
      <c r="BI910" s="452" t="s">
        <v>344</v>
      </c>
      <c r="BJ910" s="452" t="s">
        <v>581</v>
      </c>
      <c r="BK910" s="452">
        <v>5</v>
      </c>
      <c r="BL910" s="1819">
        <v>174954118.66999999</v>
      </c>
      <c r="BM910" s="1820">
        <v>0.1011397738831747</v>
      </c>
      <c r="BN910" s="452">
        <v>2016</v>
      </c>
    </row>
    <row r="911" spans="1:76">
      <c r="A911" s="228">
        <f t="shared" si="29"/>
        <v>1900</v>
      </c>
      <c r="B911" s="228">
        <f t="shared" si="30"/>
        <v>1</v>
      </c>
      <c r="BA911" s="452" t="s">
        <v>1</v>
      </c>
      <c r="BB911" s="1818">
        <v>2017</v>
      </c>
      <c r="BC911" s="452" t="s">
        <v>241</v>
      </c>
      <c r="BD911" s="452">
        <v>8</v>
      </c>
      <c r="BE911" s="1819">
        <v>93296000</v>
      </c>
      <c r="BF911" s="1820">
        <v>5.8007209616702015E-3</v>
      </c>
      <c r="BH911" s="452" t="s">
        <v>3</v>
      </c>
      <c r="BI911" s="452" t="s">
        <v>344</v>
      </c>
      <c r="BJ911" s="452" t="s">
        <v>49</v>
      </c>
      <c r="BK911" s="452">
        <v>6</v>
      </c>
      <c r="BL911" s="1819">
        <v>66386132.079999998</v>
      </c>
      <c r="BM911" s="1820">
        <v>3.8377366812462996E-2</v>
      </c>
      <c r="BN911" s="452">
        <v>2016</v>
      </c>
    </row>
    <row r="912" spans="1:76">
      <c r="A912" s="228">
        <f t="shared" si="29"/>
        <v>1900</v>
      </c>
      <c r="B912" s="228">
        <f t="shared" si="30"/>
        <v>1</v>
      </c>
      <c r="AR912" s="324"/>
      <c r="AS912" s="966"/>
      <c r="BA912" s="452" t="s">
        <v>1</v>
      </c>
      <c r="BB912" s="1818">
        <v>2017</v>
      </c>
      <c r="BC912" s="452" t="s">
        <v>431</v>
      </c>
      <c r="BD912" s="452">
        <v>9</v>
      </c>
      <c r="BE912" s="1819">
        <v>73897000</v>
      </c>
      <c r="BF912" s="1820">
        <v>4.5945793700109643E-3</v>
      </c>
      <c r="BH912" s="452" t="s">
        <v>3</v>
      </c>
      <c r="BI912" s="452" t="s">
        <v>344</v>
      </c>
      <c r="BJ912" s="452" t="s">
        <v>18</v>
      </c>
      <c r="BK912" s="452">
        <v>7</v>
      </c>
      <c r="BL912" s="1819">
        <v>42736860.600000001</v>
      </c>
      <c r="BM912" s="1820">
        <v>2.4705885465398505E-2</v>
      </c>
      <c r="BN912" s="452">
        <v>2016</v>
      </c>
    </row>
    <row r="913" spans="1:66">
      <c r="A913" s="228">
        <f t="shared" si="29"/>
        <v>1900</v>
      </c>
      <c r="B913" s="228">
        <f t="shared" si="30"/>
        <v>1</v>
      </c>
      <c r="BA913" s="452" t="s">
        <v>1</v>
      </c>
      <c r="BB913" s="1818">
        <v>2017</v>
      </c>
      <c r="BC913" s="452" t="s">
        <v>46</v>
      </c>
      <c r="BD913" s="452">
        <v>10</v>
      </c>
      <c r="BE913" s="1819">
        <v>46846000</v>
      </c>
      <c r="BF913" s="1820">
        <v>2.9126712203138643E-3</v>
      </c>
      <c r="BH913" s="452" t="s">
        <v>3</v>
      </c>
      <c r="BI913" s="452" t="s">
        <v>344</v>
      </c>
      <c r="BJ913" s="452" t="s">
        <v>54</v>
      </c>
      <c r="BK913" s="452">
        <v>8</v>
      </c>
      <c r="BL913" s="1819">
        <v>21667394.889999997</v>
      </c>
      <c r="BM913" s="1820">
        <v>1.2525772107975118E-2</v>
      </c>
      <c r="BN913" s="452">
        <v>2016</v>
      </c>
    </row>
    <row r="914" spans="1:66">
      <c r="A914" s="228">
        <f t="shared" si="29"/>
        <v>1900</v>
      </c>
      <c r="B914" s="228">
        <f t="shared" si="30"/>
        <v>1</v>
      </c>
      <c r="AQ914" s="349"/>
      <c r="AR914" s="349"/>
      <c r="BA914" s="452" t="s">
        <v>1</v>
      </c>
      <c r="BB914" s="1818">
        <v>2017</v>
      </c>
      <c r="BC914" s="452" t="s">
        <v>32</v>
      </c>
      <c r="BE914" s="1819">
        <v>17946000</v>
      </c>
      <c r="BF914" s="1820">
        <v>1.1158006600297274E-3</v>
      </c>
      <c r="BH914" s="452" t="s">
        <v>3</v>
      </c>
      <c r="BI914" s="452" t="s">
        <v>344</v>
      </c>
      <c r="BJ914" s="452" t="s">
        <v>431</v>
      </c>
      <c r="BK914" s="452">
        <v>9</v>
      </c>
      <c r="BL914" s="1819">
        <v>17495681.730000004</v>
      </c>
      <c r="BM914" s="1820">
        <v>1.0114133394263529E-2</v>
      </c>
      <c r="BN914" s="452">
        <v>2016</v>
      </c>
    </row>
    <row r="915" spans="1:66">
      <c r="A915" s="228">
        <f t="shared" si="29"/>
        <v>1900</v>
      </c>
      <c r="B915" s="228">
        <f t="shared" si="30"/>
        <v>1</v>
      </c>
      <c r="BA915" s="452" t="s">
        <v>1</v>
      </c>
      <c r="BB915" s="1818">
        <v>2017</v>
      </c>
      <c r="BC915" s="452" t="s">
        <v>70</v>
      </c>
      <c r="BE915" s="1819">
        <v>16083518000</v>
      </c>
      <c r="BH915" s="452" t="s">
        <v>3</v>
      </c>
      <c r="BI915" s="452" t="s">
        <v>344</v>
      </c>
      <c r="BJ915" s="452" t="s">
        <v>23</v>
      </c>
      <c r="BK915" s="452">
        <v>10</v>
      </c>
      <c r="BL915" s="1819">
        <v>17101124.370000001</v>
      </c>
      <c r="BM915" s="1820">
        <v>9.8860424954741576E-3</v>
      </c>
      <c r="BN915" s="452">
        <v>2016</v>
      </c>
    </row>
    <row r="916" spans="1:66">
      <c r="A916" s="228">
        <f t="shared" si="29"/>
        <v>1900</v>
      </c>
      <c r="B916" s="228">
        <f t="shared" si="30"/>
        <v>1</v>
      </c>
      <c r="BA916" s="1817" t="s">
        <v>342</v>
      </c>
      <c r="BB916" s="1818">
        <v>2017</v>
      </c>
      <c r="BE916" s="1819">
        <v>1835050789.6100001</v>
      </c>
      <c r="BH916" s="452" t="s">
        <v>3</v>
      </c>
      <c r="BI916" s="452" t="s">
        <v>344</v>
      </c>
      <c r="BJ916" s="452" t="s">
        <v>32</v>
      </c>
      <c r="BL916" s="1819">
        <v>27796913.080000162</v>
      </c>
      <c r="BM916" s="1820">
        <v>1.6069204457337272E-2</v>
      </c>
      <c r="BN916" s="452">
        <v>2016</v>
      </c>
    </row>
    <row r="917" spans="1:66">
      <c r="A917" s="228">
        <f t="shared" si="29"/>
        <v>1900</v>
      </c>
      <c r="B917" s="228">
        <f t="shared" si="30"/>
        <v>1</v>
      </c>
      <c r="BA917" s="946" t="s">
        <v>4</v>
      </c>
      <c r="BB917" s="1818">
        <v>2017</v>
      </c>
      <c r="BC917" s="452" t="s">
        <v>20</v>
      </c>
      <c r="BD917" s="452">
        <v>1</v>
      </c>
      <c r="BE917" s="1819">
        <v>9881228816.7434959</v>
      </c>
      <c r="BF917" s="1820">
        <v>0.50389426630022627</v>
      </c>
      <c r="BH917" s="452" t="s">
        <v>3</v>
      </c>
      <c r="BI917" s="452" t="s">
        <v>344</v>
      </c>
      <c r="BJ917" s="452" t="s">
        <v>249</v>
      </c>
      <c r="BL917" s="1819">
        <v>1729825092.0759158</v>
      </c>
      <c r="BN917" s="452">
        <v>2016</v>
      </c>
    </row>
    <row r="918" spans="1:66">
      <c r="A918" s="228">
        <f t="shared" si="29"/>
        <v>1900</v>
      </c>
      <c r="B918" s="228">
        <f t="shared" si="30"/>
        <v>1</v>
      </c>
      <c r="BA918" s="946" t="s">
        <v>4</v>
      </c>
      <c r="BB918" s="1818">
        <v>2017</v>
      </c>
      <c r="BC918" s="452" t="s">
        <v>15</v>
      </c>
      <c r="BD918" s="452">
        <v>2</v>
      </c>
      <c r="BE918" s="1819">
        <v>2256078304.9658995</v>
      </c>
      <c r="BF918" s="1820">
        <v>0.11504894211844671</v>
      </c>
      <c r="BH918" s="452" t="s">
        <v>280</v>
      </c>
      <c r="BI918" s="452" t="s">
        <v>344</v>
      </c>
      <c r="BJ918" s="452" t="s">
        <v>15</v>
      </c>
      <c r="BK918" s="452">
        <v>1</v>
      </c>
      <c r="BL918" s="1819">
        <v>198802462.11000001</v>
      </c>
      <c r="BM918" s="1820">
        <v>0.24650814024847517</v>
      </c>
      <c r="BN918" s="452">
        <v>2016</v>
      </c>
    </row>
    <row r="919" spans="1:66">
      <c r="A919" s="228">
        <f t="shared" si="29"/>
        <v>1900</v>
      </c>
      <c r="B919" s="228">
        <f t="shared" si="30"/>
        <v>1</v>
      </c>
      <c r="P919" s="445"/>
      <c r="Q919" s="445"/>
      <c r="R919" s="445"/>
      <c r="S919" s="445"/>
      <c r="AK919" s="921"/>
      <c r="AL919" s="1106"/>
      <c r="AM919" s="921"/>
      <c r="AO919" s="921"/>
      <c r="AP919" s="921"/>
      <c r="BA919" s="946" t="s">
        <v>4</v>
      </c>
      <c r="BB919" s="1818">
        <v>2017</v>
      </c>
      <c r="BC919" s="452" t="s">
        <v>49</v>
      </c>
      <c r="BD919" s="452">
        <v>3</v>
      </c>
      <c r="BE919" s="1819">
        <v>2091137923.2131004</v>
      </c>
      <c r="BF919" s="1820">
        <v>0.10663779061209015</v>
      </c>
      <c r="BH919" s="452" t="s">
        <v>280</v>
      </c>
      <c r="BI919" s="452" t="s">
        <v>344</v>
      </c>
      <c r="BJ919" s="452" t="s">
        <v>51</v>
      </c>
      <c r="BK919" s="452">
        <v>2</v>
      </c>
      <c r="BL919" s="1819">
        <v>93030310.670000002</v>
      </c>
      <c r="BM919" s="1820">
        <v>0.11535435037676041</v>
      </c>
      <c r="BN919" s="452">
        <v>2016</v>
      </c>
    </row>
    <row r="920" spans="1:66">
      <c r="A920" s="228">
        <f t="shared" si="29"/>
        <v>1900</v>
      </c>
      <c r="B920" s="228">
        <f t="shared" si="30"/>
        <v>1</v>
      </c>
      <c r="P920" s="445"/>
      <c r="Q920" s="445"/>
      <c r="R920" s="445"/>
      <c r="S920" s="445"/>
      <c r="AK920" s="921"/>
      <c r="AL920" s="1106"/>
      <c r="AM920" s="921"/>
      <c r="AO920" s="921"/>
      <c r="AP920" s="921"/>
      <c r="BA920" s="946" t="s">
        <v>4</v>
      </c>
      <c r="BB920" s="1818">
        <v>2017</v>
      </c>
      <c r="BC920" s="452" t="s">
        <v>581</v>
      </c>
      <c r="BD920" s="452">
        <v>4</v>
      </c>
      <c r="BE920" s="1819">
        <v>1951170878.1304998</v>
      </c>
      <c r="BF920" s="1820">
        <v>9.9500156943633983E-2</v>
      </c>
      <c r="BH920" s="452" t="s">
        <v>280</v>
      </c>
      <c r="BI920" s="452" t="s">
        <v>344</v>
      </c>
      <c r="BJ920" s="452" t="s">
        <v>26</v>
      </c>
      <c r="BK920" s="452">
        <v>3</v>
      </c>
      <c r="BL920" s="1819">
        <v>89107560.410000011</v>
      </c>
      <c r="BM920" s="1820">
        <v>0.11049027645640437</v>
      </c>
      <c r="BN920" s="452">
        <v>2016</v>
      </c>
    </row>
    <row r="921" spans="1:66">
      <c r="A921" s="228">
        <f t="shared" si="29"/>
        <v>1900</v>
      </c>
      <c r="B921" s="228">
        <f t="shared" si="30"/>
        <v>1</v>
      </c>
      <c r="P921" s="445"/>
      <c r="Q921" s="445"/>
      <c r="R921" s="445"/>
      <c r="S921" s="445"/>
      <c r="AK921" s="921"/>
      <c r="AL921" s="1106"/>
      <c r="AM921" s="921"/>
      <c r="AO921" s="921"/>
      <c r="AP921" s="921"/>
      <c r="AT921" s="967"/>
      <c r="BA921" s="946" t="s">
        <v>4</v>
      </c>
      <c r="BB921" s="1818">
        <v>2017</v>
      </c>
      <c r="BC921" s="452" t="s">
        <v>19</v>
      </c>
      <c r="BD921" s="452">
        <v>5</v>
      </c>
      <c r="BE921" s="1819">
        <v>1371868507.1600001</v>
      </c>
      <c r="BF921" s="1820">
        <v>6.9958573745850711E-2</v>
      </c>
      <c r="BH921" s="452" t="s">
        <v>280</v>
      </c>
      <c r="BI921" s="452" t="s">
        <v>344</v>
      </c>
      <c r="BJ921" s="452" t="s">
        <v>431</v>
      </c>
      <c r="BK921" s="452">
        <v>4</v>
      </c>
      <c r="BL921" s="1819">
        <v>88731810.769999996</v>
      </c>
      <c r="BM921" s="1820">
        <v>0.1100243599683873</v>
      </c>
      <c r="BN921" s="452">
        <v>2016</v>
      </c>
    </row>
    <row r="922" spans="1:66">
      <c r="A922" s="228">
        <f t="shared" si="29"/>
        <v>1900</v>
      </c>
      <c r="B922" s="228">
        <f t="shared" si="30"/>
        <v>1</v>
      </c>
      <c r="P922" s="445"/>
      <c r="Q922" s="445"/>
      <c r="R922" s="445"/>
      <c r="S922" s="445"/>
      <c r="AK922" s="921"/>
      <c r="AL922" s="1106"/>
      <c r="AM922" s="921"/>
      <c r="AO922" s="921"/>
      <c r="AP922" s="921"/>
      <c r="AT922" s="967"/>
      <c r="BA922" s="946" t="s">
        <v>4</v>
      </c>
      <c r="BB922" s="1818">
        <v>2017</v>
      </c>
      <c r="BC922" s="452" t="s">
        <v>21</v>
      </c>
      <c r="BD922" s="452">
        <v>6</v>
      </c>
      <c r="BE922" s="1819">
        <v>595242529.62559986</v>
      </c>
      <c r="BF922" s="1820">
        <v>3.0354453206077235E-2</v>
      </c>
      <c r="BH922" s="452" t="s">
        <v>280</v>
      </c>
      <c r="BI922" s="452" t="s">
        <v>344</v>
      </c>
      <c r="BJ922" s="452" t="s">
        <v>23</v>
      </c>
      <c r="BK922" s="452">
        <v>5</v>
      </c>
      <c r="BL922" s="1819">
        <v>69106573</v>
      </c>
      <c r="BM922" s="1820">
        <v>8.5689747543215108E-2</v>
      </c>
      <c r="BN922" s="452">
        <v>2016</v>
      </c>
    </row>
    <row r="923" spans="1:66">
      <c r="A923" s="228">
        <f t="shared" si="29"/>
        <v>1900</v>
      </c>
      <c r="B923" s="228">
        <f t="shared" si="30"/>
        <v>1</v>
      </c>
      <c r="P923" s="445"/>
      <c r="Q923" s="445"/>
      <c r="R923" s="445"/>
      <c r="S923" s="445"/>
      <c r="AK923" s="921"/>
      <c r="AL923" s="1106"/>
      <c r="AM923" s="921"/>
      <c r="AO923" s="921"/>
      <c r="AP923" s="921"/>
      <c r="BA923" s="946" t="s">
        <v>4</v>
      </c>
      <c r="BB923" s="1818">
        <v>2017</v>
      </c>
      <c r="BC923" s="452" t="s">
        <v>18</v>
      </c>
      <c r="BD923" s="452">
        <v>7</v>
      </c>
      <c r="BE923" s="1819">
        <v>448804289.375</v>
      </c>
      <c r="BF923" s="1820">
        <v>2.2886820283303702E-2</v>
      </c>
      <c r="BH923" s="452" t="s">
        <v>280</v>
      </c>
      <c r="BI923" s="452" t="s">
        <v>344</v>
      </c>
      <c r="BJ923" s="452" t="s">
        <v>54</v>
      </c>
      <c r="BK923" s="452">
        <v>6</v>
      </c>
      <c r="BL923" s="1819">
        <v>47210202.740000002</v>
      </c>
      <c r="BM923" s="1820">
        <v>5.8539009802361382E-2</v>
      </c>
      <c r="BN923" s="452">
        <v>2016</v>
      </c>
    </row>
    <row r="924" spans="1:66">
      <c r="A924" s="228">
        <f t="shared" si="29"/>
        <v>1900</v>
      </c>
      <c r="B924" s="228">
        <f t="shared" si="30"/>
        <v>1</v>
      </c>
      <c r="D924" s="445"/>
      <c r="P924" s="445"/>
      <c r="Q924" s="445"/>
      <c r="R924" s="445"/>
      <c r="S924" s="445"/>
      <c r="U924" s="445"/>
      <c r="V924" s="445"/>
      <c r="W924" s="445"/>
      <c r="X924" s="445"/>
      <c r="Y924" s="445"/>
      <c r="Z924" s="445"/>
      <c r="AA924" s="445"/>
      <c r="AB924" s="445"/>
      <c r="AC924" s="445"/>
      <c r="AD924" s="445"/>
      <c r="AE924" s="445"/>
      <c r="AF924" s="445"/>
      <c r="AG924" s="445"/>
      <c r="AH924" s="445"/>
      <c r="AI924" s="445"/>
      <c r="AJ924" s="445"/>
      <c r="AK924" s="921"/>
      <c r="AL924" s="1106"/>
      <c r="AM924" s="921"/>
      <c r="AO924" s="921"/>
      <c r="AP924" s="921"/>
      <c r="BA924" s="946" t="s">
        <v>4</v>
      </c>
      <c r="BB924" s="1818">
        <v>2017</v>
      </c>
      <c r="BC924" s="452" t="s">
        <v>28</v>
      </c>
      <c r="BD924" s="452">
        <v>8</v>
      </c>
      <c r="BE924" s="1819">
        <v>324870231.67449999</v>
      </c>
      <c r="BF924" s="1820">
        <v>1.656679043349555E-2</v>
      </c>
      <c r="BH924" s="452" t="s">
        <v>280</v>
      </c>
      <c r="BI924" s="452" t="s">
        <v>344</v>
      </c>
      <c r="BJ924" s="452" t="s">
        <v>21</v>
      </c>
      <c r="BK924" s="452">
        <v>7</v>
      </c>
      <c r="BL924" s="1819">
        <v>42049046.180000007</v>
      </c>
      <c r="BM924" s="1820">
        <v>5.213935513192347E-2</v>
      </c>
      <c r="BN924" s="452">
        <v>2016</v>
      </c>
    </row>
    <row r="925" spans="1:66">
      <c r="A925" s="228">
        <f t="shared" si="29"/>
        <v>1900</v>
      </c>
      <c r="B925" s="228">
        <f t="shared" si="30"/>
        <v>1</v>
      </c>
      <c r="D925" s="445"/>
      <c r="U925" s="445"/>
      <c r="V925" s="445"/>
      <c r="W925" s="445"/>
      <c r="X925" s="445"/>
      <c r="Y925" s="445"/>
      <c r="Z925" s="445"/>
      <c r="AA925" s="445"/>
      <c r="AB925" s="445"/>
      <c r="AC925" s="445"/>
      <c r="AD925" s="445"/>
      <c r="AE925" s="445"/>
      <c r="AF925" s="445"/>
      <c r="AG925" s="445"/>
      <c r="AH925" s="445"/>
      <c r="AI925" s="445"/>
      <c r="AJ925" s="445"/>
      <c r="AK925" s="921"/>
      <c r="AL925" s="1106"/>
      <c r="AM925" s="921"/>
      <c r="AO925" s="921"/>
      <c r="AP925" s="921"/>
      <c r="BA925" s="946" t="s">
        <v>4</v>
      </c>
      <c r="BB925" s="1818">
        <v>2017</v>
      </c>
      <c r="BC925" s="452" t="s">
        <v>583</v>
      </c>
      <c r="BD925" s="452">
        <v>9</v>
      </c>
      <c r="BE925" s="1819">
        <v>309772309.69260007</v>
      </c>
      <c r="BF925" s="1820">
        <v>1.5796870369825296E-2</v>
      </c>
      <c r="BH925" s="452" t="s">
        <v>280</v>
      </c>
      <c r="BI925" s="452" t="s">
        <v>344</v>
      </c>
      <c r="BJ925" s="452" t="s">
        <v>583</v>
      </c>
      <c r="BK925" s="452">
        <v>8</v>
      </c>
      <c r="BL925" s="1819">
        <v>40801116.100000001</v>
      </c>
      <c r="BM925" s="1820">
        <v>5.05919652258029E-2</v>
      </c>
      <c r="BN925" s="452">
        <v>2016</v>
      </c>
    </row>
    <row r="926" spans="1:66">
      <c r="A926" s="228">
        <f t="shared" si="29"/>
        <v>1900</v>
      </c>
      <c r="B926" s="228">
        <f t="shared" si="30"/>
        <v>1</v>
      </c>
      <c r="AK926" s="921"/>
      <c r="AL926" s="1106"/>
      <c r="AM926" s="921"/>
      <c r="AO926" s="921"/>
      <c r="AP926" s="921"/>
      <c r="BA926" s="946" t="s">
        <v>4</v>
      </c>
      <c r="BB926" s="1818">
        <v>2017</v>
      </c>
      <c r="BC926" s="452" t="s">
        <v>77</v>
      </c>
      <c r="BD926" s="452">
        <v>10</v>
      </c>
      <c r="BE926" s="1819">
        <v>123809336.19400001</v>
      </c>
      <c r="BF926" s="1820">
        <v>6.3136696639268979E-3</v>
      </c>
      <c r="BH926" s="452" t="s">
        <v>280</v>
      </c>
      <c r="BI926" s="452" t="s">
        <v>344</v>
      </c>
      <c r="BJ926" s="452" t="s">
        <v>42</v>
      </c>
      <c r="BK926" s="452">
        <v>9</v>
      </c>
      <c r="BL926" s="1819">
        <v>32970150.459999997</v>
      </c>
      <c r="BM926" s="1820">
        <v>4.0881840130883314E-2</v>
      </c>
      <c r="BN926" s="452">
        <v>2016</v>
      </c>
    </row>
    <row r="927" spans="1:66">
      <c r="A927" s="228">
        <f t="shared" si="29"/>
        <v>1900</v>
      </c>
      <c r="B927" s="228">
        <f t="shared" si="30"/>
        <v>1</v>
      </c>
      <c r="AK927" s="921"/>
      <c r="AL927" s="1106"/>
      <c r="AM927" s="921"/>
      <c r="AO927" s="921"/>
      <c r="AP927" s="921"/>
      <c r="AR927" s="349"/>
      <c r="AU927" s="968"/>
      <c r="BA927" s="946" t="s">
        <v>4</v>
      </c>
      <c r="BB927" s="1818">
        <v>2017</v>
      </c>
      <c r="BC927" s="452" t="s">
        <v>32</v>
      </c>
      <c r="BE927" s="1819">
        <v>255743511.50409698</v>
      </c>
      <c r="BF927" s="1820">
        <v>1.3041666323123431E-2</v>
      </c>
      <c r="BH927" s="452" t="s">
        <v>280</v>
      </c>
      <c r="BI927" s="452" t="s">
        <v>344</v>
      </c>
      <c r="BJ927" s="452" t="s">
        <v>20</v>
      </c>
      <c r="BK927" s="452">
        <v>10</v>
      </c>
      <c r="BL927" s="1819">
        <v>19268603.990000002</v>
      </c>
      <c r="BM927" s="1820">
        <v>2.3892398938857633E-2</v>
      </c>
      <c r="BN927" s="452">
        <v>2016</v>
      </c>
    </row>
    <row r="928" spans="1:66">
      <c r="A928" s="228">
        <f t="shared" si="29"/>
        <v>1900</v>
      </c>
      <c r="B928" s="228">
        <f t="shared" si="30"/>
        <v>1</v>
      </c>
      <c r="U928" s="444"/>
      <c r="AK928" s="921"/>
      <c r="AL928" s="1106"/>
      <c r="AM928" s="921"/>
      <c r="AO928" s="921"/>
      <c r="AP928" s="921"/>
      <c r="AR928" s="349"/>
      <c r="AU928" s="968"/>
      <c r="BA928" s="946" t="s">
        <v>4</v>
      </c>
      <c r="BB928" s="1818">
        <v>2017</v>
      </c>
      <c r="BC928" s="452" t="s">
        <v>249</v>
      </c>
      <c r="BE928" s="1819">
        <v>19609726638.278793</v>
      </c>
      <c r="BH928" s="452" t="s">
        <v>280</v>
      </c>
      <c r="BI928" s="452" t="s">
        <v>344</v>
      </c>
      <c r="BJ928" s="452" t="s">
        <v>32</v>
      </c>
      <c r="BL928" s="1819">
        <v>85396391.599999905</v>
      </c>
      <c r="BM928" s="1820">
        <v>0.10588855617692874</v>
      </c>
      <c r="BN928" s="452">
        <v>2016</v>
      </c>
    </row>
    <row r="929" spans="1:66">
      <c r="A929" s="228">
        <f t="shared" si="29"/>
        <v>1900</v>
      </c>
      <c r="B929" s="228">
        <f t="shared" si="30"/>
        <v>1</v>
      </c>
      <c r="AK929" s="921"/>
      <c r="AL929" s="1106"/>
      <c r="AM929" s="921"/>
      <c r="AO929" s="921"/>
      <c r="AP929" s="921"/>
      <c r="AR929" s="349"/>
      <c r="AT929" s="965"/>
      <c r="BA929" s="946" t="s">
        <v>3</v>
      </c>
      <c r="BB929" s="1818">
        <v>2017</v>
      </c>
      <c r="BC929" s="452" t="s">
        <v>15</v>
      </c>
      <c r="BD929" s="452">
        <v>1</v>
      </c>
      <c r="BE929" s="1823">
        <v>647128003.12756264</v>
      </c>
      <c r="BF929" s="1820">
        <v>0.32380470261317279</v>
      </c>
      <c r="BH929" s="452" t="s">
        <v>280</v>
      </c>
      <c r="BI929" s="452" t="s">
        <v>344</v>
      </c>
      <c r="BJ929" s="452" t="s">
        <v>249</v>
      </c>
      <c r="BL929" s="1819">
        <v>806474228.03000009</v>
      </c>
      <c r="BM929" s="1820">
        <v>1</v>
      </c>
      <c r="BN929" s="452">
        <v>2016</v>
      </c>
    </row>
    <row r="930" spans="1:66">
      <c r="A930" s="228">
        <f t="shared" si="29"/>
        <v>1900</v>
      </c>
      <c r="B930" s="228">
        <f t="shared" si="30"/>
        <v>1</v>
      </c>
      <c r="AK930" s="921"/>
      <c r="AL930" s="1106"/>
      <c r="AM930" s="921"/>
      <c r="AO930" s="921"/>
      <c r="AP930" s="921"/>
      <c r="AR930" s="349"/>
      <c r="AT930" s="965"/>
      <c r="AU930" s="969"/>
      <c r="BA930" s="946" t="s">
        <v>3</v>
      </c>
      <c r="BB930" s="1818">
        <v>2017</v>
      </c>
      <c r="BC930" s="452" t="s">
        <v>583</v>
      </c>
      <c r="BD930" s="452">
        <v>2</v>
      </c>
      <c r="BE930" s="1823">
        <v>461334745.78768671</v>
      </c>
      <c r="BF930" s="1820">
        <v>0.23083896762764436</v>
      </c>
      <c r="BH930" s="452" t="s">
        <v>1</v>
      </c>
      <c r="BI930" s="452" t="s">
        <v>344</v>
      </c>
      <c r="BJ930" s="452" t="s">
        <v>592</v>
      </c>
      <c r="BK930" s="452">
        <v>1</v>
      </c>
      <c r="BL930" s="1819">
        <v>9377899000</v>
      </c>
      <c r="BM930" s="1820">
        <v>0.52859672573132632</v>
      </c>
      <c r="BN930" s="452">
        <v>2016</v>
      </c>
    </row>
    <row r="931" spans="1:66">
      <c r="A931" s="228">
        <f t="shared" si="29"/>
        <v>1900</v>
      </c>
      <c r="B931" s="228">
        <f t="shared" si="30"/>
        <v>1</v>
      </c>
      <c r="AT931" s="965"/>
      <c r="BA931" s="946" t="s">
        <v>3</v>
      </c>
      <c r="BB931" s="1818">
        <v>2017</v>
      </c>
      <c r="BC931" s="452" t="s">
        <v>20</v>
      </c>
      <c r="BD931" s="452">
        <v>4</v>
      </c>
      <c r="BE931" s="1823">
        <v>212010429.77000001</v>
      </c>
      <c r="BF931" s="1820">
        <v>0.10608407275033876</v>
      </c>
      <c r="BH931" s="452" t="s">
        <v>1</v>
      </c>
      <c r="BI931" s="452" t="s">
        <v>344</v>
      </c>
      <c r="BJ931" s="452" t="s">
        <v>51</v>
      </c>
      <c r="BK931" s="452">
        <v>2</v>
      </c>
      <c r="BL931" s="1819">
        <v>3912536000</v>
      </c>
      <c r="BM931" s="1820">
        <v>0.22053486808782444</v>
      </c>
      <c r="BN931" s="452">
        <v>2016</v>
      </c>
    </row>
    <row r="932" spans="1:66">
      <c r="A932" s="228">
        <f t="shared" si="29"/>
        <v>1900</v>
      </c>
      <c r="B932" s="228">
        <f t="shared" si="30"/>
        <v>1</v>
      </c>
      <c r="AK932" s="921"/>
      <c r="AL932" s="1106"/>
      <c r="AM932" s="921"/>
      <c r="AO932" s="921"/>
      <c r="AP932" s="921"/>
      <c r="AT932" s="965"/>
      <c r="BA932" s="946" t="s">
        <v>3</v>
      </c>
      <c r="BB932" s="1818">
        <v>2017</v>
      </c>
      <c r="BC932" s="452" t="s">
        <v>21</v>
      </c>
      <c r="BD932" s="452">
        <v>3</v>
      </c>
      <c r="BE932" s="1823">
        <v>221747674.39709127</v>
      </c>
      <c r="BF932" s="1820">
        <v>0.11095631685893668</v>
      </c>
      <c r="BH932" s="452" t="s">
        <v>1</v>
      </c>
      <c r="BI932" s="452" t="s">
        <v>344</v>
      </c>
      <c r="BJ932" s="452" t="s">
        <v>15</v>
      </c>
      <c r="BK932" s="452">
        <v>3</v>
      </c>
      <c r="BL932" s="1819">
        <v>2318885000</v>
      </c>
      <c r="BM932" s="1820">
        <v>0.13070678393395863</v>
      </c>
      <c r="BN932" s="452">
        <v>2016</v>
      </c>
    </row>
    <row r="933" spans="1:66">
      <c r="A933" s="228">
        <f t="shared" si="29"/>
        <v>1900</v>
      </c>
      <c r="B933" s="228">
        <f t="shared" si="30"/>
        <v>1</v>
      </c>
      <c r="BA933" s="946" t="s">
        <v>3</v>
      </c>
      <c r="BB933" s="1818">
        <v>2017</v>
      </c>
      <c r="BC933" s="452" t="s">
        <v>581</v>
      </c>
      <c r="BD933" s="452">
        <v>5</v>
      </c>
      <c r="BE933" s="1823">
        <v>181173187.66999999</v>
      </c>
      <c r="BF933" s="1820">
        <v>9.065398170290713E-2</v>
      </c>
      <c r="BH933" s="452" t="s">
        <v>1</v>
      </c>
      <c r="BI933" s="452" t="s">
        <v>344</v>
      </c>
      <c r="BJ933" s="452" t="s">
        <v>28</v>
      </c>
      <c r="BK933" s="452">
        <v>4</v>
      </c>
      <c r="BL933" s="1819">
        <v>518399000</v>
      </c>
      <c r="BM933" s="1820">
        <v>2.9220192499662647E-2</v>
      </c>
      <c r="BN933" s="452">
        <v>2016</v>
      </c>
    </row>
    <row r="934" spans="1:66">
      <c r="A934" s="228">
        <f t="shared" si="29"/>
        <v>1900</v>
      </c>
      <c r="B934" s="228">
        <f t="shared" si="30"/>
        <v>1</v>
      </c>
      <c r="BA934" s="946" t="s">
        <v>3</v>
      </c>
      <c r="BB934" s="1818">
        <v>2017</v>
      </c>
      <c r="BC934" s="452" t="s">
        <v>49</v>
      </c>
      <c r="BD934" s="452">
        <v>6</v>
      </c>
      <c r="BE934" s="1823">
        <v>77786746.549999997</v>
      </c>
      <c r="BF934" s="1820">
        <v>3.89223062703778E-2</v>
      </c>
      <c r="BH934" s="452" t="s">
        <v>1</v>
      </c>
      <c r="BI934" s="452" t="s">
        <v>344</v>
      </c>
      <c r="BJ934" s="452" t="s">
        <v>18</v>
      </c>
      <c r="BK934" s="452">
        <v>5</v>
      </c>
      <c r="BL934" s="1819">
        <v>409430000</v>
      </c>
      <c r="BM934" s="1820">
        <v>2.3078021784642484E-2</v>
      </c>
      <c r="BN934" s="452">
        <v>2016</v>
      </c>
    </row>
    <row r="935" spans="1:66">
      <c r="A935" s="228">
        <f t="shared" si="29"/>
        <v>1900</v>
      </c>
      <c r="B935" s="228">
        <f t="shared" si="30"/>
        <v>1</v>
      </c>
      <c r="AU935" s="968"/>
      <c r="BA935" s="946" t="s">
        <v>3</v>
      </c>
      <c r="BB935" s="1818">
        <v>2017</v>
      </c>
      <c r="BC935" s="452" t="s">
        <v>18</v>
      </c>
      <c r="BD935" s="452">
        <v>7</v>
      </c>
      <c r="BE935" s="1823">
        <v>59613196.99000001</v>
      </c>
      <c r="BF935" s="1820">
        <v>2.9828771788388216E-2</v>
      </c>
      <c r="BH935" s="452" t="s">
        <v>1</v>
      </c>
      <c r="BI935" s="452" t="s">
        <v>344</v>
      </c>
      <c r="BJ935" s="452" t="s">
        <v>55</v>
      </c>
      <c r="BK935" s="452">
        <v>6</v>
      </c>
      <c r="BL935" s="1819">
        <v>402094000</v>
      </c>
      <c r="BM935" s="1820">
        <v>2.2664519188808914E-2</v>
      </c>
      <c r="BN935" s="452">
        <v>2016</v>
      </c>
    </row>
    <row r="936" spans="1:66">
      <c r="A936" s="228">
        <f t="shared" si="29"/>
        <v>1900</v>
      </c>
      <c r="B936" s="228">
        <f t="shared" si="30"/>
        <v>1</v>
      </c>
      <c r="BA936" s="946" t="s">
        <v>3</v>
      </c>
      <c r="BB936" s="1818">
        <v>2017</v>
      </c>
      <c r="BC936" s="452" t="s">
        <v>45</v>
      </c>
      <c r="BD936" s="452">
        <v>8</v>
      </c>
      <c r="BE936" s="1823">
        <v>33378104.359999999</v>
      </c>
      <c r="BF936" s="1820">
        <v>1.6701467258172047E-2</v>
      </c>
      <c r="BH936" s="452" t="s">
        <v>1</v>
      </c>
      <c r="BI936" s="452" t="s">
        <v>344</v>
      </c>
      <c r="BJ936" s="452" t="s">
        <v>49</v>
      </c>
      <c r="BK936" s="452">
        <v>7</v>
      </c>
      <c r="BL936" s="1819">
        <v>271351000</v>
      </c>
      <c r="BM936" s="1820">
        <v>1.5295030381956677E-2</v>
      </c>
      <c r="BN936" s="452">
        <v>2016</v>
      </c>
    </row>
    <row r="937" spans="1:66">
      <c r="A937" s="228">
        <f t="shared" si="29"/>
        <v>1900</v>
      </c>
      <c r="B937" s="228">
        <f t="shared" si="30"/>
        <v>1</v>
      </c>
      <c r="BA937" s="946" t="s">
        <v>3</v>
      </c>
      <c r="BB937" s="1818">
        <v>2017</v>
      </c>
      <c r="BC937" s="452" t="s">
        <v>54</v>
      </c>
      <c r="BD937" s="452">
        <v>9</v>
      </c>
      <c r="BE937" s="1823">
        <v>31378041.370000005</v>
      </c>
      <c r="BF937" s="1820">
        <v>1.5700691834214849E-2</v>
      </c>
      <c r="BH937" s="452" t="s">
        <v>1</v>
      </c>
      <c r="BI937" s="452" t="s">
        <v>344</v>
      </c>
      <c r="BJ937" s="452" t="s">
        <v>581</v>
      </c>
      <c r="BK937" s="452">
        <v>8</v>
      </c>
      <c r="BL937" s="1819">
        <v>210629000</v>
      </c>
      <c r="BM937" s="1820">
        <v>1.187236072216853E-2</v>
      </c>
      <c r="BN937" s="452">
        <v>2016</v>
      </c>
    </row>
    <row r="938" spans="1:66">
      <c r="A938" s="228">
        <f t="shared" si="29"/>
        <v>1900</v>
      </c>
      <c r="B938" s="228">
        <f t="shared" si="30"/>
        <v>1</v>
      </c>
      <c r="BA938" s="946" t="s">
        <v>3</v>
      </c>
      <c r="BB938" s="1818">
        <v>2017</v>
      </c>
      <c r="BC938" s="452" t="s">
        <v>23</v>
      </c>
      <c r="BD938" s="452">
        <v>10</v>
      </c>
      <c r="BE938" s="1823">
        <v>30326061.709999997</v>
      </c>
      <c r="BF938" s="1820">
        <v>1.5174310717472692E-2</v>
      </c>
      <c r="BH938" s="452" t="s">
        <v>1</v>
      </c>
      <c r="BI938" s="452" t="s">
        <v>344</v>
      </c>
      <c r="BJ938" s="452" t="s">
        <v>431</v>
      </c>
      <c r="BK938" s="452">
        <v>9</v>
      </c>
      <c r="BL938" s="1819">
        <v>141435000</v>
      </c>
      <c r="BM938" s="1820">
        <v>7.9721564397110846E-3</v>
      </c>
      <c r="BN938" s="452">
        <v>2016</v>
      </c>
    </row>
    <row r="939" spans="1:66">
      <c r="A939" s="228">
        <f t="shared" si="29"/>
        <v>1900</v>
      </c>
      <c r="B939" s="228">
        <f t="shared" si="30"/>
        <v>1</v>
      </c>
      <c r="BA939" s="946" t="s">
        <v>3</v>
      </c>
      <c r="BB939" s="1818">
        <v>2017</v>
      </c>
      <c r="BC939" s="452" t="s">
        <v>32</v>
      </c>
      <c r="BE939" s="1823">
        <v>42637103.180000067</v>
      </c>
      <c r="BF939" s="1820">
        <v>2.1334410578374572E-2</v>
      </c>
      <c r="BH939" s="452" t="s">
        <v>1</v>
      </c>
      <c r="BI939" s="452" t="s">
        <v>344</v>
      </c>
      <c r="BJ939" s="452" t="s">
        <v>241</v>
      </c>
      <c r="BK939" s="452">
        <v>10</v>
      </c>
      <c r="BL939" s="1819">
        <v>70268000</v>
      </c>
      <c r="BM939" s="1820">
        <v>3.9607416036031998E-3</v>
      </c>
      <c r="BN939" s="452">
        <v>2016</v>
      </c>
    </row>
    <row r="940" spans="1:66">
      <c r="A940" s="228">
        <f t="shared" si="29"/>
        <v>1900</v>
      </c>
      <c r="B940" s="228">
        <f t="shared" si="30"/>
        <v>1</v>
      </c>
      <c r="BA940" s="946" t="s">
        <v>3</v>
      </c>
      <c r="BB940" s="1818">
        <v>2017</v>
      </c>
      <c r="BC940" s="452" t="s">
        <v>70</v>
      </c>
      <c r="BE940" s="1823">
        <v>1998513294.9123409</v>
      </c>
      <c r="BH940" s="452" t="s">
        <v>1</v>
      </c>
      <c r="BI940" s="452" t="s">
        <v>344</v>
      </c>
      <c r="BJ940" s="452" t="s">
        <v>32</v>
      </c>
      <c r="BL940" s="1819">
        <v>108196000</v>
      </c>
      <c r="BM940" s="1820">
        <v>6.0985996263370488E-3</v>
      </c>
      <c r="BN940" s="452">
        <v>2016</v>
      </c>
    </row>
    <row r="941" spans="1:66">
      <c r="A941" s="228">
        <f t="shared" si="29"/>
        <v>1900</v>
      </c>
      <c r="B941" s="228">
        <f t="shared" si="30"/>
        <v>1</v>
      </c>
      <c r="BA941" s="452" t="s">
        <v>0</v>
      </c>
      <c r="BB941" s="1818">
        <v>2018</v>
      </c>
      <c r="BC941" s="452" t="s">
        <v>29</v>
      </c>
      <c r="BD941" s="452">
        <v>1</v>
      </c>
      <c r="BE941" s="1819">
        <v>2175721657.9100003</v>
      </c>
      <c r="BF941" s="1820">
        <v>0.24937642131078225</v>
      </c>
      <c r="BH941" s="452" t="s">
        <v>1</v>
      </c>
      <c r="BI941" s="452" t="s">
        <v>344</v>
      </c>
      <c r="BJ941" s="452" t="s">
        <v>70</v>
      </c>
      <c r="BL941" s="1819">
        <v>17741122000</v>
      </c>
      <c r="BN941" s="452">
        <v>2016</v>
      </c>
    </row>
    <row r="942" spans="1:66">
      <c r="A942" s="228">
        <f t="shared" si="29"/>
        <v>1900</v>
      </c>
      <c r="B942" s="228">
        <f t="shared" si="30"/>
        <v>1</v>
      </c>
      <c r="BA942" s="452" t="s">
        <v>0</v>
      </c>
      <c r="BB942" s="1818">
        <v>2018</v>
      </c>
      <c r="BC942" s="452" t="s">
        <v>14</v>
      </c>
      <c r="BD942" s="452">
        <v>2</v>
      </c>
      <c r="BE942" s="1819">
        <v>1290432081.1700003</v>
      </c>
      <c r="BF942" s="1820">
        <v>0.14790648113321814</v>
      </c>
      <c r="BH942" s="452" t="s">
        <v>2</v>
      </c>
      <c r="BI942" s="452" t="s">
        <v>344</v>
      </c>
      <c r="BJ942" s="452" t="s">
        <v>15</v>
      </c>
      <c r="BK942" s="452">
        <v>1</v>
      </c>
      <c r="BL942" s="1819">
        <v>50862455000</v>
      </c>
      <c r="BM942" s="1820">
        <v>0.82154759108869024</v>
      </c>
      <c r="BN942" s="452">
        <v>2016</v>
      </c>
    </row>
    <row r="943" spans="1:66">
      <c r="A943" s="228">
        <f t="shared" si="29"/>
        <v>1900</v>
      </c>
      <c r="B943" s="228">
        <f t="shared" si="30"/>
        <v>1</v>
      </c>
      <c r="BA943" s="452" t="s">
        <v>0</v>
      </c>
      <c r="BB943" s="1818">
        <v>2018</v>
      </c>
      <c r="BC943" s="452" t="s">
        <v>27</v>
      </c>
      <c r="BD943" s="452">
        <v>3</v>
      </c>
      <c r="BE943" s="1819">
        <v>987248765.07000017</v>
      </c>
      <c r="BF943" s="1820">
        <v>0.11315627763394258</v>
      </c>
      <c r="BH943" s="452" t="s">
        <v>2</v>
      </c>
      <c r="BI943" s="452" t="s">
        <v>344</v>
      </c>
      <c r="BJ943" s="452" t="s">
        <v>20</v>
      </c>
      <c r="BK943" s="452">
        <v>2</v>
      </c>
      <c r="BL943" s="1819">
        <v>5362634000</v>
      </c>
      <c r="BM943" s="1820">
        <v>8.6619079723743331E-2</v>
      </c>
      <c r="BN943" s="452">
        <v>2016</v>
      </c>
    </row>
    <row r="944" spans="1:66">
      <c r="A944" s="228">
        <f t="shared" si="29"/>
        <v>1900</v>
      </c>
      <c r="B944" s="228">
        <f t="shared" si="30"/>
        <v>1</v>
      </c>
      <c r="BA944" s="946" t="s">
        <v>0</v>
      </c>
      <c r="BB944" s="1818">
        <v>2018</v>
      </c>
      <c r="BC944" s="452" t="s">
        <v>22</v>
      </c>
      <c r="BD944" s="452">
        <v>4</v>
      </c>
      <c r="BE944" s="1823">
        <v>831018578.97000015</v>
      </c>
      <c r="BF944" s="1820">
        <v>9.5249518022163637E-2</v>
      </c>
      <c r="BH944" s="452" t="s">
        <v>2</v>
      </c>
      <c r="BI944" s="452" t="s">
        <v>344</v>
      </c>
      <c r="BJ944" s="452" t="s">
        <v>581</v>
      </c>
      <c r="BK944" s="452">
        <v>3</v>
      </c>
      <c r="BL944" s="1819">
        <v>3899533000</v>
      </c>
      <c r="BM944" s="1820">
        <v>6.2986577083643594E-2</v>
      </c>
      <c r="BN944" s="452">
        <v>2016</v>
      </c>
    </row>
    <row r="945" spans="1:66">
      <c r="A945" s="228">
        <f t="shared" si="29"/>
        <v>1900</v>
      </c>
      <c r="B945" s="228">
        <f t="shared" si="30"/>
        <v>1</v>
      </c>
      <c r="BA945" s="946" t="s">
        <v>0</v>
      </c>
      <c r="BB945" s="1818">
        <v>2018</v>
      </c>
      <c r="BC945" s="452" t="s">
        <v>18</v>
      </c>
      <c r="BD945" s="452">
        <v>5</v>
      </c>
      <c r="BE945" s="1823">
        <v>646412689.55000007</v>
      </c>
      <c r="BF945" s="1820">
        <v>7.4090397833657465E-2</v>
      </c>
      <c r="BH945" s="452" t="s">
        <v>2</v>
      </c>
      <c r="BI945" s="452" t="s">
        <v>344</v>
      </c>
      <c r="BJ945" s="452" t="s">
        <v>583</v>
      </c>
      <c r="BK945" s="452">
        <v>4</v>
      </c>
      <c r="BL945" s="1819">
        <v>1431845000</v>
      </c>
      <c r="BM945" s="1820">
        <v>2.3127645147336787E-2</v>
      </c>
      <c r="BN945" s="452">
        <v>2016</v>
      </c>
    </row>
    <row r="946" spans="1:66">
      <c r="A946" s="228">
        <f t="shared" si="29"/>
        <v>1900</v>
      </c>
      <c r="B946" s="228">
        <f t="shared" si="30"/>
        <v>1</v>
      </c>
      <c r="BA946" s="452" t="s">
        <v>0</v>
      </c>
      <c r="BB946" s="1818">
        <v>2018</v>
      </c>
      <c r="BC946" s="452" t="s">
        <v>250</v>
      </c>
      <c r="BD946" s="452">
        <v>6</v>
      </c>
      <c r="BE946" s="1819">
        <v>425784431.76999998</v>
      </c>
      <c r="BF946" s="1820">
        <v>4.8802473174185658E-2</v>
      </c>
      <c r="BH946" s="452" t="s">
        <v>2</v>
      </c>
      <c r="BI946" s="452" t="s">
        <v>344</v>
      </c>
      <c r="BJ946" s="452" t="s">
        <v>19</v>
      </c>
      <c r="BK946" s="452">
        <v>5</v>
      </c>
      <c r="BL946" s="1819">
        <v>288925000</v>
      </c>
      <c r="BM946" s="1820">
        <v>4.6668144067229913E-3</v>
      </c>
      <c r="BN946" s="452">
        <v>2016</v>
      </c>
    </row>
    <row r="947" spans="1:66">
      <c r="A947" s="228">
        <f t="shared" si="29"/>
        <v>1900</v>
      </c>
      <c r="B947" s="228">
        <f t="shared" si="30"/>
        <v>1</v>
      </c>
      <c r="BA947" s="452" t="s">
        <v>0</v>
      </c>
      <c r="BB947" s="1818">
        <v>2018</v>
      </c>
      <c r="BC947" s="452" t="s">
        <v>13</v>
      </c>
      <c r="BD947" s="452">
        <v>7</v>
      </c>
      <c r="BE947" s="1819">
        <v>353281454.40999997</v>
      </c>
      <c r="BF947" s="1820">
        <v>4.0492341700023818E-2</v>
      </c>
      <c r="BH947" s="452" t="s">
        <v>2</v>
      </c>
      <c r="BI947" s="452" t="s">
        <v>344</v>
      </c>
      <c r="BJ947" s="452" t="s">
        <v>32</v>
      </c>
      <c r="BL947" s="1819">
        <v>142137000</v>
      </c>
      <c r="BM947" s="1820">
        <v>2.2958449401345878E-3</v>
      </c>
      <c r="BN947" s="452">
        <v>2016</v>
      </c>
    </row>
    <row r="948" spans="1:66">
      <c r="A948" s="228">
        <f t="shared" si="29"/>
        <v>1900</v>
      </c>
      <c r="B948" s="228">
        <f t="shared" si="30"/>
        <v>1</v>
      </c>
      <c r="BA948" s="452" t="s">
        <v>0</v>
      </c>
      <c r="BB948" s="1818">
        <v>2018</v>
      </c>
      <c r="BC948" s="452" t="s">
        <v>25</v>
      </c>
      <c r="BD948" s="452">
        <v>8</v>
      </c>
      <c r="BE948" s="1819">
        <v>279632886.12</v>
      </c>
      <c r="BF948" s="1820">
        <v>3.2050905118257401E-2</v>
      </c>
      <c r="BH948" s="452" t="s">
        <v>2</v>
      </c>
      <c r="BI948" s="452" t="s">
        <v>344</v>
      </c>
      <c r="BJ948" s="452" t="s">
        <v>70</v>
      </c>
      <c r="BL948" s="1819">
        <v>61910540000</v>
      </c>
      <c r="BN948" s="452">
        <v>2016</v>
      </c>
    </row>
    <row r="949" spans="1:66">
      <c r="A949" s="228">
        <f t="shared" si="29"/>
        <v>1900</v>
      </c>
      <c r="B949" s="228">
        <f t="shared" si="30"/>
        <v>1</v>
      </c>
      <c r="BA949" s="452" t="s">
        <v>0</v>
      </c>
      <c r="BB949" s="1818">
        <v>2018</v>
      </c>
      <c r="BC949" s="452" t="s">
        <v>431</v>
      </c>
      <c r="BD949" s="452">
        <v>9</v>
      </c>
      <c r="BE949" s="1819">
        <v>274192558.38999999</v>
      </c>
      <c r="BF949" s="1820">
        <v>3.1427346743897855E-2</v>
      </c>
      <c r="BH949" s="452" t="s">
        <v>4</v>
      </c>
      <c r="BI949" s="452" t="s">
        <v>344</v>
      </c>
      <c r="BJ949" s="452" t="s">
        <v>20</v>
      </c>
      <c r="BK949" s="452">
        <v>1</v>
      </c>
      <c r="BL949" s="1819">
        <v>8636425613.9699898</v>
      </c>
      <c r="BM949" s="1820">
        <v>0.51251929691735121</v>
      </c>
      <c r="BN949" s="452">
        <v>2016</v>
      </c>
    </row>
    <row r="950" spans="1:66">
      <c r="A950" s="228">
        <f t="shared" si="29"/>
        <v>1900</v>
      </c>
      <c r="B950" s="228">
        <f t="shared" si="30"/>
        <v>1</v>
      </c>
      <c r="AU950" s="970"/>
      <c r="BA950" s="452" t="s">
        <v>0</v>
      </c>
      <c r="BB950" s="1818">
        <v>2018</v>
      </c>
      <c r="BC950" s="452" t="s">
        <v>16</v>
      </c>
      <c r="BD950" s="452">
        <v>10</v>
      </c>
      <c r="BE950" s="1819">
        <v>250540372.52000001</v>
      </c>
      <c r="BF950" s="1820">
        <v>2.8716385327029879E-2</v>
      </c>
      <c r="BH950" s="452" t="s">
        <v>4</v>
      </c>
      <c r="BI950" s="452" t="s">
        <v>344</v>
      </c>
      <c r="BJ950" s="452" t="s">
        <v>15</v>
      </c>
      <c r="BK950" s="452">
        <v>2</v>
      </c>
      <c r="BL950" s="1819">
        <v>1976863947.2599993</v>
      </c>
      <c r="BM950" s="1820">
        <v>0.1173148436214245</v>
      </c>
      <c r="BN950" s="452">
        <v>2016</v>
      </c>
    </row>
    <row r="951" spans="1:66">
      <c r="A951" s="228">
        <f t="shared" si="29"/>
        <v>1900</v>
      </c>
      <c r="B951" s="228">
        <f t="shared" si="30"/>
        <v>1</v>
      </c>
      <c r="AU951" s="970"/>
      <c r="BA951" s="452" t="s">
        <v>0</v>
      </c>
      <c r="BB951" s="1818">
        <v>2018</v>
      </c>
      <c r="BC951" s="452" t="s">
        <v>32</v>
      </c>
      <c r="BE951" s="1819">
        <v>1210383175.6399994</v>
      </c>
      <c r="BF951" s="1820">
        <v>0.13873145200284109</v>
      </c>
      <c r="BH951" s="452" t="s">
        <v>4</v>
      </c>
      <c r="BI951" s="452" t="s">
        <v>344</v>
      </c>
      <c r="BJ951" s="452" t="s">
        <v>49</v>
      </c>
      <c r="BK951" s="452">
        <v>3</v>
      </c>
      <c r="BL951" s="1819">
        <v>1648954757.3499992</v>
      </c>
      <c r="BM951" s="1820">
        <v>9.7855428930980856E-2</v>
      </c>
      <c r="BN951" s="452">
        <v>2016</v>
      </c>
    </row>
    <row r="952" spans="1:66">
      <c r="A952" s="228">
        <f t="shared" si="29"/>
        <v>1900</v>
      </c>
      <c r="B952" s="228">
        <f t="shared" si="30"/>
        <v>1</v>
      </c>
      <c r="AU952" s="970"/>
      <c r="BA952" s="452" t="s">
        <v>0</v>
      </c>
      <c r="BB952" s="1818">
        <v>2018</v>
      </c>
      <c r="BC952" s="452" t="s">
        <v>249</v>
      </c>
      <c r="BE952" s="1819">
        <v>8724648651.5200024</v>
      </c>
      <c r="BF952" s="1820">
        <v>1</v>
      </c>
      <c r="BH952" s="452" t="s">
        <v>4</v>
      </c>
      <c r="BI952" s="452" t="s">
        <v>344</v>
      </c>
      <c r="BJ952" s="452" t="s">
        <v>581</v>
      </c>
      <c r="BK952" s="452">
        <v>4</v>
      </c>
      <c r="BL952" s="1819">
        <v>1276555069.71</v>
      </c>
      <c r="BM952" s="1820">
        <v>7.575577397965913E-2</v>
      </c>
      <c r="BN952" s="452">
        <v>2016</v>
      </c>
    </row>
    <row r="953" spans="1:66">
      <c r="A953" s="228">
        <f t="shared" si="29"/>
        <v>1900</v>
      </c>
      <c r="B953" s="228">
        <f t="shared" si="30"/>
        <v>1</v>
      </c>
      <c r="AU953" s="970"/>
      <c r="BA953" s="452" t="s">
        <v>228</v>
      </c>
      <c r="BB953" s="1818">
        <v>2018</v>
      </c>
      <c r="BC953" s="452" t="s">
        <v>15</v>
      </c>
      <c r="BD953" s="452">
        <v>1</v>
      </c>
      <c r="BE953" s="1819">
        <v>1726941785.7999997</v>
      </c>
      <c r="BF953" s="1820">
        <v>0.37071499580019079</v>
      </c>
      <c r="BH953" s="452" t="s">
        <v>4</v>
      </c>
      <c r="BI953" s="452" t="s">
        <v>344</v>
      </c>
      <c r="BJ953" s="452" t="s">
        <v>19</v>
      </c>
      <c r="BK953" s="452">
        <v>5</v>
      </c>
      <c r="BL953" s="1819">
        <v>994545355.19000006</v>
      </c>
      <c r="BM953" s="1820">
        <v>5.902021379885266E-2</v>
      </c>
      <c r="BN953" s="452">
        <v>2016</v>
      </c>
    </row>
    <row r="954" spans="1:66">
      <c r="A954" s="228">
        <f t="shared" si="29"/>
        <v>1900</v>
      </c>
      <c r="B954" s="228">
        <f t="shared" si="30"/>
        <v>1</v>
      </c>
      <c r="AU954" s="970"/>
      <c r="BA954" s="452" t="s">
        <v>228</v>
      </c>
      <c r="BB954" s="1818">
        <v>2018</v>
      </c>
      <c r="BC954" s="452" t="s">
        <v>20</v>
      </c>
      <c r="BD954" s="452">
        <v>2</v>
      </c>
      <c r="BE954" s="1819">
        <v>739850287.18000019</v>
      </c>
      <c r="BF954" s="1820">
        <v>0.15882040631592423</v>
      </c>
      <c r="BH954" s="452" t="s">
        <v>4</v>
      </c>
      <c r="BI954" s="452" t="s">
        <v>344</v>
      </c>
      <c r="BJ954" s="452" t="s">
        <v>28</v>
      </c>
      <c r="BK954" s="452">
        <v>6</v>
      </c>
      <c r="BL954" s="1819">
        <v>749475485.49999988</v>
      </c>
      <c r="BM954" s="1820">
        <v>4.4476808584318704E-2</v>
      </c>
      <c r="BN954" s="452">
        <v>2016</v>
      </c>
    </row>
    <row r="955" spans="1:66">
      <c r="A955" s="228">
        <f t="shared" si="29"/>
        <v>1900</v>
      </c>
      <c r="B955" s="228">
        <f t="shared" si="30"/>
        <v>1</v>
      </c>
      <c r="AU955" s="970"/>
      <c r="BA955" s="452" t="s">
        <v>228</v>
      </c>
      <c r="BB955" s="1818">
        <v>2018</v>
      </c>
      <c r="BC955" s="452" t="s">
        <v>581</v>
      </c>
      <c r="BD955" s="452">
        <v>3</v>
      </c>
      <c r="BE955" s="1819">
        <v>724667296.74000001</v>
      </c>
      <c r="BF955" s="1820">
        <v>0.15556114055289702</v>
      </c>
      <c r="BH955" s="452" t="s">
        <v>4</v>
      </c>
      <c r="BI955" s="452" t="s">
        <v>344</v>
      </c>
      <c r="BJ955" s="452" t="s">
        <v>21</v>
      </c>
      <c r="BK955" s="452">
        <v>7</v>
      </c>
      <c r="BL955" s="1819">
        <v>652047262.18000007</v>
      </c>
      <c r="BM955" s="1820">
        <v>3.869503650084221E-2</v>
      </c>
      <c r="BN955" s="452">
        <v>2016</v>
      </c>
    </row>
    <row r="956" spans="1:66">
      <c r="A956" s="228">
        <f t="shared" si="29"/>
        <v>1900</v>
      </c>
      <c r="B956" s="228">
        <f t="shared" si="30"/>
        <v>1</v>
      </c>
      <c r="AU956" s="970"/>
      <c r="BA956" s="452" t="s">
        <v>228</v>
      </c>
      <c r="BB956" s="1818">
        <v>2018</v>
      </c>
      <c r="BC956" s="452" t="s">
        <v>53</v>
      </c>
      <c r="BD956" s="452">
        <v>4</v>
      </c>
      <c r="BE956" s="1819">
        <v>511442050.61999995</v>
      </c>
      <c r="BF956" s="1820">
        <v>0.10978901501291953</v>
      </c>
      <c r="BH956" s="452" t="s">
        <v>4</v>
      </c>
      <c r="BI956" s="452" t="s">
        <v>344</v>
      </c>
      <c r="BJ956" s="452" t="s">
        <v>18</v>
      </c>
      <c r="BK956" s="452">
        <v>8</v>
      </c>
      <c r="BL956" s="1819">
        <v>479810892.17999995</v>
      </c>
      <c r="BM956" s="1820">
        <v>2.8473856211486508E-2</v>
      </c>
      <c r="BN956" s="452">
        <v>2016</v>
      </c>
    </row>
    <row r="957" spans="1:66">
      <c r="A957" s="228">
        <f t="shared" si="29"/>
        <v>1900</v>
      </c>
      <c r="B957" s="228">
        <f t="shared" si="30"/>
        <v>1</v>
      </c>
      <c r="AU957" s="970"/>
      <c r="BA957" s="452" t="s">
        <v>228</v>
      </c>
      <c r="BB957" s="1818">
        <v>2018</v>
      </c>
      <c r="BC957" s="452" t="s">
        <v>46</v>
      </c>
      <c r="BD957" s="452">
        <v>5</v>
      </c>
      <c r="BE957" s="1819">
        <v>423507584.44</v>
      </c>
      <c r="BF957" s="1820">
        <v>9.0912510009301534E-2</v>
      </c>
      <c r="BH957" s="452" t="s">
        <v>4</v>
      </c>
      <c r="BI957" s="452" t="s">
        <v>344</v>
      </c>
      <c r="BJ957" s="452" t="s">
        <v>583</v>
      </c>
      <c r="BK957" s="452">
        <v>9</v>
      </c>
      <c r="BL957" s="1819">
        <v>183246831.55000004</v>
      </c>
      <c r="BM957" s="1820">
        <v>1.0874584170147946E-2</v>
      </c>
      <c r="BN957" s="452">
        <v>2016</v>
      </c>
    </row>
    <row r="958" spans="1:66">
      <c r="A958" s="228">
        <f t="shared" si="29"/>
        <v>1900</v>
      </c>
      <c r="B958" s="228">
        <f t="shared" si="30"/>
        <v>1</v>
      </c>
      <c r="AU958" s="970"/>
      <c r="BA958" s="452" t="s">
        <v>228</v>
      </c>
      <c r="BB958" s="1818">
        <v>2018</v>
      </c>
      <c r="BC958" s="452" t="s">
        <v>18</v>
      </c>
      <c r="BD958" s="452">
        <v>6</v>
      </c>
      <c r="BE958" s="1819">
        <v>236685915.11000001</v>
      </c>
      <c r="BF958" s="1820">
        <v>5.0808324141234054E-2</v>
      </c>
      <c r="BH958" s="452" t="s">
        <v>4</v>
      </c>
      <c r="BI958" s="452" t="s">
        <v>344</v>
      </c>
      <c r="BJ958" s="452" t="s">
        <v>431</v>
      </c>
      <c r="BK958" s="452">
        <v>10</v>
      </c>
      <c r="BL958" s="1819">
        <v>86031559.040000007</v>
      </c>
      <c r="BM958" s="1820">
        <v>5.1054494211773575E-3</v>
      </c>
      <c r="BN958" s="452">
        <v>2016</v>
      </c>
    </row>
    <row r="959" spans="1:66">
      <c r="A959" s="228">
        <f t="shared" si="29"/>
        <v>1900</v>
      </c>
      <c r="B959" s="228">
        <f t="shared" si="30"/>
        <v>1</v>
      </c>
      <c r="AU959" s="970"/>
      <c r="BA959" s="452" t="s">
        <v>228</v>
      </c>
      <c r="BB959" s="1818">
        <v>2018</v>
      </c>
      <c r="BC959" s="452" t="s">
        <v>21</v>
      </c>
      <c r="BD959" s="452">
        <v>7</v>
      </c>
      <c r="BE959" s="1819">
        <v>179627951.43000001</v>
      </c>
      <c r="BF959" s="1820">
        <v>3.855994209389136E-2</v>
      </c>
      <c r="BH959" s="452" t="s">
        <v>4</v>
      </c>
      <c r="BI959" s="452" t="s">
        <v>344</v>
      </c>
      <c r="BJ959" s="452" t="s">
        <v>32</v>
      </c>
      <c r="BL959" s="1819">
        <v>166970919.75</v>
      </c>
      <c r="BM959" s="1820">
        <v>9.9087078637589282E-3</v>
      </c>
      <c r="BN959" s="452">
        <v>2016</v>
      </c>
    </row>
    <row r="960" spans="1:66">
      <c r="A960" s="228">
        <f t="shared" si="29"/>
        <v>1900</v>
      </c>
      <c r="B960" s="228">
        <f t="shared" si="30"/>
        <v>1</v>
      </c>
      <c r="AU960" s="970"/>
      <c r="BA960" s="452" t="s">
        <v>228</v>
      </c>
      <c r="BB960" s="1818">
        <v>2018</v>
      </c>
      <c r="BC960" s="452" t="s">
        <v>583</v>
      </c>
      <c r="BD960" s="452">
        <v>8</v>
      </c>
      <c r="BE960" s="1819">
        <v>46128421.840000004</v>
      </c>
      <c r="BF960" s="1820">
        <v>9.9021853830256849E-3</v>
      </c>
      <c r="BH960" s="452" t="s">
        <v>4</v>
      </c>
      <c r="BI960" s="452" t="s">
        <v>344</v>
      </c>
      <c r="BJ960" s="452" t="s">
        <v>249</v>
      </c>
      <c r="BL960" s="1819">
        <v>16850927693.679989</v>
      </c>
      <c r="BN960" s="452">
        <v>2016</v>
      </c>
    </row>
    <row r="961" spans="1:68">
      <c r="A961" s="228">
        <f t="shared" si="29"/>
        <v>1900</v>
      </c>
      <c r="B961" s="228">
        <f t="shared" si="30"/>
        <v>1</v>
      </c>
      <c r="BA961" s="452" t="s">
        <v>228</v>
      </c>
      <c r="BB961" s="1818">
        <v>2018</v>
      </c>
      <c r="BC961" s="452" t="s">
        <v>245</v>
      </c>
      <c r="BD961" s="452">
        <v>9</v>
      </c>
      <c r="BE961" s="1819">
        <v>42235675.07</v>
      </c>
      <c r="BF961" s="1820">
        <v>9.06654655932136E-3</v>
      </c>
      <c r="BH961" s="452" t="s">
        <v>228</v>
      </c>
      <c r="BI961" s="452" t="s">
        <v>344</v>
      </c>
      <c r="BJ961" s="452" t="s">
        <v>53</v>
      </c>
      <c r="BK961" s="452">
        <v>1</v>
      </c>
      <c r="BL961" s="1819">
        <v>784209544.47104001</v>
      </c>
      <c r="BM961" s="1820">
        <v>0.25600000000000001</v>
      </c>
      <c r="BN961" s="452">
        <v>2016</v>
      </c>
    </row>
    <row r="962" spans="1:68">
      <c r="A962" s="228">
        <f t="shared" si="29"/>
        <v>1900</v>
      </c>
      <c r="B962" s="228">
        <f t="shared" si="30"/>
        <v>1</v>
      </c>
      <c r="BA962" s="452" t="s">
        <v>228</v>
      </c>
      <c r="BB962" s="1818">
        <v>2018</v>
      </c>
      <c r="BC962" s="452" t="s">
        <v>42</v>
      </c>
      <c r="BD962" s="452">
        <v>10</v>
      </c>
      <c r="BE962" s="1819">
        <v>27321257.399999999</v>
      </c>
      <c r="BF962" s="1820">
        <v>5.8649341312944055E-3</v>
      </c>
      <c r="BH962" s="452" t="s">
        <v>228</v>
      </c>
      <c r="BI962" s="452" t="s">
        <v>344</v>
      </c>
      <c r="BJ962" s="452" t="s">
        <v>581</v>
      </c>
      <c r="BK962" s="452">
        <v>2</v>
      </c>
      <c r="BL962" s="1819">
        <v>698436625.54452002</v>
      </c>
      <c r="BM962" s="1820">
        <v>0.22800000000000001</v>
      </c>
      <c r="BN962" s="452">
        <v>2016</v>
      </c>
    </row>
    <row r="963" spans="1:68">
      <c r="A963" s="228">
        <f t="shared" si="29"/>
        <v>1900</v>
      </c>
      <c r="B963" s="228">
        <f t="shared" si="30"/>
        <v>1</v>
      </c>
      <c r="BA963" s="452" t="s">
        <v>228</v>
      </c>
      <c r="BB963" s="1818">
        <v>2018</v>
      </c>
      <c r="BC963" s="452" t="s">
        <v>32</v>
      </c>
      <c r="BE963" s="1819">
        <v>0</v>
      </c>
      <c r="BF963" s="1820">
        <v>0</v>
      </c>
      <c r="BH963" s="452" t="s">
        <v>228</v>
      </c>
      <c r="BI963" s="452" t="s">
        <v>344</v>
      </c>
      <c r="BJ963" s="452" t="s">
        <v>15</v>
      </c>
      <c r="BK963" s="452">
        <v>3</v>
      </c>
      <c r="BL963" s="1819">
        <v>615727025.15109003</v>
      </c>
      <c r="BM963" s="1820">
        <v>0.20100000000000001</v>
      </c>
      <c r="BN963" s="452">
        <v>2016</v>
      </c>
    </row>
    <row r="964" spans="1:68">
      <c r="A964" s="228">
        <f t="shared" si="29"/>
        <v>1900</v>
      </c>
      <c r="B964" s="228">
        <f t="shared" si="30"/>
        <v>1</v>
      </c>
      <c r="BA964" s="452" t="s">
        <v>228</v>
      </c>
      <c r="BB964" s="1818">
        <v>2018</v>
      </c>
      <c r="BC964" s="452" t="s">
        <v>249</v>
      </c>
      <c r="BE964" s="1819">
        <v>4658408225.6300001</v>
      </c>
      <c r="BH964" s="452" t="s">
        <v>228</v>
      </c>
      <c r="BI964" s="452" t="s">
        <v>344</v>
      </c>
      <c r="BJ964" s="452" t="s">
        <v>20</v>
      </c>
      <c r="BK964" s="452">
        <v>4</v>
      </c>
      <c r="BL964" s="1819">
        <v>416611320.50024003</v>
      </c>
      <c r="BM964" s="1820">
        <v>0.13600000000000001</v>
      </c>
      <c r="BN964" s="452">
        <v>2016</v>
      </c>
    </row>
    <row r="965" spans="1:68">
      <c r="A965" s="228">
        <f t="shared" si="29"/>
        <v>1900</v>
      </c>
      <c r="B965" s="228">
        <f t="shared" si="30"/>
        <v>1</v>
      </c>
      <c r="BA965" s="452" t="s">
        <v>342</v>
      </c>
      <c r="BB965" s="1818">
        <v>2018</v>
      </c>
      <c r="BE965" s="1819">
        <v>3279671896.6100001</v>
      </c>
      <c r="BH965" s="452" t="s">
        <v>228</v>
      </c>
      <c r="BI965" s="452" t="s">
        <v>344</v>
      </c>
      <c r="BJ965" s="452" t="s">
        <v>46</v>
      </c>
      <c r="BK965" s="452">
        <v>5</v>
      </c>
      <c r="BL965" s="1819">
        <v>300205216.24282002</v>
      </c>
      <c r="BM965" s="1820">
        <v>9.8000000000000004E-2</v>
      </c>
      <c r="BN965" s="452">
        <v>2016</v>
      </c>
    </row>
    <row r="966" spans="1:68">
      <c r="A966" s="228">
        <f t="shared" si="29"/>
        <v>1900</v>
      </c>
      <c r="B966" s="228">
        <f t="shared" si="30"/>
        <v>1</v>
      </c>
      <c r="BA966" s="452" t="s">
        <v>3</v>
      </c>
      <c r="BB966" s="1818">
        <v>2018</v>
      </c>
      <c r="BC966" s="452" t="s">
        <v>15</v>
      </c>
      <c r="BD966" s="452">
        <v>1</v>
      </c>
      <c r="BE966" s="1819">
        <v>1311401863.4700005</v>
      </c>
      <c r="BF966" s="1820">
        <v>0.50140855911586424</v>
      </c>
      <c r="BH966" s="452" t="s">
        <v>228</v>
      </c>
      <c r="BI966" s="452" t="s">
        <v>344</v>
      </c>
      <c r="BJ966" s="452" t="s">
        <v>18</v>
      </c>
      <c r="BK966" s="452">
        <v>6</v>
      </c>
      <c r="BL966" s="1819">
        <v>153165926.65450001</v>
      </c>
      <c r="BM966" s="1820">
        <v>0.05</v>
      </c>
      <c r="BN966" s="452">
        <v>2016</v>
      </c>
    </row>
    <row r="967" spans="1:68">
      <c r="A967" s="228">
        <f t="shared" si="29"/>
        <v>1900</v>
      </c>
      <c r="B967" s="228">
        <f t="shared" si="30"/>
        <v>1</v>
      </c>
      <c r="BA967" s="452" t="s">
        <v>3</v>
      </c>
      <c r="BB967" s="1818">
        <v>2018</v>
      </c>
      <c r="BC967" s="452" t="s">
        <v>20</v>
      </c>
      <c r="BD967" s="452">
        <v>2</v>
      </c>
      <c r="BE967" s="1819">
        <v>473716584.11474049</v>
      </c>
      <c r="BF967" s="1820">
        <v>0.181123389013466</v>
      </c>
      <c r="BH967" s="452" t="s">
        <v>228</v>
      </c>
      <c r="BI967" s="452" t="s">
        <v>344</v>
      </c>
      <c r="BJ967" s="452" t="s">
        <v>583</v>
      </c>
      <c r="BK967" s="452">
        <v>7</v>
      </c>
      <c r="BL967" s="1819">
        <v>45949777.996349998</v>
      </c>
      <c r="BM967" s="1820">
        <v>1.4999999999999999E-2</v>
      </c>
      <c r="BN967" s="452">
        <v>2016</v>
      </c>
    </row>
    <row r="968" spans="1:68">
      <c r="A968" s="228">
        <f t="shared" si="29"/>
        <v>1900</v>
      </c>
      <c r="B968" s="228">
        <f t="shared" si="30"/>
        <v>1</v>
      </c>
      <c r="BA968" s="452" t="s">
        <v>3</v>
      </c>
      <c r="BB968" s="1818">
        <v>2018</v>
      </c>
      <c r="BC968" s="452" t="s">
        <v>583</v>
      </c>
      <c r="BD968" s="452">
        <v>3</v>
      </c>
      <c r="BE968" s="1819">
        <v>337494394.45923591</v>
      </c>
      <c r="BF968" s="1820">
        <v>0.12903945216893289</v>
      </c>
      <c r="BH968" s="452" t="s">
        <v>228</v>
      </c>
      <c r="BI968" s="452" t="s">
        <v>344</v>
      </c>
      <c r="BJ968" s="452" t="s">
        <v>42</v>
      </c>
      <c r="BK968" s="452">
        <v>8</v>
      </c>
      <c r="BL968" s="1819">
        <v>24506548.26472</v>
      </c>
      <c r="BM968" s="1820">
        <v>8.0000000000000002E-3</v>
      </c>
      <c r="BN968" s="452">
        <v>2016</v>
      </c>
    </row>
    <row r="969" spans="1:68">
      <c r="A969" s="228">
        <f t="shared" si="29"/>
        <v>1900</v>
      </c>
      <c r="B969" s="228">
        <f t="shared" si="30"/>
        <v>1</v>
      </c>
      <c r="BA969" s="452" t="s">
        <v>3</v>
      </c>
      <c r="BB969" s="1818">
        <v>2018</v>
      </c>
      <c r="BC969" s="452" t="s">
        <v>23</v>
      </c>
      <c r="BD969" s="452">
        <v>4</v>
      </c>
      <c r="BE969" s="1819">
        <v>148509267.09000003</v>
      </c>
      <c r="BF969" s="1820">
        <v>5.6781845215559568E-2</v>
      </c>
      <c r="BH969" s="452" t="s">
        <v>228</v>
      </c>
      <c r="BI969" s="452" t="s">
        <v>344</v>
      </c>
      <c r="BJ969" s="452" t="s">
        <v>45</v>
      </c>
      <c r="BK969" s="452">
        <v>9</v>
      </c>
      <c r="BL969" s="1819">
        <v>21443229.731630001</v>
      </c>
      <c r="BM969" s="1820">
        <v>7.0000000000000001E-3</v>
      </c>
      <c r="BN969" s="452">
        <v>2016</v>
      </c>
    </row>
    <row r="970" spans="1:68">
      <c r="A970" s="228">
        <f t="shared" ref="A970:A1033" si="31">YEAR(C970)</f>
        <v>1900</v>
      </c>
      <c r="B970" s="228">
        <f t="shared" ref="B970:B1033" si="32">IF(OR(MONTH(C970)=1,MONTH(C970)=2,MONTH(C970)=3),1,IF(OR(MONTH(C970)=4,MONTH(C970)=5,MONTH(C970)=6),2,IF(OR(MONTH(C970)=7,MONTH(C970)=8,MONTH(C970)=9),3,4)))</f>
        <v>1</v>
      </c>
      <c r="BA970" s="452" t="s">
        <v>3</v>
      </c>
      <c r="BB970" s="1818">
        <v>2018</v>
      </c>
      <c r="BC970" s="452" t="s">
        <v>581</v>
      </c>
      <c r="BD970" s="452">
        <v>5</v>
      </c>
      <c r="BE970" s="1819">
        <v>99628564.416659206</v>
      </c>
      <c r="BF970" s="1820">
        <v>3.8092530079801817E-2</v>
      </c>
      <c r="BH970" s="452" t="s">
        <v>228</v>
      </c>
      <c r="BI970" s="452" t="s">
        <v>344</v>
      </c>
      <c r="BJ970" s="452" t="s">
        <v>21</v>
      </c>
      <c r="BK970" s="452">
        <v>10</v>
      </c>
      <c r="BL970" s="1819">
        <v>3063318.53309</v>
      </c>
      <c r="BM970" s="1820">
        <v>1E-3</v>
      </c>
      <c r="BN970" s="452">
        <v>2016</v>
      </c>
    </row>
    <row r="971" spans="1:68">
      <c r="A971" s="228">
        <f t="shared" si="31"/>
        <v>1900</v>
      </c>
      <c r="B971" s="228">
        <f t="shared" si="32"/>
        <v>1</v>
      </c>
      <c r="BA971" s="452" t="s">
        <v>3</v>
      </c>
      <c r="BB971" s="1818">
        <v>2018</v>
      </c>
      <c r="BC971" s="452" t="s">
        <v>54</v>
      </c>
      <c r="BD971" s="452">
        <v>6</v>
      </c>
      <c r="BE971" s="1819">
        <v>46454610.100000001</v>
      </c>
      <c r="BF971" s="1820">
        <v>1.7761709635593419E-2</v>
      </c>
      <c r="BH971" s="452" t="s">
        <v>228</v>
      </c>
      <c r="BI971" s="452" t="s">
        <v>344</v>
      </c>
      <c r="BJ971" s="452" t="s">
        <v>32</v>
      </c>
      <c r="BL971" s="1819">
        <v>0</v>
      </c>
      <c r="BM971" s="1820">
        <v>0</v>
      </c>
      <c r="BN971" s="452">
        <v>2016</v>
      </c>
      <c r="BP971" s="1698"/>
    </row>
    <row r="972" spans="1:68">
      <c r="A972" s="228">
        <f t="shared" si="31"/>
        <v>1900</v>
      </c>
      <c r="B972" s="228">
        <f t="shared" si="32"/>
        <v>1</v>
      </c>
      <c r="BA972" s="452" t="s">
        <v>3</v>
      </c>
      <c r="BB972" s="1818">
        <v>2018</v>
      </c>
      <c r="BC972" s="1896" t="s">
        <v>431</v>
      </c>
      <c r="BD972" s="452">
        <v>7</v>
      </c>
      <c r="BE972" s="1819">
        <v>44350895.299999997</v>
      </c>
      <c r="BF972" s="1820">
        <v>1.6957363816023176E-2</v>
      </c>
      <c r="BH972" s="452" t="s">
        <v>228</v>
      </c>
      <c r="BI972" s="452" t="s">
        <v>344</v>
      </c>
      <c r="BJ972" s="452" t="s">
        <v>249</v>
      </c>
      <c r="BL972" s="1819">
        <v>3063318533.0900002</v>
      </c>
      <c r="BN972" s="452">
        <v>2016</v>
      </c>
    </row>
    <row r="973" spans="1:68">
      <c r="A973" s="228">
        <f t="shared" si="31"/>
        <v>1900</v>
      </c>
      <c r="B973" s="228">
        <f t="shared" si="32"/>
        <v>1</v>
      </c>
      <c r="BA973" s="452" t="s">
        <v>3</v>
      </c>
      <c r="BB973" s="1818">
        <v>2018</v>
      </c>
      <c r="BC973" s="452" t="s">
        <v>51</v>
      </c>
      <c r="BD973" s="452">
        <v>8</v>
      </c>
      <c r="BE973" s="1819">
        <v>31461746.760000005</v>
      </c>
      <c r="BF973" s="1820">
        <v>1.2029256286443185E-2</v>
      </c>
      <c r="BH973" s="452" t="s">
        <v>342</v>
      </c>
      <c r="BI973" s="452" t="s">
        <v>344</v>
      </c>
      <c r="BL973" s="1819">
        <v>1679735037.0899999</v>
      </c>
      <c r="BN973" s="452">
        <v>2016</v>
      </c>
    </row>
    <row r="974" spans="1:68">
      <c r="A974" s="228">
        <f t="shared" si="31"/>
        <v>1900</v>
      </c>
      <c r="B974" s="228">
        <f t="shared" si="32"/>
        <v>1</v>
      </c>
      <c r="BA974" s="452" t="s">
        <v>3</v>
      </c>
      <c r="BB974" s="1818">
        <v>2018</v>
      </c>
      <c r="BC974" s="452" t="s">
        <v>50</v>
      </c>
      <c r="BD974" s="452">
        <v>9</v>
      </c>
      <c r="BE974" s="1819">
        <v>30426874.020000003</v>
      </c>
      <c r="BF974" s="1820">
        <v>1.1633577384433179E-2</v>
      </c>
      <c r="BH974" s="452" t="s">
        <v>3</v>
      </c>
      <c r="BI974" s="452" t="s">
        <v>314</v>
      </c>
      <c r="BJ974" s="452" t="s">
        <v>15</v>
      </c>
      <c r="BK974" s="452">
        <v>1</v>
      </c>
      <c r="BL974" s="1819">
        <v>1399822013.5600002</v>
      </c>
      <c r="BM974" s="1820">
        <v>0.40431147064738998</v>
      </c>
      <c r="BN974" s="452">
        <v>2009</v>
      </c>
    </row>
    <row r="975" spans="1:68">
      <c r="A975" s="228">
        <f t="shared" si="31"/>
        <v>1900</v>
      </c>
      <c r="B975" s="228">
        <f t="shared" si="32"/>
        <v>1</v>
      </c>
      <c r="BA975" s="452" t="s">
        <v>3</v>
      </c>
      <c r="BB975" s="1818">
        <v>2018</v>
      </c>
      <c r="BC975" s="452" t="s">
        <v>21</v>
      </c>
      <c r="BD975" s="452">
        <v>10</v>
      </c>
      <c r="BE975" s="1819">
        <v>26654791.665688124</v>
      </c>
      <c r="BF975" s="1820">
        <v>1.0191338791651766E-2</v>
      </c>
      <c r="BH975" s="452" t="s">
        <v>3</v>
      </c>
      <c r="BI975" s="452" t="s">
        <v>314</v>
      </c>
      <c r="BJ975" s="452" t="s">
        <v>431</v>
      </c>
      <c r="BK975" s="452">
        <v>2</v>
      </c>
      <c r="BL975" s="1819">
        <v>320515425.62</v>
      </c>
      <c r="BM975" s="1820">
        <v>9.2574671524153634E-2</v>
      </c>
      <c r="BN975" s="452">
        <v>2009</v>
      </c>
    </row>
    <row r="976" spans="1:68">
      <c r="A976" s="228">
        <f t="shared" si="31"/>
        <v>1900</v>
      </c>
      <c r="B976" s="228">
        <f t="shared" si="32"/>
        <v>1</v>
      </c>
      <c r="BA976" s="452" t="s">
        <v>3</v>
      </c>
      <c r="BB976" s="1818">
        <v>2018</v>
      </c>
      <c r="BC976" s="452" t="s">
        <v>32</v>
      </c>
      <c r="BE976" s="1819">
        <v>65336143.850000001</v>
      </c>
      <c r="BH976" s="452" t="s">
        <v>3</v>
      </c>
      <c r="BI976" s="452" t="s">
        <v>314</v>
      </c>
      <c r="BJ976" s="452" t="s">
        <v>45</v>
      </c>
      <c r="BK976" s="452">
        <v>3</v>
      </c>
      <c r="BL976" s="1819">
        <v>268601489.02999997</v>
      </c>
      <c r="BM976" s="1820">
        <v>7.7580336639807568E-2</v>
      </c>
      <c r="BN976" s="452">
        <v>2009</v>
      </c>
    </row>
    <row r="977" spans="1:66">
      <c r="A977" s="228">
        <f t="shared" si="31"/>
        <v>1900</v>
      </c>
      <c r="B977" s="228">
        <f t="shared" si="32"/>
        <v>1</v>
      </c>
      <c r="BA977" s="452" t="s">
        <v>3</v>
      </c>
      <c r="BB977" s="1818">
        <v>2018</v>
      </c>
      <c r="BC977" s="452" t="s">
        <v>249</v>
      </c>
      <c r="BE977" s="1819">
        <v>2615435735.2463245</v>
      </c>
      <c r="BH977" s="452" t="s">
        <v>3</v>
      </c>
      <c r="BI977" s="452" t="s">
        <v>314</v>
      </c>
      <c r="BJ977" s="452" t="s">
        <v>23</v>
      </c>
      <c r="BK977" s="452">
        <v>4</v>
      </c>
      <c r="BL977" s="1819">
        <v>267555154.00999999</v>
      </c>
      <c r="BM977" s="1820">
        <v>7.7278123039344046E-2</v>
      </c>
      <c r="BN977" s="452">
        <v>2009</v>
      </c>
    </row>
    <row r="978" spans="1:66">
      <c r="A978" s="228">
        <f t="shared" si="31"/>
        <v>1900</v>
      </c>
      <c r="B978" s="228">
        <f t="shared" si="32"/>
        <v>1</v>
      </c>
      <c r="BA978" s="452" t="s">
        <v>1</v>
      </c>
      <c r="BB978" s="1818">
        <v>2018</v>
      </c>
      <c r="BC978" s="452" t="s">
        <v>592</v>
      </c>
      <c r="BD978" s="452">
        <v>1</v>
      </c>
      <c r="BE978" s="1819">
        <v>6701769000</v>
      </c>
      <c r="BF978" s="1820">
        <v>0.38370601678299338</v>
      </c>
      <c r="BH978" s="452" t="s">
        <v>3</v>
      </c>
      <c r="BI978" s="452" t="s">
        <v>314</v>
      </c>
      <c r="BJ978" s="452" t="s">
        <v>44</v>
      </c>
      <c r="BK978" s="452">
        <v>5</v>
      </c>
      <c r="BL978" s="1819">
        <v>252880396.18000001</v>
      </c>
      <c r="BM978" s="1820">
        <v>7.3039603526029298E-2</v>
      </c>
      <c r="BN978" s="452">
        <v>2009</v>
      </c>
    </row>
    <row r="979" spans="1:66">
      <c r="A979" s="228">
        <f t="shared" si="31"/>
        <v>1900</v>
      </c>
      <c r="B979" s="228">
        <f t="shared" si="32"/>
        <v>1</v>
      </c>
      <c r="AY979" s="992"/>
      <c r="BA979" s="452" t="s">
        <v>1</v>
      </c>
      <c r="BB979" s="1818">
        <v>2018</v>
      </c>
      <c r="BC979" s="452" t="s">
        <v>15</v>
      </c>
      <c r="BD979" s="452">
        <v>2</v>
      </c>
      <c r="BE979" s="1819">
        <v>5789108000</v>
      </c>
      <c r="BF979" s="1820">
        <v>0.33145212426846721</v>
      </c>
      <c r="BH979" s="452" t="s">
        <v>3</v>
      </c>
      <c r="BI979" s="452" t="s">
        <v>314</v>
      </c>
      <c r="BJ979" s="452" t="s">
        <v>20</v>
      </c>
      <c r="BK979" s="452">
        <v>6</v>
      </c>
      <c r="BL979" s="1819">
        <v>244881844.29000002</v>
      </c>
      <c r="BM979" s="1820">
        <v>7.0729376764077659E-2</v>
      </c>
      <c r="BN979" s="452">
        <v>2009</v>
      </c>
    </row>
    <row r="980" spans="1:66">
      <c r="A980" s="228">
        <f t="shared" si="31"/>
        <v>1900</v>
      </c>
      <c r="B980" s="228">
        <f t="shared" si="32"/>
        <v>1</v>
      </c>
      <c r="BA980" s="452" t="s">
        <v>1</v>
      </c>
      <c r="BB980" s="1818">
        <v>2018</v>
      </c>
      <c r="BC980" s="452" t="s">
        <v>51</v>
      </c>
      <c r="BD980" s="452">
        <v>3</v>
      </c>
      <c r="BE980" s="1819">
        <v>1572102000</v>
      </c>
      <c r="BF980" s="1820">
        <v>9.0009816273371623E-2</v>
      </c>
      <c r="BH980" s="452" t="s">
        <v>3</v>
      </c>
      <c r="BI980" s="452" t="s">
        <v>314</v>
      </c>
      <c r="BJ980" s="452" t="s">
        <v>49</v>
      </c>
      <c r="BK980" s="452">
        <v>7</v>
      </c>
      <c r="BL980" s="1819">
        <v>162518266.65000001</v>
      </c>
      <c r="BM980" s="1820">
        <v>4.6940252946314848E-2</v>
      </c>
      <c r="BN980" s="452">
        <v>2009</v>
      </c>
    </row>
    <row r="981" spans="1:66">
      <c r="A981" s="228">
        <f t="shared" si="31"/>
        <v>1900</v>
      </c>
      <c r="B981" s="228">
        <f t="shared" si="32"/>
        <v>1</v>
      </c>
      <c r="BA981" s="452" t="s">
        <v>1</v>
      </c>
      <c r="BB981" s="1818">
        <v>2018</v>
      </c>
      <c r="BC981" s="452" t="s">
        <v>28</v>
      </c>
      <c r="BD981" s="452">
        <v>4</v>
      </c>
      <c r="BE981" s="1819">
        <v>1427440000</v>
      </c>
      <c r="BF981" s="1820">
        <v>8.1727274783227541E-2</v>
      </c>
      <c r="BH981" s="452" t="s">
        <v>3</v>
      </c>
      <c r="BI981" s="452" t="s">
        <v>314</v>
      </c>
      <c r="BJ981" s="452" t="s">
        <v>581</v>
      </c>
      <c r="BK981" s="452">
        <v>8</v>
      </c>
      <c r="BL981" s="1819">
        <v>145823727.25</v>
      </c>
      <c r="BM981" s="1820">
        <v>4.2118358654604962E-2</v>
      </c>
      <c r="BN981" s="452">
        <v>2009</v>
      </c>
    </row>
    <row r="982" spans="1:66">
      <c r="A982" s="228">
        <f t="shared" si="31"/>
        <v>1900</v>
      </c>
      <c r="B982" s="228">
        <f t="shared" si="32"/>
        <v>1</v>
      </c>
      <c r="BA982" s="452" t="s">
        <v>1</v>
      </c>
      <c r="BB982" s="1818">
        <v>2018</v>
      </c>
      <c r="BC982" s="452" t="s">
        <v>49</v>
      </c>
      <c r="BD982" s="452">
        <v>5</v>
      </c>
      <c r="BE982" s="1819">
        <v>773060000</v>
      </c>
      <c r="BF982" s="1820">
        <v>4.4261115734406969E-2</v>
      </c>
      <c r="BH982" s="452" t="s">
        <v>3</v>
      </c>
      <c r="BI982" s="452" t="s">
        <v>314</v>
      </c>
      <c r="BJ982" s="452" t="s">
        <v>42</v>
      </c>
      <c r="BK982" s="452">
        <v>9</v>
      </c>
      <c r="BL982" s="1819">
        <v>106442005.94</v>
      </c>
      <c r="BM982" s="1820">
        <v>3.0743711374285367E-2</v>
      </c>
      <c r="BN982" s="452">
        <v>2009</v>
      </c>
    </row>
    <row r="983" spans="1:66">
      <c r="A983" s="228">
        <f t="shared" si="31"/>
        <v>1900</v>
      </c>
      <c r="B983" s="228">
        <f t="shared" si="32"/>
        <v>1</v>
      </c>
      <c r="BA983" s="452" t="s">
        <v>1</v>
      </c>
      <c r="BB983" s="1818">
        <v>2018</v>
      </c>
      <c r="BC983" s="452" t="s">
        <v>18</v>
      </c>
      <c r="BD983" s="452">
        <v>6</v>
      </c>
      <c r="BE983" s="1819">
        <v>709187000</v>
      </c>
      <c r="BF983" s="1820">
        <v>4.0604103024780583E-2</v>
      </c>
      <c r="BH983" s="452" t="s">
        <v>3</v>
      </c>
      <c r="BI983" s="452" t="s">
        <v>314</v>
      </c>
      <c r="BJ983" s="452" t="s">
        <v>18</v>
      </c>
      <c r="BK983" s="452">
        <v>10</v>
      </c>
      <c r="BL983" s="1819">
        <v>76825484.26000002</v>
      </c>
      <c r="BM983" s="1820">
        <v>2.2189552831337257E-2</v>
      </c>
      <c r="BN983" s="452">
        <v>2009</v>
      </c>
    </row>
    <row r="984" spans="1:66">
      <c r="A984" s="228">
        <f t="shared" si="31"/>
        <v>1900</v>
      </c>
      <c r="B984" s="228">
        <f t="shared" si="32"/>
        <v>1</v>
      </c>
      <c r="BA984" s="452" t="s">
        <v>1</v>
      </c>
      <c r="BB984" s="1818">
        <v>2018</v>
      </c>
      <c r="BC984" s="452" t="s">
        <v>581</v>
      </c>
      <c r="BD984" s="452">
        <v>7</v>
      </c>
      <c r="BE984" s="1819">
        <v>157727000</v>
      </c>
      <c r="BF984" s="1820">
        <v>9.0305707208247852E-3</v>
      </c>
      <c r="BH984" s="452" t="s">
        <v>3</v>
      </c>
      <c r="BI984" s="452" t="s">
        <v>314</v>
      </c>
      <c r="BJ984" s="452" t="s">
        <v>32</v>
      </c>
      <c r="BL984" s="1819">
        <v>216370897.29999924</v>
      </c>
      <c r="BM984" s="1820">
        <v>6.2494542052655318E-2</v>
      </c>
      <c r="BN984" s="452">
        <v>2009</v>
      </c>
    </row>
    <row r="985" spans="1:66">
      <c r="A985" s="228">
        <f t="shared" si="31"/>
        <v>1900</v>
      </c>
      <c r="B985" s="228">
        <f t="shared" si="32"/>
        <v>1</v>
      </c>
      <c r="BA985" s="452" t="s">
        <v>1</v>
      </c>
      <c r="BB985" s="1818">
        <v>2018</v>
      </c>
      <c r="BC985" s="452" t="s">
        <v>241</v>
      </c>
      <c r="BD985" s="452">
        <v>8</v>
      </c>
      <c r="BE985" s="1819">
        <v>116958000</v>
      </c>
      <c r="BF985" s="1820">
        <v>6.6963645435862288E-3</v>
      </c>
      <c r="BH985" s="452" t="s">
        <v>3</v>
      </c>
      <c r="BI985" s="452" t="s">
        <v>314</v>
      </c>
      <c r="BJ985" s="452" t="s">
        <v>249</v>
      </c>
      <c r="BL985" s="1819">
        <v>3462236704.0899997</v>
      </c>
      <c r="BN985" s="452">
        <v>2009</v>
      </c>
    </row>
    <row r="986" spans="1:66">
      <c r="A986" s="228">
        <f t="shared" si="31"/>
        <v>1900</v>
      </c>
      <c r="B986" s="228">
        <f t="shared" si="32"/>
        <v>1</v>
      </c>
      <c r="BA986" s="452" t="s">
        <v>1</v>
      </c>
      <c r="BB986" s="1818">
        <v>2018</v>
      </c>
      <c r="BC986" s="452" t="s">
        <v>431</v>
      </c>
      <c r="BD986" s="452">
        <v>9</v>
      </c>
      <c r="BE986" s="1819">
        <v>98194000</v>
      </c>
      <c r="BF986" s="1820">
        <v>5.6220422715240184E-3</v>
      </c>
      <c r="BH986" s="452" t="s">
        <v>3</v>
      </c>
      <c r="BI986" s="452" t="s">
        <v>313</v>
      </c>
      <c r="BJ986" s="452" t="s">
        <v>165</v>
      </c>
      <c r="BK986" s="452">
        <v>10</v>
      </c>
      <c r="BL986" s="1819">
        <v>0</v>
      </c>
      <c r="BM986" s="1820">
        <v>0</v>
      </c>
      <c r="BN986" s="452">
        <v>2008</v>
      </c>
    </row>
    <row r="987" spans="1:66">
      <c r="A987" s="228">
        <f t="shared" si="31"/>
        <v>1900</v>
      </c>
      <c r="B987" s="228">
        <f t="shared" si="32"/>
        <v>1</v>
      </c>
      <c r="BA987" s="452" t="s">
        <v>1</v>
      </c>
      <c r="BB987" s="1818">
        <v>2018</v>
      </c>
      <c r="BC987" s="452" t="s">
        <v>46</v>
      </c>
      <c r="BD987" s="452">
        <v>10</v>
      </c>
      <c r="BE987" s="1819">
        <v>51469000</v>
      </c>
      <c r="BF987" s="1820">
        <v>2.9468286623731562E-3</v>
      </c>
      <c r="BH987" s="452" t="s">
        <v>280</v>
      </c>
      <c r="BI987" s="452" t="s">
        <v>353</v>
      </c>
      <c r="BJ987" s="452" t="s">
        <v>15</v>
      </c>
      <c r="BK987" s="452">
        <v>1</v>
      </c>
      <c r="BL987" s="1819">
        <v>337323211.82999998</v>
      </c>
      <c r="BM987" s="1820">
        <v>0.33463862169216807</v>
      </c>
      <c r="BN987" s="452">
        <f>_xlfn.NUMBERVALUE(LEFT(BI987,4))</f>
        <v>2017</v>
      </c>
    </row>
    <row r="988" spans="1:66">
      <c r="A988" s="228">
        <f t="shared" si="31"/>
        <v>1900</v>
      </c>
      <c r="B988" s="228">
        <f t="shared" si="32"/>
        <v>1</v>
      </c>
      <c r="BA988" s="452" t="s">
        <v>1</v>
      </c>
      <c r="BB988" s="1818">
        <v>2018</v>
      </c>
      <c r="BC988" s="452" t="s">
        <v>32</v>
      </c>
      <c r="BE988" s="1819">
        <v>68881000</v>
      </c>
      <c r="BF988" s="1820">
        <v>3.943742934444527E-3</v>
      </c>
      <c r="BH988" s="452" t="s">
        <v>280</v>
      </c>
      <c r="BI988" s="452" t="s">
        <v>353</v>
      </c>
      <c r="BJ988" s="452" t="s">
        <v>21</v>
      </c>
      <c r="BK988" s="452">
        <v>2</v>
      </c>
      <c r="BL988" s="1819">
        <v>104662015.46000001</v>
      </c>
      <c r="BM988" s="1820">
        <v>0.10382906176853826</v>
      </c>
      <c r="BN988" s="452">
        <f t="shared" ref="BN988:BN1051" si="33">_xlfn.NUMBERVALUE(LEFT(BI988,4))</f>
        <v>2017</v>
      </c>
    </row>
    <row r="989" spans="1:66">
      <c r="A989" s="228">
        <f t="shared" si="31"/>
        <v>1900</v>
      </c>
      <c r="B989" s="228">
        <f t="shared" si="32"/>
        <v>1</v>
      </c>
      <c r="BA989" s="452" t="s">
        <v>1</v>
      </c>
      <c r="BB989" s="1818">
        <v>2018</v>
      </c>
      <c r="BC989" s="452" t="s">
        <v>70</v>
      </c>
      <c r="BE989" s="1819">
        <v>17465895000</v>
      </c>
      <c r="BH989" s="452" t="s">
        <v>280</v>
      </c>
      <c r="BI989" s="452" t="s">
        <v>353</v>
      </c>
      <c r="BJ989" s="452" t="s">
        <v>431</v>
      </c>
      <c r="BK989" s="452">
        <v>3</v>
      </c>
      <c r="BL989" s="1819">
        <v>100616447.56</v>
      </c>
      <c r="BM989" s="1820">
        <v>9.9815690560925208E-2</v>
      </c>
      <c r="BN989" s="452">
        <f t="shared" si="33"/>
        <v>2017</v>
      </c>
    </row>
    <row r="990" spans="1:66">
      <c r="A990" s="228">
        <f t="shared" si="31"/>
        <v>1900</v>
      </c>
      <c r="B990" s="228">
        <f t="shared" si="32"/>
        <v>1</v>
      </c>
      <c r="BA990" s="452" t="s">
        <v>4</v>
      </c>
      <c r="BB990" s="1818">
        <v>2018</v>
      </c>
      <c r="BC990" s="452" t="s">
        <v>20</v>
      </c>
      <c r="BD990" s="452">
        <v>1</v>
      </c>
      <c r="BE990" s="1819">
        <v>17155691057.169285</v>
      </c>
      <c r="BF990" s="1820">
        <v>0.50778680240504515</v>
      </c>
      <c r="BH990" s="452" t="s">
        <v>280</v>
      </c>
      <c r="BI990" s="452" t="s">
        <v>353</v>
      </c>
      <c r="BJ990" s="452" t="s">
        <v>26</v>
      </c>
      <c r="BK990" s="452">
        <v>4</v>
      </c>
      <c r="BL990" s="1819">
        <v>96490586.5</v>
      </c>
      <c r="BM990" s="1820">
        <v>9.5722665207224972E-2</v>
      </c>
      <c r="BN990" s="452">
        <f t="shared" si="33"/>
        <v>2017</v>
      </c>
    </row>
    <row r="991" spans="1:66">
      <c r="A991" s="228">
        <f t="shared" si="31"/>
        <v>1900</v>
      </c>
      <c r="B991" s="228">
        <f t="shared" si="32"/>
        <v>1</v>
      </c>
      <c r="BA991" s="452" t="s">
        <v>4</v>
      </c>
      <c r="BB991" s="1818">
        <v>2018</v>
      </c>
      <c r="BC991" s="452" t="s">
        <v>15</v>
      </c>
      <c r="BD991" s="452">
        <v>2</v>
      </c>
      <c r="BE991" s="1819">
        <v>4062799440.0511003</v>
      </c>
      <c r="BF991" s="1820">
        <v>0.12025373560305651</v>
      </c>
      <c r="BH991" s="452" t="s">
        <v>280</v>
      </c>
      <c r="BI991" s="452" t="s">
        <v>353</v>
      </c>
      <c r="BJ991" s="452" t="s">
        <v>23</v>
      </c>
      <c r="BK991" s="452">
        <v>5</v>
      </c>
      <c r="BL991" s="1819">
        <v>72449178.929999992</v>
      </c>
      <c r="BM991" s="1820">
        <v>7.1872591418591147E-2</v>
      </c>
      <c r="BN991" s="452">
        <f t="shared" si="33"/>
        <v>2017</v>
      </c>
    </row>
    <row r="992" spans="1:66">
      <c r="A992" s="228">
        <f t="shared" si="31"/>
        <v>1900</v>
      </c>
      <c r="B992" s="228">
        <f t="shared" si="32"/>
        <v>1</v>
      </c>
      <c r="BA992" s="452" t="s">
        <v>4</v>
      </c>
      <c r="BB992" s="1818">
        <v>2018</v>
      </c>
      <c r="BC992" s="452" t="s">
        <v>49</v>
      </c>
      <c r="BD992" s="452">
        <v>3</v>
      </c>
      <c r="BE992" s="1819">
        <v>4047099474.4535003</v>
      </c>
      <c r="BF992" s="1820">
        <v>0.11978903643692511</v>
      </c>
      <c r="BH992" s="452" t="s">
        <v>280</v>
      </c>
      <c r="BI992" s="452" t="s">
        <v>353</v>
      </c>
      <c r="BJ992" s="452" t="s">
        <v>583</v>
      </c>
      <c r="BK992" s="452">
        <v>6</v>
      </c>
      <c r="BL992" s="1819">
        <v>62005005.68</v>
      </c>
      <c r="BM992" s="1820">
        <v>6.1511538225324423E-2</v>
      </c>
      <c r="BN992" s="452">
        <f t="shared" si="33"/>
        <v>2017</v>
      </c>
    </row>
    <row r="993" spans="1:66">
      <c r="A993" s="228">
        <f t="shared" si="31"/>
        <v>1900</v>
      </c>
      <c r="B993" s="228">
        <f t="shared" si="32"/>
        <v>1</v>
      </c>
      <c r="BA993" s="452" t="s">
        <v>4</v>
      </c>
      <c r="BB993" s="1818">
        <v>2018</v>
      </c>
      <c r="BC993" s="452" t="s">
        <v>581</v>
      </c>
      <c r="BD993" s="452">
        <v>4</v>
      </c>
      <c r="BE993" s="1819">
        <v>3123236534.3716006</v>
      </c>
      <c r="BF993" s="1820">
        <v>9.244385945504735E-2</v>
      </c>
      <c r="BH993" s="452" t="s">
        <v>280</v>
      </c>
      <c r="BI993" s="452" t="s">
        <v>353</v>
      </c>
      <c r="BJ993" s="452" t="s">
        <v>51</v>
      </c>
      <c r="BK993" s="452">
        <v>7</v>
      </c>
      <c r="BL993" s="1819">
        <v>52313733.399999991</v>
      </c>
      <c r="BM993" s="1820">
        <v>5.1897394032196308E-2</v>
      </c>
      <c r="BN993" s="452">
        <f t="shared" si="33"/>
        <v>2017</v>
      </c>
    </row>
    <row r="994" spans="1:66">
      <c r="A994" s="228">
        <f t="shared" si="31"/>
        <v>1900</v>
      </c>
      <c r="B994" s="228">
        <f t="shared" si="32"/>
        <v>1</v>
      </c>
      <c r="BA994" s="452" t="s">
        <v>4</v>
      </c>
      <c r="BB994" s="1818">
        <v>2018</v>
      </c>
      <c r="BC994" s="452" t="s">
        <v>583</v>
      </c>
      <c r="BD994" s="452">
        <v>5</v>
      </c>
      <c r="BE994" s="1819">
        <v>1128269839.5990002</v>
      </c>
      <c r="BF994" s="1820">
        <v>3.3395363217420995E-2</v>
      </c>
      <c r="BH994" s="452" t="s">
        <v>280</v>
      </c>
      <c r="BI994" s="452" t="s">
        <v>353</v>
      </c>
      <c r="BJ994" s="452" t="s">
        <v>54</v>
      </c>
      <c r="BK994" s="452">
        <v>8</v>
      </c>
      <c r="BL994" s="1819">
        <v>45668295.689999998</v>
      </c>
      <c r="BM994" s="1820">
        <v>4.5304844104335759E-2</v>
      </c>
      <c r="BN994" s="452">
        <f t="shared" si="33"/>
        <v>2017</v>
      </c>
    </row>
    <row r="995" spans="1:66">
      <c r="A995" s="228">
        <f t="shared" si="31"/>
        <v>1900</v>
      </c>
      <c r="B995" s="228">
        <f t="shared" si="32"/>
        <v>1</v>
      </c>
      <c r="BA995" s="452" t="s">
        <v>4</v>
      </c>
      <c r="BB995" s="1818">
        <v>2018</v>
      </c>
      <c r="BC995" s="452" t="s">
        <v>28</v>
      </c>
      <c r="BD995" s="452">
        <v>6</v>
      </c>
      <c r="BE995" s="1819">
        <v>972422002.8132</v>
      </c>
      <c r="BF995" s="1820">
        <v>2.8782463950379599E-2</v>
      </c>
      <c r="BH995" s="452" t="s">
        <v>280</v>
      </c>
      <c r="BI995" s="452" t="s">
        <v>353</v>
      </c>
      <c r="BJ995" s="452" t="s">
        <v>20</v>
      </c>
      <c r="BK995" s="452">
        <v>9</v>
      </c>
      <c r="BL995" s="1819">
        <v>36690745.719999999</v>
      </c>
      <c r="BM995" s="1820">
        <v>3.639874205510174E-2</v>
      </c>
      <c r="BN995" s="452">
        <f t="shared" si="33"/>
        <v>2017</v>
      </c>
    </row>
    <row r="996" spans="1:66">
      <c r="A996" s="228">
        <f t="shared" si="31"/>
        <v>1900</v>
      </c>
      <c r="B996" s="228">
        <f t="shared" si="32"/>
        <v>1</v>
      </c>
      <c r="BA996" s="452" t="s">
        <v>4</v>
      </c>
      <c r="BB996" s="1818">
        <v>2018</v>
      </c>
      <c r="BC996" s="452" t="s">
        <v>21</v>
      </c>
      <c r="BD996" s="452">
        <v>7</v>
      </c>
      <c r="BE996" s="1819">
        <v>874233343.37600029</v>
      </c>
      <c r="BF996" s="1820">
        <v>2.5876203558891739E-2</v>
      </c>
      <c r="BH996" s="452" t="s">
        <v>280</v>
      </c>
      <c r="BI996" s="452" t="s">
        <v>353</v>
      </c>
      <c r="BJ996" s="452" t="s">
        <v>52</v>
      </c>
      <c r="BK996" s="452">
        <v>10</v>
      </c>
      <c r="BL996" s="1819">
        <v>22922907.990000002</v>
      </c>
      <c r="BM996" s="1820">
        <v>2.2740475798670706E-2</v>
      </c>
      <c r="BN996" s="452">
        <f t="shared" si="33"/>
        <v>2017</v>
      </c>
    </row>
    <row r="997" spans="1:66">
      <c r="A997" s="228">
        <f t="shared" si="31"/>
        <v>1900</v>
      </c>
      <c r="B997" s="228">
        <f t="shared" si="32"/>
        <v>1</v>
      </c>
      <c r="BA997" s="452" t="s">
        <v>4</v>
      </c>
      <c r="BB997" s="1818">
        <v>2018</v>
      </c>
      <c r="BC997" s="452" t="s">
        <v>18</v>
      </c>
      <c r="BD997" s="452">
        <v>8</v>
      </c>
      <c r="BE997" s="1819">
        <v>838450450.84820008</v>
      </c>
      <c r="BF997" s="1820">
        <v>2.4817075103095616E-2</v>
      </c>
      <c r="BH997" s="452" t="s">
        <v>280</v>
      </c>
      <c r="BI997" s="452" t="s">
        <v>353</v>
      </c>
      <c r="BJ997" s="452" t="s">
        <v>32</v>
      </c>
      <c r="BL997" s="1819">
        <v>76880227.190000176</v>
      </c>
      <c r="BM997" s="1820">
        <v>7.6268375136923652E-2</v>
      </c>
      <c r="BN997" s="452">
        <f t="shared" si="33"/>
        <v>2017</v>
      </c>
    </row>
    <row r="998" spans="1:66">
      <c r="A998" s="228">
        <f t="shared" si="31"/>
        <v>1900</v>
      </c>
      <c r="B998" s="228">
        <f t="shared" si="32"/>
        <v>1</v>
      </c>
      <c r="BA998" s="452" t="s">
        <v>4</v>
      </c>
      <c r="BB998" s="1818">
        <v>2018</v>
      </c>
      <c r="BC998" s="452" t="s">
        <v>19</v>
      </c>
      <c r="BD998" s="452">
        <v>9</v>
      </c>
      <c r="BE998" s="1819">
        <v>676750721.11200023</v>
      </c>
      <c r="BF998" s="1820">
        <v>2.003096719063167E-2</v>
      </c>
      <c r="BH998" s="452" t="s">
        <v>280</v>
      </c>
      <c r="BI998" s="452" t="s">
        <v>353</v>
      </c>
      <c r="BJ998" s="452" t="s">
        <v>249</v>
      </c>
      <c r="BL998" s="1819">
        <v>1008022355.9499999</v>
      </c>
      <c r="BN998" s="452">
        <f t="shared" si="33"/>
        <v>2017</v>
      </c>
    </row>
    <row r="999" spans="1:66">
      <c r="A999" s="228">
        <f t="shared" si="31"/>
        <v>1900</v>
      </c>
      <c r="B999" s="228">
        <f t="shared" si="32"/>
        <v>1</v>
      </c>
      <c r="BA999" s="452" t="s">
        <v>4</v>
      </c>
      <c r="BB999" s="1818">
        <v>2018</v>
      </c>
      <c r="BC999" s="452" t="s">
        <v>73</v>
      </c>
      <c r="BD999" s="452">
        <v>10</v>
      </c>
      <c r="BE999" s="1819">
        <v>359232314.81600004</v>
      </c>
      <c r="BF999" s="1820">
        <v>1.0632823117011626E-2</v>
      </c>
      <c r="BH999" s="452" t="s">
        <v>0</v>
      </c>
      <c r="BI999" s="452" t="s">
        <v>353</v>
      </c>
      <c r="BJ999" s="452" t="s">
        <v>29</v>
      </c>
      <c r="BK999" s="452">
        <v>1</v>
      </c>
      <c r="BL999" s="1819">
        <v>1811920569</v>
      </c>
      <c r="BM999" s="1820">
        <v>0.27584234566108368</v>
      </c>
      <c r="BN999" s="452">
        <f t="shared" si="33"/>
        <v>2017</v>
      </c>
    </row>
    <row r="1000" spans="1:66">
      <c r="A1000" s="228">
        <f t="shared" si="31"/>
        <v>1900</v>
      </c>
      <c r="B1000" s="228">
        <f t="shared" si="32"/>
        <v>1</v>
      </c>
      <c r="BA1000" s="452" t="s">
        <v>4</v>
      </c>
      <c r="BB1000" s="1818">
        <v>2018</v>
      </c>
      <c r="BC1000" s="452" t="s">
        <v>32</v>
      </c>
      <c r="BE1000" s="1819">
        <v>547039202.79249191</v>
      </c>
      <c r="BF1000" s="1820">
        <v>1.6191669962494562E-2</v>
      </c>
      <c r="BH1000" s="452" t="s">
        <v>0</v>
      </c>
      <c r="BI1000" s="452" t="s">
        <v>353</v>
      </c>
      <c r="BJ1000" s="452" t="s">
        <v>14</v>
      </c>
      <c r="BK1000" s="452">
        <v>2</v>
      </c>
      <c r="BL1000" s="1819">
        <v>801226013.67999995</v>
      </c>
      <c r="BM1000" s="1820">
        <v>0.12197668418773312</v>
      </c>
      <c r="BN1000" s="452">
        <f t="shared" si="33"/>
        <v>2017</v>
      </c>
    </row>
    <row r="1001" spans="1:66">
      <c r="A1001" s="228">
        <f t="shared" si="31"/>
        <v>1900</v>
      </c>
      <c r="B1001" s="228">
        <f t="shared" si="32"/>
        <v>1</v>
      </c>
      <c r="BA1001" s="452" t="s">
        <v>4</v>
      </c>
      <c r="BB1001" s="1818">
        <v>2018</v>
      </c>
      <c r="BC1001" s="452" t="s">
        <v>249</v>
      </c>
      <c r="BE1001" s="1819">
        <v>33785224381.402382</v>
      </c>
      <c r="BH1001" s="452" t="s">
        <v>0</v>
      </c>
      <c r="BI1001" s="452" t="s">
        <v>353</v>
      </c>
      <c r="BJ1001" s="452" t="s">
        <v>27</v>
      </c>
      <c r="BK1001" s="452">
        <v>3</v>
      </c>
      <c r="BL1001" s="1819">
        <v>746048839.8599999</v>
      </c>
      <c r="BM1001" s="1820">
        <v>0.11357664650735171</v>
      </c>
      <c r="BN1001" s="452">
        <f t="shared" si="33"/>
        <v>2017</v>
      </c>
    </row>
    <row r="1002" spans="1:66">
      <c r="A1002" s="228">
        <f t="shared" si="31"/>
        <v>1900</v>
      </c>
      <c r="B1002" s="228">
        <f t="shared" si="32"/>
        <v>1</v>
      </c>
      <c r="BA1002" s="452" t="s">
        <v>2</v>
      </c>
      <c r="BB1002" s="1818">
        <v>2018</v>
      </c>
      <c r="BC1002" s="452" t="s">
        <v>15</v>
      </c>
      <c r="BD1002" s="452">
        <v>1</v>
      </c>
      <c r="BE1002" s="1819">
        <v>50660973000</v>
      </c>
      <c r="BF1002" s="1820">
        <v>0.81270321200577977</v>
      </c>
      <c r="BH1002" s="452" t="s">
        <v>0</v>
      </c>
      <c r="BI1002" s="452" t="s">
        <v>353</v>
      </c>
      <c r="BJ1002" s="452" t="s">
        <v>18</v>
      </c>
      <c r="BK1002" s="452">
        <v>4</v>
      </c>
      <c r="BL1002" s="1819">
        <v>656964081.34000003</v>
      </c>
      <c r="BM1002" s="1820">
        <v>0.1000146012536958</v>
      </c>
      <c r="BN1002" s="452">
        <f t="shared" si="33"/>
        <v>2017</v>
      </c>
    </row>
    <row r="1003" spans="1:66">
      <c r="A1003" s="228">
        <f t="shared" si="31"/>
        <v>1900</v>
      </c>
      <c r="B1003" s="228">
        <f t="shared" si="32"/>
        <v>1</v>
      </c>
      <c r="BA1003" s="452" t="s">
        <v>2</v>
      </c>
      <c r="BB1003" s="1818">
        <v>2018</v>
      </c>
      <c r="BC1003" s="452" t="s">
        <v>358</v>
      </c>
      <c r="BD1003" s="452">
        <v>2</v>
      </c>
      <c r="BE1003" s="1819">
        <v>5102286000</v>
      </c>
      <c r="BF1003" s="1820">
        <v>8.18508602425011E-2</v>
      </c>
      <c r="BH1003" s="452" t="s">
        <v>0</v>
      </c>
      <c r="BI1003" s="452" t="s">
        <v>353</v>
      </c>
      <c r="BJ1003" s="452" t="s">
        <v>22</v>
      </c>
      <c r="BK1003" s="452">
        <v>5</v>
      </c>
      <c r="BL1003" s="1819">
        <v>552007697.13000011</v>
      </c>
      <c r="BM1003" s="1820">
        <v>8.4036298612884877E-2</v>
      </c>
      <c r="BN1003" s="452">
        <f t="shared" si="33"/>
        <v>2017</v>
      </c>
    </row>
    <row r="1004" spans="1:66">
      <c r="A1004" s="228">
        <f t="shared" si="31"/>
        <v>1900</v>
      </c>
      <c r="B1004" s="228">
        <f t="shared" si="32"/>
        <v>1</v>
      </c>
      <c r="BA1004" s="452" t="s">
        <v>2</v>
      </c>
      <c r="BB1004" s="1818">
        <v>2018</v>
      </c>
      <c r="BC1004" s="452" t="s">
        <v>581</v>
      </c>
      <c r="BD1004" s="452">
        <v>3</v>
      </c>
      <c r="BE1004" s="1819">
        <v>3736593000</v>
      </c>
      <c r="BF1004" s="1820">
        <v>5.9942416286760079E-2</v>
      </c>
      <c r="BH1004" s="452" t="s">
        <v>0</v>
      </c>
      <c r="BI1004" s="452" t="s">
        <v>353</v>
      </c>
      <c r="BJ1004" s="452" t="s">
        <v>250</v>
      </c>
      <c r="BK1004" s="452">
        <v>6</v>
      </c>
      <c r="BL1004" s="1819">
        <v>317856916.91999996</v>
      </c>
      <c r="BM1004" s="1820">
        <v>4.8389757833701696E-2</v>
      </c>
      <c r="BN1004" s="452">
        <f t="shared" si="33"/>
        <v>2017</v>
      </c>
    </row>
    <row r="1005" spans="1:66">
      <c r="A1005" s="228">
        <f t="shared" si="31"/>
        <v>1900</v>
      </c>
      <c r="B1005" s="228">
        <f t="shared" si="32"/>
        <v>1</v>
      </c>
      <c r="BA1005" s="452" t="s">
        <v>2</v>
      </c>
      <c r="BB1005" s="1818">
        <v>2018</v>
      </c>
      <c r="BC1005" s="452" t="s">
        <v>583</v>
      </c>
      <c r="BD1005" s="452">
        <v>4</v>
      </c>
      <c r="BE1005" s="1819">
        <v>1425982000</v>
      </c>
      <c r="BF1005" s="1820">
        <v>2.287559995467173E-2</v>
      </c>
      <c r="BH1005" s="452" t="s">
        <v>0</v>
      </c>
      <c r="BI1005" s="452" t="s">
        <v>353</v>
      </c>
      <c r="BJ1005" s="452" t="s">
        <v>21</v>
      </c>
      <c r="BK1005" s="452">
        <v>7</v>
      </c>
      <c r="BL1005" s="1819">
        <v>299269768.27000004</v>
      </c>
      <c r="BM1005" s="1820">
        <v>4.5560095887981371E-2</v>
      </c>
      <c r="BN1005" s="452">
        <f t="shared" si="33"/>
        <v>2017</v>
      </c>
    </row>
    <row r="1006" spans="1:66">
      <c r="A1006" s="228">
        <f t="shared" si="31"/>
        <v>1900</v>
      </c>
      <c r="B1006" s="228">
        <f t="shared" si="32"/>
        <v>1</v>
      </c>
      <c r="BA1006" s="452" t="s">
        <v>2</v>
      </c>
      <c r="BB1006" s="1818">
        <v>2018</v>
      </c>
      <c r="BC1006" s="452" t="s">
        <v>356</v>
      </c>
      <c r="BD1006" s="452">
        <v>5</v>
      </c>
      <c r="BE1006" s="1819">
        <v>439847000</v>
      </c>
      <c r="BF1006" s="1820">
        <v>7.0560245594001167E-3</v>
      </c>
      <c r="BH1006" s="452" t="s">
        <v>0</v>
      </c>
      <c r="BI1006" s="452" t="s">
        <v>353</v>
      </c>
      <c r="BJ1006" s="452" t="s">
        <v>13</v>
      </c>
      <c r="BK1006" s="452">
        <v>8</v>
      </c>
      <c r="BL1006" s="1819">
        <v>231378099.76999998</v>
      </c>
      <c r="BM1006" s="1820">
        <v>3.5224434705979121E-2</v>
      </c>
      <c r="BN1006" s="452">
        <f t="shared" si="33"/>
        <v>2017</v>
      </c>
    </row>
    <row r="1007" spans="1:66">
      <c r="A1007" s="228">
        <f t="shared" si="31"/>
        <v>1900</v>
      </c>
      <c r="B1007" s="228">
        <f t="shared" si="32"/>
        <v>1</v>
      </c>
      <c r="BA1007" s="452" t="s">
        <v>2</v>
      </c>
      <c r="BB1007" s="1818">
        <v>2018</v>
      </c>
      <c r="BC1007" s="452" t="s">
        <v>32</v>
      </c>
      <c r="BE1007" s="1819">
        <v>1001666000</v>
      </c>
      <c r="BH1007" s="452" t="s">
        <v>0</v>
      </c>
      <c r="BI1007" s="452" t="s">
        <v>353</v>
      </c>
      <c r="BJ1007" s="452" t="s">
        <v>431</v>
      </c>
      <c r="BK1007" s="452">
        <v>9</v>
      </c>
      <c r="BL1007" s="1819">
        <v>213832835.59999999</v>
      </c>
      <c r="BM1007" s="1820">
        <v>3.2553386699406071E-2</v>
      </c>
      <c r="BN1007" s="452">
        <f t="shared" si="33"/>
        <v>2017</v>
      </c>
    </row>
    <row r="1008" spans="1:66">
      <c r="A1008" s="228">
        <f t="shared" si="31"/>
        <v>1900</v>
      </c>
      <c r="B1008" s="228">
        <f t="shared" si="32"/>
        <v>1</v>
      </c>
      <c r="BA1008" s="452" t="s">
        <v>2</v>
      </c>
      <c r="BB1008" s="1818">
        <v>2018</v>
      </c>
      <c r="BC1008" s="452" t="s">
        <v>249</v>
      </c>
      <c r="BE1008" s="1819">
        <v>62336376000</v>
      </c>
      <c r="BH1008" s="452" t="s">
        <v>0</v>
      </c>
      <c r="BI1008" s="452" t="s">
        <v>353</v>
      </c>
      <c r="BJ1008" s="452" t="s">
        <v>15</v>
      </c>
      <c r="BK1008" s="452">
        <v>10</v>
      </c>
      <c r="BL1008" s="1819">
        <v>196364807.43999997</v>
      </c>
      <c r="BM1008" s="1820">
        <v>2.9894096913658144E-2</v>
      </c>
      <c r="BN1008" s="452">
        <f t="shared" si="33"/>
        <v>2017</v>
      </c>
    </row>
    <row r="1009" spans="1:66">
      <c r="A1009" s="228">
        <f t="shared" si="31"/>
        <v>1900</v>
      </c>
      <c r="B1009" s="228">
        <f t="shared" si="32"/>
        <v>1</v>
      </c>
      <c r="BA1009" s="946" t="s">
        <v>280</v>
      </c>
      <c r="BB1009" s="1818">
        <v>2018</v>
      </c>
      <c r="BC1009" s="452" t="s">
        <v>15</v>
      </c>
      <c r="BD1009" s="452">
        <v>1</v>
      </c>
      <c r="BE1009" s="1819">
        <v>497274488.33000004</v>
      </c>
      <c r="BF1009" s="1820">
        <v>0.34690250808418993</v>
      </c>
      <c r="BH1009" s="452" t="s">
        <v>0</v>
      </c>
      <c r="BI1009" s="452" t="s">
        <v>353</v>
      </c>
      <c r="BJ1009" s="452" t="s">
        <v>32</v>
      </c>
      <c r="BL1009" s="1819">
        <v>741812074.50999928</v>
      </c>
      <c r="BM1009" s="1820">
        <v>0.11293165173652421</v>
      </c>
      <c r="BN1009" s="452">
        <f t="shared" si="33"/>
        <v>2017</v>
      </c>
    </row>
    <row r="1010" spans="1:66">
      <c r="A1010" s="228">
        <f t="shared" si="31"/>
        <v>1900</v>
      </c>
      <c r="B1010" s="228">
        <f t="shared" si="32"/>
        <v>1</v>
      </c>
      <c r="BA1010" s="946" t="s">
        <v>280</v>
      </c>
      <c r="BB1010" s="1818">
        <v>2018</v>
      </c>
      <c r="BC1010" s="452" t="s">
        <v>431</v>
      </c>
      <c r="BD1010" s="452">
        <v>2</v>
      </c>
      <c r="BE1010" s="1819">
        <v>152671738.78999999</v>
      </c>
      <c r="BF1010" s="1820">
        <v>0.10650497932779263</v>
      </c>
      <c r="BH1010" s="452" t="s">
        <v>0</v>
      </c>
      <c r="BI1010" s="452" t="s">
        <v>353</v>
      </c>
      <c r="BJ1010" s="452" t="s">
        <v>249</v>
      </c>
      <c r="BL1010" s="1819">
        <v>6568681703.5200005</v>
      </c>
      <c r="BN1010" s="452">
        <f t="shared" si="33"/>
        <v>2017</v>
      </c>
    </row>
    <row r="1011" spans="1:66">
      <c r="A1011" s="228">
        <f t="shared" si="31"/>
        <v>1900</v>
      </c>
      <c r="B1011" s="228">
        <f t="shared" si="32"/>
        <v>1</v>
      </c>
      <c r="BA1011" s="946" t="s">
        <v>280</v>
      </c>
      <c r="BB1011" s="1818">
        <v>2018</v>
      </c>
      <c r="BC1011" s="452" t="s">
        <v>21</v>
      </c>
      <c r="BD1011" s="452">
        <v>3</v>
      </c>
      <c r="BE1011" s="1819">
        <v>133353205.06000002</v>
      </c>
      <c r="BF1011" s="1820">
        <v>9.3028221599978755E-2</v>
      </c>
      <c r="BH1011" s="452" t="s">
        <v>1</v>
      </c>
      <c r="BI1011" s="452" t="s">
        <v>353</v>
      </c>
      <c r="BJ1011" s="452" t="s">
        <v>592</v>
      </c>
      <c r="BK1011" s="452">
        <v>1</v>
      </c>
      <c r="BL1011" s="1819">
        <v>7831646000</v>
      </c>
      <c r="BM1011" s="1820">
        <v>0.44246215102483033</v>
      </c>
      <c r="BN1011" s="452">
        <f t="shared" si="33"/>
        <v>2017</v>
      </c>
    </row>
    <row r="1012" spans="1:66">
      <c r="A1012" s="228">
        <f t="shared" si="31"/>
        <v>1900</v>
      </c>
      <c r="B1012" s="228">
        <f t="shared" si="32"/>
        <v>1</v>
      </c>
      <c r="BA1012" s="946" t="s">
        <v>280</v>
      </c>
      <c r="BB1012" s="1818">
        <v>2018</v>
      </c>
      <c r="BC1012" s="452" t="s">
        <v>54</v>
      </c>
      <c r="BD1012" s="452">
        <v>4</v>
      </c>
      <c r="BE1012" s="1819">
        <v>104300570.58</v>
      </c>
      <c r="BF1012" s="1820">
        <v>7.2760880314461221E-2</v>
      </c>
      <c r="BH1012" s="452" t="s">
        <v>1</v>
      </c>
      <c r="BI1012" s="452" t="s">
        <v>353</v>
      </c>
      <c r="BJ1012" s="452" t="s">
        <v>51</v>
      </c>
      <c r="BK1012" s="452">
        <v>2</v>
      </c>
      <c r="BL1012" s="1819">
        <v>3262126000</v>
      </c>
      <c r="BM1012" s="1820">
        <v>0.1842993525082755</v>
      </c>
      <c r="BN1012" s="452">
        <f t="shared" si="33"/>
        <v>2017</v>
      </c>
    </row>
    <row r="1013" spans="1:66">
      <c r="A1013" s="228">
        <f t="shared" si="31"/>
        <v>1900</v>
      </c>
      <c r="B1013" s="228">
        <f t="shared" si="32"/>
        <v>1</v>
      </c>
      <c r="BA1013" s="946" t="s">
        <v>280</v>
      </c>
      <c r="BB1013" s="1818">
        <v>2018</v>
      </c>
      <c r="BC1013" s="452" t="s">
        <v>26</v>
      </c>
      <c r="BD1013" s="452">
        <v>5</v>
      </c>
      <c r="BE1013" s="1819">
        <v>104159490.41</v>
      </c>
      <c r="BF1013" s="1820">
        <v>7.2662461702683437E-2</v>
      </c>
      <c r="BH1013" s="452" t="s">
        <v>1</v>
      </c>
      <c r="BI1013" s="452" t="s">
        <v>353</v>
      </c>
      <c r="BJ1013" s="452" t="s">
        <v>15</v>
      </c>
      <c r="BK1013" s="452">
        <v>3</v>
      </c>
      <c r="BL1013" s="1819">
        <v>2941209000</v>
      </c>
      <c r="BM1013" s="1820">
        <v>0.166168601179572</v>
      </c>
      <c r="BN1013" s="452">
        <f t="shared" si="33"/>
        <v>2017</v>
      </c>
    </row>
    <row r="1014" spans="1:66">
      <c r="A1014" s="228">
        <f t="shared" si="31"/>
        <v>1900</v>
      </c>
      <c r="B1014" s="228">
        <f t="shared" si="32"/>
        <v>1</v>
      </c>
      <c r="BA1014" s="946" t="s">
        <v>280</v>
      </c>
      <c r="BB1014" s="1818">
        <v>2018</v>
      </c>
      <c r="BC1014" s="452" t="s">
        <v>23</v>
      </c>
      <c r="BD1014" s="452">
        <v>6</v>
      </c>
      <c r="BE1014" s="1819">
        <v>91812142.260000005</v>
      </c>
      <c r="BF1014" s="1820">
        <v>6.4048856657694303E-2</v>
      </c>
      <c r="BH1014" s="452" t="s">
        <v>1</v>
      </c>
      <c r="BI1014" s="452" t="s">
        <v>353</v>
      </c>
      <c r="BJ1014" s="452" t="s">
        <v>28</v>
      </c>
      <c r="BK1014" s="452">
        <v>4</v>
      </c>
      <c r="BL1014" s="1819">
        <v>1142513000</v>
      </c>
      <c r="BM1014" s="1820">
        <v>6.4548213690178546E-2</v>
      </c>
      <c r="BN1014" s="452">
        <f t="shared" si="33"/>
        <v>2017</v>
      </c>
    </row>
    <row r="1015" spans="1:66">
      <c r="A1015" s="228">
        <f t="shared" si="31"/>
        <v>1900</v>
      </c>
      <c r="B1015" s="228">
        <f t="shared" si="32"/>
        <v>1</v>
      </c>
      <c r="BA1015" s="946" t="s">
        <v>280</v>
      </c>
      <c r="BB1015" s="1818">
        <v>2018</v>
      </c>
      <c r="BC1015" s="452" t="s">
        <v>51</v>
      </c>
      <c r="BD1015" s="452">
        <v>7</v>
      </c>
      <c r="BE1015" s="1819">
        <v>70704398.099999994</v>
      </c>
      <c r="BF1015" s="1820">
        <v>4.9323931971342418E-2</v>
      </c>
      <c r="BH1015" s="452" t="s">
        <v>1</v>
      </c>
      <c r="BI1015" s="452" t="s">
        <v>353</v>
      </c>
      <c r="BJ1015" s="452" t="s">
        <v>49</v>
      </c>
      <c r="BK1015" s="452">
        <v>5</v>
      </c>
      <c r="BL1015" s="1819">
        <v>862700000</v>
      </c>
      <c r="BM1015" s="1820">
        <v>4.8739702699677839E-2</v>
      </c>
      <c r="BN1015" s="452">
        <f t="shared" si="33"/>
        <v>2017</v>
      </c>
    </row>
    <row r="1016" spans="1:66">
      <c r="A1016" s="228">
        <f t="shared" si="31"/>
        <v>1900</v>
      </c>
      <c r="B1016" s="228">
        <f t="shared" si="32"/>
        <v>1</v>
      </c>
      <c r="BA1016" s="946" t="s">
        <v>280</v>
      </c>
      <c r="BB1016" s="1818">
        <v>2018</v>
      </c>
      <c r="BC1016" s="452" t="s">
        <v>583</v>
      </c>
      <c r="BD1016" s="452">
        <v>8</v>
      </c>
      <c r="BE1016" s="1819">
        <v>63001491.090000004</v>
      </c>
      <c r="BF1016" s="1820">
        <v>4.3950324790563433E-2</v>
      </c>
      <c r="BH1016" s="452" t="s">
        <v>1</v>
      </c>
      <c r="BI1016" s="452" t="s">
        <v>353</v>
      </c>
      <c r="BJ1016" s="452" t="s">
        <v>18</v>
      </c>
      <c r="BK1016" s="452">
        <v>6</v>
      </c>
      <c r="BL1016" s="1819">
        <v>731920000</v>
      </c>
      <c r="BM1016" s="1820">
        <v>4.135106433284827E-2</v>
      </c>
      <c r="BN1016" s="452">
        <f t="shared" si="33"/>
        <v>2017</v>
      </c>
    </row>
    <row r="1017" spans="1:66">
      <c r="A1017" s="228">
        <f t="shared" si="31"/>
        <v>1900</v>
      </c>
      <c r="B1017" s="228">
        <f t="shared" si="32"/>
        <v>1</v>
      </c>
      <c r="BA1017" s="946" t="s">
        <v>280</v>
      </c>
      <c r="BB1017" s="1818">
        <v>2018</v>
      </c>
      <c r="BC1017" s="452" t="s">
        <v>42</v>
      </c>
      <c r="BD1017" s="452">
        <v>9</v>
      </c>
      <c r="BE1017" s="1819">
        <v>37609916.329999998</v>
      </c>
      <c r="BF1017" s="1820">
        <v>2.62369669265143E-2</v>
      </c>
      <c r="BH1017" s="452" t="s">
        <v>1</v>
      </c>
      <c r="BI1017" s="452" t="s">
        <v>353</v>
      </c>
      <c r="BJ1017" s="452" t="s">
        <v>55</v>
      </c>
      <c r="BK1017" s="452">
        <v>7</v>
      </c>
      <c r="BL1017" s="1819">
        <v>579967000</v>
      </c>
      <c r="BM1017" s="1820">
        <v>3.2766221346498273E-2</v>
      </c>
      <c r="BN1017" s="452">
        <f t="shared" si="33"/>
        <v>2017</v>
      </c>
    </row>
    <row r="1018" spans="1:66">
      <c r="A1018" s="228">
        <f t="shared" si="31"/>
        <v>1900</v>
      </c>
      <c r="B1018" s="228">
        <f t="shared" si="32"/>
        <v>1</v>
      </c>
      <c r="BA1018" s="946" t="s">
        <v>280</v>
      </c>
      <c r="BB1018" s="1818">
        <v>2018</v>
      </c>
      <c r="BC1018" s="452" t="s">
        <v>20</v>
      </c>
      <c r="BD1018" s="452">
        <v>10</v>
      </c>
      <c r="BE1018" s="1819">
        <v>35324554.43</v>
      </c>
      <c r="BF1018" s="1820">
        <v>2.464268088611736E-2</v>
      </c>
      <c r="BH1018" s="452" t="s">
        <v>1</v>
      </c>
      <c r="BI1018" s="452" t="s">
        <v>353</v>
      </c>
      <c r="BJ1018" s="452" t="s">
        <v>581</v>
      </c>
      <c r="BK1018" s="452">
        <v>8</v>
      </c>
      <c r="BL1018" s="1819">
        <v>142103000</v>
      </c>
      <c r="BM1018" s="1820">
        <v>8.0283504958065608E-3</v>
      </c>
      <c r="BN1018" s="452">
        <f t="shared" si="33"/>
        <v>2017</v>
      </c>
    </row>
    <row r="1019" spans="1:66">
      <c r="A1019" s="228">
        <f t="shared" si="31"/>
        <v>1900</v>
      </c>
      <c r="B1019" s="228">
        <f t="shared" si="32"/>
        <v>1</v>
      </c>
      <c r="BA1019" s="946" t="s">
        <v>280</v>
      </c>
      <c r="BB1019" s="1818">
        <v>2018</v>
      </c>
      <c r="BC1019" s="452" t="s">
        <v>32</v>
      </c>
      <c r="BE1019" s="1819">
        <v>143258437.21000099</v>
      </c>
      <c r="BF1019" s="1820">
        <v>9.9938187738662324E-2</v>
      </c>
      <c r="BH1019" s="452" t="s">
        <v>1</v>
      </c>
      <c r="BI1019" s="452" t="s">
        <v>353</v>
      </c>
      <c r="BJ1019" s="452" t="s">
        <v>241</v>
      </c>
      <c r="BK1019" s="452">
        <v>9</v>
      </c>
      <c r="BL1019" s="1819">
        <v>99514000</v>
      </c>
      <c r="BM1019" s="1820">
        <v>5.6222125587756348E-3</v>
      </c>
      <c r="BN1019" s="452">
        <f t="shared" si="33"/>
        <v>2017</v>
      </c>
    </row>
    <row r="1020" spans="1:66">
      <c r="A1020" s="228">
        <f t="shared" si="31"/>
        <v>1900</v>
      </c>
      <c r="B1020" s="228">
        <f t="shared" si="32"/>
        <v>1</v>
      </c>
      <c r="BA1020" s="946" t="s">
        <v>280</v>
      </c>
      <c r="BB1020" s="1818">
        <v>2018</v>
      </c>
      <c r="BC1020" s="452" t="s">
        <v>249</v>
      </c>
      <c r="BE1020" s="1819">
        <v>1433470432.5900009</v>
      </c>
      <c r="BF1020" s="1820">
        <v>1</v>
      </c>
      <c r="BH1020" s="452" t="s">
        <v>1</v>
      </c>
      <c r="BI1020" s="452" t="s">
        <v>353</v>
      </c>
      <c r="BJ1020" s="452" t="s">
        <v>431</v>
      </c>
      <c r="BK1020" s="452">
        <v>10</v>
      </c>
      <c r="BL1020" s="1819">
        <v>61383000</v>
      </c>
      <c r="BM1020" s="1820">
        <v>3.4679369083277208E-3</v>
      </c>
      <c r="BN1020" s="452">
        <f t="shared" si="33"/>
        <v>2017</v>
      </c>
    </row>
    <row r="1021" spans="1:66">
      <c r="A1021" s="228">
        <f t="shared" si="31"/>
        <v>1900</v>
      </c>
      <c r="B1021" s="228">
        <f t="shared" si="32"/>
        <v>1</v>
      </c>
      <c r="BA1021" s="452" t="s">
        <v>228</v>
      </c>
      <c r="BB1021" s="1818">
        <v>2019</v>
      </c>
      <c r="BC1021" s="452" t="s">
        <v>15</v>
      </c>
      <c r="BD1021" s="452">
        <v>1</v>
      </c>
      <c r="BE1021" s="1897">
        <v>1368600228.1699998</v>
      </c>
      <c r="BF1021" s="1820">
        <v>0.31570715793888132</v>
      </c>
      <c r="BH1021" s="452" t="s">
        <v>1</v>
      </c>
      <c r="BI1021" s="452" t="s">
        <v>353</v>
      </c>
      <c r="BJ1021" s="452" t="s">
        <v>32</v>
      </c>
      <c r="BL1021" s="1819">
        <v>45068000</v>
      </c>
      <c r="BM1021" s="1820">
        <v>2.5461932552093207E-3</v>
      </c>
      <c r="BN1021" s="452">
        <f t="shared" si="33"/>
        <v>2017</v>
      </c>
    </row>
    <row r="1022" spans="1:66">
      <c r="A1022" s="228">
        <f t="shared" si="31"/>
        <v>1900</v>
      </c>
      <c r="B1022" s="228">
        <f t="shared" si="32"/>
        <v>1</v>
      </c>
      <c r="BA1022" s="452" t="s">
        <v>228</v>
      </c>
      <c r="BB1022" s="1818">
        <v>2019</v>
      </c>
      <c r="BC1022" s="452" t="s">
        <v>53</v>
      </c>
      <c r="BD1022" s="452">
        <v>2</v>
      </c>
      <c r="BE1022" s="1819">
        <v>924469747.8499999</v>
      </c>
      <c r="BF1022" s="1820">
        <v>0.21325563936552572</v>
      </c>
      <c r="BH1022" s="452" t="s">
        <v>1</v>
      </c>
      <c r="BI1022" s="452" t="s">
        <v>353</v>
      </c>
      <c r="BJ1022" s="452" t="s">
        <v>70</v>
      </c>
      <c r="BL1022" s="1819">
        <v>17700149000</v>
      </c>
      <c r="BN1022" s="452">
        <f t="shared" si="33"/>
        <v>2017</v>
      </c>
    </row>
    <row r="1023" spans="1:66">
      <c r="A1023" s="228">
        <f t="shared" si="31"/>
        <v>1900</v>
      </c>
      <c r="B1023" s="228">
        <f t="shared" si="32"/>
        <v>1</v>
      </c>
      <c r="BA1023" s="452" t="s">
        <v>228</v>
      </c>
      <c r="BB1023" s="1818">
        <v>2019</v>
      </c>
      <c r="BC1023" s="452" t="s">
        <v>581</v>
      </c>
      <c r="BD1023" s="452">
        <v>3</v>
      </c>
      <c r="BE1023" s="1819">
        <v>792521389.20000005</v>
      </c>
      <c r="BF1023" s="1820">
        <v>0.18281794072522034</v>
      </c>
      <c r="BH1023" s="452" t="s">
        <v>2</v>
      </c>
      <c r="BI1023" s="452" t="s">
        <v>353</v>
      </c>
      <c r="BJ1023" s="452" t="s">
        <v>15</v>
      </c>
      <c r="BK1023" s="452">
        <v>1</v>
      </c>
      <c r="BL1023" s="1819">
        <v>49594679000</v>
      </c>
      <c r="BM1023" s="1820">
        <v>0.83017743113299725</v>
      </c>
      <c r="BN1023" s="452">
        <f t="shared" si="33"/>
        <v>2017</v>
      </c>
    </row>
    <row r="1024" spans="1:66">
      <c r="A1024" s="228">
        <f t="shared" si="31"/>
        <v>1900</v>
      </c>
      <c r="B1024" s="228">
        <f t="shared" si="32"/>
        <v>1</v>
      </c>
      <c r="BA1024" s="452" t="s">
        <v>228</v>
      </c>
      <c r="BB1024" s="1818">
        <v>2019</v>
      </c>
      <c r="BC1024" s="452" t="s">
        <v>20</v>
      </c>
      <c r="BD1024" s="452">
        <v>4</v>
      </c>
      <c r="BE1024" s="1819">
        <v>454873935.83999997</v>
      </c>
      <c r="BF1024" s="1820">
        <v>0.10492980678261395</v>
      </c>
      <c r="BH1024" s="452" t="s">
        <v>2</v>
      </c>
      <c r="BI1024" s="452" t="s">
        <v>353</v>
      </c>
      <c r="BJ1024" s="452" t="s">
        <v>20</v>
      </c>
      <c r="BK1024" s="452">
        <v>2</v>
      </c>
      <c r="BL1024" s="1819">
        <v>5283052000</v>
      </c>
      <c r="BM1024" s="1820">
        <v>7.8169816061696457E-2</v>
      </c>
      <c r="BN1024" s="452">
        <f t="shared" si="33"/>
        <v>2017</v>
      </c>
    </row>
    <row r="1025" spans="1:66">
      <c r="A1025" s="228">
        <f t="shared" si="31"/>
        <v>1900</v>
      </c>
      <c r="B1025" s="228">
        <f t="shared" si="32"/>
        <v>1</v>
      </c>
      <c r="BA1025" s="452" t="s">
        <v>228</v>
      </c>
      <c r="BB1025" s="1818">
        <v>2019</v>
      </c>
      <c r="BC1025" s="452" t="s">
        <v>46</v>
      </c>
      <c r="BD1025" s="452">
        <v>5</v>
      </c>
      <c r="BE1025" s="1819">
        <v>377132891.69000006</v>
      </c>
      <c r="BF1025" s="1820">
        <v>8.6996590348319358E-2</v>
      </c>
      <c r="BH1025" s="452" t="s">
        <v>2</v>
      </c>
      <c r="BI1025" s="452" t="s">
        <v>353</v>
      </c>
      <c r="BJ1025" s="452" t="s">
        <v>581</v>
      </c>
      <c r="BK1025" s="452">
        <v>3</v>
      </c>
      <c r="BL1025" s="1819">
        <v>3543117000</v>
      </c>
      <c r="BM1025" s="1820">
        <v>5.6560991748880102E-2</v>
      </c>
      <c r="BN1025" s="452">
        <f t="shared" si="33"/>
        <v>2017</v>
      </c>
    </row>
    <row r="1026" spans="1:66">
      <c r="A1026" s="228">
        <f t="shared" si="31"/>
        <v>1900</v>
      </c>
      <c r="B1026" s="228">
        <f t="shared" si="32"/>
        <v>1</v>
      </c>
      <c r="BA1026" s="452" t="s">
        <v>228</v>
      </c>
      <c r="BB1026" s="1818">
        <v>2019</v>
      </c>
      <c r="BC1026" s="452" t="s">
        <v>18</v>
      </c>
      <c r="BD1026" s="452">
        <v>6</v>
      </c>
      <c r="BE1026" s="1819">
        <v>154806579.99000001</v>
      </c>
      <c r="BF1026" s="1820">
        <v>3.571060737307593E-2</v>
      </c>
      <c r="BH1026" s="452" t="s">
        <v>2</v>
      </c>
      <c r="BI1026" s="452" t="s">
        <v>353</v>
      </c>
      <c r="BJ1026" s="452" t="s">
        <v>583</v>
      </c>
      <c r="BK1026" s="452">
        <v>4</v>
      </c>
      <c r="BL1026" s="1819">
        <v>1234003000</v>
      </c>
      <c r="BM1026" s="1820">
        <v>1.9968479378269399E-2</v>
      </c>
      <c r="BN1026" s="452">
        <f t="shared" si="33"/>
        <v>2017</v>
      </c>
    </row>
    <row r="1027" spans="1:66">
      <c r="A1027" s="228">
        <f t="shared" si="31"/>
        <v>1900</v>
      </c>
      <c r="B1027" s="228">
        <f t="shared" si="32"/>
        <v>1</v>
      </c>
      <c r="BA1027" s="452" t="s">
        <v>228</v>
      </c>
      <c r="BB1027" s="1818">
        <v>2019</v>
      </c>
      <c r="BC1027" s="452" t="s">
        <v>583</v>
      </c>
      <c r="BD1027" s="452">
        <v>7</v>
      </c>
      <c r="BE1027" s="1819">
        <v>150962776.15000001</v>
      </c>
      <c r="BF1027" s="1820">
        <v>3.4823923036026251E-2</v>
      </c>
      <c r="BH1027" s="452" t="s">
        <v>2</v>
      </c>
      <c r="BI1027" s="452" t="s">
        <v>353</v>
      </c>
      <c r="BJ1027" s="452" t="s">
        <v>77</v>
      </c>
      <c r="BK1027" s="452">
        <v>5</v>
      </c>
      <c r="BL1027" s="1819">
        <v>318585000</v>
      </c>
      <c r="BM1027" s="1820">
        <v>4.7889014350693425E-3</v>
      </c>
      <c r="BN1027" s="452">
        <f t="shared" si="33"/>
        <v>2017</v>
      </c>
    </row>
    <row r="1028" spans="1:66">
      <c r="A1028" s="228">
        <f t="shared" si="31"/>
        <v>1900</v>
      </c>
      <c r="B1028" s="228">
        <f t="shared" si="32"/>
        <v>1</v>
      </c>
      <c r="BA1028" s="452" t="s">
        <v>228</v>
      </c>
      <c r="BB1028" s="1818">
        <v>2019</v>
      </c>
      <c r="BC1028" s="452" t="s">
        <v>21</v>
      </c>
      <c r="BD1028" s="452">
        <v>8</v>
      </c>
      <c r="BE1028" s="1819">
        <v>61935693.209999993</v>
      </c>
      <c r="BF1028" s="1820">
        <v>1.4287255895353202E-2</v>
      </c>
      <c r="BH1028" s="452" t="s">
        <v>2</v>
      </c>
      <c r="BI1028" s="452" t="s">
        <v>353</v>
      </c>
      <c r="BJ1028" s="452" t="s">
        <v>32</v>
      </c>
      <c r="BL1028" s="1819">
        <v>729319000</v>
      </c>
      <c r="BM1028" s="1820">
        <v>1.0334380243087261E-2</v>
      </c>
      <c r="BN1028" s="452">
        <f t="shared" si="33"/>
        <v>2017</v>
      </c>
    </row>
    <row r="1029" spans="1:66">
      <c r="A1029" s="228">
        <f t="shared" si="31"/>
        <v>1900</v>
      </c>
      <c r="B1029" s="228">
        <f t="shared" si="32"/>
        <v>1</v>
      </c>
      <c r="BA1029" s="452" t="s">
        <v>228</v>
      </c>
      <c r="BB1029" s="1818">
        <v>2019</v>
      </c>
      <c r="BC1029" s="452" t="s">
        <v>50</v>
      </c>
      <c r="BD1029" s="452">
        <v>9</v>
      </c>
      <c r="BE1029" s="1819">
        <v>33412653.98</v>
      </c>
      <c r="BF1029" s="1820">
        <v>7.7075933571382994E-3</v>
      </c>
      <c r="BH1029" s="452" t="s">
        <v>2</v>
      </c>
      <c r="BI1029" s="452" t="s">
        <v>353</v>
      </c>
      <c r="BJ1029" s="452" t="s">
        <v>249</v>
      </c>
      <c r="BL1029" s="1829">
        <v>60702755000</v>
      </c>
      <c r="BN1029" s="452">
        <f t="shared" si="33"/>
        <v>2017</v>
      </c>
    </row>
    <row r="1030" spans="1:66">
      <c r="A1030" s="228">
        <f t="shared" si="31"/>
        <v>1900</v>
      </c>
      <c r="B1030" s="228">
        <f t="shared" si="32"/>
        <v>1</v>
      </c>
      <c r="BA1030" s="452" t="s">
        <v>228</v>
      </c>
      <c r="BB1030" s="1818">
        <v>2019</v>
      </c>
      <c r="BC1030" s="452" t="s">
        <v>42</v>
      </c>
      <c r="BD1030" s="452">
        <v>10</v>
      </c>
      <c r="BE1030" s="1819">
        <v>16314823.859999999</v>
      </c>
      <c r="BF1030" s="1820">
        <v>3.7634851778457087E-3</v>
      </c>
      <c r="BH1030" s="452" t="s">
        <v>4</v>
      </c>
      <c r="BI1030" s="452" t="s">
        <v>353</v>
      </c>
      <c r="BJ1030" s="452" t="s">
        <v>20</v>
      </c>
      <c r="BK1030" s="452">
        <v>1</v>
      </c>
      <c r="BL1030" s="1819">
        <v>12822999713.367197</v>
      </c>
      <c r="BM1030" s="1820">
        <v>0.51848528729157473</v>
      </c>
      <c r="BN1030" s="452">
        <f t="shared" si="33"/>
        <v>2017</v>
      </c>
    </row>
    <row r="1031" spans="1:66">
      <c r="A1031" s="228">
        <f t="shared" si="31"/>
        <v>1900</v>
      </c>
      <c r="B1031" s="228">
        <f t="shared" si="32"/>
        <v>1</v>
      </c>
      <c r="BA1031" s="452" t="s">
        <v>228</v>
      </c>
      <c r="BB1031" s="1818">
        <v>2019</v>
      </c>
      <c r="BC1031" s="452" t="s">
        <v>32</v>
      </c>
      <c r="BE1031" s="1819">
        <v>0</v>
      </c>
      <c r="BF1031" s="1820">
        <v>0</v>
      </c>
      <c r="BH1031" s="452" t="s">
        <v>4</v>
      </c>
      <c r="BI1031" s="452" t="s">
        <v>353</v>
      </c>
      <c r="BJ1031" s="452" t="s">
        <v>49</v>
      </c>
      <c r="BK1031" s="452">
        <v>2</v>
      </c>
      <c r="BL1031" s="1819">
        <v>2870569202.0437999</v>
      </c>
      <c r="BM1031" s="1820">
        <v>0.11606862128059739</v>
      </c>
      <c r="BN1031" s="452">
        <f t="shared" si="33"/>
        <v>2017</v>
      </c>
    </row>
    <row r="1032" spans="1:66">
      <c r="A1032" s="228">
        <f t="shared" si="31"/>
        <v>1900</v>
      </c>
      <c r="B1032" s="228">
        <f t="shared" si="32"/>
        <v>1</v>
      </c>
      <c r="BA1032" s="452" t="s">
        <v>228</v>
      </c>
      <c r="BB1032" s="1818">
        <v>2019</v>
      </c>
      <c r="BC1032" s="452" t="s">
        <v>249</v>
      </c>
      <c r="BE1032" s="1819">
        <v>4335030719.9399996</v>
      </c>
      <c r="BH1032" s="452" t="s">
        <v>4</v>
      </c>
      <c r="BI1032" s="452" t="s">
        <v>353</v>
      </c>
      <c r="BJ1032" s="452" t="s">
        <v>581</v>
      </c>
      <c r="BK1032" s="452">
        <v>3</v>
      </c>
      <c r="BL1032" s="1819">
        <v>2451617608.7446003</v>
      </c>
      <c r="BM1032" s="1820">
        <v>9.9128728738405433E-2</v>
      </c>
      <c r="BN1032" s="452">
        <f t="shared" si="33"/>
        <v>2017</v>
      </c>
    </row>
    <row r="1033" spans="1:66">
      <c r="A1033" s="228">
        <f t="shared" si="31"/>
        <v>1900</v>
      </c>
      <c r="B1033" s="228">
        <f t="shared" si="32"/>
        <v>1</v>
      </c>
      <c r="BA1033" s="452" t="s">
        <v>342</v>
      </c>
      <c r="BB1033" s="1818">
        <v>2019</v>
      </c>
      <c r="BE1033" s="1819">
        <v>2052623200.4800005</v>
      </c>
      <c r="BH1033" s="452" t="s">
        <v>4</v>
      </c>
      <c r="BI1033" s="452" t="s">
        <v>353</v>
      </c>
      <c r="BJ1033" s="452" t="s">
        <v>15</v>
      </c>
      <c r="BK1033" s="452">
        <v>4</v>
      </c>
      <c r="BL1033" s="1819">
        <v>2271314449.5001998</v>
      </c>
      <c r="BM1033" s="1820">
        <v>9.1838349154059071E-2</v>
      </c>
      <c r="BN1033" s="452">
        <f t="shared" si="33"/>
        <v>2017</v>
      </c>
    </row>
    <row r="1034" spans="1:66">
      <c r="A1034" s="228">
        <f t="shared" ref="A1034:A1097" si="34">YEAR(C1034)</f>
        <v>1900</v>
      </c>
      <c r="B1034" s="228">
        <f t="shared" ref="B1034:B1097" si="35">IF(OR(MONTH(C1034)=1,MONTH(C1034)=2,MONTH(C1034)=3),1,IF(OR(MONTH(C1034)=4,MONTH(C1034)=5,MONTH(C1034)=6),2,IF(OR(MONTH(C1034)=7,MONTH(C1034)=8,MONTH(C1034)=9),3,4)))</f>
        <v>1</v>
      </c>
      <c r="BA1034" s="452" t="s">
        <v>0</v>
      </c>
      <c r="BB1034" s="1818">
        <v>2019</v>
      </c>
      <c r="BC1034" s="452" t="s">
        <v>29</v>
      </c>
      <c r="BD1034" s="452">
        <v>1</v>
      </c>
      <c r="BE1034" s="1819">
        <v>1837757847.8699996</v>
      </c>
      <c r="BF1034" s="1820">
        <v>0.26447483185983806</v>
      </c>
      <c r="BH1034" s="452" t="s">
        <v>4</v>
      </c>
      <c r="BI1034" s="452" t="s">
        <v>353</v>
      </c>
      <c r="BJ1034" s="452" t="s">
        <v>19</v>
      </c>
      <c r="BK1034" s="452">
        <v>5</v>
      </c>
      <c r="BL1034" s="1819">
        <v>1206201197.2130003</v>
      </c>
      <c r="BM1034" s="1820">
        <v>4.8771550202600794E-2</v>
      </c>
      <c r="BN1034" s="452">
        <f t="shared" si="33"/>
        <v>2017</v>
      </c>
    </row>
    <row r="1035" spans="1:66">
      <c r="A1035" s="228">
        <f t="shared" si="34"/>
        <v>1900</v>
      </c>
      <c r="B1035" s="228">
        <f t="shared" si="35"/>
        <v>1</v>
      </c>
      <c r="BA1035" s="452" t="s">
        <v>0</v>
      </c>
      <c r="BB1035" s="1818">
        <v>2019</v>
      </c>
      <c r="BC1035" s="452" t="s">
        <v>14</v>
      </c>
      <c r="BD1035" s="452">
        <v>2</v>
      </c>
      <c r="BE1035" s="1819">
        <v>922879918.53999984</v>
      </c>
      <c r="BF1035" s="1820">
        <v>0.13281320581249575</v>
      </c>
      <c r="BH1035" s="452" t="s">
        <v>4</v>
      </c>
      <c r="BI1035" s="452" t="s">
        <v>353</v>
      </c>
      <c r="BJ1035" s="452" t="s">
        <v>18</v>
      </c>
      <c r="BK1035" s="452">
        <v>6</v>
      </c>
      <c r="BL1035" s="1819">
        <v>713960169.44699991</v>
      </c>
      <c r="BM1035" s="1820">
        <v>2.8868271999147068E-2</v>
      </c>
      <c r="BN1035" s="452">
        <f t="shared" si="33"/>
        <v>2017</v>
      </c>
    </row>
    <row r="1036" spans="1:66">
      <c r="A1036" s="228">
        <f t="shared" si="34"/>
        <v>1900</v>
      </c>
      <c r="B1036" s="228">
        <f t="shared" si="35"/>
        <v>1</v>
      </c>
      <c r="BA1036" s="452" t="s">
        <v>0</v>
      </c>
      <c r="BB1036" s="1818">
        <v>2019</v>
      </c>
      <c r="BC1036" s="452" t="s">
        <v>27</v>
      </c>
      <c r="BD1036" s="452">
        <v>3</v>
      </c>
      <c r="BE1036" s="1819">
        <v>644281242.38</v>
      </c>
      <c r="BF1036" s="1820">
        <v>9.2719600379555372E-2</v>
      </c>
      <c r="BH1036" s="452" t="s">
        <v>4</v>
      </c>
      <c r="BI1036" s="452" t="s">
        <v>353</v>
      </c>
      <c r="BJ1036" s="452" t="s">
        <v>21</v>
      </c>
      <c r="BK1036" s="452">
        <v>7</v>
      </c>
      <c r="BL1036" s="1819">
        <v>703176870.44700015</v>
      </c>
      <c r="BM1036" s="1820">
        <v>2.8432259989091605E-2</v>
      </c>
      <c r="BN1036" s="452">
        <f t="shared" si="33"/>
        <v>2017</v>
      </c>
    </row>
    <row r="1037" spans="1:66">
      <c r="A1037" s="228">
        <f t="shared" si="34"/>
        <v>1900</v>
      </c>
      <c r="B1037" s="228">
        <f t="shared" si="35"/>
        <v>1</v>
      </c>
      <c r="BA1037" s="452" t="s">
        <v>0</v>
      </c>
      <c r="BB1037" s="1818">
        <v>2019</v>
      </c>
      <c r="BC1037" s="452" t="s">
        <v>22</v>
      </c>
      <c r="BD1037" s="452">
        <v>4</v>
      </c>
      <c r="BE1037" s="1819">
        <v>556741623.00999987</v>
      </c>
      <c r="BF1037" s="1820">
        <v>8.0121626092143836E-2</v>
      </c>
      <c r="BH1037" s="452" t="s">
        <v>4</v>
      </c>
      <c r="BI1037" s="452" t="s">
        <v>353</v>
      </c>
      <c r="BJ1037" s="452" t="s">
        <v>28</v>
      </c>
      <c r="BK1037" s="452">
        <v>8</v>
      </c>
      <c r="BL1037" s="1819">
        <v>692696308.48200011</v>
      </c>
      <c r="BM1037" s="1820">
        <v>2.8008488851068766E-2</v>
      </c>
      <c r="BN1037" s="452">
        <f t="shared" si="33"/>
        <v>2017</v>
      </c>
    </row>
    <row r="1038" spans="1:66">
      <c r="A1038" s="228">
        <f t="shared" si="34"/>
        <v>1900</v>
      </c>
      <c r="B1038" s="228">
        <f t="shared" si="35"/>
        <v>1</v>
      </c>
      <c r="BA1038" s="452" t="s">
        <v>0</v>
      </c>
      <c r="BB1038" s="1818">
        <v>2019</v>
      </c>
      <c r="BC1038" s="452" t="s">
        <v>15</v>
      </c>
      <c r="BD1038" s="452">
        <v>5</v>
      </c>
      <c r="BE1038" s="1819">
        <v>370893636.01999998</v>
      </c>
      <c r="BF1038" s="1820">
        <v>5.3375928791687233E-2</v>
      </c>
      <c r="BH1038" s="452" t="s">
        <v>4</v>
      </c>
      <c r="BI1038" s="452" t="s">
        <v>353</v>
      </c>
      <c r="BJ1038" s="452" t="s">
        <v>583</v>
      </c>
      <c r="BK1038" s="452">
        <v>9</v>
      </c>
      <c r="BL1038" s="1819">
        <v>691410066.87120008</v>
      </c>
      <c r="BM1038" s="1820">
        <v>2.795648094605362E-2</v>
      </c>
      <c r="BN1038" s="452">
        <f t="shared" si="33"/>
        <v>2017</v>
      </c>
    </row>
    <row r="1039" spans="1:66">
      <c r="A1039" s="228">
        <f t="shared" si="34"/>
        <v>1900</v>
      </c>
      <c r="B1039" s="228">
        <f t="shared" si="35"/>
        <v>1</v>
      </c>
      <c r="BA1039" s="452" t="s">
        <v>0</v>
      </c>
      <c r="BB1039" s="1818">
        <v>2019</v>
      </c>
      <c r="BC1039" s="452" t="s">
        <v>18</v>
      </c>
      <c r="BD1039" s="452">
        <v>6</v>
      </c>
      <c r="BE1039" s="1819">
        <v>312617871.83999997</v>
      </c>
      <c r="BF1039" s="1820">
        <v>4.4989365267623135E-2</v>
      </c>
      <c r="BH1039" s="452" t="s">
        <v>4</v>
      </c>
      <c r="BI1039" s="452" t="s">
        <v>353</v>
      </c>
      <c r="BJ1039" s="452" t="s">
        <v>24</v>
      </c>
      <c r="BK1039" s="452">
        <v>10</v>
      </c>
      <c r="BL1039" s="1819">
        <v>76903548.173999995</v>
      </c>
      <c r="BM1039" s="1820">
        <v>3.1095187678412167E-3</v>
      </c>
      <c r="BN1039" s="452">
        <f t="shared" si="33"/>
        <v>2017</v>
      </c>
    </row>
    <row r="1040" spans="1:66">
      <c r="A1040" s="228">
        <f t="shared" si="34"/>
        <v>1900</v>
      </c>
      <c r="B1040" s="228">
        <f t="shared" si="35"/>
        <v>1</v>
      </c>
      <c r="BA1040" s="452" t="s">
        <v>0</v>
      </c>
      <c r="BB1040" s="1818">
        <v>2019</v>
      </c>
      <c r="BC1040" s="452" t="s">
        <v>250</v>
      </c>
      <c r="BD1040" s="452">
        <v>7</v>
      </c>
      <c r="BE1040" s="1819">
        <v>302864629.45999998</v>
      </c>
      <c r="BF1040" s="1820">
        <v>4.3585759704720263E-2</v>
      </c>
      <c r="BH1040" s="452" t="s">
        <v>4</v>
      </c>
      <c r="BI1040" s="452" t="s">
        <v>353</v>
      </c>
      <c r="BJ1040" s="452" t="s">
        <v>32</v>
      </c>
      <c r="BL1040" s="1819">
        <v>230806763.50999832</v>
      </c>
      <c r="BM1040" s="1820">
        <v>9.3324427795604976E-3</v>
      </c>
      <c r="BN1040" s="452">
        <f t="shared" si="33"/>
        <v>2017</v>
      </c>
    </row>
    <row r="1041" spans="1:66">
      <c r="A1041" s="228">
        <f t="shared" si="34"/>
        <v>1900</v>
      </c>
      <c r="B1041" s="228">
        <f t="shared" si="35"/>
        <v>1</v>
      </c>
      <c r="BA1041" s="452" t="s">
        <v>0</v>
      </c>
      <c r="BB1041" s="1818">
        <v>2019</v>
      </c>
      <c r="BC1041" s="452" t="s">
        <v>431</v>
      </c>
      <c r="BD1041" s="452">
        <v>8</v>
      </c>
      <c r="BE1041" s="1819">
        <v>282442992.11000001</v>
      </c>
      <c r="BF1041" s="1820">
        <v>4.064684742598685E-2</v>
      </c>
      <c r="BH1041" s="452" t="s">
        <v>4</v>
      </c>
      <c r="BI1041" s="452" t="s">
        <v>353</v>
      </c>
      <c r="BJ1041" s="452" t="s">
        <v>249</v>
      </c>
      <c r="BL1041" s="1819">
        <v>24731655897.799992</v>
      </c>
      <c r="BN1041" s="452">
        <f t="shared" si="33"/>
        <v>2017</v>
      </c>
    </row>
    <row r="1042" spans="1:66">
      <c r="A1042" s="228">
        <f t="shared" si="34"/>
        <v>1900</v>
      </c>
      <c r="B1042" s="228">
        <f t="shared" si="35"/>
        <v>1</v>
      </c>
      <c r="BA1042" s="452" t="s">
        <v>0</v>
      </c>
      <c r="BB1042" s="1818">
        <v>2019</v>
      </c>
      <c r="BC1042" s="452" t="s">
        <v>25</v>
      </c>
      <c r="BD1042" s="452">
        <v>9</v>
      </c>
      <c r="BE1042" s="1819">
        <v>250637686.71000004</v>
      </c>
      <c r="BF1042" s="1820">
        <v>3.6069692275940757E-2</v>
      </c>
      <c r="BH1042" s="452" t="s">
        <v>228</v>
      </c>
      <c r="BI1042" s="452" t="s">
        <v>353</v>
      </c>
      <c r="BJ1042" s="452" t="s">
        <v>15</v>
      </c>
      <c r="BK1042" s="452">
        <v>1</v>
      </c>
      <c r="BL1042" s="1819">
        <v>1513370673.61077</v>
      </c>
      <c r="BM1042" s="1820">
        <v>0.35031833466489881</v>
      </c>
      <c r="BN1042" s="452">
        <f t="shared" si="33"/>
        <v>2017</v>
      </c>
    </row>
    <row r="1043" spans="1:66">
      <c r="A1043" s="228">
        <f t="shared" si="34"/>
        <v>1900</v>
      </c>
      <c r="B1043" s="228">
        <f t="shared" si="35"/>
        <v>1</v>
      </c>
      <c r="BA1043" s="452" t="s">
        <v>0</v>
      </c>
      <c r="BB1043" s="1818">
        <v>2019</v>
      </c>
      <c r="BC1043" s="452" t="s">
        <v>13</v>
      </c>
      <c r="BD1043" s="452">
        <v>10</v>
      </c>
      <c r="BE1043" s="1819">
        <v>248750030.32000005</v>
      </c>
      <c r="BF1043" s="1820">
        <v>3.5798036460712966E-2</v>
      </c>
      <c r="BH1043" s="452" t="s">
        <v>228</v>
      </c>
      <c r="BI1043" s="452" t="s">
        <v>353</v>
      </c>
      <c r="BJ1043" s="452" t="s">
        <v>581</v>
      </c>
      <c r="BK1043" s="452">
        <v>2</v>
      </c>
      <c r="BL1043" s="1819">
        <v>828044736.21000004</v>
      </c>
      <c r="BM1043" s="1820">
        <v>0.19167759629240003</v>
      </c>
      <c r="BN1043" s="452">
        <f t="shared" si="33"/>
        <v>2017</v>
      </c>
    </row>
    <row r="1044" spans="1:66">
      <c r="A1044" s="228">
        <f t="shared" si="34"/>
        <v>1900</v>
      </c>
      <c r="B1044" s="228">
        <f t="shared" si="35"/>
        <v>1</v>
      </c>
      <c r="BA1044" s="452" t="s">
        <v>0</v>
      </c>
      <c r="BB1044" s="1818">
        <v>2019</v>
      </c>
      <c r="BC1044" s="452" t="s">
        <v>32</v>
      </c>
      <c r="BE1044" s="1819">
        <v>1218838509.9299984</v>
      </c>
      <c r="BF1044" s="1820">
        <v>0.17540510592929578</v>
      </c>
      <c r="BH1044" s="452" t="s">
        <v>228</v>
      </c>
      <c r="BI1044" s="452" t="s">
        <v>353</v>
      </c>
      <c r="BJ1044" s="452" t="s">
        <v>53</v>
      </c>
      <c r="BK1044" s="452">
        <v>3</v>
      </c>
      <c r="BL1044" s="1819">
        <v>597463198.82000005</v>
      </c>
      <c r="BM1044" s="1820">
        <v>0.13830208057012811</v>
      </c>
      <c r="BN1044" s="452">
        <f t="shared" si="33"/>
        <v>2017</v>
      </c>
    </row>
    <row r="1045" spans="1:66">
      <c r="A1045" s="228">
        <f t="shared" si="34"/>
        <v>1900</v>
      </c>
      <c r="B1045" s="228">
        <f t="shared" si="35"/>
        <v>1</v>
      </c>
      <c r="BA1045" s="452" t="s">
        <v>0</v>
      </c>
      <c r="BB1045" s="1818">
        <v>2019</v>
      </c>
      <c r="BC1045" s="452" t="s">
        <v>249</v>
      </c>
      <c r="BE1045" s="1819">
        <v>6948705988.1899977</v>
      </c>
      <c r="BH1045" s="452" t="s">
        <v>228</v>
      </c>
      <c r="BI1045" s="452" t="s">
        <v>353</v>
      </c>
      <c r="BJ1045" s="452" t="s">
        <v>20</v>
      </c>
      <c r="BK1045" s="452">
        <v>4</v>
      </c>
      <c r="BL1045" s="1819">
        <v>568100515.20999992</v>
      </c>
      <c r="BM1045" s="1820">
        <v>0.13150514271285788</v>
      </c>
      <c r="BN1045" s="452">
        <f t="shared" si="33"/>
        <v>2017</v>
      </c>
    </row>
    <row r="1046" spans="1:66">
      <c r="A1046" s="228">
        <f t="shared" si="34"/>
        <v>1900</v>
      </c>
      <c r="B1046" s="228">
        <f t="shared" si="35"/>
        <v>1</v>
      </c>
      <c r="BA1046" s="452" t="s">
        <v>3</v>
      </c>
      <c r="BB1046" s="1818">
        <v>2019</v>
      </c>
      <c r="BC1046" s="452" t="s">
        <v>15</v>
      </c>
      <c r="BD1046" s="452">
        <v>1</v>
      </c>
      <c r="BE1046" s="1819">
        <v>1783706083.5057464</v>
      </c>
      <c r="BF1046" s="1820">
        <v>0.44265579388403997</v>
      </c>
      <c r="BH1046" s="452" t="s">
        <v>228</v>
      </c>
      <c r="BI1046" s="452" t="s">
        <v>353</v>
      </c>
      <c r="BJ1046" s="452" t="s">
        <v>46</v>
      </c>
      <c r="BK1046" s="452">
        <v>5</v>
      </c>
      <c r="BL1046" s="1819">
        <v>346622814.47000003</v>
      </c>
      <c r="BM1046" s="1820">
        <v>8.0237002896503359E-2</v>
      </c>
      <c r="BN1046" s="452">
        <f t="shared" si="33"/>
        <v>2017</v>
      </c>
    </row>
    <row r="1047" spans="1:66">
      <c r="A1047" s="228">
        <f t="shared" si="34"/>
        <v>1900</v>
      </c>
      <c r="B1047" s="228">
        <f t="shared" si="35"/>
        <v>1</v>
      </c>
      <c r="BA1047" s="452" t="s">
        <v>3</v>
      </c>
      <c r="BB1047" s="1818">
        <v>2019</v>
      </c>
      <c r="BC1047" s="452" t="s">
        <v>20</v>
      </c>
      <c r="BD1047" s="452">
        <v>2</v>
      </c>
      <c r="BE1047" s="1819">
        <v>423780056.69589889</v>
      </c>
      <c r="BF1047" s="1820">
        <v>0.10516794171619041</v>
      </c>
      <c r="BH1047" s="452" t="s">
        <v>228</v>
      </c>
      <c r="BI1047" s="452" t="s">
        <v>353</v>
      </c>
      <c r="BJ1047" s="452" t="s">
        <v>18</v>
      </c>
      <c r="BK1047" s="452">
        <v>6</v>
      </c>
      <c r="BL1047" s="1819">
        <v>291408345.84000003</v>
      </c>
      <c r="BM1047" s="1820">
        <v>6.7455837622751202E-2</v>
      </c>
      <c r="BN1047" s="452">
        <f t="shared" si="33"/>
        <v>2017</v>
      </c>
    </row>
    <row r="1048" spans="1:66">
      <c r="A1048" s="228">
        <f t="shared" si="34"/>
        <v>1900</v>
      </c>
      <c r="B1048" s="228">
        <f t="shared" si="35"/>
        <v>1</v>
      </c>
      <c r="BA1048" s="452" t="s">
        <v>3</v>
      </c>
      <c r="BB1048" s="1818">
        <v>2019</v>
      </c>
      <c r="BC1048" s="452" t="s">
        <v>21</v>
      </c>
      <c r="BD1048" s="452">
        <v>3</v>
      </c>
      <c r="BE1048" s="1819">
        <v>366680510.71748519</v>
      </c>
      <c r="BF1048" s="1820">
        <v>9.0997756903109614E-2</v>
      </c>
      <c r="BH1048" s="452" t="s">
        <v>228</v>
      </c>
      <c r="BI1048" s="452" t="s">
        <v>353</v>
      </c>
      <c r="BJ1048" s="452" t="s">
        <v>21</v>
      </c>
      <c r="BK1048" s="452">
        <v>7</v>
      </c>
      <c r="BL1048" s="1819">
        <v>124134055.75</v>
      </c>
      <c r="BM1048" s="1820">
        <v>2.8734821180183751E-2</v>
      </c>
      <c r="BN1048" s="452">
        <f t="shared" si="33"/>
        <v>2017</v>
      </c>
    </row>
    <row r="1049" spans="1:66">
      <c r="A1049" s="228">
        <f t="shared" si="34"/>
        <v>1900</v>
      </c>
      <c r="B1049" s="228">
        <f t="shared" si="35"/>
        <v>1</v>
      </c>
      <c r="BA1049" s="452" t="s">
        <v>3</v>
      </c>
      <c r="BB1049" s="1818">
        <v>2019</v>
      </c>
      <c r="BC1049" s="452" t="s">
        <v>581</v>
      </c>
      <c r="BD1049" s="452">
        <v>4</v>
      </c>
      <c r="BE1049" s="1819">
        <v>360224044.49219596</v>
      </c>
      <c r="BF1049" s="1820">
        <v>8.9395479370353928E-2</v>
      </c>
      <c r="BH1049" s="452" t="s">
        <v>228</v>
      </c>
      <c r="BI1049" s="452" t="s">
        <v>353</v>
      </c>
      <c r="BJ1049" s="452" t="s">
        <v>42</v>
      </c>
      <c r="BK1049" s="452">
        <v>8</v>
      </c>
      <c r="BL1049" s="1819">
        <v>50842722.879999995</v>
      </c>
      <c r="BM1049" s="1820">
        <v>1.1769184060277004E-2</v>
      </c>
      <c r="BN1049" s="452">
        <f t="shared" si="33"/>
        <v>2017</v>
      </c>
    </row>
    <row r="1050" spans="1:66">
      <c r="A1050" s="228">
        <f t="shared" si="34"/>
        <v>1900</v>
      </c>
      <c r="B1050" s="228">
        <f t="shared" si="35"/>
        <v>1</v>
      </c>
      <c r="BA1050" s="452" t="s">
        <v>3</v>
      </c>
      <c r="BB1050" s="1818">
        <v>2019</v>
      </c>
      <c r="BC1050" s="452" t="s">
        <v>583</v>
      </c>
      <c r="BD1050" s="452">
        <v>5</v>
      </c>
      <c r="BE1050" s="1819">
        <v>318056053.23906589</v>
      </c>
      <c r="BF1050" s="1820">
        <v>7.8930803705872785E-2</v>
      </c>
      <c r="BH1050" s="452" t="s">
        <v>228</v>
      </c>
      <c r="BI1050" s="452" t="s">
        <v>353</v>
      </c>
      <c r="BJ1050" s="452" t="s">
        <v>165</v>
      </c>
      <c r="BK1050" s="452">
        <v>9</v>
      </c>
      <c r="BL1050" s="1819">
        <v>0</v>
      </c>
      <c r="BM1050" s="1820">
        <v>0</v>
      </c>
      <c r="BN1050" s="452">
        <f t="shared" si="33"/>
        <v>2017</v>
      </c>
    </row>
    <row r="1051" spans="1:66">
      <c r="A1051" s="228">
        <f t="shared" si="34"/>
        <v>1900</v>
      </c>
      <c r="B1051" s="228">
        <f t="shared" si="35"/>
        <v>1</v>
      </c>
      <c r="BA1051" s="452" t="s">
        <v>3</v>
      </c>
      <c r="BB1051" s="1818">
        <v>2019</v>
      </c>
      <c r="BC1051" s="452" t="s">
        <v>23</v>
      </c>
      <c r="BD1051" s="452">
        <v>6</v>
      </c>
      <c r="BE1051" s="1819">
        <v>210819257.83086553</v>
      </c>
      <c r="BF1051" s="1820">
        <v>5.2318241667792829E-2</v>
      </c>
      <c r="BH1051" s="452" t="s">
        <v>228</v>
      </c>
      <c r="BI1051" s="452" t="s">
        <v>353</v>
      </c>
      <c r="BJ1051" s="452" t="s">
        <v>165</v>
      </c>
      <c r="BK1051" s="452">
        <v>10</v>
      </c>
      <c r="BL1051" s="1819">
        <v>0</v>
      </c>
      <c r="BM1051" s="1820">
        <v>0</v>
      </c>
      <c r="BN1051" s="452">
        <f t="shared" si="33"/>
        <v>2017</v>
      </c>
    </row>
    <row r="1052" spans="1:66">
      <c r="A1052" s="228">
        <f t="shared" si="34"/>
        <v>1900</v>
      </c>
      <c r="B1052" s="228">
        <f t="shared" si="35"/>
        <v>1</v>
      </c>
      <c r="BA1052" s="452" t="s">
        <v>3</v>
      </c>
      <c r="BB1052" s="1818">
        <v>2019</v>
      </c>
      <c r="BC1052" s="452" t="s">
        <v>431</v>
      </c>
      <c r="BD1052" s="452">
        <v>7</v>
      </c>
      <c r="BE1052" s="1819">
        <v>210707851.8669765</v>
      </c>
      <c r="BF1052" s="1820">
        <v>5.2290594458510573E-2</v>
      </c>
      <c r="BH1052" s="452" t="s">
        <v>228</v>
      </c>
      <c r="BI1052" s="452" t="s">
        <v>353</v>
      </c>
      <c r="BJ1052" s="452" t="s">
        <v>32</v>
      </c>
      <c r="BL1052" s="1819">
        <v>0</v>
      </c>
      <c r="BM1052" s="1820">
        <v>0</v>
      </c>
      <c r="BN1052" s="452">
        <f t="shared" ref="BN1052:BN1116" si="36">_xlfn.NUMBERVALUE(LEFT(BI1052,4))</f>
        <v>2017</v>
      </c>
    </row>
    <row r="1053" spans="1:66">
      <c r="A1053" s="228">
        <f t="shared" si="34"/>
        <v>1900</v>
      </c>
      <c r="B1053" s="228">
        <f t="shared" si="35"/>
        <v>1</v>
      </c>
      <c r="BA1053" s="452" t="s">
        <v>3</v>
      </c>
      <c r="BB1053" s="1818">
        <v>2019</v>
      </c>
      <c r="BC1053" s="452" t="s">
        <v>48</v>
      </c>
      <c r="BD1053" s="452">
        <v>8</v>
      </c>
      <c r="BE1053" s="1819">
        <v>116274344.44341117</v>
      </c>
      <c r="BF1053" s="1820">
        <v>2.8855377421141522E-2</v>
      </c>
      <c r="BH1053" s="452" t="s">
        <v>228</v>
      </c>
      <c r="BI1053" s="452" t="s">
        <v>353</v>
      </c>
      <c r="BJ1053" s="452" t="s">
        <v>249</v>
      </c>
      <c r="BL1053" s="1819">
        <v>4319987062.7907696</v>
      </c>
      <c r="BN1053" s="452">
        <f t="shared" si="36"/>
        <v>2017</v>
      </c>
    </row>
    <row r="1054" spans="1:66">
      <c r="A1054" s="228">
        <f t="shared" si="34"/>
        <v>1900</v>
      </c>
      <c r="B1054" s="228">
        <f t="shared" si="35"/>
        <v>1</v>
      </c>
      <c r="BA1054" s="452" t="s">
        <v>3</v>
      </c>
      <c r="BB1054" s="1818">
        <v>2019</v>
      </c>
      <c r="BC1054" s="452" t="s">
        <v>54</v>
      </c>
      <c r="BD1054" s="452">
        <v>9</v>
      </c>
      <c r="BE1054" s="1819">
        <v>58976921.539999992</v>
      </c>
      <c r="BF1054" s="1820">
        <v>1.4636086217643564E-2</v>
      </c>
      <c r="BH1054" s="452" t="s">
        <v>342</v>
      </c>
      <c r="BI1054" s="452" t="s">
        <v>353</v>
      </c>
      <c r="BL1054" s="1819">
        <v>2581868368.1500001</v>
      </c>
      <c r="BN1054" s="452">
        <f t="shared" si="36"/>
        <v>2017</v>
      </c>
    </row>
    <row r="1055" spans="1:66">
      <c r="A1055" s="228">
        <f t="shared" si="34"/>
        <v>1900</v>
      </c>
      <c r="B1055" s="228">
        <f t="shared" si="35"/>
        <v>1</v>
      </c>
      <c r="BA1055" s="452" t="s">
        <v>3</v>
      </c>
      <c r="BB1055" s="1818">
        <v>2019</v>
      </c>
      <c r="BC1055" s="452" t="s">
        <v>49</v>
      </c>
      <c r="BD1055" s="452">
        <v>10</v>
      </c>
      <c r="BE1055" s="1819">
        <v>58036221.710000001</v>
      </c>
      <c r="BF1055" s="1820">
        <v>1.4402636192493226E-2</v>
      </c>
      <c r="BH1055" s="452" t="s">
        <v>3</v>
      </c>
      <c r="BI1055" s="452" t="s">
        <v>353</v>
      </c>
      <c r="BJ1055" s="452" t="s">
        <v>15</v>
      </c>
      <c r="BK1055" s="452">
        <v>1</v>
      </c>
      <c r="BL1055" s="1819">
        <v>549993682.473948</v>
      </c>
      <c r="BM1055" s="1820">
        <v>0.32380470261317296</v>
      </c>
      <c r="BN1055" s="452">
        <f t="shared" si="36"/>
        <v>2017</v>
      </c>
    </row>
    <row r="1056" spans="1:66">
      <c r="A1056" s="228">
        <f t="shared" si="34"/>
        <v>1900</v>
      </c>
      <c r="B1056" s="228">
        <f t="shared" si="35"/>
        <v>1</v>
      </c>
      <c r="BA1056" s="452" t="s">
        <v>3</v>
      </c>
      <c r="BB1056" s="1818">
        <v>2019</v>
      </c>
      <c r="BC1056" s="452" t="s">
        <v>32</v>
      </c>
      <c r="BE1056" s="1819">
        <v>122294141.88000059</v>
      </c>
      <c r="BF1056" s="1820">
        <v>3.0349288462851558E-2</v>
      </c>
      <c r="BH1056" s="452" t="s">
        <v>3</v>
      </c>
      <c r="BI1056" s="452" t="s">
        <v>353</v>
      </c>
      <c r="BJ1056" s="452" t="s">
        <v>20</v>
      </c>
      <c r="BK1056" s="452">
        <v>2</v>
      </c>
      <c r="BL1056" s="1819">
        <v>345958125.41885078</v>
      </c>
      <c r="BM1056" s="1820">
        <v>0.20368028122426307</v>
      </c>
      <c r="BN1056" s="452">
        <f t="shared" si="36"/>
        <v>2017</v>
      </c>
    </row>
    <row r="1057" spans="1:66">
      <c r="A1057" s="228">
        <f t="shared" si="34"/>
        <v>1900</v>
      </c>
      <c r="B1057" s="228">
        <f t="shared" si="35"/>
        <v>1</v>
      </c>
      <c r="BA1057" s="452" t="s">
        <v>3</v>
      </c>
      <c r="BB1057" s="1818">
        <v>2019</v>
      </c>
      <c r="BC1057" s="452" t="s">
        <v>249</v>
      </c>
      <c r="BE1057" s="1819">
        <v>4029555487.9216461</v>
      </c>
      <c r="BH1057" s="452" t="s">
        <v>3</v>
      </c>
      <c r="BI1057" s="452" t="s">
        <v>353</v>
      </c>
      <c r="BJ1057" s="452" t="s">
        <v>583</v>
      </c>
      <c r="BK1057" s="452">
        <v>3</v>
      </c>
      <c r="BL1057" s="1819">
        <v>324600456.40450531</v>
      </c>
      <c r="BM1057" s="1820">
        <v>0.19110611194909455</v>
      </c>
      <c r="BN1057" s="452">
        <f t="shared" si="36"/>
        <v>2017</v>
      </c>
    </row>
    <row r="1058" spans="1:66">
      <c r="A1058" s="228">
        <f t="shared" si="34"/>
        <v>1900</v>
      </c>
      <c r="B1058" s="228">
        <f t="shared" si="35"/>
        <v>1</v>
      </c>
      <c r="BA1058" s="452" t="s">
        <v>280</v>
      </c>
      <c r="BB1058" s="1818">
        <v>2019</v>
      </c>
      <c r="BC1058" s="452" t="s">
        <v>15</v>
      </c>
      <c r="BD1058" s="452">
        <v>1</v>
      </c>
      <c r="BE1058" s="1819">
        <v>557290457.57999969</v>
      </c>
      <c r="BF1058" s="1820">
        <v>0.47280289025586464</v>
      </c>
      <c r="BH1058" s="452" t="s">
        <v>3</v>
      </c>
      <c r="BI1058" s="452" t="s">
        <v>353</v>
      </c>
      <c r="BJ1058" s="452" t="s">
        <v>21</v>
      </c>
      <c r="BK1058" s="452">
        <v>4</v>
      </c>
      <c r="BL1058" s="1819">
        <v>170869359.41179702</v>
      </c>
      <c r="BM1058" s="1820">
        <v>0.10059806843810626</v>
      </c>
      <c r="BN1058" s="452">
        <f t="shared" si="36"/>
        <v>2017</v>
      </c>
    </row>
    <row r="1059" spans="1:66">
      <c r="A1059" s="228">
        <f t="shared" si="34"/>
        <v>1900</v>
      </c>
      <c r="B1059" s="228">
        <f t="shared" si="35"/>
        <v>1</v>
      </c>
      <c r="BA1059" s="452" t="s">
        <v>280</v>
      </c>
      <c r="BB1059" s="1818">
        <v>2019</v>
      </c>
      <c r="BC1059" s="452" t="s">
        <v>431</v>
      </c>
      <c r="BD1059" s="452">
        <v>2</v>
      </c>
      <c r="BE1059" s="1819">
        <v>76551033.550000012</v>
      </c>
      <c r="BF1059" s="1820">
        <v>6.4945576264991117E-2</v>
      </c>
      <c r="BH1059" s="452" t="s">
        <v>3</v>
      </c>
      <c r="BI1059" s="452" t="s">
        <v>353</v>
      </c>
      <c r="BJ1059" s="452" t="s">
        <v>581</v>
      </c>
      <c r="BK1059" s="452">
        <v>5</v>
      </c>
      <c r="BL1059" s="1819">
        <v>132690563.09999999</v>
      </c>
      <c r="BM1059" s="1820">
        <v>7.8120585187276506E-2</v>
      </c>
      <c r="BN1059" s="452">
        <f t="shared" si="36"/>
        <v>2017</v>
      </c>
    </row>
    <row r="1060" spans="1:66">
      <c r="A1060" s="228">
        <f t="shared" si="34"/>
        <v>1900</v>
      </c>
      <c r="B1060" s="228">
        <f t="shared" si="35"/>
        <v>1</v>
      </c>
      <c r="BA1060" s="452" t="s">
        <v>280</v>
      </c>
      <c r="BB1060" s="1818">
        <v>2019</v>
      </c>
      <c r="BC1060" s="452" t="s">
        <v>51</v>
      </c>
      <c r="BD1060" s="452">
        <v>3</v>
      </c>
      <c r="BE1060" s="1819">
        <v>73777353.059999987</v>
      </c>
      <c r="BF1060" s="1820">
        <v>6.2592397353561327E-2</v>
      </c>
      <c r="BH1060" s="452" t="s">
        <v>3</v>
      </c>
      <c r="BI1060" s="452" t="s">
        <v>353</v>
      </c>
      <c r="BJ1060" s="452" t="s">
        <v>45</v>
      </c>
      <c r="BK1060" s="452">
        <v>6</v>
      </c>
      <c r="BL1060" s="1819">
        <v>33378104.359999999</v>
      </c>
      <c r="BM1060" s="1820">
        <v>1.9651111459072446E-2</v>
      </c>
      <c r="BN1060" s="452">
        <f t="shared" si="36"/>
        <v>2017</v>
      </c>
    </row>
    <row r="1061" spans="1:66">
      <c r="A1061" s="228">
        <f t="shared" si="34"/>
        <v>1900</v>
      </c>
      <c r="B1061" s="228">
        <f t="shared" si="35"/>
        <v>1</v>
      </c>
      <c r="BA1061" s="452" t="s">
        <v>280</v>
      </c>
      <c r="BB1061" s="1818">
        <v>2019</v>
      </c>
      <c r="BC1061" s="452" t="s">
        <v>23</v>
      </c>
      <c r="BD1061" s="452">
        <v>4</v>
      </c>
      <c r="BE1061" s="1819">
        <v>71157428.269999996</v>
      </c>
      <c r="BF1061" s="1820">
        <v>6.0369664134076469E-2</v>
      </c>
      <c r="BH1061" s="452" t="s">
        <v>3</v>
      </c>
      <c r="BI1061" s="452" t="s">
        <v>353</v>
      </c>
      <c r="BJ1061" s="452" t="s">
        <v>44</v>
      </c>
      <c r="BK1061" s="452">
        <v>7</v>
      </c>
      <c r="BL1061" s="1819">
        <v>29260479.68</v>
      </c>
      <c r="BM1061" s="1820">
        <v>1.7226890458964472E-2</v>
      </c>
      <c r="BN1061" s="452">
        <f t="shared" si="36"/>
        <v>2017</v>
      </c>
    </row>
    <row r="1062" spans="1:66">
      <c r="A1062" s="228">
        <f t="shared" si="34"/>
        <v>1900</v>
      </c>
      <c r="B1062" s="228">
        <f t="shared" si="35"/>
        <v>1</v>
      </c>
      <c r="BA1062" s="452" t="s">
        <v>280</v>
      </c>
      <c r="BB1062" s="1818">
        <v>2019</v>
      </c>
      <c r="BC1062" s="452" t="s">
        <v>54</v>
      </c>
      <c r="BD1062" s="452">
        <v>5</v>
      </c>
      <c r="BE1062" s="1819">
        <v>47928980.200000003</v>
      </c>
      <c r="BF1062" s="1820">
        <v>4.0662746073169762E-2</v>
      </c>
      <c r="BH1062" s="452" t="s">
        <v>3</v>
      </c>
      <c r="BI1062" s="452" t="s">
        <v>353</v>
      </c>
      <c r="BJ1062" s="452" t="s">
        <v>23</v>
      </c>
      <c r="BK1062" s="452">
        <v>8</v>
      </c>
      <c r="BL1062" s="1819">
        <v>27616178.609999999</v>
      </c>
      <c r="BM1062" s="1820">
        <v>1.6258820395717716E-2</v>
      </c>
      <c r="BN1062" s="452">
        <f t="shared" si="36"/>
        <v>2017</v>
      </c>
    </row>
    <row r="1063" spans="1:66">
      <c r="A1063" s="228">
        <f t="shared" si="34"/>
        <v>1900</v>
      </c>
      <c r="B1063" s="228">
        <f t="shared" si="35"/>
        <v>1</v>
      </c>
      <c r="BA1063" s="452" t="s">
        <v>280</v>
      </c>
      <c r="BB1063" s="1818">
        <v>2019</v>
      </c>
      <c r="BC1063" s="452" t="s">
        <v>583</v>
      </c>
      <c r="BD1063" s="452">
        <v>6</v>
      </c>
      <c r="BE1063" s="1819">
        <v>46179712.670000002</v>
      </c>
      <c r="BF1063" s="1820">
        <v>3.9178674826721022E-2</v>
      </c>
      <c r="BH1063" s="452" t="s">
        <v>3</v>
      </c>
      <c r="BI1063" s="452" t="s">
        <v>353</v>
      </c>
      <c r="BJ1063" s="452" t="s">
        <v>49</v>
      </c>
      <c r="BK1063" s="452">
        <v>9</v>
      </c>
      <c r="BL1063" s="1819">
        <v>25534170.959999997</v>
      </c>
      <c r="BM1063" s="1820">
        <v>1.5033053828883494E-2</v>
      </c>
      <c r="BN1063" s="452">
        <f t="shared" si="36"/>
        <v>2017</v>
      </c>
    </row>
    <row r="1064" spans="1:66">
      <c r="A1064" s="228">
        <f t="shared" si="34"/>
        <v>1900</v>
      </c>
      <c r="B1064" s="228">
        <f t="shared" si="35"/>
        <v>1</v>
      </c>
      <c r="BA1064" s="452" t="s">
        <v>280</v>
      </c>
      <c r="BB1064" s="1818">
        <v>2019</v>
      </c>
      <c r="BC1064" s="452" t="s">
        <v>52</v>
      </c>
      <c r="BD1064" s="452">
        <v>7</v>
      </c>
      <c r="BE1064" s="1819">
        <v>39895639.969999999</v>
      </c>
      <c r="BF1064" s="1820">
        <v>3.3847293865992001E-2</v>
      </c>
      <c r="BH1064" s="452" t="s">
        <v>3</v>
      </c>
      <c r="BI1064" s="452" t="s">
        <v>353</v>
      </c>
      <c r="BJ1064" s="452" t="s">
        <v>54</v>
      </c>
      <c r="BK1064" s="452">
        <v>10</v>
      </c>
      <c r="BL1064" s="1819">
        <v>20951501.390000004</v>
      </c>
      <c r="BM1064" s="1820">
        <v>1.2335041097876217E-2</v>
      </c>
      <c r="BN1064" s="452">
        <f t="shared" si="36"/>
        <v>2017</v>
      </c>
    </row>
    <row r="1065" spans="1:66">
      <c r="A1065" s="228">
        <f t="shared" si="34"/>
        <v>1900</v>
      </c>
      <c r="B1065" s="228">
        <f t="shared" si="35"/>
        <v>1</v>
      </c>
      <c r="BA1065" s="452" t="s">
        <v>280</v>
      </c>
      <c r="BB1065" s="1818">
        <v>2019</v>
      </c>
      <c r="BC1065" s="452" t="s">
        <v>18</v>
      </c>
      <c r="BD1065" s="452">
        <v>8</v>
      </c>
      <c r="BE1065" s="1819">
        <v>39869108.760000005</v>
      </c>
      <c r="BF1065" s="1820">
        <v>3.3824784898541786E-2</v>
      </c>
      <c r="BH1065" s="452" t="s">
        <v>3</v>
      </c>
      <c r="BI1065" s="452" t="s">
        <v>353</v>
      </c>
      <c r="BJ1065" s="452" t="s">
        <v>32</v>
      </c>
      <c r="BL1065" s="1819">
        <v>37682569.420000076</v>
      </c>
      <c r="BM1065" s="1820">
        <v>2.2185333347572302E-2</v>
      </c>
      <c r="BN1065" s="452">
        <f t="shared" si="36"/>
        <v>2017</v>
      </c>
    </row>
    <row r="1066" spans="1:66">
      <c r="A1066" s="228">
        <f t="shared" si="34"/>
        <v>1900</v>
      </c>
      <c r="B1066" s="228">
        <f t="shared" si="35"/>
        <v>1</v>
      </c>
      <c r="BA1066" s="452" t="s">
        <v>280</v>
      </c>
      <c r="BB1066" s="1818">
        <v>2019</v>
      </c>
      <c r="BC1066" s="452" t="s">
        <v>42</v>
      </c>
      <c r="BD1066" s="452">
        <v>9</v>
      </c>
      <c r="BE1066" s="1819">
        <v>39497483.310000002</v>
      </c>
      <c r="BF1066" s="1820">
        <v>3.3509499423144219E-2</v>
      </c>
      <c r="BH1066" s="452" t="s">
        <v>3</v>
      </c>
      <c r="BI1066" s="452" t="s">
        <v>353</v>
      </c>
      <c r="BJ1066" s="452" t="s">
        <v>249</v>
      </c>
      <c r="BL1066" s="1819">
        <v>1698535191.2291012</v>
      </c>
      <c r="BN1066" s="452">
        <f t="shared" si="36"/>
        <v>2017</v>
      </c>
    </row>
    <row r="1067" spans="1:66">
      <c r="A1067" s="228">
        <f t="shared" si="34"/>
        <v>1900</v>
      </c>
      <c r="B1067" s="228">
        <f t="shared" si="35"/>
        <v>1</v>
      </c>
      <c r="BA1067" s="452" t="s">
        <v>280</v>
      </c>
      <c r="BB1067" s="1818">
        <v>2019</v>
      </c>
      <c r="BC1067" s="452" t="s">
        <v>21</v>
      </c>
      <c r="BD1067" s="452">
        <v>10</v>
      </c>
      <c r="BE1067" s="1819">
        <v>35621466.850000001</v>
      </c>
      <c r="BF1067" s="1820">
        <v>3.0221103291394134E-2</v>
      </c>
      <c r="BH1067" s="452" t="s">
        <v>0</v>
      </c>
      <c r="BI1067" s="452" t="s">
        <v>359</v>
      </c>
      <c r="BJ1067" s="452" t="s">
        <v>29</v>
      </c>
      <c r="BK1067" s="452">
        <v>1</v>
      </c>
      <c r="BL1067" s="1819">
        <v>2447938951.9499998</v>
      </c>
      <c r="BM1067" s="1820">
        <v>0.26418813943596842</v>
      </c>
      <c r="BN1067" s="452">
        <f t="shared" si="36"/>
        <v>2018</v>
      </c>
    </row>
    <row r="1068" spans="1:66">
      <c r="A1068" s="228">
        <f t="shared" si="34"/>
        <v>1900</v>
      </c>
      <c r="B1068" s="228">
        <f t="shared" si="35"/>
        <v>1</v>
      </c>
      <c r="BA1068" s="452" t="s">
        <v>280</v>
      </c>
      <c r="BB1068" s="1818">
        <v>2019</v>
      </c>
      <c r="BC1068" s="452" t="s">
        <v>32</v>
      </c>
      <c r="BE1068" s="1819">
        <v>150926451.79000032</v>
      </c>
      <c r="BF1068" s="1820">
        <v>0.12804536961254354</v>
      </c>
      <c r="BH1068" s="452" t="s">
        <v>0</v>
      </c>
      <c r="BI1068" s="452" t="s">
        <v>359</v>
      </c>
      <c r="BJ1068" s="452" t="s">
        <v>14</v>
      </c>
      <c r="BK1068" s="452">
        <v>2</v>
      </c>
      <c r="BL1068" s="1819">
        <v>1376678510.8000002</v>
      </c>
      <c r="BM1068" s="1820">
        <v>0.14857483846973019</v>
      </c>
      <c r="BN1068" s="452">
        <f t="shared" si="36"/>
        <v>2018</v>
      </c>
    </row>
    <row r="1069" spans="1:66">
      <c r="A1069" s="228">
        <f t="shared" si="34"/>
        <v>1900</v>
      </c>
      <c r="B1069" s="228">
        <f t="shared" si="35"/>
        <v>1</v>
      </c>
      <c r="BA1069" s="452" t="s">
        <v>280</v>
      </c>
      <c r="BB1069" s="1818">
        <v>2019</v>
      </c>
      <c r="BC1069" s="452" t="s">
        <v>249</v>
      </c>
      <c r="BE1069" s="1819">
        <v>1178695116.01</v>
      </c>
      <c r="BH1069" s="452" t="s">
        <v>0</v>
      </c>
      <c r="BI1069" s="452" t="s">
        <v>359</v>
      </c>
      <c r="BJ1069" s="452" t="s">
        <v>27</v>
      </c>
      <c r="BK1069" s="452">
        <v>3</v>
      </c>
      <c r="BL1069" s="1819">
        <v>1019876321.77</v>
      </c>
      <c r="BM1069" s="1820">
        <v>0.11006778894080801</v>
      </c>
      <c r="BN1069" s="452">
        <f t="shared" si="36"/>
        <v>2018</v>
      </c>
    </row>
    <row r="1070" spans="1:66">
      <c r="A1070" s="228">
        <f t="shared" si="34"/>
        <v>1900</v>
      </c>
      <c r="B1070" s="228">
        <f t="shared" si="35"/>
        <v>1</v>
      </c>
      <c r="BA1070" s="452" t="s">
        <v>2</v>
      </c>
      <c r="BB1070" s="1818">
        <v>2019</v>
      </c>
      <c r="BC1070" s="452" t="s">
        <v>15</v>
      </c>
      <c r="BD1070" s="452">
        <v>1</v>
      </c>
      <c r="BE1070" s="1819">
        <v>78719315000</v>
      </c>
      <c r="BF1070" s="1820">
        <v>0.82164233725168911</v>
      </c>
      <c r="BH1070" s="452" t="s">
        <v>0</v>
      </c>
      <c r="BI1070" s="452" t="s">
        <v>359</v>
      </c>
      <c r="BJ1070" s="452" t="s">
        <v>22</v>
      </c>
      <c r="BK1070" s="452">
        <v>4</v>
      </c>
      <c r="BL1070" s="1819">
        <v>804624484.98000002</v>
      </c>
      <c r="BM1070" s="1820">
        <v>8.6837233200671909E-2</v>
      </c>
      <c r="BN1070" s="452">
        <f t="shared" si="36"/>
        <v>2018</v>
      </c>
    </row>
    <row r="1071" spans="1:66">
      <c r="A1071" s="228">
        <f t="shared" si="34"/>
        <v>1900</v>
      </c>
      <c r="B1071" s="228">
        <f t="shared" si="35"/>
        <v>1</v>
      </c>
      <c r="BA1071" s="452" t="s">
        <v>2</v>
      </c>
      <c r="BB1071" s="1818">
        <v>2019</v>
      </c>
      <c r="BC1071" s="452" t="s">
        <v>358</v>
      </c>
      <c r="BD1071" s="452">
        <v>2</v>
      </c>
      <c r="BE1071" s="1819">
        <v>7159053000</v>
      </c>
      <c r="BF1071" s="1820">
        <v>7.4723478468133486E-2</v>
      </c>
      <c r="BH1071" s="452" t="s">
        <v>0</v>
      </c>
      <c r="BI1071" s="452" t="s">
        <v>359</v>
      </c>
      <c r="BJ1071" s="452" t="s">
        <v>18</v>
      </c>
      <c r="BK1071" s="452">
        <v>5</v>
      </c>
      <c r="BL1071" s="1819">
        <v>525934770.19999999</v>
      </c>
      <c r="BM1071" s="1820">
        <v>5.6760291466067418E-2</v>
      </c>
      <c r="BN1071" s="452">
        <f t="shared" si="36"/>
        <v>2018</v>
      </c>
    </row>
    <row r="1072" spans="1:66">
      <c r="A1072" s="228">
        <f t="shared" si="34"/>
        <v>1900</v>
      </c>
      <c r="B1072" s="228">
        <f t="shared" si="35"/>
        <v>1</v>
      </c>
      <c r="BA1072" s="452" t="s">
        <v>2</v>
      </c>
      <c r="BB1072" s="1818">
        <v>2019</v>
      </c>
      <c r="BC1072" s="452" t="s">
        <v>581</v>
      </c>
      <c r="BD1072" s="452">
        <v>3</v>
      </c>
      <c r="BE1072" s="1819">
        <v>5992212000</v>
      </c>
      <c r="BF1072" s="1820">
        <v>6.2544434907590582E-2</v>
      </c>
      <c r="BH1072" s="452" t="s">
        <v>0</v>
      </c>
      <c r="BI1072" s="452" t="s">
        <v>359</v>
      </c>
      <c r="BJ1072" s="452" t="s">
        <v>250</v>
      </c>
      <c r="BK1072" s="452">
        <v>6</v>
      </c>
      <c r="BL1072" s="1819">
        <v>499737874.36000001</v>
      </c>
      <c r="BM1072" s="1820">
        <v>5.3933052181585124E-2</v>
      </c>
      <c r="BN1072" s="452">
        <f t="shared" si="36"/>
        <v>2018</v>
      </c>
    </row>
    <row r="1073" spans="1:66">
      <c r="A1073" s="228">
        <f t="shared" si="34"/>
        <v>1900</v>
      </c>
      <c r="B1073" s="228">
        <f t="shared" si="35"/>
        <v>1</v>
      </c>
      <c r="BA1073" s="452" t="s">
        <v>2</v>
      </c>
      <c r="BB1073" s="1818">
        <v>2019</v>
      </c>
      <c r="BC1073" s="452" t="s">
        <v>583</v>
      </c>
      <c r="BD1073" s="452">
        <v>4</v>
      </c>
      <c r="BE1073" s="1819">
        <v>1892914000</v>
      </c>
      <c r="BF1073" s="1820">
        <v>1.975751800147707E-2</v>
      </c>
      <c r="BH1073" s="452" t="s">
        <v>0</v>
      </c>
      <c r="BI1073" s="452" t="s">
        <v>359</v>
      </c>
      <c r="BJ1073" s="452" t="s">
        <v>13</v>
      </c>
      <c r="BK1073" s="452">
        <v>7</v>
      </c>
      <c r="BL1073" s="1819">
        <v>382990417.67999995</v>
      </c>
      <c r="BM1073" s="1820">
        <v>4.1333353427005837E-2</v>
      </c>
      <c r="BN1073" s="452">
        <f t="shared" si="36"/>
        <v>2018</v>
      </c>
    </row>
    <row r="1074" spans="1:66">
      <c r="A1074" s="228">
        <f t="shared" si="34"/>
        <v>1900</v>
      </c>
      <c r="B1074" s="228">
        <f t="shared" si="35"/>
        <v>1</v>
      </c>
      <c r="BA1074" s="452" t="s">
        <v>2</v>
      </c>
      <c r="BB1074" s="1818">
        <v>2019</v>
      </c>
      <c r="BC1074" s="452" t="s">
        <v>77</v>
      </c>
      <c r="BD1074" s="452">
        <v>5</v>
      </c>
      <c r="BE1074" s="1819">
        <v>708598000</v>
      </c>
      <c r="BF1074" s="1820">
        <v>7.3960770224165747E-3</v>
      </c>
      <c r="BH1074" s="452" t="s">
        <v>0</v>
      </c>
      <c r="BI1074" s="452" t="s">
        <v>359</v>
      </c>
      <c r="BJ1074" s="452" t="s">
        <v>25</v>
      </c>
      <c r="BK1074" s="452">
        <v>8</v>
      </c>
      <c r="BL1074" s="1819">
        <v>379478309.70000005</v>
      </c>
      <c r="BM1074" s="1820">
        <v>4.095431731093143E-2</v>
      </c>
      <c r="BN1074" s="452">
        <f t="shared" si="36"/>
        <v>2018</v>
      </c>
    </row>
    <row r="1075" spans="1:66">
      <c r="A1075" s="228">
        <f t="shared" si="34"/>
        <v>1900</v>
      </c>
      <c r="B1075" s="228">
        <f t="shared" si="35"/>
        <v>1</v>
      </c>
      <c r="BA1075" s="452" t="s">
        <v>2</v>
      </c>
      <c r="BB1075" s="1818">
        <v>2019</v>
      </c>
      <c r="BC1075" s="452" t="s">
        <v>32</v>
      </c>
      <c r="BE1075" s="1819">
        <v>1335185000</v>
      </c>
      <c r="BF1075" s="1820">
        <v>1.3936154348693159E-2</v>
      </c>
      <c r="BH1075" s="452" t="s">
        <v>0</v>
      </c>
      <c r="BI1075" s="452" t="s">
        <v>359</v>
      </c>
      <c r="BJ1075" s="452" t="s">
        <v>431</v>
      </c>
      <c r="BK1075" s="452">
        <v>9</v>
      </c>
      <c r="BL1075" s="1819">
        <v>322625317.02999997</v>
      </c>
      <c r="BM1075" s="1820">
        <v>3.4818589807233104E-2</v>
      </c>
      <c r="BN1075" s="452">
        <f t="shared" si="36"/>
        <v>2018</v>
      </c>
    </row>
    <row r="1076" spans="1:66">
      <c r="A1076" s="228">
        <f t="shared" si="34"/>
        <v>1900</v>
      </c>
      <c r="B1076" s="228">
        <f t="shared" si="35"/>
        <v>1</v>
      </c>
      <c r="BA1076" s="452" t="s">
        <v>2</v>
      </c>
      <c r="BB1076" s="1818">
        <v>2019</v>
      </c>
      <c r="BC1076" s="452" t="s">
        <v>249</v>
      </c>
      <c r="BE1076" s="1819">
        <v>95807277000</v>
      </c>
      <c r="BH1076" s="452" t="s">
        <v>0</v>
      </c>
      <c r="BI1076" s="452" t="s">
        <v>359</v>
      </c>
      <c r="BJ1076" s="452" t="s">
        <v>16</v>
      </c>
      <c r="BK1076" s="452">
        <v>10</v>
      </c>
      <c r="BL1076" s="1819">
        <v>257160750.98000002</v>
      </c>
      <c r="BM1076" s="1820">
        <v>2.7753478199790609E-2</v>
      </c>
      <c r="BN1076" s="452">
        <f t="shared" si="36"/>
        <v>2018</v>
      </c>
    </row>
    <row r="1077" spans="1:66">
      <c r="A1077" s="228">
        <f t="shared" si="34"/>
        <v>1900</v>
      </c>
      <c r="B1077" s="228">
        <f t="shared" si="35"/>
        <v>1</v>
      </c>
      <c r="BA1077" s="452" t="s">
        <v>1</v>
      </c>
      <c r="BB1077" s="1818">
        <v>2019</v>
      </c>
      <c r="BC1077" s="452" t="s">
        <v>51</v>
      </c>
      <c r="BD1077" s="452">
        <v>1</v>
      </c>
      <c r="BE1077" s="1819">
        <v>11983964000</v>
      </c>
      <c r="BF1077" s="1820">
        <v>0.58163745997226346</v>
      </c>
      <c r="BH1077" s="452" t="s">
        <v>0</v>
      </c>
      <c r="BI1077" s="452" t="s">
        <v>359</v>
      </c>
      <c r="BJ1077" s="452" t="s">
        <v>32</v>
      </c>
      <c r="BL1077" s="1819">
        <v>1248846987.9899998</v>
      </c>
      <c r="BM1077" s="1820">
        <v>0.1347789175602081</v>
      </c>
      <c r="BN1077" s="452">
        <f t="shared" si="36"/>
        <v>2018</v>
      </c>
    </row>
    <row r="1078" spans="1:66">
      <c r="A1078" s="228">
        <f t="shared" si="34"/>
        <v>1900</v>
      </c>
      <c r="B1078" s="228">
        <f t="shared" si="35"/>
        <v>1</v>
      </c>
      <c r="BA1078" s="452" t="s">
        <v>1</v>
      </c>
      <c r="BB1078" s="1818">
        <v>2019</v>
      </c>
      <c r="BC1078" s="452" t="s">
        <v>592</v>
      </c>
      <c r="BD1078" s="452">
        <v>2</v>
      </c>
      <c r="BE1078" s="1819">
        <v>3396127000</v>
      </c>
      <c r="BF1078" s="1820">
        <v>0.16482982442397381</v>
      </c>
      <c r="BH1078" s="452" t="s">
        <v>0</v>
      </c>
      <c r="BI1078" s="452" t="s">
        <v>359</v>
      </c>
      <c r="BJ1078" s="452" t="s">
        <v>249</v>
      </c>
      <c r="BL1078" s="1819">
        <v>9265892697.4399986</v>
      </c>
      <c r="BN1078" s="452">
        <f t="shared" si="36"/>
        <v>2018</v>
      </c>
    </row>
    <row r="1079" spans="1:66">
      <c r="A1079" s="228">
        <f t="shared" si="34"/>
        <v>1900</v>
      </c>
      <c r="B1079" s="228">
        <f t="shared" si="35"/>
        <v>1</v>
      </c>
      <c r="BA1079" s="452" t="s">
        <v>1</v>
      </c>
      <c r="BB1079" s="1818">
        <v>2019</v>
      </c>
      <c r="BC1079" s="452" t="s">
        <v>15</v>
      </c>
      <c r="BD1079" s="452">
        <v>3</v>
      </c>
      <c r="BE1079" s="1819">
        <v>2990924000</v>
      </c>
      <c r="BF1079" s="1820">
        <v>0.14516343993774364</v>
      </c>
      <c r="BH1079" s="452" t="s">
        <v>228</v>
      </c>
      <c r="BI1079" s="452" t="s">
        <v>359</v>
      </c>
      <c r="BJ1079" s="452" t="s">
        <v>15</v>
      </c>
      <c r="BK1079" s="452">
        <v>1</v>
      </c>
      <c r="BL1079" s="1819">
        <v>1849671381.7699997</v>
      </c>
      <c r="BM1079" s="1820">
        <v>0.37493240526394805</v>
      </c>
      <c r="BN1079" s="452">
        <f t="shared" si="36"/>
        <v>2018</v>
      </c>
    </row>
    <row r="1080" spans="1:66">
      <c r="A1080" s="228">
        <f t="shared" si="34"/>
        <v>1900</v>
      </c>
      <c r="B1080" s="228">
        <f t="shared" si="35"/>
        <v>1</v>
      </c>
      <c r="BA1080" s="452" t="s">
        <v>1</v>
      </c>
      <c r="BB1080" s="1818">
        <v>2019</v>
      </c>
      <c r="BC1080" s="452" t="s">
        <v>355</v>
      </c>
      <c r="BD1080" s="452">
        <v>4</v>
      </c>
      <c r="BE1080" s="1819">
        <v>1363404000</v>
      </c>
      <c r="BF1080" s="1820">
        <v>6.6172331582106211E-2</v>
      </c>
      <c r="BH1080" s="452" t="s">
        <v>228</v>
      </c>
      <c r="BI1080" s="452" t="s">
        <v>359</v>
      </c>
      <c r="BJ1080" s="452" t="s">
        <v>53</v>
      </c>
      <c r="BK1080" s="452">
        <v>2</v>
      </c>
      <c r="BL1080" s="1819">
        <v>879650801.70000005</v>
      </c>
      <c r="BM1080" s="1820">
        <v>0.17830712748452521</v>
      </c>
      <c r="BN1080" s="452">
        <f t="shared" si="36"/>
        <v>2018</v>
      </c>
    </row>
    <row r="1081" spans="1:66">
      <c r="A1081" s="228">
        <f t="shared" si="34"/>
        <v>1900</v>
      </c>
      <c r="B1081" s="228">
        <f t="shared" si="35"/>
        <v>1</v>
      </c>
      <c r="BA1081" s="452" t="s">
        <v>1</v>
      </c>
      <c r="BB1081" s="1818">
        <v>2019</v>
      </c>
      <c r="BC1081" s="452" t="s">
        <v>356</v>
      </c>
      <c r="BD1081" s="452">
        <v>5</v>
      </c>
      <c r="BE1081" s="1819">
        <v>265817000</v>
      </c>
      <c r="BF1081" s="1820">
        <v>1.290133420773353E-2</v>
      </c>
      <c r="BH1081" s="452" t="s">
        <v>228</v>
      </c>
      <c r="BI1081" s="452" t="s">
        <v>359</v>
      </c>
      <c r="BJ1081" s="452" t="s">
        <v>581</v>
      </c>
      <c r="BK1081" s="452">
        <v>3</v>
      </c>
      <c r="BL1081" s="1819">
        <v>656981517.92999995</v>
      </c>
      <c r="BM1081" s="1820">
        <v>0.13317158018401129</v>
      </c>
      <c r="BN1081" s="452">
        <f t="shared" si="36"/>
        <v>2018</v>
      </c>
    </row>
    <row r="1082" spans="1:66">
      <c r="A1082" s="228">
        <f t="shared" si="34"/>
        <v>1900</v>
      </c>
      <c r="B1082" s="228">
        <f t="shared" si="35"/>
        <v>1</v>
      </c>
      <c r="BA1082" s="452" t="s">
        <v>1</v>
      </c>
      <c r="BB1082" s="1818">
        <v>2019</v>
      </c>
      <c r="BC1082" s="452" t="s">
        <v>241</v>
      </c>
      <c r="BD1082" s="452">
        <v>6</v>
      </c>
      <c r="BE1082" s="1819">
        <v>151869000</v>
      </c>
      <c r="BF1082" s="1820">
        <v>7.3709082744680869E-3</v>
      </c>
      <c r="BH1082" s="452" t="s">
        <v>228</v>
      </c>
      <c r="BI1082" s="452" t="s">
        <v>359</v>
      </c>
      <c r="BJ1082" s="452" t="s">
        <v>20</v>
      </c>
      <c r="BK1082" s="452">
        <v>4</v>
      </c>
      <c r="BL1082" s="1819">
        <v>425596461.69999999</v>
      </c>
      <c r="BM1082" s="1820">
        <v>8.6269326881356648E-2</v>
      </c>
      <c r="BN1082" s="452">
        <f t="shared" si="36"/>
        <v>2018</v>
      </c>
    </row>
    <row r="1083" spans="1:66">
      <c r="A1083" s="228">
        <f t="shared" si="34"/>
        <v>1900</v>
      </c>
      <c r="B1083" s="228">
        <f t="shared" si="35"/>
        <v>1</v>
      </c>
      <c r="BA1083" s="452" t="s">
        <v>1</v>
      </c>
      <c r="BB1083" s="1818">
        <v>2019</v>
      </c>
      <c r="BC1083" s="452" t="s">
        <v>431</v>
      </c>
      <c r="BD1083" s="452">
        <v>7</v>
      </c>
      <c r="BE1083" s="1819">
        <v>116526000</v>
      </c>
      <c r="BF1083" s="1820">
        <v>5.6555482527090341E-3</v>
      </c>
      <c r="BH1083" s="452" t="s">
        <v>228</v>
      </c>
      <c r="BI1083" s="452" t="s">
        <v>359</v>
      </c>
      <c r="BJ1083" s="452" t="s">
        <v>46</v>
      </c>
      <c r="BK1083" s="452">
        <v>5</v>
      </c>
      <c r="BL1083" s="1819">
        <v>360180909.46000004</v>
      </c>
      <c r="BM1083" s="1820">
        <v>7.3009452405955161E-2</v>
      </c>
      <c r="BN1083" s="452">
        <f t="shared" si="36"/>
        <v>2018</v>
      </c>
    </row>
    <row r="1084" spans="1:66">
      <c r="A1084" s="228">
        <f t="shared" si="34"/>
        <v>1900</v>
      </c>
      <c r="B1084" s="228">
        <f t="shared" si="35"/>
        <v>1</v>
      </c>
      <c r="BA1084" s="452" t="s">
        <v>1</v>
      </c>
      <c r="BB1084" s="1818">
        <v>2019</v>
      </c>
      <c r="BC1084" s="452" t="s">
        <v>581</v>
      </c>
      <c r="BD1084" s="452">
        <v>8</v>
      </c>
      <c r="BE1084" s="1819">
        <v>112952000</v>
      </c>
      <c r="BF1084" s="1820">
        <v>5.4820854250552734E-3</v>
      </c>
      <c r="BH1084" s="452" t="s">
        <v>228</v>
      </c>
      <c r="BI1084" s="452" t="s">
        <v>359</v>
      </c>
      <c r="BJ1084" s="452" t="s">
        <v>18</v>
      </c>
      <c r="BK1084" s="452">
        <v>6</v>
      </c>
      <c r="BL1084" s="1819">
        <v>316761255.86000001</v>
      </c>
      <c r="BM1084" s="1820">
        <v>6.4208194344430078E-2</v>
      </c>
      <c r="BN1084" s="452">
        <f t="shared" si="36"/>
        <v>2018</v>
      </c>
    </row>
    <row r="1085" spans="1:66">
      <c r="A1085" s="228">
        <f t="shared" si="34"/>
        <v>1900</v>
      </c>
      <c r="B1085" s="228">
        <f t="shared" si="35"/>
        <v>1</v>
      </c>
      <c r="BA1085" s="452" t="s">
        <v>1</v>
      </c>
      <c r="BB1085" s="1818">
        <v>2019</v>
      </c>
      <c r="BC1085" s="452" t="s">
        <v>354</v>
      </c>
      <c r="BD1085" s="452">
        <v>9</v>
      </c>
      <c r="BE1085" s="1819">
        <v>92815000</v>
      </c>
      <c r="BF1085" s="1820">
        <v>4.5047432424968588E-3</v>
      </c>
      <c r="BH1085" s="452" t="s">
        <v>228</v>
      </c>
      <c r="BI1085" s="452" t="s">
        <v>359</v>
      </c>
      <c r="BJ1085" s="452" t="s">
        <v>583</v>
      </c>
      <c r="BK1085" s="452">
        <v>7</v>
      </c>
      <c r="BL1085" s="1819">
        <v>187269616.85999998</v>
      </c>
      <c r="BM1085" s="1820">
        <v>3.7959957954795558E-2</v>
      </c>
      <c r="BN1085" s="452">
        <f t="shared" si="36"/>
        <v>2018</v>
      </c>
    </row>
    <row r="1086" spans="1:66">
      <c r="A1086" s="228">
        <f t="shared" si="34"/>
        <v>1900</v>
      </c>
      <c r="B1086" s="228">
        <f t="shared" si="35"/>
        <v>1</v>
      </c>
      <c r="BA1086" s="452" t="s">
        <v>1</v>
      </c>
      <c r="BB1086" s="1818">
        <v>2019</v>
      </c>
      <c r="BC1086" s="452" t="s">
        <v>357</v>
      </c>
      <c r="BD1086" s="452">
        <v>10</v>
      </c>
      <c r="BE1086" s="1819">
        <v>54470000</v>
      </c>
      <c r="BF1086" s="1820">
        <v>2.643682211052135E-3</v>
      </c>
      <c r="BH1086" s="452" t="s">
        <v>228</v>
      </c>
      <c r="BI1086" s="452" t="s">
        <v>359</v>
      </c>
      <c r="BJ1086" s="452" t="s">
        <v>21</v>
      </c>
      <c r="BK1086" s="452">
        <v>8</v>
      </c>
      <c r="BL1086" s="1819">
        <v>95315065.400000006</v>
      </c>
      <c r="BM1086" s="1820">
        <v>1.9320570713547567E-2</v>
      </c>
      <c r="BN1086" s="452">
        <f t="shared" si="36"/>
        <v>2018</v>
      </c>
    </row>
    <row r="1087" spans="1:66">
      <c r="A1087" s="228">
        <f t="shared" si="34"/>
        <v>1900</v>
      </c>
      <c r="B1087" s="228">
        <f t="shared" si="35"/>
        <v>1</v>
      </c>
      <c r="BA1087" s="452" t="s">
        <v>1</v>
      </c>
      <c r="BB1087" s="1818">
        <v>2019</v>
      </c>
      <c r="BC1087" s="452" t="s">
        <v>32</v>
      </c>
      <c r="BE1087" s="1819">
        <v>74970000</v>
      </c>
      <c r="BF1087" s="1820">
        <v>3.6386424703979911E-3</v>
      </c>
      <c r="BH1087" s="452" t="s">
        <v>228</v>
      </c>
      <c r="BI1087" s="452" t="s">
        <v>359</v>
      </c>
      <c r="BJ1087" s="452" t="s">
        <v>245</v>
      </c>
      <c r="BK1087" s="452">
        <v>9</v>
      </c>
      <c r="BL1087" s="1819">
        <v>92038894.219999999</v>
      </c>
      <c r="BM1087" s="1820">
        <v>1.8656483701832871E-2</v>
      </c>
      <c r="BN1087" s="452">
        <f t="shared" si="36"/>
        <v>2018</v>
      </c>
    </row>
    <row r="1088" spans="1:66">
      <c r="A1088" s="228">
        <f t="shared" si="34"/>
        <v>1900</v>
      </c>
      <c r="B1088" s="228">
        <f t="shared" si="35"/>
        <v>1</v>
      </c>
      <c r="BA1088" s="452" t="s">
        <v>1</v>
      </c>
      <c r="BB1088" s="1818">
        <v>2019</v>
      </c>
      <c r="BC1088" s="452" t="s">
        <v>249</v>
      </c>
      <c r="BE1088" s="1819">
        <v>20603838000</v>
      </c>
      <c r="BH1088" s="452" t="s">
        <v>228</v>
      </c>
      <c r="BI1088" s="452" t="s">
        <v>359</v>
      </c>
      <c r="BJ1088" s="452" t="s">
        <v>50</v>
      </c>
      <c r="BK1088" s="452">
        <v>10</v>
      </c>
      <c r="BL1088" s="1819">
        <v>33412653.98</v>
      </c>
      <c r="BM1088" s="1820">
        <v>6.77281751041936E-3</v>
      </c>
      <c r="BN1088" s="452">
        <f t="shared" si="36"/>
        <v>2018</v>
      </c>
    </row>
    <row r="1089" spans="1:66">
      <c r="A1089" s="228">
        <f t="shared" si="34"/>
        <v>1900</v>
      </c>
      <c r="B1089" s="228">
        <f t="shared" si="35"/>
        <v>1</v>
      </c>
      <c r="BA1089" s="452" t="s">
        <v>4</v>
      </c>
      <c r="BB1089" s="1818">
        <v>2019</v>
      </c>
      <c r="BC1089" s="452" t="s">
        <v>20</v>
      </c>
      <c r="BD1089" s="452">
        <v>1</v>
      </c>
      <c r="BE1089" s="1819">
        <v>15512007283.194126</v>
      </c>
      <c r="BF1089" s="1820">
        <v>0.42057267868769044</v>
      </c>
      <c r="BH1089" s="452" t="s">
        <v>228</v>
      </c>
      <c r="BI1089" s="452" t="s">
        <v>359</v>
      </c>
      <c r="BJ1089" s="452" t="s">
        <v>32</v>
      </c>
      <c r="BL1089" s="1819">
        <v>36467707.81000042</v>
      </c>
      <c r="BM1089" s="1820">
        <v>7.3920835551785071E-3</v>
      </c>
      <c r="BN1089" s="452">
        <f t="shared" si="36"/>
        <v>2018</v>
      </c>
    </row>
    <row r="1090" spans="1:66">
      <c r="A1090" s="228">
        <f t="shared" si="34"/>
        <v>1900</v>
      </c>
      <c r="B1090" s="228">
        <f t="shared" si="35"/>
        <v>1</v>
      </c>
      <c r="BA1090" s="452" t="s">
        <v>4</v>
      </c>
      <c r="BB1090" s="1818">
        <v>2019</v>
      </c>
      <c r="BC1090" s="452" t="s">
        <v>15</v>
      </c>
      <c r="BD1090" s="452">
        <v>2</v>
      </c>
      <c r="BE1090" s="1819">
        <v>6105389093.0109987</v>
      </c>
      <c r="BF1090" s="1820">
        <v>0.16553369260341844</v>
      </c>
      <c r="BH1090" s="452" t="s">
        <v>228</v>
      </c>
      <c r="BI1090" s="452" t="s">
        <v>359</v>
      </c>
      <c r="BJ1090" s="452" t="s">
        <v>249</v>
      </c>
      <c r="BL1090" s="1819">
        <v>4933346266.6899986</v>
      </c>
      <c r="BN1090" s="452">
        <f t="shared" si="36"/>
        <v>2018</v>
      </c>
    </row>
    <row r="1091" spans="1:66">
      <c r="A1091" s="228">
        <f t="shared" si="34"/>
        <v>1900</v>
      </c>
      <c r="B1091" s="228">
        <f t="shared" si="35"/>
        <v>1</v>
      </c>
      <c r="BA1091" s="452" t="s">
        <v>4</v>
      </c>
      <c r="BB1091" s="1818">
        <v>2019</v>
      </c>
      <c r="BC1091" s="452" t="s">
        <v>49</v>
      </c>
      <c r="BD1091" s="452">
        <v>3</v>
      </c>
      <c r="BE1091" s="1819">
        <v>5497002088.1683006</v>
      </c>
      <c r="BF1091" s="1820">
        <v>0.14903866732176532</v>
      </c>
      <c r="BH1091" s="452" t="s">
        <v>342</v>
      </c>
      <c r="BI1091" s="452" t="s">
        <v>359</v>
      </c>
      <c r="BL1091" s="1819">
        <v>1698686583.2099996</v>
      </c>
      <c r="BN1091" s="452">
        <f t="shared" si="36"/>
        <v>2018</v>
      </c>
    </row>
    <row r="1092" spans="1:66">
      <c r="A1092" s="228">
        <f t="shared" si="34"/>
        <v>1900</v>
      </c>
      <c r="B1092" s="228">
        <f t="shared" si="35"/>
        <v>1</v>
      </c>
      <c r="BA1092" s="452" t="s">
        <v>4</v>
      </c>
      <c r="BB1092" s="1818">
        <v>2019</v>
      </c>
      <c r="BC1092" s="452" t="s">
        <v>581</v>
      </c>
      <c r="BD1092" s="452">
        <v>4</v>
      </c>
      <c r="BE1092" s="1819">
        <v>3028046255.7830997</v>
      </c>
      <c r="BF1092" s="1820">
        <v>8.2098564146799224E-2</v>
      </c>
      <c r="BH1092" s="452" t="s">
        <v>3</v>
      </c>
      <c r="BI1092" s="452" t="s">
        <v>359</v>
      </c>
      <c r="BJ1092" s="452" t="s">
        <v>15</v>
      </c>
      <c r="BK1092" s="452">
        <v>1</v>
      </c>
      <c r="BL1092" s="1819">
        <v>1168828700.1600051</v>
      </c>
      <c r="BM1092" s="1820">
        <v>0.4316061328750041</v>
      </c>
      <c r="BN1092" s="452">
        <f t="shared" si="36"/>
        <v>2018</v>
      </c>
    </row>
    <row r="1093" spans="1:66">
      <c r="A1093" s="228">
        <f t="shared" si="34"/>
        <v>1900</v>
      </c>
      <c r="B1093" s="228">
        <f t="shared" si="35"/>
        <v>1</v>
      </c>
      <c r="BA1093" s="452" t="s">
        <v>4</v>
      </c>
      <c r="BB1093" s="1818">
        <v>2019</v>
      </c>
      <c r="BC1093" s="452" t="s">
        <v>21</v>
      </c>
      <c r="BD1093" s="452">
        <v>5</v>
      </c>
      <c r="BE1093" s="1819">
        <v>2029774809.0510001</v>
      </c>
      <c r="BF1093" s="1820">
        <v>5.5032711949551963E-2</v>
      </c>
      <c r="BH1093" s="452" t="s">
        <v>3</v>
      </c>
      <c r="BI1093" s="452" t="s">
        <v>359</v>
      </c>
      <c r="BJ1093" s="452" t="s">
        <v>20</v>
      </c>
      <c r="BK1093" s="452">
        <v>2</v>
      </c>
      <c r="BL1093" s="1819">
        <v>470486886.43001038</v>
      </c>
      <c r="BM1093" s="1820">
        <v>0.17373377774917723</v>
      </c>
      <c r="BN1093" s="452">
        <f t="shared" si="36"/>
        <v>2018</v>
      </c>
    </row>
    <row r="1094" spans="1:66">
      <c r="A1094" s="228">
        <f t="shared" si="34"/>
        <v>1900</v>
      </c>
      <c r="B1094" s="228">
        <f t="shared" si="35"/>
        <v>1</v>
      </c>
      <c r="BA1094" s="452" t="s">
        <v>4</v>
      </c>
      <c r="BB1094" s="1818">
        <v>2019</v>
      </c>
      <c r="BC1094" s="452" t="s">
        <v>583</v>
      </c>
      <c r="BD1094" s="452">
        <v>6</v>
      </c>
      <c r="BE1094" s="1819">
        <v>1373377702.1822</v>
      </c>
      <c r="BF1094" s="1820">
        <v>3.7236002311737987E-2</v>
      </c>
      <c r="BH1094" s="452" t="s">
        <v>3</v>
      </c>
      <c r="BI1094" s="452" t="s">
        <v>359</v>
      </c>
      <c r="BJ1094" s="452" t="s">
        <v>581</v>
      </c>
      <c r="BK1094" s="452">
        <v>3</v>
      </c>
      <c r="BL1094" s="1819">
        <v>285405319</v>
      </c>
      <c r="BM1094" s="1820">
        <v>0.10538985397833234</v>
      </c>
      <c r="BN1094" s="452">
        <f t="shared" si="36"/>
        <v>2018</v>
      </c>
    </row>
    <row r="1095" spans="1:66">
      <c r="A1095" s="228">
        <f t="shared" si="34"/>
        <v>1900</v>
      </c>
      <c r="B1095" s="228">
        <f t="shared" si="35"/>
        <v>1</v>
      </c>
      <c r="BA1095" s="452" t="s">
        <v>4</v>
      </c>
      <c r="BB1095" s="1818">
        <v>2019</v>
      </c>
      <c r="BC1095" s="452" t="s">
        <v>28</v>
      </c>
      <c r="BD1095" s="452">
        <v>7</v>
      </c>
      <c r="BE1095" s="1819">
        <v>1074962675.6193004</v>
      </c>
      <c r="BF1095" s="1820">
        <v>2.9145159857184046E-2</v>
      </c>
      <c r="BH1095" s="452" t="s">
        <v>3</v>
      </c>
      <c r="BI1095" s="452" t="s">
        <v>359</v>
      </c>
      <c r="BJ1095" s="452" t="s">
        <v>583</v>
      </c>
      <c r="BK1095" s="452">
        <v>4</v>
      </c>
      <c r="BL1095" s="1819">
        <v>270601031.06953681</v>
      </c>
      <c r="BM1095" s="1820">
        <v>9.9923166291111268E-2</v>
      </c>
      <c r="BN1095" s="452">
        <f t="shared" si="36"/>
        <v>2018</v>
      </c>
    </row>
    <row r="1096" spans="1:66">
      <c r="A1096" s="228">
        <f t="shared" si="34"/>
        <v>1900</v>
      </c>
      <c r="B1096" s="228">
        <f t="shared" si="35"/>
        <v>1</v>
      </c>
      <c r="BA1096" s="452" t="s">
        <v>4</v>
      </c>
      <c r="BB1096" s="1818">
        <v>2019</v>
      </c>
      <c r="BC1096" s="452" t="s">
        <v>19</v>
      </c>
      <c r="BD1096" s="452">
        <v>8</v>
      </c>
      <c r="BE1096" s="1819">
        <v>844450915.12579989</v>
      </c>
      <c r="BF1096" s="1820">
        <v>2.2895359505117414E-2</v>
      </c>
      <c r="BH1096" s="452" t="s">
        <v>3</v>
      </c>
      <c r="BI1096" s="452" t="s">
        <v>359</v>
      </c>
      <c r="BJ1096" s="452" t="s">
        <v>23</v>
      </c>
      <c r="BK1096" s="452">
        <v>5</v>
      </c>
      <c r="BL1096" s="1819">
        <v>180682147.58000001</v>
      </c>
      <c r="BM1096" s="1820">
        <v>6.6719377258514567E-2</v>
      </c>
      <c r="BN1096" s="452">
        <f t="shared" si="36"/>
        <v>2018</v>
      </c>
    </row>
    <row r="1097" spans="1:66">
      <c r="A1097" s="228">
        <f t="shared" si="34"/>
        <v>1900</v>
      </c>
      <c r="B1097" s="228">
        <f t="shared" si="35"/>
        <v>1</v>
      </c>
      <c r="BA1097" s="452" t="s">
        <v>4</v>
      </c>
      <c r="BB1097" s="1818">
        <v>2019</v>
      </c>
      <c r="BC1097" s="452" t="s">
        <v>18</v>
      </c>
      <c r="BD1097" s="452">
        <v>9</v>
      </c>
      <c r="BE1097" s="1819">
        <v>475090531.245</v>
      </c>
      <c r="BF1097" s="1820">
        <v>1.2880995586002846E-2</v>
      </c>
      <c r="BH1097" s="452" t="s">
        <v>3</v>
      </c>
      <c r="BI1097" s="452" t="s">
        <v>359</v>
      </c>
      <c r="BJ1097" s="452" t="s">
        <v>54</v>
      </c>
      <c r="BK1097" s="452">
        <v>6</v>
      </c>
      <c r="BL1097" s="1819">
        <v>83704696.170000002</v>
      </c>
      <c r="BM1097" s="1820">
        <v>3.0909114579805622E-2</v>
      </c>
      <c r="BN1097" s="452">
        <f t="shared" si="36"/>
        <v>2018</v>
      </c>
    </row>
    <row r="1098" spans="1:66">
      <c r="A1098" s="228">
        <f t="shared" ref="A1098:A1161" si="37">YEAR(C1098)</f>
        <v>1900</v>
      </c>
      <c r="B1098" s="228">
        <f t="shared" ref="B1098:B1161" si="38">IF(OR(MONTH(C1098)=1,MONTH(C1098)=2,MONTH(C1098)=3),1,IF(OR(MONTH(C1098)=4,MONTH(C1098)=5,MONTH(C1098)=6),2,IF(OR(MONTH(C1098)=7,MONTH(C1098)=8,MONTH(C1098)=9),3,4)))</f>
        <v>1</v>
      </c>
      <c r="BA1098" s="452" t="s">
        <v>4</v>
      </c>
      <c r="BB1098" s="1818">
        <v>2019</v>
      </c>
      <c r="BC1098" s="452" t="s">
        <v>29</v>
      </c>
      <c r="BD1098" s="452">
        <v>10</v>
      </c>
      <c r="BE1098" s="1819">
        <v>399984046.64059997</v>
      </c>
      <c r="BF1098" s="1820">
        <v>1.0844654650867341E-2</v>
      </c>
      <c r="BH1098" s="452" t="s">
        <v>3</v>
      </c>
      <c r="BI1098" s="452" t="s">
        <v>359</v>
      </c>
      <c r="BJ1098" s="452" t="s">
        <v>48</v>
      </c>
      <c r="BK1098" s="452">
        <v>7</v>
      </c>
      <c r="BL1098" s="1819">
        <v>61835664.579999998</v>
      </c>
      <c r="BM1098" s="1820">
        <v>2.2833672769565088E-2</v>
      </c>
      <c r="BN1098" s="452">
        <f t="shared" si="36"/>
        <v>2018</v>
      </c>
    </row>
    <row r="1099" spans="1:66">
      <c r="A1099" s="228">
        <f t="shared" si="37"/>
        <v>1900</v>
      </c>
      <c r="B1099" s="228">
        <f t="shared" si="38"/>
        <v>1</v>
      </c>
      <c r="BA1099" s="452" t="s">
        <v>4</v>
      </c>
      <c r="BB1099" s="1818">
        <v>2019</v>
      </c>
      <c r="BC1099" s="452" t="s">
        <v>32</v>
      </c>
      <c r="BE1099" s="1819">
        <v>542974459.20798492</v>
      </c>
      <c r="BF1099" s="1820">
        <v>1.4721513379864786E-2</v>
      </c>
      <c r="BH1099" s="452" t="s">
        <v>3</v>
      </c>
      <c r="BI1099" s="452" t="s">
        <v>359</v>
      </c>
      <c r="BJ1099" s="452" t="s">
        <v>51</v>
      </c>
      <c r="BK1099" s="452">
        <v>8</v>
      </c>
      <c r="BL1099" s="1819">
        <v>47633436</v>
      </c>
      <c r="BM1099" s="1820">
        <v>1.7589303808757114E-2</v>
      </c>
      <c r="BN1099" s="452">
        <f t="shared" si="36"/>
        <v>2018</v>
      </c>
    </row>
    <row r="1100" spans="1:66">
      <c r="A1100" s="228">
        <f t="shared" si="37"/>
        <v>1900</v>
      </c>
      <c r="B1100" s="228">
        <f t="shared" si="38"/>
        <v>1</v>
      </c>
      <c r="BA1100" s="452" t="s">
        <v>4</v>
      </c>
      <c r="BB1100" s="1818">
        <v>2019</v>
      </c>
      <c r="BC1100" s="452" t="s">
        <v>249</v>
      </c>
      <c r="BE1100" s="1819">
        <v>36883059859.228416</v>
      </c>
      <c r="BH1100" s="452" t="s">
        <v>3</v>
      </c>
      <c r="BI1100" s="452" t="s">
        <v>359</v>
      </c>
      <c r="BJ1100" s="452" t="s">
        <v>50</v>
      </c>
      <c r="BK1100" s="452">
        <v>9</v>
      </c>
      <c r="BL1100" s="1819">
        <v>35239658.309999995</v>
      </c>
      <c r="BM1100" s="1820">
        <v>1.3012730304221223E-2</v>
      </c>
      <c r="BN1100" s="452">
        <f t="shared" si="36"/>
        <v>2018</v>
      </c>
    </row>
    <row r="1101" spans="1:66">
      <c r="A1101" s="228">
        <f t="shared" si="37"/>
        <v>1900</v>
      </c>
      <c r="B1101" s="228">
        <f t="shared" si="38"/>
        <v>1</v>
      </c>
      <c r="BA1101" s="452" t="s">
        <v>0</v>
      </c>
      <c r="BB1101" s="1818">
        <v>2020</v>
      </c>
      <c r="BC1101" s="452" t="s">
        <v>29</v>
      </c>
      <c r="BD1101" s="452">
        <v>1</v>
      </c>
      <c r="BE1101" s="1819">
        <v>1741960629.3199999</v>
      </c>
      <c r="BF1101" s="1820">
        <v>0.26932348709612991</v>
      </c>
      <c r="BH1101" s="452" t="s">
        <v>3</v>
      </c>
      <c r="BI1101" s="452" t="s">
        <v>359</v>
      </c>
      <c r="BJ1101" s="452" t="s">
        <v>431</v>
      </c>
      <c r="BK1101" s="452">
        <v>10</v>
      </c>
      <c r="BL1101" s="1819">
        <v>29638823.149999999</v>
      </c>
      <c r="BM1101" s="1820">
        <v>1.0944544603487632E-2</v>
      </c>
      <c r="BN1101" s="452">
        <f t="shared" si="36"/>
        <v>2018</v>
      </c>
    </row>
    <row r="1102" spans="1:66">
      <c r="A1102" s="228">
        <f t="shared" si="37"/>
        <v>1900</v>
      </c>
      <c r="B1102" s="228">
        <f t="shared" si="38"/>
        <v>1</v>
      </c>
      <c r="BA1102" s="452" t="s">
        <v>0</v>
      </c>
      <c r="BB1102" s="1818">
        <v>2020</v>
      </c>
      <c r="BC1102" s="452" t="s">
        <v>14</v>
      </c>
      <c r="BD1102" s="452">
        <v>2</v>
      </c>
      <c r="BE1102" s="1819">
        <v>836627245.89999974</v>
      </c>
      <c r="BF1102" s="1820">
        <v>0.12935043621128084</v>
      </c>
      <c r="BH1102" s="452" t="s">
        <v>3</v>
      </c>
      <c r="BI1102" s="452" t="s">
        <v>359</v>
      </c>
      <c r="BJ1102" s="452" t="s">
        <v>32</v>
      </c>
      <c r="BL1102" s="1819">
        <v>74034675.029994965</v>
      </c>
      <c r="BM1102" s="1820">
        <v>2.7338325782023904E-2</v>
      </c>
      <c r="BN1102" s="452">
        <f t="shared" si="36"/>
        <v>2018</v>
      </c>
    </row>
    <row r="1103" spans="1:66">
      <c r="A1103" s="228">
        <f t="shared" si="37"/>
        <v>1900</v>
      </c>
      <c r="B1103" s="228">
        <f t="shared" si="38"/>
        <v>1</v>
      </c>
      <c r="BA1103" s="452" t="s">
        <v>0</v>
      </c>
      <c r="BB1103" s="1818">
        <v>2020</v>
      </c>
      <c r="BC1103" s="452" t="s">
        <v>15</v>
      </c>
      <c r="BD1103" s="452">
        <v>3</v>
      </c>
      <c r="BE1103" s="1819">
        <v>629853734.78000009</v>
      </c>
      <c r="BF1103" s="1820">
        <v>9.7381307795509645E-2</v>
      </c>
      <c r="BH1103" s="452" t="s">
        <v>3</v>
      </c>
      <c r="BI1103" s="452" t="s">
        <v>359</v>
      </c>
      <c r="BJ1103" s="452" t="s">
        <v>249</v>
      </c>
      <c r="BL1103" s="1819">
        <v>2708091037.479547</v>
      </c>
      <c r="BN1103" s="452">
        <f t="shared" si="36"/>
        <v>2018</v>
      </c>
    </row>
    <row r="1104" spans="1:66">
      <c r="A1104" s="228">
        <f t="shared" si="37"/>
        <v>1900</v>
      </c>
      <c r="B1104" s="228">
        <f t="shared" si="38"/>
        <v>1</v>
      </c>
      <c r="BA1104" s="452" t="s">
        <v>0</v>
      </c>
      <c r="BB1104" s="1818">
        <v>2020</v>
      </c>
      <c r="BC1104" s="452" t="s">
        <v>27</v>
      </c>
      <c r="BD1104" s="452">
        <v>4</v>
      </c>
      <c r="BE1104" s="1819">
        <v>628861657.38</v>
      </c>
      <c r="BF1104" s="1820">
        <v>9.7227923304298955E-2</v>
      </c>
      <c r="BH1104" s="452" t="s">
        <v>1</v>
      </c>
      <c r="BI1104" s="452" t="s">
        <v>359</v>
      </c>
      <c r="BJ1104" s="452" t="s">
        <v>15</v>
      </c>
      <c r="BK1104" s="452">
        <v>1</v>
      </c>
      <c r="BL1104" s="1819">
        <v>5071740000</v>
      </c>
      <c r="BM1104" s="1820">
        <v>0.30504772810192965</v>
      </c>
      <c r="BN1104" s="452">
        <f t="shared" si="36"/>
        <v>2018</v>
      </c>
    </row>
    <row r="1105" spans="1:66">
      <c r="A1105" s="228">
        <f t="shared" si="37"/>
        <v>1900</v>
      </c>
      <c r="B1105" s="228">
        <f t="shared" si="38"/>
        <v>1</v>
      </c>
      <c r="BA1105" s="452" t="s">
        <v>0</v>
      </c>
      <c r="BB1105" s="1818">
        <v>2020</v>
      </c>
      <c r="BC1105" s="452" t="s">
        <v>22</v>
      </c>
      <c r="BD1105" s="452">
        <v>5</v>
      </c>
      <c r="BE1105" s="1819">
        <v>532042638.28999996</v>
      </c>
      <c r="BF1105" s="1820">
        <v>8.2258792889035454E-2</v>
      </c>
      <c r="BH1105" s="452" t="s">
        <v>1</v>
      </c>
      <c r="BI1105" s="452" t="s">
        <v>359</v>
      </c>
      <c r="BJ1105" s="452" t="s">
        <v>51</v>
      </c>
      <c r="BK1105" s="452">
        <v>2</v>
      </c>
      <c r="BL1105" s="1819">
        <v>4316792000</v>
      </c>
      <c r="BM1105" s="1820">
        <v>0.25964020085583744</v>
      </c>
      <c r="BN1105" s="452">
        <f t="shared" si="36"/>
        <v>2018</v>
      </c>
    </row>
    <row r="1106" spans="1:66">
      <c r="A1106" s="228">
        <f t="shared" si="37"/>
        <v>1900</v>
      </c>
      <c r="B1106" s="228">
        <f t="shared" si="38"/>
        <v>1</v>
      </c>
      <c r="BA1106" s="452" t="s">
        <v>0</v>
      </c>
      <c r="BB1106" s="1818">
        <v>2020</v>
      </c>
      <c r="BC1106" s="452" t="s">
        <v>21</v>
      </c>
      <c r="BD1106" s="452">
        <v>6</v>
      </c>
      <c r="BE1106" s="1819">
        <v>455337809.89000016</v>
      </c>
      <c r="BF1106" s="1820">
        <v>7.0399505420602526E-2</v>
      </c>
      <c r="BH1106" s="452" t="s">
        <v>1</v>
      </c>
      <c r="BI1106" s="452" t="s">
        <v>359</v>
      </c>
      <c r="BJ1106" s="452" t="s">
        <v>592</v>
      </c>
      <c r="BK1106" s="452">
        <v>3</v>
      </c>
      <c r="BL1106" s="1819">
        <v>3784997000</v>
      </c>
      <c r="BM1106" s="1820">
        <v>0.22765455952446684</v>
      </c>
      <c r="BN1106" s="452">
        <f t="shared" si="36"/>
        <v>2018</v>
      </c>
    </row>
    <row r="1107" spans="1:66">
      <c r="A1107" s="228">
        <f t="shared" si="37"/>
        <v>1900</v>
      </c>
      <c r="B1107" s="228">
        <f t="shared" si="38"/>
        <v>1</v>
      </c>
      <c r="BA1107" s="452" t="s">
        <v>0</v>
      </c>
      <c r="BB1107" s="1818">
        <v>2020</v>
      </c>
      <c r="BC1107" s="452" t="s">
        <v>18</v>
      </c>
      <c r="BD1107" s="452">
        <v>7</v>
      </c>
      <c r="BE1107" s="1819">
        <v>430910259.41000009</v>
      </c>
      <c r="BF1107" s="1820">
        <v>6.662277650620764E-2</v>
      </c>
      <c r="BH1107" s="452" t="s">
        <v>1</v>
      </c>
      <c r="BI1107" s="452" t="s">
        <v>359</v>
      </c>
      <c r="BJ1107" s="452" t="s">
        <v>49</v>
      </c>
      <c r="BK1107" s="452">
        <v>4</v>
      </c>
      <c r="BL1107" s="1819">
        <v>1276083000</v>
      </c>
      <c r="BM1107" s="1820">
        <v>7.675200621867341E-2</v>
      </c>
      <c r="BN1107" s="452">
        <f t="shared" si="36"/>
        <v>2018</v>
      </c>
    </row>
    <row r="1108" spans="1:66">
      <c r="A1108" s="228">
        <f t="shared" si="37"/>
        <v>1900</v>
      </c>
      <c r="B1108" s="228">
        <f t="shared" si="38"/>
        <v>1</v>
      </c>
      <c r="BA1108" s="452" t="s">
        <v>0</v>
      </c>
      <c r="BB1108" s="1818">
        <v>2020</v>
      </c>
      <c r="BC1108" s="452" t="s">
        <v>25</v>
      </c>
      <c r="BD1108" s="452">
        <v>8</v>
      </c>
      <c r="BE1108" s="1819">
        <v>241478975.00000003</v>
      </c>
      <c r="BF1108" s="1820">
        <v>3.7334919350494697E-2</v>
      </c>
      <c r="BH1108" s="452" t="s">
        <v>1</v>
      </c>
      <c r="BI1108" s="452" t="s">
        <v>359</v>
      </c>
      <c r="BJ1108" s="452" t="s">
        <v>28</v>
      </c>
      <c r="BK1108" s="452">
        <v>5</v>
      </c>
      <c r="BL1108" s="1819">
        <v>1129607000</v>
      </c>
      <c r="BM1108" s="1820">
        <v>6.7941978295030195E-2</v>
      </c>
      <c r="BN1108" s="452">
        <f t="shared" si="36"/>
        <v>2018</v>
      </c>
    </row>
    <row r="1109" spans="1:66">
      <c r="A1109" s="228">
        <f t="shared" si="37"/>
        <v>1900</v>
      </c>
      <c r="B1109" s="228">
        <f t="shared" si="38"/>
        <v>1</v>
      </c>
      <c r="BA1109" s="452" t="s">
        <v>0</v>
      </c>
      <c r="BB1109" s="1818">
        <v>2020</v>
      </c>
      <c r="BC1109" s="452" t="s">
        <v>13</v>
      </c>
      <c r="BD1109" s="452">
        <v>9</v>
      </c>
      <c r="BE1109" s="1819">
        <v>138225255.53</v>
      </c>
      <c r="BF1109" s="1820">
        <v>2.1370923772614452E-2</v>
      </c>
      <c r="BH1109" s="452" t="s">
        <v>1</v>
      </c>
      <c r="BI1109" s="452" t="s">
        <v>359</v>
      </c>
      <c r="BJ1109" s="452" t="s">
        <v>18</v>
      </c>
      <c r="BK1109" s="452">
        <v>6</v>
      </c>
      <c r="BL1109" s="1819">
        <v>578984000</v>
      </c>
      <c r="BM1109" s="1820">
        <v>3.4823897480424401E-2</v>
      </c>
      <c r="BN1109" s="452">
        <f t="shared" si="36"/>
        <v>2018</v>
      </c>
    </row>
    <row r="1110" spans="1:66">
      <c r="A1110" s="228">
        <f t="shared" si="37"/>
        <v>1900</v>
      </c>
      <c r="B1110" s="228">
        <f t="shared" si="38"/>
        <v>1</v>
      </c>
      <c r="BA1110" s="452" t="s">
        <v>0</v>
      </c>
      <c r="BB1110" s="1818">
        <v>2020</v>
      </c>
      <c r="BC1110" s="452" t="s">
        <v>19</v>
      </c>
      <c r="BD1110" s="452">
        <v>10</v>
      </c>
      <c r="BE1110" s="1819">
        <v>124098606.56000002</v>
      </c>
      <c r="BF1110" s="1820">
        <v>1.9186811056434095E-2</v>
      </c>
      <c r="BH1110" s="452" t="s">
        <v>1</v>
      </c>
      <c r="BI1110" s="452" t="s">
        <v>359</v>
      </c>
      <c r="BJ1110" s="452" t="s">
        <v>431</v>
      </c>
      <c r="BK1110" s="452">
        <v>7</v>
      </c>
      <c r="BL1110" s="1819">
        <v>124207000</v>
      </c>
      <c r="BM1110" s="1820">
        <v>7.4706241180258403E-3</v>
      </c>
      <c r="BN1110" s="452">
        <f t="shared" si="36"/>
        <v>2018</v>
      </c>
    </row>
    <row r="1111" spans="1:66">
      <c r="A1111" s="228">
        <f t="shared" si="37"/>
        <v>1900</v>
      </c>
      <c r="B1111" s="228">
        <f t="shared" si="38"/>
        <v>1</v>
      </c>
      <c r="BA1111" s="452" t="s">
        <v>0</v>
      </c>
      <c r="BB1111" s="1818">
        <v>2020</v>
      </c>
      <c r="BC1111" s="452" t="s">
        <v>32</v>
      </c>
      <c r="BE1111" s="1819">
        <v>708515244.56000042</v>
      </c>
      <c r="BF1111" s="1820">
        <v>0.10954311659739172</v>
      </c>
      <c r="BH1111" s="452" t="s">
        <v>1</v>
      </c>
      <c r="BI1111" s="452" t="s">
        <v>359</v>
      </c>
      <c r="BJ1111" s="452" t="s">
        <v>581</v>
      </c>
      <c r="BK1111" s="452">
        <v>8</v>
      </c>
      <c r="BL1111" s="1819">
        <v>118040000</v>
      </c>
      <c r="BM1111" s="1820">
        <v>7.0997002656192501E-3</v>
      </c>
      <c r="BN1111" s="452">
        <f t="shared" si="36"/>
        <v>2018</v>
      </c>
    </row>
    <row r="1112" spans="1:66">
      <c r="A1112" s="228">
        <f t="shared" si="37"/>
        <v>1900</v>
      </c>
      <c r="B1112" s="228">
        <f t="shared" si="38"/>
        <v>1</v>
      </c>
      <c r="BA1112" s="452" t="s">
        <v>0</v>
      </c>
      <c r="BB1112" s="1818">
        <v>2020</v>
      </c>
      <c r="BC1112" s="452" t="s">
        <v>249</v>
      </c>
      <c r="BE1112" s="1819">
        <v>6467912056.6200008</v>
      </c>
      <c r="BH1112" s="452" t="s">
        <v>1</v>
      </c>
      <c r="BI1112" s="452" t="s">
        <v>359</v>
      </c>
      <c r="BJ1112" s="452" t="s">
        <v>241</v>
      </c>
      <c r="BK1112" s="452">
        <v>9</v>
      </c>
      <c r="BL1112" s="1819">
        <v>107295000</v>
      </c>
      <c r="BM1112" s="1820">
        <v>6.4534254489970978E-3</v>
      </c>
      <c r="BN1112" s="452">
        <f t="shared" si="36"/>
        <v>2018</v>
      </c>
    </row>
    <row r="1113" spans="1:66">
      <c r="A1113" s="228">
        <f t="shared" si="37"/>
        <v>1900</v>
      </c>
      <c r="B1113" s="228">
        <f t="shared" si="38"/>
        <v>1</v>
      </c>
      <c r="BA1113" s="452" t="s">
        <v>228</v>
      </c>
      <c r="BB1113" s="1818">
        <v>2020</v>
      </c>
      <c r="BC1113" s="452" t="s">
        <v>15</v>
      </c>
      <c r="BD1113" s="452">
        <v>1</v>
      </c>
      <c r="BE1113" s="1824" t="s">
        <v>165</v>
      </c>
      <c r="BF1113" s="1898">
        <v>0.22453189125237435</v>
      </c>
      <c r="BH1113" s="452" t="s">
        <v>1</v>
      </c>
      <c r="BI1113" s="452" t="s">
        <v>359</v>
      </c>
      <c r="BJ1113" s="452" t="s">
        <v>46</v>
      </c>
      <c r="BK1113" s="452">
        <v>10</v>
      </c>
      <c r="BL1113" s="1819">
        <v>44386000</v>
      </c>
      <c r="BM1113" s="1820">
        <v>2.6696653336985431E-3</v>
      </c>
      <c r="BN1113" s="452">
        <f t="shared" si="36"/>
        <v>2018</v>
      </c>
    </row>
    <row r="1114" spans="1:66">
      <c r="A1114" s="228">
        <f t="shared" si="37"/>
        <v>1900</v>
      </c>
      <c r="B1114" s="228">
        <f t="shared" si="38"/>
        <v>1</v>
      </c>
      <c r="BA1114" s="452" t="s">
        <v>228</v>
      </c>
      <c r="BB1114" s="1818">
        <v>2020</v>
      </c>
      <c r="BC1114" s="452" t="s">
        <v>46</v>
      </c>
      <c r="BD1114" s="452">
        <v>2</v>
      </c>
      <c r="BE1114" s="1824" t="s">
        <v>165</v>
      </c>
      <c r="BF1114" s="1898">
        <v>0.21814004874928886</v>
      </c>
      <c r="BH1114" s="452" t="s">
        <v>1</v>
      </c>
      <c r="BI1114" s="452" t="s">
        <v>359</v>
      </c>
      <c r="BJ1114" s="452" t="s">
        <v>32</v>
      </c>
      <c r="BL1114" s="1819">
        <v>73923000</v>
      </c>
      <c r="BM1114" s="1820">
        <v>4.4462143572972877E-3</v>
      </c>
      <c r="BN1114" s="452">
        <f t="shared" si="36"/>
        <v>2018</v>
      </c>
    </row>
    <row r="1115" spans="1:66">
      <c r="A1115" s="228">
        <f t="shared" si="37"/>
        <v>1900</v>
      </c>
      <c r="B1115" s="228">
        <f t="shared" si="38"/>
        <v>1</v>
      </c>
      <c r="BA1115" s="452" t="s">
        <v>228</v>
      </c>
      <c r="BB1115" s="1818">
        <v>2020</v>
      </c>
      <c r="BC1115" s="452" t="s">
        <v>627</v>
      </c>
      <c r="BD1115" s="452">
        <v>3</v>
      </c>
      <c r="BE1115" s="1824" t="s">
        <v>165</v>
      </c>
      <c r="BF1115" s="1898">
        <v>0.18365082024814364</v>
      </c>
      <c r="BH1115" s="452" t="s">
        <v>1</v>
      </c>
      <c r="BI1115" s="452" t="s">
        <v>359</v>
      </c>
      <c r="BJ1115" s="452" t="s">
        <v>70</v>
      </c>
      <c r="BL1115" s="1819">
        <v>16626054000</v>
      </c>
      <c r="BN1115" s="452">
        <f t="shared" si="36"/>
        <v>2018</v>
      </c>
    </row>
    <row r="1116" spans="1:66">
      <c r="A1116" s="228">
        <f t="shared" si="37"/>
        <v>1900</v>
      </c>
      <c r="B1116" s="228">
        <f t="shared" si="38"/>
        <v>1</v>
      </c>
      <c r="BA1116" s="452" t="s">
        <v>228</v>
      </c>
      <c r="BB1116" s="1818">
        <v>2020</v>
      </c>
      <c r="BC1116" s="452" t="s">
        <v>53</v>
      </c>
      <c r="BD1116" s="452">
        <v>4</v>
      </c>
      <c r="BE1116" s="1824" t="s">
        <v>165</v>
      </c>
      <c r="BF1116" s="1898">
        <v>0.15510445384633745</v>
      </c>
      <c r="BH1116" s="452" t="s">
        <v>280</v>
      </c>
      <c r="BI1116" s="452" t="s">
        <v>359</v>
      </c>
      <c r="BJ1116" s="452" t="s">
        <v>15</v>
      </c>
      <c r="BK1116" s="452">
        <v>1</v>
      </c>
      <c r="BL1116" s="1819">
        <v>608817843.95999992</v>
      </c>
      <c r="BM1116" s="1820">
        <v>0.40686085123877858</v>
      </c>
      <c r="BN1116" s="452">
        <f t="shared" si="36"/>
        <v>2018</v>
      </c>
    </row>
    <row r="1117" spans="1:66">
      <c r="A1117" s="228">
        <f t="shared" si="37"/>
        <v>1900</v>
      </c>
      <c r="B1117" s="228">
        <f t="shared" si="38"/>
        <v>1</v>
      </c>
      <c r="BA1117" s="452" t="s">
        <v>228</v>
      </c>
      <c r="BB1117" s="1818">
        <v>2020</v>
      </c>
      <c r="BC1117" s="452" t="s">
        <v>20</v>
      </c>
      <c r="BD1117" s="452">
        <v>5</v>
      </c>
      <c r="BE1117" s="1824" t="s">
        <v>165</v>
      </c>
      <c r="BF1117" s="1898">
        <v>0.11155441356950328</v>
      </c>
      <c r="BH1117" s="452" t="s">
        <v>280</v>
      </c>
      <c r="BI1117" s="452" t="s">
        <v>359</v>
      </c>
      <c r="BJ1117" s="452" t="s">
        <v>431</v>
      </c>
      <c r="BK1117" s="452">
        <v>2</v>
      </c>
      <c r="BL1117" s="1819">
        <v>127675624</v>
      </c>
      <c r="BM1117" s="1820">
        <v>8.5323079108856018E-2</v>
      </c>
      <c r="BN1117" s="452">
        <f t="shared" ref="BN1117:BN1180" si="39">_xlfn.NUMBERVALUE(LEFT(BI1117,4))</f>
        <v>2018</v>
      </c>
    </row>
    <row r="1118" spans="1:66">
      <c r="A1118" s="228">
        <f t="shared" si="37"/>
        <v>1900</v>
      </c>
      <c r="B1118" s="228">
        <f t="shared" si="38"/>
        <v>1</v>
      </c>
      <c r="BA1118" s="452" t="s">
        <v>228</v>
      </c>
      <c r="BB1118" s="1818">
        <v>2020</v>
      </c>
      <c r="BC1118" s="452" t="s">
        <v>583</v>
      </c>
      <c r="BD1118" s="452">
        <v>6</v>
      </c>
      <c r="BE1118" s="1824" t="s">
        <v>165</v>
      </c>
      <c r="BF1118" s="1898">
        <v>3.7216140167510584E-2</v>
      </c>
      <c r="BH1118" s="452" t="s">
        <v>280</v>
      </c>
      <c r="BI1118" s="452" t="s">
        <v>359</v>
      </c>
      <c r="BJ1118" s="452" t="s">
        <v>21</v>
      </c>
      <c r="BK1118" s="452">
        <v>3</v>
      </c>
      <c r="BL1118" s="1819">
        <v>120950226.28</v>
      </c>
      <c r="BM1118" s="1820">
        <v>8.0828629630370755E-2</v>
      </c>
      <c r="BN1118" s="452">
        <f t="shared" si="39"/>
        <v>2018</v>
      </c>
    </row>
    <row r="1119" spans="1:66">
      <c r="A1119" s="228">
        <f t="shared" si="37"/>
        <v>1900</v>
      </c>
      <c r="B1119" s="228">
        <f t="shared" si="38"/>
        <v>1</v>
      </c>
      <c r="BA1119" s="452" t="s">
        <v>228</v>
      </c>
      <c r="BB1119" s="1818">
        <v>2020</v>
      </c>
      <c r="BC1119" s="452" t="s">
        <v>245</v>
      </c>
      <c r="BD1119" s="452">
        <v>7</v>
      </c>
      <c r="BE1119" s="1824" t="s">
        <v>165</v>
      </c>
      <c r="BF1119" s="1898">
        <v>2.3456683328248153E-2</v>
      </c>
      <c r="BH1119" s="452" t="s">
        <v>280</v>
      </c>
      <c r="BI1119" s="452" t="s">
        <v>359</v>
      </c>
      <c r="BJ1119" s="452" t="s">
        <v>23</v>
      </c>
      <c r="BK1119" s="452">
        <v>4</v>
      </c>
      <c r="BL1119" s="1819">
        <v>90819022.150000006</v>
      </c>
      <c r="BM1119" s="1820">
        <v>6.0692545442295215E-2</v>
      </c>
      <c r="BN1119" s="452">
        <f t="shared" si="39"/>
        <v>2018</v>
      </c>
    </row>
    <row r="1120" spans="1:66">
      <c r="A1120" s="228">
        <f t="shared" si="37"/>
        <v>1900</v>
      </c>
      <c r="B1120" s="228">
        <f t="shared" si="38"/>
        <v>1</v>
      </c>
      <c r="BA1120" s="452" t="s">
        <v>228</v>
      </c>
      <c r="BB1120" s="1818">
        <v>2020</v>
      </c>
      <c r="BC1120" s="452" t="s">
        <v>45</v>
      </c>
      <c r="BD1120" s="452">
        <v>8</v>
      </c>
      <c r="BE1120" s="1824" t="s">
        <v>165</v>
      </c>
      <c r="BF1120" s="1898">
        <v>2.3147806687080209E-2</v>
      </c>
      <c r="BH1120" s="452" t="s">
        <v>280</v>
      </c>
      <c r="BI1120" s="452" t="s">
        <v>359</v>
      </c>
      <c r="BJ1120" s="452" t="s">
        <v>54</v>
      </c>
      <c r="BK1120" s="452">
        <v>5</v>
      </c>
      <c r="BL1120" s="1819">
        <v>85506882.879999995</v>
      </c>
      <c r="BM1120" s="1820">
        <v>5.7142548465805229E-2</v>
      </c>
      <c r="BN1120" s="452">
        <f t="shared" si="39"/>
        <v>2018</v>
      </c>
    </row>
    <row r="1121" spans="1:66">
      <c r="A1121" s="228">
        <f t="shared" si="37"/>
        <v>1900</v>
      </c>
      <c r="B1121" s="228">
        <f t="shared" si="38"/>
        <v>1</v>
      </c>
      <c r="BA1121" s="452" t="s">
        <v>228</v>
      </c>
      <c r="BB1121" s="1818">
        <v>2020</v>
      </c>
      <c r="BC1121" s="452" t="s">
        <v>21</v>
      </c>
      <c r="BD1121" s="452">
        <v>9</v>
      </c>
      <c r="BE1121" s="1824" t="s">
        <v>165</v>
      </c>
      <c r="BF1121" s="1898">
        <v>1.587869230232759E-2</v>
      </c>
      <c r="BH1121" s="452" t="s">
        <v>280</v>
      </c>
      <c r="BI1121" s="452" t="s">
        <v>359</v>
      </c>
      <c r="BJ1121" s="452" t="s">
        <v>26</v>
      </c>
      <c r="BK1121" s="452">
        <v>6</v>
      </c>
      <c r="BL1121" s="1819">
        <v>76339125.120000005</v>
      </c>
      <c r="BM1121" s="1820">
        <v>5.1015918369152577E-2</v>
      </c>
      <c r="BN1121" s="452">
        <f t="shared" si="39"/>
        <v>2018</v>
      </c>
    </row>
    <row r="1122" spans="1:66">
      <c r="A1122" s="228">
        <f t="shared" si="37"/>
        <v>1900</v>
      </c>
      <c r="B1122" s="228">
        <f t="shared" si="38"/>
        <v>1</v>
      </c>
      <c r="BA1122" s="452" t="s">
        <v>228</v>
      </c>
      <c r="BB1122" s="1818">
        <v>2020</v>
      </c>
      <c r="BC1122" s="452" t="s">
        <v>54</v>
      </c>
      <c r="BD1122" s="452">
        <v>10</v>
      </c>
      <c r="BE1122" s="1824" t="s">
        <v>165</v>
      </c>
      <c r="BF1122" s="1820">
        <v>7.3190498491858937E-3</v>
      </c>
      <c r="BH1122" s="452" t="s">
        <v>280</v>
      </c>
      <c r="BI1122" s="452" t="s">
        <v>359</v>
      </c>
      <c r="BJ1122" s="452" t="s">
        <v>51</v>
      </c>
      <c r="BK1122" s="452">
        <v>7</v>
      </c>
      <c r="BL1122" s="1819">
        <v>68398199.99000001</v>
      </c>
      <c r="BM1122" s="1820">
        <v>4.5709156108374498E-2</v>
      </c>
      <c r="BN1122" s="452">
        <f t="shared" si="39"/>
        <v>2018</v>
      </c>
    </row>
    <row r="1123" spans="1:66">
      <c r="A1123" s="228">
        <f t="shared" si="37"/>
        <v>1900</v>
      </c>
      <c r="B1123" s="228">
        <f t="shared" si="38"/>
        <v>1</v>
      </c>
      <c r="BA1123" s="452" t="s">
        <v>228</v>
      </c>
      <c r="BB1123" s="1818">
        <v>2020</v>
      </c>
      <c r="BC1123" s="452" t="s">
        <v>32</v>
      </c>
      <c r="BE1123" s="1824" t="s">
        <v>165</v>
      </c>
      <c r="BF1123" s="1820">
        <v>0</v>
      </c>
      <c r="BH1123" s="452" t="s">
        <v>280</v>
      </c>
      <c r="BI1123" s="452" t="s">
        <v>359</v>
      </c>
      <c r="BJ1123" s="452" t="s">
        <v>18</v>
      </c>
      <c r="BK1123" s="452">
        <v>8</v>
      </c>
      <c r="BL1123" s="1819">
        <v>57909525.269999996</v>
      </c>
      <c r="BM1123" s="1820">
        <v>3.8699783490139875E-2</v>
      </c>
      <c r="BN1123" s="452">
        <f t="shared" si="39"/>
        <v>2018</v>
      </c>
    </row>
    <row r="1124" spans="1:66">
      <c r="A1124" s="228">
        <f t="shared" si="37"/>
        <v>1900</v>
      </c>
      <c r="B1124" s="228">
        <f t="shared" si="38"/>
        <v>1</v>
      </c>
      <c r="BA1124" s="452" t="s">
        <v>228</v>
      </c>
      <c r="BB1124" s="1818">
        <v>2020</v>
      </c>
      <c r="BC1124" s="452" t="s">
        <v>582</v>
      </c>
      <c r="BE1124" s="1824" t="s">
        <v>165</v>
      </c>
      <c r="BH1124" s="452" t="s">
        <v>280</v>
      </c>
      <c r="BI1124" s="452" t="s">
        <v>359</v>
      </c>
      <c r="BJ1124" s="452" t="s">
        <v>20</v>
      </c>
      <c r="BK1124" s="452">
        <v>9</v>
      </c>
      <c r="BL1124" s="1819">
        <v>48093142.900000006</v>
      </c>
      <c r="BM1124" s="1820">
        <v>3.2139690472554237E-2</v>
      </c>
      <c r="BN1124" s="452">
        <f t="shared" si="39"/>
        <v>2018</v>
      </c>
    </row>
    <row r="1125" spans="1:66">
      <c r="A1125" s="228">
        <f t="shared" si="37"/>
        <v>1900</v>
      </c>
      <c r="B1125" s="228">
        <f t="shared" si="38"/>
        <v>1</v>
      </c>
      <c r="BA1125" s="452" t="s">
        <v>4</v>
      </c>
      <c r="BB1125" s="1818">
        <v>2020</v>
      </c>
      <c r="BC1125" s="452" t="s">
        <v>20</v>
      </c>
      <c r="BD1125" s="452">
        <v>1</v>
      </c>
      <c r="BE1125" s="1819">
        <v>10194489244.552509</v>
      </c>
      <c r="BF1125" s="1820">
        <v>0.40684513567059188</v>
      </c>
      <c r="BH1125" s="452" t="s">
        <v>280</v>
      </c>
      <c r="BI1125" s="452" t="s">
        <v>359</v>
      </c>
      <c r="BJ1125" s="452" t="s">
        <v>583</v>
      </c>
      <c r="BK1125" s="452">
        <v>10</v>
      </c>
      <c r="BL1125" s="1819">
        <v>46120988.479999997</v>
      </c>
      <c r="BM1125" s="1820">
        <v>3.0821738914373165E-2</v>
      </c>
      <c r="BN1125" s="452">
        <f t="shared" si="39"/>
        <v>2018</v>
      </c>
    </row>
    <row r="1126" spans="1:66">
      <c r="A1126" s="228">
        <f t="shared" si="37"/>
        <v>1900</v>
      </c>
      <c r="B1126" s="228">
        <f t="shared" si="38"/>
        <v>1</v>
      </c>
      <c r="BA1126" s="452" t="s">
        <v>4</v>
      </c>
      <c r="BB1126" s="1818">
        <v>2020</v>
      </c>
      <c r="BC1126" s="452" t="s">
        <v>15</v>
      </c>
      <c r="BD1126" s="452">
        <v>2</v>
      </c>
      <c r="BE1126" s="1819">
        <v>4715755404.8904018</v>
      </c>
      <c r="BF1126" s="1820">
        <v>0.18819796671198305</v>
      </c>
      <c r="BH1126" s="452" t="s">
        <v>280</v>
      </c>
      <c r="BI1126" s="452" t="s">
        <v>359</v>
      </c>
      <c r="BJ1126" s="452" t="s">
        <v>32</v>
      </c>
      <c r="BL1126" s="1819">
        <v>165747952.58000016</v>
      </c>
      <c r="BM1126" s="1820">
        <v>0.11076605875929982</v>
      </c>
      <c r="BN1126" s="452">
        <f t="shared" si="39"/>
        <v>2018</v>
      </c>
    </row>
    <row r="1127" spans="1:66">
      <c r="A1127" s="228">
        <f t="shared" si="37"/>
        <v>1900</v>
      </c>
      <c r="B1127" s="228">
        <f t="shared" si="38"/>
        <v>1</v>
      </c>
      <c r="BA1127" s="452" t="s">
        <v>4</v>
      </c>
      <c r="BB1127" s="1818">
        <v>2020</v>
      </c>
      <c r="BC1127" s="452" t="s">
        <v>49</v>
      </c>
      <c r="BD1127" s="452">
        <v>3</v>
      </c>
      <c r="BE1127" s="1819">
        <v>4035907354.6630001</v>
      </c>
      <c r="BF1127" s="1820">
        <v>0.16106636005714708</v>
      </c>
      <c r="BH1127" s="452" t="s">
        <v>280</v>
      </c>
      <c r="BI1127" s="452" t="s">
        <v>359</v>
      </c>
      <c r="BJ1127" s="452" t="s">
        <v>249</v>
      </c>
      <c r="BL1127" s="1819">
        <v>1496378533.6100001</v>
      </c>
      <c r="BM1127" s="1820">
        <v>1</v>
      </c>
      <c r="BN1127" s="452">
        <f t="shared" si="39"/>
        <v>2018</v>
      </c>
    </row>
    <row r="1128" spans="1:66">
      <c r="A1128" s="228">
        <f t="shared" si="37"/>
        <v>1900</v>
      </c>
      <c r="B1128" s="228">
        <f t="shared" si="38"/>
        <v>1</v>
      </c>
      <c r="BA1128" s="452" t="s">
        <v>4</v>
      </c>
      <c r="BB1128" s="1818">
        <v>2020</v>
      </c>
      <c r="BC1128" s="452" t="s">
        <v>581</v>
      </c>
      <c r="BD1128" s="452">
        <v>4</v>
      </c>
      <c r="BE1128" s="1819">
        <v>1907398158.4233999</v>
      </c>
      <c r="BF1128" s="1820">
        <v>7.6121092869490661E-2</v>
      </c>
      <c r="BH1128" s="452" t="s">
        <v>2</v>
      </c>
      <c r="BI1128" s="452" t="s">
        <v>359</v>
      </c>
      <c r="BJ1128" s="452" t="s">
        <v>15</v>
      </c>
      <c r="BK1128" s="452">
        <v>1</v>
      </c>
      <c r="BL1128" s="1819">
        <v>62396417000</v>
      </c>
      <c r="BM1128" s="1820">
        <v>0.81883534691564352</v>
      </c>
      <c r="BN1128" s="452">
        <f t="shared" si="39"/>
        <v>2018</v>
      </c>
    </row>
    <row r="1129" spans="1:66">
      <c r="A1129" s="228">
        <f t="shared" si="37"/>
        <v>1900</v>
      </c>
      <c r="B1129" s="228">
        <f t="shared" si="38"/>
        <v>1</v>
      </c>
      <c r="BA1129" s="452" t="s">
        <v>4</v>
      </c>
      <c r="BB1129" s="1818">
        <v>2020</v>
      </c>
      <c r="BC1129" s="452" t="s">
        <v>19</v>
      </c>
      <c r="BD1129" s="452">
        <v>5</v>
      </c>
      <c r="BE1129" s="1819">
        <v>895096077.33639991</v>
      </c>
      <c r="BF1129" s="1820">
        <v>3.572179795243164E-2</v>
      </c>
      <c r="BH1129" s="452" t="s">
        <v>2</v>
      </c>
      <c r="BI1129" s="452" t="s">
        <v>359</v>
      </c>
      <c r="BJ1129" s="452" t="s">
        <v>20</v>
      </c>
      <c r="BK1129" s="452">
        <v>2</v>
      </c>
      <c r="BL1129" s="1819">
        <v>5730626000</v>
      </c>
      <c r="BM1129" s="1820">
        <v>7.5203663196779499E-2</v>
      </c>
      <c r="BN1129" s="452">
        <f t="shared" si="39"/>
        <v>2018</v>
      </c>
    </row>
    <row r="1130" spans="1:66">
      <c r="A1130" s="228">
        <f t="shared" si="37"/>
        <v>1900</v>
      </c>
      <c r="B1130" s="228">
        <f t="shared" si="38"/>
        <v>1</v>
      </c>
      <c r="BA1130" s="452" t="s">
        <v>4</v>
      </c>
      <c r="BB1130" s="1818">
        <v>2020</v>
      </c>
      <c r="BC1130" s="452" t="s">
        <v>28</v>
      </c>
      <c r="BD1130" s="452">
        <v>6</v>
      </c>
      <c r="BE1130" s="1819">
        <v>810364404.11230004</v>
      </c>
      <c r="BF1130" s="1820">
        <v>3.2340297588705637E-2</v>
      </c>
      <c r="BH1130" s="452" t="s">
        <v>2</v>
      </c>
      <c r="BI1130" s="452" t="s">
        <v>359</v>
      </c>
      <c r="BJ1130" s="452" t="s">
        <v>581</v>
      </c>
      <c r="BK1130" s="452">
        <v>3</v>
      </c>
      <c r="BL1130" s="1819">
        <v>4520131000</v>
      </c>
      <c r="BM1130" s="1820">
        <v>5.9318198278743385E-2</v>
      </c>
      <c r="BN1130" s="452">
        <f t="shared" si="39"/>
        <v>2018</v>
      </c>
    </row>
    <row r="1131" spans="1:66">
      <c r="A1131" s="228">
        <f t="shared" si="37"/>
        <v>1900</v>
      </c>
      <c r="B1131" s="228">
        <f t="shared" si="38"/>
        <v>1</v>
      </c>
      <c r="BA1131" s="452" t="s">
        <v>4</v>
      </c>
      <c r="BB1131" s="1818">
        <v>2020</v>
      </c>
      <c r="BC1131" s="452" t="s">
        <v>583</v>
      </c>
      <c r="BD1131" s="452">
        <v>7</v>
      </c>
      <c r="BE1131" s="1819">
        <v>707139206.40100026</v>
      </c>
      <c r="BF1131" s="1820">
        <v>2.8220751375057057E-2</v>
      </c>
      <c r="BH1131" s="452" t="s">
        <v>2</v>
      </c>
      <c r="BI1131" s="452" t="s">
        <v>359</v>
      </c>
      <c r="BJ1131" s="452" t="s">
        <v>583</v>
      </c>
      <c r="BK1131" s="452">
        <v>4</v>
      </c>
      <c r="BL1131" s="1819">
        <v>1739740000</v>
      </c>
      <c r="BM1131" s="1820">
        <v>2.2830807840184503E-2</v>
      </c>
      <c r="BN1131" s="452">
        <f t="shared" si="39"/>
        <v>2018</v>
      </c>
    </row>
    <row r="1132" spans="1:66">
      <c r="A1132" s="228">
        <f t="shared" si="37"/>
        <v>1900</v>
      </c>
      <c r="B1132" s="228">
        <f t="shared" si="38"/>
        <v>1</v>
      </c>
      <c r="BA1132" s="452" t="s">
        <v>4</v>
      </c>
      <c r="BB1132" s="1818">
        <v>2020</v>
      </c>
      <c r="BC1132" s="452" t="s">
        <v>21</v>
      </c>
      <c r="BD1132" s="452">
        <v>8</v>
      </c>
      <c r="BE1132" s="1819">
        <v>633746234.79040003</v>
      </c>
      <c r="BF1132" s="1820">
        <v>2.5291759762442606E-2</v>
      </c>
      <c r="BH1132" s="452" t="s">
        <v>2</v>
      </c>
      <c r="BI1132" s="452" t="s">
        <v>359</v>
      </c>
      <c r="BJ1132" s="452" t="s">
        <v>77</v>
      </c>
      <c r="BK1132" s="452">
        <v>5</v>
      </c>
      <c r="BL1132" s="1819">
        <v>615882000</v>
      </c>
      <c r="BM1132" s="1820">
        <v>8.0822902239578963E-3</v>
      </c>
      <c r="BN1132" s="452">
        <f t="shared" si="39"/>
        <v>2018</v>
      </c>
    </row>
    <row r="1133" spans="1:66">
      <c r="A1133" s="228">
        <f t="shared" si="37"/>
        <v>1900</v>
      </c>
      <c r="B1133" s="228">
        <f t="shared" si="38"/>
        <v>1</v>
      </c>
      <c r="BA1133" s="452" t="s">
        <v>4</v>
      </c>
      <c r="BB1133" s="1818">
        <v>2020</v>
      </c>
      <c r="BC1133" s="452" t="s">
        <v>18</v>
      </c>
      <c r="BD1133" s="452">
        <v>9</v>
      </c>
      <c r="BE1133" s="1819">
        <v>392840648.73990005</v>
      </c>
      <c r="BF1133" s="1820">
        <v>1.5677617897229292E-2</v>
      </c>
      <c r="BH1133" s="452" t="s">
        <v>2</v>
      </c>
      <c r="BI1133" s="452" t="s">
        <v>359</v>
      </c>
      <c r="BJ1133" s="452" t="s">
        <v>32</v>
      </c>
      <c r="BL1133" s="1819">
        <v>1198625000</v>
      </c>
      <c r="BM1133" s="1820">
        <v>1.5729693544691246E-2</v>
      </c>
      <c r="BN1133" s="452">
        <f t="shared" si="39"/>
        <v>2018</v>
      </c>
    </row>
    <row r="1134" spans="1:66">
      <c r="A1134" s="228">
        <f t="shared" si="37"/>
        <v>1900</v>
      </c>
      <c r="B1134" s="228">
        <f t="shared" si="38"/>
        <v>1</v>
      </c>
      <c r="BA1134" s="452" t="s">
        <v>4</v>
      </c>
      <c r="BB1134" s="1818">
        <v>2020</v>
      </c>
      <c r="BC1134" s="452" t="s">
        <v>446</v>
      </c>
      <c r="BD1134" s="452">
        <v>10</v>
      </c>
      <c r="BE1134" s="1819">
        <v>335915500.15360004</v>
      </c>
      <c r="BF1134" s="1820">
        <v>1.3405829753253627E-2</v>
      </c>
      <c r="BH1134" s="452" t="s">
        <v>2</v>
      </c>
      <c r="BI1134" s="452" t="s">
        <v>359</v>
      </c>
      <c r="BJ1134" s="452" t="s">
        <v>249</v>
      </c>
      <c r="BL1134" s="1819">
        <v>76201421000</v>
      </c>
      <c r="BM1134" s="1820">
        <v>1</v>
      </c>
      <c r="BN1134" s="452">
        <f t="shared" si="39"/>
        <v>2018</v>
      </c>
    </row>
    <row r="1135" spans="1:66">
      <c r="A1135" s="228">
        <f t="shared" si="37"/>
        <v>1900</v>
      </c>
      <c r="B1135" s="228">
        <f t="shared" si="38"/>
        <v>1</v>
      </c>
      <c r="BA1135" s="452" t="s">
        <v>4</v>
      </c>
      <c r="BB1135" s="1818">
        <v>2020</v>
      </c>
      <c r="BC1135" s="452" t="s">
        <v>32</v>
      </c>
      <c r="BE1135" s="1819">
        <v>428767286.87890244</v>
      </c>
      <c r="BF1135" s="1820">
        <v>1.7111390361667485E-2</v>
      </c>
      <c r="BH1135" s="452" t="s">
        <v>4</v>
      </c>
      <c r="BI1135" s="452" t="s">
        <v>359</v>
      </c>
      <c r="BJ1135" s="452" t="s">
        <v>20</v>
      </c>
      <c r="BK1135" s="452">
        <v>1</v>
      </c>
      <c r="BL1135" s="1819">
        <v>15928444499.216007</v>
      </c>
      <c r="BM1135" s="1820">
        <v>0.43724908067981028</v>
      </c>
      <c r="BN1135" s="452">
        <f t="shared" si="39"/>
        <v>2018</v>
      </c>
    </row>
    <row r="1136" spans="1:66">
      <c r="A1136" s="228">
        <f t="shared" si="37"/>
        <v>1900</v>
      </c>
      <c r="B1136" s="228">
        <f t="shared" si="38"/>
        <v>1</v>
      </c>
      <c r="BA1136" s="452" t="s">
        <v>4</v>
      </c>
      <c r="BB1136" s="1818">
        <v>2020</v>
      </c>
      <c r="BC1136" s="452" t="s">
        <v>249</v>
      </c>
      <c r="BE1136" s="1819">
        <v>25057419520.941814</v>
      </c>
      <c r="BH1136" s="452" t="s">
        <v>4</v>
      </c>
      <c r="BI1136" s="452" t="s">
        <v>359</v>
      </c>
      <c r="BJ1136" s="452" t="s">
        <v>15</v>
      </c>
      <c r="BK1136" s="452">
        <v>2</v>
      </c>
      <c r="BL1136" s="1819">
        <v>6006652465.4380007</v>
      </c>
      <c r="BM1136" s="1820">
        <v>0.16488761778371722</v>
      </c>
      <c r="BN1136" s="452">
        <f t="shared" si="39"/>
        <v>2018</v>
      </c>
    </row>
    <row r="1137" spans="1:66">
      <c r="A1137" s="228">
        <f t="shared" si="37"/>
        <v>1900</v>
      </c>
      <c r="B1137" s="228">
        <f t="shared" si="38"/>
        <v>1</v>
      </c>
      <c r="BA1137" s="452" t="s">
        <v>3</v>
      </c>
      <c r="BB1137" s="1818">
        <v>2020</v>
      </c>
      <c r="BC1137" s="452" t="s">
        <v>15</v>
      </c>
      <c r="BD1137" s="452">
        <v>1</v>
      </c>
      <c r="BE1137" s="1819">
        <v>1318494634.2871852</v>
      </c>
      <c r="BF1137" s="1820">
        <v>0.42927441635472974</v>
      </c>
      <c r="BH1137" s="452" t="s">
        <v>4</v>
      </c>
      <c r="BI1137" s="452" t="s">
        <v>359</v>
      </c>
      <c r="BJ1137" s="452" t="s">
        <v>49</v>
      </c>
      <c r="BK1137" s="452">
        <v>3</v>
      </c>
      <c r="BL1137" s="1819">
        <v>4765508292.3060007</v>
      </c>
      <c r="BM1137" s="1820">
        <v>0.13081717551800939</v>
      </c>
      <c r="BN1137" s="452">
        <f t="shared" si="39"/>
        <v>2018</v>
      </c>
    </row>
    <row r="1138" spans="1:66">
      <c r="A1138" s="228">
        <f t="shared" si="37"/>
        <v>1900</v>
      </c>
      <c r="B1138" s="228">
        <f t="shared" si="38"/>
        <v>1</v>
      </c>
      <c r="BA1138" s="452" t="s">
        <v>3</v>
      </c>
      <c r="BB1138" s="1818">
        <v>2020</v>
      </c>
      <c r="BC1138" s="452" t="s">
        <v>20</v>
      </c>
      <c r="BD1138" s="452">
        <v>2</v>
      </c>
      <c r="BE1138" s="1819">
        <v>350570547.20339251</v>
      </c>
      <c r="BF1138" s="1820">
        <v>0.11413847514309693</v>
      </c>
      <c r="BH1138" s="452" t="s">
        <v>4</v>
      </c>
      <c r="BI1138" s="452" t="s">
        <v>359</v>
      </c>
      <c r="BJ1138" s="452" t="s">
        <v>581</v>
      </c>
      <c r="BK1138" s="452">
        <v>4</v>
      </c>
      <c r="BL1138" s="1819">
        <v>3371530052.717</v>
      </c>
      <c r="BM1138" s="1820">
        <v>9.2551310713825205E-2</v>
      </c>
      <c r="BN1138" s="452">
        <f t="shared" si="39"/>
        <v>2018</v>
      </c>
    </row>
    <row r="1139" spans="1:66">
      <c r="A1139" s="228">
        <f t="shared" si="37"/>
        <v>1900</v>
      </c>
      <c r="B1139" s="228">
        <f t="shared" si="38"/>
        <v>1</v>
      </c>
      <c r="BA1139" s="452" t="s">
        <v>3</v>
      </c>
      <c r="BB1139" s="1818">
        <v>2020</v>
      </c>
      <c r="BC1139" s="452" t="s">
        <v>581</v>
      </c>
      <c r="BD1139" s="452">
        <v>3</v>
      </c>
      <c r="BE1139" s="1819">
        <v>336379199.91312361</v>
      </c>
      <c r="BF1139" s="1820">
        <v>0.1095180677732854</v>
      </c>
      <c r="BH1139" s="452" t="s">
        <v>4</v>
      </c>
      <c r="BI1139" s="452" t="s">
        <v>359</v>
      </c>
      <c r="BJ1139" s="452" t="s">
        <v>583</v>
      </c>
      <c r="BK1139" s="452">
        <v>5</v>
      </c>
      <c r="BL1139" s="1819">
        <v>1388257453.4720001</v>
      </c>
      <c r="BM1139" s="1820">
        <v>3.8108824455985242E-2</v>
      </c>
      <c r="BN1139" s="452">
        <f t="shared" si="39"/>
        <v>2018</v>
      </c>
    </row>
    <row r="1140" spans="1:66">
      <c r="A1140" s="228">
        <f t="shared" si="37"/>
        <v>1900</v>
      </c>
      <c r="B1140" s="228">
        <f t="shared" si="38"/>
        <v>1</v>
      </c>
      <c r="BA1140" s="452" t="s">
        <v>3</v>
      </c>
      <c r="BB1140" s="1818">
        <v>2020</v>
      </c>
      <c r="BC1140" s="452" t="s">
        <v>49</v>
      </c>
      <c r="BD1140" s="452">
        <v>4</v>
      </c>
      <c r="BE1140" s="1819">
        <v>285851759.23000008</v>
      </c>
      <c r="BF1140" s="1820">
        <v>9.3067384512922818E-2</v>
      </c>
      <c r="BH1140" s="452" t="s">
        <v>4</v>
      </c>
      <c r="BI1140" s="452" t="s">
        <v>359</v>
      </c>
      <c r="BJ1140" s="452" t="s">
        <v>21</v>
      </c>
      <c r="BK1140" s="452">
        <v>6</v>
      </c>
      <c r="BL1140" s="1819">
        <v>1319526572.2449999</v>
      </c>
      <c r="BM1140" s="1820">
        <v>3.622210446695566E-2</v>
      </c>
      <c r="BN1140" s="452">
        <f t="shared" si="39"/>
        <v>2018</v>
      </c>
    </row>
    <row r="1141" spans="1:66">
      <c r="A1141" s="228">
        <f t="shared" si="37"/>
        <v>1900</v>
      </c>
      <c r="B1141" s="228">
        <f t="shared" si="38"/>
        <v>1</v>
      </c>
      <c r="BA1141" s="452" t="s">
        <v>3</v>
      </c>
      <c r="BB1141" s="1818">
        <v>2020</v>
      </c>
      <c r="BC1141" s="452" t="s">
        <v>431</v>
      </c>
      <c r="BD1141" s="452">
        <v>5</v>
      </c>
      <c r="BE1141" s="1819">
        <v>236258371.02465194</v>
      </c>
      <c r="BF1141" s="1820">
        <v>7.6920809302615745E-2</v>
      </c>
      <c r="BH1141" s="452" t="s">
        <v>4</v>
      </c>
      <c r="BI1141" s="452" t="s">
        <v>359</v>
      </c>
      <c r="BJ1141" s="452" t="s">
        <v>28</v>
      </c>
      <c r="BK1141" s="452">
        <v>7</v>
      </c>
      <c r="BL1141" s="1819">
        <v>1071511041.229</v>
      </c>
      <c r="BM1141" s="1820">
        <v>2.9413871375745873E-2</v>
      </c>
      <c r="BN1141" s="452">
        <f t="shared" si="39"/>
        <v>2018</v>
      </c>
    </row>
    <row r="1142" spans="1:66">
      <c r="A1142" s="228">
        <f t="shared" si="37"/>
        <v>1900</v>
      </c>
      <c r="B1142" s="228">
        <f t="shared" si="38"/>
        <v>1</v>
      </c>
      <c r="BA1142" s="452" t="s">
        <v>3</v>
      </c>
      <c r="BB1142" s="1818">
        <v>2020</v>
      </c>
      <c r="BC1142" s="452" t="s">
        <v>23</v>
      </c>
      <c r="BD1142" s="452">
        <v>6</v>
      </c>
      <c r="BE1142" s="1819">
        <v>192043174.96378368</v>
      </c>
      <c r="BF1142" s="1820">
        <v>6.2525261539692512E-2</v>
      </c>
      <c r="BH1142" s="452" t="s">
        <v>4</v>
      </c>
      <c r="BI1142" s="452" t="s">
        <v>359</v>
      </c>
      <c r="BJ1142" s="452" t="s">
        <v>19</v>
      </c>
      <c r="BK1142" s="452">
        <v>8</v>
      </c>
      <c r="BL1142" s="1819">
        <v>624084508.89100015</v>
      </c>
      <c r="BM1142" s="1820">
        <v>1.7131640053900544E-2</v>
      </c>
      <c r="BN1142" s="452">
        <f t="shared" si="39"/>
        <v>2018</v>
      </c>
    </row>
    <row r="1143" spans="1:66">
      <c r="A1143" s="228">
        <f t="shared" si="37"/>
        <v>1900</v>
      </c>
      <c r="B1143" s="228">
        <f t="shared" si="38"/>
        <v>1</v>
      </c>
      <c r="BA1143" s="452" t="s">
        <v>3</v>
      </c>
      <c r="BB1143" s="1818">
        <v>2020</v>
      </c>
      <c r="BC1143" s="452" t="s">
        <v>583</v>
      </c>
      <c r="BD1143" s="452">
        <v>7</v>
      </c>
      <c r="BE1143" s="1819">
        <v>127075452.49981523</v>
      </c>
      <c r="BF1143" s="1820">
        <v>4.1373123019467377E-2</v>
      </c>
      <c r="BH1143" s="452" t="s">
        <v>4</v>
      </c>
      <c r="BI1143" s="452" t="s">
        <v>359</v>
      </c>
      <c r="BJ1143" s="452" t="s">
        <v>18</v>
      </c>
      <c r="BK1143" s="452">
        <v>9</v>
      </c>
      <c r="BL1143" s="1819">
        <v>615532093.29100001</v>
      </c>
      <c r="BM1143" s="1820">
        <v>1.6896869115729161E-2</v>
      </c>
      <c r="BN1143" s="452">
        <f t="shared" si="39"/>
        <v>2018</v>
      </c>
    </row>
    <row r="1144" spans="1:66">
      <c r="A1144" s="228">
        <f t="shared" si="37"/>
        <v>1900</v>
      </c>
      <c r="B1144" s="228">
        <f t="shared" si="38"/>
        <v>1</v>
      </c>
      <c r="BA1144" s="452" t="s">
        <v>3</v>
      </c>
      <c r="BB1144" s="1818">
        <v>2020</v>
      </c>
      <c r="BC1144" s="452" t="s">
        <v>48</v>
      </c>
      <c r="BD1144" s="452">
        <v>8</v>
      </c>
      <c r="BE1144" s="1819">
        <v>74233561.07425718</v>
      </c>
      <c r="BF1144" s="1820">
        <v>2.4168902758798776E-2</v>
      </c>
      <c r="BH1144" s="452" t="s">
        <v>4</v>
      </c>
      <c r="BI1144" s="452" t="s">
        <v>359</v>
      </c>
      <c r="BJ1144" s="452" t="s">
        <v>73</v>
      </c>
      <c r="BK1144" s="452">
        <v>10</v>
      </c>
      <c r="BL1144" s="1819">
        <v>576052909.58600008</v>
      </c>
      <c r="BM1144" s="1820">
        <v>1.5813132610143183E-2</v>
      </c>
      <c r="BN1144" s="452">
        <f t="shared" si="39"/>
        <v>2018</v>
      </c>
    </row>
    <row r="1145" spans="1:66">
      <c r="A1145" s="228">
        <f t="shared" si="37"/>
        <v>1900</v>
      </c>
      <c r="B1145" s="228">
        <f t="shared" si="38"/>
        <v>1</v>
      </c>
      <c r="BA1145" s="452" t="s">
        <v>3</v>
      </c>
      <c r="BB1145" s="1818">
        <v>2020</v>
      </c>
      <c r="BC1145" s="452" t="s">
        <v>54</v>
      </c>
      <c r="BD1145" s="452">
        <v>9</v>
      </c>
      <c r="BE1145" s="1819">
        <v>41074338.399999999</v>
      </c>
      <c r="BF1145" s="1820">
        <v>1.337294986668573E-2</v>
      </c>
      <c r="BH1145" s="452" t="s">
        <v>4</v>
      </c>
      <c r="BI1145" s="452" t="s">
        <v>359</v>
      </c>
      <c r="BJ1145" s="452" t="s">
        <v>32</v>
      </c>
      <c r="BL1145" s="1819">
        <v>761666238.34700012</v>
      </c>
      <c r="BM1145" s="1820">
        <v>2.0908373226178306E-2</v>
      </c>
      <c r="BN1145" s="452">
        <f t="shared" si="39"/>
        <v>2018</v>
      </c>
    </row>
    <row r="1146" spans="1:66">
      <c r="A1146" s="228">
        <f t="shared" si="37"/>
        <v>1900</v>
      </c>
      <c r="B1146" s="228">
        <f t="shared" si="38"/>
        <v>1</v>
      </c>
      <c r="BA1146" s="452" t="s">
        <v>3</v>
      </c>
      <c r="BB1146" s="1818">
        <v>2020</v>
      </c>
      <c r="BC1146" s="452" t="s">
        <v>21</v>
      </c>
      <c r="BD1146" s="452">
        <v>10</v>
      </c>
      <c r="BE1146" s="1819">
        <v>27239347.062814027</v>
      </c>
      <c r="BF1146" s="1820">
        <v>8.8685645797831076E-3</v>
      </c>
      <c r="BH1146" s="452" t="s">
        <v>4</v>
      </c>
      <c r="BI1146" s="452" t="s">
        <v>359</v>
      </c>
      <c r="BJ1146" s="452" t="s">
        <v>249</v>
      </c>
      <c r="BL1146" s="1819">
        <v>36428766126.738007</v>
      </c>
      <c r="BM1146" s="1820">
        <v>1</v>
      </c>
      <c r="BN1146" s="452">
        <f t="shared" si="39"/>
        <v>2018</v>
      </c>
    </row>
    <row r="1147" spans="1:66">
      <c r="A1147" s="228">
        <f t="shared" si="37"/>
        <v>1900</v>
      </c>
      <c r="B1147" s="228">
        <f t="shared" si="38"/>
        <v>1</v>
      </c>
      <c r="BA1147" s="452" t="s">
        <v>3</v>
      </c>
      <c r="BB1147" s="1818">
        <v>2020</v>
      </c>
      <c r="BC1147" s="452" t="s">
        <v>32</v>
      </c>
      <c r="BE1147" s="1819">
        <v>82228981.120036125</v>
      </c>
      <c r="BF1147" s="1820">
        <v>2.6772045148921755E-2</v>
      </c>
      <c r="BH1147" s="452" t="s">
        <v>0</v>
      </c>
      <c r="BI1147" s="452" t="s">
        <v>395</v>
      </c>
      <c r="BJ1147" s="452" t="s">
        <v>29</v>
      </c>
      <c r="BK1147" s="452">
        <v>1</v>
      </c>
      <c r="BL1147" s="1819">
        <v>1898150104.9300001</v>
      </c>
      <c r="BM1147" s="1820">
        <v>0.3156128417025062</v>
      </c>
      <c r="BN1147" s="452">
        <f t="shared" si="39"/>
        <v>2019</v>
      </c>
    </row>
    <row r="1148" spans="1:66">
      <c r="A1148" s="228">
        <f t="shared" si="37"/>
        <v>1900</v>
      </c>
      <c r="B1148" s="228">
        <f t="shared" si="38"/>
        <v>1</v>
      </c>
      <c r="BA1148" s="452" t="s">
        <v>3</v>
      </c>
      <c r="BB1148" s="1818">
        <v>2020</v>
      </c>
      <c r="BC1148" s="452" t="s">
        <v>249</v>
      </c>
      <c r="BE1148" s="1819">
        <v>3071449366.7790599</v>
      </c>
      <c r="BH1148" s="452" t="s">
        <v>0</v>
      </c>
      <c r="BI1148" s="452" t="s">
        <v>395</v>
      </c>
      <c r="BJ1148" s="452" t="s">
        <v>14</v>
      </c>
      <c r="BK1148" s="452">
        <v>2</v>
      </c>
      <c r="BL1148" s="1819">
        <v>553498932.84000003</v>
      </c>
      <c r="BM1148" s="1820">
        <v>9.2032432324091307E-2</v>
      </c>
      <c r="BN1148" s="452">
        <f t="shared" si="39"/>
        <v>2019</v>
      </c>
    </row>
    <row r="1149" spans="1:66">
      <c r="A1149" s="228">
        <f t="shared" si="37"/>
        <v>1900</v>
      </c>
      <c r="B1149" s="228">
        <f t="shared" si="38"/>
        <v>1</v>
      </c>
      <c r="BA1149" s="452" t="s">
        <v>280</v>
      </c>
      <c r="BB1149" s="1818">
        <v>2020</v>
      </c>
      <c r="BC1149" s="452" t="s">
        <v>15</v>
      </c>
      <c r="BD1149" s="452">
        <v>1</v>
      </c>
      <c r="BE1149" s="1819">
        <v>646160213.89999998</v>
      </c>
      <c r="BF1149" s="1820">
        <v>0.46855332729001598</v>
      </c>
      <c r="BH1149" s="452" t="s">
        <v>0</v>
      </c>
      <c r="BI1149" s="452" t="s">
        <v>395</v>
      </c>
      <c r="BJ1149" s="452" t="s">
        <v>15</v>
      </c>
      <c r="BK1149" s="452">
        <v>3</v>
      </c>
      <c r="BL1149" s="1819">
        <v>520068808.38000005</v>
      </c>
      <c r="BM1149" s="1820">
        <v>8.6473874783312338E-2</v>
      </c>
      <c r="BN1149" s="452">
        <f t="shared" si="39"/>
        <v>2019</v>
      </c>
    </row>
    <row r="1150" spans="1:66">
      <c r="A1150" s="228">
        <f t="shared" si="37"/>
        <v>1900</v>
      </c>
      <c r="B1150" s="228">
        <f t="shared" si="38"/>
        <v>1</v>
      </c>
      <c r="BA1150" s="452" t="s">
        <v>280</v>
      </c>
      <c r="BB1150" s="1818">
        <v>2020</v>
      </c>
      <c r="BC1150" s="452" t="s">
        <v>23</v>
      </c>
      <c r="BD1150" s="452">
        <v>2</v>
      </c>
      <c r="BE1150" s="1819">
        <v>112964248.48999998</v>
      </c>
      <c r="BF1150" s="1820">
        <v>8.191431994139628E-2</v>
      </c>
      <c r="BH1150" s="452" t="s">
        <v>0</v>
      </c>
      <c r="BI1150" s="452" t="s">
        <v>395</v>
      </c>
      <c r="BJ1150" s="452" t="s">
        <v>27</v>
      </c>
      <c r="BK1150" s="452">
        <v>4</v>
      </c>
      <c r="BL1150" s="1819">
        <v>490903522.14999998</v>
      </c>
      <c r="BM1150" s="1820">
        <v>8.162444857502163E-2</v>
      </c>
      <c r="BN1150" s="452">
        <f t="shared" si="39"/>
        <v>2019</v>
      </c>
    </row>
    <row r="1151" spans="1:66">
      <c r="A1151" s="228">
        <f t="shared" si="37"/>
        <v>1900</v>
      </c>
      <c r="B1151" s="228">
        <f t="shared" si="38"/>
        <v>1</v>
      </c>
      <c r="BA1151" s="452" t="s">
        <v>280</v>
      </c>
      <c r="BB1151" s="1818">
        <v>2020</v>
      </c>
      <c r="BC1151" s="452" t="s">
        <v>51</v>
      </c>
      <c r="BD1151" s="452">
        <v>3</v>
      </c>
      <c r="BE1151" s="1819">
        <v>105823637.76000001</v>
      </c>
      <c r="BF1151" s="1820">
        <v>7.6736413836298215E-2</v>
      </c>
      <c r="BH1151" s="452" t="s">
        <v>0</v>
      </c>
      <c r="BI1151" s="452" t="s">
        <v>395</v>
      </c>
      <c r="BJ1151" s="452" t="s">
        <v>22</v>
      </c>
      <c r="BK1151" s="452">
        <v>5</v>
      </c>
      <c r="BL1151" s="1819">
        <v>446494966.74000001</v>
      </c>
      <c r="BM1151" s="1820">
        <v>7.4240464383017915E-2</v>
      </c>
      <c r="BN1151" s="452">
        <f t="shared" si="39"/>
        <v>2019</v>
      </c>
    </row>
    <row r="1152" spans="1:66">
      <c r="A1152" s="228">
        <f t="shared" si="37"/>
        <v>1900</v>
      </c>
      <c r="B1152" s="228">
        <f t="shared" si="38"/>
        <v>1</v>
      </c>
      <c r="BA1152" s="452" t="s">
        <v>280</v>
      </c>
      <c r="BB1152" s="1818">
        <v>2020</v>
      </c>
      <c r="BC1152" s="452" t="s">
        <v>26</v>
      </c>
      <c r="BD1152" s="452">
        <v>4</v>
      </c>
      <c r="BE1152" s="1819">
        <v>75685814.170000002</v>
      </c>
      <c r="BF1152" s="1820">
        <v>5.4882425898626408E-2</v>
      </c>
      <c r="BH1152" s="452" t="s">
        <v>0</v>
      </c>
      <c r="BI1152" s="452" t="s">
        <v>395</v>
      </c>
      <c r="BJ1152" s="452" t="s">
        <v>21</v>
      </c>
      <c r="BK1152" s="452">
        <v>6</v>
      </c>
      <c r="BL1152" s="1819">
        <v>396871242.23999995</v>
      </c>
      <c r="BM1152" s="1820">
        <v>6.5989333629644292E-2</v>
      </c>
      <c r="BN1152" s="452">
        <f t="shared" si="39"/>
        <v>2019</v>
      </c>
    </row>
    <row r="1153" spans="1:66">
      <c r="A1153" s="228">
        <f t="shared" si="37"/>
        <v>1900</v>
      </c>
      <c r="B1153" s="228">
        <f t="shared" si="38"/>
        <v>1</v>
      </c>
      <c r="BA1153" s="452" t="s">
        <v>280</v>
      </c>
      <c r="BB1153" s="1818">
        <v>2020</v>
      </c>
      <c r="BC1153" s="452" t="s">
        <v>54</v>
      </c>
      <c r="BD1153" s="452">
        <v>5</v>
      </c>
      <c r="BE1153" s="1819">
        <v>71572532.839999989</v>
      </c>
      <c r="BF1153" s="1820">
        <v>5.1899742019625349E-2</v>
      </c>
      <c r="BH1153" s="452" t="s">
        <v>0</v>
      </c>
      <c r="BI1153" s="452" t="s">
        <v>395</v>
      </c>
      <c r="BJ1153" s="452" t="s">
        <v>18</v>
      </c>
      <c r="BK1153" s="452">
        <v>7</v>
      </c>
      <c r="BL1153" s="1819">
        <v>382317854.16999996</v>
      </c>
      <c r="BM1153" s="1820">
        <v>6.3569484876248972E-2</v>
      </c>
      <c r="BN1153" s="452">
        <f t="shared" si="39"/>
        <v>2019</v>
      </c>
    </row>
    <row r="1154" spans="1:66">
      <c r="A1154" s="228">
        <f t="shared" si="37"/>
        <v>1900</v>
      </c>
      <c r="B1154" s="228">
        <f t="shared" si="38"/>
        <v>1</v>
      </c>
      <c r="BA1154" s="452" t="s">
        <v>280</v>
      </c>
      <c r="BB1154" s="1818">
        <v>2020</v>
      </c>
      <c r="BC1154" s="452" t="s">
        <v>583</v>
      </c>
      <c r="BD1154" s="452">
        <v>6</v>
      </c>
      <c r="BE1154" s="1819">
        <v>54555843.400000006</v>
      </c>
      <c r="BF1154" s="1820">
        <v>3.9560346487286353E-2</v>
      </c>
      <c r="BH1154" s="452" t="s">
        <v>0</v>
      </c>
      <c r="BI1154" s="452" t="s">
        <v>395</v>
      </c>
      <c r="BJ1154" s="452" t="s">
        <v>25</v>
      </c>
      <c r="BK1154" s="452">
        <v>8</v>
      </c>
      <c r="BL1154" s="1819">
        <v>181843832.45000002</v>
      </c>
      <c r="BM1154" s="1820">
        <v>3.0235885221382649E-2</v>
      </c>
      <c r="BN1154" s="452">
        <f t="shared" si="39"/>
        <v>2019</v>
      </c>
    </row>
    <row r="1155" spans="1:66">
      <c r="A1155" s="228">
        <f t="shared" si="37"/>
        <v>1900</v>
      </c>
      <c r="B1155" s="228">
        <f t="shared" si="38"/>
        <v>1</v>
      </c>
      <c r="BA1155" s="452" t="s">
        <v>280</v>
      </c>
      <c r="BB1155" s="1818">
        <v>2020</v>
      </c>
      <c r="BC1155" s="452" t="s">
        <v>52</v>
      </c>
      <c r="BD1155" s="452">
        <v>7</v>
      </c>
      <c r="BE1155" s="1819">
        <v>51553903.730000004</v>
      </c>
      <c r="BF1155" s="1820">
        <v>3.7383535240718212E-2</v>
      </c>
      <c r="BH1155" s="452" t="s">
        <v>0</v>
      </c>
      <c r="BI1155" s="452" t="s">
        <v>395</v>
      </c>
      <c r="BJ1155" s="452" t="s">
        <v>13</v>
      </c>
      <c r="BK1155" s="452">
        <v>9</v>
      </c>
      <c r="BL1155" s="1819">
        <v>172834897.82999998</v>
      </c>
      <c r="BM1155" s="1820">
        <v>2.8737934427741304E-2</v>
      </c>
      <c r="BN1155" s="452">
        <f t="shared" si="39"/>
        <v>2019</v>
      </c>
    </row>
    <row r="1156" spans="1:66">
      <c r="A1156" s="228">
        <f t="shared" si="37"/>
        <v>1900</v>
      </c>
      <c r="B1156" s="228">
        <f t="shared" si="38"/>
        <v>1</v>
      </c>
      <c r="BA1156" s="452" t="s">
        <v>280</v>
      </c>
      <c r="BB1156" s="1818">
        <v>2020</v>
      </c>
      <c r="BC1156" s="452" t="s">
        <v>431</v>
      </c>
      <c r="BD1156" s="452">
        <v>8</v>
      </c>
      <c r="BE1156" s="1819">
        <v>49249656.639999993</v>
      </c>
      <c r="BF1156" s="1820">
        <v>3.5712645238993451E-2</v>
      </c>
      <c r="BH1156" s="452" t="s">
        <v>0</v>
      </c>
      <c r="BI1156" s="452" t="s">
        <v>395</v>
      </c>
      <c r="BJ1156" s="452" t="s">
        <v>447</v>
      </c>
      <c r="BK1156" s="452">
        <v>10</v>
      </c>
      <c r="BL1156" s="1819">
        <v>157469741.20999998</v>
      </c>
      <c r="BM1156" s="1820">
        <v>2.6183109742671882E-2</v>
      </c>
      <c r="BN1156" s="452">
        <f t="shared" si="39"/>
        <v>2019</v>
      </c>
    </row>
    <row r="1157" spans="1:66">
      <c r="A1157" s="228">
        <f t="shared" si="37"/>
        <v>1900</v>
      </c>
      <c r="B1157" s="228">
        <f t="shared" si="38"/>
        <v>1</v>
      </c>
      <c r="BA1157" s="452" t="s">
        <v>280</v>
      </c>
      <c r="BB1157" s="1818">
        <v>2020</v>
      </c>
      <c r="BC1157" s="452" t="s">
        <v>18</v>
      </c>
      <c r="BD1157" s="452">
        <v>9</v>
      </c>
      <c r="BE1157" s="1819">
        <v>46639533.780000009</v>
      </c>
      <c r="BF1157" s="1820">
        <v>3.3819954038915953E-2</v>
      </c>
      <c r="BH1157" s="452" t="s">
        <v>0</v>
      </c>
      <c r="BI1157" s="452" t="s">
        <v>395</v>
      </c>
      <c r="BJ1157" s="452" t="s">
        <v>32</v>
      </c>
      <c r="BL1157" s="1819">
        <v>813718697.54999924</v>
      </c>
      <c r="BM1157" s="1820">
        <v>0.13530019033436158</v>
      </c>
      <c r="BN1157" s="452">
        <f t="shared" si="39"/>
        <v>2019</v>
      </c>
    </row>
    <row r="1158" spans="1:66">
      <c r="A1158" s="228">
        <f t="shared" si="37"/>
        <v>1900</v>
      </c>
      <c r="B1158" s="228">
        <f t="shared" si="38"/>
        <v>1</v>
      </c>
      <c r="BA1158" s="452" t="s">
        <v>280</v>
      </c>
      <c r="BB1158" s="1818">
        <v>2020</v>
      </c>
      <c r="BC1158" s="452" t="s">
        <v>42</v>
      </c>
      <c r="BD1158" s="452">
        <v>10</v>
      </c>
      <c r="BE1158" s="1819">
        <v>31310906.889999997</v>
      </c>
      <c r="BF1158" s="1820">
        <v>2.2704631588548792E-2</v>
      </c>
      <c r="BH1158" s="452" t="s">
        <v>0</v>
      </c>
      <c r="BI1158" s="452" t="s">
        <v>395</v>
      </c>
      <c r="BJ1158" s="452" t="s">
        <v>249</v>
      </c>
      <c r="BL1158" s="1819">
        <v>6014172600.4899988</v>
      </c>
      <c r="BN1158" s="452">
        <f t="shared" si="39"/>
        <v>2019</v>
      </c>
    </row>
    <row r="1159" spans="1:66">
      <c r="A1159" s="228">
        <f t="shared" si="37"/>
        <v>1900</v>
      </c>
      <c r="B1159" s="228">
        <f t="shared" si="38"/>
        <v>1</v>
      </c>
      <c r="BA1159" s="452" t="s">
        <v>280</v>
      </c>
      <c r="BB1159" s="1818">
        <v>2020</v>
      </c>
      <c r="BC1159" s="452" t="s">
        <v>32</v>
      </c>
      <c r="BE1159" s="1819">
        <v>133537438.82000041</v>
      </c>
      <c r="BF1159" s="1820">
        <v>9.6832658419574877E-2</v>
      </c>
      <c r="BH1159" s="452" t="s">
        <v>228</v>
      </c>
      <c r="BI1159" s="452" t="s">
        <v>395</v>
      </c>
      <c r="BJ1159" s="452" t="s">
        <v>15</v>
      </c>
      <c r="BK1159" s="452">
        <v>1</v>
      </c>
      <c r="BL1159" s="1824" t="s">
        <v>165</v>
      </c>
      <c r="BM1159" s="1820">
        <v>0.23521248271612988</v>
      </c>
      <c r="BN1159" s="452">
        <f t="shared" si="39"/>
        <v>2019</v>
      </c>
    </row>
    <row r="1160" spans="1:66">
      <c r="A1160" s="228">
        <f t="shared" si="37"/>
        <v>1900</v>
      </c>
      <c r="B1160" s="228">
        <f t="shared" si="38"/>
        <v>1</v>
      </c>
      <c r="BA1160" s="452" t="s">
        <v>280</v>
      </c>
      <c r="BB1160" s="1818">
        <v>2020</v>
      </c>
      <c r="BC1160" s="452" t="s">
        <v>249</v>
      </c>
      <c r="BE1160" s="1819">
        <v>1379053730.4200006</v>
      </c>
      <c r="BH1160" s="452" t="s">
        <v>228</v>
      </c>
      <c r="BI1160" s="452" t="s">
        <v>395</v>
      </c>
      <c r="BJ1160" s="452" t="s">
        <v>46</v>
      </c>
      <c r="BK1160" s="452">
        <v>2</v>
      </c>
      <c r="BL1160" s="1824" t="s">
        <v>165</v>
      </c>
      <c r="BM1160" s="1820">
        <v>0.2027662764395301</v>
      </c>
      <c r="BN1160" s="452">
        <f t="shared" si="39"/>
        <v>2019</v>
      </c>
    </row>
    <row r="1161" spans="1:66">
      <c r="A1161" s="228">
        <f t="shared" si="37"/>
        <v>1900</v>
      </c>
      <c r="B1161" s="228">
        <f t="shared" si="38"/>
        <v>1</v>
      </c>
      <c r="BA1161" s="452" t="s">
        <v>2</v>
      </c>
      <c r="BB1161" s="1818">
        <v>2020</v>
      </c>
      <c r="BC1161" s="452" t="s">
        <v>15</v>
      </c>
      <c r="BD1161" s="452">
        <v>1</v>
      </c>
      <c r="BE1161" s="1819">
        <v>93398527000</v>
      </c>
      <c r="BF1161" s="1820">
        <v>0.80738282324044364</v>
      </c>
      <c r="BH1161" s="452" t="s">
        <v>228</v>
      </c>
      <c r="BI1161" s="452" t="s">
        <v>395</v>
      </c>
      <c r="BJ1161" s="452" t="s">
        <v>53</v>
      </c>
      <c r="BK1161" s="452">
        <v>3</v>
      </c>
      <c r="BL1161" s="1824" t="s">
        <v>165</v>
      </c>
      <c r="BM1161" s="1820">
        <v>0.17495396681004149</v>
      </c>
      <c r="BN1161" s="452">
        <f t="shared" si="39"/>
        <v>2019</v>
      </c>
    </row>
    <row r="1162" spans="1:66">
      <c r="A1162" s="228">
        <f t="shared" ref="A1162:A1225" si="40">YEAR(C1162)</f>
        <v>1900</v>
      </c>
      <c r="B1162" s="228">
        <f t="shared" ref="B1162:B1225" si="41">IF(OR(MONTH(C1162)=1,MONTH(C1162)=2,MONTH(C1162)=3),1,IF(OR(MONTH(C1162)=4,MONTH(C1162)=5,MONTH(C1162)=6),2,IF(OR(MONTH(C1162)=7,MONTH(C1162)=8,MONTH(C1162)=9),3,4)))</f>
        <v>1</v>
      </c>
      <c r="BA1162" s="452" t="s">
        <v>2</v>
      </c>
      <c r="BB1162" s="1818">
        <v>2020</v>
      </c>
      <c r="BC1162" s="452" t="s">
        <v>20</v>
      </c>
      <c r="BD1162" s="452">
        <v>2</v>
      </c>
      <c r="BE1162" s="1819">
        <v>6615832000</v>
      </c>
      <c r="BF1162" s="1820">
        <v>5.7190507064896978E-2</v>
      </c>
      <c r="BH1162" s="452" t="s">
        <v>228</v>
      </c>
      <c r="BI1162" s="452" t="s">
        <v>395</v>
      </c>
      <c r="BJ1162" s="452" t="s">
        <v>581</v>
      </c>
      <c r="BK1162" s="452">
        <v>4</v>
      </c>
      <c r="BL1162" s="1824" t="s">
        <v>165</v>
      </c>
      <c r="BM1162" s="1820">
        <v>0.16189878521225168</v>
      </c>
      <c r="BN1162" s="452">
        <f t="shared" si="39"/>
        <v>2019</v>
      </c>
    </row>
    <row r="1163" spans="1:66">
      <c r="A1163" s="228">
        <f t="shared" si="40"/>
        <v>1900</v>
      </c>
      <c r="B1163" s="228">
        <f t="shared" si="41"/>
        <v>1</v>
      </c>
      <c r="BA1163" s="452" t="s">
        <v>2</v>
      </c>
      <c r="BB1163" s="1818">
        <v>2020</v>
      </c>
      <c r="BC1163" s="452" t="s">
        <v>581</v>
      </c>
      <c r="BD1163" s="452">
        <v>3</v>
      </c>
      <c r="BE1163" s="1819">
        <v>6558342000</v>
      </c>
      <c r="BF1163" s="1820">
        <v>5.6693535217492007E-2</v>
      </c>
      <c r="BH1163" s="452" t="s">
        <v>228</v>
      </c>
      <c r="BI1163" s="452" t="s">
        <v>395</v>
      </c>
      <c r="BJ1163" s="452" t="s">
        <v>20</v>
      </c>
      <c r="BK1163" s="452">
        <v>5</v>
      </c>
      <c r="BL1163" s="1824" t="s">
        <v>165</v>
      </c>
      <c r="BM1163" s="1820">
        <v>0.13614978127606633</v>
      </c>
      <c r="BN1163" s="452">
        <f t="shared" si="39"/>
        <v>2019</v>
      </c>
    </row>
    <row r="1164" spans="1:66">
      <c r="A1164" s="228">
        <f t="shared" si="40"/>
        <v>1900</v>
      </c>
      <c r="B1164" s="228">
        <f t="shared" si="41"/>
        <v>1</v>
      </c>
      <c r="BA1164" s="452" t="s">
        <v>2</v>
      </c>
      <c r="BB1164" s="1818">
        <v>2020</v>
      </c>
      <c r="BC1164" s="452" t="s">
        <v>49</v>
      </c>
      <c r="BD1164" s="452">
        <v>4</v>
      </c>
      <c r="BE1164" s="1819">
        <v>2575969000</v>
      </c>
      <c r="BF1164" s="1820">
        <v>2.2267943516923586E-2</v>
      </c>
      <c r="BH1164" s="452" t="s">
        <v>228</v>
      </c>
      <c r="BI1164" s="452" t="s">
        <v>395</v>
      </c>
      <c r="BJ1164" s="452" t="s">
        <v>583</v>
      </c>
      <c r="BK1164" s="452">
        <v>6</v>
      </c>
      <c r="BL1164" s="1824" t="s">
        <v>165</v>
      </c>
      <c r="BM1164" s="1820">
        <v>7.0032674495095898E-2</v>
      </c>
      <c r="BN1164" s="452">
        <f t="shared" si="39"/>
        <v>2019</v>
      </c>
    </row>
    <row r="1165" spans="1:66">
      <c r="A1165" s="228">
        <f t="shared" si="40"/>
        <v>1900</v>
      </c>
      <c r="B1165" s="228">
        <f t="shared" si="41"/>
        <v>1</v>
      </c>
      <c r="BA1165" s="452" t="s">
        <v>2</v>
      </c>
      <c r="BB1165" s="1818">
        <v>2020</v>
      </c>
      <c r="BC1165" s="452" t="s">
        <v>592</v>
      </c>
      <c r="BD1165" s="452">
        <v>5</v>
      </c>
      <c r="BE1165" s="1819">
        <v>2457010000</v>
      </c>
      <c r="BF1165" s="1820">
        <v>2.1239603388284727E-2</v>
      </c>
      <c r="BH1165" s="452" t="s">
        <v>228</v>
      </c>
      <c r="BI1165" s="452" t="s">
        <v>395</v>
      </c>
      <c r="BJ1165" s="452" t="s">
        <v>21</v>
      </c>
      <c r="BK1165" s="452">
        <v>7</v>
      </c>
      <c r="BL1165" s="1824" t="s">
        <v>165</v>
      </c>
      <c r="BM1165" s="1820">
        <v>1.2783671474721068E-2</v>
      </c>
      <c r="BN1165" s="452">
        <f t="shared" si="39"/>
        <v>2019</v>
      </c>
    </row>
    <row r="1166" spans="1:66">
      <c r="A1166" s="228">
        <f t="shared" si="40"/>
        <v>1900</v>
      </c>
      <c r="B1166" s="228">
        <f t="shared" si="41"/>
        <v>1</v>
      </c>
      <c r="BA1166" s="452" t="s">
        <v>2</v>
      </c>
      <c r="BB1166" s="1818">
        <v>2020</v>
      </c>
      <c r="BC1166" s="452" t="s">
        <v>32</v>
      </c>
      <c r="BE1166" s="1819">
        <v>4074917000</v>
      </c>
      <c r="BF1166" s="1820">
        <v>3.5225587571959018E-2</v>
      </c>
      <c r="BH1166" s="452" t="s">
        <v>228</v>
      </c>
      <c r="BI1166" s="452" t="s">
        <v>395</v>
      </c>
      <c r="BJ1166" s="452" t="s">
        <v>18</v>
      </c>
      <c r="BK1166" s="452">
        <v>8</v>
      </c>
      <c r="BL1166" s="1824" t="s">
        <v>165</v>
      </c>
      <c r="BM1166" s="1820">
        <v>6.2023615761635934E-3</v>
      </c>
      <c r="BN1166" s="452">
        <f t="shared" si="39"/>
        <v>2019</v>
      </c>
    </row>
    <row r="1167" spans="1:66">
      <c r="A1167" s="228">
        <f t="shared" si="40"/>
        <v>1900</v>
      </c>
      <c r="B1167" s="228">
        <f t="shared" si="41"/>
        <v>1</v>
      </c>
      <c r="BA1167" s="452" t="s">
        <v>2</v>
      </c>
      <c r="BB1167" s="1818">
        <v>2020</v>
      </c>
      <c r="BC1167" s="452" t="s">
        <v>249</v>
      </c>
      <c r="BE1167" s="1819">
        <v>115680597000</v>
      </c>
      <c r="BH1167" s="452" t="s">
        <v>228</v>
      </c>
      <c r="BI1167" s="452" t="s">
        <v>395</v>
      </c>
      <c r="BJ1167" s="452" t="s">
        <v>165</v>
      </c>
      <c r="BK1167" s="452">
        <v>9</v>
      </c>
      <c r="BL1167" s="1824" t="s">
        <v>165</v>
      </c>
      <c r="BN1167" s="452">
        <f t="shared" si="39"/>
        <v>2019</v>
      </c>
    </row>
    <row r="1168" spans="1:66">
      <c r="A1168" s="228">
        <f t="shared" si="40"/>
        <v>1900</v>
      </c>
      <c r="B1168" s="228">
        <f t="shared" si="41"/>
        <v>1</v>
      </c>
      <c r="BA1168" s="452" t="s">
        <v>1</v>
      </c>
      <c r="BB1168" s="1818">
        <v>2020</v>
      </c>
      <c r="BC1168" s="452" t="s">
        <v>51</v>
      </c>
      <c r="BD1168" s="452">
        <v>1</v>
      </c>
      <c r="BE1168" s="1819">
        <v>11891502000</v>
      </c>
      <c r="BF1168" s="1820">
        <v>0.54563291847833073</v>
      </c>
      <c r="BH1168" s="452" t="s">
        <v>228</v>
      </c>
      <c r="BI1168" s="452" t="s">
        <v>395</v>
      </c>
      <c r="BJ1168" s="452" t="s">
        <v>165</v>
      </c>
      <c r="BK1168" s="452">
        <v>10</v>
      </c>
      <c r="BL1168" s="1824" t="s">
        <v>165</v>
      </c>
      <c r="BN1168" s="452">
        <f t="shared" ref="BN1168" si="42">_xlfn.NUMBERVALUE(LEFT(BI1168,4))</f>
        <v>2019</v>
      </c>
    </row>
    <row r="1169" spans="1:66">
      <c r="A1169" s="228">
        <f t="shared" si="40"/>
        <v>1900</v>
      </c>
      <c r="B1169" s="228">
        <f t="shared" si="41"/>
        <v>1</v>
      </c>
      <c r="BA1169" s="452" t="s">
        <v>1</v>
      </c>
      <c r="BB1169" s="1818">
        <v>2020</v>
      </c>
      <c r="BC1169" s="452" t="s">
        <v>447</v>
      </c>
      <c r="BD1169" s="452">
        <v>2</v>
      </c>
      <c r="BE1169" s="1819">
        <v>5647549000</v>
      </c>
      <c r="BF1169" s="1820">
        <v>0.25913367740419824</v>
      </c>
      <c r="BH1169" s="452" t="s">
        <v>228</v>
      </c>
      <c r="BI1169" s="452" t="s">
        <v>395</v>
      </c>
      <c r="BJ1169" s="452" t="s">
        <v>249</v>
      </c>
      <c r="BL1169" s="1824" t="s">
        <v>165</v>
      </c>
      <c r="BN1169" s="452">
        <f t="shared" si="39"/>
        <v>2019</v>
      </c>
    </row>
    <row r="1170" spans="1:66">
      <c r="A1170" s="228">
        <f t="shared" si="40"/>
        <v>1900</v>
      </c>
      <c r="B1170" s="228">
        <f t="shared" si="41"/>
        <v>1</v>
      </c>
      <c r="BA1170" s="452" t="s">
        <v>1</v>
      </c>
      <c r="BB1170" s="1818">
        <v>2020</v>
      </c>
      <c r="BC1170" s="452" t="s">
        <v>592</v>
      </c>
      <c r="BD1170" s="452">
        <v>3</v>
      </c>
      <c r="BE1170" s="1819">
        <v>1539036000</v>
      </c>
      <c r="BF1170" s="1820">
        <v>7.0617547247035423E-2</v>
      </c>
      <c r="BH1170" s="452" t="s">
        <v>342</v>
      </c>
      <c r="BI1170" s="452" t="s">
        <v>395</v>
      </c>
      <c r="BL1170" s="1824" t="s">
        <v>165</v>
      </c>
      <c r="BN1170" s="452">
        <f t="shared" si="39"/>
        <v>2019</v>
      </c>
    </row>
    <row r="1171" spans="1:66">
      <c r="A1171" s="228">
        <f t="shared" si="40"/>
        <v>1900</v>
      </c>
      <c r="B1171" s="228">
        <f t="shared" si="41"/>
        <v>1</v>
      </c>
      <c r="BA1171" s="452" t="s">
        <v>1</v>
      </c>
      <c r="BB1171" s="1818">
        <v>2020</v>
      </c>
      <c r="BC1171" s="452" t="s">
        <v>49</v>
      </c>
      <c r="BD1171" s="452">
        <v>4</v>
      </c>
      <c r="BE1171" s="1819">
        <v>752604000</v>
      </c>
      <c r="BF1171" s="1820">
        <v>3.4532687038060089E-2</v>
      </c>
      <c r="BH1171" s="452" t="s">
        <v>4</v>
      </c>
      <c r="BI1171" s="452" t="s">
        <v>395</v>
      </c>
      <c r="BJ1171" s="452" t="s">
        <v>20</v>
      </c>
      <c r="BK1171" s="452">
        <v>1</v>
      </c>
      <c r="BL1171" s="1819">
        <v>14796674663.3806</v>
      </c>
      <c r="BM1171" s="1820">
        <v>0.4260533116096305</v>
      </c>
      <c r="BN1171" s="452">
        <f t="shared" si="39"/>
        <v>2019</v>
      </c>
    </row>
    <row r="1172" spans="1:66">
      <c r="A1172" s="228">
        <f t="shared" si="40"/>
        <v>1900</v>
      </c>
      <c r="B1172" s="228">
        <f t="shared" si="41"/>
        <v>1</v>
      </c>
      <c r="BA1172" s="452" t="s">
        <v>1</v>
      </c>
      <c r="BB1172" s="1818">
        <v>2020</v>
      </c>
      <c r="BC1172" s="452" t="s">
        <v>46</v>
      </c>
      <c r="BD1172" s="452">
        <v>5</v>
      </c>
      <c r="BE1172" s="1819">
        <v>476102000</v>
      </c>
      <c r="BF1172" s="1820">
        <v>2.1845593916846685E-2</v>
      </c>
      <c r="BH1172" s="452" t="s">
        <v>4</v>
      </c>
      <c r="BI1172" s="452" t="s">
        <v>395</v>
      </c>
      <c r="BJ1172" s="452" t="s">
        <v>15</v>
      </c>
      <c r="BK1172" s="452">
        <v>2</v>
      </c>
      <c r="BL1172" s="1819">
        <v>5967747219.1104012</v>
      </c>
      <c r="BM1172" s="1820">
        <v>0.17183445087453494</v>
      </c>
      <c r="BN1172" s="452">
        <f t="shared" si="39"/>
        <v>2019</v>
      </c>
    </row>
    <row r="1173" spans="1:66">
      <c r="A1173" s="228">
        <f t="shared" si="40"/>
        <v>1900</v>
      </c>
      <c r="B1173" s="228">
        <f t="shared" si="41"/>
        <v>1</v>
      </c>
      <c r="BA1173" s="452" t="s">
        <v>1</v>
      </c>
      <c r="BB1173" s="1818">
        <v>2020</v>
      </c>
      <c r="BC1173" s="452" t="s">
        <v>241</v>
      </c>
      <c r="BD1173" s="452">
        <v>6</v>
      </c>
      <c r="BE1173" s="1819">
        <v>473196000</v>
      </c>
      <c r="BF1173" s="1820">
        <v>2.171225422089423E-2</v>
      </c>
      <c r="BH1173" s="452" t="s">
        <v>4</v>
      </c>
      <c r="BI1173" s="452" t="s">
        <v>395</v>
      </c>
      <c r="BJ1173" s="452" t="s">
        <v>49</v>
      </c>
      <c r="BK1173" s="452">
        <v>3</v>
      </c>
      <c r="BL1173" s="1819">
        <v>5451823922.2522011</v>
      </c>
      <c r="BM1173" s="1820">
        <v>0.15697903003413552</v>
      </c>
      <c r="BN1173" s="452">
        <f t="shared" si="39"/>
        <v>2019</v>
      </c>
    </row>
    <row r="1174" spans="1:66">
      <c r="A1174" s="228">
        <f t="shared" si="40"/>
        <v>1900</v>
      </c>
      <c r="B1174" s="228">
        <f t="shared" si="41"/>
        <v>1</v>
      </c>
      <c r="BA1174" s="452" t="s">
        <v>1</v>
      </c>
      <c r="BB1174" s="1818">
        <v>2020</v>
      </c>
      <c r="BC1174" s="452" t="s">
        <v>17</v>
      </c>
      <c r="BD1174" s="452">
        <v>7</v>
      </c>
      <c r="BE1174" s="1819">
        <v>427159000</v>
      </c>
      <c r="BF1174" s="1820">
        <v>1.9599879966743079E-2</v>
      </c>
      <c r="BH1174" s="452" t="s">
        <v>4</v>
      </c>
      <c r="BI1174" s="452" t="s">
        <v>395</v>
      </c>
      <c r="BJ1174" s="452" t="s">
        <v>581</v>
      </c>
      <c r="BK1174" s="452">
        <v>4</v>
      </c>
      <c r="BL1174" s="1819">
        <v>2832840381.9378004</v>
      </c>
      <c r="BM1174" s="1820">
        <v>8.1568396510945537E-2</v>
      </c>
      <c r="BN1174" s="452">
        <f t="shared" si="39"/>
        <v>2019</v>
      </c>
    </row>
    <row r="1175" spans="1:66">
      <c r="A1175" s="228">
        <f t="shared" si="40"/>
        <v>1900</v>
      </c>
      <c r="B1175" s="228">
        <f t="shared" si="41"/>
        <v>1</v>
      </c>
      <c r="BA1175" s="452" t="s">
        <v>1</v>
      </c>
      <c r="BB1175" s="1818">
        <v>2020</v>
      </c>
      <c r="BC1175" s="452" t="s">
        <v>581</v>
      </c>
      <c r="BD1175" s="452">
        <v>8</v>
      </c>
      <c r="BE1175" s="1819">
        <v>243921000</v>
      </c>
      <c r="BF1175" s="1820">
        <v>1.1192137638134602E-2</v>
      </c>
      <c r="BH1175" s="452" t="s">
        <v>4</v>
      </c>
      <c r="BI1175" s="452" t="s">
        <v>395</v>
      </c>
      <c r="BJ1175" s="452" t="s">
        <v>21</v>
      </c>
      <c r="BK1175" s="452">
        <v>5</v>
      </c>
      <c r="BL1175" s="1819">
        <v>1384509471.5978999</v>
      </c>
      <c r="BM1175" s="1820">
        <v>3.9865365614142396E-2</v>
      </c>
      <c r="BN1175" s="452">
        <f t="shared" si="39"/>
        <v>2019</v>
      </c>
    </row>
    <row r="1176" spans="1:66">
      <c r="A1176" s="228">
        <f t="shared" si="40"/>
        <v>1900</v>
      </c>
      <c r="B1176" s="228">
        <f t="shared" si="41"/>
        <v>1</v>
      </c>
      <c r="BA1176" s="452" t="s">
        <v>1</v>
      </c>
      <c r="BB1176" s="1818">
        <v>2020</v>
      </c>
      <c r="BC1176" s="452" t="s">
        <v>20</v>
      </c>
      <c r="BD1176" s="452">
        <v>9</v>
      </c>
      <c r="BE1176" s="1819">
        <v>125997000</v>
      </c>
      <c r="BF1176" s="1820">
        <v>5.7812806851072502E-3</v>
      </c>
      <c r="BH1176" s="452" t="s">
        <v>4</v>
      </c>
      <c r="BI1176" s="452" t="s">
        <v>395</v>
      </c>
      <c r="BJ1176" s="452" t="s">
        <v>19</v>
      </c>
      <c r="BK1176" s="452">
        <v>6</v>
      </c>
      <c r="BL1176" s="1819">
        <v>1256720394.7707999</v>
      </c>
      <c r="BM1176" s="1820">
        <v>3.618582540606672E-2</v>
      </c>
      <c r="BN1176" s="452">
        <f t="shared" si="39"/>
        <v>2019</v>
      </c>
    </row>
    <row r="1177" spans="1:66">
      <c r="A1177" s="228">
        <f t="shared" si="40"/>
        <v>1900</v>
      </c>
      <c r="B1177" s="228">
        <f t="shared" si="41"/>
        <v>1</v>
      </c>
      <c r="BA1177" s="452" t="s">
        <v>1</v>
      </c>
      <c r="BB1177" s="1818">
        <v>2020</v>
      </c>
      <c r="BC1177" s="452" t="s">
        <v>18</v>
      </c>
      <c r="BD1177" s="452">
        <v>10</v>
      </c>
      <c r="BE1177" s="1819">
        <v>87558000</v>
      </c>
      <c r="BF1177" s="1820">
        <v>4.017535133587471E-3</v>
      </c>
      <c r="BH1177" s="452" t="s">
        <v>4</v>
      </c>
      <c r="BI1177" s="452" t="s">
        <v>395</v>
      </c>
      <c r="BJ1177" s="452" t="s">
        <v>28</v>
      </c>
      <c r="BK1177" s="452">
        <v>7</v>
      </c>
      <c r="BL1177" s="1819">
        <v>1083334300.8728001</v>
      </c>
      <c r="BM1177" s="1820">
        <v>3.1193371278848407E-2</v>
      </c>
      <c r="BN1177" s="452">
        <f t="shared" si="39"/>
        <v>2019</v>
      </c>
    </row>
    <row r="1178" spans="1:66">
      <c r="A1178" s="228">
        <f t="shared" si="40"/>
        <v>1900</v>
      </c>
      <c r="B1178" s="228">
        <f t="shared" si="41"/>
        <v>1</v>
      </c>
      <c r="BA1178" s="452" t="s">
        <v>1</v>
      </c>
      <c r="BB1178" s="1818">
        <v>2020</v>
      </c>
      <c r="BC1178" s="452" t="s">
        <v>32</v>
      </c>
      <c r="BE1178" s="1819">
        <v>129336000</v>
      </c>
      <c r="BF1178" s="1820">
        <v>5.9344882710622576E-3</v>
      </c>
      <c r="BH1178" s="452" t="s">
        <v>4</v>
      </c>
      <c r="BI1178" s="452" t="s">
        <v>395</v>
      </c>
      <c r="BJ1178" s="452" t="s">
        <v>583</v>
      </c>
      <c r="BK1178" s="452">
        <v>8</v>
      </c>
      <c r="BL1178" s="1819">
        <v>1047998935.8704</v>
      </c>
      <c r="BM1178" s="1820">
        <v>3.0175929886191062E-2</v>
      </c>
      <c r="BN1178" s="452">
        <f t="shared" si="39"/>
        <v>2019</v>
      </c>
    </row>
    <row r="1179" spans="1:66">
      <c r="A1179" s="228">
        <f t="shared" si="40"/>
        <v>1900</v>
      </c>
      <c r="B1179" s="228">
        <f t="shared" si="41"/>
        <v>1</v>
      </c>
      <c r="BA1179" s="452" t="s">
        <v>1</v>
      </c>
      <c r="BB1179" s="1818">
        <v>2020</v>
      </c>
      <c r="BC1179" s="452" t="s">
        <v>249</v>
      </c>
      <c r="BE1179" s="1819">
        <v>21793960000</v>
      </c>
      <c r="BH1179" s="452" t="s">
        <v>4</v>
      </c>
      <c r="BI1179" s="452" t="s">
        <v>395</v>
      </c>
      <c r="BJ1179" s="452" t="s">
        <v>29</v>
      </c>
      <c r="BK1179" s="452">
        <v>9</v>
      </c>
      <c r="BL1179" s="1819">
        <v>305129551.176</v>
      </c>
      <c r="BM1179" s="1820">
        <v>8.7858561944480548E-3</v>
      </c>
      <c r="BN1179" s="452">
        <f t="shared" si="39"/>
        <v>2019</v>
      </c>
    </row>
    <row r="1180" spans="1:66">
      <c r="A1180" s="228">
        <f t="shared" si="40"/>
        <v>1900</v>
      </c>
      <c r="B1180" s="228">
        <f t="shared" si="41"/>
        <v>1</v>
      </c>
      <c r="BA1180" s="452" t="s">
        <v>360</v>
      </c>
      <c r="BB1180" s="1818">
        <v>2021</v>
      </c>
      <c r="BC1180" s="452" t="s">
        <v>15</v>
      </c>
      <c r="BD1180" s="452">
        <v>1</v>
      </c>
      <c r="BE1180" s="1819">
        <v>1550057712</v>
      </c>
      <c r="BF1180" s="1820">
        <v>0.9448321975393994</v>
      </c>
      <c r="BH1180" s="452" t="s">
        <v>4</v>
      </c>
      <c r="BI1180" s="452" t="s">
        <v>395</v>
      </c>
      <c r="BJ1180" s="452" t="s">
        <v>18</v>
      </c>
      <c r="BK1180" s="452">
        <v>10</v>
      </c>
      <c r="BL1180" s="1819">
        <v>300953072.8743</v>
      </c>
      <c r="BM1180" s="1820">
        <v>8.6655992818791255E-3</v>
      </c>
      <c r="BN1180" s="452">
        <f t="shared" si="39"/>
        <v>2019</v>
      </c>
    </row>
    <row r="1181" spans="1:66">
      <c r="A1181" s="228">
        <f t="shared" si="40"/>
        <v>1900</v>
      </c>
      <c r="B1181" s="228">
        <f t="shared" si="41"/>
        <v>1</v>
      </c>
      <c r="BA1181" s="452" t="s">
        <v>360</v>
      </c>
      <c r="BB1181" s="1818">
        <v>2021</v>
      </c>
      <c r="BC1181" s="452" t="s">
        <v>42</v>
      </c>
      <c r="BD1181" s="452">
        <v>2</v>
      </c>
      <c r="BE1181" s="1819">
        <v>59094419</v>
      </c>
      <c r="BF1181" s="1820">
        <v>3.6020794150975484E-2</v>
      </c>
      <c r="BH1181" s="452" t="s">
        <v>4</v>
      </c>
      <c r="BI1181" s="452" t="s">
        <v>395</v>
      </c>
      <c r="BJ1181" s="452" t="s">
        <v>32</v>
      </c>
      <c r="BL1181" s="1819">
        <v>301899942.50530243</v>
      </c>
      <c r="BM1181" s="1820">
        <v>8.6928633091777428E-3</v>
      </c>
      <c r="BN1181" s="452">
        <f t="shared" ref="BN1181:BN1225" si="43">_xlfn.NUMBERVALUE(LEFT(BI1181,4))</f>
        <v>2019</v>
      </c>
    </row>
    <row r="1182" spans="1:66">
      <c r="A1182" s="228">
        <f t="shared" si="40"/>
        <v>1900</v>
      </c>
      <c r="B1182" s="228">
        <f t="shared" si="41"/>
        <v>1</v>
      </c>
      <c r="BA1182" s="452" t="s">
        <v>360</v>
      </c>
      <c r="BB1182" s="1818">
        <v>2021</v>
      </c>
      <c r="BC1182" s="452" t="s">
        <v>581</v>
      </c>
      <c r="BD1182" s="452">
        <v>3</v>
      </c>
      <c r="BE1182" s="1819">
        <v>15133076</v>
      </c>
      <c r="BF1182" s="1820">
        <v>9.2243129671359895E-3</v>
      </c>
      <c r="BH1182" s="452" t="s">
        <v>4</v>
      </c>
      <c r="BI1182" s="452" t="s">
        <v>395</v>
      </c>
      <c r="BJ1182" s="452" t="s">
        <v>249</v>
      </c>
      <c r="BL1182" s="1819">
        <v>34729631856.348503</v>
      </c>
      <c r="BN1182" s="452">
        <f t="shared" si="43"/>
        <v>2019</v>
      </c>
    </row>
    <row r="1183" spans="1:66">
      <c r="A1183" s="228">
        <f t="shared" si="40"/>
        <v>1900</v>
      </c>
      <c r="B1183" s="228">
        <f t="shared" si="41"/>
        <v>1</v>
      </c>
      <c r="BA1183" s="452" t="s">
        <v>360</v>
      </c>
      <c r="BB1183" s="1818">
        <v>2021</v>
      </c>
      <c r="BC1183" s="452" t="s">
        <v>447</v>
      </c>
      <c r="BD1183" s="452">
        <v>4</v>
      </c>
      <c r="BE1183" s="1819">
        <v>12837836</v>
      </c>
      <c r="BF1183" s="1820">
        <v>7.8252575408175595E-3</v>
      </c>
      <c r="BH1183" s="452" t="s">
        <v>3</v>
      </c>
      <c r="BI1183" s="452" t="s">
        <v>395</v>
      </c>
      <c r="BJ1183" s="452" t="s">
        <v>15</v>
      </c>
      <c r="BK1183" s="452">
        <v>1</v>
      </c>
      <c r="BL1183" s="1819">
        <v>1579902557.13621</v>
      </c>
      <c r="BM1183" s="1820">
        <v>0.40123135760489742</v>
      </c>
      <c r="BN1183" s="452">
        <f t="shared" si="43"/>
        <v>2019</v>
      </c>
    </row>
    <row r="1184" spans="1:66">
      <c r="A1184" s="228">
        <f t="shared" si="40"/>
        <v>1900</v>
      </c>
      <c r="B1184" s="228">
        <f t="shared" si="41"/>
        <v>1</v>
      </c>
      <c r="BA1184" s="452" t="s">
        <v>360</v>
      </c>
      <c r="BB1184" s="1818">
        <v>2021</v>
      </c>
      <c r="BC1184" s="452" t="s">
        <v>54</v>
      </c>
      <c r="BD1184" s="452">
        <v>5</v>
      </c>
      <c r="BE1184" s="1819">
        <v>1192415</v>
      </c>
      <c r="BF1184" s="1820">
        <v>7.2683234701969787E-4</v>
      </c>
      <c r="BH1184" s="452" t="s">
        <v>3</v>
      </c>
      <c r="BI1184" s="452" t="s">
        <v>395</v>
      </c>
      <c r="BJ1184" s="452" t="s">
        <v>21</v>
      </c>
      <c r="BK1184" s="452">
        <v>2</v>
      </c>
      <c r="BL1184" s="1819">
        <v>390683576.76984358</v>
      </c>
      <c r="BM1184" s="1820">
        <v>9.9217829095384555E-2</v>
      </c>
      <c r="BN1184" s="452">
        <f t="shared" si="43"/>
        <v>2019</v>
      </c>
    </row>
    <row r="1185" spans="1:66">
      <c r="A1185" s="228">
        <f t="shared" si="40"/>
        <v>1900</v>
      </c>
      <c r="B1185" s="228">
        <f t="shared" si="41"/>
        <v>1</v>
      </c>
      <c r="BA1185" s="452" t="s">
        <v>360</v>
      </c>
      <c r="BB1185" s="1818">
        <v>2021</v>
      </c>
      <c r="BC1185" s="452" t="s">
        <v>32</v>
      </c>
      <c r="BE1185" s="1819">
        <v>2248566</v>
      </c>
      <c r="BF1185" s="1820">
        <v>1.370605454651857E-3</v>
      </c>
      <c r="BH1185" s="452" t="s">
        <v>3</v>
      </c>
      <c r="BI1185" s="452" t="s">
        <v>395</v>
      </c>
      <c r="BJ1185" s="452" t="s">
        <v>20</v>
      </c>
      <c r="BK1185" s="452">
        <v>3</v>
      </c>
      <c r="BL1185" s="1819">
        <v>373220504.01345801</v>
      </c>
      <c r="BM1185" s="1820">
        <v>9.4782914829090598E-2</v>
      </c>
      <c r="BN1185" s="452">
        <f t="shared" si="43"/>
        <v>2019</v>
      </c>
    </row>
    <row r="1186" spans="1:66">
      <c r="A1186" s="228">
        <f t="shared" si="40"/>
        <v>1900</v>
      </c>
      <c r="B1186" s="228">
        <f t="shared" si="41"/>
        <v>1</v>
      </c>
      <c r="BA1186" s="452" t="s">
        <v>360</v>
      </c>
      <c r="BB1186" s="1818">
        <v>2021</v>
      </c>
      <c r="BC1186" s="452" t="s">
        <v>249</v>
      </c>
      <c r="BE1186" s="1819">
        <v>1640564024</v>
      </c>
      <c r="BH1186" s="452" t="s">
        <v>3</v>
      </c>
      <c r="BI1186" s="452" t="s">
        <v>395</v>
      </c>
      <c r="BJ1186" s="452" t="s">
        <v>581</v>
      </c>
      <c r="BK1186" s="452">
        <v>4</v>
      </c>
      <c r="BL1186" s="1819">
        <v>338040679.93236768</v>
      </c>
      <c r="BM1186" s="1820">
        <v>8.5848662199015005E-2</v>
      </c>
      <c r="BN1186" s="452">
        <f t="shared" si="43"/>
        <v>2019</v>
      </c>
    </row>
    <row r="1187" spans="1:66">
      <c r="A1187" s="228">
        <f t="shared" si="40"/>
        <v>1900</v>
      </c>
      <c r="B1187" s="228">
        <f t="shared" si="41"/>
        <v>1</v>
      </c>
      <c r="BA1187" s="452" t="s">
        <v>0</v>
      </c>
      <c r="BB1187" s="1818">
        <v>2021</v>
      </c>
      <c r="BC1187" s="452" t="s">
        <v>14</v>
      </c>
      <c r="BD1187" s="452">
        <v>1</v>
      </c>
      <c r="BE1187" s="1819">
        <v>1138575390.2799997</v>
      </c>
      <c r="BF1187" s="1820">
        <v>0.1732987401743544</v>
      </c>
      <c r="BH1187" s="452" t="s">
        <v>3</v>
      </c>
      <c r="BI1187" s="452" t="s">
        <v>395</v>
      </c>
      <c r="BJ1187" s="452" t="s">
        <v>583</v>
      </c>
      <c r="BK1187" s="452">
        <v>5</v>
      </c>
      <c r="BL1187" s="1819">
        <v>329284195.6571514</v>
      </c>
      <c r="BM1187" s="1820">
        <v>8.3624869308927249E-2</v>
      </c>
      <c r="BN1187" s="452">
        <f t="shared" si="43"/>
        <v>2019</v>
      </c>
    </row>
    <row r="1188" spans="1:66">
      <c r="A1188" s="228">
        <f t="shared" si="40"/>
        <v>1900</v>
      </c>
      <c r="B1188" s="228">
        <f t="shared" si="41"/>
        <v>1</v>
      </c>
      <c r="BA1188" s="452" t="s">
        <v>0</v>
      </c>
      <c r="BB1188" s="1818">
        <v>2021</v>
      </c>
      <c r="BC1188" s="452" t="s">
        <v>29</v>
      </c>
      <c r="BD1188" s="452">
        <v>2</v>
      </c>
      <c r="BE1188" s="1819">
        <v>902995347.42000008</v>
      </c>
      <c r="BF1188" s="1820">
        <v>0.13744189223403624</v>
      </c>
      <c r="BH1188" s="452" t="s">
        <v>3</v>
      </c>
      <c r="BI1188" s="452" t="s">
        <v>395</v>
      </c>
      <c r="BJ1188" s="452" t="s">
        <v>447</v>
      </c>
      <c r="BK1188" s="452">
        <v>6</v>
      </c>
      <c r="BL1188" s="1819">
        <v>259437691.72491229</v>
      </c>
      <c r="BM1188" s="1820">
        <v>6.5886681931418001E-2</v>
      </c>
      <c r="BN1188" s="452">
        <f t="shared" si="43"/>
        <v>2019</v>
      </c>
    </row>
    <row r="1189" spans="1:66">
      <c r="A1189" s="228">
        <f t="shared" si="40"/>
        <v>1900</v>
      </c>
      <c r="B1189" s="228">
        <f t="shared" si="41"/>
        <v>1</v>
      </c>
      <c r="BA1189" s="452" t="s">
        <v>0</v>
      </c>
      <c r="BB1189" s="1818">
        <v>2021</v>
      </c>
      <c r="BC1189" s="452" t="s">
        <v>15</v>
      </c>
      <c r="BD1189" s="452">
        <v>3</v>
      </c>
      <c r="BE1189" s="1819">
        <v>715895591.86000025</v>
      </c>
      <c r="BF1189" s="1820">
        <v>0.10896406616974387</v>
      </c>
      <c r="BH1189" s="452" t="s">
        <v>3</v>
      </c>
      <c r="BI1189" s="452" t="s">
        <v>395</v>
      </c>
      <c r="BJ1189" s="452" t="s">
        <v>49</v>
      </c>
      <c r="BK1189" s="452">
        <v>7</v>
      </c>
      <c r="BL1189" s="1819">
        <v>230725338.29000002</v>
      </c>
      <c r="BM1189" s="1820">
        <v>5.8594905298304877E-2</v>
      </c>
      <c r="BN1189" s="452">
        <f t="shared" si="43"/>
        <v>2019</v>
      </c>
    </row>
    <row r="1190" spans="1:66">
      <c r="A1190" s="228">
        <f t="shared" si="40"/>
        <v>1900</v>
      </c>
      <c r="B1190" s="228">
        <f t="shared" si="41"/>
        <v>1</v>
      </c>
      <c r="BA1190" s="452" t="s">
        <v>0</v>
      </c>
      <c r="BB1190" s="1818">
        <v>2021</v>
      </c>
      <c r="BC1190" s="452" t="s">
        <v>27</v>
      </c>
      <c r="BD1190" s="452">
        <v>4</v>
      </c>
      <c r="BE1190" s="1819">
        <v>667386593.85000002</v>
      </c>
      <c r="BF1190" s="1820">
        <v>0.10158067433287486</v>
      </c>
      <c r="BH1190" s="452" t="s">
        <v>3</v>
      </c>
      <c r="BI1190" s="452" t="s">
        <v>395</v>
      </c>
      <c r="BJ1190" s="452" t="s">
        <v>23</v>
      </c>
      <c r="BK1190" s="452">
        <v>8</v>
      </c>
      <c r="BL1190" s="1819">
        <v>204328614.14399344</v>
      </c>
      <c r="BM1190" s="1820">
        <v>5.1891204859575171E-2</v>
      </c>
      <c r="BN1190" s="452">
        <f t="shared" si="43"/>
        <v>2019</v>
      </c>
    </row>
    <row r="1191" spans="1:66">
      <c r="A1191" s="228">
        <f t="shared" si="40"/>
        <v>1900</v>
      </c>
      <c r="B1191" s="228">
        <f t="shared" si="41"/>
        <v>1</v>
      </c>
      <c r="BA1191" s="452" t="s">
        <v>0</v>
      </c>
      <c r="BB1191" s="1818">
        <v>2021</v>
      </c>
      <c r="BC1191" s="452" t="s">
        <v>25</v>
      </c>
      <c r="BD1191" s="452">
        <v>5</v>
      </c>
      <c r="BE1191" s="1819">
        <v>479212459.78999996</v>
      </c>
      <c r="BF1191" s="1820">
        <v>7.2939320721693679E-2</v>
      </c>
      <c r="BH1191" s="452" t="s">
        <v>3</v>
      </c>
      <c r="BI1191" s="452" t="s">
        <v>395</v>
      </c>
      <c r="BJ1191" s="452" t="s">
        <v>48</v>
      </c>
      <c r="BK1191" s="452">
        <v>9</v>
      </c>
      <c r="BL1191" s="1819">
        <v>88519925.087380648</v>
      </c>
      <c r="BM1191" s="1820">
        <v>2.2480481190101327E-2</v>
      </c>
      <c r="BN1191" s="452">
        <f t="shared" si="43"/>
        <v>2019</v>
      </c>
    </row>
    <row r="1192" spans="1:66">
      <c r="A1192" s="228">
        <f t="shared" si="40"/>
        <v>1900</v>
      </c>
      <c r="B1192" s="228">
        <f t="shared" si="41"/>
        <v>1</v>
      </c>
      <c r="BA1192" s="452" t="s">
        <v>0</v>
      </c>
      <c r="BB1192" s="1818">
        <v>2021</v>
      </c>
      <c r="BC1192" s="452" t="s">
        <v>22</v>
      </c>
      <c r="BD1192" s="452">
        <v>6</v>
      </c>
      <c r="BE1192" s="1819">
        <v>463399222.26999998</v>
      </c>
      <c r="BF1192" s="1820">
        <v>7.0532440893015927E-2</v>
      </c>
      <c r="BH1192" s="452" t="s">
        <v>3</v>
      </c>
      <c r="BI1192" s="452" t="s">
        <v>395</v>
      </c>
      <c r="BJ1192" s="452" t="s">
        <v>54</v>
      </c>
      <c r="BK1192" s="452">
        <v>10</v>
      </c>
      <c r="BL1192" s="1819">
        <v>36340805.630000003</v>
      </c>
      <c r="BM1192" s="1820">
        <v>9.2290949929284185E-3</v>
      </c>
      <c r="BN1192" s="452">
        <f t="shared" si="43"/>
        <v>2019</v>
      </c>
    </row>
    <row r="1193" spans="1:66">
      <c r="A1193" s="228">
        <f t="shared" si="40"/>
        <v>1900</v>
      </c>
      <c r="B1193" s="228">
        <f t="shared" si="41"/>
        <v>1</v>
      </c>
      <c r="BA1193" s="452" t="s">
        <v>0</v>
      </c>
      <c r="BB1193" s="1818">
        <v>2021</v>
      </c>
      <c r="BC1193" s="452" t="s">
        <v>21</v>
      </c>
      <c r="BD1193" s="452">
        <v>7</v>
      </c>
      <c r="BE1193" s="1819">
        <v>447005830.3599999</v>
      </c>
      <c r="BF1193" s="1820">
        <v>6.8037257711084681E-2</v>
      </c>
      <c r="BH1193" s="452" t="s">
        <v>3</v>
      </c>
      <c r="BI1193" s="452" t="s">
        <v>395</v>
      </c>
      <c r="BJ1193" s="452" t="s">
        <v>32</v>
      </c>
      <c r="BL1193" s="1819">
        <v>107150913.06003666</v>
      </c>
      <c r="BM1193" s="1820">
        <v>2.7211998690357394E-2</v>
      </c>
      <c r="BN1193" s="452">
        <f t="shared" si="43"/>
        <v>2019</v>
      </c>
    </row>
    <row r="1194" spans="1:66">
      <c r="A1194" s="228">
        <f t="shared" si="40"/>
        <v>1900</v>
      </c>
      <c r="B1194" s="228">
        <f t="shared" si="41"/>
        <v>1</v>
      </c>
      <c r="BA1194" s="452" t="s">
        <v>0</v>
      </c>
      <c r="BB1194" s="1818">
        <v>2021</v>
      </c>
      <c r="BC1194" s="452" t="s">
        <v>18</v>
      </c>
      <c r="BD1194" s="452">
        <v>8</v>
      </c>
      <c r="BE1194" s="1819">
        <v>403672518.69</v>
      </c>
      <c r="BF1194" s="1820">
        <v>6.1441639727327926E-2</v>
      </c>
      <c r="BH1194" s="452" t="s">
        <v>3</v>
      </c>
      <c r="BI1194" s="452" t="s">
        <v>395</v>
      </c>
      <c r="BJ1194" s="452" t="s">
        <v>249</v>
      </c>
      <c r="BL1194" s="1819">
        <v>3937634801.4453535</v>
      </c>
      <c r="BN1194" s="452">
        <f t="shared" si="43"/>
        <v>2019</v>
      </c>
    </row>
    <row r="1195" spans="1:66">
      <c r="A1195" s="228">
        <f t="shared" si="40"/>
        <v>1900</v>
      </c>
      <c r="B1195" s="228">
        <f t="shared" si="41"/>
        <v>1</v>
      </c>
      <c r="BA1195" s="452" t="s">
        <v>0</v>
      </c>
      <c r="BB1195" s="1818">
        <v>2021</v>
      </c>
      <c r="BC1195" s="452" t="s">
        <v>16</v>
      </c>
      <c r="BD1195" s="452">
        <v>9</v>
      </c>
      <c r="BE1195" s="1819">
        <v>275336301.27999997</v>
      </c>
      <c r="BF1195" s="1820">
        <v>4.1908014650093785E-2</v>
      </c>
      <c r="BH1195" s="452" t="s">
        <v>280</v>
      </c>
      <c r="BI1195" s="452" t="s">
        <v>395</v>
      </c>
      <c r="BJ1195" s="452" t="s">
        <v>15</v>
      </c>
      <c r="BK1195" s="452">
        <v>1</v>
      </c>
      <c r="BL1195" s="1819">
        <v>503069856.33000004</v>
      </c>
      <c r="BM1195" s="1820">
        <v>0.41994067250380901</v>
      </c>
      <c r="BN1195" s="452">
        <f t="shared" si="43"/>
        <v>2019</v>
      </c>
    </row>
    <row r="1196" spans="1:66">
      <c r="A1196" s="228">
        <f t="shared" si="40"/>
        <v>1900</v>
      </c>
      <c r="B1196" s="228">
        <f t="shared" si="41"/>
        <v>1</v>
      </c>
      <c r="BA1196" s="452" t="s">
        <v>0</v>
      </c>
      <c r="BB1196" s="1818">
        <v>2021</v>
      </c>
      <c r="BC1196" s="452" t="s">
        <v>616</v>
      </c>
      <c r="BD1196" s="452">
        <v>10</v>
      </c>
      <c r="BE1196" s="1819">
        <v>265463958.28999999</v>
      </c>
      <c r="BF1196" s="1820">
        <v>4.0405378445814523E-2</v>
      </c>
      <c r="BH1196" s="452" t="s">
        <v>280</v>
      </c>
      <c r="BI1196" s="452" t="s">
        <v>395</v>
      </c>
      <c r="BJ1196" s="452" t="s">
        <v>51</v>
      </c>
      <c r="BK1196" s="452">
        <v>2</v>
      </c>
      <c r="BL1196" s="1819">
        <v>112946948.53</v>
      </c>
      <c r="BM1196" s="1820">
        <v>9.4283163513235541E-2</v>
      </c>
      <c r="BN1196" s="452">
        <f t="shared" si="43"/>
        <v>2019</v>
      </c>
    </row>
    <row r="1197" spans="1:66">
      <c r="A1197" s="228">
        <f t="shared" si="40"/>
        <v>1900</v>
      </c>
      <c r="B1197" s="228">
        <f t="shared" si="41"/>
        <v>1</v>
      </c>
      <c r="BA1197" s="452" t="s">
        <v>0</v>
      </c>
      <c r="BB1197" s="1818">
        <v>2021</v>
      </c>
      <c r="BC1197" s="452" t="s">
        <v>32</v>
      </c>
      <c r="BE1197" s="1819">
        <v>811072177.45000172</v>
      </c>
      <c r="BF1197" s="1820">
        <v>0.12345057493996035</v>
      </c>
      <c r="BH1197" s="452" t="s">
        <v>280</v>
      </c>
      <c r="BI1197" s="452" t="s">
        <v>395</v>
      </c>
      <c r="BJ1197" s="452" t="s">
        <v>23</v>
      </c>
      <c r="BK1197" s="452">
        <v>3</v>
      </c>
      <c r="BL1197" s="1819">
        <v>84940743.800000012</v>
      </c>
      <c r="BM1197" s="1820">
        <v>7.0904810983043992E-2</v>
      </c>
      <c r="BN1197" s="452">
        <f t="shared" si="43"/>
        <v>2019</v>
      </c>
    </row>
    <row r="1198" spans="1:66">
      <c r="A1198" s="228">
        <f t="shared" si="40"/>
        <v>1900</v>
      </c>
      <c r="B1198" s="228">
        <f t="shared" si="41"/>
        <v>1</v>
      </c>
      <c r="BA1198" s="452" t="s">
        <v>0</v>
      </c>
      <c r="BB1198" s="1818">
        <v>2021</v>
      </c>
      <c r="BC1198" s="452" t="s">
        <v>249</v>
      </c>
      <c r="BE1198" s="1819">
        <v>6570015391.54</v>
      </c>
      <c r="BH1198" s="452" t="s">
        <v>280</v>
      </c>
      <c r="BI1198" s="452" t="s">
        <v>395</v>
      </c>
      <c r="BJ1198" s="452" t="s">
        <v>52</v>
      </c>
      <c r="BK1198" s="452">
        <v>4</v>
      </c>
      <c r="BL1198" s="1819">
        <v>65648759.810000002</v>
      </c>
      <c r="BM1198" s="1820">
        <v>5.4800708086091721E-2</v>
      </c>
      <c r="BN1198" s="452">
        <f t="shared" si="43"/>
        <v>2019</v>
      </c>
    </row>
    <row r="1199" spans="1:66">
      <c r="A1199" s="228">
        <f t="shared" si="40"/>
        <v>1900</v>
      </c>
      <c r="B1199" s="228">
        <f t="shared" si="41"/>
        <v>1</v>
      </c>
      <c r="BA1199" s="452" t="s">
        <v>228</v>
      </c>
      <c r="BB1199" s="1818">
        <v>2021</v>
      </c>
      <c r="BC1199" s="452" t="s">
        <v>627</v>
      </c>
      <c r="BD1199" s="452">
        <v>1</v>
      </c>
      <c r="BE1199" s="1824" t="s">
        <v>165</v>
      </c>
      <c r="BF1199" s="1820">
        <v>0.25640706698595617</v>
      </c>
      <c r="BH1199" s="452" t="s">
        <v>280</v>
      </c>
      <c r="BI1199" s="452" t="s">
        <v>395</v>
      </c>
      <c r="BJ1199" s="452" t="s">
        <v>26</v>
      </c>
      <c r="BK1199" s="452">
        <v>5</v>
      </c>
      <c r="BL1199" s="1819">
        <v>61636550.229999997</v>
      </c>
      <c r="BM1199" s="1820">
        <v>5.1451491336070056E-2</v>
      </c>
      <c r="BN1199" s="452">
        <f t="shared" si="43"/>
        <v>2019</v>
      </c>
    </row>
    <row r="1200" spans="1:66">
      <c r="A1200" s="228">
        <f t="shared" si="40"/>
        <v>1900</v>
      </c>
      <c r="B1200" s="228">
        <f t="shared" si="41"/>
        <v>1</v>
      </c>
      <c r="BA1200" s="452" t="s">
        <v>228</v>
      </c>
      <c r="BB1200" s="1818">
        <v>2021</v>
      </c>
      <c r="BC1200" s="452" t="s">
        <v>53</v>
      </c>
      <c r="BD1200" s="452">
        <v>2</v>
      </c>
      <c r="BE1200" s="1824" t="s">
        <v>165</v>
      </c>
      <c r="BF1200" s="1820">
        <v>0.2483039840826724</v>
      </c>
      <c r="BH1200" s="452" t="s">
        <v>280</v>
      </c>
      <c r="BI1200" s="452" t="s">
        <v>395</v>
      </c>
      <c r="BJ1200" s="452" t="s">
        <v>447</v>
      </c>
      <c r="BK1200" s="452">
        <v>6</v>
      </c>
      <c r="BL1200" s="1819">
        <v>60111326.660000004</v>
      </c>
      <c r="BM1200" s="1820">
        <v>5.0178301532218431E-2</v>
      </c>
      <c r="BN1200" s="452">
        <f t="shared" si="43"/>
        <v>2019</v>
      </c>
    </row>
    <row r="1201" spans="1:66">
      <c r="A1201" s="228">
        <f t="shared" si="40"/>
        <v>1900</v>
      </c>
      <c r="B1201" s="228">
        <f t="shared" si="41"/>
        <v>1</v>
      </c>
      <c r="BA1201" s="452" t="s">
        <v>228</v>
      </c>
      <c r="BB1201" s="1818">
        <v>2021</v>
      </c>
      <c r="BC1201" s="452" t="s">
        <v>20</v>
      </c>
      <c r="BD1201" s="452">
        <v>3</v>
      </c>
      <c r="BE1201" s="1824" t="s">
        <v>165</v>
      </c>
      <c r="BF1201" s="1820">
        <v>0.22625129648419373</v>
      </c>
      <c r="BH1201" s="452" t="s">
        <v>280</v>
      </c>
      <c r="BI1201" s="452" t="s">
        <v>395</v>
      </c>
      <c r="BJ1201" s="452" t="s">
        <v>583</v>
      </c>
      <c r="BK1201" s="452">
        <v>7</v>
      </c>
      <c r="BL1201" s="1819">
        <v>59511989.880000003</v>
      </c>
      <c r="BM1201" s="1820">
        <v>4.9678001450067677E-2</v>
      </c>
      <c r="BN1201" s="452">
        <f t="shared" si="43"/>
        <v>2019</v>
      </c>
    </row>
    <row r="1202" spans="1:66">
      <c r="A1202" s="228">
        <f t="shared" si="40"/>
        <v>1900</v>
      </c>
      <c r="B1202" s="228">
        <f t="shared" si="41"/>
        <v>1</v>
      </c>
      <c r="BA1202" s="452" t="s">
        <v>228</v>
      </c>
      <c r="BB1202" s="1818">
        <v>2021</v>
      </c>
      <c r="BC1202" s="452" t="s">
        <v>46</v>
      </c>
      <c r="BD1202" s="452">
        <v>4</v>
      </c>
      <c r="BE1202" s="1824" t="s">
        <v>165</v>
      </c>
      <c r="BF1202" s="1820">
        <v>7.7064528861049586E-2</v>
      </c>
      <c r="BH1202" s="452" t="s">
        <v>280</v>
      </c>
      <c r="BI1202" s="452" t="s">
        <v>395</v>
      </c>
      <c r="BJ1202" s="452" t="s">
        <v>42</v>
      </c>
      <c r="BK1202" s="452">
        <v>8</v>
      </c>
      <c r="BL1202" s="1819">
        <v>49830755.359999999</v>
      </c>
      <c r="BM1202" s="1820">
        <v>4.1596531085981686E-2</v>
      </c>
      <c r="BN1202" s="452">
        <f t="shared" si="43"/>
        <v>2019</v>
      </c>
    </row>
    <row r="1203" spans="1:66">
      <c r="A1203" s="228">
        <f t="shared" si="40"/>
        <v>1900</v>
      </c>
      <c r="B1203" s="228">
        <f t="shared" si="41"/>
        <v>1</v>
      </c>
      <c r="BA1203" s="452" t="s">
        <v>228</v>
      </c>
      <c r="BB1203" s="1818">
        <v>2021</v>
      </c>
      <c r="BC1203" s="452" t="s">
        <v>18</v>
      </c>
      <c r="BD1203" s="452">
        <v>5</v>
      </c>
      <c r="BE1203" s="1824" t="s">
        <v>165</v>
      </c>
      <c r="BF1203" s="1820">
        <v>4.6826164162656975E-2</v>
      </c>
      <c r="BH1203" s="452" t="s">
        <v>280</v>
      </c>
      <c r="BI1203" s="452" t="s">
        <v>395</v>
      </c>
      <c r="BJ1203" s="452" t="s">
        <v>54</v>
      </c>
      <c r="BK1203" s="452">
        <v>9</v>
      </c>
      <c r="BL1203" s="1819">
        <v>48685995.550000004</v>
      </c>
      <c r="BM1203" s="1820">
        <v>4.0640935757782604E-2</v>
      </c>
      <c r="BN1203" s="452">
        <f t="shared" si="43"/>
        <v>2019</v>
      </c>
    </row>
    <row r="1204" spans="1:66">
      <c r="A1204" s="228">
        <f t="shared" si="40"/>
        <v>1900</v>
      </c>
      <c r="B1204" s="228">
        <f t="shared" si="41"/>
        <v>1</v>
      </c>
      <c r="BA1204" s="452" t="s">
        <v>228</v>
      </c>
      <c r="BB1204" s="1818">
        <v>2021</v>
      </c>
      <c r="BC1204" s="452" t="s">
        <v>45</v>
      </c>
      <c r="BD1204" s="452">
        <v>6</v>
      </c>
      <c r="BE1204" s="1824" t="s">
        <v>165</v>
      </c>
      <c r="BF1204" s="1820">
        <v>4.3428625862630812E-2</v>
      </c>
      <c r="BH1204" s="452" t="s">
        <v>280</v>
      </c>
      <c r="BI1204" s="452" t="s">
        <v>395</v>
      </c>
      <c r="BJ1204" s="452" t="s">
        <v>20</v>
      </c>
      <c r="BK1204" s="452">
        <v>10</v>
      </c>
      <c r="BL1204" s="1819">
        <v>27154952.300000001</v>
      </c>
      <c r="BM1204" s="1820">
        <v>2.2667764301883539E-2</v>
      </c>
      <c r="BN1204" s="452">
        <f t="shared" si="43"/>
        <v>2019</v>
      </c>
    </row>
    <row r="1205" spans="1:66">
      <c r="A1205" s="228">
        <f t="shared" si="40"/>
        <v>1900</v>
      </c>
      <c r="B1205" s="228">
        <f t="shared" si="41"/>
        <v>1</v>
      </c>
      <c r="BA1205" s="452" t="s">
        <v>228</v>
      </c>
      <c r="BB1205" s="1818">
        <v>2021</v>
      </c>
      <c r="BC1205" s="452" t="s">
        <v>583</v>
      </c>
      <c r="BD1205" s="452">
        <v>7</v>
      </c>
      <c r="BE1205" s="1824" t="s">
        <v>165</v>
      </c>
      <c r="BF1205" s="1820">
        <v>3.1098334913442535E-2</v>
      </c>
      <c r="BH1205" s="452" t="s">
        <v>280</v>
      </c>
      <c r="BI1205" s="452" t="s">
        <v>395</v>
      </c>
      <c r="BJ1205" s="452" t="s">
        <v>32</v>
      </c>
      <c r="BL1205" s="1819">
        <v>124416711.97000039</v>
      </c>
      <c r="BM1205" s="1820">
        <v>0.10385761944981584</v>
      </c>
      <c r="BN1205" s="452">
        <f t="shared" si="43"/>
        <v>2019</v>
      </c>
    </row>
    <row r="1206" spans="1:66">
      <c r="A1206" s="228">
        <f t="shared" si="40"/>
        <v>1900</v>
      </c>
      <c r="B1206" s="228">
        <f t="shared" si="41"/>
        <v>1</v>
      </c>
      <c r="BA1206" s="452" t="s">
        <v>228</v>
      </c>
      <c r="BB1206" s="1818">
        <v>2021</v>
      </c>
      <c r="BC1206" s="452" t="s">
        <v>15</v>
      </c>
      <c r="BD1206" s="452">
        <v>8</v>
      </c>
      <c r="BE1206" s="1824" t="s">
        <v>165</v>
      </c>
      <c r="BF1206" s="1820">
        <v>2.1685647051030349E-2</v>
      </c>
      <c r="BH1206" s="452" t="s">
        <v>280</v>
      </c>
      <c r="BI1206" s="452" t="s">
        <v>395</v>
      </c>
      <c r="BJ1206" s="452" t="s">
        <v>249</v>
      </c>
      <c r="BL1206" s="1819">
        <v>1197954590.4200003</v>
      </c>
      <c r="BN1206" s="452">
        <f t="shared" si="43"/>
        <v>2019</v>
      </c>
    </row>
    <row r="1207" spans="1:66">
      <c r="A1207" s="228">
        <f t="shared" si="40"/>
        <v>1900</v>
      </c>
      <c r="B1207" s="228">
        <f t="shared" si="41"/>
        <v>1</v>
      </c>
      <c r="BA1207" s="452" t="s">
        <v>228</v>
      </c>
      <c r="BB1207" s="1818">
        <v>2021</v>
      </c>
      <c r="BC1207" s="452" t="s">
        <v>21</v>
      </c>
      <c r="BD1207" s="452">
        <v>9</v>
      </c>
      <c r="BE1207" s="1824" t="s">
        <v>165</v>
      </c>
      <c r="BF1207" s="1820">
        <v>2.0660591198317847E-2</v>
      </c>
      <c r="BH1207" s="452" t="s">
        <v>2</v>
      </c>
      <c r="BI1207" s="452" t="s">
        <v>395</v>
      </c>
      <c r="BJ1207" s="452" t="s">
        <v>15</v>
      </c>
      <c r="BK1207" s="452">
        <v>1</v>
      </c>
      <c r="BL1207" s="1819">
        <v>83864856000</v>
      </c>
      <c r="BM1207" s="1820">
        <v>0.82954344141442871</v>
      </c>
      <c r="BN1207" s="452">
        <f t="shared" si="43"/>
        <v>2019</v>
      </c>
    </row>
    <row r="1208" spans="1:66">
      <c r="A1208" s="228">
        <f t="shared" si="40"/>
        <v>1900</v>
      </c>
      <c r="B1208" s="228">
        <f t="shared" si="41"/>
        <v>1</v>
      </c>
      <c r="BA1208" s="452" t="s">
        <v>228</v>
      </c>
      <c r="BB1208" s="1818">
        <v>2021</v>
      </c>
      <c r="BC1208" s="452" t="s">
        <v>54</v>
      </c>
      <c r="BD1208" s="452">
        <v>10</v>
      </c>
      <c r="BE1208" s="1824" t="s">
        <v>165</v>
      </c>
      <c r="BF1208" s="1820">
        <v>2.0395589445850064E-2</v>
      </c>
      <c r="BH1208" s="452" t="s">
        <v>2</v>
      </c>
      <c r="BI1208" s="452" t="s">
        <v>395</v>
      </c>
      <c r="BJ1208" s="452" t="s">
        <v>20</v>
      </c>
      <c r="BK1208" s="452">
        <v>2</v>
      </c>
      <c r="BL1208" s="1819">
        <v>7044756000</v>
      </c>
      <c r="BM1208" s="1820">
        <v>6.9682718302943786E-2</v>
      </c>
      <c r="BN1208" s="452">
        <f t="shared" si="43"/>
        <v>2019</v>
      </c>
    </row>
    <row r="1209" spans="1:66">
      <c r="A1209" s="228">
        <f t="shared" si="40"/>
        <v>1900</v>
      </c>
      <c r="B1209" s="228">
        <f t="shared" si="41"/>
        <v>1</v>
      </c>
      <c r="BA1209" s="452" t="s">
        <v>228</v>
      </c>
      <c r="BB1209" s="1818">
        <v>2021</v>
      </c>
      <c r="BC1209" s="452" t="s">
        <v>32</v>
      </c>
      <c r="BE1209" s="1824" t="s">
        <v>165</v>
      </c>
      <c r="BF1209" s="1820">
        <v>7.8781709521996927E-3</v>
      </c>
      <c r="BH1209" s="452" t="s">
        <v>2</v>
      </c>
      <c r="BI1209" s="452" t="s">
        <v>395</v>
      </c>
      <c r="BJ1209" s="452" t="s">
        <v>581</v>
      </c>
      <c r="BK1209" s="452">
        <v>3</v>
      </c>
      <c r="BL1209" s="1819">
        <v>6132240000</v>
      </c>
      <c r="BM1209" s="1820">
        <v>6.0656629198519302E-2</v>
      </c>
      <c r="BN1209" s="452">
        <f t="shared" si="43"/>
        <v>2019</v>
      </c>
    </row>
    <row r="1210" spans="1:66">
      <c r="A1210" s="228">
        <f t="shared" si="40"/>
        <v>1900</v>
      </c>
      <c r="B1210" s="228">
        <f t="shared" si="41"/>
        <v>1</v>
      </c>
      <c r="BA1210" s="452" t="s">
        <v>228</v>
      </c>
      <c r="BB1210" s="1818">
        <v>2021</v>
      </c>
      <c r="BC1210" s="452" t="s">
        <v>582</v>
      </c>
      <c r="BE1210" s="1824" t="s">
        <v>165</v>
      </c>
      <c r="BH1210" s="452" t="s">
        <v>2</v>
      </c>
      <c r="BI1210" s="452" t="s">
        <v>395</v>
      </c>
      <c r="BJ1210" s="452" t="s">
        <v>583</v>
      </c>
      <c r="BK1210" s="452">
        <v>4</v>
      </c>
      <c r="BL1210" s="1819">
        <v>1873631000</v>
      </c>
      <c r="BM1210" s="1820">
        <v>1.8532891866895444E-2</v>
      </c>
      <c r="BN1210" s="452">
        <f t="shared" si="43"/>
        <v>2019</v>
      </c>
    </row>
    <row r="1211" spans="1:66">
      <c r="A1211" s="228">
        <f t="shared" si="40"/>
        <v>1900</v>
      </c>
      <c r="B1211" s="228">
        <f t="shared" si="41"/>
        <v>1</v>
      </c>
      <c r="BA1211" s="452" t="s">
        <v>1</v>
      </c>
      <c r="BB1211" s="1818">
        <v>2021</v>
      </c>
      <c r="BC1211" s="452" t="s">
        <v>15</v>
      </c>
      <c r="BD1211" s="452">
        <v>1</v>
      </c>
      <c r="BE1211" s="1819">
        <v>6984800000</v>
      </c>
      <c r="BF1211" s="1820">
        <v>0.36316722710061083</v>
      </c>
      <c r="BH1211" s="452" t="s">
        <v>2</v>
      </c>
      <c r="BI1211" s="452" t="s">
        <v>395</v>
      </c>
      <c r="BJ1211" s="452" t="s">
        <v>77</v>
      </c>
      <c r="BK1211" s="452">
        <v>5</v>
      </c>
      <c r="BL1211" s="1819">
        <v>764897000</v>
      </c>
      <c r="BM1211" s="1820">
        <v>7.5659259428952257E-3</v>
      </c>
      <c r="BN1211" s="452">
        <f t="shared" si="43"/>
        <v>2019</v>
      </c>
    </row>
    <row r="1212" spans="1:66">
      <c r="A1212" s="228">
        <f t="shared" si="40"/>
        <v>1900</v>
      </c>
      <c r="B1212" s="228">
        <f t="shared" si="41"/>
        <v>1</v>
      </c>
      <c r="BA1212" s="452" t="s">
        <v>1</v>
      </c>
      <c r="BB1212" s="1818">
        <v>2021</v>
      </c>
      <c r="BC1212" s="452" t="s">
        <v>592</v>
      </c>
      <c r="BD1212" s="452">
        <v>2</v>
      </c>
      <c r="BE1212" s="1819">
        <v>2904457000</v>
      </c>
      <c r="BF1212" s="1820">
        <v>0.15101414427370272</v>
      </c>
      <c r="BH1212" s="452" t="s">
        <v>2</v>
      </c>
      <c r="BI1212" s="452" t="s">
        <v>395</v>
      </c>
      <c r="BJ1212" s="452" t="s">
        <v>32</v>
      </c>
      <c r="BL1212" s="1819">
        <v>1417226000</v>
      </c>
      <c r="BM1212" s="1820">
        <v>1.4018393274317495E-2</v>
      </c>
      <c r="BN1212" s="452">
        <f t="shared" si="43"/>
        <v>2019</v>
      </c>
    </row>
    <row r="1213" spans="1:66">
      <c r="A1213" s="228">
        <f t="shared" si="40"/>
        <v>1900</v>
      </c>
      <c r="B1213" s="228">
        <f t="shared" si="41"/>
        <v>1</v>
      </c>
      <c r="BA1213" s="452" t="s">
        <v>1</v>
      </c>
      <c r="BB1213" s="1818">
        <v>2021</v>
      </c>
      <c r="BC1213" s="452" t="s">
        <v>18</v>
      </c>
      <c r="BD1213" s="452">
        <v>3</v>
      </c>
      <c r="BE1213" s="1819">
        <v>2178024000</v>
      </c>
      <c r="BF1213" s="1820">
        <v>0.11324403513895613</v>
      </c>
      <c r="BH1213" s="452" t="s">
        <v>2</v>
      </c>
      <c r="BI1213" s="452" t="s">
        <v>395</v>
      </c>
      <c r="BJ1213" s="452" t="s">
        <v>249</v>
      </c>
      <c r="BL1213" s="1819">
        <v>101097606000</v>
      </c>
      <c r="BN1213" s="452">
        <f t="shared" si="43"/>
        <v>2019</v>
      </c>
    </row>
    <row r="1214" spans="1:66">
      <c r="A1214" s="228">
        <f t="shared" si="40"/>
        <v>1900</v>
      </c>
      <c r="B1214" s="228">
        <f t="shared" si="41"/>
        <v>1</v>
      </c>
      <c r="BA1214" s="452" t="s">
        <v>1</v>
      </c>
      <c r="BB1214" s="1818">
        <v>2021</v>
      </c>
      <c r="BC1214" s="452" t="s">
        <v>49</v>
      </c>
      <c r="BD1214" s="452">
        <v>4</v>
      </c>
      <c r="BE1214" s="1819">
        <v>2113235000</v>
      </c>
      <c r="BF1214" s="1820">
        <v>0.10987540017780885</v>
      </c>
      <c r="BH1214" s="452" t="s">
        <v>1</v>
      </c>
      <c r="BI1214" s="452" t="s">
        <v>395</v>
      </c>
      <c r="BJ1214" s="452" t="s">
        <v>51</v>
      </c>
      <c r="BK1214" s="452">
        <v>1</v>
      </c>
      <c r="BL1214" s="1819">
        <v>12705259000</v>
      </c>
      <c r="BM1214" s="1820">
        <v>0.59051249583558907</v>
      </c>
      <c r="BN1214" s="452">
        <f t="shared" si="43"/>
        <v>2019</v>
      </c>
    </row>
    <row r="1215" spans="1:66">
      <c r="A1215" s="228">
        <f t="shared" si="40"/>
        <v>1900</v>
      </c>
      <c r="B1215" s="228">
        <f t="shared" si="41"/>
        <v>1</v>
      </c>
      <c r="BA1215" s="452" t="s">
        <v>1</v>
      </c>
      <c r="BB1215" s="1818">
        <v>2021</v>
      </c>
      <c r="BC1215" s="452" t="s">
        <v>51</v>
      </c>
      <c r="BD1215" s="452">
        <v>5</v>
      </c>
      <c r="BE1215" s="1819">
        <v>1524412000</v>
      </c>
      <c r="BF1215" s="1820">
        <v>7.9260176239677058E-2</v>
      </c>
      <c r="BH1215" s="452" t="s">
        <v>1</v>
      </c>
      <c r="BI1215" s="452" t="s">
        <v>395</v>
      </c>
      <c r="BJ1215" s="452" t="s">
        <v>431</v>
      </c>
      <c r="BK1215" s="452">
        <v>2</v>
      </c>
      <c r="BL1215" s="1819">
        <v>3011200000</v>
      </c>
      <c r="BM1215" s="1820">
        <v>0.13995395351327555</v>
      </c>
      <c r="BN1215" s="452">
        <f t="shared" si="43"/>
        <v>2019</v>
      </c>
    </row>
    <row r="1216" spans="1:66">
      <c r="A1216" s="228">
        <f t="shared" si="40"/>
        <v>1900</v>
      </c>
      <c r="B1216" s="228">
        <f t="shared" si="41"/>
        <v>1</v>
      </c>
      <c r="BA1216" s="452" t="s">
        <v>1</v>
      </c>
      <c r="BB1216" s="1818">
        <v>2021</v>
      </c>
      <c r="BC1216" s="452" t="s">
        <v>447</v>
      </c>
      <c r="BD1216" s="452">
        <v>6</v>
      </c>
      <c r="BE1216" s="1819">
        <v>1347094000</v>
      </c>
      <c r="BF1216" s="1820">
        <v>7.0040715929428218E-2</v>
      </c>
      <c r="BH1216" s="452" t="s">
        <v>1</v>
      </c>
      <c r="BI1216" s="452" t="s">
        <v>395</v>
      </c>
      <c r="BJ1216" s="452" t="s">
        <v>592</v>
      </c>
      <c r="BK1216" s="452">
        <v>3</v>
      </c>
      <c r="BL1216" s="1819">
        <v>2971013000</v>
      </c>
      <c r="BM1216" s="1820">
        <v>0.13808615013593828</v>
      </c>
      <c r="BN1216" s="452">
        <f t="shared" si="43"/>
        <v>2019</v>
      </c>
    </row>
    <row r="1217" spans="1:66">
      <c r="A1217" s="228">
        <f t="shared" si="40"/>
        <v>1900</v>
      </c>
      <c r="B1217" s="228">
        <f t="shared" si="41"/>
        <v>1</v>
      </c>
      <c r="BA1217" s="452" t="s">
        <v>1</v>
      </c>
      <c r="BB1217" s="1818">
        <v>2021</v>
      </c>
      <c r="BC1217" s="452" t="s">
        <v>28</v>
      </c>
      <c r="BD1217" s="452">
        <v>7</v>
      </c>
      <c r="BE1217" s="1819">
        <v>954317000</v>
      </c>
      <c r="BF1217" s="1820">
        <v>4.9618694689178448E-2</v>
      </c>
      <c r="BH1217" s="452" t="s">
        <v>1</v>
      </c>
      <c r="BI1217" s="452" t="s">
        <v>395</v>
      </c>
      <c r="BJ1217" s="452" t="s">
        <v>49</v>
      </c>
      <c r="BK1217" s="452">
        <v>4</v>
      </c>
      <c r="BL1217" s="1819">
        <v>853932000</v>
      </c>
      <c r="BM1217" s="1820">
        <v>3.9688881320237256E-2</v>
      </c>
      <c r="BN1217" s="452">
        <f t="shared" si="43"/>
        <v>2019</v>
      </c>
    </row>
    <row r="1218" spans="1:66">
      <c r="A1218" s="228">
        <f t="shared" si="40"/>
        <v>1900</v>
      </c>
      <c r="B1218" s="228">
        <f t="shared" si="41"/>
        <v>1</v>
      </c>
      <c r="BA1218" s="452" t="s">
        <v>1</v>
      </c>
      <c r="BB1218" s="1818">
        <v>2021</v>
      </c>
      <c r="BC1218" s="452" t="s">
        <v>581</v>
      </c>
      <c r="BD1218" s="452">
        <v>8</v>
      </c>
      <c r="BE1218" s="1819">
        <v>701893000</v>
      </c>
      <c r="BF1218" s="1820">
        <v>3.6494178005287058E-2</v>
      </c>
      <c r="BH1218" s="452" t="s">
        <v>1</v>
      </c>
      <c r="BI1218" s="452" t="s">
        <v>395</v>
      </c>
      <c r="BJ1218" s="452" t="s">
        <v>15</v>
      </c>
      <c r="BK1218" s="452">
        <v>5</v>
      </c>
      <c r="BL1218" s="1819">
        <v>823663000</v>
      </c>
      <c r="BM1218" s="1820">
        <v>3.828204477039223E-2</v>
      </c>
      <c r="BN1218" s="452">
        <f t="shared" si="43"/>
        <v>2019</v>
      </c>
    </row>
    <row r="1219" spans="1:66">
      <c r="A1219" s="228">
        <f t="shared" si="40"/>
        <v>1900</v>
      </c>
      <c r="B1219" s="228">
        <f t="shared" si="41"/>
        <v>1</v>
      </c>
      <c r="BA1219" s="452" t="s">
        <v>1</v>
      </c>
      <c r="BB1219" s="1818">
        <v>2021</v>
      </c>
      <c r="BC1219" s="452" t="s">
        <v>17</v>
      </c>
      <c r="BD1219" s="452">
        <v>9</v>
      </c>
      <c r="BE1219" s="1819">
        <v>379608000</v>
      </c>
      <c r="BF1219" s="1820">
        <v>1.973731312925333E-2</v>
      </c>
      <c r="BH1219" s="452" t="s">
        <v>1</v>
      </c>
      <c r="BI1219" s="452" t="s">
        <v>395</v>
      </c>
      <c r="BJ1219" s="452" t="s">
        <v>46</v>
      </c>
      <c r="BK1219" s="452">
        <v>6</v>
      </c>
      <c r="BL1219" s="1819">
        <v>404170000</v>
      </c>
      <c r="BM1219" s="1820">
        <v>1.8784932715017459E-2</v>
      </c>
      <c r="BN1219" s="452">
        <f t="shared" si="43"/>
        <v>2019</v>
      </c>
    </row>
    <row r="1220" spans="1:66">
      <c r="A1220" s="228">
        <f t="shared" si="40"/>
        <v>1900</v>
      </c>
      <c r="B1220" s="228">
        <f t="shared" si="41"/>
        <v>1</v>
      </c>
      <c r="BA1220" s="452" t="s">
        <v>1</v>
      </c>
      <c r="BB1220" s="1818">
        <v>2021</v>
      </c>
      <c r="BC1220" s="452" t="s">
        <v>46</v>
      </c>
      <c r="BD1220" s="452">
        <v>10</v>
      </c>
      <c r="BE1220" s="1819">
        <v>69824000</v>
      </c>
      <c r="BF1220" s="1820">
        <v>3.6304244166007688E-3</v>
      </c>
      <c r="BH1220" s="452" t="s">
        <v>1</v>
      </c>
      <c r="BI1220" s="452" t="s">
        <v>395</v>
      </c>
      <c r="BJ1220" s="452" t="s">
        <v>581</v>
      </c>
      <c r="BK1220" s="452">
        <v>7</v>
      </c>
      <c r="BL1220" s="1819">
        <v>192807000</v>
      </c>
      <c r="BM1220" s="1820">
        <v>8.9612453224741356E-3</v>
      </c>
      <c r="BN1220" s="452">
        <f t="shared" si="43"/>
        <v>2019</v>
      </c>
    </row>
    <row r="1221" spans="1:66">
      <c r="A1221" s="228">
        <f t="shared" si="40"/>
        <v>1900</v>
      </c>
      <c r="B1221" s="228">
        <f t="shared" si="41"/>
        <v>1</v>
      </c>
      <c r="BA1221" s="452" t="s">
        <v>1</v>
      </c>
      <c r="BB1221" s="1818">
        <v>2021</v>
      </c>
      <c r="BC1221" s="452" t="s">
        <v>32</v>
      </c>
      <c r="BE1221" s="1819">
        <v>75349000</v>
      </c>
      <c r="BF1221" s="1820">
        <v>3.9176908994966106E-3</v>
      </c>
      <c r="BH1221" s="452" t="s">
        <v>1</v>
      </c>
      <c r="BI1221" s="452" t="s">
        <v>395</v>
      </c>
      <c r="BJ1221" s="452" t="s">
        <v>241</v>
      </c>
      <c r="BK1221" s="452">
        <v>8</v>
      </c>
      <c r="BL1221" s="1819">
        <v>174732000</v>
      </c>
      <c r="BM1221" s="1820">
        <v>8.1211590745489046E-3</v>
      </c>
      <c r="BN1221" s="452">
        <f t="shared" si="43"/>
        <v>2019</v>
      </c>
    </row>
    <row r="1222" spans="1:66">
      <c r="A1222" s="228">
        <f t="shared" si="40"/>
        <v>1900</v>
      </c>
      <c r="B1222" s="228">
        <f t="shared" si="41"/>
        <v>1</v>
      </c>
      <c r="BA1222" s="452" t="s">
        <v>1</v>
      </c>
      <c r="BB1222" s="1818">
        <v>2021</v>
      </c>
      <c r="BC1222" s="452" t="s">
        <v>249</v>
      </c>
      <c r="BE1222" s="1819">
        <v>19233013000</v>
      </c>
      <c r="BH1222" s="452" t="s">
        <v>1</v>
      </c>
      <c r="BI1222" s="452" t="s">
        <v>395</v>
      </c>
      <c r="BJ1222" s="452" t="s">
        <v>20</v>
      </c>
      <c r="BK1222" s="452">
        <v>9</v>
      </c>
      <c r="BL1222" s="1819">
        <v>123730000</v>
      </c>
      <c r="BM1222" s="1820">
        <v>5.7506982824779432E-3</v>
      </c>
      <c r="BN1222" s="452">
        <f t="shared" si="43"/>
        <v>2019</v>
      </c>
    </row>
    <row r="1223" spans="1:66">
      <c r="A1223" s="228">
        <f t="shared" si="40"/>
        <v>1900</v>
      </c>
      <c r="B1223" s="228">
        <f t="shared" si="41"/>
        <v>1</v>
      </c>
      <c r="BA1223" s="452" t="s">
        <v>2</v>
      </c>
      <c r="BB1223" s="1818">
        <v>2021</v>
      </c>
      <c r="BC1223" s="452" t="s">
        <v>15</v>
      </c>
      <c r="BD1223" s="452">
        <v>1</v>
      </c>
      <c r="BE1223" s="1819">
        <v>125193892000</v>
      </c>
      <c r="BF1223" s="1820">
        <v>0.81958303014537448</v>
      </c>
      <c r="BH1223" s="452" t="s">
        <v>1</v>
      </c>
      <c r="BI1223" s="452" t="s">
        <v>395</v>
      </c>
      <c r="BJ1223" s="452" t="s">
        <v>55</v>
      </c>
      <c r="BK1223" s="452">
        <v>10</v>
      </c>
      <c r="BL1223" s="1819">
        <v>112245000</v>
      </c>
      <c r="BM1223" s="1820">
        <v>5.2169007412651482E-3</v>
      </c>
      <c r="BN1223" s="452">
        <f t="shared" si="43"/>
        <v>2019</v>
      </c>
    </row>
    <row r="1224" spans="1:66">
      <c r="A1224" s="228">
        <f t="shared" si="40"/>
        <v>1900</v>
      </c>
      <c r="B1224" s="228">
        <f t="shared" si="41"/>
        <v>1</v>
      </c>
      <c r="BA1224" s="452" t="s">
        <v>2</v>
      </c>
      <c r="BB1224" s="1818">
        <v>2021</v>
      </c>
      <c r="BC1224" s="452" t="s">
        <v>20</v>
      </c>
      <c r="BD1224" s="452">
        <v>2</v>
      </c>
      <c r="BE1224" s="1819">
        <v>11276013000</v>
      </c>
      <c r="BF1224" s="1820">
        <v>7.3818528642744283E-2</v>
      </c>
      <c r="BH1224" s="452" t="s">
        <v>1</v>
      </c>
      <c r="BI1224" s="452" t="s">
        <v>395</v>
      </c>
      <c r="BJ1224" s="452" t="s">
        <v>32</v>
      </c>
      <c r="BL1224" s="1819">
        <v>142897000</v>
      </c>
      <c r="BM1224" s="1820">
        <v>6.6415382887840511E-3</v>
      </c>
      <c r="BN1224" s="452">
        <f t="shared" si="43"/>
        <v>2019</v>
      </c>
    </row>
    <row r="1225" spans="1:66">
      <c r="A1225" s="228">
        <f t="shared" si="40"/>
        <v>1900</v>
      </c>
      <c r="B1225" s="228">
        <f t="shared" si="41"/>
        <v>1</v>
      </c>
      <c r="BA1225" s="452" t="s">
        <v>2</v>
      </c>
      <c r="BB1225" s="1818">
        <v>2021</v>
      </c>
      <c r="BC1225" s="452" t="s">
        <v>581</v>
      </c>
      <c r="BD1225" s="452">
        <v>3</v>
      </c>
      <c r="BE1225" s="1819">
        <v>9841650000</v>
      </c>
      <c r="BF1225" s="1820">
        <v>6.4428457329453612E-2</v>
      </c>
      <c r="BH1225" s="452" t="s">
        <v>1</v>
      </c>
      <c r="BI1225" s="452" t="s">
        <v>395</v>
      </c>
      <c r="BJ1225" s="452" t="s">
        <v>249</v>
      </c>
      <c r="BL1225" s="1819">
        <v>21515648000</v>
      </c>
      <c r="BN1225" s="452">
        <f t="shared" si="43"/>
        <v>2019</v>
      </c>
    </row>
    <row r="1226" spans="1:66">
      <c r="A1226" s="228">
        <f t="shared" ref="A1226:A1289" si="44">YEAR(C1226)</f>
        <v>1900</v>
      </c>
      <c r="B1226" s="228">
        <f t="shared" ref="B1226:B1289" si="45">IF(OR(MONTH(C1226)=1,MONTH(C1226)=2,MONTH(C1226)=3),1,IF(OR(MONTH(C1226)=4,MONTH(C1226)=5,MONTH(C1226)=6),2,IF(OR(MONTH(C1226)=7,MONTH(C1226)=8,MONTH(C1226)=9),3,4)))</f>
        <v>1</v>
      </c>
      <c r="BA1226" s="452" t="s">
        <v>2</v>
      </c>
      <c r="BB1226" s="1818">
        <v>2021</v>
      </c>
      <c r="BC1226" s="452" t="s">
        <v>583</v>
      </c>
      <c r="BD1226" s="452">
        <v>4</v>
      </c>
      <c r="BE1226" s="1819">
        <v>3380371000</v>
      </c>
      <c r="BF1226" s="1820">
        <v>2.2129631589339435E-2</v>
      </c>
      <c r="BH1226" s="452" t="s">
        <v>0</v>
      </c>
      <c r="BI1226" s="452" t="s">
        <v>448</v>
      </c>
      <c r="BJ1226" s="452" t="s">
        <v>14</v>
      </c>
      <c r="BK1226" s="452">
        <v>1</v>
      </c>
      <c r="BL1226" s="1819">
        <v>1076588663.01</v>
      </c>
      <c r="BM1226" s="1820">
        <v>0.18692100200328479</v>
      </c>
      <c r="BN1226" s="452">
        <v>2020</v>
      </c>
    </row>
    <row r="1227" spans="1:66">
      <c r="A1227" s="228">
        <f t="shared" si="44"/>
        <v>1900</v>
      </c>
      <c r="B1227" s="228">
        <f t="shared" si="45"/>
        <v>1</v>
      </c>
      <c r="BA1227" s="452" t="s">
        <v>2</v>
      </c>
      <c r="BB1227" s="1818">
        <v>2021</v>
      </c>
      <c r="BC1227" s="452" t="s">
        <v>77</v>
      </c>
      <c r="BD1227" s="452">
        <v>5</v>
      </c>
      <c r="BE1227" s="1819">
        <v>1762718000</v>
      </c>
      <c r="BF1227" s="1820">
        <v>1.1539650510520067E-2</v>
      </c>
      <c r="BH1227" s="452" t="s">
        <v>0</v>
      </c>
      <c r="BI1227" s="452" t="s">
        <v>448</v>
      </c>
      <c r="BJ1227" s="452" t="s">
        <v>29</v>
      </c>
      <c r="BK1227" s="452">
        <v>2</v>
      </c>
      <c r="BL1227" s="1819">
        <v>848125326.12</v>
      </c>
      <c r="BM1227" s="1820">
        <v>0.14725441687215737</v>
      </c>
      <c r="BN1227" s="452">
        <v>2020</v>
      </c>
    </row>
    <row r="1228" spans="1:66">
      <c r="A1228" s="228">
        <f t="shared" si="44"/>
        <v>1900</v>
      </c>
      <c r="B1228" s="228">
        <f t="shared" si="45"/>
        <v>1</v>
      </c>
      <c r="BA1228" s="452" t="s">
        <v>2</v>
      </c>
      <c r="BB1228" s="1818">
        <v>2021</v>
      </c>
      <c r="BC1228" s="452" t="s">
        <v>32</v>
      </c>
      <c r="BE1228" s="1819">
        <v>1298509000</v>
      </c>
      <c r="BF1228" s="1820">
        <v>8.5007017825681156E-3</v>
      </c>
      <c r="BH1228" s="452" t="s">
        <v>0</v>
      </c>
      <c r="BI1228" s="452" t="s">
        <v>448</v>
      </c>
      <c r="BJ1228" s="452" t="s">
        <v>15</v>
      </c>
      <c r="BK1228" s="452">
        <v>3</v>
      </c>
      <c r="BL1228" s="1819">
        <v>665647686.70999992</v>
      </c>
      <c r="BM1228" s="1820">
        <v>0.11557202565474728</v>
      </c>
      <c r="BN1228" s="452">
        <v>2020</v>
      </c>
    </row>
    <row r="1229" spans="1:66">
      <c r="A1229" s="228">
        <f t="shared" si="44"/>
        <v>1900</v>
      </c>
      <c r="B1229" s="228">
        <f t="shared" si="45"/>
        <v>1</v>
      </c>
      <c r="BA1229" s="452" t="s">
        <v>2</v>
      </c>
      <c r="BB1229" s="1818">
        <v>2021</v>
      </c>
      <c r="BC1229" s="452" t="s">
        <v>249</v>
      </c>
      <c r="BE1229" s="1819">
        <v>152753153000</v>
      </c>
      <c r="BH1229" s="452" t="s">
        <v>0</v>
      </c>
      <c r="BI1229" s="452" t="s">
        <v>448</v>
      </c>
      <c r="BJ1229" s="452" t="s">
        <v>27</v>
      </c>
      <c r="BK1229" s="452">
        <v>4</v>
      </c>
      <c r="BL1229" s="1819">
        <v>606515305.56999993</v>
      </c>
      <c r="BM1229" s="1820">
        <v>0.10530525960630499</v>
      </c>
      <c r="BN1229" s="452">
        <v>2020</v>
      </c>
    </row>
    <row r="1230" spans="1:66">
      <c r="A1230" s="228">
        <f t="shared" si="44"/>
        <v>1900</v>
      </c>
      <c r="B1230" s="228">
        <f t="shared" si="45"/>
        <v>1</v>
      </c>
      <c r="BA1230" s="452" t="s">
        <v>280</v>
      </c>
      <c r="BB1230" s="1818">
        <v>2021</v>
      </c>
      <c r="BC1230" s="452" t="s">
        <v>15</v>
      </c>
      <c r="BD1230" s="452">
        <v>1</v>
      </c>
      <c r="BE1230" s="1819">
        <v>859273144.74000025</v>
      </c>
      <c r="BF1230" s="1820">
        <v>0.45491236729112144</v>
      </c>
      <c r="BH1230" s="452" t="s">
        <v>0</v>
      </c>
      <c r="BI1230" s="452" t="s">
        <v>448</v>
      </c>
      <c r="BJ1230" s="452" t="s">
        <v>22</v>
      </c>
      <c r="BK1230" s="452">
        <v>5</v>
      </c>
      <c r="BL1230" s="1819">
        <v>494147508.14000005</v>
      </c>
      <c r="BM1230" s="1820">
        <v>8.5795578694568872E-2</v>
      </c>
      <c r="BN1230" s="452">
        <v>2020</v>
      </c>
    </row>
    <row r="1231" spans="1:66">
      <c r="A1231" s="228">
        <f t="shared" si="44"/>
        <v>1900</v>
      </c>
      <c r="B1231" s="228">
        <f t="shared" si="45"/>
        <v>1</v>
      </c>
      <c r="BA1231" s="452" t="s">
        <v>280</v>
      </c>
      <c r="BB1231" s="1818">
        <v>2021</v>
      </c>
      <c r="BC1231" s="452" t="s">
        <v>26</v>
      </c>
      <c r="BD1231" s="452">
        <v>2</v>
      </c>
      <c r="BE1231" s="1819">
        <v>180322917.55000001</v>
      </c>
      <c r="BF1231" s="1820">
        <v>9.5465715182258229E-2</v>
      </c>
      <c r="BH1231" s="452" t="s">
        <v>0</v>
      </c>
      <c r="BI1231" s="452" t="s">
        <v>448</v>
      </c>
      <c r="BJ1231" s="452" t="s">
        <v>21</v>
      </c>
      <c r="BK1231" s="452">
        <v>6</v>
      </c>
      <c r="BL1231" s="1819">
        <v>402630686.25</v>
      </c>
      <c r="BM1231" s="1820">
        <v>6.9906115396666704E-2</v>
      </c>
      <c r="BN1231" s="452">
        <v>2020</v>
      </c>
    </row>
    <row r="1232" spans="1:66">
      <c r="A1232" s="228">
        <f t="shared" si="44"/>
        <v>1900</v>
      </c>
      <c r="B1232" s="228">
        <f t="shared" si="45"/>
        <v>1</v>
      </c>
      <c r="BA1232" s="452" t="s">
        <v>280</v>
      </c>
      <c r="BB1232" s="1818">
        <v>2021</v>
      </c>
      <c r="BC1232" s="452" t="s">
        <v>447</v>
      </c>
      <c r="BD1232" s="452">
        <v>3</v>
      </c>
      <c r="BE1232" s="1819">
        <v>143178928.29999998</v>
      </c>
      <c r="BF1232" s="1820">
        <v>7.5801118210050672E-2</v>
      </c>
      <c r="BH1232" s="452" t="s">
        <v>0</v>
      </c>
      <c r="BI1232" s="452" t="s">
        <v>448</v>
      </c>
      <c r="BJ1232" s="452" t="s">
        <v>18</v>
      </c>
      <c r="BK1232" s="452">
        <v>7</v>
      </c>
      <c r="BL1232" s="1819">
        <v>394443551.61000001</v>
      </c>
      <c r="BM1232" s="1820">
        <v>6.8484637107859583E-2</v>
      </c>
      <c r="BN1232" s="452">
        <v>2020</v>
      </c>
    </row>
    <row r="1233" spans="1:66">
      <c r="A1233" s="228">
        <f t="shared" si="44"/>
        <v>1900</v>
      </c>
      <c r="B1233" s="228">
        <f t="shared" si="45"/>
        <v>1</v>
      </c>
      <c r="BA1233" s="452" t="s">
        <v>280</v>
      </c>
      <c r="BB1233" s="1818">
        <v>2021</v>
      </c>
      <c r="BC1233" s="452" t="s">
        <v>18</v>
      </c>
      <c r="BD1233" s="452">
        <v>4</v>
      </c>
      <c r="BE1233" s="1819">
        <v>98854491.130000055</v>
      </c>
      <c r="BF1233" s="1820">
        <v>5.2335082101180527E-2</v>
      </c>
      <c r="BH1233" s="452" t="s">
        <v>0</v>
      </c>
      <c r="BI1233" s="452" t="s">
        <v>448</v>
      </c>
      <c r="BJ1233" s="452" t="s">
        <v>25</v>
      </c>
      <c r="BK1233" s="452">
        <v>8</v>
      </c>
      <c r="BL1233" s="1819">
        <v>305679669.29000002</v>
      </c>
      <c r="BM1233" s="1820">
        <v>5.3073148583944171E-2</v>
      </c>
      <c r="BN1233" s="452">
        <v>2020</v>
      </c>
    </row>
    <row r="1234" spans="1:66">
      <c r="A1234" s="228">
        <f t="shared" si="44"/>
        <v>1900</v>
      </c>
      <c r="B1234" s="228">
        <f t="shared" si="45"/>
        <v>1</v>
      </c>
      <c r="BA1234" s="452" t="s">
        <v>280</v>
      </c>
      <c r="BB1234" s="1818">
        <v>2021</v>
      </c>
      <c r="BC1234" s="452" t="s">
        <v>54</v>
      </c>
      <c r="BD1234" s="452">
        <v>5</v>
      </c>
      <c r="BE1234" s="1819">
        <v>91519684.180000007</v>
      </c>
      <c r="BF1234" s="1820">
        <v>4.8451922929183468E-2</v>
      </c>
      <c r="BH1234" s="452" t="s">
        <v>0</v>
      </c>
      <c r="BI1234" s="452" t="s">
        <v>448</v>
      </c>
      <c r="BJ1234" s="452" t="s">
        <v>19</v>
      </c>
      <c r="BK1234" s="452">
        <v>9</v>
      </c>
      <c r="BL1234" s="1819">
        <v>187470991.42999998</v>
      </c>
      <c r="BM1234" s="1820">
        <v>3.254935405568108E-2</v>
      </c>
      <c r="BN1234" s="452">
        <v>2020</v>
      </c>
    </row>
    <row r="1235" spans="1:66">
      <c r="A1235" s="228">
        <f t="shared" si="44"/>
        <v>1900</v>
      </c>
      <c r="B1235" s="228">
        <f t="shared" si="45"/>
        <v>1</v>
      </c>
      <c r="BA1235" s="452" t="s">
        <v>280</v>
      </c>
      <c r="BB1235" s="1818">
        <v>2021</v>
      </c>
      <c r="BC1235" s="452" t="s">
        <v>583</v>
      </c>
      <c r="BD1235" s="452">
        <v>6</v>
      </c>
      <c r="BE1235" s="1819">
        <v>82702673.500000015</v>
      </c>
      <c r="BF1235" s="1820">
        <v>4.378406239447126E-2</v>
      </c>
      <c r="BH1235" s="452" t="s">
        <v>0</v>
      </c>
      <c r="BI1235" s="452" t="s">
        <v>448</v>
      </c>
      <c r="BJ1235" s="452" t="s">
        <v>74</v>
      </c>
      <c r="BK1235" s="452">
        <v>10</v>
      </c>
      <c r="BL1235" s="1819">
        <v>185429637.14000002</v>
      </c>
      <c r="BM1235" s="1820">
        <v>3.2194927149248986E-2</v>
      </c>
      <c r="BN1235" s="452">
        <v>2020</v>
      </c>
    </row>
    <row r="1236" spans="1:66">
      <c r="A1236" s="228">
        <f t="shared" si="44"/>
        <v>1900</v>
      </c>
      <c r="B1236" s="228">
        <f t="shared" si="45"/>
        <v>1</v>
      </c>
      <c r="BA1236" s="452" t="s">
        <v>280</v>
      </c>
      <c r="BB1236" s="1818">
        <v>2021</v>
      </c>
      <c r="BC1236" s="452" t="s">
        <v>23</v>
      </c>
      <c r="BD1236" s="452">
        <v>7</v>
      </c>
      <c r="BE1236" s="1819">
        <v>77407287.199999988</v>
      </c>
      <c r="BF1236" s="1820">
        <v>4.0980603759460756E-2</v>
      </c>
      <c r="BH1236" s="452" t="s">
        <v>0</v>
      </c>
      <c r="BI1236" s="452" t="s">
        <v>448</v>
      </c>
      <c r="BJ1236" s="452" t="s">
        <v>32</v>
      </c>
      <c r="BL1236" s="1819">
        <v>592912735.2699995</v>
      </c>
      <c r="BM1236" s="1820">
        <v>0.10294353487553604</v>
      </c>
      <c r="BN1236" s="452">
        <v>2020</v>
      </c>
    </row>
    <row r="1237" spans="1:66">
      <c r="A1237" s="228">
        <f t="shared" si="44"/>
        <v>1900</v>
      </c>
      <c r="B1237" s="228">
        <f t="shared" si="45"/>
        <v>1</v>
      </c>
      <c r="BA1237" s="452" t="s">
        <v>280</v>
      </c>
      <c r="BB1237" s="1818">
        <v>2021</v>
      </c>
      <c r="BC1237" s="452" t="s">
        <v>21</v>
      </c>
      <c r="BD1237" s="452">
        <v>8</v>
      </c>
      <c r="BE1237" s="1819">
        <v>66775992.24000001</v>
      </c>
      <c r="BF1237" s="1820">
        <v>3.5352233331234308E-2</v>
      </c>
      <c r="BH1237" s="452" t="s">
        <v>0</v>
      </c>
      <c r="BI1237" s="452" t="s">
        <v>448</v>
      </c>
      <c r="BJ1237" s="452" t="s">
        <v>249</v>
      </c>
      <c r="BL1237" s="1819">
        <v>5759591760.54</v>
      </c>
      <c r="BN1237" s="452">
        <v>2020</v>
      </c>
    </row>
    <row r="1238" spans="1:66">
      <c r="A1238" s="228">
        <f t="shared" si="44"/>
        <v>1900</v>
      </c>
      <c r="B1238" s="228">
        <f t="shared" si="45"/>
        <v>1</v>
      </c>
      <c r="BA1238" s="452" t="s">
        <v>280</v>
      </c>
      <c r="BB1238" s="1818">
        <v>2021</v>
      </c>
      <c r="BC1238" s="452" t="s">
        <v>51</v>
      </c>
      <c r="BD1238" s="452">
        <v>9</v>
      </c>
      <c r="BE1238" s="1819">
        <v>58142020.450000003</v>
      </c>
      <c r="BF1238" s="1820">
        <v>3.078127638912935E-2</v>
      </c>
      <c r="BH1238" s="452" t="s">
        <v>228</v>
      </c>
      <c r="BI1238" s="452" t="s">
        <v>448</v>
      </c>
      <c r="BJ1238" s="452" t="s">
        <v>627</v>
      </c>
      <c r="BK1238" s="452">
        <v>1</v>
      </c>
      <c r="BL1238" s="1824" t="s">
        <v>165</v>
      </c>
      <c r="BM1238" s="1898">
        <v>0.25690669464334059</v>
      </c>
      <c r="BN1238" s="452">
        <v>2020</v>
      </c>
    </row>
    <row r="1239" spans="1:66">
      <c r="A1239" s="228">
        <f t="shared" si="44"/>
        <v>1900</v>
      </c>
      <c r="B1239" s="228">
        <f t="shared" si="45"/>
        <v>1</v>
      </c>
      <c r="BA1239" s="452" t="s">
        <v>280</v>
      </c>
      <c r="BB1239" s="1818">
        <v>2021</v>
      </c>
      <c r="BC1239" s="452" t="s">
        <v>52</v>
      </c>
      <c r="BD1239" s="452">
        <v>10</v>
      </c>
      <c r="BE1239" s="1819">
        <v>54373069.82</v>
      </c>
      <c r="BF1239" s="1820">
        <v>2.8785936183524003E-2</v>
      </c>
      <c r="BH1239" s="452" t="s">
        <v>228</v>
      </c>
      <c r="BI1239" s="452" t="s">
        <v>448</v>
      </c>
      <c r="BJ1239" s="452" t="s">
        <v>53</v>
      </c>
      <c r="BK1239" s="452">
        <v>2</v>
      </c>
      <c r="BL1239" s="1824" t="s">
        <v>165</v>
      </c>
      <c r="BM1239" s="1898">
        <v>0.19626711481652317</v>
      </c>
      <c r="BN1239" s="452">
        <v>2020</v>
      </c>
    </row>
    <row r="1240" spans="1:66">
      <c r="A1240" s="228">
        <f t="shared" si="44"/>
        <v>1900</v>
      </c>
      <c r="B1240" s="228">
        <f t="shared" si="45"/>
        <v>1</v>
      </c>
      <c r="BA1240" s="452" t="s">
        <v>280</v>
      </c>
      <c r="BB1240" s="1818">
        <v>2021</v>
      </c>
      <c r="BC1240" s="452" t="s">
        <v>32</v>
      </c>
      <c r="BE1240" s="1819">
        <v>176325993.25999999</v>
      </c>
      <c r="BF1240" s="1820">
        <v>9.3349682228385966E-2</v>
      </c>
      <c r="BH1240" s="452" t="s">
        <v>228</v>
      </c>
      <c r="BI1240" s="452" t="s">
        <v>448</v>
      </c>
      <c r="BJ1240" s="452" t="s">
        <v>20</v>
      </c>
      <c r="BK1240" s="452">
        <v>3</v>
      </c>
      <c r="BL1240" s="1824" t="s">
        <v>165</v>
      </c>
      <c r="BM1240" s="1898">
        <v>0.17270970380097272</v>
      </c>
      <c r="BN1240" s="452">
        <v>2020</v>
      </c>
    </row>
    <row r="1241" spans="1:66">
      <c r="A1241" s="228">
        <f t="shared" si="44"/>
        <v>1900</v>
      </c>
      <c r="B1241" s="228">
        <f t="shared" si="45"/>
        <v>1</v>
      </c>
      <c r="BA1241" s="452" t="s">
        <v>280</v>
      </c>
      <c r="BB1241" s="1818">
        <v>2021</v>
      </c>
      <c r="BC1241" s="452" t="s">
        <v>249</v>
      </c>
      <c r="BE1241" s="1819">
        <v>1888876202.3700004</v>
      </c>
      <c r="BH1241" s="452" t="s">
        <v>228</v>
      </c>
      <c r="BI1241" s="452" t="s">
        <v>448</v>
      </c>
      <c r="BJ1241" s="452" t="s">
        <v>15</v>
      </c>
      <c r="BK1241" s="452">
        <v>4</v>
      </c>
      <c r="BL1241" s="1824" t="s">
        <v>165</v>
      </c>
      <c r="BM1241" s="1898">
        <v>0.11823619946056574</v>
      </c>
      <c r="BN1241" s="452">
        <v>2020</v>
      </c>
    </row>
    <row r="1242" spans="1:66">
      <c r="A1242" s="228">
        <f t="shared" si="44"/>
        <v>1900</v>
      </c>
      <c r="B1242" s="228">
        <f t="shared" si="45"/>
        <v>1</v>
      </c>
      <c r="BA1242" s="452" t="s">
        <v>3</v>
      </c>
      <c r="BB1242" s="1818">
        <v>2021</v>
      </c>
      <c r="BC1242" s="452" t="s">
        <v>15</v>
      </c>
      <c r="BD1242" s="452">
        <v>1</v>
      </c>
      <c r="BE1242" s="1824" t="s">
        <v>165</v>
      </c>
      <c r="BF1242" s="1820">
        <v>0.61421973235808913</v>
      </c>
      <c r="BH1242" s="452" t="s">
        <v>228</v>
      </c>
      <c r="BI1242" s="452" t="s">
        <v>448</v>
      </c>
      <c r="BJ1242" s="452" t="s">
        <v>46</v>
      </c>
      <c r="BK1242" s="452">
        <v>5</v>
      </c>
      <c r="BL1242" s="1824" t="s">
        <v>165</v>
      </c>
      <c r="BM1242" s="1898">
        <v>9.1937433001963428E-2</v>
      </c>
      <c r="BN1242" s="452">
        <v>2020</v>
      </c>
    </row>
    <row r="1243" spans="1:66">
      <c r="A1243" s="228">
        <f t="shared" si="44"/>
        <v>1900</v>
      </c>
      <c r="B1243" s="228">
        <f t="shared" si="45"/>
        <v>1</v>
      </c>
      <c r="BA1243" s="452" t="s">
        <v>3</v>
      </c>
      <c r="BB1243" s="1818">
        <v>2021</v>
      </c>
      <c r="BC1243" s="452" t="s">
        <v>20</v>
      </c>
      <c r="BD1243" s="452">
        <v>2</v>
      </c>
      <c r="BE1243" s="1824" t="s">
        <v>165</v>
      </c>
      <c r="BF1243" s="1820">
        <v>0.15605727169511943</v>
      </c>
      <c r="BH1243" s="452" t="s">
        <v>228</v>
      </c>
      <c r="BI1243" s="452" t="s">
        <v>448</v>
      </c>
      <c r="BJ1243" s="452" t="s">
        <v>45</v>
      </c>
      <c r="BK1243" s="452">
        <v>6</v>
      </c>
      <c r="BL1243" s="1824" t="s">
        <v>165</v>
      </c>
      <c r="BM1243" s="1898">
        <v>4.6241284619636322E-2</v>
      </c>
      <c r="BN1243" s="452">
        <v>2020</v>
      </c>
    </row>
    <row r="1244" spans="1:66">
      <c r="A1244" s="228">
        <f t="shared" si="44"/>
        <v>1900</v>
      </c>
      <c r="B1244" s="228">
        <f t="shared" si="45"/>
        <v>1</v>
      </c>
      <c r="BA1244" s="452" t="s">
        <v>3</v>
      </c>
      <c r="BB1244" s="1818">
        <v>2021</v>
      </c>
      <c r="BC1244" s="452" t="s">
        <v>627</v>
      </c>
      <c r="BD1244" s="452">
        <v>3</v>
      </c>
      <c r="BE1244" s="1824" t="s">
        <v>165</v>
      </c>
      <c r="BF1244" s="1820">
        <v>9.1375744917541038E-2</v>
      </c>
      <c r="BH1244" s="452" t="s">
        <v>228</v>
      </c>
      <c r="BI1244" s="452" t="s">
        <v>448</v>
      </c>
      <c r="BJ1244" s="452" t="s">
        <v>18</v>
      </c>
      <c r="BK1244" s="452">
        <v>7</v>
      </c>
      <c r="BL1244" s="1824" t="s">
        <v>165</v>
      </c>
      <c r="BM1244" s="1898">
        <v>3.8468726154402631E-2</v>
      </c>
      <c r="BN1244" s="452">
        <v>2020</v>
      </c>
    </row>
    <row r="1245" spans="1:66">
      <c r="A1245" s="228">
        <f t="shared" si="44"/>
        <v>1900</v>
      </c>
      <c r="B1245" s="228">
        <f t="shared" si="45"/>
        <v>1</v>
      </c>
      <c r="BA1245" s="452" t="s">
        <v>3</v>
      </c>
      <c r="BB1245" s="1818">
        <v>2021</v>
      </c>
      <c r="BC1245" s="452" t="s">
        <v>48</v>
      </c>
      <c r="BD1245" s="452">
        <v>4</v>
      </c>
      <c r="BE1245" s="1824" t="s">
        <v>165</v>
      </c>
      <c r="BF1245" s="1820">
        <v>8.9255225439639541E-2</v>
      </c>
      <c r="BH1245" s="452" t="s">
        <v>228</v>
      </c>
      <c r="BI1245" s="452" t="s">
        <v>448</v>
      </c>
      <c r="BJ1245" s="452" t="s">
        <v>583</v>
      </c>
      <c r="BK1245" s="452">
        <v>8</v>
      </c>
      <c r="BL1245" s="1824" t="s">
        <v>165</v>
      </c>
      <c r="BM1245" s="1898">
        <v>2.7258993393669554E-2</v>
      </c>
      <c r="BN1245" s="452">
        <v>2020</v>
      </c>
    </row>
    <row r="1246" spans="1:66">
      <c r="A1246" s="228">
        <f t="shared" si="44"/>
        <v>1900</v>
      </c>
      <c r="B1246" s="228">
        <f t="shared" si="45"/>
        <v>1</v>
      </c>
      <c r="BA1246" s="452" t="s">
        <v>3</v>
      </c>
      <c r="BB1246" s="1818">
        <v>2021</v>
      </c>
      <c r="BC1246" s="452" t="s">
        <v>23</v>
      </c>
      <c r="BD1246" s="452">
        <v>5</v>
      </c>
      <c r="BE1246" s="1824" t="s">
        <v>165</v>
      </c>
      <c r="BF1246" s="1820">
        <v>8.9896750345476659E-3</v>
      </c>
      <c r="BH1246" s="452" t="s">
        <v>228</v>
      </c>
      <c r="BI1246" s="452" t="s">
        <v>448</v>
      </c>
      <c r="BJ1246" s="452" t="s">
        <v>245</v>
      </c>
      <c r="BK1246" s="452">
        <v>9</v>
      </c>
      <c r="BL1246" s="1824" t="s">
        <v>165</v>
      </c>
      <c r="BM1246" s="1898">
        <v>2.4435086396196397E-2</v>
      </c>
      <c r="BN1246" s="452">
        <v>2020</v>
      </c>
    </row>
    <row r="1247" spans="1:66">
      <c r="A1247" s="228">
        <f t="shared" si="44"/>
        <v>1900</v>
      </c>
      <c r="B1247" s="228">
        <f t="shared" si="45"/>
        <v>1</v>
      </c>
      <c r="BA1247" s="452" t="s">
        <v>3</v>
      </c>
      <c r="BB1247" s="1818">
        <v>2021</v>
      </c>
      <c r="BC1247" s="452" t="s">
        <v>583</v>
      </c>
      <c r="BD1247" s="452">
        <v>6</v>
      </c>
      <c r="BE1247" s="1824" t="s">
        <v>165</v>
      </c>
      <c r="BF1247" s="1820">
        <v>6.811000223470298E-3</v>
      </c>
      <c r="BH1247" s="452" t="s">
        <v>228</v>
      </c>
      <c r="BI1247" s="452" t="s">
        <v>448</v>
      </c>
      <c r="BJ1247" s="452" t="s">
        <v>21</v>
      </c>
      <c r="BK1247" s="452">
        <v>10</v>
      </c>
      <c r="BL1247" s="1824" t="s">
        <v>165</v>
      </c>
      <c r="BM1247" s="1898">
        <v>1.5330673894428349E-2</v>
      </c>
      <c r="BN1247" s="452">
        <v>2020</v>
      </c>
    </row>
    <row r="1248" spans="1:66">
      <c r="A1248" s="228">
        <f t="shared" si="44"/>
        <v>1900</v>
      </c>
      <c r="B1248" s="228">
        <f t="shared" si="45"/>
        <v>1</v>
      </c>
      <c r="BA1248" s="452" t="s">
        <v>3</v>
      </c>
      <c r="BB1248" s="1818">
        <v>2021</v>
      </c>
      <c r="BC1248" s="452" t="s">
        <v>44</v>
      </c>
      <c r="BD1248" s="452">
        <v>7</v>
      </c>
      <c r="BE1248" s="1824" t="s">
        <v>165</v>
      </c>
      <c r="BF1248" s="1820">
        <v>5.9890780106854908E-3</v>
      </c>
      <c r="BH1248" s="452" t="s">
        <v>228</v>
      </c>
      <c r="BI1248" s="452" t="s">
        <v>448</v>
      </c>
      <c r="BJ1248" s="452" t="s">
        <v>32</v>
      </c>
      <c r="BL1248" s="1824" t="s">
        <v>165</v>
      </c>
      <c r="BM1248" s="1898">
        <v>1.2208089818301153E-2</v>
      </c>
      <c r="BN1248" s="452">
        <v>2020</v>
      </c>
    </row>
    <row r="1249" spans="1:66">
      <c r="A1249" s="228">
        <f t="shared" si="44"/>
        <v>1900</v>
      </c>
      <c r="B1249" s="228">
        <f t="shared" si="45"/>
        <v>1</v>
      </c>
      <c r="BA1249" s="452" t="s">
        <v>3</v>
      </c>
      <c r="BB1249" s="1818">
        <v>2021</v>
      </c>
      <c r="BC1249" s="452" t="s">
        <v>447</v>
      </c>
      <c r="BD1249" s="452">
        <v>8</v>
      </c>
      <c r="BE1249" s="1824" t="s">
        <v>165</v>
      </c>
      <c r="BF1249" s="1820">
        <v>9.0294073136338217E-3</v>
      </c>
      <c r="BH1249" s="452" t="s">
        <v>228</v>
      </c>
      <c r="BI1249" s="452" t="s">
        <v>448</v>
      </c>
      <c r="BJ1249" s="452" t="s">
        <v>582</v>
      </c>
      <c r="BL1249" s="1824" t="s">
        <v>165</v>
      </c>
      <c r="BN1249" s="452">
        <v>2020</v>
      </c>
    </row>
    <row r="1250" spans="1:66">
      <c r="A1250" s="228">
        <f t="shared" si="44"/>
        <v>1900</v>
      </c>
      <c r="B1250" s="228">
        <f t="shared" si="45"/>
        <v>1</v>
      </c>
      <c r="BA1250" s="452" t="s">
        <v>3</v>
      </c>
      <c r="BB1250" s="1818">
        <v>2021</v>
      </c>
      <c r="BC1250" s="452" t="s">
        <v>50</v>
      </c>
      <c r="BD1250" s="452">
        <v>9</v>
      </c>
      <c r="BE1250" s="1824" t="s">
        <v>165</v>
      </c>
      <c r="BF1250" s="1820">
        <v>3.6800666579479046E-3</v>
      </c>
      <c r="BH1250" s="452" t="s">
        <v>4</v>
      </c>
      <c r="BI1250" s="452" t="s">
        <v>448</v>
      </c>
      <c r="BJ1250" s="452" t="s">
        <v>20</v>
      </c>
      <c r="BK1250" s="452">
        <v>1</v>
      </c>
      <c r="BL1250" s="1824" t="s">
        <v>165</v>
      </c>
      <c r="BM1250" s="1820">
        <v>0.37439430297324683</v>
      </c>
      <c r="BN1250" s="452">
        <v>2020</v>
      </c>
    </row>
    <row r="1251" spans="1:66">
      <c r="A1251" s="228">
        <f t="shared" si="44"/>
        <v>1900</v>
      </c>
      <c r="B1251" s="228">
        <f t="shared" si="45"/>
        <v>1</v>
      </c>
      <c r="BA1251" s="452" t="s">
        <v>3</v>
      </c>
      <c r="BB1251" s="1818">
        <v>2021</v>
      </c>
      <c r="BC1251" s="452" t="s">
        <v>49</v>
      </c>
      <c r="BD1251" s="452">
        <v>10</v>
      </c>
      <c r="BE1251" s="1824" t="s">
        <v>165</v>
      </c>
      <c r="BF1251" s="1820">
        <v>2.959385617735594E-4</v>
      </c>
      <c r="BH1251" s="452" t="s">
        <v>4</v>
      </c>
      <c r="BI1251" s="452" t="s">
        <v>448</v>
      </c>
      <c r="BJ1251" s="452" t="s">
        <v>49</v>
      </c>
      <c r="BK1251" s="452">
        <v>2</v>
      </c>
      <c r="BL1251" s="1824" t="s">
        <v>165</v>
      </c>
      <c r="BM1251" s="1820">
        <v>0.18076029712713562</v>
      </c>
      <c r="BN1251" s="452">
        <v>2020</v>
      </c>
    </row>
    <row r="1252" spans="1:66">
      <c r="A1252" s="228">
        <f t="shared" si="44"/>
        <v>1900</v>
      </c>
      <c r="B1252" s="228">
        <f t="shared" si="45"/>
        <v>1</v>
      </c>
      <c r="BA1252" s="452" t="s">
        <v>3</v>
      </c>
      <c r="BB1252" s="1818">
        <v>2021</v>
      </c>
      <c r="BC1252" s="452" t="s">
        <v>32</v>
      </c>
      <c r="BE1252" s="1824" t="s">
        <v>165</v>
      </c>
      <c r="BF1252" s="1820">
        <v>1.4296859787552282E-2</v>
      </c>
      <c r="BH1252" s="452" t="s">
        <v>4</v>
      </c>
      <c r="BI1252" s="452" t="s">
        <v>448</v>
      </c>
      <c r="BJ1252" s="452" t="s">
        <v>15</v>
      </c>
      <c r="BK1252" s="452">
        <v>3</v>
      </c>
      <c r="BL1252" s="1824" t="s">
        <v>165</v>
      </c>
      <c r="BM1252" s="1820">
        <v>0.17128133079566124</v>
      </c>
      <c r="BN1252" s="452">
        <v>2020</v>
      </c>
    </row>
    <row r="1253" spans="1:66">
      <c r="A1253" s="228">
        <f t="shared" si="44"/>
        <v>1900</v>
      </c>
      <c r="B1253" s="228">
        <f t="shared" si="45"/>
        <v>1</v>
      </c>
      <c r="BA1253" s="452" t="s">
        <v>3</v>
      </c>
      <c r="BB1253" s="1818">
        <v>2021</v>
      </c>
      <c r="BC1253" s="452" t="s">
        <v>249</v>
      </c>
      <c r="BE1253" s="1824" t="s">
        <v>165</v>
      </c>
      <c r="BH1253" s="452" t="s">
        <v>4</v>
      </c>
      <c r="BI1253" s="452" t="s">
        <v>448</v>
      </c>
      <c r="BJ1253" s="452" t="s">
        <v>627</v>
      </c>
      <c r="BK1253" s="452">
        <v>4</v>
      </c>
      <c r="BL1253" s="1824" t="s">
        <v>165</v>
      </c>
      <c r="BM1253" s="1820">
        <v>8.6827948311628267E-2</v>
      </c>
      <c r="BN1253" s="452">
        <v>2020</v>
      </c>
    </row>
    <row r="1254" spans="1:66">
      <c r="A1254" s="228">
        <f t="shared" si="44"/>
        <v>1900</v>
      </c>
      <c r="B1254" s="228">
        <f t="shared" si="45"/>
        <v>1</v>
      </c>
      <c r="BA1254" s="452" t="s">
        <v>4</v>
      </c>
      <c r="BB1254" s="1818">
        <v>2021</v>
      </c>
      <c r="BC1254" s="452" t="s">
        <v>20</v>
      </c>
      <c r="BD1254" s="452">
        <v>1</v>
      </c>
      <c r="BE1254" s="1824" t="s">
        <v>165</v>
      </c>
      <c r="BF1254" s="1820">
        <v>0.34567072490972356</v>
      </c>
      <c r="BH1254" s="452" t="s">
        <v>4</v>
      </c>
      <c r="BI1254" s="452" t="s">
        <v>448</v>
      </c>
      <c r="BJ1254" s="452" t="s">
        <v>583</v>
      </c>
      <c r="BK1254" s="452">
        <v>5</v>
      </c>
      <c r="BL1254" s="1824" t="s">
        <v>165</v>
      </c>
      <c r="BM1254" s="1820">
        <v>4.1323485763881472E-2</v>
      </c>
      <c r="BN1254" s="452">
        <v>2020</v>
      </c>
    </row>
    <row r="1255" spans="1:66">
      <c r="A1255" s="228">
        <f t="shared" si="44"/>
        <v>1900</v>
      </c>
      <c r="B1255" s="228">
        <f t="shared" si="45"/>
        <v>1</v>
      </c>
      <c r="BA1255" s="452" t="s">
        <v>4</v>
      </c>
      <c r="BB1255" s="1818">
        <v>2021</v>
      </c>
      <c r="BC1255" s="452" t="s">
        <v>15</v>
      </c>
      <c r="BD1255" s="452">
        <v>2</v>
      </c>
      <c r="BE1255" s="1824" t="s">
        <v>165</v>
      </c>
      <c r="BF1255" s="1820">
        <v>0.20792959822645116</v>
      </c>
      <c r="BH1255" s="452" t="s">
        <v>4</v>
      </c>
      <c r="BI1255" s="452" t="s">
        <v>448</v>
      </c>
      <c r="BJ1255" s="452" t="s">
        <v>19</v>
      </c>
      <c r="BK1255" s="452">
        <v>6</v>
      </c>
      <c r="BL1255" s="1824" t="s">
        <v>165</v>
      </c>
      <c r="BM1255" s="1820">
        <v>3.753757991389392E-2</v>
      </c>
      <c r="BN1255" s="452">
        <v>2020</v>
      </c>
    </row>
    <row r="1256" spans="1:66">
      <c r="A1256" s="228">
        <f t="shared" si="44"/>
        <v>1900</v>
      </c>
      <c r="B1256" s="228">
        <f t="shared" si="45"/>
        <v>1</v>
      </c>
      <c r="BA1256" s="452" t="s">
        <v>4</v>
      </c>
      <c r="BB1256" s="1818">
        <v>2021</v>
      </c>
      <c r="BC1256" s="452" t="s">
        <v>49</v>
      </c>
      <c r="BD1256" s="452">
        <v>3</v>
      </c>
      <c r="BE1256" s="1824" t="s">
        <v>165</v>
      </c>
      <c r="BF1256" s="1820">
        <v>0.18198089972336753</v>
      </c>
      <c r="BH1256" s="452" t="s">
        <v>4</v>
      </c>
      <c r="BI1256" s="452" t="s">
        <v>448</v>
      </c>
      <c r="BJ1256" s="452" t="s">
        <v>21</v>
      </c>
      <c r="BK1256" s="452">
        <v>7</v>
      </c>
      <c r="BL1256" s="1824" t="s">
        <v>165</v>
      </c>
      <c r="BM1256" s="1820">
        <v>2.9842053752038245E-2</v>
      </c>
      <c r="BN1256" s="452">
        <v>2020</v>
      </c>
    </row>
    <row r="1257" spans="1:66">
      <c r="A1257" s="228">
        <f t="shared" si="44"/>
        <v>1900</v>
      </c>
      <c r="B1257" s="228">
        <f t="shared" si="45"/>
        <v>1</v>
      </c>
      <c r="BA1257" s="452" t="s">
        <v>4</v>
      </c>
      <c r="BB1257" s="1818">
        <v>2021</v>
      </c>
      <c r="BC1257" s="452" t="s">
        <v>627</v>
      </c>
      <c r="BD1257" s="452">
        <v>4</v>
      </c>
      <c r="BE1257" s="1824" t="s">
        <v>165</v>
      </c>
      <c r="BF1257" s="1820">
        <v>8.9855222238075058E-2</v>
      </c>
      <c r="BH1257" s="452" t="s">
        <v>4</v>
      </c>
      <c r="BI1257" s="452" t="s">
        <v>448</v>
      </c>
      <c r="BJ1257" s="452" t="s">
        <v>28</v>
      </c>
      <c r="BK1257" s="452">
        <v>8</v>
      </c>
      <c r="BL1257" s="1824" t="s">
        <v>165</v>
      </c>
      <c r="BM1257" s="1820">
        <v>2.7575968053982401E-2</v>
      </c>
      <c r="BN1257" s="452">
        <v>2020</v>
      </c>
    </row>
    <row r="1258" spans="1:66">
      <c r="A1258" s="228">
        <f t="shared" si="44"/>
        <v>1900</v>
      </c>
      <c r="B1258" s="228">
        <f t="shared" si="45"/>
        <v>1</v>
      </c>
      <c r="BA1258" s="452" t="s">
        <v>4</v>
      </c>
      <c r="BB1258" s="1818">
        <v>2021</v>
      </c>
      <c r="BC1258" s="452" t="s">
        <v>583</v>
      </c>
      <c r="BD1258" s="452">
        <v>5</v>
      </c>
      <c r="BE1258" s="1824" t="s">
        <v>165</v>
      </c>
      <c r="BF1258" s="1820">
        <v>6.3205832824711969E-2</v>
      </c>
      <c r="BH1258" s="452" t="s">
        <v>4</v>
      </c>
      <c r="BI1258" s="452" t="s">
        <v>448</v>
      </c>
      <c r="BJ1258" s="452" t="s">
        <v>446</v>
      </c>
      <c r="BK1258" s="452">
        <v>9</v>
      </c>
      <c r="BL1258" s="1824" t="s">
        <v>165</v>
      </c>
      <c r="BM1258" s="1820">
        <v>2.4795345911670232E-2</v>
      </c>
      <c r="BN1258" s="452">
        <v>2020</v>
      </c>
    </row>
    <row r="1259" spans="1:66">
      <c r="A1259" s="228">
        <f t="shared" si="44"/>
        <v>1900</v>
      </c>
      <c r="B1259" s="228">
        <f t="shared" si="45"/>
        <v>1</v>
      </c>
      <c r="BA1259" s="452" t="s">
        <v>4</v>
      </c>
      <c r="BB1259" s="1818">
        <v>2021</v>
      </c>
      <c r="BC1259" s="452" t="s">
        <v>21</v>
      </c>
      <c r="BD1259" s="452">
        <v>6</v>
      </c>
      <c r="BE1259" s="1824" t="s">
        <v>165</v>
      </c>
      <c r="BF1259" s="1820">
        <v>3.3183784015016787E-2</v>
      </c>
      <c r="BH1259" s="452" t="s">
        <v>4</v>
      </c>
      <c r="BI1259" s="452" t="s">
        <v>448</v>
      </c>
      <c r="BJ1259" s="452" t="s">
        <v>18</v>
      </c>
      <c r="BK1259" s="452">
        <v>10</v>
      </c>
      <c r="BL1259" s="1824" t="s">
        <v>165</v>
      </c>
      <c r="BM1259" s="1820">
        <v>1.2282494704944498E-2</v>
      </c>
      <c r="BN1259" s="452">
        <v>2020</v>
      </c>
    </row>
    <row r="1260" spans="1:66">
      <c r="A1260" s="228">
        <f t="shared" si="44"/>
        <v>1900</v>
      </c>
      <c r="B1260" s="228">
        <f t="shared" si="45"/>
        <v>1</v>
      </c>
      <c r="BA1260" s="452" t="s">
        <v>4</v>
      </c>
      <c r="BB1260" s="1818">
        <v>2021</v>
      </c>
      <c r="BC1260" s="452" t="s">
        <v>19</v>
      </c>
      <c r="BD1260" s="452">
        <v>7</v>
      </c>
      <c r="BE1260" s="1824" t="s">
        <v>165</v>
      </c>
      <c r="BF1260" s="1820">
        <v>2.7995388266182482E-2</v>
      </c>
      <c r="BH1260" s="452" t="s">
        <v>4</v>
      </c>
      <c r="BI1260" s="452" t="s">
        <v>448</v>
      </c>
      <c r="BJ1260" s="452" t="s">
        <v>32</v>
      </c>
      <c r="BL1260" s="1824" t="s">
        <v>165</v>
      </c>
      <c r="BM1260" s="1820">
        <v>1.3379192691917424E-2</v>
      </c>
      <c r="BN1260" s="452">
        <v>2020</v>
      </c>
    </row>
    <row r="1261" spans="1:66">
      <c r="A1261" s="228">
        <f t="shared" si="44"/>
        <v>1900</v>
      </c>
      <c r="B1261" s="228">
        <f t="shared" si="45"/>
        <v>1</v>
      </c>
      <c r="BA1261" s="452" t="s">
        <v>4</v>
      </c>
      <c r="BB1261" s="1818">
        <v>2021</v>
      </c>
      <c r="BC1261" s="452" t="s">
        <v>28</v>
      </c>
      <c r="BD1261" s="452">
        <v>8</v>
      </c>
      <c r="BE1261" s="1824" t="s">
        <v>165</v>
      </c>
      <c r="BF1261" s="1820">
        <v>2.3362629068317028E-2</v>
      </c>
      <c r="BH1261" s="452" t="s">
        <v>4</v>
      </c>
      <c r="BI1261" s="452" t="s">
        <v>448</v>
      </c>
      <c r="BJ1261" s="452" t="s">
        <v>249</v>
      </c>
      <c r="BL1261" s="1824" t="s">
        <v>165</v>
      </c>
      <c r="BN1261" s="452">
        <v>2020</v>
      </c>
    </row>
    <row r="1262" spans="1:66">
      <c r="A1262" s="228">
        <f t="shared" si="44"/>
        <v>1900</v>
      </c>
      <c r="B1262" s="228">
        <f t="shared" si="45"/>
        <v>1</v>
      </c>
      <c r="BA1262" s="452" t="s">
        <v>4</v>
      </c>
      <c r="BB1262" s="1818">
        <v>2021</v>
      </c>
      <c r="BC1262" s="452" t="s">
        <v>446</v>
      </c>
      <c r="BD1262" s="452">
        <v>9</v>
      </c>
      <c r="BE1262" s="1824" t="s">
        <v>165</v>
      </c>
      <c r="BF1262" s="1820">
        <v>1.4323911122192267E-2</v>
      </c>
      <c r="BH1262" s="452" t="s">
        <v>3</v>
      </c>
      <c r="BI1262" s="452" t="s">
        <v>448</v>
      </c>
      <c r="BJ1262" s="452" t="s">
        <v>15</v>
      </c>
      <c r="BK1262" s="452">
        <v>1</v>
      </c>
      <c r="BL1262" s="1819">
        <v>1216637639.0058341</v>
      </c>
      <c r="BM1262" s="1820">
        <v>0.44225663548365063</v>
      </c>
      <c r="BN1262" s="452">
        <v>2020</v>
      </c>
    </row>
    <row r="1263" spans="1:66">
      <c r="A1263" s="228">
        <f t="shared" si="44"/>
        <v>1900</v>
      </c>
      <c r="B1263" s="228">
        <f t="shared" si="45"/>
        <v>1</v>
      </c>
      <c r="BA1263" s="452" t="s">
        <v>4</v>
      </c>
      <c r="BB1263" s="1818">
        <v>2021</v>
      </c>
      <c r="BC1263" s="452" t="s">
        <v>18</v>
      </c>
      <c r="BD1263" s="452">
        <v>10</v>
      </c>
      <c r="BE1263" s="1824" t="s">
        <v>165</v>
      </c>
      <c r="BF1263" s="1820">
        <v>4.300777226201479E-3</v>
      </c>
      <c r="BH1263" s="452" t="s">
        <v>3</v>
      </c>
      <c r="BI1263" s="452" t="s">
        <v>448</v>
      </c>
      <c r="BJ1263" s="452" t="s">
        <v>581</v>
      </c>
      <c r="BK1263" s="452">
        <v>2</v>
      </c>
      <c r="BL1263" s="1819">
        <v>437980495.7916671</v>
      </c>
      <c r="BM1263" s="1820">
        <v>0.15920909748819226</v>
      </c>
      <c r="BN1263" s="452">
        <v>2020</v>
      </c>
    </row>
    <row r="1264" spans="1:66">
      <c r="A1264" s="228">
        <f t="shared" si="44"/>
        <v>1900</v>
      </c>
      <c r="B1264" s="228">
        <f t="shared" si="45"/>
        <v>1</v>
      </c>
      <c r="BA1264" s="452" t="s">
        <v>4</v>
      </c>
      <c r="BB1264" s="1818">
        <v>2021</v>
      </c>
      <c r="BC1264" s="452" t="s">
        <v>32</v>
      </c>
      <c r="BE1264" s="1824" t="s">
        <v>165</v>
      </c>
      <c r="BF1264" s="1820">
        <v>8.1912323797606237E-3</v>
      </c>
      <c r="BH1264" s="452" t="s">
        <v>3</v>
      </c>
      <c r="BI1264" s="452" t="s">
        <v>448</v>
      </c>
      <c r="BJ1264" s="452" t="s">
        <v>20</v>
      </c>
      <c r="BK1264" s="452">
        <v>3</v>
      </c>
      <c r="BL1264" s="1819">
        <v>212451663.36933169</v>
      </c>
      <c r="BM1264" s="1820">
        <v>7.7227725686181262E-2</v>
      </c>
      <c r="BN1264" s="452">
        <v>2020</v>
      </c>
    </row>
    <row r="1265" spans="1:66">
      <c r="A1265" s="228">
        <f t="shared" si="44"/>
        <v>1900</v>
      </c>
      <c r="B1265" s="228">
        <f t="shared" si="45"/>
        <v>1</v>
      </c>
      <c r="BA1265" s="452" t="s">
        <v>4</v>
      </c>
      <c r="BB1265" s="1818">
        <v>2021</v>
      </c>
      <c r="BC1265" s="452" t="s">
        <v>249</v>
      </c>
      <c r="BE1265" s="1824" t="s">
        <v>165</v>
      </c>
      <c r="BH1265" s="452" t="s">
        <v>3</v>
      </c>
      <c r="BI1265" s="452" t="s">
        <v>448</v>
      </c>
      <c r="BJ1265" s="452" t="s">
        <v>23</v>
      </c>
      <c r="BK1265" s="452">
        <v>4</v>
      </c>
      <c r="BL1265" s="1819">
        <v>196125478.85615754</v>
      </c>
      <c r="BM1265" s="1820">
        <v>7.1293038806872031E-2</v>
      </c>
      <c r="BN1265" s="452">
        <v>2020</v>
      </c>
    </row>
    <row r="1266" spans="1:66">
      <c r="A1266" s="228">
        <f t="shared" si="44"/>
        <v>1900</v>
      </c>
      <c r="B1266" s="228">
        <f t="shared" si="45"/>
        <v>1</v>
      </c>
      <c r="BA1266" s="452" t="s">
        <v>0</v>
      </c>
      <c r="BB1266" s="1818">
        <v>2022</v>
      </c>
      <c r="BC1266" s="452" t="s">
        <v>14</v>
      </c>
      <c r="BD1266" s="452">
        <v>1</v>
      </c>
      <c r="BE1266" s="1819">
        <v>1431275761.8499999</v>
      </c>
      <c r="BF1266" s="1820">
        <v>0.17442433058870926</v>
      </c>
      <c r="BH1266" s="452" t="s">
        <v>3</v>
      </c>
      <c r="BI1266" s="452" t="s">
        <v>448</v>
      </c>
      <c r="BJ1266" s="452" t="s">
        <v>447</v>
      </c>
      <c r="BK1266" s="452">
        <v>5</v>
      </c>
      <c r="BL1266" s="1819">
        <v>194260176.14829916</v>
      </c>
      <c r="BM1266" s="1820">
        <v>7.0614987698400578E-2</v>
      </c>
      <c r="BN1266" s="452">
        <v>2020</v>
      </c>
    </row>
    <row r="1267" spans="1:66">
      <c r="A1267" s="228">
        <f t="shared" si="44"/>
        <v>1900</v>
      </c>
      <c r="B1267" s="228">
        <f t="shared" si="45"/>
        <v>1</v>
      </c>
      <c r="BA1267" s="452" t="s">
        <v>0</v>
      </c>
      <c r="BB1267" s="1818">
        <v>2022</v>
      </c>
      <c r="BC1267" s="452" t="s">
        <v>27</v>
      </c>
      <c r="BD1267" s="452">
        <v>2</v>
      </c>
      <c r="BE1267" s="1819">
        <v>1402766757.54</v>
      </c>
      <c r="BF1267" s="1820">
        <v>0.17095004273652423</v>
      </c>
      <c r="BH1267" s="452" t="s">
        <v>3</v>
      </c>
      <c r="BI1267" s="452" t="s">
        <v>448</v>
      </c>
      <c r="BJ1267" s="452" t="s">
        <v>49</v>
      </c>
      <c r="BK1267" s="452">
        <v>6</v>
      </c>
      <c r="BL1267" s="1819">
        <v>157406155.53999999</v>
      </c>
      <c r="BM1267" s="1820">
        <v>5.7218283013519999E-2</v>
      </c>
      <c r="BN1267" s="452">
        <v>2020</v>
      </c>
    </row>
    <row r="1268" spans="1:66">
      <c r="A1268" s="228">
        <f t="shared" si="44"/>
        <v>1900</v>
      </c>
      <c r="B1268" s="228">
        <f t="shared" si="45"/>
        <v>1</v>
      </c>
      <c r="BA1268" s="452" t="s">
        <v>0</v>
      </c>
      <c r="BB1268" s="1818">
        <v>2022</v>
      </c>
      <c r="BC1268" s="452" t="s">
        <v>29</v>
      </c>
      <c r="BD1268" s="452">
        <v>3</v>
      </c>
      <c r="BE1268" s="1819">
        <v>1125265557.6500001</v>
      </c>
      <c r="BF1268" s="1820">
        <v>0.13713198871888793</v>
      </c>
      <c r="BH1268" s="452" t="s">
        <v>3</v>
      </c>
      <c r="BI1268" s="452" t="s">
        <v>448</v>
      </c>
      <c r="BJ1268" s="452" t="s">
        <v>48</v>
      </c>
      <c r="BK1268" s="452">
        <v>7</v>
      </c>
      <c r="BL1268" s="1819">
        <v>114276787.02262953</v>
      </c>
      <c r="BM1268" s="1820">
        <v>4.1540443696783814E-2</v>
      </c>
      <c r="BN1268" s="452">
        <v>2020</v>
      </c>
    </row>
    <row r="1269" spans="1:66">
      <c r="A1269" s="228">
        <f t="shared" si="44"/>
        <v>1900</v>
      </c>
      <c r="B1269" s="228">
        <f t="shared" si="45"/>
        <v>1</v>
      </c>
      <c r="BA1269" s="452" t="s">
        <v>0</v>
      </c>
      <c r="BB1269" s="1818">
        <v>2022</v>
      </c>
      <c r="BC1269" s="452" t="s">
        <v>22</v>
      </c>
      <c r="BD1269" s="452">
        <v>4</v>
      </c>
      <c r="BE1269" s="1819">
        <v>758271328.43000007</v>
      </c>
      <c r="BF1269" s="1820">
        <v>9.2407747263923312E-2</v>
      </c>
      <c r="BH1269" s="452" t="s">
        <v>3</v>
      </c>
      <c r="BI1269" s="452" t="s">
        <v>448</v>
      </c>
      <c r="BJ1269" s="452" t="s">
        <v>583</v>
      </c>
      <c r="BK1269" s="452">
        <v>8</v>
      </c>
      <c r="BL1269" s="1819">
        <v>113195749.68402028</v>
      </c>
      <c r="BM1269" s="1820">
        <v>4.1147478757283674E-2</v>
      </c>
      <c r="BN1269" s="452">
        <v>2020</v>
      </c>
    </row>
    <row r="1270" spans="1:66">
      <c r="A1270" s="228">
        <f t="shared" si="44"/>
        <v>1900</v>
      </c>
      <c r="B1270" s="228">
        <f t="shared" si="45"/>
        <v>1</v>
      </c>
      <c r="BA1270" s="452" t="s">
        <v>0</v>
      </c>
      <c r="BB1270" s="1818">
        <v>2022</v>
      </c>
      <c r="BC1270" s="452" t="s">
        <v>25</v>
      </c>
      <c r="BD1270" s="452">
        <v>5</v>
      </c>
      <c r="BE1270" s="1819">
        <v>634024153.51999986</v>
      </c>
      <c r="BF1270" s="1820">
        <v>7.7266199500127461E-2</v>
      </c>
      <c r="BH1270" s="452" t="s">
        <v>3</v>
      </c>
      <c r="BI1270" s="452" t="s">
        <v>448</v>
      </c>
      <c r="BJ1270" s="452" t="s">
        <v>54</v>
      </c>
      <c r="BK1270" s="452">
        <v>9</v>
      </c>
      <c r="BL1270" s="1819">
        <v>43189319.609999992</v>
      </c>
      <c r="BM1270" s="1820">
        <v>1.5699631975182593E-2</v>
      </c>
      <c r="BN1270" s="452">
        <v>2020</v>
      </c>
    </row>
    <row r="1271" spans="1:66">
      <c r="A1271" s="228">
        <f t="shared" si="44"/>
        <v>1900</v>
      </c>
      <c r="B1271" s="228">
        <f t="shared" si="45"/>
        <v>1</v>
      </c>
      <c r="BA1271" s="452" t="s">
        <v>0</v>
      </c>
      <c r="BB1271" s="1818">
        <v>2022</v>
      </c>
      <c r="BC1271" s="452" t="s">
        <v>18</v>
      </c>
      <c r="BD1271" s="452">
        <v>6</v>
      </c>
      <c r="BE1271" s="1819">
        <v>446980544.53999996</v>
      </c>
      <c r="BF1271" s="1820">
        <v>5.44718805038613E-2</v>
      </c>
      <c r="BH1271" s="452" t="s">
        <v>3</v>
      </c>
      <c r="BI1271" s="452" t="s">
        <v>448</v>
      </c>
      <c r="BJ1271" s="452" t="s">
        <v>44</v>
      </c>
      <c r="BK1271" s="452">
        <v>10</v>
      </c>
      <c r="BL1271" s="1819">
        <v>19788043.729999997</v>
      </c>
      <c r="BM1271" s="1820">
        <v>7.1930978972377345E-3</v>
      </c>
      <c r="BN1271" s="452">
        <v>2020</v>
      </c>
    </row>
    <row r="1272" spans="1:66">
      <c r="A1272" s="228">
        <f t="shared" si="44"/>
        <v>1900</v>
      </c>
      <c r="B1272" s="228">
        <f t="shared" si="45"/>
        <v>1</v>
      </c>
      <c r="BA1272" s="452" t="s">
        <v>0</v>
      </c>
      <c r="BB1272" s="1818">
        <v>2022</v>
      </c>
      <c r="BC1272" s="452" t="s">
        <v>250</v>
      </c>
      <c r="BD1272" s="452">
        <v>7</v>
      </c>
      <c r="BE1272" s="1819">
        <v>421925764.28000003</v>
      </c>
      <c r="BF1272" s="1820">
        <v>5.1418546274789312E-2</v>
      </c>
      <c r="BH1272" s="452" t="s">
        <v>3</v>
      </c>
      <c r="BI1272" s="452" t="s">
        <v>448</v>
      </c>
      <c r="BJ1272" s="452" t="s">
        <v>32</v>
      </c>
      <c r="BL1272" s="1819">
        <v>45665054.149528503</v>
      </c>
      <c r="BM1272" s="1820">
        <v>1.6599579496695441E-2</v>
      </c>
      <c r="BN1272" s="452">
        <v>2020</v>
      </c>
    </row>
    <row r="1273" spans="1:66">
      <c r="A1273" s="228">
        <f t="shared" si="44"/>
        <v>1900</v>
      </c>
      <c r="B1273" s="228">
        <f t="shared" si="45"/>
        <v>1</v>
      </c>
      <c r="BA1273" s="452" t="s">
        <v>0</v>
      </c>
      <c r="BB1273" s="1818">
        <v>2022</v>
      </c>
      <c r="BC1273" s="452" t="s">
        <v>21</v>
      </c>
      <c r="BD1273" s="452">
        <v>8</v>
      </c>
      <c r="BE1273" s="1819">
        <v>377487027.97000003</v>
      </c>
      <c r="BF1273" s="1820">
        <v>4.6002960376051609E-2</v>
      </c>
      <c r="BH1273" s="452" t="s">
        <v>3</v>
      </c>
      <c r="BI1273" s="452" t="s">
        <v>448</v>
      </c>
      <c r="BJ1273" s="452" t="s">
        <v>249</v>
      </c>
      <c r="BL1273" s="1819">
        <v>2750976562.9074678</v>
      </c>
      <c r="BN1273" s="452">
        <v>2020</v>
      </c>
    </row>
    <row r="1274" spans="1:66">
      <c r="A1274" s="228">
        <f t="shared" si="44"/>
        <v>1900</v>
      </c>
      <c r="B1274" s="228">
        <f t="shared" si="45"/>
        <v>1</v>
      </c>
      <c r="BA1274" s="452" t="s">
        <v>0</v>
      </c>
      <c r="BB1274" s="1818">
        <v>2022</v>
      </c>
      <c r="BC1274" s="452" t="s">
        <v>15</v>
      </c>
      <c r="BD1274" s="452">
        <v>9</v>
      </c>
      <c r="BE1274" s="1819">
        <v>364972222.15999997</v>
      </c>
      <c r="BF1274" s="1820">
        <v>4.4477826866464718E-2</v>
      </c>
      <c r="BH1274" s="452" t="s">
        <v>280</v>
      </c>
      <c r="BI1274" s="452" t="s">
        <v>448</v>
      </c>
      <c r="BJ1274" s="452" t="s">
        <v>15</v>
      </c>
      <c r="BK1274" s="452">
        <v>1</v>
      </c>
      <c r="BL1274" s="1819">
        <v>745095372.27999997</v>
      </c>
      <c r="BM1274" s="1820">
        <v>0.50699518045078695</v>
      </c>
      <c r="BN1274" s="452">
        <v>2020</v>
      </c>
    </row>
    <row r="1275" spans="1:66">
      <c r="A1275" s="228">
        <f t="shared" si="44"/>
        <v>1900</v>
      </c>
      <c r="B1275" s="228">
        <f t="shared" si="45"/>
        <v>1</v>
      </c>
      <c r="BA1275" s="452" t="s">
        <v>0</v>
      </c>
      <c r="BB1275" s="1818">
        <v>2022</v>
      </c>
      <c r="BC1275" s="452" t="s">
        <v>13</v>
      </c>
      <c r="BD1275" s="452">
        <v>10</v>
      </c>
      <c r="BE1275" s="1819">
        <v>292261541.81999999</v>
      </c>
      <c r="BF1275" s="1820">
        <v>3.5616842782893496E-2</v>
      </c>
      <c r="BH1275" s="452" t="s">
        <v>280</v>
      </c>
      <c r="BI1275" s="452" t="s">
        <v>448</v>
      </c>
      <c r="BJ1275" s="452" t="s">
        <v>23</v>
      </c>
      <c r="BK1275" s="452">
        <v>2</v>
      </c>
      <c r="BL1275" s="1819">
        <v>112028921.86999999</v>
      </c>
      <c r="BM1275" s="1820">
        <v>7.6229333280362313E-2</v>
      </c>
      <c r="BN1275" s="452">
        <v>2020</v>
      </c>
    </row>
    <row r="1276" spans="1:66">
      <c r="A1276" s="228">
        <f t="shared" si="44"/>
        <v>1900</v>
      </c>
      <c r="B1276" s="228">
        <f t="shared" si="45"/>
        <v>1</v>
      </c>
      <c r="BA1276" s="452" t="s">
        <v>0</v>
      </c>
      <c r="BB1276" s="1818">
        <v>2022</v>
      </c>
      <c r="BC1276" s="452" t="s">
        <v>32</v>
      </c>
      <c r="BE1276" s="1819">
        <v>950480991.92999935</v>
      </c>
      <c r="BF1276" s="1820">
        <v>0.11583163438776746</v>
      </c>
      <c r="BH1276" s="452" t="s">
        <v>280</v>
      </c>
      <c r="BI1276" s="452" t="s">
        <v>448</v>
      </c>
      <c r="BJ1276" s="452" t="s">
        <v>447</v>
      </c>
      <c r="BK1276" s="452">
        <v>3</v>
      </c>
      <c r="BL1276" s="1819">
        <v>86376943.719999999</v>
      </c>
      <c r="BM1276" s="1820">
        <v>5.877461570335988E-2</v>
      </c>
      <c r="BN1276" s="452">
        <v>2020</v>
      </c>
    </row>
    <row r="1277" spans="1:66">
      <c r="A1277" s="228">
        <f t="shared" si="44"/>
        <v>1900</v>
      </c>
      <c r="B1277" s="228">
        <f t="shared" si="45"/>
        <v>1</v>
      </c>
      <c r="BA1277" s="452" t="s">
        <v>0</v>
      </c>
      <c r="BB1277" s="1818">
        <v>2022</v>
      </c>
      <c r="BC1277" s="452" t="s">
        <v>249</v>
      </c>
      <c r="BE1277" s="1819">
        <v>8205711651.6899986</v>
      </c>
      <c r="BH1277" s="452" t="s">
        <v>280</v>
      </c>
      <c r="BI1277" s="452" t="s">
        <v>448</v>
      </c>
      <c r="BJ1277" s="452" t="s">
        <v>26</v>
      </c>
      <c r="BK1277" s="452">
        <v>4</v>
      </c>
      <c r="BL1277" s="1819">
        <v>80086532.449999988</v>
      </c>
      <c r="BM1277" s="1820">
        <v>5.4494347276535127E-2</v>
      </c>
      <c r="BN1277" s="452">
        <v>2020</v>
      </c>
    </row>
    <row r="1278" spans="1:66">
      <c r="A1278" s="228">
        <f t="shared" si="44"/>
        <v>1900</v>
      </c>
      <c r="B1278" s="228">
        <f t="shared" si="45"/>
        <v>1</v>
      </c>
      <c r="BA1278" s="452" t="s">
        <v>228</v>
      </c>
      <c r="BB1278" s="1818">
        <v>2022</v>
      </c>
      <c r="BC1278" s="452" t="s">
        <v>627</v>
      </c>
      <c r="BD1278" s="452">
        <v>1</v>
      </c>
      <c r="BE1278" s="1824" t="s">
        <v>165</v>
      </c>
      <c r="BF1278" s="1820">
        <v>0.24534517154578719</v>
      </c>
      <c r="BH1278" s="452" t="s">
        <v>280</v>
      </c>
      <c r="BI1278" s="452" t="s">
        <v>448</v>
      </c>
      <c r="BJ1278" s="452" t="s">
        <v>54</v>
      </c>
      <c r="BK1278" s="452">
        <v>5</v>
      </c>
      <c r="BL1278" s="1819">
        <v>79104146.169999987</v>
      </c>
      <c r="BM1278" s="1820">
        <v>5.382588907932892E-2</v>
      </c>
      <c r="BN1278" s="452">
        <v>2020</v>
      </c>
    </row>
    <row r="1279" spans="1:66">
      <c r="A1279" s="228">
        <f t="shared" si="44"/>
        <v>1900</v>
      </c>
      <c r="B1279" s="228">
        <f t="shared" si="45"/>
        <v>1</v>
      </c>
      <c r="BA1279" s="452" t="s">
        <v>228</v>
      </c>
      <c r="BB1279" s="1818">
        <v>2022</v>
      </c>
      <c r="BC1279" s="452" t="s">
        <v>53</v>
      </c>
      <c r="BD1279" s="452">
        <v>2</v>
      </c>
      <c r="BE1279" s="1824" t="s">
        <v>165</v>
      </c>
      <c r="BF1279" s="1820">
        <v>0.19914766056625766</v>
      </c>
      <c r="BH1279" s="452" t="s">
        <v>280</v>
      </c>
      <c r="BI1279" s="452" t="s">
        <v>448</v>
      </c>
      <c r="BJ1279" s="452" t="s">
        <v>583</v>
      </c>
      <c r="BK1279" s="452">
        <v>6</v>
      </c>
      <c r="BL1279" s="1819">
        <v>65228124.480000004</v>
      </c>
      <c r="BM1279" s="1820">
        <v>4.4384042595793309E-2</v>
      </c>
      <c r="BN1279" s="452">
        <v>2020</v>
      </c>
    </row>
    <row r="1280" spans="1:66">
      <c r="A1280" s="228">
        <f t="shared" si="44"/>
        <v>1900</v>
      </c>
      <c r="B1280" s="228">
        <f t="shared" si="45"/>
        <v>1</v>
      </c>
      <c r="BA1280" s="452" t="s">
        <v>228</v>
      </c>
      <c r="BB1280" s="1818">
        <v>2022</v>
      </c>
      <c r="BC1280" s="452" t="s">
        <v>20</v>
      </c>
      <c r="BD1280" s="452">
        <v>3</v>
      </c>
      <c r="BE1280" s="1824" t="s">
        <v>165</v>
      </c>
      <c r="BF1280" s="1820">
        <v>0.16004679698779845</v>
      </c>
      <c r="BH1280" s="452" t="s">
        <v>280</v>
      </c>
      <c r="BI1280" s="452" t="s">
        <v>448</v>
      </c>
      <c r="BJ1280" s="452" t="s">
        <v>51</v>
      </c>
      <c r="BK1280" s="452">
        <v>7</v>
      </c>
      <c r="BL1280" s="1819">
        <v>64481780.540000007</v>
      </c>
      <c r="BM1280" s="1820">
        <v>4.3876197835758413E-2</v>
      </c>
      <c r="BN1280" s="452">
        <v>2020</v>
      </c>
    </row>
    <row r="1281" spans="1:66">
      <c r="A1281" s="228">
        <f t="shared" si="44"/>
        <v>1900</v>
      </c>
      <c r="B1281" s="228">
        <f t="shared" si="45"/>
        <v>1</v>
      </c>
      <c r="BA1281" s="452" t="s">
        <v>228</v>
      </c>
      <c r="BB1281" s="1818">
        <v>2022</v>
      </c>
      <c r="BC1281" s="452" t="s">
        <v>46</v>
      </c>
      <c r="BD1281" s="452">
        <v>4</v>
      </c>
      <c r="BE1281" s="1824" t="s">
        <v>165</v>
      </c>
      <c r="BF1281" s="1820">
        <v>0.13132123401419726</v>
      </c>
      <c r="BH1281" s="452" t="s">
        <v>280</v>
      </c>
      <c r="BI1281" s="452" t="s">
        <v>448</v>
      </c>
      <c r="BJ1281" s="452" t="s">
        <v>18</v>
      </c>
      <c r="BK1281" s="452">
        <v>8</v>
      </c>
      <c r="BL1281" s="1819">
        <v>62928999.770000003</v>
      </c>
      <c r="BM1281" s="1820">
        <v>4.2819618509171452E-2</v>
      </c>
      <c r="BN1281" s="452">
        <v>2020</v>
      </c>
    </row>
    <row r="1282" spans="1:66">
      <c r="A1282" s="228">
        <f t="shared" si="44"/>
        <v>1900</v>
      </c>
      <c r="B1282" s="228">
        <f t="shared" si="45"/>
        <v>1</v>
      </c>
      <c r="BA1282" s="452" t="s">
        <v>228</v>
      </c>
      <c r="BB1282" s="1818">
        <v>2022</v>
      </c>
      <c r="BC1282" s="452" t="s">
        <v>45</v>
      </c>
      <c r="BD1282" s="452">
        <v>5</v>
      </c>
      <c r="BE1282" s="1824" t="s">
        <v>165</v>
      </c>
      <c r="BF1282" s="1820">
        <v>0.12703793660667209</v>
      </c>
      <c r="BH1282" s="452" t="s">
        <v>280</v>
      </c>
      <c r="BI1282" s="452" t="s">
        <v>448</v>
      </c>
      <c r="BJ1282" s="452" t="s">
        <v>52</v>
      </c>
      <c r="BK1282" s="452">
        <v>9</v>
      </c>
      <c r="BL1282" s="1819">
        <v>41841006.269999996</v>
      </c>
      <c r="BM1282" s="1820">
        <v>2.8470433871020519E-2</v>
      </c>
      <c r="BN1282" s="452">
        <v>2020</v>
      </c>
    </row>
    <row r="1283" spans="1:66">
      <c r="A1283" s="228">
        <f t="shared" si="44"/>
        <v>1900</v>
      </c>
      <c r="B1283" s="228">
        <f t="shared" si="45"/>
        <v>1</v>
      </c>
      <c r="BA1283" s="452" t="s">
        <v>228</v>
      </c>
      <c r="BB1283" s="1818">
        <v>2022</v>
      </c>
      <c r="BC1283" s="452" t="s">
        <v>15</v>
      </c>
      <c r="BD1283" s="452">
        <v>6</v>
      </c>
      <c r="BE1283" s="1824" t="s">
        <v>165</v>
      </c>
      <c r="BF1283" s="1820">
        <v>5.5159751483079687E-2</v>
      </c>
      <c r="BH1283" s="452" t="s">
        <v>280</v>
      </c>
      <c r="BI1283" s="452" t="s">
        <v>448</v>
      </c>
      <c r="BJ1283" s="452" t="s">
        <v>21</v>
      </c>
      <c r="BK1283" s="452">
        <v>10</v>
      </c>
      <c r="BL1283" s="1819">
        <v>35799482.050000004</v>
      </c>
      <c r="BM1283" s="1820">
        <v>2.4359518978684241E-2</v>
      </c>
      <c r="BN1283" s="452">
        <v>2020</v>
      </c>
    </row>
    <row r="1284" spans="1:66">
      <c r="A1284" s="228">
        <f t="shared" si="44"/>
        <v>1900</v>
      </c>
      <c r="B1284" s="228">
        <f t="shared" si="45"/>
        <v>1</v>
      </c>
      <c r="BA1284" s="452" t="s">
        <v>228</v>
      </c>
      <c r="BB1284" s="1818">
        <v>2022</v>
      </c>
      <c r="BC1284" s="452" t="s">
        <v>54</v>
      </c>
      <c r="BD1284" s="452">
        <v>7</v>
      </c>
      <c r="BE1284" s="1824" t="s">
        <v>165</v>
      </c>
      <c r="BF1284" s="1820">
        <v>2.9216318518376826E-2</v>
      </c>
      <c r="BH1284" s="452" t="s">
        <v>280</v>
      </c>
      <c r="BI1284" s="452" t="s">
        <v>448</v>
      </c>
      <c r="BJ1284" s="452" t="s">
        <v>32</v>
      </c>
      <c r="BL1284" s="1819">
        <v>96658779.620000124</v>
      </c>
      <c r="BM1284" s="1820">
        <v>6.5770822419198946E-2</v>
      </c>
      <c r="BN1284" s="452">
        <v>2020</v>
      </c>
    </row>
    <row r="1285" spans="1:66">
      <c r="A1285" s="228">
        <f t="shared" si="44"/>
        <v>1900</v>
      </c>
      <c r="B1285" s="228">
        <f t="shared" si="45"/>
        <v>1</v>
      </c>
      <c r="BA1285" s="452" t="s">
        <v>228</v>
      </c>
      <c r="BB1285" s="1818">
        <v>2022</v>
      </c>
      <c r="BC1285" s="452" t="s">
        <v>50</v>
      </c>
      <c r="BD1285" s="452">
        <v>8</v>
      </c>
      <c r="BE1285" s="1824" t="s">
        <v>165</v>
      </c>
      <c r="BF1285" s="1820">
        <v>2.731683263513476E-2</v>
      </c>
      <c r="BH1285" s="452" t="s">
        <v>280</v>
      </c>
      <c r="BI1285" s="452" t="s">
        <v>448</v>
      </c>
      <c r="BJ1285" s="1899" t="s">
        <v>249</v>
      </c>
      <c r="BL1285" s="1819">
        <v>1469630089.22</v>
      </c>
      <c r="BN1285" s="452">
        <v>2020</v>
      </c>
    </row>
    <row r="1286" spans="1:66">
      <c r="A1286" s="228">
        <f t="shared" si="44"/>
        <v>1900</v>
      </c>
      <c r="B1286" s="228">
        <f t="shared" si="45"/>
        <v>1</v>
      </c>
      <c r="BA1286" s="452" t="s">
        <v>228</v>
      </c>
      <c r="BB1286" s="1818">
        <v>2022</v>
      </c>
      <c r="BC1286" s="452" t="s">
        <v>583</v>
      </c>
      <c r="BD1286" s="452">
        <v>9</v>
      </c>
      <c r="BE1286" s="1824" t="s">
        <v>165</v>
      </c>
      <c r="BF1286" s="1820">
        <v>1.6677050570248084E-2</v>
      </c>
      <c r="BH1286" s="452" t="s">
        <v>2</v>
      </c>
      <c r="BI1286" s="452" t="s">
        <v>448</v>
      </c>
      <c r="BJ1286" s="1899" t="s">
        <v>15</v>
      </c>
      <c r="BK1286" s="452">
        <v>1</v>
      </c>
      <c r="BL1286" s="1819">
        <v>123185327000</v>
      </c>
      <c r="BM1286" s="1820">
        <v>0.81496008704122425</v>
      </c>
      <c r="BN1286" s="452">
        <v>2020</v>
      </c>
    </row>
    <row r="1287" spans="1:66">
      <c r="A1287" s="228">
        <f t="shared" si="44"/>
        <v>1900</v>
      </c>
      <c r="B1287" s="228">
        <f t="shared" si="45"/>
        <v>1</v>
      </c>
      <c r="BA1287" s="452" t="s">
        <v>228</v>
      </c>
      <c r="BB1287" s="1818">
        <v>2022</v>
      </c>
      <c r="BC1287" s="452" t="s">
        <v>18</v>
      </c>
      <c r="BD1287" s="452">
        <v>10</v>
      </c>
      <c r="BE1287" s="1824" t="s">
        <v>165</v>
      </c>
      <c r="BF1287" s="1820">
        <v>7.795161510870249E-3</v>
      </c>
      <c r="BH1287" s="452" t="s">
        <v>2</v>
      </c>
      <c r="BI1287" s="452" t="s">
        <v>448</v>
      </c>
      <c r="BJ1287" s="1899" t="s">
        <v>20</v>
      </c>
      <c r="BK1287" s="452">
        <v>2</v>
      </c>
      <c r="BL1287" s="1819">
        <v>9048431000</v>
      </c>
      <c r="BM1287" s="1820">
        <v>5.986191939358583E-2</v>
      </c>
      <c r="BN1287" s="452">
        <v>2020</v>
      </c>
    </row>
    <row r="1288" spans="1:66">
      <c r="A1288" s="228">
        <f t="shared" si="44"/>
        <v>1900</v>
      </c>
      <c r="B1288" s="228">
        <f t="shared" si="45"/>
        <v>1</v>
      </c>
      <c r="BA1288" s="452" t="s">
        <v>228</v>
      </c>
      <c r="BB1288" s="1818">
        <v>2022</v>
      </c>
      <c r="BC1288" s="452" t="s">
        <v>32</v>
      </c>
      <c r="BE1288" s="1824" t="s">
        <v>165</v>
      </c>
      <c r="BF1288" s="1820">
        <v>9.3608556157761223E-4</v>
      </c>
      <c r="BH1288" s="452" t="s">
        <v>2</v>
      </c>
      <c r="BI1288" s="452" t="s">
        <v>448</v>
      </c>
      <c r="BJ1288" s="1899" t="s">
        <v>581</v>
      </c>
      <c r="BK1288" s="452">
        <v>3</v>
      </c>
      <c r="BL1288" s="1819">
        <v>8945395000</v>
      </c>
      <c r="BM1288" s="1820">
        <v>5.9180261686670947E-2</v>
      </c>
      <c r="BN1288" s="452">
        <v>2020</v>
      </c>
    </row>
    <row r="1289" spans="1:66">
      <c r="A1289" s="228">
        <f t="shared" si="44"/>
        <v>1900</v>
      </c>
      <c r="B1289" s="228">
        <f t="shared" si="45"/>
        <v>1</v>
      </c>
      <c r="BA1289" s="452" t="s">
        <v>228</v>
      </c>
      <c r="BB1289" s="1818">
        <v>2022</v>
      </c>
      <c r="BC1289" s="452" t="s">
        <v>582</v>
      </c>
      <c r="BE1289" s="1824" t="s">
        <v>165</v>
      </c>
      <c r="BH1289" s="452" t="s">
        <v>2</v>
      </c>
      <c r="BI1289" s="452" t="s">
        <v>448</v>
      </c>
      <c r="BJ1289" s="1899" t="s">
        <v>583</v>
      </c>
      <c r="BK1289" s="452">
        <v>4</v>
      </c>
      <c r="BL1289" s="1819">
        <v>3069840000</v>
      </c>
      <c r="BM1289" s="1820">
        <v>2.0309213236107512E-2</v>
      </c>
      <c r="BN1289" s="452">
        <v>2020</v>
      </c>
    </row>
    <row r="1290" spans="1:66">
      <c r="A1290" s="228">
        <f t="shared" ref="A1290:A1300" si="46">YEAR(C1290)</f>
        <v>1900</v>
      </c>
      <c r="B1290" s="228">
        <f t="shared" ref="B1290:B1300" si="47">IF(OR(MONTH(C1290)=1,MONTH(C1290)=2,MONTH(C1290)=3),1,IF(OR(MONTH(C1290)=4,MONTH(C1290)=5,MONTH(C1290)=6),2,IF(OR(MONTH(C1290)=7,MONTH(C1290)=8,MONTH(C1290)=9),3,4)))</f>
        <v>1</v>
      </c>
      <c r="BA1290" s="452" t="s">
        <v>1</v>
      </c>
      <c r="BB1290" s="1818">
        <v>2022</v>
      </c>
      <c r="BC1290" s="452" t="s">
        <v>15</v>
      </c>
      <c r="BD1290" s="452">
        <v>1</v>
      </c>
      <c r="BE1290" s="1819">
        <v>7196897000</v>
      </c>
      <c r="BF1290" s="1820">
        <v>0.38326914890025154</v>
      </c>
      <c r="BH1290" s="452" t="s">
        <v>2</v>
      </c>
      <c r="BI1290" s="452" t="s">
        <v>448</v>
      </c>
      <c r="BJ1290" s="1899" t="s">
        <v>49</v>
      </c>
      <c r="BK1290" s="452">
        <v>5</v>
      </c>
      <c r="BL1290" s="1819">
        <v>2008749000</v>
      </c>
      <c r="BM1290" s="1820">
        <v>1.3289328362005097E-2</v>
      </c>
      <c r="BN1290" s="452">
        <v>2020</v>
      </c>
    </row>
    <row r="1291" spans="1:66">
      <c r="A1291" s="228">
        <f t="shared" si="46"/>
        <v>1900</v>
      </c>
      <c r="B1291" s="228">
        <f t="shared" si="47"/>
        <v>1</v>
      </c>
      <c r="BA1291" s="452" t="s">
        <v>1</v>
      </c>
      <c r="BB1291" s="1818">
        <v>2022</v>
      </c>
      <c r="BC1291" s="452" t="s">
        <v>592</v>
      </c>
      <c r="BD1291" s="452">
        <v>2</v>
      </c>
      <c r="BE1291" s="1819">
        <v>4662574000</v>
      </c>
      <c r="BF1291" s="1820">
        <v>0.24830434125491049</v>
      </c>
      <c r="BH1291" s="452" t="s">
        <v>2</v>
      </c>
      <c r="BI1291" s="452" t="s">
        <v>448</v>
      </c>
      <c r="BJ1291" s="1899" t="s">
        <v>32</v>
      </c>
      <c r="BL1291" s="1819">
        <v>4897301000</v>
      </c>
      <c r="BM1291" s="1820">
        <v>3.2399190280406324E-2</v>
      </c>
      <c r="BN1291" s="452">
        <v>2020</v>
      </c>
    </row>
    <row r="1292" spans="1:66">
      <c r="A1292" s="228">
        <f t="shared" si="46"/>
        <v>1900</v>
      </c>
      <c r="B1292" s="228">
        <f t="shared" si="47"/>
        <v>1</v>
      </c>
      <c r="BA1292" s="452" t="s">
        <v>1</v>
      </c>
      <c r="BB1292" s="1818">
        <v>2022</v>
      </c>
      <c r="BC1292" s="452" t="s">
        <v>49</v>
      </c>
      <c r="BD1292" s="452">
        <v>3</v>
      </c>
      <c r="BE1292" s="1819">
        <v>2390830000</v>
      </c>
      <c r="BF1292" s="1820">
        <v>0.12732311984806624</v>
      </c>
      <c r="BH1292" s="452" t="s">
        <v>2</v>
      </c>
      <c r="BI1292" s="452" t="s">
        <v>448</v>
      </c>
      <c r="BJ1292" s="1899" t="s">
        <v>249</v>
      </c>
      <c r="BL1292" s="1819">
        <v>151155043000</v>
      </c>
      <c r="BN1292" s="452">
        <v>2020</v>
      </c>
    </row>
    <row r="1293" spans="1:66">
      <c r="A1293" s="228">
        <f t="shared" si="46"/>
        <v>1900</v>
      </c>
      <c r="B1293" s="228">
        <f t="shared" si="47"/>
        <v>1</v>
      </c>
      <c r="BA1293" s="452" t="s">
        <v>1</v>
      </c>
      <c r="BB1293" s="1818">
        <v>2022</v>
      </c>
      <c r="BC1293" s="452" t="s">
        <v>18</v>
      </c>
      <c r="BD1293" s="452">
        <v>4</v>
      </c>
      <c r="BE1293" s="1819">
        <v>1506680000</v>
      </c>
      <c r="BF1293" s="1820">
        <v>8.0237908263107144E-2</v>
      </c>
      <c r="BH1293" s="452" t="s">
        <v>1</v>
      </c>
      <c r="BI1293" s="452" t="s">
        <v>448</v>
      </c>
      <c r="BJ1293" s="1899" t="s">
        <v>51</v>
      </c>
      <c r="BK1293" s="452">
        <v>1</v>
      </c>
      <c r="BL1293" s="1819">
        <v>8765311000</v>
      </c>
      <c r="BM1293" s="1820">
        <v>0.3981900327099348</v>
      </c>
      <c r="BN1293" s="452">
        <v>2020</v>
      </c>
    </row>
    <row r="1294" spans="1:66">
      <c r="A1294" s="228">
        <f t="shared" si="46"/>
        <v>1900</v>
      </c>
      <c r="B1294" s="228">
        <f t="shared" si="47"/>
        <v>1</v>
      </c>
      <c r="BA1294" s="452" t="s">
        <v>1</v>
      </c>
      <c r="BB1294" s="1818">
        <v>2022</v>
      </c>
      <c r="BC1294" s="452" t="s">
        <v>447</v>
      </c>
      <c r="BD1294" s="452">
        <v>5</v>
      </c>
      <c r="BE1294" s="1819">
        <v>1414490000</v>
      </c>
      <c r="BF1294" s="1820">
        <v>7.5328350319299672E-2</v>
      </c>
      <c r="BH1294" s="452" t="s">
        <v>1</v>
      </c>
      <c r="BI1294" s="452" t="s">
        <v>448</v>
      </c>
      <c r="BJ1294" s="1899" t="s">
        <v>447</v>
      </c>
      <c r="BK1294" s="452">
        <v>2</v>
      </c>
      <c r="BL1294" s="1819">
        <v>3618673000</v>
      </c>
      <c r="BM1294" s="1820">
        <v>0.16438886426694477</v>
      </c>
      <c r="BN1294" s="452">
        <v>2020</v>
      </c>
    </row>
    <row r="1295" spans="1:66">
      <c r="A1295" s="228">
        <f t="shared" si="46"/>
        <v>1900</v>
      </c>
      <c r="B1295" s="228">
        <f t="shared" si="47"/>
        <v>1</v>
      </c>
      <c r="BA1295" s="452" t="s">
        <v>1</v>
      </c>
      <c r="BB1295" s="1818">
        <v>2022</v>
      </c>
      <c r="BC1295" s="452" t="s">
        <v>28</v>
      </c>
      <c r="BD1295" s="452">
        <v>6</v>
      </c>
      <c r="BE1295" s="1819">
        <v>724191000</v>
      </c>
      <c r="BF1295" s="1820">
        <v>3.8566630620282892E-2</v>
      </c>
      <c r="BH1295" s="452" t="s">
        <v>1</v>
      </c>
      <c r="BI1295" s="452" t="s">
        <v>448</v>
      </c>
      <c r="BJ1295" s="1899" t="s">
        <v>49</v>
      </c>
      <c r="BK1295" s="452">
        <v>3</v>
      </c>
      <c r="BL1295" s="1819">
        <v>2164409000</v>
      </c>
      <c r="BM1295" s="1820">
        <v>9.832464478529937E-2</v>
      </c>
      <c r="BN1295" s="452">
        <v>2020</v>
      </c>
    </row>
    <row r="1296" spans="1:66">
      <c r="A1296" s="228">
        <f t="shared" si="46"/>
        <v>1900</v>
      </c>
      <c r="B1296" s="228">
        <f t="shared" si="47"/>
        <v>1</v>
      </c>
      <c r="BA1296" s="452" t="s">
        <v>1</v>
      </c>
      <c r="BB1296" s="1818">
        <v>2022</v>
      </c>
      <c r="BC1296" s="452" t="s">
        <v>581</v>
      </c>
      <c r="BD1296" s="452">
        <v>7</v>
      </c>
      <c r="BE1296" s="1819">
        <v>464352000</v>
      </c>
      <c r="BF1296" s="1820">
        <v>2.4728962472316835E-2</v>
      </c>
      <c r="BH1296" s="452" t="s">
        <v>1</v>
      </c>
      <c r="BI1296" s="452" t="s">
        <v>448</v>
      </c>
      <c r="BJ1296" s="1899" t="s">
        <v>15</v>
      </c>
      <c r="BK1296" s="452">
        <v>4</v>
      </c>
      <c r="BL1296" s="1819">
        <v>2028145000</v>
      </c>
      <c r="BM1296" s="1820">
        <v>9.2134451805588033E-2</v>
      </c>
      <c r="BN1296" s="452">
        <v>2020</v>
      </c>
    </row>
    <row r="1297" spans="1:66">
      <c r="A1297" s="228">
        <f t="shared" si="46"/>
        <v>1900</v>
      </c>
      <c r="B1297" s="228">
        <f t="shared" si="47"/>
        <v>1</v>
      </c>
      <c r="BA1297" s="452" t="s">
        <v>1</v>
      </c>
      <c r="BB1297" s="1818">
        <v>2022</v>
      </c>
      <c r="BC1297" s="452" t="s">
        <v>241</v>
      </c>
      <c r="BD1297" s="452">
        <v>8</v>
      </c>
      <c r="BE1297" s="1819">
        <v>255428000</v>
      </c>
      <c r="BF1297" s="1820">
        <v>1.3602761324122529E-2</v>
      </c>
      <c r="BH1297" s="452" t="s">
        <v>1</v>
      </c>
      <c r="BI1297" s="452" t="s">
        <v>448</v>
      </c>
      <c r="BJ1297" s="1899" t="s">
        <v>18</v>
      </c>
      <c r="BK1297" s="452">
        <v>5</v>
      </c>
      <c r="BL1297" s="1819">
        <v>1395638000</v>
      </c>
      <c r="BM1297" s="1820">
        <v>6.340096100083932E-2</v>
      </c>
      <c r="BN1297" s="452">
        <v>2020</v>
      </c>
    </row>
    <row r="1298" spans="1:66">
      <c r="A1298" s="228">
        <f t="shared" si="46"/>
        <v>1900</v>
      </c>
      <c r="B1298" s="228">
        <f t="shared" si="47"/>
        <v>1</v>
      </c>
      <c r="BA1298" s="452" t="s">
        <v>1</v>
      </c>
      <c r="BB1298" s="1818">
        <v>2022</v>
      </c>
      <c r="BC1298" s="452" t="s">
        <v>46</v>
      </c>
      <c r="BD1298" s="452">
        <v>9</v>
      </c>
      <c r="BE1298" s="1819">
        <v>103585000</v>
      </c>
      <c r="BF1298" s="1820">
        <v>5.5163961341717907E-3</v>
      </c>
      <c r="BH1298" s="452" t="s">
        <v>1</v>
      </c>
      <c r="BI1298" s="452" t="s">
        <v>448</v>
      </c>
      <c r="BJ1298" s="1899" t="s">
        <v>592</v>
      </c>
      <c r="BK1298" s="452">
        <v>6</v>
      </c>
      <c r="BL1298" s="1819">
        <v>1392759000</v>
      </c>
      <c r="BM1298" s="1820">
        <v>6.3270173958123802E-2</v>
      </c>
      <c r="BN1298" s="452">
        <v>2020</v>
      </c>
    </row>
    <row r="1299" spans="1:66">
      <c r="A1299" s="228">
        <f t="shared" si="46"/>
        <v>1900</v>
      </c>
      <c r="B1299" s="228">
        <f t="shared" si="47"/>
        <v>1</v>
      </c>
      <c r="BA1299" s="452" t="s">
        <v>1</v>
      </c>
      <c r="BB1299" s="1818">
        <v>2022</v>
      </c>
      <c r="BC1299" s="452" t="s">
        <v>24</v>
      </c>
      <c r="BD1299" s="452">
        <v>10</v>
      </c>
      <c r="BE1299" s="1819">
        <v>51247000</v>
      </c>
      <c r="BF1299" s="1820">
        <v>2.7291475859236546E-3</v>
      </c>
      <c r="BH1299" s="452" t="s">
        <v>1</v>
      </c>
      <c r="BI1299" s="452" t="s">
        <v>448</v>
      </c>
      <c r="BJ1299" s="1899" t="s">
        <v>17</v>
      </c>
      <c r="BK1299" s="452">
        <v>7</v>
      </c>
      <c r="BL1299" s="1819">
        <v>806767000</v>
      </c>
      <c r="BM1299" s="1820">
        <v>3.6649763838304879E-2</v>
      </c>
      <c r="BN1299" s="452">
        <v>2020</v>
      </c>
    </row>
    <row r="1300" spans="1:66">
      <c r="A1300" s="228">
        <f t="shared" si="46"/>
        <v>1900</v>
      </c>
      <c r="B1300" s="228">
        <f t="shared" si="47"/>
        <v>1</v>
      </c>
      <c r="BA1300" s="452" t="s">
        <v>1</v>
      </c>
      <c r="BB1300" s="1818">
        <v>2022</v>
      </c>
      <c r="BC1300" s="452" t="s">
        <v>32</v>
      </c>
      <c r="BE1300" s="1819">
        <v>7384000</v>
      </c>
      <c r="BF1300" s="1820">
        <v>3.9323327754717865E-4</v>
      </c>
      <c r="BH1300" s="452" t="s">
        <v>1</v>
      </c>
      <c r="BI1300" s="452" t="s">
        <v>448</v>
      </c>
      <c r="BJ1300" s="1899" t="s">
        <v>28</v>
      </c>
      <c r="BK1300" s="452">
        <v>8</v>
      </c>
      <c r="BL1300" s="1819">
        <v>636346000</v>
      </c>
      <c r="BM1300" s="1820">
        <v>2.8907888671016482E-2</v>
      </c>
      <c r="BN1300" s="452">
        <v>2020</v>
      </c>
    </row>
    <row r="1301" spans="1:66">
      <c r="BA1301" s="452" t="s">
        <v>1</v>
      </c>
      <c r="BB1301" s="1818">
        <v>2022</v>
      </c>
      <c r="BC1301" s="452" t="s">
        <v>249</v>
      </c>
      <c r="BE1301" s="1819">
        <v>18777658000</v>
      </c>
      <c r="BH1301" s="452" t="s">
        <v>1</v>
      </c>
      <c r="BI1301" s="452" t="s">
        <v>448</v>
      </c>
      <c r="BJ1301" s="1899" t="s">
        <v>581</v>
      </c>
      <c r="BK1301" s="452">
        <v>9</v>
      </c>
      <c r="BL1301" s="1819">
        <v>561510000</v>
      </c>
      <c r="BM1301" s="1820">
        <v>2.5508243263354314E-2</v>
      </c>
      <c r="BN1301" s="452">
        <v>2020</v>
      </c>
    </row>
    <row r="1302" spans="1:66">
      <c r="BA1302" s="452" t="s">
        <v>3</v>
      </c>
      <c r="BB1302" s="1818">
        <v>2022</v>
      </c>
      <c r="BC1302" s="452" t="s">
        <v>15</v>
      </c>
      <c r="BD1302" s="452">
        <v>1</v>
      </c>
      <c r="BE1302" s="1824" t="s">
        <v>165</v>
      </c>
      <c r="BF1302" s="1820">
        <v>0.58870290444653295</v>
      </c>
      <c r="BH1302" s="452" t="s">
        <v>1</v>
      </c>
      <c r="BI1302" s="452" t="s">
        <v>448</v>
      </c>
      <c r="BJ1302" s="1899" t="s">
        <v>241</v>
      </c>
      <c r="BK1302" s="452">
        <v>10</v>
      </c>
      <c r="BL1302" s="1819">
        <v>402547000</v>
      </c>
      <c r="BM1302" s="1820">
        <v>1.8286881446338426E-2</v>
      </c>
      <c r="BN1302" s="452">
        <v>2020</v>
      </c>
    </row>
    <row r="1303" spans="1:66">
      <c r="BA1303" s="452" t="s">
        <v>3</v>
      </c>
      <c r="BB1303" s="1818">
        <v>2022</v>
      </c>
      <c r="BC1303" s="452" t="s">
        <v>20</v>
      </c>
      <c r="BD1303" s="452">
        <v>2</v>
      </c>
      <c r="BE1303" s="1824" t="s">
        <v>165</v>
      </c>
      <c r="BF1303" s="1820">
        <v>0.17519409738269193</v>
      </c>
      <c r="BH1303" s="452" t="s">
        <v>1</v>
      </c>
      <c r="BI1303" s="452" t="s">
        <v>448</v>
      </c>
      <c r="BJ1303" s="1899" t="s">
        <v>32</v>
      </c>
      <c r="BL1303" s="1819">
        <v>240779000</v>
      </c>
      <c r="BM1303" s="1820">
        <v>1.0938094254255825E-2</v>
      </c>
      <c r="BN1303" s="452">
        <v>2020</v>
      </c>
    </row>
    <row r="1304" spans="1:66">
      <c r="BA1304" s="452" t="s">
        <v>3</v>
      </c>
      <c r="BB1304" s="1818">
        <v>2022</v>
      </c>
      <c r="BC1304" s="452" t="s">
        <v>627</v>
      </c>
      <c r="BD1304" s="452">
        <v>3</v>
      </c>
      <c r="BE1304" s="1824" t="s">
        <v>165</v>
      </c>
      <c r="BF1304" s="1820">
        <v>8.2044583265152432E-2</v>
      </c>
      <c r="BH1304" s="452" t="s">
        <v>1</v>
      </c>
      <c r="BI1304" s="452" t="s">
        <v>448</v>
      </c>
      <c r="BJ1304" s="1899" t="s">
        <v>249</v>
      </c>
      <c r="BL1304" s="1819">
        <v>22012884000</v>
      </c>
      <c r="BN1304" s="452">
        <v>2020</v>
      </c>
    </row>
    <row r="1305" spans="1:66">
      <c r="BA1305" s="452" t="s">
        <v>3</v>
      </c>
      <c r="BB1305" s="1818">
        <v>2022</v>
      </c>
      <c r="BC1305" s="452" t="s">
        <v>23</v>
      </c>
      <c r="BD1305" s="452">
        <v>4</v>
      </c>
      <c r="BE1305" s="1824" t="s">
        <v>165</v>
      </c>
      <c r="BF1305" s="1820">
        <v>5.9685771283176994E-2</v>
      </c>
      <c r="BH1305" s="452" t="s">
        <v>0</v>
      </c>
      <c r="BI1305" s="452" t="s">
        <v>615</v>
      </c>
      <c r="BJ1305" s="452" t="s">
        <v>14</v>
      </c>
      <c r="BK1305" s="452">
        <v>1</v>
      </c>
      <c r="BL1305" s="1819">
        <v>1345471599.03</v>
      </c>
      <c r="BM1305" s="1820">
        <v>0.17005269075942778</v>
      </c>
      <c r="BN1305" s="452">
        <v>2021</v>
      </c>
    </row>
    <row r="1306" spans="1:66">
      <c r="BA1306" s="452" t="s">
        <v>3</v>
      </c>
      <c r="BB1306" s="1818">
        <v>2022</v>
      </c>
      <c r="BC1306" s="452" t="s">
        <v>48</v>
      </c>
      <c r="BD1306" s="452">
        <v>5</v>
      </c>
      <c r="BE1306" s="1824" t="s">
        <v>165</v>
      </c>
      <c r="BF1306" s="1820">
        <v>2.3446997189059644E-2</v>
      </c>
      <c r="BH1306" s="452" t="s">
        <v>0</v>
      </c>
      <c r="BI1306" s="452" t="s">
        <v>615</v>
      </c>
      <c r="BJ1306" s="452" t="s">
        <v>29</v>
      </c>
      <c r="BK1306" s="452">
        <v>2</v>
      </c>
      <c r="BL1306" s="1819">
        <v>1143562001.5</v>
      </c>
      <c r="BM1306" s="1820">
        <v>0.1445335565206351</v>
      </c>
      <c r="BN1306" s="452">
        <v>2021</v>
      </c>
    </row>
    <row r="1307" spans="1:66">
      <c r="BA1307" s="452" t="s">
        <v>3</v>
      </c>
      <c r="BB1307" s="1818">
        <v>2022</v>
      </c>
      <c r="BC1307" s="452" t="s">
        <v>18</v>
      </c>
      <c r="BD1307" s="452">
        <v>6</v>
      </c>
      <c r="BE1307" s="1824" t="s">
        <v>165</v>
      </c>
      <c r="BF1307" s="1820">
        <v>1.4771746738491362E-2</v>
      </c>
      <c r="BH1307" s="452" t="s">
        <v>0</v>
      </c>
      <c r="BI1307" s="452" t="s">
        <v>615</v>
      </c>
      <c r="BJ1307" s="452" t="s">
        <v>27</v>
      </c>
      <c r="BK1307" s="452">
        <v>3</v>
      </c>
      <c r="BL1307" s="1819">
        <v>805902515.14999998</v>
      </c>
      <c r="BM1307" s="1820">
        <v>0.10185714160733636</v>
      </c>
      <c r="BN1307" s="452">
        <v>2021</v>
      </c>
    </row>
    <row r="1308" spans="1:66">
      <c r="BA1308" s="452" t="s">
        <v>3</v>
      </c>
      <c r="BB1308" s="1818">
        <v>2022</v>
      </c>
      <c r="BC1308" s="452" t="s">
        <v>44</v>
      </c>
      <c r="BD1308" s="452">
        <v>7</v>
      </c>
      <c r="BE1308" s="1824" t="s">
        <v>165</v>
      </c>
      <c r="BF1308" s="1820">
        <v>1.4501063638253027E-2</v>
      </c>
      <c r="BH1308" s="452" t="s">
        <v>0</v>
      </c>
      <c r="BI1308" s="452" t="s">
        <v>615</v>
      </c>
      <c r="BJ1308" s="452" t="s">
        <v>22</v>
      </c>
      <c r="BK1308" s="452">
        <v>4</v>
      </c>
      <c r="BL1308" s="1819">
        <v>690922848.96000004</v>
      </c>
      <c r="BM1308" s="1820">
        <v>8.7324986761164597E-2</v>
      </c>
      <c r="BN1308" s="452">
        <v>2021</v>
      </c>
    </row>
    <row r="1309" spans="1:66">
      <c r="BA1309" s="452" t="s">
        <v>3</v>
      </c>
      <c r="BB1309" s="1818">
        <v>2022</v>
      </c>
      <c r="BC1309" s="452" t="s">
        <v>654</v>
      </c>
      <c r="BD1309" s="452">
        <v>8</v>
      </c>
      <c r="BE1309" s="1824" t="s">
        <v>165</v>
      </c>
      <c r="BF1309" s="1820">
        <v>1.4059628920257651E-2</v>
      </c>
      <c r="BH1309" s="452" t="s">
        <v>0</v>
      </c>
      <c r="BI1309" s="452" t="s">
        <v>615</v>
      </c>
      <c r="BJ1309" s="452" t="s">
        <v>25</v>
      </c>
      <c r="BK1309" s="452">
        <v>5</v>
      </c>
      <c r="BL1309" s="1819">
        <v>645615125.67999995</v>
      </c>
      <c r="BM1309" s="1820">
        <v>8.159859293649957E-2</v>
      </c>
      <c r="BN1309" s="452">
        <v>2021</v>
      </c>
    </row>
    <row r="1310" spans="1:66">
      <c r="BA1310" s="452" t="s">
        <v>3</v>
      </c>
      <c r="BB1310" s="1818">
        <v>2022</v>
      </c>
      <c r="BC1310" s="452" t="s">
        <v>583</v>
      </c>
      <c r="BD1310" s="452">
        <v>9</v>
      </c>
      <c r="BE1310" s="1824" t="s">
        <v>165</v>
      </c>
      <c r="BF1310" s="1820">
        <v>8.5989222825659708E-3</v>
      </c>
      <c r="BH1310" s="452" t="s">
        <v>0</v>
      </c>
      <c r="BI1310" s="452" t="s">
        <v>615</v>
      </c>
      <c r="BJ1310" s="452" t="s">
        <v>15</v>
      </c>
      <c r="BK1310" s="452">
        <v>6</v>
      </c>
      <c r="BL1310" s="1819">
        <v>559590840.5</v>
      </c>
      <c r="BM1310" s="1820">
        <v>7.0726077176180513E-2</v>
      </c>
      <c r="BN1310" s="452">
        <v>2021</v>
      </c>
    </row>
    <row r="1311" spans="1:66">
      <c r="BA1311" s="452" t="s">
        <v>3</v>
      </c>
      <c r="BB1311" s="1818">
        <v>2022</v>
      </c>
      <c r="BC1311" s="452" t="s">
        <v>49</v>
      </c>
      <c r="BD1311" s="452">
        <v>10</v>
      </c>
      <c r="BE1311" s="1824" t="s">
        <v>165</v>
      </c>
      <c r="BF1311" s="1820">
        <v>8.1096549410802753E-3</v>
      </c>
      <c r="BH1311" s="452" t="s">
        <v>0</v>
      </c>
      <c r="BI1311" s="452" t="s">
        <v>615</v>
      </c>
      <c r="BJ1311" s="452" t="s">
        <v>18</v>
      </c>
      <c r="BK1311" s="452">
        <v>7</v>
      </c>
      <c r="BL1311" s="1819">
        <v>471251590.95999998</v>
      </c>
      <c r="BM1311" s="1820">
        <v>5.9560975590405157E-2</v>
      </c>
      <c r="BN1311" s="452">
        <v>2021</v>
      </c>
    </row>
    <row r="1312" spans="1:66">
      <c r="BA1312" s="452" t="s">
        <v>3</v>
      </c>
      <c r="BB1312" s="1818">
        <v>2022</v>
      </c>
      <c r="BC1312" s="452" t="s">
        <v>32</v>
      </c>
      <c r="BE1312" s="1824" t="s">
        <v>165</v>
      </c>
      <c r="BF1312" s="1820">
        <v>1.0884629912737878E-2</v>
      </c>
      <c r="BH1312" s="452" t="s">
        <v>0</v>
      </c>
      <c r="BI1312" s="452" t="s">
        <v>615</v>
      </c>
      <c r="BJ1312" s="452" t="s">
        <v>21</v>
      </c>
      <c r="BK1312" s="452">
        <v>8</v>
      </c>
      <c r="BL1312" s="1819">
        <v>351701149.20999998</v>
      </c>
      <c r="BM1312" s="1820">
        <v>4.4451125396820779E-2</v>
      </c>
      <c r="BN1312" s="452">
        <v>2021</v>
      </c>
    </row>
    <row r="1313" spans="53:66">
      <c r="BA1313" s="452" t="s">
        <v>3</v>
      </c>
      <c r="BB1313" s="1818">
        <v>2022</v>
      </c>
      <c r="BC1313" s="452" t="s">
        <v>249</v>
      </c>
      <c r="BE1313" s="1824" t="s">
        <v>165</v>
      </c>
      <c r="BH1313" s="452" t="s">
        <v>0</v>
      </c>
      <c r="BI1313" s="452" t="s">
        <v>615</v>
      </c>
      <c r="BJ1313" s="452" t="s">
        <v>250</v>
      </c>
      <c r="BK1313" s="452">
        <v>9</v>
      </c>
      <c r="BL1313" s="1819">
        <v>338445280.93999994</v>
      </c>
      <c r="BM1313" s="1820">
        <v>4.277573063613526E-2</v>
      </c>
      <c r="BN1313" s="452">
        <v>2021</v>
      </c>
    </row>
    <row r="1314" spans="53:66">
      <c r="BA1314" s="452" t="s">
        <v>2</v>
      </c>
      <c r="BB1314" s="1818">
        <v>2022</v>
      </c>
      <c r="BC1314" s="452" t="s">
        <v>15</v>
      </c>
      <c r="BD1314" s="452">
        <v>1</v>
      </c>
      <c r="BE1314" s="1819">
        <v>102384752000</v>
      </c>
      <c r="BF1314" s="1820">
        <v>0.8345571074950876</v>
      </c>
      <c r="BH1314" s="452" t="s">
        <v>0</v>
      </c>
      <c r="BI1314" s="452" t="s">
        <v>615</v>
      </c>
      <c r="BJ1314" s="452" t="s">
        <v>16</v>
      </c>
      <c r="BK1314" s="452">
        <v>10</v>
      </c>
      <c r="BL1314" s="1819">
        <v>332420415.78999996</v>
      </c>
      <c r="BM1314" s="1820">
        <v>4.2014254488322973E-2</v>
      </c>
      <c r="BN1314" s="452">
        <v>2021</v>
      </c>
    </row>
    <row r="1315" spans="53:66">
      <c r="BA1315" s="452" t="s">
        <v>2</v>
      </c>
      <c r="BB1315" s="1818">
        <v>2022</v>
      </c>
      <c r="BC1315" s="452" t="s">
        <v>20</v>
      </c>
      <c r="BD1315" s="452">
        <v>2</v>
      </c>
      <c r="BE1315" s="1819">
        <v>8614994000</v>
      </c>
      <c r="BF1315" s="1820">
        <v>7.0222414307625949E-2</v>
      </c>
      <c r="BH1315" s="452" t="s">
        <v>0</v>
      </c>
      <c r="BI1315" s="452" t="s">
        <v>615</v>
      </c>
      <c r="BJ1315" s="452" t="s">
        <v>32</v>
      </c>
      <c r="BL1315" s="1819">
        <v>1227203133.3599997</v>
      </c>
      <c r="BM1315" s="1820">
        <v>0.155104868127072</v>
      </c>
      <c r="BN1315" s="452">
        <v>2021</v>
      </c>
    </row>
    <row r="1316" spans="53:66">
      <c r="BA1316" s="452" t="s">
        <v>2</v>
      </c>
      <c r="BB1316" s="1818">
        <v>2022</v>
      </c>
      <c r="BC1316" s="452" t="s">
        <v>581</v>
      </c>
      <c r="BD1316" s="452">
        <v>3</v>
      </c>
      <c r="BE1316" s="1819">
        <v>6853796000</v>
      </c>
      <c r="BF1316" s="1820">
        <v>5.5866562680362809E-2</v>
      </c>
      <c r="BH1316" s="452" t="s">
        <v>0</v>
      </c>
      <c r="BI1316" s="452" t="s">
        <v>615</v>
      </c>
      <c r="BJ1316" s="452" t="s">
        <v>249</v>
      </c>
      <c r="BL1316" s="1819">
        <v>7912086501.079999</v>
      </c>
      <c r="BN1316" s="452">
        <v>2021</v>
      </c>
    </row>
    <row r="1317" spans="53:66">
      <c r="BA1317" s="452" t="s">
        <v>2</v>
      </c>
      <c r="BB1317" s="1818">
        <v>2022</v>
      </c>
      <c r="BC1317" s="452" t="s">
        <v>583</v>
      </c>
      <c r="BD1317" s="452">
        <v>4</v>
      </c>
      <c r="BE1317" s="1819">
        <v>2392691000</v>
      </c>
      <c r="BF1317" s="1820">
        <v>1.9503268221907972E-2</v>
      </c>
      <c r="BH1317" s="452" t="s">
        <v>228</v>
      </c>
      <c r="BI1317" s="452" t="s">
        <v>615</v>
      </c>
      <c r="BJ1317" s="452" t="s">
        <v>627</v>
      </c>
      <c r="BK1317" s="452">
        <v>1</v>
      </c>
      <c r="BL1317" s="1824" t="s">
        <v>165</v>
      </c>
      <c r="BM1317" s="1820">
        <v>0.2659789091263593</v>
      </c>
      <c r="BN1317" s="452">
        <v>2021</v>
      </c>
    </row>
    <row r="1318" spans="53:66">
      <c r="BA1318" s="452" t="s">
        <v>2</v>
      </c>
      <c r="BB1318" s="1818">
        <v>2022</v>
      </c>
      <c r="BC1318" s="452" t="s">
        <v>77</v>
      </c>
      <c r="BD1318" s="452">
        <v>5</v>
      </c>
      <c r="BE1318" s="1819">
        <v>1186056000</v>
      </c>
      <c r="BF1318" s="1820">
        <v>9.6677624875937933E-3</v>
      </c>
      <c r="BH1318" s="452" t="s">
        <v>228</v>
      </c>
      <c r="BI1318" s="452" t="s">
        <v>615</v>
      </c>
      <c r="BJ1318" s="452" t="s">
        <v>53</v>
      </c>
      <c r="BK1318" s="452">
        <v>2</v>
      </c>
      <c r="BL1318" s="1824" t="s">
        <v>165</v>
      </c>
      <c r="BM1318" s="1820">
        <v>0.23919176556882343</v>
      </c>
      <c r="BN1318" s="452">
        <v>2021</v>
      </c>
    </row>
    <row r="1319" spans="53:66">
      <c r="BA1319" s="452" t="s">
        <v>2</v>
      </c>
      <c r="BB1319" s="1818">
        <v>2022</v>
      </c>
      <c r="BC1319" s="452" t="s">
        <v>32</v>
      </c>
      <c r="BE1319" s="1819">
        <v>1249252000</v>
      </c>
      <c r="BF1319" s="1820">
        <v>1.0182884807421844E-2</v>
      </c>
      <c r="BH1319" s="452" t="s">
        <v>228</v>
      </c>
      <c r="BI1319" s="452" t="s">
        <v>615</v>
      </c>
      <c r="BJ1319" s="452" t="s">
        <v>20</v>
      </c>
      <c r="BK1319" s="452">
        <v>3</v>
      </c>
      <c r="BL1319" s="1824" t="s">
        <v>165</v>
      </c>
      <c r="BM1319" s="1820">
        <v>0.21480162321087615</v>
      </c>
      <c r="BN1319" s="452">
        <v>2021</v>
      </c>
    </row>
    <row r="1320" spans="53:66">
      <c r="BA1320" s="452" t="s">
        <v>2</v>
      </c>
      <c r="BB1320" s="1818">
        <v>2022</v>
      </c>
      <c r="BC1320" s="452" t="s">
        <v>249</v>
      </c>
      <c r="BE1320" s="1819">
        <v>122681541000</v>
      </c>
      <c r="BH1320" s="452" t="s">
        <v>228</v>
      </c>
      <c r="BI1320" s="452" t="s">
        <v>615</v>
      </c>
      <c r="BJ1320" s="452" t="s">
        <v>46</v>
      </c>
      <c r="BK1320" s="452">
        <v>4</v>
      </c>
      <c r="BL1320" s="1824" t="s">
        <v>165</v>
      </c>
      <c r="BM1320" s="1820">
        <v>0.10320753457772958</v>
      </c>
      <c r="BN1320" s="452">
        <v>2021</v>
      </c>
    </row>
    <row r="1321" spans="53:66">
      <c r="BA1321" s="452" t="s">
        <v>360</v>
      </c>
      <c r="BB1321" s="1818">
        <v>2022</v>
      </c>
      <c r="BC1321" s="452" t="s">
        <v>15</v>
      </c>
      <c r="BD1321" s="452">
        <v>1</v>
      </c>
      <c r="BE1321" s="1819">
        <v>11814972210</v>
      </c>
      <c r="BF1321" s="1820">
        <v>0.97483283907107432</v>
      </c>
      <c r="BH1321" s="452" t="s">
        <v>228</v>
      </c>
      <c r="BI1321" s="452" t="s">
        <v>615</v>
      </c>
      <c r="BJ1321" s="452" t="s">
        <v>45</v>
      </c>
      <c r="BK1321" s="452">
        <v>5</v>
      </c>
      <c r="BL1321" s="1824" t="s">
        <v>165</v>
      </c>
      <c r="BM1321" s="1820">
        <v>5.8191219803038222E-2</v>
      </c>
      <c r="BN1321" s="452">
        <v>2021</v>
      </c>
    </row>
    <row r="1322" spans="53:66">
      <c r="BA1322" s="452" t="s">
        <v>360</v>
      </c>
      <c r="BB1322" s="1818">
        <v>2022</v>
      </c>
      <c r="BC1322" s="452" t="s">
        <v>42</v>
      </c>
      <c r="BD1322" s="452">
        <v>2</v>
      </c>
      <c r="BE1322" s="1819">
        <v>145527837</v>
      </c>
      <c r="BF1322" s="1820">
        <v>1.2007249106054609E-2</v>
      </c>
      <c r="BH1322" s="452" t="s">
        <v>228</v>
      </c>
      <c r="BI1322" s="452" t="s">
        <v>615</v>
      </c>
      <c r="BJ1322" s="452" t="s">
        <v>54</v>
      </c>
      <c r="BK1322" s="452">
        <v>6</v>
      </c>
      <c r="BL1322" s="1824" t="s">
        <v>165</v>
      </c>
      <c r="BM1322" s="1820">
        <v>3.5137807493169082E-2</v>
      </c>
      <c r="BN1322" s="452">
        <v>2021</v>
      </c>
    </row>
    <row r="1323" spans="53:66">
      <c r="BA1323" s="452" t="s">
        <v>360</v>
      </c>
      <c r="BB1323" s="1818">
        <v>2022</v>
      </c>
      <c r="BC1323" s="452" t="s">
        <v>581</v>
      </c>
      <c r="BD1323" s="452">
        <v>3</v>
      </c>
      <c r="BE1323" s="1819">
        <v>116842199</v>
      </c>
      <c r="BF1323" s="1820">
        <v>9.6404469303849032E-3</v>
      </c>
      <c r="BH1323" s="452" t="s">
        <v>228</v>
      </c>
      <c r="BI1323" s="452" t="s">
        <v>615</v>
      </c>
      <c r="BJ1323" s="452" t="s">
        <v>15</v>
      </c>
      <c r="BK1323" s="452">
        <v>7</v>
      </c>
      <c r="BL1323" s="1824" t="s">
        <v>165</v>
      </c>
      <c r="BM1323" s="1820">
        <v>3.2140486540446912E-2</v>
      </c>
      <c r="BN1323" s="452">
        <v>2021</v>
      </c>
    </row>
    <row r="1324" spans="53:66">
      <c r="BA1324" s="452" t="s">
        <v>360</v>
      </c>
      <c r="BB1324" s="1818">
        <v>2022</v>
      </c>
      <c r="BC1324" s="452" t="s">
        <v>447</v>
      </c>
      <c r="BD1324" s="452">
        <v>4</v>
      </c>
      <c r="BE1324" s="1819">
        <v>34810962</v>
      </c>
      <c r="BF1324" s="1820">
        <v>2.8721920216226464E-3</v>
      </c>
      <c r="BH1324" s="452" t="s">
        <v>228</v>
      </c>
      <c r="BI1324" s="452" t="s">
        <v>615</v>
      </c>
      <c r="BJ1324" s="452" t="s">
        <v>583</v>
      </c>
      <c r="BK1324" s="452">
        <v>8</v>
      </c>
      <c r="BL1324" s="1824" t="s">
        <v>165</v>
      </c>
      <c r="BM1324" s="1820">
        <v>1.5952744584336345E-2</v>
      </c>
      <c r="BN1324" s="452">
        <v>2021</v>
      </c>
    </row>
    <row r="1325" spans="53:66">
      <c r="BA1325" s="452" t="s">
        <v>360</v>
      </c>
      <c r="BB1325" s="1818">
        <v>2022</v>
      </c>
      <c r="BC1325" s="452" t="s">
        <v>583</v>
      </c>
      <c r="BD1325" s="452">
        <v>5</v>
      </c>
      <c r="BE1325" s="1819">
        <v>2905021</v>
      </c>
      <c r="BF1325" s="1820">
        <v>2.396882378271029E-4</v>
      </c>
      <c r="BH1325" s="452" t="s">
        <v>228</v>
      </c>
      <c r="BI1325" s="452" t="s">
        <v>615</v>
      </c>
      <c r="BJ1325" s="452" t="s">
        <v>21</v>
      </c>
      <c r="BK1325" s="452">
        <v>9</v>
      </c>
      <c r="BL1325" s="1824" t="s">
        <v>165</v>
      </c>
      <c r="BM1325" s="1820">
        <v>1.5943814420771984E-2</v>
      </c>
      <c r="BN1325" s="452">
        <v>2021</v>
      </c>
    </row>
    <row r="1326" spans="53:66">
      <c r="BA1326" s="452" t="s">
        <v>360</v>
      </c>
      <c r="BB1326" s="1818">
        <v>2022</v>
      </c>
      <c r="BC1326" s="452" t="s">
        <v>32</v>
      </c>
      <c r="BE1326" s="1819">
        <v>4939925</v>
      </c>
      <c r="BF1326" s="1820">
        <v>4.0758463303640531E-4</v>
      </c>
      <c r="BH1326" s="452" t="s">
        <v>228</v>
      </c>
      <c r="BI1326" s="452" t="s">
        <v>615</v>
      </c>
      <c r="BJ1326" s="452" t="s">
        <v>18</v>
      </c>
      <c r="BK1326" s="452">
        <v>10</v>
      </c>
      <c r="BL1326" s="1824" t="s">
        <v>165</v>
      </c>
      <c r="BM1326" s="1820">
        <v>1.2135312329863979E-2</v>
      </c>
      <c r="BN1326" s="452">
        <v>2021</v>
      </c>
    </row>
    <row r="1327" spans="53:66">
      <c r="BA1327" s="452" t="s">
        <v>360</v>
      </c>
      <c r="BB1327" s="1818">
        <v>2022</v>
      </c>
      <c r="BC1327" s="452" t="s">
        <v>249</v>
      </c>
      <c r="BE1327" s="1819">
        <v>12119998154</v>
      </c>
      <c r="BH1327" s="452" t="s">
        <v>228</v>
      </c>
      <c r="BI1327" s="452" t="s">
        <v>615</v>
      </c>
      <c r="BJ1327" s="452" t="s">
        <v>32</v>
      </c>
      <c r="BL1327" s="1824" t="s">
        <v>165</v>
      </c>
      <c r="BM1327" s="1820">
        <v>7.318782344585194E-3</v>
      </c>
      <c r="BN1327" s="452">
        <v>2021</v>
      </c>
    </row>
    <row r="1328" spans="53:66">
      <c r="BA1328" s="452" t="s">
        <v>280</v>
      </c>
      <c r="BB1328" s="1818">
        <v>2022</v>
      </c>
      <c r="BC1328" s="452" t="s">
        <v>15</v>
      </c>
      <c r="BD1328" s="452">
        <v>1</v>
      </c>
      <c r="BE1328" s="1819">
        <v>839096506.14999998</v>
      </c>
      <c r="BF1328" s="1820">
        <v>0.38348119542691927</v>
      </c>
      <c r="BH1328" s="452" t="s">
        <v>228</v>
      </c>
      <c r="BI1328" s="452" t="s">
        <v>615</v>
      </c>
      <c r="BJ1328" s="452" t="s">
        <v>582</v>
      </c>
      <c r="BL1328" s="1824" t="s">
        <v>165</v>
      </c>
      <c r="BN1328" s="452">
        <v>2021</v>
      </c>
    </row>
    <row r="1329" spans="53:66">
      <c r="BA1329" s="452" t="s">
        <v>280</v>
      </c>
      <c r="BB1329" s="1818">
        <v>2022</v>
      </c>
      <c r="BC1329" s="452" t="s">
        <v>21</v>
      </c>
      <c r="BD1329" s="452">
        <v>2</v>
      </c>
      <c r="BE1329" s="1819">
        <v>206419765.33000001</v>
      </c>
      <c r="BF1329" s="1820">
        <v>9.4337299450442433E-2</v>
      </c>
      <c r="BH1329" s="452" t="s">
        <v>1</v>
      </c>
      <c r="BI1329" s="452" t="s">
        <v>615</v>
      </c>
      <c r="BJ1329" s="452" t="s">
        <v>15</v>
      </c>
      <c r="BK1329" s="452">
        <v>1</v>
      </c>
      <c r="BL1329" s="1819">
        <v>8177085000</v>
      </c>
      <c r="BM1329" s="1820">
        <v>0.43641622584745232</v>
      </c>
      <c r="BN1329" s="452">
        <v>2021</v>
      </c>
    </row>
    <row r="1330" spans="53:66">
      <c r="BA1330" s="452" t="s">
        <v>280</v>
      </c>
      <c r="BB1330" s="1818">
        <v>2022</v>
      </c>
      <c r="BC1330" s="452" t="s">
        <v>54</v>
      </c>
      <c r="BD1330" s="452">
        <v>3</v>
      </c>
      <c r="BE1330" s="1819">
        <v>176757343.94999999</v>
      </c>
      <c r="BF1330" s="1820">
        <v>8.078107471742467E-2</v>
      </c>
      <c r="BH1330" s="452" t="s">
        <v>1</v>
      </c>
      <c r="BI1330" s="452" t="s">
        <v>615</v>
      </c>
      <c r="BJ1330" s="452" t="s">
        <v>592</v>
      </c>
      <c r="BK1330" s="452">
        <v>2</v>
      </c>
      <c r="BL1330" s="1819">
        <v>4718926000</v>
      </c>
      <c r="BM1330" s="1820">
        <v>0.25185208114791696</v>
      </c>
      <c r="BN1330" s="452">
        <v>2021</v>
      </c>
    </row>
    <row r="1331" spans="53:66">
      <c r="BA1331" s="452" t="s">
        <v>280</v>
      </c>
      <c r="BB1331" s="1818">
        <v>2022</v>
      </c>
      <c r="BC1331" s="452" t="s">
        <v>654</v>
      </c>
      <c r="BD1331" s="452">
        <v>4</v>
      </c>
      <c r="BE1331" s="1819">
        <v>164134243.13999996</v>
      </c>
      <c r="BF1331" s="1820">
        <v>7.5012105649940583E-2</v>
      </c>
      <c r="BH1331" s="452" t="s">
        <v>1</v>
      </c>
      <c r="BI1331" s="452" t="s">
        <v>615</v>
      </c>
      <c r="BJ1331" s="452" t="s">
        <v>18</v>
      </c>
      <c r="BK1331" s="452">
        <v>3</v>
      </c>
      <c r="BL1331" s="1819">
        <v>1802800000</v>
      </c>
      <c r="BM1331" s="1820">
        <v>9.6216582309929147E-2</v>
      </c>
      <c r="BN1331" s="452">
        <v>2021</v>
      </c>
    </row>
    <row r="1332" spans="53:66">
      <c r="BA1332" s="452" t="s">
        <v>280</v>
      </c>
      <c r="BB1332" s="1818">
        <v>2022</v>
      </c>
      <c r="BC1332" s="452" t="s">
        <v>52</v>
      </c>
      <c r="BD1332" s="452">
        <v>5</v>
      </c>
      <c r="BE1332" s="1819">
        <v>125192129.88</v>
      </c>
      <c r="BF1332" s="1820">
        <v>5.721490588097182E-2</v>
      </c>
      <c r="BH1332" s="452" t="s">
        <v>1</v>
      </c>
      <c r="BI1332" s="452" t="s">
        <v>615</v>
      </c>
      <c r="BJ1332" s="452" t="s">
        <v>447</v>
      </c>
      <c r="BK1332" s="452">
        <v>4</v>
      </c>
      <c r="BL1332" s="1819">
        <v>1289054000</v>
      </c>
      <c r="BM1332" s="1820">
        <v>6.8797631624663527E-2</v>
      </c>
      <c r="BN1332" s="452">
        <v>2021</v>
      </c>
    </row>
    <row r="1333" spans="53:66">
      <c r="BA1333" s="452" t="s">
        <v>280</v>
      </c>
      <c r="BB1333" s="1818">
        <v>2022</v>
      </c>
      <c r="BC1333" s="452" t="s">
        <v>51</v>
      </c>
      <c r="BD1333" s="452">
        <v>6</v>
      </c>
      <c r="BE1333" s="1819">
        <v>121000155.11</v>
      </c>
      <c r="BF1333" s="1820">
        <v>5.529910300941069E-2</v>
      </c>
      <c r="BH1333" s="452" t="s">
        <v>1</v>
      </c>
      <c r="BI1333" s="452" t="s">
        <v>615</v>
      </c>
      <c r="BJ1333" s="452" t="s">
        <v>49</v>
      </c>
      <c r="BK1333" s="452">
        <v>5</v>
      </c>
      <c r="BL1333" s="1819">
        <v>1216371000</v>
      </c>
      <c r="BM1333" s="1820">
        <v>6.4918493699196153E-2</v>
      </c>
      <c r="BN1333" s="452">
        <v>2021</v>
      </c>
    </row>
    <row r="1334" spans="53:66">
      <c r="BA1334" s="452" t="s">
        <v>280</v>
      </c>
      <c r="BB1334" s="1818">
        <v>2022</v>
      </c>
      <c r="BC1334" s="452" t="s">
        <v>26</v>
      </c>
      <c r="BD1334" s="452">
        <v>7</v>
      </c>
      <c r="BE1334" s="1819">
        <v>118805217.33</v>
      </c>
      <c r="BF1334" s="1820">
        <v>5.4295979581303312E-2</v>
      </c>
      <c r="BH1334" s="452" t="s">
        <v>1</v>
      </c>
      <c r="BI1334" s="452" t="s">
        <v>615</v>
      </c>
      <c r="BJ1334" s="452" t="s">
        <v>28</v>
      </c>
      <c r="BK1334" s="452">
        <v>6</v>
      </c>
      <c r="BL1334" s="1819">
        <v>612109000</v>
      </c>
      <c r="BM1334" s="1820">
        <v>3.2668646539354571E-2</v>
      </c>
      <c r="BN1334" s="452">
        <v>2021</v>
      </c>
    </row>
    <row r="1335" spans="53:66">
      <c r="BA1335" s="452" t="s">
        <v>280</v>
      </c>
      <c r="BB1335" s="1818">
        <v>2022</v>
      </c>
      <c r="BC1335" s="452" t="s">
        <v>23</v>
      </c>
      <c r="BD1335" s="452">
        <v>8</v>
      </c>
      <c r="BE1335" s="1819">
        <v>94253224.069999993</v>
      </c>
      <c r="BF1335" s="1820">
        <v>4.3075306325663074E-2</v>
      </c>
      <c r="BH1335" s="452" t="s">
        <v>1</v>
      </c>
      <c r="BI1335" s="452" t="s">
        <v>615</v>
      </c>
      <c r="BJ1335" s="452" t="s">
        <v>581</v>
      </c>
      <c r="BK1335" s="452">
        <v>7</v>
      </c>
      <c r="BL1335" s="1819">
        <v>577524000</v>
      </c>
      <c r="BM1335" s="1820">
        <v>3.0822823098490972E-2</v>
      </c>
      <c r="BN1335" s="452">
        <v>2021</v>
      </c>
    </row>
    <row r="1336" spans="53:66">
      <c r="BA1336" s="452" t="s">
        <v>280</v>
      </c>
      <c r="BB1336" s="1818">
        <v>2022</v>
      </c>
      <c r="BC1336" s="452" t="s">
        <v>18</v>
      </c>
      <c r="BD1336" s="452">
        <v>9</v>
      </c>
      <c r="BE1336" s="1819">
        <v>82831244.87000002</v>
      </c>
      <c r="BF1336" s="1820">
        <v>3.78552700060572E-2</v>
      </c>
      <c r="BH1336" s="452" t="s">
        <v>1</v>
      </c>
      <c r="BI1336" s="452" t="s">
        <v>615</v>
      </c>
      <c r="BJ1336" s="452" t="s">
        <v>51</v>
      </c>
      <c r="BK1336" s="452">
        <v>8</v>
      </c>
      <c r="BL1336" s="1819">
        <v>196155000</v>
      </c>
      <c r="BM1336" s="1820">
        <v>1.0468917075107696E-2</v>
      </c>
      <c r="BN1336" s="452">
        <v>2021</v>
      </c>
    </row>
    <row r="1337" spans="53:66">
      <c r="BA1337" s="452" t="s">
        <v>280</v>
      </c>
      <c r="BB1337" s="1818">
        <v>2022</v>
      </c>
      <c r="BC1337" s="452" t="s">
        <v>42</v>
      </c>
      <c r="BD1337" s="452">
        <v>10</v>
      </c>
      <c r="BE1337" s="1819">
        <v>78421496.159999996</v>
      </c>
      <c r="BF1337" s="1820">
        <v>3.5839940786534949E-2</v>
      </c>
      <c r="BH1337" s="452" t="s">
        <v>1</v>
      </c>
      <c r="BI1337" s="452" t="s">
        <v>615</v>
      </c>
      <c r="BJ1337" s="452" t="s">
        <v>46</v>
      </c>
      <c r="BK1337" s="452">
        <v>9</v>
      </c>
      <c r="BL1337" s="1819">
        <v>88920000</v>
      </c>
      <c r="BM1337" s="1820">
        <v>4.7457169397597627E-3</v>
      </c>
      <c r="BN1337" s="452">
        <v>2021</v>
      </c>
    </row>
    <row r="1338" spans="53:66">
      <c r="BA1338" s="452" t="s">
        <v>280</v>
      </c>
      <c r="BB1338" s="1818">
        <v>2022</v>
      </c>
      <c r="BC1338" s="452" t="s">
        <v>32</v>
      </c>
      <c r="BE1338" s="1819">
        <v>181192070.35999966</v>
      </c>
      <c r="BF1338" s="1820">
        <v>8.2807819165332058E-2</v>
      </c>
      <c r="BH1338" s="452" t="s">
        <v>1</v>
      </c>
      <c r="BI1338" s="452" t="s">
        <v>615</v>
      </c>
      <c r="BJ1338" s="452" t="s">
        <v>24</v>
      </c>
      <c r="BK1338" s="452">
        <v>10</v>
      </c>
      <c r="BL1338" s="1819">
        <v>50881000</v>
      </c>
      <c r="BM1338" s="1820">
        <v>2.7155513226711256E-3</v>
      </c>
      <c r="BN1338" s="452">
        <v>2021</v>
      </c>
    </row>
    <row r="1339" spans="53:66">
      <c r="BA1339" s="452" t="s">
        <v>280</v>
      </c>
      <c r="BB1339" s="1818">
        <v>2022</v>
      </c>
      <c r="BC1339" s="452" t="s">
        <v>249</v>
      </c>
      <c r="BE1339" s="1819">
        <v>2188103396.3499994</v>
      </c>
      <c r="BH1339" s="452" t="s">
        <v>1</v>
      </c>
      <c r="BI1339" s="452" t="s">
        <v>615</v>
      </c>
      <c r="BJ1339" s="452" t="s">
        <v>32</v>
      </c>
      <c r="BL1339" s="1819">
        <v>7070000</v>
      </c>
      <c r="BM1339" s="1820">
        <v>3.7733039545773193E-4</v>
      </c>
      <c r="BN1339" s="452">
        <v>2021</v>
      </c>
    </row>
    <row r="1340" spans="53:66">
      <c r="BA1340" s="452" t="s">
        <v>4</v>
      </c>
      <c r="BB1340" s="1818">
        <v>2022</v>
      </c>
      <c r="BC1340" s="452" t="s">
        <v>20</v>
      </c>
      <c r="BD1340" s="452">
        <v>1</v>
      </c>
      <c r="BE1340" s="1824" t="s">
        <v>165</v>
      </c>
      <c r="BF1340" s="1820">
        <v>0.35774419681460157</v>
      </c>
      <c r="BH1340" s="452" t="s">
        <v>1</v>
      </c>
      <c r="BI1340" s="452" t="s">
        <v>615</v>
      </c>
      <c r="BJ1340" s="452" t="s">
        <v>249</v>
      </c>
      <c r="BL1340" s="1819">
        <v>18736895000</v>
      </c>
      <c r="BN1340" s="452">
        <v>2021</v>
      </c>
    </row>
    <row r="1341" spans="53:66">
      <c r="BA1341" s="452" t="s">
        <v>4</v>
      </c>
      <c r="BB1341" s="1818">
        <v>2022</v>
      </c>
      <c r="BC1341" s="452" t="s">
        <v>581</v>
      </c>
      <c r="BD1341" s="452">
        <v>2</v>
      </c>
      <c r="BE1341" s="1824" t="s">
        <v>165</v>
      </c>
      <c r="BF1341" s="1820">
        <v>0.14642743799232405</v>
      </c>
      <c r="BH1341" s="452" t="s">
        <v>3</v>
      </c>
      <c r="BI1341" s="452" t="s">
        <v>615</v>
      </c>
      <c r="BJ1341" s="452" t="s">
        <v>15</v>
      </c>
      <c r="BK1341" s="452">
        <v>1</v>
      </c>
      <c r="BL1341" s="1824" t="s">
        <v>165</v>
      </c>
      <c r="BM1341" s="1820">
        <v>0.62878234851271919</v>
      </c>
      <c r="BN1341" s="452">
        <v>2021</v>
      </c>
    </row>
    <row r="1342" spans="53:66">
      <c r="BA1342" s="452" t="s">
        <v>4</v>
      </c>
      <c r="BB1342" s="1818">
        <v>2022</v>
      </c>
      <c r="BC1342" s="452" t="s">
        <v>15</v>
      </c>
      <c r="BD1342" s="452">
        <v>3</v>
      </c>
      <c r="BE1342" s="1824" t="s">
        <v>165</v>
      </c>
      <c r="BF1342" s="1820">
        <v>0.13863611353927865</v>
      </c>
      <c r="BH1342" s="452" t="s">
        <v>3</v>
      </c>
      <c r="BI1342" s="452" t="s">
        <v>615</v>
      </c>
      <c r="BJ1342" s="452" t="s">
        <v>20</v>
      </c>
      <c r="BK1342" s="452">
        <v>2</v>
      </c>
      <c r="BL1342" s="1824" t="s">
        <v>165</v>
      </c>
      <c r="BM1342" s="1820">
        <v>0.17300849955203745</v>
      </c>
      <c r="BN1342" s="452">
        <v>2021</v>
      </c>
    </row>
    <row r="1343" spans="53:66">
      <c r="BA1343" s="452" t="s">
        <v>4</v>
      </c>
      <c r="BB1343" s="1818">
        <v>2022</v>
      </c>
      <c r="BC1343" s="452" t="s">
        <v>49</v>
      </c>
      <c r="BD1343" s="452">
        <v>4</v>
      </c>
      <c r="BE1343" s="1824" t="s">
        <v>165</v>
      </c>
      <c r="BF1343" s="1820">
        <v>0.13565764410196288</v>
      </c>
      <c r="BH1343" s="452" t="s">
        <v>3</v>
      </c>
      <c r="BI1343" s="452" t="s">
        <v>615</v>
      </c>
      <c r="BJ1343" s="452" t="s">
        <v>627</v>
      </c>
      <c r="BK1343" s="452">
        <v>3</v>
      </c>
      <c r="BL1343" s="1824" t="s">
        <v>165</v>
      </c>
      <c r="BM1343" s="1820">
        <v>9.4081051542305172E-2</v>
      </c>
      <c r="BN1343" s="452">
        <v>2021</v>
      </c>
    </row>
    <row r="1344" spans="53:66">
      <c r="BA1344" s="452" t="s">
        <v>4</v>
      </c>
      <c r="BB1344" s="1818">
        <v>2022</v>
      </c>
      <c r="BC1344" s="452" t="s">
        <v>583</v>
      </c>
      <c r="BD1344" s="452">
        <v>5</v>
      </c>
      <c r="BE1344" s="1824" t="s">
        <v>165</v>
      </c>
      <c r="BF1344" s="1820">
        <v>0.12252754767291808</v>
      </c>
      <c r="BH1344" s="452" t="s">
        <v>3</v>
      </c>
      <c r="BI1344" s="452" t="s">
        <v>615</v>
      </c>
      <c r="BJ1344" s="452" t="s">
        <v>48</v>
      </c>
      <c r="BK1344" s="452">
        <v>4</v>
      </c>
      <c r="BL1344" s="1824" t="s">
        <v>165</v>
      </c>
      <c r="BM1344" s="1820">
        <v>3.101292984350949E-2</v>
      </c>
      <c r="BN1344" s="452">
        <v>2021</v>
      </c>
    </row>
    <row r="1345" spans="53:66">
      <c r="BA1345" s="452" t="s">
        <v>4</v>
      </c>
      <c r="BB1345" s="1818">
        <v>2022</v>
      </c>
      <c r="BC1345" s="452" t="s">
        <v>21</v>
      </c>
      <c r="BD1345" s="452">
        <v>6</v>
      </c>
      <c r="BE1345" s="1824" t="s">
        <v>165</v>
      </c>
      <c r="BF1345" s="1820">
        <v>2.4063617889030147E-2</v>
      </c>
      <c r="BH1345" s="452" t="s">
        <v>3</v>
      </c>
      <c r="BI1345" s="452" t="s">
        <v>615</v>
      </c>
      <c r="BJ1345" s="452" t="s">
        <v>23</v>
      </c>
      <c r="BK1345" s="452">
        <v>5</v>
      </c>
      <c r="BL1345" s="1824" t="s">
        <v>165</v>
      </c>
      <c r="BM1345" s="1820">
        <v>2.3659081041010607E-2</v>
      </c>
      <c r="BN1345" s="452">
        <v>2021</v>
      </c>
    </row>
    <row r="1346" spans="53:66">
      <c r="BA1346" s="452" t="s">
        <v>4</v>
      </c>
      <c r="BB1346" s="1818">
        <v>2022</v>
      </c>
      <c r="BC1346" s="452" t="s">
        <v>28</v>
      </c>
      <c r="BD1346" s="452">
        <v>7</v>
      </c>
      <c r="BE1346" s="1824" t="s">
        <v>165</v>
      </c>
      <c r="BF1346" s="1820">
        <v>2.3008362749212127E-2</v>
      </c>
      <c r="BH1346" s="452" t="s">
        <v>3</v>
      </c>
      <c r="BI1346" s="452" t="s">
        <v>615</v>
      </c>
      <c r="BJ1346" s="452" t="s">
        <v>583</v>
      </c>
      <c r="BK1346" s="452">
        <v>6</v>
      </c>
      <c r="BL1346" s="1824" t="s">
        <v>165</v>
      </c>
      <c r="BM1346" s="1820">
        <v>1.2026528238807838E-2</v>
      </c>
      <c r="BN1346" s="452">
        <v>2021</v>
      </c>
    </row>
    <row r="1347" spans="53:66">
      <c r="BA1347" s="452" t="s">
        <v>4</v>
      </c>
      <c r="BB1347" s="1818">
        <v>2022</v>
      </c>
      <c r="BC1347" s="452" t="s">
        <v>19</v>
      </c>
      <c r="BD1347" s="452">
        <v>8</v>
      </c>
      <c r="BE1347" s="1824" t="s">
        <v>165</v>
      </c>
      <c r="BF1347" s="1820">
        <v>1.8451029405328351E-2</v>
      </c>
      <c r="BH1347" s="452" t="s">
        <v>3</v>
      </c>
      <c r="BI1347" s="452" t="s">
        <v>615</v>
      </c>
      <c r="BJ1347" s="452" t="s">
        <v>44</v>
      </c>
      <c r="BK1347" s="452">
        <v>7</v>
      </c>
      <c r="BL1347" s="1824" t="s">
        <v>165</v>
      </c>
      <c r="BM1347" s="1820">
        <v>8.5157298283819287E-3</v>
      </c>
      <c r="BN1347" s="452">
        <v>2021</v>
      </c>
    </row>
    <row r="1348" spans="53:66">
      <c r="BA1348" s="452" t="s">
        <v>4</v>
      </c>
      <c r="BB1348" s="1818">
        <v>2022</v>
      </c>
      <c r="BC1348" s="452" t="s">
        <v>18</v>
      </c>
      <c r="BD1348" s="452">
        <v>9</v>
      </c>
      <c r="BE1348" s="1824" t="s">
        <v>165</v>
      </c>
      <c r="BF1348" s="1820">
        <v>1.3713340767005483E-2</v>
      </c>
      <c r="BH1348" s="452" t="s">
        <v>3</v>
      </c>
      <c r="BI1348" s="452" t="s">
        <v>615</v>
      </c>
      <c r="BJ1348" s="452" t="s">
        <v>447</v>
      </c>
      <c r="BK1348" s="452">
        <v>8</v>
      </c>
      <c r="BL1348" s="1824" t="s">
        <v>165</v>
      </c>
      <c r="BM1348" s="1820">
        <v>8.1784891021427254E-3</v>
      </c>
      <c r="BN1348" s="452">
        <v>2021</v>
      </c>
    </row>
    <row r="1349" spans="53:66">
      <c r="BA1349" s="452" t="s">
        <v>4</v>
      </c>
      <c r="BB1349" s="1818">
        <v>2022</v>
      </c>
      <c r="BC1349" s="452" t="s">
        <v>29</v>
      </c>
      <c r="BD1349" s="452">
        <v>10</v>
      </c>
      <c r="BE1349" s="1824" t="s">
        <v>165</v>
      </c>
      <c r="BF1349" s="1820">
        <v>5.4640341850017227E-3</v>
      </c>
      <c r="BH1349" s="452" t="s">
        <v>3</v>
      </c>
      <c r="BI1349" s="452" t="s">
        <v>615</v>
      </c>
      <c r="BJ1349" s="452" t="s">
        <v>50</v>
      </c>
      <c r="BK1349" s="452">
        <v>9</v>
      </c>
      <c r="BL1349" s="1824" t="s">
        <v>165</v>
      </c>
      <c r="BM1349" s="1820">
        <v>4.8627556672079433E-3</v>
      </c>
      <c r="BN1349" s="452">
        <v>2021</v>
      </c>
    </row>
    <row r="1350" spans="53:66">
      <c r="BA1350" s="452" t="s">
        <v>4</v>
      </c>
      <c r="BB1350" s="1818">
        <v>2022</v>
      </c>
      <c r="BC1350" s="452" t="s">
        <v>32</v>
      </c>
      <c r="BE1350" s="1824" t="s">
        <v>165</v>
      </c>
      <c r="BF1350" s="1820">
        <v>1.4306674883337055E-2</v>
      </c>
      <c r="BH1350" s="452" t="s">
        <v>3</v>
      </c>
      <c r="BI1350" s="452" t="s">
        <v>615</v>
      </c>
      <c r="BJ1350" s="452" t="s">
        <v>49</v>
      </c>
      <c r="BK1350" s="452">
        <v>10</v>
      </c>
      <c r="BL1350" s="1824" t="s">
        <v>165</v>
      </c>
      <c r="BM1350" s="1820">
        <v>6.0227072936766216E-3</v>
      </c>
      <c r="BN1350" s="452">
        <v>2021</v>
      </c>
    </row>
    <row r="1351" spans="53:66">
      <c r="BA1351" s="452" t="s">
        <v>4</v>
      </c>
      <c r="BB1351" s="1818">
        <v>2022</v>
      </c>
      <c r="BC1351" s="452" t="s">
        <v>249</v>
      </c>
      <c r="BE1351" s="1824" t="s">
        <v>165</v>
      </c>
      <c r="BH1351" s="452" t="s">
        <v>3</v>
      </c>
      <c r="BI1351" s="452" t="s">
        <v>615</v>
      </c>
      <c r="BJ1351" s="452" t="s">
        <v>32</v>
      </c>
      <c r="BL1351" s="1824" t="s">
        <v>165</v>
      </c>
      <c r="BM1351" s="1820">
        <v>9.8498793782008289E-3</v>
      </c>
      <c r="BN1351" s="452">
        <v>2021</v>
      </c>
    </row>
    <row r="1352" spans="53:66">
      <c r="BA1352" s="452" t="s">
        <v>0</v>
      </c>
      <c r="BB1352" s="1818">
        <v>2023</v>
      </c>
      <c r="BC1352" s="452" t="s">
        <v>14</v>
      </c>
      <c r="BD1352" s="452">
        <v>1</v>
      </c>
      <c r="BE1352" s="1819">
        <v>1504083186.1000001</v>
      </c>
      <c r="BF1352" s="1820">
        <v>0.2107727877403614</v>
      </c>
      <c r="BH1352" s="452" t="s">
        <v>3</v>
      </c>
      <c r="BI1352" s="452" t="s">
        <v>615</v>
      </c>
      <c r="BJ1352" s="452" t="s">
        <v>249</v>
      </c>
      <c r="BL1352" s="1824" t="s">
        <v>165</v>
      </c>
      <c r="BN1352" s="452">
        <v>2021</v>
      </c>
    </row>
    <row r="1353" spans="53:66">
      <c r="BA1353" s="452" t="s">
        <v>0</v>
      </c>
      <c r="BB1353" s="1818">
        <v>2023</v>
      </c>
      <c r="BC1353" s="452" t="s">
        <v>29</v>
      </c>
      <c r="BD1353" s="452">
        <v>2</v>
      </c>
      <c r="BE1353" s="1819">
        <v>1266476240.1400003</v>
      </c>
      <c r="BF1353" s="1820">
        <v>0.17747604002767681</v>
      </c>
      <c r="BH1353" s="452" t="s">
        <v>2</v>
      </c>
      <c r="BI1353" s="452" t="s">
        <v>615</v>
      </c>
      <c r="BJ1353" s="452" t="s">
        <v>15</v>
      </c>
      <c r="BK1353" s="452">
        <v>1</v>
      </c>
      <c r="BL1353" s="1819">
        <v>107071310000</v>
      </c>
      <c r="BM1353" s="1820">
        <v>0.81754320422834559</v>
      </c>
      <c r="BN1353" s="452">
        <v>2021</v>
      </c>
    </row>
    <row r="1354" spans="53:66">
      <c r="BA1354" s="452" t="s">
        <v>0</v>
      </c>
      <c r="BB1354" s="1818">
        <v>2023</v>
      </c>
      <c r="BC1354" s="452" t="s">
        <v>27</v>
      </c>
      <c r="BD1354" s="452">
        <v>3</v>
      </c>
      <c r="BE1354" s="1819">
        <v>687331548.41999996</v>
      </c>
      <c r="BF1354" s="1820">
        <v>9.6318333920096588E-2</v>
      </c>
      <c r="BH1354" s="452" t="s">
        <v>2</v>
      </c>
      <c r="BI1354" s="452" t="s">
        <v>615</v>
      </c>
      <c r="BJ1354" s="452" t="s">
        <v>20</v>
      </c>
      <c r="BK1354" s="452">
        <v>2</v>
      </c>
      <c r="BL1354" s="1819">
        <v>10231276000</v>
      </c>
      <c r="BM1354" s="1820">
        <v>7.8120928607155082E-2</v>
      </c>
      <c r="BN1354" s="452">
        <v>2021</v>
      </c>
    </row>
    <row r="1355" spans="53:66">
      <c r="BA1355" s="452" t="s">
        <v>0</v>
      </c>
      <c r="BB1355" s="1818">
        <v>2023</v>
      </c>
      <c r="BC1355" s="452" t="s">
        <v>25</v>
      </c>
      <c r="BD1355" s="452">
        <v>4</v>
      </c>
      <c r="BE1355" s="1819">
        <v>645272411.80000019</v>
      </c>
      <c r="BF1355" s="1820">
        <v>9.0424430207007231E-2</v>
      </c>
      <c r="BH1355" s="452" t="s">
        <v>2</v>
      </c>
      <c r="BI1355" s="452" t="s">
        <v>615</v>
      </c>
      <c r="BJ1355" s="452" t="s">
        <v>581</v>
      </c>
      <c r="BK1355" s="452">
        <v>3</v>
      </c>
      <c r="BL1355" s="1819">
        <v>8073551000</v>
      </c>
      <c r="BM1355" s="1820">
        <v>6.1645615002197729E-2</v>
      </c>
      <c r="BN1355" s="452">
        <v>2021</v>
      </c>
    </row>
    <row r="1356" spans="53:66">
      <c r="BA1356" s="452" t="s">
        <v>0</v>
      </c>
      <c r="BB1356" s="1818">
        <v>2023</v>
      </c>
      <c r="BC1356" s="452" t="s">
        <v>22</v>
      </c>
      <c r="BD1356" s="452">
        <v>5</v>
      </c>
      <c r="BE1356" s="1819">
        <v>561096072.96000004</v>
      </c>
      <c r="BF1356" s="1820">
        <v>7.8628485831690936E-2</v>
      </c>
      <c r="BH1356" s="452" t="s">
        <v>2</v>
      </c>
      <c r="BI1356" s="452" t="s">
        <v>615</v>
      </c>
      <c r="BJ1356" s="452" t="s">
        <v>583</v>
      </c>
      <c r="BK1356" s="452">
        <v>4</v>
      </c>
      <c r="BL1356" s="1819">
        <v>2793255000</v>
      </c>
      <c r="BM1356" s="1820">
        <v>2.1327904206335454E-2</v>
      </c>
      <c r="BN1356" s="452">
        <v>2021</v>
      </c>
    </row>
    <row r="1357" spans="53:66">
      <c r="BA1357" s="452" t="s">
        <v>0</v>
      </c>
      <c r="BB1357" s="1818">
        <v>2023</v>
      </c>
      <c r="BC1357" s="452" t="s">
        <v>250</v>
      </c>
      <c r="BD1357" s="452">
        <v>6</v>
      </c>
      <c r="BE1357" s="1819">
        <v>406577045.35000008</v>
      </c>
      <c r="BF1357" s="1820">
        <v>5.6975158070785945E-2</v>
      </c>
      <c r="BH1357" s="452" t="s">
        <v>2</v>
      </c>
      <c r="BI1357" s="452" t="s">
        <v>615</v>
      </c>
      <c r="BJ1357" s="452" t="s">
        <v>77</v>
      </c>
      <c r="BK1357" s="452">
        <v>5</v>
      </c>
      <c r="BL1357" s="1819">
        <v>1554278000</v>
      </c>
      <c r="BM1357" s="1820">
        <v>1.1867692815018555E-2</v>
      </c>
      <c r="BN1357" s="452">
        <v>2021</v>
      </c>
    </row>
    <row r="1358" spans="53:66">
      <c r="BA1358" s="452" t="s">
        <v>0</v>
      </c>
      <c r="BB1358" s="1818">
        <v>2023</v>
      </c>
      <c r="BC1358" s="452" t="s">
        <v>15</v>
      </c>
      <c r="BD1358" s="452">
        <v>7</v>
      </c>
      <c r="BE1358" s="1819">
        <v>384309254.50000006</v>
      </c>
      <c r="BF1358" s="1820">
        <v>5.3854689470612546E-2</v>
      </c>
      <c r="BH1358" s="452" t="s">
        <v>2</v>
      </c>
      <c r="BI1358" s="452" t="s">
        <v>615</v>
      </c>
      <c r="BJ1358" s="452" t="s">
        <v>32</v>
      </c>
      <c r="BL1358" s="1819">
        <v>1243488000</v>
      </c>
      <c r="BM1358" s="1820">
        <v>9.4946551409476262E-3</v>
      </c>
      <c r="BN1358" s="452">
        <v>2021</v>
      </c>
    </row>
    <row r="1359" spans="53:66">
      <c r="BA1359" s="452" t="s">
        <v>0</v>
      </c>
      <c r="BB1359" s="1818">
        <v>2023</v>
      </c>
      <c r="BC1359" s="452" t="s">
        <v>13</v>
      </c>
      <c r="BD1359" s="452">
        <v>8</v>
      </c>
      <c r="BE1359" s="1819">
        <v>324629917.17000008</v>
      </c>
      <c r="BF1359" s="1820">
        <v>4.5491601301162587E-2</v>
      </c>
      <c r="BH1359" s="452" t="s">
        <v>2</v>
      </c>
      <c r="BI1359" s="452" t="s">
        <v>615</v>
      </c>
      <c r="BJ1359" s="452" t="s">
        <v>249</v>
      </c>
      <c r="BL1359" s="1819">
        <v>130967158000</v>
      </c>
      <c r="BN1359" s="452">
        <v>2021</v>
      </c>
    </row>
    <row r="1360" spans="53:66">
      <c r="BA1360" s="452" t="s">
        <v>0</v>
      </c>
      <c r="BB1360" s="1818">
        <v>2023</v>
      </c>
      <c r="BC1360" s="452" t="s">
        <v>653</v>
      </c>
      <c r="BD1360" s="452">
        <v>9</v>
      </c>
      <c r="BE1360" s="1819">
        <v>249808802.24000004</v>
      </c>
      <c r="BF1360" s="1820">
        <v>3.5006639351332247E-2</v>
      </c>
      <c r="BH1360" s="452" t="s">
        <v>360</v>
      </c>
      <c r="BI1360" s="452" t="s">
        <v>615</v>
      </c>
      <c r="BJ1360" s="452" t="s">
        <v>15</v>
      </c>
      <c r="BK1360" s="452">
        <v>1</v>
      </c>
      <c r="BL1360" s="1819">
        <v>4742662086</v>
      </c>
      <c r="BM1360" s="1820">
        <v>0.96496436735346891</v>
      </c>
      <c r="BN1360" s="452">
        <v>2021</v>
      </c>
    </row>
    <row r="1361" spans="53:66">
      <c r="BA1361" s="452" t="s">
        <v>0</v>
      </c>
      <c r="BB1361" s="1818">
        <v>2023</v>
      </c>
      <c r="BC1361" s="452" t="s">
        <v>18</v>
      </c>
      <c r="BD1361" s="452">
        <v>10</v>
      </c>
      <c r="BE1361" s="1819">
        <v>237169287.59000003</v>
      </c>
      <c r="BF1361" s="1820">
        <v>3.3235417012644049E-2</v>
      </c>
      <c r="BH1361" s="452" t="s">
        <v>360</v>
      </c>
      <c r="BI1361" s="452" t="s">
        <v>615</v>
      </c>
      <c r="BJ1361" s="452" t="s">
        <v>42</v>
      </c>
      <c r="BK1361" s="452">
        <v>2</v>
      </c>
      <c r="BL1361" s="1819">
        <v>84628122</v>
      </c>
      <c r="BM1361" s="1820">
        <v>1.7218836325511338E-2</v>
      </c>
      <c r="BN1361" s="452">
        <v>2021</v>
      </c>
    </row>
    <row r="1362" spans="53:66">
      <c r="BA1362" s="452" t="s">
        <v>0</v>
      </c>
      <c r="BB1362" s="1818">
        <v>2023</v>
      </c>
      <c r="BC1362" s="452" t="s">
        <v>32</v>
      </c>
      <c r="BE1362" s="1819">
        <v>869286906.84000015</v>
      </c>
      <c r="BF1362" s="1820">
        <v>0.1218164170666296</v>
      </c>
      <c r="BH1362" s="452" t="s">
        <v>360</v>
      </c>
      <c r="BI1362" s="452" t="s">
        <v>615</v>
      </c>
      <c r="BJ1362" s="452" t="s">
        <v>581</v>
      </c>
      <c r="BK1362" s="452">
        <v>3</v>
      </c>
      <c r="BL1362" s="1819">
        <v>45464906</v>
      </c>
      <c r="BM1362" s="1820">
        <v>9.2505039278640549E-3</v>
      </c>
      <c r="BN1362" s="452">
        <v>2021</v>
      </c>
    </row>
    <row r="1363" spans="53:66">
      <c r="BA1363" s="452" t="s">
        <v>0</v>
      </c>
      <c r="BB1363" s="1818">
        <v>2023</v>
      </c>
      <c r="BC1363" s="452" t="s">
        <v>249</v>
      </c>
      <c r="BE1363" s="1819">
        <v>7136040673.1100016</v>
      </c>
      <c r="BH1363" s="452" t="s">
        <v>360</v>
      </c>
      <c r="BI1363" s="452" t="s">
        <v>615</v>
      </c>
      <c r="BJ1363" s="452" t="s">
        <v>447</v>
      </c>
      <c r="BK1363" s="452">
        <v>4</v>
      </c>
      <c r="BL1363" s="1819">
        <v>36167848</v>
      </c>
      <c r="BM1363" s="1820">
        <v>7.3588807153013823E-3</v>
      </c>
      <c r="BN1363" s="452">
        <v>2021</v>
      </c>
    </row>
    <row r="1364" spans="53:66">
      <c r="BA1364" s="452" t="s">
        <v>228</v>
      </c>
      <c r="BB1364" s="1818">
        <v>2023</v>
      </c>
      <c r="BC1364" s="452" t="s">
        <v>53</v>
      </c>
      <c r="BD1364" s="452">
        <v>1</v>
      </c>
      <c r="BE1364" s="1824" t="s">
        <v>165</v>
      </c>
      <c r="BF1364" s="1820">
        <v>0.29596078385230828</v>
      </c>
      <c r="BH1364" s="452" t="s">
        <v>360</v>
      </c>
      <c r="BI1364" s="452" t="s">
        <v>615</v>
      </c>
      <c r="BJ1364" s="452" t="s">
        <v>54</v>
      </c>
      <c r="BK1364" s="452">
        <v>5</v>
      </c>
      <c r="BL1364" s="1819">
        <v>1659969</v>
      </c>
      <c r="BM1364" s="1820">
        <v>3.377451116831203E-4</v>
      </c>
      <c r="BN1364" s="452">
        <v>2021</v>
      </c>
    </row>
    <row r="1365" spans="53:66">
      <c r="BA1365" s="452" t="s">
        <v>228</v>
      </c>
      <c r="BB1365" s="1818">
        <v>2023</v>
      </c>
      <c r="BC1365" s="452" t="s">
        <v>627</v>
      </c>
      <c r="BD1365" s="452">
        <v>2</v>
      </c>
      <c r="BE1365" s="1824" t="s">
        <v>165</v>
      </c>
      <c r="BF1365" s="1820">
        <v>0.19429285905544016</v>
      </c>
      <c r="BH1365" s="452" t="s">
        <v>360</v>
      </c>
      <c r="BI1365" s="452" t="s">
        <v>615</v>
      </c>
      <c r="BJ1365" s="452" t="s">
        <v>32</v>
      </c>
      <c r="BL1365" s="1819">
        <v>4274287</v>
      </c>
      <c r="BM1365" s="1820">
        <v>8.6966656617124135E-4</v>
      </c>
      <c r="BN1365" s="452">
        <v>2021</v>
      </c>
    </row>
    <row r="1366" spans="53:66">
      <c r="BA1366" s="452" t="s">
        <v>228</v>
      </c>
      <c r="BB1366" s="1818">
        <v>2023</v>
      </c>
      <c r="BC1366" s="452" t="s">
        <v>20</v>
      </c>
      <c r="BD1366" s="452">
        <v>3</v>
      </c>
      <c r="BE1366" s="1824" t="s">
        <v>165</v>
      </c>
      <c r="BF1366" s="1820">
        <v>0.14726278672538848</v>
      </c>
      <c r="BH1366" s="452" t="s">
        <v>360</v>
      </c>
      <c r="BI1366" s="452" t="s">
        <v>615</v>
      </c>
      <c r="BJ1366" s="452" t="s">
        <v>249</v>
      </c>
      <c r="BL1366" s="1819">
        <v>4914857218</v>
      </c>
      <c r="BN1366" s="452">
        <v>2021</v>
      </c>
    </row>
    <row r="1367" spans="53:66">
      <c r="BA1367" s="452" t="s">
        <v>228</v>
      </c>
      <c r="BB1367" s="1818">
        <v>2023</v>
      </c>
      <c r="BC1367" s="452" t="s">
        <v>46</v>
      </c>
      <c r="BD1367" s="452">
        <v>4</v>
      </c>
      <c r="BE1367" s="1824" t="s">
        <v>165</v>
      </c>
      <c r="BF1367" s="1820">
        <v>0.11783673320171363</v>
      </c>
      <c r="BH1367" s="452" t="s">
        <v>280</v>
      </c>
      <c r="BI1367" s="452" t="s">
        <v>615</v>
      </c>
      <c r="BJ1367" s="452" t="s">
        <v>15</v>
      </c>
      <c r="BK1367" s="452">
        <v>1</v>
      </c>
      <c r="BL1367" s="1819">
        <v>896759061.66999984</v>
      </c>
      <c r="BM1367" s="1820">
        <v>0.42238336893062955</v>
      </c>
      <c r="BN1367" s="452">
        <v>2021</v>
      </c>
    </row>
    <row r="1368" spans="53:66">
      <c r="BA1368" s="452" t="s">
        <v>228</v>
      </c>
      <c r="BB1368" s="1818">
        <v>2023</v>
      </c>
      <c r="BC1368" s="452" t="s">
        <v>15</v>
      </c>
      <c r="BD1368" s="452">
        <v>5</v>
      </c>
      <c r="BE1368" s="1824" t="s">
        <v>165</v>
      </c>
      <c r="BF1368" s="1820">
        <v>0.11171339904698359</v>
      </c>
      <c r="BH1368" s="452" t="s">
        <v>280</v>
      </c>
      <c r="BI1368" s="452" t="s">
        <v>615</v>
      </c>
      <c r="BJ1368" s="452" t="s">
        <v>26</v>
      </c>
      <c r="BK1368" s="452">
        <v>2</v>
      </c>
      <c r="BL1368" s="1819">
        <v>177821677.46000001</v>
      </c>
      <c r="BM1368" s="1820">
        <v>8.3755963451964621E-2</v>
      </c>
      <c r="BN1368" s="452">
        <v>2021</v>
      </c>
    </row>
    <row r="1369" spans="53:66">
      <c r="BA1369" s="452" t="s">
        <v>228</v>
      </c>
      <c r="BB1369" s="1818">
        <v>2023</v>
      </c>
      <c r="BC1369" s="452" t="s">
        <v>50</v>
      </c>
      <c r="BD1369" s="452">
        <v>6</v>
      </c>
      <c r="BE1369" s="1824" t="s">
        <v>165</v>
      </c>
      <c r="BF1369" s="1820">
        <v>6.2458053854693919E-2</v>
      </c>
      <c r="BH1369" s="452" t="s">
        <v>280</v>
      </c>
      <c r="BI1369" s="452" t="s">
        <v>615</v>
      </c>
      <c r="BJ1369" s="452" t="s">
        <v>447</v>
      </c>
      <c r="BK1369" s="452">
        <v>3</v>
      </c>
      <c r="BL1369" s="1819">
        <v>153720581.83000001</v>
      </c>
      <c r="BM1369" s="1820">
        <v>7.2404082660081651E-2</v>
      </c>
      <c r="BN1369" s="452">
        <v>2021</v>
      </c>
    </row>
    <row r="1370" spans="53:66">
      <c r="BA1370" s="452" t="s">
        <v>228</v>
      </c>
      <c r="BB1370" s="1818">
        <v>2023</v>
      </c>
      <c r="BC1370" s="452" t="s">
        <v>45</v>
      </c>
      <c r="BD1370" s="452">
        <v>7</v>
      </c>
      <c r="BE1370" s="1824" t="s">
        <v>165</v>
      </c>
      <c r="BF1370" s="1820">
        <v>4.9104893740899359E-2</v>
      </c>
      <c r="BH1370" s="452" t="s">
        <v>280</v>
      </c>
      <c r="BI1370" s="452" t="s">
        <v>615</v>
      </c>
      <c r="BJ1370" s="452" t="s">
        <v>21</v>
      </c>
      <c r="BK1370" s="452">
        <v>4</v>
      </c>
      <c r="BL1370" s="1819">
        <v>118852278.73</v>
      </c>
      <c r="BM1370" s="1820">
        <v>5.5980728872225501E-2</v>
      </c>
      <c r="BN1370" s="452">
        <v>2021</v>
      </c>
    </row>
    <row r="1371" spans="53:66">
      <c r="BA1371" s="452" t="s">
        <v>228</v>
      </c>
      <c r="BB1371" s="1818">
        <v>2023</v>
      </c>
      <c r="BC1371" s="452" t="s">
        <v>583</v>
      </c>
      <c r="BD1371" s="452">
        <v>8</v>
      </c>
      <c r="BE1371" s="1824" t="s">
        <v>165</v>
      </c>
      <c r="BF1371" s="1820">
        <v>1.1126869897751532E-2</v>
      </c>
      <c r="BH1371" s="452" t="s">
        <v>280</v>
      </c>
      <c r="BI1371" s="452" t="s">
        <v>615</v>
      </c>
      <c r="BJ1371" s="452" t="s">
        <v>18</v>
      </c>
      <c r="BK1371" s="452">
        <v>5</v>
      </c>
      <c r="BL1371" s="1819">
        <v>113366868.61</v>
      </c>
      <c r="BM1371" s="1820">
        <v>5.3397040448562388E-2</v>
      </c>
      <c r="BN1371" s="452">
        <v>2021</v>
      </c>
    </row>
    <row r="1372" spans="53:66">
      <c r="BA1372" s="452" t="s">
        <v>228</v>
      </c>
      <c r="BB1372" s="1818">
        <v>2023</v>
      </c>
      <c r="BC1372" s="452" t="s">
        <v>18</v>
      </c>
      <c r="BD1372" s="452">
        <v>9</v>
      </c>
      <c r="BE1372" s="1824" t="s">
        <v>165</v>
      </c>
      <c r="BF1372" s="1820">
        <v>1.0243620624821086E-2</v>
      </c>
      <c r="BH1372" s="452" t="s">
        <v>280</v>
      </c>
      <c r="BI1372" s="452" t="s">
        <v>615</v>
      </c>
      <c r="BJ1372" s="452" t="s">
        <v>54</v>
      </c>
      <c r="BK1372" s="452">
        <v>6</v>
      </c>
      <c r="BL1372" s="1819">
        <v>104063770.58</v>
      </c>
      <c r="BM1372" s="1820">
        <v>4.901517908204818E-2</v>
      </c>
      <c r="BN1372" s="452">
        <v>2021</v>
      </c>
    </row>
    <row r="1373" spans="53:66">
      <c r="BA1373" s="452" t="s">
        <v>228</v>
      </c>
      <c r="BB1373" s="1818">
        <v>2023</v>
      </c>
      <c r="BC1373" s="452" t="s">
        <v>165</v>
      </c>
      <c r="BD1373" s="452">
        <v>10</v>
      </c>
      <c r="BE1373" s="1824" t="s">
        <v>165</v>
      </c>
      <c r="BF1373" s="1820">
        <v>0</v>
      </c>
      <c r="BH1373" s="452" t="s">
        <v>280</v>
      </c>
      <c r="BI1373" s="452" t="s">
        <v>615</v>
      </c>
      <c r="BJ1373" s="452" t="s">
        <v>51</v>
      </c>
      <c r="BK1373" s="452">
        <v>7</v>
      </c>
      <c r="BL1373" s="1819">
        <v>100583836.69000001</v>
      </c>
      <c r="BM1373" s="1820">
        <v>4.7376091992839639E-2</v>
      </c>
      <c r="BN1373" s="452">
        <v>2021</v>
      </c>
    </row>
    <row r="1374" spans="53:66">
      <c r="BA1374" s="452" t="s">
        <v>228</v>
      </c>
      <c r="BB1374" s="1818">
        <v>2023</v>
      </c>
      <c r="BC1374" s="452" t="s">
        <v>32</v>
      </c>
      <c r="BE1374" s="1824" t="s">
        <v>165</v>
      </c>
      <c r="BF1374" s="1820">
        <v>0</v>
      </c>
      <c r="BH1374" s="452" t="s">
        <v>280</v>
      </c>
      <c r="BI1374" s="452" t="s">
        <v>615</v>
      </c>
      <c r="BJ1374" s="452" t="s">
        <v>583</v>
      </c>
      <c r="BK1374" s="452">
        <v>8</v>
      </c>
      <c r="BL1374" s="1819">
        <v>92098032.849999994</v>
      </c>
      <c r="BM1374" s="1820">
        <v>4.3379185167779132E-2</v>
      </c>
      <c r="BN1374" s="452">
        <v>2021</v>
      </c>
    </row>
    <row r="1375" spans="53:66">
      <c r="BA1375" s="452" t="s">
        <v>228</v>
      </c>
      <c r="BB1375" s="1818">
        <v>2023</v>
      </c>
      <c r="BC1375" s="452" t="s">
        <v>582</v>
      </c>
      <c r="BE1375" s="1824" t="s">
        <v>165</v>
      </c>
      <c r="BH1375" s="452" t="s">
        <v>280</v>
      </c>
      <c r="BI1375" s="452" t="s">
        <v>615</v>
      </c>
      <c r="BJ1375" s="452" t="s">
        <v>52</v>
      </c>
      <c r="BK1375" s="452">
        <v>9</v>
      </c>
      <c r="BL1375" s="1819">
        <v>85645507.180000007</v>
      </c>
      <c r="BM1375" s="1820">
        <v>4.033997469631706E-2</v>
      </c>
      <c r="BN1375" s="452">
        <v>2021</v>
      </c>
    </row>
    <row r="1376" spans="53:66">
      <c r="BA1376" s="452" t="s">
        <v>1</v>
      </c>
      <c r="BB1376" s="1818">
        <v>2023</v>
      </c>
      <c r="BC1376" s="452" t="s">
        <v>15</v>
      </c>
      <c r="BD1376" s="452">
        <v>1</v>
      </c>
      <c r="BE1376" s="1819">
        <v>6398747000</v>
      </c>
      <c r="BF1376" s="1820">
        <v>0.2812310928450909</v>
      </c>
      <c r="BH1376" s="452" t="s">
        <v>280</v>
      </c>
      <c r="BI1376" s="452" t="s">
        <v>615</v>
      </c>
      <c r="BJ1376" s="452" t="s">
        <v>23</v>
      </c>
      <c r="BK1376" s="452">
        <v>10</v>
      </c>
      <c r="BL1376" s="1819">
        <v>79521064.729999989</v>
      </c>
      <c r="BM1376" s="1820">
        <v>3.7455295025463943E-2</v>
      </c>
      <c r="BN1376" s="452">
        <v>2021</v>
      </c>
    </row>
    <row r="1377" spans="53:66">
      <c r="BA1377" s="452" t="s">
        <v>1</v>
      </c>
      <c r="BB1377" s="1818">
        <v>2023</v>
      </c>
      <c r="BC1377" s="452" t="s">
        <v>592</v>
      </c>
      <c r="BD1377" s="452">
        <v>2</v>
      </c>
      <c r="BE1377" s="1819">
        <v>5483849000</v>
      </c>
      <c r="BF1377" s="1820">
        <v>0.24102044466947337</v>
      </c>
      <c r="BH1377" s="452" t="s">
        <v>280</v>
      </c>
      <c r="BI1377" s="452" t="s">
        <v>615</v>
      </c>
      <c r="BJ1377" s="452" t="s">
        <v>32</v>
      </c>
      <c r="BL1377" s="1819">
        <v>200660053.9800005</v>
      </c>
      <c r="BM1377" s="1820">
        <v>9.4513089672088449E-2</v>
      </c>
      <c r="BN1377" s="452">
        <v>2021</v>
      </c>
    </row>
    <row r="1378" spans="53:66">
      <c r="BA1378" s="452" t="s">
        <v>1</v>
      </c>
      <c r="BB1378" s="1818">
        <v>2023</v>
      </c>
      <c r="BC1378" s="452" t="s">
        <v>18</v>
      </c>
      <c r="BD1378" s="452">
        <v>3</v>
      </c>
      <c r="BE1378" s="1819">
        <v>3314664000</v>
      </c>
      <c r="BF1378" s="1820">
        <v>0.14568267492593165</v>
      </c>
      <c r="BH1378" s="452" t="s">
        <v>280</v>
      </c>
      <c r="BI1378" s="452" t="s">
        <v>615</v>
      </c>
      <c r="BJ1378" s="452" t="s">
        <v>249</v>
      </c>
      <c r="BL1378" s="1819">
        <v>2123092734.3100002</v>
      </c>
      <c r="BN1378" s="452">
        <v>2021</v>
      </c>
    </row>
    <row r="1379" spans="53:66">
      <c r="BA1379" s="452" t="s">
        <v>1</v>
      </c>
      <c r="BB1379" s="1818">
        <v>2023</v>
      </c>
      <c r="BC1379" s="452" t="s">
        <v>51</v>
      </c>
      <c r="BD1379" s="452">
        <v>4</v>
      </c>
      <c r="BE1379" s="1819">
        <v>2578813000</v>
      </c>
      <c r="BF1379" s="1820">
        <v>0.11334131482821985</v>
      </c>
      <c r="BH1379" s="452" t="s">
        <v>4</v>
      </c>
      <c r="BI1379" s="452" t="s">
        <v>615</v>
      </c>
      <c r="BJ1379" s="452" t="s">
        <v>20</v>
      </c>
      <c r="BK1379" s="452">
        <v>1</v>
      </c>
      <c r="BL1379" s="1824" t="s">
        <v>165</v>
      </c>
      <c r="BM1379" s="1820">
        <v>0.35048516559530557</v>
      </c>
      <c r="BN1379" s="452">
        <v>2021</v>
      </c>
    </row>
    <row r="1380" spans="53:66">
      <c r="BA1380" s="452" t="s">
        <v>1</v>
      </c>
      <c r="BB1380" s="1818">
        <v>2023</v>
      </c>
      <c r="BC1380" s="452" t="s">
        <v>49</v>
      </c>
      <c r="BD1380" s="452">
        <v>5</v>
      </c>
      <c r="BE1380" s="1819">
        <v>2285380000</v>
      </c>
      <c r="BF1380" s="1820">
        <v>0.10044465189298996</v>
      </c>
      <c r="BH1380" s="452" t="s">
        <v>4</v>
      </c>
      <c r="BI1380" s="452" t="s">
        <v>615</v>
      </c>
      <c r="BJ1380" s="452" t="s">
        <v>15</v>
      </c>
      <c r="BK1380" s="452">
        <v>2</v>
      </c>
      <c r="BL1380" s="1824" t="s">
        <v>165</v>
      </c>
      <c r="BM1380" s="1820">
        <v>0.18072888293298475</v>
      </c>
      <c r="BN1380" s="452">
        <v>2021</v>
      </c>
    </row>
    <row r="1381" spans="53:66">
      <c r="BA1381" s="452" t="s">
        <v>1</v>
      </c>
      <c r="BB1381" s="1818">
        <v>2023</v>
      </c>
      <c r="BC1381" s="452" t="s">
        <v>447</v>
      </c>
      <c r="BD1381" s="452">
        <v>6</v>
      </c>
      <c r="BE1381" s="1819">
        <v>1636350000</v>
      </c>
      <c r="BF1381" s="1820">
        <v>7.1919158356638327E-2</v>
      </c>
      <c r="BH1381" s="452" t="s">
        <v>4</v>
      </c>
      <c r="BI1381" s="452" t="s">
        <v>615</v>
      </c>
      <c r="BJ1381" s="452" t="s">
        <v>49</v>
      </c>
      <c r="BK1381" s="452">
        <v>3</v>
      </c>
      <c r="BL1381" s="1824" t="s">
        <v>165</v>
      </c>
      <c r="BM1381" s="1820">
        <v>0.1659980676374383</v>
      </c>
      <c r="BN1381" s="452">
        <v>2021</v>
      </c>
    </row>
    <row r="1382" spans="53:66">
      <c r="BA1382" s="452" t="s">
        <v>1</v>
      </c>
      <c r="BB1382" s="1818">
        <v>2023</v>
      </c>
      <c r="BC1382" s="452" t="s">
        <v>581</v>
      </c>
      <c r="BD1382" s="452">
        <v>7</v>
      </c>
      <c r="BE1382" s="1819">
        <v>491670000</v>
      </c>
      <c r="BF1382" s="1820">
        <v>2.1609369993710617E-2</v>
      </c>
      <c r="BH1382" s="452" t="s">
        <v>4</v>
      </c>
      <c r="BI1382" s="452" t="s">
        <v>615</v>
      </c>
      <c r="BJ1382" s="452" t="s">
        <v>627</v>
      </c>
      <c r="BK1382" s="452">
        <v>4</v>
      </c>
      <c r="BL1382" s="1824" t="s">
        <v>165</v>
      </c>
      <c r="BM1382" s="1820">
        <v>0.11027930748490507</v>
      </c>
      <c r="BN1382" s="452">
        <v>2021</v>
      </c>
    </row>
    <row r="1383" spans="53:66">
      <c r="BA1383" s="452" t="s">
        <v>1</v>
      </c>
      <c r="BB1383" s="1818">
        <v>2023</v>
      </c>
      <c r="BC1383" s="452" t="s">
        <v>241</v>
      </c>
      <c r="BD1383" s="452">
        <v>8</v>
      </c>
      <c r="BE1383" s="1819">
        <v>289073000</v>
      </c>
      <c r="BF1383" s="1820">
        <v>1.270503673641245E-2</v>
      </c>
      <c r="BH1383" s="452" t="s">
        <v>4</v>
      </c>
      <c r="BI1383" s="452" t="s">
        <v>615</v>
      </c>
      <c r="BJ1383" s="452" t="s">
        <v>583</v>
      </c>
      <c r="BK1383" s="452">
        <v>5</v>
      </c>
      <c r="BL1383" s="1824" t="s">
        <v>165</v>
      </c>
      <c r="BM1383" s="1820">
        <v>8.5277867924061362E-2</v>
      </c>
      <c r="BN1383" s="452">
        <v>2021</v>
      </c>
    </row>
    <row r="1384" spans="53:66">
      <c r="BA1384" s="452" t="s">
        <v>1</v>
      </c>
      <c r="BB1384" s="1818">
        <v>2023</v>
      </c>
      <c r="BC1384" s="452" t="s">
        <v>28</v>
      </c>
      <c r="BD1384" s="452">
        <v>9</v>
      </c>
      <c r="BE1384" s="1819">
        <v>112037000</v>
      </c>
      <c r="BF1384" s="1820">
        <v>4.9241340451631303E-3</v>
      </c>
      <c r="BH1384" s="452" t="s">
        <v>4</v>
      </c>
      <c r="BI1384" s="452" t="s">
        <v>615</v>
      </c>
      <c r="BJ1384" s="452" t="s">
        <v>21</v>
      </c>
      <c r="BK1384" s="452">
        <v>6</v>
      </c>
      <c r="BL1384" s="1824" t="s">
        <v>165</v>
      </c>
      <c r="BM1384" s="1820">
        <v>3.0840785957273013E-2</v>
      </c>
      <c r="BN1384" s="452">
        <v>2021</v>
      </c>
    </row>
    <row r="1385" spans="53:66">
      <c r="BA1385" s="452" t="s">
        <v>1</v>
      </c>
      <c r="BB1385" s="1818">
        <v>2023</v>
      </c>
      <c r="BC1385" s="452" t="s">
        <v>29</v>
      </c>
      <c r="BD1385" s="452">
        <v>10</v>
      </c>
      <c r="BE1385" s="1819">
        <v>88269000</v>
      </c>
      <c r="BF1385" s="1820">
        <v>3.8795075558298096E-3</v>
      </c>
      <c r="BH1385" s="452" t="s">
        <v>4</v>
      </c>
      <c r="BI1385" s="452" t="s">
        <v>615</v>
      </c>
      <c r="BJ1385" s="452" t="s">
        <v>28</v>
      </c>
      <c r="BK1385" s="452">
        <v>7</v>
      </c>
      <c r="BL1385" s="1824" t="s">
        <v>165</v>
      </c>
      <c r="BM1385" s="1820">
        <v>3.0398565105409552E-2</v>
      </c>
      <c r="BN1385" s="452">
        <v>2021</v>
      </c>
    </row>
    <row r="1386" spans="53:66">
      <c r="BA1386" s="452" t="s">
        <v>1</v>
      </c>
      <c r="BB1386" s="1818">
        <v>2023</v>
      </c>
      <c r="BC1386" s="452" t="s">
        <v>32</v>
      </c>
      <c r="BE1386" s="1819">
        <v>73778000</v>
      </c>
      <c r="BF1386" s="1820">
        <v>3.2426141505399594E-3</v>
      </c>
      <c r="BH1386" s="452" t="s">
        <v>4</v>
      </c>
      <c r="BI1386" s="452" t="s">
        <v>615</v>
      </c>
      <c r="BJ1386" s="452" t="s">
        <v>19</v>
      </c>
      <c r="BK1386" s="452">
        <v>8</v>
      </c>
      <c r="BL1386" s="1824" t="s">
        <v>165</v>
      </c>
      <c r="BM1386" s="1820">
        <v>1.5184021841316044E-2</v>
      </c>
      <c r="BN1386" s="452">
        <v>2021</v>
      </c>
    </row>
    <row r="1387" spans="53:66">
      <c r="BA1387" s="452" t="s">
        <v>1</v>
      </c>
      <c r="BB1387" s="1818">
        <v>2023</v>
      </c>
      <c r="BC1387" s="452" t="s">
        <v>249</v>
      </c>
      <c r="BE1387" s="1819">
        <v>22752630000</v>
      </c>
      <c r="BH1387" s="452" t="s">
        <v>4</v>
      </c>
      <c r="BI1387" s="452" t="s">
        <v>615</v>
      </c>
      <c r="BJ1387" s="452" t="s">
        <v>446</v>
      </c>
      <c r="BK1387" s="452">
        <v>9</v>
      </c>
      <c r="BL1387" s="1824" t="s">
        <v>165</v>
      </c>
      <c r="BM1387" s="1820">
        <v>9.8598629785457068E-3</v>
      </c>
      <c r="BN1387" s="452">
        <v>2021</v>
      </c>
    </row>
    <row r="1388" spans="53:66">
      <c r="BA1388" s="452" t="s">
        <v>2</v>
      </c>
      <c r="BB1388" s="1818">
        <v>2023</v>
      </c>
      <c r="BC1388" s="452" t="s">
        <v>15</v>
      </c>
      <c r="BD1388" s="452">
        <v>1</v>
      </c>
      <c r="BE1388" s="1819">
        <v>114174680000</v>
      </c>
      <c r="BF1388" s="1820">
        <v>0.84951413979419166</v>
      </c>
      <c r="BH1388" s="452" t="s">
        <v>4</v>
      </c>
      <c r="BI1388" s="452" t="s">
        <v>615</v>
      </c>
      <c r="BJ1388" s="452" t="s">
        <v>18</v>
      </c>
      <c r="BK1388" s="452">
        <v>10</v>
      </c>
      <c r="BL1388" s="1824" t="s">
        <v>165</v>
      </c>
      <c r="BM1388" s="1820">
        <v>6.6579316662084467E-3</v>
      </c>
      <c r="BN1388" s="452">
        <v>2021</v>
      </c>
    </row>
    <row r="1389" spans="53:66">
      <c r="BA1389" s="452" t="s">
        <v>2</v>
      </c>
      <c r="BB1389" s="1818">
        <v>2023</v>
      </c>
      <c r="BC1389" s="452" t="s">
        <v>20</v>
      </c>
      <c r="BD1389" s="452">
        <v>2</v>
      </c>
      <c r="BE1389" s="1819">
        <v>7945510000</v>
      </c>
      <c r="BF1389" s="1820">
        <v>5.9118388533045574E-2</v>
      </c>
      <c r="BH1389" s="452" t="s">
        <v>4</v>
      </c>
      <c r="BI1389" s="452" t="s">
        <v>615</v>
      </c>
      <c r="BJ1389" s="452" t="s">
        <v>32</v>
      </c>
      <c r="BL1389" s="1824" t="s">
        <v>165</v>
      </c>
      <c r="BM1389" s="1820">
        <v>1.4289540876552253E-2</v>
      </c>
      <c r="BN1389" s="452">
        <v>2021</v>
      </c>
    </row>
    <row r="1390" spans="53:66">
      <c r="BA1390" s="452" t="s">
        <v>2</v>
      </c>
      <c r="BB1390" s="1818">
        <v>2023</v>
      </c>
      <c r="BC1390" s="452" t="s">
        <v>581</v>
      </c>
      <c r="BD1390" s="452">
        <v>3</v>
      </c>
      <c r="BE1390" s="1819">
        <v>7198290000</v>
      </c>
      <c r="BF1390" s="1820">
        <v>5.3558714921199096E-2</v>
      </c>
      <c r="BH1390" s="452" t="s">
        <v>4</v>
      </c>
      <c r="BI1390" s="452" t="s">
        <v>615</v>
      </c>
      <c r="BJ1390" s="452" t="s">
        <v>249</v>
      </c>
      <c r="BL1390" s="1824" t="s">
        <v>165</v>
      </c>
      <c r="BN1390" s="452">
        <v>2021</v>
      </c>
    </row>
    <row r="1391" spans="53:66">
      <c r="BA1391" s="452" t="s">
        <v>2</v>
      </c>
      <c r="BB1391" s="1818">
        <v>2023</v>
      </c>
      <c r="BC1391" s="452" t="s">
        <v>583</v>
      </c>
      <c r="BD1391" s="452">
        <v>4</v>
      </c>
      <c r="BE1391" s="1819">
        <v>2117079000</v>
      </c>
      <c r="BF1391" s="1820">
        <v>1.575207870572834E-2</v>
      </c>
      <c r="BH1391" s="452" t="s">
        <v>360</v>
      </c>
      <c r="BI1391" s="452" t="s">
        <v>632</v>
      </c>
      <c r="BJ1391" s="452" t="s">
        <v>15</v>
      </c>
      <c r="BK1391" s="452">
        <v>1</v>
      </c>
      <c r="BL1391" s="1819">
        <v>19760865482</v>
      </c>
      <c r="BM1391" s="1820">
        <v>0.98595435223441252</v>
      </c>
      <c r="BN1391" s="452">
        <v>2022</v>
      </c>
    </row>
    <row r="1392" spans="53:66">
      <c r="BA1392" s="452" t="s">
        <v>2</v>
      </c>
      <c r="BB1392" s="1818">
        <v>2023</v>
      </c>
      <c r="BC1392" s="452" t="s">
        <v>77</v>
      </c>
      <c r="BD1392" s="452">
        <v>5</v>
      </c>
      <c r="BE1392" s="1819">
        <v>1214111000</v>
      </c>
      <c r="BF1392" s="1820">
        <v>9.0335656012319535E-3</v>
      </c>
      <c r="BH1392" s="452" t="s">
        <v>360</v>
      </c>
      <c r="BI1392" s="452" t="s">
        <v>632</v>
      </c>
      <c r="BJ1392" s="452" t="s">
        <v>42</v>
      </c>
      <c r="BK1392" s="452">
        <v>2</v>
      </c>
      <c r="BL1392" s="1819">
        <v>168508006</v>
      </c>
      <c r="BM1392" s="1820">
        <v>8.4075873120728981E-3</v>
      </c>
      <c r="BN1392" s="452">
        <v>2022</v>
      </c>
    </row>
    <row r="1393" spans="53:66">
      <c r="BA1393" s="452" t="s">
        <v>2</v>
      </c>
      <c r="BB1393" s="1818">
        <v>2023</v>
      </c>
      <c r="BC1393" s="452" t="s">
        <v>32</v>
      </c>
      <c r="BE1393" s="1819">
        <v>1750306000</v>
      </c>
      <c r="BF1393" s="1820">
        <v>1.3023112444603413E-2</v>
      </c>
      <c r="BH1393" s="452" t="s">
        <v>360</v>
      </c>
      <c r="BI1393" s="452" t="s">
        <v>632</v>
      </c>
      <c r="BJ1393" s="452" t="s">
        <v>581</v>
      </c>
      <c r="BK1393" s="452">
        <v>3</v>
      </c>
      <c r="BL1393" s="1819">
        <v>89970699</v>
      </c>
      <c r="BM1393" s="1820">
        <v>4.4890241438779463E-3</v>
      </c>
      <c r="BN1393" s="452">
        <v>2022</v>
      </c>
    </row>
    <row r="1394" spans="53:66">
      <c r="BA1394" s="452" t="s">
        <v>2</v>
      </c>
      <c r="BB1394" s="1818">
        <v>2023</v>
      </c>
      <c r="BC1394" s="452" t="s">
        <v>249</v>
      </c>
      <c r="BE1394" s="1819">
        <v>134399976000</v>
      </c>
      <c r="BH1394" s="452" t="s">
        <v>360</v>
      </c>
      <c r="BI1394" s="452" t="s">
        <v>632</v>
      </c>
      <c r="BJ1394" s="452" t="s">
        <v>447</v>
      </c>
      <c r="BK1394" s="452">
        <v>4</v>
      </c>
      <c r="BL1394" s="1819">
        <v>14780700</v>
      </c>
      <c r="BM1394" s="1820">
        <v>7.3747253162295386E-4</v>
      </c>
      <c r="BN1394" s="452">
        <v>2022</v>
      </c>
    </row>
    <row r="1395" spans="53:66">
      <c r="BA1395" s="452" t="s">
        <v>360</v>
      </c>
      <c r="BB1395" s="1818">
        <v>2023</v>
      </c>
      <c r="BC1395" s="452" t="s">
        <v>15</v>
      </c>
      <c r="BD1395" s="452">
        <v>1</v>
      </c>
      <c r="BE1395" s="1819">
        <v>18171358116</v>
      </c>
      <c r="BF1395" s="1820">
        <v>0.98880799457497659</v>
      </c>
      <c r="BH1395" s="452" t="s">
        <v>360</v>
      </c>
      <c r="BI1395" s="452" t="s">
        <v>632</v>
      </c>
      <c r="BJ1395" s="452" t="s">
        <v>20</v>
      </c>
      <c r="BK1395" s="452">
        <v>5</v>
      </c>
      <c r="BL1395" s="1819">
        <v>3233465</v>
      </c>
      <c r="BM1395" s="1820">
        <v>1.6133144028795756E-4</v>
      </c>
      <c r="BN1395" s="452">
        <v>2022</v>
      </c>
    </row>
    <row r="1396" spans="53:66">
      <c r="BA1396" s="452" t="s">
        <v>360</v>
      </c>
      <c r="BB1396" s="1818">
        <v>2023</v>
      </c>
      <c r="BC1396" s="452" t="s">
        <v>42</v>
      </c>
      <c r="BD1396" s="452">
        <v>2</v>
      </c>
      <c r="BE1396" s="1819">
        <v>130344082</v>
      </c>
      <c r="BF1396" s="1820">
        <v>7.0927703644589985E-3</v>
      </c>
      <c r="BH1396" s="452" t="s">
        <v>360</v>
      </c>
      <c r="BI1396" s="452" t="s">
        <v>632</v>
      </c>
      <c r="BJ1396" s="452" t="s">
        <v>32</v>
      </c>
      <c r="BL1396" s="1819">
        <v>5015250</v>
      </c>
      <c r="BM1396" s="1820">
        <v>2.5023233772568409E-4</v>
      </c>
      <c r="BN1396" s="452">
        <v>2022</v>
      </c>
    </row>
    <row r="1397" spans="53:66">
      <c r="BA1397" s="452" t="s">
        <v>360</v>
      </c>
      <c r="BB1397" s="1818">
        <v>2023</v>
      </c>
      <c r="BC1397" s="452" t="s">
        <v>581</v>
      </c>
      <c r="BD1397" s="452">
        <v>3</v>
      </c>
      <c r="BE1397" s="1819">
        <v>51562701</v>
      </c>
      <c r="BF1397" s="1820">
        <v>2.8058228034032288E-3</v>
      </c>
      <c r="BH1397" s="452" t="s">
        <v>360</v>
      </c>
      <c r="BI1397" s="452" t="s">
        <v>632</v>
      </c>
      <c r="BJ1397" s="452" t="s">
        <v>249</v>
      </c>
      <c r="BL1397" s="1819">
        <v>20042373602</v>
      </c>
      <c r="BN1397" s="452">
        <v>2022</v>
      </c>
    </row>
    <row r="1398" spans="53:66">
      <c r="BA1398" s="452" t="s">
        <v>360</v>
      </c>
      <c r="BB1398" s="1818">
        <v>2023</v>
      </c>
      <c r="BC1398" s="452" t="s">
        <v>447</v>
      </c>
      <c r="BD1398" s="452">
        <v>4</v>
      </c>
      <c r="BE1398" s="1819">
        <v>18325635</v>
      </c>
      <c r="BF1398" s="1820">
        <v>9.972030861968293E-4</v>
      </c>
      <c r="BH1398" s="452" t="s">
        <v>2</v>
      </c>
      <c r="BI1398" s="452" t="s">
        <v>632</v>
      </c>
      <c r="BJ1398" s="452" t="s">
        <v>15</v>
      </c>
      <c r="BK1398" s="452">
        <v>1</v>
      </c>
      <c r="BL1398" s="1819">
        <v>103430275000</v>
      </c>
      <c r="BM1398" s="1820">
        <v>0.84412863777832137</v>
      </c>
      <c r="BN1398" s="452">
        <v>2022</v>
      </c>
    </row>
    <row r="1399" spans="53:66">
      <c r="BA1399" s="452" t="s">
        <v>360</v>
      </c>
      <c r="BB1399" s="1818">
        <v>2023</v>
      </c>
      <c r="BC1399" s="452" t="s">
        <v>20</v>
      </c>
      <c r="BD1399" s="452">
        <v>5</v>
      </c>
      <c r="BE1399" s="1819">
        <v>2708553</v>
      </c>
      <c r="BF1399" s="1820">
        <v>1.4738793011689257E-4</v>
      </c>
      <c r="BH1399" s="452" t="s">
        <v>2</v>
      </c>
      <c r="BI1399" s="452" t="s">
        <v>632</v>
      </c>
      <c r="BJ1399" s="452" t="s">
        <v>20</v>
      </c>
      <c r="BK1399" s="452">
        <v>2</v>
      </c>
      <c r="BL1399" s="1819">
        <v>8039059000</v>
      </c>
      <c r="BM1399" s="1820">
        <v>6.5609415837766596E-2</v>
      </c>
      <c r="BN1399" s="452">
        <v>2022</v>
      </c>
    </row>
    <row r="1400" spans="53:66">
      <c r="BA1400" s="452" t="s">
        <v>360</v>
      </c>
      <c r="BB1400" s="1818">
        <v>2023</v>
      </c>
      <c r="BC1400" s="452" t="s">
        <v>32</v>
      </c>
      <c r="BE1400" s="1819">
        <v>2734893</v>
      </c>
      <c r="BF1400" s="1820">
        <v>1.4882124084748523E-4</v>
      </c>
      <c r="BH1400" s="452" t="s">
        <v>2</v>
      </c>
      <c r="BI1400" s="452" t="s">
        <v>632</v>
      </c>
      <c r="BJ1400" s="452" t="s">
        <v>581</v>
      </c>
      <c r="BK1400" s="452">
        <v>3</v>
      </c>
      <c r="BL1400" s="1819">
        <v>6772530000</v>
      </c>
      <c r="BM1400" s="1820">
        <v>5.5272854328317453E-2</v>
      </c>
      <c r="BN1400" s="452">
        <v>2022</v>
      </c>
    </row>
    <row r="1401" spans="53:66">
      <c r="BA1401" s="452" t="s">
        <v>360</v>
      </c>
      <c r="BB1401" s="1818">
        <v>2023</v>
      </c>
      <c r="BC1401" s="452" t="s">
        <v>249</v>
      </c>
      <c r="BE1401" s="1819">
        <v>18377033980</v>
      </c>
      <c r="BH1401" s="452" t="s">
        <v>2</v>
      </c>
      <c r="BI1401" s="452" t="s">
        <v>632</v>
      </c>
      <c r="BJ1401" s="452" t="s">
        <v>583</v>
      </c>
      <c r="BK1401" s="452">
        <v>4</v>
      </c>
      <c r="BL1401" s="1819">
        <v>1974484000</v>
      </c>
      <c r="BM1401" s="1820">
        <v>1.6114416105295001E-2</v>
      </c>
      <c r="BN1401" s="452">
        <v>2022</v>
      </c>
    </row>
    <row r="1402" spans="53:66">
      <c r="BA1402" s="452" t="s">
        <v>280</v>
      </c>
      <c r="BB1402" s="1818">
        <v>2023</v>
      </c>
      <c r="BC1402" s="452" t="s">
        <v>15</v>
      </c>
      <c r="BD1402" s="452">
        <v>1</v>
      </c>
      <c r="BE1402" s="1819">
        <v>695288422.24000013</v>
      </c>
      <c r="BF1402" s="1820">
        <v>0.39732111297062289</v>
      </c>
      <c r="BH1402" s="452" t="s">
        <v>2</v>
      </c>
      <c r="BI1402" s="452" t="s">
        <v>632</v>
      </c>
      <c r="BJ1402" s="452" t="s">
        <v>19</v>
      </c>
      <c r="BK1402" s="452">
        <v>5</v>
      </c>
      <c r="BL1402" s="1819">
        <v>1005022000</v>
      </c>
      <c r="BM1402" s="1820">
        <v>8.202316505464614E-3</v>
      </c>
      <c r="BN1402" s="452">
        <v>2022</v>
      </c>
    </row>
    <row r="1403" spans="53:66">
      <c r="BA1403" s="452" t="s">
        <v>280</v>
      </c>
      <c r="BB1403" s="1818">
        <v>2023</v>
      </c>
      <c r="BC1403" s="452" t="s">
        <v>21</v>
      </c>
      <c r="BD1403" s="452">
        <v>2</v>
      </c>
      <c r="BE1403" s="1819">
        <v>150260509.50999999</v>
      </c>
      <c r="BF1403" s="1820">
        <v>8.5866053517339017E-2</v>
      </c>
      <c r="BH1403" s="452" t="s">
        <v>2</v>
      </c>
      <c r="BI1403" s="452" t="s">
        <v>632</v>
      </c>
      <c r="BJ1403" s="452" t="s">
        <v>32</v>
      </c>
      <c r="BL1403" s="1819">
        <v>1307674000</v>
      </c>
      <c r="BM1403" s="1820">
        <v>1.0672359444834974E-2</v>
      </c>
      <c r="BN1403" s="452">
        <v>2022</v>
      </c>
    </row>
    <row r="1404" spans="53:66">
      <c r="BA1404" s="452" t="s">
        <v>280</v>
      </c>
      <c r="BB1404" s="1818">
        <v>2023</v>
      </c>
      <c r="BC1404" s="452" t="s">
        <v>654</v>
      </c>
      <c r="BD1404" s="452">
        <v>3</v>
      </c>
      <c r="BE1404" s="1819">
        <v>122750216.63999999</v>
      </c>
      <c r="BF1404" s="1820">
        <v>7.0145354262716272E-2</v>
      </c>
      <c r="BH1404" s="452" t="s">
        <v>2</v>
      </c>
      <c r="BI1404" s="452" t="s">
        <v>632</v>
      </c>
      <c r="BJ1404" s="452" t="s">
        <v>249</v>
      </c>
      <c r="BL1404" s="1819">
        <v>122529044000</v>
      </c>
      <c r="BN1404" s="452">
        <v>2022</v>
      </c>
    </row>
    <row r="1405" spans="53:66">
      <c r="BA1405" s="452" t="s">
        <v>280</v>
      </c>
      <c r="BB1405" s="1818">
        <v>2023</v>
      </c>
      <c r="BC1405" s="452" t="s">
        <v>52</v>
      </c>
      <c r="BD1405" s="452">
        <v>4</v>
      </c>
      <c r="BE1405" s="1819">
        <v>113175697.00000001</v>
      </c>
      <c r="BF1405" s="1820">
        <v>6.4674015063268545E-2</v>
      </c>
      <c r="BH1405" s="452" t="s">
        <v>1</v>
      </c>
      <c r="BI1405" s="452" t="s">
        <v>632</v>
      </c>
      <c r="BJ1405" s="452" t="s">
        <v>15</v>
      </c>
      <c r="BK1405" s="452">
        <v>1</v>
      </c>
      <c r="BL1405" s="1819">
        <v>8054556000</v>
      </c>
      <c r="BM1405" s="1820">
        <v>0.40263889733146924</v>
      </c>
      <c r="BN1405" s="452">
        <v>2022</v>
      </c>
    </row>
    <row r="1406" spans="53:66">
      <c r="BA1406" s="452" t="s">
        <v>280</v>
      </c>
      <c r="BB1406" s="1818">
        <v>2023</v>
      </c>
      <c r="BC1406" s="452" t="s">
        <v>54</v>
      </c>
      <c r="BD1406" s="452">
        <v>5</v>
      </c>
      <c r="BE1406" s="1819">
        <v>98447179.769999996</v>
      </c>
      <c r="BF1406" s="1820">
        <v>5.6257434733371123E-2</v>
      </c>
      <c r="BH1406" s="452" t="s">
        <v>1</v>
      </c>
      <c r="BI1406" s="452" t="s">
        <v>632</v>
      </c>
      <c r="BJ1406" s="452" t="s">
        <v>592</v>
      </c>
      <c r="BK1406" s="452">
        <v>2</v>
      </c>
      <c r="BL1406" s="1819">
        <v>3442996000</v>
      </c>
      <c r="BM1406" s="1820">
        <v>0.17211179771506452</v>
      </c>
      <c r="BN1406" s="452">
        <v>2022</v>
      </c>
    </row>
    <row r="1407" spans="53:66">
      <c r="BA1407" s="452" t="s">
        <v>280</v>
      </c>
      <c r="BB1407" s="1818">
        <v>2023</v>
      </c>
      <c r="BC1407" s="452" t="s">
        <v>51</v>
      </c>
      <c r="BD1407" s="452">
        <v>6</v>
      </c>
      <c r="BE1407" s="1819">
        <v>95542571.940000013</v>
      </c>
      <c r="BF1407" s="1820">
        <v>5.4597602671101544E-2</v>
      </c>
      <c r="BH1407" s="452" t="s">
        <v>1</v>
      </c>
      <c r="BI1407" s="452" t="s">
        <v>632</v>
      </c>
      <c r="BJ1407" s="452" t="s">
        <v>49</v>
      </c>
      <c r="BK1407" s="452">
        <v>3</v>
      </c>
      <c r="BL1407" s="1819">
        <v>3109698000</v>
      </c>
      <c r="BM1407" s="1820">
        <v>0.155450576512706</v>
      </c>
      <c r="BN1407" s="452">
        <v>2022</v>
      </c>
    </row>
    <row r="1408" spans="53:66">
      <c r="BA1408" s="452" t="s">
        <v>280</v>
      </c>
      <c r="BB1408" s="1818">
        <v>2023</v>
      </c>
      <c r="BC1408" s="452" t="s">
        <v>42</v>
      </c>
      <c r="BD1408" s="452">
        <v>7</v>
      </c>
      <c r="BE1408" s="1819">
        <v>91623482.680000007</v>
      </c>
      <c r="BF1408" s="1820">
        <v>5.2358047319959911E-2</v>
      </c>
      <c r="BH1408" s="452" t="s">
        <v>1</v>
      </c>
      <c r="BI1408" s="452" t="s">
        <v>632</v>
      </c>
      <c r="BJ1408" s="452" t="s">
        <v>18</v>
      </c>
      <c r="BK1408" s="452">
        <v>4</v>
      </c>
      <c r="BL1408" s="1819">
        <v>1438610000</v>
      </c>
      <c r="BM1408" s="1820">
        <v>7.1914621251627647E-2</v>
      </c>
      <c r="BN1408" s="452">
        <v>2022</v>
      </c>
    </row>
    <row r="1409" spans="53:66">
      <c r="BA1409" s="452" t="s">
        <v>280</v>
      </c>
      <c r="BB1409" s="1818">
        <v>2023</v>
      </c>
      <c r="BC1409" s="452" t="s">
        <v>633</v>
      </c>
      <c r="BD1409" s="452">
        <v>8</v>
      </c>
      <c r="BE1409" s="1819">
        <v>84136649.699999988</v>
      </c>
      <c r="BF1409" s="1820">
        <v>4.8079712290799922E-2</v>
      </c>
      <c r="BH1409" s="452" t="s">
        <v>1</v>
      </c>
      <c r="BI1409" s="452" t="s">
        <v>632</v>
      </c>
      <c r="BJ1409" s="452" t="s">
        <v>447</v>
      </c>
      <c r="BK1409" s="452">
        <v>5</v>
      </c>
      <c r="BL1409" s="1819">
        <v>1247666000</v>
      </c>
      <c r="BM1409" s="1820">
        <v>6.2369528808039185E-2</v>
      </c>
      <c r="BN1409" s="452">
        <v>2022</v>
      </c>
    </row>
    <row r="1410" spans="53:66">
      <c r="BA1410" s="452" t="s">
        <v>280</v>
      </c>
      <c r="BB1410" s="1818">
        <v>2023</v>
      </c>
      <c r="BC1410" s="452" t="s">
        <v>23</v>
      </c>
      <c r="BD1410" s="452">
        <v>9</v>
      </c>
      <c r="BE1410" s="1819">
        <v>74011819.090000018</v>
      </c>
      <c r="BF1410" s="1820">
        <v>4.2293899039884571E-2</v>
      </c>
      <c r="BH1410" s="452" t="s">
        <v>1</v>
      </c>
      <c r="BI1410" s="452" t="s">
        <v>632</v>
      </c>
      <c r="BJ1410" s="452" t="s">
        <v>51</v>
      </c>
      <c r="BK1410" s="452">
        <v>6</v>
      </c>
      <c r="BL1410" s="1819">
        <v>1129002000</v>
      </c>
      <c r="BM1410" s="1820">
        <v>5.6437638569403877E-2</v>
      </c>
      <c r="BN1410" s="452">
        <v>2022</v>
      </c>
    </row>
    <row r="1411" spans="53:66">
      <c r="BA1411" s="452" t="s">
        <v>280</v>
      </c>
      <c r="BB1411" s="1818">
        <v>2023</v>
      </c>
      <c r="BC1411" s="452" t="s">
        <v>26</v>
      </c>
      <c r="BD1411" s="452">
        <v>10</v>
      </c>
      <c r="BE1411" s="1819">
        <v>73552774.230000004</v>
      </c>
      <c r="BF1411" s="1820">
        <v>4.2031578815867249E-2</v>
      </c>
      <c r="BH1411" s="452" t="s">
        <v>1</v>
      </c>
      <c r="BI1411" s="452" t="s">
        <v>632</v>
      </c>
      <c r="BJ1411" s="452" t="s">
        <v>241</v>
      </c>
      <c r="BK1411" s="452">
        <v>7</v>
      </c>
      <c r="BL1411" s="1819">
        <v>543673000</v>
      </c>
      <c r="BM1411" s="1820">
        <v>2.7177649175062147E-2</v>
      </c>
      <c r="BN1411" s="452">
        <v>2022</v>
      </c>
    </row>
    <row r="1412" spans="53:66">
      <c r="BA1412" s="452" t="s">
        <v>280</v>
      </c>
      <c r="BB1412" s="1818">
        <v>2023</v>
      </c>
      <c r="BC1412" s="452" t="s">
        <v>32</v>
      </c>
      <c r="BE1412" s="1819">
        <v>151151467.00999999</v>
      </c>
      <c r="BF1412" s="1820">
        <v>8.637518931506892E-2</v>
      </c>
      <c r="BH1412" s="452" t="s">
        <v>1</v>
      </c>
      <c r="BI1412" s="452" t="s">
        <v>632</v>
      </c>
      <c r="BJ1412" s="452" t="s">
        <v>28</v>
      </c>
      <c r="BK1412" s="452">
        <v>8</v>
      </c>
      <c r="BL1412" s="1819">
        <v>542090000</v>
      </c>
      <c r="BM1412" s="1820">
        <v>2.7098516647524228E-2</v>
      </c>
      <c r="BN1412" s="452">
        <v>2022</v>
      </c>
    </row>
    <row r="1413" spans="53:66">
      <c r="BA1413" s="452" t="s">
        <v>280</v>
      </c>
      <c r="BB1413" s="1818">
        <v>2023</v>
      </c>
      <c r="BC1413" s="452" t="s">
        <v>249</v>
      </c>
      <c r="BE1413" s="1819">
        <v>1749940789.8100002</v>
      </c>
      <c r="BH1413" s="452" t="s">
        <v>1</v>
      </c>
      <c r="BI1413" s="452" t="s">
        <v>632</v>
      </c>
      <c r="BJ1413" s="452" t="s">
        <v>581</v>
      </c>
      <c r="BK1413" s="452">
        <v>9</v>
      </c>
      <c r="BL1413" s="1819">
        <v>298348000</v>
      </c>
      <c r="BM1413" s="1820">
        <v>1.4914106965182089E-2</v>
      </c>
      <c r="BN1413" s="452">
        <v>2022</v>
      </c>
    </row>
    <row r="1414" spans="53:66">
      <c r="BA1414" s="452" t="s">
        <v>3</v>
      </c>
      <c r="BB1414" s="1818">
        <v>2023</v>
      </c>
      <c r="BC1414" s="452" t="s">
        <v>15</v>
      </c>
      <c r="BD1414" s="452">
        <v>1</v>
      </c>
      <c r="BE1414" s="1824" t="s">
        <v>165</v>
      </c>
      <c r="BF1414" s="1900">
        <v>0.31812069234463508</v>
      </c>
      <c r="BH1414" s="452" t="s">
        <v>1</v>
      </c>
      <c r="BI1414" s="452" t="s">
        <v>632</v>
      </c>
      <c r="BJ1414" s="452" t="s">
        <v>29</v>
      </c>
      <c r="BK1414" s="452">
        <v>10</v>
      </c>
      <c r="BL1414" s="1819">
        <v>89436000</v>
      </c>
      <c r="BM1414" s="1820">
        <v>4.4708128445239293E-3</v>
      </c>
      <c r="BN1414" s="452">
        <v>2022</v>
      </c>
    </row>
    <row r="1415" spans="53:66">
      <c r="BA1415" s="452" t="s">
        <v>3</v>
      </c>
      <c r="BB1415" s="1818">
        <v>2023</v>
      </c>
      <c r="BC1415" s="452" t="s">
        <v>20</v>
      </c>
      <c r="BD1415" s="452">
        <v>2</v>
      </c>
      <c r="BE1415" s="1824" t="s">
        <v>165</v>
      </c>
      <c r="BF1415" s="1900">
        <v>0.15735807940759852</v>
      </c>
      <c r="BH1415" s="452" t="s">
        <v>1</v>
      </c>
      <c r="BI1415" s="452" t="s">
        <v>632</v>
      </c>
      <c r="BJ1415" s="452" t="s">
        <v>32</v>
      </c>
      <c r="BL1415" s="1819">
        <v>108341000</v>
      </c>
      <c r="BM1415" s="1820">
        <v>5.4158541793971893E-3</v>
      </c>
      <c r="BN1415" s="452">
        <v>2022</v>
      </c>
    </row>
    <row r="1416" spans="53:66">
      <c r="BA1416" s="452" t="s">
        <v>3</v>
      </c>
      <c r="BB1416" s="1818">
        <v>2023</v>
      </c>
      <c r="BC1416" s="452" t="s">
        <v>627</v>
      </c>
      <c r="BD1416" s="452">
        <v>3</v>
      </c>
      <c r="BE1416" s="1824" t="s">
        <v>165</v>
      </c>
      <c r="BF1416" s="1900">
        <v>0.12594909200058171</v>
      </c>
      <c r="BH1416" s="452" t="s">
        <v>1</v>
      </c>
      <c r="BI1416" s="452" t="s">
        <v>632</v>
      </c>
      <c r="BJ1416" s="452" t="s">
        <v>249</v>
      </c>
      <c r="BL1416" s="1819">
        <v>20004416000</v>
      </c>
      <c r="BN1416" s="452">
        <v>2022</v>
      </c>
    </row>
    <row r="1417" spans="53:66">
      <c r="BA1417" s="452" t="s">
        <v>3</v>
      </c>
      <c r="BB1417" s="1818">
        <v>2023</v>
      </c>
      <c r="BC1417" s="452" t="s">
        <v>48</v>
      </c>
      <c r="BD1417" s="452">
        <v>4</v>
      </c>
      <c r="BE1417" s="1824" t="s">
        <v>165</v>
      </c>
      <c r="BF1417" s="1900">
        <v>0.11539728335016294</v>
      </c>
      <c r="BH1417" s="452" t="s">
        <v>0</v>
      </c>
      <c r="BI1417" s="452" t="s">
        <v>632</v>
      </c>
      <c r="BJ1417" s="452" t="s">
        <v>14</v>
      </c>
      <c r="BK1417" s="452">
        <v>1</v>
      </c>
      <c r="BL1417" s="1819">
        <v>1449002337.4899998</v>
      </c>
      <c r="BM1417" s="1820">
        <v>0.1891231724139695</v>
      </c>
      <c r="BN1417" s="452">
        <v>2022</v>
      </c>
    </row>
    <row r="1418" spans="53:66">
      <c r="BA1418" s="452" t="s">
        <v>3</v>
      </c>
      <c r="BB1418" s="1818">
        <v>2023</v>
      </c>
      <c r="BC1418" s="452" t="s">
        <v>23</v>
      </c>
      <c r="BD1418" s="452">
        <v>5</v>
      </c>
      <c r="BE1418" s="1824" t="s">
        <v>165</v>
      </c>
      <c r="BF1418" s="1900">
        <v>9.5426933898526481E-2</v>
      </c>
      <c r="BH1418" s="452" t="s">
        <v>0</v>
      </c>
      <c r="BI1418" s="452" t="s">
        <v>632</v>
      </c>
      <c r="BJ1418" s="452" t="s">
        <v>27</v>
      </c>
      <c r="BK1418" s="452">
        <v>2</v>
      </c>
      <c r="BL1418" s="1819">
        <v>1382203433.5200002</v>
      </c>
      <c r="BM1418" s="1820">
        <v>0.18040460771208916</v>
      </c>
      <c r="BN1418" s="452">
        <v>2022</v>
      </c>
    </row>
    <row r="1419" spans="53:66">
      <c r="BA1419" s="452" t="s">
        <v>3</v>
      </c>
      <c r="BB1419" s="1818">
        <v>2023</v>
      </c>
      <c r="BC1419" s="452" t="s">
        <v>44</v>
      </c>
      <c r="BD1419" s="452">
        <v>6</v>
      </c>
      <c r="BE1419" s="1824" t="s">
        <v>165</v>
      </c>
      <c r="BF1419" s="1900">
        <v>7.0257914107737351E-2</v>
      </c>
      <c r="BH1419" s="452" t="s">
        <v>0</v>
      </c>
      <c r="BI1419" s="452" t="s">
        <v>632</v>
      </c>
      <c r="BJ1419" s="452" t="s">
        <v>29</v>
      </c>
      <c r="BK1419" s="452">
        <v>3</v>
      </c>
      <c r="BL1419" s="1819">
        <v>1167434417.8800001</v>
      </c>
      <c r="BM1419" s="1820">
        <v>0.15237304660058573</v>
      </c>
      <c r="BN1419" s="452">
        <v>2022</v>
      </c>
    </row>
    <row r="1420" spans="53:66">
      <c r="BA1420" s="452" t="s">
        <v>3</v>
      </c>
      <c r="BB1420" s="1818">
        <v>2023</v>
      </c>
      <c r="BC1420" s="452" t="s">
        <v>583</v>
      </c>
      <c r="BD1420" s="452">
        <v>7</v>
      </c>
      <c r="BE1420" s="1824" t="s">
        <v>165</v>
      </c>
      <c r="BF1420" s="1900">
        <v>3.5076283841182242E-2</v>
      </c>
      <c r="BH1420" s="452" t="s">
        <v>0</v>
      </c>
      <c r="BI1420" s="452" t="s">
        <v>632</v>
      </c>
      <c r="BJ1420" s="452" t="s">
        <v>25</v>
      </c>
      <c r="BK1420" s="452">
        <v>4</v>
      </c>
      <c r="BL1420" s="1819">
        <v>611244661.97000003</v>
      </c>
      <c r="BM1420" s="1820">
        <v>7.9779394830457706E-2</v>
      </c>
      <c r="BN1420" s="452">
        <v>2022</v>
      </c>
    </row>
    <row r="1421" spans="53:66">
      <c r="BA1421" s="452" t="s">
        <v>3</v>
      </c>
      <c r="BB1421" s="1818">
        <v>2023</v>
      </c>
      <c r="BC1421" s="452" t="s">
        <v>50</v>
      </c>
      <c r="BD1421" s="452">
        <v>8</v>
      </c>
      <c r="BE1421" s="1824" t="s">
        <v>165</v>
      </c>
      <c r="BF1421" s="1900">
        <v>2.8001534011993973E-2</v>
      </c>
      <c r="BH1421" s="452" t="s">
        <v>0</v>
      </c>
      <c r="BI1421" s="452" t="s">
        <v>632</v>
      </c>
      <c r="BJ1421" s="452" t="s">
        <v>22</v>
      </c>
      <c r="BK1421" s="452">
        <v>5</v>
      </c>
      <c r="BL1421" s="1819">
        <v>583017400.81000006</v>
      </c>
      <c r="BM1421" s="1820">
        <v>7.6095184639062036E-2</v>
      </c>
      <c r="BN1421" s="452">
        <v>2022</v>
      </c>
    </row>
    <row r="1422" spans="53:66">
      <c r="BA1422" s="452" t="s">
        <v>3</v>
      </c>
      <c r="BB1422" s="1818">
        <v>2023</v>
      </c>
      <c r="BC1422" s="452" t="s">
        <v>49</v>
      </c>
      <c r="BD1422" s="452">
        <v>9</v>
      </c>
      <c r="BE1422" s="1824" t="s">
        <v>165</v>
      </c>
      <c r="BF1422" s="1900">
        <v>1.3087963497130855E-2</v>
      </c>
      <c r="BH1422" s="452" t="s">
        <v>0</v>
      </c>
      <c r="BI1422" s="452" t="s">
        <v>632</v>
      </c>
      <c r="BJ1422" s="452" t="s">
        <v>21</v>
      </c>
      <c r="BK1422" s="452">
        <v>6</v>
      </c>
      <c r="BL1422" s="1819">
        <v>381932292.47000003</v>
      </c>
      <c r="BM1422" s="1820">
        <v>4.9849641322448832E-2</v>
      </c>
      <c r="BN1422" s="452">
        <v>2022</v>
      </c>
    </row>
    <row r="1423" spans="53:66">
      <c r="BA1423" s="452" t="s">
        <v>3</v>
      </c>
      <c r="BB1423" s="1818">
        <v>2023</v>
      </c>
      <c r="BC1423" s="452" t="s">
        <v>654</v>
      </c>
      <c r="BD1423" s="452">
        <v>10</v>
      </c>
      <c r="BE1423" s="1824" t="s">
        <v>165</v>
      </c>
      <c r="BF1423" s="1900">
        <v>1.0015955844046475E-2</v>
      </c>
      <c r="BH1423" s="452" t="s">
        <v>0</v>
      </c>
      <c r="BI1423" s="452" t="s">
        <v>632</v>
      </c>
      <c r="BJ1423" s="452" t="s">
        <v>250</v>
      </c>
      <c r="BK1423" s="452">
        <v>7</v>
      </c>
      <c r="BL1423" s="1819">
        <v>368225957.76999998</v>
      </c>
      <c r="BM1423" s="1820">
        <v>4.8060696312793479E-2</v>
      </c>
      <c r="BN1423" s="452">
        <v>2022</v>
      </c>
    </row>
    <row r="1424" spans="53:66">
      <c r="BA1424" s="452" t="s">
        <v>3</v>
      </c>
      <c r="BB1424" s="1818">
        <v>2023</v>
      </c>
      <c r="BC1424" s="452" t="s">
        <v>32</v>
      </c>
      <c r="BE1424" s="1824" t="s">
        <v>165</v>
      </c>
      <c r="BF1424" s="1900">
        <v>3.1308267696404372E-2</v>
      </c>
      <c r="BH1424" s="452" t="s">
        <v>0</v>
      </c>
      <c r="BI1424" s="452" t="s">
        <v>632</v>
      </c>
      <c r="BJ1424" s="452" t="s">
        <v>15</v>
      </c>
      <c r="BK1424" s="452">
        <v>8</v>
      </c>
      <c r="BL1424" s="1819">
        <v>364843161.26999998</v>
      </c>
      <c r="BM1424" s="1820">
        <v>4.7619175143946306E-2</v>
      </c>
      <c r="BN1424" s="452">
        <v>2022</v>
      </c>
    </row>
    <row r="1425" spans="53:66">
      <c r="BA1425" s="452" t="s">
        <v>3</v>
      </c>
      <c r="BB1425" s="1818">
        <v>2023</v>
      </c>
      <c r="BC1425" s="452" t="s">
        <v>249</v>
      </c>
      <c r="BE1425" s="1824" t="s">
        <v>165</v>
      </c>
      <c r="BH1425" s="452" t="s">
        <v>0</v>
      </c>
      <c r="BI1425" s="452" t="s">
        <v>632</v>
      </c>
      <c r="BJ1425" s="452" t="s">
        <v>13</v>
      </c>
      <c r="BK1425" s="452">
        <v>9</v>
      </c>
      <c r="BL1425" s="1819">
        <v>288450971.68000001</v>
      </c>
      <c r="BM1425" s="1820">
        <v>3.7648498859229877E-2</v>
      </c>
      <c r="BN1425" s="452">
        <v>2022</v>
      </c>
    </row>
    <row r="1426" spans="53:66">
      <c r="BA1426" s="452" t="s">
        <v>4</v>
      </c>
      <c r="BB1426" s="1818">
        <v>2023</v>
      </c>
      <c r="BC1426" s="452" t="s">
        <v>20</v>
      </c>
      <c r="BD1426" s="452">
        <v>1</v>
      </c>
      <c r="BE1426" s="1824" t="s">
        <v>165</v>
      </c>
      <c r="BF1426" s="1900">
        <v>0.38838311710299356</v>
      </c>
      <c r="BH1426" s="452" t="s">
        <v>0</v>
      </c>
      <c r="BI1426" s="452" t="s">
        <v>632</v>
      </c>
      <c r="BJ1426" s="452" t="s">
        <v>18</v>
      </c>
      <c r="BK1426" s="452">
        <v>10</v>
      </c>
      <c r="BL1426" s="1819">
        <v>284732261.98000002</v>
      </c>
      <c r="BM1426" s="1820">
        <v>3.7163134441551386E-2</v>
      </c>
      <c r="BN1426" s="452">
        <v>2022</v>
      </c>
    </row>
    <row r="1427" spans="53:66">
      <c r="BA1427" s="452" t="s">
        <v>4</v>
      </c>
      <c r="BB1427" s="1818">
        <v>2023</v>
      </c>
      <c r="BC1427" s="452" t="s">
        <v>15</v>
      </c>
      <c r="BD1427" s="452">
        <v>2</v>
      </c>
      <c r="BE1427" s="1824" t="s">
        <v>165</v>
      </c>
      <c r="BF1427" s="1900">
        <v>0.13646686644164946</v>
      </c>
      <c r="BH1427" s="452" t="s">
        <v>0</v>
      </c>
      <c r="BI1427" s="452" t="s">
        <v>632</v>
      </c>
      <c r="BJ1427" s="452" t="s">
        <v>32</v>
      </c>
      <c r="BL1427" s="1819">
        <v>780598971.6600008</v>
      </c>
      <c r="BM1427" s="1820">
        <v>0.10188344772386572</v>
      </c>
      <c r="BN1427" s="452">
        <v>2022</v>
      </c>
    </row>
    <row r="1428" spans="53:66">
      <c r="BA1428" s="452" t="s">
        <v>4</v>
      </c>
      <c r="BB1428" s="1818">
        <v>2023</v>
      </c>
      <c r="BC1428" s="452" t="s">
        <v>49</v>
      </c>
      <c r="BD1428" s="452">
        <v>3</v>
      </c>
      <c r="BE1428" s="1824" t="s">
        <v>165</v>
      </c>
      <c r="BF1428" s="1900">
        <v>0.12920414970187566</v>
      </c>
      <c r="BH1428" s="452" t="s">
        <v>0</v>
      </c>
      <c r="BI1428" s="452" t="s">
        <v>632</v>
      </c>
      <c r="BJ1428" s="452" t="s">
        <v>249</v>
      </c>
      <c r="BL1428" s="1819">
        <v>7661685868.5000029</v>
      </c>
      <c r="BN1428" s="452">
        <v>2022</v>
      </c>
    </row>
    <row r="1429" spans="53:66">
      <c r="BA1429" s="452" t="s">
        <v>4</v>
      </c>
      <c r="BB1429" s="1818">
        <v>2023</v>
      </c>
      <c r="BC1429" s="452" t="s">
        <v>659</v>
      </c>
      <c r="BD1429" s="452">
        <v>4</v>
      </c>
      <c r="BE1429" s="1824" t="s">
        <v>165</v>
      </c>
      <c r="BF1429" s="1900">
        <v>0.11611948976282785</v>
      </c>
      <c r="BH1429" s="452" t="s">
        <v>280</v>
      </c>
      <c r="BI1429" s="452" t="s">
        <v>632</v>
      </c>
      <c r="BJ1429" s="452" t="s">
        <v>15</v>
      </c>
      <c r="BK1429" s="452">
        <v>1</v>
      </c>
      <c r="BL1429" s="1819">
        <v>897773011.90999985</v>
      </c>
      <c r="BM1429" s="1820">
        <v>0.40464477934761361</v>
      </c>
      <c r="BN1429" s="452">
        <v>2022</v>
      </c>
    </row>
    <row r="1430" spans="53:66">
      <c r="BA1430" s="452" t="s">
        <v>4</v>
      </c>
      <c r="BB1430" s="1818">
        <v>2023</v>
      </c>
      <c r="BC1430" s="452" t="s">
        <v>633</v>
      </c>
      <c r="BD1430" s="452">
        <v>5</v>
      </c>
      <c r="BE1430" s="1824" t="s">
        <v>165</v>
      </c>
      <c r="BF1430" s="1900">
        <v>9.94513504667002E-2</v>
      </c>
      <c r="BH1430" s="452" t="s">
        <v>280</v>
      </c>
      <c r="BI1430" s="452" t="s">
        <v>632</v>
      </c>
      <c r="BJ1430" s="452" t="s">
        <v>21</v>
      </c>
      <c r="BK1430" s="452">
        <v>2</v>
      </c>
      <c r="BL1430" s="1819">
        <v>230095913.56999999</v>
      </c>
      <c r="BM1430" s="1820">
        <v>0.10370896533995393</v>
      </c>
      <c r="BN1430" s="452">
        <v>2022</v>
      </c>
    </row>
    <row r="1431" spans="53:66">
      <c r="BA1431" s="452" t="s">
        <v>4</v>
      </c>
      <c r="BB1431" s="1818">
        <v>2023</v>
      </c>
      <c r="BC1431" s="452" t="s">
        <v>28</v>
      </c>
      <c r="BD1431" s="452">
        <v>6</v>
      </c>
      <c r="BE1431" s="1824" t="s">
        <v>165</v>
      </c>
      <c r="BF1431" s="1900">
        <v>5.9475147885704328E-2</v>
      </c>
      <c r="BH1431" s="452" t="s">
        <v>280</v>
      </c>
      <c r="BI1431" s="452" t="s">
        <v>632</v>
      </c>
      <c r="BJ1431" s="452" t="s">
        <v>54</v>
      </c>
      <c r="BK1431" s="452">
        <v>3</v>
      </c>
      <c r="BL1431" s="1819">
        <v>196437513.31999999</v>
      </c>
      <c r="BM1431" s="1820">
        <v>8.8538431405792553E-2</v>
      </c>
      <c r="BN1431" s="452">
        <v>2022</v>
      </c>
    </row>
    <row r="1432" spans="53:66">
      <c r="BA1432" s="452" t="s">
        <v>4</v>
      </c>
      <c r="BB1432" s="1818">
        <v>2023</v>
      </c>
      <c r="BC1432" s="452" t="s">
        <v>21</v>
      </c>
      <c r="BD1432" s="452">
        <v>7</v>
      </c>
      <c r="BE1432" s="1824" t="s">
        <v>165</v>
      </c>
      <c r="BF1432" s="1900">
        <v>2.7288636594375231E-2</v>
      </c>
      <c r="BH1432" s="452" t="s">
        <v>280</v>
      </c>
      <c r="BI1432" s="452" t="s">
        <v>632</v>
      </c>
      <c r="BJ1432" s="452" t="s">
        <v>447</v>
      </c>
      <c r="BK1432" s="452">
        <v>4</v>
      </c>
      <c r="BL1432" s="1819">
        <v>133033387.12</v>
      </c>
      <c r="BM1432" s="1820">
        <v>5.9960886396565626E-2</v>
      </c>
      <c r="BN1432" s="452">
        <v>2022</v>
      </c>
    </row>
    <row r="1433" spans="53:66">
      <c r="BA1433" s="452" t="s">
        <v>4</v>
      </c>
      <c r="BB1433" s="1818">
        <v>2023</v>
      </c>
      <c r="BC1433" s="452" t="s">
        <v>19</v>
      </c>
      <c r="BD1433" s="452">
        <v>8</v>
      </c>
      <c r="BE1433" s="1824" t="s">
        <v>165</v>
      </c>
      <c r="BF1433" s="1900">
        <v>2.166938502390971E-2</v>
      </c>
      <c r="BH1433" s="452" t="s">
        <v>280</v>
      </c>
      <c r="BI1433" s="452" t="s">
        <v>632</v>
      </c>
      <c r="BJ1433" s="452" t="s">
        <v>52</v>
      </c>
      <c r="BK1433" s="452">
        <v>5</v>
      </c>
      <c r="BL1433" s="1819">
        <v>111645687.25</v>
      </c>
      <c r="BM1433" s="1820">
        <v>5.0321009746412189E-2</v>
      </c>
      <c r="BN1433" s="452">
        <v>2022</v>
      </c>
    </row>
    <row r="1434" spans="53:66">
      <c r="BA1434" s="452" t="s">
        <v>4</v>
      </c>
      <c r="BB1434" s="1818">
        <v>2023</v>
      </c>
      <c r="BC1434" s="452" t="s">
        <v>446</v>
      </c>
      <c r="BD1434" s="452">
        <v>9</v>
      </c>
      <c r="BE1434" s="1824" t="s">
        <v>165</v>
      </c>
      <c r="BF1434" s="1900">
        <v>1.0560995345139381E-2</v>
      </c>
      <c r="BH1434" s="452" t="s">
        <v>280</v>
      </c>
      <c r="BI1434" s="452" t="s">
        <v>632</v>
      </c>
      <c r="BJ1434" s="452" t="s">
        <v>26</v>
      </c>
      <c r="BK1434" s="452">
        <v>6</v>
      </c>
      <c r="BL1434" s="1819">
        <v>100599718.70999999</v>
      </c>
      <c r="BM1434" s="1820">
        <v>4.5342364316828851E-2</v>
      </c>
      <c r="BN1434" s="452">
        <v>2022</v>
      </c>
    </row>
    <row r="1435" spans="53:66">
      <c r="BA1435" s="452" t="s">
        <v>4</v>
      </c>
      <c r="BB1435" s="1818">
        <v>2023</v>
      </c>
      <c r="BC1435" s="452" t="s">
        <v>18</v>
      </c>
      <c r="BD1435" s="452">
        <v>10</v>
      </c>
      <c r="BE1435" s="1824" t="s">
        <v>165</v>
      </c>
      <c r="BF1435" s="1900">
        <v>3.6705741683558707E-3</v>
      </c>
      <c r="BH1435" s="452" t="s">
        <v>280</v>
      </c>
      <c r="BI1435" s="452" t="s">
        <v>632</v>
      </c>
      <c r="BJ1435" s="452" t="s">
        <v>51</v>
      </c>
      <c r="BK1435" s="452">
        <v>7</v>
      </c>
      <c r="BL1435" s="1819">
        <v>99812236.790000007</v>
      </c>
      <c r="BM1435" s="1820">
        <v>4.4987430003220225E-2</v>
      </c>
      <c r="BN1435" s="452">
        <v>2022</v>
      </c>
    </row>
    <row r="1436" spans="53:66">
      <c r="BA1436" s="452" t="s">
        <v>4</v>
      </c>
      <c r="BB1436" s="1818">
        <v>2023</v>
      </c>
      <c r="BC1436" s="452" t="s">
        <v>32</v>
      </c>
      <c r="BE1436" s="1824" t="s">
        <v>165</v>
      </c>
      <c r="BF1436" s="1900">
        <v>7.710287506468903E-3</v>
      </c>
      <c r="BH1436" s="452" t="s">
        <v>280</v>
      </c>
      <c r="BI1436" s="452" t="s">
        <v>632</v>
      </c>
      <c r="BJ1436" s="452" t="s">
        <v>583</v>
      </c>
      <c r="BK1436" s="452">
        <v>8</v>
      </c>
      <c r="BL1436" s="1819">
        <v>97615106.269999996</v>
      </c>
      <c r="BM1436" s="1820">
        <v>4.399713804448574E-2</v>
      </c>
      <c r="BN1436" s="452">
        <v>2022</v>
      </c>
    </row>
    <row r="1437" spans="53:66">
      <c r="BA1437" s="452" t="s">
        <v>4</v>
      </c>
      <c r="BB1437" s="1818">
        <v>2023</v>
      </c>
      <c r="BC1437" s="452" t="s">
        <v>249</v>
      </c>
      <c r="BE1437" s="1824" t="s">
        <v>165</v>
      </c>
      <c r="BH1437" s="452" t="s">
        <v>280</v>
      </c>
      <c r="BI1437" s="452" t="s">
        <v>632</v>
      </c>
      <c r="BJ1437" s="452" t="s">
        <v>42</v>
      </c>
      <c r="BK1437" s="452">
        <v>9</v>
      </c>
      <c r="BL1437" s="1819">
        <v>89547591.079999983</v>
      </c>
      <c r="BM1437" s="1820">
        <v>4.0360942858582403E-2</v>
      </c>
      <c r="BN1437" s="452">
        <v>2022</v>
      </c>
    </row>
    <row r="1438" spans="53:66">
      <c r="BH1438" s="452" t="s">
        <v>280</v>
      </c>
      <c r="BI1438" s="452" t="s">
        <v>632</v>
      </c>
      <c r="BJ1438" s="452" t="s">
        <v>23</v>
      </c>
      <c r="BK1438" s="452">
        <v>10</v>
      </c>
      <c r="BL1438" s="1819">
        <v>76675280.950000003</v>
      </c>
      <c r="BM1438" s="1820">
        <v>3.4559127674623567E-2</v>
      </c>
      <c r="BN1438" s="452">
        <v>2022</v>
      </c>
    </row>
    <row r="1439" spans="53:66">
      <c r="BH1439" s="452" t="s">
        <v>280</v>
      </c>
      <c r="BI1439" s="452" t="s">
        <v>632</v>
      </c>
      <c r="BJ1439" s="452" t="s">
        <v>32</v>
      </c>
      <c r="BL1439" s="1819">
        <v>185434007.64999986</v>
      </c>
      <c r="BM1439" s="1820">
        <v>8.3578924865921458E-2</v>
      </c>
      <c r="BN1439" s="452">
        <v>2022</v>
      </c>
    </row>
    <row r="1440" spans="53:66">
      <c r="BH1440" s="452" t="s">
        <v>280</v>
      </c>
      <c r="BI1440" s="452" t="s">
        <v>632</v>
      </c>
      <c r="BJ1440" s="452" t="s">
        <v>249</v>
      </c>
      <c r="BL1440" s="1819">
        <v>2218669454.6199994</v>
      </c>
      <c r="BN1440" s="452">
        <v>2022</v>
      </c>
    </row>
    <row r="1441" spans="60:66">
      <c r="BH1441" s="452" t="s">
        <v>228</v>
      </c>
      <c r="BI1441" s="452" t="s">
        <v>632</v>
      </c>
      <c r="BJ1441" s="452" t="s">
        <v>53</v>
      </c>
      <c r="BK1441" s="452">
        <v>1</v>
      </c>
      <c r="BL1441" s="1824" t="s">
        <v>165</v>
      </c>
      <c r="BM1441" s="1820">
        <v>0.24532905146583139</v>
      </c>
      <c r="BN1441" s="452">
        <v>2022</v>
      </c>
    </row>
    <row r="1442" spans="60:66">
      <c r="BH1442" s="452" t="s">
        <v>228</v>
      </c>
      <c r="BI1442" s="452" t="s">
        <v>632</v>
      </c>
      <c r="BJ1442" s="452" t="s">
        <v>627</v>
      </c>
      <c r="BK1442" s="452">
        <v>2</v>
      </c>
      <c r="BL1442" s="1824" t="s">
        <v>165</v>
      </c>
      <c r="BM1442" s="1820">
        <v>0.19303220379103109</v>
      </c>
      <c r="BN1442" s="452">
        <v>2022</v>
      </c>
    </row>
    <row r="1443" spans="60:66">
      <c r="BH1443" s="452" t="s">
        <v>228</v>
      </c>
      <c r="BI1443" s="452" t="s">
        <v>632</v>
      </c>
      <c r="BJ1443" s="452" t="s">
        <v>20</v>
      </c>
      <c r="BK1443" s="452">
        <v>3</v>
      </c>
      <c r="BL1443" s="1824" t="s">
        <v>165</v>
      </c>
      <c r="BM1443" s="1820">
        <v>0.14967269963278801</v>
      </c>
      <c r="BN1443" s="452">
        <v>2022</v>
      </c>
    </row>
    <row r="1444" spans="60:66">
      <c r="BH1444" s="452" t="s">
        <v>228</v>
      </c>
      <c r="BI1444" s="452" t="s">
        <v>632</v>
      </c>
      <c r="BJ1444" s="452" t="s">
        <v>46</v>
      </c>
      <c r="BK1444" s="452">
        <v>4</v>
      </c>
      <c r="BL1444" s="1824" t="s">
        <v>165</v>
      </c>
      <c r="BM1444" s="1820">
        <v>0.11292379127363691</v>
      </c>
      <c r="BN1444" s="452">
        <v>2022</v>
      </c>
    </row>
    <row r="1445" spans="60:66">
      <c r="BH1445" s="452" t="s">
        <v>228</v>
      </c>
      <c r="BI1445" s="452" t="s">
        <v>632</v>
      </c>
      <c r="BJ1445" s="452" t="s">
        <v>45</v>
      </c>
      <c r="BK1445" s="452">
        <v>5</v>
      </c>
      <c r="BL1445" s="1824" t="s">
        <v>165</v>
      </c>
      <c r="BM1445" s="1820">
        <v>0.10967903672444441</v>
      </c>
      <c r="BN1445" s="452">
        <v>2022</v>
      </c>
    </row>
    <row r="1446" spans="60:66">
      <c r="BH1446" s="452" t="s">
        <v>228</v>
      </c>
      <c r="BI1446" s="452" t="s">
        <v>632</v>
      </c>
      <c r="BJ1446" s="452" t="s">
        <v>50</v>
      </c>
      <c r="BK1446" s="452">
        <v>6</v>
      </c>
      <c r="BL1446" s="1824" t="s">
        <v>165</v>
      </c>
      <c r="BM1446" s="1820">
        <v>7.8597709202052571E-2</v>
      </c>
      <c r="BN1446" s="452">
        <v>2022</v>
      </c>
    </row>
    <row r="1447" spans="60:66">
      <c r="BH1447" s="452" t="s">
        <v>228</v>
      </c>
      <c r="BI1447" s="452" t="s">
        <v>632</v>
      </c>
      <c r="BJ1447" s="452" t="s">
        <v>15</v>
      </c>
      <c r="BK1447" s="452">
        <v>7</v>
      </c>
      <c r="BL1447" s="1824" t="s">
        <v>165</v>
      </c>
      <c r="BM1447" s="1820">
        <v>7.4452148005326665E-2</v>
      </c>
      <c r="BN1447" s="452">
        <v>2022</v>
      </c>
    </row>
    <row r="1448" spans="60:66">
      <c r="BH1448" s="452" t="s">
        <v>228</v>
      </c>
      <c r="BI1448" s="452" t="s">
        <v>632</v>
      </c>
      <c r="BJ1448" s="452" t="s">
        <v>583</v>
      </c>
      <c r="BK1448" s="452">
        <v>8</v>
      </c>
      <c r="BL1448" s="1824" t="s">
        <v>165</v>
      </c>
      <c r="BM1448" s="1820">
        <v>1.4936041534466309E-2</v>
      </c>
      <c r="BN1448" s="452">
        <v>2022</v>
      </c>
    </row>
    <row r="1449" spans="60:66">
      <c r="BH1449" s="452" t="s">
        <v>228</v>
      </c>
      <c r="BI1449" s="452" t="s">
        <v>632</v>
      </c>
      <c r="BJ1449" s="452" t="s">
        <v>54</v>
      </c>
      <c r="BK1449" s="452">
        <v>9</v>
      </c>
      <c r="BL1449" s="1824" t="s">
        <v>165</v>
      </c>
      <c r="BM1449" s="1820">
        <v>1.1929062019706158E-2</v>
      </c>
      <c r="BN1449" s="452">
        <v>2022</v>
      </c>
    </row>
    <row r="1450" spans="60:66">
      <c r="BH1450" s="452" t="s">
        <v>228</v>
      </c>
      <c r="BI1450" s="452" t="s">
        <v>632</v>
      </c>
      <c r="BJ1450" s="452" t="s">
        <v>18</v>
      </c>
      <c r="BK1450" s="452">
        <v>10</v>
      </c>
      <c r="BL1450" s="1824" t="s">
        <v>165</v>
      </c>
      <c r="BM1450" s="1820">
        <v>9.4482563507165482E-3</v>
      </c>
      <c r="BN1450" s="452">
        <v>2022</v>
      </c>
    </row>
    <row r="1451" spans="60:66">
      <c r="BH1451" s="452" t="s">
        <v>228</v>
      </c>
      <c r="BI1451" s="452" t="s">
        <v>632</v>
      </c>
      <c r="BJ1451" s="452" t="s">
        <v>32</v>
      </c>
      <c r="BL1451" s="1824" t="s">
        <v>165</v>
      </c>
      <c r="BM1451" s="1820">
        <v>0</v>
      </c>
      <c r="BN1451" s="452">
        <v>2022</v>
      </c>
    </row>
    <row r="1452" spans="60:66">
      <c r="BH1452" s="452" t="s">
        <v>228</v>
      </c>
      <c r="BI1452" s="452" t="s">
        <v>632</v>
      </c>
      <c r="BJ1452" s="452" t="s">
        <v>582</v>
      </c>
      <c r="BL1452" s="1824" t="s">
        <v>165</v>
      </c>
      <c r="BN1452" s="452">
        <v>2022</v>
      </c>
    </row>
    <row r="1453" spans="60:66">
      <c r="BH1453" s="452" t="s">
        <v>3</v>
      </c>
      <c r="BI1453" s="452" t="s">
        <v>632</v>
      </c>
      <c r="BJ1453" s="452" t="s">
        <v>15</v>
      </c>
      <c r="BK1453" s="452">
        <v>1</v>
      </c>
      <c r="BL1453" s="1824" t="s">
        <v>165</v>
      </c>
      <c r="BM1453" s="1820">
        <v>0.4631091688301156</v>
      </c>
      <c r="BN1453" s="452">
        <v>2022</v>
      </c>
    </row>
    <row r="1454" spans="60:66">
      <c r="BH1454" s="452" t="s">
        <v>3</v>
      </c>
      <c r="BI1454" s="452" t="s">
        <v>632</v>
      </c>
      <c r="BJ1454" s="452" t="s">
        <v>20</v>
      </c>
      <c r="BK1454" s="452">
        <v>2</v>
      </c>
      <c r="BL1454" s="1824" t="s">
        <v>165</v>
      </c>
      <c r="BM1454" s="1820">
        <v>0.13910200514599041</v>
      </c>
      <c r="BN1454" s="452">
        <v>2022</v>
      </c>
    </row>
    <row r="1455" spans="60:66">
      <c r="BH1455" s="452" t="s">
        <v>3</v>
      </c>
      <c r="BI1455" s="452" t="s">
        <v>632</v>
      </c>
      <c r="BJ1455" s="452" t="s">
        <v>627</v>
      </c>
      <c r="BK1455" s="452">
        <v>3</v>
      </c>
      <c r="BL1455" s="1824" t="s">
        <v>165</v>
      </c>
      <c r="BM1455" s="1820">
        <v>0.11483980860828613</v>
      </c>
      <c r="BN1455" s="452">
        <v>2022</v>
      </c>
    </row>
    <row r="1456" spans="60:66">
      <c r="BH1456" s="452" t="s">
        <v>3</v>
      </c>
      <c r="BI1456" s="452" t="s">
        <v>632</v>
      </c>
      <c r="BJ1456" s="452" t="s">
        <v>23</v>
      </c>
      <c r="BK1456" s="452">
        <v>4</v>
      </c>
      <c r="BL1456" s="1824" t="s">
        <v>165</v>
      </c>
      <c r="BM1456" s="1820">
        <v>9.2479498400683965E-2</v>
      </c>
      <c r="BN1456" s="452">
        <v>2022</v>
      </c>
    </row>
    <row r="1457" spans="60:66">
      <c r="BH1457" s="452" t="s">
        <v>3</v>
      </c>
      <c r="BI1457" s="452" t="s">
        <v>632</v>
      </c>
      <c r="BJ1457" s="452" t="s">
        <v>48</v>
      </c>
      <c r="BK1457" s="452">
        <v>5</v>
      </c>
      <c r="BL1457" s="1824" t="s">
        <v>165</v>
      </c>
      <c r="BM1457" s="1820">
        <v>7.2901627839940933E-2</v>
      </c>
      <c r="BN1457" s="452">
        <v>2022</v>
      </c>
    </row>
    <row r="1458" spans="60:66">
      <c r="BH1458" s="452" t="s">
        <v>3</v>
      </c>
      <c r="BI1458" s="452" t="s">
        <v>632</v>
      </c>
      <c r="BJ1458" s="452" t="s">
        <v>44</v>
      </c>
      <c r="BK1458" s="452">
        <v>6</v>
      </c>
      <c r="BL1458" s="1824" t="s">
        <v>165</v>
      </c>
      <c r="BM1458" s="1820">
        <v>6.2098630263969674E-2</v>
      </c>
      <c r="BN1458" s="452">
        <v>2022</v>
      </c>
    </row>
    <row r="1459" spans="60:66">
      <c r="BH1459" s="452" t="s">
        <v>3</v>
      </c>
      <c r="BI1459" s="452" t="s">
        <v>632</v>
      </c>
      <c r="BJ1459" s="452" t="s">
        <v>18</v>
      </c>
      <c r="BK1459" s="452">
        <v>7</v>
      </c>
      <c r="BL1459" s="1824" t="s">
        <v>165</v>
      </c>
      <c r="BM1459" s="1820">
        <v>1.4199716156403594E-2</v>
      </c>
      <c r="BN1459" s="452">
        <v>2022</v>
      </c>
    </row>
    <row r="1460" spans="60:66">
      <c r="BH1460" s="452" t="s">
        <v>3</v>
      </c>
      <c r="BI1460" s="452" t="s">
        <v>632</v>
      </c>
      <c r="BJ1460" s="452" t="s">
        <v>50</v>
      </c>
      <c r="BK1460" s="452">
        <v>8</v>
      </c>
      <c r="BL1460" s="1824" t="s">
        <v>165</v>
      </c>
      <c r="BM1460" s="1820">
        <v>1.1856651594163924E-2</v>
      </c>
      <c r="BN1460" s="452">
        <v>2022</v>
      </c>
    </row>
    <row r="1461" spans="60:66">
      <c r="BH1461" s="452" t="s">
        <v>3</v>
      </c>
      <c r="BI1461" s="452" t="s">
        <v>632</v>
      </c>
      <c r="BJ1461" s="452" t="s">
        <v>447</v>
      </c>
      <c r="BK1461" s="452">
        <v>9</v>
      </c>
      <c r="BL1461" s="1824" t="s">
        <v>165</v>
      </c>
      <c r="BM1461" s="1820">
        <v>9.7339104920909861E-3</v>
      </c>
      <c r="BN1461" s="452">
        <v>2022</v>
      </c>
    </row>
    <row r="1462" spans="60:66">
      <c r="BH1462" s="452" t="s">
        <v>3</v>
      </c>
      <c r="BI1462" s="452" t="s">
        <v>632</v>
      </c>
      <c r="BJ1462" s="452" t="s">
        <v>583</v>
      </c>
      <c r="BK1462" s="452">
        <v>10</v>
      </c>
      <c r="BL1462" s="1824" t="s">
        <v>165</v>
      </c>
      <c r="BM1462" s="1820">
        <v>6.6647787336051537E-3</v>
      </c>
      <c r="BN1462" s="452">
        <v>2022</v>
      </c>
    </row>
    <row r="1463" spans="60:66">
      <c r="BH1463" s="452" t="s">
        <v>3</v>
      </c>
      <c r="BI1463" s="452" t="s">
        <v>632</v>
      </c>
      <c r="BJ1463" s="452" t="s">
        <v>32</v>
      </c>
      <c r="BL1463" s="1824" t="s">
        <v>165</v>
      </c>
      <c r="BM1463" s="1820">
        <v>1.3014203934749564E-2</v>
      </c>
      <c r="BN1463" s="452">
        <v>2022</v>
      </c>
    </row>
    <row r="1464" spans="60:66">
      <c r="BH1464" s="452" t="s">
        <v>3</v>
      </c>
      <c r="BI1464" s="452" t="s">
        <v>632</v>
      </c>
      <c r="BJ1464" s="452" t="s">
        <v>249</v>
      </c>
      <c r="BL1464" s="1824" t="s">
        <v>165</v>
      </c>
      <c r="BN1464" s="452">
        <v>2022</v>
      </c>
    </row>
    <row r="1465" spans="60:66">
      <c r="BH1465" s="452" t="s">
        <v>4</v>
      </c>
      <c r="BI1465" s="452" t="s">
        <v>632</v>
      </c>
      <c r="BJ1465" s="452" t="s">
        <v>20</v>
      </c>
      <c r="BK1465" s="452">
        <v>1</v>
      </c>
      <c r="BL1465" s="1824" t="s">
        <v>165</v>
      </c>
      <c r="BM1465" s="1820">
        <v>0.36308152289908224</v>
      </c>
      <c r="BN1465" s="452">
        <v>2022</v>
      </c>
    </row>
    <row r="1466" spans="60:66">
      <c r="BH1466" s="452" t="s">
        <v>4</v>
      </c>
      <c r="BI1466" s="452" t="s">
        <v>632</v>
      </c>
      <c r="BJ1466" s="452" t="s">
        <v>627</v>
      </c>
      <c r="BK1466" s="452">
        <v>2</v>
      </c>
      <c r="BL1466" s="1824" t="s">
        <v>165</v>
      </c>
      <c r="BM1466" s="1820">
        <v>0.13769985431556217</v>
      </c>
      <c r="BN1466" s="452">
        <v>2022</v>
      </c>
    </row>
    <row r="1467" spans="60:66">
      <c r="BH1467" s="452" t="s">
        <v>4</v>
      </c>
      <c r="BI1467" s="452" t="s">
        <v>632</v>
      </c>
      <c r="BJ1467" s="452" t="s">
        <v>15</v>
      </c>
      <c r="BK1467" s="452">
        <v>3</v>
      </c>
      <c r="BL1467" s="1824" t="s">
        <v>165</v>
      </c>
      <c r="BM1467" s="1820">
        <v>0.13328671583328253</v>
      </c>
      <c r="BN1467" s="452">
        <v>2022</v>
      </c>
    </row>
    <row r="1468" spans="60:66">
      <c r="BH1468" s="452" t="s">
        <v>4</v>
      </c>
      <c r="BI1468" s="452" t="s">
        <v>632</v>
      </c>
      <c r="BJ1468" s="452" t="s">
        <v>583</v>
      </c>
      <c r="BK1468" s="452">
        <v>4</v>
      </c>
      <c r="BL1468" s="1824" t="s">
        <v>165</v>
      </c>
      <c r="BM1468" s="1820">
        <v>0.12771152997670998</v>
      </c>
      <c r="BN1468" s="452">
        <v>2022</v>
      </c>
    </row>
    <row r="1469" spans="60:66">
      <c r="BH1469" s="452" t="s">
        <v>4</v>
      </c>
      <c r="BI1469" s="452" t="s">
        <v>632</v>
      </c>
      <c r="BJ1469" s="452" t="s">
        <v>49</v>
      </c>
      <c r="BK1469" s="452">
        <v>5</v>
      </c>
      <c r="BL1469" s="1824" t="s">
        <v>165</v>
      </c>
      <c r="BM1469" s="1820">
        <v>0.12721346257522223</v>
      </c>
      <c r="BN1469" s="452">
        <v>2022</v>
      </c>
    </row>
    <row r="1470" spans="60:66">
      <c r="BH1470" s="452" t="s">
        <v>4</v>
      </c>
      <c r="BI1470" s="452" t="s">
        <v>632</v>
      </c>
      <c r="BJ1470" s="452" t="s">
        <v>28</v>
      </c>
      <c r="BK1470" s="452">
        <v>6</v>
      </c>
      <c r="BL1470" s="1824" t="s">
        <v>165</v>
      </c>
      <c r="BM1470" s="1820">
        <v>4.1650959839145713E-2</v>
      </c>
      <c r="BN1470" s="452">
        <v>2022</v>
      </c>
    </row>
    <row r="1471" spans="60:66">
      <c r="BH1471" s="452" t="s">
        <v>4</v>
      </c>
      <c r="BI1471" s="452" t="s">
        <v>632</v>
      </c>
      <c r="BJ1471" s="452" t="s">
        <v>21</v>
      </c>
      <c r="BK1471" s="452">
        <v>7</v>
      </c>
      <c r="BL1471" s="1824" t="s">
        <v>165</v>
      </c>
      <c r="BM1471" s="1820">
        <v>2.259655114768867E-2</v>
      </c>
      <c r="BN1471" s="452">
        <v>2022</v>
      </c>
    </row>
    <row r="1472" spans="60:66">
      <c r="BH1472" s="452" t="s">
        <v>4</v>
      </c>
      <c r="BI1472" s="452" t="s">
        <v>632</v>
      </c>
      <c r="BJ1472" s="452" t="s">
        <v>19</v>
      </c>
      <c r="BK1472" s="452">
        <v>8</v>
      </c>
      <c r="BL1472" s="1824" t="s">
        <v>165</v>
      </c>
      <c r="BM1472" s="1820">
        <v>2.0565609923989953E-2</v>
      </c>
      <c r="BN1472" s="452">
        <v>2022</v>
      </c>
    </row>
    <row r="1473" spans="60:66">
      <c r="BH1473" s="452" t="s">
        <v>4</v>
      </c>
      <c r="BI1473" s="452" t="s">
        <v>632</v>
      </c>
      <c r="BJ1473" s="452" t="s">
        <v>18</v>
      </c>
      <c r="BK1473" s="452">
        <v>9</v>
      </c>
      <c r="BL1473" s="1824" t="s">
        <v>165</v>
      </c>
      <c r="BM1473" s="1820">
        <v>1.2767825106850619E-2</v>
      </c>
      <c r="BN1473" s="452">
        <v>2022</v>
      </c>
    </row>
    <row r="1474" spans="60:66">
      <c r="BH1474" s="452" t="s">
        <v>4</v>
      </c>
      <c r="BI1474" s="452" t="s">
        <v>632</v>
      </c>
      <c r="BJ1474" s="452" t="s">
        <v>655</v>
      </c>
      <c r="BK1474" s="452">
        <v>10</v>
      </c>
      <c r="BL1474" s="1824" t="s">
        <v>165</v>
      </c>
      <c r="BM1474" s="1820">
        <v>5.8181027424528565E-3</v>
      </c>
      <c r="BN1474" s="452">
        <v>2022</v>
      </c>
    </row>
    <row r="1475" spans="60:66">
      <c r="BH1475" s="452" t="s">
        <v>4</v>
      </c>
      <c r="BI1475" s="452" t="s">
        <v>632</v>
      </c>
      <c r="BJ1475" s="452" t="s">
        <v>32</v>
      </c>
      <c r="BL1475" s="1824" t="s">
        <v>165</v>
      </c>
      <c r="BM1475" s="1820">
        <v>7.6078656400128866E-3</v>
      </c>
      <c r="BN1475" s="452">
        <v>2022</v>
      </c>
    </row>
    <row r="1476" spans="60:66">
      <c r="BH1476" s="452" t="s">
        <v>4</v>
      </c>
      <c r="BI1476" s="452" t="s">
        <v>632</v>
      </c>
      <c r="BJ1476" s="452" t="s">
        <v>249</v>
      </c>
      <c r="BL1476" s="1824" t="s">
        <v>165</v>
      </c>
      <c r="BN1476" s="452">
        <v>2022</v>
      </c>
    </row>
  </sheetData>
  <sortState xmlns:xlrd2="http://schemas.microsoft.com/office/spreadsheetml/2017/richdata2" ref="BC929:BE938">
    <sortCondition descending="1" ref="BE929:BE938"/>
  </sortState>
  <mergeCells count="2">
    <mergeCell ref="BA5:BF5"/>
    <mergeCell ref="BH5:BN5"/>
  </mergeCells>
  <hyperlinks>
    <hyperlink ref="AW546" location="'Calendar Commodity Summary'!AP10:BX50" display="Click for Summary Table" xr:uid="{00000000-0004-0000-0500-000000000000}"/>
    <hyperlink ref="AV547" location="'Calendar Commodity Summary'!AP10:BX50" display="Click for Summary Table" xr:uid="{00000000-0004-0000-0500-000001000000}"/>
    <hyperlink ref="BI118" location="'Calendar Commodity Summary'!AP10:BX50" display="Click for Summary Table" xr:uid="{00000000-0004-0000-0500-000002000000}"/>
    <hyperlink ref="BA533" location="'Calendar Commodity Summary'!AP10:BX50" display="Click for Summary Table" xr:uid="{00000000-0004-0000-0500-000003000000}"/>
    <hyperlink ref="AR550" location="'Calendar Commodity Summary'!AP10:BX50" display="Click for Summary Table" xr:uid="{00000000-0004-0000-0500-000004000000}"/>
    <hyperlink ref="AS549" location="'Calendar Commodity Summary'!AP10:BX50" display="Click for Summary Table" xr:uid="{00000000-0004-0000-0500-000005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S834"/>
  <sheetViews>
    <sheetView showGridLines="0" workbookViewId="0"/>
  </sheetViews>
  <sheetFormatPr defaultColWidth="9.140625" defaultRowHeight="15"/>
  <cols>
    <col min="1" max="1" width="40.7109375" style="154" customWidth="1"/>
    <col min="2" max="2" width="6.85546875" style="154" customWidth="1"/>
    <col min="3" max="3" width="21.7109375" style="151" bestFit="1" customWidth="1"/>
    <col min="4" max="4" width="20.42578125" style="151" bestFit="1" customWidth="1"/>
    <col min="5" max="5" width="14.85546875" style="154" bestFit="1" customWidth="1"/>
    <col min="6" max="6" width="12.7109375" style="154" bestFit="1" customWidth="1"/>
    <col min="7" max="7" width="14.85546875" style="154" bestFit="1" customWidth="1"/>
    <col min="8" max="8" width="12.7109375" style="154" bestFit="1" customWidth="1"/>
    <col min="9" max="9" width="14.85546875" style="154" bestFit="1" customWidth="1"/>
    <col min="10" max="10" width="12.7109375" style="154" bestFit="1" customWidth="1"/>
    <col min="11" max="11" width="14.85546875" style="154" bestFit="1" customWidth="1"/>
    <col min="12" max="12" width="12.7109375" style="154" bestFit="1" customWidth="1"/>
    <col min="13" max="13" width="14.85546875" style="154" bestFit="1" customWidth="1"/>
    <col min="14" max="14" width="12.7109375" style="154" bestFit="1" customWidth="1"/>
    <col min="15" max="15" width="14.85546875" style="154" bestFit="1" customWidth="1"/>
    <col min="16" max="16" width="12.7109375" style="154" bestFit="1" customWidth="1"/>
    <col min="17" max="17" width="14.85546875" style="154" bestFit="1" customWidth="1"/>
    <col min="18" max="18" width="12.7109375" style="154" bestFit="1" customWidth="1"/>
    <col min="19" max="19" width="14.85546875" style="154" bestFit="1" customWidth="1"/>
    <col min="20" max="20" width="12.7109375" style="154" bestFit="1" customWidth="1"/>
    <col min="21" max="21" width="14.85546875" style="154" bestFit="1" customWidth="1"/>
    <col min="22" max="22" width="12.7109375" style="154" bestFit="1" customWidth="1"/>
    <col min="23" max="23" width="14.85546875" style="154" bestFit="1" customWidth="1"/>
    <col min="24" max="24" width="12.7109375" style="154" bestFit="1" customWidth="1"/>
    <col min="25" max="25" width="14.85546875" style="154" bestFit="1" customWidth="1"/>
    <col min="26" max="26" width="13.85546875" style="154" bestFit="1" customWidth="1"/>
    <col min="27" max="27" width="14.85546875" style="154" bestFit="1" customWidth="1"/>
    <col min="28" max="28" width="13.85546875" style="154" bestFit="1" customWidth="1"/>
    <col min="29" max="29" width="14.85546875" style="154" bestFit="1" customWidth="1"/>
    <col min="30" max="30" width="13.85546875" style="154" bestFit="1" customWidth="1"/>
    <col min="31" max="31" width="14.85546875" style="152" bestFit="1" customWidth="1"/>
    <col min="32" max="32" width="13.85546875" style="152" bestFit="1" customWidth="1"/>
    <col min="33" max="33" width="14.85546875" style="154" bestFit="1" customWidth="1"/>
    <col min="34" max="34" width="13.85546875" style="154" bestFit="1" customWidth="1"/>
    <col min="35" max="35" width="14.85546875" style="154" bestFit="1" customWidth="1"/>
    <col min="36" max="36" width="13.85546875" style="154" bestFit="1" customWidth="1"/>
    <col min="37" max="37" width="14.85546875" style="251" bestFit="1" customWidth="1"/>
    <col min="38" max="38" width="13.85546875" style="251" bestFit="1" customWidth="1"/>
    <col min="39" max="39" width="14.85546875" style="154" bestFit="1" customWidth="1"/>
    <col min="40" max="40" width="13.85546875" style="154" bestFit="1" customWidth="1"/>
    <col min="41" max="41" width="14.85546875" style="155" bestFit="1" customWidth="1"/>
    <col min="42" max="42" width="13.85546875" style="155" bestFit="1" customWidth="1"/>
    <col min="43" max="43" width="14.85546875" style="154" bestFit="1" customWidth="1"/>
    <col min="44" max="44" width="13.85546875" style="154" bestFit="1" customWidth="1"/>
    <col min="45" max="45" width="14.85546875" style="154" bestFit="1" customWidth="1"/>
    <col min="46" max="46" width="13.85546875" style="154" bestFit="1" customWidth="1"/>
    <col min="47" max="47" width="14.85546875" style="154" bestFit="1" customWidth="1"/>
    <col min="48" max="48" width="13.85546875" style="154" bestFit="1" customWidth="1"/>
    <col min="49" max="49" width="14.85546875" style="154" bestFit="1" customWidth="1"/>
    <col min="50" max="50" width="13.85546875" style="154" bestFit="1" customWidth="1"/>
    <col min="51" max="51" width="14.85546875" style="153" bestFit="1" customWidth="1"/>
    <col min="52" max="52" width="13.85546875" style="153" bestFit="1" customWidth="1"/>
    <col min="53" max="53" width="3" style="154" hidden="1" customWidth="1"/>
    <col min="54" max="54" width="11.140625" style="154" hidden="1" customWidth="1"/>
    <col min="55" max="55" width="3.140625" style="154" hidden="1" customWidth="1"/>
    <col min="56" max="56" width="13.85546875" style="154" hidden="1" customWidth="1"/>
    <col min="57" max="57" width="3.140625" style="154" hidden="1" customWidth="1"/>
    <col min="58" max="58" width="11.140625" style="154" hidden="1" customWidth="1"/>
    <col min="59" max="59" width="3.140625" style="154" hidden="1" customWidth="1"/>
    <col min="60" max="60" width="13.85546875" style="154" hidden="1" customWidth="1"/>
    <col min="61" max="61" width="3.140625" style="154" hidden="1" customWidth="1"/>
    <col min="62" max="62" width="16.7109375" style="154" bestFit="1" customWidth="1"/>
    <col min="63" max="63" width="12" style="98" bestFit="1" customWidth="1"/>
    <col min="64" max="64" width="4" style="98" customWidth="1"/>
    <col min="65" max="65" width="13.85546875" style="98" bestFit="1" customWidth="1"/>
    <col min="66" max="164" width="9.140625" style="98"/>
    <col min="165" max="165" width="11.140625" style="98" bestFit="1" customWidth="1"/>
    <col min="166" max="16384" width="9.140625" style="98"/>
  </cols>
  <sheetData>
    <row r="1" spans="1:1163">
      <c r="BJ1" s="98"/>
    </row>
    <row r="2" spans="1:1163">
      <c r="W2" s="155"/>
      <c r="BJ2" s="98"/>
    </row>
    <row r="3" spans="1:1163">
      <c r="W3" s="155"/>
      <c r="BJ3" s="98"/>
    </row>
    <row r="4" spans="1:1163">
      <c r="O4" s="156"/>
      <c r="BJ4" s="98"/>
    </row>
    <row r="5" spans="1:1163">
      <c r="A5" s="307" t="s">
        <v>419</v>
      </c>
      <c r="B5" s="98"/>
      <c r="C5" s="157"/>
      <c r="D5" s="157"/>
      <c r="E5" s="98"/>
      <c r="F5" s="98"/>
      <c r="G5" s="98"/>
      <c r="H5" s="98"/>
      <c r="I5" s="98"/>
      <c r="J5" s="98"/>
      <c r="K5" s="98"/>
      <c r="L5" s="98"/>
      <c r="M5" s="98"/>
      <c r="N5" s="98"/>
      <c r="O5" s="158"/>
      <c r="P5" s="98"/>
      <c r="Q5" s="98"/>
      <c r="R5" s="98"/>
      <c r="S5" s="98"/>
      <c r="T5" s="98"/>
      <c r="U5" s="98"/>
      <c r="V5" s="98"/>
      <c r="W5" s="98"/>
      <c r="X5" s="98"/>
      <c r="Y5" s="98"/>
      <c r="Z5" s="98"/>
      <c r="AA5" s="98"/>
      <c r="AB5" s="98"/>
      <c r="AC5" s="98"/>
      <c r="AD5" s="98"/>
      <c r="AE5" s="159"/>
      <c r="AF5" s="159"/>
      <c r="AG5" s="98"/>
      <c r="AH5" s="98"/>
      <c r="AI5" s="98"/>
      <c r="AJ5" s="98"/>
      <c r="AK5" s="225"/>
      <c r="AL5" s="225"/>
      <c r="AM5" s="98"/>
      <c r="AN5" s="98"/>
      <c r="AO5" s="148"/>
      <c r="AP5" s="148"/>
      <c r="AS5" s="98"/>
      <c r="AT5" s="98"/>
      <c r="AU5" s="98"/>
      <c r="AV5" s="98"/>
      <c r="AW5" s="98"/>
      <c r="AX5" s="98"/>
      <c r="AY5" s="160"/>
      <c r="AZ5" s="160"/>
      <c r="BA5" s="98"/>
      <c r="BB5" s="98"/>
      <c r="BC5" s="98"/>
      <c r="BD5" s="98"/>
      <c r="BE5" s="98"/>
      <c r="BF5" s="98"/>
      <c r="BG5" s="98"/>
      <c r="BH5" s="98"/>
      <c r="BI5" s="98"/>
      <c r="BJ5" s="98"/>
    </row>
    <row r="6" spans="1:1163">
      <c r="A6" s="98"/>
      <c r="B6" s="98"/>
      <c r="C6" s="157"/>
      <c r="D6" s="157"/>
      <c r="E6" s="98"/>
      <c r="F6" s="98"/>
      <c r="G6" s="98"/>
      <c r="H6" s="98"/>
      <c r="I6" s="98"/>
      <c r="J6" s="98"/>
      <c r="K6" s="98"/>
      <c r="L6" s="98"/>
      <c r="M6" s="98"/>
      <c r="N6" s="98"/>
      <c r="O6" s="98"/>
      <c r="P6" s="98"/>
      <c r="Q6" s="98"/>
      <c r="R6" s="98"/>
      <c r="S6" s="98"/>
      <c r="T6" s="98"/>
      <c r="U6" s="98"/>
      <c r="V6" s="98"/>
      <c r="W6" s="98"/>
      <c r="X6" s="98"/>
      <c r="Y6" s="98"/>
      <c r="Z6" s="98"/>
      <c r="AA6" s="98"/>
      <c r="AB6" s="98"/>
      <c r="AC6" s="98"/>
      <c r="AD6" s="98"/>
      <c r="AE6" s="159"/>
      <c r="AF6" s="159"/>
      <c r="AG6" s="98"/>
      <c r="AH6" s="98"/>
      <c r="AI6" s="98"/>
      <c r="AJ6" s="98"/>
      <c r="AK6" s="225"/>
      <c r="AL6" s="225"/>
      <c r="AM6" s="98"/>
      <c r="AN6" s="98"/>
      <c r="AO6" s="148"/>
      <c r="AP6" s="148"/>
      <c r="AS6" s="98"/>
      <c r="AT6" s="98"/>
      <c r="AU6" s="98"/>
      <c r="AV6" s="98"/>
      <c r="AW6" s="98"/>
      <c r="AX6" s="98"/>
      <c r="AY6" s="160"/>
      <c r="AZ6" s="160"/>
      <c r="BA6" s="98"/>
      <c r="BB6" s="98"/>
      <c r="BC6" s="98"/>
      <c r="BD6" s="98"/>
      <c r="BE6" s="98"/>
      <c r="BF6" s="98"/>
      <c r="BG6" s="98"/>
      <c r="BH6" s="98"/>
      <c r="BI6" s="98"/>
      <c r="BJ6" s="98"/>
    </row>
    <row r="7" spans="1:1163">
      <c r="A7" s="134"/>
      <c r="B7" s="134"/>
      <c r="C7" s="1939" t="s">
        <v>87</v>
      </c>
      <c r="D7" s="1939"/>
      <c r="E7" s="1940">
        <v>1980</v>
      </c>
      <c r="F7" s="1940"/>
      <c r="G7" s="1938">
        <v>1981</v>
      </c>
      <c r="H7" s="1938"/>
      <c r="I7" s="1938">
        <v>1982</v>
      </c>
      <c r="J7" s="1938"/>
      <c r="K7" s="1938">
        <v>1983</v>
      </c>
      <c r="L7" s="1938"/>
      <c r="M7" s="1938">
        <v>1984</v>
      </c>
      <c r="N7" s="1938"/>
      <c r="O7" s="1938">
        <v>1985</v>
      </c>
      <c r="P7" s="1938"/>
      <c r="Q7" s="1938">
        <v>1986</v>
      </c>
      <c r="R7" s="1938"/>
      <c r="S7" s="1938">
        <v>1987</v>
      </c>
      <c r="T7" s="1938"/>
      <c r="U7" s="1938">
        <v>1988</v>
      </c>
      <c r="V7" s="1938"/>
      <c r="W7" s="1938">
        <v>1989</v>
      </c>
      <c r="X7" s="1938"/>
      <c r="Y7" s="1938">
        <v>1990</v>
      </c>
      <c r="Z7" s="1938"/>
      <c r="AA7" s="1938">
        <v>1991</v>
      </c>
      <c r="AB7" s="1938"/>
      <c r="AC7" s="1938">
        <v>1992</v>
      </c>
      <c r="AD7" s="1938"/>
      <c r="AE7" s="1938">
        <v>1993</v>
      </c>
      <c r="AF7" s="1938"/>
      <c r="AG7" s="1940">
        <v>1994</v>
      </c>
      <c r="AH7" s="1940"/>
      <c r="AI7" s="1940">
        <v>1995</v>
      </c>
      <c r="AJ7" s="1940"/>
      <c r="AK7" s="1940">
        <v>1996</v>
      </c>
      <c r="AL7" s="1940"/>
      <c r="AM7" s="1940">
        <v>1997</v>
      </c>
      <c r="AN7" s="1940"/>
      <c r="AO7" s="1938">
        <v>1998</v>
      </c>
      <c r="AP7" s="1938"/>
      <c r="AQ7" s="1492">
        <v>1999</v>
      </c>
      <c r="AR7" s="132"/>
      <c r="AS7" s="1941">
        <v>2000</v>
      </c>
      <c r="AT7" s="1941"/>
      <c r="AU7" s="1941">
        <v>2001</v>
      </c>
      <c r="AV7" s="1941"/>
      <c r="AW7" s="1941">
        <v>2002</v>
      </c>
      <c r="AX7" s="1941"/>
      <c r="AY7" s="1941">
        <v>2003</v>
      </c>
      <c r="AZ7" s="1941"/>
      <c r="BA7" s="174"/>
      <c r="BB7" s="1941"/>
      <c r="BC7" s="1941"/>
      <c r="BD7" s="1941"/>
      <c r="BE7" s="1493"/>
      <c r="BF7" s="1941"/>
      <c r="BG7" s="1941"/>
      <c r="BH7" s="1941"/>
      <c r="BI7" s="174"/>
      <c r="BJ7" s="98"/>
    </row>
    <row r="8" spans="1:1163">
      <c r="A8" s="116" t="s">
        <v>88</v>
      </c>
      <c r="B8" s="1492" t="s">
        <v>89</v>
      </c>
      <c r="C8" s="672" t="str">
        <f>CONCATENATE(C7, " Quantity")</f>
        <v>1886 to 1980 Quantity</v>
      </c>
      <c r="D8" s="673" t="str">
        <f>CONCATENATE(C7, " Value $")</f>
        <v>1886 to 1980 Value $</v>
      </c>
      <c r="E8" s="672" t="str">
        <f t="shared" ref="E8" si="0">CONCATENATE(E7, " Quantity")</f>
        <v>1980 Quantity</v>
      </c>
      <c r="F8" s="673" t="str">
        <f t="shared" ref="F8" si="1">CONCATENATE(E7, " Value $")</f>
        <v>1980 Value $</v>
      </c>
      <c r="G8" s="672" t="str">
        <f t="shared" ref="G8" si="2">CONCATENATE(G7, " Quantity")</f>
        <v>1981 Quantity</v>
      </c>
      <c r="H8" s="673" t="str">
        <f t="shared" ref="H8" si="3">CONCATENATE(G7, " Value $")</f>
        <v>1981 Value $</v>
      </c>
      <c r="I8" s="672" t="str">
        <f t="shared" ref="I8" si="4">CONCATENATE(I7, " Quantity")</f>
        <v>1982 Quantity</v>
      </c>
      <c r="J8" s="673" t="str">
        <f t="shared" ref="J8" si="5">CONCATENATE(I7, " Value $")</f>
        <v>1982 Value $</v>
      </c>
      <c r="K8" s="672" t="str">
        <f t="shared" ref="K8" si="6">CONCATENATE(K7, " Quantity")</f>
        <v>1983 Quantity</v>
      </c>
      <c r="L8" s="673" t="str">
        <f t="shared" ref="L8" si="7">CONCATENATE(K7, " Value $")</f>
        <v>1983 Value $</v>
      </c>
      <c r="M8" s="672" t="str">
        <f t="shared" ref="M8" si="8">CONCATENATE(M7, " Quantity")</f>
        <v>1984 Quantity</v>
      </c>
      <c r="N8" s="673" t="str">
        <f t="shared" ref="N8" si="9">CONCATENATE(M7, " Value $")</f>
        <v>1984 Value $</v>
      </c>
      <c r="O8" s="672" t="str">
        <f t="shared" ref="O8" si="10">CONCATENATE(O7, " Quantity")</f>
        <v>1985 Quantity</v>
      </c>
      <c r="P8" s="673" t="str">
        <f t="shared" ref="P8" si="11">CONCATENATE(O7, " Value $")</f>
        <v>1985 Value $</v>
      </c>
      <c r="Q8" s="672" t="str">
        <f t="shared" ref="Q8" si="12">CONCATENATE(Q7, " Quantity")</f>
        <v>1986 Quantity</v>
      </c>
      <c r="R8" s="673" t="str">
        <f t="shared" ref="R8" si="13">CONCATENATE(Q7, " Value $")</f>
        <v>1986 Value $</v>
      </c>
      <c r="S8" s="672" t="str">
        <f t="shared" ref="S8" si="14">CONCATENATE(S7, " Quantity")</f>
        <v>1987 Quantity</v>
      </c>
      <c r="T8" s="673" t="str">
        <f t="shared" ref="T8" si="15">CONCATENATE(S7, " Value $")</f>
        <v>1987 Value $</v>
      </c>
      <c r="U8" s="672" t="str">
        <f t="shared" ref="U8" si="16">CONCATENATE(U7, " Quantity")</f>
        <v>1988 Quantity</v>
      </c>
      <c r="V8" s="673" t="str">
        <f t="shared" ref="V8" si="17">CONCATENATE(U7, " Value $")</f>
        <v>1988 Value $</v>
      </c>
      <c r="W8" s="672" t="str">
        <f t="shared" ref="W8" si="18">CONCATENATE(W7, " Quantity")</f>
        <v>1989 Quantity</v>
      </c>
      <c r="X8" s="673" t="str">
        <f t="shared" ref="X8" si="19">CONCATENATE(W7, " Value $")</f>
        <v>1989 Value $</v>
      </c>
      <c r="Y8" s="672" t="str">
        <f t="shared" ref="Y8" si="20">CONCATENATE(Y7, " Quantity")</f>
        <v>1990 Quantity</v>
      </c>
      <c r="Z8" s="673" t="str">
        <f t="shared" ref="Z8" si="21">CONCATENATE(Y7, " Value $")</f>
        <v>1990 Value $</v>
      </c>
      <c r="AA8" s="672" t="str">
        <f t="shared" ref="AA8" si="22">CONCATENATE(AA7, " Quantity")</f>
        <v>1991 Quantity</v>
      </c>
      <c r="AB8" s="673" t="str">
        <f t="shared" ref="AB8" si="23">CONCATENATE(AA7, " Value $")</f>
        <v>1991 Value $</v>
      </c>
      <c r="AC8" s="672" t="str">
        <f t="shared" ref="AC8" si="24">CONCATENATE(AC7, " Quantity")</f>
        <v>1992 Quantity</v>
      </c>
      <c r="AD8" s="673" t="str">
        <f t="shared" ref="AD8" si="25">CONCATENATE(AC7, " Value $")</f>
        <v>1992 Value $</v>
      </c>
      <c r="AE8" s="672" t="str">
        <f t="shared" ref="AE8" si="26">CONCATENATE(AE7, " Quantity")</f>
        <v>1993 Quantity</v>
      </c>
      <c r="AF8" s="673" t="str">
        <f t="shared" ref="AF8" si="27">CONCATENATE(AE7, " Value $")</f>
        <v>1993 Value $</v>
      </c>
      <c r="AG8" s="672" t="str">
        <f t="shared" ref="AG8" si="28">CONCATENATE(AG7, " Quantity")</f>
        <v>1994 Quantity</v>
      </c>
      <c r="AH8" s="673" t="str">
        <f t="shared" ref="AH8" si="29">CONCATENATE(AG7, " Value $")</f>
        <v>1994 Value $</v>
      </c>
      <c r="AI8" s="672" t="str">
        <f t="shared" ref="AI8" si="30">CONCATENATE(AI7, " Quantity")</f>
        <v>1995 Quantity</v>
      </c>
      <c r="AJ8" s="673" t="str">
        <f t="shared" ref="AJ8" si="31">CONCATENATE(AI7, " Value $")</f>
        <v>1995 Value $</v>
      </c>
      <c r="AK8" s="672" t="str">
        <f t="shared" ref="AK8" si="32">CONCATENATE(AK7, " Quantity")</f>
        <v>1996 Quantity</v>
      </c>
      <c r="AL8" s="673" t="str">
        <f t="shared" ref="AL8" si="33">CONCATENATE(AK7, " Value $")</f>
        <v>1996 Value $</v>
      </c>
      <c r="AM8" s="672" t="str">
        <f t="shared" ref="AM8" si="34">CONCATENATE(AM7, " Quantity")</f>
        <v>1997 Quantity</v>
      </c>
      <c r="AN8" s="673" t="str">
        <f t="shared" ref="AN8" si="35">CONCATENATE(AM7, " Value $")</f>
        <v>1997 Value $</v>
      </c>
      <c r="AO8" s="672" t="str">
        <f t="shared" ref="AO8" si="36">CONCATENATE(AO7, " Quantity")</f>
        <v>1998 Quantity</v>
      </c>
      <c r="AP8" s="673" t="str">
        <f t="shared" ref="AP8" si="37">CONCATENATE(AO7, " Value $")</f>
        <v>1998 Value $</v>
      </c>
      <c r="AQ8" s="672" t="str">
        <f t="shared" ref="AQ8" si="38">CONCATENATE(AQ7, " Quantity")</f>
        <v>1999 Quantity</v>
      </c>
      <c r="AR8" s="673" t="str">
        <f t="shared" ref="AR8" si="39">CONCATENATE(AQ7, " Value $")</f>
        <v>1999 Value $</v>
      </c>
      <c r="AS8" s="672" t="str">
        <f t="shared" ref="AS8" si="40">CONCATENATE(AS7, " Quantity")</f>
        <v>2000 Quantity</v>
      </c>
      <c r="AT8" s="673" t="str">
        <f t="shared" ref="AT8" si="41">CONCATENATE(AS7, " Value $")</f>
        <v>2000 Value $</v>
      </c>
      <c r="AU8" s="672" t="str">
        <f t="shared" ref="AU8" si="42">CONCATENATE(AU7, " Quantity")</f>
        <v>2001 Quantity</v>
      </c>
      <c r="AV8" s="673" t="str">
        <f t="shared" ref="AV8" si="43">CONCATENATE(AU7, " Value $")</f>
        <v>2001 Value $</v>
      </c>
      <c r="AW8" s="672" t="str">
        <f t="shared" ref="AW8" si="44">CONCATENATE(AW7, " Quantity")</f>
        <v>2002 Quantity</v>
      </c>
      <c r="AX8" s="673" t="str">
        <f t="shared" ref="AX8" si="45">CONCATENATE(AW7, " Value $")</f>
        <v>2002 Value $</v>
      </c>
      <c r="AY8" s="672" t="str">
        <f t="shared" ref="AY8" si="46">CONCATENATE(AY7, " Quantity")</f>
        <v>2003 Quantity</v>
      </c>
      <c r="AZ8" s="673" t="str">
        <f t="shared" ref="AZ8" si="47">CONCATENATE(AY7, " Value $")</f>
        <v>2003 Value $</v>
      </c>
      <c r="BA8" s="139"/>
      <c r="BB8" s="1493"/>
      <c r="BC8" s="132"/>
      <c r="BD8" s="1492"/>
      <c r="BE8" s="139"/>
      <c r="BF8" s="1493"/>
      <c r="BG8" s="132"/>
      <c r="BH8" s="1492"/>
      <c r="BI8" s="139"/>
      <c r="BJ8" s="98"/>
    </row>
    <row r="9" spans="1:1163">
      <c r="A9" s="1492"/>
      <c r="B9" s="1492"/>
      <c r="C9" s="673"/>
      <c r="D9" s="673"/>
      <c r="E9" s="1492"/>
      <c r="F9" s="1492"/>
      <c r="G9" s="168"/>
      <c r="H9" s="168"/>
      <c r="I9" s="199"/>
      <c r="J9" s="199"/>
      <c r="K9" s="199"/>
      <c r="L9" s="199"/>
      <c r="M9" s="168"/>
      <c r="N9" s="168"/>
      <c r="O9" s="168"/>
      <c r="P9" s="168"/>
      <c r="Q9" s="168"/>
      <c r="R9" s="168"/>
      <c r="S9" s="168"/>
      <c r="T9" s="168"/>
      <c r="U9" s="168"/>
      <c r="V9" s="168"/>
      <c r="W9" s="168"/>
      <c r="X9" s="168"/>
      <c r="Y9" s="168"/>
      <c r="Z9" s="168"/>
      <c r="AA9" s="168"/>
      <c r="AB9" s="168"/>
      <c r="AC9" s="168"/>
      <c r="AD9" s="168"/>
      <c r="AE9" s="199"/>
      <c r="AF9" s="199"/>
      <c r="AG9" s="168"/>
      <c r="AH9" s="168"/>
      <c r="AI9" s="168"/>
      <c r="AJ9" s="168"/>
      <c r="AK9" s="168"/>
      <c r="AL9" s="168"/>
      <c r="AM9" s="168"/>
      <c r="AN9" s="168"/>
      <c r="AO9" s="168"/>
      <c r="AP9" s="168"/>
      <c r="AQ9" s="201"/>
      <c r="AR9" s="169"/>
      <c r="AS9" s="168"/>
      <c r="AT9" s="168"/>
      <c r="AU9" s="168"/>
      <c r="AV9" s="168"/>
      <c r="AW9" s="169"/>
      <c r="AX9" s="169"/>
      <c r="AY9" s="172"/>
      <c r="AZ9" s="172"/>
      <c r="BA9" s="171"/>
      <c r="BB9" s="173"/>
      <c r="BC9" s="173"/>
      <c r="BD9" s="173"/>
      <c r="BE9" s="173"/>
      <c r="BF9" s="173"/>
      <c r="BG9" s="173"/>
      <c r="BH9" s="173"/>
      <c r="BI9" s="171"/>
      <c r="BJ9" s="98"/>
      <c r="BK9" s="148"/>
      <c r="BL9" s="148"/>
      <c r="BM9" s="148"/>
      <c r="BN9" s="148"/>
    </row>
    <row r="10" spans="1:1163" s="174" customFormat="1">
      <c r="A10" s="118" t="s">
        <v>287</v>
      </c>
      <c r="B10" s="119"/>
      <c r="C10" s="167"/>
      <c r="D10" s="167"/>
      <c r="E10" s="119"/>
      <c r="F10" s="119"/>
      <c r="G10" s="175"/>
      <c r="H10" s="175"/>
      <c r="I10" s="175"/>
      <c r="J10" s="175"/>
      <c r="K10" s="175"/>
      <c r="L10" s="175"/>
      <c r="M10" s="175"/>
      <c r="N10" s="175"/>
      <c r="O10" s="175"/>
      <c r="P10" s="175"/>
      <c r="Q10" s="175"/>
      <c r="R10" s="175"/>
      <c r="S10" s="175"/>
      <c r="T10" s="175"/>
      <c r="U10" s="144"/>
      <c r="V10" s="144"/>
      <c r="W10" s="144"/>
      <c r="X10" s="144"/>
      <c r="Y10" s="144"/>
      <c r="Z10" s="144"/>
      <c r="AA10" s="144"/>
      <c r="AB10" s="144"/>
      <c r="AC10" s="144"/>
      <c r="AD10" s="144"/>
      <c r="AE10" s="175"/>
      <c r="AF10" s="175"/>
      <c r="AG10" s="144"/>
      <c r="AH10" s="144"/>
      <c r="AI10" s="144"/>
      <c r="AJ10" s="144"/>
      <c r="AK10" s="144"/>
      <c r="AL10" s="144"/>
      <c r="AM10" s="168"/>
      <c r="AN10" s="168"/>
      <c r="AO10" s="168"/>
      <c r="AP10" s="168"/>
      <c r="AQ10" s="201"/>
      <c r="AR10" s="169"/>
      <c r="AS10" s="170"/>
      <c r="AT10" s="168"/>
      <c r="AU10" s="170"/>
      <c r="AV10" s="168"/>
      <c r="AW10" s="171"/>
      <c r="AX10" s="171"/>
      <c r="AY10" s="172"/>
      <c r="AZ10" s="172"/>
      <c r="BA10" s="171"/>
      <c r="BB10" s="173"/>
      <c r="BC10" s="173"/>
      <c r="BD10" s="173"/>
      <c r="BE10" s="173"/>
      <c r="BF10" s="173"/>
      <c r="BG10" s="173"/>
      <c r="BH10" s="173"/>
      <c r="BI10" s="171"/>
      <c r="BJ10" s="98"/>
      <c r="BK10" s="98"/>
      <c r="BL10" s="98"/>
      <c r="BM10" s="98"/>
      <c r="BN10" s="14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98"/>
      <c r="NL10" s="98"/>
      <c r="NM10" s="98"/>
      <c r="NN10" s="98"/>
      <c r="NO10" s="98"/>
      <c r="NP10" s="98"/>
      <c r="NQ10" s="98"/>
      <c r="NR10" s="98"/>
      <c r="NS10" s="98"/>
      <c r="NT10" s="98"/>
      <c r="NU10" s="98"/>
      <c r="NV10" s="98"/>
      <c r="NW10" s="98"/>
      <c r="NX10" s="98"/>
      <c r="NY10" s="98"/>
      <c r="NZ10" s="98"/>
      <c r="OA10" s="98"/>
      <c r="OB10" s="98"/>
      <c r="OC10" s="98"/>
      <c r="OD10" s="98"/>
      <c r="OE10" s="98"/>
      <c r="OF10" s="98"/>
      <c r="OG10" s="98"/>
      <c r="OH10" s="98"/>
      <c r="OI10" s="98"/>
      <c r="OJ10" s="98"/>
      <c r="OK10" s="98"/>
      <c r="OL10" s="98"/>
      <c r="OM10" s="98"/>
      <c r="ON10" s="98"/>
      <c r="OO10" s="98"/>
      <c r="OP10" s="98"/>
      <c r="OQ10" s="98"/>
      <c r="OR10" s="98"/>
      <c r="OS10" s="98"/>
      <c r="OT10" s="98"/>
      <c r="OU10" s="98"/>
      <c r="OV10" s="98"/>
      <c r="OW10" s="98"/>
      <c r="OX10" s="98"/>
      <c r="OY10" s="98"/>
      <c r="OZ10" s="98"/>
      <c r="PA10" s="98"/>
      <c r="PB10" s="98"/>
      <c r="PC10" s="98"/>
      <c r="PD10" s="98"/>
      <c r="PE10" s="98"/>
      <c r="PF10" s="98"/>
      <c r="PG10" s="98"/>
      <c r="PH10" s="98"/>
      <c r="PI10" s="98"/>
      <c r="PJ10" s="98"/>
      <c r="PK10" s="98"/>
      <c r="PL10" s="98"/>
      <c r="PM10" s="98"/>
      <c r="PN10" s="98"/>
      <c r="PO10" s="98"/>
      <c r="PP10" s="98"/>
      <c r="PQ10" s="98"/>
      <c r="PR10" s="98"/>
      <c r="PS10" s="98"/>
      <c r="PT10" s="98"/>
      <c r="PU10" s="98"/>
      <c r="PV10" s="98"/>
      <c r="PW10" s="98"/>
      <c r="PX10" s="98"/>
      <c r="PY10" s="98"/>
      <c r="PZ10" s="98"/>
      <c r="QA10" s="98"/>
      <c r="QB10" s="98"/>
      <c r="QC10" s="98"/>
      <c r="QD10" s="98"/>
      <c r="QE10" s="98"/>
      <c r="QF10" s="98"/>
      <c r="QG10" s="98"/>
      <c r="QH10" s="98"/>
      <c r="QI10" s="98"/>
      <c r="QJ10" s="98"/>
      <c r="QK10" s="98"/>
      <c r="QL10" s="98"/>
      <c r="QM10" s="98"/>
      <c r="QN10" s="98"/>
      <c r="QO10" s="98"/>
      <c r="QP10" s="98"/>
      <c r="QQ10" s="98"/>
      <c r="QR10" s="98"/>
      <c r="QS10" s="98"/>
      <c r="QT10" s="98"/>
      <c r="QU10" s="98"/>
      <c r="QV10" s="98"/>
      <c r="QW10" s="98"/>
      <c r="QX10" s="98"/>
      <c r="QY10" s="98"/>
      <c r="QZ10" s="98"/>
      <c r="RA10" s="98"/>
      <c r="RB10" s="98"/>
      <c r="RC10" s="98"/>
      <c r="RD10" s="98"/>
      <c r="RE10" s="98"/>
      <c r="RF10" s="98"/>
      <c r="RG10" s="98"/>
      <c r="RH10" s="98"/>
      <c r="RI10" s="98"/>
      <c r="RJ10" s="98"/>
      <c r="RK10" s="98"/>
      <c r="RL10" s="98"/>
      <c r="RM10" s="98"/>
      <c r="RN10" s="98"/>
      <c r="RO10" s="98"/>
      <c r="RP10" s="98"/>
      <c r="RQ10" s="98"/>
      <c r="RR10" s="98"/>
      <c r="RS10" s="98"/>
      <c r="RT10" s="98"/>
      <c r="RU10" s="98"/>
      <c r="RV10" s="98"/>
      <c r="RW10" s="98"/>
      <c r="RX10" s="98"/>
      <c r="RY10" s="98"/>
      <c r="RZ10" s="98"/>
      <c r="SA10" s="98"/>
      <c r="SB10" s="98"/>
      <c r="SC10" s="98"/>
      <c r="SD10" s="98"/>
      <c r="SE10" s="98"/>
      <c r="SF10" s="98"/>
      <c r="SG10" s="98"/>
      <c r="SH10" s="98"/>
      <c r="SI10" s="98"/>
      <c r="SJ10" s="98"/>
      <c r="SK10" s="98"/>
      <c r="SL10" s="98"/>
      <c r="SM10" s="98"/>
      <c r="SN10" s="98"/>
      <c r="SO10" s="98"/>
      <c r="SP10" s="98"/>
      <c r="SQ10" s="98"/>
      <c r="SR10" s="98"/>
      <c r="SS10" s="98"/>
      <c r="ST10" s="98"/>
      <c r="SU10" s="98"/>
      <c r="SV10" s="98"/>
      <c r="SW10" s="98"/>
      <c r="SX10" s="98"/>
      <c r="SY10" s="98"/>
      <c r="SZ10" s="98"/>
      <c r="TA10" s="98"/>
      <c r="TB10" s="98"/>
      <c r="TC10" s="98"/>
      <c r="TD10" s="98"/>
      <c r="TE10" s="98"/>
      <c r="TF10" s="98"/>
      <c r="TG10" s="98"/>
      <c r="TH10" s="98"/>
      <c r="TI10" s="98"/>
      <c r="TJ10" s="98"/>
      <c r="TK10" s="98"/>
      <c r="TL10" s="98"/>
      <c r="TM10" s="98"/>
      <c r="TN10" s="98"/>
      <c r="TO10" s="98"/>
      <c r="TP10" s="98"/>
      <c r="TQ10" s="98"/>
      <c r="TR10" s="98"/>
      <c r="TS10" s="98"/>
      <c r="TT10" s="98"/>
      <c r="TU10" s="98"/>
      <c r="TV10" s="98"/>
      <c r="TW10" s="98"/>
      <c r="TX10" s="98"/>
      <c r="TY10" s="98"/>
      <c r="TZ10" s="98"/>
      <c r="UA10" s="98"/>
      <c r="UB10" s="98"/>
      <c r="UC10" s="98"/>
      <c r="UD10" s="98"/>
      <c r="UE10" s="98"/>
      <c r="UF10" s="98"/>
      <c r="UG10" s="98"/>
      <c r="UH10" s="98"/>
      <c r="UI10" s="98"/>
      <c r="UJ10" s="98"/>
      <c r="UK10" s="98"/>
      <c r="UL10" s="98"/>
      <c r="UM10" s="98"/>
      <c r="UN10" s="98"/>
      <c r="UO10" s="98"/>
      <c r="UP10" s="98"/>
      <c r="UQ10" s="98"/>
      <c r="UR10" s="98"/>
      <c r="US10" s="98"/>
      <c r="UT10" s="98"/>
      <c r="UU10" s="98"/>
      <c r="UV10" s="98"/>
      <c r="UW10" s="98"/>
      <c r="UX10" s="98"/>
      <c r="UY10" s="98"/>
      <c r="UZ10" s="98"/>
      <c r="VA10" s="98"/>
      <c r="VB10" s="98"/>
      <c r="VC10" s="98"/>
      <c r="VD10" s="98"/>
      <c r="VE10" s="98"/>
      <c r="VF10" s="98"/>
      <c r="VG10" s="98"/>
      <c r="VH10" s="98"/>
      <c r="VI10" s="98"/>
      <c r="VJ10" s="98"/>
      <c r="VK10" s="98"/>
      <c r="VL10" s="98"/>
      <c r="VM10" s="98"/>
      <c r="VN10" s="98"/>
      <c r="VO10" s="98"/>
      <c r="VP10" s="98"/>
      <c r="VQ10" s="98"/>
      <c r="VR10" s="98"/>
      <c r="VS10" s="98"/>
      <c r="VT10" s="98"/>
      <c r="VU10" s="98"/>
      <c r="VV10" s="98"/>
      <c r="VW10" s="98"/>
      <c r="VX10" s="98"/>
      <c r="VY10" s="98"/>
      <c r="VZ10" s="98"/>
      <c r="WA10" s="98"/>
      <c r="WB10" s="98"/>
      <c r="WC10" s="98"/>
      <c r="WD10" s="98"/>
      <c r="WE10" s="98"/>
      <c r="WF10" s="98"/>
      <c r="WG10" s="98"/>
      <c r="WH10" s="98"/>
      <c r="WI10" s="98"/>
      <c r="WJ10" s="98"/>
      <c r="WK10" s="98"/>
      <c r="WL10" s="98"/>
      <c r="WM10" s="98"/>
      <c r="WN10" s="98"/>
      <c r="WO10" s="98"/>
      <c r="WP10" s="98"/>
      <c r="WQ10" s="98"/>
      <c r="WR10" s="98"/>
      <c r="WS10" s="98"/>
      <c r="WT10" s="98"/>
      <c r="WU10" s="98"/>
      <c r="WV10" s="98"/>
      <c r="WW10" s="98"/>
      <c r="WX10" s="98"/>
      <c r="WY10" s="98"/>
      <c r="WZ10" s="98"/>
      <c r="XA10" s="98"/>
      <c r="XB10" s="98"/>
      <c r="XC10" s="98"/>
      <c r="XD10" s="98"/>
      <c r="XE10" s="98"/>
      <c r="XF10" s="98"/>
      <c r="XG10" s="98"/>
      <c r="XH10" s="98"/>
      <c r="XI10" s="98"/>
      <c r="XJ10" s="98"/>
      <c r="XK10" s="98"/>
      <c r="XL10" s="98"/>
      <c r="XM10" s="98"/>
      <c r="XN10" s="98"/>
      <c r="XO10" s="98"/>
      <c r="XP10" s="98"/>
      <c r="XQ10" s="98"/>
      <c r="XR10" s="98"/>
      <c r="XS10" s="98"/>
      <c r="XT10" s="98"/>
      <c r="XU10" s="98"/>
      <c r="XV10" s="98"/>
      <c r="XW10" s="98"/>
      <c r="XX10" s="98"/>
      <c r="XY10" s="98"/>
      <c r="XZ10" s="98"/>
      <c r="YA10" s="98"/>
      <c r="YB10" s="98"/>
      <c r="YC10" s="98"/>
      <c r="YD10" s="98"/>
      <c r="YE10" s="98"/>
      <c r="YF10" s="98"/>
      <c r="YG10" s="98"/>
      <c r="YH10" s="98"/>
      <c r="YI10" s="98"/>
      <c r="YJ10" s="98"/>
      <c r="YK10" s="98"/>
      <c r="YL10" s="98"/>
      <c r="YM10" s="98"/>
      <c r="YN10" s="98"/>
      <c r="YO10" s="98"/>
      <c r="YP10" s="98"/>
      <c r="YQ10" s="98"/>
      <c r="YR10" s="98"/>
      <c r="YS10" s="98"/>
      <c r="YT10" s="98"/>
      <c r="YU10" s="98"/>
      <c r="YV10" s="98"/>
      <c r="YW10" s="98"/>
      <c r="YX10" s="98"/>
      <c r="YY10" s="98"/>
      <c r="YZ10" s="98"/>
      <c r="ZA10" s="98"/>
      <c r="ZB10" s="98"/>
      <c r="ZC10" s="98"/>
      <c r="ZD10" s="98"/>
      <c r="ZE10" s="98"/>
      <c r="ZF10" s="98"/>
      <c r="ZG10" s="98"/>
      <c r="ZH10" s="98"/>
      <c r="ZI10" s="98"/>
      <c r="ZJ10" s="98"/>
      <c r="ZK10" s="98"/>
      <c r="ZL10" s="98"/>
      <c r="ZM10" s="98"/>
      <c r="ZN10" s="98"/>
      <c r="ZO10" s="98"/>
      <c r="ZP10" s="98"/>
      <c r="ZQ10" s="98"/>
      <c r="ZR10" s="98"/>
      <c r="ZS10" s="98"/>
      <c r="ZT10" s="98"/>
      <c r="ZU10" s="98"/>
      <c r="ZV10" s="98"/>
      <c r="ZW10" s="98"/>
      <c r="ZX10" s="98"/>
      <c r="ZY10" s="98"/>
      <c r="ZZ10" s="98"/>
      <c r="AAA10" s="98"/>
      <c r="AAB10" s="98"/>
      <c r="AAC10" s="98"/>
      <c r="AAD10" s="98"/>
      <c r="AAE10" s="98"/>
      <c r="AAF10" s="98"/>
      <c r="AAG10" s="98"/>
      <c r="AAH10" s="98"/>
      <c r="AAI10" s="98"/>
      <c r="AAJ10" s="98"/>
      <c r="AAK10" s="98"/>
      <c r="AAL10" s="98"/>
      <c r="AAM10" s="98"/>
      <c r="AAN10" s="98"/>
      <c r="AAO10" s="98"/>
      <c r="AAP10" s="98"/>
      <c r="AAQ10" s="98"/>
      <c r="AAR10" s="98"/>
      <c r="AAS10" s="98"/>
      <c r="AAT10" s="98"/>
      <c r="AAU10" s="98"/>
      <c r="AAV10" s="98"/>
      <c r="AAW10" s="98"/>
      <c r="AAX10" s="98"/>
      <c r="AAY10" s="98"/>
      <c r="AAZ10" s="98"/>
      <c r="ABA10" s="98"/>
      <c r="ABB10" s="98"/>
      <c r="ABC10" s="98"/>
      <c r="ABD10" s="98"/>
      <c r="ABE10" s="98"/>
      <c r="ABF10" s="98"/>
      <c r="ABG10" s="98"/>
      <c r="ABH10" s="98"/>
      <c r="ABI10" s="98"/>
      <c r="ABJ10" s="98"/>
      <c r="ABK10" s="98"/>
      <c r="ABL10" s="98"/>
      <c r="ABM10" s="98"/>
      <c r="ABN10" s="98"/>
      <c r="ABO10" s="98"/>
      <c r="ABP10" s="98"/>
      <c r="ABQ10" s="98"/>
      <c r="ABR10" s="98"/>
      <c r="ABS10" s="98"/>
      <c r="ABT10" s="98"/>
      <c r="ABU10" s="98"/>
      <c r="ABV10" s="98"/>
      <c r="ABW10" s="98"/>
      <c r="ABX10" s="98"/>
      <c r="ABY10" s="98"/>
      <c r="ABZ10" s="98"/>
      <c r="ACA10" s="98"/>
      <c r="ACB10" s="98"/>
      <c r="ACC10" s="98"/>
      <c r="ACD10" s="98"/>
      <c r="ACE10" s="98"/>
      <c r="ACF10" s="98"/>
      <c r="ACG10" s="98"/>
      <c r="ACH10" s="98"/>
      <c r="ACI10" s="98"/>
      <c r="ACJ10" s="98"/>
      <c r="ACK10" s="98"/>
      <c r="ACL10" s="98"/>
      <c r="ACM10" s="98"/>
      <c r="ACN10" s="98"/>
      <c r="ACO10" s="98"/>
      <c r="ACP10" s="98"/>
      <c r="ACQ10" s="98"/>
      <c r="ACR10" s="98"/>
      <c r="ACS10" s="98"/>
      <c r="ACT10" s="98"/>
      <c r="ACU10" s="98"/>
      <c r="ACV10" s="98"/>
      <c r="ACW10" s="98"/>
      <c r="ACX10" s="98"/>
      <c r="ACY10" s="98"/>
      <c r="ACZ10" s="98"/>
      <c r="ADA10" s="98"/>
      <c r="ADB10" s="98"/>
      <c r="ADC10" s="98"/>
      <c r="ADD10" s="98"/>
      <c r="ADE10" s="98"/>
      <c r="ADF10" s="98"/>
      <c r="ADG10" s="98"/>
      <c r="ADH10" s="98"/>
      <c r="ADI10" s="98"/>
      <c r="ADJ10" s="98"/>
      <c r="ADK10" s="98"/>
      <c r="ADL10" s="98"/>
      <c r="ADM10" s="98"/>
      <c r="ADN10" s="98"/>
      <c r="ADO10" s="98"/>
      <c r="ADP10" s="98"/>
      <c r="ADQ10" s="98"/>
      <c r="ADR10" s="98"/>
      <c r="ADS10" s="98"/>
      <c r="ADT10" s="98"/>
      <c r="ADU10" s="98"/>
      <c r="ADV10" s="98"/>
      <c r="ADW10" s="98"/>
      <c r="ADX10" s="98"/>
      <c r="ADY10" s="98"/>
      <c r="ADZ10" s="98"/>
      <c r="AEA10" s="98"/>
      <c r="AEB10" s="98"/>
      <c r="AEC10" s="98"/>
      <c r="AED10" s="98"/>
      <c r="AEE10" s="98"/>
      <c r="AEF10" s="98"/>
      <c r="AEG10" s="98"/>
      <c r="AEH10" s="98"/>
      <c r="AEI10" s="98"/>
      <c r="AEJ10" s="98"/>
      <c r="AEK10" s="98"/>
      <c r="AEL10" s="98"/>
      <c r="AEM10" s="98"/>
      <c r="AEN10" s="98"/>
      <c r="AEO10" s="98"/>
      <c r="AEP10" s="98"/>
      <c r="AEQ10" s="98"/>
      <c r="AER10" s="98"/>
      <c r="AES10" s="98"/>
      <c r="AET10" s="98"/>
      <c r="AEU10" s="98"/>
      <c r="AEV10" s="98"/>
      <c r="AEW10" s="98"/>
      <c r="AEX10" s="98"/>
      <c r="AEY10" s="98"/>
      <c r="AEZ10" s="98"/>
      <c r="AFA10" s="98"/>
      <c r="AFB10" s="98"/>
      <c r="AFC10" s="98"/>
      <c r="AFD10" s="98"/>
      <c r="AFE10" s="98"/>
      <c r="AFF10" s="98"/>
      <c r="AFG10" s="98"/>
      <c r="AFH10" s="98"/>
      <c r="AFI10" s="98"/>
      <c r="AFJ10" s="98"/>
      <c r="AFK10" s="98"/>
      <c r="AFL10" s="98"/>
      <c r="AFM10" s="98"/>
      <c r="AFN10" s="98"/>
      <c r="AFO10" s="98"/>
      <c r="AFP10" s="98"/>
      <c r="AFQ10" s="98"/>
      <c r="AFR10" s="98"/>
      <c r="AFS10" s="98"/>
      <c r="AFT10" s="98"/>
      <c r="AFU10" s="98"/>
      <c r="AFV10" s="98"/>
      <c r="AFW10" s="98"/>
      <c r="AFX10" s="98"/>
      <c r="AFY10" s="98"/>
      <c r="AFZ10" s="98"/>
      <c r="AGA10" s="98"/>
      <c r="AGB10" s="98"/>
      <c r="AGC10" s="98"/>
      <c r="AGD10" s="98"/>
      <c r="AGE10" s="98"/>
      <c r="AGF10" s="98"/>
      <c r="AGG10" s="98"/>
      <c r="AGH10" s="98"/>
      <c r="AGI10" s="98"/>
      <c r="AGJ10" s="98"/>
      <c r="AGK10" s="98"/>
      <c r="AGL10" s="98"/>
      <c r="AGM10" s="98"/>
      <c r="AGN10" s="98"/>
      <c r="AGO10" s="98"/>
      <c r="AGP10" s="98"/>
      <c r="AGQ10" s="98"/>
      <c r="AGR10" s="98"/>
      <c r="AGS10" s="98"/>
      <c r="AGT10" s="98"/>
      <c r="AGU10" s="98"/>
      <c r="AGV10" s="98"/>
      <c r="AGW10" s="98"/>
      <c r="AGX10" s="98"/>
      <c r="AGY10" s="98"/>
      <c r="AGZ10" s="98"/>
      <c r="AHA10" s="98"/>
      <c r="AHB10" s="98"/>
      <c r="AHC10" s="98"/>
      <c r="AHD10" s="98"/>
      <c r="AHE10" s="98"/>
      <c r="AHF10" s="98"/>
      <c r="AHG10" s="98"/>
      <c r="AHH10" s="98"/>
      <c r="AHI10" s="98"/>
      <c r="AHJ10" s="98"/>
      <c r="AHK10" s="98"/>
      <c r="AHL10" s="98"/>
      <c r="AHM10" s="98"/>
      <c r="AHN10" s="98"/>
      <c r="AHO10" s="98"/>
      <c r="AHP10" s="98"/>
      <c r="AHQ10" s="98"/>
      <c r="AHR10" s="98"/>
      <c r="AHS10" s="98"/>
      <c r="AHT10" s="98"/>
      <c r="AHU10" s="98"/>
      <c r="AHV10" s="98"/>
      <c r="AHW10" s="98"/>
      <c r="AHX10" s="98"/>
      <c r="AHY10" s="98"/>
      <c r="AHZ10" s="98"/>
      <c r="AIA10" s="98"/>
      <c r="AIB10" s="98"/>
      <c r="AIC10" s="98"/>
      <c r="AID10" s="98"/>
      <c r="AIE10" s="98"/>
      <c r="AIF10" s="98"/>
      <c r="AIG10" s="98"/>
      <c r="AIH10" s="98"/>
      <c r="AII10" s="98"/>
      <c r="AIJ10" s="98"/>
      <c r="AIK10" s="98"/>
      <c r="AIL10" s="98"/>
      <c r="AIM10" s="98"/>
      <c r="AIN10" s="98"/>
      <c r="AIO10" s="98"/>
      <c r="AIP10" s="98"/>
      <c r="AIQ10" s="98"/>
      <c r="AIR10" s="98"/>
      <c r="AIS10" s="98"/>
      <c r="AIT10" s="98"/>
      <c r="AIU10" s="98"/>
      <c r="AIV10" s="98"/>
      <c r="AIW10" s="98"/>
      <c r="AIX10" s="98"/>
      <c r="AIY10" s="98"/>
      <c r="AIZ10" s="98"/>
      <c r="AJA10" s="98"/>
      <c r="AJB10" s="98"/>
      <c r="AJC10" s="98"/>
      <c r="AJD10" s="98"/>
      <c r="AJE10" s="98"/>
      <c r="AJF10" s="98"/>
      <c r="AJG10" s="98"/>
      <c r="AJH10" s="98"/>
      <c r="AJI10" s="98"/>
      <c r="AJJ10" s="98"/>
      <c r="AJK10" s="98"/>
      <c r="AJL10" s="98"/>
      <c r="AJM10" s="98"/>
      <c r="AJN10" s="98"/>
      <c r="AJO10" s="98"/>
      <c r="AJP10" s="98"/>
      <c r="AJQ10" s="98"/>
      <c r="AJR10" s="98"/>
      <c r="AJS10" s="98"/>
      <c r="AJT10" s="98"/>
      <c r="AJU10" s="98"/>
      <c r="AJV10" s="98"/>
      <c r="AJW10" s="98"/>
      <c r="AJX10" s="98"/>
      <c r="AJY10" s="98"/>
      <c r="AJZ10" s="98"/>
      <c r="AKA10" s="98"/>
      <c r="AKB10" s="98"/>
      <c r="AKC10" s="98"/>
      <c r="AKD10" s="98"/>
      <c r="AKE10" s="98"/>
      <c r="AKF10" s="98"/>
      <c r="AKG10" s="98"/>
      <c r="AKH10" s="98"/>
      <c r="AKI10" s="98"/>
      <c r="AKJ10" s="98"/>
      <c r="AKK10" s="98"/>
      <c r="AKL10" s="98"/>
      <c r="AKM10" s="98"/>
      <c r="AKN10" s="98"/>
      <c r="AKO10" s="98"/>
      <c r="AKP10" s="98"/>
      <c r="AKQ10" s="98"/>
      <c r="AKR10" s="98"/>
      <c r="AKS10" s="98"/>
      <c r="AKT10" s="98"/>
      <c r="AKU10" s="98"/>
      <c r="AKV10" s="98"/>
      <c r="AKW10" s="98"/>
      <c r="AKX10" s="98"/>
      <c r="AKY10" s="98"/>
      <c r="AKZ10" s="98"/>
      <c r="ALA10" s="98"/>
      <c r="ALB10" s="98"/>
      <c r="ALC10" s="98"/>
      <c r="ALD10" s="98"/>
      <c r="ALE10" s="98"/>
      <c r="ALF10" s="98"/>
      <c r="ALG10" s="98"/>
      <c r="ALH10" s="98"/>
      <c r="ALI10" s="98"/>
      <c r="ALJ10" s="98"/>
      <c r="ALK10" s="98"/>
      <c r="ALL10" s="98"/>
      <c r="ALM10" s="98"/>
      <c r="ALN10" s="98"/>
      <c r="ALO10" s="98"/>
      <c r="ALP10" s="98"/>
      <c r="ALQ10" s="98"/>
      <c r="ALR10" s="98"/>
      <c r="ALS10" s="98"/>
      <c r="ALT10" s="98"/>
      <c r="ALU10" s="98"/>
      <c r="ALV10" s="98"/>
      <c r="ALW10" s="98"/>
      <c r="ALX10" s="98"/>
      <c r="ALY10" s="98"/>
      <c r="ALZ10" s="98"/>
      <c r="AMA10" s="98"/>
      <c r="AMB10" s="98"/>
      <c r="AMC10" s="98"/>
      <c r="AMD10" s="98"/>
      <c r="AME10" s="98"/>
      <c r="AMF10" s="98"/>
      <c r="AMG10" s="98"/>
      <c r="AMH10" s="98"/>
      <c r="AMI10" s="98"/>
      <c r="AMJ10" s="98"/>
      <c r="AMK10" s="98"/>
      <c r="AML10" s="98"/>
      <c r="AMM10" s="98"/>
      <c r="AMN10" s="98"/>
      <c r="AMO10" s="98"/>
      <c r="AMP10" s="98"/>
      <c r="AMQ10" s="98"/>
      <c r="AMR10" s="98"/>
      <c r="AMS10" s="98"/>
      <c r="AMT10" s="98"/>
      <c r="AMU10" s="98"/>
      <c r="AMV10" s="98"/>
      <c r="AMW10" s="98"/>
      <c r="AMX10" s="98"/>
      <c r="AMY10" s="98"/>
      <c r="AMZ10" s="98"/>
      <c r="ANA10" s="98"/>
      <c r="ANB10" s="98"/>
      <c r="ANC10" s="98"/>
      <c r="AND10" s="98"/>
      <c r="ANE10" s="98"/>
      <c r="ANF10" s="98"/>
      <c r="ANG10" s="98"/>
      <c r="ANH10" s="98"/>
      <c r="ANI10" s="98"/>
      <c r="ANJ10" s="98"/>
      <c r="ANK10" s="98"/>
      <c r="ANL10" s="98"/>
      <c r="ANM10" s="98"/>
      <c r="ANN10" s="98"/>
      <c r="ANO10" s="98"/>
      <c r="ANP10" s="98"/>
      <c r="ANQ10" s="98"/>
      <c r="ANR10" s="98"/>
      <c r="ANS10" s="98"/>
      <c r="ANT10" s="98"/>
      <c r="ANU10" s="98"/>
      <c r="ANV10" s="98"/>
      <c r="ANW10" s="98"/>
      <c r="ANX10" s="98"/>
      <c r="ANY10" s="98"/>
      <c r="ANZ10" s="98"/>
      <c r="AOA10" s="98"/>
      <c r="AOB10" s="98"/>
      <c r="AOC10" s="98"/>
      <c r="AOD10" s="98"/>
      <c r="AOE10" s="98"/>
      <c r="AOF10" s="98"/>
      <c r="AOG10" s="98"/>
      <c r="AOH10" s="98"/>
      <c r="AOI10" s="98"/>
      <c r="AOJ10" s="98"/>
      <c r="AOK10" s="98"/>
      <c r="AOL10" s="98"/>
      <c r="AOM10" s="98"/>
      <c r="AON10" s="98"/>
      <c r="AOO10" s="98"/>
      <c r="AOP10" s="98"/>
      <c r="AOQ10" s="98"/>
      <c r="AOR10" s="98"/>
      <c r="AOS10" s="98"/>
      <c r="AOT10" s="98"/>
      <c r="AOU10" s="98"/>
      <c r="AOV10" s="98"/>
      <c r="AOW10" s="98"/>
      <c r="AOX10" s="98"/>
      <c r="AOY10" s="98"/>
      <c r="AOZ10" s="98"/>
      <c r="APA10" s="98"/>
      <c r="APB10" s="98"/>
      <c r="APC10" s="98"/>
      <c r="APD10" s="98"/>
      <c r="APE10" s="98"/>
      <c r="APF10" s="98"/>
      <c r="APG10" s="98"/>
      <c r="APH10" s="98"/>
      <c r="API10" s="98"/>
      <c r="APJ10" s="98"/>
      <c r="APK10" s="98"/>
      <c r="APL10" s="98"/>
      <c r="APM10" s="98"/>
      <c r="APN10" s="98"/>
      <c r="APO10" s="98"/>
      <c r="APP10" s="98"/>
      <c r="APQ10" s="98"/>
      <c r="APR10" s="98"/>
      <c r="APS10" s="98"/>
      <c r="APT10" s="98"/>
      <c r="APU10" s="98"/>
      <c r="APV10" s="98"/>
      <c r="APW10" s="98"/>
      <c r="APX10" s="98"/>
      <c r="APY10" s="98"/>
      <c r="APZ10" s="98"/>
      <c r="AQA10" s="98"/>
      <c r="AQB10" s="98"/>
      <c r="AQC10" s="98"/>
      <c r="AQD10" s="98"/>
      <c r="AQE10" s="98"/>
      <c r="AQF10" s="98"/>
      <c r="AQG10" s="98"/>
      <c r="AQH10" s="98"/>
      <c r="AQI10" s="98"/>
      <c r="AQJ10" s="98"/>
      <c r="AQK10" s="98"/>
      <c r="AQL10" s="98"/>
      <c r="AQM10" s="98"/>
      <c r="AQN10" s="98"/>
      <c r="AQO10" s="98"/>
      <c r="AQP10" s="98"/>
      <c r="AQQ10" s="98"/>
      <c r="AQR10" s="98"/>
      <c r="AQS10" s="98"/>
      <c r="AQT10" s="98"/>
      <c r="AQU10" s="98"/>
      <c r="AQV10" s="98"/>
      <c r="AQW10" s="98"/>
      <c r="AQX10" s="98"/>
      <c r="AQY10" s="98"/>
      <c r="AQZ10" s="98"/>
      <c r="ARA10" s="98"/>
      <c r="ARB10" s="98"/>
      <c r="ARC10" s="98"/>
      <c r="ARD10" s="98"/>
      <c r="ARE10" s="98"/>
      <c r="ARF10" s="98"/>
      <c r="ARG10" s="98"/>
      <c r="ARH10" s="98"/>
      <c r="ARI10" s="98"/>
      <c r="ARJ10" s="98"/>
      <c r="ARK10" s="98"/>
      <c r="ARL10" s="98"/>
      <c r="ARM10" s="98"/>
      <c r="ARN10" s="98"/>
      <c r="ARO10" s="98"/>
      <c r="ARP10" s="98"/>
      <c r="ARQ10" s="98"/>
      <c r="ARR10" s="98"/>
      <c r="ARS10" s="98"/>
    </row>
    <row r="11" spans="1:1163" s="174" customFormat="1">
      <c r="A11" s="140" t="s">
        <v>0</v>
      </c>
      <c r="B11" s="119" t="s">
        <v>67</v>
      </c>
      <c r="C11" s="175">
        <v>25517415</v>
      </c>
      <c r="D11" s="175">
        <v>2422962046</v>
      </c>
      <c r="E11" s="175">
        <v>3663689</v>
      </c>
      <c r="F11" s="175">
        <v>436014691</v>
      </c>
      <c r="G11" s="175">
        <v>3678480</v>
      </c>
      <c r="H11" s="175">
        <v>548093520</v>
      </c>
      <c r="I11" s="175">
        <v>3676385</v>
      </c>
      <c r="J11" s="175">
        <v>647822717</v>
      </c>
      <c r="K11" s="175">
        <v>3983098</v>
      </c>
      <c r="L11" s="175">
        <v>745084355</v>
      </c>
      <c r="M11" s="175">
        <v>5004998</v>
      </c>
      <c r="N11" s="175">
        <v>940855670</v>
      </c>
      <c r="O11" s="175">
        <v>5419623</v>
      </c>
      <c r="P11" s="175">
        <v>1098152135</v>
      </c>
      <c r="Q11" s="175">
        <v>5442790</v>
      </c>
      <c r="R11" s="175">
        <v>1015172246</v>
      </c>
      <c r="S11" s="175">
        <v>5928763</v>
      </c>
      <c r="T11" s="175">
        <v>1104313745</v>
      </c>
      <c r="U11" s="197">
        <v>6176414</v>
      </c>
      <c r="V11" s="197">
        <v>1301425700</v>
      </c>
      <c r="W11" s="197">
        <v>6384796</v>
      </c>
      <c r="X11" s="197">
        <v>2096790010</v>
      </c>
      <c r="Y11" s="197">
        <v>6722292</v>
      </c>
      <c r="Z11" s="197">
        <v>2358954531</v>
      </c>
      <c r="AA11" s="209">
        <v>7009184</v>
      </c>
      <c r="AB11" s="209">
        <v>1844032647</v>
      </c>
      <c r="AC11" s="144">
        <v>7082757</v>
      </c>
      <c r="AD11" s="144">
        <v>1689720803</v>
      </c>
      <c r="AE11" s="175">
        <v>7801274</v>
      </c>
      <c r="AF11" s="175">
        <v>1891855796</v>
      </c>
      <c r="AG11" s="209">
        <v>7933321</v>
      </c>
      <c r="AH11" s="209">
        <v>1684580839</v>
      </c>
      <c r="AI11" s="209">
        <v>8067380</v>
      </c>
      <c r="AJ11" s="209">
        <v>1757356480</v>
      </c>
      <c r="AK11" s="201">
        <v>8249660</v>
      </c>
      <c r="AL11" s="201">
        <v>1967808060.25</v>
      </c>
      <c r="AM11" s="176">
        <v>8481895</v>
      </c>
      <c r="AN11" s="176">
        <v>2084713647</v>
      </c>
      <c r="AO11" s="201">
        <v>8748182</v>
      </c>
      <c r="AP11" s="201">
        <v>2429704528</v>
      </c>
      <c r="AQ11" s="201">
        <v>8930010</v>
      </c>
      <c r="AR11" s="201">
        <v>2311377164.5799999</v>
      </c>
      <c r="AS11" s="201">
        <v>10003058</v>
      </c>
      <c r="AT11" s="201">
        <v>3187472430</v>
      </c>
      <c r="AU11" s="209">
        <v>10748039</v>
      </c>
      <c r="AV11" s="209">
        <v>3766551734</v>
      </c>
      <c r="AW11" s="209">
        <v>11000041</v>
      </c>
      <c r="AX11" s="209">
        <v>3339247705</v>
      </c>
      <c r="AY11" s="175">
        <v>11228615</v>
      </c>
      <c r="AZ11" s="175">
        <v>3140479497</v>
      </c>
      <c r="BA11" s="178"/>
      <c r="BB11" s="175"/>
      <c r="BC11" s="175"/>
      <c r="BD11" s="175"/>
      <c r="BE11" s="175"/>
      <c r="BF11" s="175"/>
      <c r="BG11" s="175"/>
      <c r="BH11" s="175"/>
      <c r="BI11" s="178"/>
      <c r="BJ11" s="98"/>
      <c r="BK11" s="148"/>
      <c r="BL11" s="148"/>
      <c r="BM11" s="148"/>
      <c r="BN11" s="14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c r="JB11" s="98"/>
      <c r="JC11" s="98"/>
      <c r="JD11" s="98"/>
      <c r="JE11" s="98"/>
      <c r="JF11" s="98"/>
      <c r="JG11" s="98"/>
      <c r="JH11" s="98"/>
      <c r="JI11" s="98"/>
      <c r="JJ11" s="98"/>
      <c r="JK11" s="98"/>
      <c r="JL11" s="98"/>
      <c r="JM11" s="98"/>
      <c r="JN11" s="98"/>
      <c r="JO11" s="98"/>
      <c r="JP11" s="98"/>
      <c r="JQ11" s="98"/>
      <c r="JR11" s="98"/>
      <c r="JS11" s="98"/>
      <c r="JT11" s="98"/>
      <c r="JU11" s="98"/>
      <c r="JV11" s="98"/>
      <c r="JW11" s="98"/>
      <c r="JX11" s="98"/>
      <c r="JY11" s="98"/>
      <c r="JZ11" s="98"/>
      <c r="KA11" s="98"/>
      <c r="KB11" s="98"/>
      <c r="KC11" s="98"/>
      <c r="KD11" s="98"/>
      <c r="KE11" s="98"/>
      <c r="KF11" s="98"/>
      <c r="KG11" s="98"/>
      <c r="KH11" s="98"/>
      <c r="KI11" s="98"/>
      <c r="KJ11" s="98"/>
      <c r="KK11" s="98"/>
      <c r="KL11" s="98"/>
      <c r="KM11" s="98"/>
      <c r="KN11" s="98"/>
      <c r="KO11" s="98"/>
      <c r="KP11" s="98"/>
      <c r="KQ11" s="98"/>
      <c r="KR11" s="98"/>
      <c r="KS11" s="98"/>
      <c r="KT11" s="98"/>
      <c r="KU11" s="98"/>
      <c r="KV11" s="98"/>
      <c r="KW11" s="98"/>
      <c r="KX11" s="98"/>
      <c r="KY11" s="98"/>
      <c r="KZ11" s="98"/>
      <c r="LA11" s="98"/>
      <c r="LB11" s="98"/>
      <c r="LC11" s="98"/>
      <c r="LD11" s="98"/>
      <c r="LE11" s="98"/>
      <c r="LF11" s="98"/>
      <c r="LG11" s="98"/>
      <c r="LH11" s="98"/>
      <c r="LI11" s="98"/>
      <c r="LJ11" s="98"/>
      <c r="LK11" s="98"/>
      <c r="LL11" s="98"/>
      <c r="LM11" s="98"/>
      <c r="LN11" s="98"/>
      <c r="LO11" s="98"/>
      <c r="LP11" s="98"/>
      <c r="LQ11" s="98"/>
      <c r="LR11" s="98"/>
      <c r="LS11" s="98"/>
      <c r="LT11" s="98"/>
      <c r="LU11" s="98"/>
      <c r="LV11" s="98"/>
      <c r="LW11" s="98"/>
      <c r="LX11" s="98"/>
      <c r="LY11" s="98"/>
      <c r="LZ11" s="98"/>
      <c r="MA11" s="98"/>
      <c r="MB11" s="98"/>
      <c r="MC11" s="98"/>
      <c r="MD11" s="98"/>
      <c r="ME11" s="98"/>
      <c r="MF11" s="98"/>
      <c r="MG11" s="98"/>
      <c r="MH11" s="98"/>
      <c r="MI11" s="98"/>
      <c r="MJ11" s="98"/>
      <c r="MK11" s="98"/>
      <c r="ML11" s="98"/>
      <c r="MM11" s="98"/>
      <c r="MN11" s="98"/>
      <c r="MO11" s="98"/>
      <c r="MP11" s="98"/>
      <c r="MQ11" s="98"/>
      <c r="MR11" s="98"/>
      <c r="MS11" s="98"/>
      <c r="MT11" s="98"/>
      <c r="MU11" s="98"/>
      <c r="MV11" s="98"/>
      <c r="MW11" s="98"/>
      <c r="MX11" s="98"/>
      <c r="MY11" s="98"/>
      <c r="MZ11" s="98"/>
      <c r="NA11" s="98"/>
      <c r="NB11" s="98"/>
      <c r="NC11" s="98"/>
      <c r="ND11" s="98"/>
      <c r="NE11" s="98"/>
      <c r="NF11" s="98"/>
      <c r="NG11" s="98"/>
      <c r="NH11" s="98"/>
      <c r="NI11" s="98"/>
      <c r="NJ11" s="98"/>
      <c r="NK11" s="98"/>
      <c r="NL11" s="98"/>
      <c r="NM11" s="98"/>
      <c r="NN11" s="98"/>
      <c r="NO11" s="98"/>
      <c r="NP11" s="98"/>
      <c r="NQ11" s="98"/>
      <c r="NR11" s="98"/>
      <c r="NS11" s="98"/>
      <c r="NT11" s="98"/>
      <c r="NU11" s="98"/>
      <c r="NV11" s="98"/>
      <c r="NW11" s="98"/>
      <c r="NX11" s="98"/>
      <c r="NY11" s="98"/>
      <c r="NZ11" s="98"/>
      <c r="OA11" s="98"/>
      <c r="OB11" s="98"/>
      <c r="OC11" s="98"/>
      <c r="OD11" s="98"/>
      <c r="OE11" s="98"/>
      <c r="OF11" s="98"/>
      <c r="OG11" s="98"/>
      <c r="OH11" s="98"/>
      <c r="OI11" s="98"/>
      <c r="OJ11" s="98"/>
      <c r="OK11" s="98"/>
      <c r="OL11" s="98"/>
      <c r="OM11" s="98"/>
      <c r="ON11" s="98"/>
      <c r="OO11" s="98"/>
      <c r="OP11" s="98"/>
      <c r="OQ11" s="98"/>
      <c r="OR11" s="98"/>
      <c r="OS11" s="98"/>
      <c r="OT11" s="98"/>
      <c r="OU11" s="98"/>
      <c r="OV11" s="98"/>
      <c r="OW11" s="98"/>
      <c r="OX11" s="98"/>
      <c r="OY11" s="98"/>
      <c r="OZ11" s="98"/>
      <c r="PA11" s="98"/>
      <c r="PB11" s="98"/>
      <c r="PC11" s="98"/>
      <c r="PD11" s="98"/>
      <c r="PE11" s="98"/>
      <c r="PF11" s="98"/>
      <c r="PG11" s="98"/>
      <c r="PH11" s="98"/>
      <c r="PI11" s="98"/>
      <c r="PJ11" s="98"/>
      <c r="PK11" s="98"/>
      <c r="PL11" s="98"/>
      <c r="PM11" s="98"/>
      <c r="PN11" s="98"/>
      <c r="PO11" s="98"/>
      <c r="PP11" s="98"/>
      <c r="PQ11" s="98"/>
      <c r="PR11" s="98"/>
      <c r="PS11" s="98"/>
      <c r="PT11" s="98"/>
      <c r="PU11" s="98"/>
      <c r="PV11" s="98"/>
      <c r="PW11" s="98"/>
      <c r="PX11" s="98"/>
      <c r="PY11" s="98"/>
      <c r="PZ11" s="98"/>
      <c r="QA11" s="98"/>
      <c r="QB11" s="98"/>
      <c r="QC11" s="98"/>
      <c r="QD11" s="98"/>
      <c r="QE11" s="98"/>
      <c r="QF11" s="98"/>
      <c r="QG11" s="98"/>
      <c r="QH11" s="98"/>
      <c r="QI11" s="98"/>
      <c r="QJ11" s="98"/>
      <c r="QK11" s="98"/>
      <c r="QL11" s="98"/>
      <c r="QM11" s="98"/>
      <c r="QN11" s="98"/>
      <c r="QO11" s="98"/>
      <c r="QP11" s="98"/>
      <c r="QQ11" s="98"/>
      <c r="QR11" s="98"/>
      <c r="QS11" s="98"/>
      <c r="QT11" s="98"/>
      <c r="QU11" s="98"/>
      <c r="QV11" s="98"/>
      <c r="QW11" s="98"/>
      <c r="QX11" s="98"/>
      <c r="QY11" s="98"/>
      <c r="QZ11" s="98"/>
      <c r="RA11" s="98"/>
      <c r="RB11" s="98"/>
      <c r="RC11" s="98"/>
      <c r="RD11" s="98"/>
      <c r="RE11" s="98"/>
      <c r="RF11" s="98"/>
      <c r="RG11" s="98"/>
      <c r="RH11" s="98"/>
      <c r="RI11" s="98"/>
      <c r="RJ11" s="98"/>
      <c r="RK11" s="98"/>
      <c r="RL11" s="98"/>
      <c r="RM11" s="98"/>
      <c r="RN11" s="98"/>
      <c r="RO11" s="98"/>
      <c r="RP11" s="98"/>
      <c r="RQ11" s="98"/>
      <c r="RR11" s="98"/>
      <c r="RS11" s="98"/>
      <c r="RT11" s="98"/>
      <c r="RU11" s="98"/>
      <c r="RV11" s="98"/>
      <c r="RW11" s="98"/>
      <c r="RX11" s="98"/>
      <c r="RY11" s="98"/>
      <c r="RZ11" s="98"/>
      <c r="SA11" s="98"/>
      <c r="SB11" s="98"/>
      <c r="SC11" s="98"/>
      <c r="SD11" s="98"/>
      <c r="SE11" s="98"/>
      <c r="SF11" s="98"/>
      <c r="SG11" s="98"/>
      <c r="SH11" s="98"/>
      <c r="SI11" s="98"/>
      <c r="SJ11" s="98"/>
      <c r="SK11" s="98"/>
      <c r="SL11" s="98"/>
      <c r="SM11" s="98"/>
      <c r="SN11" s="98"/>
      <c r="SO11" s="98"/>
      <c r="SP11" s="98"/>
      <c r="SQ11" s="98"/>
      <c r="SR11" s="98"/>
      <c r="SS11" s="98"/>
      <c r="ST11" s="98"/>
      <c r="SU11" s="98"/>
      <c r="SV11" s="98"/>
      <c r="SW11" s="98"/>
      <c r="SX11" s="98"/>
      <c r="SY11" s="98"/>
      <c r="SZ11" s="98"/>
      <c r="TA11" s="98"/>
      <c r="TB11" s="98"/>
      <c r="TC11" s="98"/>
      <c r="TD11" s="98"/>
      <c r="TE11" s="98"/>
      <c r="TF11" s="98"/>
      <c r="TG11" s="98"/>
      <c r="TH11" s="98"/>
      <c r="TI11" s="98"/>
      <c r="TJ11" s="98"/>
      <c r="TK11" s="98"/>
      <c r="TL11" s="98"/>
      <c r="TM11" s="98"/>
      <c r="TN11" s="98"/>
      <c r="TO11" s="98"/>
      <c r="TP11" s="98"/>
      <c r="TQ11" s="98"/>
      <c r="TR11" s="98"/>
      <c r="TS11" s="98"/>
      <c r="TT11" s="98"/>
      <c r="TU11" s="98"/>
      <c r="TV11" s="98"/>
      <c r="TW11" s="98"/>
      <c r="TX11" s="98"/>
      <c r="TY11" s="98"/>
      <c r="TZ11" s="98"/>
      <c r="UA11" s="98"/>
      <c r="UB11" s="98"/>
      <c r="UC11" s="98"/>
      <c r="UD11" s="98"/>
      <c r="UE11" s="98"/>
      <c r="UF11" s="98"/>
      <c r="UG11" s="98"/>
      <c r="UH11" s="98"/>
      <c r="UI11" s="98"/>
      <c r="UJ11" s="98"/>
      <c r="UK11" s="98"/>
      <c r="UL11" s="98"/>
      <c r="UM11" s="98"/>
      <c r="UN11" s="98"/>
      <c r="UO11" s="98"/>
      <c r="UP11" s="98"/>
      <c r="UQ11" s="98"/>
      <c r="UR11" s="98"/>
      <c r="US11" s="98"/>
      <c r="UT11" s="98"/>
      <c r="UU11" s="98"/>
      <c r="UV11" s="98"/>
      <c r="UW11" s="98"/>
      <c r="UX11" s="98"/>
      <c r="UY11" s="98"/>
      <c r="UZ11" s="98"/>
      <c r="VA11" s="98"/>
      <c r="VB11" s="98"/>
      <c r="VC11" s="98"/>
      <c r="VD11" s="98"/>
      <c r="VE11" s="98"/>
      <c r="VF11" s="98"/>
      <c r="VG11" s="98"/>
      <c r="VH11" s="98"/>
      <c r="VI11" s="98"/>
      <c r="VJ11" s="98"/>
      <c r="VK11" s="98"/>
      <c r="VL11" s="98"/>
      <c r="VM11" s="98"/>
      <c r="VN11" s="98"/>
      <c r="VO11" s="98"/>
      <c r="VP11" s="98"/>
      <c r="VQ11" s="98"/>
      <c r="VR11" s="98"/>
      <c r="VS11" s="98"/>
      <c r="VT11" s="98"/>
      <c r="VU11" s="98"/>
      <c r="VV11" s="98"/>
      <c r="VW11" s="98"/>
      <c r="VX11" s="98"/>
      <c r="VY11" s="98"/>
      <c r="VZ11" s="98"/>
      <c r="WA11" s="98"/>
      <c r="WB11" s="98"/>
      <c r="WC11" s="98"/>
      <c r="WD11" s="98"/>
      <c r="WE11" s="98"/>
      <c r="WF11" s="98"/>
      <c r="WG11" s="98"/>
      <c r="WH11" s="98"/>
      <c r="WI11" s="98"/>
      <c r="WJ11" s="98"/>
      <c r="WK11" s="98"/>
      <c r="WL11" s="98"/>
      <c r="WM11" s="98"/>
      <c r="WN11" s="98"/>
      <c r="WO11" s="98"/>
      <c r="WP11" s="98"/>
      <c r="WQ11" s="98"/>
      <c r="WR11" s="98"/>
      <c r="WS11" s="98"/>
      <c r="WT11" s="98"/>
      <c r="WU11" s="98"/>
      <c r="WV11" s="98"/>
      <c r="WW11" s="98"/>
      <c r="WX11" s="98"/>
      <c r="WY11" s="98"/>
      <c r="WZ11" s="98"/>
      <c r="XA11" s="98"/>
      <c r="XB11" s="98"/>
      <c r="XC11" s="98"/>
      <c r="XD11" s="98"/>
      <c r="XE11" s="98"/>
      <c r="XF11" s="98"/>
      <c r="XG11" s="98"/>
      <c r="XH11" s="98"/>
      <c r="XI11" s="98"/>
      <c r="XJ11" s="98"/>
      <c r="XK11" s="98"/>
      <c r="XL11" s="98"/>
      <c r="XM11" s="98"/>
      <c r="XN11" s="98"/>
      <c r="XO11" s="98"/>
      <c r="XP11" s="98"/>
      <c r="XQ11" s="98"/>
      <c r="XR11" s="98"/>
      <c r="XS11" s="98"/>
      <c r="XT11" s="98"/>
      <c r="XU11" s="98"/>
      <c r="XV11" s="98"/>
      <c r="XW11" s="98"/>
      <c r="XX11" s="98"/>
      <c r="XY11" s="98"/>
      <c r="XZ11" s="98"/>
      <c r="YA11" s="98"/>
      <c r="YB11" s="98"/>
      <c r="YC11" s="98"/>
      <c r="YD11" s="98"/>
      <c r="YE11" s="98"/>
      <c r="YF11" s="98"/>
      <c r="YG11" s="98"/>
      <c r="YH11" s="98"/>
      <c r="YI11" s="98"/>
      <c r="YJ11" s="98"/>
      <c r="YK11" s="98"/>
      <c r="YL11" s="98"/>
      <c r="YM11" s="98"/>
      <c r="YN11" s="98"/>
      <c r="YO11" s="98"/>
      <c r="YP11" s="98"/>
      <c r="YQ11" s="98"/>
      <c r="YR11" s="98"/>
      <c r="YS11" s="98"/>
      <c r="YT11" s="98"/>
      <c r="YU11" s="98"/>
      <c r="YV11" s="98"/>
      <c r="YW11" s="98"/>
      <c r="YX11" s="98"/>
      <c r="YY11" s="98"/>
      <c r="YZ11" s="98"/>
      <c r="ZA11" s="98"/>
      <c r="ZB11" s="98"/>
      <c r="ZC11" s="98"/>
      <c r="ZD11" s="98"/>
      <c r="ZE11" s="98"/>
      <c r="ZF11" s="98"/>
      <c r="ZG11" s="98"/>
      <c r="ZH11" s="98"/>
      <c r="ZI11" s="98"/>
      <c r="ZJ11" s="98"/>
      <c r="ZK11" s="98"/>
      <c r="ZL11" s="98"/>
      <c r="ZM11" s="98"/>
      <c r="ZN11" s="98"/>
      <c r="ZO11" s="98"/>
      <c r="ZP11" s="98"/>
      <c r="ZQ11" s="98"/>
      <c r="ZR11" s="98"/>
      <c r="ZS11" s="98"/>
      <c r="ZT11" s="98"/>
      <c r="ZU11" s="98"/>
      <c r="ZV11" s="98"/>
      <c r="ZW11" s="98"/>
      <c r="ZX11" s="98"/>
      <c r="ZY11" s="98"/>
      <c r="ZZ11" s="98"/>
      <c r="AAA11" s="98"/>
      <c r="AAB11" s="98"/>
      <c r="AAC11" s="98"/>
      <c r="AAD11" s="98"/>
      <c r="AAE11" s="98"/>
      <c r="AAF11" s="98"/>
      <c r="AAG11" s="98"/>
      <c r="AAH11" s="98"/>
      <c r="AAI11" s="98"/>
      <c r="AAJ11" s="98"/>
      <c r="AAK11" s="98"/>
      <c r="AAL11" s="98"/>
      <c r="AAM11" s="98"/>
      <c r="AAN11" s="98"/>
      <c r="AAO11" s="98"/>
      <c r="AAP11" s="98"/>
      <c r="AAQ11" s="98"/>
      <c r="AAR11" s="98"/>
      <c r="AAS11" s="98"/>
      <c r="AAT11" s="98"/>
      <c r="AAU11" s="98"/>
      <c r="AAV11" s="98"/>
      <c r="AAW11" s="98"/>
      <c r="AAX11" s="98"/>
      <c r="AAY11" s="98"/>
      <c r="AAZ11" s="98"/>
      <c r="ABA11" s="98"/>
      <c r="ABB11" s="98"/>
      <c r="ABC11" s="98"/>
      <c r="ABD11" s="98"/>
      <c r="ABE11" s="98"/>
      <c r="ABF11" s="98"/>
      <c r="ABG11" s="98"/>
      <c r="ABH11" s="98"/>
      <c r="ABI11" s="98"/>
      <c r="ABJ11" s="98"/>
      <c r="ABK11" s="98"/>
      <c r="ABL11" s="98"/>
      <c r="ABM11" s="98"/>
      <c r="ABN11" s="98"/>
      <c r="ABO11" s="98"/>
      <c r="ABP11" s="98"/>
      <c r="ABQ11" s="98"/>
      <c r="ABR11" s="98"/>
      <c r="ABS11" s="98"/>
      <c r="ABT11" s="98"/>
      <c r="ABU11" s="98"/>
      <c r="ABV11" s="98"/>
      <c r="ABW11" s="98"/>
      <c r="ABX11" s="98"/>
      <c r="ABY11" s="98"/>
      <c r="ABZ11" s="98"/>
      <c r="ACA11" s="98"/>
      <c r="ACB11" s="98"/>
      <c r="ACC11" s="98"/>
      <c r="ACD11" s="98"/>
      <c r="ACE11" s="98"/>
      <c r="ACF11" s="98"/>
      <c r="ACG11" s="98"/>
      <c r="ACH11" s="98"/>
      <c r="ACI11" s="98"/>
      <c r="ACJ11" s="98"/>
      <c r="ACK11" s="98"/>
      <c r="ACL11" s="98"/>
      <c r="ACM11" s="98"/>
      <c r="ACN11" s="98"/>
      <c r="ACO11" s="98"/>
      <c r="ACP11" s="98"/>
      <c r="ACQ11" s="98"/>
      <c r="ACR11" s="98"/>
      <c r="ACS11" s="98"/>
      <c r="ACT11" s="98"/>
      <c r="ACU11" s="98"/>
      <c r="ACV11" s="98"/>
      <c r="ACW11" s="98"/>
      <c r="ACX11" s="98"/>
      <c r="ACY11" s="98"/>
      <c r="ACZ11" s="98"/>
      <c r="ADA11" s="98"/>
      <c r="ADB11" s="98"/>
      <c r="ADC11" s="98"/>
      <c r="ADD11" s="98"/>
      <c r="ADE11" s="98"/>
      <c r="ADF11" s="98"/>
      <c r="ADG11" s="98"/>
      <c r="ADH11" s="98"/>
      <c r="ADI11" s="98"/>
      <c r="ADJ11" s="98"/>
      <c r="ADK11" s="98"/>
      <c r="ADL11" s="98"/>
      <c r="ADM11" s="98"/>
      <c r="ADN11" s="98"/>
      <c r="ADO11" s="98"/>
      <c r="ADP11" s="98"/>
      <c r="ADQ11" s="98"/>
      <c r="ADR11" s="98"/>
      <c r="ADS11" s="98"/>
      <c r="ADT11" s="98"/>
      <c r="ADU11" s="98"/>
      <c r="ADV11" s="98"/>
      <c r="ADW11" s="98"/>
      <c r="ADX11" s="98"/>
      <c r="ADY11" s="98"/>
      <c r="ADZ11" s="98"/>
      <c r="AEA11" s="98"/>
      <c r="AEB11" s="98"/>
      <c r="AEC11" s="98"/>
      <c r="AED11" s="98"/>
      <c r="AEE11" s="98"/>
      <c r="AEF11" s="98"/>
      <c r="AEG11" s="98"/>
      <c r="AEH11" s="98"/>
      <c r="AEI11" s="98"/>
      <c r="AEJ11" s="98"/>
      <c r="AEK11" s="98"/>
      <c r="AEL11" s="98"/>
      <c r="AEM11" s="98"/>
      <c r="AEN11" s="98"/>
      <c r="AEO11" s="98"/>
      <c r="AEP11" s="98"/>
      <c r="AEQ11" s="98"/>
      <c r="AER11" s="98"/>
      <c r="AES11" s="98"/>
      <c r="AET11" s="98"/>
      <c r="AEU11" s="98"/>
      <c r="AEV11" s="98"/>
      <c r="AEW11" s="98"/>
      <c r="AEX11" s="98"/>
      <c r="AEY11" s="98"/>
      <c r="AEZ11" s="98"/>
      <c r="AFA11" s="98"/>
      <c r="AFB11" s="98"/>
      <c r="AFC11" s="98"/>
      <c r="AFD11" s="98"/>
      <c r="AFE11" s="98"/>
      <c r="AFF11" s="98"/>
      <c r="AFG11" s="98"/>
      <c r="AFH11" s="98"/>
      <c r="AFI11" s="98"/>
      <c r="AFJ11" s="98"/>
      <c r="AFK11" s="98"/>
      <c r="AFL11" s="98"/>
      <c r="AFM11" s="98"/>
      <c r="AFN11" s="98"/>
      <c r="AFO11" s="98"/>
      <c r="AFP11" s="98"/>
      <c r="AFQ11" s="98"/>
      <c r="AFR11" s="98"/>
      <c r="AFS11" s="98"/>
      <c r="AFT11" s="98"/>
      <c r="AFU11" s="98"/>
      <c r="AFV11" s="98"/>
      <c r="AFW11" s="98"/>
      <c r="AFX11" s="98"/>
      <c r="AFY11" s="98"/>
      <c r="AFZ11" s="98"/>
      <c r="AGA11" s="98"/>
      <c r="AGB11" s="98"/>
      <c r="AGC11" s="98"/>
      <c r="AGD11" s="98"/>
      <c r="AGE11" s="98"/>
      <c r="AGF11" s="98"/>
      <c r="AGG11" s="98"/>
      <c r="AGH11" s="98"/>
      <c r="AGI11" s="98"/>
      <c r="AGJ11" s="98"/>
      <c r="AGK11" s="98"/>
      <c r="AGL11" s="98"/>
      <c r="AGM11" s="98"/>
      <c r="AGN11" s="98"/>
      <c r="AGO11" s="98"/>
      <c r="AGP11" s="98"/>
      <c r="AGQ11" s="98"/>
      <c r="AGR11" s="98"/>
      <c r="AGS11" s="98"/>
      <c r="AGT11" s="98"/>
      <c r="AGU11" s="98"/>
      <c r="AGV11" s="98"/>
      <c r="AGW11" s="98"/>
      <c r="AGX11" s="98"/>
      <c r="AGY11" s="98"/>
      <c r="AGZ11" s="98"/>
      <c r="AHA11" s="98"/>
      <c r="AHB11" s="98"/>
      <c r="AHC11" s="98"/>
      <c r="AHD11" s="98"/>
      <c r="AHE11" s="98"/>
      <c r="AHF11" s="98"/>
      <c r="AHG11" s="98"/>
      <c r="AHH11" s="98"/>
      <c r="AHI11" s="98"/>
      <c r="AHJ11" s="98"/>
      <c r="AHK11" s="98"/>
      <c r="AHL11" s="98"/>
      <c r="AHM11" s="98"/>
      <c r="AHN11" s="98"/>
      <c r="AHO11" s="98"/>
      <c r="AHP11" s="98"/>
      <c r="AHQ11" s="98"/>
      <c r="AHR11" s="98"/>
      <c r="AHS11" s="98"/>
      <c r="AHT11" s="98"/>
      <c r="AHU11" s="98"/>
      <c r="AHV11" s="98"/>
      <c r="AHW11" s="98"/>
      <c r="AHX11" s="98"/>
      <c r="AHY11" s="98"/>
      <c r="AHZ11" s="98"/>
      <c r="AIA11" s="98"/>
      <c r="AIB11" s="98"/>
      <c r="AIC11" s="98"/>
      <c r="AID11" s="98"/>
      <c r="AIE11" s="98"/>
      <c r="AIF11" s="98"/>
      <c r="AIG11" s="98"/>
      <c r="AIH11" s="98"/>
      <c r="AII11" s="98"/>
      <c r="AIJ11" s="98"/>
      <c r="AIK11" s="98"/>
      <c r="AIL11" s="98"/>
      <c r="AIM11" s="98"/>
      <c r="AIN11" s="98"/>
      <c r="AIO11" s="98"/>
      <c r="AIP11" s="98"/>
      <c r="AIQ11" s="98"/>
      <c r="AIR11" s="98"/>
      <c r="AIS11" s="98"/>
      <c r="AIT11" s="98"/>
      <c r="AIU11" s="98"/>
      <c r="AIV11" s="98"/>
      <c r="AIW11" s="98"/>
      <c r="AIX11" s="98"/>
      <c r="AIY11" s="98"/>
      <c r="AIZ11" s="98"/>
      <c r="AJA11" s="98"/>
      <c r="AJB11" s="98"/>
      <c r="AJC11" s="98"/>
      <c r="AJD11" s="98"/>
      <c r="AJE11" s="98"/>
      <c r="AJF11" s="98"/>
      <c r="AJG11" s="98"/>
      <c r="AJH11" s="98"/>
      <c r="AJI11" s="98"/>
      <c r="AJJ11" s="98"/>
      <c r="AJK11" s="98"/>
      <c r="AJL11" s="98"/>
      <c r="AJM11" s="98"/>
      <c r="AJN11" s="98"/>
      <c r="AJO11" s="98"/>
      <c r="AJP11" s="98"/>
      <c r="AJQ11" s="98"/>
      <c r="AJR11" s="98"/>
      <c r="AJS11" s="98"/>
      <c r="AJT11" s="98"/>
      <c r="AJU11" s="98"/>
      <c r="AJV11" s="98"/>
      <c r="AJW11" s="98"/>
      <c r="AJX11" s="98"/>
      <c r="AJY11" s="98"/>
      <c r="AJZ11" s="98"/>
      <c r="AKA11" s="98"/>
      <c r="AKB11" s="98"/>
      <c r="AKC11" s="98"/>
      <c r="AKD11" s="98"/>
      <c r="AKE11" s="98"/>
      <c r="AKF11" s="98"/>
      <c r="AKG11" s="98"/>
      <c r="AKH11" s="98"/>
      <c r="AKI11" s="98"/>
      <c r="AKJ11" s="98"/>
      <c r="AKK11" s="98"/>
      <c r="AKL11" s="98"/>
      <c r="AKM11" s="98"/>
      <c r="AKN11" s="98"/>
      <c r="AKO11" s="98"/>
      <c r="AKP11" s="98"/>
      <c r="AKQ11" s="98"/>
      <c r="AKR11" s="98"/>
      <c r="AKS11" s="98"/>
      <c r="AKT11" s="98"/>
      <c r="AKU11" s="98"/>
      <c r="AKV11" s="98"/>
      <c r="AKW11" s="98"/>
      <c r="AKX11" s="98"/>
      <c r="AKY11" s="98"/>
      <c r="AKZ11" s="98"/>
      <c r="ALA11" s="98"/>
      <c r="ALB11" s="98"/>
      <c r="ALC11" s="98"/>
      <c r="ALD11" s="98"/>
      <c r="ALE11" s="98"/>
      <c r="ALF11" s="98"/>
      <c r="ALG11" s="98"/>
      <c r="ALH11" s="98"/>
      <c r="ALI11" s="98"/>
      <c r="ALJ11" s="98"/>
      <c r="ALK11" s="98"/>
      <c r="ALL11" s="98"/>
      <c r="ALM11" s="98"/>
      <c r="ALN11" s="98"/>
      <c r="ALO11" s="98"/>
      <c r="ALP11" s="98"/>
      <c r="ALQ11" s="98"/>
      <c r="ALR11" s="98"/>
      <c r="ALS11" s="98"/>
      <c r="ALT11" s="98"/>
      <c r="ALU11" s="98"/>
      <c r="ALV11" s="98"/>
      <c r="ALW11" s="98"/>
      <c r="ALX11" s="98"/>
      <c r="ALY11" s="98"/>
      <c r="ALZ11" s="98"/>
      <c r="AMA11" s="98"/>
      <c r="AMB11" s="98"/>
      <c r="AMC11" s="98"/>
      <c r="AMD11" s="98"/>
      <c r="AME11" s="98"/>
      <c r="AMF11" s="98"/>
      <c r="AMG11" s="98"/>
      <c r="AMH11" s="98"/>
      <c r="AMI11" s="98"/>
      <c r="AMJ11" s="98"/>
      <c r="AMK11" s="98"/>
      <c r="AML11" s="98"/>
      <c r="AMM11" s="98"/>
      <c r="AMN11" s="98"/>
      <c r="AMO11" s="98"/>
      <c r="AMP11" s="98"/>
      <c r="AMQ11" s="98"/>
      <c r="AMR11" s="98"/>
      <c r="AMS11" s="98"/>
      <c r="AMT11" s="98"/>
      <c r="AMU11" s="98"/>
      <c r="AMV11" s="98"/>
      <c r="AMW11" s="98"/>
      <c r="AMX11" s="98"/>
      <c r="AMY11" s="98"/>
      <c r="AMZ11" s="98"/>
      <c r="ANA11" s="98"/>
      <c r="ANB11" s="98"/>
      <c r="ANC11" s="98"/>
      <c r="AND11" s="98"/>
      <c r="ANE11" s="98"/>
      <c r="ANF11" s="98"/>
      <c r="ANG11" s="98"/>
      <c r="ANH11" s="98"/>
      <c r="ANI11" s="98"/>
      <c r="ANJ11" s="98"/>
      <c r="ANK11" s="98"/>
      <c r="ANL11" s="98"/>
      <c r="ANM11" s="98"/>
      <c r="ANN11" s="98"/>
      <c r="ANO11" s="98"/>
      <c r="ANP11" s="98"/>
      <c r="ANQ11" s="98"/>
      <c r="ANR11" s="98"/>
      <c r="ANS11" s="98"/>
      <c r="ANT11" s="98"/>
      <c r="ANU11" s="98"/>
      <c r="ANV11" s="98"/>
      <c r="ANW11" s="98"/>
      <c r="ANX11" s="98"/>
      <c r="ANY11" s="98"/>
      <c r="ANZ11" s="98"/>
      <c r="AOA11" s="98"/>
      <c r="AOB11" s="98"/>
      <c r="AOC11" s="98"/>
      <c r="AOD11" s="98"/>
      <c r="AOE11" s="98"/>
      <c r="AOF11" s="98"/>
      <c r="AOG11" s="98"/>
      <c r="AOH11" s="98"/>
      <c r="AOI11" s="98"/>
      <c r="AOJ11" s="98"/>
      <c r="AOK11" s="98"/>
      <c r="AOL11" s="98"/>
      <c r="AOM11" s="98"/>
      <c r="AON11" s="98"/>
      <c r="AOO11" s="98"/>
      <c r="AOP11" s="98"/>
      <c r="AOQ11" s="98"/>
      <c r="AOR11" s="98"/>
      <c r="AOS11" s="98"/>
      <c r="AOT11" s="98"/>
      <c r="AOU11" s="98"/>
      <c r="AOV11" s="98"/>
      <c r="AOW11" s="98"/>
      <c r="AOX11" s="98"/>
      <c r="AOY11" s="98"/>
      <c r="AOZ11" s="98"/>
      <c r="APA11" s="98"/>
      <c r="APB11" s="98"/>
      <c r="APC11" s="98"/>
      <c r="APD11" s="98"/>
      <c r="APE11" s="98"/>
      <c r="APF11" s="98"/>
      <c r="APG11" s="98"/>
      <c r="APH11" s="98"/>
      <c r="API11" s="98"/>
      <c r="APJ11" s="98"/>
      <c r="APK11" s="98"/>
      <c r="APL11" s="98"/>
      <c r="APM11" s="98"/>
      <c r="APN11" s="98"/>
      <c r="APO11" s="98"/>
      <c r="APP11" s="98"/>
      <c r="APQ11" s="98"/>
      <c r="APR11" s="98"/>
      <c r="APS11" s="98"/>
      <c r="APT11" s="98"/>
      <c r="APU11" s="98"/>
      <c r="APV11" s="98"/>
      <c r="APW11" s="98"/>
      <c r="APX11" s="98"/>
      <c r="APY11" s="98"/>
      <c r="APZ11" s="98"/>
      <c r="AQA11" s="98"/>
      <c r="AQB11" s="98"/>
      <c r="AQC11" s="98"/>
      <c r="AQD11" s="98"/>
      <c r="AQE11" s="98"/>
      <c r="AQF11" s="98"/>
      <c r="AQG11" s="98"/>
      <c r="AQH11" s="98"/>
      <c r="AQI11" s="98"/>
      <c r="AQJ11" s="98"/>
      <c r="AQK11" s="98"/>
      <c r="AQL11" s="98"/>
      <c r="AQM11" s="98"/>
      <c r="AQN11" s="98"/>
      <c r="AQO11" s="98"/>
      <c r="AQP11" s="98"/>
      <c r="AQQ11" s="98"/>
      <c r="AQR11" s="98"/>
      <c r="AQS11" s="98"/>
      <c r="AQT11" s="98"/>
      <c r="AQU11" s="98"/>
      <c r="AQV11" s="98"/>
      <c r="AQW11" s="98"/>
      <c r="AQX11" s="98"/>
      <c r="AQY11" s="98"/>
      <c r="AQZ11" s="98"/>
      <c r="ARA11" s="98"/>
      <c r="ARB11" s="98"/>
      <c r="ARC11" s="98"/>
      <c r="ARD11" s="98"/>
      <c r="ARE11" s="98"/>
      <c r="ARF11" s="98"/>
      <c r="ARG11" s="98"/>
      <c r="ARH11" s="98"/>
      <c r="ARI11" s="98"/>
      <c r="ARJ11" s="98"/>
      <c r="ARK11" s="98"/>
      <c r="ARL11" s="98"/>
      <c r="ARM11" s="98"/>
      <c r="ARN11" s="98"/>
      <c r="ARO11" s="98"/>
      <c r="ARP11" s="98"/>
      <c r="ARQ11" s="98"/>
      <c r="ARR11" s="98"/>
      <c r="ARS11" s="98"/>
    </row>
    <row r="12" spans="1:1163" s="174" customFormat="1">
      <c r="A12" s="140" t="s">
        <v>91</v>
      </c>
      <c r="B12" s="119" t="s">
        <v>67</v>
      </c>
      <c r="C12" s="175">
        <v>37331</v>
      </c>
      <c r="D12" s="175">
        <v>187070</v>
      </c>
      <c r="E12" s="175">
        <v>0</v>
      </c>
      <c r="F12" s="175">
        <v>0</v>
      </c>
      <c r="G12" s="175">
        <v>0</v>
      </c>
      <c r="H12" s="175">
        <v>0</v>
      </c>
      <c r="I12" s="175">
        <v>0</v>
      </c>
      <c r="J12" s="175">
        <v>0</v>
      </c>
      <c r="K12" s="175">
        <v>0</v>
      </c>
      <c r="L12" s="175">
        <v>0</v>
      </c>
      <c r="M12" s="175">
        <v>0</v>
      </c>
      <c r="N12" s="175">
        <v>0</v>
      </c>
      <c r="O12" s="175">
        <v>0</v>
      </c>
      <c r="P12" s="175">
        <v>0</v>
      </c>
      <c r="Q12" s="175">
        <v>0</v>
      </c>
      <c r="R12" s="175">
        <v>0</v>
      </c>
      <c r="S12" s="175">
        <v>0</v>
      </c>
      <c r="T12" s="175">
        <v>0</v>
      </c>
      <c r="U12" s="175">
        <v>0</v>
      </c>
      <c r="V12" s="175">
        <v>0</v>
      </c>
      <c r="W12" s="175">
        <v>0</v>
      </c>
      <c r="X12" s="175">
        <v>0</v>
      </c>
      <c r="Y12" s="175">
        <v>0</v>
      </c>
      <c r="Z12" s="175">
        <v>0</v>
      </c>
      <c r="AA12" s="175">
        <v>0</v>
      </c>
      <c r="AB12" s="175">
        <v>0</v>
      </c>
      <c r="AC12" s="175">
        <v>0</v>
      </c>
      <c r="AD12" s="175">
        <v>0</v>
      </c>
      <c r="AE12" s="175">
        <v>0</v>
      </c>
      <c r="AF12" s="175">
        <v>0</v>
      </c>
      <c r="AG12" s="175">
        <v>0</v>
      </c>
      <c r="AH12" s="175">
        <v>0</v>
      </c>
      <c r="AI12" s="175">
        <v>0</v>
      </c>
      <c r="AJ12" s="175">
        <v>0</v>
      </c>
      <c r="AK12" s="175">
        <v>0</v>
      </c>
      <c r="AL12" s="175">
        <v>0</v>
      </c>
      <c r="AM12" s="175">
        <v>0</v>
      </c>
      <c r="AN12" s="175">
        <v>0</v>
      </c>
      <c r="AO12" s="175">
        <v>0</v>
      </c>
      <c r="AP12" s="175">
        <v>0</v>
      </c>
      <c r="AQ12" s="175">
        <v>0</v>
      </c>
      <c r="AR12" s="175">
        <v>0</v>
      </c>
      <c r="AS12" s="175">
        <v>0</v>
      </c>
      <c r="AT12" s="175">
        <v>0</v>
      </c>
      <c r="AU12" s="175">
        <v>0</v>
      </c>
      <c r="AV12" s="175">
        <v>0</v>
      </c>
      <c r="AW12" s="175">
        <v>0</v>
      </c>
      <c r="AX12" s="175">
        <v>0</v>
      </c>
      <c r="AY12" s="175">
        <v>0</v>
      </c>
      <c r="AZ12" s="175">
        <v>0</v>
      </c>
      <c r="BA12" s="177"/>
      <c r="BB12" s="175"/>
      <c r="BC12" s="175"/>
      <c r="BD12" s="175"/>
      <c r="BE12" s="175"/>
      <c r="BF12" s="175"/>
      <c r="BG12" s="175"/>
      <c r="BH12" s="175"/>
      <c r="BI12" s="177"/>
      <c r="BJ12" s="98"/>
      <c r="BK12" s="148"/>
      <c r="BL12" s="148"/>
      <c r="BM12" s="148"/>
      <c r="BN12" s="14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c r="IW12" s="98"/>
      <c r="IX12" s="98"/>
      <c r="IY12" s="98"/>
      <c r="IZ12" s="98"/>
      <c r="JA12" s="98"/>
      <c r="JB12" s="98"/>
      <c r="JC12" s="98"/>
      <c r="JD12" s="98"/>
      <c r="JE12" s="98"/>
      <c r="JF12" s="98"/>
      <c r="JG12" s="98"/>
      <c r="JH12" s="98"/>
      <c r="JI12" s="98"/>
      <c r="JJ12" s="98"/>
      <c r="JK12" s="98"/>
      <c r="JL12" s="98"/>
      <c r="JM12" s="98"/>
      <c r="JN12" s="98"/>
      <c r="JO12" s="98"/>
      <c r="JP12" s="98"/>
      <c r="JQ12" s="98"/>
      <c r="JR12" s="98"/>
      <c r="JS12" s="98"/>
      <c r="JT12" s="98"/>
      <c r="JU12" s="98"/>
      <c r="JV12" s="98"/>
      <c r="JW12" s="98"/>
      <c r="JX12" s="98"/>
      <c r="JY12" s="98"/>
      <c r="JZ12" s="98"/>
      <c r="KA12" s="98"/>
      <c r="KB12" s="98"/>
      <c r="KC12" s="98"/>
      <c r="KD12" s="98"/>
      <c r="KE12" s="98"/>
      <c r="KF12" s="98"/>
      <c r="KG12" s="98"/>
      <c r="KH12" s="98"/>
      <c r="KI12" s="98"/>
      <c r="KJ12" s="98"/>
      <c r="KK12" s="98"/>
      <c r="KL12" s="98"/>
      <c r="KM12" s="98"/>
      <c r="KN12" s="98"/>
      <c r="KO12" s="98"/>
      <c r="KP12" s="98"/>
      <c r="KQ12" s="98"/>
      <c r="KR12" s="98"/>
      <c r="KS12" s="98"/>
      <c r="KT12" s="98"/>
      <c r="KU12" s="98"/>
      <c r="KV12" s="98"/>
      <c r="KW12" s="98"/>
      <c r="KX12" s="98"/>
      <c r="KY12" s="98"/>
      <c r="KZ12" s="98"/>
      <c r="LA12" s="98"/>
      <c r="LB12" s="98"/>
      <c r="LC12" s="98"/>
      <c r="LD12" s="98"/>
      <c r="LE12" s="98"/>
      <c r="LF12" s="98"/>
      <c r="LG12" s="98"/>
      <c r="LH12" s="98"/>
      <c r="LI12" s="98"/>
      <c r="LJ12" s="98"/>
      <c r="LK12" s="98"/>
      <c r="LL12" s="98"/>
      <c r="LM12" s="98"/>
      <c r="LN12" s="98"/>
      <c r="LO12" s="98"/>
      <c r="LP12" s="98"/>
      <c r="LQ12" s="98"/>
      <c r="LR12" s="98"/>
      <c r="LS12" s="98"/>
      <c r="LT12" s="98"/>
      <c r="LU12" s="98"/>
      <c r="LV12" s="98"/>
      <c r="LW12" s="98"/>
      <c r="LX12" s="98"/>
      <c r="LY12" s="98"/>
      <c r="LZ12" s="98"/>
      <c r="MA12" s="98"/>
      <c r="MB12" s="98"/>
      <c r="MC12" s="98"/>
      <c r="MD12" s="98"/>
      <c r="ME12" s="98"/>
      <c r="MF12" s="98"/>
      <c r="MG12" s="98"/>
      <c r="MH12" s="98"/>
      <c r="MI12" s="98"/>
      <c r="MJ12" s="98"/>
      <c r="MK12" s="98"/>
      <c r="ML12" s="98"/>
      <c r="MM12" s="98"/>
      <c r="MN12" s="98"/>
      <c r="MO12" s="98"/>
      <c r="MP12" s="98"/>
      <c r="MQ12" s="98"/>
      <c r="MR12" s="98"/>
      <c r="MS12" s="98"/>
      <c r="MT12" s="98"/>
      <c r="MU12" s="98"/>
      <c r="MV12" s="98"/>
      <c r="MW12" s="98"/>
      <c r="MX12" s="98"/>
      <c r="MY12" s="98"/>
      <c r="MZ12" s="98"/>
      <c r="NA12" s="98"/>
      <c r="NB12" s="98"/>
      <c r="NC12" s="98"/>
      <c r="ND12" s="98"/>
      <c r="NE12" s="98"/>
      <c r="NF12" s="98"/>
      <c r="NG12" s="98"/>
      <c r="NH12" s="98"/>
      <c r="NI12" s="98"/>
      <c r="NJ12" s="98"/>
      <c r="NK12" s="98"/>
      <c r="NL12" s="98"/>
      <c r="NM12" s="98"/>
      <c r="NN12" s="98"/>
      <c r="NO12" s="98"/>
      <c r="NP12" s="98"/>
      <c r="NQ12" s="98"/>
      <c r="NR12" s="98"/>
      <c r="NS12" s="98"/>
      <c r="NT12" s="98"/>
      <c r="NU12" s="98"/>
      <c r="NV12" s="98"/>
      <c r="NW12" s="98"/>
      <c r="NX12" s="98"/>
      <c r="NY12" s="98"/>
      <c r="NZ12" s="98"/>
      <c r="OA12" s="98"/>
      <c r="OB12" s="98"/>
      <c r="OC12" s="98"/>
      <c r="OD12" s="98"/>
      <c r="OE12" s="98"/>
      <c r="OF12" s="98"/>
      <c r="OG12" s="98"/>
      <c r="OH12" s="98"/>
      <c r="OI12" s="98"/>
      <c r="OJ12" s="98"/>
      <c r="OK12" s="98"/>
      <c r="OL12" s="98"/>
      <c r="OM12" s="98"/>
      <c r="ON12" s="98"/>
      <c r="OO12" s="98"/>
      <c r="OP12" s="98"/>
      <c r="OQ12" s="98"/>
      <c r="OR12" s="98"/>
      <c r="OS12" s="98"/>
      <c r="OT12" s="98"/>
      <c r="OU12" s="98"/>
      <c r="OV12" s="98"/>
      <c r="OW12" s="98"/>
      <c r="OX12" s="98"/>
      <c r="OY12" s="98"/>
      <c r="OZ12" s="98"/>
      <c r="PA12" s="98"/>
      <c r="PB12" s="98"/>
      <c r="PC12" s="98"/>
      <c r="PD12" s="98"/>
      <c r="PE12" s="98"/>
      <c r="PF12" s="98"/>
      <c r="PG12" s="98"/>
      <c r="PH12" s="98"/>
      <c r="PI12" s="98"/>
      <c r="PJ12" s="98"/>
      <c r="PK12" s="98"/>
      <c r="PL12" s="98"/>
      <c r="PM12" s="98"/>
      <c r="PN12" s="98"/>
      <c r="PO12" s="98"/>
      <c r="PP12" s="98"/>
      <c r="PQ12" s="98"/>
      <c r="PR12" s="98"/>
      <c r="PS12" s="98"/>
      <c r="PT12" s="98"/>
      <c r="PU12" s="98"/>
      <c r="PV12" s="98"/>
      <c r="PW12" s="98"/>
      <c r="PX12" s="98"/>
      <c r="PY12" s="98"/>
      <c r="PZ12" s="98"/>
      <c r="QA12" s="98"/>
      <c r="QB12" s="98"/>
      <c r="QC12" s="98"/>
      <c r="QD12" s="98"/>
      <c r="QE12" s="98"/>
      <c r="QF12" s="98"/>
      <c r="QG12" s="98"/>
      <c r="QH12" s="98"/>
      <c r="QI12" s="98"/>
      <c r="QJ12" s="98"/>
      <c r="QK12" s="98"/>
      <c r="QL12" s="98"/>
      <c r="QM12" s="98"/>
      <c r="QN12" s="98"/>
      <c r="QO12" s="98"/>
      <c r="QP12" s="98"/>
      <c r="QQ12" s="98"/>
      <c r="QR12" s="98"/>
      <c r="QS12" s="98"/>
      <c r="QT12" s="98"/>
      <c r="QU12" s="98"/>
      <c r="QV12" s="98"/>
      <c r="QW12" s="98"/>
      <c r="QX12" s="98"/>
      <c r="QY12" s="98"/>
      <c r="QZ12" s="98"/>
      <c r="RA12" s="98"/>
      <c r="RB12" s="98"/>
      <c r="RC12" s="98"/>
      <c r="RD12" s="98"/>
      <c r="RE12" s="98"/>
      <c r="RF12" s="98"/>
      <c r="RG12" s="98"/>
      <c r="RH12" s="98"/>
      <c r="RI12" s="98"/>
      <c r="RJ12" s="98"/>
      <c r="RK12" s="98"/>
      <c r="RL12" s="98"/>
      <c r="RM12" s="98"/>
      <c r="RN12" s="98"/>
      <c r="RO12" s="98"/>
      <c r="RP12" s="98"/>
      <c r="RQ12" s="98"/>
      <c r="RR12" s="98"/>
      <c r="RS12" s="98"/>
      <c r="RT12" s="98"/>
      <c r="RU12" s="98"/>
      <c r="RV12" s="98"/>
      <c r="RW12" s="98"/>
      <c r="RX12" s="98"/>
      <c r="RY12" s="98"/>
      <c r="RZ12" s="98"/>
      <c r="SA12" s="98"/>
      <c r="SB12" s="98"/>
      <c r="SC12" s="98"/>
      <c r="SD12" s="98"/>
      <c r="SE12" s="98"/>
      <c r="SF12" s="98"/>
      <c r="SG12" s="98"/>
      <c r="SH12" s="98"/>
      <c r="SI12" s="98"/>
      <c r="SJ12" s="98"/>
      <c r="SK12" s="98"/>
      <c r="SL12" s="98"/>
      <c r="SM12" s="98"/>
      <c r="SN12" s="98"/>
      <c r="SO12" s="98"/>
      <c r="SP12" s="98"/>
      <c r="SQ12" s="98"/>
      <c r="SR12" s="98"/>
      <c r="SS12" s="98"/>
      <c r="ST12" s="98"/>
      <c r="SU12" s="98"/>
      <c r="SV12" s="98"/>
      <c r="SW12" s="98"/>
      <c r="SX12" s="98"/>
      <c r="SY12" s="98"/>
      <c r="SZ12" s="98"/>
      <c r="TA12" s="98"/>
      <c r="TB12" s="98"/>
      <c r="TC12" s="98"/>
      <c r="TD12" s="98"/>
      <c r="TE12" s="98"/>
      <c r="TF12" s="98"/>
      <c r="TG12" s="98"/>
      <c r="TH12" s="98"/>
      <c r="TI12" s="98"/>
      <c r="TJ12" s="98"/>
      <c r="TK12" s="98"/>
      <c r="TL12" s="98"/>
      <c r="TM12" s="98"/>
      <c r="TN12" s="98"/>
      <c r="TO12" s="98"/>
      <c r="TP12" s="98"/>
      <c r="TQ12" s="98"/>
      <c r="TR12" s="98"/>
      <c r="TS12" s="98"/>
      <c r="TT12" s="98"/>
      <c r="TU12" s="98"/>
      <c r="TV12" s="98"/>
      <c r="TW12" s="98"/>
      <c r="TX12" s="98"/>
      <c r="TY12" s="98"/>
      <c r="TZ12" s="98"/>
      <c r="UA12" s="98"/>
      <c r="UB12" s="98"/>
      <c r="UC12" s="98"/>
      <c r="UD12" s="98"/>
      <c r="UE12" s="98"/>
      <c r="UF12" s="98"/>
      <c r="UG12" s="98"/>
      <c r="UH12" s="98"/>
      <c r="UI12" s="98"/>
      <c r="UJ12" s="98"/>
      <c r="UK12" s="98"/>
      <c r="UL12" s="98"/>
      <c r="UM12" s="98"/>
      <c r="UN12" s="98"/>
      <c r="UO12" s="98"/>
      <c r="UP12" s="98"/>
      <c r="UQ12" s="98"/>
      <c r="UR12" s="98"/>
      <c r="US12" s="98"/>
      <c r="UT12" s="98"/>
      <c r="UU12" s="98"/>
      <c r="UV12" s="98"/>
      <c r="UW12" s="98"/>
      <c r="UX12" s="98"/>
      <c r="UY12" s="98"/>
      <c r="UZ12" s="98"/>
      <c r="VA12" s="98"/>
      <c r="VB12" s="98"/>
      <c r="VC12" s="98"/>
      <c r="VD12" s="98"/>
      <c r="VE12" s="98"/>
      <c r="VF12" s="98"/>
      <c r="VG12" s="98"/>
      <c r="VH12" s="98"/>
      <c r="VI12" s="98"/>
      <c r="VJ12" s="98"/>
      <c r="VK12" s="98"/>
      <c r="VL12" s="98"/>
      <c r="VM12" s="98"/>
      <c r="VN12" s="98"/>
      <c r="VO12" s="98"/>
      <c r="VP12" s="98"/>
      <c r="VQ12" s="98"/>
      <c r="VR12" s="98"/>
      <c r="VS12" s="98"/>
      <c r="VT12" s="98"/>
      <c r="VU12" s="98"/>
      <c r="VV12" s="98"/>
      <c r="VW12" s="98"/>
      <c r="VX12" s="98"/>
      <c r="VY12" s="98"/>
      <c r="VZ12" s="98"/>
      <c r="WA12" s="98"/>
      <c r="WB12" s="98"/>
      <c r="WC12" s="98"/>
      <c r="WD12" s="98"/>
      <c r="WE12" s="98"/>
      <c r="WF12" s="98"/>
      <c r="WG12" s="98"/>
      <c r="WH12" s="98"/>
      <c r="WI12" s="98"/>
      <c r="WJ12" s="98"/>
      <c r="WK12" s="98"/>
      <c r="WL12" s="98"/>
      <c r="WM12" s="98"/>
      <c r="WN12" s="98"/>
      <c r="WO12" s="98"/>
      <c r="WP12" s="98"/>
      <c r="WQ12" s="98"/>
      <c r="WR12" s="98"/>
      <c r="WS12" s="98"/>
      <c r="WT12" s="98"/>
      <c r="WU12" s="98"/>
      <c r="WV12" s="98"/>
      <c r="WW12" s="98"/>
      <c r="WX12" s="98"/>
      <c r="WY12" s="98"/>
      <c r="WZ12" s="98"/>
      <c r="XA12" s="98"/>
      <c r="XB12" s="98"/>
      <c r="XC12" s="98"/>
      <c r="XD12" s="98"/>
      <c r="XE12" s="98"/>
      <c r="XF12" s="98"/>
      <c r="XG12" s="98"/>
      <c r="XH12" s="98"/>
      <c r="XI12" s="98"/>
      <c r="XJ12" s="98"/>
      <c r="XK12" s="98"/>
      <c r="XL12" s="98"/>
      <c r="XM12" s="98"/>
      <c r="XN12" s="98"/>
      <c r="XO12" s="98"/>
      <c r="XP12" s="98"/>
      <c r="XQ12" s="98"/>
      <c r="XR12" s="98"/>
      <c r="XS12" s="98"/>
      <c r="XT12" s="98"/>
      <c r="XU12" s="98"/>
      <c r="XV12" s="98"/>
      <c r="XW12" s="98"/>
      <c r="XX12" s="98"/>
      <c r="XY12" s="98"/>
      <c r="XZ12" s="98"/>
      <c r="YA12" s="98"/>
      <c r="YB12" s="98"/>
      <c r="YC12" s="98"/>
      <c r="YD12" s="98"/>
      <c r="YE12" s="98"/>
      <c r="YF12" s="98"/>
      <c r="YG12" s="98"/>
      <c r="YH12" s="98"/>
      <c r="YI12" s="98"/>
      <c r="YJ12" s="98"/>
      <c r="YK12" s="98"/>
      <c r="YL12" s="98"/>
      <c r="YM12" s="98"/>
      <c r="YN12" s="98"/>
      <c r="YO12" s="98"/>
      <c r="YP12" s="98"/>
      <c r="YQ12" s="98"/>
      <c r="YR12" s="98"/>
      <c r="YS12" s="98"/>
      <c r="YT12" s="98"/>
      <c r="YU12" s="98"/>
      <c r="YV12" s="98"/>
      <c r="YW12" s="98"/>
      <c r="YX12" s="98"/>
      <c r="YY12" s="98"/>
      <c r="YZ12" s="98"/>
      <c r="ZA12" s="98"/>
      <c r="ZB12" s="98"/>
      <c r="ZC12" s="98"/>
      <c r="ZD12" s="98"/>
      <c r="ZE12" s="98"/>
      <c r="ZF12" s="98"/>
      <c r="ZG12" s="98"/>
      <c r="ZH12" s="98"/>
      <c r="ZI12" s="98"/>
      <c r="ZJ12" s="98"/>
      <c r="ZK12" s="98"/>
      <c r="ZL12" s="98"/>
      <c r="ZM12" s="98"/>
      <c r="ZN12" s="98"/>
      <c r="ZO12" s="98"/>
      <c r="ZP12" s="98"/>
      <c r="ZQ12" s="98"/>
      <c r="ZR12" s="98"/>
      <c r="ZS12" s="98"/>
      <c r="ZT12" s="98"/>
      <c r="ZU12" s="98"/>
      <c r="ZV12" s="98"/>
      <c r="ZW12" s="98"/>
      <c r="ZX12" s="98"/>
      <c r="ZY12" s="98"/>
      <c r="ZZ12" s="98"/>
      <c r="AAA12" s="98"/>
      <c r="AAB12" s="98"/>
      <c r="AAC12" s="98"/>
      <c r="AAD12" s="98"/>
      <c r="AAE12" s="98"/>
      <c r="AAF12" s="98"/>
      <c r="AAG12" s="98"/>
      <c r="AAH12" s="98"/>
      <c r="AAI12" s="98"/>
      <c r="AAJ12" s="98"/>
      <c r="AAK12" s="98"/>
      <c r="AAL12" s="98"/>
      <c r="AAM12" s="98"/>
      <c r="AAN12" s="98"/>
      <c r="AAO12" s="98"/>
      <c r="AAP12" s="98"/>
      <c r="AAQ12" s="98"/>
      <c r="AAR12" s="98"/>
      <c r="AAS12" s="98"/>
      <c r="AAT12" s="98"/>
      <c r="AAU12" s="98"/>
      <c r="AAV12" s="98"/>
      <c r="AAW12" s="98"/>
      <c r="AAX12" s="98"/>
      <c r="AAY12" s="98"/>
      <c r="AAZ12" s="98"/>
      <c r="ABA12" s="98"/>
      <c r="ABB12" s="98"/>
      <c r="ABC12" s="98"/>
      <c r="ABD12" s="98"/>
      <c r="ABE12" s="98"/>
      <c r="ABF12" s="98"/>
      <c r="ABG12" s="98"/>
      <c r="ABH12" s="98"/>
      <c r="ABI12" s="98"/>
      <c r="ABJ12" s="98"/>
      <c r="ABK12" s="98"/>
      <c r="ABL12" s="98"/>
      <c r="ABM12" s="98"/>
      <c r="ABN12" s="98"/>
      <c r="ABO12" s="98"/>
      <c r="ABP12" s="98"/>
      <c r="ABQ12" s="98"/>
      <c r="ABR12" s="98"/>
      <c r="ABS12" s="98"/>
      <c r="ABT12" s="98"/>
      <c r="ABU12" s="98"/>
      <c r="ABV12" s="98"/>
      <c r="ABW12" s="98"/>
      <c r="ABX12" s="98"/>
      <c r="ABY12" s="98"/>
      <c r="ABZ12" s="98"/>
      <c r="ACA12" s="98"/>
      <c r="ACB12" s="98"/>
      <c r="ACC12" s="98"/>
      <c r="ACD12" s="98"/>
      <c r="ACE12" s="98"/>
      <c r="ACF12" s="98"/>
      <c r="ACG12" s="98"/>
      <c r="ACH12" s="98"/>
      <c r="ACI12" s="98"/>
      <c r="ACJ12" s="98"/>
      <c r="ACK12" s="98"/>
      <c r="ACL12" s="98"/>
      <c r="ACM12" s="98"/>
      <c r="ACN12" s="98"/>
      <c r="ACO12" s="98"/>
      <c r="ACP12" s="98"/>
      <c r="ACQ12" s="98"/>
      <c r="ACR12" s="98"/>
      <c r="ACS12" s="98"/>
      <c r="ACT12" s="98"/>
      <c r="ACU12" s="98"/>
      <c r="ACV12" s="98"/>
      <c r="ACW12" s="98"/>
      <c r="ACX12" s="98"/>
      <c r="ACY12" s="98"/>
      <c r="ACZ12" s="98"/>
      <c r="ADA12" s="98"/>
      <c r="ADB12" s="98"/>
      <c r="ADC12" s="98"/>
      <c r="ADD12" s="98"/>
      <c r="ADE12" s="98"/>
      <c r="ADF12" s="98"/>
      <c r="ADG12" s="98"/>
      <c r="ADH12" s="98"/>
      <c r="ADI12" s="98"/>
      <c r="ADJ12" s="98"/>
      <c r="ADK12" s="98"/>
      <c r="ADL12" s="98"/>
      <c r="ADM12" s="98"/>
      <c r="ADN12" s="98"/>
      <c r="ADO12" s="98"/>
      <c r="ADP12" s="98"/>
      <c r="ADQ12" s="98"/>
      <c r="ADR12" s="98"/>
      <c r="ADS12" s="98"/>
      <c r="ADT12" s="98"/>
      <c r="ADU12" s="98"/>
      <c r="ADV12" s="98"/>
      <c r="ADW12" s="98"/>
      <c r="ADX12" s="98"/>
      <c r="ADY12" s="98"/>
      <c r="ADZ12" s="98"/>
      <c r="AEA12" s="98"/>
      <c r="AEB12" s="98"/>
      <c r="AEC12" s="98"/>
      <c r="AED12" s="98"/>
      <c r="AEE12" s="98"/>
      <c r="AEF12" s="98"/>
      <c r="AEG12" s="98"/>
      <c r="AEH12" s="98"/>
      <c r="AEI12" s="98"/>
      <c r="AEJ12" s="98"/>
      <c r="AEK12" s="98"/>
      <c r="AEL12" s="98"/>
      <c r="AEM12" s="98"/>
      <c r="AEN12" s="98"/>
      <c r="AEO12" s="98"/>
      <c r="AEP12" s="98"/>
      <c r="AEQ12" s="98"/>
      <c r="AER12" s="98"/>
      <c r="AES12" s="98"/>
      <c r="AET12" s="98"/>
      <c r="AEU12" s="98"/>
      <c r="AEV12" s="98"/>
      <c r="AEW12" s="98"/>
      <c r="AEX12" s="98"/>
      <c r="AEY12" s="98"/>
      <c r="AEZ12" s="98"/>
      <c r="AFA12" s="98"/>
      <c r="AFB12" s="98"/>
      <c r="AFC12" s="98"/>
      <c r="AFD12" s="98"/>
      <c r="AFE12" s="98"/>
      <c r="AFF12" s="98"/>
      <c r="AFG12" s="98"/>
      <c r="AFH12" s="98"/>
      <c r="AFI12" s="98"/>
      <c r="AFJ12" s="98"/>
      <c r="AFK12" s="98"/>
      <c r="AFL12" s="98"/>
      <c r="AFM12" s="98"/>
      <c r="AFN12" s="98"/>
      <c r="AFO12" s="98"/>
      <c r="AFP12" s="98"/>
      <c r="AFQ12" s="98"/>
      <c r="AFR12" s="98"/>
      <c r="AFS12" s="98"/>
      <c r="AFT12" s="98"/>
      <c r="AFU12" s="98"/>
      <c r="AFV12" s="98"/>
      <c r="AFW12" s="98"/>
      <c r="AFX12" s="98"/>
      <c r="AFY12" s="98"/>
      <c r="AFZ12" s="98"/>
      <c r="AGA12" s="98"/>
      <c r="AGB12" s="98"/>
      <c r="AGC12" s="98"/>
      <c r="AGD12" s="98"/>
      <c r="AGE12" s="98"/>
      <c r="AGF12" s="98"/>
      <c r="AGG12" s="98"/>
      <c r="AGH12" s="98"/>
      <c r="AGI12" s="98"/>
      <c r="AGJ12" s="98"/>
      <c r="AGK12" s="98"/>
      <c r="AGL12" s="98"/>
      <c r="AGM12" s="98"/>
      <c r="AGN12" s="98"/>
      <c r="AGO12" s="98"/>
      <c r="AGP12" s="98"/>
      <c r="AGQ12" s="98"/>
      <c r="AGR12" s="98"/>
      <c r="AGS12" s="98"/>
      <c r="AGT12" s="98"/>
      <c r="AGU12" s="98"/>
      <c r="AGV12" s="98"/>
      <c r="AGW12" s="98"/>
      <c r="AGX12" s="98"/>
      <c r="AGY12" s="98"/>
      <c r="AGZ12" s="98"/>
      <c r="AHA12" s="98"/>
      <c r="AHB12" s="98"/>
      <c r="AHC12" s="98"/>
      <c r="AHD12" s="98"/>
      <c r="AHE12" s="98"/>
      <c r="AHF12" s="98"/>
      <c r="AHG12" s="98"/>
      <c r="AHH12" s="98"/>
      <c r="AHI12" s="98"/>
      <c r="AHJ12" s="98"/>
      <c r="AHK12" s="98"/>
      <c r="AHL12" s="98"/>
      <c r="AHM12" s="98"/>
      <c r="AHN12" s="98"/>
      <c r="AHO12" s="98"/>
      <c r="AHP12" s="98"/>
      <c r="AHQ12" s="98"/>
      <c r="AHR12" s="98"/>
      <c r="AHS12" s="98"/>
      <c r="AHT12" s="98"/>
      <c r="AHU12" s="98"/>
      <c r="AHV12" s="98"/>
      <c r="AHW12" s="98"/>
      <c r="AHX12" s="98"/>
      <c r="AHY12" s="98"/>
      <c r="AHZ12" s="98"/>
      <c r="AIA12" s="98"/>
      <c r="AIB12" s="98"/>
      <c r="AIC12" s="98"/>
      <c r="AID12" s="98"/>
      <c r="AIE12" s="98"/>
      <c r="AIF12" s="98"/>
      <c r="AIG12" s="98"/>
      <c r="AIH12" s="98"/>
      <c r="AII12" s="98"/>
      <c r="AIJ12" s="98"/>
      <c r="AIK12" s="98"/>
      <c r="AIL12" s="98"/>
      <c r="AIM12" s="98"/>
      <c r="AIN12" s="98"/>
      <c r="AIO12" s="98"/>
      <c r="AIP12" s="98"/>
      <c r="AIQ12" s="98"/>
      <c r="AIR12" s="98"/>
      <c r="AIS12" s="98"/>
      <c r="AIT12" s="98"/>
      <c r="AIU12" s="98"/>
      <c r="AIV12" s="98"/>
      <c r="AIW12" s="98"/>
      <c r="AIX12" s="98"/>
      <c r="AIY12" s="98"/>
      <c r="AIZ12" s="98"/>
      <c r="AJA12" s="98"/>
      <c r="AJB12" s="98"/>
      <c r="AJC12" s="98"/>
      <c r="AJD12" s="98"/>
      <c r="AJE12" s="98"/>
      <c r="AJF12" s="98"/>
      <c r="AJG12" s="98"/>
      <c r="AJH12" s="98"/>
      <c r="AJI12" s="98"/>
      <c r="AJJ12" s="98"/>
      <c r="AJK12" s="98"/>
      <c r="AJL12" s="98"/>
      <c r="AJM12" s="98"/>
      <c r="AJN12" s="98"/>
      <c r="AJO12" s="98"/>
      <c r="AJP12" s="98"/>
      <c r="AJQ12" s="98"/>
      <c r="AJR12" s="98"/>
      <c r="AJS12" s="98"/>
      <c r="AJT12" s="98"/>
      <c r="AJU12" s="98"/>
      <c r="AJV12" s="98"/>
      <c r="AJW12" s="98"/>
      <c r="AJX12" s="98"/>
      <c r="AJY12" s="98"/>
      <c r="AJZ12" s="98"/>
      <c r="AKA12" s="98"/>
      <c r="AKB12" s="98"/>
      <c r="AKC12" s="98"/>
      <c r="AKD12" s="98"/>
      <c r="AKE12" s="98"/>
      <c r="AKF12" s="98"/>
      <c r="AKG12" s="98"/>
      <c r="AKH12" s="98"/>
      <c r="AKI12" s="98"/>
      <c r="AKJ12" s="98"/>
      <c r="AKK12" s="98"/>
      <c r="AKL12" s="98"/>
      <c r="AKM12" s="98"/>
      <c r="AKN12" s="98"/>
      <c r="AKO12" s="98"/>
      <c r="AKP12" s="98"/>
      <c r="AKQ12" s="98"/>
      <c r="AKR12" s="98"/>
      <c r="AKS12" s="98"/>
      <c r="AKT12" s="98"/>
      <c r="AKU12" s="98"/>
      <c r="AKV12" s="98"/>
      <c r="AKW12" s="98"/>
      <c r="AKX12" s="98"/>
      <c r="AKY12" s="98"/>
      <c r="AKZ12" s="98"/>
      <c r="ALA12" s="98"/>
      <c r="ALB12" s="98"/>
      <c r="ALC12" s="98"/>
      <c r="ALD12" s="98"/>
      <c r="ALE12" s="98"/>
      <c r="ALF12" s="98"/>
      <c r="ALG12" s="98"/>
      <c r="ALH12" s="98"/>
      <c r="ALI12" s="98"/>
      <c r="ALJ12" s="98"/>
      <c r="ALK12" s="98"/>
      <c r="ALL12" s="98"/>
      <c r="ALM12" s="98"/>
      <c r="ALN12" s="98"/>
      <c r="ALO12" s="98"/>
      <c r="ALP12" s="98"/>
      <c r="ALQ12" s="98"/>
      <c r="ALR12" s="98"/>
      <c r="ALS12" s="98"/>
      <c r="ALT12" s="98"/>
      <c r="ALU12" s="98"/>
      <c r="ALV12" s="98"/>
      <c r="ALW12" s="98"/>
      <c r="ALX12" s="98"/>
      <c r="ALY12" s="98"/>
      <c r="ALZ12" s="98"/>
      <c r="AMA12" s="98"/>
      <c r="AMB12" s="98"/>
      <c r="AMC12" s="98"/>
      <c r="AMD12" s="98"/>
      <c r="AME12" s="98"/>
      <c r="AMF12" s="98"/>
      <c r="AMG12" s="98"/>
      <c r="AMH12" s="98"/>
      <c r="AMI12" s="98"/>
      <c r="AMJ12" s="98"/>
      <c r="AMK12" s="98"/>
      <c r="AML12" s="98"/>
      <c r="AMM12" s="98"/>
      <c r="AMN12" s="98"/>
      <c r="AMO12" s="98"/>
      <c r="AMP12" s="98"/>
      <c r="AMQ12" s="98"/>
      <c r="AMR12" s="98"/>
      <c r="AMS12" s="98"/>
      <c r="AMT12" s="98"/>
      <c r="AMU12" s="98"/>
      <c r="AMV12" s="98"/>
      <c r="AMW12" s="98"/>
      <c r="AMX12" s="98"/>
      <c r="AMY12" s="98"/>
      <c r="AMZ12" s="98"/>
      <c r="ANA12" s="98"/>
      <c r="ANB12" s="98"/>
      <c r="ANC12" s="98"/>
      <c r="AND12" s="98"/>
      <c r="ANE12" s="98"/>
      <c r="ANF12" s="98"/>
      <c r="ANG12" s="98"/>
      <c r="ANH12" s="98"/>
      <c r="ANI12" s="98"/>
      <c r="ANJ12" s="98"/>
      <c r="ANK12" s="98"/>
      <c r="ANL12" s="98"/>
      <c r="ANM12" s="98"/>
      <c r="ANN12" s="98"/>
      <c r="ANO12" s="98"/>
      <c r="ANP12" s="98"/>
      <c r="ANQ12" s="98"/>
      <c r="ANR12" s="98"/>
      <c r="ANS12" s="98"/>
      <c r="ANT12" s="98"/>
      <c r="ANU12" s="98"/>
      <c r="ANV12" s="98"/>
      <c r="ANW12" s="98"/>
      <c r="ANX12" s="98"/>
      <c r="ANY12" s="98"/>
      <c r="ANZ12" s="98"/>
      <c r="AOA12" s="98"/>
      <c r="AOB12" s="98"/>
      <c r="AOC12" s="98"/>
      <c r="AOD12" s="98"/>
      <c r="AOE12" s="98"/>
      <c r="AOF12" s="98"/>
      <c r="AOG12" s="98"/>
      <c r="AOH12" s="98"/>
      <c r="AOI12" s="98"/>
      <c r="AOJ12" s="98"/>
      <c r="AOK12" s="98"/>
      <c r="AOL12" s="98"/>
      <c r="AOM12" s="98"/>
      <c r="AON12" s="98"/>
      <c r="AOO12" s="98"/>
      <c r="AOP12" s="98"/>
      <c r="AOQ12" s="98"/>
      <c r="AOR12" s="98"/>
      <c r="AOS12" s="98"/>
      <c r="AOT12" s="98"/>
      <c r="AOU12" s="98"/>
      <c r="AOV12" s="98"/>
      <c r="AOW12" s="98"/>
      <c r="AOX12" s="98"/>
      <c r="AOY12" s="98"/>
      <c r="AOZ12" s="98"/>
      <c r="APA12" s="98"/>
      <c r="APB12" s="98"/>
      <c r="APC12" s="98"/>
      <c r="APD12" s="98"/>
      <c r="APE12" s="98"/>
      <c r="APF12" s="98"/>
      <c r="APG12" s="98"/>
      <c r="APH12" s="98"/>
      <c r="API12" s="98"/>
      <c r="APJ12" s="98"/>
      <c r="APK12" s="98"/>
      <c r="APL12" s="98"/>
      <c r="APM12" s="98"/>
      <c r="APN12" s="98"/>
      <c r="APO12" s="98"/>
      <c r="APP12" s="98"/>
      <c r="APQ12" s="98"/>
      <c r="APR12" s="98"/>
      <c r="APS12" s="98"/>
      <c r="APT12" s="98"/>
      <c r="APU12" s="98"/>
      <c r="APV12" s="98"/>
      <c r="APW12" s="98"/>
      <c r="APX12" s="98"/>
      <c r="APY12" s="98"/>
      <c r="APZ12" s="98"/>
      <c r="AQA12" s="98"/>
      <c r="AQB12" s="98"/>
      <c r="AQC12" s="98"/>
      <c r="AQD12" s="98"/>
      <c r="AQE12" s="98"/>
      <c r="AQF12" s="98"/>
      <c r="AQG12" s="98"/>
      <c r="AQH12" s="98"/>
      <c r="AQI12" s="98"/>
      <c r="AQJ12" s="98"/>
      <c r="AQK12" s="98"/>
      <c r="AQL12" s="98"/>
      <c r="AQM12" s="98"/>
      <c r="AQN12" s="98"/>
      <c r="AQO12" s="98"/>
      <c r="AQP12" s="98"/>
      <c r="AQQ12" s="98"/>
      <c r="AQR12" s="98"/>
      <c r="AQS12" s="98"/>
      <c r="AQT12" s="98"/>
      <c r="AQU12" s="98"/>
      <c r="AQV12" s="98"/>
      <c r="AQW12" s="98"/>
      <c r="AQX12" s="98"/>
      <c r="AQY12" s="98"/>
      <c r="AQZ12" s="98"/>
      <c r="ARA12" s="98"/>
      <c r="ARB12" s="98"/>
      <c r="ARC12" s="98"/>
      <c r="ARD12" s="98"/>
      <c r="ARE12" s="98"/>
      <c r="ARF12" s="98"/>
      <c r="ARG12" s="98"/>
      <c r="ARH12" s="98"/>
      <c r="ARI12" s="98"/>
      <c r="ARJ12" s="98"/>
      <c r="ARK12" s="98"/>
      <c r="ARL12" s="98"/>
      <c r="ARM12" s="98"/>
      <c r="ARN12" s="98"/>
      <c r="ARO12" s="98"/>
      <c r="ARP12" s="98"/>
      <c r="ARQ12" s="98"/>
      <c r="ARR12" s="98"/>
      <c r="ARS12" s="98"/>
    </row>
    <row r="13" spans="1:1163" s="174" customFormat="1">
      <c r="A13" s="140" t="s">
        <v>92</v>
      </c>
      <c r="B13" s="119" t="s">
        <v>93</v>
      </c>
      <c r="C13" s="175">
        <v>0</v>
      </c>
      <c r="D13" s="175">
        <v>0</v>
      </c>
      <c r="E13" s="175">
        <v>0</v>
      </c>
      <c r="F13" s="175">
        <v>0</v>
      </c>
      <c r="G13" s="197">
        <v>0</v>
      </c>
      <c r="H13" s="197">
        <v>0</v>
      </c>
      <c r="I13" s="197">
        <v>0</v>
      </c>
      <c r="J13" s="197">
        <v>0</v>
      </c>
      <c r="K13" s="197">
        <v>0</v>
      </c>
      <c r="L13" s="197">
        <v>0</v>
      </c>
      <c r="M13" s="197">
        <v>0</v>
      </c>
      <c r="N13" s="197">
        <v>0</v>
      </c>
      <c r="O13" s="197">
        <v>0</v>
      </c>
      <c r="P13" s="197">
        <v>0</v>
      </c>
      <c r="Q13" s="197">
        <v>0</v>
      </c>
      <c r="R13" s="197">
        <v>0</v>
      </c>
      <c r="S13" s="197">
        <v>0</v>
      </c>
      <c r="T13" s="197">
        <v>0</v>
      </c>
      <c r="U13" s="197">
        <v>0</v>
      </c>
      <c r="V13" s="197">
        <v>0</v>
      </c>
      <c r="W13" s="197">
        <v>21859</v>
      </c>
      <c r="X13" s="197">
        <v>757820</v>
      </c>
      <c r="Y13" s="175">
        <v>31375</v>
      </c>
      <c r="Z13" s="175">
        <v>1025196</v>
      </c>
      <c r="AA13" s="209">
        <v>0</v>
      </c>
      <c r="AB13" s="209">
        <v>0</v>
      </c>
      <c r="AC13" s="175">
        <v>0</v>
      </c>
      <c r="AD13" s="175">
        <v>0</v>
      </c>
      <c r="AE13" s="175">
        <v>0</v>
      </c>
      <c r="AF13" s="175">
        <v>0</v>
      </c>
      <c r="AG13" s="209">
        <v>0</v>
      </c>
      <c r="AH13" s="209">
        <v>0</v>
      </c>
      <c r="AI13" s="209">
        <v>0</v>
      </c>
      <c r="AJ13" s="209">
        <v>0</v>
      </c>
      <c r="AK13" s="201">
        <v>24834.768</v>
      </c>
      <c r="AL13" s="201">
        <v>9841724</v>
      </c>
      <c r="AM13" s="176">
        <v>7299.1380000000008</v>
      </c>
      <c r="AN13" s="176">
        <v>2335724</v>
      </c>
      <c r="AO13" s="201">
        <v>0</v>
      </c>
      <c r="AP13" s="201">
        <v>0</v>
      </c>
      <c r="AQ13" s="201">
        <v>0</v>
      </c>
      <c r="AR13" s="201">
        <v>0</v>
      </c>
      <c r="AS13" s="201">
        <v>0</v>
      </c>
      <c r="AT13" s="201">
        <v>0</v>
      </c>
      <c r="AU13" s="201">
        <v>0</v>
      </c>
      <c r="AV13" s="201">
        <v>0</v>
      </c>
      <c r="AW13" s="201">
        <v>0</v>
      </c>
      <c r="AX13" s="201">
        <v>0</v>
      </c>
      <c r="AY13" s="175">
        <v>0</v>
      </c>
      <c r="AZ13" s="175">
        <v>0</v>
      </c>
      <c r="BA13" s="201"/>
      <c r="BB13" s="175"/>
      <c r="BC13" s="175"/>
      <c r="BD13" s="175"/>
      <c r="BE13" s="175"/>
      <c r="BF13" s="175"/>
      <c r="BG13" s="175"/>
      <c r="BH13" s="175"/>
      <c r="BI13" s="201"/>
      <c r="BJ13" s="98"/>
      <c r="BK13" s="148"/>
      <c r="BL13" s="148"/>
      <c r="BM13" s="148"/>
      <c r="BN13" s="14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c r="JB13" s="98"/>
      <c r="JC13" s="98"/>
      <c r="JD13" s="98"/>
      <c r="JE13" s="98"/>
      <c r="JF13" s="98"/>
      <c r="JG13" s="98"/>
      <c r="JH13" s="98"/>
      <c r="JI13" s="98"/>
      <c r="JJ13" s="98"/>
      <c r="JK13" s="98"/>
      <c r="JL13" s="98"/>
      <c r="JM13" s="98"/>
      <c r="JN13" s="98"/>
      <c r="JO13" s="98"/>
      <c r="JP13" s="98"/>
      <c r="JQ13" s="98"/>
      <c r="JR13" s="98"/>
      <c r="JS13" s="98"/>
      <c r="JT13" s="98"/>
      <c r="JU13" s="98"/>
      <c r="JV13" s="98"/>
      <c r="JW13" s="98"/>
      <c r="JX13" s="98"/>
      <c r="JY13" s="98"/>
      <c r="JZ13" s="98"/>
      <c r="KA13" s="98"/>
      <c r="KB13" s="98"/>
      <c r="KC13" s="98"/>
      <c r="KD13" s="98"/>
      <c r="KE13" s="98"/>
      <c r="KF13" s="98"/>
      <c r="KG13" s="98"/>
      <c r="KH13" s="98"/>
      <c r="KI13" s="98"/>
      <c r="KJ13" s="98"/>
      <c r="KK13" s="98"/>
      <c r="KL13" s="98"/>
      <c r="KM13" s="98"/>
      <c r="KN13" s="98"/>
      <c r="KO13" s="98"/>
      <c r="KP13" s="98"/>
      <c r="KQ13" s="98"/>
      <c r="KR13" s="98"/>
      <c r="KS13" s="98"/>
      <c r="KT13" s="98"/>
      <c r="KU13" s="98"/>
      <c r="KV13" s="98"/>
      <c r="KW13" s="98"/>
      <c r="KX13" s="98"/>
      <c r="KY13" s="98"/>
      <c r="KZ13" s="98"/>
      <c r="LA13" s="98"/>
      <c r="LB13" s="98"/>
      <c r="LC13" s="98"/>
      <c r="LD13" s="98"/>
      <c r="LE13" s="98"/>
      <c r="LF13" s="98"/>
      <c r="LG13" s="98"/>
      <c r="LH13" s="98"/>
      <c r="LI13" s="98"/>
      <c r="LJ13" s="98"/>
      <c r="LK13" s="98"/>
      <c r="LL13" s="98"/>
      <c r="LM13" s="98"/>
      <c r="LN13" s="98"/>
      <c r="LO13" s="98"/>
      <c r="LP13" s="98"/>
      <c r="LQ13" s="98"/>
      <c r="LR13" s="98"/>
      <c r="LS13" s="98"/>
      <c r="LT13" s="98"/>
      <c r="LU13" s="98"/>
      <c r="LV13" s="98"/>
      <c r="LW13" s="98"/>
      <c r="LX13" s="98"/>
      <c r="LY13" s="98"/>
      <c r="LZ13" s="98"/>
      <c r="MA13" s="98"/>
      <c r="MB13" s="98"/>
      <c r="MC13" s="98"/>
      <c r="MD13" s="98"/>
      <c r="ME13" s="98"/>
      <c r="MF13" s="98"/>
      <c r="MG13" s="98"/>
      <c r="MH13" s="98"/>
      <c r="MI13" s="98"/>
      <c r="MJ13" s="98"/>
      <c r="MK13" s="98"/>
      <c r="ML13" s="98"/>
      <c r="MM13" s="98"/>
      <c r="MN13" s="98"/>
      <c r="MO13" s="98"/>
      <c r="MP13" s="98"/>
      <c r="MQ13" s="98"/>
      <c r="MR13" s="98"/>
      <c r="MS13" s="98"/>
      <c r="MT13" s="98"/>
      <c r="MU13" s="98"/>
      <c r="MV13" s="98"/>
      <c r="MW13" s="98"/>
      <c r="MX13" s="98"/>
      <c r="MY13" s="98"/>
      <c r="MZ13" s="98"/>
      <c r="NA13" s="98"/>
      <c r="NB13" s="98"/>
      <c r="NC13" s="98"/>
      <c r="ND13" s="98"/>
      <c r="NE13" s="98"/>
      <c r="NF13" s="98"/>
      <c r="NG13" s="98"/>
      <c r="NH13" s="98"/>
      <c r="NI13" s="98"/>
      <c r="NJ13" s="98"/>
      <c r="NK13" s="98"/>
      <c r="NL13" s="98"/>
      <c r="NM13" s="98"/>
      <c r="NN13" s="98"/>
      <c r="NO13" s="98"/>
      <c r="NP13" s="98"/>
      <c r="NQ13" s="98"/>
      <c r="NR13" s="98"/>
      <c r="NS13" s="98"/>
      <c r="NT13" s="98"/>
      <c r="NU13" s="98"/>
      <c r="NV13" s="98"/>
      <c r="NW13" s="98"/>
      <c r="NX13" s="98"/>
      <c r="NY13" s="98"/>
      <c r="NZ13" s="98"/>
      <c r="OA13" s="98"/>
      <c r="OB13" s="98"/>
      <c r="OC13" s="98"/>
      <c r="OD13" s="98"/>
      <c r="OE13" s="98"/>
      <c r="OF13" s="98"/>
      <c r="OG13" s="98"/>
      <c r="OH13" s="98"/>
      <c r="OI13" s="98"/>
      <c r="OJ13" s="98"/>
      <c r="OK13" s="98"/>
      <c r="OL13" s="98"/>
      <c r="OM13" s="98"/>
      <c r="ON13" s="98"/>
      <c r="OO13" s="98"/>
      <c r="OP13" s="98"/>
      <c r="OQ13" s="98"/>
      <c r="OR13" s="98"/>
      <c r="OS13" s="98"/>
      <c r="OT13" s="98"/>
      <c r="OU13" s="98"/>
      <c r="OV13" s="98"/>
      <c r="OW13" s="98"/>
      <c r="OX13" s="98"/>
      <c r="OY13" s="98"/>
      <c r="OZ13" s="98"/>
      <c r="PA13" s="98"/>
      <c r="PB13" s="98"/>
      <c r="PC13" s="98"/>
      <c r="PD13" s="98"/>
      <c r="PE13" s="98"/>
      <c r="PF13" s="98"/>
      <c r="PG13" s="98"/>
      <c r="PH13" s="98"/>
      <c r="PI13" s="98"/>
      <c r="PJ13" s="98"/>
      <c r="PK13" s="98"/>
      <c r="PL13" s="98"/>
      <c r="PM13" s="98"/>
      <c r="PN13" s="98"/>
      <c r="PO13" s="98"/>
      <c r="PP13" s="98"/>
      <c r="PQ13" s="98"/>
      <c r="PR13" s="98"/>
      <c r="PS13" s="98"/>
      <c r="PT13" s="98"/>
      <c r="PU13" s="98"/>
      <c r="PV13" s="98"/>
      <c r="PW13" s="98"/>
      <c r="PX13" s="98"/>
      <c r="PY13" s="98"/>
      <c r="PZ13" s="98"/>
      <c r="QA13" s="98"/>
      <c r="QB13" s="98"/>
      <c r="QC13" s="98"/>
      <c r="QD13" s="98"/>
      <c r="QE13" s="98"/>
      <c r="QF13" s="98"/>
      <c r="QG13" s="98"/>
      <c r="QH13" s="98"/>
      <c r="QI13" s="98"/>
      <c r="QJ13" s="98"/>
      <c r="QK13" s="98"/>
      <c r="QL13" s="98"/>
      <c r="QM13" s="98"/>
      <c r="QN13" s="98"/>
      <c r="QO13" s="98"/>
      <c r="QP13" s="98"/>
      <c r="QQ13" s="98"/>
      <c r="QR13" s="98"/>
      <c r="QS13" s="98"/>
      <c r="QT13" s="98"/>
      <c r="QU13" s="98"/>
      <c r="QV13" s="98"/>
      <c r="QW13" s="98"/>
      <c r="QX13" s="98"/>
      <c r="QY13" s="98"/>
      <c r="QZ13" s="98"/>
      <c r="RA13" s="98"/>
      <c r="RB13" s="98"/>
      <c r="RC13" s="98"/>
      <c r="RD13" s="98"/>
      <c r="RE13" s="98"/>
      <c r="RF13" s="98"/>
      <c r="RG13" s="98"/>
      <c r="RH13" s="98"/>
      <c r="RI13" s="98"/>
      <c r="RJ13" s="98"/>
      <c r="RK13" s="98"/>
      <c r="RL13" s="98"/>
      <c r="RM13" s="98"/>
      <c r="RN13" s="98"/>
      <c r="RO13" s="98"/>
      <c r="RP13" s="98"/>
      <c r="RQ13" s="98"/>
      <c r="RR13" s="98"/>
      <c r="RS13" s="98"/>
      <c r="RT13" s="98"/>
      <c r="RU13" s="98"/>
      <c r="RV13" s="98"/>
      <c r="RW13" s="98"/>
      <c r="RX13" s="98"/>
      <c r="RY13" s="98"/>
      <c r="RZ13" s="98"/>
      <c r="SA13" s="98"/>
      <c r="SB13" s="98"/>
      <c r="SC13" s="98"/>
      <c r="SD13" s="98"/>
      <c r="SE13" s="98"/>
      <c r="SF13" s="98"/>
      <c r="SG13" s="98"/>
      <c r="SH13" s="98"/>
      <c r="SI13" s="98"/>
      <c r="SJ13" s="98"/>
      <c r="SK13" s="98"/>
      <c r="SL13" s="98"/>
      <c r="SM13" s="98"/>
      <c r="SN13" s="98"/>
      <c r="SO13" s="98"/>
      <c r="SP13" s="98"/>
      <c r="SQ13" s="98"/>
      <c r="SR13" s="98"/>
      <c r="SS13" s="98"/>
      <c r="ST13" s="98"/>
      <c r="SU13" s="98"/>
      <c r="SV13" s="98"/>
      <c r="SW13" s="98"/>
      <c r="SX13" s="98"/>
      <c r="SY13" s="98"/>
      <c r="SZ13" s="98"/>
      <c r="TA13" s="98"/>
      <c r="TB13" s="98"/>
      <c r="TC13" s="98"/>
      <c r="TD13" s="98"/>
      <c r="TE13" s="98"/>
      <c r="TF13" s="98"/>
      <c r="TG13" s="98"/>
      <c r="TH13" s="98"/>
      <c r="TI13" s="98"/>
      <c r="TJ13" s="98"/>
      <c r="TK13" s="98"/>
      <c r="TL13" s="98"/>
      <c r="TM13" s="98"/>
      <c r="TN13" s="98"/>
      <c r="TO13" s="98"/>
      <c r="TP13" s="98"/>
      <c r="TQ13" s="98"/>
      <c r="TR13" s="98"/>
      <c r="TS13" s="98"/>
      <c r="TT13" s="98"/>
      <c r="TU13" s="98"/>
      <c r="TV13" s="98"/>
      <c r="TW13" s="98"/>
      <c r="TX13" s="98"/>
      <c r="TY13" s="98"/>
      <c r="TZ13" s="98"/>
      <c r="UA13" s="98"/>
      <c r="UB13" s="98"/>
      <c r="UC13" s="98"/>
      <c r="UD13" s="98"/>
      <c r="UE13" s="98"/>
      <c r="UF13" s="98"/>
      <c r="UG13" s="98"/>
      <c r="UH13" s="98"/>
      <c r="UI13" s="98"/>
      <c r="UJ13" s="98"/>
      <c r="UK13" s="98"/>
      <c r="UL13" s="98"/>
      <c r="UM13" s="98"/>
      <c r="UN13" s="98"/>
      <c r="UO13" s="98"/>
      <c r="UP13" s="98"/>
      <c r="UQ13" s="98"/>
      <c r="UR13" s="98"/>
      <c r="US13" s="98"/>
      <c r="UT13" s="98"/>
      <c r="UU13" s="98"/>
      <c r="UV13" s="98"/>
      <c r="UW13" s="98"/>
      <c r="UX13" s="98"/>
      <c r="UY13" s="98"/>
      <c r="UZ13" s="98"/>
      <c r="VA13" s="98"/>
      <c r="VB13" s="98"/>
      <c r="VC13" s="98"/>
      <c r="VD13" s="98"/>
      <c r="VE13" s="98"/>
      <c r="VF13" s="98"/>
      <c r="VG13" s="98"/>
      <c r="VH13" s="98"/>
      <c r="VI13" s="98"/>
      <c r="VJ13" s="98"/>
      <c r="VK13" s="98"/>
      <c r="VL13" s="98"/>
      <c r="VM13" s="98"/>
      <c r="VN13" s="98"/>
      <c r="VO13" s="98"/>
      <c r="VP13" s="98"/>
      <c r="VQ13" s="98"/>
      <c r="VR13" s="98"/>
      <c r="VS13" s="98"/>
      <c r="VT13" s="98"/>
      <c r="VU13" s="98"/>
      <c r="VV13" s="98"/>
      <c r="VW13" s="98"/>
      <c r="VX13" s="98"/>
      <c r="VY13" s="98"/>
      <c r="VZ13" s="98"/>
      <c r="WA13" s="98"/>
      <c r="WB13" s="98"/>
      <c r="WC13" s="98"/>
      <c r="WD13" s="98"/>
      <c r="WE13" s="98"/>
      <c r="WF13" s="98"/>
      <c r="WG13" s="98"/>
      <c r="WH13" s="98"/>
      <c r="WI13" s="98"/>
      <c r="WJ13" s="98"/>
      <c r="WK13" s="98"/>
      <c r="WL13" s="98"/>
      <c r="WM13" s="98"/>
      <c r="WN13" s="98"/>
      <c r="WO13" s="98"/>
      <c r="WP13" s="98"/>
      <c r="WQ13" s="98"/>
      <c r="WR13" s="98"/>
      <c r="WS13" s="98"/>
      <c r="WT13" s="98"/>
      <c r="WU13" s="98"/>
      <c r="WV13" s="98"/>
      <c r="WW13" s="98"/>
      <c r="WX13" s="98"/>
      <c r="WY13" s="98"/>
      <c r="WZ13" s="98"/>
      <c r="XA13" s="98"/>
      <c r="XB13" s="98"/>
      <c r="XC13" s="98"/>
      <c r="XD13" s="98"/>
      <c r="XE13" s="98"/>
      <c r="XF13" s="98"/>
      <c r="XG13" s="98"/>
      <c r="XH13" s="98"/>
      <c r="XI13" s="98"/>
      <c r="XJ13" s="98"/>
      <c r="XK13" s="98"/>
      <c r="XL13" s="98"/>
      <c r="XM13" s="98"/>
      <c r="XN13" s="98"/>
      <c r="XO13" s="98"/>
      <c r="XP13" s="98"/>
      <c r="XQ13" s="98"/>
      <c r="XR13" s="98"/>
      <c r="XS13" s="98"/>
      <c r="XT13" s="98"/>
      <c r="XU13" s="98"/>
      <c r="XV13" s="98"/>
      <c r="XW13" s="98"/>
      <c r="XX13" s="98"/>
      <c r="XY13" s="98"/>
      <c r="XZ13" s="98"/>
      <c r="YA13" s="98"/>
      <c r="YB13" s="98"/>
      <c r="YC13" s="98"/>
      <c r="YD13" s="98"/>
      <c r="YE13" s="98"/>
      <c r="YF13" s="98"/>
      <c r="YG13" s="98"/>
      <c r="YH13" s="98"/>
      <c r="YI13" s="98"/>
      <c r="YJ13" s="98"/>
      <c r="YK13" s="98"/>
      <c r="YL13" s="98"/>
      <c r="YM13" s="98"/>
      <c r="YN13" s="98"/>
      <c r="YO13" s="98"/>
      <c r="YP13" s="98"/>
      <c r="YQ13" s="98"/>
      <c r="YR13" s="98"/>
      <c r="YS13" s="98"/>
      <c r="YT13" s="98"/>
      <c r="YU13" s="98"/>
      <c r="YV13" s="98"/>
      <c r="YW13" s="98"/>
      <c r="YX13" s="98"/>
      <c r="YY13" s="98"/>
      <c r="YZ13" s="98"/>
      <c r="ZA13" s="98"/>
      <c r="ZB13" s="98"/>
      <c r="ZC13" s="98"/>
      <c r="ZD13" s="98"/>
      <c r="ZE13" s="98"/>
      <c r="ZF13" s="98"/>
      <c r="ZG13" s="98"/>
      <c r="ZH13" s="98"/>
      <c r="ZI13" s="98"/>
      <c r="ZJ13" s="98"/>
      <c r="ZK13" s="98"/>
      <c r="ZL13" s="98"/>
      <c r="ZM13" s="98"/>
      <c r="ZN13" s="98"/>
      <c r="ZO13" s="98"/>
      <c r="ZP13" s="98"/>
      <c r="ZQ13" s="98"/>
      <c r="ZR13" s="98"/>
      <c r="ZS13" s="98"/>
      <c r="ZT13" s="98"/>
      <c r="ZU13" s="98"/>
      <c r="ZV13" s="98"/>
      <c r="ZW13" s="98"/>
      <c r="ZX13" s="98"/>
      <c r="ZY13" s="98"/>
      <c r="ZZ13" s="98"/>
      <c r="AAA13" s="98"/>
      <c r="AAB13" s="98"/>
      <c r="AAC13" s="98"/>
      <c r="AAD13" s="98"/>
      <c r="AAE13" s="98"/>
      <c r="AAF13" s="98"/>
      <c r="AAG13" s="98"/>
      <c r="AAH13" s="98"/>
      <c r="AAI13" s="98"/>
      <c r="AAJ13" s="98"/>
      <c r="AAK13" s="98"/>
      <c r="AAL13" s="98"/>
      <c r="AAM13" s="98"/>
      <c r="AAN13" s="98"/>
      <c r="AAO13" s="98"/>
      <c r="AAP13" s="98"/>
      <c r="AAQ13" s="98"/>
      <c r="AAR13" s="98"/>
      <c r="AAS13" s="98"/>
      <c r="AAT13" s="98"/>
      <c r="AAU13" s="98"/>
      <c r="AAV13" s="98"/>
      <c r="AAW13" s="98"/>
      <c r="AAX13" s="98"/>
      <c r="AAY13" s="98"/>
      <c r="AAZ13" s="98"/>
      <c r="ABA13" s="98"/>
      <c r="ABB13" s="98"/>
      <c r="ABC13" s="98"/>
      <c r="ABD13" s="98"/>
      <c r="ABE13" s="98"/>
      <c r="ABF13" s="98"/>
      <c r="ABG13" s="98"/>
      <c r="ABH13" s="98"/>
      <c r="ABI13" s="98"/>
      <c r="ABJ13" s="98"/>
      <c r="ABK13" s="98"/>
      <c r="ABL13" s="98"/>
      <c r="ABM13" s="98"/>
      <c r="ABN13" s="98"/>
      <c r="ABO13" s="98"/>
      <c r="ABP13" s="98"/>
      <c r="ABQ13" s="98"/>
      <c r="ABR13" s="98"/>
      <c r="ABS13" s="98"/>
      <c r="ABT13" s="98"/>
      <c r="ABU13" s="98"/>
      <c r="ABV13" s="98"/>
      <c r="ABW13" s="98"/>
      <c r="ABX13" s="98"/>
      <c r="ABY13" s="98"/>
      <c r="ABZ13" s="98"/>
      <c r="ACA13" s="98"/>
      <c r="ACB13" s="98"/>
      <c r="ACC13" s="98"/>
      <c r="ACD13" s="98"/>
      <c r="ACE13" s="98"/>
      <c r="ACF13" s="98"/>
      <c r="ACG13" s="98"/>
      <c r="ACH13" s="98"/>
      <c r="ACI13" s="98"/>
      <c r="ACJ13" s="98"/>
      <c r="ACK13" s="98"/>
      <c r="ACL13" s="98"/>
      <c r="ACM13" s="98"/>
      <c r="ACN13" s="98"/>
      <c r="ACO13" s="98"/>
      <c r="ACP13" s="98"/>
      <c r="ACQ13" s="98"/>
      <c r="ACR13" s="98"/>
      <c r="ACS13" s="98"/>
      <c r="ACT13" s="98"/>
      <c r="ACU13" s="98"/>
      <c r="ACV13" s="98"/>
      <c r="ACW13" s="98"/>
      <c r="ACX13" s="98"/>
      <c r="ACY13" s="98"/>
      <c r="ACZ13" s="98"/>
      <c r="ADA13" s="98"/>
      <c r="ADB13" s="98"/>
      <c r="ADC13" s="98"/>
      <c r="ADD13" s="98"/>
      <c r="ADE13" s="98"/>
      <c r="ADF13" s="98"/>
      <c r="ADG13" s="98"/>
      <c r="ADH13" s="98"/>
      <c r="ADI13" s="98"/>
      <c r="ADJ13" s="98"/>
      <c r="ADK13" s="98"/>
      <c r="ADL13" s="98"/>
      <c r="ADM13" s="98"/>
      <c r="ADN13" s="98"/>
      <c r="ADO13" s="98"/>
      <c r="ADP13" s="98"/>
      <c r="ADQ13" s="98"/>
      <c r="ADR13" s="98"/>
      <c r="ADS13" s="98"/>
      <c r="ADT13" s="98"/>
      <c r="ADU13" s="98"/>
      <c r="ADV13" s="98"/>
      <c r="ADW13" s="98"/>
      <c r="ADX13" s="98"/>
      <c r="ADY13" s="98"/>
      <c r="ADZ13" s="98"/>
      <c r="AEA13" s="98"/>
      <c r="AEB13" s="98"/>
      <c r="AEC13" s="98"/>
      <c r="AED13" s="98"/>
      <c r="AEE13" s="98"/>
      <c r="AEF13" s="98"/>
      <c r="AEG13" s="98"/>
      <c r="AEH13" s="98"/>
      <c r="AEI13" s="98"/>
      <c r="AEJ13" s="98"/>
      <c r="AEK13" s="98"/>
      <c r="AEL13" s="98"/>
      <c r="AEM13" s="98"/>
      <c r="AEN13" s="98"/>
      <c r="AEO13" s="98"/>
      <c r="AEP13" s="98"/>
      <c r="AEQ13" s="98"/>
      <c r="AER13" s="98"/>
      <c r="AES13" s="98"/>
      <c r="AET13" s="98"/>
      <c r="AEU13" s="98"/>
      <c r="AEV13" s="98"/>
      <c r="AEW13" s="98"/>
      <c r="AEX13" s="98"/>
      <c r="AEY13" s="98"/>
      <c r="AEZ13" s="98"/>
      <c r="AFA13" s="98"/>
      <c r="AFB13" s="98"/>
      <c r="AFC13" s="98"/>
      <c r="AFD13" s="98"/>
      <c r="AFE13" s="98"/>
      <c r="AFF13" s="98"/>
      <c r="AFG13" s="98"/>
      <c r="AFH13" s="98"/>
      <c r="AFI13" s="98"/>
      <c r="AFJ13" s="98"/>
      <c r="AFK13" s="98"/>
      <c r="AFL13" s="98"/>
      <c r="AFM13" s="98"/>
      <c r="AFN13" s="98"/>
      <c r="AFO13" s="98"/>
      <c r="AFP13" s="98"/>
      <c r="AFQ13" s="98"/>
      <c r="AFR13" s="98"/>
      <c r="AFS13" s="98"/>
      <c r="AFT13" s="98"/>
      <c r="AFU13" s="98"/>
      <c r="AFV13" s="98"/>
      <c r="AFW13" s="98"/>
      <c r="AFX13" s="98"/>
      <c r="AFY13" s="98"/>
      <c r="AFZ13" s="98"/>
      <c r="AGA13" s="98"/>
      <c r="AGB13" s="98"/>
      <c r="AGC13" s="98"/>
      <c r="AGD13" s="98"/>
      <c r="AGE13" s="98"/>
      <c r="AGF13" s="98"/>
      <c r="AGG13" s="98"/>
      <c r="AGH13" s="98"/>
      <c r="AGI13" s="98"/>
      <c r="AGJ13" s="98"/>
      <c r="AGK13" s="98"/>
      <c r="AGL13" s="98"/>
      <c r="AGM13" s="98"/>
      <c r="AGN13" s="98"/>
      <c r="AGO13" s="98"/>
      <c r="AGP13" s="98"/>
      <c r="AGQ13" s="98"/>
      <c r="AGR13" s="98"/>
      <c r="AGS13" s="98"/>
      <c r="AGT13" s="98"/>
      <c r="AGU13" s="98"/>
      <c r="AGV13" s="98"/>
      <c r="AGW13" s="98"/>
      <c r="AGX13" s="98"/>
      <c r="AGY13" s="98"/>
      <c r="AGZ13" s="98"/>
      <c r="AHA13" s="98"/>
      <c r="AHB13" s="98"/>
      <c r="AHC13" s="98"/>
      <c r="AHD13" s="98"/>
      <c r="AHE13" s="98"/>
      <c r="AHF13" s="98"/>
      <c r="AHG13" s="98"/>
      <c r="AHH13" s="98"/>
      <c r="AHI13" s="98"/>
      <c r="AHJ13" s="98"/>
      <c r="AHK13" s="98"/>
      <c r="AHL13" s="98"/>
      <c r="AHM13" s="98"/>
      <c r="AHN13" s="98"/>
      <c r="AHO13" s="98"/>
      <c r="AHP13" s="98"/>
      <c r="AHQ13" s="98"/>
      <c r="AHR13" s="98"/>
      <c r="AHS13" s="98"/>
      <c r="AHT13" s="98"/>
      <c r="AHU13" s="98"/>
      <c r="AHV13" s="98"/>
      <c r="AHW13" s="98"/>
      <c r="AHX13" s="98"/>
      <c r="AHY13" s="98"/>
      <c r="AHZ13" s="98"/>
      <c r="AIA13" s="98"/>
      <c r="AIB13" s="98"/>
      <c r="AIC13" s="98"/>
      <c r="AID13" s="98"/>
      <c r="AIE13" s="98"/>
      <c r="AIF13" s="98"/>
      <c r="AIG13" s="98"/>
      <c r="AIH13" s="98"/>
      <c r="AII13" s="98"/>
      <c r="AIJ13" s="98"/>
      <c r="AIK13" s="98"/>
      <c r="AIL13" s="98"/>
      <c r="AIM13" s="98"/>
      <c r="AIN13" s="98"/>
      <c r="AIO13" s="98"/>
      <c r="AIP13" s="98"/>
      <c r="AIQ13" s="98"/>
      <c r="AIR13" s="98"/>
      <c r="AIS13" s="98"/>
      <c r="AIT13" s="98"/>
      <c r="AIU13" s="98"/>
      <c r="AIV13" s="98"/>
      <c r="AIW13" s="98"/>
      <c r="AIX13" s="98"/>
      <c r="AIY13" s="98"/>
      <c r="AIZ13" s="98"/>
      <c r="AJA13" s="98"/>
      <c r="AJB13" s="98"/>
      <c r="AJC13" s="98"/>
      <c r="AJD13" s="98"/>
      <c r="AJE13" s="98"/>
      <c r="AJF13" s="98"/>
      <c r="AJG13" s="98"/>
      <c r="AJH13" s="98"/>
      <c r="AJI13" s="98"/>
      <c r="AJJ13" s="98"/>
      <c r="AJK13" s="98"/>
      <c r="AJL13" s="98"/>
      <c r="AJM13" s="98"/>
      <c r="AJN13" s="98"/>
      <c r="AJO13" s="98"/>
      <c r="AJP13" s="98"/>
      <c r="AJQ13" s="98"/>
      <c r="AJR13" s="98"/>
      <c r="AJS13" s="98"/>
      <c r="AJT13" s="98"/>
      <c r="AJU13" s="98"/>
      <c r="AJV13" s="98"/>
      <c r="AJW13" s="98"/>
      <c r="AJX13" s="98"/>
      <c r="AJY13" s="98"/>
      <c r="AJZ13" s="98"/>
      <c r="AKA13" s="98"/>
      <c r="AKB13" s="98"/>
      <c r="AKC13" s="98"/>
      <c r="AKD13" s="98"/>
      <c r="AKE13" s="98"/>
      <c r="AKF13" s="98"/>
      <c r="AKG13" s="98"/>
      <c r="AKH13" s="98"/>
      <c r="AKI13" s="98"/>
      <c r="AKJ13" s="98"/>
      <c r="AKK13" s="98"/>
      <c r="AKL13" s="98"/>
      <c r="AKM13" s="98"/>
      <c r="AKN13" s="98"/>
      <c r="AKO13" s="98"/>
      <c r="AKP13" s="98"/>
      <c r="AKQ13" s="98"/>
      <c r="AKR13" s="98"/>
      <c r="AKS13" s="98"/>
      <c r="AKT13" s="98"/>
      <c r="AKU13" s="98"/>
      <c r="AKV13" s="98"/>
      <c r="AKW13" s="98"/>
      <c r="AKX13" s="98"/>
      <c r="AKY13" s="98"/>
      <c r="AKZ13" s="98"/>
      <c r="ALA13" s="98"/>
      <c r="ALB13" s="98"/>
      <c r="ALC13" s="98"/>
      <c r="ALD13" s="98"/>
      <c r="ALE13" s="98"/>
      <c r="ALF13" s="98"/>
      <c r="ALG13" s="98"/>
      <c r="ALH13" s="98"/>
      <c r="ALI13" s="98"/>
      <c r="ALJ13" s="98"/>
      <c r="ALK13" s="98"/>
      <c r="ALL13" s="98"/>
      <c r="ALM13" s="98"/>
      <c r="ALN13" s="98"/>
      <c r="ALO13" s="98"/>
      <c r="ALP13" s="98"/>
      <c r="ALQ13" s="98"/>
      <c r="ALR13" s="98"/>
      <c r="ALS13" s="98"/>
      <c r="ALT13" s="98"/>
      <c r="ALU13" s="98"/>
      <c r="ALV13" s="98"/>
      <c r="ALW13" s="98"/>
      <c r="ALX13" s="98"/>
      <c r="ALY13" s="98"/>
      <c r="ALZ13" s="98"/>
      <c r="AMA13" s="98"/>
      <c r="AMB13" s="98"/>
      <c r="AMC13" s="98"/>
      <c r="AMD13" s="98"/>
      <c r="AME13" s="98"/>
      <c r="AMF13" s="98"/>
      <c r="AMG13" s="98"/>
      <c r="AMH13" s="98"/>
      <c r="AMI13" s="98"/>
      <c r="AMJ13" s="98"/>
      <c r="AMK13" s="98"/>
      <c r="AML13" s="98"/>
      <c r="AMM13" s="98"/>
      <c r="AMN13" s="98"/>
      <c r="AMO13" s="98"/>
      <c r="AMP13" s="98"/>
      <c r="AMQ13" s="98"/>
      <c r="AMR13" s="98"/>
      <c r="AMS13" s="98"/>
      <c r="AMT13" s="98"/>
      <c r="AMU13" s="98"/>
      <c r="AMV13" s="98"/>
      <c r="AMW13" s="98"/>
      <c r="AMX13" s="98"/>
      <c r="AMY13" s="98"/>
      <c r="AMZ13" s="98"/>
      <c r="ANA13" s="98"/>
      <c r="ANB13" s="98"/>
      <c r="ANC13" s="98"/>
      <c r="AND13" s="98"/>
      <c r="ANE13" s="98"/>
      <c r="ANF13" s="98"/>
      <c r="ANG13" s="98"/>
      <c r="ANH13" s="98"/>
      <c r="ANI13" s="98"/>
      <c r="ANJ13" s="98"/>
      <c r="ANK13" s="98"/>
      <c r="ANL13" s="98"/>
      <c r="ANM13" s="98"/>
      <c r="ANN13" s="98"/>
      <c r="ANO13" s="98"/>
      <c r="ANP13" s="98"/>
      <c r="ANQ13" s="98"/>
      <c r="ANR13" s="98"/>
      <c r="ANS13" s="98"/>
      <c r="ANT13" s="98"/>
      <c r="ANU13" s="98"/>
      <c r="ANV13" s="98"/>
      <c r="ANW13" s="98"/>
      <c r="ANX13" s="98"/>
      <c r="ANY13" s="98"/>
      <c r="ANZ13" s="98"/>
      <c r="AOA13" s="98"/>
      <c r="AOB13" s="98"/>
      <c r="AOC13" s="98"/>
      <c r="AOD13" s="98"/>
      <c r="AOE13" s="98"/>
      <c r="AOF13" s="98"/>
      <c r="AOG13" s="98"/>
      <c r="AOH13" s="98"/>
      <c r="AOI13" s="98"/>
      <c r="AOJ13" s="98"/>
      <c r="AOK13" s="98"/>
      <c r="AOL13" s="98"/>
      <c r="AOM13" s="98"/>
      <c r="AON13" s="98"/>
      <c r="AOO13" s="98"/>
      <c r="AOP13" s="98"/>
      <c r="AOQ13" s="98"/>
      <c r="AOR13" s="98"/>
      <c r="AOS13" s="98"/>
      <c r="AOT13" s="98"/>
      <c r="AOU13" s="98"/>
      <c r="AOV13" s="98"/>
      <c r="AOW13" s="98"/>
      <c r="AOX13" s="98"/>
      <c r="AOY13" s="98"/>
      <c r="AOZ13" s="98"/>
      <c r="APA13" s="98"/>
      <c r="APB13" s="98"/>
      <c r="APC13" s="98"/>
      <c r="APD13" s="98"/>
      <c r="APE13" s="98"/>
      <c r="APF13" s="98"/>
      <c r="APG13" s="98"/>
      <c r="APH13" s="98"/>
      <c r="API13" s="98"/>
      <c r="APJ13" s="98"/>
      <c r="APK13" s="98"/>
      <c r="APL13" s="98"/>
      <c r="APM13" s="98"/>
      <c r="APN13" s="98"/>
      <c r="APO13" s="98"/>
      <c r="APP13" s="98"/>
      <c r="APQ13" s="98"/>
      <c r="APR13" s="98"/>
      <c r="APS13" s="98"/>
      <c r="APT13" s="98"/>
      <c r="APU13" s="98"/>
      <c r="APV13" s="98"/>
      <c r="APW13" s="98"/>
      <c r="APX13" s="98"/>
      <c r="APY13" s="98"/>
      <c r="APZ13" s="98"/>
      <c r="AQA13" s="98"/>
      <c r="AQB13" s="98"/>
      <c r="AQC13" s="98"/>
      <c r="AQD13" s="98"/>
      <c r="AQE13" s="98"/>
      <c r="AQF13" s="98"/>
      <c r="AQG13" s="98"/>
      <c r="AQH13" s="98"/>
      <c r="AQI13" s="98"/>
      <c r="AQJ13" s="98"/>
      <c r="AQK13" s="98"/>
      <c r="AQL13" s="98"/>
      <c r="AQM13" s="98"/>
      <c r="AQN13" s="98"/>
      <c r="AQO13" s="98"/>
      <c r="AQP13" s="98"/>
      <c r="AQQ13" s="98"/>
      <c r="AQR13" s="98"/>
      <c r="AQS13" s="98"/>
      <c r="AQT13" s="98"/>
      <c r="AQU13" s="98"/>
      <c r="AQV13" s="98"/>
      <c r="AQW13" s="98"/>
      <c r="AQX13" s="98"/>
      <c r="AQY13" s="98"/>
      <c r="AQZ13" s="98"/>
      <c r="ARA13" s="98"/>
      <c r="ARB13" s="98"/>
      <c r="ARC13" s="98"/>
      <c r="ARD13" s="98"/>
      <c r="ARE13" s="98"/>
      <c r="ARF13" s="98"/>
      <c r="ARG13" s="98"/>
      <c r="ARH13" s="98"/>
      <c r="ARI13" s="98"/>
      <c r="ARJ13" s="98"/>
      <c r="ARK13" s="98"/>
      <c r="ARL13" s="98"/>
      <c r="ARM13" s="98"/>
      <c r="ARN13" s="98"/>
      <c r="ARO13" s="98"/>
      <c r="ARP13" s="98"/>
      <c r="ARQ13" s="98"/>
      <c r="ARR13" s="98"/>
      <c r="ARS13" s="98"/>
    </row>
    <row r="14" spans="1:1163" s="174" customFormat="1">
      <c r="A14" s="138" t="s">
        <v>418</v>
      </c>
      <c r="B14" s="119"/>
      <c r="C14" s="175">
        <f>SUM(C11:C13)</f>
        <v>25554746</v>
      </c>
      <c r="D14" s="175">
        <f>SUM(D11:D13)</f>
        <v>2423149116</v>
      </c>
      <c r="E14" s="175"/>
      <c r="F14" s="175">
        <f>SUM(F11:F13)</f>
        <v>436014691</v>
      </c>
      <c r="G14" s="175"/>
      <c r="H14" s="175">
        <f>SUM(H11:H13)</f>
        <v>548093520</v>
      </c>
      <c r="I14" s="175"/>
      <c r="J14" s="175">
        <f>SUM(J11:J13)</f>
        <v>647822717</v>
      </c>
      <c r="K14" s="175"/>
      <c r="L14" s="175">
        <f>SUM(L11:L13)</f>
        <v>745084355</v>
      </c>
      <c r="M14" s="175"/>
      <c r="N14" s="175">
        <f>SUM(N11:N13)</f>
        <v>940855670</v>
      </c>
      <c r="O14" s="175"/>
      <c r="P14" s="175">
        <f>SUM(P11:P13)</f>
        <v>1098152135</v>
      </c>
      <c r="Q14" s="175"/>
      <c r="R14" s="175">
        <f>SUM(R11:R13)</f>
        <v>1015172246</v>
      </c>
      <c r="S14" s="175"/>
      <c r="T14" s="175">
        <f>SUM(T11:T13)</f>
        <v>1104313745</v>
      </c>
      <c r="U14" s="144"/>
      <c r="V14" s="175">
        <f>SUM(V11:V13)</f>
        <v>1301425700</v>
      </c>
      <c r="W14" s="144"/>
      <c r="X14" s="175">
        <f>SUM(X11:X13)</f>
        <v>2097547830</v>
      </c>
      <c r="Y14" s="144"/>
      <c r="Z14" s="175">
        <f>SUM(Z11:Z13)</f>
        <v>2359979727</v>
      </c>
      <c r="AA14" s="175"/>
      <c r="AB14" s="175">
        <f>SUM(AB11:AB13)</f>
        <v>1844032647</v>
      </c>
      <c r="AC14" s="175"/>
      <c r="AD14" s="175">
        <f>SUM(AD11:AD13)</f>
        <v>1689720803</v>
      </c>
      <c r="AE14" s="175"/>
      <c r="AF14" s="175">
        <f>SUM(AF11:AF13)</f>
        <v>1891855796</v>
      </c>
      <c r="AG14" s="175"/>
      <c r="AH14" s="175">
        <f>SUM(AH11:AH13)</f>
        <v>1684580839</v>
      </c>
      <c r="AI14" s="175"/>
      <c r="AJ14" s="175">
        <f>SUM(AJ11:AJ13)</f>
        <v>1757356480</v>
      </c>
      <c r="AK14" s="201"/>
      <c r="AL14" s="201">
        <v>1977649784.25</v>
      </c>
      <c r="AM14" s="182"/>
      <c r="AN14" s="176">
        <f>SUM(AN11:AN13)</f>
        <v>2087049371</v>
      </c>
      <c r="AO14" s="175"/>
      <c r="AP14" s="175">
        <f>SUM(AP11:AP13)</f>
        <v>2429704528</v>
      </c>
      <c r="AQ14" s="175"/>
      <c r="AR14" s="175">
        <f>SUM(AR11:AR13)</f>
        <v>2311377164.5799999</v>
      </c>
      <c r="AS14" s="175"/>
      <c r="AT14" s="175">
        <f>SUM(AT11:AT13)</f>
        <v>3187472430</v>
      </c>
      <c r="AU14" s="175"/>
      <c r="AV14" s="175">
        <f>SUM(AV11:AV13)</f>
        <v>3766551734</v>
      </c>
      <c r="AW14" s="144"/>
      <c r="AX14" s="175">
        <f>SUM(AX11:AX13)</f>
        <v>3339247705</v>
      </c>
      <c r="AY14" s="175">
        <f>SUM(AY11:AY13)</f>
        <v>11228615</v>
      </c>
      <c r="AZ14" s="175">
        <f>SUM(AZ11:AZ13)</f>
        <v>3140479497</v>
      </c>
      <c r="BA14" s="180"/>
      <c r="BB14" s="175"/>
      <c r="BC14" s="175"/>
      <c r="BD14" s="175"/>
      <c r="BE14" s="175"/>
      <c r="BF14" s="175"/>
      <c r="BG14" s="175"/>
      <c r="BH14" s="175"/>
      <c r="BI14" s="178"/>
      <c r="BJ14" s="98"/>
      <c r="BK14" s="148"/>
      <c r="BL14" s="148"/>
      <c r="BM14" s="148"/>
      <c r="BN14" s="14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FV14" s="98"/>
      <c r="FW14" s="98"/>
      <c r="FX14" s="98"/>
      <c r="FY14" s="98"/>
      <c r="FZ14" s="98"/>
      <c r="GA14" s="98"/>
      <c r="GB14" s="98"/>
      <c r="GC14" s="98"/>
      <c r="GD14" s="98"/>
      <c r="GE14" s="98"/>
      <c r="GF14" s="98"/>
      <c r="GG14" s="98"/>
      <c r="GH14" s="98"/>
      <c r="GI14" s="98"/>
      <c r="GJ14" s="98"/>
      <c r="GK14" s="98"/>
      <c r="GL14" s="98"/>
      <c r="GM14" s="98"/>
      <c r="GN14" s="98"/>
      <c r="GO14" s="98"/>
      <c r="GP14" s="98"/>
      <c r="GQ14" s="98"/>
      <c r="GR14" s="98"/>
      <c r="GS14" s="98"/>
      <c r="GT14" s="98"/>
      <c r="GU14" s="98"/>
      <c r="GV14" s="98"/>
      <c r="GW14" s="98"/>
      <c r="GX14" s="98"/>
      <c r="GY14" s="98"/>
      <c r="GZ14" s="98"/>
      <c r="HA14" s="98"/>
      <c r="HB14" s="98"/>
      <c r="HC14" s="98"/>
      <c r="HD14" s="98"/>
      <c r="HE14" s="98"/>
      <c r="HF14" s="98"/>
      <c r="HG14" s="98"/>
      <c r="HH14" s="98"/>
      <c r="HI14" s="98"/>
      <c r="HJ14" s="98"/>
      <c r="HK14" s="98"/>
      <c r="HL14" s="98"/>
      <c r="HM14" s="98"/>
      <c r="HN14" s="98"/>
      <c r="HO14" s="98"/>
      <c r="HP14" s="98"/>
      <c r="HQ14" s="98"/>
      <c r="HR14" s="98"/>
      <c r="HS14" s="98"/>
      <c r="HT14" s="98"/>
      <c r="HU14" s="98"/>
      <c r="HV14" s="98"/>
      <c r="HW14" s="98"/>
      <c r="HX14" s="98"/>
      <c r="HY14" s="98"/>
      <c r="HZ14" s="98"/>
      <c r="IA14" s="98"/>
      <c r="IB14" s="98"/>
      <c r="IC14" s="98"/>
      <c r="ID14" s="98"/>
      <c r="IE14" s="98"/>
      <c r="IF14" s="98"/>
      <c r="IG14" s="98"/>
      <c r="IH14" s="98"/>
      <c r="II14" s="98"/>
      <c r="IJ14" s="98"/>
      <c r="IK14" s="98"/>
      <c r="IL14" s="98"/>
      <c r="IM14" s="98"/>
      <c r="IN14" s="98"/>
      <c r="IO14" s="98"/>
      <c r="IP14" s="98"/>
      <c r="IQ14" s="98"/>
      <c r="IR14" s="98"/>
      <c r="IS14" s="98"/>
      <c r="IT14" s="98"/>
      <c r="IU14" s="98"/>
      <c r="IV14" s="98"/>
      <c r="IW14" s="98"/>
      <c r="IX14" s="98"/>
      <c r="IY14" s="98"/>
      <c r="IZ14" s="98"/>
      <c r="JA14" s="98"/>
      <c r="JB14" s="98"/>
      <c r="JC14" s="98"/>
      <c r="JD14" s="98"/>
      <c r="JE14" s="98"/>
      <c r="JF14" s="98"/>
      <c r="JG14" s="98"/>
      <c r="JH14" s="98"/>
      <c r="JI14" s="98"/>
      <c r="JJ14" s="98"/>
      <c r="JK14" s="98"/>
      <c r="JL14" s="98"/>
      <c r="JM14" s="98"/>
      <c r="JN14" s="98"/>
      <c r="JO14" s="98"/>
      <c r="JP14" s="98"/>
      <c r="JQ14" s="98"/>
      <c r="JR14" s="98"/>
      <c r="JS14" s="98"/>
      <c r="JT14" s="98"/>
      <c r="JU14" s="98"/>
      <c r="JV14" s="98"/>
      <c r="JW14" s="98"/>
      <c r="JX14" s="98"/>
      <c r="JY14" s="98"/>
      <c r="JZ14" s="98"/>
      <c r="KA14" s="98"/>
      <c r="KB14" s="98"/>
      <c r="KC14" s="98"/>
      <c r="KD14" s="98"/>
      <c r="KE14" s="98"/>
      <c r="KF14" s="98"/>
      <c r="KG14" s="98"/>
      <c r="KH14" s="98"/>
      <c r="KI14" s="98"/>
      <c r="KJ14" s="98"/>
      <c r="KK14" s="98"/>
      <c r="KL14" s="98"/>
      <c r="KM14" s="98"/>
      <c r="KN14" s="98"/>
      <c r="KO14" s="98"/>
      <c r="KP14" s="98"/>
      <c r="KQ14" s="98"/>
      <c r="KR14" s="98"/>
      <c r="KS14" s="98"/>
      <c r="KT14" s="98"/>
      <c r="KU14" s="98"/>
      <c r="KV14" s="98"/>
      <c r="KW14" s="98"/>
      <c r="KX14" s="98"/>
      <c r="KY14" s="98"/>
      <c r="KZ14" s="98"/>
      <c r="LA14" s="98"/>
      <c r="LB14" s="98"/>
      <c r="LC14" s="98"/>
      <c r="LD14" s="98"/>
      <c r="LE14" s="98"/>
      <c r="LF14" s="98"/>
      <c r="LG14" s="98"/>
      <c r="LH14" s="98"/>
      <c r="LI14" s="98"/>
      <c r="LJ14" s="98"/>
      <c r="LK14" s="98"/>
      <c r="LL14" s="98"/>
      <c r="LM14" s="98"/>
      <c r="LN14" s="98"/>
      <c r="LO14" s="98"/>
      <c r="LP14" s="98"/>
      <c r="LQ14" s="98"/>
      <c r="LR14" s="98"/>
      <c r="LS14" s="98"/>
      <c r="LT14" s="98"/>
      <c r="LU14" s="98"/>
      <c r="LV14" s="98"/>
      <c r="LW14" s="98"/>
      <c r="LX14" s="98"/>
      <c r="LY14" s="98"/>
      <c r="LZ14" s="98"/>
      <c r="MA14" s="98"/>
      <c r="MB14" s="98"/>
      <c r="MC14" s="98"/>
      <c r="MD14" s="98"/>
      <c r="ME14" s="98"/>
      <c r="MF14" s="98"/>
      <c r="MG14" s="98"/>
      <c r="MH14" s="98"/>
      <c r="MI14" s="98"/>
      <c r="MJ14" s="98"/>
      <c r="MK14" s="98"/>
      <c r="ML14" s="98"/>
      <c r="MM14" s="98"/>
      <c r="MN14" s="98"/>
      <c r="MO14" s="98"/>
      <c r="MP14" s="98"/>
      <c r="MQ14" s="98"/>
      <c r="MR14" s="98"/>
      <c r="MS14" s="98"/>
      <c r="MT14" s="98"/>
      <c r="MU14" s="98"/>
      <c r="MV14" s="98"/>
      <c r="MW14" s="98"/>
      <c r="MX14" s="98"/>
      <c r="MY14" s="98"/>
      <c r="MZ14" s="98"/>
      <c r="NA14" s="98"/>
      <c r="NB14" s="98"/>
      <c r="NC14" s="98"/>
      <c r="ND14" s="98"/>
      <c r="NE14" s="98"/>
      <c r="NF14" s="98"/>
      <c r="NG14" s="98"/>
      <c r="NH14" s="98"/>
      <c r="NI14" s="98"/>
      <c r="NJ14" s="98"/>
      <c r="NK14" s="98"/>
      <c r="NL14" s="98"/>
      <c r="NM14" s="98"/>
      <c r="NN14" s="98"/>
      <c r="NO14" s="98"/>
      <c r="NP14" s="98"/>
      <c r="NQ14" s="98"/>
      <c r="NR14" s="98"/>
      <c r="NS14" s="98"/>
      <c r="NT14" s="98"/>
      <c r="NU14" s="98"/>
      <c r="NV14" s="98"/>
      <c r="NW14" s="98"/>
      <c r="NX14" s="98"/>
      <c r="NY14" s="98"/>
      <c r="NZ14" s="98"/>
      <c r="OA14" s="98"/>
      <c r="OB14" s="98"/>
      <c r="OC14" s="98"/>
      <c r="OD14" s="98"/>
      <c r="OE14" s="98"/>
      <c r="OF14" s="98"/>
      <c r="OG14" s="98"/>
      <c r="OH14" s="98"/>
      <c r="OI14" s="98"/>
      <c r="OJ14" s="98"/>
      <c r="OK14" s="98"/>
      <c r="OL14" s="98"/>
      <c r="OM14" s="98"/>
      <c r="ON14" s="98"/>
      <c r="OO14" s="98"/>
      <c r="OP14" s="98"/>
      <c r="OQ14" s="98"/>
      <c r="OR14" s="98"/>
      <c r="OS14" s="98"/>
      <c r="OT14" s="98"/>
      <c r="OU14" s="98"/>
      <c r="OV14" s="98"/>
      <c r="OW14" s="98"/>
      <c r="OX14" s="98"/>
      <c r="OY14" s="98"/>
      <c r="OZ14" s="98"/>
      <c r="PA14" s="98"/>
      <c r="PB14" s="98"/>
      <c r="PC14" s="98"/>
      <c r="PD14" s="98"/>
      <c r="PE14" s="98"/>
      <c r="PF14" s="98"/>
      <c r="PG14" s="98"/>
      <c r="PH14" s="98"/>
      <c r="PI14" s="98"/>
      <c r="PJ14" s="98"/>
      <c r="PK14" s="98"/>
      <c r="PL14" s="98"/>
      <c r="PM14" s="98"/>
      <c r="PN14" s="98"/>
      <c r="PO14" s="98"/>
      <c r="PP14" s="98"/>
      <c r="PQ14" s="98"/>
      <c r="PR14" s="98"/>
      <c r="PS14" s="98"/>
      <c r="PT14" s="98"/>
      <c r="PU14" s="98"/>
      <c r="PV14" s="98"/>
      <c r="PW14" s="98"/>
      <c r="PX14" s="98"/>
      <c r="PY14" s="98"/>
      <c r="PZ14" s="98"/>
      <c r="QA14" s="98"/>
      <c r="QB14" s="98"/>
      <c r="QC14" s="98"/>
      <c r="QD14" s="98"/>
      <c r="QE14" s="98"/>
      <c r="QF14" s="98"/>
      <c r="QG14" s="98"/>
      <c r="QH14" s="98"/>
      <c r="QI14" s="98"/>
      <c r="QJ14" s="98"/>
      <c r="QK14" s="98"/>
      <c r="QL14" s="98"/>
      <c r="QM14" s="98"/>
      <c r="QN14" s="98"/>
      <c r="QO14" s="98"/>
      <c r="QP14" s="98"/>
      <c r="QQ14" s="98"/>
      <c r="QR14" s="98"/>
      <c r="QS14" s="98"/>
      <c r="QT14" s="98"/>
      <c r="QU14" s="98"/>
      <c r="QV14" s="98"/>
      <c r="QW14" s="98"/>
      <c r="QX14" s="98"/>
      <c r="QY14" s="98"/>
      <c r="QZ14" s="98"/>
      <c r="RA14" s="98"/>
      <c r="RB14" s="98"/>
      <c r="RC14" s="98"/>
      <c r="RD14" s="98"/>
      <c r="RE14" s="98"/>
      <c r="RF14" s="98"/>
      <c r="RG14" s="98"/>
      <c r="RH14" s="98"/>
      <c r="RI14" s="98"/>
      <c r="RJ14" s="98"/>
      <c r="RK14" s="98"/>
      <c r="RL14" s="98"/>
      <c r="RM14" s="98"/>
      <c r="RN14" s="98"/>
      <c r="RO14" s="98"/>
      <c r="RP14" s="98"/>
      <c r="RQ14" s="98"/>
      <c r="RR14" s="98"/>
      <c r="RS14" s="98"/>
      <c r="RT14" s="98"/>
      <c r="RU14" s="98"/>
      <c r="RV14" s="98"/>
      <c r="RW14" s="98"/>
      <c r="RX14" s="98"/>
      <c r="RY14" s="98"/>
      <c r="RZ14" s="98"/>
      <c r="SA14" s="98"/>
      <c r="SB14" s="98"/>
      <c r="SC14" s="98"/>
      <c r="SD14" s="98"/>
      <c r="SE14" s="98"/>
      <c r="SF14" s="98"/>
      <c r="SG14" s="98"/>
      <c r="SH14" s="98"/>
      <c r="SI14" s="98"/>
      <c r="SJ14" s="98"/>
      <c r="SK14" s="98"/>
      <c r="SL14" s="98"/>
      <c r="SM14" s="98"/>
      <c r="SN14" s="98"/>
      <c r="SO14" s="98"/>
      <c r="SP14" s="98"/>
      <c r="SQ14" s="98"/>
      <c r="SR14" s="98"/>
      <c r="SS14" s="98"/>
      <c r="ST14" s="98"/>
      <c r="SU14" s="98"/>
      <c r="SV14" s="98"/>
      <c r="SW14" s="98"/>
      <c r="SX14" s="98"/>
      <c r="SY14" s="98"/>
      <c r="SZ14" s="98"/>
      <c r="TA14" s="98"/>
      <c r="TB14" s="98"/>
      <c r="TC14" s="98"/>
      <c r="TD14" s="98"/>
      <c r="TE14" s="98"/>
      <c r="TF14" s="98"/>
      <c r="TG14" s="98"/>
      <c r="TH14" s="98"/>
      <c r="TI14" s="98"/>
      <c r="TJ14" s="98"/>
      <c r="TK14" s="98"/>
      <c r="TL14" s="98"/>
      <c r="TM14" s="98"/>
      <c r="TN14" s="98"/>
      <c r="TO14" s="98"/>
      <c r="TP14" s="98"/>
      <c r="TQ14" s="98"/>
      <c r="TR14" s="98"/>
      <c r="TS14" s="98"/>
      <c r="TT14" s="98"/>
      <c r="TU14" s="98"/>
      <c r="TV14" s="98"/>
      <c r="TW14" s="98"/>
      <c r="TX14" s="98"/>
      <c r="TY14" s="98"/>
      <c r="TZ14" s="98"/>
      <c r="UA14" s="98"/>
      <c r="UB14" s="98"/>
      <c r="UC14" s="98"/>
      <c r="UD14" s="98"/>
      <c r="UE14" s="98"/>
      <c r="UF14" s="98"/>
      <c r="UG14" s="98"/>
      <c r="UH14" s="98"/>
      <c r="UI14" s="98"/>
      <c r="UJ14" s="98"/>
      <c r="UK14" s="98"/>
      <c r="UL14" s="98"/>
      <c r="UM14" s="98"/>
      <c r="UN14" s="98"/>
      <c r="UO14" s="98"/>
      <c r="UP14" s="98"/>
      <c r="UQ14" s="98"/>
      <c r="UR14" s="98"/>
      <c r="US14" s="98"/>
      <c r="UT14" s="98"/>
      <c r="UU14" s="98"/>
      <c r="UV14" s="98"/>
      <c r="UW14" s="98"/>
      <c r="UX14" s="98"/>
      <c r="UY14" s="98"/>
      <c r="UZ14" s="98"/>
      <c r="VA14" s="98"/>
      <c r="VB14" s="98"/>
      <c r="VC14" s="98"/>
      <c r="VD14" s="98"/>
      <c r="VE14" s="98"/>
      <c r="VF14" s="98"/>
      <c r="VG14" s="98"/>
      <c r="VH14" s="98"/>
      <c r="VI14" s="98"/>
      <c r="VJ14" s="98"/>
      <c r="VK14" s="98"/>
      <c r="VL14" s="98"/>
      <c r="VM14" s="98"/>
      <c r="VN14" s="98"/>
      <c r="VO14" s="98"/>
      <c r="VP14" s="98"/>
      <c r="VQ14" s="98"/>
      <c r="VR14" s="98"/>
      <c r="VS14" s="98"/>
      <c r="VT14" s="98"/>
      <c r="VU14" s="98"/>
      <c r="VV14" s="98"/>
      <c r="VW14" s="98"/>
      <c r="VX14" s="98"/>
      <c r="VY14" s="98"/>
      <c r="VZ14" s="98"/>
      <c r="WA14" s="98"/>
      <c r="WB14" s="98"/>
      <c r="WC14" s="98"/>
      <c r="WD14" s="98"/>
      <c r="WE14" s="98"/>
      <c r="WF14" s="98"/>
      <c r="WG14" s="98"/>
      <c r="WH14" s="98"/>
      <c r="WI14" s="98"/>
      <c r="WJ14" s="98"/>
      <c r="WK14" s="98"/>
      <c r="WL14" s="98"/>
      <c r="WM14" s="98"/>
      <c r="WN14" s="98"/>
      <c r="WO14" s="98"/>
      <c r="WP14" s="98"/>
      <c r="WQ14" s="98"/>
      <c r="WR14" s="98"/>
      <c r="WS14" s="98"/>
      <c r="WT14" s="98"/>
      <c r="WU14" s="98"/>
      <c r="WV14" s="98"/>
      <c r="WW14" s="98"/>
      <c r="WX14" s="98"/>
      <c r="WY14" s="98"/>
      <c r="WZ14" s="98"/>
      <c r="XA14" s="98"/>
      <c r="XB14" s="98"/>
      <c r="XC14" s="98"/>
      <c r="XD14" s="98"/>
      <c r="XE14" s="98"/>
      <c r="XF14" s="98"/>
      <c r="XG14" s="98"/>
      <c r="XH14" s="98"/>
      <c r="XI14" s="98"/>
      <c r="XJ14" s="98"/>
      <c r="XK14" s="98"/>
      <c r="XL14" s="98"/>
      <c r="XM14" s="98"/>
      <c r="XN14" s="98"/>
      <c r="XO14" s="98"/>
      <c r="XP14" s="98"/>
      <c r="XQ14" s="98"/>
      <c r="XR14" s="98"/>
      <c r="XS14" s="98"/>
      <c r="XT14" s="98"/>
      <c r="XU14" s="98"/>
      <c r="XV14" s="98"/>
      <c r="XW14" s="98"/>
      <c r="XX14" s="98"/>
      <c r="XY14" s="98"/>
      <c r="XZ14" s="98"/>
      <c r="YA14" s="98"/>
      <c r="YB14" s="98"/>
      <c r="YC14" s="98"/>
      <c r="YD14" s="98"/>
      <c r="YE14" s="98"/>
      <c r="YF14" s="98"/>
      <c r="YG14" s="98"/>
      <c r="YH14" s="98"/>
      <c r="YI14" s="98"/>
      <c r="YJ14" s="98"/>
      <c r="YK14" s="98"/>
      <c r="YL14" s="98"/>
      <c r="YM14" s="98"/>
      <c r="YN14" s="98"/>
      <c r="YO14" s="98"/>
      <c r="YP14" s="98"/>
      <c r="YQ14" s="98"/>
      <c r="YR14" s="98"/>
      <c r="YS14" s="98"/>
      <c r="YT14" s="98"/>
      <c r="YU14" s="98"/>
      <c r="YV14" s="98"/>
      <c r="YW14" s="98"/>
      <c r="YX14" s="98"/>
      <c r="YY14" s="98"/>
      <c r="YZ14" s="98"/>
      <c r="ZA14" s="98"/>
      <c r="ZB14" s="98"/>
      <c r="ZC14" s="98"/>
      <c r="ZD14" s="98"/>
      <c r="ZE14" s="98"/>
      <c r="ZF14" s="98"/>
      <c r="ZG14" s="98"/>
      <c r="ZH14" s="98"/>
      <c r="ZI14" s="98"/>
      <c r="ZJ14" s="98"/>
      <c r="ZK14" s="98"/>
      <c r="ZL14" s="98"/>
      <c r="ZM14" s="98"/>
      <c r="ZN14" s="98"/>
      <c r="ZO14" s="98"/>
      <c r="ZP14" s="98"/>
      <c r="ZQ14" s="98"/>
      <c r="ZR14" s="98"/>
      <c r="ZS14" s="98"/>
      <c r="ZT14" s="98"/>
      <c r="ZU14" s="98"/>
      <c r="ZV14" s="98"/>
      <c r="ZW14" s="98"/>
      <c r="ZX14" s="98"/>
      <c r="ZY14" s="98"/>
      <c r="ZZ14" s="98"/>
      <c r="AAA14" s="98"/>
      <c r="AAB14" s="98"/>
      <c r="AAC14" s="98"/>
      <c r="AAD14" s="98"/>
      <c r="AAE14" s="98"/>
      <c r="AAF14" s="98"/>
      <c r="AAG14" s="98"/>
      <c r="AAH14" s="98"/>
      <c r="AAI14" s="98"/>
      <c r="AAJ14" s="98"/>
      <c r="AAK14" s="98"/>
      <c r="AAL14" s="98"/>
      <c r="AAM14" s="98"/>
      <c r="AAN14" s="98"/>
      <c r="AAO14" s="98"/>
      <c r="AAP14" s="98"/>
      <c r="AAQ14" s="98"/>
      <c r="AAR14" s="98"/>
      <c r="AAS14" s="98"/>
      <c r="AAT14" s="98"/>
      <c r="AAU14" s="98"/>
      <c r="AAV14" s="98"/>
      <c r="AAW14" s="98"/>
      <c r="AAX14" s="98"/>
      <c r="AAY14" s="98"/>
      <c r="AAZ14" s="98"/>
      <c r="ABA14" s="98"/>
      <c r="ABB14" s="98"/>
      <c r="ABC14" s="98"/>
      <c r="ABD14" s="98"/>
      <c r="ABE14" s="98"/>
      <c r="ABF14" s="98"/>
      <c r="ABG14" s="98"/>
      <c r="ABH14" s="98"/>
      <c r="ABI14" s="98"/>
      <c r="ABJ14" s="98"/>
      <c r="ABK14" s="98"/>
      <c r="ABL14" s="98"/>
      <c r="ABM14" s="98"/>
      <c r="ABN14" s="98"/>
      <c r="ABO14" s="98"/>
      <c r="ABP14" s="98"/>
      <c r="ABQ14" s="98"/>
      <c r="ABR14" s="98"/>
      <c r="ABS14" s="98"/>
      <c r="ABT14" s="98"/>
      <c r="ABU14" s="98"/>
      <c r="ABV14" s="98"/>
      <c r="ABW14" s="98"/>
      <c r="ABX14" s="98"/>
      <c r="ABY14" s="98"/>
      <c r="ABZ14" s="98"/>
      <c r="ACA14" s="98"/>
      <c r="ACB14" s="98"/>
      <c r="ACC14" s="98"/>
      <c r="ACD14" s="98"/>
      <c r="ACE14" s="98"/>
      <c r="ACF14" s="98"/>
      <c r="ACG14" s="98"/>
      <c r="ACH14" s="98"/>
      <c r="ACI14" s="98"/>
      <c r="ACJ14" s="98"/>
      <c r="ACK14" s="98"/>
      <c r="ACL14" s="98"/>
      <c r="ACM14" s="98"/>
      <c r="ACN14" s="98"/>
      <c r="ACO14" s="98"/>
      <c r="ACP14" s="98"/>
      <c r="ACQ14" s="98"/>
      <c r="ACR14" s="98"/>
      <c r="ACS14" s="98"/>
      <c r="ACT14" s="98"/>
      <c r="ACU14" s="98"/>
      <c r="ACV14" s="98"/>
      <c r="ACW14" s="98"/>
      <c r="ACX14" s="98"/>
      <c r="ACY14" s="98"/>
      <c r="ACZ14" s="98"/>
      <c r="ADA14" s="98"/>
      <c r="ADB14" s="98"/>
      <c r="ADC14" s="98"/>
      <c r="ADD14" s="98"/>
      <c r="ADE14" s="98"/>
      <c r="ADF14" s="98"/>
      <c r="ADG14" s="98"/>
      <c r="ADH14" s="98"/>
      <c r="ADI14" s="98"/>
      <c r="ADJ14" s="98"/>
      <c r="ADK14" s="98"/>
      <c r="ADL14" s="98"/>
      <c r="ADM14" s="98"/>
      <c r="ADN14" s="98"/>
      <c r="ADO14" s="98"/>
      <c r="ADP14" s="98"/>
      <c r="ADQ14" s="98"/>
      <c r="ADR14" s="98"/>
      <c r="ADS14" s="98"/>
      <c r="ADT14" s="98"/>
      <c r="ADU14" s="98"/>
      <c r="ADV14" s="98"/>
      <c r="ADW14" s="98"/>
      <c r="ADX14" s="98"/>
      <c r="ADY14" s="98"/>
      <c r="ADZ14" s="98"/>
      <c r="AEA14" s="98"/>
      <c r="AEB14" s="98"/>
      <c r="AEC14" s="98"/>
      <c r="AED14" s="98"/>
      <c r="AEE14" s="98"/>
      <c r="AEF14" s="98"/>
      <c r="AEG14" s="98"/>
      <c r="AEH14" s="98"/>
      <c r="AEI14" s="98"/>
      <c r="AEJ14" s="98"/>
      <c r="AEK14" s="98"/>
      <c r="AEL14" s="98"/>
      <c r="AEM14" s="98"/>
      <c r="AEN14" s="98"/>
      <c r="AEO14" s="98"/>
      <c r="AEP14" s="98"/>
      <c r="AEQ14" s="98"/>
      <c r="AER14" s="98"/>
      <c r="AES14" s="98"/>
      <c r="AET14" s="98"/>
      <c r="AEU14" s="98"/>
      <c r="AEV14" s="98"/>
      <c r="AEW14" s="98"/>
      <c r="AEX14" s="98"/>
      <c r="AEY14" s="98"/>
      <c r="AEZ14" s="98"/>
      <c r="AFA14" s="98"/>
      <c r="AFB14" s="98"/>
      <c r="AFC14" s="98"/>
      <c r="AFD14" s="98"/>
      <c r="AFE14" s="98"/>
      <c r="AFF14" s="98"/>
      <c r="AFG14" s="98"/>
      <c r="AFH14" s="98"/>
      <c r="AFI14" s="98"/>
      <c r="AFJ14" s="98"/>
      <c r="AFK14" s="98"/>
      <c r="AFL14" s="98"/>
      <c r="AFM14" s="98"/>
      <c r="AFN14" s="98"/>
      <c r="AFO14" s="98"/>
      <c r="AFP14" s="98"/>
      <c r="AFQ14" s="98"/>
      <c r="AFR14" s="98"/>
      <c r="AFS14" s="98"/>
      <c r="AFT14" s="98"/>
      <c r="AFU14" s="98"/>
      <c r="AFV14" s="98"/>
      <c r="AFW14" s="98"/>
      <c r="AFX14" s="98"/>
      <c r="AFY14" s="98"/>
      <c r="AFZ14" s="98"/>
      <c r="AGA14" s="98"/>
      <c r="AGB14" s="98"/>
      <c r="AGC14" s="98"/>
      <c r="AGD14" s="98"/>
      <c r="AGE14" s="98"/>
      <c r="AGF14" s="98"/>
      <c r="AGG14" s="98"/>
      <c r="AGH14" s="98"/>
      <c r="AGI14" s="98"/>
      <c r="AGJ14" s="98"/>
      <c r="AGK14" s="98"/>
      <c r="AGL14" s="98"/>
      <c r="AGM14" s="98"/>
      <c r="AGN14" s="98"/>
      <c r="AGO14" s="98"/>
      <c r="AGP14" s="98"/>
      <c r="AGQ14" s="98"/>
      <c r="AGR14" s="98"/>
      <c r="AGS14" s="98"/>
      <c r="AGT14" s="98"/>
      <c r="AGU14" s="98"/>
      <c r="AGV14" s="98"/>
      <c r="AGW14" s="98"/>
      <c r="AGX14" s="98"/>
      <c r="AGY14" s="98"/>
      <c r="AGZ14" s="98"/>
      <c r="AHA14" s="98"/>
      <c r="AHB14" s="98"/>
      <c r="AHC14" s="98"/>
      <c r="AHD14" s="98"/>
      <c r="AHE14" s="98"/>
      <c r="AHF14" s="98"/>
      <c r="AHG14" s="98"/>
      <c r="AHH14" s="98"/>
      <c r="AHI14" s="98"/>
      <c r="AHJ14" s="98"/>
      <c r="AHK14" s="98"/>
      <c r="AHL14" s="98"/>
      <c r="AHM14" s="98"/>
      <c r="AHN14" s="98"/>
      <c r="AHO14" s="98"/>
      <c r="AHP14" s="98"/>
      <c r="AHQ14" s="98"/>
      <c r="AHR14" s="98"/>
      <c r="AHS14" s="98"/>
      <c r="AHT14" s="98"/>
      <c r="AHU14" s="98"/>
      <c r="AHV14" s="98"/>
      <c r="AHW14" s="98"/>
      <c r="AHX14" s="98"/>
      <c r="AHY14" s="98"/>
      <c r="AHZ14" s="98"/>
      <c r="AIA14" s="98"/>
      <c r="AIB14" s="98"/>
      <c r="AIC14" s="98"/>
      <c r="AID14" s="98"/>
      <c r="AIE14" s="98"/>
      <c r="AIF14" s="98"/>
      <c r="AIG14" s="98"/>
      <c r="AIH14" s="98"/>
      <c r="AII14" s="98"/>
      <c r="AIJ14" s="98"/>
      <c r="AIK14" s="98"/>
      <c r="AIL14" s="98"/>
      <c r="AIM14" s="98"/>
      <c r="AIN14" s="98"/>
      <c r="AIO14" s="98"/>
      <c r="AIP14" s="98"/>
      <c r="AIQ14" s="98"/>
      <c r="AIR14" s="98"/>
      <c r="AIS14" s="98"/>
      <c r="AIT14" s="98"/>
      <c r="AIU14" s="98"/>
      <c r="AIV14" s="98"/>
      <c r="AIW14" s="98"/>
      <c r="AIX14" s="98"/>
      <c r="AIY14" s="98"/>
      <c r="AIZ14" s="98"/>
      <c r="AJA14" s="98"/>
      <c r="AJB14" s="98"/>
      <c r="AJC14" s="98"/>
      <c r="AJD14" s="98"/>
      <c r="AJE14" s="98"/>
      <c r="AJF14" s="98"/>
      <c r="AJG14" s="98"/>
      <c r="AJH14" s="98"/>
      <c r="AJI14" s="98"/>
      <c r="AJJ14" s="98"/>
      <c r="AJK14" s="98"/>
      <c r="AJL14" s="98"/>
      <c r="AJM14" s="98"/>
      <c r="AJN14" s="98"/>
      <c r="AJO14" s="98"/>
      <c r="AJP14" s="98"/>
      <c r="AJQ14" s="98"/>
      <c r="AJR14" s="98"/>
      <c r="AJS14" s="98"/>
      <c r="AJT14" s="98"/>
      <c r="AJU14" s="98"/>
      <c r="AJV14" s="98"/>
      <c r="AJW14" s="98"/>
      <c r="AJX14" s="98"/>
      <c r="AJY14" s="98"/>
      <c r="AJZ14" s="98"/>
      <c r="AKA14" s="98"/>
      <c r="AKB14" s="98"/>
      <c r="AKC14" s="98"/>
      <c r="AKD14" s="98"/>
      <c r="AKE14" s="98"/>
      <c r="AKF14" s="98"/>
      <c r="AKG14" s="98"/>
      <c r="AKH14" s="98"/>
      <c r="AKI14" s="98"/>
      <c r="AKJ14" s="98"/>
      <c r="AKK14" s="98"/>
      <c r="AKL14" s="98"/>
      <c r="AKM14" s="98"/>
      <c r="AKN14" s="98"/>
      <c r="AKO14" s="98"/>
      <c r="AKP14" s="98"/>
      <c r="AKQ14" s="98"/>
      <c r="AKR14" s="98"/>
      <c r="AKS14" s="98"/>
      <c r="AKT14" s="98"/>
      <c r="AKU14" s="98"/>
      <c r="AKV14" s="98"/>
      <c r="AKW14" s="98"/>
      <c r="AKX14" s="98"/>
      <c r="AKY14" s="98"/>
      <c r="AKZ14" s="98"/>
      <c r="ALA14" s="98"/>
      <c r="ALB14" s="98"/>
      <c r="ALC14" s="98"/>
      <c r="ALD14" s="98"/>
      <c r="ALE14" s="98"/>
      <c r="ALF14" s="98"/>
      <c r="ALG14" s="98"/>
      <c r="ALH14" s="98"/>
      <c r="ALI14" s="98"/>
      <c r="ALJ14" s="98"/>
      <c r="ALK14" s="98"/>
      <c r="ALL14" s="98"/>
      <c r="ALM14" s="98"/>
      <c r="ALN14" s="98"/>
      <c r="ALO14" s="98"/>
      <c r="ALP14" s="98"/>
      <c r="ALQ14" s="98"/>
      <c r="ALR14" s="98"/>
      <c r="ALS14" s="98"/>
      <c r="ALT14" s="98"/>
      <c r="ALU14" s="98"/>
      <c r="ALV14" s="98"/>
      <c r="ALW14" s="98"/>
      <c r="ALX14" s="98"/>
      <c r="ALY14" s="98"/>
      <c r="ALZ14" s="98"/>
      <c r="AMA14" s="98"/>
      <c r="AMB14" s="98"/>
      <c r="AMC14" s="98"/>
      <c r="AMD14" s="98"/>
      <c r="AME14" s="98"/>
      <c r="AMF14" s="98"/>
      <c r="AMG14" s="98"/>
      <c r="AMH14" s="98"/>
      <c r="AMI14" s="98"/>
      <c r="AMJ14" s="98"/>
      <c r="AMK14" s="98"/>
      <c r="AML14" s="98"/>
      <c r="AMM14" s="98"/>
      <c r="AMN14" s="98"/>
      <c r="AMO14" s="98"/>
      <c r="AMP14" s="98"/>
      <c r="AMQ14" s="98"/>
      <c r="AMR14" s="98"/>
      <c r="AMS14" s="98"/>
      <c r="AMT14" s="98"/>
      <c r="AMU14" s="98"/>
      <c r="AMV14" s="98"/>
      <c r="AMW14" s="98"/>
      <c r="AMX14" s="98"/>
      <c r="AMY14" s="98"/>
      <c r="AMZ14" s="98"/>
      <c r="ANA14" s="98"/>
      <c r="ANB14" s="98"/>
      <c r="ANC14" s="98"/>
      <c r="AND14" s="98"/>
      <c r="ANE14" s="98"/>
      <c r="ANF14" s="98"/>
      <c r="ANG14" s="98"/>
      <c r="ANH14" s="98"/>
      <c r="ANI14" s="98"/>
      <c r="ANJ14" s="98"/>
      <c r="ANK14" s="98"/>
      <c r="ANL14" s="98"/>
      <c r="ANM14" s="98"/>
      <c r="ANN14" s="98"/>
      <c r="ANO14" s="98"/>
      <c r="ANP14" s="98"/>
      <c r="ANQ14" s="98"/>
      <c r="ANR14" s="98"/>
      <c r="ANS14" s="98"/>
      <c r="ANT14" s="98"/>
      <c r="ANU14" s="98"/>
      <c r="ANV14" s="98"/>
      <c r="ANW14" s="98"/>
      <c r="ANX14" s="98"/>
      <c r="ANY14" s="98"/>
      <c r="ANZ14" s="98"/>
      <c r="AOA14" s="98"/>
      <c r="AOB14" s="98"/>
      <c r="AOC14" s="98"/>
      <c r="AOD14" s="98"/>
      <c r="AOE14" s="98"/>
      <c r="AOF14" s="98"/>
      <c r="AOG14" s="98"/>
      <c r="AOH14" s="98"/>
      <c r="AOI14" s="98"/>
      <c r="AOJ14" s="98"/>
      <c r="AOK14" s="98"/>
      <c r="AOL14" s="98"/>
      <c r="AOM14" s="98"/>
      <c r="AON14" s="98"/>
      <c r="AOO14" s="98"/>
      <c r="AOP14" s="98"/>
      <c r="AOQ14" s="98"/>
      <c r="AOR14" s="98"/>
      <c r="AOS14" s="98"/>
      <c r="AOT14" s="98"/>
      <c r="AOU14" s="98"/>
      <c r="AOV14" s="98"/>
      <c r="AOW14" s="98"/>
      <c r="AOX14" s="98"/>
      <c r="AOY14" s="98"/>
      <c r="AOZ14" s="98"/>
      <c r="APA14" s="98"/>
      <c r="APB14" s="98"/>
      <c r="APC14" s="98"/>
      <c r="APD14" s="98"/>
      <c r="APE14" s="98"/>
      <c r="APF14" s="98"/>
      <c r="APG14" s="98"/>
      <c r="APH14" s="98"/>
      <c r="API14" s="98"/>
      <c r="APJ14" s="98"/>
      <c r="APK14" s="98"/>
      <c r="APL14" s="98"/>
      <c r="APM14" s="98"/>
      <c r="APN14" s="98"/>
      <c r="APO14" s="98"/>
      <c r="APP14" s="98"/>
      <c r="APQ14" s="98"/>
      <c r="APR14" s="98"/>
      <c r="APS14" s="98"/>
      <c r="APT14" s="98"/>
      <c r="APU14" s="98"/>
      <c r="APV14" s="98"/>
      <c r="APW14" s="98"/>
      <c r="APX14" s="98"/>
      <c r="APY14" s="98"/>
      <c r="APZ14" s="98"/>
      <c r="AQA14" s="98"/>
      <c r="AQB14" s="98"/>
      <c r="AQC14" s="98"/>
      <c r="AQD14" s="98"/>
      <c r="AQE14" s="98"/>
      <c r="AQF14" s="98"/>
      <c r="AQG14" s="98"/>
      <c r="AQH14" s="98"/>
      <c r="AQI14" s="98"/>
      <c r="AQJ14" s="98"/>
      <c r="AQK14" s="98"/>
      <c r="AQL14" s="98"/>
      <c r="AQM14" s="98"/>
      <c r="AQN14" s="98"/>
      <c r="AQO14" s="98"/>
      <c r="AQP14" s="98"/>
      <c r="AQQ14" s="98"/>
      <c r="AQR14" s="98"/>
      <c r="AQS14" s="98"/>
      <c r="AQT14" s="98"/>
      <c r="AQU14" s="98"/>
      <c r="AQV14" s="98"/>
      <c r="AQW14" s="98"/>
      <c r="AQX14" s="98"/>
      <c r="AQY14" s="98"/>
      <c r="AQZ14" s="98"/>
      <c r="ARA14" s="98"/>
      <c r="ARB14" s="98"/>
      <c r="ARC14" s="98"/>
      <c r="ARD14" s="98"/>
      <c r="ARE14" s="98"/>
      <c r="ARF14" s="98"/>
      <c r="ARG14" s="98"/>
      <c r="ARH14" s="98"/>
      <c r="ARI14" s="98"/>
      <c r="ARJ14" s="98"/>
      <c r="ARK14" s="98"/>
      <c r="ARL14" s="98"/>
      <c r="ARM14" s="98"/>
      <c r="ARN14" s="98"/>
      <c r="ARO14" s="98"/>
      <c r="ARP14" s="98"/>
      <c r="ARQ14" s="98"/>
      <c r="ARR14" s="98"/>
      <c r="ARS14" s="98"/>
    </row>
    <row r="15" spans="1:1163">
      <c r="A15" s="138"/>
      <c r="B15" s="119"/>
      <c r="C15" s="175"/>
      <c r="D15" s="175"/>
      <c r="E15" s="175"/>
      <c r="F15" s="175"/>
      <c r="G15" s="175"/>
      <c r="H15" s="175"/>
      <c r="I15" s="175"/>
      <c r="J15" s="175"/>
      <c r="K15" s="175"/>
      <c r="L15" s="175"/>
      <c r="M15" s="175"/>
      <c r="N15" s="175"/>
      <c r="O15" s="175"/>
      <c r="P15" s="175"/>
      <c r="Q15" s="175"/>
      <c r="R15" s="175"/>
      <c r="S15" s="175"/>
      <c r="T15" s="175"/>
      <c r="U15" s="144"/>
      <c r="V15" s="175"/>
      <c r="W15" s="144"/>
      <c r="X15" s="175"/>
      <c r="Y15" s="144"/>
      <c r="Z15" s="175"/>
      <c r="AA15" s="175"/>
      <c r="AB15" s="175"/>
      <c r="AC15" s="175"/>
      <c r="AD15" s="175"/>
      <c r="AE15" s="175"/>
      <c r="AF15" s="175"/>
      <c r="AG15" s="175"/>
      <c r="AH15" s="175"/>
      <c r="AI15" s="175"/>
      <c r="AJ15" s="175"/>
      <c r="AK15" s="201"/>
      <c r="AL15" s="201"/>
      <c r="AM15" s="182"/>
      <c r="AN15" s="176"/>
      <c r="AO15" s="175"/>
      <c r="AP15" s="175"/>
      <c r="AQ15" s="175"/>
      <c r="AR15" s="175"/>
      <c r="AS15" s="175"/>
      <c r="AT15" s="175"/>
      <c r="AU15" s="175"/>
      <c r="AV15" s="175"/>
      <c r="AW15" s="175"/>
      <c r="AX15" s="175"/>
      <c r="AY15" s="180"/>
      <c r="AZ15" s="180"/>
      <c r="BA15" s="144"/>
      <c r="BB15" s="175"/>
      <c r="BC15" s="175"/>
      <c r="BD15" s="175"/>
      <c r="BE15" s="175"/>
      <c r="BF15" s="175"/>
      <c r="BG15" s="175"/>
      <c r="BH15" s="175"/>
      <c r="BI15" s="144"/>
      <c r="BJ15" s="98"/>
      <c r="BK15" s="148"/>
      <c r="BL15" s="148"/>
      <c r="BM15" s="148"/>
      <c r="BN15" s="148"/>
    </row>
    <row r="16" spans="1:1163">
      <c r="A16" s="124" t="s">
        <v>94</v>
      </c>
      <c r="B16" s="127" t="s">
        <v>67</v>
      </c>
      <c r="C16" s="183">
        <v>9219</v>
      </c>
      <c r="D16" s="183">
        <v>431729</v>
      </c>
      <c r="E16" s="183">
        <v>0</v>
      </c>
      <c r="F16" s="183">
        <v>0</v>
      </c>
      <c r="G16" s="183">
        <v>0</v>
      </c>
      <c r="H16" s="183">
        <v>0</v>
      </c>
      <c r="I16" s="183">
        <v>0</v>
      </c>
      <c r="J16" s="183">
        <v>0</v>
      </c>
      <c r="K16" s="183">
        <v>0</v>
      </c>
      <c r="L16" s="183">
        <v>0</v>
      </c>
      <c r="M16" s="183">
        <v>0</v>
      </c>
      <c r="N16" s="183">
        <v>0</v>
      </c>
      <c r="O16" s="183">
        <v>0</v>
      </c>
      <c r="P16" s="183">
        <v>0</v>
      </c>
      <c r="Q16" s="183">
        <v>0</v>
      </c>
      <c r="R16" s="183">
        <v>0</v>
      </c>
      <c r="S16" s="183">
        <v>0</v>
      </c>
      <c r="T16" s="183">
        <v>0</v>
      </c>
      <c r="U16" s="183">
        <v>0</v>
      </c>
      <c r="V16" s="183">
        <v>0</v>
      </c>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0</v>
      </c>
      <c r="AT16" s="183">
        <v>0</v>
      </c>
      <c r="AU16" s="183">
        <v>0</v>
      </c>
      <c r="AV16" s="183">
        <v>0</v>
      </c>
      <c r="AW16" s="183">
        <v>0</v>
      </c>
      <c r="AX16" s="183">
        <v>0</v>
      </c>
      <c r="AY16" s="135">
        <v>0</v>
      </c>
      <c r="AZ16" s="135">
        <v>0</v>
      </c>
      <c r="BA16" s="135"/>
      <c r="BB16" s="135"/>
      <c r="BC16" s="135"/>
      <c r="BD16" s="135"/>
      <c r="BE16" s="135"/>
      <c r="BF16" s="135"/>
      <c r="BG16" s="135"/>
      <c r="BH16" s="135"/>
      <c r="BI16" s="127"/>
      <c r="BJ16" s="98"/>
      <c r="BK16" s="148"/>
      <c r="BL16" s="148"/>
      <c r="BM16" s="148"/>
      <c r="BN16" s="148"/>
    </row>
    <row r="17" spans="1:1163">
      <c r="A17" s="124"/>
      <c r="B17" s="127"/>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9"/>
      <c r="AZ17" s="189"/>
      <c r="BA17" s="127"/>
      <c r="BB17" s="135"/>
      <c r="BC17" s="135"/>
      <c r="BD17" s="135"/>
      <c r="BE17" s="135"/>
      <c r="BF17" s="135"/>
      <c r="BG17" s="135"/>
      <c r="BH17" s="135"/>
      <c r="BI17" s="127"/>
      <c r="BJ17" s="98"/>
      <c r="BK17" s="148"/>
      <c r="BL17" s="148"/>
      <c r="BM17" s="148"/>
      <c r="BN17" s="148"/>
    </row>
    <row r="18" spans="1:1163" s="174" customFormat="1">
      <c r="A18" s="118" t="s">
        <v>95</v>
      </c>
      <c r="B18" s="119" t="s">
        <v>67</v>
      </c>
      <c r="C18" s="175">
        <v>39295</v>
      </c>
      <c r="D18" s="175">
        <v>1494410</v>
      </c>
      <c r="E18" s="175">
        <v>0</v>
      </c>
      <c r="F18" s="175">
        <v>0</v>
      </c>
      <c r="G18" s="175">
        <v>0</v>
      </c>
      <c r="H18" s="175">
        <v>0</v>
      </c>
      <c r="I18" s="175">
        <v>0</v>
      </c>
      <c r="J18" s="175">
        <v>0</v>
      </c>
      <c r="K18" s="175">
        <v>0</v>
      </c>
      <c r="L18" s="175">
        <v>0</v>
      </c>
      <c r="M18" s="175">
        <v>0</v>
      </c>
      <c r="N18" s="175">
        <v>0</v>
      </c>
      <c r="O18" s="175">
        <v>0</v>
      </c>
      <c r="P18" s="175">
        <v>0</v>
      </c>
      <c r="Q18" s="175">
        <v>0</v>
      </c>
      <c r="R18" s="175">
        <v>0</v>
      </c>
      <c r="S18" s="175">
        <v>0</v>
      </c>
      <c r="T18" s="175">
        <v>0</v>
      </c>
      <c r="U18" s="175">
        <v>0</v>
      </c>
      <c r="V18" s="175">
        <v>0</v>
      </c>
      <c r="W18" s="175">
        <v>0</v>
      </c>
      <c r="X18" s="175">
        <v>0</v>
      </c>
      <c r="Y18" s="175">
        <v>0</v>
      </c>
      <c r="Z18" s="175">
        <v>0</v>
      </c>
      <c r="AA18" s="175">
        <v>0</v>
      </c>
      <c r="AB18" s="175">
        <v>0</v>
      </c>
      <c r="AC18" s="175">
        <v>0</v>
      </c>
      <c r="AD18" s="175">
        <v>0</v>
      </c>
      <c r="AE18" s="175">
        <v>0</v>
      </c>
      <c r="AF18" s="175">
        <v>0</v>
      </c>
      <c r="AG18" s="175">
        <v>0</v>
      </c>
      <c r="AH18" s="175">
        <v>0</v>
      </c>
      <c r="AI18" s="175">
        <v>0</v>
      </c>
      <c r="AJ18" s="175">
        <v>0</v>
      </c>
      <c r="AK18" s="175">
        <v>0</v>
      </c>
      <c r="AL18" s="175">
        <v>0</v>
      </c>
      <c r="AM18" s="175">
        <v>0</v>
      </c>
      <c r="AN18" s="175">
        <v>0</v>
      </c>
      <c r="AO18" s="175">
        <v>0</v>
      </c>
      <c r="AP18" s="175">
        <v>0</v>
      </c>
      <c r="AQ18" s="175">
        <v>0</v>
      </c>
      <c r="AR18" s="175">
        <v>0</v>
      </c>
      <c r="AS18" s="175">
        <v>0</v>
      </c>
      <c r="AT18" s="175">
        <v>0</v>
      </c>
      <c r="AU18" s="175">
        <v>0</v>
      </c>
      <c r="AV18" s="175">
        <v>0</v>
      </c>
      <c r="AW18" s="175">
        <v>0</v>
      </c>
      <c r="AX18" s="175">
        <v>0</v>
      </c>
      <c r="AY18" s="142">
        <v>0</v>
      </c>
      <c r="AZ18" s="142">
        <v>0</v>
      </c>
      <c r="BA18" s="119"/>
      <c r="BB18" s="142"/>
      <c r="BC18" s="142"/>
      <c r="BD18" s="142"/>
      <c r="BE18" s="142"/>
      <c r="BF18" s="142"/>
      <c r="BG18" s="142"/>
      <c r="BH18" s="142"/>
      <c r="BI18" s="119"/>
      <c r="BJ18" s="98"/>
      <c r="BK18" s="148"/>
      <c r="BL18" s="148"/>
      <c r="BM18" s="148"/>
      <c r="BN18" s="14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98"/>
      <c r="NL18" s="98"/>
      <c r="NM18" s="98"/>
      <c r="NN18" s="98"/>
      <c r="NO18" s="98"/>
      <c r="NP18" s="98"/>
      <c r="NQ18" s="98"/>
      <c r="NR18" s="98"/>
      <c r="NS18" s="98"/>
      <c r="NT18" s="98"/>
      <c r="NU18" s="98"/>
      <c r="NV18" s="98"/>
      <c r="NW18" s="98"/>
      <c r="NX18" s="98"/>
      <c r="NY18" s="98"/>
      <c r="NZ18" s="98"/>
      <c r="OA18" s="98"/>
      <c r="OB18" s="98"/>
      <c r="OC18" s="98"/>
      <c r="OD18" s="98"/>
      <c r="OE18" s="98"/>
      <c r="OF18" s="98"/>
      <c r="OG18" s="98"/>
      <c r="OH18" s="98"/>
      <c r="OI18" s="98"/>
      <c r="OJ18" s="98"/>
      <c r="OK18" s="98"/>
      <c r="OL18" s="98"/>
      <c r="OM18" s="98"/>
      <c r="ON18" s="98"/>
      <c r="OO18" s="98"/>
      <c r="OP18" s="98"/>
      <c r="OQ18" s="98"/>
      <c r="OR18" s="98"/>
      <c r="OS18" s="98"/>
      <c r="OT18" s="98"/>
      <c r="OU18" s="98"/>
      <c r="OV18" s="98"/>
      <c r="OW18" s="98"/>
      <c r="OX18" s="98"/>
      <c r="OY18" s="98"/>
      <c r="OZ18" s="98"/>
      <c r="PA18" s="98"/>
      <c r="PB18" s="98"/>
      <c r="PC18" s="98"/>
      <c r="PD18" s="98"/>
      <c r="PE18" s="98"/>
      <c r="PF18" s="98"/>
      <c r="PG18" s="98"/>
      <c r="PH18" s="98"/>
      <c r="PI18" s="98"/>
      <c r="PJ18" s="98"/>
      <c r="PK18" s="98"/>
      <c r="PL18" s="98"/>
      <c r="PM18" s="98"/>
      <c r="PN18" s="98"/>
      <c r="PO18" s="98"/>
      <c r="PP18" s="98"/>
      <c r="PQ18" s="98"/>
      <c r="PR18" s="98"/>
      <c r="PS18" s="98"/>
      <c r="PT18" s="98"/>
      <c r="PU18" s="98"/>
      <c r="PV18" s="98"/>
      <c r="PW18" s="98"/>
      <c r="PX18" s="98"/>
      <c r="PY18" s="98"/>
      <c r="PZ18" s="98"/>
      <c r="QA18" s="98"/>
      <c r="QB18" s="98"/>
      <c r="QC18" s="98"/>
      <c r="QD18" s="98"/>
      <c r="QE18" s="98"/>
      <c r="QF18" s="98"/>
      <c r="QG18" s="98"/>
      <c r="QH18" s="98"/>
      <c r="QI18" s="98"/>
      <c r="QJ18" s="98"/>
      <c r="QK18" s="98"/>
      <c r="QL18" s="98"/>
      <c r="QM18" s="98"/>
      <c r="QN18" s="98"/>
      <c r="QO18" s="98"/>
      <c r="QP18" s="98"/>
      <c r="QQ18" s="98"/>
      <c r="QR18" s="98"/>
      <c r="QS18" s="98"/>
      <c r="QT18" s="98"/>
      <c r="QU18" s="98"/>
      <c r="QV18" s="98"/>
      <c r="QW18" s="98"/>
      <c r="QX18" s="98"/>
      <c r="QY18" s="98"/>
      <c r="QZ18" s="98"/>
      <c r="RA18" s="98"/>
      <c r="RB18" s="98"/>
      <c r="RC18" s="98"/>
      <c r="RD18" s="98"/>
      <c r="RE18" s="98"/>
      <c r="RF18" s="98"/>
      <c r="RG18" s="98"/>
      <c r="RH18" s="98"/>
      <c r="RI18" s="98"/>
      <c r="RJ18" s="98"/>
      <c r="RK18" s="98"/>
      <c r="RL18" s="98"/>
      <c r="RM18" s="98"/>
      <c r="RN18" s="98"/>
      <c r="RO18" s="98"/>
      <c r="RP18" s="98"/>
      <c r="RQ18" s="98"/>
      <c r="RR18" s="98"/>
      <c r="RS18" s="98"/>
      <c r="RT18" s="98"/>
      <c r="RU18" s="98"/>
      <c r="RV18" s="98"/>
      <c r="RW18" s="98"/>
      <c r="RX18" s="98"/>
      <c r="RY18" s="98"/>
      <c r="RZ18" s="98"/>
      <c r="SA18" s="98"/>
      <c r="SB18" s="98"/>
      <c r="SC18" s="98"/>
      <c r="SD18" s="98"/>
      <c r="SE18" s="98"/>
      <c r="SF18" s="98"/>
      <c r="SG18" s="98"/>
      <c r="SH18" s="98"/>
      <c r="SI18" s="98"/>
      <c r="SJ18" s="98"/>
      <c r="SK18" s="98"/>
      <c r="SL18" s="98"/>
      <c r="SM18" s="98"/>
      <c r="SN18" s="98"/>
      <c r="SO18" s="98"/>
      <c r="SP18" s="98"/>
      <c r="SQ18" s="98"/>
      <c r="SR18" s="98"/>
      <c r="SS18" s="98"/>
      <c r="ST18" s="98"/>
      <c r="SU18" s="98"/>
      <c r="SV18" s="98"/>
      <c r="SW18" s="98"/>
      <c r="SX18" s="98"/>
      <c r="SY18" s="98"/>
      <c r="SZ18" s="98"/>
      <c r="TA18" s="98"/>
      <c r="TB18" s="98"/>
      <c r="TC18" s="98"/>
      <c r="TD18" s="98"/>
      <c r="TE18" s="98"/>
      <c r="TF18" s="98"/>
      <c r="TG18" s="98"/>
      <c r="TH18" s="98"/>
      <c r="TI18" s="98"/>
      <c r="TJ18" s="98"/>
      <c r="TK18" s="98"/>
      <c r="TL18" s="98"/>
      <c r="TM18" s="98"/>
      <c r="TN18" s="98"/>
      <c r="TO18" s="98"/>
      <c r="TP18" s="98"/>
      <c r="TQ18" s="98"/>
      <c r="TR18" s="98"/>
      <c r="TS18" s="98"/>
      <c r="TT18" s="98"/>
      <c r="TU18" s="98"/>
      <c r="TV18" s="98"/>
      <c r="TW18" s="98"/>
      <c r="TX18" s="98"/>
      <c r="TY18" s="98"/>
      <c r="TZ18" s="98"/>
      <c r="UA18" s="98"/>
      <c r="UB18" s="98"/>
      <c r="UC18" s="98"/>
      <c r="UD18" s="98"/>
      <c r="UE18" s="98"/>
      <c r="UF18" s="98"/>
      <c r="UG18" s="98"/>
      <c r="UH18" s="98"/>
      <c r="UI18" s="98"/>
      <c r="UJ18" s="98"/>
      <c r="UK18" s="98"/>
      <c r="UL18" s="98"/>
      <c r="UM18" s="98"/>
      <c r="UN18" s="98"/>
      <c r="UO18" s="98"/>
      <c r="UP18" s="98"/>
      <c r="UQ18" s="98"/>
      <c r="UR18" s="98"/>
      <c r="US18" s="98"/>
      <c r="UT18" s="98"/>
      <c r="UU18" s="98"/>
      <c r="UV18" s="98"/>
      <c r="UW18" s="98"/>
      <c r="UX18" s="98"/>
      <c r="UY18" s="98"/>
      <c r="UZ18" s="98"/>
      <c r="VA18" s="98"/>
      <c r="VB18" s="98"/>
      <c r="VC18" s="98"/>
      <c r="VD18" s="98"/>
      <c r="VE18" s="98"/>
      <c r="VF18" s="98"/>
      <c r="VG18" s="98"/>
      <c r="VH18" s="98"/>
      <c r="VI18" s="98"/>
      <c r="VJ18" s="98"/>
      <c r="VK18" s="98"/>
      <c r="VL18" s="98"/>
      <c r="VM18" s="98"/>
      <c r="VN18" s="98"/>
      <c r="VO18" s="98"/>
      <c r="VP18" s="98"/>
      <c r="VQ18" s="98"/>
      <c r="VR18" s="98"/>
      <c r="VS18" s="98"/>
      <c r="VT18" s="98"/>
      <c r="VU18" s="98"/>
      <c r="VV18" s="98"/>
      <c r="VW18" s="98"/>
      <c r="VX18" s="98"/>
      <c r="VY18" s="98"/>
      <c r="VZ18" s="98"/>
      <c r="WA18" s="98"/>
      <c r="WB18" s="98"/>
      <c r="WC18" s="98"/>
      <c r="WD18" s="98"/>
      <c r="WE18" s="98"/>
      <c r="WF18" s="98"/>
      <c r="WG18" s="98"/>
      <c r="WH18" s="98"/>
      <c r="WI18" s="98"/>
      <c r="WJ18" s="98"/>
      <c r="WK18" s="98"/>
      <c r="WL18" s="98"/>
      <c r="WM18" s="98"/>
      <c r="WN18" s="98"/>
      <c r="WO18" s="98"/>
      <c r="WP18" s="98"/>
      <c r="WQ18" s="98"/>
      <c r="WR18" s="98"/>
      <c r="WS18" s="98"/>
      <c r="WT18" s="98"/>
      <c r="WU18" s="98"/>
      <c r="WV18" s="98"/>
      <c r="WW18" s="98"/>
      <c r="WX18" s="98"/>
      <c r="WY18" s="98"/>
      <c r="WZ18" s="98"/>
      <c r="XA18" s="98"/>
      <c r="XB18" s="98"/>
      <c r="XC18" s="98"/>
      <c r="XD18" s="98"/>
      <c r="XE18" s="98"/>
      <c r="XF18" s="98"/>
      <c r="XG18" s="98"/>
      <c r="XH18" s="98"/>
      <c r="XI18" s="98"/>
      <c r="XJ18" s="98"/>
      <c r="XK18" s="98"/>
      <c r="XL18" s="98"/>
      <c r="XM18" s="98"/>
      <c r="XN18" s="98"/>
      <c r="XO18" s="98"/>
      <c r="XP18" s="98"/>
      <c r="XQ18" s="98"/>
      <c r="XR18" s="98"/>
      <c r="XS18" s="98"/>
      <c r="XT18" s="98"/>
      <c r="XU18" s="98"/>
      <c r="XV18" s="98"/>
      <c r="XW18" s="98"/>
      <c r="XX18" s="98"/>
      <c r="XY18" s="98"/>
      <c r="XZ18" s="98"/>
      <c r="YA18" s="98"/>
      <c r="YB18" s="98"/>
      <c r="YC18" s="98"/>
      <c r="YD18" s="98"/>
      <c r="YE18" s="98"/>
      <c r="YF18" s="98"/>
      <c r="YG18" s="98"/>
      <c r="YH18" s="98"/>
      <c r="YI18" s="98"/>
      <c r="YJ18" s="98"/>
      <c r="YK18" s="98"/>
      <c r="YL18" s="98"/>
      <c r="YM18" s="98"/>
      <c r="YN18" s="98"/>
      <c r="YO18" s="98"/>
      <c r="YP18" s="98"/>
      <c r="YQ18" s="98"/>
      <c r="YR18" s="98"/>
      <c r="YS18" s="98"/>
      <c r="YT18" s="98"/>
      <c r="YU18" s="98"/>
      <c r="YV18" s="98"/>
      <c r="YW18" s="98"/>
      <c r="YX18" s="98"/>
      <c r="YY18" s="98"/>
      <c r="YZ18" s="98"/>
      <c r="ZA18" s="98"/>
      <c r="ZB18" s="98"/>
      <c r="ZC18" s="98"/>
      <c r="ZD18" s="98"/>
      <c r="ZE18" s="98"/>
      <c r="ZF18" s="98"/>
      <c r="ZG18" s="98"/>
      <c r="ZH18" s="98"/>
      <c r="ZI18" s="98"/>
      <c r="ZJ18" s="98"/>
      <c r="ZK18" s="98"/>
      <c r="ZL18" s="98"/>
      <c r="ZM18" s="98"/>
      <c r="ZN18" s="98"/>
      <c r="ZO18" s="98"/>
      <c r="ZP18" s="98"/>
      <c r="ZQ18" s="98"/>
      <c r="ZR18" s="98"/>
      <c r="ZS18" s="98"/>
      <c r="ZT18" s="98"/>
      <c r="ZU18" s="98"/>
      <c r="ZV18" s="98"/>
      <c r="ZW18" s="98"/>
      <c r="ZX18" s="98"/>
      <c r="ZY18" s="98"/>
      <c r="ZZ18" s="98"/>
      <c r="AAA18" s="98"/>
      <c r="AAB18" s="98"/>
      <c r="AAC18" s="98"/>
      <c r="AAD18" s="98"/>
      <c r="AAE18" s="98"/>
      <c r="AAF18" s="98"/>
      <c r="AAG18" s="98"/>
      <c r="AAH18" s="98"/>
      <c r="AAI18" s="98"/>
      <c r="AAJ18" s="98"/>
      <c r="AAK18" s="98"/>
      <c r="AAL18" s="98"/>
      <c r="AAM18" s="98"/>
      <c r="AAN18" s="98"/>
      <c r="AAO18" s="98"/>
      <c r="AAP18" s="98"/>
      <c r="AAQ18" s="98"/>
      <c r="AAR18" s="98"/>
      <c r="AAS18" s="98"/>
      <c r="AAT18" s="98"/>
      <c r="AAU18" s="98"/>
      <c r="AAV18" s="98"/>
      <c r="AAW18" s="98"/>
      <c r="AAX18" s="98"/>
      <c r="AAY18" s="98"/>
      <c r="AAZ18" s="98"/>
      <c r="ABA18" s="98"/>
      <c r="ABB18" s="98"/>
      <c r="ABC18" s="98"/>
      <c r="ABD18" s="98"/>
      <c r="ABE18" s="98"/>
      <c r="ABF18" s="98"/>
      <c r="ABG18" s="98"/>
      <c r="ABH18" s="98"/>
      <c r="ABI18" s="98"/>
      <c r="ABJ18" s="98"/>
      <c r="ABK18" s="98"/>
      <c r="ABL18" s="98"/>
      <c r="ABM18" s="98"/>
      <c r="ABN18" s="98"/>
      <c r="ABO18" s="98"/>
      <c r="ABP18" s="98"/>
      <c r="ABQ18" s="98"/>
      <c r="ABR18" s="98"/>
      <c r="ABS18" s="98"/>
      <c r="ABT18" s="98"/>
      <c r="ABU18" s="98"/>
      <c r="ABV18" s="98"/>
      <c r="ABW18" s="98"/>
      <c r="ABX18" s="98"/>
      <c r="ABY18" s="98"/>
      <c r="ABZ18" s="98"/>
      <c r="ACA18" s="98"/>
      <c r="ACB18" s="98"/>
      <c r="ACC18" s="98"/>
      <c r="ACD18" s="98"/>
      <c r="ACE18" s="98"/>
      <c r="ACF18" s="98"/>
      <c r="ACG18" s="98"/>
      <c r="ACH18" s="98"/>
      <c r="ACI18" s="98"/>
      <c r="ACJ18" s="98"/>
      <c r="ACK18" s="98"/>
      <c r="ACL18" s="98"/>
      <c r="ACM18" s="98"/>
      <c r="ACN18" s="98"/>
      <c r="ACO18" s="98"/>
      <c r="ACP18" s="98"/>
      <c r="ACQ18" s="98"/>
      <c r="ACR18" s="98"/>
      <c r="ACS18" s="98"/>
      <c r="ACT18" s="98"/>
      <c r="ACU18" s="98"/>
      <c r="ACV18" s="98"/>
      <c r="ACW18" s="98"/>
      <c r="ACX18" s="98"/>
      <c r="ACY18" s="98"/>
      <c r="ACZ18" s="98"/>
      <c r="ADA18" s="98"/>
      <c r="ADB18" s="98"/>
      <c r="ADC18" s="98"/>
      <c r="ADD18" s="98"/>
      <c r="ADE18" s="98"/>
      <c r="ADF18" s="98"/>
      <c r="ADG18" s="98"/>
      <c r="ADH18" s="98"/>
      <c r="ADI18" s="98"/>
      <c r="ADJ18" s="98"/>
      <c r="ADK18" s="98"/>
      <c r="ADL18" s="98"/>
      <c r="ADM18" s="98"/>
      <c r="ADN18" s="98"/>
      <c r="ADO18" s="98"/>
      <c r="ADP18" s="98"/>
      <c r="ADQ18" s="98"/>
      <c r="ADR18" s="98"/>
      <c r="ADS18" s="98"/>
      <c r="ADT18" s="98"/>
      <c r="ADU18" s="98"/>
      <c r="ADV18" s="98"/>
      <c r="ADW18" s="98"/>
      <c r="ADX18" s="98"/>
      <c r="ADY18" s="98"/>
      <c r="ADZ18" s="98"/>
      <c r="AEA18" s="98"/>
      <c r="AEB18" s="98"/>
      <c r="AEC18" s="98"/>
      <c r="AED18" s="98"/>
      <c r="AEE18" s="98"/>
      <c r="AEF18" s="98"/>
      <c r="AEG18" s="98"/>
      <c r="AEH18" s="98"/>
      <c r="AEI18" s="98"/>
      <c r="AEJ18" s="98"/>
      <c r="AEK18" s="98"/>
      <c r="AEL18" s="98"/>
      <c r="AEM18" s="98"/>
      <c r="AEN18" s="98"/>
      <c r="AEO18" s="98"/>
      <c r="AEP18" s="98"/>
      <c r="AEQ18" s="98"/>
      <c r="AER18" s="98"/>
      <c r="AES18" s="98"/>
      <c r="AET18" s="98"/>
      <c r="AEU18" s="98"/>
      <c r="AEV18" s="98"/>
      <c r="AEW18" s="98"/>
      <c r="AEX18" s="98"/>
      <c r="AEY18" s="98"/>
      <c r="AEZ18" s="98"/>
      <c r="AFA18" s="98"/>
      <c r="AFB18" s="98"/>
      <c r="AFC18" s="98"/>
      <c r="AFD18" s="98"/>
      <c r="AFE18" s="98"/>
      <c r="AFF18" s="98"/>
      <c r="AFG18" s="98"/>
      <c r="AFH18" s="98"/>
      <c r="AFI18" s="98"/>
      <c r="AFJ18" s="98"/>
      <c r="AFK18" s="98"/>
      <c r="AFL18" s="98"/>
      <c r="AFM18" s="98"/>
      <c r="AFN18" s="98"/>
      <c r="AFO18" s="98"/>
      <c r="AFP18" s="98"/>
      <c r="AFQ18" s="98"/>
      <c r="AFR18" s="98"/>
      <c r="AFS18" s="98"/>
      <c r="AFT18" s="98"/>
      <c r="AFU18" s="98"/>
      <c r="AFV18" s="98"/>
      <c r="AFW18" s="98"/>
      <c r="AFX18" s="98"/>
      <c r="AFY18" s="98"/>
      <c r="AFZ18" s="98"/>
      <c r="AGA18" s="98"/>
      <c r="AGB18" s="98"/>
      <c r="AGC18" s="98"/>
      <c r="AGD18" s="98"/>
      <c r="AGE18" s="98"/>
      <c r="AGF18" s="98"/>
      <c r="AGG18" s="98"/>
      <c r="AGH18" s="98"/>
      <c r="AGI18" s="98"/>
      <c r="AGJ18" s="98"/>
      <c r="AGK18" s="98"/>
      <c r="AGL18" s="98"/>
      <c r="AGM18" s="98"/>
      <c r="AGN18" s="98"/>
      <c r="AGO18" s="98"/>
      <c r="AGP18" s="98"/>
      <c r="AGQ18" s="98"/>
      <c r="AGR18" s="98"/>
      <c r="AGS18" s="98"/>
      <c r="AGT18" s="98"/>
      <c r="AGU18" s="98"/>
      <c r="AGV18" s="98"/>
      <c r="AGW18" s="98"/>
      <c r="AGX18" s="98"/>
      <c r="AGY18" s="98"/>
      <c r="AGZ18" s="98"/>
      <c r="AHA18" s="98"/>
      <c r="AHB18" s="98"/>
      <c r="AHC18" s="98"/>
      <c r="AHD18" s="98"/>
      <c r="AHE18" s="98"/>
      <c r="AHF18" s="98"/>
      <c r="AHG18" s="98"/>
      <c r="AHH18" s="98"/>
      <c r="AHI18" s="98"/>
      <c r="AHJ18" s="98"/>
      <c r="AHK18" s="98"/>
      <c r="AHL18" s="98"/>
      <c r="AHM18" s="98"/>
      <c r="AHN18" s="98"/>
      <c r="AHO18" s="98"/>
      <c r="AHP18" s="98"/>
      <c r="AHQ18" s="98"/>
      <c r="AHR18" s="98"/>
      <c r="AHS18" s="98"/>
      <c r="AHT18" s="98"/>
      <c r="AHU18" s="98"/>
      <c r="AHV18" s="98"/>
      <c r="AHW18" s="98"/>
      <c r="AHX18" s="98"/>
      <c r="AHY18" s="98"/>
      <c r="AHZ18" s="98"/>
      <c r="AIA18" s="98"/>
      <c r="AIB18" s="98"/>
      <c r="AIC18" s="98"/>
      <c r="AID18" s="98"/>
      <c r="AIE18" s="98"/>
      <c r="AIF18" s="98"/>
      <c r="AIG18" s="98"/>
      <c r="AIH18" s="98"/>
      <c r="AII18" s="98"/>
      <c r="AIJ18" s="98"/>
      <c r="AIK18" s="98"/>
      <c r="AIL18" s="98"/>
      <c r="AIM18" s="98"/>
      <c r="AIN18" s="98"/>
      <c r="AIO18" s="98"/>
      <c r="AIP18" s="98"/>
      <c r="AIQ18" s="98"/>
      <c r="AIR18" s="98"/>
      <c r="AIS18" s="98"/>
      <c r="AIT18" s="98"/>
      <c r="AIU18" s="98"/>
      <c r="AIV18" s="98"/>
      <c r="AIW18" s="98"/>
      <c r="AIX18" s="98"/>
      <c r="AIY18" s="98"/>
      <c r="AIZ18" s="98"/>
      <c r="AJA18" s="98"/>
      <c r="AJB18" s="98"/>
      <c r="AJC18" s="98"/>
      <c r="AJD18" s="98"/>
      <c r="AJE18" s="98"/>
      <c r="AJF18" s="98"/>
      <c r="AJG18" s="98"/>
      <c r="AJH18" s="98"/>
      <c r="AJI18" s="98"/>
      <c r="AJJ18" s="98"/>
      <c r="AJK18" s="98"/>
      <c r="AJL18" s="98"/>
      <c r="AJM18" s="98"/>
      <c r="AJN18" s="98"/>
      <c r="AJO18" s="98"/>
      <c r="AJP18" s="98"/>
      <c r="AJQ18" s="98"/>
      <c r="AJR18" s="98"/>
      <c r="AJS18" s="98"/>
      <c r="AJT18" s="98"/>
      <c r="AJU18" s="98"/>
      <c r="AJV18" s="98"/>
      <c r="AJW18" s="98"/>
      <c r="AJX18" s="98"/>
      <c r="AJY18" s="98"/>
      <c r="AJZ18" s="98"/>
      <c r="AKA18" s="98"/>
      <c r="AKB18" s="98"/>
      <c r="AKC18" s="98"/>
      <c r="AKD18" s="98"/>
      <c r="AKE18" s="98"/>
      <c r="AKF18" s="98"/>
      <c r="AKG18" s="98"/>
      <c r="AKH18" s="98"/>
      <c r="AKI18" s="98"/>
      <c r="AKJ18" s="98"/>
      <c r="AKK18" s="98"/>
      <c r="AKL18" s="98"/>
      <c r="AKM18" s="98"/>
      <c r="AKN18" s="98"/>
      <c r="AKO18" s="98"/>
      <c r="AKP18" s="98"/>
      <c r="AKQ18" s="98"/>
      <c r="AKR18" s="98"/>
      <c r="AKS18" s="98"/>
      <c r="AKT18" s="98"/>
      <c r="AKU18" s="98"/>
      <c r="AKV18" s="98"/>
      <c r="AKW18" s="98"/>
      <c r="AKX18" s="98"/>
      <c r="AKY18" s="98"/>
      <c r="AKZ18" s="98"/>
      <c r="ALA18" s="98"/>
      <c r="ALB18" s="98"/>
      <c r="ALC18" s="98"/>
      <c r="ALD18" s="98"/>
      <c r="ALE18" s="98"/>
      <c r="ALF18" s="98"/>
      <c r="ALG18" s="98"/>
      <c r="ALH18" s="98"/>
      <c r="ALI18" s="98"/>
      <c r="ALJ18" s="98"/>
      <c r="ALK18" s="98"/>
      <c r="ALL18" s="98"/>
      <c r="ALM18" s="98"/>
      <c r="ALN18" s="98"/>
      <c r="ALO18" s="98"/>
      <c r="ALP18" s="98"/>
      <c r="ALQ18" s="98"/>
      <c r="ALR18" s="98"/>
      <c r="ALS18" s="98"/>
      <c r="ALT18" s="98"/>
      <c r="ALU18" s="98"/>
      <c r="ALV18" s="98"/>
      <c r="ALW18" s="98"/>
      <c r="ALX18" s="98"/>
      <c r="ALY18" s="98"/>
      <c r="ALZ18" s="98"/>
      <c r="AMA18" s="98"/>
      <c r="AMB18" s="98"/>
      <c r="AMC18" s="98"/>
      <c r="AMD18" s="98"/>
      <c r="AME18" s="98"/>
      <c r="AMF18" s="98"/>
      <c r="AMG18" s="98"/>
      <c r="AMH18" s="98"/>
      <c r="AMI18" s="98"/>
      <c r="AMJ18" s="98"/>
      <c r="AMK18" s="98"/>
      <c r="AML18" s="98"/>
      <c r="AMM18" s="98"/>
      <c r="AMN18" s="98"/>
      <c r="AMO18" s="98"/>
      <c r="AMP18" s="98"/>
      <c r="AMQ18" s="98"/>
      <c r="AMR18" s="98"/>
      <c r="AMS18" s="98"/>
      <c r="AMT18" s="98"/>
      <c r="AMU18" s="98"/>
      <c r="AMV18" s="98"/>
      <c r="AMW18" s="98"/>
      <c r="AMX18" s="98"/>
      <c r="AMY18" s="98"/>
      <c r="AMZ18" s="98"/>
      <c r="ANA18" s="98"/>
      <c r="ANB18" s="98"/>
      <c r="ANC18" s="98"/>
      <c r="AND18" s="98"/>
      <c r="ANE18" s="98"/>
      <c r="ANF18" s="98"/>
      <c r="ANG18" s="98"/>
      <c r="ANH18" s="98"/>
      <c r="ANI18" s="98"/>
      <c r="ANJ18" s="98"/>
      <c r="ANK18" s="98"/>
      <c r="ANL18" s="98"/>
      <c r="ANM18" s="98"/>
      <c r="ANN18" s="98"/>
      <c r="ANO18" s="98"/>
      <c r="ANP18" s="98"/>
      <c r="ANQ18" s="98"/>
      <c r="ANR18" s="98"/>
      <c r="ANS18" s="98"/>
      <c r="ANT18" s="98"/>
      <c r="ANU18" s="98"/>
      <c r="ANV18" s="98"/>
      <c r="ANW18" s="98"/>
      <c r="ANX18" s="98"/>
      <c r="ANY18" s="98"/>
      <c r="ANZ18" s="98"/>
      <c r="AOA18" s="98"/>
      <c r="AOB18" s="98"/>
      <c r="AOC18" s="98"/>
      <c r="AOD18" s="98"/>
      <c r="AOE18" s="98"/>
      <c r="AOF18" s="98"/>
      <c r="AOG18" s="98"/>
      <c r="AOH18" s="98"/>
      <c r="AOI18" s="98"/>
      <c r="AOJ18" s="98"/>
      <c r="AOK18" s="98"/>
      <c r="AOL18" s="98"/>
      <c r="AOM18" s="98"/>
      <c r="AON18" s="98"/>
      <c r="AOO18" s="98"/>
      <c r="AOP18" s="98"/>
      <c r="AOQ18" s="98"/>
      <c r="AOR18" s="98"/>
      <c r="AOS18" s="98"/>
      <c r="AOT18" s="98"/>
      <c r="AOU18" s="98"/>
      <c r="AOV18" s="98"/>
      <c r="AOW18" s="98"/>
      <c r="AOX18" s="98"/>
      <c r="AOY18" s="98"/>
      <c r="AOZ18" s="98"/>
      <c r="APA18" s="98"/>
      <c r="APB18" s="98"/>
      <c r="APC18" s="98"/>
      <c r="APD18" s="98"/>
      <c r="APE18" s="98"/>
      <c r="APF18" s="98"/>
      <c r="APG18" s="98"/>
      <c r="APH18" s="98"/>
      <c r="API18" s="98"/>
      <c r="APJ18" s="98"/>
      <c r="APK18" s="98"/>
      <c r="APL18" s="98"/>
      <c r="APM18" s="98"/>
      <c r="APN18" s="98"/>
      <c r="APO18" s="98"/>
      <c r="APP18" s="98"/>
      <c r="APQ18" s="98"/>
      <c r="APR18" s="98"/>
      <c r="APS18" s="98"/>
      <c r="APT18" s="98"/>
      <c r="APU18" s="98"/>
      <c r="APV18" s="98"/>
      <c r="APW18" s="98"/>
      <c r="APX18" s="98"/>
      <c r="APY18" s="98"/>
      <c r="APZ18" s="98"/>
      <c r="AQA18" s="98"/>
      <c r="AQB18" s="98"/>
      <c r="AQC18" s="98"/>
      <c r="AQD18" s="98"/>
      <c r="AQE18" s="98"/>
      <c r="AQF18" s="98"/>
      <c r="AQG18" s="98"/>
      <c r="AQH18" s="98"/>
      <c r="AQI18" s="98"/>
      <c r="AQJ18" s="98"/>
      <c r="AQK18" s="98"/>
      <c r="AQL18" s="98"/>
      <c r="AQM18" s="98"/>
      <c r="AQN18" s="98"/>
      <c r="AQO18" s="98"/>
      <c r="AQP18" s="98"/>
      <c r="AQQ18" s="98"/>
      <c r="AQR18" s="98"/>
      <c r="AQS18" s="98"/>
      <c r="AQT18" s="98"/>
      <c r="AQU18" s="98"/>
      <c r="AQV18" s="98"/>
      <c r="AQW18" s="98"/>
      <c r="AQX18" s="98"/>
      <c r="AQY18" s="98"/>
      <c r="AQZ18" s="98"/>
      <c r="ARA18" s="98"/>
      <c r="ARB18" s="98"/>
      <c r="ARC18" s="98"/>
      <c r="ARD18" s="98"/>
      <c r="ARE18" s="98"/>
      <c r="ARF18" s="98"/>
      <c r="ARG18" s="98"/>
      <c r="ARH18" s="98"/>
      <c r="ARI18" s="98"/>
      <c r="ARJ18" s="98"/>
      <c r="ARK18" s="98"/>
      <c r="ARL18" s="98"/>
      <c r="ARM18" s="98"/>
      <c r="ARN18" s="98"/>
      <c r="ARO18" s="98"/>
      <c r="ARP18" s="98"/>
      <c r="ARQ18" s="98"/>
      <c r="ARR18" s="98"/>
      <c r="ARS18" s="98"/>
    </row>
    <row r="19" spans="1:1163">
      <c r="A19" s="118"/>
      <c r="B19" s="119"/>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674"/>
      <c r="AZ19" s="674"/>
      <c r="BA19" s="119"/>
      <c r="BB19" s="142"/>
      <c r="BC19" s="142"/>
      <c r="BD19" s="142"/>
      <c r="BE19" s="142"/>
      <c r="BF19" s="142"/>
      <c r="BG19" s="142"/>
      <c r="BH19" s="142"/>
      <c r="BI19" s="119"/>
      <c r="BJ19" s="98"/>
      <c r="BK19" s="148"/>
      <c r="BL19" s="148"/>
      <c r="BM19" s="148"/>
      <c r="BN19" s="148"/>
    </row>
    <row r="20" spans="1:1163">
      <c r="A20" s="124" t="s">
        <v>96</v>
      </c>
      <c r="B20" s="127" t="s">
        <v>67</v>
      </c>
      <c r="C20" s="183">
        <v>11132</v>
      </c>
      <c r="D20" s="183">
        <v>1863882</v>
      </c>
      <c r="E20" s="183">
        <v>0</v>
      </c>
      <c r="F20" s="183">
        <v>0</v>
      </c>
      <c r="G20" s="183">
        <v>0</v>
      </c>
      <c r="H20" s="183">
        <v>0</v>
      </c>
      <c r="I20" s="183">
        <v>0</v>
      </c>
      <c r="J20" s="183">
        <v>0</v>
      </c>
      <c r="K20" s="183">
        <v>0</v>
      </c>
      <c r="L20" s="183">
        <v>0</v>
      </c>
      <c r="M20" s="183">
        <v>0</v>
      </c>
      <c r="N20" s="183">
        <v>0</v>
      </c>
      <c r="O20" s="183">
        <v>0</v>
      </c>
      <c r="P20" s="183">
        <v>0</v>
      </c>
      <c r="Q20" s="183">
        <v>0</v>
      </c>
      <c r="R20" s="183">
        <v>0</v>
      </c>
      <c r="S20" s="183">
        <v>0</v>
      </c>
      <c r="T20" s="183">
        <v>0</v>
      </c>
      <c r="U20" s="183">
        <v>0</v>
      </c>
      <c r="V20" s="183">
        <v>0</v>
      </c>
      <c r="W20" s="183">
        <v>0</v>
      </c>
      <c r="X20" s="183">
        <v>0</v>
      </c>
      <c r="Y20" s="183">
        <v>0</v>
      </c>
      <c r="Z20" s="183">
        <v>0</v>
      </c>
      <c r="AA20" s="183">
        <v>0</v>
      </c>
      <c r="AB20" s="183">
        <v>0</v>
      </c>
      <c r="AC20" s="183">
        <v>0</v>
      </c>
      <c r="AD20" s="183">
        <v>0</v>
      </c>
      <c r="AE20" s="183">
        <v>0</v>
      </c>
      <c r="AF20" s="183">
        <v>0</v>
      </c>
      <c r="AG20" s="183">
        <v>0</v>
      </c>
      <c r="AH20" s="183">
        <v>0</v>
      </c>
      <c r="AI20" s="183">
        <v>0</v>
      </c>
      <c r="AJ20" s="183">
        <v>0</v>
      </c>
      <c r="AK20" s="183">
        <v>0</v>
      </c>
      <c r="AL20" s="183">
        <v>0</v>
      </c>
      <c r="AM20" s="183">
        <v>0</v>
      </c>
      <c r="AN20" s="183">
        <v>0</v>
      </c>
      <c r="AO20" s="183">
        <v>0</v>
      </c>
      <c r="AP20" s="183">
        <v>0</v>
      </c>
      <c r="AQ20" s="183">
        <v>0</v>
      </c>
      <c r="AR20" s="183">
        <v>0</v>
      </c>
      <c r="AS20" s="183">
        <v>0</v>
      </c>
      <c r="AT20" s="183">
        <v>0</v>
      </c>
      <c r="AU20" s="183">
        <v>0</v>
      </c>
      <c r="AV20" s="183">
        <v>0</v>
      </c>
      <c r="AW20" s="183">
        <v>0</v>
      </c>
      <c r="AX20" s="183">
        <v>0</v>
      </c>
      <c r="AY20" s="135">
        <v>0</v>
      </c>
      <c r="AZ20" s="135">
        <v>0</v>
      </c>
      <c r="BA20" s="127"/>
      <c r="BB20" s="135"/>
      <c r="BC20" s="135"/>
      <c r="BD20" s="135"/>
      <c r="BE20" s="135"/>
      <c r="BF20" s="135"/>
      <c r="BG20" s="135"/>
      <c r="BH20" s="135"/>
      <c r="BI20" s="127"/>
      <c r="BJ20" s="98"/>
      <c r="BK20" s="148"/>
      <c r="BL20" s="148"/>
      <c r="BM20" s="148"/>
      <c r="BN20" s="148"/>
    </row>
    <row r="21" spans="1:1163">
      <c r="A21" s="129"/>
      <c r="B21" s="127"/>
      <c r="C21" s="183"/>
      <c r="D21" s="183"/>
      <c r="E21" s="183"/>
      <c r="F21" s="183"/>
      <c r="G21" s="183"/>
      <c r="H21" s="183"/>
      <c r="I21" s="183"/>
      <c r="J21" s="183"/>
      <c r="K21" s="183"/>
      <c r="L21" s="183"/>
      <c r="M21" s="183"/>
      <c r="N21" s="183"/>
      <c r="O21" s="183"/>
      <c r="P21" s="183"/>
      <c r="Q21" s="183"/>
      <c r="R21" s="183"/>
      <c r="S21" s="183"/>
      <c r="T21" s="183"/>
      <c r="U21" s="184"/>
      <c r="V21" s="183"/>
      <c r="W21" s="184"/>
      <c r="X21" s="183"/>
      <c r="Y21" s="184"/>
      <c r="Z21" s="183"/>
      <c r="AA21" s="183"/>
      <c r="AB21" s="183"/>
      <c r="AC21" s="183"/>
      <c r="AD21" s="183"/>
      <c r="AE21" s="183"/>
      <c r="AF21" s="183"/>
      <c r="AG21" s="183"/>
      <c r="AH21" s="183"/>
      <c r="AI21" s="183"/>
      <c r="AJ21" s="183"/>
      <c r="AK21" s="202"/>
      <c r="AL21" s="202"/>
      <c r="AM21" s="186"/>
      <c r="AN21" s="187"/>
      <c r="AO21" s="183"/>
      <c r="AP21" s="183"/>
      <c r="AQ21" s="183"/>
      <c r="AR21" s="183"/>
      <c r="AS21" s="183"/>
      <c r="AT21" s="183"/>
      <c r="AU21" s="183"/>
      <c r="AV21" s="183"/>
      <c r="AW21" s="183"/>
      <c r="AX21" s="183"/>
      <c r="AY21" s="188"/>
      <c r="AZ21" s="188"/>
      <c r="BA21" s="184"/>
      <c r="BB21" s="183"/>
      <c r="BC21" s="183"/>
      <c r="BD21" s="183"/>
      <c r="BE21" s="183"/>
      <c r="BF21" s="183"/>
      <c r="BG21" s="183"/>
      <c r="BH21" s="183"/>
      <c r="BI21" s="184"/>
      <c r="BJ21" s="98"/>
      <c r="BK21" s="148"/>
      <c r="BL21" s="148"/>
      <c r="BM21" s="148"/>
      <c r="BN21" s="148"/>
    </row>
    <row r="22" spans="1:1163" s="174" customFormat="1">
      <c r="A22" s="118" t="s">
        <v>97</v>
      </c>
      <c r="B22" s="119"/>
      <c r="C22" s="175"/>
      <c r="D22" s="175"/>
      <c r="E22" s="175"/>
      <c r="F22" s="175"/>
      <c r="G22" s="175"/>
      <c r="H22" s="175"/>
      <c r="I22" s="175"/>
      <c r="J22" s="175"/>
      <c r="K22" s="175"/>
      <c r="L22" s="175"/>
      <c r="M22" s="175"/>
      <c r="N22" s="175"/>
      <c r="O22" s="175"/>
      <c r="P22" s="175"/>
      <c r="Q22" s="175"/>
      <c r="R22" s="175"/>
      <c r="S22" s="175"/>
      <c r="T22" s="175"/>
      <c r="U22" s="144"/>
      <c r="V22" s="175"/>
      <c r="W22" s="144"/>
      <c r="X22" s="175"/>
      <c r="Y22" s="144"/>
      <c r="Z22" s="175"/>
      <c r="AA22" s="175"/>
      <c r="AB22" s="175"/>
      <c r="AC22" s="175"/>
      <c r="AD22" s="175"/>
      <c r="AE22" s="175"/>
      <c r="AF22" s="175"/>
      <c r="AG22" s="175"/>
      <c r="AH22" s="175"/>
      <c r="AI22" s="175"/>
      <c r="AJ22" s="175"/>
      <c r="AK22" s="201"/>
      <c r="AL22" s="201"/>
      <c r="AM22" s="182"/>
      <c r="AN22" s="176"/>
      <c r="AO22" s="175"/>
      <c r="AP22" s="175"/>
      <c r="AQ22" s="175"/>
      <c r="AR22" s="175"/>
      <c r="AS22" s="175"/>
      <c r="AT22" s="175"/>
      <c r="AU22" s="175"/>
      <c r="AV22" s="175"/>
      <c r="AW22" s="175"/>
      <c r="AX22" s="175"/>
      <c r="AY22" s="180"/>
      <c r="AZ22" s="180"/>
      <c r="BA22" s="144"/>
      <c r="BB22" s="175"/>
      <c r="BC22" s="175"/>
      <c r="BD22" s="175"/>
      <c r="BE22" s="175"/>
      <c r="BF22" s="175"/>
      <c r="BG22" s="175"/>
      <c r="BH22" s="175"/>
      <c r="BI22" s="144"/>
      <c r="BJ22" s="98"/>
      <c r="BK22" s="148"/>
      <c r="BL22" s="148"/>
      <c r="BM22" s="148"/>
      <c r="BN22" s="14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98"/>
      <c r="NL22" s="98"/>
      <c r="NM22" s="98"/>
      <c r="NN22" s="98"/>
      <c r="NO22" s="98"/>
      <c r="NP22" s="98"/>
      <c r="NQ22" s="98"/>
      <c r="NR22" s="98"/>
      <c r="NS22" s="98"/>
      <c r="NT22" s="98"/>
      <c r="NU22" s="98"/>
      <c r="NV22" s="98"/>
      <c r="NW22" s="98"/>
      <c r="NX22" s="98"/>
      <c r="NY22" s="98"/>
      <c r="NZ22" s="98"/>
      <c r="OA22" s="98"/>
      <c r="OB22" s="98"/>
      <c r="OC22" s="98"/>
      <c r="OD22" s="98"/>
      <c r="OE22" s="98"/>
      <c r="OF22" s="98"/>
      <c r="OG22" s="98"/>
      <c r="OH22" s="98"/>
      <c r="OI22" s="98"/>
      <c r="OJ22" s="98"/>
      <c r="OK22" s="98"/>
      <c r="OL22" s="98"/>
      <c r="OM22" s="98"/>
      <c r="ON22" s="98"/>
      <c r="OO22" s="98"/>
      <c r="OP22" s="98"/>
      <c r="OQ22" s="98"/>
      <c r="OR22" s="98"/>
      <c r="OS22" s="98"/>
      <c r="OT22" s="98"/>
      <c r="OU22" s="98"/>
      <c r="OV22" s="98"/>
      <c r="OW22" s="98"/>
      <c r="OX22" s="98"/>
      <c r="OY22" s="98"/>
      <c r="OZ22" s="98"/>
      <c r="PA22" s="98"/>
      <c r="PB22" s="98"/>
      <c r="PC22" s="98"/>
      <c r="PD22" s="98"/>
      <c r="PE22" s="98"/>
      <c r="PF22" s="98"/>
      <c r="PG22" s="98"/>
      <c r="PH22" s="98"/>
      <c r="PI22" s="98"/>
      <c r="PJ22" s="98"/>
      <c r="PK22" s="98"/>
      <c r="PL22" s="98"/>
      <c r="PM22" s="98"/>
      <c r="PN22" s="98"/>
      <c r="PO22" s="98"/>
      <c r="PP22" s="98"/>
      <c r="PQ22" s="98"/>
      <c r="PR22" s="98"/>
      <c r="PS22" s="98"/>
      <c r="PT22" s="98"/>
      <c r="PU22" s="98"/>
      <c r="PV22" s="98"/>
      <c r="PW22" s="98"/>
      <c r="PX22" s="98"/>
      <c r="PY22" s="98"/>
      <c r="PZ22" s="98"/>
      <c r="QA22" s="98"/>
      <c r="QB22" s="98"/>
      <c r="QC22" s="98"/>
      <c r="QD22" s="98"/>
      <c r="QE22" s="98"/>
      <c r="QF22" s="98"/>
      <c r="QG22" s="98"/>
      <c r="QH22" s="98"/>
      <c r="QI22" s="98"/>
      <c r="QJ22" s="98"/>
      <c r="QK22" s="98"/>
      <c r="QL22" s="98"/>
      <c r="QM22" s="98"/>
      <c r="QN22" s="98"/>
      <c r="QO22" s="98"/>
      <c r="QP22" s="98"/>
      <c r="QQ22" s="98"/>
      <c r="QR22" s="98"/>
      <c r="QS22" s="98"/>
      <c r="QT22" s="98"/>
      <c r="QU22" s="98"/>
      <c r="QV22" s="98"/>
      <c r="QW22" s="98"/>
      <c r="QX22" s="98"/>
      <c r="QY22" s="98"/>
      <c r="QZ22" s="98"/>
      <c r="RA22" s="98"/>
      <c r="RB22" s="98"/>
      <c r="RC22" s="98"/>
      <c r="RD22" s="98"/>
      <c r="RE22" s="98"/>
      <c r="RF22" s="98"/>
      <c r="RG22" s="98"/>
      <c r="RH22" s="98"/>
      <c r="RI22" s="98"/>
      <c r="RJ22" s="98"/>
      <c r="RK22" s="98"/>
      <c r="RL22" s="98"/>
      <c r="RM22" s="98"/>
      <c r="RN22" s="98"/>
      <c r="RO22" s="98"/>
      <c r="RP22" s="98"/>
      <c r="RQ22" s="98"/>
      <c r="RR22" s="98"/>
      <c r="RS22" s="98"/>
      <c r="RT22" s="98"/>
      <c r="RU22" s="98"/>
      <c r="RV22" s="98"/>
      <c r="RW22" s="98"/>
      <c r="RX22" s="98"/>
      <c r="RY22" s="98"/>
      <c r="RZ22" s="98"/>
      <c r="SA22" s="98"/>
      <c r="SB22" s="98"/>
      <c r="SC22" s="98"/>
      <c r="SD22" s="98"/>
      <c r="SE22" s="98"/>
      <c r="SF22" s="98"/>
      <c r="SG22" s="98"/>
      <c r="SH22" s="98"/>
      <c r="SI22" s="98"/>
      <c r="SJ22" s="98"/>
      <c r="SK22" s="98"/>
      <c r="SL22" s="98"/>
      <c r="SM22" s="98"/>
      <c r="SN22" s="98"/>
      <c r="SO22" s="98"/>
      <c r="SP22" s="98"/>
      <c r="SQ22" s="98"/>
      <c r="SR22" s="98"/>
      <c r="SS22" s="98"/>
      <c r="ST22" s="98"/>
      <c r="SU22" s="98"/>
      <c r="SV22" s="98"/>
      <c r="SW22" s="98"/>
      <c r="SX22" s="98"/>
      <c r="SY22" s="98"/>
      <c r="SZ22" s="98"/>
      <c r="TA22" s="98"/>
      <c r="TB22" s="98"/>
      <c r="TC22" s="98"/>
      <c r="TD22" s="98"/>
      <c r="TE22" s="98"/>
      <c r="TF22" s="98"/>
      <c r="TG22" s="98"/>
      <c r="TH22" s="98"/>
      <c r="TI22" s="98"/>
      <c r="TJ22" s="98"/>
      <c r="TK22" s="98"/>
      <c r="TL22" s="98"/>
      <c r="TM22" s="98"/>
      <c r="TN22" s="98"/>
      <c r="TO22" s="98"/>
      <c r="TP22" s="98"/>
      <c r="TQ22" s="98"/>
      <c r="TR22" s="98"/>
      <c r="TS22" s="98"/>
      <c r="TT22" s="98"/>
      <c r="TU22" s="98"/>
      <c r="TV22" s="98"/>
      <c r="TW22" s="98"/>
      <c r="TX22" s="98"/>
      <c r="TY22" s="98"/>
      <c r="TZ22" s="98"/>
      <c r="UA22" s="98"/>
      <c r="UB22" s="98"/>
      <c r="UC22" s="98"/>
      <c r="UD22" s="98"/>
      <c r="UE22" s="98"/>
      <c r="UF22" s="98"/>
      <c r="UG22" s="98"/>
      <c r="UH22" s="98"/>
      <c r="UI22" s="98"/>
      <c r="UJ22" s="98"/>
      <c r="UK22" s="98"/>
      <c r="UL22" s="98"/>
      <c r="UM22" s="98"/>
      <c r="UN22" s="98"/>
      <c r="UO22" s="98"/>
      <c r="UP22" s="98"/>
      <c r="UQ22" s="98"/>
      <c r="UR22" s="98"/>
      <c r="US22" s="98"/>
      <c r="UT22" s="98"/>
      <c r="UU22" s="98"/>
      <c r="UV22" s="98"/>
      <c r="UW22" s="98"/>
      <c r="UX22" s="98"/>
      <c r="UY22" s="98"/>
      <c r="UZ22" s="98"/>
      <c r="VA22" s="98"/>
      <c r="VB22" s="98"/>
      <c r="VC22" s="98"/>
      <c r="VD22" s="98"/>
      <c r="VE22" s="98"/>
      <c r="VF22" s="98"/>
      <c r="VG22" s="98"/>
      <c r="VH22" s="98"/>
      <c r="VI22" s="98"/>
      <c r="VJ22" s="98"/>
      <c r="VK22" s="98"/>
      <c r="VL22" s="98"/>
      <c r="VM22" s="98"/>
      <c r="VN22" s="98"/>
      <c r="VO22" s="98"/>
      <c r="VP22" s="98"/>
      <c r="VQ22" s="98"/>
      <c r="VR22" s="98"/>
      <c r="VS22" s="98"/>
      <c r="VT22" s="98"/>
      <c r="VU22" s="98"/>
      <c r="VV22" s="98"/>
      <c r="VW22" s="98"/>
      <c r="VX22" s="98"/>
      <c r="VY22" s="98"/>
      <c r="VZ22" s="98"/>
      <c r="WA22" s="98"/>
      <c r="WB22" s="98"/>
      <c r="WC22" s="98"/>
      <c r="WD22" s="98"/>
      <c r="WE22" s="98"/>
      <c r="WF22" s="98"/>
      <c r="WG22" s="98"/>
      <c r="WH22" s="98"/>
      <c r="WI22" s="98"/>
      <c r="WJ22" s="98"/>
      <c r="WK22" s="98"/>
      <c r="WL22" s="98"/>
      <c r="WM22" s="98"/>
      <c r="WN22" s="98"/>
      <c r="WO22" s="98"/>
      <c r="WP22" s="98"/>
      <c r="WQ22" s="98"/>
      <c r="WR22" s="98"/>
      <c r="WS22" s="98"/>
      <c r="WT22" s="98"/>
      <c r="WU22" s="98"/>
      <c r="WV22" s="98"/>
      <c r="WW22" s="98"/>
      <c r="WX22" s="98"/>
      <c r="WY22" s="98"/>
      <c r="WZ22" s="98"/>
      <c r="XA22" s="98"/>
      <c r="XB22" s="98"/>
      <c r="XC22" s="98"/>
      <c r="XD22" s="98"/>
      <c r="XE22" s="98"/>
      <c r="XF22" s="98"/>
      <c r="XG22" s="98"/>
      <c r="XH22" s="98"/>
      <c r="XI22" s="98"/>
      <c r="XJ22" s="98"/>
      <c r="XK22" s="98"/>
      <c r="XL22" s="98"/>
      <c r="XM22" s="98"/>
      <c r="XN22" s="98"/>
      <c r="XO22" s="98"/>
      <c r="XP22" s="98"/>
      <c r="XQ22" s="98"/>
      <c r="XR22" s="98"/>
      <c r="XS22" s="98"/>
      <c r="XT22" s="98"/>
      <c r="XU22" s="98"/>
      <c r="XV22" s="98"/>
      <c r="XW22" s="98"/>
      <c r="XX22" s="98"/>
      <c r="XY22" s="98"/>
      <c r="XZ22" s="98"/>
      <c r="YA22" s="98"/>
      <c r="YB22" s="98"/>
      <c r="YC22" s="98"/>
      <c r="YD22" s="98"/>
      <c r="YE22" s="98"/>
      <c r="YF22" s="98"/>
      <c r="YG22" s="98"/>
      <c r="YH22" s="98"/>
      <c r="YI22" s="98"/>
      <c r="YJ22" s="98"/>
      <c r="YK22" s="98"/>
      <c r="YL22" s="98"/>
      <c r="YM22" s="98"/>
      <c r="YN22" s="98"/>
      <c r="YO22" s="98"/>
      <c r="YP22" s="98"/>
      <c r="YQ22" s="98"/>
      <c r="YR22" s="98"/>
      <c r="YS22" s="98"/>
      <c r="YT22" s="98"/>
      <c r="YU22" s="98"/>
      <c r="YV22" s="98"/>
      <c r="YW22" s="98"/>
      <c r="YX22" s="98"/>
      <c r="YY22" s="98"/>
      <c r="YZ22" s="98"/>
      <c r="ZA22" s="98"/>
      <c r="ZB22" s="98"/>
      <c r="ZC22" s="98"/>
      <c r="ZD22" s="98"/>
      <c r="ZE22" s="98"/>
      <c r="ZF22" s="98"/>
      <c r="ZG22" s="98"/>
      <c r="ZH22" s="98"/>
      <c r="ZI22" s="98"/>
      <c r="ZJ22" s="98"/>
      <c r="ZK22" s="98"/>
      <c r="ZL22" s="98"/>
      <c r="ZM22" s="98"/>
      <c r="ZN22" s="98"/>
      <c r="ZO22" s="98"/>
      <c r="ZP22" s="98"/>
      <c r="ZQ22" s="98"/>
      <c r="ZR22" s="98"/>
      <c r="ZS22" s="98"/>
      <c r="ZT22" s="98"/>
      <c r="ZU22" s="98"/>
      <c r="ZV22" s="98"/>
      <c r="ZW22" s="98"/>
      <c r="ZX22" s="98"/>
      <c r="ZY22" s="98"/>
      <c r="ZZ22" s="98"/>
      <c r="AAA22" s="98"/>
      <c r="AAB22" s="98"/>
      <c r="AAC22" s="98"/>
      <c r="AAD22" s="98"/>
      <c r="AAE22" s="98"/>
      <c r="AAF22" s="98"/>
      <c r="AAG22" s="98"/>
      <c r="AAH22" s="98"/>
      <c r="AAI22" s="98"/>
      <c r="AAJ22" s="98"/>
      <c r="AAK22" s="98"/>
      <c r="AAL22" s="98"/>
      <c r="AAM22" s="98"/>
      <c r="AAN22" s="98"/>
      <c r="AAO22" s="98"/>
      <c r="AAP22" s="98"/>
      <c r="AAQ22" s="98"/>
      <c r="AAR22" s="98"/>
      <c r="AAS22" s="98"/>
      <c r="AAT22" s="98"/>
      <c r="AAU22" s="98"/>
      <c r="AAV22" s="98"/>
      <c r="AAW22" s="98"/>
      <c r="AAX22" s="98"/>
      <c r="AAY22" s="98"/>
      <c r="AAZ22" s="98"/>
      <c r="ABA22" s="98"/>
      <c r="ABB22" s="98"/>
      <c r="ABC22" s="98"/>
      <c r="ABD22" s="98"/>
      <c r="ABE22" s="98"/>
      <c r="ABF22" s="98"/>
      <c r="ABG22" s="98"/>
      <c r="ABH22" s="98"/>
      <c r="ABI22" s="98"/>
      <c r="ABJ22" s="98"/>
      <c r="ABK22" s="98"/>
      <c r="ABL22" s="98"/>
      <c r="ABM22" s="98"/>
      <c r="ABN22" s="98"/>
      <c r="ABO22" s="98"/>
      <c r="ABP22" s="98"/>
      <c r="ABQ22" s="98"/>
      <c r="ABR22" s="98"/>
      <c r="ABS22" s="98"/>
      <c r="ABT22" s="98"/>
      <c r="ABU22" s="98"/>
      <c r="ABV22" s="98"/>
      <c r="ABW22" s="98"/>
      <c r="ABX22" s="98"/>
      <c r="ABY22" s="98"/>
      <c r="ABZ22" s="98"/>
      <c r="ACA22" s="98"/>
      <c r="ACB22" s="98"/>
      <c r="ACC22" s="98"/>
      <c r="ACD22" s="98"/>
      <c r="ACE22" s="98"/>
      <c r="ACF22" s="98"/>
      <c r="ACG22" s="98"/>
      <c r="ACH22" s="98"/>
      <c r="ACI22" s="98"/>
      <c r="ACJ22" s="98"/>
      <c r="ACK22" s="98"/>
      <c r="ACL22" s="98"/>
      <c r="ACM22" s="98"/>
      <c r="ACN22" s="98"/>
      <c r="ACO22" s="98"/>
      <c r="ACP22" s="98"/>
      <c r="ACQ22" s="98"/>
      <c r="ACR22" s="98"/>
      <c r="ACS22" s="98"/>
      <c r="ACT22" s="98"/>
      <c r="ACU22" s="98"/>
      <c r="ACV22" s="98"/>
      <c r="ACW22" s="98"/>
      <c r="ACX22" s="98"/>
      <c r="ACY22" s="98"/>
      <c r="ACZ22" s="98"/>
      <c r="ADA22" s="98"/>
      <c r="ADB22" s="98"/>
      <c r="ADC22" s="98"/>
      <c r="ADD22" s="98"/>
      <c r="ADE22" s="98"/>
      <c r="ADF22" s="98"/>
      <c r="ADG22" s="98"/>
      <c r="ADH22" s="98"/>
      <c r="ADI22" s="98"/>
      <c r="ADJ22" s="98"/>
      <c r="ADK22" s="98"/>
      <c r="ADL22" s="98"/>
      <c r="ADM22" s="98"/>
      <c r="ADN22" s="98"/>
      <c r="ADO22" s="98"/>
      <c r="ADP22" s="98"/>
      <c r="ADQ22" s="98"/>
      <c r="ADR22" s="98"/>
      <c r="ADS22" s="98"/>
      <c r="ADT22" s="98"/>
      <c r="ADU22" s="98"/>
      <c r="ADV22" s="98"/>
      <c r="ADW22" s="98"/>
      <c r="ADX22" s="98"/>
      <c r="ADY22" s="98"/>
      <c r="ADZ22" s="98"/>
      <c r="AEA22" s="98"/>
      <c r="AEB22" s="98"/>
      <c r="AEC22" s="98"/>
      <c r="AED22" s="98"/>
      <c r="AEE22" s="98"/>
      <c r="AEF22" s="98"/>
      <c r="AEG22" s="98"/>
      <c r="AEH22" s="98"/>
      <c r="AEI22" s="98"/>
      <c r="AEJ22" s="98"/>
      <c r="AEK22" s="98"/>
      <c r="AEL22" s="98"/>
      <c r="AEM22" s="98"/>
      <c r="AEN22" s="98"/>
      <c r="AEO22" s="98"/>
      <c r="AEP22" s="98"/>
      <c r="AEQ22" s="98"/>
      <c r="AER22" s="98"/>
      <c r="AES22" s="98"/>
      <c r="AET22" s="98"/>
      <c r="AEU22" s="98"/>
      <c r="AEV22" s="98"/>
      <c r="AEW22" s="98"/>
      <c r="AEX22" s="98"/>
      <c r="AEY22" s="98"/>
      <c r="AEZ22" s="98"/>
      <c r="AFA22" s="98"/>
      <c r="AFB22" s="98"/>
      <c r="AFC22" s="98"/>
      <c r="AFD22" s="98"/>
      <c r="AFE22" s="98"/>
      <c r="AFF22" s="98"/>
      <c r="AFG22" s="98"/>
      <c r="AFH22" s="98"/>
      <c r="AFI22" s="98"/>
      <c r="AFJ22" s="98"/>
      <c r="AFK22" s="98"/>
      <c r="AFL22" s="98"/>
      <c r="AFM22" s="98"/>
      <c r="AFN22" s="98"/>
      <c r="AFO22" s="98"/>
      <c r="AFP22" s="98"/>
      <c r="AFQ22" s="98"/>
      <c r="AFR22" s="98"/>
      <c r="AFS22" s="98"/>
      <c r="AFT22" s="98"/>
      <c r="AFU22" s="98"/>
      <c r="AFV22" s="98"/>
      <c r="AFW22" s="98"/>
      <c r="AFX22" s="98"/>
      <c r="AFY22" s="98"/>
      <c r="AFZ22" s="98"/>
      <c r="AGA22" s="98"/>
      <c r="AGB22" s="98"/>
      <c r="AGC22" s="98"/>
      <c r="AGD22" s="98"/>
      <c r="AGE22" s="98"/>
      <c r="AGF22" s="98"/>
      <c r="AGG22" s="98"/>
      <c r="AGH22" s="98"/>
      <c r="AGI22" s="98"/>
      <c r="AGJ22" s="98"/>
      <c r="AGK22" s="98"/>
      <c r="AGL22" s="98"/>
      <c r="AGM22" s="98"/>
      <c r="AGN22" s="98"/>
      <c r="AGO22" s="98"/>
      <c r="AGP22" s="98"/>
      <c r="AGQ22" s="98"/>
      <c r="AGR22" s="98"/>
      <c r="AGS22" s="98"/>
      <c r="AGT22" s="98"/>
      <c r="AGU22" s="98"/>
      <c r="AGV22" s="98"/>
      <c r="AGW22" s="98"/>
      <c r="AGX22" s="98"/>
      <c r="AGY22" s="98"/>
      <c r="AGZ22" s="98"/>
      <c r="AHA22" s="98"/>
      <c r="AHB22" s="98"/>
      <c r="AHC22" s="98"/>
      <c r="AHD22" s="98"/>
      <c r="AHE22" s="98"/>
      <c r="AHF22" s="98"/>
      <c r="AHG22" s="98"/>
      <c r="AHH22" s="98"/>
      <c r="AHI22" s="98"/>
      <c r="AHJ22" s="98"/>
      <c r="AHK22" s="98"/>
      <c r="AHL22" s="98"/>
      <c r="AHM22" s="98"/>
      <c r="AHN22" s="98"/>
      <c r="AHO22" s="98"/>
      <c r="AHP22" s="98"/>
      <c r="AHQ22" s="98"/>
      <c r="AHR22" s="98"/>
      <c r="AHS22" s="98"/>
      <c r="AHT22" s="98"/>
      <c r="AHU22" s="98"/>
      <c r="AHV22" s="98"/>
      <c r="AHW22" s="98"/>
      <c r="AHX22" s="98"/>
      <c r="AHY22" s="98"/>
      <c r="AHZ22" s="98"/>
      <c r="AIA22" s="98"/>
      <c r="AIB22" s="98"/>
      <c r="AIC22" s="98"/>
      <c r="AID22" s="98"/>
      <c r="AIE22" s="98"/>
      <c r="AIF22" s="98"/>
      <c r="AIG22" s="98"/>
      <c r="AIH22" s="98"/>
      <c r="AII22" s="98"/>
      <c r="AIJ22" s="98"/>
      <c r="AIK22" s="98"/>
      <c r="AIL22" s="98"/>
      <c r="AIM22" s="98"/>
      <c r="AIN22" s="98"/>
      <c r="AIO22" s="98"/>
      <c r="AIP22" s="98"/>
      <c r="AIQ22" s="98"/>
      <c r="AIR22" s="98"/>
      <c r="AIS22" s="98"/>
      <c r="AIT22" s="98"/>
      <c r="AIU22" s="98"/>
      <c r="AIV22" s="98"/>
      <c r="AIW22" s="98"/>
      <c r="AIX22" s="98"/>
      <c r="AIY22" s="98"/>
      <c r="AIZ22" s="98"/>
      <c r="AJA22" s="98"/>
      <c r="AJB22" s="98"/>
      <c r="AJC22" s="98"/>
      <c r="AJD22" s="98"/>
      <c r="AJE22" s="98"/>
      <c r="AJF22" s="98"/>
      <c r="AJG22" s="98"/>
      <c r="AJH22" s="98"/>
      <c r="AJI22" s="98"/>
      <c r="AJJ22" s="98"/>
      <c r="AJK22" s="98"/>
      <c r="AJL22" s="98"/>
      <c r="AJM22" s="98"/>
      <c r="AJN22" s="98"/>
      <c r="AJO22" s="98"/>
      <c r="AJP22" s="98"/>
      <c r="AJQ22" s="98"/>
      <c r="AJR22" s="98"/>
      <c r="AJS22" s="98"/>
      <c r="AJT22" s="98"/>
      <c r="AJU22" s="98"/>
      <c r="AJV22" s="98"/>
      <c r="AJW22" s="98"/>
      <c r="AJX22" s="98"/>
      <c r="AJY22" s="98"/>
      <c r="AJZ22" s="98"/>
      <c r="AKA22" s="98"/>
      <c r="AKB22" s="98"/>
      <c r="AKC22" s="98"/>
      <c r="AKD22" s="98"/>
      <c r="AKE22" s="98"/>
      <c r="AKF22" s="98"/>
      <c r="AKG22" s="98"/>
      <c r="AKH22" s="98"/>
      <c r="AKI22" s="98"/>
      <c r="AKJ22" s="98"/>
      <c r="AKK22" s="98"/>
      <c r="AKL22" s="98"/>
      <c r="AKM22" s="98"/>
      <c r="AKN22" s="98"/>
      <c r="AKO22" s="98"/>
      <c r="AKP22" s="98"/>
      <c r="AKQ22" s="98"/>
      <c r="AKR22" s="98"/>
      <c r="AKS22" s="98"/>
      <c r="AKT22" s="98"/>
      <c r="AKU22" s="98"/>
      <c r="AKV22" s="98"/>
      <c r="AKW22" s="98"/>
      <c r="AKX22" s="98"/>
      <c r="AKY22" s="98"/>
      <c r="AKZ22" s="98"/>
      <c r="ALA22" s="98"/>
      <c r="ALB22" s="98"/>
      <c r="ALC22" s="98"/>
      <c r="ALD22" s="98"/>
      <c r="ALE22" s="98"/>
      <c r="ALF22" s="98"/>
      <c r="ALG22" s="98"/>
      <c r="ALH22" s="98"/>
      <c r="ALI22" s="98"/>
      <c r="ALJ22" s="98"/>
      <c r="ALK22" s="98"/>
      <c r="ALL22" s="98"/>
      <c r="ALM22" s="98"/>
      <c r="ALN22" s="98"/>
      <c r="ALO22" s="98"/>
      <c r="ALP22" s="98"/>
      <c r="ALQ22" s="98"/>
      <c r="ALR22" s="98"/>
      <c r="ALS22" s="98"/>
      <c r="ALT22" s="98"/>
      <c r="ALU22" s="98"/>
      <c r="ALV22" s="98"/>
      <c r="ALW22" s="98"/>
      <c r="ALX22" s="98"/>
      <c r="ALY22" s="98"/>
      <c r="ALZ22" s="98"/>
      <c r="AMA22" s="98"/>
      <c r="AMB22" s="98"/>
      <c r="AMC22" s="98"/>
      <c r="AMD22" s="98"/>
      <c r="AME22" s="98"/>
      <c r="AMF22" s="98"/>
      <c r="AMG22" s="98"/>
      <c r="AMH22" s="98"/>
      <c r="AMI22" s="98"/>
      <c r="AMJ22" s="98"/>
      <c r="AMK22" s="98"/>
      <c r="AML22" s="98"/>
      <c r="AMM22" s="98"/>
      <c r="AMN22" s="98"/>
      <c r="AMO22" s="98"/>
      <c r="AMP22" s="98"/>
      <c r="AMQ22" s="98"/>
      <c r="AMR22" s="98"/>
      <c r="AMS22" s="98"/>
      <c r="AMT22" s="98"/>
      <c r="AMU22" s="98"/>
      <c r="AMV22" s="98"/>
      <c r="AMW22" s="98"/>
      <c r="AMX22" s="98"/>
      <c r="AMY22" s="98"/>
      <c r="AMZ22" s="98"/>
      <c r="ANA22" s="98"/>
      <c r="ANB22" s="98"/>
      <c r="ANC22" s="98"/>
      <c r="AND22" s="98"/>
      <c r="ANE22" s="98"/>
      <c r="ANF22" s="98"/>
      <c r="ANG22" s="98"/>
      <c r="ANH22" s="98"/>
      <c r="ANI22" s="98"/>
      <c r="ANJ22" s="98"/>
      <c r="ANK22" s="98"/>
      <c r="ANL22" s="98"/>
      <c r="ANM22" s="98"/>
      <c r="ANN22" s="98"/>
      <c r="ANO22" s="98"/>
      <c r="ANP22" s="98"/>
      <c r="ANQ22" s="98"/>
      <c r="ANR22" s="98"/>
      <c r="ANS22" s="98"/>
      <c r="ANT22" s="98"/>
      <c r="ANU22" s="98"/>
      <c r="ANV22" s="98"/>
      <c r="ANW22" s="98"/>
      <c r="ANX22" s="98"/>
      <c r="ANY22" s="98"/>
      <c r="ANZ22" s="98"/>
      <c r="AOA22" s="98"/>
      <c r="AOB22" s="98"/>
      <c r="AOC22" s="98"/>
      <c r="AOD22" s="98"/>
      <c r="AOE22" s="98"/>
      <c r="AOF22" s="98"/>
      <c r="AOG22" s="98"/>
      <c r="AOH22" s="98"/>
      <c r="AOI22" s="98"/>
      <c r="AOJ22" s="98"/>
      <c r="AOK22" s="98"/>
      <c r="AOL22" s="98"/>
      <c r="AOM22" s="98"/>
      <c r="AON22" s="98"/>
      <c r="AOO22" s="98"/>
      <c r="AOP22" s="98"/>
      <c r="AOQ22" s="98"/>
      <c r="AOR22" s="98"/>
      <c r="AOS22" s="98"/>
      <c r="AOT22" s="98"/>
      <c r="AOU22" s="98"/>
      <c r="AOV22" s="98"/>
      <c r="AOW22" s="98"/>
      <c r="AOX22" s="98"/>
      <c r="AOY22" s="98"/>
      <c r="AOZ22" s="98"/>
      <c r="APA22" s="98"/>
      <c r="APB22" s="98"/>
      <c r="APC22" s="98"/>
      <c r="APD22" s="98"/>
      <c r="APE22" s="98"/>
      <c r="APF22" s="98"/>
      <c r="APG22" s="98"/>
      <c r="APH22" s="98"/>
      <c r="API22" s="98"/>
      <c r="APJ22" s="98"/>
      <c r="APK22" s="98"/>
      <c r="APL22" s="98"/>
      <c r="APM22" s="98"/>
      <c r="APN22" s="98"/>
      <c r="APO22" s="98"/>
      <c r="APP22" s="98"/>
      <c r="APQ22" s="98"/>
      <c r="APR22" s="98"/>
      <c r="APS22" s="98"/>
      <c r="APT22" s="98"/>
      <c r="APU22" s="98"/>
      <c r="APV22" s="98"/>
      <c r="APW22" s="98"/>
      <c r="APX22" s="98"/>
      <c r="APY22" s="98"/>
      <c r="APZ22" s="98"/>
      <c r="AQA22" s="98"/>
      <c r="AQB22" s="98"/>
      <c r="AQC22" s="98"/>
      <c r="AQD22" s="98"/>
      <c r="AQE22" s="98"/>
      <c r="AQF22" s="98"/>
      <c r="AQG22" s="98"/>
      <c r="AQH22" s="98"/>
      <c r="AQI22" s="98"/>
      <c r="AQJ22" s="98"/>
      <c r="AQK22" s="98"/>
      <c r="AQL22" s="98"/>
      <c r="AQM22" s="98"/>
      <c r="AQN22" s="98"/>
      <c r="AQO22" s="98"/>
      <c r="AQP22" s="98"/>
      <c r="AQQ22" s="98"/>
      <c r="AQR22" s="98"/>
      <c r="AQS22" s="98"/>
      <c r="AQT22" s="98"/>
      <c r="AQU22" s="98"/>
      <c r="AQV22" s="98"/>
      <c r="AQW22" s="98"/>
      <c r="AQX22" s="98"/>
      <c r="AQY22" s="98"/>
      <c r="AQZ22" s="98"/>
      <c r="ARA22" s="98"/>
      <c r="ARB22" s="98"/>
      <c r="ARC22" s="98"/>
      <c r="ARD22" s="98"/>
      <c r="ARE22" s="98"/>
      <c r="ARF22" s="98"/>
      <c r="ARG22" s="98"/>
      <c r="ARH22" s="98"/>
      <c r="ARI22" s="98"/>
      <c r="ARJ22" s="98"/>
      <c r="ARK22" s="98"/>
      <c r="ARL22" s="98"/>
      <c r="ARM22" s="98"/>
      <c r="ARN22" s="98"/>
      <c r="ARO22" s="98"/>
      <c r="ARP22" s="98"/>
      <c r="ARQ22" s="98"/>
      <c r="ARR22" s="98"/>
      <c r="ARS22" s="98"/>
    </row>
    <row r="23" spans="1:1163" s="174" customFormat="1">
      <c r="A23" s="140" t="s">
        <v>98</v>
      </c>
      <c r="B23" s="119" t="s">
        <v>67</v>
      </c>
      <c r="C23" s="175">
        <v>518</v>
      </c>
      <c r="D23" s="175">
        <v>13547</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0</v>
      </c>
      <c r="AF23" s="175">
        <v>0</v>
      </c>
      <c r="AG23" s="175">
        <v>0</v>
      </c>
      <c r="AH23" s="175">
        <v>0</v>
      </c>
      <c r="AI23" s="175">
        <v>0</v>
      </c>
      <c r="AJ23" s="175">
        <v>0</v>
      </c>
      <c r="AK23" s="175">
        <v>0</v>
      </c>
      <c r="AL23" s="175">
        <v>0</v>
      </c>
      <c r="AM23" s="175">
        <v>0</v>
      </c>
      <c r="AN23" s="175">
        <v>0</v>
      </c>
      <c r="AO23" s="175">
        <v>0</v>
      </c>
      <c r="AP23" s="175">
        <v>0</v>
      </c>
      <c r="AQ23" s="175">
        <v>0</v>
      </c>
      <c r="AR23" s="175">
        <v>0</v>
      </c>
      <c r="AS23" s="175">
        <v>0</v>
      </c>
      <c r="AT23" s="175">
        <v>0</v>
      </c>
      <c r="AU23" s="175">
        <v>0</v>
      </c>
      <c r="AV23" s="175">
        <v>0</v>
      </c>
      <c r="AW23" s="175">
        <v>0</v>
      </c>
      <c r="AX23" s="175">
        <v>0</v>
      </c>
      <c r="AY23" s="142">
        <v>0</v>
      </c>
      <c r="AZ23" s="142">
        <v>0</v>
      </c>
      <c r="BA23" s="144"/>
      <c r="BB23" s="175"/>
      <c r="BC23" s="175"/>
      <c r="BD23" s="175"/>
      <c r="BE23" s="175"/>
      <c r="BF23" s="175"/>
      <c r="BG23" s="175"/>
      <c r="BH23" s="175"/>
      <c r="BI23" s="144"/>
      <c r="BJ23" s="98"/>
      <c r="BK23" s="148"/>
      <c r="BL23" s="148"/>
      <c r="BM23" s="148"/>
      <c r="BN23" s="14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FV23" s="98"/>
      <c r="FW23" s="98"/>
      <c r="FX23" s="98"/>
      <c r="FY23" s="98"/>
      <c r="FZ23" s="98"/>
      <c r="GA23" s="98"/>
      <c r="GB23" s="98"/>
      <c r="GC23" s="98"/>
      <c r="GD23" s="98"/>
      <c r="GE23" s="98"/>
      <c r="GF23" s="98"/>
      <c r="GG23" s="98"/>
      <c r="GH23" s="98"/>
      <c r="GI23" s="98"/>
      <c r="GJ23" s="98"/>
      <c r="GK23" s="98"/>
      <c r="GL23" s="98"/>
      <c r="GM23" s="98"/>
      <c r="GN23" s="98"/>
      <c r="GO23" s="98"/>
      <c r="GP23" s="98"/>
      <c r="GQ23" s="98"/>
      <c r="GR23" s="98"/>
      <c r="GS23" s="98"/>
      <c r="GT23" s="98"/>
      <c r="GU23" s="98"/>
      <c r="GV23" s="98"/>
      <c r="GW23" s="98"/>
      <c r="GX23" s="98"/>
      <c r="GY23" s="98"/>
      <c r="GZ23" s="98"/>
      <c r="HA23" s="98"/>
      <c r="HB23" s="98"/>
      <c r="HC23" s="98"/>
      <c r="HD23" s="98"/>
      <c r="HE23" s="98"/>
      <c r="HF23" s="98"/>
      <c r="HG23" s="98"/>
      <c r="HH23" s="98"/>
      <c r="HI23" s="98"/>
      <c r="HJ23" s="98"/>
      <c r="HK23" s="98"/>
      <c r="HL23" s="98"/>
      <c r="HM23" s="98"/>
      <c r="HN23" s="98"/>
      <c r="HO23" s="98"/>
      <c r="HP23" s="98"/>
      <c r="HQ23" s="98"/>
      <c r="HR23" s="98"/>
      <c r="HS23" s="98"/>
      <c r="HT23" s="98"/>
      <c r="HU23" s="98"/>
      <c r="HV23" s="98"/>
      <c r="HW23" s="98"/>
      <c r="HX23" s="98"/>
      <c r="HY23" s="98"/>
      <c r="HZ23" s="98"/>
      <c r="IA23" s="98"/>
      <c r="IB23" s="98"/>
      <c r="IC23" s="98"/>
      <c r="ID23" s="98"/>
      <c r="IE23" s="98"/>
      <c r="IF23" s="98"/>
      <c r="IG23" s="98"/>
      <c r="IH23" s="98"/>
      <c r="II23" s="98"/>
      <c r="IJ23" s="98"/>
      <c r="IK23" s="98"/>
      <c r="IL23" s="98"/>
      <c r="IM23" s="98"/>
      <c r="IN23" s="98"/>
      <c r="IO23" s="98"/>
      <c r="IP23" s="98"/>
      <c r="IQ23" s="98"/>
      <c r="IR23" s="98"/>
      <c r="IS23" s="98"/>
      <c r="IT23" s="98"/>
      <c r="IU23" s="98"/>
      <c r="IV23" s="98"/>
      <c r="IW23" s="98"/>
      <c r="IX23" s="98"/>
      <c r="IY23" s="98"/>
      <c r="IZ23" s="98"/>
      <c r="JA23" s="98"/>
      <c r="JB23" s="98"/>
      <c r="JC23" s="98"/>
      <c r="JD23" s="98"/>
      <c r="JE23" s="98"/>
      <c r="JF23" s="98"/>
      <c r="JG23" s="98"/>
      <c r="JH23" s="98"/>
      <c r="JI23" s="98"/>
      <c r="JJ23" s="98"/>
      <c r="JK23" s="98"/>
      <c r="JL23" s="98"/>
      <c r="JM23" s="98"/>
      <c r="JN23" s="98"/>
      <c r="JO23" s="98"/>
      <c r="JP23" s="98"/>
      <c r="JQ23" s="98"/>
      <c r="JR23" s="98"/>
      <c r="JS23" s="98"/>
      <c r="JT23" s="98"/>
      <c r="JU23" s="98"/>
      <c r="JV23" s="98"/>
      <c r="JW23" s="98"/>
      <c r="JX23" s="98"/>
      <c r="JY23" s="98"/>
      <c r="JZ23" s="98"/>
      <c r="KA23" s="98"/>
      <c r="KB23" s="98"/>
      <c r="KC23" s="98"/>
      <c r="KD23" s="98"/>
      <c r="KE23" s="98"/>
      <c r="KF23" s="98"/>
      <c r="KG23" s="98"/>
      <c r="KH23" s="98"/>
      <c r="KI23" s="98"/>
      <c r="KJ23" s="98"/>
      <c r="KK23" s="98"/>
      <c r="KL23" s="98"/>
      <c r="KM23" s="98"/>
      <c r="KN23" s="98"/>
      <c r="KO23" s="98"/>
      <c r="KP23" s="98"/>
      <c r="KQ23" s="98"/>
      <c r="KR23" s="98"/>
      <c r="KS23" s="98"/>
      <c r="KT23" s="98"/>
      <c r="KU23" s="98"/>
      <c r="KV23" s="98"/>
      <c r="KW23" s="98"/>
      <c r="KX23" s="98"/>
      <c r="KY23" s="98"/>
      <c r="KZ23" s="98"/>
      <c r="LA23" s="98"/>
      <c r="LB23" s="98"/>
      <c r="LC23" s="98"/>
      <c r="LD23" s="98"/>
      <c r="LE23" s="98"/>
      <c r="LF23" s="98"/>
      <c r="LG23" s="98"/>
      <c r="LH23" s="98"/>
      <c r="LI23" s="98"/>
      <c r="LJ23" s="98"/>
      <c r="LK23" s="98"/>
      <c r="LL23" s="98"/>
      <c r="LM23" s="98"/>
      <c r="LN23" s="98"/>
      <c r="LO23" s="98"/>
      <c r="LP23" s="98"/>
      <c r="LQ23" s="98"/>
      <c r="LR23" s="98"/>
      <c r="LS23" s="98"/>
      <c r="LT23" s="98"/>
      <c r="LU23" s="98"/>
      <c r="LV23" s="98"/>
      <c r="LW23" s="98"/>
      <c r="LX23" s="98"/>
      <c r="LY23" s="98"/>
      <c r="LZ23" s="98"/>
      <c r="MA23" s="98"/>
      <c r="MB23" s="98"/>
      <c r="MC23" s="98"/>
      <c r="MD23" s="98"/>
      <c r="ME23" s="98"/>
      <c r="MF23" s="98"/>
      <c r="MG23" s="98"/>
      <c r="MH23" s="98"/>
      <c r="MI23" s="98"/>
      <c r="MJ23" s="98"/>
      <c r="MK23" s="98"/>
      <c r="ML23" s="98"/>
      <c r="MM23" s="98"/>
      <c r="MN23" s="98"/>
      <c r="MO23" s="98"/>
      <c r="MP23" s="98"/>
      <c r="MQ23" s="98"/>
      <c r="MR23" s="98"/>
      <c r="MS23" s="98"/>
      <c r="MT23" s="98"/>
      <c r="MU23" s="98"/>
      <c r="MV23" s="98"/>
      <c r="MW23" s="98"/>
      <c r="MX23" s="98"/>
      <c r="MY23" s="98"/>
      <c r="MZ23" s="98"/>
      <c r="NA23" s="98"/>
      <c r="NB23" s="98"/>
      <c r="NC23" s="98"/>
      <c r="ND23" s="98"/>
      <c r="NE23" s="98"/>
      <c r="NF23" s="98"/>
      <c r="NG23" s="98"/>
      <c r="NH23" s="98"/>
      <c r="NI23" s="98"/>
      <c r="NJ23" s="98"/>
      <c r="NK23" s="98"/>
      <c r="NL23" s="98"/>
      <c r="NM23" s="98"/>
      <c r="NN23" s="98"/>
      <c r="NO23" s="98"/>
      <c r="NP23" s="98"/>
      <c r="NQ23" s="98"/>
      <c r="NR23" s="98"/>
      <c r="NS23" s="98"/>
      <c r="NT23" s="98"/>
      <c r="NU23" s="98"/>
      <c r="NV23" s="98"/>
      <c r="NW23" s="98"/>
      <c r="NX23" s="98"/>
      <c r="NY23" s="98"/>
      <c r="NZ23" s="98"/>
      <c r="OA23" s="98"/>
      <c r="OB23" s="98"/>
      <c r="OC23" s="98"/>
      <c r="OD23" s="98"/>
      <c r="OE23" s="98"/>
      <c r="OF23" s="98"/>
      <c r="OG23" s="98"/>
      <c r="OH23" s="98"/>
      <c r="OI23" s="98"/>
      <c r="OJ23" s="98"/>
      <c r="OK23" s="98"/>
      <c r="OL23" s="98"/>
      <c r="OM23" s="98"/>
      <c r="ON23" s="98"/>
      <c r="OO23" s="98"/>
      <c r="OP23" s="98"/>
      <c r="OQ23" s="98"/>
      <c r="OR23" s="98"/>
      <c r="OS23" s="98"/>
      <c r="OT23" s="98"/>
      <c r="OU23" s="98"/>
      <c r="OV23" s="98"/>
      <c r="OW23" s="98"/>
      <c r="OX23" s="98"/>
      <c r="OY23" s="98"/>
      <c r="OZ23" s="98"/>
      <c r="PA23" s="98"/>
      <c r="PB23" s="98"/>
      <c r="PC23" s="98"/>
      <c r="PD23" s="98"/>
      <c r="PE23" s="98"/>
      <c r="PF23" s="98"/>
      <c r="PG23" s="98"/>
      <c r="PH23" s="98"/>
      <c r="PI23" s="98"/>
      <c r="PJ23" s="98"/>
      <c r="PK23" s="98"/>
      <c r="PL23" s="98"/>
      <c r="PM23" s="98"/>
      <c r="PN23" s="98"/>
      <c r="PO23" s="98"/>
      <c r="PP23" s="98"/>
      <c r="PQ23" s="98"/>
      <c r="PR23" s="98"/>
      <c r="PS23" s="98"/>
      <c r="PT23" s="98"/>
      <c r="PU23" s="98"/>
      <c r="PV23" s="98"/>
      <c r="PW23" s="98"/>
      <c r="PX23" s="98"/>
      <c r="PY23" s="98"/>
      <c r="PZ23" s="98"/>
      <c r="QA23" s="98"/>
      <c r="QB23" s="98"/>
      <c r="QC23" s="98"/>
      <c r="QD23" s="98"/>
      <c r="QE23" s="98"/>
      <c r="QF23" s="98"/>
      <c r="QG23" s="98"/>
      <c r="QH23" s="98"/>
      <c r="QI23" s="98"/>
      <c r="QJ23" s="98"/>
      <c r="QK23" s="98"/>
      <c r="QL23" s="98"/>
      <c r="QM23" s="98"/>
      <c r="QN23" s="98"/>
      <c r="QO23" s="98"/>
      <c r="QP23" s="98"/>
      <c r="QQ23" s="98"/>
      <c r="QR23" s="98"/>
      <c r="QS23" s="98"/>
      <c r="QT23" s="98"/>
      <c r="QU23" s="98"/>
      <c r="QV23" s="98"/>
      <c r="QW23" s="98"/>
      <c r="QX23" s="98"/>
      <c r="QY23" s="98"/>
      <c r="QZ23" s="98"/>
      <c r="RA23" s="98"/>
      <c r="RB23" s="98"/>
      <c r="RC23" s="98"/>
      <c r="RD23" s="98"/>
      <c r="RE23" s="98"/>
      <c r="RF23" s="98"/>
      <c r="RG23" s="98"/>
      <c r="RH23" s="98"/>
      <c r="RI23" s="98"/>
      <c r="RJ23" s="98"/>
      <c r="RK23" s="98"/>
      <c r="RL23" s="98"/>
      <c r="RM23" s="98"/>
      <c r="RN23" s="98"/>
      <c r="RO23" s="98"/>
      <c r="RP23" s="98"/>
      <c r="RQ23" s="98"/>
      <c r="RR23" s="98"/>
      <c r="RS23" s="98"/>
      <c r="RT23" s="98"/>
      <c r="RU23" s="98"/>
      <c r="RV23" s="98"/>
      <c r="RW23" s="98"/>
      <c r="RX23" s="98"/>
      <c r="RY23" s="98"/>
      <c r="RZ23" s="98"/>
      <c r="SA23" s="98"/>
      <c r="SB23" s="98"/>
      <c r="SC23" s="98"/>
      <c r="SD23" s="98"/>
      <c r="SE23" s="98"/>
      <c r="SF23" s="98"/>
      <c r="SG23" s="98"/>
      <c r="SH23" s="98"/>
      <c r="SI23" s="98"/>
      <c r="SJ23" s="98"/>
      <c r="SK23" s="98"/>
      <c r="SL23" s="98"/>
      <c r="SM23" s="98"/>
      <c r="SN23" s="98"/>
      <c r="SO23" s="98"/>
      <c r="SP23" s="98"/>
      <c r="SQ23" s="98"/>
      <c r="SR23" s="98"/>
      <c r="SS23" s="98"/>
      <c r="ST23" s="98"/>
      <c r="SU23" s="98"/>
      <c r="SV23" s="98"/>
      <c r="SW23" s="98"/>
      <c r="SX23" s="98"/>
      <c r="SY23" s="98"/>
      <c r="SZ23" s="98"/>
      <c r="TA23" s="98"/>
      <c r="TB23" s="98"/>
      <c r="TC23" s="98"/>
      <c r="TD23" s="98"/>
      <c r="TE23" s="98"/>
      <c r="TF23" s="98"/>
      <c r="TG23" s="98"/>
      <c r="TH23" s="98"/>
      <c r="TI23" s="98"/>
      <c r="TJ23" s="98"/>
      <c r="TK23" s="98"/>
      <c r="TL23" s="98"/>
      <c r="TM23" s="98"/>
      <c r="TN23" s="98"/>
      <c r="TO23" s="98"/>
      <c r="TP23" s="98"/>
      <c r="TQ23" s="98"/>
      <c r="TR23" s="98"/>
      <c r="TS23" s="98"/>
      <c r="TT23" s="98"/>
      <c r="TU23" s="98"/>
      <c r="TV23" s="98"/>
      <c r="TW23" s="98"/>
      <c r="TX23" s="98"/>
      <c r="TY23" s="98"/>
      <c r="TZ23" s="98"/>
      <c r="UA23" s="98"/>
      <c r="UB23" s="98"/>
      <c r="UC23" s="98"/>
      <c r="UD23" s="98"/>
      <c r="UE23" s="98"/>
      <c r="UF23" s="98"/>
      <c r="UG23" s="98"/>
      <c r="UH23" s="98"/>
      <c r="UI23" s="98"/>
      <c r="UJ23" s="98"/>
      <c r="UK23" s="98"/>
      <c r="UL23" s="98"/>
      <c r="UM23" s="98"/>
      <c r="UN23" s="98"/>
      <c r="UO23" s="98"/>
      <c r="UP23" s="98"/>
      <c r="UQ23" s="98"/>
      <c r="UR23" s="98"/>
      <c r="US23" s="98"/>
      <c r="UT23" s="98"/>
      <c r="UU23" s="98"/>
      <c r="UV23" s="98"/>
      <c r="UW23" s="98"/>
      <c r="UX23" s="98"/>
      <c r="UY23" s="98"/>
      <c r="UZ23" s="98"/>
      <c r="VA23" s="98"/>
      <c r="VB23" s="98"/>
      <c r="VC23" s="98"/>
      <c r="VD23" s="98"/>
      <c r="VE23" s="98"/>
      <c r="VF23" s="98"/>
      <c r="VG23" s="98"/>
      <c r="VH23" s="98"/>
      <c r="VI23" s="98"/>
      <c r="VJ23" s="98"/>
      <c r="VK23" s="98"/>
      <c r="VL23" s="98"/>
      <c r="VM23" s="98"/>
      <c r="VN23" s="98"/>
      <c r="VO23" s="98"/>
      <c r="VP23" s="98"/>
      <c r="VQ23" s="98"/>
      <c r="VR23" s="98"/>
      <c r="VS23" s="98"/>
      <c r="VT23" s="98"/>
      <c r="VU23" s="98"/>
      <c r="VV23" s="98"/>
      <c r="VW23" s="98"/>
      <c r="VX23" s="98"/>
      <c r="VY23" s="98"/>
      <c r="VZ23" s="98"/>
      <c r="WA23" s="98"/>
      <c r="WB23" s="98"/>
      <c r="WC23" s="98"/>
      <c r="WD23" s="98"/>
      <c r="WE23" s="98"/>
      <c r="WF23" s="98"/>
      <c r="WG23" s="98"/>
      <c r="WH23" s="98"/>
      <c r="WI23" s="98"/>
      <c r="WJ23" s="98"/>
      <c r="WK23" s="98"/>
      <c r="WL23" s="98"/>
      <c r="WM23" s="98"/>
      <c r="WN23" s="98"/>
      <c r="WO23" s="98"/>
      <c r="WP23" s="98"/>
      <c r="WQ23" s="98"/>
      <c r="WR23" s="98"/>
      <c r="WS23" s="98"/>
      <c r="WT23" s="98"/>
      <c r="WU23" s="98"/>
      <c r="WV23" s="98"/>
      <c r="WW23" s="98"/>
      <c r="WX23" s="98"/>
      <c r="WY23" s="98"/>
      <c r="WZ23" s="98"/>
      <c r="XA23" s="98"/>
      <c r="XB23" s="98"/>
      <c r="XC23" s="98"/>
      <c r="XD23" s="98"/>
      <c r="XE23" s="98"/>
      <c r="XF23" s="98"/>
      <c r="XG23" s="98"/>
      <c r="XH23" s="98"/>
      <c r="XI23" s="98"/>
      <c r="XJ23" s="98"/>
      <c r="XK23" s="98"/>
      <c r="XL23" s="98"/>
      <c r="XM23" s="98"/>
      <c r="XN23" s="98"/>
      <c r="XO23" s="98"/>
      <c r="XP23" s="98"/>
      <c r="XQ23" s="98"/>
      <c r="XR23" s="98"/>
      <c r="XS23" s="98"/>
      <c r="XT23" s="98"/>
      <c r="XU23" s="98"/>
      <c r="XV23" s="98"/>
      <c r="XW23" s="98"/>
      <c r="XX23" s="98"/>
      <c r="XY23" s="98"/>
      <c r="XZ23" s="98"/>
      <c r="YA23" s="98"/>
      <c r="YB23" s="98"/>
      <c r="YC23" s="98"/>
      <c r="YD23" s="98"/>
      <c r="YE23" s="98"/>
      <c r="YF23" s="98"/>
      <c r="YG23" s="98"/>
      <c r="YH23" s="98"/>
      <c r="YI23" s="98"/>
      <c r="YJ23" s="98"/>
      <c r="YK23" s="98"/>
      <c r="YL23" s="98"/>
      <c r="YM23" s="98"/>
      <c r="YN23" s="98"/>
      <c r="YO23" s="98"/>
      <c r="YP23" s="98"/>
      <c r="YQ23" s="98"/>
      <c r="YR23" s="98"/>
      <c r="YS23" s="98"/>
      <c r="YT23" s="98"/>
      <c r="YU23" s="98"/>
      <c r="YV23" s="98"/>
      <c r="YW23" s="98"/>
      <c r="YX23" s="98"/>
      <c r="YY23" s="98"/>
      <c r="YZ23" s="98"/>
      <c r="ZA23" s="98"/>
      <c r="ZB23" s="98"/>
      <c r="ZC23" s="98"/>
      <c r="ZD23" s="98"/>
      <c r="ZE23" s="98"/>
      <c r="ZF23" s="98"/>
      <c r="ZG23" s="98"/>
      <c r="ZH23" s="98"/>
      <c r="ZI23" s="98"/>
      <c r="ZJ23" s="98"/>
      <c r="ZK23" s="98"/>
      <c r="ZL23" s="98"/>
      <c r="ZM23" s="98"/>
      <c r="ZN23" s="98"/>
      <c r="ZO23" s="98"/>
      <c r="ZP23" s="98"/>
      <c r="ZQ23" s="98"/>
      <c r="ZR23" s="98"/>
      <c r="ZS23" s="98"/>
      <c r="ZT23" s="98"/>
      <c r="ZU23" s="98"/>
      <c r="ZV23" s="98"/>
      <c r="ZW23" s="98"/>
      <c r="ZX23" s="98"/>
      <c r="ZY23" s="98"/>
      <c r="ZZ23" s="98"/>
      <c r="AAA23" s="98"/>
      <c r="AAB23" s="98"/>
      <c r="AAC23" s="98"/>
      <c r="AAD23" s="98"/>
      <c r="AAE23" s="98"/>
      <c r="AAF23" s="98"/>
      <c r="AAG23" s="98"/>
      <c r="AAH23" s="98"/>
      <c r="AAI23" s="98"/>
      <c r="AAJ23" s="98"/>
      <c r="AAK23" s="98"/>
      <c r="AAL23" s="98"/>
      <c r="AAM23" s="98"/>
      <c r="AAN23" s="98"/>
      <c r="AAO23" s="98"/>
      <c r="AAP23" s="98"/>
      <c r="AAQ23" s="98"/>
      <c r="AAR23" s="98"/>
      <c r="AAS23" s="98"/>
      <c r="AAT23" s="98"/>
      <c r="AAU23" s="98"/>
      <c r="AAV23" s="98"/>
      <c r="AAW23" s="98"/>
      <c r="AAX23" s="98"/>
      <c r="AAY23" s="98"/>
      <c r="AAZ23" s="98"/>
      <c r="ABA23" s="98"/>
      <c r="ABB23" s="98"/>
      <c r="ABC23" s="98"/>
      <c r="ABD23" s="98"/>
      <c r="ABE23" s="98"/>
      <c r="ABF23" s="98"/>
      <c r="ABG23" s="98"/>
      <c r="ABH23" s="98"/>
      <c r="ABI23" s="98"/>
      <c r="ABJ23" s="98"/>
      <c r="ABK23" s="98"/>
      <c r="ABL23" s="98"/>
      <c r="ABM23" s="98"/>
      <c r="ABN23" s="98"/>
      <c r="ABO23" s="98"/>
      <c r="ABP23" s="98"/>
      <c r="ABQ23" s="98"/>
      <c r="ABR23" s="98"/>
      <c r="ABS23" s="98"/>
      <c r="ABT23" s="98"/>
      <c r="ABU23" s="98"/>
      <c r="ABV23" s="98"/>
      <c r="ABW23" s="98"/>
      <c r="ABX23" s="98"/>
      <c r="ABY23" s="98"/>
      <c r="ABZ23" s="98"/>
      <c r="ACA23" s="98"/>
      <c r="ACB23" s="98"/>
      <c r="ACC23" s="98"/>
      <c r="ACD23" s="98"/>
      <c r="ACE23" s="98"/>
      <c r="ACF23" s="98"/>
      <c r="ACG23" s="98"/>
      <c r="ACH23" s="98"/>
      <c r="ACI23" s="98"/>
      <c r="ACJ23" s="98"/>
      <c r="ACK23" s="98"/>
      <c r="ACL23" s="98"/>
      <c r="ACM23" s="98"/>
      <c r="ACN23" s="98"/>
      <c r="ACO23" s="98"/>
      <c r="ACP23" s="98"/>
      <c r="ACQ23" s="98"/>
      <c r="ACR23" s="98"/>
      <c r="ACS23" s="98"/>
      <c r="ACT23" s="98"/>
      <c r="ACU23" s="98"/>
      <c r="ACV23" s="98"/>
      <c r="ACW23" s="98"/>
      <c r="ACX23" s="98"/>
      <c r="ACY23" s="98"/>
      <c r="ACZ23" s="98"/>
      <c r="ADA23" s="98"/>
      <c r="ADB23" s="98"/>
      <c r="ADC23" s="98"/>
      <c r="ADD23" s="98"/>
      <c r="ADE23" s="98"/>
      <c r="ADF23" s="98"/>
      <c r="ADG23" s="98"/>
      <c r="ADH23" s="98"/>
      <c r="ADI23" s="98"/>
      <c r="ADJ23" s="98"/>
      <c r="ADK23" s="98"/>
      <c r="ADL23" s="98"/>
      <c r="ADM23" s="98"/>
      <c r="ADN23" s="98"/>
      <c r="ADO23" s="98"/>
      <c r="ADP23" s="98"/>
      <c r="ADQ23" s="98"/>
      <c r="ADR23" s="98"/>
      <c r="ADS23" s="98"/>
      <c r="ADT23" s="98"/>
      <c r="ADU23" s="98"/>
      <c r="ADV23" s="98"/>
      <c r="ADW23" s="98"/>
      <c r="ADX23" s="98"/>
      <c r="ADY23" s="98"/>
      <c r="ADZ23" s="98"/>
      <c r="AEA23" s="98"/>
      <c r="AEB23" s="98"/>
      <c r="AEC23" s="98"/>
      <c r="AED23" s="98"/>
      <c r="AEE23" s="98"/>
      <c r="AEF23" s="98"/>
      <c r="AEG23" s="98"/>
      <c r="AEH23" s="98"/>
      <c r="AEI23" s="98"/>
      <c r="AEJ23" s="98"/>
      <c r="AEK23" s="98"/>
      <c r="AEL23" s="98"/>
      <c r="AEM23" s="98"/>
      <c r="AEN23" s="98"/>
      <c r="AEO23" s="98"/>
      <c r="AEP23" s="98"/>
      <c r="AEQ23" s="98"/>
      <c r="AER23" s="98"/>
      <c r="AES23" s="98"/>
      <c r="AET23" s="98"/>
      <c r="AEU23" s="98"/>
      <c r="AEV23" s="98"/>
      <c r="AEW23" s="98"/>
      <c r="AEX23" s="98"/>
      <c r="AEY23" s="98"/>
      <c r="AEZ23" s="98"/>
      <c r="AFA23" s="98"/>
      <c r="AFB23" s="98"/>
      <c r="AFC23" s="98"/>
      <c r="AFD23" s="98"/>
      <c r="AFE23" s="98"/>
      <c r="AFF23" s="98"/>
      <c r="AFG23" s="98"/>
      <c r="AFH23" s="98"/>
      <c r="AFI23" s="98"/>
      <c r="AFJ23" s="98"/>
      <c r="AFK23" s="98"/>
      <c r="AFL23" s="98"/>
      <c r="AFM23" s="98"/>
      <c r="AFN23" s="98"/>
      <c r="AFO23" s="98"/>
      <c r="AFP23" s="98"/>
      <c r="AFQ23" s="98"/>
      <c r="AFR23" s="98"/>
      <c r="AFS23" s="98"/>
      <c r="AFT23" s="98"/>
      <c r="AFU23" s="98"/>
      <c r="AFV23" s="98"/>
      <c r="AFW23" s="98"/>
      <c r="AFX23" s="98"/>
      <c r="AFY23" s="98"/>
      <c r="AFZ23" s="98"/>
      <c r="AGA23" s="98"/>
      <c r="AGB23" s="98"/>
      <c r="AGC23" s="98"/>
      <c r="AGD23" s="98"/>
      <c r="AGE23" s="98"/>
      <c r="AGF23" s="98"/>
      <c r="AGG23" s="98"/>
      <c r="AGH23" s="98"/>
      <c r="AGI23" s="98"/>
      <c r="AGJ23" s="98"/>
      <c r="AGK23" s="98"/>
      <c r="AGL23" s="98"/>
      <c r="AGM23" s="98"/>
      <c r="AGN23" s="98"/>
      <c r="AGO23" s="98"/>
      <c r="AGP23" s="98"/>
      <c r="AGQ23" s="98"/>
      <c r="AGR23" s="98"/>
      <c r="AGS23" s="98"/>
      <c r="AGT23" s="98"/>
      <c r="AGU23" s="98"/>
      <c r="AGV23" s="98"/>
      <c r="AGW23" s="98"/>
      <c r="AGX23" s="98"/>
      <c r="AGY23" s="98"/>
      <c r="AGZ23" s="98"/>
      <c r="AHA23" s="98"/>
      <c r="AHB23" s="98"/>
      <c r="AHC23" s="98"/>
      <c r="AHD23" s="98"/>
      <c r="AHE23" s="98"/>
      <c r="AHF23" s="98"/>
      <c r="AHG23" s="98"/>
      <c r="AHH23" s="98"/>
      <c r="AHI23" s="98"/>
      <c r="AHJ23" s="98"/>
      <c r="AHK23" s="98"/>
      <c r="AHL23" s="98"/>
      <c r="AHM23" s="98"/>
      <c r="AHN23" s="98"/>
      <c r="AHO23" s="98"/>
      <c r="AHP23" s="98"/>
      <c r="AHQ23" s="98"/>
      <c r="AHR23" s="98"/>
      <c r="AHS23" s="98"/>
      <c r="AHT23" s="98"/>
      <c r="AHU23" s="98"/>
      <c r="AHV23" s="98"/>
      <c r="AHW23" s="98"/>
      <c r="AHX23" s="98"/>
      <c r="AHY23" s="98"/>
      <c r="AHZ23" s="98"/>
      <c r="AIA23" s="98"/>
      <c r="AIB23" s="98"/>
      <c r="AIC23" s="98"/>
      <c r="AID23" s="98"/>
      <c r="AIE23" s="98"/>
      <c r="AIF23" s="98"/>
      <c r="AIG23" s="98"/>
      <c r="AIH23" s="98"/>
      <c r="AII23" s="98"/>
      <c r="AIJ23" s="98"/>
      <c r="AIK23" s="98"/>
      <c r="AIL23" s="98"/>
      <c r="AIM23" s="98"/>
      <c r="AIN23" s="98"/>
      <c r="AIO23" s="98"/>
      <c r="AIP23" s="98"/>
      <c r="AIQ23" s="98"/>
      <c r="AIR23" s="98"/>
      <c r="AIS23" s="98"/>
      <c r="AIT23" s="98"/>
      <c r="AIU23" s="98"/>
      <c r="AIV23" s="98"/>
      <c r="AIW23" s="98"/>
      <c r="AIX23" s="98"/>
      <c r="AIY23" s="98"/>
      <c r="AIZ23" s="98"/>
      <c r="AJA23" s="98"/>
      <c r="AJB23" s="98"/>
      <c r="AJC23" s="98"/>
      <c r="AJD23" s="98"/>
      <c r="AJE23" s="98"/>
      <c r="AJF23" s="98"/>
      <c r="AJG23" s="98"/>
      <c r="AJH23" s="98"/>
      <c r="AJI23" s="98"/>
      <c r="AJJ23" s="98"/>
      <c r="AJK23" s="98"/>
      <c r="AJL23" s="98"/>
      <c r="AJM23" s="98"/>
      <c r="AJN23" s="98"/>
      <c r="AJO23" s="98"/>
      <c r="AJP23" s="98"/>
      <c r="AJQ23" s="98"/>
      <c r="AJR23" s="98"/>
      <c r="AJS23" s="98"/>
      <c r="AJT23" s="98"/>
      <c r="AJU23" s="98"/>
      <c r="AJV23" s="98"/>
      <c r="AJW23" s="98"/>
      <c r="AJX23" s="98"/>
      <c r="AJY23" s="98"/>
      <c r="AJZ23" s="98"/>
      <c r="AKA23" s="98"/>
      <c r="AKB23" s="98"/>
      <c r="AKC23" s="98"/>
      <c r="AKD23" s="98"/>
      <c r="AKE23" s="98"/>
      <c r="AKF23" s="98"/>
      <c r="AKG23" s="98"/>
      <c r="AKH23" s="98"/>
      <c r="AKI23" s="98"/>
      <c r="AKJ23" s="98"/>
      <c r="AKK23" s="98"/>
      <c r="AKL23" s="98"/>
      <c r="AKM23" s="98"/>
      <c r="AKN23" s="98"/>
      <c r="AKO23" s="98"/>
      <c r="AKP23" s="98"/>
      <c r="AKQ23" s="98"/>
      <c r="AKR23" s="98"/>
      <c r="AKS23" s="98"/>
      <c r="AKT23" s="98"/>
      <c r="AKU23" s="98"/>
      <c r="AKV23" s="98"/>
      <c r="AKW23" s="98"/>
      <c r="AKX23" s="98"/>
      <c r="AKY23" s="98"/>
      <c r="AKZ23" s="98"/>
      <c r="ALA23" s="98"/>
      <c r="ALB23" s="98"/>
      <c r="ALC23" s="98"/>
      <c r="ALD23" s="98"/>
      <c r="ALE23" s="98"/>
      <c r="ALF23" s="98"/>
      <c r="ALG23" s="98"/>
      <c r="ALH23" s="98"/>
      <c r="ALI23" s="98"/>
      <c r="ALJ23" s="98"/>
      <c r="ALK23" s="98"/>
      <c r="ALL23" s="98"/>
      <c r="ALM23" s="98"/>
      <c r="ALN23" s="98"/>
      <c r="ALO23" s="98"/>
      <c r="ALP23" s="98"/>
      <c r="ALQ23" s="98"/>
      <c r="ALR23" s="98"/>
      <c r="ALS23" s="98"/>
      <c r="ALT23" s="98"/>
      <c r="ALU23" s="98"/>
      <c r="ALV23" s="98"/>
      <c r="ALW23" s="98"/>
      <c r="ALX23" s="98"/>
      <c r="ALY23" s="98"/>
      <c r="ALZ23" s="98"/>
      <c r="AMA23" s="98"/>
      <c r="AMB23" s="98"/>
      <c r="AMC23" s="98"/>
      <c r="AMD23" s="98"/>
      <c r="AME23" s="98"/>
      <c r="AMF23" s="98"/>
      <c r="AMG23" s="98"/>
      <c r="AMH23" s="98"/>
      <c r="AMI23" s="98"/>
      <c r="AMJ23" s="98"/>
      <c r="AMK23" s="98"/>
      <c r="AML23" s="98"/>
      <c r="AMM23" s="98"/>
      <c r="AMN23" s="98"/>
      <c r="AMO23" s="98"/>
      <c r="AMP23" s="98"/>
      <c r="AMQ23" s="98"/>
      <c r="AMR23" s="98"/>
      <c r="AMS23" s="98"/>
      <c r="AMT23" s="98"/>
      <c r="AMU23" s="98"/>
      <c r="AMV23" s="98"/>
      <c r="AMW23" s="98"/>
      <c r="AMX23" s="98"/>
      <c r="AMY23" s="98"/>
      <c r="AMZ23" s="98"/>
      <c r="ANA23" s="98"/>
      <c r="ANB23" s="98"/>
      <c r="ANC23" s="98"/>
      <c r="AND23" s="98"/>
      <c r="ANE23" s="98"/>
      <c r="ANF23" s="98"/>
      <c r="ANG23" s="98"/>
      <c r="ANH23" s="98"/>
      <c r="ANI23" s="98"/>
      <c r="ANJ23" s="98"/>
      <c r="ANK23" s="98"/>
      <c r="ANL23" s="98"/>
      <c r="ANM23" s="98"/>
      <c r="ANN23" s="98"/>
      <c r="ANO23" s="98"/>
      <c r="ANP23" s="98"/>
      <c r="ANQ23" s="98"/>
      <c r="ANR23" s="98"/>
      <c r="ANS23" s="98"/>
      <c r="ANT23" s="98"/>
      <c r="ANU23" s="98"/>
      <c r="ANV23" s="98"/>
      <c r="ANW23" s="98"/>
      <c r="ANX23" s="98"/>
      <c r="ANY23" s="98"/>
      <c r="ANZ23" s="98"/>
      <c r="AOA23" s="98"/>
      <c r="AOB23" s="98"/>
      <c r="AOC23" s="98"/>
      <c r="AOD23" s="98"/>
      <c r="AOE23" s="98"/>
      <c r="AOF23" s="98"/>
      <c r="AOG23" s="98"/>
      <c r="AOH23" s="98"/>
      <c r="AOI23" s="98"/>
      <c r="AOJ23" s="98"/>
      <c r="AOK23" s="98"/>
      <c r="AOL23" s="98"/>
      <c r="AOM23" s="98"/>
      <c r="AON23" s="98"/>
      <c r="AOO23" s="98"/>
      <c r="AOP23" s="98"/>
      <c r="AOQ23" s="98"/>
      <c r="AOR23" s="98"/>
      <c r="AOS23" s="98"/>
      <c r="AOT23" s="98"/>
      <c r="AOU23" s="98"/>
      <c r="AOV23" s="98"/>
      <c r="AOW23" s="98"/>
      <c r="AOX23" s="98"/>
      <c r="AOY23" s="98"/>
      <c r="AOZ23" s="98"/>
      <c r="APA23" s="98"/>
      <c r="APB23" s="98"/>
      <c r="APC23" s="98"/>
      <c r="APD23" s="98"/>
      <c r="APE23" s="98"/>
      <c r="APF23" s="98"/>
      <c r="APG23" s="98"/>
      <c r="APH23" s="98"/>
      <c r="API23" s="98"/>
      <c r="APJ23" s="98"/>
      <c r="APK23" s="98"/>
      <c r="APL23" s="98"/>
      <c r="APM23" s="98"/>
      <c r="APN23" s="98"/>
      <c r="APO23" s="98"/>
      <c r="APP23" s="98"/>
      <c r="APQ23" s="98"/>
      <c r="APR23" s="98"/>
      <c r="APS23" s="98"/>
      <c r="APT23" s="98"/>
      <c r="APU23" s="98"/>
      <c r="APV23" s="98"/>
      <c r="APW23" s="98"/>
      <c r="APX23" s="98"/>
      <c r="APY23" s="98"/>
      <c r="APZ23" s="98"/>
      <c r="AQA23" s="98"/>
      <c r="AQB23" s="98"/>
      <c r="AQC23" s="98"/>
      <c r="AQD23" s="98"/>
      <c r="AQE23" s="98"/>
      <c r="AQF23" s="98"/>
      <c r="AQG23" s="98"/>
      <c r="AQH23" s="98"/>
      <c r="AQI23" s="98"/>
      <c r="AQJ23" s="98"/>
      <c r="AQK23" s="98"/>
      <c r="AQL23" s="98"/>
      <c r="AQM23" s="98"/>
      <c r="AQN23" s="98"/>
      <c r="AQO23" s="98"/>
      <c r="AQP23" s="98"/>
      <c r="AQQ23" s="98"/>
      <c r="AQR23" s="98"/>
      <c r="AQS23" s="98"/>
      <c r="AQT23" s="98"/>
      <c r="AQU23" s="98"/>
      <c r="AQV23" s="98"/>
      <c r="AQW23" s="98"/>
      <c r="AQX23" s="98"/>
      <c r="AQY23" s="98"/>
      <c r="AQZ23" s="98"/>
      <c r="ARA23" s="98"/>
      <c r="ARB23" s="98"/>
      <c r="ARC23" s="98"/>
      <c r="ARD23" s="98"/>
      <c r="ARE23" s="98"/>
      <c r="ARF23" s="98"/>
      <c r="ARG23" s="98"/>
      <c r="ARH23" s="98"/>
      <c r="ARI23" s="98"/>
      <c r="ARJ23" s="98"/>
      <c r="ARK23" s="98"/>
      <c r="ARL23" s="98"/>
      <c r="ARM23" s="98"/>
      <c r="ARN23" s="98"/>
      <c r="ARO23" s="98"/>
      <c r="ARP23" s="98"/>
      <c r="ARQ23" s="98"/>
      <c r="ARR23" s="98"/>
      <c r="ARS23" s="98"/>
    </row>
    <row r="24" spans="1:1163" s="174" customFormat="1">
      <c r="A24" s="140" t="s">
        <v>99</v>
      </c>
      <c r="B24" s="119" t="s">
        <v>67</v>
      </c>
      <c r="C24" s="175">
        <v>11420</v>
      </c>
      <c r="D24" s="175">
        <v>989397</v>
      </c>
      <c r="E24" s="175">
        <v>0</v>
      </c>
      <c r="F24" s="175">
        <v>0</v>
      </c>
      <c r="G24" s="175">
        <v>0</v>
      </c>
      <c r="H24" s="175">
        <v>0</v>
      </c>
      <c r="I24" s="175">
        <v>0</v>
      </c>
      <c r="J24" s="175">
        <v>0</v>
      </c>
      <c r="K24" s="175">
        <v>0</v>
      </c>
      <c r="L24" s="175">
        <v>0</v>
      </c>
      <c r="M24" s="175">
        <v>0</v>
      </c>
      <c r="N24" s="175">
        <v>0</v>
      </c>
      <c r="O24" s="175">
        <v>0</v>
      </c>
      <c r="P24" s="175">
        <v>0</v>
      </c>
      <c r="Q24" s="175">
        <v>0</v>
      </c>
      <c r="R24" s="175">
        <v>0</v>
      </c>
      <c r="S24" s="175">
        <v>0</v>
      </c>
      <c r="T24" s="175">
        <v>0</v>
      </c>
      <c r="U24" s="175">
        <v>0</v>
      </c>
      <c r="V24" s="175">
        <v>0</v>
      </c>
      <c r="W24" s="175">
        <v>0</v>
      </c>
      <c r="X24" s="175">
        <v>0</v>
      </c>
      <c r="Y24" s="175">
        <v>0</v>
      </c>
      <c r="Z24" s="175">
        <v>0</v>
      </c>
      <c r="AA24" s="175">
        <v>0</v>
      </c>
      <c r="AB24" s="175">
        <v>0</v>
      </c>
      <c r="AC24" s="175">
        <v>0</v>
      </c>
      <c r="AD24" s="175">
        <v>0</v>
      </c>
      <c r="AE24" s="175">
        <v>0</v>
      </c>
      <c r="AF24" s="175">
        <v>0</v>
      </c>
      <c r="AG24" s="175">
        <v>0</v>
      </c>
      <c r="AH24" s="175">
        <v>0</v>
      </c>
      <c r="AI24" s="175">
        <v>0</v>
      </c>
      <c r="AJ24" s="175">
        <v>0</v>
      </c>
      <c r="AK24" s="175">
        <v>0</v>
      </c>
      <c r="AL24" s="175">
        <v>0</v>
      </c>
      <c r="AM24" s="175">
        <v>0</v>
      </c>
      <c r="AN24" s="175">
        <v>0</v>
      </c>
      <c r="AO24" s="175">
        <v>0</v>
      </c>
      <c r="AP24" s="175">
        <v>0</v>
      </c>
      <c r="AQ24" s="175">
        <v>0</v>
      </c>
      <c r="AR24" s="175">
        <v>0</v>
      </c>
      <c r="AS24" s="175">
        <v>0</v>
      </c>
      <c r="AT24" s="175">
        <v>0</v>
      </c>
      <c r="AU24" s="175">
        <v>0</v>
      </c>
      <c r="AV24" s="175">
        <v>0</v>
      </c>
      <c r="AW24" s="175">
        <v>0</v>
      </c>
      <c r="AX24" s="175">
        <v>0</v>
      </c>
      <c r="AY24" s="142">
        <v>0</v>
      </c>
      <c r="AZ24" s="142">
        <v>0</v>
      </c>
      <c r="BA24" s="144"/>
      <c r="BB24" s="175"/>
      <c r="BC24" s="175"/>
      <c r="BD24" s="175"/>
      <c r="BE24" s="175"/>
      <c r="BF24" s="175"/>
      <c r="BG24" s="175"/>
      <c r="BH24" s="175"/>
      <c r="BI24" s="144"/>
      <c r="BJ24" s="98"/>
      <c r="BK24" s="148"/>
      <c r="BL24" s="148"/>
      <c r="BM24" s="148"/>
      <c r="BN24" s="14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FV24" s="98"/>
      <c r="FW24" s="98"/>
      <c r="FX24" s="98"/>
      <c r="FY24" s="98"/>
      <c r="FZ24" s="98"/>
      <c r="GA24" s="98"/>
      <c r="GB24" s="98"/>
      <c r="GC24" s="98"/>
      <c r="GD24" s="98"/>
      <c r="GE24" s="98"/>
      <c r="GF24" s="98"/>
      <c r="GG24" s="98"/>
      <c r="GH24" s="98"/>
      <c r="GI24" s="98"/>
      <c r="GJ24" s="98"/>
      <c r="GK24" s="98"/>
      <c r="GL24" s="98"/>
      <c r="GM24" s="98"/>
      <c r="GN24" s="98"/>
      <c r="GO24" s="98"/>
      <c r="GP24" s="98"/>
      <c r="GQ24" s="98"/>
      <c r="GR24" s="98"/>
      <c r="GS24" s="98"/>
      <c r="GT24" s="98"/>
      <c r="GU24" s="98"/>
      <c r="GV24" s="98"/>
      <c r="GW24" s="98"/>
      <c r="GX24" s="98"/>
      <c r="GY24" s="98"/>
      <c r="GZ24" s="98"/>
      <c r="HA24" s="98"/>
      <c r="HB24" s="98"/>
      <c r="HC24" s="98"/>
      <c r="HD24" s="98"/>
      <c r="HE24" s="98"/>
      <c r="HF24" s="98"/>
      <c r="HG24" s="98"/>
      <c r="HH24" s="98"/>
      <c r="HI24" s="98"/>
      <c r="HJ24" s="98"/>
      <c r="HK24" s="98"/>
      <c r="HL24" s="98"/>
      <c r="HM24" s="98"/>
      <c r="HN24" s="98"/>
      <c r="HO24" s="98"/>
      <c r="HP24" s="98"/>
      <c r="HQ24" s="98"/>
      <c r="HR24" s="98"/>
      <c r="HS24" s="98"/>
      <c r="HT24" s="98"/>
      <c r="HU24" s="98"/>
      <c r="HV24" s="98"/>
      <c r="HW24" s="98"/>
      <c r="HX24" s="98"/>
      <c r="HY24" s="98"/>
      <c r="HZ24" s="98"/>
      <c r="IA24" s="98"/>
      <c r="IB24" s="98"/>
      <c r="IC24" s="98"/>
      <c r="ID24" s="98"/>
      <c r="IE24" s="98"/>
      <c r="IF24" s="98"/>
      <c r="IG24" s="98"/>
      <c r="IH24" s="98"/>
      <c r="II24" s="98"/>
      <c r="IJ24" s="98"/>
      <c r="IK24" s="98"/>
      <c r="IL24" s="98"/>
      <c r="IM24" s="98"/>
      <c r="IN24" s="98"/>
      <c r="IO24" s="98"/>
      <c r="IP24" s="98"/>
      <c r="IQ24" s="98"/>
      <c r="IR24" s="98"/>
      <c r="IS24" s="98"/>
      <c r="IT24" s="98"/>
      <c r="IU24" s="98"/>
      <c r="IV24" s="98"/>
      <c r="IW24" s="98"/>
      <c r="IX24" s="98"/>
      <c r="IY24" s="98"/>
      <c r="IZ24" s="98"/>
      <c r="JA24" s="98"/>
      <c r="JB24" s="98"/>
      <c r="JC24" s="98"/>
      <c r="JD24" s="98"/>
      <c r="JE24" s="98"/>
      <c r="JF24" s="98"/>
      <c r="JG24" s="98"/>
      <c r="JH24" s="98"/>
      <c r="JI24" s="98"/>
      <c r="JJ24" s="98"/>
      <c r="JK24" s="98"/>
      <c r="JL24" s="98"/>
      <c r="JM24" s="98"/>
      <c r="JN24" s="98"/>
      <c r="JO24" s="98"/>
      <c r="JP24" s="98"/>
      <c r="JQ24" s="98"/>
      <c r="JR24" s="98"/>
      <c r="JS24" s="98"/>
      <c r="JT24" s="98"/>
      <c r="JU24" s="98"/>
      <c r="JV24" s="98"/>
      <c r="JW24" s="98"/>
      <c r="JX24" s="98"/>
      <c r="JY24" s="98"/>
      <c r="JZ24" s="98"/>
      <c r="KA24" s="98"/>
      <c r="KB24" s="98"/>
      <c r="KC24" s="98"/>
      <c r="KD24" s="98"/>
      <c r="KE24" s="98"/>
      <c r="KF24" s="98"/>
      <c r="KG24" s="98"/>
      <c r="KH24" s="98"/>
      <c r="KI24" s="98"/>
      <c r="KJ24" s="98"/>
      <c r="KK24" s="98"/>
      <c r="KL24" s="98"/>
      <c r="KM24" s="98"/>
      <c r="KN24" s="98"/>
      <c r="KO24" s="98"/>
      <c r="KP24" s="98"/>
      <c r="KQ24" s="98"/>
      <c r="KR24" s="98"/>
      <c r="KS24" s="98"/>
      <c r="KT24" s="98"/>
      <c r="KU24" s="98"/>
      <c r="KV24" s="98"/>
      <c r="KW24" s="98"/>
      <c r="KX24" s="98"/>
      <c r="KY24" s="98"/>
      <c r="KZ24" s="98"/>
      <c r="LA24" s="98"/>
      <c r="LB24" s="98"/>
      <c r="LC24" s="98"/>
      <c r="LD24" s="98"/>
      <c r="LE24" s="98"/>
      <c r="LF24" s="98"/>
      <c r="LG24" s="98"/>
      <c r="LH24" s="98"/>
      <c r="LI24" s="98"/>
      <c r="LJ24" s="98"/>
      <c r="LK24" s="98"/>
      <c r="LL24" s="98"/>
      <c r="LM24" s="98"/>
      <c r="LN24" s="98"/>
      <c r="LO24" s="98"/>
      <c r="LP24" s="98"/>
      <c r="LQ24" s="98"/>
      <c r="LR24" s="98"/>
      <c r="LS24" s="98"/>
      <c r="LT24" s="98"/>
      <c r="LU24" s="98"/>
      <c r="LV24" s="98"/>
      <c r="LW24" s="98"/>
      <c r="LX24" s="98"/>
      <c r="LY24" s="98"/>
      <c r="LZ24" s="98"/>
      <c r="MA24" s="98"/>
      <c r="MB24" s="98"/>
      <c r="MC24" s="98"/>
      <c r="MD24" s="98"/>
      <c r="ME24" s="98"/>
      <c r="MF24" s="98"/>
      <c r="MG24" s="98"/>
      <c r="MH24" s="98"/>
      <c r="MI24" s="98"/>
      <c r="MJ24" s="98"/>
      <c r="MK24" s="98"/>
      <c r="ML24" s="98"/>
      <c r="MM24" s="98"/>
      <c r="MN24" s="98"/>
      <c r="MO24" s="98"/>
      <c r="MP24" s="98"/>
      <c r="MQ24" s="98"/>
      <c r="MR24" s="98"/>
      <c r="MS24" s="98"/>
      <c r="MT24" s="98"/>
      <c r="MU24" s="98"/>
      <c r="MV24" s="98"/>
      <c r="MW24" s="98"/>
      <c r="MX24" s="98"/>
      <c r="MY24" s="98"/>
      <c r="MZ24" s="98"/>
      <c r="NA24" s="98"/>
      <c r="NB24" s="98"/>
      <c r="NC24" s="98"/>
      <c r="ND24" s="98"/>
      <c r="NE24" s="98"/>
      <c r="NF24" s="98"/>
      <c r="NG24" s="98"/>
      <c r="NH24" s="98"/>
      <c r="NI24" s="98"/>
      <c r="NJ24" s="98"/>
      <c r="NK24" s="98"/>
      <c r="NL24" s="98"/>
      <c r="NM24" s="98"/>
      <c r="NN24" s="98"/>
      <c r="NO24" s="98"/>
      <c r="NP24" s="98"/>
      <c r="NQ24" s="98"/>
      <c r="NR24" s="98"/>
      <c r="NS24" s="98"/>
      <c r="NT24" s="98"/>
      <c r="NU24" s="98"/>
      <c r="NV24" s="98"/>
      <c r="NW24" s="98"/>
      <c r="NX24" s="98"/>
      <c r="NY24" s="98"/>
      <c r="NZ24" s="98"/>
      <c r="OA24" s="98"/>
      <c r="OB24" s="98"/>
      <c r="OC24" s="98"/>
      <c r="OD24" s="98"/>
      <c r="OE24" s="98"/>
      <c r="OF24" s="98"/>
      <c r="OG24" s="98"/>
      <c r="OH24" s="98"/>
      <c r="OI24" s="98"/>
      <c r="OJ24" s="98"/>
      <c r="OK24" s="98"/>
      <c r="OL24" s="98"/>
      <c r="OM24" s="98"/>
      <c r="ON24" s="98"/>
      <c r="OO24" s="98"/>
      <c r="OP24" s="98"/>
      <c r="OQ24" s="98"/>
      <c r="OR24" s="98"/>
      <c r="OS24" s="98"/>
      <c r="OT24" s="98"/>
      <c r="OU24" s="98"/>
      <c r="OV24" s="98"/>
      <c r="OW24" s="98"/>
      <c r="OX24" s="98"/>
      <c r="OY24" s="98"/>
      <c r="OZ24" s="98"/>
      <c r="PA24" s="98"/>
      <c r="PB24" s="98"/>
      <c r="PC24" s="98"/>
      <c r="PD24" s="98"/>
      <c r="PE24" s="98"/>
      <c r="PF24" s="98"/>
      <c r="PG24" s="98"/>
      <c r="PH24" s="98"/>
      <c r="PI24" s="98"/>
      <c r="PJ24" s="98"/>
      <c r="PK24" s="98"/>
      <c r="PL24" s="98"/>
      <c r="PM24" s="98"/>
      <c r="PN24" s="98"/>
      <c r="PO24" s="98"/>
      <c r="PP24" s="98"/>
      <c r="PQ24" s="98"/>
      <c r="PR24" s="98"/>
      <c r="PS24" s="98"/>
      <c r="PT24" s="98"/>
      <c r="PU24" s="98"/>
      <c r="PV24" s="98"/>
      <c r="PW24" s="98"/>
      <c r="PX24" s="98"/>
      <c r="PY24" s="98"/>
      <c r="PZ24" s="98"/>
      <c r="QA24" s="98"/>
      <c r="QB24" s="98"/>
      <c r="QC24" s="98"/>
      <c r="QD24" s="98"/>
      <c r="QE24" s="98"/>
      <c r="QF24" s="98"/>
      <c r="QG24" s="98"/>
      <c r="QH24" s="98"/>
      <c r="QI24" s="98"/>
      <c r="QJ24" s="98"/>
      <c r="QK24" s="98"/>
      <c r="QL24" s="98"/>
      <c r="QM24" s="98"/>
      <c r="QN24" s="98"/>
      <c r="QO24" s="98"/>
      <c r="QP24" s="98"/>
      <c r="QQ24" s="98"/>
      <c r="QR24" s="98"/>
      <c r="QS24" s="98"/>
      <c r="QT24" s="98"/>
      <c r="QU24" s="98"/>
      <c r="QV24" s="98"/>
      <c r="QW24" s="98"/>
      <c r="QX24" s="98"/>
      <c r="QY24" s="98"/>
      <c r="QZ24" s="98"/>
      <c r="RA24" s="98"/>
      <c r="RB24" s="98"/>
      <c r="RC24" s="98"/>
      <c r="RD24" s="98"/>
      <c r="RE24" s="98"/>
      <c r="RF24" s="98"/>
      <c r="RG24" s="98"/>
      <c r="RH24" s="98"/>
      <c r="RI24" s="98"/>
      <c r="RJ24" s="98"/>
      <c r="RK24" s="98"/>
      <c r="RL24" s="98"/>
      <c r="RM24" s="98"/>
      <c r="RN24" s="98"/>
      <c r="RO24" s="98"/>
      <c r="RP24" s="98"/>
      <c r="RQ24" s="98"/>
      <c r="RR24" s="98"/>
      <c r="RS24" s="98"/>
      <c r="RT24" s="98"/>
      <c r="RU24" s="98"/>
      <c r="RV24" s="98"/>
      <c r="RW24" s="98"/>
      <c r="RX24" s="98"/>
      <c r="RY24" s="98"/>
      <c r="RZ24" s="98"/>
      <c r="SA24" s="98"/>
      <c r="SB24" s="98"/>
      <c r="SC24" s="98"/>
      <c r="SD24" s="98"/>
      <c r="SE24" s="98"/>
      <c r="SF24" s="98"/>
      <c r="SG24" s="98"/>
      <c r="SH24" s="98"/>
      <c r="SI24" s="98"/>
      <c r="SJ24" s="98"/>
      <c r="SK24" s="98"/>
      <c r="SL24" s="98"/>
      <c r="SM24" s="98"/>
      <c r="SN24" s="98"/>
      <c r="SO24" s="98"/>
      <c r="SP24" s="98"/>
      <c r="SQ24" s="98"/>
      <c r="SR24" s="98"/>
      <c r="SS24" s="98"/>
      <c r="ST24" s="98"/>
      <c r="SU24" s="98"/>
      <c r="SV24" s="98"/>
      <c r="SW24" s="98"/>
      <c r="SX24" s="98"/>
      <c r="SY24" s="98"/>
      <c r="SZ24" s="98"/>
      <c r="TA24" s="98"/>
      <c r="TB24" s="98"/>
      <c r="TC24" s="98"/>
      <c r="TD24" s="98"/>
      <c r="TE24" s="98"/>
      <c r="TF24" s="98"/>
      <c r="TG24" s="98"/>
      <c r="TH24" s="98"/>
      <c r="TI24" s="98"/>
      <c r="TJ24" s="98"/>
      <c r="TK24" s="98"/>
      <c r="TL24" s="98"/>
      <c r="TM24" s="98"/>
      <c r="TN24" s="98"/>
      <c r="TO24" s="98"/>
      <c r="TP24" s="98"/>
      <c r="TQ24" s="98"/>
      <c r="TR24" s="98"/>
      <c r="TS24" s="98"/>
      <c r="TT24" s="98"/>
      <c r="TU24" s="98"/>
      <c r="TV24" s="98"/>
      <c r="TW24" s="98"/>
      <c r="TX24" s="98"/>
      <c r="TY24" s="98"/>
      <c r="TZ24" s="98"/>
      <c r="UA24" s="98"/>
      <c r="UB24" s="98"/>
      <c r="UC24" s="98"/>
      <c r="UD24" s="98"/>
      <c r="UE24" s="98"/>
      <c r="UF24" s="98"/>
      <c r="UG24" s="98"/>
      <c r="UH24" s="98"/>
      <c r="UI24" s="98"/>
      <c r="UJ24" s="98"/>
      <c r="UK24" s="98"/>
      <c r="UL24" s="98"/>
      <c r="UM24" s="98"/>
      <c r="UN24" s="98"/>
      <c r="UO24" s="98"/>
      <c r="UP24" s="98"/>
      <c r="UQ24" s="98"/>
      <c r="UR24" s="98"/>
      <c r="US24" s="98"/>
      <c r="UT24" s="98"/>
      <c r="UU24" s="98"/>
      <c r="UV24" s="98"/>
      <c r="UW24" s="98"/>
      <c r="UX24" s="98"/>
      <c r="UY24" s="98"/>
      <c r="UZ24" s="98"/>
      <c r="VA24" s="98"/>
      <c r="VB24" s="98"/>
      <c r="VC24" s="98"/>
      <c r="VD24" s="98"/>
      <c r="VE24" s="98"/>
      <c r="VF24" s="98"/>
      <c r="VG24" s="98"/>
      <c r="VH24" s="98"/>
      <c r="VI24" s="98"/>
      <c r="VJ24" s="98"/>
      <c r="VK24" s="98"/>
      <c r="VL24" s="98"/>
      <c r="VM24" s="98"/>
      <c r="VN24" s="98"/>
      <c r="VO24" s="98"/>
      <c r="VP24" s="98"/>
      <c r="VQ24" s="98"/>
      <c r="VR24" s="98"/>
      <c r="VS24" s="98"/>
      <c r="VT24" s="98"/>
      <c r="VU24" s="98"/>
      <c r="VV24" s="98"/>
      <c r="VW24" s="98"/>
      <c r="VX24" s="98"/>
      <c r="VY24" s="98"/>
      <c r="VZ24" s="98"/>
      <c r="WA24" s="98"/>
      <c r="WB24" s="98"/>
      <c r="WC24" s="98"/>
      <c r="WD24" s="98"/>
      <c r="WE24" s="98"/>
      <c r="WF24" s="98"/>
      <c r="WG24" s="98"/>
      <c r="WH24" s="98"/>
      <c r="WI24" s="98"/>
      <c r="WJ24" s="98"/>
      <c r="WK24" s="98"/>
      <c r="WL24" s="98"/>
      <c r="WM24" s="98"/>
      <c r="WN24" s="98"/>
      <c r="WO24" s="98"/>
      <c r="WP24" s="98"/>
      <c r="WQ24" s="98"/>
      <c r="WR24" s="98"/>
      <c r="WS24" s="98"/>
      <c r="WT24" s="98"/>
      <c r="WU24" s="98"/>
      <c r="WV24" s="98"/>
      <c r="WW24" s="98"/>
      <c r="WX24" s="98"/>
      <c r="WY24" s="98"/>
      <c r="WZ24" s="98"/>
      <c r="XA24" s="98"/>
      <c r="XB24" s="98"/>
      <c r="XC24" s="98"/>
      <c r="XD24" s="98"/>
      <c r="XE24" s="98"/>
      <c r="XF24" s="98"/>
      <c r="XG24" s="98"/>
      <c r="XH24" s="98"/>
      <c r="XI24" s="98"/>
      <c r="XJ24" s="98"/>
      <c r="XK24" s="98"/>
      <c r="XL24" s="98"/>
      <c r="XM24" s="98"/>
      <c r="XN24" s="98"/>
      <c r="XO24" s="98"/>
      <c r="XP24" s="98"/>
      <c r="XQ24" s="98"/>
      <c r="XR24" s="98"/>
      <c r="XS24" s="98"/>
      <c r="XT24" s="98"/>
      <c r="XU24" s="98"/>
      <c r="XV24" s="98"/>
      <c r="XW24" s="98"/>
      <c r="XX24" s="98"/>
      <c r="XY24" s="98"/>
      <c r="XZ24" s="98"/>
      <c r="YA24" s="98"/>
      <c r="YB24" s="98"/>
      <c r="YC24" s="98"/>
      <c r="YD24" s="98"/>
      <c r="YE24" s="98"/>
      <c r="YF24" s="98"/>
      <c r="YG24" s="98"/>
      <c r="YH24" s="98"/>
      <c r="YI24" s="98"/>
      <c r="YJ24" s="98"/>
      <c r="YK24" s="98"/>
      <c r="YL24" s="98"/>
      <c r="YM24" s="98"/>
      <c r="YN24" s="98"/>
      <c r="YO24" s="98"/>
      <c r="YP24" s="98"/>
      <c r="YQ24" s="98"/>
      <c r="YR24" s="98"/>
      <c r="YS24" s="98"/>
      <c r="YT24" s="98"/>
      <c r="YU24" s="98"/>
      <c r="YV24" s="98"/>
      <c r="YW24" s="98"/>
      <c r="YX24" s="98"/>
      <c r="YY24" s="98"/>
      <c r="YZ24" s="98"/>
      <c r="ZA24" s="98"/>
      <c r="ZB24" s="98"/>
      <c r="ZC24" s="98"/>
      <c r="ZD24" s="98"/>
      <c r="ZE24" s="98"/>
      <c r="ZF24" s="98"/>
      <c r="ZG24" s="98"/>
      <c r="ZH24" s="98"/>
      <c r="ZI24" s="98"/>
      <c r="ZJ24" s="98"/>
      <c r="ZK24" s="98"/>
      <c r="ZL24" s="98"/>
      <c r="ZM24" s="98"/>
      <c r="ZN24" s="98"/>
      <c r="ZO24" s="98"/>
      <c r="ZP24" s="98"/>
      <c r="ZQ24" s="98"/>
      <c r="ZR24" s="98"/>
      <c r="ZS24" s="98"/>
      <c r="ZT24" s="98"/>
      <c r="ZU24" s="98"/>
      <c r="ZV24" s="98"/>
      <c r="ZW24" s="98"/>
      <c r="ZX24" s="98"/>
      <c r="ZY24" s="98"/>
      <c r="ZZ24" s="98"/>
      <c r="AAA24" s="98"/>
      <c r="AAB24" s="98"/>
      <c r="AAC24" s="98"/>
      <c r="AAD24" s="98"/>
      <c r="AAE24" s="98"/>
      <c r="AAF24" s="98"/>
      <c r="AAG24" s="98"/>
      <c r="AAH24" s="98"/>
      <c r="AAI24" s="98"/>
      <c r="AAJ24" s="98"/>
      <c r="AAK24" s="98"/>
      <c r="AAL24" s="98"/>
      <c r="AAM24" s="98"/>
      <c r="AAN24" s="98"/>
      <c r="AAO24" s="98"/>
      <c r="AAP24" s="98"/>
      <c r="AAQ24" s="98"/>
      <c r="AAR24" s="98"/>
      <c r="AAS24" s="98"/>
      <c r="AAT24" s="98"/>
      <c r="AAU24" s="98"/>
      <c r="AAV24" s="98"/>
      <c r="AAW24" s="98"/>
      <c r="AAX24" s="98"/>
      <c r="AAY24" s="98"/>
      <c r="AAZ24" s="98"/>
      <c r="ABA24" s="98"/>
      <c r="ABB24" s="98"/>
      <c r="ABC24" s="98"/>
      <c r="ABD24" s="98"/>
      <c r="ABE24" s="98"/>
      <c r="ABF24" s="98"/>
      <c r="ABG24" s="98"/>
      <c r="ABH24" s="98"/>
      <c r="ABI24" s="98"/>
      <c r="ABJ24" s="98"/>
      <c r="ABK24" s="98"/>
      <c r="ABL24" s="98"/>
      <c r="ABM24" s="98"/>
      <c r="ABN24" s="98"/>
      <c r="ABO24" s="98"/>
      <c r="ABP24" s="98"/>
      <c r="ABQ24" s="98"/>
      <c r="ABR24" s="98"/>
      <c r="ABS24" s="98"/>
      <c r="ABT24" s="98"/>
      <c r="ABU24" s="98"/>
      <c r="ABV24" s="98"/>
      <c r="ABW24" s="98"/>
      <c r="ABX24" s="98"/>
      <c r="ABY24" s="98"/>
      <c r="ABZ24" s="98"/>
      <c r="ACA24" s="98"/>
      <c r="ACB24" s="98"/>
      <c r="ACC24" s="98"/>
      <c r="ACD24" s="98"/>
      <c r="ACE24" s="98"/>
      <c r="ACF24" s="98"/>
      <c r="ACG24" s="98"/>
      <c r="ACH24" s="98"/>
      <c r="ACI24" s="98"/>
      <c r="ACJ24" s="98"/>
      <c r="ACK24" s="98"/>
      <c r="ACL24" s="98"/>
      <c r="ACM24" s="98"/>
      <c r="ACN24" s="98"/>
      <c r="ACO24" s="98"/>
      <c r="ACP24" s="98"/>
      <c r="ACQ24" s="98"/>
      <c r="ACR24" s="98"/>
      <c r="ACS24" s="98"/>
      <c r="ACT24" s="98"/>
      <c r="ACU24" s="98"/>
      <c r="ACV24" s="98"/>
      <c r="ACW24" s="98"/>
      <c r="ACX24" s="98"/>
      <c r="ACY24" s="98"/>
      <c r="ACZ24" s="98"/>
      <c r="ADA24" s="98"/>
      <c r="ADB24" s="98"/>
      <c r="ADC24" s="98"/>
      <c r="ADD24" s="98"/>
      <c r="ADE24" s="98"/>
      <c r="ADF24" s="98"/>
      <c r="ADG24" s="98"/>
      <c r="ADH24" s="98"/>
      <c r="ADI24" s="98"/>
      <c r="ADJ24" s="98"/>
      <c r="ADK24" s="98"/>
      <c r="ADL24" s="98"/>
      <c r="ADM24" s="98"/>
      <c r="ADN24" s="98"/>
      <c r="ADO24" s="98"/>
      <c r="ADP24" s="98"/>
      <c r="ADQ24" s="98"/>
      <c r="ADR24" s="98"/>
      <c r="ADS24" s="98"/>
      <c r="ADT24" s="98"/>
      <c r="ADU24" s="98"/>
      <c r="ADV24" s="98"/>
      <c r="ADW24" s="98"/>
      <c r="ADX24" s="98"/>
      <c r="ADY24" s="98"/>
      <c r="ADZ24" s="98"/>
      <c r="AEA24" s="98"/>
      <c r="AEB24" s="98"/>
      <c r="AEC24" s="98"/>
      <c r="AED24" s="98"/>
      <c r="AEE24" s="98"/>
      <c r="AEF24" s="98"/>
      <c r="AEG24" s="98"/>
      <c r="AEH24" s="98"/>
      <c r="AEI24" s="98"/>
      <c r="AEJ24" s="98"/>
      <c r="AEK24" s="98"/>
      <c r="AEL24" s="98"/>
      <c r="AEM24" s="98"/>
      <c r="AEN24" s="98"/>
      <c r="AEO24" s="98"/>
      <c r="AEP24" s="98"/>
      <c r="AEQ24" s="98"/>
      <c r="AER24" s="98"/>
      <c r="AES24" s="98"/>
      <c r="AET24" s="98"/>
      <c r="AEU24" s="98"/>
      <c r="AEV24" s="98"/>
      <c r="AEW24" s="98"/>
      <c r="AEX24" s="98"/>
      <c r="AEY24" s="98"/>
      <c r="AEZ24" s="98"/>
      <c r="AFA24" s="98"/>
      <c r="AFB24" s="98"/>
      <c r="AFC24" s="98"/>
      <c r="AFD24" s="98"/>
      <c r="AFE24" s="98"/>
      <c r="AFF24" s="98"/>
      <c r="AFG24" s="98"/>
      <c r="AFH24" s="98"/>
      <c r="AFI24" s="98"/>
      <c r="AFJ24" s="98"/>
      <c r="AFK24" s="98"/>
      <c r="AFL24" s="98"/>
      <c r="AFM24" s="98"/>
      <c r="AFN24" s="98"/>
      <c r="AFO24" s="98"/>
      <c r="AFP24" s="98"/>
      <c r="AFQ24" s="98"/>
      <c r="AFR24" s="98"/>
      <c r="AFS24" s="98"/>
      <c r="AFT24" s="98"/>
      <c r="AFU24" s="98"/>
      <c r="AFV24" s="98"/>
      <c r="AFW24" s="98"/>
      <c r="AFX24" s="98"/>
      <c r="AFY24" s="98"/>
      <c r="AFZ24" s="98"/>
      <c r="AGA24" s="98"/>
      <c r="AGB24" s="98"/>
      <c r="AGC24" s="98"/>
      <c r="AGD24" s="98"/>
      <c r="AGE24" s="98"/>
      <c r="AGF24" s="98"/>
      <c r="AGG24" s="98"/>
      <c r="AGH24" s="98"/>
      <c r="AGI24" s="98"/>
      <c r="AGJ24" s="98"/>
      <c r="AGK24" s="98"/>
      <c r="AGL24" s="98"/>
      <c r="AGM24" s="98"/>
      <c r="AGN24" s="98"/>
      <c r="AGO24" s="98"/>
      <c r="AGP24" s="98"/>
      <c r="AGQ24" s="98"/>
      <c r="AGR24" s="98"/>
      <c r="AGS24" s="98"/>
      <c r="AGT24" s="98"/>
      <c r="AGU24" s="98"/>
      <c r="AGV24" s="98"/>
      <c r="AGW24" s="98"/>
      <c r="AGX24" s="98"/>
      <c r="AGY24" s="98"/>
      <c r="AGZ24" s="98"/>
      <c r="AHA24" s="98"/>
      <c r="AHB24" s="98"/>
      <c r="AHC24" s="98"/>
      <c r="AHD24" s="98"/>
      <c r="AHE24" s="98"/>
      <c r="AHF24" s="98"/>
      <c r="AHG24" s="98"/>
      <c r="AHH24" s="98"/>
      <c r="AHI24" s="98"/>
      <c r="AHJ24" s="98"/>
      <c r="AHK24" s="98"/>
      <c r="AHL24" s="98"/>
      <c r="AHM24" s="98"/>
      <c r="AHN24" s="98"/>
      <c r="AHO24" s="98"/>
      <c r="AHP24" s="98"/>
      <c r="AHQ24" s="98"/>
      <c r="AHR24" s="98"/>
      <c r="AHS24" s="98"/>
      <c r="AHT24" s="98"/>
      <c r="AHU24" s="98"/>
      <c r="AHV24" s="98"/>
      <c r="AHW24" s="98"/>
      <c r="AHX24" s="98"/>
      <c r="AHY24" s="98"/>
      <c r="AHZ24" s="98"/>
      <c r="AIA24" s="98"/>
      <c r="AIB24" s="98"/>
      <c r="AIC24" s="98"/>
      <c r="AID24" s="98"/>
      <c r="AIE24" s="98"/>
      <c r="AIF24" s="98"/>
      <c r="AIG24" s="98"/>
      <c r="AIH24" s="98"/>
      <c r="AII24" s="98"/>
      <c r="AIJ24" s="98"/>
      <c r="AIK24" s="98"/>
      <c r="AIL24" s="98"/>
      <c r="AIM24" s="98"/>
      <c r="AIN24" s="98"/>
      <c r="AIO24" s="98"/>
      <c r="AIP24" s="98"/>
      <c r="AIQ24" s="98"/>
      <c r="AIR24" s="98"/>
      <c r="AIS24" s="98"/>
      <c r="AIT24" s="98"/>
      <c r="AIU24" s="98"/>
      <c r="AIV24" s="98"/>
      <c r="AIW24" s="98"/>
      <c r="AIX24" s="98"/>
      <c r="AIY24" s="98"/>
      <c r="AIZ24" s="98"/>
      <c r="AJA24" s="98"/>
      <c r="AJB24" s="98"/>
      <c r="AJC24" s="98"/>
      <c r="AJD24" s="98"/>
      <c r="AJE24" s="98"/>
      <c r="AJF24" s="98"/>
      <c r="AJG24" s="98"/>
      <c r="AJH24" s="98"/>
      <c r="AJI24" s="98"/>
      <c r="AJJ24" s="98"/>
      <c r="AJK24" s="98"/>
      <c r="AJL24" s="98"/>
      <c r="AJM24" s="98"/>
      <c r="AJN24" s="98"/>
      <c r="AJO24" s="98"/>
      <c r="AJP24" s="98"/>
      <c r="AJQ24" s="98"/>
      <c r="AJR24" s="98"/>
      <c r="AJS24" s="98"/>
      <c r="AJT24" s="98"/>
      <c r="AJU24" s="98"/>
      <c r="AJV24" s="98"/>
      <c r="AJW24" s="98"/>
      <c r="AJX24" s="98"/>
      <c r="AJY24" s="98"/>
      <c r="AJZ24" s="98"/>
      <c r="AKA24" s="98"/>
      <c r="AKB24" s="98"/>
      <c r="AKC24" s="98"/>
      <c r="AKD24" s="98"/>
      <c r="AKE24" s="98"/>
      <c r="AKF24" s="98"/>
      <c r="AKG24" s="98"/>
      <c r="AKH24" s="98"/>
      <c r="AKI24" s="98"/>
      <c r="AKJ24" s="98"/>
      <c r="AKK24" s="98"/>
      <c r="AKL24" s="98"/>
      <c r="AKM24" s="98"/>
      <c r="AKN24" s="98"/>
      <c r="AKO24" s="98"/>
      <c r="AKP24" s="98"/>
      <c r="AKQ24" s="98"/>
      <c r="AKR24" s="98"/>
      <c r="AKS24" s="98"/>
      <c r="AKT24" s="98"/>
      <c r="AKU24" s="98"/>
      <c r="AKV24" s="98"/>
      <c r="AKW24" s="98"/>
      <c r="AKX24" s="98"/>
      <c r="AKY24" s="98"/>
      <c r="AKZ24" s="98"/>
      <c r="ALA24" s="98"/>
      <c r="ALB24" s="98"/>
      <c r="ALC24" s="98"/>
      <c r="ALD24" s="98"/>
      <c r="ALE24" s="98"/>
      <c r="ALF24" s="98"/>
      <c r="ALG24" s="98"/>
      <c r="ALH24" s="98"/>
      <c r="ALI24" s="98"/>
      <c r="ALJ24" s="98"/>
      <c r="ALK24" s="98"/>
      <c r="ALL24" s="98"/>
      <c r="ALM24" s="98"/>
      <c r="ALN24" s="98"/>
      <c r="ALO24" s="98"/>
      <c r="ALP24" s="98"/>
      <c r="ALQ24" s="98"/>
      <c r="ALR24" s="98"/>
      <c r="ALS24" s="98"/>
      <c r="ALT24" s="98"/>
      <c r="ALU24" s="98"/>
      <c r="ALV24" s="98"/>
      <c r="ALW24" s="98"/>
      <c r="ALX24" s="98"/>
      <c r="ALY24" s="98"/>
      <c r="ALZ24" s="98"/>
      <c r="AMA24" s="98"/>
      <c r="AMB24" s="98"/>
      <c r="AMC24" s="98"/>
      <c r="AMD24" s="98"/>
      <c r="AME24" s="98"/>
      <c r="AMF24" s="98"/>
      <c r="AMG24" s="98"/>
      <c r="AMH24" s="98"/>
      <c r="AMI24" s="98"/>
      <c r="AMJ24" s="98"/>
      <c r="AMK24" s="98"/>
      <c r="AML24" s="98"/>
      <c r="AMM24" s="98"/>
      <c r="AMN24" s="98"/>
      <c r="AMO24" s="98"/>
      <c r="AMP24" s="98"/>
      <c r="AMQ24" s="98"/>
      <c r="AMR24" s="98"/>
      <c r="AMS24" s="98"/>
      <c r="AMT24" s="98"/>
      <c r="AMU24" s="98"/>
      <c r="AMV24" s="98"/>
      <c r="AMW24" s="98"/>
      <c r="AMX24" s="98"/>
      <c r="AMY24" s="98"/>
      <c r="AMZ24" s="98"/>
      <c r="ANA24" s="98"/>
      <c r="ANB24" s="98"/>
      <c r="ANC24" s="98"/>
      <c r="AND24" s="98"/>
      <c r="ANE24" s="98"/>
      <c r="ANF24" s="98"/>
      <c r="ANG24" s="98"/>
      <c r="ANH24" s="98"/>
      <c r="ANI24" s="98"/>
      <c r="ANJ24" s="98"/>
      <c r="ANK24" s="98"/>
      <c r="ANL24" s="98"/>
      <c r="ANM24" s="98"/>
      <c r="ANN24" s="98"/>
      <c r="ANO24" s="98"/>
      <c r="ANP24" s="98"/>
      <c r="ANQ24" s="98"/>
      <c r="ANR24" s="98"/>
      <c r="ANS24" s="98"/>
      <c r="ANT24" s="98"/>
      <c r="ANU24" s="98"/>
      <c r="ANV24" s="98"/>
      <c r="ANW24" s="98"/>
      <c r="ANX24" s="98"/>
      <c r="ANY24" s="98"/>
      <c r="ANZ24" s="98"/>
      <c r="AOA24" s="98"/>
      <c r="AOB24" s="98"/>
      <c r="AOC24" s="98"/>
      <c r="AOD24" s="98"/>
      <c r="AOE24" s="98"/>
      <c r="AOF24" s="98"/>
      <c r="AOG24" s="98"/>
      <c r="AOH24" s="98"/>
      <c r="AOI24" s="98"/>
      <c r="AOJ24" s="98"/>
      <c r="AOK24" s="98"/>
      <c r="AOL24" s="98"/>
      <c r="AOM24" s="98"/>
      <c r="AON24" s="98"/>
      <c r="AOO24" s="98"/>
      <c r="AOP24" s="98"/>
      <c r="AOQ24" s="98"/>
      <c r="AOR24" s="98"/>
      <c r="AOS24" s="98"/>
      <c r="AOT24" s="98"/>
      <c r="AOU24" s="98"/>
      <c r="AOV24" s="98"/>
      <c r="AOW24" s="98"/>
      <c r="AOX24" s="98"/>
      <c r="AOY24" s="98"/>
      <c r="AOZ24" s="98"/>
      <c r="APA24" s="98"/>
      <c r="APB24" s="98"/>
      <c r="APC24" s="98"/>
      <c r="APD24" s="98"/>
      <c r="APE24" s="98"/>
      <c r="APF24" s="98"/>
      <c r="APG24" s="98"/>
      <c r="APH24" s="98"/>
      <c r="API24" s="98"/>
      <c r="APJ24" s="98"/>
      <c r="APK24" s="98"/>
      <c r="APL24" s="98"/>
      <c r="APM24" s="98"/>
      <c r="APN24" s="98"/>
      <c r="APO24" s="98"/>
      <c r="APP24" s="98"/>
      <c r="APQ24" s="98"/>
      <c r="APR24" s="98"/>
      <c r="APS24" s="98"/>
      <c r="APT24" s="98"/>
      <c r="APU24" s="98"/>
      <c r="APV24" s="98"/>
      <c r="APW24" s="98"/>
      <c r="APX24" s="98"/>
      <c r="APY24" s="98"/>
      <c r="APZ24" s="98"/>
      <c r="AQA24" s="98"/>
      <c r="AQB24" s="98"/>
      <c r="AQC24" s="98"/>
      <c r="AQD24" s="98"/>
      <c r="AQE24" s="98"/>
      <c r="AQF24" s="98"/>
      <c r="AQG24" s="98"/>
      <c r="AQH24" s="98"/>
      <c r="AQI24" s="98"/>
      <c r="AQJ24" s="98"/>
      <c r="AQK24" s="98"/>
      <c r="AQL24" s="98"/>
      <c r="AQM24" s="98"/>
      <c r="AQN24" s="98"/>
      <c r="AQO24" s="98"/>
      <c r="AQP24" s="98"/>
      <c r="AQQ24" s="98"/>
      <c r="AQR24" s="98"/>
      <c r="AQS24" s="98"/>
      <c r="AQT24" s="98"/>
      <c r="AQU24" s="98"/>
      <c r="AQV24" s="98"/>
      <c r="AQW24" s="98"/>
      <c r="AQX24" s="98"/>
      <c r="AQY24" s="98"/>
      <c r="AQZ24" s="98"/>
      <c r="ARA24" s="98"/>
      <c r="ARB24" s="98"/>
      <c r="ARC24" s="98"/>
      <c r="ARD24" s="98"/>
      <c r="ARE24" s="98"/>
      <c r="ARF24" s="98"/>
      <c r="ARG24" s="98"/>
      <c r="ARH24" s="98"/>
      <c r="ARI24" s="98"/>
      <c r="ARJ24" s="98"/>
      <c r="ARK24" s="98"/>
      <c r="ARL24" s="98"/>
      <c r="ARM24" s="98"/>
      <c r="ARN24" s="98"/>
      <c r="ARO24" s="98"/>
      <c r="ARP24" s="98"/>
      <c r="ARQ24" s="98"/>
      <c r="ARR24" s="98"/>
      <c r="ARS24" s="98"/>
    </row>
    <row r="25" spans="1:1163" s="174" customFormat="1">
      <c r="A25" s="140" t="s">
        <v>100</v>
      </c>
      <c r="B25" s="119" t="s">
        <v>67</v>
      </c>
      <c r="C25" s="175">
        <v>154913</v>
      </c>
      <c r="D25" s="175">
        <v>33496645</v>
      </c>
      <c r="E25" s="175">
        <v>0</v>
      </c>
      <c r="F25" s="175">
        <v>0</v>
      </c>
      <c r="G25" s="175">
        <v>0</v>
      </c>
      <c r="H25" s="175">
        <v>0</v>
      </c>
      <c r="I25" s="175">
        <v>0</v>
      </c>
      <c r="J25" s="175">
        <v>0</v>
      </c>
      <c r="K25" s="175">
        <v>0</v>
      </c>
      <c r="L25" s="175">
        <v>0</v>
      </c>
      <c r="M25" s="175">
        <v>0</v>
      </c>
      <c r="N25" s="175">
        <v>0</v>
      </c>
      <c r="O25" s="175">
        <v>0</v>
      </c>
      <c r="P25" s="175">
        <v>0</v>
      </c>
      <c r="Q25" s="175">
        <v>0</v>
      </c>
      <c r="R25" s="175">
        <v>0</v>
      </c>
      <c r="S25" s="175">
        <v>0</v>
      </c>
      <c r="T25" s="175">
        <v>0</v>
      </c>
      <c r="U25" s="175">
        <v>0</v>
      </c>
      <c r="V25" s="175">
        <v>0</v>
      </c>
      <c r="W25" s="175">
        <v>0</v>
      </c>
      <c r="X25" s="175">
        <v>0</v>
      </c>
      <c r="Y25" s="175">
        <v>0</v>
      </c>
      <c r="Z25" s="175">
        <v>0</v>
      </c>
      <c r="AA25" s="175">
        <v>0</v>
      </c>
      <c r="AB25" s="175">
        <v>0</v>
      </c>
      <c r="AC25" s="175">
        <v>0</v>
      </c>
      <c r="AD25" s="175">
        <v>0</v>
      </c>
      <c r="AE25" s="175">
        <v>0</v>
      </c>
      <c r="AF25" s="175">
        <v>0</v>
      </c>
      <c r="AG25" s="175">
        <v>0</v>
      </c>
      <c r="AH25" s="175">
        <v>0</v>
      </c>
      <c r="AI25" s="175">
        <v>0</v>
      </c>
      <c r="AJ25" s="175">
        <v>0</v>
      </c>
      <c r="AK25" s="175">
        <v>0</v>
      </c>
      <c r="AL25" s="175">
        <v>0</v>
      </c>
      <c r="AM25" s="175">
        <v>0</v>
      </c>
      <c r="AN25" s="175">
        <v>0</v>
      </c>
      <c r="AO25" s="175">
        <v>0</v>
      </c>
      <c r="AP25" s="175">
        <v>0</v>
      </c>
      <c r="AQ25" s="175">
        <v>0</v>
      </c>
      <c r="AR25" s="175">
        <v>0</v>
      </c>
      <c r="AS25" s="175">
        <v>0</v>
      </c>
      <c r="AT25" s="175">
        <v>0</v>
      </c>
      <c r="AU25" s="175">
        <v>0</v>
      </c>
      <c r="AV25" s="175">
        <v>0</v>
      </c>
      <c r="AW25" s="175">
        <v>0</v>
      </c>
      <c r="AX25" s="175">
        <v>0</v>
      </c>
      <c r="AY25" s="142">
        <v>0</v>
      </c>
      <c r="AZ25" s="142">
        <v>0</v>
      </c>
      <c r="BA25" s="144"/>
      <c r="BB25" s="175"/>
      <c r="BC25" s="175"/>
      <c r="BD25" s="175"/>
      <c r="BE25" s="175"/>
      <c r="BF25" s="175"/>
      <c r="BG25" s="175"/>
      <c r="BH25" s="175"/>
      <c r="BI25" s="144"/>
      <c r="BJ25" s="98"/>
      <c r="BK25" s="148"/>
      <c r="BL25" s="148"/>
      <c r="BM25" s="148"/>
      <c r="BN25" s="14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98"/>
      <c r="NL25" s="98"/>
      <c r="NM25" s="98"/>
      <c r="NN25" s="98"/>
      <c r="NO25" s="98"/>
      <c r="NP25" s="98"/>
      <c r="NQ25" s="98"/>
      <c r="NR25" s="98"/>
      <c r="NS25" s="98"/>
      <c r="NT25" s="98"/>
      <c r="NU25" s="98"/>
      <c r="NV25" s="98"/>
      <c r="NW25" s="98"/>
      <c r="NX25" s="98"/>
      <c r="NY25" s="98"/>
      <c r="NZ25" s="98"/>
      <c r="OA25" s="98"/>
      <c r="OB25" s="98"/>
      <c r="OC25" s="98"/>
      <c r="OD25" s="98"/>
      <c r="OE25" s="98"/>
      <c r="OF25" s="98"/>
      <c r="OG25" s="98"/>
      <c r="OH25" s="98"/>
      <c r="OI25" s="98"/>
      <c r="OJ25" s="98"/>
      <c r="OK25" s="98"/>
      <c r="OL25" s="98"/>
      <c r="OM25" s="98"/>
      <c r="ON25" s="98"/>
      <c r="OO25" s="98"/>
      <c r="OP25" s="98"/>
      <c r="OQ25" s="98"/>
      <c r="OR25" s="98"/>
      <c r="OS25" s="98"/>
      <c r="OT25" s="98"/>
      <c r="OU25" s="98"/>
      <c r="OV25" s="98"/>
      <c r="OW25" s="98"/>
      <c r="OX25" s="98"/>
      <c r="OY25" s="98"/>
      <c r="OZ25" s="98"/>
      <c r="PA25" s="98"/>
      <c r="PB25" s="98"/>
      <c r="PC25" s="98"/>
      <c r="PD25" s="98"/>
      <c r="PE25" s="98"/>
      <c r="PF25" s="98"/>
      <c r="PG25" s="98"/>
      <c r="PH25" s="98"/>
      <c r="PI25" s="98"/>
      <c r="PJ25" s="98"/>
      <c r="PK25" s="98"/>
      <c r="PL25" s="98"/>
      <c r="PM25" s="98"/>
      <c r="PN25" s="98"/>
      <c r="PO25" s="98"/>
      <c r="PP25" s="98"/>
      <c r="PQ25" s="98"/>
      <c r="PR25" s="98"/>
      <c r="PS25" s="98"/>
      <c r="PT25" s="98"/>
      <c r="PU25" s="98"/>
      <c r="PV25" s="98"/>
      <c r="PW25" s="98"/>
      <c r="PX25" s="98"/>
      <c r="PY25" s="98"/>
      <c r="PZ25" s="98"/>
      <c r="QA25" s="98"/>
      <c r="QB25" s="98"/>
      <c r="QC25" s="98"/>
      <c r="QD25" s="98"/>
      <c r="QE25" s="98"/>
      <c r="QF25" s="98"/>
      <c r="QG25" s="98"/>
      <c r="QH25" s="98"/>
      <c r="QI25" s="98"/>
      <c r="QJ25" s="98"/>
      <c r="QK25" s="98"/>
      <c r="QL25" s="98"/>
      <c r="QM25" s="98"/>
      <c r="QN25" s="98"/>
      <c r="QO25" s="98"/>
      <c r="QP25" s="98"/>
      <c r="QQ25" s="98"/>
      <c r="QR25" s="98"/>
      <c r="QS25" s="98"/>
      <c r="QT25" s="98"/>
      <c r="QU25" s="98"/>
      <c r="QV25" s="98"/>
      <c r="QW25" s="98"/>
      <c r="QX25" s="98"/>
      <c r="QY25" s="98"/>
      <c r="QZ25" s="98"/>
      <c r="RA25" s="98"/>
      <c r="RB25" s="98"/>
      <c r="RC25" s="98"/>
      <c r="RD25" s="98"/>
      <c r="RE25" s="98"/>
      <c r="RF25" s="98"/>
      <c r="RG25" s="98"/>
      <c r="RH25" s="98"/>
      <c r="RI25" s="98"/>
      <c r="RJ25" s="98"/>
      <c r="RK25" s="98"/>
      <c r="RL25" s="98"/>
      <c r="RM25" s="98"/>
      <c r="RN25" s="98"/>
      <c r="RO25" s="98"/>
      <c r="RP25" s="98"/>
      <c r="RQ25" s="98"/>
      <c r="RR25" s="98"/>
      <c r="RS25" s="98"/>
      <c r="RT25" s="98"/>
      <c r="RU25" s="98"/>
      <c r="RV25" s="98"/>
      <c r="RW25" s="98"/>
      <c r="RX25" s="98"/>
      <c r="RY25" s="98"/>
      <c r="RZ25" s="98"/>
      <c r="SA25" s="98"/>
      <c r="SB25" s="98"/>
      <c r="SC25" s="98"/>
      <c r="SD25" s="98"/>
      <c r="SE25" s="98"/>
      <c r="SF25" s="98"/>
      <c r="SG25" s="98"/>
      <c r="SH25" s="98"/>
      <c r="SI25" s="98"/>
      <c r="SJ25" s="98"/>
      <c r="SK25" s="98"/>
      <c r="SL25" s="98"/>
      <c r="SM25" s="98"/>
      <c r="SN25" s="98"/>
      <c r="SO25" s="98"/>
      <c r="SP25" s="98"/>
      <c r="SQ25" s="98"/>
      <c r="SR25" s="98"/>
      <c r="SS25" s="98"/>
      <c r="ST25" s="98"/>
      <c r="SU25" s="98"/>
      <c r="SV25" s="98"/>
      <c r="SW25" s="98"/>
      <c r="SX25" s="98"/>
      <c r="SY25" s="98"/>
      <c r="SZ25" s="98"/>
      <c r="TA25" s="98"/>
      <c r="TB25" s="98"/>
      <c r="TC25" s="98"/>
      <c r="TD25" s="98"/>
      <c r="TE25" s="98"/>
      <c r="TF25" s="98"/>
      <c r="TG25" s="98"/>
      <c r="TH25" s="98"/>
      <c r="TI25" s="98"/>
      <c r="TJ25" s="98"/>
      <c r="TK25" s="98"/>
      <c r="TL25" s="98"/>
      <c r="TM25" s="98"/>
      <c r="TN25" s="98"/>
      <c r="TO25" s="98"/>
      <c r="TP25" s="98"/>
      <c r="TQ25" s="98"/>
      <c r="TR25" s="98"/>
      <c r="TS25" s="98"/>
      <c r="TT25" s="98"/>
      <c r="TU25" s="98"/>
      <c r="TV25" s="98"/>
      <c r="TW25" s="98"/>
      <c r="TX25" s="98"/>
      <c r="TY25" s="98"/>
      <c r="TZ25" s="98"/>
      <c r="UA25" s="98"/>
      <c r="UB25" s="98"/>
      <c r="UC25" s="98"/>
      <c r="UD25" s="98"/>
      <c r="UE25" s="98"/>
      <c r="UF25" s="98"/>
      <c r="UG25" s="98"/>
      <c r="UH25" s="98"/>
      <c r="UI25" s="98"/>
      <c r="UJ25" s="98"/>
      <c r="UK25" s="98"/>
      <c r="UL25" s="98"/>
      <c r="UM25" s="98"/>
      <c r="UN25" s="98"/>
      <c r="UO25" s="98"/>
      <c r="UP25" s="98"/>
      <c r="UQ25" s="98"/>
      <c r="UR25" s="98"/>
      <c r="US25" s="98"/>
      <c r="UT25" s="98"/>
      <c r="UU25" s="98"/>
      <c r="UV25" s="98"/>
      <c r="UW25" s="98"/>
      <c r="UX25" s="98"/>
      <c r="UY25" s="98"/>
      <c r="UZ25" s="98"/>
      <c r="VA25" s="98"/>
      <c r="VB25" s="98"/>
      <c r="VC25" s="98"/>
      <c r="VD25" s="98"/>
      <c r="VE25" s="98"/>
      <c r="VF25" s="98"/>
      <c r="VG25" s="98"/>
      <c r="VH25" s="98"/>
      <c r="VI25" s="98"/>
      <c r="VJ25" s="98"/>
      <c r="VK25" s="98"/>
      <c r="VL25" s="98"/>
      <c r="VM25" s="98"/>
      <c r="VN25" s="98"/>
      <c r="VO25" s="98"/>
      <c r="VP25" s="98"/>
      <c r="VQ25" s="98"/>
      <c r="VR25" s="98"/>
      <c r="VS25" s="98"/>
      <c r="VT25" s="98"/>
      <c r="VU25" s="98"/>
      <c r="VV25" s="98"/>
      <c r="VW25" s="98"/>
      <c r="VX25" s="98"/>
      <c r="VY25" s="98"/>
      <c r="VZ25" s="98"/>
      <c r="WA25" s="98"/>
      <c r="WB25" s="98"/>
      <c r="WC25" s="98"/>
      <c r="WD25" s="98"/>
      <c r="WE25" s="98"/>
      <c r="WF25" s="98"/>
      <c r="WG25" s="98"/>
      <c r="WH25" s="98"/>
      <c r="WI25" s="98"/>
      <c r="WJ25" s="98"/>
      <c r="WK25" s="98"/>
      <c r="WL25" s="98"/>
      <c r="WM25" s="98"/>
      <c r="WN25" s="98"/>
      <c r="WO25" s="98"/>
      <c r="WP25" s="98"/>
      <c r="WQ25" s="98"/>
      <c r="WR25" s="98"/>
      <c r="WS25" s="98"/>
      <c r="WT25" s="98"/>
      <c r="WU25" s="98"/>
      <c r="WV25" s="98"/>
      <c r="WW25" s="98"/>
      <c r="WX25" s="98"/>
      <c r="WY25" s="98"/>
      <c r="WZ25" s="98"/>
      <c r="XA25" s="98"/>
      <c r="XB25" s="98"/>
      <c r="XC25" s="98"/>
      <c r="XD25" s="98"/>
      <c r="XE25" s="98"/>
      <c r="XF25" s="98"/>
      <c r="XG25" s="98"/>
      <c r="XH25" s="98"/>
      <c r="XI25" s="98"/>
      <c r="XJ25" s="98"/>
      <c r="XK25" s="98"/>
      <c r="XL25" s="98"/>
      <c r="XM25" s="98"/>
      <c r="XN25" s="98"/>
      <c r="XO25" s="98"/>
      <c r="XP25" s="98"/>
      <c r="XQ25" s="98"/>
      <c r="XR25" s="98"/>
      <c r="XS25" s="98"/>
      <c r="XT25" s="98"/>
      <c r="XU25" s="98"/>
      <c r="XV25" s="98"/>
      <c r="XW25" s="98"/>
      <c r="XX25" s="98"/>
      <c r="XY25" s="98"/>
      <c r="XZ25" s="98"/>
      <c r="YA25" s="98"/>
      <c r="YB25" s="98"/>
      <c r="YC25" s="98"/>
      <c r="YD25" s="98"/>
      <c r="YE25" s="98"/>
      <c r="YF25" s="98"/>
      <c r="YG25" s="98"/>
      <c r="YH25" s="98"/>
      <c r="YI25" s="98"/>
      <c r="YJ25" s="98"/>
      <c r="YK25" s="98"/>
      <c r="YL25" s="98"/>
      <c r="YM25" s="98"/>
      <c r="YN25" s="98"/>
      <c r="YO25" s="98"/>
      <c r="YP25" s="98"/>
      <c r="YQ25" s="98"/>
      <c r="YR25" s="98"/>
      <c r="YS25" s="98"/>
      <c r="YT25" s="98"/>
      <c r="YU25" s="98"/>
      <c r="YV25" s="98"/>
      <c r="YW25" s="98"/>
      <c r="YX25" s="98"/>
      <c r="YY25" s="98"/>
      <c r="YZ25" s="98"/>
      <c r="ZA25" s="98"/>
      <c r="ZB25" s="98"/>
      <c r="ZC25" s="98"/>
      <c r="ZD25" s="98"/>
      <c r="ZE25" s="98"/>
      <c r="ZF25" s="98"/>
      <c r="ZG25" s="98"/>
      <c r="ZH25" s="98"/>
      <c r="ZI25" s="98"/>
      <c r="ZJ25" s="98"/>
      <c r="ZK25" s="98"/>
      <c r="ZL25" s="98"/>
      <c r="ZM25" s="98"/>
      <c r="ZN25" s="98"/>
      <c r="ZO25" s="98"/>
      <c r="ZP25" s="98"/>
      <c r="ZQ25" s="98"/>
      <c r="ZR25" s="98"/>
      <c r="ZS25" s="98"/>
      <c r="ZT25" s="98"/>
      <c r="ZU25" s="98"/>
      <c r="ZV25" s="98"/>
      <c r="ZW25" s="98"/>
      <c r="ZX25" s="98"/>
      <c r="ZY25" s="98"/>
      <c r="ZZ25" s="98"/>
      <c r="AAA25" s="98"/>
      <c r="AAB25" s="98"/>
      <c r="AAC25" s="98"/>
      <c r="AAD25" s="98"/>
      <c r="AAE25" s="98"/>
      <c r="AAF25" s="98"/>
      <c r="AAG25" s="98"/>
      <c r="AAH25" s="98"/>
      <c r="AAI25" s="98"/>
      <c r="AAJ25" s="98"/>
      <c r="AAK25" s="98"/>
      <c r="AAL25" s="98"/>
      <c r="AAM25" s="98"/>
      <c r="AAN25" s="98"/>
      <c r="AAO25" s="98"/>
      <c r="AAP25" s="98"/>
      <c r="AAQ25" s="98"/>
      <c r="AAR25" s="98"/>
      <c r="AAS25" s="98"/>
      <c r="AAT25" s="98"/>
      <c r="AAU25" s="98"/>
      <c r="AAV25" s="98"/>
      <c r="AAW25" s="98"/>
      <c r="AAX25" s="98"/>
      <c r="AAY25" s="98"/>
      <c r="AAZ25" s="98"/>
      <c r="ABA25" s="98"/>
      <c r="ABB25" s="98"/>
      <c r="ABC25" s="98"/>
      <c r="ABD25" s="98"/>
      <c r="ABE25" s="98"/>
      <c r="ABF25" s="98"/>
      <c r="ABG25" s="98"/>
      <c r="ABH25" s="98"/>
      <c r="ABI25" s="98"/>
      <c r="ABJ25" s="98"/>
      <c r="ABK25" s="98"/>
      <c r="ABL25" s="98"/>
      <c r="ABM25" s="98"/>
      <c r="ABN25" s="98"/>
      <c r="ABO25" s="98"/>
      <c r="ABP25" s="98"/>
      <c r="ABQ25" s="98"/>
      <c r="ABR25" s="98"/>
      <c r="ABS25" s="98"/>
      <c r="ABT25" s="98"/>
      <c r="ABU25" s="98"/>
      <c r="ABV25" s="98"/>
      <c r="ABW25" s="98"/>
      <c r="ABX25" s="98"/>
      <c r="ABY25" s="98"/>
      <c r="ABZ25" s="98"/>
      <c r="ACA25" s="98"/>
      <c r="ACB25" s="98"/>
      <c r="ACC25" s="98"/>
      <c r="ACD25" s="98"/>
      <c r="ACE25" s="98"/>
      <c r="ACF25" s="98"/>
      <c r="ACG25" s="98"/>
      <c r="ACH25" s="98"/>
      <c r="ACI25" s="98"/>
      <c r="ACJ25" s="98"/>
      <c r="ACK25" s="98"/>
      <c r="ACL25" s="98"/>
      <c r="ACM25" s="98"/>
      <c r="ACN25" s="98"/>
      <c r="ACO25" s="98"/>
      <c r="ACP25" s="98"/>
      <c r="ACQ25" s="98"/>
      <c r="ACR25" s="98"/>
      <c r="ACS25" s="98"/>
      <c r="ACT25" s="98"/>
      <c r="ACU25" s="98"/>
      <c r="ACV25" s="98"/>
      <c r="ACW25" s="98"/>
      <c r="ACX25" s="98"/>
      <c r="ACY25" s="98"/>
      <c r="ACZ25" s="98"/>
      <c r="ADA25" s="98"/>
      <c r="ADB25" s="98"/>
      <c r="ADC25" s="98"/>
      <c r="ADD25" s="98"/>
      <c r="ADE25" s="98"/>
      <c r="ADF25" s="98"/>
      <c r="ADG25" s="98"/>
      <c r="ADH25" s="98"/>
      <c r="ADI25" s="98"/>
      <c r="ADJ25" s="98"/>
      <c r="ADK25" s="98"/>
      <c r="ADL25" s="98"/>
      <c r="ADM25" s="98"/>
      <c r="ADN25" s="98"/>
      <c r="ADO25" s="98"/>
      <c r="ADP25" s="98"/>
      <c r="ADQ25" s="98"/>
      <c r="ADR25" s="98"/>
      <c r="ADS25" s="98"/>
      <c r="ADT25" s="98"/>
      <c r="ADU25" s="98"/>
      <c r="ADV25" s="98"/>
      <c r="ADW25" s="98"/>
      <c r="ADX25" s="98"/>
      <c r="ADY25" s="98"/>
      <c r="ADZ25" s="98"/>
      <c r="AEA25" s="98"/>
      <c r="AEB25" s="98"/>
      <c r="AEC25" s="98"/>
      <c r="AED25" s="98"/>
      <c r="AEE25" s="98"/>
      <c r="AEF25" s="98"/>
      <c r="AEG25" s="98"/>
      <c r="AEH25" s="98"/>
      <c r="AEI25" s="98"/>
      <c r="AEJ25" s="98"/>
      <c r="AEK25" s="98"/>
      <c r="AEL25" s="98"/>
      <c r="AEM25" s="98"/>
      <c r="AEN25" s="98"/>
      <c r="AEO25" s="98"/>
      <c r="AEP25" s="98"/>
      <c r="AEQ25" s="98"/>
      <c r="AER25" s="98"/>
      <c r="AES25" s="98"/>
      <c r="AET25" s="98"/>
      <c r="AEU25" s="98"/>
      <c r="AEV25" s="98"/>
      <c r="AEW25" s="98"/>
      <c r="AEX25" s="98"/>
      <c r="AEY25" s="98"/>
      <c r="AEZ25" s="98"/>
      <c r="AFA25" s="98"/>
      <c r="AFB25" s="98"/>
      <c r="AFC25" s="98"/>
      <c r="AFD25" s="98"/>
      <c r="AFE25" s="98"/>
      <c r="AFF25" s="98"/>
      <c r="AFG25" s="98"/>
      <c r="AFH25" s="98"/>
      <c r="AFI25" s="98"/>
      <c r="AFJ25" s="98"/>
      <c r="AFK25" s="98"/>
      <c r="AFL25" s="98"/>
      <c r="AFM25" s="98"/>
      <c r="AFN25" s="98"/>
      <c r="AFO25" s="98"/>
      <c r="AFP25" s="98"/>
      <c r="AFQ25" s="98"/>
      <c r="AFR25" s="98"/>
      <c r="AFS25" s="98"/>
      <c r="AFT25" s="98"/>
      <c r="AFU25" s="98"/>
      <c r="AFV25" s="98"/>
      <c r="AFW25" s="98"/>
      <c r="AFX25" s="98"/>
      <c r="AFY25" s="98"/>
      <c r="AFZ25" s="98"/>
      <c r="AGA25" s="98"/>
      <c r="AGB25" s="98"/>
      <c r="AGC25" s="98"/>
      <c r="AGD25" s="98"/>
      <c r="AGE25" s="98"/>
      <c r="AGF25" s="98"/>
      <c r="AGG25" s="98"/>
      <c r="AGH25" s="98"/>
      <c r="AGI25" s="98"/>
      <c r="AGJ25" s="98"/>
      <c r="AGK25" s="98"/>
      <c r="AGL25" s="98"/>
      <c r="AGM25" s="98"/>
      <c r="AGN25" s="98"/>
      <c r="AGO25" s="98"/>
      <c r="AGP25" s="98"/>
      <c r="AGQ25" s="98"/>
      <c r="AGR25" s="98"/>
      <c r="AGS25" s="98"/>
      <c r="AGT25" s="98"/>
      <c r="AGU25" s="98"/>
      <c r="AGV25" s="98"/>
      <c r="AGW25" s="98"/>
      <c r="AGX25" s="98"/>
      <c r="AGY25" s="98"/>
      <c r="AGZ25" s="98"/>
      <c r="AHA25" s="98"/>
      <c r="AHB25" s="98"/>
      <c r="AHC25" s="98"/>
      <c r="AHD25" s="98"/>
      <c r="AHE25" s="98"/>
      <c r="AHF25" s="98"/>
      <c r="AHG25" s="98"/>
      <c r="AHH25" s="98"/>
      <c r="AHI25" s="98"/>
      <c r="AHJ25" s="98"/>
      <c r="AHK25" s="98"/>
      <c r="AHL25" s="98"/>
      <c r="AHM25" s="98"/>
      <c r="AHN25" s="98"/>
      <c r="AHO25" s="98"/>
      <c r="AHP25" s="98"/>
      <c r="AHQ25" s="98"/>
      <c r="AHR25" s="98"/>
      <c r="AHS25" s="98"/>
      <c r="AHT25" s="98"/>
      <c r="AHU25" s="98"/>
      <c r="AHV25" s="98"/>
      <c r="AHW25" s="98"/>
      <c r="AHX25" s="98"/>
      <c r="AHY25" s="98"/>
      <c r="AHZ25" s="98"/>
      <c r="AIA25" s="98"/>
      <c r="AIB25" s="98"/>
      <c r="AIC25" s="98"/>
      <c r="AID25" s="98"/>
      <c r="AIE25" s="98"/>
      <c r="AIF25" s="98"/>
      <c r="AIG25" s="98"/>
      <c r="AIH25" s="98"/>
      <c r="AII25" s="98"/>
      <c r="AIJ25" s="98"/>
      <c r="AIK25" s="98"/>
      <c r="AIL25" s="98"/>
      <c r="AIM25" s="98"/>
      <c r="AIN25" s="98"/>
      <c r="AIO25" s="98"/>
      <c r="AIP25" s="98"/>
      <c r="AIQ25" s="98"/>
      <c r="AIR25" s="98"/>
      <c r="AIS25" s="98"/>
      <c r="AIT25" s="98"/>
      <c r="AIU25" s="98"/>
      <c r="AIV25" s="98"/>
      <c r="AIW25" s="98"/>
      <c r="AIX25" s="98"/>
      <c r="AIY25" s="98"/>
      <c r="AIZ25" s="98"/>
      <c r="AJA25" s="98"/>
      <c r="AJB25" s="98"/>
      <c r="AJC25" s="98"/>
      <c r="AJD25" s="98"/>
      <c r="AJE25" s="98"/>
      <c r="AJF25" s="98"/>
      <c r="AJG25" s="98"/>
      <c r="AJH25" s="98"/>
      <c r="AJI25" s="98"/>
      <c r="AJJ25" s="98"/>
      <c r="AJK25" s="98"/>
      <c r="AJL25" s="98"/>
      <c r="AJM25" s="98"/>
      <c r="AJN25" s="98"/>
      <c r="AJO25" s="98"/>
      <c r="AJP25" s="98"/>
      <c r="AJQ25" s="98"/>
      <c r="AJR25" s="98"/>
      <c r="AJS25" s="98"/>
      <c r="AJT25" s="98"/>
      <c r="AJU25" s="98"/>
      <c r="AJV25" s="98"/>
      <c r="AJW25" s="98"/>
      <c r="AJX25" s="98"/>
      <c r="AJY25" s="98"/>
      <c r="AJZ25" s="98"/>
      <c r="AKA25" s="98"/>
      <c r="AKB25" s="98"/>
      <c r="AKC25" s="98"/>
      <c r="AKD25" s="98"/>
      <c r="AKE25" s="98"/>
      <c r="AKF25" s="98"/>
      <c r="AKG25" s="98"/>
      <c r="AKH25" s="98"/>
      <c r="AKI25" s="98"/>
      <c r="AKJ25" s="98"/>
      <c r="AKK25" s="98"/>
      <c r="AKL25" s="98"/>
      <c r="AKM25" s="98"/>
      <c r="AKN25" s="98"/>
      <c r="AKO25" s="98"/>
      <c r="AKP25" s="98"/>
      <c r="AKQ25" s="98"/>
      <c r="AKR25" s="98"/>
      <c r="AKS25" s="98"/>
      <c r="AKT25" s="98"/>
      <c r="AKU25" s="98"/>
      <c r="AKV25" s="98"/>
      <c r="AKW25" s="98"/>
      <c r="AKX25" s="98"/>
      <c r="AKY25" s="98"/>
      <c r="AKZ25" s="98"/>
      <c r="ALA25" s="98"/>
      <c r="ALB25" s="98"/>
      <c r="ALC25" s="98"/>
      <c r="ALD25" s="98"/>
      <c r="ALE25" s="98"/>
      <c r="ALF25" s="98"/>
      <c r="ALG25" s="98"/>
      <c r="ALH25" s="98"/>
      <c r="ALI25" s="98"/>
      <c r="ALJ25" s="98"/>
      <c r="ALK25" s="98"/>
      <c r="ALL25" s="98"/>
      <c r="ALM25" s="98"/>
      <c r="ALN25" s="98"/>
      <c r="ALO25" s="98"/>
      <c r="ALP25" s="98"/>
      <c r="ALQ25" s="98"/>
      <c r="ALR25" s="98"/>
      <c r="ALS25" s="98"/>
      <c r="ALT25" s="98"/>
      <c r="ALU25" s="98"/>
      <c r="ALV25" s="98"/>
      <c r="ALW25" s="98"/>
      <c r="ALX25" s="98"/>
      <c r="ALY25" s="98"/>
      <c r="ALZ25" s="98"/>
      <c r="AMA25" s="98"/>
      <c r="AMB25" s="98"/>
      <c r="AMC25" s="98"/>
      <c r="AMD25" s="98"/>
      <c r="AME25" s="98"/>
      <c r="AMF25" s="98"/>
      <c r="AMG25" s="98"/>
      <c r="AMH25" s="98"/>
      <c r="AMI25" s="98"/>
      <c r="AMJ25" s="98"/>
      <c r="AMK25" s="98"/>
      <c r="AML25" s="98"/>
      <c r="AMM25" s="98"/>
      <c r="AMN25" s="98"/>
      <c r="AMO25" s="98"/>
      <c r="AMP25" s="98"/>
      <c r="AMQ25" s="98"/>
      <c r="AMR25" s="98"/>
      <c r="AMS25" s="98"/>
      <c r="AMT25" s="98"/>
      <c r="AMU25" s="98"/>
      <c r="AMV25" s="98"/>
      <c r="AMW25" s="98"/>
      <c r="AMX25" s="98"/>
      <c r="AMY25" s="98"/>
      <c r="AMZ25" s="98"/>
      <c r="ANA25" s="98"/>
      <c r="ANB25" s="98"/>
      <c r="ANC25" s="98"/>
      <c r="AND25" s="98"/>
      <c r="ANE25" s="98"/>
      <c r="ANF25" s="98"/>
      <c r="ANG25" s="98"/>
      <c r="ANH25" s="98"/>
      <c r="ANI25" s="98"/>
      <c r="ANJ25" s="98"/>
      <c r="ANK25" s="98"/>
      <c r="ANL25" s="98"/>
      <c r="ANM25" s="98"/>
      <c r="ANN25" s="98"/>
      <c r="ANO25" s="98"/>
      <c r="ANP25" s="98"/>
      <c r="ANQ25" s="98"/>
      <c r="ANR25" s="98"/>
      <c r="ANS25" s="98"/>
      <c r="ANT25" s="98"/>
      <c r="ANU25" s="98"/>
      <c r="ANV25" s="98"/>
      <c r="ANW25" s="98"/>
      <c r="ANX25" s="98"/>
      <c r="ANY25" s="98"/>
      <c r="ANZ25" s="98"/>
      <c r="AOA25" s="98"/>
      <c r="AOB25" s="98"/>
      <c r="AOC25" s="98"/>
      <c r="AOD25" s="98"/>
      <c r="AOE25" s="98"/>
      <c r="AOF25" s="98"/>
      <c r="AOG25" s="98"/>
      <c r="AOH25" s="98"/>
      <c r="AOI25" s="98"/>
      <c r="AOJ25" s="98"/>
      <c r="AOK25" s="98"/>
      <c r="AOL25" s="98"/>
      <c r="AOM25" s="98"/>
      <c r="AON25" s="98"/>
      <c r="AOO25" s="98"/>
      <c r="AOP25" s="98"/>
      <c r="AOQ25" s="98"/>
      <c r="AOR25" s="98"/>
      <c r="AOS25" s="98"/>
      <c r="AOT25" s="98"/>
      <c r="AOU25" s="98"/>
      <c r="AOV25" s="98"/>
      <c r="AOW25" s="98"/>
      <c r="AOX25" s="98"/>
      <c r="AOY25" s="98"/>
      <c r="AOZ25" s="98"/>
      <c r="APA25" s="98"/>
      <c r="APB25" s="98"/>
      <c r="APC25" s="98"/>
      <c r="APD25" s="98"/>
      <c r="APE25" s="98"/>
      <c r="APF25" s="98"/>
      <c r="APG25" s="98"/>
      <c r="APH25" s="98"/>
      <c r="API25" s="98"/>
      <c r="APJ25" s="98"/>
      <c r="APK25" s="98"/>
      <c r="APL25" s="98"/>
      <c r="APM25" s="98"/>
      <c r="APN25" s="98"/>
      <c r="APO25" s="98"/>
      <c r="APP25" s="98"/>
      <c r="APQ25" s="98"/>
      <c r="APR25" s="98"/>
      <c r="APS25" s="98"/>
      <c r="APT25" s="98"/>
      <c r="APU25" s="98"/>
      <c r="APV25" s="98"/>
      <c r="APW25" s="98"/>
      <c r="APX25" s="98"/>
      <c r="APY25" s="98"/>
      <c r="APZ25" s="98"/>
      <c r="AQA25" s="98"/>
      <c r="AQB25" s="98"/>
      <c r="AQC25" s="98"/>
      <c r="AQD25" s="98"/>
      <c r="AQE25" s="98"/>
      <c r="AQF25" s="98"/>
      <c r="AQG25" s="98"/>
      <c r="AQH25" s="98"/>
      <c r="AQI25" s="98"/>
      <c r="AQJ25" s="98"/>
      <c r="AQK25" s="98"/>
      <c r="AQL25" s="98"/>
      <c r="AQM25" s="98"/>
      <c r="AQN25" s="98"/>
      <c r="AQO25" s="98"/>
      <c r="AQP25" s="98"/>
      <c r="AQQ25" s="98"/>
      <c r="AQR25" s="98"/>
      <c r="AQS25" s="98"/>
      <c r="AQT25" s="98"/>
      <c r="AQU25" s="98"/>
      <c r="AQV25" s="98"/>
      <c r="AQW25" s="98"/>
      <c r="AQX25" s="98"/>
      <c r="AQY25" s="98"/>
      <c r="AQZ25" s="98"/>
      <c r="ARA25" s="98"/>
      <c r="ARB25" s="98"/>
      <c r="ARC25" s="98"/>
      <c r="ARD25" s="98"/>
      <c r="ARE25" s="98"/>
      <c r="ARF25" s="98"/>
      <c r="ARG25" s="98"/>
      <c r="ARH25" s="98"/>
      <c r="ARI25" s="98"/>
      <c r="ARJ25" s="98"/>
      <c r="ARK25" s="98"/>
      <c r="ARL25" s="98"/>
      <c r="ARM25" s="98"/>
      <c r="ARN25" s="98"/>
      <c r="ARO25" s="98"/>
      <c r="ARP25" s="98"/>
      <c r="ARQ25" s="98"/>
      <c r="ARR25" s="98"/>
      <c r="ARS25" s="98"/>
    </row>
    <row r="26" spans="1:1163" s="174" customFormat="1">
      <c r="A26" s="140" t="s">
        <v>101</v>
      </c>
      <c r="B26" s="119" t="s">
        <v>67</v>
      </c>
      <c r="C26" s="175">
        <v>1</v>
      </c>
      <c r="D26" s="175">
        <v>50</v>
      </c>
      <c r="E26" s="175">
        <v>0</v>
      </c>
      <c r="F26" s="175">
        <v>0</v>
      </c>
      <c r="G26" s="175">
        <v>0</v>
      </c>
      <c r="H26" s="175">
        <v>0</v>
      </c>
      <c r="I26" s="175">
        <v>0</v>
      </c>
      <c r="J26" s="175">
        <v>0</v>
      </c>
      <c r="K26" s="175">
        <v>0</v>
      </c>
      <c r="L26" s="175">
        <v>0</v>
      </c>
      <c r="M26" s="175">
        <v>0</v>
      </c>
      <c r="N26" s="175">
        <v>0</v>
      </c>
      <c r="O26" s="175">
        <v>0</v>
      </c>
      <c r="P26" s="175">
        <v>0</v>
      </c>
      <c r="Q26" s="175">
        <v>0</v>
      </c>
      <c r="R26" s="175">
        <v>0</v>
      </c>
      <c r="S26" s="175">
        <v>0</v>
      </c>
      <c r="T26" s="175">
        <v>0</v>
      </c>
      <c r="U26" s="175">
        <v>0</v>
      </c>
      <c r="V26" s="175">
        <v>0</v>
      </c>
      <c r="W26" s="175">
        <v>0</v>
      </c>
      <c r="X26" s="175">
        <v>0</v>
      </c>
      <c r="Y26" s="175">
        <v>0</v>
      </c>
      <c r="Z26" s="175">
        <v>0</v>
      </c>
      <c r="AA26" s="175">
        <v>0</v>
      </c>
      <c r="AB26" s="175">
        <v>0</v>
      </c>
      <c r="AC26" s="175">
        <v>0</v>
      </c>
      <c r="AD26" s="175">
        <v>0</v>
      </c>
      <c r="AE26" s="175">
        <v>0</v>
      </c>
      <c r="AF26" s="175">
        <v>0</v>
      </c>
      <c r="AG26" s="175">
        <v>0</v>
      </c>
      <c r="AH26" s="175">
        <v>0</v>
      </c>
      <c r="AI26" s="175">
        <v>0</v>
      </c>
      <c r="AJ26" s="175">
        <v>0</v>
      </c>
      <c r="AK26" s="175">
        <v>0</v>
      </c>
      <c r="AL26" s="175">
        <v>0</v>
      </c>
      <c r="AM26" s="175">
        <v>0</v>
      </c>
      <c r="AN26" s="175">
        <v>0</v>
      </c>
      <c r="AO26" s="175">
        <v>0</v>
      </c>
      <c r="AP26" s="175">
        <v>0</v>
      </c>
      <c r="AQ26" s="175">
        <v>0</v>
      </c>
      <c r="AR26" s="175">
        <v>0</v>
      </c>
      <c r="AS26" s="175">
        <v>0</v>
      </c>
      <c r="AT26" s="175">
        <v>0</v>
      </c>
      <c r="AU26" s="175">
        <v>0</v>
      </c>
      <c r="AV26" s="175">
        <v>0</v>
      </c>
      <c r="AW26" s="175">
        <v>0</v>
      </c>
      <c r="AX26" s="175">
        <v>0</v>
      </c>
      <c r="AY26" s="142">
        <v>0</v>
      </c>
      <c r="AZ26" s="142">
        <v>0</v>
      </c>
      <c r="BA26" s="144"/>
      <c r="BB26" s="175"/>
      <c r="BC26" s="175"/>
      <c r="BD26" s="175"/>
      <c r="BE26" s="175"/>
      <c r="BF26" s="175"/>
      <c r="BG26" s="175"/>
      <c r="BH26" s="175"/>
      <c r="BI26" s="144"/>
      <c r="BJ26" s="98"/>
      <c r="BK26" s="148"/>
      <c r="BL26" s="148"/>
      <c r="BM26" s="148"/>
      <c r="BN26" s="14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98"/>
      <c r="HB26" s="98"/>
      <c r="HC26" s="98"/>
      <c r="HD26" s="98"/>
      <c r="HE26" s="98"/>
      <c r="HF26" s="98"/>
      <c r="HG26" s="98"/>
      <c r="HH26" s="98"/>
      <c r="HI26" s="98"/>
      <c r="HJ26" s="98"/>
      <c r="HK26" s="98"/>
      <c r="HL26" s="98"/>
      <c r="HM26" s="98"/>
      <c r="HN26" s="98"/>
      <c r="HO26" s="98"/>
      <c r="HP26" s="98"/>
      <c r="HQ26" s="98"/>
      <c r="HR26" s="98"/>
      <c r="HS26" s="98"/>
      <c r="HT26" s="98"/>
      <c r="HU26" s="98"/>
      <c r="HV26" s="98"/>
      <c r="HW26" s="98"/>
      <c r="HX26" s="98"/>
      <c r="HY26" s="98"/>
      <c r="HZ26" s="98"/>
      <c r="IA26" s="98"/>
      <c r="IB26" s="98"/>
      <c r="IC26" s="98"/>
      <c r="ID26" s="98"/>
      <c r="IE26" s="98"/>
      <c r="IF26" s="98"/>
      <c r="IG26" s="98"/>
      <c r="IH26" s="98"/>
      <c r="II26" s="98"/>
      <c r="IJ26" s="98"/>
      <c r="IK26" s="98"/>
      <c r="IL26" s="98"/>
      <c r="IM26" s="98"/>
      <c r="IN26" s="98"/>
      <c r="IO26" s="98"/>
      <c r="IP26" s="98"/>
      <c r="IQ26" s="98"/>
      <c r="IR26" s="98"/>
      <c r="IS26" s="98"/>
      <c r="IT26" s="98"/>
      <c r="IU26" s="98"/>
      <c r="IV26" s="98"/>
      <c r="IW26" s="98"/>
      <c r="IX26" s="98"/>
      <c r="IY26" s="98"/>
      <c r="IZ26" s="98"/>
      <c r="JA26" s="98"/>
      <c r="JB26" s="98"/>
      <c r="JC26" s="98"/>
      <c r="JD26" s="98"/>
      <c r="JE26" s="98"/>
      <c r="JF26" s="98"/>
      <c r="JG26" s="98"/>
      <c r="JH26" s="98"/>
      <c r="JI26" s="98"/>
      <c r="JJ26" s="98"/>
      <c r="JK26" s="98"/>
      <c r="JL26" s="98"/>
      <c r="JM26" s="98"/>
      <c r="JN26" s="98"/>
      <c r="JO26" s="98"/>
      <c r="JP26" s="98"/>
      <c r="JQ26" s="98"/>
      <c r="JR26" s="98"/>
      <c r="JS26" s="98"/>
      <c r="JT26" s="98"/>
      <c r="JU26" s="98"/>
      <c r="JV26" s="98"/>
      <c r="JW26" s="98"/>
      <c r="JX26" s="98"/>
      <c r="JY26" s="98"/>
      <c r="JZ26" s="98"/>
      <c r="KA26" s="98"/>
      <c r="KB26" s="98"/>
      <c r="KC26" s="98"/>
      <c r="KD26" s="98"/>
      <c r="KE26" s="98"/>
      <c r="KF26" s="98"/>
      <c r="KG26" s="98"/>
      <c r="KH26" s="98"/>
      <c r="KI26" s="98"/>
      <c r="KJ26" s="98"/>
      <c r="KK26" s="98"/>
      <c r="KL26" s="98"/>
      <c r="KM26" s="98"/>
      <c r="KN26" s="98"/>
      <c r="KO26" s="98"/>
      <c r="KP26" s="98"/>
      <c r="KQ26" s="98"/>
      <c r="KR26" s="98"/>
      <c r="KS26" s="98"/>
      <c r="KT26" s="98"/>
      <c r="KU26" s="98"/>
      <c r="KV26" s="98"/>
      <c r="KW26" s="98"/>
      <c r="KX26" s="98"/>
      <c r="KY26" s="98"/>
      <c r="KZ26" s="98"/>
      <c r="LA26" s="98"/>
      <c r="LB26" s="98"/>
      <c r="LC26" s="98"/>
      <c r="LD26" s="98"/>
      <c r="LE26" s="98"/>
      <c r="LF26" s="98"/>
      <c r="LG26" s="98"/>
      <c r="LH26" s="98"/>
      <c r="LI26" s="98"/>
      <c r="LJ26" s="98"/>
      <c r="LK26" s="98"/>
      <c r="LL26" s="98"/>
      <c r="LM26" s="98"/>
      <c r="LN26" s="98"/>
      <c r="LO26" s="98"/>
      <c r="LP26" s="98"/>
      <c r="LQ26" s="98"/>
      <c r="LR26" s="98"/>
      <c r="LS26" s="98"/>
      <c r="LT26" s="98"/>
      <c r="LU26" s="98"/>
      <c r="LV26" s="98"/>
      <c r="LW26" s="98"/>
      <c r="LX26" s="98"/>
      <c r="LY26" s="98"/>
      <c r="LZ26" s="98"/>
      <c r="MA26" s="98"/>
      <c r="MB26" s="98"/>
      <c r="MC26" s="98"/>
      <c r="MD26" s="98"/>
      <c r="ME26" s="98"/>
      <c r="MF26" s="98"/>
      <c r="MG26" s="98"/>
      <c r="MH26" s="98"/>
      <c r="MI26" s="98"/>
      <c r="MJ26" s="98"/>
      <c r="MK26" s="98"/>
      <c r="ML26" s="98"/>
      <c r="MM26" s="98"/>
      <c r="MN26" s="98"/>
      <c r="MO26" s="98"/>
      <c r="MP26" s="98"/>
      <c r="MQ26" s="98"/>
      <c r="MR26" s="98"/>
      <c r="MS26" s="98"/>
      <c r="MT26" s="98"/>
      <c r="MU26" s="98"/>
      <c r="MV26" s="98"/>
      <c r="MW26" s="98"/>
      <c r="MX26" s="98"/>
      <c r="MY26" s="98"/>
      <c r="MZ26" s="98"/>
      <c r="NA26" s="98"/>
      <c r="NB26" s="98"/>
      <c r="NC26" s="98"/>
      <c r="ND26" s="98"/>
      <c r="NE26" s="98"/>
      <c r="NF26" s="98"/>
      <c r="NG26" s="98"/>
      <c r="NH26" s="98"/>
      <c r="NI26" s="98"/>
      <c r="NJ26" s="98"/>
      <c r="NK26" s="98"/>
      <c r="NL26" s="98"/>
      <c r="NM26" s="98"/>
      <c r="NN26" s="98"/>
      <c r="NO26" s="98"/>
      <c r="NP26" s="98"/>
      <c r="NQ26" s="98"/>
      <c r="NR26" s="98"/>
      <c r="NS26" s="98"/>
      <c r="NT26" s="98"/>
      <c r="NU26" s="98"/>
      <c r="NV26" s="98"/>
      <c r="NW26" s="98"/>
      <c r="NX26" s="98"/>
      <c r="NY26" s="98"/>
      <c r="NZ26" s="98"/>
      <c r="OA26" s="98"/>
      <c r="OB26" s="98"/>
      <c r="OC26" s="98"/>
      <c r="OD26" s="98"/>
      <c r="OE26" s="98"/>
      <c r="OF26" s="98"/>
      <c r="OG26" s="98"/>
      <c r="OH26" s="98"/>
      <c r="OI26" s="98"/>
      <c r="OJ26" s="98"/>
      <c r="OK26" s="98"/>
      <c r="OL26" s="98"/>
      <c r="OM26" s="98"/>
      <c r="ON26" s="98"/>
      <c r="OO26" s="98"/>
      <c r="OP26" s="98"/>
      <c r="OQ26" s="98"/>
      <c r="OR26" s="98"/>
      <c r="OS26" s="98"/>
      <c r="OT26" s="98"/>
      <c r="OU26" s="98"/>
      <c r="OV26" s="98"/>
      <c r="OW26" s="98"/>
      <c r="OX26" s="98"/>
      <c r="OY26" s="98"/>
      <c r="OZ26" s="98"/>
      <c r="PA26" s="98"/>
      <c r="PB26" s="98"/>
      <c r="PC26" s="98"/>
      <c r="PD26" s="98"/>
      <c r="PE26" s="98"/>
      <c r="PF26" s="98"/>
      <c r="PG26" s="98"/>
      <c r="PH26" s="98"/>
      <c r="PI26" s="98"/>
      <c r="PJ26" s="98"/>
      <c r="PK26" s="98"/>
      <c r="PL26" s="98"/>
      <c r="PM26" s="98"/>
      <c r="PN26" s="98"/>
      <c r="PO26" s="98"/>
      <c r="PP26" s="98"/>
      <c r="PQ26" s="98"/>
      <c r="PR26" s="98"/>
      <c r="PS26" s="98"/>
      <c r="PT26" s="98"/>
      <c r="PU26" s="98"/>
      <c r="PV26" s="98"/>
      <c r="PW26" s="98"/>
      <c r="PX26" s="98"/>
      <c r="PY26" s="98"/>
      <c r="PZ26" s="98"/>
      <c r="QA26" s="98"/>
      <c r="QB26" s="98"/>
      <c r="QC26" s="98"/>
      <c r="QD26" s="98"/>
      <c r="QE26" s="98"/>
      <c r="QF26" s="98"/>
      <c r="QG26" s="98"/>
      <c r="QH26" s="98"/>
      <c r="QI26" s="98"/>
      <c r="QJ26" s="98"/>
      <c r="QK26" s="98"/>
      <c r="QL26" s="98"/>
      <c r="QM26" s="98"/>
      <c r="QN26" s="98"/>
      <c r="QO26" s="98"/>
      <c r="QP26" s="98"/>
      <c r="QQ26" s="98"/>
      <c r="QR26" s="98"/>
      <c r="QS26" s="98"/>
      <c r="QT26" s="98"/>
      <c r="QU26" s="98"/>
      <c r="QV26" s="98"/>
      <c r="QW26" s="98"/>
      <c r="QX26" s="98"/>
      <c r="QY26" s="98"/>
      <c r="QZ26" s="98"/>
      <c r="RA26" s="98"/>
      <c r="RB26" s="98"/>
      <c r="RC26" s="98"/>
      <c r="RD26" s="98"/>
      <c r="RE26" s="98"/>
      <c r="RF26" s="98"/>
      <c r="RG26" s="98"/>
      <c r="RH26" s="98"/>
      <c r="RI26" s="98"/>
      <c r="RJ26" s="98"/>
      <c r="RK26" s="98"/>
      <c r="RL26" s="98"/>
      <c r="RM26" s="98"/>
      <c r="RN26" s="98"/>
      <c r="RO26" s="98"/>
      <c r="RP26" s="98"/>
      <c r="RQ26" s="98"/>
      <c r="RR26" s="98"/>
      <c r="RS26" s="98"/>
      <c r="RT26" s="98"/>
      <c r="RU26" s="98"/>
      <c r="RV26" s="98"/>
      <c r="RW26" s="98"/>
      <c r="RX26" s="98"/>
      <c r="RY26" s="98"/>
      <c r="RZ26" s="98"/>
      <c r="SA26" s="98"/>
      <c r="SB26" s="98"/>
      <c r="SC26" s="98"/>
      <c r="SD26" s="98"/>
      <c r="SE26" s="98"/>
      <c r="SF26" s="98"/>
      <c r="SG26" s="98"/>
      <c r="SH26" s="98"/>
      <c r="SI26" s="98"/>
      <c r="SJ26" s="98"/>
      <c r="SK26" s="98"/>
      <c r="SL26" s="98"/>
      <c r="SM26" s="98"/>
      <c r="SN26" s="98"/>
      <c r="SO26" s="98"/>
      <c r="SP26" s="98"/>
      <c r="SQ26" s="98"/>
      <c r="SR26" s="98"/>
      <c r="SS26" s="98"/>
      <c r="ST26" s="98"/>
      <c r="SU26" s="98"/>
      <c r="SV26" s="98"/>
      <c r="SW26" s="98"/>
      <c r="SX26" s="98"/>
      <c r="SY26" s="98"/>
      <c r="SZ26" s="98"/>
      <c r="TA26" s="98"/>
      <c r="TB26" s="98"/>
      <c r="TC26" s="98"/>
      <c r="TD26" s="98"/>
      <c r="TE26" s="98"/>
      <c r="TF26" s="98"/>
      <c r="TG26" s="98"/>
      <c r="TH26" s="98"/>
      <c r="TI26" s="98"/>
      <c r="TJ26" s="98"/>
      <c r="TK26" s="98"/>
      <c r="TL26" s="98"/>
      <c r="TM26" s="98"/>
      <c r="TN26" s="98"/>
      <c r="TO26" s="98"/>
      <c r="TP26" s="98"/>
      <c r="TQ26" s="98"/>
      <c r="TR26" s="98"/>
      <c r="TS26" s="98"/>
      <c r="TT26" s="98"/>
      <c r="TU26" s="98"/>
      <c r="TV26" s="98"/>
      <c r="TW26" s="98"/>
      <c r="TX26" s="98"/>
      <c r="TY26" s="98"/>
      <c r="TZ26" s="98"/>
      <c r="UA26" s="98"/>
      <c r="UB26" s="98"/>
      <c r="UC26" s="98"/>
      <c r="UD26" s="98"/>
      <c r="UE26" s="98"/>
      <c r="UF26" s="98"/>
      <c r="UG26" s="98"/>
      <c r="UH26" s="98"/>
      <c r="UI26" s="98"/>
      <c r="UJ26" s="98"/>
      <c r="UK26" s="98"/>
      <c r="UL26" s="98"/>
      <c r="UM26" s="98"/>
      <c r="UN26" s="98"/>
      <c r="UO26" s="98"/>
      <c r="UP26" s="98"/>
      <c r="UQ26" s="98"/>
      <c r="UR26" s="98"/>
      <c r="US26" s="98"/>
      <c r="UT26" s="98"/>
      <c r="UU26" s="98"/>
      <c r="UV26" s="98"/>
      <c r="UW26" s="98"/>
      <c r="UX26" s="98"/>
      <c r="UY26" s="98"/>
      <c r="UZ26" s="98"/>
      <c r="VA26" s="98"/>
      <c r="VB26" s="98"/>
      <c r="VC26" s="98"/>
      <c r="VD26" s="98"/>
      <c r="VE26" s="98"/>
      <c r="VF26" s="98"/>
      <c r="VG26" s="98"/>
      <c r="VH26" s="98"/>
      <c r="VI26" s="98"/>
      <c r="VJ26" s="98"/>
      <c r="VK26" s="98"/>
      <c r="VL26" s="98"/>
      <c r="VM26" s="98"/>
      <c r="VN26" s="98"/>
      <c r="VO26" s="98"/>
      <c r="VP26" s="98"/>
      <c r="VQ26" s="98"/>
      <c r="VR26" s="98"/>
      <c r="VS26" s="98"/>
      <c r="VT26" s="98"/>
      <c r="VU26" s="98"/>
      <c r="VV26" s="98"/>
      <c r="VW26" s="98"/>
      <c r="VX26" s="98"/>
      <c r="VY26" s="98"/>
      <c r="VZ26" s="98"/>
      <c r="WA26" s="98"/>
      <c r="WB26" s="98"/>
      <c r="WC26" s="98"/>
      <c r="WD26" s="98"/>
      <c r="WE26" s="98"/>
      <c r="WF26" s="98"/>
      <c r="WG26" s="98"/>
      <c r="WH26" s="98"/>
      <c r="WI26" s="98"/>
      <c r="WJ26" s="98"/>
      <c r="WK26" s="98"/>
      <c r="WL26" s="98"/>
      <c r="WM26" s="98"/>
      <c r="WN26" s="98"/>
      <c r="WO26" s="98"/>
      <c r="WP26" s="98"/>
      <c r="WQ26" s="98"/>
      <c r="WR26" s="98"/>
      <c r="WS26" s="98"/>
      <c r="WT26" s="98"/>
      <c r="WU26" s="98"/>
      <c r="WV26" s="98"/>
      <c r="WW26" s="98"/>
      <c r="WX26" s="98"/>
      <c r="WY26" s="98"/>
      <c r="WZ26" s="98"/>
      <c r="XA26" s="98"/>
      <c r="XB26" s="98"/>
      <c r="XC26" s="98"/>
      <c r="XD26" s="98"/>
      <c r="XE26" s="98"/>
      <c r="XF26" s="98"/>
      <c r="XG26" s="98"/>
      <c r="XH26" s="98"/>
      <c r="XI26" s="98"/>
      <c r="XJ26" s="98"/>
      <c r="XK26" s="98"/>
      <c r="XL26" s="98"/>
      <c r="XM26" s="98"/>
      <c r="XN26" s="98"/>
      <c r="XO26" s="98"/>
      <c r="XP26" s="98"/>
      <c r="XQ26" s="98"/>
      <c r="XR26" s="98"/>
      <c r="XS26" s="98"/>
      <c r="XT26" s="98"/>
      <c r="XU26" s="98"/>
      <c r="XV26" s="98"/>
      <c r="XW26" s="98"/>
      <c r="XX26" s="98"/>
      <c r="XY26" s="98"/>
      <c r="XZ26" s="98"/>
      <c r="YA26" s="98"/>
      <c r="YB26" s="98"/>
      <c r="YC26" s="98"/>
      <c r="YD26" s="98"/>
      <c r="YE26" s="98"/>
      <c r="YF26" s="98"/>
      <c r="YG26" s="98"/>
      <c r="YH26" s="98"/>
      <c r="YI26" s="98"/>
      <c r="YJ26" s="98"/>
      <c r="YK26" s="98"/>
      <c r="YL26" s="98"/>
      <c r="YM26" s="98"/>
      <c r="YN26" s="98"/>
      <c r="YO26" s="98"/>
      <c r="YP26" s="98"/>
      <c r="YQ26" s="98"/>
      <c r="YR26" s="98"/>
      <c r="YS26" s="98"/>
      <c r="YT26" s="98"/>
      <c r="YU26" s="98"/>
      <c r="YV26" s="98"/>
      <c r="YW26" s="98"/>
      <c r="YX26" s="98"/>
      <c r="YY26" s="98"/>
      <c r="YZ26" s="98"/>
      <c r="ZA26" s="98"/>
      <c r="ZB26" s="98"/>
      <c r="ZC26" s="98"/>
      <c r="ZD26" s="98"/>
      <c r="ZE26" s="98"/>
      <c r="ZF26" s="98"/>
      <c r="ZG26" s="98"/>
      <c r="ZH26" s="98"/>
      <c r="ZI26" s="98"/>
      <c r="ZJ26" s="98"/>
      <c r="ZK26" s="98"/>
      <c r="ZL26" s="98"/>
      <c r="ZM26" s="98"/>
      <c r="ZN26" s="98"/>
      <c r="ZO26" s="98"/>
      <c r="ZP26" s="98"/>
      <c r="ZQ26" s="98"/>
      <c r="ZR26" s="98"/>
      <c r="ZS26" s="98"/>
      <c r="ZT26" s="98"/>
      <c r="ZU26" s="98"/>
      <c r="ZV26" s="98"/>
      <c r="ZW26" s="98"/>
      <c r="ZX26" s="98"/>
      <c r="ZY26" s="98"/>
      <c r="ZZ26" s="98"/>
      <c r="AAA26" s="98"/>
      <c r="AAB26" s="98"/>
      <c r="AAC26" s="98"/>
      <c r="AAD26" s="98"/>
      <c r="AAE26" s="98"/>
      <c r="AAF26" s="98"/>
      <c r="AAG26" s="98"/>
      <c r="AAH26" s="98"/>
      <c r="AAI26" s="98"/>
      <c r="AAJ26" s="98"/>
      <c r="AAK26" s="98"/>
      <c r="AAL26" s="98"/>
      <c r="AAM26" s="98"/>
      <c r="AAN26" s="98"/>
      <c r="AAO26" s="98"/>
      <c r="AAP26" s="98"/>
      <c r="AAQ26" s="98"/>
      <c r="AAR26" s="98"/>
      <c r="AAS26" s="98"/>
      <c r="AAT26" s="98"/>
      <c r="AAU26" s="98"/>
      <c r="AAV26" s="98"/>
      <c r="AAW26" s="98"/>
      <c r="AAX26" s="98"/>
      <c r="AAY26" s="98"/>
      <c r="AAZ26" s="98"/>
      <c r="ABA26" s="98"/>
      <c r="ABB26" s="98"/>
      <c r="ABC26" s="98"/>
      <c r="ABD26" s="98"/>
      <c r="ABE26" s="98"/>
      <c r="ABF26" s="98"/>
      <c r="ABG26" s="98"/>
      <c r="ABH26" s="98"/>
      <c r="ABI26" s="98"/>
      <c r="ABJ26" s="98"/>
      <c r="ABK26" s="98"/>
      <c r="ABL26" s="98"/>
      <c r="ABM26" s="98"/>
      <c r="ABN26" s="98"/>
      <c r="ABO26" s="98"/>
      <c r="ABP26" s="98"/>
      <c r="ABQ26" s="98"/>
      <c r="ABR26" s="98"/>
      <c r="ABS26" s="98"/>
      <c r="ABT26" s="98"/>
      <c r="ABU26" s="98"/>
      <c r="ABV26" s="98"/>
      <c r="ABW26" s="98"/>
      <c r="ABX26" s="98"/>
      <c r="ABY26" s="98"/>
      <c r="ABZ26" s="98"/>
      <c r="ACA26" s="98"/>
      <c r="ACB26" s="98"/>
      <c r="ACC26" s="98"/>
      <c r="ACD26" s="98"/>
      <c r="ACE26" s="98"/>
      <c r="ACF26" s="98"/>
      <c r="ACG26" s="98"/>
      <c r="ACH26" s="98"/>
      <c r="ACI26" s="98"/>
      <c r="ACJ26" s="98"/>
      <c r="ACK26" s="98"/>
      <c r="ACL26" s="98"/>
      <c r="ACM26" s="98"/>
      <c r="ACN26" s="98"/>
      <c r="ACO26" s="98"/>
      <c r="ACP26" s="98"/>
      <c r="ACQ26" s="98"/>
      <c r="ACR26" s="98"/>
      <c r="ACS26" s="98"/>
      <c r="ACT26" s="98"/>
      <c r="ACU26" s="98"/>
      <c r="ACV26" s="98"/>
      <c r="ACW26" s="98"/>
      <c r="ACX26" s="98"/>
      <c r="ACY26" s="98"/>
      <c r="ACZ26" s="98"/>
      <c r="ADA26" s="98"/>
      <c r="ADB26" s="98"/>
      <c r="ADC26" s="98"/>
      <c r="ADD26" s="98"/>
      <c r="ADE26" s="98"/>
      <c r="ADF26" s="98"/>
      <c r="ADG26" s="98"/>
      <c r="ADH26" s="98"/>
      <c r="ADI26" s="98"/>
      <c r="ADJ26" s="98"/>
      <c r="ADK26" s="98"/>
      <c r="ADL26" s="98"/>
      <c r="ADM26" s="98"/>
      <c r="ADN26" s="98"/>
      <c r="ADO26" s="98"/>
      <c r="ADP26" s="98"/>
      <c r="ADQ26" s="98"/>
      <c r="ADR26" s="98"/>
      <c r="ADS26" s="98"/>
      <c r="ADT26" s="98"/>
      <c r="ADU26" s="98"/>
      <c r="ADV26" s="98"/>
      <c r="ADW26" s="98"/>
      <c r="ADX26" s="98"/>
      <c r="ADY26" s="98"/>
      <c r="ADZ26" s="98"/>
      <c r="AEA26" s="98"/>
      <c r="AEB26" s="98"/>
      <c r="AEC26" s="98"/>
      <c r="AED26" s="98"/>
      <c r="AEE26" s="98"/>
      <c r="AEF26" s="98"/>
      <c r="AEG26" s="98"/>
      <c r="AEH26" s="98"/>
      <c r="AEI26" s="98"/>
      <c r="AEJ26" s="98"/>
      <c r="AEK26" s="98"/>
      <c r="AEL26" s="98"/>
      <c r="AEM26" s="98"/>
      <c r="AEN26" s="98"/>
      <c r="AEO26" s="98"/>
      <c r="AEP26" s="98"/>
      <c r="AEQ26" s="98"/>
      <c r="AER26" s="98"/>
      <c r="AES26" s="98"/>
      <c r="AET26" s="98"/>
      <c r="AEU26" s="98"/>
      <c r="AEV26" s="98"/>
      <c r="AEW26" s="98"/>
      <c r="AEX26" s="98"/>
      <c r="AEY26" s="98"/>
      <c r="AEZ26" s="98"/>
      <c r="AFA26" s="98"/>
      <c r="AFB26" s="98"/>
      <c r="AFC26" s="98"/>
      <c r="AFD26" s="98"/>
      <c r="AFE26" s="98"/>
      <c r="AFF26" s="98"/>
      <c r="AFG26" s="98"/>
      <c r="AFH26" s="98"/>
      <c r="AFI26" s="98"/>
      <c r="AFJ26" s="98"/>
      <c r="AFK26" s="98"/>
      <c r="AFL26" s="98"/>
      <c r="AFM26" s="98"/>
      <c r="AFN26" s="98"/>
      <c r="AFO26" s="98"/>
      <c r="AFP26" s="98"/>
      <c r="AFQ26" s="98"/>
      <c r="AFR26" s="98"/>
      <c r="AFS26" s="98"/>
      <c r="AFT26" s="98"/>
      <c r="AFU26" s="98"/>
      <c r="AFV26" s="98"/>
      <c r="AFW26" s="98"/>
      <c r="AFX26" s="98"/>
      <c r="AFY26" s="98"/>
      <c r="AFZ26" s="98"/>
      <c r="AGA26" s="98"/>
      <c r="AGB26" s="98"/>
      <c r="AGC26" s="98"/>
      <c r="AGD26" s="98"/>
      <c r="AGE26" s="98"/>
      <c r="AGF26" s="98"/>
      <c r="AGG26" s="98"/>
      <c r="AGH26" s="98"/>
      <c r="AGI26" s="98"/>
      <c r="AGJ26" s="98"/>
      <c r="AGK26" s="98"/>
      <c r="AGL26" s="98"/>
      <c r="AGM26" s="98"/>
      <c r="AGN26" s="98"/>
      <c r="AGO26" s="98"/>
      <c r="AGP26" s="98"/>
      <c r="AGQ26" s="98"/>
      <c r="AGR26" s="98"/>
      <c r="AGS26" s="98"/>
      <c r="AGT26" s="98"/>
      <c r="AGU26" s="98"/>
      <c r="AGV26" s="98"/>
      <c r="AGW26" s="98"/>
      <c r="AGX26" s="98"/>
      <c r="AGY26" s="98"/>
      <c r="AGZ26" s="98"/>
      <c r="AHA26" s="98"/>
      <c r="AHB26" s="98"/>
      <c r="AHC26" s="98"/>
      <c r="AHD26" s="98"/>
      <c r="AHE26" s="98"/>
      <c r="AHF26" s="98"/>
      <c r="AHG26" s="98"/>
      <c r="AHH26" s="98"/>
      <c r="AHI26" s="98"/>
      <c r="AHJ26" s="98"/>
      <c r="AHK26" s="98"/>
      <c r="AHL26" s="98"/>
      <c r="AHM26" s="98"/>
      <c r="AHN26" s="98"/>
      <c r="AHO26" s="98"/>
      <c r="AHP26" s="98"/>
      <c r="AHQ26" s="98"/>
      <c r="AHR26" s="98"/>
      <c r="AHS26" s="98"/>
      <c r="AHT26" s="98"/>
      <c r="AHU26" s="98"/>
      <c r="AHV26" s="98"/>
      <c r="AHW26" s="98"/>
      <c r="AHX26" s="98"/>
      <c r="AHY26" s="98"/>
      <c r="AHZ26" s="98"/>
      <c r="AIA26" s="98"/>
      <c r="AIB26" s="98"/>
      <c r="AIC26" s="98"/>
      <c r="AID26" s="98"/>
      <c r="AIE26" s="98"/>
      <c r="AIF26" s="98"/>
      <c r="AIG26" s="98"/>
      <c r="AIH26" s="98"/>
      <c r="AII26" s="98"/>
      <c r="AIJ26" s="98"/>
      <c r="AIK26" s="98"/>
      <c r="AIL26" s="98"/>
      <c r="AIM26" s="98"/>
      <c r="AIN26" s="98"/>
      <c r="AIO26" s="98"/>
      <c r="AIP26" s="98"/>
      <c r="AIQ26" s="98"/>
      <c r="AIR26" s="98"/>
      <c r="AIS26" s="98"/>
      <c r="AIT26" s="98"/>
      <c r="AIU26" s="98"/>
      <c r="AIV26" s="98"/>
      <c r="AIW26" s="98"/>
      <c r="AIX26" s="98"/>
      <c r="AIY26" s="98"/>
      <c r="AIZ26" s="98"/>
      <c r="AJA26" s="98"/>
      <c r="AJB26" s="98"/>
      <c r="AJC26" s="98"/>
      <c r="AJD26" s="98"/>
      <c r="AJE26" s="98"/>
      <c r="AJF26" s="98"/>
      <c r="AJG26" s="98"/>
      <c r="AJH26" s="98"/>
      <c r="AJI26" s="98"/>
      <c r="AJJ26" s="98"/>
      <c r="AJK26" s="98"/>
      <c r="AJL26" s="98"/>
      <c r="AJM26" s="98"/>
      <c r="AJN26" s="98"/>
      <c r="AJO26" s="98"/>
      <c r="AJP26" s="98"/>
      <c r="AJQ26" s="98"/>
      <c r="AJR26" s="98"/>
      <c r="AJS26" s="98"/>
      <c r="AJT26" s="98"/>
      <c r="AJU26" s="98"/>
      <c r="AJV26" s="98"/>
      <c r="AJW26" s="98"/>
      <c r="AJX26" s="98"/>
      <c r="AJY26" s="98"/>
      <c r="AJZ26" s="98"/>
      <c r="AKA26" s="98"/>
      <c r="AKB26" s="98"/>
      <c r="AKC26" s="98"/>
      <c r="AKD26" s="98"/>
      <c r="AKE26" s="98"/>
      <c r="AKF26" s="98"/>
      <c r="AKG26" s="98"/>
      <c r="AKH26" s="98"/>
      <c r="AKI26" s="98"/>
      <c r="AKJ26" s="98"/>
      <c r="AKK26" s="98"/>
      <c r="AKL26" s="98"/>
      <c r="AKM26" s="98"/>
      <c r="AKN26" s="98"/>
      <c r="AKO26" s="98"/>
      <c r="AKP26" s="98"/>
      <c r="AKQ26" s="98"/>
      <c r="AKR26" s="98"/>
      <c r="AKS26" s="98"/>
      <c r="AKT26" s="98"/>
      <c r="AKU26" s="98"/>
      <c r="AKV26" s="98"/>
      <c r="AKW26" s="98"/>
      <c r="AKX26" s="98"/>
      <c r="AKY26" s="98"/>
      <c r="AKZ26" s="98"/>
      <c r="ALA26" s="98"/>
      <c r="ALB26" s="98"/>
      <c r="ALC26" s="98"/>
      <c r="ALD26" s="98"/>
      <c r="ALE26" s="98"/>
      <c r="ALF26" s="98"/>
      <c r="ALG26" s="98"/>
      <c r="ALH26" s="98"/>
      <c r="ALI26" s="98"/>
      <c r="ALJ26" s="98"/>
      <c r="ALK26" s="98"/>
      <c r="ALL26" s="98"/>
      <c r="ALM26" s="98"/>
      <c r="ALN26" s="98"/>
      <c r="ALO26" s="98"/>
      <c r="ALP26" s="98"/>
      <c r="ALQ26" s="98"/>
      <c r="ALR26" s="98"/>
      <c r="ALS26" s="98"/>
      <c r="ALT26" s="98"/>
      <c r="ALU26" s="98"/>
      <c r="ALV26" s="98"/>
      <c r="ALW26" s="98"/>
      <c r="ALX26" s="98"/>
      <c r="ALY26" s="98"/>
      <c r="ALZ26" s="98"/>
      <c r="AMA26" s="98"/>
      <c r="AMB26" s="98"/>
      <c r="AMC26" s="98"/>
      <c r="AMD26" s="98"/>
      <c r="AME26" s="98"/>
      <c r="AMF26" s="98"/>
      <c r="AMG26" s="98"/>
      <c r="AMH26" s="98"/>
      <c r="AMI26" s="98"/>
      <c r="AMJ26" s="98"/>
      <c r="AMK26" s="98"/>
      <c r="AML26" s="98"/>
      <c r="AMM26" s="98"/>
      <c r="AMN26" s="98"/>
      <c r="AMO26" s="98"/>
      <c r="AMP26" s="98"/>
      <c r="AMQ26" s="98"/>
      <c r="AMR26" s="98"/>
      <c r="AMS26" s="98"/>
      <c r="AMT26" s="98"/>
      <c r="AMU26" s="98"/>
      <c r="AMV26" s="98"/>
      <c r="AMW26" s="98"/>
      <c r="AMX26" s="98"/>
      <c r="AMY26" s="98"/>
      <c r="AMZ26" s="98"/>
      <c r="ANA26" s="98"/>
      <c r="ANB26" s="98"/>
      <c r="ANC26" s="98"/>
      <c r="AND26" s="98"/>
      <c r="ANE26" s="98"/>
      <c r="ANF26" s="98"/>
      <c r="ANG26" s="98"/>
      <c r="ANH26" s="98"/>
      <c r="ANI26" s="98"/>
      <c r="ANJ26" s="98"/>
      <c r="ANK26" s="98"/>
      <c r="ANL26" s="98"/>
      <c r="ANM26" s="98"/>
      <c r="ANN26" s="98"/>
      <c r="ANO26" s="98"/>
      <c r="ANP26" s="98"/>
      <c r="ANQ26" s="98"/>
      <c r="ANR26" s="98"/>
      <c r="ANS26" s="98"/>
      <c r="ANT26" s="98"/>
      <c r="ANU26" s="98"/>
      <c r="ANV26" s="98"/>
      <c r="ANW26" s="98"/>
      <c r="ANX26" s="98"/>
      <c r="ANY26" s="98"/>
      <c r="ANZ26" s="98"/>
      <c r="AOA26" s="98"/>
      <c r="AOB26" s="98"/>
      <c r="AOC26" s="98"/>
      <c r="AOD26" s="98"/>
      <c r="AOE26" s="98"/>
      <c r="AOF26" s="98"/>
      <c r="AOG26" s="98"/>
      <c r="AOH26" s="98"/>
      <c r="AOI26" s="98"/>
      <c r="AOJ26" s="98"/>
      <c r="AOK26" s="98"/>
      <c r="AOL26" s="98"/>
      <c r="AOM26" s="98"/>
      <c r="AON26" s="98"/>
      <c r="AOO26" s="98"/>
      <c r="AOP26" s="98"/>
      <c r="AOQ26" s="98"/>
      <c r="AOR26" s="98"/>
      <c r="AOS26" s="98"/>
      <c r="AOT26" s="98"/>
      <c r="AOU26" s="98"/>
      <c r="AOV26" s="98"/>
      <c r="AOW26" s="98"/>
      <c r="AOX26" s="98"/>
      <c r="AOY26" s="98"/>
      <c r="AOZ26" s="98"/>
      <c r="APA26" s="98"/>
      <c r="APB26" s="98"/>
      <c r="APC26" s="98"/>
      <c r="APD26" s="98"/>
      <c r="APE26" s="98"/>
      <c r="APF26" s="98"/>
      <c r="APG26" s="98"/>
      <c r="APH26" s="98"/>
      <c r="API26" s="98"/>
      <c r="APJ26" s="98"/>
      <c r="APK26" s="98"/>
      <c r="APL26" s="98"/>
      <c r="APM26" s="98"/>
      <c r="APN26" s="98"/>
      <c r="APO26" s="98"/>
      <c r="APP26" s="98"/>
      <c r="APQ26" s="98"/>
      <c r="APR26" s="98"/>
      <c r="APS26" s="98"/>
      <c r="APT26" s="98"/>
      <c r="APU26" s="98"/>
      <c r="APV26" s="98"/>
      <c r="APW26" s="98"/>
      <c r="APX26" s="98"/>
      <c r="APY26" s="98"/>
      <c r="APZ26" s="98"/>
      <c r="AQA26" s="98"/>
      <c r="AQB26" s="98"/>
      <c r="AQC26" s="98"/>
      <c r="AQD26" s="98"/>
      <c r="AQE26" s="98"/>
      <c r="AQF26" s="98"/>
      <c r="AQG26" s="98"/>
      <c r="AQH26" s="98"/>
      <c r="AQI26" s="98"/>
      <c r="AQJ26" s="98"/>
      <c r="AQK26" s="98"/>
      <c r="AQL26" s="98"/>
      <c r="AQM26" s="98"/>
      <c r="AQN26" s="98"/>
      <c r="AQO26" s="98"/>
      <c r="AQP26" s="98"/>
      <c r="AQQ26" s="98"/>
      <c r="AQR26" s="98"/>
      <c r="AQS26" s="98"/>
      <c r="AQT26" s="98"/>
      <c r="AQU26" s="98"/>
      <c r="AQV26" s="98"/>
      <c r="AQW26" s="98"/>
      <c r="AQX26" s="98"/>
      <c r="AQY26" s="98"/>
      <c r="AQZ26" s="98"/>
      <c r="ARA26" s="98"/>
      <c r="ARB26" s="98"/>
      <c r="ARC26" s="98"/>
      <c r="ARD26" s="98"/>
      <c r="ARE26" s="98"/>
      <c r="ARF26" s="98"/>
      <c r="ARG26" s="98"/>
      <c r="ARH26" s="98"/>
      <c r="ARI26" s="98"/>
      <c r="ARJ26" s="98"/>
      <c r="ARK26" s="98"/>
      <c r="ARL26" s="98"/>
      <c r="ARM26" s="98"/>
      <c r="ARN26" s="98"/>
      <c r="ARO26" s="98"/>
      <c r="ARP26" s="98"/>
      <c r="ARQ26" s="98"/>
      <c r="ARR26" s="98"/>
      <c r="ARS26" s="98"/>
    </row>
    <row r="27" spans="1:1163" s="174" customFormat="1">
      <c r="A27" s="138" t="s">
        <v>102</v>
      </c>
      <c r="B27" s="119"/>
      <c r="C27" s="175">
        <f>SUM(C23:C26)</f>
        <v>166852</v>
      </c>
      <c r="D27" s="175">
        <f>SUM(D23:D26)</f>
        <v>34499639</v>
      </c>
      <c r="E27" s="175">
        <v>0</v>
      </c>
      <c r="F27" s="175">
        <v>0</v>
      </c>
      <c r="G27" s="175">
        <v>0</v>
      </c>
      <c r="H27" s="175">
        <v>0</v>
      </c>
      <c r="I27" s="175">
        <v>0</v>
      </c>
      <c r="J27" s="175">
        <v>0</v>
      </c>
      <c r="K27" s="175">
        <v>0</v>
      </c>
      <c r="L27" s="175">
        <v>0</v>
      </c>
      <c r="M27" s="175">
        <v>0</v>
      </c>
      <c r="N27" s="175">
        <v>0</v>
      </c>
      <c r="O27" s="175">
        <v>0</v>
      </c>
      <c r="P27" s="175">
        <v>0</v>
      </c>
      <c r="Q27" s="175">
        <v>0</v>
      </c>
      <c r="R27" s="175">
        <v>0</v>
      </c>
      <c r="S27" s="175">
        <v>0</v>
      </c>
      <c r="T27" s="175">
        <v>0</v>
      </c>
      <c r="U27" s="175">
        <v>0</v>
      </c>
      <c r="V27" s="175">
        <v>0</v>
      </c>
      <c r="W27" s="175">
        <v>0</v>
      </c>
      <c r="X27" s="175">
        <v>0</v>
      </c>
      <c r="Y27" s="175">
        <v>0</v>
      </c>
      <c r="Z27" s="175">
        <v>0</v>
      </c>
      <c r="AA27" s="175">
        <v>0</v>
      </c>
      <c r="AB27" s="175">
        <v>0</v>
      </c>
      <c r="AC27" s="175">
        <v>0</v>
      </c>
      <c r="AD27" s="175">
        <v>0</v>
      </c>
      <c r="AE27" s="175">
        <v>0</v>
      </c>
      <c r="AF27" s="175">
        <v>0</v>
      </c>
      <c r="AG27" s="175">
        <v>0</v>
      </c>
      <c r="AH27" s="175">
        <v>0</v>
      </c>
      <c r="AI27" s="175">
        <v>0</v>
      </c>
      <c r="AJ27" s="175">
        <v>0</v>
      </c>
      <c r="AK27" s="175">
        <v>0</v>
      </c>
      <c r="AL27" s="175">
        <v>0</v>
      </c>
      <c r="AM27" s="175">
        <v>0</v>
      </c>
      <c r="AN27" s="175">
        <v>0</v>
      </c>
      <c r="AO27" s="175">
        <v>0</v>
      </c>
      <c r="AP27" s="175">
        <v>0</v>
      </c>
      <c r="AQ27" s="175">
        <v>0</v>
      </c>
      <c r="AR27" s="175">
        <v>0</v>
      </c>
      <c r="AS27" s="175">
        <v>0</v>
      </c>
      <c r="AT27" s="175">
        <v>0</v>
      </c>
      <c r="AU27" s="175">
        <v>0</v>
      </c>
      <c r="AV27" s="175">
        <v>0</v>
      </c>
      <c r="AW27" s="175">
        <v>0</v>
      </c>
      <c r="AX27" s="175">
        <v>0</v>
      </c>
      <c r="AY27" s="142">
        <v>0</v>
      </c>
      <c r="AZ27" s="142">
        <v>0</v>
      </c>
      <c r="BA27" s="144"/>
      <c r="BB27" s="175"/>
      <c r="BC27" s="175"/>
      <c r="BD27" s="175"/>
      <c r="BE27" s="175"/>
      <c r="BF27" s="175"/>
      <c r="BG27" s="175"/>
      <c r="BH27" s="175"/>
      <c r="BI27" s="144"/>
      <c r="BJ27" s="98"/>
      <c r="BK27" s="148"/>
      <c r="BL27" s="148"/>
      <c r="BM27" s="148"/>
      <c r="BN27" s="14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c r="CZ27" s="98"/>
      <c r="DA27" s="98"/>
      <c r="DB27" s="98"/>
      <c r="DC27" s="98"/>
      <c r="DD27" s="98"/>
      <c r="DE27" s="98"/>
      <c r="DF27" s="98"/>
      <c r="DG27" s="98"/>
      <c r="DH27" s="98"/>
      <c r="DI27" s="98"/>
      <c r="DJ27" s="98"/>
      <c r="DK27" s="98"/>
      <c r="DL27" s="98"/>
      <c r="DM27" s="98"/>
      <c r="DN27" s="98"/>
      <c r="DO27" s="98"/>
      <c r="DP27" s="98"/>
      <c r="DQ27" s="98"/>
      <c r="DR27" s="98"/>
      <c r="DS27" s="98"/>
      <c r="DT27" s="98"/>
      <c r="DU27" s="98"/>
      <c r="DV27" s="98"/>
      <c r="DW27" s="98"/>
      <c r="DX27" s="98"/>
      <c r="DY27" s="98"/>
      <c r="DZ27" s="98"/>
      <c r="EA27" s="98"/>
      <c r="EB27" s="98"/>
      <c r="EC27" s="98"/>
      <c r="ED27" s="98"/>
      <c r="EE27" s="98"/>
      <c r="EF27" s="98"/>
      <c r="EG27" s="98"/>
      <c r="EH27" s="98"/>
      <c r="EI27" s="98"/>
      <c r="EJ27" s="98"/>
      <c r="EK27" s="98"/>
      <c r="EL27" s="98"/>
      <c r="EM27" s="98"/>
      <c r="EN27" s="98"/>
      <c r="EO27" s="98"/>
      <c r="EP27" s="98"/>
      <c r="EQ27" s="98"/>
      <c r="ER27" s="98"/>
      <c r="ES27" s="98"/>
      <c r="ET27" s="98"/>
      <c r="EU27" s="98"/>
      <c r="EV27" s="98"/>
      <c r="EW27" s="98"/>
      <c r="EX27" s="98"/>
      <c r="EY27" s="98"/>
      <c r="EZ27" s="98"/>
      <c r="FA27" s="98"/>
      <c r="FB27" s="98"/>
      <c r="FC27" s="98"/>
      <c r="FD27" s="98"/>
      <c r="FE27" s="98"/>
      <c r="FF27" s="98"/>
      <c r="FG27" s="98"/>
      <c r="FH27" s="98"/>
      <c r="FI27" s="98"/>
      <c r="FJ27" s="98"/>
      <c r="FK27" s="98"/>
      <c r="FL27" s="98"/>
      <c r="FM27" s="98"/>
      <c r="FN27" s="98"/>
      <c r="FO27" s="98"/>
      <c r="FP27" s="98"/>
      <c r="FQ27" s="98"/>
      <c r="FR27" s="98"/>
      <c r="FS27" s="98"/>
      <c r="FT27" s="98"/>
      <c r="FU27" s="98"/>
      <c r="FV27" s="98"/>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c r="IW27" s="98"/>
      <c r="IX27" s="98"/>
      <c r="IY27" s="98"/>
      <c r="IZ27" s="98"/>
      <c r="JA27" s="98"/>
      <c r="JB27" s="98"/>
      <c r="JC27" s="98"/>
      <c r="JD27" s="98"/>
      <c r="JE27" s="98"/>
      <c r="JF27" s="98"/>
      <c r="JG27" s="98"/>
      <c r="JH27" s="98"/>
      <c r="JI27" s="98"/>
      <c r="JJ27" s="98"/>
      <c r="JK27" s="98"/>
      <c r="JL27" s="98"/>
      <c r="JM27" s="98"/>
      <c r="JN27" s="98"/>
      <c r="JO27" s="98"/>
      <c r="JP27" s="98"/>
      <c r="JQ27" s="98"/>
      <c r="JR27" s="98"/>
      <c r="JS27" s="98"/>
      <c r="JT27" s="98"/>
      <c r="JU27" s="98"/>
      <c r="JV27" s="98"/>
      <c r="JW27" s="98"/>
      <c r="JX27" s="98"/>
      <c r="JY27" s="98"/>
      <c r="JZ27" s="98"/>
      <c r="KA27" s="98"/>
      <c r="KB27" s="98"/>
      <c r="KC27" s="98"/>
      <c r="KD27" s="98"/>
      <c r="KE27" s="98"/>
      <c r="KF27" s="98"/>
      <c r="KG27" s="98"/>
      <c r="KH27" s="98"/>
      <c r="KI27" s="98"/>
      <c r="KJ27" s="98"/>
      <c r="KK27" s="98"/>
      <c r="KL27" s="98"/>
      <c r="KM27" s="98"/>
      <c r="KN27" s="98"/>
      <c r="KO27" s="98"/>
      <c r="KP27" s="98"/>
      <c r="KQ27" s="98"/>
      <c r="KR27" s="98"/>
      <c r="KS27" s="98"/>
      <c r="KT27" s="98"/>
      <c r="KU27" s="98"/>
      <c r="KV27" s="98"/>
      <c r="KW27" s="98"/>
      <c r="KX27" s="98"/>
      <c r="KY27" s="98"/>
      <c r="KZ27" s="98"/>
      <c r="LA27" s="98"/>
      <c r="LB27" s="98"/>
      <c r="LC27" s="98"/>
      <c r="LD27" s="98"/>
      <c r="LE27" s="98"/>
      <c r="LF27" s="98"/>
      <c r="LG27" s="98"/>
      <c r="LH27" s="98"/>
      <c r="LI27" s="98"/>
      <c r="LJ27" s="98"/>
      <c r="LK27" s="98"/>
      <c r="LL27" s="98"/>
      <c r="LM27" s="98"/>
      <c r="LN27" s="98"/>
      <c r="LO27" s="98"/>
      <c r="LP27" s="98"/>
      <c r="LQ27" s="98"/>
      <c r="LR27" s="98"/>
      <c r="LS27" s="98"/>
      <c r="LT27" s="98"/>
      <c r="LU27" s="98"/>
      <c r="LV27" s="98"/>
      <c r="LW27" s="98"/>
      <c r="LX27" s="98"/>
      <c r="LY27" s="98"/>
      <c r="LZ27" s="98"/>
      <c r="MA27" s="98"/>
      <c r="MB27" s="98"/>
      <c r="MC27" s="98"/>
      <c r="MD27" s="98"/>
      <c r="ME27" s="98"/>
      <c r="MF27" s="98"/>
      <c r="MG27" s="98"/>
      <c r="MH27" s="98"/>
      <c r="MI27" s="98"/>
      <c r="MJ27" s="98"/>
      <c r="MK27" s="98"/>
      <c r="ML27" s="98"/>
      <c r="MM27" s="98"/>
      <c r="MN27" s="98"/>
      <c r="MO27" s="98"/>
      <c r="MP27" s="98"/>
      <c r="MQ27" s="98"/>
      <c r="MR27" s="98"/>
      <c r="MS27" s="98"/>
      <c r="MT27" s="98"/>
      <c r="MU27" s="98"/>
      <c r="MV27" s="98"/>
      <c r="MW27" s="98"/>
      <c r="MX27" s="98"/>
      <c r="MY27" s="98"/>
      <c r="MZ27" s="98"/>
      <c r="NA27" s="98"/>
      <c r="NB27" s="98"/>
      <c r="NC27" s="98"/>
      <c r="ND27" s="98"/>
      <c r="NE27" s="98"/>
      <c r="NF27" s="98"/>
      <c r="NG27" s="98"/>
      <c r="NH27" s="98"/>
      <c r="NI27" s="98"/>
      <c r="NJ27" s="98"/>
      <c r="NK27" s="98"/>
      <c r="NL27" s="98"/>
      <c r="NM27" s="98"/>
      <c r="NN27" s="98"/>
      <c r="NO27" s="98"/>
      <c r="NP27" s="98"/>
      <c r="NQ27" s="98"/>
      <c r="NR27" s="98"/>
      <c r="NS27" s="98"/>
      <c r="NT27" s="98"/>
      <c r="NU27" s="98"/>
      <c r="NV27" s="98"/>
      <c r="NW27" s="98"/>
      <c r="NX27" s="98"/>
      <c r="NY27" s="98"/>
      <c r="NZ27" s="98"/>
      <c r="OA27" s="98"/>
      <c r="OB27" s="98"/>
      <c r="OC27" s="98"/>
      <c r="OD27" s="98"/>
      <c r="OE27" s="98"/>
      <c r="OF27" s="98"/>
      <c r="OG27" s="98"/>
      <c r="OH27" s="98"/>
      <c r="OI27" s="98"/>
      <c r="OJ27" s="98"/>
      <c r="OK27" s="98"/>
      <c r="OL27" s="98"/>
      <c r="OM27" s="98"/>
      <c r="ON27" s="98"/>
      <c r="OO27" s="98"/>
      <c r="OP27" s="98"/>
      <c r="OQ27" s="98"/>
      <c r="OR27" s="98"/>
      <c r="OS27" s="98"/>
      <c r="OT27" s="98"/>
      <c r="OU27" s="98"/>
      <c r="OV27" s="98"/>
      <c r="OW27" s="98"/>
      <c r="OX27" s="98"/>
      <c r="OY27" s="98"/>
      <c r="OZ27" s="98"/>
      <c r="PA27" s="98"/>
      <c r="PB27" s="98"/>
      <c r="PC27" s="98"/>
      <c r="PD27" s="98"/>
      <c r="PE27" s="98"/>
      <c r="PF27" s="98"/>
      <c r="PG27" s="98"/>
      <c r="PH27" s="98"/>
      <c r="PI27" s="98"/>
      <c r="PJ27" s="98"/>
      <c r="PK27" s="98"/>
      <c r="PL27" s="98"/>
      <c r="PM27" s="98"/>
      <c r="PN27" s="98"/>
      <c r="PO27" s="98"/>
      <c r="PP27" s="98"/>
      <c r="PQ27" s="98"/>
      <c r="PR27" s="98"/>
      <c r="PS27" s="98"/>
      <c r="PT27" s="98"/>
      <c r="PU27" s="98"/>
      <c r="PV27" s="98"/>
      <c r="PW27" s="98"/>
      <c r="PX27" s="98"/>
      <c r="PY27" s="98"/>
      <c r="PZ27" s="98"/>
      <c r="QA27" s="98"/>
      <c r="QB27" s="98"/>
      <c r="QC27" s="98"/>
      <c r="QD27" s="98"/>
      <c r="QE27" s="98"/>
      <c r="QF27" s="98"/>
      <c r="QG27" s="98"/>
      <c r="QH27" s="98"/>
      <c r="QI27" s="98"/>
      <c r="QJ27" s="98"/>
      <c r="QK27" s="98"/>
      <c r="QL27" s="98"/>
      <c r="QM27" s="98"/>
      <c r="QN27" s="98"/>
      <c r="QO27" s="98"/>
      <c r="QP27" s="98"/>
      <c r="QQ27" s="98"/>
      <c r="QR27" s="98"/>
      <c r="QS27" s="98"/>
      <c r="QT27" s="98"/>
      <c r="QU27" s="98"/>
      <c r="QV27" s="98"/>
      <c r="QW27" s="98"/>
      <c r="QX27" s="98"/>
      <c r="QY27" s="98"/>
      <c r="QZ27" s="98"/>
      <c r="RA27" s="98"/>
      <c r="RB27" s="98"/>
      <c r="RC27" s="98"/>
      <c r="RD27" s="98"/>
      <c r="RE27" s="98"/>
      <c r="RF27" s="98"/>
      <c r="RG27" s="98"/>
      <c r="RH27" s="98"/>
      <c r="RI27" s="98"/>
      <c r="RJ27" s="98"/>
      <c r="RK27" s="98"/>
      <c r="RL27" s="98"/>
      <c r="RM27" s="98"/>
      <c r="RN27" s="98"/>
      <c r="RO27" s="98"/>
      <c r="RP27" s="98"/>
      <c r="RQ27" s="98"/>
      <c r="RR27" s="98"/>
      <c r="RS27" s="98"/>
      <c r="RT27" s="98"/>
      <c r="RU27" s="98"/>
      <c r="RV27" s="98"/>
      <c r="RW27" s="98"/>
      <c r="RX27" s="98"/>
      <c r="RY27" s="98"/>
      <c r="RZ27" s="98"/>
      <c r="SA27" s="98"/>
      <c r="SB27" s="98"/>
      <c r="SC27" s="98"/>
      <c r="SD27" s="98"/>
      <c r="SE27" s="98"/>
      <c r="SF27" s="98"/>
      <c r="SG27" s="98"/>
      <c r="SH27" s="98"/>
      <c r="SI27" s="98"/>
      <c r="SJ27" s="98"/>
      <c r="SK27" s="98"/>
      <c r="SL27" s="98"/>
      <c r="SM27" s="98"/>
      <c r="SN27" s="98"/>
      <c r="SO27" s="98"/>
      <c r="SP27" s="98"/>
      <c r="SQ27" s="98"/>
      <c r="SR27" s="98"/>
      <c r="SS27" s="98"/>
      <c r="ST27" s="98"/>
      <c r="SU27" s="98"/>
      <c r="SV27" s="98"/>
      <c r="SW27" s="98"/>
      <c r="SX27" s="98"/>
      <c r="SY27" s="98"/>
      <c r="SZ27" s="98"/>
      <c r="TA27" s="98"/>
      <c r="TB27" s="98"/>
      <c r="TC27" s="98"/>
      <c r="TD27" s="98"/>
      <c r="TE27" s="98"/>
      <c r="TF27" s="98"/>
      <c r="TG27" s="98"/>
      <c r="TH27" s="98"/>
      <c r="TI27" s="98"/>
      <c r="TJ27" s="98"/>
      <c r="TK27" s="98"/>
      <c r="TL27" s="98"/>
      <c r="TM27" s="98"/>
      <c r="TN27" s="98"/>
      <c r="TO27" s="98"/>
      <c r="TP27" s="98"/>
      <c r="TQ27" s="98"/>
      <c r="TR27" s="98"/>
      <c r="TS27" s="98"/>
      <c r="TT27" s="98"/>
      <c r="TU27" s="98"/>
      <c r="TV27" s="98"/>
      <c r="TW27" s="98"/>
      <c r="TX27" s="98"/>
      <c r="TY27" s="98"/>
      <c r="TZ27" s="98"/>
      <c r="UA27" s="98"/>
      <c r="UB27" s="98"/>
      <c r="UC27" s="98"/>
      <c r="UD27" s="98"/>
      <c r="UE27" s="98"/>
      <c r="UF27" s="98"/>
      <c r="UG27" s="98"/>
      <c r="UH27" s="98"/>
      <c r="UI27" s="98"/>
      <c r="UJ27" s="98"/>
      <c r="UK27" s="98"/>
      <c r="UL27" s="98"/>
      <c r="UM27" s="98"/>
      <c r="UN27" s="98"/>
      <c r="UO27" s="98"/>
      <c r="UP27" s="98"/>
      <c r="UQ27" s="98"/>
      <c r="UR27" s="98"/>
      <c r="US27" s="98"/>
      <c r="UT27" s="98"/>
      <c r="UU27" s="98"/>
      <c r="UV27" s="98"/>
      <c r="UW27" s="98"/>
      <c r="UX27" s="98"/>
      <c r="UY27" s="98"/>
      <c r="UZ27" s="98"/>
      <c r="VA27" s="98"/>
      <c r="VB27" s="98"/>
      <c r="VC27" s="98"/>
      <c r="VD27" s="98"/>
      <c r="VE27" s="98"/>
      <c r="VF27" s="98"/>
      <c r="VG27" s="98"/>
      <c r="VH27" s="98"/>
      <c r="VI27" s="98"/>
      <c r="VJ27" s="98"/>
      <c r="VK27" s="98"/>
      <c r="VL27" s="98"/>
      <c r="VM27" s="98"/>
      <c r="VN27" s="98"/>
      <c r="VO27" s="98"/>
      <c r="VP27" s="98"/>
      <c r="VQ27" s="98"/>
      <c r="VR27" s="98"/>
      <c r="VS27" s="98"/>
      <c r="VT27" s="98"/>
      <c r="VU27" s="98"/>
      <c r="VV27" s="98"/>
      <c r="VW27" s="98"/>
      <c r="VX27" s="98"/>
      <c r="VY27" s="98"/>
      <c r="VZ27" s="98"/>
      <c r="WA27" s="98"/>
      <c r="WB27" s="98"/>
      <c r="WC27" s="98"/>
      <c r="WD27" s="98"/>
      <c r="WE27" s="98"/>
      <c r="WF27" s="98"/>
      <c r="WG27" s="98"/>
      <c r="WH27" s="98"/>
      <c r="WI27" s="98"/>
      <c r="WJ27" s="98"/>
      <c r="WK27" s="98"/>
      <c r="WL27" s="98"/>
      <c r="WM27" s="98"/>
      <c r="WN27" s="98"/>
      <c r="WO27" s="98"/>
      <c r="WP27" s="98"/>
      <c r="WQ27" s="98"/>
      <c r="WR27" s="98"/>
      <c r="WS27" s="98"/>
      <c r="WT27" s="98"/>
      <c r="WU27" s="98"/>
      <c r="WV27" s="98"/>
      <c r="WW27" s="98"/>
      <c r="WX27" s="98"/>
      <c r="WY27" s="98"/>
      <c r="WZ27" s="98"/>
      <c r="XA27" s="98"/>
      <c r="XB27" s="98"/>
      <c r="XC27" s="98"/>
      <c r="XD27" s="98"/>
      <c r="XE27" s="98"/>
      <c r="XF27" s="98"/>
      <c r="XG27" s="98"/>
      <c r="XH27" s="98"/>
      <c r="XI27" s="98"/>
      <c r="XJ27" s="98"/>
      <c r="XK27" s="98"/>
      <c r="XL27" s="98"/>
      <c r="XM27" s="98"/>
      <c r="XN27" s="98"/>
      <c r="XO27" s="98"/>
      <c r="XP27" s="98"/>
      <c r="XQ27" s="98"/>
      <c r="XR27" s="98"/>
      <c r="XS27" s="98"/>
      <c r="XT27" s="98"/>
      <c r="XU27" s="98"/>
      <c r="XV27" s="98"/>
      <c r="XW27" s="98"/>
      <c r="XX27" s="98"/>
      <c r="XY27" s="98"/>
      <c r="XZ27" s="98"/>
      <c r="YA27" s="98"/>
      <c r="YB27" s="98"/>
      <c r="YC27" s="98"/>
      <c r="YD27" s="98"/>
      <c r="YE27" s="98"/>
      <c r="YF27" s="98"/>
      <c r="YG27" s="98"/>
      <c r="YH27" s="98"/>
      <c r="YI27" s="98"/>
      <c r="YJ27" s="98"/>
      <c r="YK27" s="98"/>
      <c r="YL27" s="98"/>
      <c r="YM27" s="98"/>
      <c r="YN27" s="98"/>
      <c r="YO27" s="98"/>
      <c r="YP27" s="98"/>
      <c r="YQ27" s="98"/>
      <c r="YR27" s="98"/>
      <c r="YS27" s="98"/>
      <c r="YT27" s="98"/>
      <c r="YU27" s="98"/>
      <c r="YV27" s="98"/>
      <c r="YW27" s="98"/>
      <c r="YX27" s="98"/>
      <c r="YY27" s="98"/>
      <c r="YZ27" s="98"/>
      <c r="ZA27" s="98"/>
      <c r="ZB27" s="98"/>
      <c r="ZC27" s="98"/>
      <c r="ZD27" s="98"/>
      <c r="ZE27" s="98"/>
      <c r="ZF27" s="98"/>
      <c r="ZG27" s="98"/>
      <c r="ZH27" s="98"/>
      <c r="ZI27" s="98"/>
      <c r="ZJ27" s="98"/>
      <c r="ZK27" s="98"/>
      <c r="ZL27" s="98"/>
      <c r="ZM27" s="98"/>
      <c r="ZN27" s="98"/>
      <c r="ZO27" s="98"/>
      <c r="ZP27" s="98"/>
      <c r="ZQ27" s="98"/>
      <c r="ZR27" s="98"/>
      <c r="ZS27" s="98"/>
      <c r="ZT27" s="98"/>
      <c r="ZU27" s="98"/>
      <c r="ZV27" s="98"/>
      <c r="ZW27" s="98"/>
      <c r="ZX27" s="98"/>
      <c r="ZY27" s="98"/>
      <c r="ZZ27" s="98"/>
      <c r="AAA27" s="98"/>
      <c r="AAB27" s="98"/>
      <c r="AAC27" s="98"/>
      <c r="AAD27" s="98"/>
      <c r="AAE27" s="98"/>
      <c r="AAF27" s="98"/>
      <c r="AAG27" s="98"/>
      <c r="AAH27" s="98"/>
      <c r="AAI27" s="98"/>
      <c r="AAJ27" s="98"/>
      <c r="AAK27" s="98"/>
      <c r="AAL27" s="98"/>
      <c r="AAM27" s="98"/>
      <c r="AAN27" s="98"/>
      <c r="AAO27" s="98"/>
      <c r="AAP27" s="98"/>
      <c r="AAQ27" s="98"/>
      <c r="AAR27" s="98"/>
      <c r="AAS27" s="98"/>
      <c r="AAT27" s="98"/>
      <c r="AAU27" s="98"/>
      <c r="AAV27" s="98"/>
      <c r="AAW27" s="98"/>
      <c r="AAX27" s="98"/>
      <c r="AAY27" s="98"/>
      <c r="AAZ27" s="98"/>
      <c r="ABA27" s="98"/>
      <c r="ABB27" s="98"/>
      <c r="ABC27" s="98"/>
      <c r="ABD27" s="98"/>
      <c r="ABE27" s="98"/>
      <c r="ABF27" s="98"/>
      <c r="ABG27" s="98"/>
      <c r="ABH27" s="98"/>
      <c r="ABI27" s="98"/>
      <c r="ABJ27" s="98"/>
      <c r="ABK27" s="98"/>
      <c r="ABL27" s="98"/>
      <c r="ABM27" s="98"/>
      <c r="ABN27" s="98"/>
      <c r="ABO27" s="98"/>
      <c r="ABP27" s="98"/>
      <c r="ABQ27" s="98"/>
      <c r="ABR27" s="98"/>
      <c r="ABS27" s="98"/>
      <c r="ABT27" s="98"/>
      <c r="ABU27" s="98"/>
      <c r="ABV27" s="98"/>
      <c r="ABW27" s="98"/>
      <c r="ABX27" s="98"/>
      <c r="ABY27" s="98"/>
      <c r="ABZ27" s="98"/>
      <c r="ACA27" s="98"/>
      <c r="ACB27" s="98"/>
      <c r="ACC27" s="98"/>
      <c r="ACD27" s="98"/>
      <c r="ACE27" s="98"/>
      <c r="ACF27" s="98"/>
      <c r="ACG27" s="98"/>
      <c r="ACH27" s="98"/>
      <c r="ACI27" s="98"/>
      <c r="ACJ27" s="98"/>
      <c r="ACK27" s="98"/>
      <c r="ACL27" s="98"/>
      <c r="ACM27" s="98"/>
      <c r="ACN27" s="98"/>
      <c r="ACO27" s="98"/>
      <c r="ACP27" s="98"/>
      <c r="ACQ27" s="98"/>
      <c r="ACR27" s="98"/>
      <c r="ACS27" s="98"/>
      <c r="ACT27" s="98"/>
      <c r="ACU27" s="98"/>
      <c r="ACV27" s="98"/>
      <c r="ACW27" s="98"/>
      <c r="ACX27" s="98"/>
      <c r="ACY27" s="98"/>
      <c r="ACZ27" s="98"/>
      <c r="ADA27" s="98"/>
      <c r="ADB27" s="98"/>
      <c r="ADC27" s="98"/>
      <c r="ADD27" s="98"/>
      <c r="ADE27" s="98"/>
      <c r="ADF27" s="98"/>
      <c r="ADG27" s="98"/>
      <c r="ADH27" s="98"/>
      <c r="ADI27" s="98"/>
      <c r="ADJ27" s="98"/>
      <c r="ADK27" s="98"/>
      <c r="ADL27" s="98"/>
      <c r="ADM27" s="98"/>
      <c r="ADN27" s="98"/>
      <c r="ADO27" s="98"/>
      <c r="ADP27" s="98"/>
      <c r="ADQ27" s="98"/>
      <c r="ADR27" s="98"/>
      <c r="ADS27" s="98"/>
      <c r="ADT27" s="98"/>
      <c r="ADU27" s="98"/>
      <c r="ADV27" s="98"/>
      <c r="ADW27" s="98"/>
      <c r="ADX27" s="98"/>
      <c r="ADY27" s="98"/>
      <c r="ADZ27" s="98"/>
      <c r="AEA27" s="98"/>
      <c r="AEB27" s="98"/>
      <c r="AEC27" s="98"/>
      <c r="AED27" s="98"/>
      <c r="AEE27" s="98"/>
      <c r="AEF27" s="98"/>
      <c r="AEG27" s="98"/>
      <c r="AEH27" s="98"/>
      <c r="AEI27" s="98"/>
      <c r="AEJ27" s="98"/>
      <c r="AEK27" s="98"/>
      <c r="AEL27" s="98"/>
      <c r="AEM27" s="98"/>
      <c r="AEN27" s="98"/>
      <c r="AEO27" s="98"/>
      <c r="AEP27" s="98"/>
      <c r="AEQ27" s="98"/>
      <c r="AER27" s="98"/>
      <c r="AES27" s="98"/>
      <c r="AET27" s="98"/>
      <c r="AEU27" s="98"/>
      <c r="AEV27" s="98"/>
      <c r="AEW27" s="98"/>
      <c r="AEX27" s="98"/>
      <c r="AEY27" s="98"/>
      <c r="AEZ27" s="98"/>
      <c r="AFA27" s="98"/>
      <c r="AFB27" s="98"/>
      <c r="AFC27" s="98"/>
      <c r="AFD27" s="98"/>
      <c r="AFE27" s="98"/>
      <c r="AFF27" s="98"/>
      <c r="AFG27" s="98"/>
      <c r="AFH27" s="98"/>
      <c r="AFI27" s="98"/>
      <c r="AFJ27" s="98"/>
      <c r="AFK27" s="98"/>
      <c r="AFL27" s="98"/>
      <c r="AFM27" s="98"/>
      <c r="AFN27" s="98"/>
      <c r="AFO27" s="98"/>
      <c r="AFP27" s="98"/>
      <c r="AFQ27" s="98"/>
      <c r="AFR27" s="98"/>
      <c r="AFS27" s="98"/>
      <c r="AFT27" s="98"/>
      <c r="AFU27" s="98"/>
      <c r="AFV27" s="98"/>
      <c r="AFW27" s="98"/>
      <c r="AFX27" s="98"/>
      <c r="AFY27" s="98"/>
      <c r="AFZ27" s="98"/>
      <c r="AGA27" s="98"/>
      <c r="AGB27" s="98"/>
      <c r="AGC27" s="98"/>
      <c r="AGD27" s="98"/>
      <c r="AGE27" s="98"/>
      <c r="AGF27" s="98"/>
      <c r="AGG27" s="98"/>
      <c r="AGH27" s="98"/>
      <c r="AGI27" s="98"/>
      <c r="AGJ27" s="98"/>
      <c r="AGK27" s="98"/>
      <c r="AGL27" s="98"/>
      <c r="AGM27" s="98"/>
      <c r="AGN27" s="98"/>
      <c r="AGO27" s="98"/>
      <c r="AGP27" s="98"/>
      <c r="AGQ27" s="98"/>
      <c r="AGR27" s="98"/>
      <c r="AGS27" s="98"/>
      <c r="AGT27" s="98"/>
      <c r="AGU27" s="98"/>
      <c r="AGV27" s="98"/>
      <c r="AGW27" s="98"/>
      <c r="AGX27" s="98"/>
      <c r="AGY27" s="98"/>
      <c r="AGZ27" s="98"/>
      <c r="AHA27" s="98"/>
      <c r="AHB27" s="98"/>
      <c r="AHC27" s="98"/>
      <c r="AHD27" s="98"/>
      <c r="AHE27" s="98"/>
      <c r="AHF27" s="98"/>
      <c r="AHG27" s="98"/>
      <c r="AHH27" s="98"/>
      <c r="AHI27" s="98"/>
      <c r="AHJ27" s="98"/>
      <c r="AHK27" s="98"/>
      <c r="AHL27" s="98"/>
      <c r="AHM27" s="98"/>
      <c r="AHN27" s="98"/>
      <c r="AHO27" s="98"/>
      <c r="AHP27" s="98"/>
      <c r="AHQ27" s="98"/>
      <c r="AHR27" s="98"/>
      <c r="AHS27" s="98"/>
      <c r="AHT27" s="98"/>
      <c r="AHU27" s="98"/>
      <c r="AHV27" s="98"/>
      <c r="AHW27" s="98"/>
      <c r="AHX27" s="98"/>
      <c r="AHY27" s="98"/>
      <c r="AHZ27" s="98"/>
      <c r="AIA27" s="98"/>
      <c r="AIB27" s="98"/>
      <c r="AIC27" s="98"/>
      <c r="AID27" s="98"/>
      <c r="AIE27" s="98"/>
      <c r="AIF27" s="98"/>
      <c r="AIG27" s="98"/>
      <c r="AIH27" s="98"/>
      <c r="AII27" s="98"/>
      <c r="AIJ27" s="98"/>
      <c r="AIK27" s="98"/>
      <c r="AIL27" s="98"/>
      <c r="AIM27" s="98"/>
      <c r="AIN27" s="98"/>
      <c r="AIO27" s="98"/>
      <c r="AIP27" s="98"/>
      <c r="AIQ27" s="98"/>
      <c r="AIR27" s="98"/>
      <c r="AIS27" s="98"/>
      <c r="AIT27" s="98"/>
      <c r="AIU27" s="98"/>
      <c r="AIV27" s="98"/>
      <c r="AIW27" s="98"/>
      <c r="AIX27" s="98"/>
      <c r="AIY27" s="98"/>
      <c r="AIZ27" s="98"/>
      <c r="AJA27" s="98"/>
      <c r="AJB27" s="98"/>
      <c r="AJC27" s="98"/>
      <c r="AJD27" s="98"/>
      <c r="AJE27" s="98"/>
      <c r="AJF27" s="98"/>
      <c r="AJG27" s="98"/>
      <c r="AJH27" s="98"/>
      <c r="AJI27" s="98"/>
      <c r="AJJ27" s="98"/>
      <c r="AJK27" s="98"/>
      <c r="AJL27" s="98"/>
      <c r="AJM27" s="98"/>
      <c r="AJN27" s="98"/>
      <c r="AJO27" s="98"/>
      <c r="AJP27" s="98"/>
      <c r="AJQ27" s="98"/>
      <c r="AJR27" s="98"/>
      <c r="AJS27" s="98"/>
      <c r="AJT27" s="98"/>
      <c r="AJU27" s="98"/>
      <c r="AJV27" s="98"/>
      <c r="AJW27" s="98"/>
      <c r="AJX27" s="98"/>
      <c r="AJY27" s="98"/>
      <c r="AJZ27" s="98"/>
      <c r="AKA27" s="98"/>
      <c r="AKB27" s="98"/>
      <c r="AKC27" s="98"/>
      <c r="AKD27" s="98"/>
      <c r="AKE27" s="98"/>
      <c r="AKF27" s="98"/>
      <c r="AKG27" s="98"/>
      <c r="AKH27" s="98"/>
      <c r="AKI27" s="98"/>
      <c r="AKJ27" s="98"/>
      <c r="AKK27" s="98"/>
      <c r="AKL27" s="98"/>
      <c r="AKM27" s="98"/>
      <c r="AKN27" s="98"/>
      <c r="AKO27" s="98"/>
      <c r="AKP27" s="98"/>
      <c r="AKQ27" s="98"/>
      <c r="AKR27" s="98"/>
      <c r="AKS27" s="98"/>
      <c r="AKT27" s="98"/>
      <c r="AKU27" s="98"/>
      <c r="AKV27" s="98"/>
      <c r="AKW27" s="98"/>
      <c r="AKX27" s="98"/>
      <c r="AKY27" s="98"/>
      <c r="AKZ27" s="98"/>
      <c r="ALA27" s="98"/>
      <c r="ALB27" s="98"/>
      <c r="ALC27" s="98"/>
      <c r="ALD27" s="98"/>
      <c r="ALE27" s="98"/>
      <c r="ALF27" s="98"/>
      <c r="ALG27" s="98"/>
      <c r="ALH27" s="98"/>
      <c r="ALI27" s="98"/>
      <c r="ALJ27" s="98"/>
      <c r="ALK27" s="98"/>
      <c r="ALL27" s="98"/>
      <c r="ALM27" s="98"/>
      <c r="ALN27" s="98"/>
      <c r="ALO27" s="98"/>
      <c r="ALP27" s="98"/>
      <c r="ALQ27" s="98"/>
      <c r="ALR27" s="98"/>
      <c r="ALS27" s="98"/>
      <c r="ALT27" s="98"/>
      <c r="ALU27" s="98"/>
      <c r="ALV27" s="98"/>
      <c r="ALW27" s="98"/>
      <c r="ALX27" s="98"/>
      <c r="ALY27" s="98"/>
      <c r="ALZ27" s="98"/>
      <c r="AMA27" s="98"/>
      <c r="AMB27" s="98"/>
      <c r="AMC27" s="98"/>
      <c r="AMD27" s="98"/>
      <c r="AME27" s="98"/>
      <c r="AMF27" s="98"/>
      <c r="AMG27" s="98"/>
      <c r="AMH27" s="98"/>
      <c r="AMI27" s="98"/>
      <c r="AMJ27" s="98"/>
      <c r="AMK27" s="98"/>
      <c r="AML27" s="98"/>
      <c r="AMM27" s="98"/>
      <c r="AMN27" s="98"/>
      <c r="AMO27" s="98"/>
      <c r="AMP27" s="98"/>
      <c r="AMQ27" s="98"/>
      <c r="AMR27" s="98"/>
      <c r="AMS27" s="98"/>
      <c r="AMT27" s="98"/>
      <c r="AMU27" s="98"/>
      <c r="AMV27" s="98"/>
      <c r="AMW27" s="98"/>
      <c r="AMX27" s="98"/>
      <c r="AMY27" s="98"/>
      <c r="AMZ27" s="98"/>
      <c r="ANA27" s="98"/>
      <c r="ANB27" s="98"/>
      <c r="ANC27" s="98"/>
      <c r="AND27" s="98"/>
      <c r="ANE27" s="98"/>
      <c r="ANF27" s="98"/>
      <c r="ANG27" s="98"/>
      <c r="ANH27" s="98"/>
      <c r="ANI27" s="98"/>
      <c r="ANJ27" s="98"/>
      <c r="ANK27" s="98"/>
      <c r="ANL27" s="98"/>
      <c r="ANM27" s="98"/>
      <c r="ANN27" s="98"/>
      <c r="ANO27" s="98"/>
      <c r="ANP27" s="98"/>
      <c r="ANQ27" s="98"/>
      <c r="ANR27" s="98"/>
      <c r="ANS27" s="98"/>
      <c r="ANT27" s="98"/>
      <c r="ANU27" s="98"/>
      <c r="ANV27" s="98"/>
      <c r="ANW27" s="98"/>
      <c r="ANX27" s="98"/>
      <c r="ANY27" s="98"/>
      <c r="ANZ27" s="98"/>
      <c r="AOA27" s="98"/>
      <c r="AOB27" s="98"/>
      <c r="AOC27" s="98"/>
      <c r="AOD27" s="98"/>
      <c r="AOE27" s="98"/>
      <c r="AOF27" s="98"/>
      <c r="AOG27" s="98"/>
      <c r="AOH27" s="98"/>
      <c r="AOI27" s="98"/>
      <c r="AOJ27" s="98"/>
      <c r="AOK27" s="98"/>
      <c r="AOL27" s="98"/>
      <c r="AOM27" s="98"/>
      <c r="AON27" s="98"/>
      <c r="AOO27" s="98"/>
      <c r="AOP27" s="98"/>
      <c r="AOQ27" s="98"/>
      <c r="AOR27" s="98"/>
      <c r="AOS27" s="98"/>
      <c r="AOT27" s="98"/>
      <c r="AOU27" s="98"/>
      <c r="AOV27" s="98"/>
      <c r="AOW27" s="98"/>
      <c r="AOX27" s="98"/>
      <c r="AOY27" s="98"/>
      <c r="AOZ27" s="98"/>
      <c r="APA27" s="98"/>
      <c r="APB27" s="98"/>
      <c r="APC27" s="98"/>
      <c r="APD27" s="98"/>
      <c r="APE27" s="98"/>
      <c r="APF27" s="98"/>
      <c r="APG27" s="98"/>
      <c r="APH27" s="98"/>
      <c r="API27" s="98"/>
      <c r="APJ27" s="98"/>
      <c r="APK27" s="98"/>
      <c r="APL27" s="98"/>
      <c r="APM27" s="98"/>
      <c r="APN27" s="98"/>
      <c r="APO27" s="98"/>
      <c r="APP27" s="98"/>
      <c r="APQ27" s="98"/>
      <c r="APR27" s="98"/>
      <c r="APS27" s="98"/>
      <c r="APT27" s="98"/>
      <c r="APU27" s="98"/>
      <c r="APV27" s="98"/>
      <c r="APW27" s="98"/>
      <c r="APX27" s="98"/>
      <c r="APY27" s="98"/>
      <c r="APZ27" s="98"/>
      <c r="AQA27" s="98"/>
      <c r="AQB27" s="98"/>
      <c r="AQC27" s="98"/>
      <c r="AQD27" s="98"/>
      <c r="AQE27" s="98"/>
      <c r="AQF27" s="98"/>
      <c r="AQG27" s="98"/>
      <c r="AQH27" s="98"/>
      <c r="AQI27" s="98"/>
      <c r="AQJ27" s="98"/>
      <c r="AQK27" s="98"/>
      <c r="AQL27" s="98"/>
      <c r="AQM27" s="98"/>
      <c r="AQN27" s="98"/>
      <c r="AQO27" s="98"/>
      <c r="AQP27" s="98"/>
      <c r="AQQ27" s="98"/>
      <c r="AQR27" s="98"/>
      <c r="AQS27" s="98"/>
      <c r="AQT27" s="98"/>
      <c r="AQU27" s="98"/>
      <c r="AQV27" s="98"/>
      <c r="AQW27" s="98"/>
      <c r="AQX27" s="98"/>
      <c r="AQY27" s="98"/>
      <c r="AQZ27" s="98"/>
      <c r="ARA27" s="98"/>
      <c r="ARB27" s="98"/>
      <c r="ARC27" s="98"/>
      <c r="ARD27" s="98"/>
      <c r="ARE27" s="98"/>
      <c r="ARF27" s="98"/>
      <c r="ARG27" s="98"/>
      <c r="ARH27" s="98"/>
      <c r="ARI27" s="98"/>
      <c r="ARJ27" s="98"/>
      <c r="ARK27" s="98"/>
      <c r="ARL27" s="98"/>
      <c r="ARM27" s="98"/>
      <c r="ARN27" s="98"/>
      <c r="ARO27" s="98"/>
      <c r="ARP27" s="98"/>
      <c r="ARQ27" s="98"/>
      <c r="ARR27" s="98"/>
      <c r="ARS27" s="98"/>
    </row>
    <row r="28" spans="1:1163">
      <c r="A28" s="138"/>
      <c r="B28" s="119"/>
      <c r="C28" s="175"/>
      <c r="D28" s="175"/>
      <c r="E28" s="175"/>
      <c r="F28" s="175"/>
      <c r="G28" s="175"/>
      <c r="H28" s="175"/>
      <c r="I28" s="175"/>
      <c r="J28" s="175"/>
      <c r="K28" s="175"/>
      <c r="L28" s="175"/>
      <c r="M28" s="175"/>
      <c r="N28" s="175"/>
      <c r="O28" s="175"/>
      <c r="P28" s="175"/>
      <c r="Q28" s="175"/>
      <c r="R28" s="175"/>
      <c r="S28" s="175"/>
      <c r="T28" s="175"/>
      <c r="U28" s="144"/>
      <c r="V28" s="144"/>
      <c r="W28" s="144"/>
      <c r="X28" s="144"/>
      <c r="Y28" s="144"/>
      <c r="Z28" s="144"/>
      <c r="AA28" s="144"/>
      <c r="AB28" s="144"/>
      <c r="AC28" s="144"/>
      <c r="AD28" s="144"/>
      <c r="AE28" s="175"/>
      <c r="AF28" s="175"/>
      <c r="AG28" s="144"/>
      <c r="AH28" s="209"/>
      <c r="AI28" s="209"/>
      <c r="AJ28" s="209"/>
      <c r="AK28" s="201"/>
      <c r="AL28" s="209"/>
      <c r="AM28" s="201"/>
      <c r="AN28" s="201"/>
      <c r="AO28" s="201"/>
      <c r="AP28" s="201"/>
      <c r="AQ28" s="201"/>
      <c r="AR28" s="201"/>
      <c r="AS28" s="201"/>
      <c r="AT28" s="201"/>
      <c r="AU28" s="209"/>
      <c r="AV28" s="209"/>
      <c r="AW28" s="197"/>
      <c r="AX28" s="197"/>
      <c r="AY28" s="206"/>
      <c r="AZ28" s="206"/>
      <c r="BA28" s="201"/>
      <c r="BB28" s="197"/>
      <c r="BC28" s="197"/>
      <c r="BD28" s="197"/>
      <c r="BE28" s="197"/>
      <c r="BF28" s="197"/>
      <c r="BG28" s="197"/>
      <c r="BH28" s="197"/>
      <c r="BI28" s="201"/>
      <c r="BJ28" s="98"/>
      <c r="BK28" s="148"/>
      <c r="BL28" s="148"/>
      <c r="BM28" s="148"/>
      <c r="BN28" s="148"/>
    </row>
    <row r="29" spans="1:1163">
      <c r="A29" s="124" t="s">
        <v>103</v>
      </c>
      <c r="B29" s="127" t="s">
        <v>67</v>
      </c>
      <c r="C29" s="183">
        <v>90295</v>
      </c>
      <c r="D29" s="183">
        <v>2690857</v>
      </c>
      <c r="E29" s="183">
        <v>26602</v>
      </c>
      <c r="F29" s="183">
        <v>650042</v>
      </c>
      <c r="G29" s="183">
        <v>24668</v>
      </c>
      <c r="H29" s="183">
        <v>1109904</v>
      </c>
      <c r="I29" s="183">
        <v>6643</v>
      </c>
      <c r="J29" s="183">
        <v>281749</v>
      </c>
      <c r="K29" s="183">
        <v>0</v>
      </c>
      <c r="L29" s="183">
        <v>0</v>
      </c>
      <c r="M29" s="194">
        <v>0</v>
      </c>
      <c r="N29" s="194">
        <v>0</v>
      </c>
      <c r="O29" s="194">
        <v>0</v>
      </c>
      <c r="P29" s="194">
        <v>0</v>
      </c>
      <c r="Q29" s="194">
        <v>0</v>
      </c>
      <c r="R29" s="194">
        <v>0</v>
      </c>
      <c r="S29" s="194">
        <v>0</v>
      </c>
      <c r="T29" s="194">
        <v>0</v>
      </c>
      <c r="U29" s="194">
        <v>9669</v>
      </c>
      <c r="V29" s="194">
        <v>1160280</v>
      </c>
      <c r="W29" s="194">
        <v>0</v>
      </c>
      <c r="X29" s="194">
        <v>0</v>
      </c>
      <c r="Y29" s="194">
        <v>7521</v>
      </c>
      <c r="Z29" s="194">
        <v>1006603</v>
      </c>
      <c r="AA29" s="183">
        <v>0</v>
      </c>
      <c r="AB29" s="183">
        <v>0</v>
      </c>
      <c r="AC29" s="183">
        <v>0</v>
      </c>
      <c r="AD29" s="183">
        <v>0</v>
      </c>
      <c r="AE29" s="183">
        <v>0</v>
      </c>
      <c r="AF29" s="183">
        <v>0</v>
      </c>
      <c r="AG29" s="183">
        <v>0</v>
      </c>
      <c r="AH29" s="183">
        <v>0</v>
      </c>
      <c r="AI29" s="183">
        <v>0</v>
      </c>
      <c r="AJ29" s="183">
        <v>0</v>
      </c>
      <c r="AK29" s="183">
        <v>0</v>
      </c>
      <c r="AL29" s="183">
        <v>0</v>
      </c>
      <c r="AM29" s="183">
        <v>0</v>
      </c>
      <c r="AN29" s="183">
        <v>0</v>
      </c>
      <c r="AO29" s="183">
        <v>0</v>
      </c>
      <c r="AP29" s="183">
        <v>0</v>
      </c>
      <c r="AQ29" s="183">
        <v>0</v>
      </c>
      <c r="AR29" s="183">
        <v>0</v>
      </c>
      <c r="AS29" s="183">
        <v>0</v>
      </c>
      <c r="AT29" s="183">
        <v>0</v>
      </c>
      <c r="AU29" s="183">
        <v>0</v>
      </c>
      <c r="AV29" s="183">
        <v>0</v>
      </c>
      <c r="AW29" s="183">
        <v>0</v>
      </c>
      <c r="AX29" s="183">
        <v>0</v>
      </c>
      <c r="AY29" s="135">
        <v>0</v>
      </c>
      <c r="AZ29" s="135">
        <v>0</v>
      </c>
      <c r="BA29" s="135"/>
      <c r="BB29" s="192"/>
      <c r="BC29" s="192"/>
      <c r="BD29" s="192"/>
      <c r="BE29" s="192"/>
      <c r="BF29" s="192"/>
      <c r="BG29" s="192"/>
      <c r="BH29" s="192"/>
      <c r="BI29" s="192"/>
      <c r="BJ29" s="98"/>
      <c r="BK29" s="148"/>
      <c r="BL29" s="148"/>
      <c r="BM29" s="148"/>
      <c r="BN29" s="148"/>
    </row>
    <row r="30" spans="1:1163">
      <c r="A30" s="193"/>
      <c r="B30" s="225"/>
      <c r="C30" s="194"/>
      <c r="D30" s="194"/>
      <c r="E30" s="194"/>
      <c r="F30" s="194"/>
      <c r="G30" s="194"/>
      <c r="H30" s="194"/>
      <c r="I30" s="194"/>
      <c r="J30" s="194"/>
      <c r="K30" s="194"/>
      <c r="L30" s="194"/>
      <c r="M30" s="194"/>
      <c r="N30" s="194"/>
      <c r="O30" s="194"/>
      <c r="P30" s="194"/>
      <c r="Q30" s="194"/>
      <c r="R30" s="194"/>
      <c r="S30" s="194"/>
      <c r="T30" s="194"/>
      <c r="U30" s="202"/>
      <c r="V30" s="202"/>
      <c r="W30" s="202"/>
      <c r="X30" s="202"/>
      <c r="Y30" s="202"/>
      <c r="Z30" s="202"/>
      <c r="AA30" s="202"/>
      <c r="AB30" s="202"/>
      <c r="AC30" s="202"/>
      <c r="AD30" s="202"/>
      <c r="AE30" s="194"/>
      <c r="AF30" s="194"/>
      <c r="AG30" s="202"/>
      <c r="AH30" s="202"/>
      <c r="AI30" s="202"/>
      <c r="AJ30" s="202"/>
      <c r="AK30" s="202"/>
      <c r="AL30" s="202"/>
      <c r="AM30" s="202"/>
      <c r="AN30" s="202"/>
      <c r="AO30" s="202"/>
      <c r="AP30" s="202"/>
      <c r="AQ30" s="202"/>
      <c r="AR30" s="202"/>
      <c r="AS30" s="196"/>
      <c r="AT30" s="164"/>
      <c r="AU30" s="196"/>
      <c r="AV30" s="164"/>
      <c r="AW30" s="166"/>
      <c r="AX30" s="166"/>
      <c r="AY30" s="135"/>
      <c r="AZ30" s="135"/>
      <c r="BA30" s="135"/>
      <c r="BB30" s="166"/>
      <c r="BC30" s="166"/>
      <c r="BD30" s="166"/>
      <c r="BE30" s="166"/>
      <c r="BF30" s="166"/>
      <c r="BG30" s="166"/>
      <c r="BH30" s="166"/>
      <c r="BI30" s="196"/>
      <c r="BJ30" s="98"/>
      <c r="BK30" s="11"/>
      <c r="BL30" s="148"/>
      <c r="BM30" s="148"/>
      <c r="BN30" s="148"/>
    </row>
    <row r="31" spans="1:1163" s="174" customFormat="1">
      <c r="A31" s="118" t="s">
        <v>493</v>
      </c>
      <c r="B31" s="134"/>
      <c r="C31" s="197"/>
      <c r="D31" s="197"/>
      <c r="E31" s="197"/>
      <c r="F31" s="197"/>
      <c r="G31" s="197"/>
      <c r="H31" s="197"/>
      <c r="I31" s="197"/>
      <c r="J31" s="197"/>
      <c r="K31" s="197"/>
      <c r="L31" s="197"/>
      <c r="M31" s="197"/>
      <c r="N31" s="197"/>
      <c r="O31" s="197"/>
      <c r="P31" s="197"/>
      <c r="Q31" s="197"/>
      <c r="R31" s="197"/>
      <c r="S31" s="197"/>
      <c r="T31" s="197"/>
      <c r="U31" s="201"/>
      <c r="V31" s="201"/>
      <c r="W31" s="201"/>
      <c r="X31" s="201"/>
      <c r="Y31" s="201"/>
      <c r="Z31" s="201"/>
      <c r="AA31" s="201"/>
      <c r="AB31" s="201"/>
      <c r="AC31" s="201"/>
      <c r="AD31" s="201"/>
      <c r="AE31" s="197"/>
      <c r="AF31" s="197"/>
      <c r="AG31" s="201"/>
      <c r="AH31" s="201"/>
      <c r="AI31" s="201"/>
      <c r="AJ31" s="201"/>
      <c r="AK31" s="201"/>
      <c r="AL31" s="201"/>
      <c r="AM31" s="201"/>
      <c r="AN31" s="201"/>
      <c r="AO31" s="201"/>
      <c r="AP31" s="201"/>
      <c r="AQ31" s="201"/>
      <c r="AR31" s="201"/>
      <c r="AS31" s="201"/>
      <c r="AT31" s="201"/>
      <c r="AU31" s="177"/>
      <c r="AV31" s="177"/>
      <c r="AW31" s="173"/>
      <c r="AX31" s="173"/>
      <c r="AY31" s="172"/>
      <c r="AZ31" s="172"/>
      <c r="BA31" s="177"/>
      <c r="BB31" s="173"/>
      <c r="BC31" s="173"/>
      <c r="BD31" s="173"/>
      <c r="BE31" s="173"/>
      <c r="BF31" s="173"/>
      <c r="BG31" s="173"/>
      <c r="BH31" s="173"/>
      <c r="BI31" s="177"/>
      <c r="BJ31" s="98"/>
      <c r="BK31" s="11"/>
      <c r="BL31" s="148"/>
      <c r="BM31" s="148"/>
      <c r="BN31" s="14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c r="FC31" s="98"/>
      <c r="FD31" s="98"/>
      <c r="FE31" s="98"/>
      <c r="FF31" s="98"/>
      <c r="FG31" s="98"/>
      <c r="FH31" s="98"/>
      <c r="FI31" s="98"/>
      <c r="FJ31" s="98"/>
      <c r="FK31" s="98"/>
      <c r="FL31" s="98"/>
      <c r="FM31" s="98"/>
      <c r="FN31" s="98"/>
      <c r="FO31" s="98"/>
      <c r="FP31" s="98"/>
      <c r="FQ31" s="98"/>
      <c r="FR31" s="98"/>
      <c r="FS31" s="98"/>
      <c r="FT31" s="98"/>
      <c r="FU31" s="98"/>
      <c r="FV31" s="98"/>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c r="IW31" s="98"/>
      <c r="IX31" s="98"/>
      <c r="IY31" s="98"/>
      <c r="IZ31" s="98"/>
      <c r="JA31" s="98"/>
      <c r="JB31" s="98"/>
      <c r="JC31" s="98"/>
      <c r="JD31" s="98"/>
      <c r="JE31" s="98"/>
      <c r="JF31" s="98"/>
      <c r="JG31" s="98"/>
      <c r="JH31" s="98"/>
      <c r="JI31" s="98"/>
      <c r="JJ31" s="98"/>
      <c r="JK31" s="98"/>
      <c r="JL31" s="98"/>
      <c r="JM31" s="98"/>
      <c r="JN31" s="98"/>
      <c r="JO31" s="98"/>
      <c r="JP31" s="98"/>
      <c r="JQ31" s="98"/>
      <c r="JR31" s="98"/>
      <c r="JS31" s="98"/>
      <c r="JT31" s="98"/>
      <c r="JU31" s="98"/>
      <c r="JV31" s="98"/>
      <c r="JW31" s="98"/>
      <c r="JX31" s="98"/>
      <c r="JY31" s="98"/>
      <c r="JZ31" s="98"/>
      <c r="KA31" s="98"/>
      <c r="KB31" s="98"/>
      <c r="KC31" s="98"/>
      <c r="KD31" s="98"/>
      <c r="KE31" s="98"/>
      <c r="KF31" s="98"/>
      <c r="KG31" s="98"/>
      <c r="KH31" s="98"/>
      <c r="KI31" s="98"/>
      <c r="KJ31" s="98"/>
      <c r="KK31" s="98"/>
      <c r="KL31" s="98"/>
      <c r="KM31" s="98"/>
      <c r="KN31" s="98"/>
      <c r="KO31" s="98"/>
      <c r="KP31" s="98"/>
      <c r="KQ31" s="98"/>
      <c r="KR31" s="98"/>
      <c r="KS31" s="98"/>
      <c r="KT31" s="98"/>
      <c r="KU31" s="98"/>
      <c r="KV31" s="98"/>
      <c r="KW31" s="98"/>
      <c r="KX31" s="98"/>
      <c r="KY31" s="98"/>
      <c r="KZ31" s="98"/>
      <c r="LA31" s="98"/>
      <c r="LB31" s="98"/>
      <c r="LC31" s="98"/>
      <c r="LD31" s="98"/>
      <c r="LE31" s="98"/>
      <c r="LF31" s="98"/>
      <c r="LG31" s="98"/>
      <c r="LH31" s="98"/>
      <c r="LI31" s="98"/>
      <c r="LJ31" s="98"/>
      <c r="LK31" s="98"/>
      <c r="LL31" s="98"/>
      <c r="LM31" s="98"/>
      <c r="LN31" s="98"/>
      <c r="LO31" s="98"/>
      <c r="LP31" s="98"/>
      <c r="LQ31" s="98"/>
      <c r="LR31" s="98"/>
      <c r="LS31" s="98"/>
      <c r="LT31" s="98"/>
      <c r="LU31" s="98"/>
      <c r="LV31" s="98"/>
      <c r="LW31" s="98"/>
      <c r="LX31" s="98"/>
      <c r="LY31" s="98"/>
      <c r="LZ31" s="98"/>
      <c r="MA31" s="98"/>
      <c r="MB31" s="98"/>
      <c r="MC31" s="98"/>
      <c r="MD31" s="98"/>
      <c r="ME31" s="98"/>
      <c r="MF31" s="98"/>
      <c r="MG31" s="98"/>
      <c r="MH31" s="98"/>
      <c r="MI31" s="98"/>
      <c r="MJ31" s="98"/>
      <c r="MK31" s="98"/>
      <c r="ML31" s="98"/>
      <c r="MM31" s="98"/>
      <c r="MN31" s="98"/>
      <c r="MO31" s="98"/>
      <c r="MP31" s="98"/>
      <c r="MQ31" s="98"/>
      <c r="MR31" s="98"/>
      <c r="MS31" s="98"/>
      <c r="MT31" s="98"/>
      <c r="MU31" s="98"/>
      <c r="MV31" s="98"/>
      <c r="MW31" s="98"/>
      <c r="MX31" s="98"/>
      <c r="MY31" s="98"/>
      <c r="MZ31" s="98"/>
      <c r="NA31" s="98"/>
      <c r="NB31" s="98"/>
      <c r="NC31" s="98"/>
      <c r="ND31" s="98"/>
      <c r="NE31" s="98"/>
      <c r="NF31" s="98"/>
      <c r="NG31" s="98"/>
      <c r="NH31" s="98"/>
      <c r="NI31" s="98"/>
      <c r="NJ31" s="98"/>
      <c r="NK31" s="98"/>
      <c r="NL31" s="98"/>
      <c r="NM31" s="98"/>
      <c r="NN31" s="98"/>
      <c r="NO31" s="98"/>
      <c r="NP31" s="98"/>
      <c r="NQ31" s="98"/>
      <c r="NR31" s="98"/>
      <c r="NS31" s="98"/>
      <c r="NT31" s="98"/>
      <c r="NU31" s="98"/>
      <c r="NV31" s="98"/>
      <c r="NW31" s="98"/>
      <c r="NX31" s="98"/>
      <c r="NY31" s="98"/>
      <c r="NZ31" s="98"/>
      <c r="OA31" s="98"/>
      <c r="OB31" s="98"/>
      <c r="OC31" s="98"/>
      <c r="OD31" s="98"/>
      <c r="OE31" s="98"/>
      <c r="OF31" s="98"/>
      <c r="OG31" s="98"/>
      <c r="OH31" s="98"/>
      <c r="OI31" s="98"/>
      <c r="OJ31" s="98"/>
      <c r="OK31" s="98"/>
      <c r="OL31" s="98"/>
      <c r="OM31" s="98"/>
      <c r="ON31" s="98"/>
      <c r="OO31" s="98"/>
      <c r="OP31" s="98"/>
      <c r="OQ31" s="98"/>
      <c r="OR31" s="98"/>
      <c r="OS31" s="98"/>
      <c r="OT31" s="98"/>
      <c r="OU31" s="98"/>
      <c r="OV31" s="98"/>
      <c r="OW31" s="98"/>
      <c r="OX31" s="98"/>
      <c r="OY31" s="98"/>
      <c r="OZ31" s="98"/>
      <c r="PA31" s="98"/>
      <c r="PB31" s="98"/>
      <c r="PC31" s="98"/>
      <c r="PD31" s="98"/>
      <c r="PE31" s="98"/>
      <c r="PF31" s="98"/>
      <c r="PG31" s="98"/>
      <c r="PH31" s="98"/>
      <c r="PI31" s="98"/>
      <c r="PJ31" s="98"/>
      <c r="PK31" s="98"/>
      <c r="PL31" s="98"/>
      <c r="PM31" s="98"/>
      <c r="PN31" s="98"/>
      <c r="PO31" s="98"/>
      <c r="PP31" s="98"/>
      <c r="PQ31" s="98"/>
      <c r="PR31" s="98"/>
      <c r="PS31" s="98"/>
      <c r="PT31" s="98"/>
      <c r="PU31" s="98"/>
      <c r="PV31" s="98"/>
      <c r="PW31" s="98"/>
      <c r="PX31" s="98"/>
      <c r="PY31" s="98"/>
      <c r="PZ31" s="98"/>
      <c r="QA31" s="98"/>
      <c r="QB31" s="98"/>
      <c r="QC31" s="98"/>
      <c r="QD31" s="98"/>
      <c r="QE31" s="98"/>
      <c r="QF31" s="98"/>
      <c r="QG31" s="98"/>
      <c r="QH31" s="98"/>
      <c r="QI31" s="98"/>
      <c r="QJ31" s="98"/>
      <c r="QK31" s="98"/>
      <c r="QL31" s="98"/>
      <c r="QM31" s="98"/>
      <c r="QN31" s="98"/>
      <c r="QO31" s="98"/>
      <c r="QP31" s="98"/>
      <c r="QQ31" s="98"/>
      <c r="QR31" s="98"/>
      <c r="QS31" s="98"/>
      <c r="QT31" s="98"/>
      <c r="QU31" s="98"/>
      <c r="QV31" s="98"/>
      <c r="QW31" s="98"/>
      <c r="QX31" s="98"/>
      <c r="QY31" s="98"/>
      <c r="QZ31" s="98"/>
      <c r="RA31" s="98"/>
      <c r="RB31" s="98"/>
      <c r="RC31" s="98"/>
      <c r="RD31" s="98"/>
      <c r="RE31" s="98"/>
      <c r="RF31" s="98"/>
      <c r="RG31" s="98"/>
      <c r="RH31" s="98"/>
      <c r="RI31" s="98"/>
      <c r="RJ31" s="98"/>
      <c r="RK31" s="98"/>
      <c r="RL31" s="98"/>
      <c r="RM31" s="98"/>
      <c r="RN31" s="98"/>
      <c r="RO31" s="98"/>
      <c r="RP31" s="98"/>
      <c r="RQ31" s="98"/>
      <c r="RR31" s="98"/>
      <c r="RS31" s="98"/>
      <c r="RT31" s="98"/>
      <c r="RU31" s="98"/>
      <c r="RV31" s="98"/>
      <c r="RW31" s="98"/>
      <c r="RX31" s="98"/>
      <c r="RY31" s="98"/>
      <c r="RZ31" s="98"/>
      <c r="SA31" s="98"/>
      <c r="SB31" s="98"/>
      <c r="SC31" s="98"/>
      <c r="SD31" s="98"/>
      <c r="SE31" s="98"/>
      <c r="SF31" s="98"/>
      <c r="SG31" s="98"/>
      <c r="SH31" s="98"/>
      <c r="SI31" s="98"/>
      <c r="SJ31" s="98"/>
      <c r="SK31" s="98"/>
      <c r="SL31" s="98"/>
      <c r="SM31" s="98"/>
      <c r="SN31" s="98"/>
      <c r="SO31" s="98"/>
      <c r="SP31" s="98"/>
      <c r="SQ31" s="98"/>
      <c r="SR31" s="98"/>
      <c r="SS31" s="98"/>
      <c r="ST31" s="98"/>
      <c r="SU31" s="98"/>
      <c r="SV31" s="98"/>
      <c r="SW31" s="98"/>
      <c r="SX31" s="98"/>
      <c r="SY31" s="98"/>
      <c r="SZ31" s="98"/>
      <c r="TA31" s="98"/>
      <c r="TB31" s="98"/>
      <c r="TC31" s="98"/>
      <c r="TD31" s="98"/>
      <c r="TE31" s="98"/>
      <c r="TF31" s="98"/>
      <c r="TG31" s="98"/>
      <c r="TH31" s="98"/>
      <c r="TI31" s="98"/>
      <c r="TJ31" s="98"/>
      <c r="TK31" s="98"/>
      <c r="TL31" s="98"/>
      <c r="TM31" s="98"/>
      <c r="TN31" s="98"/>
      <c r="TO31" s="98"/>
      <c r="TP31" s="98"/>
      <c r="TQ31" s="98"/>
      <c r="TR31" s="98"/>
      <c r="TS31" s="98"/>
      <c r="TT31" s="98"/>
      <c r="TU31" s="98"/>
      <c r="TV31" s="98"/>
      <c r="TW31" s="98"/>
      <c r="TX31" s="98"/>
      <c r="TY31" s="98"/>
      <c r="TZ31" s="98"/>
      <c r="UA31" s="98"/>
      <c r="UB31" s="98"/>
      <c r="UC31" s="98"/>
      <c r="UD31" s="98"/>
      <c r="UE31" s="98"/>
      <c r="UF31" s="98"/>
      <c r="UG31" s="98"/>
      <c r="UH31" s="98"/>
      <c r="UI31" s="98"/>
      <c r="UJ31" s="98"/>
      <c r="UK31" s="98"/>
      <c r="UL31" s="98"/>
      <c r="UM31" s="98"/>
      <c r="UN31" s="98"/>
      <c r="UO31" s="98"/>
      <c r="UP31" s="98"/>
      <c r="UQ31" s="98"/>
      <c r="UR31" s="98"/>
      <c r="US31" s="98"/>
      <c r="UT31" s="98"/>
      <c r="UU31" s="98"/>
      <c r="UV31" s="98"/>
      <c r="UW31" s="98"/>
      <c r="UX31" s="98"/>
      <c r="UY31" s="98"/>
      <c r="UZ31" s="98"/>
      <c r="VA31" s="98"/>
      <c r="VB31" s="98"/>
      <c r="VC31" s="98"/>
      <c r="VD31" s="98"/>
      <c r="VE31" s="98"/>
      <c r="VF31" s="98"/>
      <c r="VG31" s="98"/>
      <c r="VH31" s="98"/>
      <c r="VI31" s="98"/>
      <c r="VJ31" s="98"/>
      <c r="VK31" s="98"/>
      <c r="VL31" s="98"/>
      <c r="VM31" s="98"/>
      <c r="VN31" s="98"/>
      <c r="VO31" s="98"/>
      <c r="VP31" s="98"/>
      <c r="VQ31" s="98"/>
      <c r="VR31" s="98"/>
      <c r="VS31" s="98"/>
      <c r="VT31" s="98"/>
      <c r="VU31" s="98"/>
      <c r="VV31" s="98"/>
      <c r="VW31" s="98"/>
      <c r="VX31" s="98"/>
      <c r="VY31" s="98"/>
      <c r="VZ31" s="98"/>
      <c r="WA31" s="98"/>
      <c r="WB31" s="98"/>
      <c r="WC31" s="98"/>
      <c r="WD31" s="98"/>
      <c r="WE31" s="98"/>
      <c r="WF31" s="98"/>
      <c r="WG31" s="98"/>
      <c r="WH31" s="98"/>
      <c r="WI31" s="98"/>
      <c r="WJ31" s="98"/>
      <c r="WK31" s="98"/>
      <c r="WL31" s="98"/>
      <c r="WM31" s="98"/>
      <c r="WN31" s="98"/>
      <c r="WO31" s="98"/>
      <c r="WP31" s="98"/>
      <c r="WQ31" s="98"/>
      <c r="WR31" s="98"/>
      <c r="WS31" s="98"/>
      <c r="WT31" s="98"/>
      <c r="WU31" s="98"/>
      <c r="WV31" s="98"/>
      <c r="WW31" s="98"/>
      <c r="WX31" s="98"/>
      <c r="WY31" s="98"/>
      <c r="WZ31" s="98"/>
      <c r="XA31" s="98"/>
      <c r="XB31" s="98"/>
      <c r="XC31" s="98"/>
      <c r="XD31" s="98"/>
      <c r="XE31" s="98"/>
      <c r="XF31" s="98"/>
      <c r="XG31" s="98"/>
      <c r="XH31" s="98"/>
      <c r="XI31" s="98"/>
      <c r="XJ31" s="98"/>
      <c r="XK31" s="98"/>
      <c r="XL31" s="98"/>
      <c r="XM31" s="98"/>
      <c r="XN31" s="98"/>
      <c r="XO31" s="98"/>
      <c r="XP31" s="98"/>
      <c r="XQ31" s="98"/>
      <c r="XR31" s="98"/>
      <c r="XS31" s="98"/>
      <c r="XT31" s="98"/>
      <c r="XU31" s="98"/>
      <c r="XV31" s="98"/>
      <c r="XW31" s="98"/>
      <c r="XX31" s="98"/>
      <c r="XY31" s="98"/>
      <c r="XZ31" s="98"/>
      <c r="YA31" s="98"/>
      <c r="YB31" s="98"/>
      <c r="YC31" s="98"/>
      <c r="YD31" s="98"/>
      <c r="YE31" s="98"/>
      <c r="YF31" s="98"/>
      <c r="YG31" s="98"/>
      <c r="YH31" s="98"/>
      <c r="YI31" s="98"/>
      <c r="YJ31" s="98"/>
      <c r="YK31" s="98"/>
      <c r="YL31" s="98"/>
      <c r="YM31" s="98"/>
      <c r="YN31" s="98"/>
      <c r="YO31" s="98"/>
      <c r="YP31" s="98"/>
      <c r="YQ31" s="98"/>
      <c r="YR31" s="98"/>
      <c r="YS31" s="98"/>
      <c r="YT31" s="98"/>
      <c r="YU31" s="98"/>
      <c r="YV31" s="98"/>
      <c r="YW31" s="98"/>
      <c r="YX31" s="98"/>
      <c r="YY31" s="98"/>
      <c r="YZ31" s="98"/>
      <c r="ZA31" s="98"/>
      <c r="ZB31" s="98"/>
      <c r="ZC31" s="98"/>
      <c r="ZD31" s="98"/>
      <c r="ZE31" s="98"/>
      <c r="ZF31" s="98"/>
      <c r="ZG31" s="98"/>
      <c r="ZH31" s="98"/>
      <c r="ZI31" s="98"/>
      <c r="ZJ31" s="98"/>
      <c r="ZK31" s="98"/>
      <c r="ZL31" s="98"/>
      <c r="ZM31" s="98"/>
      <c r="ZN31" s="98"/>
      <c r="ZO31" s="98"/>
      <c r="ZP31" s="98"/>
      <c r="ZQ31" s="98"/>
      <c r="ZR31" s="98"/>
      <c r="ZS31" s="98"/>
      <c r="ZT31" s="98"/>
      <c r="ZU31" s="98"/>
      <c r="ZV31" s="98"/>
      <c r="ZW31" s="98"/>
      <c r="ZX31" s="98"/>
      <c r="ZY31" s="98"/>
      <c r="ZZ31" s="98"/>
      <c r="AAA31" s="98"/>
      <c r="AAB31" s="98"/>
      <c r="AAC31" s="98"/>
      <c r="AAD31" s="98"/>
      <c r="AAE31" s="98"/>
      <c r="AAF31" s="98"/>
      <c r="AAG31" s="98"/>
      <c r="AAH31" s="98"/>
      <c r="AAI31" s="98"/>
      <c r="AAJ31" s="98"/>
      <c r="AAK31" s="98"/>
      <c r="AAL31" s="98"/>
      <c r="AAM31" s="98"/>
      <c r="AAN31" s="98"/>
      <c r="AAO31" s="98"/>
      <c r="AAP31" s="98"/>
      <c r="AAQ31" s="98"/>
      <c r="AAR31" s="98"/>
      <c r="AAS31" s="98"/>
      <c r="AAT31" s="98"/>
      <c r="AAU31" s="98"/>
      <c r="AAV31" s="98"/>
      <c r="AAW31" s="98"/>
      <c r="AAX31" s="98"/>
      <c r="AAY31" s="98"/>
      <c r="AAZ31" s="98"/>
      <c r="ABA31" s="98"/>
      <c r="ABB31" s="98"/>
      <c r="ABC31" s="98"/>
      <c r="ABD31" s="98"/>
      <c r="ABE31" s="98"/>
      <c r="ABF31" s="98"/>
      <c r="ABG31" s="98"/>
      <c r="ABH31" s="98"/>
      <c r="ABI31" s="98"/>
      <c r="ABJ31" s="98"/>
      <c r="ABK31" s="98"/>
      <c r="ABL31" s="98"/>
      <c r="ABM31" s="98"/>
      <c r="ABN31" s="98"/>
      <c r="ABO31" s="98"/>
      <c r="ABP31" s="98"/>
      <c r="ABQ31" s="98"/>
      <c r="ABR31" s="98"/>
      <c r="ABS31" s="98"/>
      <c r="ABT31" s="98"/>
      <c r="ABU31" s="98"/>
      <c r="ABV31" s="98"/>
      <c r="ABW31" s="98"/>
      <c r="ABX31" s="98"/>
      <c r="ABY31" s="98"/>
      <c r="ABZ31" s="98"/>
      <c r="ACA31" s="98"/>
      <c r="ACB31" s="98"/>
      <c r="ACC31" s="98"/>
      <c r="ACD31" s="98"/>
      <c r="ACE31" s="98"/>
      <c r="ACF31" s="98"/>
      <c r="ACG31" s="98"/>
      <c r="ACH31" s="98"/>
      <c r="ACI31" s="98"/>
      <c r="ACJ31" s="98"/>
      <c r="ACK31" s="98"/>
      <c r="ACL31" s="98"/>
      <c r="ACM31" s="98"/>
      <c r="ACN31" s="98"/>
      <c r="ACO31" s="98"/>
      <c r="ACP31" s="98"/>
      <c r="ACQ31" s="98"/>
      <c r="ACR31" s="98"/>
      <c r="ACS31" s="98"/>
      <c r="ACT31" s="98"/>
      <c r="ACU31" s="98"/>
      <c r="ACV31" s="98"/>
      <c r="ACW31" s="98"/>
      <c r="ACX31" s="98"/>
      <c r="ACY31" s="98"/>
      <c r="ACZ31" s="98"/>
      <c r="ADA31" s="98"/>
      <c r="ADB31" s="98"/>
      <c r="ADC31" s="98"/>
      <c r="ADD31" s="98"/>
      <c r="ADE31" s="98"/>
      <c r="ADF31" s="98"/>
      <c r="ADG31" s="98"/>
      <c r="ADH31" s="98"/>
      <c r="ADI31" s="98"/>
      <c r="ADJ31" s="98"/>
      <c r="ADK31" s="98"/>
      <c r="ADL31" s="98"/>
      <c r="ADM31" s="98"/>
      <c r="ADN31" s="98"/>
      <c r="ADO31" s="98"/>
      <c r="ADP31" s="98"/>
      <c r="ADQ31" s="98"/>
      <c r="ADR31" s="98"/>
      <c r="ADS31" s="98"/>
      <c r="ADT31" s="98"/>
      <c r="ADU31" s="98"/>
      <c r="ADV31" s="98"/>
      <c r="ADW31" s="98"/>
      <c r="ADX31" s="98"/>
      <c r="ADY31" s="98"/>
      <c r="ADZ31" s="98"/>
      <c r="AEA31" s="98"/>
      <c r="AEB31" s="98"/>
      <c r="AEC31" s="98"/>
      <c r="AED31" s="98"/>
      <c r="AEE31" s="98"/>
      <c r="AEF31" s="98"/>
      <c r="AEG31" s="98"/>
      <c r="AEH31" s="98"/>
      <c r="AEI31" s="98"/>
      <c r="AEJ31" s="98"/>
      <c r="AEK31" s="98"/>
      <c r="AEL31" s="98"/>
      <c r="AEM31" s="98"/>
      <c r="AEN31" s="98"/>
      <c r="AEO31" s="98"/>
      <c r="AEP31" s="98"/>
      <c r="AEQ31" s="98"/>
      <c r="AER31" s="98"/>
      <c r="AES31" s="98"/>
      <c r="AET31" s="98"/>
      <c r="AEU31" s="98"/>
      <c r="AEV31" s="98"/>
      <c r="AEW31" s="98"/>
      <c r="AEX31" s="98"/>
      <c r="AEY31" s="98"/>
      <c r="AEZ31" s="98"/>
      <c r="AFA31" s="98"/>
      <c r="AFB31" s="98"/>
      <c r="AFC31" s="98"/>
      <c r="AFD31" s="98"/>
      <c r="AFE31" s="98"/>
      <c r="AFF31" s="98"/>
      <c r="AFG31" s="98"/>
      <c r="AFH31" s="98"/>
      <c r="AFI31" s="98"/>
      <c r="AFJ31" s="98"/>
      <c r="AFK31" s="98"/>
      <c r="AFL31" s="98"/>
      <c r="AFM31" s="98"/>
      <c r="AFN31" s="98"/>
      <c r="AFO31" s="98"/>
      <c r="AFP31" s="98"/>
      <c r="AFQ31" s="98"/>
      <c r="AFR31" s="98"/>
      <c r="AFS31" s="98"/>
      <c r="AFT31" s="98"/>
      <c r="AFU31" s="98"/>
      <c r="AFV31" s="98"/>
      <c r="AFW31" s="98"/>
      <c r="AFX31" s="98"/>
      <c r="AFY31" s="98"/>
      <c r="AFZ31" s="98"/>
      <c r="AGA31" s="98"/>
      <c r="AGB31" s="98"/>
      <c r="AGC31" s="98"/>
      <c r="AGD31" s="98"/>
      <c r="AGE31" s="98"/>
      <c r="AGF31" s="98"/>
      <c r="AGG31" s="98"/>
      <c r="AGH31" s="98"/>
      <c r="AGI31" s="98"/>
      <c r="AGJ31" s="98"/>
      <c r="AGK31" s="98"/>
      <c r="AGL31" s="98"/>
      <c r="AGM31" s="98"/>
      <c r="AGN31" s="98"/>
      <c r="AGO31" s="98"/>
      <c r="AGP31" s="98"/>
      <c r="AGQ31" s="98"/>
      <c r="AGR31" s="98"/>
      <c r="AGS31" s="98"/>
      <c r="AGT31" s="98"/>
      <c r="AGU31" s="98"/>
      <c r="AGV31" s="98"/>
      <c r="AGW31" s="98"/>
      <c r="AGX31" s="98"/>
      <c r="AGY31" s="98"/>
      <c r="AGZ31" s="98"/>
      <c r="AHA31" s="98"/>
      <c r="AHB31" s="98"/>
      <c r="AHC31" s="98"/>
      <c r="AHD31" s="98"/>
      <c r="AHE31" s="98"/>
      <c r="AHF31" s="98"/>
      <c r="AHG31" s="98"/>
      <c r="AHH31" s="98"/>
      <c r="AHI31" s="98"/>
      <c r="AHJ31" s="98"/>
      <c r="AHK31" s="98"/>
      <c r="AHL31" s="98"/>
      <c r="AHM31" s="98"/>
      <c r="AHN31" s="98"/>
      <c r="AHO31" s="98"/>
      <c r="AHP31" s="98"/>
      <c r="AHQ31" s="98"/>
      <c r="AHR31" s="98"/>
      <c r="AHS31" s="98"/>
      <c r="AHT31" s="98"/>
      <c r="AHU31" s="98"/>
      <c r="AHV31" s="98"/>
      <c r="AHW31" s="98"/>
      <c r="AHX31" s="98"/>
      <c r="AHY31" s="98"/>
      <c r="AHZ31" s="98"/>
      <c r="AIA31" s="98"/>
      <c r="AIB31" s="98"/>
      <c r="AIC31" s="98"/>
      <c r="AID31" s="98"/>
      <c r="AIE31" s="98"/>
      <c r="AIF31" s="98"/>
      <c r="AIG31" s="98"/>
      <c r="AIH31" s="98"/>
      <c r="AII31" s="98"/>
      <c r="AIJ31" s="98"/>
      <c r="AIK31" s="98"/>
      <c r="AIL31" s="98"/>
      <c r="AIM31" s="98"/>
      <c r="AIN31" s="98"/>
      <c r="AIO31" s="98"/>
      <c r="AIP31" s="98"/>
      <c r="AIQ31" s="98"/>
      <c r="AIR31" s="98"/>
      <c r="AIS31" s="98"/>
      <c r="AIT31" s="98"/>
      <c r="AIU31" s="98"/>
      <c r="AIV31" s="98"/>
      <c r="AIW31" s="98"/>
      <c r="AIX31" s="98"/>
      <c r="AIY31" s="98"/>
      <c r="AIZ31" s="98"/>
      <c r="AJA31" s="98"/>
      <c r="AJB31" s="98"/>
      <c r="AJC31" s="98"/>
      <c r="AJD31" s="98"/>
      <c r="AJE31" s="98"/>
      <c r="AJF31" s="98"/>
      <c r="AJG31" s="98"/>
      <c r="AJH31" s="98"/>
      <c r="AJI31" s="98"/>
      <c r="AJJ31" s="98"/>
      <c r="AJK31" s="98"/>
      <c r="AJL31" s="98"/>
      <c r="AJM31" s="98"/>
      <c r="AJN31" s="98"/>
      <c r="AJO31" s="98"/>
      <c r="AJP31" s="98"/>
      <c r="AJQ31" s="98"/>
      <c r="AJR31" s="98"/>
      <c r="AJS31" s="98"/>
      <c r="AJT31" s="98"/>
      <c r="AJU31" s="98"/>
      <c r="AJV31" s="98"/>
      <c r="AJW31" s="98"/>
      <c r="AJX31" s="98"/>
      <c r="AJY31" s="98"/>
      <c r="AJZ31" s="98"/>
      <c r="AKA31" s="98"/>
      <c r="AKB31" s="98"/>
      <c r="AKC31" s="98"/>
      <c r="AKD31" s="98"/>
      <c r="AKE31" s="98"/>
      <c r="AKF31" s="98"/>
      <c r="AKG31" s="98"/>
      <c r="AKH31" s="98"/>
      <c r="AKI31" s="98"/>
      <c r="AKJ31" s="98"/>
      <c r="AKK31" s="98"/>
      <c r="AKL31" s="98"/>
      <c r="AKM31" s="98"/>
      <c r="AKN31" s="98"/>
      <c r="AKO31" s="98"/>
      <c r="AKP31" s="98"/>
      <c r="AKQ31" s="98"/>
      <c r="AKR31" s="98"/>
      <c r="AKS31" s="98"/>
      <c r="AKT31" s="98"/>
      <c r="AKU31" s="98"/>
      <c r="AKV31" s="98"/>
      <c r="AKW31" s="98"/>
      <c r="AKX31" s="98"/>
      <c r="AKY31" s="98"/>
      <c r="AKZ31" s="98"/>
      <c r="ALA31" s="98"/>
      <c r="ALB31" s="98"/>
      <c r="ALC31" s="98"/>
      <c r="ALD31" s="98"/>
      <c r="ALE31" s="98"/>
      <c r="ALF31" s="98"/>
      <c r="ALG31" s="98"/>
      <c r="ALH31" s="98"/>
      <c r="ALI31" s="98"/>
      <c r="ALJ31" s="98"/>
      <c r="ALK31" s="98"/>
      <c r="ALL31" s="98"/>
      <c r="ALM31" s="98"/>
      <c r="ALN31" s="98"/>
      <c r="ALO31" s="98"/>
      <c r="ALP31" s="98"/>
      <c r="ALQ31" s="98"/>
      <c r="ALR31" s="98"/>
      <c r="ALS31" s="98"/>
      <c r="ALT31" s="98"/>
      <c r="ALU31" s="98"/>
      <c r="ALV31" s="98"/>
      <c r="ALW31" s="98"/>
      <c r="ALX31" s="98"/>
      <c r="ALY31" s="98"/>
      <c r="ALZ31" s="98"/>
      <c r="AMA31" s="98"/>
      <c r="AMB31" s="98"/>
      <c r="AMC31" s="98"/>
      <c r="AMD31" s="98"/>
      <c r="AME31" s="98"/>
      <c r="AMF31" s="98"/>
      <c r="AMG31" s="98"/>
      <c r="AMH31" s="98"/>
      <c r="AMI31" s="98"/>
      <c r="AMJ31" s="98"/>
      <c r="AMK31" s="98"/>
      <c r="AML31" s="98"/>
      <c r="AMM31" s="98"/>
      <c r="AMN31" s="98"/>
      <c r="AMO31" s="98"/>
      <c r="AMP31" s="98"/>
      <c r="AMQ31" s="98"/>
      <c r="AMR31" s="98"/>
      <c r="AMS31" s="98"/>
      <c r="AMT31" s="98"/>
      <c r="AMU31" s="98"/>
      <c r="AMV31" s="98"/>
      <c r="AMW31" s="98"/>
      <c r="AMX31" s="98"/>
      <c r="AMY31" s="98"/>
      <c r="AMZ31" s="98"/>
      <c r="ANA31" s="98"/>
      <c r="ANB31" s="98"/>
      <c r="ANC31" s="98"/>
      <c r="AND31" s="98"/>
      <c r="ANE31" s="98"/>
      <c r="ANF31" s="98"/>
      <c r="ANG31" s="98"/>
      <c r="ANH31" s="98"/>
      <c r="ANI31" s="98"/>
      <c r="ANJ31" s="98"/>
      <c r="ANK31" s="98"/>
      <c r="ANL31" s="98"/>
      <c r="ANM31" s="98"/>
      <c r="ANN31" s="98"/>
      <c r="ANO31" s="98"/>
      <c r="ANP31" s="98"/>
      <c r="ANQ31" s="98"/>
      <c r="ANR31" s="98"/>
      <c r="ANS31" s="98"/>
      <c r="ANT31" s="98"/>
      <c r="ANU31" s="98"/>
      <c r="ANV31" s="98"/>
      <c r="ANW31" s="98"/>
      <c r="ANX31" s="98"/>
      <c r="ANY31" s="98"/>
      <c r="ANZ31" s="98"/>
      <c r="AOA31" s="98"/>
      <c r="AOB31" s="98"/>
      <c r="AOC31" s="98"/>
      <c r="AOD31" s="98"/>
      <c r="AOE31" s="98"/>
      <c r="AOF31" s="98"/>
      <c r="AOG31" s="98"/>
      <c r="AOH31" s="98"/>
      <c r="AOI31" s="98"/>
      <c r="AOJ31" s="98"/>
      <c r="AOK31" s="98"/>
      <c r="AOL31" s="98"/>
      <c r="AOM31" s="98"/>
      <c r="AON31" s="98"/>
      <c r="AOO31" s="98"/>
      <c r="AOP31" s="98"/>
      <c r="AOQ31" s="98"/>
      <c r="AOR31" s="98"/>
      <c r="AOS31" s="98"/>
      <c r="AOT31" s="98"/>
      <c r="AOU31" s="98"/>
      <c r="AOV31" s="98"/>
      <c r="AOW31" s="98"/>
      <c r="AOX31" s="98"/>
      <c r="AOY31" s="98"/>
      <c r="AOZ31" s="98"/>
      <c r="APA31" s="98"/>
      <c r="APB31" s="98"/>
      <c r="APC31" s="98"/>
      <c r="APD31" s="98"/>
      <c r="APE31" s="98"/>
      <c r="APF31" s="98"/>
      <c r="APG31" s="98"/>
      <c r="APH31" s="98"/>
      <c r="API31" s="98"/>
      <c r="APJ31" s="98"/>
      <c r="APK31" s="98"/>
      <c r="APL31" s="98"/>
      <c r="APM31" s="98"/>
      <c r="APN31" s="98"/>
      <c r="APO31" s="98"/>
      <c r="APP31" s="98"/>
      <c r="APQ31" s="98"/>
      <c r="APR31" s="98"/>
      <c r="APS31" s="98"/>
      <c r="APT31" s="98"/>
      <c r="APU31" s="98"/>
      <c r="APV31" s="98"/>
      <c r="APW31" s="98"/>
      <c r="APX31" s="98"/>
      <c r="APY31" s="98"/>
      <c r="APZ31" s="98"/>
      <c r="AQA31" s="98"/>
      <c r="AQB31" s="98"/>
      <c r="AQC31" s="98"/>
      <c r="AQD31" s="98"/>
      <c r="AQE31" s="98"/>
      <c r="AQF31" s="98"/>
      <c r="AQG31" s="98"/>
      <c r="AQH31" s="98"/>
      <c r="AQI31" s="98"/>
      <c r="AQJ31" s="98"/>
      <c r="AQK31" s="98"/>
      <c r="AQL31" s="98"/>
      <c r="AQM31" s="98"/>
      <c r="AQN31" s="98"/>
      <c r="AQO31" s="98"/>
      <c r="AQP31" s="98"/>
      <c r="AQQ31" s="98"/>
      <c r="AQR31" s="98"/>
      <c r="AQS31" s="98"/>
      <c r="AQT31" s="98"/>
      <c r="AQU31" s="98"/>
      <c r="AQV31" s="98"/>
      <c r="AQW31" s="98"/>
      <c r="AQX31" s="98"/>
      <c r="AQY31" s="98"/>
      <c r="AQZ31" s="98"/>
      <c r="ARA31" s="98"/>
      <c r="ARB31" s="98"/>
      <c r="ARC31" s="98"/>
      <c r="ARD31" s="98"/>
      <c r="ARE31" s="98"/>
      <c r="ARF31" s="98"/>
      <c r="ARG31" s="98"/>
      <c r="ARH31" s="98"/>
      <c r="ARI31" s="98"/>
      <c r="ARJ31" s="98"/>
      <c r="ARK31" s="98"/>
      <c r="ARL31" s="98"/>
      <c r="ARM31" s="98"/>
      <c r="ARN31" s="98"/>
      <c r="ARO31" s="98"/>
      <c r="ARP31" s="98"/>
      <c r="ARQ31" s="98"/>
      <c r="ARR31" s="98"/>
      <c r="ARS31" s="98"/>
    </row>
    <row r="32" spans="1:1163" s="174" customFormat="1">
      <c r="A32" s="140" t="s">
        <v>104</v>
      </c>
      <c r="B32" s="119" t="s">
        <v>67</v>
      </c>
      <c r="C32" s="175">
        <f>16415+195</f>
        <v>16610</v>
      </c>
      <c r="D32" s="175">
        <f>17364485+65375</f>
        <v>17429860</v>
      </c>
      <c r="E32" s="175">
        <v>3132</v>
      </c>
      <c r="F32" s="175">
        <v>4751650</v>
      </c>
      <c r="G32" s="175">
        <f>2858+783</f>
        <v>3641</v>
      </c>
      <c r="H32" s="175">
        <f>3240056</f>
        <v>3240056</v>
      </c>
      <c r="I32" s="175">
        <v>3390</v>
      </c>
      <c r="J32" s="175">
        <v>2899106</v>
      </c>
      <c r="K32" s="175">
        <f>3456</f>
        <v>3456</v>
      </c>
      <c r="L32" s="175">
        <f>4228393</f>
        <v>4228393</v>
      </c>
      <c r="M32" s="175">
        <f>3608</f>
        <v>3608</v>
      </c>
      <c r="N32" s="175">
        <f>3348810</f>
        <v>3348810</v>
      </c>
      <c r="O32" s="175">
        <f>3813</f>
        <v>3813</v>
      </c>
      <c r="P32" s="175">
        <f>4152769</f>
        <v>4152769</v>
      </c>
      <c r="Q32" s="175">
        <f>3592</f>
        <v>3592</v>
      </c>
      <c r="R32" s="175">
        <v>4054126</v>
      </c>
      <c r="S32" s="175">
        <v>2910</v>
      </c>
      <c r="T32" s="175">
        <v>4218249</v>
      </c>
      <c r="U32" s="197">
        <v>2679</v>
      </c>
      <c r="V32" s="197">
        <v>6961118</v>
      </c>
      <c r="W32" s="197">
        <v>2279</v>
      </c>
      <c r="X32" s="197">
        <v>5800205</v>
      </c>
      <c r="Y32" s="197">
        <v>5332</v>
      </c>
      <c r="Z32" s="197">
        <v>6165855</v>
      </c>
      <c r="AA32" s="209">
        <v>4540</v>
      </c>
      <c r="AB32" s="201">
        <v>5840246</v>
      </c>
      <c r="AC32" s="175">
        <v>4860</v>
      </c>
      <c r="AD32" s="175">
        <v>5750484</v>
      </c>
      <c r="AE32" s="175">
        <v>4953</v>
      </c>
      <c r="AF32" s="175">
        <v>5870240</v>
      </c>
      <c r="AG32" s="209">
        <v>4341</v>
      </c>
      <c r="AH32" s="209">
        <v>5869879</v>
      </c>
      <c r="AI32" s="209">
        <v>4994</v>
      </c>
      <c r="AJ32" s="209">
        <v>10456176</v>
      </c>
      <c r="AK32" s="201">
        <v>4721</v>
      </c>
      <c r="AL32" s="201">
        <v>7452720</v>
      </c>
      <c r="AM32" s="176">
        <v>4047</v>
      </c>
      <c r="AN32" s="176">
        <v>6874346</v>
      </c>
      <c r="AO32" s="201">
        <v>5805</v>
      </c>
      <c r="AP32" s="201">
        <v>9091853</v>
      </c>
      <c r="AQ32" s="201">
        <v>6451</v>
      </c>
      <c r="AR32" s="201">
        <v>8751183</v>
      </c>
      <c r="AS32" s="201">
        <v>10004</v>
      </c>
      <c r="AT32" s="201">
        <v>21425421</v>
      </c>
      <c r="AU32" s="209">
        <v>10492</v>
      </c>
      <c r="AV32" s="209">
        <v>22290522</v>
      </c>
      <c r="AW32" s="175">
        <v>9870</v>
      </c>
      <c r="AX32" s="175">
        <v>23674725</v>
      </c>
      <c r="AY32" s="175">
        <v>3341</v>
      </c>
      <c r="AZ32" s="175">
        <v>8508256</v>
      </c>
      <c r="BA32" s="178"/>
      <c r="BB32" s="175"/>
      <c r="BC32" s="178"/>
      <c r="BD32" s="175"/>
      <c r="BE32" s="178"/>
      <c r="BF32" s="175"/>
      <c r="BG32" s="175"/>
      <c r="BH32" s="175"/>
      <c r="BI32" s="178"/>
      <c r="BJ32" s="98"/>
      <c r="BK32" s="11"/>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c r="IW32" s="98"/>
      <c r="IX32" s="98"/>
      <c r="IY32" s="98"/>
      <c r="IZ32" s="98"/>
      <c r="JA32" s="98"/>
      <c r="JB32" s="98"/>
      <c r="JC32" s="98"/>
      <c r="JD32" s="98"/>
      <c r="JE32" s="98"/>
      <c r="JF32" s="98"/>
      <c r="JG32" s="98"/>
      <c r="JH32" s="98"/>
      <c r="JI32" s="98"/>
      <c r="JJ32" s="98"/>
      <c r="JK32" s="98"/>
      <c r="JL32" s="98"/>
      <c r="JM32" s="98"/>
      <c r="JN32" s="98"/>
      <c r="JO32" s="98"/>
      <c r="JP32" s="98"/>
      <c r="JQ32" s="98"/>
      <c r="JR32" s="98"/>
      <c r="JS32" s="98"/>
      <c r="JT32" s="98"/>
      <c r="JU32" s="98"/>
      <c r="JV32" s="98"/>
      <c r="JW32" s="98"/>
      <c r="JX32" s="98"/>
      <c r="JY32" s="98"/>
      <c r="JZ32" s="98"/>
      <c r="KA32" s="98"/>
      <c r="KB32" s="98"/>
      <c r="KC32" s="98"/>
      <c r="KD32" s="98"/>
      <c r="KE32" s="98"/>
      <c r="KF32" s="98"/>
      <c r="KG32" s="98"/>
      <c r="KH32" s="98"/>
      <c r="KI32" s="98"/>
      <c r="KJ32" s="98"/>
      <c r="KK32" s="98"/>
      <c r="KL32" s="98"/>
      <c r="KM32" s="98"/>
      <c r="KN32" s="98"/>
      <c r="KO32" s="98"/>
      <c r="KP32" s="98"/>
      <c r="KQ32" s="98"/>
      <c r="KR32" s="98"/>
      <c r="KS32" s="98"/>
      <c r="KT32" s="98"/>
      <c r="KU32" s="98"/>
      <c r="KV32" s="98"/>
      <c r="KW32" s="98"/>
      <c r="KX32" s="98"/>
      <c r="KY32" s="98"/>
      <c r="KZ32" s="98"/>
      <c r="LA32" s="98"/>
      <c r="LB32" s="98"/>
      <c r="LC32" s="98"/>
      <c r="LD32" s="98"/>
      <c r="LE32" s="98"/>
      <c r="LF32" s="98"/>
      <c r="LG32" s="98"/>
      <c r="LH32" s="98"/>
      <c r="LI32" s="98"/>
      <c r="LJ32" s="98"/>
      <c r="LK32" s="98"/>
      <c r="LL32" s="98"/>
      <c r="LM32" s="98"/>
      <c r="LN32" s="98"/>
      <c r="LO32" s="98"/>
      <c r="LP32" s="98"/>
      <c r="LQ32" s="98"/>
      <c r="LR32" s="98"/>
      <c r="LS32" s="98"/>
      <c r="LT32" s="98"/>
      <c r="LU32" s="98"/>
      <c r="LV32" s="98"/>
      <c r="LW32" s="98"/>
      <c r="LX32" s="98"/>
      <c r="LY32" s="98"/>
      <c r="LZ32" s="98"/>
      <c r="MA32" s="98"/>
      <c r="MB32" s="98"/>
      <c r="MC32" s="98"/>
      <c r="MD32" s="98"/>
      <c r="ME32" s="98"/>
      <c r="MF32" s="98"/>
      <c r="MG32" s="98"/>
      <c r="MH32" s="98"/>
      <c r="MI32" s="98"/>
      <c r="MJ32" s="98"/>
      <c r="MK32" s="98"/>
      <c r="ML32" s="98"/>
      <c r="MM32" s="98"/>
      <c r="MN32" s="98"/>
      <c r="MO32" s="98"/>
      <c r="MP32" s="98"/>
      <c r="MQ32" s="98"/>
      <c r="MR32" s="98"/>
      <c r="MS32" s="98"/>
      <c r="MT32" s="98"/>
      <c r="MU32" s="98"/>
      <c r="MV32" s="98"/>
      <c r="MW32" s="98"/>
      <c r="MX32" s="98"/>
      <c r="MY32" s="98"/>
      <c r="MZ32" s="98"/>
      <c r="NA32" s="98"/>
      <c r="NB32" s="98"/>
      <c r="NC32" s="98"/>
      <c r="ND32" s="98"/>
      <c r="NE32" s="98"/>
      <c r="NF32" s="98"/>
      <c r="NG32" s="98"/>
      <c r="NH32" s="98"/>
      <c r="NI32" s="98"/>
      <c r="NJ32" s="98"/>
      <c r="NK32" s="98"/>
      <c r="NL32" s="98"/>
      <c r="NM32" s="98"/>
      <c r="NN32" s="98"/>
      <c r="NO32" s="98"/>
      <c r="NP32" s="98"/>
      <c r="NQ32" s="98"/>
      <c r="NR32" s="98"/>
      <c r="NS32" s="98"/>
      <c r="NT32" s="98"/>
      <c r="NU32" s="98"/>
      <c r="NV32" s="98"/>
      <c r="NW32" s="98"/>
      <c r="NX32" s="98"/>
      <c r="NY32" s="98"/>
      <c r="NZ32" s="98"/>
      <c r="OA32" s="98"/>
      <c r="OB32" s="98"/>
      <c r="OC32" s="98"/>
      <c r="OD32" s="98"/>
      <c r="OE32" s="98"/>
      <c r="OF32" s="98"/>
      <c r="OG32" s="98"/>
      <c r="OH32" s="98"/>
      <c r="OI32" s="98"/>
      <c r="OJ32" s="98"/>
      <c r="OK32" s="98"/>
      <c r="OL32" s="98"/>
      <c r="OM32" s="98"/>
      <c r="ON32" s="98"/>
      <c r="OO32" s="98"/>
      <c r="OP32" s="98"/>
      <c r="OQ32" s="98"/>
      <c r="OR32" s="98"/>
      <c r="OS32" s="98"/>
      <c r="OT32" s="98"/>
      <c r="OU32" s="98"/>
      <c r="OV32" s="98"/>
      <c r="OW32" s="98"/>
      <c r="OX32" s="98"/>
      <c r="OY32" s="98"/>
      <c r="OZ32" s="98"/>
      <c r="PA32" s="98"/>
      <c r="PB32" s="98"/>
      <c r="PC32" s="98"/>
      <c r="PD32" s="98"/>
      <c r="PE32" s="98"/>
      <c r="PF32" s="98"/>
      <c r="PG32" s="98"/>
      <c r="PH32" s="98"/>
      <c r="PI32" s="98"/>
      <c r="PJ32" s="98"/>
      <c r="PK32" s="98"/>
      <c r="PL32" s="98"/>
      <c r="PM32" s="98"/>
      <c r="PN32" s="98"/>
      <c r="PO32" s="98"/>
      <c r="PP32" s="98"/>
      <c r="PQ32" s="98"/>
      <c r="PR32" s="98"/>
      <c r="PS32" s="98"/>
      <c r="PT32" s="98"/>
      <c r="PU32" s="98"/>
      <c r="PV32" s="98"/>
      <c r="PW32" s="98"/>
      <c r="PX32" s="98"/>
      <c r="PY32" s="98"/>
      <c r="PZ32" s="98"/>
      <c r="QA32" s="98"/>
      <c r="QB32" s="98"/>
      <c r="QC32" s="98"/>
      <c r="QD32" s="98"/>
      <c r="QE32" s="98"/>
      <c r="QF32" s="98"/>
      <c r="QG32" s="98"/>
      <c r="QH32" s="98"/>
      <c r="QI32" s="98"/>
      <c r="QJ32" s="98"/>
      <c r="QK32" s="98"/>
      <c r="QL32" s="98"/>
      <c r="QM32" s="98"/>
      <c r="QN32" s="98"/>
      <c r="QO32" s="98"/>
      <c r="QP32" s="98"/>
      <c r="QQ32" s="98"/>
      <c r="QR32" s="98"/>
      <c r="QS32" s="98"/>
      <c r="QT32" s="98"/>
      <c r="QU32" s="98"/>
      <c r="QV32" s="98"/>
      <c r="QW32" s="98"/>
      <c r="QX32" s="98"/>
      <c r="QY32" s="98"/>
      <c r="QZ32" s="98"/>
      <c r="RA32" s="98"/>
      <c r="RB32" s="98"/>
      <c r="RC32" s="98"/>
      <c r="RD32" s="98"/>
      <c r="RE32" s="98"/>
      <c r="RF32" s="98"/>
      <c r="RG32" s="98"/>
      <c r="RH32" s="98"/>
      <c r="RI32" s="98"/>
      <c r="RJ32" s="98"/>
      <c r="RK32" s="98"/>
      <c r="RL32" s="98"/>
      <c r="RM32" s="98"/>
      <c r="RN32" s="98"/>
      <c r="RO32" s="98"/>
      <c r="RP32" s="98"/>
      <c r="RQ32" s="98"/>
      <c r="RR32" s="98"/>
      <c r="RS32" s="98"/>
      <c r="RT32" s="98"/>
      <c r="RU32" s="98"/>
      <c r="RV32" s="98"/>
      <c r="RW32" s="98"/>
      <c r="RX32" s="98"/>
      <c r="RY32" s="98"/>
      <c r="RZ32" s="98"/>
      <c r="SA32" s="98"/>
      <c r="SB32" s="98"/>
      <c r="SC32" s="98"/>
      <c r="SD32" s="98"/>
      <c r="SE32" s="98"/>
      <c r="SF32" s="98"/>
      <c r="SG32" s="98"/>
      <c r="SH32" s="98"/>
      <c r="SI32" s="98"/>
      <c r="SJ32" s="98"/>
      <c r="SK32" s="98"/>
      <c r="SL32" s="98"/>
      <c r="SM32" s="98"/>
      <c r="SN32" s="98"/>
      <c r="SO32" s="98"/>
      <c r="SP32" s="98"/>
      <c r="SQ32" s="98"/>
      <c r="SR32" s="98"/>
      <c r="SS32" s="98"/>
      <c r="ST32" s="98"/>
      <c r="SU32" s="98"/>
      <c r="SV32" s="98"/>
      <c r="SW32" s="98"/>
      <c r="SX32" s="98"/>
      <c r="SY32" s="98"/>
      <c r="SZ32" s="98"/>
      <c r="TA32" s="98"/>
      <c r="TB32" s="98"/>
      <c r="TC32" s="98"/>
      <c r="TD32" s="98"/>
      <c r="TE32" s="98"/>
      <c r="TF32" s="98"/>
      <c r="TG32" s="98"/>
      <c r="TH32" s="98"/>
      <c r="TI32" s="98"/>
      <c r="TJ32" s="98"/>
      <c r="TK32" s="98"/>
      <c r="TL32" s="98"/>
      <c r="TM32" s="98"/>
      <c r="TN32" s="98"/>
      <c r="TO32" s="98"/>
      <c r="TP32" s="98"/>
      <c r="TQ32" s="98"/>
      <c r="TR32" s="98"/>
      <c r="TS32" s="98"/>
      <c r="TT32" s="98"/>
      <c r="TU32" s="98"/>
      <c r="TV32" s="98"/>
      <c r="TW32" s="98"/>
      <c r="TX32" s="98"/>
      <c r="TY32" s="98"/>
      <c r="TZ32" s="98"/>
      <c r="UA32" s="98"/>
      <c r="UB32" s="98"/>
      <c r="UC32" s="98"/>
      <c r="UD32" s="98"/>
      <c r="UE32" s="98"/>
      <c r="UF32" s="98"/>
      <c r="UG32" s="98"/>
      <c r="UH32" s="98"/>
      <c r="UI32" s="98"/>
      <c r="UJ32" s="98"/>
      <c r="UK32" s="98"/>
      <c r="UL32" s="98"/>
      <c r="UM32" s="98"/>
      <c r="UN32" s="98"/>
      <c r="UO32" s="98"/>
      <c r="UP32" s="98"/>
      <c r="UQ32" s="98"/>
      <c r="UR32" s="98"/>
      <c r="US32" s="98"/>
      <c r="UT32" s="98"/>
      <c r="UU32" s="98"/>
      <c r="UV32" s="98"/>
      <c r="UW32" s="98"/>
      <c r="UX32" s="98"/>
      <c r="UY32" s="98"/>
      <c r="UZ32" s="98"/>
      <c r="VA32" s="98"/>
      <c r="VB32" s="98"/>
      <c r="VC32" s="98"/>
      <c r="VD32" s="98"/>
      <c r="VE32" s="98"/>
      <c r="VF32" s="98"/>
      <c r="VG32" s="98"/>
      <c r="VH32" s="98"/>
      <c r="VI32" s="98"/>
      <c r="VJ32" s="98"/>
      <c r="VK32" s="98"/>
      <c r="VL32" s="98"/>
      <c r="VM32" s="98"/>
      <c r="VN32" s="98"/>
      <c r="VO32" s="98"/>
      <c r="VP32" s="98"/>
      <c r="VQ32" s="98"/>
      <c r="VR32" s="98"/>
      <c r="VS32" s="98"/>
      <c r="VT32" s="98"/>
      <c r="VU32" s="98"/>
      <c r="VV32" s="98"/>
      <c r="VW32" s="98"/>
      <c r="VX32" s="98"/>
      <c r="VY32" s="98"/>
      <c r="VZ32" s="98"/>
      <c r="WA32" s="98"/>
      <c r="WB32" s="98"/>
      <c r="WC32" s="98"/>
      <c r="WD32" s="98"/>
      <c r="WE32" s="98"/>
      <c r="WF32" s="98"/>
      <c r="WG32" s="98"/>
      <c r="WH32" s="98"/>
      <c r="WI32" s="98"/>
      <c r="WJ32" s="98"/>
      <c r="WK32" s="98"/>
      <c r="WL32" s="98"/>
      <c r="WM32" s="98"/>
      <c r="WN32" s="98"/>
      <c r="WO32" s="98"/>
      <c r="WP32" s="98"/>
      <c r="WQ32" s="98"/>
      <c r="WR32" s="98"/>
      <c r="WS32" s="98"/>
      <c r="WT32" s="98"/>
      <c r="WU32" s="98"/>
      <c r="WV32" s="98"/>
      <c r="WW32" s="98"/>
      <c r="WX32" s="98"/>
      <c r="WY32" s="98"/>
      <c r="WZ32" s="98"/>
      <c r="XA32" s="98"/>
      <c r="XB32" s="98"/>
      <c r="XC32" s="98"/>
      <c r="XD32" s="98"/>
      <c r="XE32" s="98"/>
      <c r="XF32" s="98"/>
      <c r="XG32" s="98"/>
      <c r="XH32" s="98"/>
      <c r="XI32" s="98"/>
      <c r="XJ32" s="98"/>
      <c r="XK32" s="98"/>
      <c r="XL32" s="98"/>
      <c r="XM32" s="98"/>
      <c r="XN32" s="98"/>
      <c r="XO32" s="98"/>
      <c r="XP32" s="98"/>
      <c r="XQ32" s="98"/>
      <c r="XR32" s="98"/>
      <c r="XS32" s="98"/>
      <c r="XT32" s="98"/>
      <c r="XU32" s="98"/>
      <c r="XV32" s="98"/>
      <c r="XW32" s="98"/>
      <c r="XX32" s="98"/>
      <c r="XY32" s="98"/>
      <c r="XZ32" s="98"/>
      <c r="YA32" s="98"/>
      <c r="YB32" s="98"/>
      <c r="YC32" s="98"/>
      <c r="YD32" s="98"/>
      <c r="YE32" s="98"/>
      <c r="YF32" s="98"/>
      <c r="YG32" s="98"/>
      <c r="YH32" s="98"/>
      <c r="YI32" s="98"/>
      <c r="YJ32" s="98"/>
      <c r="YK32" s="98"/>
      <c r="YL32" s="98"/>
      <c r="YM32" s="98"/>
      <c r="YN32" s="98"/>
      <c r="YO32" s="98"/>
      <c r="YP32" s="98"/>
      <c r="YQ32" s="98"/>
      <c r="YR32" s="98"/>
      <c r="YS32" s="98"/>
      <c r="YT32" s="98"/>
      <c r="YU32" s="98"/>
      <c r="YV32" s="98"/>
      <c r="YW32" s="98"/>
      <c r="YX32" s="98"/>
      <c r="YY32" s="98"/>
      <c r="YZ32" s="98"/>
      <c r="ZA32" s="98"/>
      <c r="ZB32" s="98"/>
      <c r="ZC32" s="98"/>
      <c r="ZD32" s="98"/>
      <c r="ZE32" s="98"/>
      <c r="ZF32" s="98"/>
      <c r="ZG32" s="98"/>
      <c r="ZH32" s="98"/>
      <c r="ZI32" s="98"/>
      <c r="ZJ32" s="98"/>
      <c r="ZK32" s="98"/>
      <c r="ZL32" s="98"/>
      <c r="ZM32" s="98"/>
      <c r="ZN32" s="98"/>
      <c r="ZO32" s="98"/>
      <c r="ZP32" s="98"/>
      <c r="ZQ32" s="98"/>
      <c r="ZR32" s="98"/>
      <c r="ZS32" s="98"/>
      <c r="ZT32" s="98"/>
      <c r="ZU32" s="98"/>
      <c r="ZV32" s="98"/>
      <c r="ZW32" s="98"/>
      <c r="ZX32" s="98"/>
      <c r="ZY32" s="98"/>
      <c r="ZZ32" s="98"/>
      <c r="AAA32" s="98"/>
      <c r="AAB32" s="98"/>
      <c r="AAC32" s="98"/>
      <c r="AAD32" s="98"/>
      <c r="AAE32" s="98"/>
      <c r="AAF32" s="98"/>
      <c r="AAG32" s="98"/>
      <c r="AAH32" s="98"/>
      <c r="AAI32" s="98"/>
      <c r="AAJ32" s="98"/>
      <c r="AAK32" s="98"/>
      <c r="AAL32" s="98"/>
      <c r="AAM32" s="98"/>
      <c r="AAN32" s="98"/>
      <c r="AAO32" s="98"/>
      <c r="AAP32" s="98"/>
      <c r="AAQ32" s="98"/>
      <c r="AAR32" s="98"/>
      <c r="AAS32" s="98"/>
      <c r="AAT32" s="98"/>
      <c r="AAU32" s="98"/>
      <c r="AAV32" s="98"/>
      <c r="AAW32" s="98"/>
      <c r="AAX32" s="98"/>
      <c r="AAY32" s="98"/>
      <c r="AAZ32" s="98"/>
      <c r="ABA32" s="98"/>
      <c r="ABB32" s="98"/>
      <c r="ABC32" s="98"/>
      <c r="ABD32" s="98"/>
      <c r="ABE32" s="98"/>
      <c r="ABF32" s="98"/>
      <c r="ABG32" s="98"/>
      <c r="ABH32" s="98"/>
      <c r="ABI32" s="98"/>
      <c r="ABJ32" s="98"/>
      <c r="ABK32" s="98"/>
      <c r="ABL32" s="98"/>
      <c r="ABM32" s="98"/>
      <c r="ABN32" s="98"/>
      <c r="ABO32" s="98"/>
      <c r="ABP32" s="98"/>
      <c r="ABQ32" s="98"/>
      <c r="ABR32" s="98"/>
      <c r="ABS32" s="98"/>
      <c r="ABT32" s="98"/>
      <c r="ABU32" s="98"/>
      <c r="ABV32" s="98"/>
      <c r="ABW32" s="98"/>
      <c r="ABX32" s="98"/>
      <c r="ABY32" s="98"/>
      <c r="ABZ32" s="98"/>
      <c r="ACA32" s="98"/>
      <c r="ACB32" s="98"/>
      <c r="ACC32" s="98"/>
      <c r="ACD32" s="98"/>
      <c r="ACE32" s="98"/>
      <c r="ACF32" s="98"/>
      <c r="ACG32" s="98"/>
      <c r="ACH32" s="98"/>
      <c r="ACI32" s="98"/>
      <c r="ACJ32" s="98"/>
      <c r="ACK32" s="98"/>
      <c r="ACL32" s="98"/>
      <c r="ACM32" s="98"/>
      <c r="ACN32" s="98"/>
      <c r="ACO32" s="98"/>
      <c r="ACP32" s="98"/>
      <c r="ACQ32" s="98"/>
      <c r="ACR32" s="98"/>
      <c r="ACS32" s="98"/>
      <c r="ACT32" s="98"/>
      <c r="ACU32" s="98"/>
      <c r="ACV32" s="98"/>
      <c r="ACW32" s="98"/>
      <c r="ACX32" s="98"/>
      <c r="ACY32" s="98"/>
      <c r="ACZ32" s="98"/>
      <c r="ADA32" s="98"/>
      <c r="ADB32" s="98"/>
      <c r="ADC32" s="98"/>
      <c r="ADD32" s="98"/>
      <c r="ADE32" s="98"/>
      <c r="ADF32" s="98"/>
      <c r="ADG32" s="98"/>
      <c r="ADH32" s="98"/>
      <c r="ADI32" s="98"/>
      <c r="ADJ32" s="98"/>
      <c r="ADK32" s="98"/>
      <c r="ADL32" s="98"/>
      <c r="ADM32" s="98"/>
      <c r="ADN32" s="98"/>
      <c r="ADO32" s="98"/>
      <c r="ADP32" s="98"/>
      <c r="ADQ32" s="98"/>
      <c r="ADR32" s="98"/>
      <c r="ADS32" s="98"/>
      <c r="ADT32" s="98"/>
      <c r="ADU32" s="98"/>
      <c r="ADV32" s="98"/>
      <c r="ADW32" s="98"/>
      <c r="ADX32" s="98"/>
      <c r="ADY32" s="98"/>
      <c r="ADZ32" s="98"/>
      <c r="AEA32" s="98"/>
      <c r="AEB32" s="98"/>
      <c r="AEC32" s="98"/>
      <c r="AED32" s="98"/>
      <c r="AEE32" s="98"/>
      <c r="AEF32" s="98"/>
      <c r="AEG32" s="98"/>
      <c r="AEH32" s="98"/>
      <c r="AEI32" s="98"/>
      <c r="AEJ32" s="98"/>
      <c r="AEK32" s="98"/>
      <c r="AEL32" s="98"/>
      <c r="AEM32" s="98"/>
      <c r="AEN32" s="98"/>
      <c r="AEO32" s="98"/>
      <c r="AEP32" s="98"/>
      <c r="AEQ32" s="98"/>
      <c r="AER32" s="98"/>
      <c r="AES32" s="98"/>
      <c r="AET32" s="98"/>
      <c r="AEU32" s="98"/>
      <c r="AEV32" s="98"/>
      <c r="AEW32" s="98"/>
      <c r="AEX32" s="98"/>
      <c r="AEY32" s="98"/>
      <c r="AEZ32" s="98"/>
      <c r="AFA32" s="98"/>
      <c r="AFB32" s="98"/>
      <c r="AFC32" s="98"/>
      <c r="AFD32" s="98"/>
      <c r="AFE32" s="98"/>
      <c r="AFF32" s="98"/>
      <c r="AFG32" s="98"/>
      <c r="AFH32" s="98"/>
      <c r="AFI32" s="98"/>
      <c r="AFJ32" s="98"/>
      <c r="AFK32" s="98"/>
      <c r="AFL32" s="98"/>
      <c r="AFM32" s="98"/>
      <c r="AFN32" s="98"/>
      <c r="AFO32" s="98"/>
      <c r="AFP32" s="98"/>
      <c r="AFQ32" s="98"/>
      <c r="AFR32" s="98"/>
      <c r="AFS32" s="98"/>
      <c r="AFT32" s="98"/>
      <c r="AFU32" s="98"/>
      <c r="AFV32" s="98"/>
      <c r="AFW32" s="98"/>
      <c r="AFX32" s="98"/>
      <c r="AFY32" s="98"/>
      <c r="AFZ32" s="98"/>
      <c r="AGA32" s="98"/>
      <c r="AGB32" s="98"/>
      <c r="AGC32" s="98"/>
      <c r="AGD32" s="98"/>
      <c r="AGE32" s="98"/>
      <c r="AGF32" s="98"/>
      <c r="AGG32" s="98"/>
      <c r="AGH32" s="98"/>
      <c r="AGI32" s="98"/>
      <c r="AGJ32" s="98"/>
      <c r="AGK32" s="98"/>
      <c r="AGL32" s="98"/>
      <c r="AGM32" s="98"/>
      <c r="AGN32" s="98"/>
      <c r="AGO32" s="98"/>
      <c r="AGP32" s="98"/>
      <c r="AGQ32" s="98"/>
      <c r="AGR32" s="98"/>
      <c r="AGS32" s="98"/>
      <c r="AGT32" s="98"/>
      <c r="AGU32" s="98"/>
      <c r="AGV32" s="98"/>
      <c r="AGW32" s="98"/>
      <c r="AGX32" s="98"/>
      <c r="AGY32" s="98"/>
      <c r="AGZ32" s="98"/>
      <c r="AHA32" s="98"/>
      <c r="AHB32" s="98"/>
      <c r="AHC32" s="98"/>
      <c r="AHD32" s="98"/>
      <c r="AHE32" s="98"/>
      <c r="AHF32" s="98"/>
      <c r="AHG32" s="98"/>
      <c r="AHH32" s="98"/>
      <c r="AHI32" s="98"/>
      <c r="AHJ32" s="98"/>
      <c r="AHK32" s="98"/>
      <c r="AHL32" s="98"/>
      <c r="AHM32" s="98"/>
      <c r="AHN32" s="98"/>
      <c r="AHO32" s="98"/>
      <c r="AHP32" s="98"/>
      <c r="AHQ32" s="98"/>
      <c r="AHR32" s="98"/>
      <c r="AHS32" s="98"/>
      <c r="AHT32" s="98"/>
      <c r="AHU32" s="98"/>
      <c r="AHV32" s="98"/>
      <c r="AHW32" s="98"/>
      <c r="AHX32" s="98"/>
      <c r="AHY32" s="98"/>
      <c r="AHZ32" s="98"/>
      <c r="AIA32" s="98"/>
      <c r="AIB32" s="98"/>
      <c r="AIC32" s="98"/>
      <c r="AID32" s="98"/>
      <c r="AIE32" s="98"/>
      <c r="AIF32" s="98"/>
      <c r="AIG32" s="98"/>
      <c r="AIH32" s="98"/>
      <c r="AII32" s="98"/>
      <c r="AIJ32" s="98"/>
      <c r="AIK32" s="98"/>
      <c r="AIL32" s="98"/>
      <c r="AIM32" s="98"/>
      <c r="AIN32" s="98"/>
      <c r="AIO32" s="98"/>
      <c r="AIP32" s="98"/>
      <c r="AIQ32" s="98"/>
      <c r="AIR32" s="98"/>
      <c r="AIS32" s="98"/>
      <c r="AIT32" s="98"/>
      <c r="AIU32" s="98"/>
      <c r="AIV32" s="98"/>
      <c r="AIW32" s="98"/>
      <c r="AIX32" s="98"/>
      <c r="AIY32" s="98"/>
      <c r="AIZ32" s="98"/>
      <c r="AJA32" s="98"/>
      <c r="AJB32" s="98"/>
      <c r="AJC32" s="98"/>
      <c r="AJD32" s="98"/>
      <c r="AJE32" s="98"/>
      <c r="AJF32" s="98"/>
      <c r="AJG32" s="98"/>
      <c r="AJH32" s="98"/>
      <c r="AJI32" s="98"/>
      <c r="AJJ32" s="98"/>
      <c r="AJK32" s="98"/>
      <c r="AJL32" s="98"/>
      <c r="AJM32" s="98"/>
      <c r="AJN32" s="98"/>
      <c r="AJO32" s="98"/>
      <c r="AJP32" s="98"/>
      <c r="AJQ32" s="98"/>
      <c r="AJR32" s="98"/>
      <c r="AJS32" s="98"/>
      <c r="AJT32" s="98"/>
      <c r="AJU32" s="98"/>
      <c r="AJV32" s="98"/>
      <c r="AJW32" s="98"/>
      <c r="AJX32" s="98"/>
      <c r="AJY32" s="98"/>
      <c r="AJZ32" s="98"/>
      <c r="AKA32" s="98"/>
      <c r="AKB32" s="98"/>
      <c r="AKC32" s="98"/>
      <c r="AKD32" s="98"/>
      <c r="AKE32" s="98"/>
      <c r="AKF32" s="98"/>
      <c r="AKG32" s="98"/>
      <c r="AKH32" s="98"/>
      <c r="AKI32" s="98"/>
      <c r="AKJ32" s="98"/>
      <c r="AKK32" s="98"/>
      <c r="AKL32" s="98"/>
      <c r="AKM32" s="98"/>
      <c r="AKN32" s="98"/>
      <c r="AKO32" s="98"/>
      <c r="AKP32" s="98"/>
      <c r="AKQ32" s="98"/>
      <c r="AKR32" s="98"/>
      <c r="AKS32" s="98"/>
      <c r="AKT32" s="98"/>
      <c r="AKU32" s="98"/>
      <c r="AKV32" s="98"/>
      <c r="AKW32" s="98"/>
      <c r="AKX32" s="98"/>
      <c r="AKY32" s="98"/>
      <c r="AKZ32" s="98"/>
      <c r="ALA32" s="98"/>
      <c r="ALB32" s="98"/>
      <c r="ALC32" s="98"/>
      <c r="ALD32" s="98"/>
      <c r="ALE32" s="98"/>
      <c r="ALF32" s="98"/>
      <c r="ALG32" s="98"/>
      <c r="ALH32" s="98"/>
      <c r="ALI32" s="98"/>
      <c r="ALJ32" s="98"/>
      <c r="ALK32" s="98"/>
      <c r="ALL32" s="98"/>
      <c r="ALM32" s="98"/>
      <c r="ALN32" s="98"/>
      <c r="ALO32" s="98"/>
      <c r="ALP32" s="98"/>
      <c r="ALQ32" s="98"/>
      <c r="ALR32" s="98"/>
      <c r="ALS32" s="98"/>
      <c r="ALT32" s="98"/>
      <c r="ALU32" s="98"/>
      <c r="ALV32" s="98"/>
      <c r="ALW32" s="98"/>
      <c r="ALX32" s="98"/>
      <c r="ALY32" s="98"/>
      <c r="ALZ32" s="98"/>
      <c r="AMA32" s="98"/>
      <c r="AMB32" s="98"/>
      <c r="AMC32" s="98"/>
      <c r="AMD32" s="98"/>
      <c r="AME32" s="98"/>
      <c r="AMF32" s="98"/>
      <c r="AMG32" s="98"/>
      <c r="AMH32" s="98"/>
      <c r="AMI32" s="98"/>
      <c r="AMJ32" s="98"/>
      <c r="AMK32" s="98"/>
      <c r="AML32" s="98"/>
      <c r="AMM32" s="98"/>
      <c r="AMN32" s="98"/>
      <c r="AMO32" s="98"/>
      <c r="AMP32" s="98"/>
      <c r="AMQ32" s="98"/>
      <c r="AMR32" s="98"/>
      <c r="AMS32" s="98"/>
      <c r="AMT32" s="98"/>
      <c r="AMU32" s="98"/>
      <c r="AMV32" s="98"/>
      <c r="AMW32" s="98"/>
      <c r="AMX32" s="98"/>
      <c r="AMY32" s="98"/>
      <c r="AMZ32" s="98"/>
      <c r="ANA32" s="98"/>
      <c r="ANB32" s="98"/>
      <c r="ANC32" s="98"/>
      <c r="AND32" s="98"/>
      <c r="ANE32" s="98"/>
      <c r="ANF32" s="98"/>
      <c r="ANG32" s="98"/>
      <c r="ANH32" s="98"/>
      <c r="ANI32" s="98"/>
      <c r="ANJ32" s="98"/>
      <c r="ANK32" s="98"/>
      <c r="ANL32" s="98"/>
      <c r="ANM32" s="98"/>
      <c r="ANN32" s="98"/>
      <c r="ANO32" s="98"/>
      <c r="ANP32" s="98"/>
      <c r="ANQ32" s="98"/>
      <c r="ANR32" s="98"/>
      <c r="ANS32" s="98"/>
      <c r="ANT32" s="98"/>
      <c r="ANU32" s="98"/>
      <c r="ANV32" s="98"/>
      <c r="ANW32" s="98"/>
      <c r="ANX32" s="98"/>
      <c r="ANY32" s="98"/>
      <c r="ANZ32" s="98"/>
      <c r="AOA32" s="98"/>
      <c r="AOB32" s="98"/>
      <c r="AOC32" s="98"/>
      <c r="AOD32" s="98"/>
      <c r="AOE32" s="98"/>
      <c r="AOF32" s="98"/>
      <c r="AOG32" s="98"/>
      <c r="AOH32" s="98"/>
      <c r="AOI32" s="98"/>
      <c r="AOJ32" s="98"/>
      <c r="AOK32" s="98"/>
      <c r="AOL32" s="98"/>
      <c r="AOM32" s="98"/>
      <c r="AON32" s="98"/>
      <c r="AOO32" s="98"/>
      <c r="AOP32" s="98"/>
      <c r="AOQ32" s="98"/>
      <c r="AOR32" s="98"/>
      <c r="AOS32" s="98"/>
      <c r="AOT32" s="98"/>
      <c r="AOU32" s="98"/>
      <c r="AOV32" s="98"/>
      <c r="AOW32" s="98"/>
      <c r="AOX32" s="98"/>
      <c r="AOY32" s="98"/>
      <c r="AOZ32" s="98"/>
      <c r="APA32" s="98"/>
      <c r="APB32" s="98"/>
      <c r="APC32" s="98"/>
      <c r="APD32" s="98"/>
      <c r="APE32" s="98"/>
      <c r="APF32" s="98"/>
      <c r="APG32" s="98"/>
      <c r="APH32" s="98"/>
      <c r="API32" s="98"/>
      <c r="APJ32" s="98"/>
      <c r="APK32" s="98"/>
      <c r="APL32" s="98"/>
      <c r="APM32" s="98"/>
      <c r="APN32" s="98"/>
      <c r="APO32" s="98"/>
      <c r="APP32" s="98"/>
      <c r="APQ32" s="98"/>
      <c r="APR32" s="98"/>
      <c r="APS32" s="98"/>
      <c r="APT32" s="98"/>
      <c r="APU32" s="98"/>
      <c r="APV32" s="98"/>
      <c r="APW32" s="98"/>
      <c r="APX32" s="98"/>
      <c r="APY32" s="98"/>
      <c r="APZ32" s="98"/>
      <c r="AQA32" s="98"/>
      <c r="AQB32" s="98"/>
      <c r="AQC32" s="98"/>
      <c r="AQD32" s="98"/>
      <c r="AQE32" s="98"/>
      <c r="AQF32" s="98"/>
      <c r="AQG32" s="98"/>
      <c r="AQH32" s="98"/>
      <c r="AQI32" s="98"/>
      <c r="AQJ32" s="98"/>
      <c r="AQK32" s="98"/>
      <c r="AQL32" s="98"/>
      <c r="AQM32" s="98"/>
      <c r="AQN32" s="98"/>
      <c r="AQO32" s="98"/>
      <c r="AQP32" s="98"/>
      <c r="AQQ32" s="98"/>
      <c r="AQR32" s="98"/>
      <c r="AQS32" s="98"/>
      <c r="AQT32" s="98"/>
      <c r="AQU32" s="98"/>
      <c r="AQV32" s="98"/>
      <c r="AQW32" s="98"/>
      <c r="AQX32" s="98"/>
      <c r="AQY32" s="98"/>
      <c r="AQZ32" s="98"/>
      <c r="ARA32" s="98"/>
      <c r="ARB32" s="98"/>
      <c r="ARC32" s="98"/>
      <c r="ARD32" s="98"/>
      <c r="ARE32" s="98"/>
      <c r="ARF32" s="98"/>
      <c r="ARG32" s="98"/>
      <c r="ARH32" s="98"/>
      <c r="ARI32" s="98"/>
      <c r="ARJ32" s="98"/>
      <c r="ARK32" s="98"/>
      <c r="ARL32" s="98"/>
      <c r="ARM32" s="98"/>
      <c r="ARN32" s="98"/>
      <c r="ARO32" s="98"/>
      <c r="ARP32" s="98"/>
      <c r="ARQ32" s="98"/>
      <c r="ARR32" s="98"/>
      <c r="ARS32" s="98"/>
    </row>
    <row r="33" spans="1:1162" s="174" customFormat="1">
      <c r="A33" s="140" t="s">
        <v>105</v>
      </c>
      <c r="B33" s="119" t="s">
        <v>67</v>
      </c>
      <c r="C33" s="175">
        <v>0</v>
      </c>
      <c r="D33" s="175">
        <v>0</v>
      </c>
      <c r="E33" s="175">
        <v>0</v>
      </c>
      <c r="F33" s="175">
        <v>0</v>
      </c>
      <c r="G33" s="175">
        <v>0</v>
      </c>
      <c r="H33" s="175">
        <v>0</v>
      </c>
      <c r="I33" s="175">
        <v>0</v>
      </c>
      <c r="J33" s="175">
        <v>0</v>
      </c>
      <c r="K33" s="175">
        <v>0</v>
      </c>
      <c r="L33" s="175">
        <v>0</v>
      </c>
      <c r="M33" s="175">
        <v>0</v>
      </c>
      <c r="N33" s="175">
        <v>0</v>
      </c>
      <c r="O33" s="175">
        <v>0</v>
      </c>
      <c r="P33" s="175">
        <v>0</v>
      </c>
      <c r="Q33" s="175">
        <v>0</v>
      </c>
      <c r="R33" s="175">
        <v>0</v>
      </c>
      <c r="S33" s="175">
        <v>0</v>
      </c>
      <c r="T33" s="175">
        <v>0</v>
      </c>
      <c r="U33" s="175">
        <v>0</v>
      </c>
      <c r="V33" s="175">
        <v>0</v>
      </c>
      <c r="W33" s="175">
        <v>0</v>
      </c>
      <c r="X33" s="175">
        <v>0</v>
      </c>
      <c r="Y33" s="175">
        <v>0</v>
      </c>
      <c r="Z33" s="175">
        <v>0</v>
      </c>
      <c r="AA33" s="175">
        <v>0</v>
      </c>
      <c r="AB33" s="175">
        <v>0</v>
      </c>
      <c r="AC33" s="175">
        <v>0</v>
      </c>
      <c r="AD33" s="175">
        <v>0</v>
      </c>
      <c r="AE33" s="175">
        <v>0</v>
      </c>
      <c r="AF33" s="175">
        <v>0</v>
      </c>
      <c r="AG33" s="209">
        <v>7141</v>
      </c>
      <c r="AH33" s="209">
        <v>21959501</v>
      </c>
      <c r="AI33" s="209">
        <v>9256</v>
      </c>
      <c r="AJ33" s="209">
        <v>36278940</v>
      </c>
      <c r="AK33" s="201">
        <v>10471</v>
      </c>
      <c r="AL33" s="201">
        <v>30099601</v>
      </c>
      <c r="AM33" s="176">
        <v>8662</v>
      </c>
      <c r="AN33" s="176">
        <v>29743489</v>
      </c>
      <c r="AO33" s="201">
        <v>15060</v>
      </c>
      <c r="AP33" s="201">
        <v>38846037</v>
      </c>
      <c r="AQ33" s="201">
        <v>14369</v>
      </c>
      <c r="AR33" s="201">
        <v>33449342</v>
      </c>
      <c r="AS33" s="201">
        <v>18296</v>
      </c>
      <c r="AT33" s="201">
        <v>52591394</v>
      </c>
      <c r="AU33" s="209">
        <v>22461</v>
      </c>
      <c r="AV33" s="209">
        <v>65585497</v>
      </c>
      <c r="AW33" s="175">
        <v>22436</v>
      </c>
      <c r="AX33" s="175">
        <v>59262305</v>
      </c>
      <c r="AY33" s="175">
        <v>25130</v>
      </c>
      <c r="AZ33" s="175">
        <v>62908995</v>
      </c>
      <c r="BA33" s="178"/>
      <c r="BB33" s="175"/>
      <c r="BC33" s="178"/>
      <c r="BD33" s="175"/>
      <c r="BE33" s="178"/>
      <c r="BF33" s="175"/>
      <c r="BG33" s="175"/>
      <c r="BH33" s="175"/>
      <c r="BI33" s="178"/>
      <c r="BJ33" s="98"/>
      <c r="BK33" s="11"/>
      <c r="BL33" s="148"/>
      <c r="BM33" s="14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c r="KT33" s="98"/>
      <c r="KU33" s="98"/>
      <c r="KV33" s="98"/>
      <c r="KW33" s="98"/>
      <c r="KX33" s="98"/>
      <c r="KY33" s="98"/>
      <c r="KZ33" s="98"/>
      <c r="LA33" s="98"/>
      <c r="LB33" s="98"/>
      <c r="LC33" s="98"/>
      <c r="LD33" s="98"/>
      <c r="LE33" s="98"/>
      <c r="LF33" s="98"/>
      <c r="LG33" s="98"/>
      <c r="LH33" s="98"/>
      <c r="LI33" s="98"/>
      <c r="LJ33" s="98"/>
      <c r="LK33" s="98"/>
      <c r="LL33" s="98"/>
      <c r="LM33" s="98"/>
      <c r="LN33" s="98"/>
      <c r="LO33" s="98"/>
      <c r="LP33" s="98"/>
      <c r="LQ33" s="98"/>
      <c r="LR33" s="98"/>
      <c r="LS33" s="98"/>
      <c r="LT33" s="98"/>
      <c r="LU33" s="98"/>
      <c r="LV33" s="98"/>
      <c r="LW33" s="98"/>
      <c r="LX33" s="98"/>
      <c r="LY33" s="98"/>
      <c r="LZ33" s="98"/>
      <c r="MA33" s="98"/>
      <c r="MB33" s="98"/>
      <c r="MC33" s="98"/>
      <c r="MD33" s="98"/>
      <c r="ME33" s="98"/>
      <c r="MF33" s="98"/>
      <c r="MG33" s="98"/>
      <c r="MH33" s="98"/>
      <c r="MI33" s="98"/>
      <c r="MJ33" s="98"/>
      <c r="MK33" s="98"/>
      <c r="ML33" s="98"/>
      <c r="MM33" s="98"/>
      <c r="MN33" s="98"/>
      <c r="MO33" s="98"/>
      <c r="MP33" s="98"/>
      <c r="MQ33" s="98"/>
      <c r="MR33" s="98"/>
      <c r="MS33" s="98"/>
      <c r="MT33" s="98"/>
      <c r="MU33" s="98"/>
      <c r="MV33" s="98"/>
      <c r="MW33" s="98"/>
      <c r="MX33" s="98"/>
      <c r="MY33" s="98"/>
      <c r="MZ33" s="98"/>
      <c r="NA33" s="98"/>
      <c r="NB33" s="98"/>
      <c r="NC33" s="98"/>
      <c r="ND33" s="98"/>
      <c r="NE33" s="98"/>
      <c r="NF33" s="98"/>
      <c r="NG33" s="98"/>
      <c r="NH33" s="98"/>
      <c r="NI33" s="98"/>
      <c r="NJ33" s="98"/>
      <c r="NK33" s="98"/>
      <c r="NL33" s="98"/>
      <c r="NM33" s="98"/>
      <c r="NN33" s="98"/>
      <c r="NO33" s="98"/>
      <c r="NP33" s="98"/>
      <c r="NQ33" s="98"/>
      <c r="NR33" s="98"/>
      <c r="NS33" s="98"/>
      <c r="NT33" s="98"/>
      <c r="NU33" s="98"/>
      <c r="NV33" s="98"/>
      <c r="NW33" s="98"/>
      <c r="NX33" s="98"/>
      <c r="NY33" s="98"/>
      <c r="NZ33" s="98"/>
      <c r="OA33" s="98"/>
      <c r="OB33" s="98"/>
      <c r="OC33" s="98"/>
      <c r="OD33" s="98"/>
      <c r="OE33" s="98"/>
      <c r="OF33" s="98"/>
      <c r="OG33" s="98"/>
      <c r="OH33" s="98"/>
      <c r="OI33" s="98"/>
      <c r="OJ33" s="98"/>
      <c r="OK33" s="98"/>
      <c r="OL33" s="98"/>
      <c r="OM33" s="98"/>
      <c r="ON33" s="98"/>
      <c r="OO33" s="98"/>
      <c r="OP33" s="98"/>
      <c r="OQ33" s="98"/>
      <c r="OR33" s="98"/>
      <c r="OS33" s="98"/>
      <c r="OT33" s="98"/>
      <c r="OU33" s="98"/>
      <c r="OV33" s="98"/>
      <c r="OW33" s="98"/>
      <c r="OX33" s="98"/>
      <c r="OY33" s="98"/>
      <c r="OZ33" s="98"/>
      <c r="PA33" s="98"/>
      <c r="PB33" s="98"/>
      <c r="PC33" s="98"/>
      <c r="PD33" s="98"/>
      <c r="PE33" s="98"/>
      <c r="PF33" s="98"/>
      <c r="PG33" s="98"/>
      <c r="PH33" s="98"/>
      <c r="PI33" s="98"/>
      <c r="PJ33" s="98"/>
      <c r="PK33" s="98"/>
      <c r="PL33" s="98"/>
      <c r="PM33" s="98"/>
      <c r="PN33" s="98"/>
      <c r="PO33" s="98"/>
      <c r="PP33" s="98"/>
      <c r="PQ33" s="98"/>
      <c r="PR33" s="98"/>
      <c r="PS33" s="98"/>
      <c r="PT33" s="98"/>
      <c r="PU33" s="98"/>
      <c r="PV33" s="98"/>
      <c r="PW33" s="98"/>
      <c r="PX33" s="98"/>
      <c r="PY33" s="98"/>
      <c r="PZ33" s="98"/>
      <c r="QA33" s="98"/>
      <c r="QB33" s="98"/>
      <c r="QC33" s="98"/>
      <c r="QD33" s="98"/>
      <c r="QE33" s="98"/>
      <c r="QF33" s="98"/>
      <c r="QG33" s="98"/>
      <c r="QH33" s="98"/>
      <c r="QI33" s="98"/>
      <c r="QJ33" s="98"/>
      <c r="QK33" s="98"/>
      <c r="QL33" s="98"/>
      <c r="QM33" s="98"/>
      <c r="QN33" s="98"/>
      <c r="QO33" s="98"/>
      <c r="QP33" s="98"/>
      <c r="QQ33" s="98"/>
      <c r="QR33" s="98"/>
      <c r="QS33" s="98"/>
      <c r="QT33" s="98"/>
      <c r="QU33" s="98"/>
      <c r="QV33" s="98"/>
      <c r="QW33" s="98"/>
      <c r="QX33" s="98"/>
      <c r="QY33" s="98"/>
      <c r="QZ33" s="98"/>
      <c r="RA33" s="98"/>
      <c r="RB33" s="98"/>
      <c r="RC33" s="98"/>
      <c r="RD33" s="98"/>
      <c r="RE33" s="98"/>
      <c r="RF33" s="98"/>
      <c r="RG33" s="98"/>
      <c r="RH33" s="98"/>
      <c r="RI33" s="98"/>
      <c r="RJ33" s="98"/>
      <c r="RK33" s="98"/>
      <c r="RL33" s="98"/>
      <c r="RM33" s="98"/>
      <c r="RN33" s="98"/>
      <c r="RO33" s="98"/>
      <c r="RP33" s="98"/>
      <c r="RQ33" s="98"/>
      <c r="RR33" s="98"/>
      <c r="RS33" s="98"/>
      <c r="RT33" s="98"/>
      <c r="RU33" s="98"/>
      <c r="RV33" s="98"/>
      <c r="RW33" s="98"/>
      <c r="RX33" s="98"/>
      <c r="RY33" s="98"/>
      <c r="RZ33" s="98"/>
      <c r="SA33" s="98"/>
      <c r="SB33" s="98"/>
      <c r="SC33" s="98"/>
      <c r="SD33" s="98"/>
      <c r="SE33" s="98"/>
      <c r="SF33" s="98"/>
      <c r="SG33" s="98"/>
      <c r="SH33" s="98"/>
      <c r="SI33" s="98"/>
      <c r="SJ33" s="98"/>
      <c r="SK33" s="98"/>
      <c r="SL33" s="98"/>
      <c r="SM33" s="98"/>
      <c r="SN33" s="98"/>
      <c r="SO33" s="98"/>
      <c r="SP33" s="98"/>
      <c r="SQ33" s="98"/>
      <c r="SR33" s="98"/>
      <c r="SS33" s="98"/>
      <c r="ST33" s="98"/>
      <c r="SU33" s="98"/>
      <c r="SV33" s="98"/>
      <c r="SW33" s="98"/>
      <c r="SX33" s="98"/>
      <c r="SY33" s="98"/>
      <c r="SZ33" s="98"/>
      <c r="TA33" s="98"/>
      <c r="TB33" s="98"/>
      <c r="TC33" s="98"/>
      <c r="TD33" s="98"/>
      <c r="TE33" s="98"/>
      <c r="TF33" s="98"/>
      <c r="TG33" s="98"/>
      <c r="TH33" s="98"/>
      <c r="TI33" s="98"/>
      <c r="TJ33" s="98"/>
      <c r="TK33" s="98"/>
      <c r="TL33" s="98"/>
      <c r="TM33" s="98"/>
      <c r="TN33" s="98"/>
      <c r="TO33" s="98"/>
      <c r="TP33" s="98"/>
      <c r="TQ33" s="98"/>
      <c r="TR33" s="98"/>
      <c r="TS33" s="98"/>
      <c r="TT33" s="98"/>
      <c r="TU33" s="98"/>
      <c r="TV33" s="98"/>
      <c r="TW33" s="98"/>
      <c r="TX33" s="98"/>
      <c r="TY33" s="98"/>
      <c r="TZ33" s="98"/>
      <c r="UA33" s="98"/>
      <c r="UB33" s="98"/>
      <c r="UC33" s="98"/>
      <c r="UD33" s="98"/>
      <c r="UE33" s="98"/>
      <c r="UF33" s="98"/>
      <c r="UG33" s="98"/>
      <c r="UH33" s="98"/>
      <c r="UI33" s="98"/>
      <c r="UJ33" s="98"/>
      <c r="UK33" s="98"/>
      <c r="UL33" s="98"/>
      <c r="UM33" s="98"/>
      <c r="UN33" s="98"/>
      <c r="UO33" s="98"/>
      <c r="UP33" s="98"/>
      <c r="UQ33" s="98"/>
      <c r="UR33" s="98"/>
      <c r="US33" s="98"/>
      <c r="UT33" s="98"/>
      <c r="UU33" s="98"/>
      <c r="UV33" s="98"/>
      <c r="UW33" s="98"/>
      <c r="UX33" s="98"/>
      <c r="UY33" s="98"/>
      <c r="UZ33" s="98"/>
      <c r="VA33" s="98"/>
      <c r="VB33" s="98"/>
      <c r="VC33" s="98"/>
      <c r="VD33" s="98"/>
      <c r="VE33" s="98"/>
      <c r="VF33" s="98"/>
      <c r="VG33" s="98"/>
      <c r="VH33" s="98"/>
      <c r="VI33" s="98"/>
      <c r="VJ33" s="98"/>
      <c r="VK33" s="98"/>
      <c r="VL33" s="98"/>
      <c r="VM33" s="98"/>
      <c r="VN33" s="98"/>
      <c r="VO33" s="98"/>
      <c r="VP33" s="98"/>
      <c r="VQ33" s="98"/>
      <c r="VR33" s="98"/>
      <c r="VS33" s="98"/>
      <c r="VT33" s="98"/>
      <c r="VU33" s="98"/>
      <c r="VV33" s="98"/>
      <c r="VW33" s="98"/>
      <c r="VX33" s="98"/>
      <c r="VY33" s="98"/>
      <c r="VZ33" s="98"/>
      <c r="WA33" s="98"/>
      <c r="WB33" s="98"/>
      <c r="WC33" s="98"/>
      <c r="WD33" s="98"/>
      <c r="WE33" s="98"/>
      <c r="WF33" s="98"/>
      <c r="WG33" s="98"/>
      <c r="WH33" s="98"/>
      <c r="WI33" s="98"/>
      <c r="WJ33" s="98"/>
      <c r="WK33" s="98"/>
      <c r="WL33" s="98"/>
      <c r="WM33" s="98"/>
      <c r="WN33" s="98"/>
      <c r="WO33" s="98"/>
      <c r="WP33" s="98"/>
      <c r="WQ33" s="98"/>
      <c r="WR33" s="98"/>
      <c r="WS33" s="98"/>
      <c r="WT33" s="98"/>
      <c r="WU33" s="98"/>
      <c r="WV33" s="98"/>
      <c r="WW33" s="98"/>
      <c r="WX33" s="98"/>
      <c r="WY33" s="98"/>
      <c r="WZ33" s="98"/>
      <c r="XA33" s="98"/>
      <c r="XB33" s="98"/>
      <c r="XC33" s="98"/>
      <c r="XD33" s="98"/>
      <c r="XE33" s="98"/>
      <c r="XF33" s="98"/>
      <c r="XG33" s="98"/>
      <c r="XH33" s="98"/>
      <c r="XI33" s="98"/>
      <c r="XJ33" s="98"/>
      <c r="XK33" s="98"/>
      <c r="XL33" s="98"/>
      <c r="XM33" s="98"/>
      <c r="XN33" s="98"/>
      <c r="XO33" s="98"/>
      <c r="XP33" s="98"/>
      <c r="XQ33" s="98"/>
      <c r="XR33" s="98"/>
      <c r="XS33" s="98"/>
      <c r="XT33" s="98"/>
      <c r="XU33" s="98"/>
      <c r="XV33" s="98"/>
      <c r="XW33" s="98"/>
      <c r="XX33" s="98"/>
      <c r="XY33" s="98"/>
      <c r="XZ33" s="98"/>
      <c r="YA33" s="98"/>
      <c r="YB33" s="98"/>
      <c r="YC33" s="98"/>
      <c r="YD33" s="98"/>
      <c r="YE33" s="98"/>
      <c r="YF33" s="98"/>
      <c r="YG33" s="98"/>
      <c r="YH33" s="98"/>
      <c r="YI33" s="98"/>
      <c r="YJ33" s="98"/>
      <c r="YK33" s="98"/>
      <c r="YL33" s="98"/>
      <c r="YM33" s="98"/>
      <c r="YN33" s="98"/>
      <c r="YO33" s="98"/>
      <c r="YP33" s="98"/>
      <c r="YQ33" s="98"/>
      <c r="YR33" s="98"/>
      <c r="YS33" s="98"/>
      <c r="YT33" s="98"/>
      <c r="YU33" s="98"/>
      <c r="YV33" s="98"/>
      <c r="YW33" s="98"/>
      <c r="YX33" s="98"/>
      <c r="YY33" s="98"/>
      <c r="YZ33" s="98"/>
      <c r="ZA33" s="98"/>
      <c r="ZB33" s="98"/>
      <c r="ZC33" s="98"/>
      <c r="ZD33" s="98"/>
      <c r="ZE33" s="98"/>
      <c r="ZF33" s="98"/>
      <c r="ZG33" s="98"/>
      <c r="ZH33" s="98"/>
      <c r="ZI33" s="98"/>
      <c r="ZJ33" s="98"/>
      <c r="ZK33" s="98"/>
      <c r="ZL33" s="98"/>
      <c r="ZM33" s="98"/>
      <c r="ZN33" s="98"/>
      <c r="ZO33" s="98"/>
      <c r="ZP33" s="98"/>
      <c r="ZQ33" s="98"/>
      <c r="ZR33" s="98"/>
      <c r="ZS33" s="98"/>
      <c r="ZT33" s="98"/>
      <c r="ZU33" s="98"/>
      <c r="ZV33" s="98"/>
      <c r="ZW33" s="98"/>
      <c r="ZX33" s="98"/>
      <c r="ZY33" s="98"/>
      <c r="ZZ33" s="98"/>
      <c r="AAA33" s="98"/>
      <c r="AAB33" s="98"/>
      <c r="AAC33" s="98"/>
      <c r="AAD33" s="98"/>
      <c r="AAE33" s="98"/>
      <c r="AAF33" s="98"/>
      <c r="AAG33" s="98"/>
      <c r="AAH33" s="98"/>
      <c r="AAI33" s="98"/>
      <c r="AAJ33" s="98"/>
      <c r="AAK33" s="98"/>
      <c r="AAL33" s="98"/>
      <c r="AAM33" s="98"/>
      <c r="AAN33" s="98"/>
      <c r="AAO33" s="98"/>
      <c r="AAP33" s="98"/>
      <c r="AAQ33" s="98"/>
      <c r="AAR33" s="98"/>
      <c r="AAS33" s="98"/>
      <c r="AAT33" s="98"/>
      <c r="AAU33" s="98"/>
      <c r="AAV33" s="98"/>
      <c r="AAW33" s="98"/>
      <c r="AAX33" s="98"/>
      <c r="AAY33" s="98"/>
      <c r="AAZ33" s="98"/>
      <c r="ABA33" s="98"/>
      <c r="ABB33" s="98"/>
      <c r="ABC33" s="98"/>
      <c r="ABD33" s="98"/>
      <c r="ABE33" s="98"/>
      <c r="ABF33" s="98"/>
      <c r="ABG33" s="98"/>
      <c r="ABH33" s="98"/>
      <c r="ABI33" s="98"/>
      <c r="ABJ33" s="98"/>
      <c r="ABK33" s="98"/>
      <c r="ABL33" s="98"/>
      <c r="ABM33" s="98"/>
      <c r="ABN33" s="98"/>
      <c r="ABO33" s="98"/>
      <c r="ABP33" s="98"/>
      <c r="ABQ33" s="98"/>
      <c r="ABR33" s="98"/>
      <c r="ABS33" s="98"/>
      <c r="ABT33" s="98"/>
      <c r="ABU33" s="98"/>
      <c r="ABV33" s="98"/>
      <c r="ABW33" s="98"/>
      <c r="ABX33" s="98"/>
      <c r="ABY33" s="98"/>
      <c r="ABZ33" s="98"/>
      <c r="ACA33" s="98"/>
      <c r="ACB33" s="98"/>
      <c r="ACC33" s="98"/>
      <c r="ACD33" s="98"/>
      <c r="ACE33" s="98"/>
      <c r="ACF33" s="98"/>
      <c r="ACG33" s="98"/>
      <c r="ACH33" s="98"/>
      <c r="ACI33" s="98"/>
      <c r="ACJ33" s="98"/>
      <c r="ACK33" s="98"/>
      <c r="ACL33" s="98"/>
      <c r="ACM33" s="98"/>
      <c r="ACN33" s="98"/>
      <c r="ACO33" s="98"/>
      <c r="ACP33" s="98"/>
      <c r="ACQ33" s="98"/>
      <c r="ACR33" s="98"/>
      <c r="ACS33" s="98"/>
      <c r="ACT33" s="98"/>
      <c r="ACU33" s="98"/>
      <c r="ACV33" s="98"/>
      <c r="ACW33" s="98"/>
      <c r="ACX33" s="98"/>
      <c r="ACY33" s="98"/>
      <c r="ACZ33" s="98"/>
      <c r="ADA33" s="98"/>
      <c r="ADB33" s="98"/>
      <c r="ADC33" s="98"/>
      <c r="ADD33" s="98"/>
      <c r="ADE33" s="98"/>
      <c r="ADF33" s="98"/>
      <c r="ADG33" s="98"/>
      <c r="ADH33" s="98"/>
      <c r="ADI33" s="98"/>
      <c r="ADJ33" s="98"/>
      <c r="ADK33" s="98"/>
      <c r="ADL33" s="98"/>
      <c r="ADM33" s="98"/>
      <c r="ADN33" s="98"/>
      <c r="ADO33" s="98"/>
      <c r="ADP33" s="98"/>
      <c r="ADQ33" s="98"/>
      <c r="ADR33" s="98"/>
      <c r="ADS33" s="98"/>
      <c r="ADT33" s="98"/>
      <c r="ADU33" s="98"/>
      <c r="ADV33" s="98"/>
      <c r="ADW33" s="98"/>
      <c r="ADX33" s="98"/>
      <c r="ADY33" s="98"/>
      <c r="ADZ33" s="98"/>
      <c r="AEA33" s="98"/>
      <c r="AEB33" s="98"/>
      <c r="AEC33" s="98"/>
      <c r="AED33" s="98"/>
      <c r="AEE33" s="98"/>
      <c r="AEF33" s="98"/>
      <c r="AEG33" s="98"/>
      <c r="AEH33" s="98"/>
      <c r="AEI33" s="98"/>
      <c r="AEJ33" s="98"/>
      <c r="AEK33" s="98"/>
      <c r="AEL33" s="98"/>
      <c r="AEM33" s="98"/>
      <c r="AEN33" s="98"/>
      <c r="AEO33" s="98"/>
      <c r="AEP33" s="98"/>
      <c r="AEQ33" s="98"/>
      <c r="AER33" s="98"/>
      <c r="AES33" s="98"/>
      <c r="AET33" s="98"/>
      <c r="AEU33" s="98"/>
      <c r="AEV33" s="98"/>
      <c r="AEW33" s="98"/>
      <c r="AEX33" s="98"/>
      <c r="AEY33" s="98"/>
      <c r="AEZ33" s="98"/>
      <c r="AFA33" s="98"/>
      <c r="AFB33" s="98"/>
      <c r="AFC33" s="98"/>
      <c r="AFD33" s="98"/>
      <c r="AFE33" s="98"/>
      <c r="AFF33" s="98"/>
      <c r="AFG33" s="98"/>
      <c r="AFH33" s="98"/>
      <c r="AFI33" s="98"/>
      <c r="AFJ33" s="98"/>
      <c r="AFK33" s="98"/>
      <c r="AFL33" s="98"/>
      <c r="AFM33" s="98"/>
      <c r="AFN33" s="98"/>
      <c r="AFO33" s="98"/>
      <c r="AFP33" s="98"/>
      <c r="AFQ33" s="98"/>
      <c r="AFR33" s="98"/>
      <c r="AFS33" s="98"/>
      <c r="AFT33" s="98"/>
      <c r="AFU33" s="98"/>
      <c r="AFV33" s="98"/>
      <c r="AFW33" s="98"/>
      <c r="AFX33" s="98"/>
      <c r="AFY33" s="98"/>
      <c r="AFZ33" s="98"/>
      <c r="AGA33" s="98"/>
      <c r="AGB33" s="98"/>
      <c r="AGC33" s="98"/>
      <c r="AGD33" s="98"/>
      <c r="AGE33" s="98"/>
      <c r="AGF33" s="98"/>
      <c r="AGG33" s="98"/>
      <c r="AGH33" s="98"/>
      <c r="AGI33" s="98"/>
      <c r="AGJ33" s="98"/>
      <c r="AGK33" s="98"/>
      <c r="AGL33" s="98"/>
      <c r="AGM33" s="98"/>
      <c r="AGN33" s="98"/>
      <c r="AGO33" s="98"/>
      <c r="AGP33" s="98"/>
      <c r="AGQ33" s="98"/>
      <c r="AGR33" s="98"/>
      <c r="AGS33" s="98"/>
      <c r="AGT33" s="98"/>
      <c r="AGU33" s="98"/>
      <c r="AGV33" s="98"/>
      <c r="AGW33" s="98"/>
      <c r="AGX33" s="98"/>
      <c r="AGY33" s="98"/>
      <c r="AGZ33" s="98"/>
      <c r="AHA33" s="98"/>
      <c r="AHB33" s="98"/>
      <c r="AHC33" s="98"/>
      <c r="AHD33" s="98"/>
      <c r="AHE33" s="98"/>
      <c r="AHF33" s="98"/>
      <c r="AHG33" s="98"/>
      <c r="AHH33" s="98"/>
      <c r="AHI33" s="98"/>
      <c r="AHJ33" s="98"/>
      <c r="AHK33" s="98"/>
      <c r="AHL33" s="98"/>
      <c r="AHM33" s="98"/>
      <c r="AHN33" s="98"/>
      <c r="AHO33" s="98"/>
      <c r="AHP33" s="98"/>
      <c r="AHQ33" s="98"/>
      <c r="AHR33" s="98"/>
      <c r="AHS33" s="98"/>
      <c r="AHT33" s="98"/>
      <c r="AHU33" s="98"/>
      <c r="AHV33" s="98"/>
      <c r="AHW33" s="98"/>
      <c r="AHX33" s="98"/>
      <c r="AHY33" s="98"/>
      <c r="AHZ33" s="98"/>
      <c r="AIA33" s="98"/>
      <c r="AIB33" s="98"/>
      <c r="AIC33" s="98"/>
      <c r="AID33" s="98"/>
      <c r="AIE33" s="98"/>
      <c r="AIF33" s="98"/>
      <c r="AIG33" s="98"/>
      <c r="AIH33" s="98"/>
      <c r="AII33" s="98"/>
      <c r="AIJ33" s="98"/>
      <c r="AIK33" s="98"/>
      <c r="AIL33" s="98"/>
      <c r="AIM33" s="98"/>
      <c r="AIN33" s="98"/>
      <c r="AIO33" s="98"/>
      <c r="AIP33" s="98"/>
      <c r="AIQ33" s="98"/>
      <c r="AIR33" s="98"/>
      <c r="AIS33" s="98"/>
      <c r="AIT33" s="98"/>
      <c r="AIU33" s="98"/>
      <c r="AIV33" s="98"/>
      <c r="AIW33" s="98"/>
      <c r="AIX33" s="98"/>
      <c r="AIY33" s="98"/>
      <c r="AIZ33" s="98"/>
      <c r="AJA33" s="98"/>
      <c r="AJB33" s="98"/>
      <c r="AJC33" s="98"/>
      <c r="AJD33" s="98"/>
      <c r="AJE33" s="98"/>
      <c r="AJF33" s="98"/>
      <c r="AJG33" s="98"/>
      <c r="AJH33" s="98"/>
      <c r="AJI33" s="98"/>
      <c r="AJJ33" s="98"/>
      <c r="AJK33" s="98"/>
      <c r="AJL33" s="98"/>
      <c r="AJM33" s="98"/>
      <c r="AJN33" s="98"/>
      <c r="AJO33" s="98"/>
      <c r="AJP33" s="98"/>
      <c r="AJQ33" s="98"/>
      <c r="AJR33" s="98"/>
      <c r="AJS33" s="98"/>
      <c r="AJT33" s="98"/>
      <c r="AJU33" s="98"/>
      <c r="AJV33" s="98"/>
      <c r="AJW33" s="98"/>
      <c r="AJX33" s="98"/>
      <c r="AJY33" s="98"/>
      <c r="AJZ33" s="98"/>
      <c r="AKA33" s="98"/>
      <c r="AKB33" s="98"/>
      <c r="AKC33" s="98"/>
      <c r="AKD33" s="98"/>
      <c r="AKE33" s="98"/>
      <c r="AKF33" s="98"/>
      <c r="AKG33" s="98"/>
      <c r="AKH33" s="98"/>
      <c r="AKI33" s="98"/>
      <c r="AKJ33" s="98"/>
      <c r="AKK33" s="98"/>
      <c r="AKL33" s="98"/>
      <c r="AKM33" s="98"/>
      <c r="AKN33" s="98"/>
      <c r="AKO33" s="98"/>
      <c r="AKP33" s="98"/>
      <c r="AKQ33" s="98"/>
      <c r="AKR33" s="98"/>
      <c r="AKS33" s="98"/>
      <c r="AKT33" s="98"/>
      <c r="AKU33" s="98"/>
      <c r="AKV33" s="98"/>
      <c r="AKW33" s="98"/>
      <c r="AKX33" s="98"/>
      <c r="AKY33" s="98"/>
      <c r="AKZ33" s="98"/>
      <c r="ALA33" s="98"/>
      <c r="ALB33" s="98"/>
      <c r="ALC33" s="98"/>
      <c r="ALD33" s="98"/>
      <c r="ALE33" s="98"/>
      <c r="ALF33" s="98"/>
      <c r="ALG33" s="98"/>
      <c r="ALH33" s="98"/>
      <c r="ALI33" s="98"/>
      <c r="ALJ33" s="98"/>
      <c r="ALK33" s="98"/>
      <c r="ALL33" s="98"/>
      <c r="ALM33" s="98"/>
      <c r="ALN33" s="98"/>
      <c r="ALO33" s="98"/>
      <c r="ALP33" s="98"/>
      <c r="ALQ33" s="98"/>
      <c r="ALR33" s="98"/>
      <c r="ALS33" s="98"/>
      <c r="ALT33" s="98"/>
      <c r="ALU33" s="98"/>
      <c r="ALV33" s="98"/>
      <c r="ALW33" s="98"/>
      <c r="ALX33" s="98"/>
      <c r="ALY33" s="98"/>
      <c r="ALZ33" s="98"/>
      <c r="AMA33" s="98"/>
      <c r="AMB33" s="98"/>
      <c r="AMC33" s="98"/>
      <c r="AMD33" s="98"/>
      <c r="AME33" s="98"/>
      <c r="AMF33" s="98"/>
      <c r="AMG33" s="98"/>
      <c r="AMH33" s="98"/>
      <c r="AMI33" s="98"/>
      <c r="AMJ33" s="98"/>
      <c r="AMK33" s="98"/>
      <c r="AML33" s="98"/>
      <c r="AMM33" s="98"/>
      <c r="AMN33" s="98"/>
      <c r="AMO33" s="98"/>
      <c r="AMP33" s="98"/>
      <c r="AMQ33" s="98"/>
      <c r="AMR33" s="98"/>
      <c r="AMS33" s="98"/>
      <c r="AMT33" s="98"/>
      <c r="AMU33" s="98"/>
      <c r="AMV33" s="98"/>
      <c r="AMW33" s="98"/>
      <c r="AMX33" s="98"/>
      <c r="AMY33" s="98"/>
      <c r="AMZ33" s="98"/>
      <c r="ANA33" s="98"/>
      <c r="ANB33" s="98"/>
      <c r="ANC33" s="98"/>
      <c r="AND33" s="98"/>
      <c r="ANE33" s="98"/>
      <c r="ANF33" s="98"/>
      <c r="ANG33" s="98"/>
      <c r="ANH33" s="98"/>
      <c r="ANI33" s="98"/>
      <c r="ANJ33" s="98"/>
      <c r="ANK33" s="98"/>
      <c r="ANL33" s="98"/>
      <c r="ANM33" s="98"/>
      <c r="ANN33" s="98"/>
      <c r="ANO33" s="98"/>
      <c r="ANP33" s="98"/>
      <c r="ANQ33" s="98"/>
      <c r="ANR33" s="98"/>
      <c r="ANS33" s="98"/>
      <c r="ANT33" s="98"/>
      <c r="ANU33" s="98"/>
      <c r="ANV33" s="98"/>
      <c r="ANW33" s="98"/>
      <c r="ANX33" s="98"/>
      <c r="ANY33" s="98"/>
      <c r="ANZ33" s="98"/>
      <c r="AOA33" s="98"/>
      <c r="AOB33" s="98"/>
      <c r="AOC33" s="98"/>
      <c r="AOD33" s="98"/>
      <c r="AOE33" s="98"/>
      <c r="AOF33" s="98"/>
      <c r="AOG33" s="98"/>
      <c r="AOH33" s="98"/>
      <c r="AOI33" s="98"/>
      <c r="AOJ33" s="98"/>
      <c r="AOK33" s="98"/>
      <c r="AOL33" s="98"/>
      <c r="AOM33" s="98"/>
      <c r="AON33" s="98"/>
      <c r="AOO33" s="98"/>
      <c r="AOP33" s="98"/>
      <c r="AOQ33" s="98"/>
      <c r="AOR33" s="98"/>
      <c r="AOS33" s="98"/>
      <c r="AOT33" s="98"/>
      <c r="AOU33" s="98"/>
      <c r="AOV33" s="98"/>
      <c r="AOW33" s="98"/>
      <c r="AOX33" s="98"/>
      <c r="AOY33" s="98"/>
      <c r="AOZ33" s="98"/>
      <c r="APA33" s="98"/>
      <c r="APB33" s="98"/>
      <c r="APC33" s="98"/>
      <c r="APD33" s="98"/>
      <c r="APE33" s="98"/>
      <c r="APF33" s="98"/>
      <c r="APG33" s="98"/>
      <c r="APH33" s="98"/>
      <c r="API33" s="98"/>
      <c r="APJ33" s="98"/>
      <c r="APK33" s="98"/>
      <c r="APL33" s="98"/>
      <c r="APM33" s="98"/>
      <c r="APN33" s="98"/>
      <c r="APO33" s="98"/>
      <c r="APP33" s="98"/>
      <c r="APQ33" s="98"/>
      <c r="APR33" s="98"/>
      <c r="APS33" s="98"/>
      <c r="APT33" s="98"/>
      <c r="APU33" s="98"/>
      <c r="APV33" s="98"/>
      <c r="APW33" s="98"/>
      <c r="APX33" s="98"/>
      <c r="APY33" s="98"/>
      <c r="APZ33" s="98"/>
      <c r="AQA33" s="98"/>
      <c r="AQB33" s="98"/>
      <c r="AQC33" s="98"/>
      <c r="AQD33" s="98"/>
      <c r="AQE33" s="98"/>
      <c r="AQF33" s="98"/>
      <c r="AQG33" s="98"/>
      <c r="AQH33" s="98"/>
      <c r="AQI33" s="98"/>
      <c r="AQJ33" s="98"/>
      <c r="AQK33" s="98"/>
      <c r="AQL33" s="98"/>
      <c r="AQM33" s="98"/>
      <c r="AQN33" s="98"/>
      <c r="AQO33" s="98"/>
      <c r="AQP33" s="98"/>
      <c r="AQQ33" s="98"/>
      <c r="AQR33" s="98"/>
      <c r="AQS33" s="98"/>
      <c r="AQT33" s="98"/>
      <c r="AQU33" s="98"/>
      <c r="AQV33" s="98"/>
      <c r="AQW33" s="98"/>
      <c r="AQX33" s="98"/>
      <c r="AQY33" s="98"/>
      <c r="AQZ33" s="98"/>
      <c r="ARA33" s="98"/>
      <c r="ARB33" s="98"/>
      <c r="ARC33" s="98"/>
      <c r="ARD33" s="98"/>
      <c r="ARE33" s="98"/>
      <c r="ARF33" s="98"/>
      <c r="ARG33" s="98"/>
      <c r="ARH33" s="98"/>
      <c r="ARI33" s="98"/>
      <c r="ARJ33" s="98"/>
      <c r="ARK33" s="98"/>
      <c r="ARL33" s="98"/>
      <c r="ARM33" s="98"/>
      <c r="ARN33" s="98"/>
      <c r="ARO33" s="98"/>
      <c r="ARP33" s="98"/>
      <c r="ARQ33" s="98"/>
      <c r="ARR33" s="98"/>
    </row>
    <row r="34" spans="1:1162" s="174" customFormat="1">
      <c r="A34" s="140" t="s">
        <v>106</v>
      </c>
      <c r="B34" s="119" t="s">
        <v>67</v>
      </c>
      <c r="C34" s="175">
        <v>41740</v>
      </c>
      <c r="D34" s="175">
        <v>11701660</v>
      </c>
      <c r="E34" s="175"/>
      <c r="F34" s="175"/>
      <c r="G34" s="175">
        <v>783</v>
      </c>
      <c r="H34" s="175">
        <v>1154174</v>
      </c>
      <c r="I34" s="175">
        <v>14214</v>
      </c>
      <c r="J34" s="175">
        <v>12491102</v>
      </c>
      <c r="K34" s="175">
        <v>7993</v>
      </c>
      <c r="L34" s="175">
        <v>7284445</v>
      </c>
      <c r="M34" s="175">
        <v>8397</v>
      </c>
      <c r="N34" s="175">
        <v>11145646</v>
      </c>
      <c r="O34" s="175">
        <v>6590</v>
      </c>
      <c r="P34" s="175">
        <v>6971035</v>
      </c>
      <c r="Q34" s="175">
        <v>4182</v>
      </c>
      <c r="R34" s="175">
        <v>4387234</v>
      </c>
      <c r="S34" s="175">
        <v>0</v>
      </c>
      <c r="T34" s="175">
        <v>0</v>
      </c>
      <c r="U34" s="197">
        <f>1504+3243</f>
        <v>4747</v>
      </c>
      <c r="V34" s="197">
        <f>2751837+8042745</f>
        <v>10794582</v>
      </c>
      <c r="W34" s="197">
        <v>16759</v>
      </c>
      <c r="X34" s="197">
        <v>34895268</v>
      </c>
      <c r="Y34" s="197">
        <f>8699+928</f>
        <v>9627</v>
      </c>
      <c r="Z34" s="197">
        <f>14883855+1498160</f>
        <v>16382015</v>
      </c>
      <c r="AA34" s="209">
        <v>7253</v>
      </c>
      <c r="AB34" s="209">
        <v>12078374</v>
      </c>
      <c r="AC34" s="175">
        <f>2865.95+1621.07+2746.6</f>
        <v>7233.619999999999</v>
      </c>
      <c r="AD34" s="175">
        <v>12926731</v>
      </c>
      <c r="AE34" s="175">
        <v>24027</v>
      </c>
      <c r="AF34" s="175">
        <v>24340005</v>
      </c>
      <c r="AG34" s="209">
        <v>23627</v>
      </c>
      <c r="AH34" s="209">
        <v>40304405</v>
      </c>
      <c r="AI34" s="209">
        <v>10062</v>
      </c>
      <c r="AJ34" s="209">
        <v>26559116</v>
      </c>
      <c r="AK34" s="201">
        <v>7880</v>
      </c>
      <c r="AL34" s="201">
        <v>13728391</v>
      </c>
      <c r="AM34" s="176">
        <v>15609</v>
      </c>
      <c r="AN34" s="176">
        <v>25839453</v>
      </c>
      <c r="AO34" s="201">
        <v>7375</v>
      </c>
      <c r="AP34" s="201">
        <v>9193387</v>
      </c>
      <c r="AQ34" s="201">
        <v>5408</v>
      </c>
      <c r="AR34" s="201">
        <v>4054018</v>
      </c>
      <c r="AS34" s="201">
        <v>5739</v>
      </c>
      <c r="AT34" s="201">
        <v>852046</v>
      </c>
      <c r="AU34" s="209">
        <v>17324</v>
      </c>
      <c r="AV34" s="209">
        <v>32834522</v>
      </c>
      <c r="AW34" s="175">
        <v>31981</v>
      </c>
      <c r="AX34" s="175">
        <v>62552810</v>
      </c>
      <c r="AY34" s="175">
        <v>30306</v>
      </c>
      <c r="AZ34" s="175">
        <v>73677668</v>
      </c>
      <c r="BA34" s="178"/>
      <c r="BB34" s="175"/>
      <c r="BC34" s="178"/>
      <c r="BD34" s="175"/>
      <c r="BE34" s="178"/>
      <c r="BF34" s="175"/>
      <c r="BG34" s="175"/>
      <c r="BH34" s="175"/>
      <c r="BI34" s="178"/>
      <c r="BJ34" s="98"/>
      <c r="BK34" s="11"/>
      <c r="BL34" s="148"/>
      <c r="BM34" s="14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c r="KT34" s="98"/>
      <c r="KU34" s="98"/>
      <c r="KV34" s="98"/>
      <c r="KW34" s="98"/>
      <c r="KX34" s="98"/>
      <c r="KY34" s="98"/>
      <c r="KZ34" s="98"/>
      <c r="LA34" s="98"/>
      <c r="LB34" s="98"/>
      <c r="LC34" s="98"/>
      <c r="LD34" s="98"/>
      <c r="LE34" s="98"/>
      <c r="LF34" s="98"/>
      <c r="LG34" s="98"/>
      <c r="LH34" s="98"/>
      <c r="LI34" s="98"/>
      <c r="LJ34" s="98"/>
      <c r="LK34" s="98"/>
      <c r="LL34" s="98"/>
      <c r="LM34" s="98"/>
      <c r="LN34" s="98"/>
      <c r="LO34" s="98"/>
      <c r="LP34" s="98"/>
      <c r="LQ34" s="98"/>
      <c r="LR34" s="98"/>
      <c r="LS34" s="98"/>
      <c r="LT34" s="98"/>
      <c r="LU34" s="98"/>
      <c r="LV34" s="98"/>
      <c r="LW34" s="98"/>
      <c r="LX34" s="98"/>
      <c r="LY34" s="98"/>
      <c r="LZ34" s="98"/>
      <c r="MA34" s="98"/>
      <c r="MB34" s="98"/>
      <c r="MC34" s="98"/>
      <c r="MD34" s="98"/>
      <c r="ME34" s="98"/>
      <c r="MF34" s="98"/>
      <c r="MG34" s="98"/>
      <c r="MH34" s="98"/>
      <c r="MI34" s="98"/>
      <c r="MJ34" s="98"/>
      <c r="MK34" s="98"/>
      <c r="ML34" s="98"/>
      <c r="MM34" s="98"/>
      <c r="MN34" s="98"/>
      <c r="MO34" s="98"/>
      <c r="MP34" s="98"/>
      <c r="MQ34" s="98"/>
      <c r="MR34" s="98"/>
      <c r="MS34" s="98"/>
      <c r="MT34" s="98"/>
      <c r="MU34" s="98"/>
      <c r="MV34" s="98"/>
      <c r="MW34" s="98"/>
      <c r="MX34" s="98"/>
      <c r="MY34" s="98"/>
      <c r="MZ34" s="98"/>
      <c r="NA34" s="98"/>
      <c r="NB34" s="98"/>
      <c r="NC34" s="98"/>
      <c r="ND34" s="98"/>
      <c r="NE34" s="98"/>
      <c r="NF34" s="98"/>
      <c r="NG34" s="98"/>
      <c r="NH34" s="98"/>
      <c r="NI34" s="98"/>
      <c r="NJ34" s="98"/>
      <c r="NK34" s="98"/>
      <c r="NL34" s="98"/>
      <c r="NM34" s="98"/>
      <c r="NN34" s="98"/>
      <c r="NO34" s="98"/>
      <c r="NP34" s="98"/>
      <c r="NQ34" s="98"/>
      <c r="NR34" s="98"/>
      <c r="NS34" s="98"/>
      <c r="NT34" s="98"/>
      <c r="NU34" s="98"/>
      <c r="NV34" s="98"/>
      <c r="NW34" s="98"/>
      <c r="NX34" s="98"/>
      <c r="NY34" s="98"/>
      <c r="NZ34" s="98"/>
      <c r="OA34" s="98"/>
      <c r="OB34" s="98"/>
      <c r="OC34" s="98"/>
      <c r="OD34" s="98"/>
      <c r="OE34" s="98"/>
      <c r="OF34" s="98"/>
      <c r="OG34" s="98"/>
      <c r="OH34" s="98"/>
      <c r="OI34" s="98"/>
      <c r="OJ34" s="98"/>
      <c r="OK34" s="98"/>
      <c r="OL34" s="98"/>
      <c r="OM34" s="98"/>
      <c r="ON34" s="98"/>
      <c r="OO34" s="98"/>
      <c r="OP34" s="98"/>
      <c r="OQ34" s="98"/>
      <c r="OR34" s="98"/>
      <c r="OS34" s="98"/>
      <c r="OT34" s="98"/>
      <c r="OU34" s="98"/>
      <c r="OV34" s="98"/>
      <c r="OW34" s="98"/>
      <c r="OX34" s="98"/>
      <c r="OY34" s="98"/>
      <c r="OZ34" s="98"/>
      <c r="PA34" s="98"/>
      <c r="PB34" s="98"/>
      <c r="PC34" s="98"/>
      <c r="PD34" s="98"/>
      <c r="PE34" s="98"/>
      <c r="PF34" s="98"/>
      <c r="PG34" s="98"/>
      <c r="PH34" s="98"/>
      <c r="PI34" s="98"/>
      <c r="PJ34" s="98"/>
      <c r="PK34" s="98"/>
      <c r="PL34" s="98"/>
      <c r="PM34" s="98"/>
      <c r="PN34" s="98"/>
      <c r="PO34" s="98"/>
      <c r="PP34" s="98"/>
      <c r="PQ34" s="98"/>
      <c r="PR34" s="98"/>
      <c r="PS34" s="98"/>
      <c r="PT34" s="98"/>
      <c r="PU34" s="98"/>
      <c r="PV34" s="98"/>
      <c r="PW34" s="98"/>
      <c r="PX34" s="98"/>
      <c r="PY34" s="98"/>
      <c r="PZ34" s="98"/>
      <c r="QA34" s="98"/>
      <c r="QB34" s="98"/>
      <c r="QC34" s="98"/>
      <c r="QD34" s="98"/>
      <c r="QE34" s="98"/>
      <c r="QF34" s="98"/>
      <c r="QG34" s="98"/>
      <c r="QH34" s="98"/>
      <c r="QI34" s="98"/>
      <c r="QJ34" s="98"/>
      <c r="QK34" s="98"/>
      <c r="QL34" s="98"/>
      <c r="QM34" s="98"/>
      <c r="QN34" s="98"/>
      <c r="QO34" s="98"/>
      <c r="QP34" s="98"/>
      <c r="QQ34" s="98"/>
      <c r="QR34" s="98"/>
      <c r="QS34" s="98"/>
      <c r="QT34" s="98"/>
      <c r="QU34" s="98"/>
      <c r="QV34" s="98"/>
      <c r="QW34" s="98"/>
      <c r="QX34" s="98"/>
      <c r="QY34" s="98"/>
      <c r="QZ34" s="98"/>
      <c r="RA34" s="98"/>
      <c r="RB34" s="98"/>
      <c r="RC34" s="98"/>
      <c r="RD34" s="98"/>
      <c r="RE34" s="98"/>
      <c r="RF34" s="98"/>
      <c r="RG34" s="98"/>
      <c r="RH34" s="98"/>
      <c r="RI34" s="98"/>
      <c r="RJ34" s="98"/>
      <c r="RK34" s="98"/>
      <c r="RL34" s="98"/>
      <c r="RM34" s="98"/>
      <c r="RN34" s="98"/>
      <c r="RO34" s="98"/>
      <c r="RP34" s="98"/>
      <c r="RQ34" s="98"/>
      <c r="RR34" s="98"/>
      <c r="RS34" s="98"/>
      <c r="RT34" s="98"/>
      <c r="RU34" s="98"/>
      <c r="RV34" s="98"/>
      <c r="RW34" s="98"/>
      <c r="RX34" s="98"/>
      <c r="RY34" s="98"/>
      <c r="RZ34" s="98"/>
      <c r="SA34" s="98"/>
      <c r="SB34" s="98"/>
      <c r="SC34" s="98"/>
      <c r="SD34" s="98"/>
      <c r="SE34" s="98"/>
      <c r="SF34" s="98"/>
      <c r="SG34" s="98"/>
      <c r="SH34" s="98"/>
      <c r="SI34" s="98"/>
      <c r="SJ34" s="98"/>
      <c r="SK34" s="98"/>
      <c r="SL34" s="98"/>
      <c r="SM34" s="98"/>
      <c r="SN34" s="98"/>
      <c r="SO34" s="98"/>
      <c r="SP34" s="98"/>
      <c r="SQ34" s="98"/>
      <c r="SR34" s="98"/>
      <c r="SS34" s="98"/>
      <c r="ST34" s="98"/>
      <c r="SU34" s="98"/>
      <c r="SV34" s="98"/>
      <c r="SW34" s="98"/>
      <c r="SX34" s="98"/>
      <c r="SY34" s="98"/>
      <c r="SZ34" s="98"/>
      <c r="TA34" s="98"/>
      <c r="TB34" s="98"/>
      <c r="TC34" s="98"/>
      <c r="TD34" s="98"/>
      <c r="TE34" s="98"/>
      <c r="TF34" s="98"/>
      <c r="TG34" s="98"/>
      <c r="TH34" s="98"/>
      <c r="TI34" s="98"/>
      <c r="TJ34" s="98"/>
      <c r="TK34" s="98"/>
      <c r="TL34" s="98"/>
      <c r="TM34" s="98"/>
      <c r="TN34" s="98"/>
      <c r="TO34" s="98"/>
      <c r="TP34" s="98"/>
      <c r="TQ34" s="98"/>
      <c r="TR34" s="98"/>
      <c r="TS34" s="98"/>
      <c r="TT34" s="98"/>
      <c r="TU34" s="98"/>
      <c r="TV34" s="98"/>
      <c r="TW34" s="98"/>
      <c r="TX34" s="98"/>
      <c r="TY34" s="98"/>
      <c r="TZ34" s="98"/>
      <c r="UA34" s="98"/>
      <c r="UB34" s="98"/>
      <c r="UC34" s="98"/>
      <c r="UD34" s="98"/>
      <c r="UE34" s="98"/>
      <c r="UF34" s="98"/>
      <c r="UG34" s="98"/>
      <c r="UH34" s="98"/>
      <c r="UI34" s="98"/>
      <c r="UJ34" s="98"/>
      <c r="UK34" s="98"/>
      <c r="UL34" s="98"/>
      <c r="UM34" s="98"/>
      <c r="UN34" s="98"/>
      <c r="UO34" s="98"/>
      <c r="UP34" s="98"/>
      <c r="UQ34" s="98"/>
      <c r="UR34" s="98"/>
      <c r="US34" s="98"/>
      <c r="UT34" s="98"/>
      <c r="UU34" s="98"/>
      <c r="UV34" s="98"/>
      <c r="UW34" s="98"/>
      <c r="UX34" s="98"/>
      <c r="UY34" s="98"/>
      <c r="UZ34" s="98"/>
      <c r="VA34" s="98"/>
      <c r="VB34" s="98"/>
      <c r="VC34" s="98"/>
      <c r="VD34" s="98"/>
      <c r="VE34" s="98"/>
      <c r="VF34" s="98"/>
      <c r="VG34" s="98"/>
      <c r="VH34" s="98"/>
      <c r="VI34" s="98"/>
      <c r="VJ34" s="98"/>
      <c r="VK34" s="98"/>
      <c r="VL34" s="98"/>
      <c r="VM34" s="98"/>
      <c r="VN34" s="98"/>
      <c r="VO34" s="98"/>
      <c r="VP34" s="98"/>
      <c r="VQ34" s="98"/>
      <c r="VR34" s="98"/>
      <c r="VS34" s="98"/>
      <c r="VT34" s="98"/>
      <c r="VU34" s="98"/>
      <c r="VV34" s="98"/>
      <c r="VW34" s="98"/>
      <c r="VX34" s="98"/>
      <c r="VY34" s="98"/>
      <c r="VZ34" s="98"/>
      <c r="WA34" s="98"/>
      <c r="WB34" s="98"/>
      <c r="WC34" s="98"/>
      <c r="WD34" s="98"/>
      <c r="WE34" s="98"/>
      <c r="WF34" s="98"/>
      <c r="WG34" s="98"/>
      <c r="WH34" s="98"/>
      <c r="WI34" s="98"/>
      <c r="WJ34" s="98"/>
      <c r="WK34" s="98"/>
      <c r="WL34" s="98"/>
      <c r="WM34" s="98"/>
      <c r="WN34" s="98"/>
      <c r="WO34" s="98"/>
      <c r="WP34" s="98"/>
      <c r="WQ34" s="98"/>
      <c r="WR34" s="98"/>
      <c r="WS34" s="98"/>
      <c r="WT34" s="98"/>
      <c r="WU34" s="98"/>
      <c r="WV34" s="98"/>
      <c r="WW34" s="98"/>
      <c r="WX34" s="98"/>
      <c r="WY34" s="98"/>
      <c r="WZ34" s="98"/>
      <c r="XA34" s="98"/>
      <c r="XB34" s="98"/>
      <c r="XC34" s="98"/>
      <c r="XD34" s="98"/>
      <c r="XE34" s="98"/>
      <c r="XF34" s="98"/>
      <c r="XG34" s="98"/>
      <c r="XH34" s="98"/>
      <c r="XI34" s="98"/>
      <c r="XJ34" s="98"/>
      <c r="XK34" s="98"/>
      <c r="XL34" s="98"/>
      <c r="XM34" s="98"/>
      <c r="XN34" s="98"/>
      <c r="XO34" s="98"/>
      <c r="XP34" s="98"/>
      <c r="XQ34" s="98"/>
      <c r="XR34" s="98"/>
      <c r="XS34" s="98"/>
      <c r="XT34" s="98"/>
      <c r="XU34" s="98"/>
      <c r="XV34" s="98"/>
      <c r="XW34" s="98"/>
      <c r="XX34" s="98"/>
      <c r="XY34" s="98"/>
      <c r="XZ34" s="98"/>
      <c r="YA34" s="98"/>
      <c r="YB34" s="98"/>
      <c r="YC34" s="98"/>
      <c r="YD34" s="98"/>
      <c r="YE34" s="98"/>
      <c r="YF34" s="98"/>
      <c r="YG34" s="98"/>
      <c r="YH34" s="98"/>
      <c r="YI34" s="98"/>
      <c r="YJ34" s="98"/>
      <c r="YK34" s="98"/>
      <c r="YL34" s="98"/>
      <c r="YM34" s="98"/>
      <c r="YN34" s="98"/>
      <c r="YO34" s="98"/>
      <c r="YP34" s="98"/>
      <c r="YQ34" s="98"/>
      <c r="YR34" s="98"/>
      <c r="YS34" s="98"/>
      <c r="YT34" s="98"/>
      <c r="YU34" s="98"/>
      <c r="YV34" s="98"/>
      <c r="YW34" s="98"/>
      <c r="YX34" s="98"/>
      <c r="YY34" s="98"/>
      <c r="YZ34" s="98"/>
      <c r="ZA34" s="98"/>
      <c r="ZB34" s="98"/>
      <c r="ZC34" s="98"/>
      <c r="ZD34" s="98"/>
      <c r="ZE34" s="98"/>
      <c r="ZF34" s="98"/>
      <c r="ZG34" s="98"/>
      <c r="ZH34" s="98"/>
      <c r="ZI34" s="98"/>
      <c r="ZJ34" s="98"/>
      <c r="ZK34" s="98"/>
      <c r="ZL34" s="98"/>
      <c r="ZM34" s="98"/>
      <c r="ZN34" s="98"/>
      <c r="ZO34" s="98"/>
      <c r="ZP34" s="98"/>
      <c r="ZQ34" s="98"/>
      <c r="ZR34" s="98"/>
      <c r="ZS34" s="98"/>
      <c r="ZT34" s="98"/>
      <c r="ZU34" s="98"/>
      <c r="ZV34" s="98"/>
      <c r="ZW34" s="98"/>
      <c r="ZX34" s="98"/>
      <c r="ZY34" s="98"/>
      <c r="ZZ34" s="98"/>
      <c r="AAA34" s="98"/>
      <c r="AAB34" s="98"/>
      <c r="AAC34" s="98"/>
      <c r="AAD34" s="98"/>
      <c r="AAE34" s="98"/>
      <c r="AAF34" s="98"/>
      <c r="AAG34" s="98"/>
      <c r="AAH34" s="98"/>
      <c r="AAI34" s="98"/>
      <c r="AAJ34" s="98"/>
      <c r="AAK34" s="98"/>
      <c r="AAL34" s="98"/>
      <c r="AAM34" s="98"/>
      <c r="AAN34" s="98"/>
      <c r="AAO34" s="98"/>
      <c r="AAP34" s="98"/>
      <c r="AAQ34" s="98"/>
      <c r="AAR34" s="98"/>
      <c r="AAS34" s="98"/>
      <c r="AAT34" s="98"/>
      <c r="AAU34" s="98"/>
      <c r="AAV34" s="98"/>
      <c r="AAW34" s="98"/>
      <c r="AAX34" s="98"/>
      <c r="AAY34" s="98"/>
      <c r="AAZ34" s="98"/>
      <c r="ABA34" s="98"/>
      <c r="ABB34" s="98"/>
      <c r="ABC34" s="98"/>
      <c r="ABD34" s="98"/>
      <c r="ABE34" s="98"/>
      <c r="ABF34" s="98"/>
      <c r="ABG34" s="98"/>
      <c r="ABH34" s="98"/>
      <c r="ABI34" s="98"/>
      <c r="ABJ34" s="98"/>
      <c r="ABK34" s="98"/>
      <c r="ABL34" s="98"/>
      <c r="ABM34" s="98"/>
      <c r="ABN34" s="98"/>
      <c r="ABO34" s="98"/>
      <c r="ABP34" s="98"/>
      <c r="ABQ34" s="98"/>
      <c r="ABR34" s="98"/>
      <c r="ABS34" s="98"/>
      <c r="ABT34" s="98"/>
      <c r="ABU34" s="98"/>
      <c r="ABV34" s="98"/>
      <c r="ABW34" s="98"/>
      <c r="ABX34" s="98"/>
      <c r="ABY34" s="98"/>
      <c r="ABZ34" s="98"/>
      <c r="ACA34" s="98"/>
      <c r="ACB34" s="98"/>
      <c r="ACC34" s="98"/>
      <c r="ACD34" s="98"/>
      <c r="ACE34" s="98"/>
      <c r="ACF34" s="98"/>
      <c r="ACG34" s="98"/>
      <c r="ACH34" s="98"/>
      <c r="ACI34" s="98"/>
      <c r="ACJ34" s="98"/>
      <c r="ACK34" s="98"/>
      <c r="ACL34" s="98"/>
      <c r="ACM34" s="98"/>
      <c r="ACN34" s="98"/>
      <c r="ACO34" s="98"/>
      <c r="ACP34" s="98"/>
      <c r="ACQ34" s="98"/>
      <c r="ACR34" s="98"/>
      <c r="ACS34" s="98"/>
      <c r="ACT34" s="98"/>
      <c r="ACU34" s="98"/>
      <c r="ACV34" s="98"/>
      <c r="ACW34" s="98"/>
      <c r="ACX34" s="98"/>
      <c r="ACY34" s="98"/>
      <c r="ACZ34" s="98"/>
      <c r="ADA34" s="98"/>
      <c r="ADB34" s="98"/>
      <c r="ADC34" s="98"/>
      <c r="ADD34" s="98"/>
      <c r="ADE34" s="98"/>
      <c r="ADF34" s="98"/>
      <c r="ADG34" s="98"/>
      <c r="ADH34" s="98"/>
      <c r="ADI34" s="98"/>
      <c r="ADJ34" s="98"/>
      <c r="ADK34" s="98"/>
      <c r="ADL34" s="98"/>
      <c r="ADM34" s="98"/>
      <c r="ADN34" s="98"/>
      <c r="ADO34" s="98"/>
      <c r="ADP34" s="98"/>
      <c r="ADQ34" s="98"/>
      <c r="ADR34" s="98"/>
      <c r="ADS34" s="98"/>
      <c r="ADT34" s="98"/>
      <c r="ADU34" s="98"/>
      <c r="ADV34" s="98"/>
      <c r="ADW34" s="98"/>
      <c r="ADX34" s="98"/>
      <c r="ADY34" s="98"/>
      <c r="ADZ34" s="98"/>
      <c r="AEA34" s="98"/>
      <c r="AEB34" s="98"/>
      <c r="AEC34" s="98"/>
      <c r="AED34" s="98"/>
      <c r="AEE34" s="98"/>
      <c r="AEF34" s="98"/>
      <c r="AEG34" s="98"/>
      <c r="AEH34" s="98"/>
      <c r="AEI34" s="98"/>
      <c r="AEJ34" s="98"/>
      <c r="AEK34" s="98"/>
      <c r="AEL34" s="98"/>
      <c r="AEM34" s="98"/>
      <c r="AEN34" s="98"/>
      <c r="AEO34" s="98"/>
      <c r="AEP34" s="98"/>
      <c r="AEQ34" s="98"/>
      <c r="AER34" s="98"/>
      <c r="AES34" s="98"/>
      <c r="AET34" s="98"/>
      <c r="AEU34" s="98"/>
      <c r="AEV34" s="98"/>
      <c r="AEW34" s="98"/>
      <c r="AEX34" s="98"/>
      <c r="AEY34" s="98"/>
      <c r="AEZ34" s="98"/>
      <c r="AFA34" s="98"/>
      <c r="AFB34" s="98"/>
      <c r="AFC34" s="98"/>
      <c r="AFD34" s="98"/>
      <c r="AFE34" s="98"/>
      <c r="AFF34" s="98"/>
      <c r="AFG34" s="98"/>
      <c r="AFH34" s="98"/>
      <c r="AFI34" s="98"/>
      <c r="AFJ34" s="98"/>
      <c r="AFK34" s="98"/>
      <c r="AFL34" s="98"/>
      <c r="AFM34" s="98"/>
      <c r="AFN34" s="98"/>
      <c r="AFO34" s="98"/>
      <c r="AFP34" s="98"/>
      <c r="AFQ34" s="98"/>
      <c r="AFR34" s="98"/>
      <c r="AFS34" s="98"/>
      <c r="AFT34" s="98"/>
      <c r="AFU34" s="98"/>
      <c r="AFV34" s="98"/>
      <c r="AFW34" s="98"/>
      <c r="AFX34" s="98"/>
      <c r="AFY34" s="98"/>
      <c r="AFZ34" s="98"/>
      <c r="AGA34" s="98"/>
      <c r="AGB34" s="98"/>
      <c r="AGC34" s="98"/>
      <c r="AGD34" s="98"/>
      <c r="AGE34" s="98"/>
      <c r="AGF34" s="98"/>
      <c r="AGG34" s="98"/>
      <c r="AGH34" s="98"/>
      <c r="AGI34" s="98"/>
      <c r="AGJ34" s="98"/>
      <c r="AGK34" s="98"/>
      <c r="AGL34" s="98"/>
      <c r="AGM34" s="98"/>
      <c r="AGN34" s="98"/>
      <c r="AGO34" s="98"/>
      <c r="AGP34" s="98"/>
      <c r="AGQ34" s="98"/>
      <c r="AGR34" s="98"/>
      <c r="AGS34" s="98"/>
      <c r="AGT34" s="98"/>
      <c r="AGU34" s="98"/>
      <c r="AGV34" s="98"/>
      <c r="AGW34" s="98"/>
      <c r="AGX34" s="98"/>
      <c r="AGY34" s="98"/>
      <c r="AGZ34" s="98"/>
      <c r="AHA34" s="98"/>
      <c r="AHB34" s="98"/>
      <c r="AHC34" s="98"/>
      <c r="AHD34" s="98"/>
      <c r="AHE34" s="98"/>
      <c r="AHF34" s="98"/>
      <c r="AHG34" s="98"/>
      <c r="AHH34" s="98"/>
      <c r="AHI34" s="98"/>
      <c r="AHJ34" s="98"/>
      <c r="AHK34" s="98"/>
      <c r="AHL34" s="98"/>
      <c r="AHM34" s="98"/>
      <c r="AHN34" s="98"/>
      <c r="AHO34" s="98"/>
      <c r="AHP34" s="98"/>
      <c r="AHQ34" s="98"/>
      <c r="AHR34" s="98"/>
      <c r="AHS34" s="98"/>
      <c r="AHT34" s="98"/>
      <c r="AHU34" s="98"/>
      <c r="AHV34" s="98"/>
      <c r="AHW34" s="98"/>
      <c r="AHX34" s="98"/>
      <c r="AHY34" s="98"/>
      <c r="AHZ34" s="98"/>
      <c r="AIA34" s="98"/>
      <c r="AIB34" s="98"/>
      <c r="AIC34" s="98"/>
      <c r="AID34" s="98"/>
      <c r="AIE34" s="98"/>
      <c r="AIF34" s="98"/>
      <c r="AIG34" s="98"/>
      <c r="AIH34" s="98"/>
      <c r="AII34" s="98"/>
      <c r="AIJ34" s="98"/>
      <c r="AIK34" s="98"/>
      <c r="AIL34" s="98"/>
      <c r="AIM34" s="98"/>
      <c r="AIN34" s="98"/>
      <c r="AIO34" s="98"/>
      <c r="AIP34" s="98"/>
      <c r="AIQ34" s="98"/>
      <c r="AIR34" s="98"/>
      <c r="AIS34" s="98"/>
      <c r="AIT34" s="98"/>
      <c r="AIU34" s="98"/>
      <c r="AIV34" s="98"/>
      <c r="AIW34" s="98"/>
      <c r="AIX34" s="98"/>
      <c r="AIY34" s="98"/>
      <c r="AIZ34" s="98"/>
      <c r="AJA34" s="98"/>
      <c r="AJB34" s="98"/>
      <c r="AJC34" s="98"/>
      <c r="AJD34" s="98"/>
      <c r="AJE34" s="98"/>
      <c r="AJF34" s="98"/>
      <c r="AJG34" s="98"/>
      <c r="AJH34" s="98"/>
      <c r="AJI34" s="98"/>
      <c r="AJJ34" s="98"/>
      <c r="AJK34" s="98"/>
      <c r="AJL34" s="98"/>
      <c r="AJM34" s="98"/>
      <c r="AJN34" s="98"/>
      <c r="AJO34" s="98"/>
      <c r="AJP34" s="98"/>
      <c r="AJQ34" s="98"/>
      <c r="AJR34" s="98"/>
      <c r="AJS34" s="98"/>
      <c r="AJT34" s="98"/>
      <c r="AJU34" s="98"/>
      <c r="AJV34" s="98"/>
      <c r="AJW34" s="98"/>
      <c r="AJX34" s="98"/>
      <c r="AJY34" s="98"/>
      <c r="AJZ34" s="98"/>
      <c r="AKA34" s="98"/>
      <c r="AKB34" s="98"/>
      <c r="AKC34" s="98"/>
      <c r="AKD34" s="98"/>
      <c r="AKE34" s="98"/>
      <c r="AKF34" s="98"/>
      <c r="AKG34" s="98"/>
      <c r="AKH34" s="98"/>
      <c r="AKI34" s="98"/>
      <c r="AKJ34" s="98"/>
      <c r="AKK34" s="98"/>
      <c r="AKL34" s="98"/>
      <c r="AKM34" s="98"/>
      <c r="AKN34" s="98"/>
      <c r="AKO34" s="98"/>
      <c r="AKP34" s="98"/>
      <c r="AKQ34" s="98"/>
      <c r="AKR34" s="98"/>
      <c r="AKS34" s="98"/>
      <c r="AKT34" s="98"/>
      <c r="AKU34" s="98"/>
      <c r="AKV34" s="98"/>
      <c r="AKW34" s="98"/>
      <c r="AKX34" s="98"/>
      <c r="AKY34" s="98"/>
      <c r="AKZ34" s="98"/>
      <c r="ALA34" s="98"/>
      <c r="ALB34" s="98"/>
      <c r="ALC34" s="98"/>
      <c r="ALD34" s="98"/>
      <c r="ALE34" s="98"/>
      <c r="ALF34" s="98"/>
      <c r="ALG34" s="98"/>
      <c r="ALH34" s="98"/>
      <c r="ALI34" s="98"/>
      <c r="ALJ34" s="98"/>
      <c r="ALK34" s="98"/>
      <c r="ALL34" s="98"/>
      <c r="ALM34" s="98"/>
      <c r="ALN34" s="98"/>
      <c r="ALO34" s="98"/>
      <c r="ALP34" s="98"/>
      <c r="ALQ34" s="98"/>
      <c r="ALR34" s="98"/>
      <c r="ALS34" s="98"/>
      <c r="ALT34" s="98"/>
      <c r="ALU34" s="98"/>
      <c r="ALV34" s="98"/>
      <c r="ALW34" s="98"/>
      <c r="ALX34" s="98"/>
      <c r="ALY34" s="98"/>
      <c r="ALZ34" s="98"/>
      <c r="AMA34" s="98"/>
      <c r="AMB34" s="98"/>
      <c r="AMC34" s="98"/>
      <c r="AMD34" s="98"/>
      <c r="AME34" s="98"/>
      <c r="AMF34" s="98"/>
      <c r="AMG34" s="98"/>
      <c r="AMH34" s="98"/>
      <c r="AMI34" s="98"/>
      <c r="AMJ34" s="98"/>
      <c r="AMK34" s="98"/>
      <c r="AML34" s="98"/>
      <c r="AMM34" s="98"/>
      <c r="AMN34" s="98"/>
      <c r="AMO34" s="98"/>
      <c r="AMP34" s="98"/>
      <c r="AMQ34" s="98"/>
      <c r="AMR34" s="98"/>
      <c r="AMS34" s="98"/>
      <c r="AMT34" s="98"/>
      <c r="AMU34" s="98"/>
      <c r="AMV34" s="98"/>
      <c r="AMW34" s="98"/>
      <c r="AMX34" s="98"/>
      <c r="AMY34" s="98"/>
      <c r="AMZ34" s="98"/>
      <c r="ANA34" s="98"/>
      <c r="ANB34" s="98"/>
      <c r="ANC34" s="98"/>
      <c r="AND34" s="98"/>
      <c r="ANE34" s="98"/>
      <c r="ANF34" s="98"/>
      <c r="ANG34" s="98"/>
      <c r="ANH34" s="98"/>
      <c r="ANI34" s="98"/>
      <c r="ANJ34" s="98"/>
      <c r="ANK34" s="98"/>
      <c r="ANL34" s="98"/>
      <c r="ANM34" s="98"/>
      <c r="ANN34" s="98"/>
      <c r="ANO34" s="98"/>
      <c r="ANP34" s="98"/>
      <c r="ANQ34" s="98"/>
      <c r="ANR34" s="98"/>
      <c r="ANS34" s="98"/>
      <c r="ANT34" s="98"/>
      <c r="ANU34" s="98"/>
      <c r="ANV34" s="98"/>
      <c r="ANW34" s="98"/>
      <c r="ANX34" s="98"/>
      <c r="ANY34" s="98"/>
      <c r="ANZ34" s="98"/>
      <c r="AOA34" s="98"/>
      <c r="AOB34" s="98"/>
      <c r="AOC34" s="98"/>
      <c r="AOD34" s="98"/>
      <c r="AOE34" s="98"/>
      <c r="AOF34" s="98"/>
      <c r="AOG34" s="98"/>
      <c r="AOH34" s="98"/>
      <c r="AOI34" s="98"/>
      <c r="AOJ34" s="98"/>
      <c r="AOK34" s="98"/>
      <c r="AOL34" s="98"/>
      <c r="AOM34" s="98"/>
      <c r="AON34" s="98"/>
      <c r="AOO34" s="98"/>
      <c r="AOP34" s="98"/>
      <c r="AOQ34" s="98"/>
      <c r="AOR34" s="98"/>
      <c r="AOS34" s="98"/>
      <c r="AOT34" s="98"/>
      <c r="AOU34" s="98"/>
      <c r="AOV34" s="98"/>
      <c r="AOW34" s="98"/>
      <c r="AOX34" s="98"/>
      <c r="AOY34" s="98"/>
      <c r="AOZ34" s="98"/>
      <c r="APA34" s="98"/>
      <c r="APB34" s="98"/>
      <c r="APC34" s="98"/>
      <c r="APD34" s="98"/>
      <c r="APE34" s="98"/>
      <c r="APF34" s="98"/>
      <c r="APG34" s="98"/>
      <c r="APH34" s="98"/>
      <c r="API34" s="98"/>
      <c r="APJ34" s="98"/>
      <c r="APK34" s="98"/>
      <c r="APL34" s="98"/>
      <c r="APM34" s="98"/>
      <c r="APN34" s="98"/>
      <c r="APO34" s="98"/>
      <c r="APP34" s="98"/>
      <c r="APQ34" s="98"/>
      <c r="APR34" s="98"/>
      <c r="APS34" s="98"/>
      <c r="APT34" s="98"/>
      <c r="APU34" s="98"/>
      <c r="APV34" s="98"/>
      <c r="APW34" s="98"/>
      <c r="APX34" s="98"/>
      <c r="APY34" s="98"/>
      <c r="APZ34" s="98"/>
      <c r="AQA34" s="98"/>
      <c r="AQB34" s="98"/>
      <c r="AQC34" s="98"/>
      <c r="AQD34" s="98"/>
      <c r="AQE34" s="98"/>
      <c r="AQF34" s="98"/>
      <c r="AQG34" s="98"/>
      <c r="AQH34" s="98"/>
      <c r="AQI34" s="98"/>
      <c r="AQJ34" s="98"/>
      <c r="AQK34" s="98"/>
      <c r="AQL34" s="98"/>
      <c r="AQM34" s="98"/>
      <c r="AQN34" s="98"/>
      <c r="AQO34" s="98"/>
      <c r="AQP34" s="98"/>
      <c r="AQQ34" s="98"/>
      <c r="AQR34" s="98"/>
      <c r="AQS34" s="98"/>
      <c r="AQT34" s="98"/>
      <c r="AQU34" s="98"/>
      <c r="AQV34" s="98"/>
      <c r="AQW34" s="98"/>
      <c r="AQX34" s="98"/>
      <c r="AQY34" s="98"/>
      <c r="AQZ34" s="98"/>
      <c r="ARA34" s="98"/>
      <c r="ARB34" s="98"/>
      <c r="ARC34" s="98"/>
      <c r="ARD34" s="98"/>
      <c r="ARE34" s="98"/>
      <c r="ARF34" s="98"/>
      <c r="ARG34" s="98"/>
      <c r="ARH34" s="98"/>
      <c r="ARI34" s="98"/>
      <c r="ARJ34" s="98"/>
      <c r="ARK34" s="98"/>
      <c r="ARL34" s="98"/>
      <c r="ARM34" s="98"/>
      <c r="ARN34" s="98"/>
      <c r="ARO34" s="98"/>
      <c r="ARP34" s="98"/>
      <c r="ARQ34" s="98"/>
      <c r="ARR34" s="98"/>
    </row>
    <row r="35" spans="1:1162" s="174" customFormat="1">
      <c r="A35" s="140" t="s">
        <v>107</v>
      </c>
      <c r="B35" s="119" t="s">
        <v>67</v>
      </c>
      <c r="C35" s="175"/>
      <c r="D35" s="175"/>
      <c r="E35" s="175"/>
      <c r="F35" s="175"/>
      <c r="G35" s="175"/>
      <c r="H35" s="175"/>
      <c r="I35" s="175"/>
      <c r="J35" s="175"/>
      <c r="K35" s="175"/>
      <c r="L35" s="175"/>
      <c r="M35" s="175"/>
      <c r="N35" s="175"/>
      <c r="O35" s="175"/>
      <c r="P35" s="175"/>
      <c r="Q35" s="175"/>
      <c r="R35" s="175"/>
      <c r="S35" s="175"/>
      <c r="T35" s="175"/>
      <c r="U35" s="197"/>
      <c r="V35" s="197"/>
      <c r="W35" s="197"/>
      <c r="X35" s="197"/>
      <c r="Y35" s="197"/>
      <c r="Z35" s="197"/>
      <c r="AA35" s="209"/>
      <c r="AB35" s="209"/>
      <c r="AC35" s="175"/>
      <c r="AD35" s="175"/>
      <c r="AE35" s="175"/>
      <c r="AF35" s="175"/>
      <c r="AG35" s="209"/>
      <c r="AH35" s="209"/>
      <c r="AI35" s="209"/>
      <c r="AJ35" s="209"/>
      <c r="AK35" s="201"/>
      <c r="AL35" s="201"/>
      <c r="AM35" s="176"/>
      <c r="AN35" s="176"/>
      <c r="AO35" s="201"/>
      <c r="AP35" s="201"/>
      <c r="AQ35" s="201"/>
      <c r="AR35" s="201"/>
      <c r="AS35" s="201"/>
      <c r="AT35" s="201"/>
      <c r="AU35" s="209"/>
      <c r="AV35" s="209"/>
      <c r="AW35" s="175"/>
      <c r="AX35" s="175"/>
      <c r="AY35" s="175"/>
      <c r="AZ35" s="175"/>
      <c r="BA35" s="178"/>
      <c r="BB35" s="175"/>
      <c r="BC35" s="178"/>
      <c r="BD35" s="175"/>
      <c r="BE35" s="178"/>
      <c r="BF35" s="175"/>
      <c r="BG35" s="178"/>
      <c r="BH35" s="175"/>
      <c r="BI35" s="178"/>
      <c r="BJ35" s="98"/>
      <c r="BK35" s="11"/>
      <c r="BL35" s="148"/>
      <c r="BM35" s="14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c r="KT35" s="98"/>
      <c r="KU35" s="98"/>
      <c r="KV35" s="98"/>
      <c r="KW35" s="98"/>
      <c r="KX35" s="98"/>
      <c r="KY35" s="98"/>
      <c r="KZ35" s="98"/>
      <c r="LA35" s="98"/>
      <c r="LB35" s="98"/>
      <c r="LC35" s="98"/>
      <c r="LD35" s="98"/>
      <c r="LE35" s="98"/>
      <c r="LF35" s="98"/>
      <c r="LG35" s="98"/>
      <c r="LH35" s="98"/>
      <c r="LI35" s="98"/>
      <c r="LJ35" s="98"/>
      <c r="LK35" s="98"/>
      <c r="LL35" s="98"/>
      <c r="LM35" s="98"/>
      <c r="LN35" s="98"/>
      <c r="LO35" s="98"/>
      <c r="LP35" s="98"/>
      <c r="LQ35" s="98"/>
      <c r="LR35" s="98"/>
      <c r="LS35" s="98"/>
      <c r="LT35" s="98"/>
      <c r="LU35" s="98"/>
      <c r="LV35" s="98"/>
      <c r="LW35" s="98"/>
      <c r="LX35" s="98"/>
      <c r="LY35" s="98"/>
      <c r="LZ35" s="98"/>
      <c r="MA35" s="98"/>
      <c r="MB35" s="98"/>
      <c r="MC35" s="98"/>
      <c r="MD35" s="98"/>
      <c r="ME35" s="98"/>
      <c r="MF35" s="98"/>
      <c r="MG35" s="98"/>
      <c r="MH35" s="98"/>
      <c r="MI35" s="98"/>
      <c r="MJ35" s="98"/>
      <c r="MK35" s="98"/>
      <c r="ML35" s="98"/>
      <c r="MM35" s="98"/>
      <c r="MN35" s="98"/>
      <c r="MO35" s="98"/>
      <c r="MP35" s="98"/>
      <c r="MQ35" s="98"/>
      <c r="MR35" s="98"/>
      <c r="MS35" s="98"/>
      <c r="MT35" s="98"/>
      <c r="MU35" s="98"/>
      <c r="MV35" s="98"/>
      <c r="MW35" s="98"/>
      <c r="MX35" s="98"/>
      <c r="MY35" s="98"/>
      <c r="MZ35" s="98"/>
      <c r="NA35" s="98"/>
      <c r="NB35" s="98"/>
      <c r="NC35" s="98"/>
      <c r="ND35" s="98"/>
      <c r="NE35" s="98"/>
      <c r="NF35" s="98"/>
      <c r="NG35" s="98"/>
      <c r="NH35" s="98"/>
      <c r="NI35" s="98"/>
      <c r="NJ35" s="98"/>
      <c r="NK35" s="98"/>
      <c r="NL35" s="98"/>
      <c r="NM35" s="98"/>
      <c r="NN35" s="98"/>
      <c r="NO35" s="98"/>
      <c r="NP35" s="98"/>
      <c r="NQ35" s="98"/>
      <c r="NR35" s="98"/>
      <c r="NS35" s="98"/>
      <c r="NT35" s="98"/>
      <c r="NU35" s="98"/>
      <c r="NV35" s="98"/>
      <c r="NW35" s="98"/>
      <c r="NX35" s="98"/>
      <c r="NY35" s="98"/>
      <c r="NZ35" s="98"/>
      <c r="OA35" s="98"/>
      <c r="OB35" s="98"/>
      <c r="OC35" s="98"/>
      <c r="OD35" s="98"/>
      <c r="OE35" s="98"/>
      <c r="OF35" s="98"/>
      <c r="OG35" s="98"/>
      <c r="OH35" s="98"/>
      <c r="OI35" s="98"/>
      <c r="OJ35" s="98"/>
      <c r="OK35" s="98"/>
      <c r="OL35" s="98"/>
      <c r="OM35" s="98"/>
      <c r="ON35" s="98"/>
      <c r="OO35" s="98"/>
      <c r="OP35" s="98"/>
      <c r="OQ35" s="98"/>
      <c r="OR35" s="98"/>
      <c r="OS35" s="98"/>
      <c r="OT35" s="98"/>
      <c r="OU35" s="98"/>
      <c r="OV35" s="98"/>
      <c r="OW35" s="98"/>
      <c r="OX35" s="98"/>
      <c r="OY35" s="98"/>
      <c r="OZ35" s="98"/>
      <c r="PA35" s="98"/>
      <c r="PB35" s="98"/>
      <c r="PC35" s="98"/>
      <c r="PD35" s="98"/>
      <c r="PE35" s="98"/>
      <c r="PF35" s="98"/>
      <c r="PG35" s="98"/>
      <c r="PH35" s="98"/>
      <c r="PI35" s="98"/>
      <c r="PJ35" s="98"/>
      <c r="PK35" s="98"/>
      <c r="PL35" s="98"/>
      <c r="PM35" s="98"/>
      <c r="PN35" s="98"/>
      <c r="PO35" s="98"/>
      <c r="PP35" s="98"/>
      <c r="PQ35" s="98"/>
      <c r="PR35" s="98"/>
      <c r="PS35" s="98"/>
      <c r="PT35" s="98"/>
      <c r="PU35" s="98"/>
      <c r="PV35" s="98"/>
      <c r="PW35" s="98"/>
      <c r="PX35" s="98"/>
      <c r="PY35" s="98"/>
      <c r="PZ35" s="98"/>
      <c r="QA35" s="98"/>
      <c r="QB35" s="98"/>
      <c r="QC35" s="98"/>
      <c r="QD35" s="98"/>
      <c r="QE35" s="98"/>
      <c r="QF35" s="98"/>
      <c r="QG35" s="98"/>
      <c r="QH35" s="98"/>
      <c r="QI35" s="98"/>
      <c r="QJ35" s="98"/>
      <c r="QK35" s="98"/>
      <c r="QL35" s="98"/>
      <c r="QM35" s="98"/>
      <c r="QN35" s="98"/>
      <c r="QO35" s="98"/>
      <c r="QP35" s="98"/>
      <c r="QQ35" s="98"/>
      <c r="QR35" s="98"/>
      <c r="QS35" s="98"/>
      <c r="QT35" s="98"/>
      <c r="QU35" s="98"/>
      <c r="QV35" s="98"/>
      <c r="QW35" s="98"/>
      <c r="QX35" s="98"/>
      <c r="QY35" s="98"/>
      <c r="QZ35" s="98"/>
      <c r="RA35" s="98"/>
      <c r="RB35" s="98"/>
      <c r="RC35" s="98"/>
      <c r="RD35" s="98"/>
      <c r="RE35" s="98"/>
      <c r="RF35" s="98"/>
      <c r="RG35" s="98"/>
      <c r="RH35" s="98"/>
      <c r="RI35" s="98"/>
      <c r="RJ35" s="98"/>
      <c r="RK35" s="98"/>
      <c r="RL35" s="98"/>
      <c r="RM35" s="98"/>
      <c r="RN35" s="98"/>
      <c r="RO35" s="98"/>
      <c r="RP35" s="98"/>
      <c r="RQ35" s="98"/>
      <c r="RR35" s="98"/>
      <c r="RS35" s="98"/>
      <c r="RT35" s="98"/>
      <c r="RU35" s="98"/>
      <c r="RV35" s="98"/>
      <c r="RW35" s="98"/>
      <c r="RX35" s="98"/>
      <c r="RY35" s="98"/>
      <c r="RZ35" s="98"/>
      <c r="SA35" s="98"/>
      <c r="SB35" s="98"/>
      <c r="SC35" s="98"/>
      <c r="SD35" s="98"/>
      <c r="SE35" s="98"/>
      <c r="SF35" s="98"/>
      <c r="SG35" s="98"/>
      <c r="SH35" s="98"/>
      <c r="SI35" s="98"/>
      <c r="SJ35" s="98"/>
      <c r="SK35" s="98"/>
      <c r="SL35" s="98"/>
      <c r="SM35" s="98"/>
      <c r="SN35" s="98"/>
      <c r="SO35" s="98"/>
      <c r="SP35" s="98"/>
      <c r="SQ35" s="98"/>
      <c r="SR35" s="98"/>
      <c r="SS35" s="98"/>
      <c r="ST35" s="98"/>
      <c r="SU35" s="98"/>
      <c r="SV35" s="98"/>
      <c r="SW35" s="98"/>
      <c r="SX35" s="98"/>
      <c r="SY35" s="98"/>
      <c r="SZ35" s="98"/>
      <c r="TA35" s="98"/>
      <c r="TB35" s="98"/>
      <c r="TC35" s="98"/>
      <c r="TD35" s="98"/>
      <c r="TE35" s="98"/>
      <c r="TF35" s="98"/>
      <c r="TG35" s="98"/>
      <c r="TH35" s="98"/>
      <c r="TI35" s="98"/>
      <c r="TJ35" s="98"/>
      <c r="TK35" s="98"/>
      <c r="TL35" s="98"/>
      <c r="TM35" s="98"/>
      <c r="TN35" s="98"/>
      <c r="TO35" s="98"/>
      <c r="TP35" s="98"/>
      <c r="TQ35" s="98"/>
      <c r="TR35" s="98"/>
      <c r="TS35" s="98"/>
      <c r="TT35" s="98"/>
      <c r="TU35" s="98"/>
      <c r="TV35" s="98"/>
      <c r="TW35" s="98"/>
      <c r="TX35" s="98"/>
      <c r="TY35" s="98"/>
      <c r="TZ35" s="98"/>
      <c r="UA35" s="98"/>
      <c r="UB35" s="98"/>
      <c r="UC35" s="98"/>
      <c r="UD35" s="98"/>
      <c r="UE35" s="98"/>
      <c r="UF35" s="98"/>
      <c r="UG35" s="98"/>
      <c r="UH35" s="98"/>
      <c r="UI35" s="98"/>
      <c r="UJ35" s="98"/>
      <c r="UK35" s="98"/>
      <c r="UL35" s="98"/>
      <c r="UM35" s="98"/>
      <c r="UN35" s="98"/>
      <c r="UO35" s="98"/>
      <c r="UP35" s="98"/>
      <c r="UQ35" s="98"/>
      <c r="UR35" s="98"/>
      <c r="US35" s="98"/>
      <c r="UT35" s="98"/>
      <c r="UU35" s="98"/>
      <c r="UV35" s="98"/>
      <c r="UW35" s="98"/>
      <c r="UX35" s="98"/>
      <c r="UY35" s="98"/>
      <c r="UZ35" s="98"/>
      <c r="VA35" s="98"/>
      <c r="VB35" s="98"/>
      <c r="VC35" s="98"/>
      <c r="VD35" s="98"/>
      <c r="VE35" s="98"/>
      <c r="VF35" s="98"/>
      <c r="VG35" s="98"/>
      <c r="VH35" s="98"/>
      <c r="VI35" s="98"/>
      <c r="VJ35" s="98"/>
      <c r="VK35" s="98"/>
      <c r="VL35" s="98"/>
      <c r="VM35" s="98"/>
      <c r="VN35" s="98"/>
      <c r="VO35" s="98"/>
      <c r="VP35" s="98"/>
      <c r="VQ35" s="98"/>
      <c r="VR35" s="98"/>
      <c r="VS35" s="98"/>
      <c r="VT35" s="98"/>
      <c r="VU35" s="98"/>
      <c r="VV35" s="98"/>
      <c r="VW35" s="98"/>
      <c r="VX35" s="98"/>
      <c r="VY35" s="98"/>
      <c r="VZ35" s="98"/>
      <c r="WA35" s="98"/>
      <c r="WB35" s="98"/>
      <c r="WC35" s="98"/>
      <c r="WD35" s="98"/>
      <c r="WE35" s="98"/>
      <c r="WF35" s="98"/>
      <c r="WG35" s="98"/>
      <c r="WH35" s="98"/>
      <c r="WI35" s="98"/>
      <c r="WJ35" s="98"/>
      <c r="WK35" s="98"/>
      <c r="WL35" s="98"/>
      <c r="WM35" s="98"/>
      <c r="WN35" s="98"/>
      <c r="WO35" s="98"/>
      <c r="WP35" s="98"/>
      <c r="WQ35" s="98"/>
      <c r="WR35" s="98"/>
      <c r="WS35" s="98"/>
      <c r="WT35" s="98"/>
      <c r="WU35" s="98"/>
      <c r="WV35" s="98"/>
      <c r="WW35" s="98"/>
      <c r="WX35" s="98"/>
      <c r="WY35" s="98"/>
      <c r="WZ35" s="98"/>
      <c r="XA35" s="98"/>
      <c r="XB35" s="98"/>
      <c r="XC35" s="98"/>
      <c r="XD35" s="98"/>
      <c r="XE35" s="98"/>
      <c r="XF35" s="98"/>
      <c r="XG35" s="98"/>
      <c r="XH35" s="98"/>
      <c r="XI35" s="98"/>
      <c r="XJ35" s="98"/>
      <c r="XK35" s="98"/>
      <c r="XL35" s="98"/>
      <c r="XM35" s="98"/>
      <c r="XN35" s="98"/>
      <c r="XO35" s="98"/>
      <c r="XP35" s="98"/>
      <c r="XQ35" s="98"/>
      <c r="XR35" s="98"/>
      <c r="XS35" s="98"/>
      <c r="XT35" s="98"/>
      <c r="XU35" s="98"/>
      <c r="XV35" s="98"/>
      <c r="XW35" s="98"/>
      <c r="XX35" s="98"/>
      <c r="XY35" s="98"/>
      <c r="XZ35" s="98"/>
      <c r="YA35" s="98"/>
      <c r="YB35" s="98"/>
      <c r="YC35" s="98"/>
      <c r="YD35" s="98"/>
      <c r="YE35" s="98"/>
      <c r="YF35" s="98"/>
      <c r="YG35" s="98"/>
      <c r="YH35" s="98"/>
      <c r="YI35" s="98"/>
      <c r="YJ35" s="98"/>
      <c r="YK35" s="98"/>
      <c r="YL35" s="98"/>
      <c r="YM35" s="98"/>
      <c r="YN35" s="98"/>
      <c r="YO35" s="98"/>
      <c r="YP35" s="98"/>
      <c r="YQ35" s="98"/>
      <c r="YR35" s="98"/>
      <c r="YS35" s="98"/>
      <c r="YT35" s="98"/>
      <c r="YU35" s="98"/>
      <c r="YV35" s="98"/>
      <c r="YW35" s="98"/>
      <c r="YX35" s="98"/>
      <c r="YY35" s="98"/>
      <c r="YZ35" s="98"/>
      <c r="ZA35" s="98"/>
      <c r="ZB35" s="98"/>
      <c r="ZC35" s="98"/>
      <c r="ZD35" s="98"/>
      <c r="ZE35" s="98"/>
      <c r="ZF35" s="98"/>
      <c r="ZG35" s="98"/>
      <c r="ZH35" s="98"/>
      <c r="ZI35" s="98"/>
      <c r="ZJ35" s="98"/>
      <c r="ZK35" s="98"/>
      <c r="ZL35" s="98"/>
      <c r="ZM35" s="98"/>
      <c r="ZN35" s="98"/>
      <c r="ZO35" s="98"/>
      <c r="ZP35" s="98"/>
      <c r="ZQ35" s="98"/>
      <c r="ZR35" s="98"/>
      <c r="ZS35" s="98"/>
      <c r="ZT35" s="98"/>
      <c r="ZU35" s="98"/>
      <c r="ZV35" s="98"/>
      <c r="ZW35" s="98"/>
      <c r="ZX35" s="98"/>
      <c r="ZY35" s="98"/>
      <c r="ZZ35" s="98"/>
      <c r="AAA35" s="98"/>
      <c r="AAB35" s="98"/>
      <c r="AAC35" s="98"/>
      <c r="AAD35" s="98"/>
      <c r="AAE35" s="98"/>
      <c r="AAF35" s="98"/>
      <c r="AAG35" s="98"/>
      <c r="AAH35" s="98"/>
      <c r="AAI35" s="98"/>
      <c r="AAJ35" s="98"/>
      <c r="AAK35" s="98"/>
      <c r="AAL35" s="98"/>
      <c r="AAM35" s="98"/>
      <c r="AAN35" s="98"/>
      <c r="AAO35" s="98"/>
      <c r="AAP35" s="98"/>
      <c r="AAQ35" s="98"/>
      <c r="AAR35" s="98"/>
      <c r="AAS35" s="98"/>
      <c r="AAT35" s="98"/>
      <c r="AAU35" s="98"/>
      <c r="AAV35" s="98"/>
      <c r="AAW35" s="98"/>
      <c r="AAX35" s="98"/>
      <c r="AAY35" s="98"/>
      <c r="AAZ35" s="98"/>
      <c r="ABA35" s="98"/>
      <c r="ABB35" s="98"/>
      <c r="ABC35" s="98"/>
      <c r="ABD35" s="98"/>
      <c r="ABE35" s="98"/>
      <c r="ABF35" s="98"/>
      <c r="ABG35" s="98"/>
      <c r="ABH35" s="98"/>
      <c r="ABI35" s="98"/>
      <c r="ABJ35" s="98"/>
      <c r="ABK35" s="98"/>
      <c r="ABL35" s="98"/>
      <c r="ABM35" s="98"/>
      <c r="ABN35" s="98"/>
      <c r="ABO35" s="98"/>
      <c r="ABP35" s="98"/>
      <c r="ABQ35" s="98"/>
      <c r="ABR35" s="98"/>
      <c r="ABS35" s="98"/>
      <c r="ABT35" s="98"/>
      <c r="ABU35" s="98"/>
      <c r="ABV35" s="98"/>
      <c r="ABW35" s="98"/>
      <c r="ABX35" s="98"/>
      <c r="ABY35" s="98"/>
      <c r="ABZ35" s="98"/>
      <c r="ACA35" s="98"/>
      <c r="ACB35" s="98"/>
      <c r="ACC35" s="98"/>
      <c r="ACD35" s="98"/>
      <c r="ACE35" s="98"/>
      <c r="ACF35" s="98"/>
      <c r="ACG35" s="98"/>
      <c r="ACH35" s="98"/>
      <c r="ACI35" s="98"/>
      <c r="ACJ35" s="98"/>
      <c r="ACK35" s="98"/>
      <c r="ACL35" s="98"/>
      <c r="ACM35" s="98"/>
      <c r="ACN35" s="98"/>
      <c r="ACO35" s="98"/>
      <c r="ACP35" s="98"/>
      <c r="ACQ35" s="98"/>
      <c r="ACR35" s="98"/>
      <c r="ACS35" s="98"/>
      <c r="ACT35" s="98"/>
      <c r="ACU35" s="98"/>
      <c r="ACV35" s="98"/>
      <c r="ACW35" s="98"/>
      <c r="ACX35" s="98"/>
      <c r="ACY35" s="98"/>
      <c r="ACZ35" s="98"/>
      <c r="ADA35" s="98"/>
      <c r="ADB35" s="98"/>
      <c r="ADC35" s="98"/>
      <c r="ADD35" s="98"/>
      <c r="ADE35" s="98"/>
      <c r="ADF35" s="98"/>
      <c r="ADG35" s="98"/>
      <c r="ADH35" s="98"/>
      <c r="ADI35" s="98"/>
      <c r="ADJ35" s="98"/>
      <c r="ADK35" s="98"/>
      <c r="ADL35" s="98"/>
      <c r="ADM35" s="98"/>
      <c r="ADN35" s="98"/>
      <c r="ADO35" s="98"/>
      <c r="ADP35" s="98"/>
      <c r="ADQ35" s="98"/>
      <c r="ADR35" s="98"/>
      <c r="ADS35" s="98"/>
      <c r="ADT35" s="98"/>
      <c r="ADU35" s="98"/>
      <c r="ADV35" s="98"/>
      <c r="ADW35" s="98"/>
      <c r="ADX35" s="98"/>
      <c r="ADY35" s="98"/>
      <c r="ADZ35" s="98"/>
      <c r="AEA35" s="98"/>
      <c r="AEB35" s="98"/>
      <c r="AEC35" s="98"/>
      <c r="AED35" s="98"/>
      <c r="AEE35" s="98"/>
      <c r="AEF35" s="98"/>
      <c r="AEG35" s="98"/>
      <c r="AEH35" s="98"/>
      <c r="AEI35" s="98"/>
      <c r="AEJ35" s="98"/>
      <c r="AEK35" s="98"/>
      <c r="AEL35" s="98"/>
      <c r="AEM35" s="98"/>
      <c r="AEN35" s="98"/>
      <c r="AEO35" s="98"/>
      <c r="AEP35" s="98"/>
      <c r="AEQ35" s="98"/>
      <c r="AER35" s="98"/>
      <c r="AES35" s="98"/>
      <c r="AET35" s="98"/>
      <c r="AEU35" s="98"/>
      <c r="AEV35" s="98"/>
      <c r="AEW35" s="98"/>
      <c r="AEX35" s="98"/>
      <c r="AEY35" s="98"/>
      <c r="AEZ35" s="98"/>
      <c r="AFA35" s="98"/>
      <c r="AFB35" s="98"/>
      <c r="AFC35" s="98"/>
      <c r="AFD35" s="98"/>
      <c r="AFE35" s="98"/>
      <c r="AFF35" s="98"/>
      <c r="AFG35" s="98"/>
      <c r="AFH35" s="98"/>
      <c r="AFI35" s="98"/>
      <c r="AFJ35" s="98"/>
      <c r="AFK35" s="98"/>
      <c r="AFL35" s="98"/>
      <c r="AFM35" s="98"/>
      <c r="AFN35" s="98"/>
      <c r="AFO35" s="98"/>
      <c r="AFP35" s="98"/>
      <c r="AFQ35" s="98"/>
      <c r="AFR35" s="98"/>
      <c r="AFS35" s="98"/>
      <c r="AFT35" s="98"/>
      <c r="AFU35" s="98"/>
      <c r="AFV35" s="98"/>
      <c r="AFW35" s="98"/>
      <c r="AFX35" s="98"/>
      <c r="AFY35" s="98"/>
      <c r="AFZ35" s="98"/>
      <c r="AGA35" s="98"/>
      <c r="AGB35" s="98"/>
      <c r="AGC35" s="98"/>
      <c r="AGD35" s="98"/>
      <c r="AGE35" s="98"/>
      <c r="AGF35" s="98"/>
      <c r="AGG35" s="98"/>
      <c r="AGH35" s="98"/>
      <c r="AGI35" s="98"/>
      <c r="AGJ35" s="98"/>
      <c r="AGK35" s="98"/>
      <c r="AGL35" s="98"/>
      <c r="AGM35" s="98"/>
      <c r="AGN35" s="98"/>
      <c r="AGO35" s="98"/>
      <c r="AGP35" s="98"/>
      <c r="AGQ35" s="98"/>
      <c r="AGR35" s="98"/>
      <c r="AGS35" s="98"/>
      <c r="AGT35" s="98"/>
      <c r="AGU35" s="98"/>
      <c r="AGV35" s="98"/>
      <c r="AGW35" s="98"/>
      <c r="AGX35" s="98"/>
      <c r="AGY35" s="98"/>
      <c r="AGZ35" s="98"/>
      <c r="AHA35" s="98"/>
      <c r="AHB35" s="98"/>
      <c r="AHC35" s="98"/>
      <c r="AHD35" s="98"/>
      <c r="AHE35" s="98"/>
      <c r="AHF35" s="98"/>
      <c r="AHG35" s="98"/>
      <c r="AHH35" s="98"/>
      <c r="AHI35" s="98"/>
      <c r="AHJ35" s="98"/>
      <c r="AHK35" s="98"/>
      <c r="AHL35" s="98"/>
      <c r="AHM35" s="98"/>
      <c r="AHN35" s="98"/>
      <c r="AHO35" s="98"/>
      <c r="AHP35" s="98"/>
      <c r="AHQ35" s="98"/>
      <c r="AHR35" s="98"/>
      <c r="AHS35" s="98"/>
      <c r="AHT35" s="98"/>
      <c r="AHU35" s="98"/>
      <c r="AHV35" s="98"/>
      <c r="AHW35" s="98"/>
      <c r="AHX35" s="98"/>
      <c r="AHY35" s="98"/>
      <c r="AHZ35" s="98"/>
      <c r="AIA35" s="98"/>
      <c r="AIB35" s="98"/>
      <c r="AIC35" s="98"/>
      <c r="AID35" s="98"/>
      <c r="AIE35" s="98"/>
      <c r="AIF35" s="98"/>
      <c r="AIG35" s="98"/>
      <c r="AIH35" s="98"/>
      <c r="AII35" s="98"/>
      <c r="AIJ35" s="98"/>
      <c r="AIK35" s="98"/>
      <c r="AIL35" s="98"/>
      <c r="AIM35" s="98"/>
      <c r="AIN35" s="98"/>
      <c r="AIO35" s="98"/>
      <c r="AIP35" s="98"/>
      <c r="AIQ35" s="98"/>
      <c r="AIR35" s="98"/>
      <c r="AIS35" s="98"/>
      <c r="AIT35" s="98"/>
      <c r="AIU35" s="98"/>
      <c r="AIV35" s="98"/>
      <c r="AIW35" s="98"/>
      <c r="AIX35" s="98"/>
      <c r="AIY35" s="98"/>
      <c r="AIZ35" s="98"/>
      <c r="AJA35" s="98"/>
      <c r="AJB35" s="98"/>
      <c r="AJC35" s="98"/>
      <c r="AJD35" s="98"/>
      <c r="AJE35" s="98"/>
      <c r="AJF35" s="98"/>
      <c r="AJG35" s="98"/>
      <c r="AJH35" s="98"/>
      <c r="AJI35" s="98"/>
      <c r="AJJ35" s="98"/>
      <c r="AJK35" s="98"/>
      <c r="AJL35" s="98"/>
      <c r="AJM35" s="98"/>
      <c r="AJN35" s="98"/>
      <c r="AJO35" s="98"/>
      <c r="AJP35" s="98"/>
      <c r="AJQ35" s="98"/>
      <c r="AJR35" s="98"/>
      <c r="AJS35" s="98"/>
      <c r="AJT35" s="98"/>
      <c r="AJU35" s="98"/>
      <c r="AJV35" s="98"/>
      <c r="AJW35" s="98"/>
      <c r="AJX35" s="98"/>
      <c r="AJY35" s="98"/>
      <c r="AJZ35" s="98"/>
      <c r="AKA35" s="98"/>
      <c r="AKB35" s="98"/>
      <c r="AKC35" s="98"/>
      <c r="AKD35" s="98"/>
      <c r="AKE35" s="98"/>
      <c r="AKF35" s="98"/>
      <c r="AKG35" s="98"/>
      <c r="AKH35" s="98"/>
      <c r="AKI35" s="98"/>
      <c r="AKJ35" s="98"/>
      <c r="AKK35" s="98"/>
      <c r="AKL35" s="98"/>
      <c r="AKM35" s="98"/>
      <c r="AKN35" s="98"/>
      <c r="AKO35" s="98"/>
      <c r="AKP35" s="98"/>
      <c r="AKQ35" s="98"/>
      <c r="AKR35" s="98"/>
      <c r="AKS35" s="98"/>
      <c r="AKT35" s="98"/>
      <c r="AKU35" s="98"/>
      <c r="AKV35" s="98"/>
      <c r="AKW35" s="98"/>
      <c r="AKX35" s="98"/>
      <c r="AKY35" s="98"/>
      <c r="AKZ35" s="98"/>
      <c r="ALA35" s="98"/>
      <c r="ALB35" s="98"/>
      <c r="ALC35" s="98"/>
      <c r="ALD35" s="98"/>
      <c r="ALE35" s="98"/>
      <c r="ALF35" s="98"/>
      <c r="ALG35" s="98"/>
      <c r="ALH35" s="98"/>
      <c r="ALI35" s="98"/>
      <c r="ALJ35" s="98"/>
      <c r="ALK35" s="98"/>
      <c r="ALL35" s="98"/>
      <c r="ALM35" s="98"/>
      <c r="ALN35" s="98"/>
      <c r="ALO35" s="98"/>
      <c r="ALP35" s="98"/>
      <c r="ALQ35" s="98"/>
      <c r="ALR35" s="98"/>
      <c r="ALS35" s="98"/>
      <c r="ALT35" s="98"/>
      <c r="ALU35" s="98"/>
      <c r="ALV35" s="98"/>
      <c r="ALW35" s="98"/>
      <c r="ALX35" s="98"/>
      <c r="ALY35" s="98"/>
      <c r="ALZ35" s="98"/>
      <c r="AMA35" s="98"/>
      <c r="AMB35" s="98"/>
      <c r="AMC35" s="98"/>
      <c r="AMD35" s="98"/>
      <c r="AME35" s="98"/>
      <c r="AMF35" s="98"/>
      <c r="AMG35" s="98"/>
      <c r="AMH35" s="98"/>
      <c r="AMI35" s="98"/>
      <c r="AMJ35" s="98"/>
      <c r="AMK35" s="98"/>
      <c r="AML35" s="98"/>
      <c r="AMM35" s="98"/>
      <c r="AMN35" s="98"/>
      <c r="AMO35" s="98"/>
      <c r="AMP35" s="98"/>
      <c r="AMQ35" s="98"/>
      <c r="AMR35" s="98"/>
      <c r="AMS35" s="98"/>
      <c r="AMT35" s="98"/>
      <c r="AMU35" s="98"/>
      <c r="AMV35" s="98"/>
      <c r="AMW35" s="98"/>
      <c r="AMX35" s="98"/>
      <c r="AMY35" s="98"/>
      <c r="AMZ35" s="98"/>
      <c r="ANA35" s="98"/>
      <c r="ANB35" s="98"/>
      <c r="ANC35" s="98"/>
      <c r="AND35" s="98"/>
      <c r="ANE35" s="98"/>
      <c r="ANF35" s="98"/>
      <c r="ANG35" s="98"/>
      <c r="ANH35" s="98"/>
      <c r="ANI35" s="98"/>
      <c r="ANJ35" s="98"/>
      <c r="ANK35" s="98"/>
      <c r="ANL35" s="98"/>
      <c r="ANM35" s="98"/>
      <c r="ANN35" s="98"/>
      <c r="ANO35" s="98"/>
      <c r="ANP35" s="98"/>
      <c r="ANQ35" s="98"/>
      <c r="ANR35" s="98"/>
      <c r="ANS35" s="98"/>
      <c r="ANT35" s="98"/>
      <c r="ANU35" s="98"/>
      <c r="ANV35" s="98"/>
      <c r="ANW35" s="98"/>
      <c r="ANX35" s="98"/>
      <c r="ANY35" s="98"/>
      <c r="ANZ35" s="98"/>
      <c r="AOA35" s="98"/>
      <c r="AOB35" s="98"/>
      <c r="AOC35" s="98"/>
      <c r="AOD35" s="98"/>
      <c r="AOE35" s="98"/>
      <c r="AOF35" s="98"/>
      <c r="AOG35" s="98"/>
      <c r="AOH35" s="98"/>
      <c r="AOI35" s="98"/>
      <c r="AOJ35" s="98"/>
      <c r="AOK35" s="98"/>
      <c r="AOL35" s="98"/>
      <c r="AOM35" s="98"/>
      <c r="AON35" s="98"/>
      <c r="AOO35" s="98"/>
      <c r="AOP35" s="98"/>
      <c r="AOQ35" s="98"/>
      <c r="AOR35" s="98"/>
      <c r="AOS35" s="98"/>
      <c r="AOT35" s="98"/>
      <c r="AOU35" s="98"/>
      <c r="AOV35" s="98"/>
      <c r="AOW35" s="98"/>
      <c r="AOX35" s="98"/>
      <c r="AOY35" s="98"/>
      <c r="AOZ35" s="98"/>
      <c r="APA35" s="98"/>
      <c r="APB35" s="98"/>
      <c r="APC35" s="98"/>
      <c r="APD35" s="98"/>
      <c r="APE35" s="98"/>
      <c r="APF35" s="98"/>
      <c r="APG35" s="98"/>
      <c r="APH35" s="98"/>
      <c r="API35" s="98"/>
      <c r="APJ35" s="98"/>
      <c r="APK35" s="98"/>
      <c r="APL35" s="98"/>
      <c r="APM35" s="98"/>
      <c r="APN35" s="98"/>
      <c r="APO35" s="98"/>
      <c r="APP35" s="98"/>
      <c r="APQ35" s="98"/>
      <c r="APR35" s="98"/>
      <c r="APS35" s="98"/>
      <c r="APT35" s="98"/>
      <c r="APU35" s="98"/>
      <c r="APV35" s="98"/>
      <c r="APW35" s="98"/>
      <c r="APX35" s="98"/>
      <c r="APY35" s="98"/>
      <c r="APZ35" s="98"/>
      <c r="AQA35" s="98"/>
      <c r="AQB35" s="98"/>
      <c r="AQC35" s="98"/>
      <c r="AQD35" s="98"/>
      <c r="AQE35" s="98"/>
      <c r="AQF35" s="98"/>
      <c r="AQG35" s="98"/>
      <c r="AQH35" s="98"/>
      <c r="AQI35" s="98"/>
      <c r="AQJ35" s="98"/>
      <c r="AQK35" s="98"/>
      <c r="AQL35" s="98"/>
      <c r="AQM35" s="98"/>
      <c r="AQN35" s="98"/>
      <c r="AQO35" s="98"/>
      <c r="AQP35" s="98"/>
      <c r="AQQ35" s="98"/>
      <c r="AQR35" s="98"/>
      <c r="AQS35" s="98"/>
      <c r="AQT35" s="98"/>
      <c r="AQU35" s="98"/>
      <c r="AQV35" s="98"/>
      <c r="AQW35" s="98"/>
      <c r="AQX35" s="98"/>
      <c r="AQY35" s="98"/>
      <c r="AQZ35" s="98"/>
      <c r="ARA35" s="98"/>
      <c r="ARB35" s="98"/>
      <c r="ARC35" s="98"/>
      <c r="ARD35" s="98"/>
      <c r="ARE35" s="98"/>
      <c r="ARF35" s="98"/>
      <c r="ARG35" s="98"/>
      <c r="ARH35" s="98"/>
      <c r="ARI35" s="98"/>
      <c r="ARJ35" s="98"/>
      <c r="ARK35" s="98"/>
      <c r="ARL35" s="98"/>
      <c r="ARM35" s="98"/>
      <c r="ARN35" s="98"/>
      <c r="ARO35" s="98"/>
      <c r="ARP35" s="98"/>
      <c r="ARQ35" s="98"/>
      <c r="ARR35" s="98"/>
    </row>
    <row r="36" spans="1:1162" s="174" customFormat="1">
      <c r="A36" s="140" t="s">
        <v>108</v>
      </c>
      <c r="B36" s="119" t="s">
        <v>67</v>
      </c>
      <c r="C36" s="175">
        <v>88519</v>
      </c>
      <c r="D36" s="175">
        <v>3311561</v>
      </c>
      <c r="E36" s="175"/>
      <c r="F36" s="175"/>
      <c r="G36" s="175">
        <v>0</v>
      </c>
      <c r="H36" s="175">
        <v>0</v>
      </c>
      <c r="I36" s="175">
        <v>0</v>
      </c>
      <c r="J36" s="175">
        <v>0</v>
      </c>
      <c r="K36" s="175">
        <v>0</v>
      </c>
      <c r="L36" s="175">
        <v>0</v>
      </c>
      <c r="M36" s="175">
        <v>0</v>
      </c>
      <c r="N36" s="175">
        <v>0</v>
      </c>
      <c r="O36" s="175">
        <v>42</v>
      </c>
      <c r="P36" s="175">
        <v>6748</v>
      </c>
      <c r="Q36" s="175">
        <v>0</v>
      </c>
      <c r="R36" s="175">
        <v>0</v>
      </c>
      <c r="S36" s="175">
        <v>0</v>
      </c>
      <c r="T36" s="175">
        <v>0</v>
      </c>
      <c r="U36" s="175">
        <v>0</v>
      </c>
      <c r="V36" s="175">
        <v>0</v>
      </c>
      <c r="W36" s="175">
        <v>0</v>
      </c>
      <c r="X36" s="175">
        <v>0</v>
      </c>
      <c r="Y36" s="175">
        <v>0</v>
      </c>
      <c r="Z36" s="175">
        <v>0</v>
      </c>
      <c r="AA36" s="175">
        <v>0</v>
      </c>
      <c r="AB36" s="175">
        <v>0</v>
      </c>
      <c r="AC36" s="175">
        <v>0</v>
      </c>
      <c r="AD36" s="175">
        <v>0</v>
      </c>
      <c r="AE36" s="175">
        <v>0</v>
      </c>
      <c r="AF36" s="175">
        <v>0</v>
      </c>
      <c r="AG36" s="175">
        <v>0</v>
      </c>
      <c r="AH36" s="175">
        <v>0</v>
      </c>
      <c r="AI36" s="175">
        <v>0</v>
      </c>
      <c r="AJ36" s="175">
        <v>0</v>
      </c>
      <c r="AK36" s="175">
        <v>0</v>
      </c>
      <c r="AL36" s="175">
        <v>0</v>
      </c>
      <c r="AM36" s="175">
        <v>0</v>
      </c>
      <c r="AN36" s="175">
        <v>0</v>
      </c>
      <c r="AO36" s="175">
        <v>0</v>
      </c>
      <c r="AP36" s="175">
        <v>0</v>
      </c>
      <c r="AQ36" s="175">
        <v>0</v>
      </c>
      <c r="AR36" s="175">
        <v>0</v>
      </c>
      <c r="AS36" s="175">
        <v>0</v>
      </c>
      <c r="AT36" s="175">
        <v>0</v>
      </c>
      <c r="AU36" s="175">
        <v>0</v>
      </c>
      <c r="AV36" s="175">
        <v>0</v>
      </c>
      <c r="AW36" s="175">
        <v>0</v>
      </c>
      <c r="AX36" s="175">
        <v>0</v>
      </c>
      <c r="AY36" s="175">
        <v>0</v>
      </c>
      <c r="AZ36" s="175">
        <v>0</v>
      </c>
      <c r="BA36" s="198"/>
      <c r="BB36" s="175"/>
      <c r="BC36" s="175"/>
      <c r="BD36" s="175"/>
      <c r="BE36" s="199"/>
      <c r="BF36" s="175"/>
      <c r="BG36" s="175"/>
      <c r="BH36" s="175"/>
      <c r="BI36" s="199"/>
      <c r="BJ36" s="98"/>
      <c r="BK36" s="11"/>
      <c r="BL36" s="148"/>
      <c r="BM36" s="14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c r="KT36" s="98"/>
      <c r="KU36" s="98"/>
      <c r="KV36" s="98"/>
      <c r="KW36" s="98"/>
      <c r="KX36" s="98"/>
      <c r="KY36" s="98"/>
      <c r="KZ36" s="98"/>
      <c r="LA36" s="98"/>
      <c r="LB36" s="98"/>
      <c r="LC36" s="98"/>
      <c r="LD36" s="98"/>
      <c r="LE36" s="98"/>
      <c r="LF36" s="98"/>
      <c r="LG36" s="98"/>
      <c r="LH36" s="98"/>
      <c r="LI36" s="98"/>
      <c r="LJ36" s="98"/>
      <c r="LK36" s="98"/>
      <c r="LL36" s="98"/>
      <c r="LM36" s="98"/>
      <c r="LN36" s="98"/>
      <c r="LO36" s="98"/>
      <c r="LP36" s="98"/>
      <c r="LQ36" s="98"/>
      <c r="LR36" s="98"/>
      <c r="LS36" s="98"/>
      <c r="LT36" s="98"/>
      <c r="LU36" s="98"/>
      <c r="LV36" s="98"/>
      <c r="LW36" s="98"/>
      <c r="LX36" s="98"/>
      <c r="LY36" s="98"/>
      <c r="LZ36" s="98"/>
      <c r="MA36" s="98"/>
      <c r="MB36" s="98"/>
      <c r="MC36" s="98"/>
      <c r="MD36" s="98"/>
      <c r="ME36" s="98"/>
      <c r="MF36" s="98"/>
      <c r="MG36" s="98"/>
      <c r="MH36" s="98"/>
      <c r="MI36" s="98"/>
      <c r="MJ36" s="98"/>
      <c r="MK36" s="98"/>
      <c r="ML36" s="98"/>
      <c r="MM36" s="98"/>
      <c r="MN36" s="98"/>
      <c r="MO36" s="98"/>
      <c r="MP36" s="98"/>
      <c r="MQ36" s="98"/>
      <c r="MR36" s="98"/>
      <c r="MS36" s="98"/>
      <c r="MT36" s="98"/>
      <c r="MU36" s="98"/>
      <c r="MV36" s="98"/>
      <c r="MW36" s="98"/>
      <c r="MX36" s="98"/>
      <c r="MY36" s="98"/>
      <c r="MZ36" s="98"/>
      <c r="NA36" s="98"/>
      <c r="NB36" s="98"/>
      <c r="NC36" s="98"/>
      <c r="ND36" s="98"/>
      <c r="NE36" s="98"/>
      <c r="NF36" s="98"/>
      <c r="NG36" s="98"/>
      <c r="NH36" s="98"/>
      <c r="NI36" s="98"/>
      <c r="NJ36" s="98"/>
      <c r="NK36" s="98"/>
      <c r="NL36" s="98"/>
      <c r="NM36" s="98"/>
      <c r="NN36" s="98"/>
      <c r="NO36" s="98"/>
      <c r="NP36" s="98"/>
      <c r="NQ36" s="98"/>
      <c r="NR36" s="98"/>
      <c r="NS36" s="98"/>
      <c r="NT36" s="98"/>
      <c r="NU36" s="98"/>
      <c r="NV36" s="98"/>
      <c r="NW36" s="98"/>
      <c r="NX36" s="98"/>
      <c r="NY36" s="98"/>
      <c r="NZ36" s="98"/>
      <c r="OA36" s="98"/>
      <c r="OB36" s="98"/>
      <c r="OC36" s="98"/>
      <c r="OD36" s="98"/>
      <c r="OE36" s="98"/>
      <c r="OF36" s="98"/>
      <c r="OG36" s="98"/>
      <c r="OH36" s="98"/>
      <c r="OI36" s="98"/>
      <c r="OJ36" s="98"/>
      <c r="OK36" s="98"/>
      <c r="OL36" s="98"/>
      <c r="OM36" s="98"/>
      <c r="ON36" s="98"/>
      <c r="OO36" s="98"/>
      <c r="OP36" s="98"/>
      <c r="OQ36" s="98"/>
      <c r="OR36" s="98"/>
      <c r="OS36" s="98"/>
      <c r="OT36" s="98"/>
      <c r="OU36" s="98"/>
      <c r="OV36" s="98"/>
      <c r="OW36" s="98"/>
      <c r="OX36" s="98"/>
      <c r="OY36" s="98"/>
      <c r="OZ36" s="98"/>
      <c r="PA36" s="98"/>
      <c r="PB36" s="98"/>
      <c r="PC36" s="98"/>
      <c r="PD36" s="98"/>
      <c r="PE36" s="98"/>
      <c r="PF36" s="98"/>
      <c r="PG36" s="98"/>
      <c r="PH36" s="98"/>
      <c r="PI36" s="98"/>
      <c r="PJ36" s="98"/>
      <c r="PK36" s="98"/>
      <c r="PL36" s="98"/>
      <c r="PM36" s="98"/>
      <c r="PN36" s="98"/>
      <c r="PO36" s="98"/>
      <c r="PP36" s="98"/>
      <c r="PQ36" s="98"/>
      <c r="PR36" s="98"/>
      <c r="PS36" s="98"/>
      <c r="PT36" s="98"/>
      <c r="PU36" s="98"/>
      <c r="PV36" s="98"/>
      <c r="PW36" s="98"/>
      <c r="PX36" s="98"/>
      <c r="PY36" s="98"/>
      <c r="PZ36" s="98"/>
      <c r="QA36" s="98"/>
      <c r="QB36" s="98"/>
      <c r="QC36" s="98"/>
      <c r="QD36" s="98"/>
      <c r="QE36" s="98"/>
      <c r="QF36" s="98"/>
      <c r="QG36" s="98"/>
      <c r="QH36" s="98"/>
      <c r="QI36" s="98"/>
      <c r="QJ36" s="98"/>
      <c r="QK36" s="98"/>
      <c r="QL36" s="98"/>
      <c r="QM36" s="98"/>
      <c r="QN36" s="98"/>
      <c r="QO36" s="98"/>
      <c r="QP36" s="98"/>
      <c r="QQ36" s="98"/>
      <c r="QR36" s="98"/>
      <c r="QS36" s="98"/>
      <c r="QT36" s="98"/>
      <c r="QU36" s="98"/>
      <c r="QV36" s="98"/>
      <c r="QW36" s="98"/>
      <c r="QX36" s="98"/>
      <c r="QY36" s="98"/>
      <c r="QZ36" s="98"/>
      <c r="RA36" s="98"/>
      <c r="RB36" s="98"/>
      <c r="RC36" s="98"/>
      <c r="RD36" s="98"/>
      <c r="RE36" s="98"/>
      <c r="RF36" s="98"/>
      <c r="RG36" s="98"/>
      <c r="RH36" s="98"/>
      <c r="RI36" s="98"/>
      <c r="RJ36" s="98"/>
      <c r="RK36" s="98"/>
      <c r="RL36" s="98"/>
      <c r="RM36" s="98"/>
      <c r="RN36" s="98"/>
      <c r="RO36" s="98"/>
      <c r="RP36" s="98"/>
      <c r="RQ36" s="98"/>
      <c r="RR36" s="98"/>
      <c r="RS36" s="98"/>
      <c r="RT36" s="98"/>
      <c r="RU36" s="98"/>
      <c r="RV36" s="98"/>
      <c r="RW36" s="98"/>
      <c r="RX36" s="98"/>
      <c r="RY36" s="98"/>
      <c r="RZ36" s="98"/>
      <c r="SA36" s="98"/>
      <c r="SB36" s="98"/>
      <c r="SC36" s="98"/>
      <c r="SD36" s="98"/>
      <c r="SE36" s="98"/>
      <c r="SF36" s="98"/>
      <c r="SG36" s="98"/>
      <c r="SH36" s="98"/>
      <c r="SI36" s="98"/>
      <c r="SJ36" s="98"/>
      <c r="SK36" s="98"/>
      <c r="SL36" s="98"/>
      <c r="SM36" s="98"/>
      <c r="SN36" s="98"/>
      <c r="SO36" s="98"/>
      <c r="SP36" s="98"/>
      <c r="SQ36" s="98"/>
      <c r="SR36" s="98"/>
      <c r="SS36" s="98"/>
      <c r="ST36" s="98"/>
      <c r="SU36" s="98"/>
      <c r="SV36" s="98"/>
      <c r="SW36" s="98"/>
      <c r="SX36" s="98"/>
      <c r="SY36" s="98"/>
      <c r="SZ36" s="98"/>
      <c r="TA36" s="98"/>
      <c r="TB36" s="98"/>
      <c r="TC36" s="98"/>
      <c r="TD36" s="98"/>
      <c r="TE36" s="98"/>
      <c r="TF36" s="98"/>
      <c r="TG36" s="98"/>
      <c r="TH36" s="98"/>
      <c r="TI36" s="98"/>
      <c r="TJ36" s="98"/>
      <c r="TK36" s="98"/>
      <c r="TL36" s="98"/>
      <c r="TM36" s="98"/>
      <c r="TN36" s="98"/>
      <c r="TO36" s="98"/>
      <c r="TP36" s="98"/>
      <c r="TQ36" s="98"/>
      <c r="TR36" s="98"/>
      <c r="TS36" s="98"/>
      <c r="TT36" s="98"/>
      <c r="TU36" s="98"/>
      <c r="TV36" s="98"/>
      <c r="TW36" s="98"/>
      <c r="TX36" s="98"/>
      <c r="TY36" s="98"/>
      <c r="TZ36" s="98"/>
      <c r="UA36" s="98"/>
      <c r="UB36" s="98"/>
      <c r="UC36" s="98"/>
      <c r="UD36" s="98"/>
      <c r="UE36" s="98"/>
      <c r="UF36" s="98"/>
      <c r="UG36" s="98"/>
      <c r="UH36" s="98"/>
      <c r="UI36" s="98"/>
      <c r="UJ36" s="98"/>
      <c r="UK36" s="98"/>
      <c r="UL36" s="98"/>
      <c r="UM36" s="98"/>
      <c r="UN36" s="98"/>
      <c r="UO36" s="98"/>
      <c r="UP36" s="98"/>
      <c r="UQ36" s="98"/>
      <c r="UR36" s="98"/>
      <c r="US36" s="98"/>
      <c r="UT36" s="98"/>
      <c r="UU36" s="98"/>
      <c r="UV36" s="98"/>
      <c r="UW36" s="98"/>
      <c r="UX36" s="98"/>
      <c r="UY36" s="98"/>
      <c r="UZ36" s="98"/>
      <c r="VA36" s="98"/>
      <c r="VB36" s="98"/>
      <c r="VC36" s="98"/>
      <c r="VD36" s="98"/>
      <c r="VE36" s="98"/>
      <c r="VF36" s="98"/>
      <c r="VG36" s="98"/>
      <c r="VH36" s="98"/>
      <c r="VI36" s="98"/>
      <c r="VJ36" s="98"/>
      <c r="VK36" s="98"/>
      <c r="VL36" s="98"/>
      <c r="VM36" s="98"/>
      <c r="VN36" s="98"/>
      <c r="VO36" s="98"/>
      <c r="VP36" s="98"/>
      <c r="VQ36" s="98"/>
      <c r="VR36" s="98"/>
      <c r="VS36" s="98"/>
      <c r="VT36" s="98"/>
      <c r="VU36" s="98"/>
      <c r="VV36" s="98"/>
      <c r="VW36" s="98"/>
      <c r="VX36" s="98"/>
      <c r="VY36" s="98"/>
      <c r="VZ36" s="98"/>
      <c r="WA36" s="98"/>
      <c r="WB36" s="98"/>
      <c r="WC36" s="98"/>
      <c r="WD36" s="98"/>
      <c r="WE36" s="98"/>
      <c r="WF36" s="98"/>
      <c r="WG36" s="98"/>
      <c r="WH36" s="98"/>
      <c r="WI36" s="98"/>
      <c r="WJ36" s="98"/>
      <c r="WK36" s="98"/>
      <c r="WL36" s="98"/>
      <c r="WM36" s="98"/>
      <c r="WN36" s="98"/>
      <c r="WO36" s="98"/>
      <c r="WP36" s="98"/>
      <c r="WQ36" s="98"/>
      <c r="WR36" s="98"/>
      <c r="WS36" s="98"/>
      <c r="WT36" s="98"/>
      <c r="WU36" s="98"/>
      <c r="WV36" s="98"/>
      <c r="WW36" s="98"/>
      <c r="WX36" s="98"/>
      <c r="WY36" s="98"/>
      <c r="WZ36" s="98"/>
      <c r="XA36" s="98"/>
      <c r="XB36" s="98"/>
      <c r="XC36" s="98"/>
      <c r="XD36" s="98"/>
      <c r="XE36" s="98"/>
      <c r="XF36" s="98"/>
      <c r="XG36" s="98"/>
      <c r="XH36" s="98"/>
      <c r="XI36" s="98"/>
      <c r="XJ36" s="98"/>
      <c r="XK36" s="98"/>
      <c r="XL36" s="98"/>
      <c r="XM36" s="98"/>
      <c r="XN36" s="98"/>
      <c r="XO36" s="98"/>
      <c r="XP36" s="98"/>
      <c r="XQ36" s="98"/>
      <c r="XR36" s="98"/>
      <c r="XS36" s="98"/>
      <c r="XT36" s="98"/>
      <c r="XU36" s="98"/>
      <c r="XV36" s="98"/>
      <c r="XW36" s="98"/>
      <c r="XX36" s="98"/>
      <c r="XY36" s="98"/>
      <c r="XZ36" s="98"/>
      <c r="YA36" s="98"/>
      <c r="YB36" s="98"/>
      <c r="YC36" s="98"/>
      <c r="YD36" s="98"/>
      <c r="YE36" s="98"/>
      <c r="YF36" s="98"/>
      <c r="YG36" s="98"/>
      <c r="YH36" s="98"/>
      <c r="YI36" s="98"/>
      <c r="YJ36" s="98"/>
      <c r="YK36" s="98"/>
      <c r="YL36" s="98"/>
      <c r="YM36" s="98"/>
      <c r="YN36" s="98"/>
      <c r="YO36" s="98"/>
      <c r="YP36" s="98"/>
      <c r="YQ36" s="98"/>
      <c r="YR36" s="98"/>
      <c r="YS36" s="98"/>
      <c r="YT36" s="98"/>
      <c r="YU36" s="98"/>
      <c r="YV36" s="98"/>
      <c r="YW36" s="98"/>
      <c r="YX36" s="98"/>
      <c r="YY36" s="98"/>
      <c r="YZ36" s="98"/>
      <c r="ZA36" s="98"/>
      <c r="ZB36" s="98"/>
      <c r="ZC36" s="98"/>
      <c r="ZD36" s="98"/>
      <c r="ZE36" s="98"/>
      <c r="ZF36" s="98"/>
      <c r="ZG36" s="98"/>
      <c r="ZH36" s="98"/>
      <c r="ZI36" s="98"/>
      <c r="ZJ36" s="98"/>
      <c r="ZK36" s="98"/>
      <c r="ZL36" s="98"/>
      <c r="ZM36" s="98"/>
      <c r="ZN36" s="98"/>
      <c r="ZO36" s="98"/>
      <c r="ZP36" s="98"/>
      <c r="ZQ36" s="98"/>
      <c r="ZR36" s="98"/>
      <c r="ZS36" s="98"/>
      <c r="ZT36" s="98"/>
      <c r="ZU36" s="98"/>
      <c r="ZV36" s="98"/>
      <c r="ZW36" s="98"/>
      <c r="ZX36" s="98"/>
      <c r="ZY36" s="98"/>
      <c r="ZZ36" s="98"/>
      <c r="AAA36" s="98"/>
      <c r="AAB36" s="98"/>
      <c r="AAC36" s="98"/>
      <c r="AAD36" s="98"/>
      <c r="AAE36" s="98"/>
      <c r="AAF36" s="98"/>
      <c r="AAG36" s="98"/>
      <c r="AAH36" s="98"/>
      <c r="AAI36" s="98"/>
      <c r="AAJ36" s="98"/>
      <c r="AAK36" s="98"/>
      <c r="AAL36" s="98"/>
      <c r="AAM36" s="98"/>
      <c r="AAN36" s="98"/>
      <c r="AAO36" s="98"/>
      <c r="AAP36" s="98"/>
      <c r="AAQ36" s="98"/>
      <c r="AAR36" s="98"/>
      <c r="AAS36" s="98"/>
      <c r="AAT36" s="98"/>
      <c r="AAU36" s="98"/>
      <c r="AAV36" s="98"/>
      <c r="AAW36" s="98"/>
      <c r="AAX36" s="98"/>
      <c r="AAY36" s="98"/>
      <c r="AAZ36" s="98"/>
      <c r="ABA36" s="98"/>
      <c r="ABB36" s="98"/>
      <c r="ABC36" s="98"/>
      <c r="ABD36" s="98"/>
      <c r="ABE36" s="98"/>
      <c r="ABF36" s="98"/>
      <c r="ABG36" s="98"/>
      <c r="ABH36" s="98"/>
      <c r="ABI36" s="98"/>
      <c r="ABJ36" s="98"/>
      <c r="ABK36" s="98"/>
      <c r="ABL36" s="98"/>
      <c r="ABM36" s="98"/>
      <c r="ABN36" s="98"/>
      <c r="ABO36" s="98"/>
      <c r="ABP36" s="98"/>
      <c r="ABQ36" s="98"/>
      <c r="ABR36" s="98"/>
      <c r="ABS36" s="98"/>
      <c r="ABT36" s="98"/>
      <c r="ABU36" s="98"/>
      <c r="ABV36" s="98"/>
      <c r="ABW36" s="98"/>
      <c r="ABX36" s="98"/>
      <c r="ABY36" s="98"/>
      <c r="ABZ36" s="98"/>
      <c r="ACA36" s="98"/>
      <c r="ACB36" s="98"/>
      <c r="ACC36" s="98"/>
      <c r="ACD36" s="98"/>
      <c r="ACE36" s="98"/>
      <c r="ACF36" s="98"/>
      <c r="ACG36" s="98"/>
      <c r="ACH36" s="98"/>
      <c r="ACI36" s="98"/>
      <c r="ACJ36" s="98"/>
      <c r="ACK36" s="98"/>
      <c r="ACL36" s="98"/>
      <c r="ACM36" s="98"/>
      <c r="ACN36" s="98"/>
      <c r="ACO36" s="98"/>
      <c r="ACP36" s="98"/>
      <c r="ACQ36" s="98"/>
      <c r="ACR36" s="98"/>
      <c r="ACS36" s="98"/>
      <c r="ACT36" s="98"/>
      <c r="ACU36" s="98"/>
      <c r="ACV36" s="98"/>
      <c r="ACW36" s="98"/>
      <c r="ACX36" s="98"/>
      <c r="ACY36" s="98"/>
      <c r="ACZ36" s="98"/>
      <c r="ADA36" s="98"/>
      <c r="ADB36" s="98"/>
      <c r="ADC36" s="98"/>
      <c r="ADD36" s="98"/>
      <c r="ADE36" s="98"/>
      <c r="ADF36" s="98"/>
      <c r="ADG36" s="98"/>
      <c r="ADH36" s="98"/>
      <c r="ADI36" s="98"/>
      <c r="ADJ36" s="98"/>
      <c r="ADK36" s="98"/>
      <c r="ADL36" s="98"/>
      <c r="ADM36" s="98"/>
      <c r="ADN36" s="98"/>
      <c r="ADO36" s="98"/>
      <c r="ADP36" s="98"/>
      <c r="ADQ36" s="98"/>
      <c r="ADR36" s="98"/>
      <c r="ADS36" s="98"/>
      <c r="ADT36" s="98"/>
      <c r="ADU36" s="98"/>
      <c r="ADV36" s="98"/>
      <c r="ADW36" s="98"/>
      <c r="ADX36" s="98"/>
      <c r="ADY36" s="98"/>
      <c r="ADZ36" s="98"/>
      <c r="AEA36" s="98"/>
      <c r="AEB36" s="98"/>
      <c r="AEC36" s="98"/>
      <c r="AED36" s="98"/>
      <c r="AEE36" s="98"/>
      <c r="AEF36" s="98"/>
      <c r="AEG36" s="98"/>
      <c r="AEH36" s="98"/>
      <c r="AEI36" s="98"/>
      <c r="AEJ36" s="98"/>
      <c r="AEK36" s="98"/>
      <c r="AEL36" s="98"/>
      <c r="AEM36" s="98"/>
      <c r="AEN36" s="98"/>
      <c r="AEO36" s="98"/>
      <c r="AEP36" s="98"/>
      <c r="AEQ36" s="98"/>
      <c r="AER36" s="98"/>
      <c r="AES36" s="98"/>
      <c r="AET36" s="98"/>
      <c r="AEU36" s="98"/>
      <c r="AEV36" s="98"/>
      <c r="AEW36" s="98"/>
      <c r="AEX36" s="98"/>
      <c r="AEY36" s="98"/>
      <c r="AEZ36" s="98"/>
      <c r="AFA36" s="98"/>
      <c r="AFB36" s="98"/>
      <c r="AFC36" s="98"/>
      <c r="AFD36" s="98"/>
      <c r="AFE36" s="98"/>
      <c r="AFF36" s="98"/>
      <c r="AFG36" s="98"/>
      <c r="AFH36" s="98"/>
      <c r="AFI36" s="98"/>
      <c r="AFJ36" s="98"/>
      <c r="AFK36" s="98"/>
      <c r="AFL36" s="98"/>
      <c r="AFM36" s="98"/>
      <c r="AFN36" s="98"/>
      <c r="AFO36" s="98"/>
      <c r="AFP36" s="98"/>
      <c r="AFQ36" s="98"/>
      <c r="AFR36" s="98"/>
      <c r="AFS36" s="98"/>
      <c r="AFT36" s="98"/>
      <c r="AFU36" s="98"/>
      <c r="AFV36" s="98"/>
      <c r="AFW36" s="98"/>
      <c r="AFX36" s="98"/>
      <c r="AFY36" s="98"/>
      <c r="AFZ36" s="98"/>
      <c r="AGA36" s="98"/>
      <c r="AGB36" s="98"/>
      <c r="AGC36" s="98"/>
      <c r="AGD36" s="98"/>
      <c r="AGE36" s="98"/>
      <c r="AGF36" s="98"/>
      <c r="AGG36" s="98"/>
      <c r="AGH36" s="98"/>
      <c r="AGI36" s="98"/>
      <c r="AGJ36" s="98"/>
      <c r="AGK36" s="98"/>
      <c r="AGL36" s="98"/>
      <c r="AGM36" s="98"/>
      <c r="AGN36" s="98"/>
      <c r="AGO36" s="98"/>
      <c r="AGP36" s="98"/>
      <c r="AGQ36" s="98"/>
      <c r="AGR36" s="98"/>
      <c r="AGS36" s="98"/>
      <c r="AGT36" s="98"/>
      <c r="AGU36" s="98"/>
      <c r="AGV36" s="98"/>
      <c r="AGW36" s="98"/>
      <c r="AGX36" s="98"/>
      <c r="AGY36" s="98"/>
      <c r="AGZ36" s="98"/>
      <c r="AHA36" s="98"/>
      <c r="AHB36" s="98"/>
      <c r="AHC36" s="98"/>
      <c r="AHD36" s="98"/>
      <c r="AHE36" s="98"/>
      <c r="AHF36" s="98"/>
      <c r="AHG36" s="98"/>
      <c r="AHH36" s="98"/>
      <c r="AHI36" s="98"/>
      <c r="AHJ36" s="98"/>
      <c r="AHK36" s="98"/>
      <c r="AHL36" s="98"/>
      <c r="AHM36" s="98"/>
      <c r="AHN36" s="98"/>
      <c r="AHO36" s="98"/>
      <c r="AHP36" s="98"/>
      <c r="AHQ36" s="98"/>
      <c r="AHR36" s="98"/>
      <c r="AHS36" s="98"/>
      <c r="AHT36" s="98"/>
      <c r="AHU36" s="98"/>
      <c r="AHV36" s="98"/>
      <c r="AHW36" s="98"/>
      <c r="AHX36" s="98"/>
      <c r="AHY36" s="98"/>
      <c r="AHZ36" s="98"/>
      <c r="AIA36" s="98"/>
      <c r="AIB36" s="98"/>
      <c r="AIC36" s="98"/>
      <c r="AID36" s="98"/>
      <c r="AIE36" s="98"/>
      <c r="AIF36" s="98"/>
      <c r="AIG36" s="98"/>
      <c r="AIH36" s="98"/>
      <c r="AII36" s="98"/>
      <c r="AIJ36" s="98"/>
      <c r="AIK36" s="98"/>
      <c r="AIL36" s="98"/>
      <c r="AIM36" s="98"/>
      <c r="AIN36" s="98"/>
      <c r="AIO36" s="98"/>
      <c r="AIP36" s="98"/>
      <c r="AIQ36" s="98"/>
      <c r="AIR36" s="98"/>
      <c r="AIS36" s="98"/>
      <c r="AIT36" s="98"/>
      <c r="AIU36" s="98"/>
      <c r="AIV36" s="98"/>
      <c r="AIW36" s="98"/>
      <c r="AIX36" s="98"/>
      <c r="AIY36" s="98"/>
      <c r="AIZ36" s="98"/>
      <c r="AJA36" s="98"/>
      <c r="AJB36" s="98"/>
      <c r="AJC36" s="98"/>
      <c r="AJD36" s="98"/>
      <c r="AJE36" s="98"/>
      <c r="AJF36" s="98"/>
      <c r="AJG36" s="98"/>
      <c r="AJH36" s="98"/>
      <c r="AJI36" s="98"/>
      <c r="AJJ36" s="98"/>
      <c r="AJK36" s="98"/>
      <c r="AJL36" s="98"/>
      <c r="AJM36" s="98"/>
      <c r="AJN36" s="98"/>
      <c r="AJO36" s="98"/>
      <c r="AJP36" s="98"/>
      <c r="AJQ36" s="98"/>
      <c r="AJR36" s="98"/>
      <c r="AJS36" s="98"/>
      <c r="AJT36" s="98"/>
      <c r="AJU36" s="98"/>
      <c r="AJV36" s="98"/>
      <c r="AJW36" s="98"/>
      <c r="AJX36" s="98"/>
      <c r="AJY36" s="98"/>
      <c r="AJZ36" s="98"/>
      <c r="AKA36" s="98"/>
      <c r="AKB36" s="98"/>
      <c r="AKC36" s="98"/>
      <c r="AKD36" s="98"/>
      <c r="AKE36" s="98"/>
      <c r="AKF36" s="98"/>
      <c r="AKG36" s="98"/>
      <c r="AKH36" s="98"/>
      <c r="AKI36" s="98"/>
      <c r="AKJ36" s="98"/>
      <c r="AKK36" s="98"/>
      <c r="AKL36" s="98"/>
      <c r="AKM36" s="98"/>
      <c r="AKN36" s="98"/>
      <c r="AKO36" s="98"/>
      <c r="AKP36" s="98"/>
      <c r="AKQ36" s="98"/>
      <c r="AKR36" s="98"/>
      <c r="AKS36" s="98"/>
      <c r="AKT36" s="98"/>
      <c r="AKU36" s="98"/>
      <c r="AKV36" s="98"/>
      <c r="AKW36" s="98"/>
      <c r="AKX36" s="98"/>
      <c r="AKY36" s="98"/>
      <c r="AKZ36" s="98"/>
      <c r="ALA36" s="98"/>
      <c r="ALB36" s="98"/>
      <c r="ALC36" s="98"/>
      <c r="ALD36" s="98"/>
      <c r="ALE36" s="98"/>
      <c r="ALF36" s="98"/>
      <c r="ALG36" s="98"/>
      <c r="ALH36" s="98"/>
      <c r="ALI36" s="98"/>
      <c r="ALJ36" s="98"/>
      <c r="ALK36" s="98"/>
      <c r="ALL36" s="98"/>
      <c r="ALM36" s="98"/>
      <c r="ALN36" s="98"/>
      <c r="ALO36" s="98"/>
      <c r="ALP36" s="98"/>
      <c r="ALQ36" s="98"/>
      <c r="ALR36" s="98"/>
      <c r="ALS36" s="98"/>
      <c r="ALT36" s="98"/>
      <c r="ALU36" s="98"/>
      <c r="ALV36" s="98"/>
      <c r="ALW36" s="98"/>
      <c r="ALX36" s="98"/>
      <c r="ALY36" s="98"/>
      <c r="ALZ36" s="98"/>
      <c r="AMA36" s="98"/>
      <c r="AMB36" s="98"/>
      <c r="AMC36" s="98"/>
      <c r="AMD36" s="98"/>
      <c r="AME36" s="98"/>
      <c r="AMF36" s="98"/>
      <c r="AMG36" s="98"/>
      <c r="AMH36" s="98"/>
      <c r="AMI36" s="98"/>
      <c r="AMJ36" s="98"/>
      <c r="AMK36" s="98"/>
      <c r="AML36" s="98"/>
      <c r="AMM36" s="98"/>
      <c r="AMN36" s="98"/>
      <c r="AMO36" s="98"/>
      <c r="AMP36" s="98"/>
      <c r="AMQ36" s="98"/>
      <c r="AMR36" s="98"/>
      <c r="AMS36" s="98"/>
      <c r="AMT36" s="98"/>
      <c r="AMU36" s="98"/>
      <c r="AMV36" s="98"/>
      <c r="AMW36" s="98"/>
      <c r="AMX36" s="98"/>
      <c r="AMY36" s="98"/>
      <c r="AMZ36" s="98"/>
      <c r="ANA36" s="98"/>
      <c r="ANB36" s="98"/>
      <c r="ANC36" s="98"/>
      <c r="AND36" s="98"/>
      <c r="ANE36" s="98"/>
      <c r="ANF36" s="98"/>
      <c r="ANG36" s="98"/>
      <c r="ANH36" s="98"/>
      <c r="ANI36" s="98"/>
      <c r="ANJ36" s="98"/>
      <c r="ANK36" s="98"/>
      <c r="ANL36" s="98"/>
      <c r="ANM36" s="98"/>
      <c r="ANN36" s="98"/>
      <c r="ANO36" s="98"/>
      <c r="ANP36" s="98"/>
      <c r="ANQ36" s="98"/>
      <c r="ANR36" s="98"/>
      <c r="ANS36" s="98"/>
      <c r="ANT36" s="98"/>
      <c r="ANU36" s="98"/>
      <c r="ANV36" s="98"/>
      <c r="ANW36" s="98"/>
      <c r="ANX36" s="98"/>
      <c r="ANY36" s="98"/>
      <c r="ANZ36" s="98"/>
      <c r="AOA36" s="98"/>
      <c r="AOB36" s="98"/>
      <c r="AOC36" s="98"/>
      <c r="AOD36" s="98"/>
      <c r="AOE36" s="98"/>
      <c r="AOF36" s="98"/>
      <c r="AOG36" s="98"/>
      <c r="AOH36" s="98"/>
      <c r="AOI36" s="98"/>
      <c r="AOJ36" s="98"/>
      <c r="AOK36" s="98"/>
      <c r="AOL36" s="98"/>
      <c r="AOM36" s="98"/>
      <c r="AON36" s="98"/>
      <c r="AOO36" s="98"/>
      <c r="AOP36" s="98"/>
      <c r="AOQ36" s="98"/>
      <c r="AOR36" s="98"/>
      <c r="AOS36" s="98"/>
      <c r="AOT36" s="98"/>
      <c r="AOU36" s="98"/>
      <c r="AOV36" s="98"/>
      <c r="AOW36" s="98"/>
      <c r="AOX36" s="98"/>
      <c r="AOY36" s="98"/>
      <c r="AOZ36" s="98"/>
      <c r="APA36" s="98"/>
      <c r="APB36" s="98"/>
      <c r="APC36" s="98"/>
      <c r="APD36" s="98"/>
      <c r="APE36" s="98"/>
      <c r="APF36" s="98"/>
      <c r="APG36" s="98"/>
      <c r="APH36" s="98"/>
      <c r="API36" s="98"/>
      <c r="APJ36" s="98"/>
      <c r="APK36" s="98"/>
      <c r="APL36" s="98"/>
      <c r="APM36" s="98"/>
      <c r="APN36" s="98"/>
      <c r="APO36" s="98"/>
      <c r="APP36" s="98"/>
      <c r="APQ36" s="98"/>
      <c r="APR36" s="98"/>
      <c r="APS36" s="98"/>
      <c r="APT36" s="98"/>
      <c r="APU36" s="98"/>
      <c r="APV36" s="98"/>
      <c r="APW36" s="98"/>
      <c r="APX36" s="98"/>
      <c r="APY36" s="98"/>
      <c r="APZ36" s="98"/>
      <c r="AQA36" s="98"/>
      <c r="AQB36" s="98"/>
      <c r="AQC36" s="98"/>
      <c r="AQD36" s="98"/>
      <c r="AQE36" s="98"/>
      <c r="AQF36" s="98"/>
      <c r="AQG36" s="98"/>
      <c r="AQH36" s="98"/>
      <c r="AQI36" s="98"/>
      <c r="AQJ36" s="98"/>
      <c r="AQK36" s="98"/>
      <c r="AQL36" s="98"/>
      <c r="AQM36" s="98"/>
      <c r="AQN36" s="98"/>
      <c r="AQO36" s="98"/>
      <c r="AQP36" s="98"/>
      <c r="AQQ36" s="98"/>
      <c r="AQR36" s="98"/>
      <c r="AQS36" s="98"/>
      <c r="AQT36" s="98"/>
      <c r="AQU36" s="98"/>
      <c r="AQV36" s="98"/>
      <c r="AQW36" s="98"/>
      <c r="AQX36" s="98"/>
      <c r="AQY36" s="98"/>
      <c r="AQZ36" s="98"/>
      <c r="ARA36" s="98"/>
      <c r="ARB36" s="98"/>
      <c r="ARC36" s="98"/>
      <c r="ARD36" s="98"/>
      <c r="ARE36" s="98"/>
      <c r="ARF36" s="98"/>
      <c r="ARG36" s="98"/>
      <c r="ARH36" s="98"/>
      <c r="ARI36" s="98"/>
      <c r="ARJ36" s="98"/>
      <c r="ARK36" s="98"/>
      <c r="ARL36" s="98"/>
      <c r="ARM36" s="98"/>
      <c r="ARN36" s="98"/>
      <c r="ARO36" s="98"/>
      <c r="ARP36" s="98"/>
      <c r="ARQ36" s="98"/>
      <c r="ARR36" s="98"/>
    </row>
    <row r="37" spans="1:1162" s="174" customFormat="1">
      <c r="A37" s="140" t="s">
        <v>272</v>
      </c>
      <c r="B37" s="119" t="s">
        <v>67</v>
      </c>
      <c r="C37" s="175">
        <v>489720</v>
      </c>
      <c r="D37" s="175">
        <v>10636394</v>
      </c>
      <c r="E37" s="175">
        <v>0</v>
      </c>
      <c r="F37" s="175">
        <v>0</v>
      </c>
      <c r="G37" s="175">
        <v>0</v>
      </c>
      <c r="H37" s="175">
        <v>0</v>
      </c>
      <c r="I37" s="175">
        <v>0</v>
      </c>
      <c r="J37" s="175">
        <v>0</v>
      </c>
      <c r="K37" s="175">
        <v>0</v>
      </c>
      <c r="L37" s="175">
        <v>0</v>
      </c>
      <c r="M37" s="175">
        <v>0</v>
      </c>
      <c r="N37" s="175">
        <v>0</v>
      </c>
      <c r="O37" s="175">
        <v>0</v>
      </c>
      <c r="P37" s="175">
        <v>0</v>
      </c>
      <c r="Q37" s="175">
        <v>0</v>
      </c>
      <c r="R37" s="175">
        <v>0</v>
      </c>
      <c r="S37" s="175">
        <v>0</v>
      </c>
      <c r="T37" s="175">
        <v>0</v>
      </c>
      <c r="U37" s="175">
        <v>0</v>
      </c>
      <c r="V37" s="175">
        <v>0</v>
      </c>
      <c r="W37" s="197">
        <v>7846</v>
      </c>
      <c r="X37" s="197">
        <v>4422848</v>
      </c>
      <c r="Y37" s="197">
        <v>13606</v>
      </c>
      <c r="Z37" s="197">
        <v>7176456</v>
      </c>
      <c r="AA37" s="209">
        <v>10698</v>
      </c>
      <c r="AB37" s="209">
        <v>4348109</v>
      </c>
      <c r="AC37" s="175">
        <v>20964</v>
      </c>
      <c r="AD37" s="175">
        <v>7429363</v>
      </c>
      <c r="AE37" s="175">
        <v>32276</v>
      </c>
      <c r="AF37" s="175">
        <v>7835561</v>
      </c>
      <c r="AG37" s="209">
        <v>20287</v>
      </c>
      <c r="AH37" s="209">
        <v>7320564</v>
      </c>
      <c r="AI37" s="209">
        <v>15642</v>
      </c>
      <c r="AJ37" s="209">
        <v>8253256</v>
      </c>
      <c r="AK37" s="201">
        <v>17080.275999999998</v>
      </c>
      <c r="AL37" s="201">
        <v>9901951</v>
      </c>
      <c r="AM37" s="176">
        <v>23201.462</v>
      </c>
      <c r="AN37" s="176">
        <v>9914174</v>
      </c>
      <c r="AO37" s="201">
        <v>39518</v>
      </c>
      <c r="AP37" s="201">
        <v>15085665</v>
      </c>
      <c r="AQ37" s="201">
        <v>55280.813999999998</v>
      </c>
      <c r="AR37" s="201">
        <v>17225445.539999999</v>
      </c>
      <c r="AS37" s="201">
        <v>73081</v>
      </c>
      <c r="AT37" s="201">
        <v>25761448</v>
      </c>
      <c r="AU37" s="209">
        <v>91383</v>
      </c>
      <c r="AV37" s="209">
        <v>44902919</v>
      </c>
      <c r="AW37" s="175">
        <v>70397</v>
      </c>
      <c r="AX37" s="175">
        <v>32690023</v>
      </c>
      <c r="AY37" s="175">
        <v>56492</v>
      </c>
      <c r="AZ37" s="175">
        <v>24317218</v>
      </c>
      <c r="BA37" s="178"/>
      <c r="BB37" s="175"/>
      <c r="BC37" s="178"/>
      <c r="BD37" s="175"/>
      <c r="BE37" s="178"/>
      <c r="BF37" s="175"/>
      <c r="BG37" s="178"/>
      <c r="BH37" s="200"/>
      <c r="BI37" s="178"/>
      <c r="BJ37" s="98"/>
      <c r="BK37" s="11"/>
      <c r="BL37" s="148"/>
      <c r="BM37" s="14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c r="KT37" s="98"/>
      <c r="KU37" s="98"/>
      <c r="KV37" s="98"/>
      <c r="KW37" s="98"/>
      <c r="KX37" s="98"/>
      <c r="KY37" s="98"/>
      <c r="KZ37" s="98"/>
      <c r="LA37" s="98"/>
      <c r="LB37" s="98"/>
      <c r="LC37" s="98"/>
      <c r="LD37" s="98"/>
      <c r="LE37" s="98"/>
      <c r="LF37" s="98"/>
      <c r="LG37" s="98"/>
      <c r="LH37" s="98"/>
      <c r="LI37" s="98"/>
      <c r="LJ37" s="98"/>
      <c r="LK37" s="98"/>
      <c r="LL37" s="98"/>
      <c r="LM37" s="98"/>
      <c r="LN37" s="98"/>
      <c r="LO37" s="98"/>
      <c r="LP37" s="98"/>
      <c r="LQ37" s="98"/>
      <c r="LR37" s="98"/>
      <c r="LS37" s="98"/>
      <c r="LT37" s="98"/>
      <c r="LU37" s="98"/>
      <c r="LV37" s="98"/>
      <c r="LW37" s="98"/>
      <c r="LX37" s="98"/>
      <c r="LY37" s="98"/>
      <c r="LZ37" s="98"/>
      <c r="MA37" s="98"/>
      <c r="MB37" s="98"/>
      <c r="MC37" s="98"/>
      <c r="MD37" s="98"/>
      <c r="ME37" s="98"/>
      <c r="MF37" s="98"/>
      <c r="MG37" s="98"/>
      <c r="MH37" s="98"/>
      <c r="MI37" s="98"/>
      <c r="MJ37" s="98"/>
      <c r="MK37" s="98"/>
      <c r="ML37" s="98"/>
      <c r="MM37" s="98"/>
      <c r="MN37" s="98"/>
      <c r="MO37" s="98"/>
      <c r="MP37" s="98"/>
      <c r="MQ37" s="98"/>
      <c r="MR37" s="98"/>
      <c r="MS37" s="98"/>
      <c r="MT37" s="98"/>
      <c r="MU37" s="98"/>
      <c r="MV37" s="98"/>
      <c r="MW37" s="98"/>
      <c r="MX37" s="98"/>
      <c r="MY37" s="98"/>
      <c r="MZ37" s="98"/>
      <c r="NA37" s="98"/>
      <c r="NB37" s="98"/>
      <c r="NC37" s="98"/>
      <c r="ND37" s="98"/>
      <c r="NE37" s="98"/>
      <c r="NF37" s="98"/>
      <c r="NG37" s="98"/>
      <c r="NH37" s="98"/>
      <c r="NI37" s="98"/>
      <c r="NJ37" s="98"/>
      <c r="NK37" s="98"/>
      <c r="NL37" s="98"/>
      <c r="NM37" s="98"/>
      <c r="NN37" s="98"/>
      <c r="NO37" s="98"/>
      <c r="NP37" s="98"/>
      <c r="NQ37" s="98"/>
      <c r="NR37" s="98"/>
      <c r="NS37" s="98"/>
      <c r="NT37" s="98"/>
      <c r="NU37" s="98"/>
      <c r="NV37" s="98"/>
      <c r="NW37" s="98"/>
      <c r="NX37" s="98"/>
      <c r="NY37" s="98"/>
      <c r="NZ37" s="98"/>
      <c r="OA37" s="98"/>
      <c r="OB37" s="98"/>
      <c r="OC37" s="98"/>
      <c r="OD37" s="98"/>
      <c r="OE37" s="98"/>
      <c r="OF37" s="98"/>
      <c r="OG37" s="98"/>
      <c r="OH37" s="98"/>
      <c r="OI37" s="98"/>
      <c r="OJ37" s="98"/>
      <c r="OK37" s="98"/>
      <c r="OL37" s="98"/>
      <c r="OM37" s="98"/>
      <c r="ON37" s="98"/>
      <c r="OO37" s="98"/>
      <c r="OP37" s="98"/>
      <c r="OQ37" s="98"/>
      <c r="OR37" s="98"/>
      <c r="OS37" s="98"/>
      <c r="OT37" s="98"/>
      <c r="OU37" s="98"/>
      <c r="OV37" s="98"/>
      <c r="OW37" s="98"/>
      <c r="OX37" s="98"/>
      <c r="OY37" s="98"/>
      <c r="OZ37" s="98"/>
      <c r="PA37" s="98"/>
      <c r="PB37" s="98"/>
      <c r="PC37" s="98"/>
      <c r="PD37" s="98"/>
      <c r="PE37" s="98"/>
      <c r="PF37" s="98"/>
      <c r="PG37" s="98"/>
      <c r="PH37" s="98"/>
      <c r="PI37" s="98"/>
      <c r="PJ37" s="98"/>
      <c r="PK37" s="98"/>
      <c r="PL37" s="98"/>
      <c r="PM37" s="98"/>
      <c r="PN37" s="98"/>
      <c r="PO37" s="98"/>
      <c r="PP37" s="98"/>
      <c r="PQ37" s="98"/>
      <c r="PR37" s="98"/>
      <c r="PS37" s="98"/>
      <c r="PT37" s="98"/>
      <c r="PU37" s="98"/>
      <c r="PV37" s="98"/>
      <c r="PW37" s="98"/>
      <c r="PX37" s="98"/>
      <c r="PY37" s="98"/>
      <c r="PZ37" s="98"/>
      <c r="QA37" s="98"/>
      <c r="QB37" s="98"/>
      <c r="QC37" s="98"/>
      <c r="QD37" s="98"/>
      <c r="QE37" s="98"/>
      <c r="QF37" s="98"/>
      <c r="QG37" s="98"/>
      <c r="QH37" s="98"/>
      <c r="QI37" s="98"/>
      <c r="QJ37" s="98"/>
      <c r="QK37" s="98"/>
      <c r="QL37" s="98"/>
      <c r="QM37" s="98"/>
      <c r="QN37" s="98"/>
      <c r="QO37" s="98"/>
      <c r="QP37" s="98"/>
      <c r="QQ37" s="98"/>
      <c r="QR37" s="98"/>
      <c r="QS37" s="98"/>
      <c r="QT37" s="98"/>
      <c r="QU37" s="98"/>
      <c r="QV37" s="98"/>
      <c r="QW37" s="98"/>
      <c r="QX37" s="98"/>
      <c r="QY37" s="98"/>
      <c r="QZ37" s="98"/>
      <c r="RA37" s="98"/>
      <c r="RB37" s="98"/>
      <c r="RC37" s="98"/>
      <c r="RD37" s="98"/>
      <c r="RE37" s="98"/>
      <c r="RF37" s="98"/>
      <c r="RG37" s="98"/>
      <c r="RH37" s="98"/>
      <c r="RI37" s="98"/>
      <c r="RJ37" s="98"/>
      <c r="RK37" s="98"/>
      <c r="RL37" s="98"/>
      <c r="RM37" s="98"/>
      <c r="RN37" s="98"/>
      <c r="RO37" s="98"/>
      <c r="RP37" s="98"/>
      <c r="RQ37" s="98"/>
      <c r="RR37" s="98"/>
      <c r="RS37" s="98"/>
      <c r="RT37" s="98"/>
      <c r="RU37" s="98"/>
      <c r="RV37" s="98"/>
      <c r="RW37" s="98"/>
      <c r="RX37" s="98"/>
      <c r="RY37" s="98"/>
      <c r="RZ37" s="98"/>
      <c r="SA37" s="98"/>
      <c r="SB37" s="98"/>
      <c r="SC37" s="98"/>
      <c r="SD37" s="98"/>
      <c r="SE37" s="98"/>
      <c r="SF37" s="98"/>
      <c r="SG37" s="98"/>
      <c r="SH37" s="98"/>
      <c r="SI37" s="98"/>
      <c r="SJ37" s="98"/>
      <c r="SK37" s="98"/>
      <c r="SL37" s="98"/>
      <c r="SM37" s="98"/>
      <c r="SN37" s="98"/>
      <c r="SO37" s="98"/>
      <c r="SP37" s="98"/>
      <c r="SQ37" s="98"/>
      <c r="SR37" s="98"/>
      <c r="SS37" s="98"/>
      <c r="ST37" s="98"/>
      <c r="SU37" s="98"/>
      <c r="SV37" s="98"/>
      <c r="SW37" s="98"/>
      <c r="SX37" s="98"/>
      <c r="SY37" s="98"/>
      <c r="SZ37" s="98"/>
      <c r="TA37" s="98"/>
      <c r="TB37" s="98"/>
      <c r="TC37" s="98"/>
      <c r="TD37" s="98"/>
      <c r="TE37" s="98"/>
      <c r="TF37" s="98"/>
      <c r="TG37" s="98"/>
      <c r="TH37" s="98"/>
      <c r="TI37" s="98"/>
      <c r="TJ37" s="98"/>
      <c r="TK37" s="98"/>
      <c r="TL37" s="98"/>
      <c r="TM37" s="98"/>
      <c r="TN37" s="98"/>
      <c r="TO37" s="98"/>
      <c r="TP37" s="98"/>
      <c r="TQ37" s="98"/>
      <c r="TR37" s="98"/>
      <c r="TS37" s="98"/>
      <c r="TT37" s="98"/>
      <c r="TU37" s="98"/>
      <c r="TV37" s="98"/>
      <c r="TW37" s="98"/>
      <c r="TX37" s="98"/>
      <c r="TY37" s="98"/>
      <c r="TZ37" s="98"/>
      <c r="UA37" s="98"/>
      <c r="UB37" s="98"/>
      <c r="UC37" s="98"/>
      <c r="UD37" s="98"/>
      <c r="UE37" s="98"/>
      <c r="UF37" s="98"/>
      <c r="UG37" s="98"/>
      <c r="UH37" s="98"/>
      <c r="UI37" s="98"/>
      <c r="UJ37" s="98"/>
      <c r="UK37" s="98"/>
      <c r="UL37" s="98"/>
      <c r="UM37" s="98"/>
      <c r="UN37" s="98"/>
      <c r="UO37" s="98"/>
      <c r="UP37" s="98"/>
      <c r="UQ37" s="98"/>
      <c r="UR37" s="98"/>
      <c r="US37" s="98"/>
      <c r="UT37" s="98"/>
      <c r="UU37" s="98"/>
      <c r="UV37" s="98"/>
      <c r="UW37" s="98"/>
      <c r="UX37" s="98"/>
      <c r="UY37" s="98"/>
      <c r="UZ37" s="98"/>
      <c r="VA37" s="98"/>
      <c r="VB37" s="98"/>
      <c r="VC37" s="98"/>
      <c r="VD37" s="98"/>
      <c r="VE37" s="98"/>
      <c r="VF37" s="98"/>
      <c r="VG37" s="98"/>
      <c r="VH37" s="98"/>
      <c r="VI37" s="98"/>
      <c r="VJ37" s="98"/>
      <c r="VK37" s="98"/>
      <c r="VL37" s="98"/>
      <c r="VM37" s="98"/>
      <c r="VN37" s="98"/>
      <c r="VO37" s="98"/>
      <c r="VP37" s="98"/>
      <c r="VQ37" s="98"/>
      <c r="VR37" s="98"/>
      <c r="VS37" s="98"/>
      <c r="VT37" s="98"/>
      <c r="VU37" s="98"/>
      <c r="VV37" s="98"/>
      <c r="VW37" s="98"/>
      <c r="VX37" s="98"/>
      <c r="VY37" s="98"/>
      <c r="VZ37" s="98"/>
      <c r="WA37" s="98"/>
      <c r="WB37" s="98"/>
      <c r="WC37" s="98"/>
      <c r="WD37" s="98"/>
      <c r="WE37" s="98"/>
      <c r="WF37" s="98"/>
      <c r="WG37" s="98"/>
      <c r="WH37" s="98"/>
      <c r="WI37" s="98"/>
      <c r="WJ37" s="98"/>
      <c r="WK37" s="98"/>
      <c r="WL37" s="98"/>
      <c r="WM37" s="98"/>
      <c r="WN37" s="98"/>
      <c r="WO37" s="98"/>
      <c r="WP37" s="98"/>
      <c r="WQ37" s="98"/>
      <c r="WR37" s="98"/>
      <c r="WS37" s="98"/>
      <c r="WT37" s="98"/>
      <c r="WU37" s="98"/>
      <c r="WV37" s="98"/>
      <c r="WW37" s="98"/>
      <c r="WX37" s="98"/>
      <c r="WY37" s="98"/>
      <c r="WZ37" s="98"/>
      <c r="XA37" s="98"/>
      <c r="XB37" s="98"/>
      <c r="XC37" s="98"/>
      <c r="XD37" s="98"/>
      <c r="XE37" s="98"/>
      <c r="XF37" s="98"/>
      <c r="XG37" s="98"/>
      <c r="XH37" s="98"/>
      <c r="XI37" s="98"/>
      <c r="XJ37" s="98"/>
      <c r="XK37" s="98"/>
      <c r="XL37" s="98"/>
      <c r="XM37" s="98"/>
      <c r="XN37" s="98"/>
      <c r="XO37" s="98"/>
      <c r="XP37" s="98"/>
      <c r="XQ37" s="98"/>
      <c r="XR37" s="98"/>
      <c r="XS37" s="98"/>
      <c r="XT37" s="98"/>
      <c r="XU37" s="98"/>
      <c r="XV37" s="98"/>
      <c r="XW37" s="98"/>
      <c r="XX37" s="98"/>
      <c r="XY37" s="98"/>
      <c r="XZ37" s="98"/>
      <c r="YA37" s="98"/>
      <c r="YB37" s="98"/>
      <c r="YC37" s="98"/>
      <c r="YD37" s="98"/>
      <c r="YE37" s="98"/>
      <c r="YF37" s="98"/>
      <c r="YG37" s="98"/>
      <c r="YH37" s="98"/>
      <c r="YI37" s="98"/>
      <c r="YJ37" s="98"/>
      <c r="YK37" s="98"/>
      <c r="YL37" s="98"/>
      <c r="YM37" s="98"/>
      <c r="YN37" s="98"/>
      <c r="YO37" s="98"/>
      <c r="YP37" s="98"/>
      <c r="YQ37" s="98"/>
      <c r="YR37" s="98"/>
      <c r="YS37" s="98"/>
      <c r="YT37" s="98"/>
      <c r="YU37" s="98"/>
      <c r="YV37" s="98"/>
      <c r="YW37" s="98"/>
      <c r="YX37" s="98"/>
      <c r="YY37" s="98"/>
      <c r="YZ37" s="98"/>
      <c r="ZA37" s="98"/>
      <c r="ZB37" s="98"/>
      <c r="ZC37" s="98"/>
      <c r="ZD37" s="98"/>
      <c r="ZE37" s="98"/>
      <c r="ZF37" s="98"/>
      <c r="ZG37" s="98"/>
      <c r="ZH37" s="98"/>
      <c r="ZI37" s="98"/>
      <c r="ZJ37" s="98"/>
      <c r="ZK37" s="98"/>
      <c r="ZL37" s="98"/>
      <c r="ZM37" s="98"/>
      <c r="ZN37" s="98"/>
      <c r="ZO37" s="98"/>
      <c r="ZP37" s="98"/>
      <c r="ZQ37" s="98"/>
      <c r="ZR37" s="98"/>
      <c r="ZS37" s="98"/>
      <c r="ZT37" s="98"/>
      <c r="ZU37" s="98"/>
      <c r="ZV37" s="98"/>
      <c r="ZW37" s="98"/>
      <c r="ZX37" s="98"/>
      <c r="ZY37" s="98"/>
      <c r="ZZ37" s="98"/>
      <c r="AAA37" s="98"/>
      <c r="AAB37" s="98"/>
      <c r="AAC37" s="98"/>
      <c r="AAD37" s="98"/>
      <c r="AAE37" s="98"/>
      <c r="AAF37" s="98"/>
      <c r="AAG37" s="98"/>
      <c r="AAH37" s="98"/>
      <c r="AAI37" s="98"/>
      <c r="AAJ37" s="98"/>
      <c r="AAK37" s="98"/>
      <c r="AAL37" s="98"/>
      <c r="AAM37" s="98"/>
      <c r="AAN37" s="98"/>
      <c r="AAO37" s="98"/>
      <c r="AAP37" s="98"/>
      <c r="AAQ37" s="98"/>
      <c r="AAR37" s="98"/>
      <c r="AAS37" s="98"/>
      <c r="AAT37" s="98"/>
      <c r="AAU37" s="98"/>
      <c r="AAV37" s="98"/>
      <c r="AAW37" s="98"/>
      <c r="AAX37" s="98"/>
      <c r="AAY37" s="98"/>
      <c r="AAZ37" s="98"/>
      <c r="ABA37" s="98"/>
      <c r="ABB37" s="98"/>
      <c r="ABC37" s="98"/>
      <c r="ABD37" s="98"/>
      <c r="ABE37" s="98"/>
      <c r="ABF37" s="98"/>
      <c r="ABG37" s="98"/>
      <c r="ABH37" s="98"/>
      <c r="ABI37" s="98"/>
      <c r="ABJ37" s="98"/>
      <c r="ABK37" s="98"/>
      <c r="ABL37" s="98"/>
      <c r="ABM37" s="98"/>
      <c r="ABN37" s="98"/>
      <c r="ABO37" s="98"/>
      <c r="ABP37" s="98"/>
      <c r="ABQ37" s="98"/>
      <c r="ABR37" s="98"/>
      <c r="ABS37" s="98"/>
      <c r="ABT37" s="98"/>
      <c r="ABU37" s="98"/>
      <c r="ABV37" s="98"/>
      <c r="ABW37" s="98"/>
      <c r="ABX37" s="98"/>
      <c r="ABY37" s="98"/>
      <c r="ABZ37" s="98"/>
      <c r="ACA37" s="98"/>
      <c r="ACB37" s="98"/>
      <c r="ACC37" s="98"/>
      <c r="ACD37" s="98"/>
      <c r="ACE37" s="98"/>
      <c r="ACF37" s="98"/>
      <c r="ACG37" s="98"/>
      <c r="ACH37" s="98"/>
      <c r="ACI37" s="98"/>
      <c r="ACJ37" s="98"/>
      <c r="ACK37" s="98"/>
      <c r="ACL37" s="98"/>
      <c r="ACM37" s="98"/>
      <c r="ACN37" s="98"/>
      <c r="ACO37" s="98"/>
      <c r="ACP37" s="98"/>
      <c r="ACQ37" s="98"/>
      <c r="ACR37" s="98"/>
      <c r="ACS37" s="98"/>
      <c r="ACT37" s="98"/>
      <c r="ACU37" s="98"/>
      <c r="ACV37" s="98"/>
      <c r="ACW37" s="98"/>
      <c r="ACX37" s="98"/>
      <c r="ACY37" s="98"/>
      <c r="ACZ37" s="98"/>
      <c r="ADA37" s="98"/>
      <c r="ADB37" s="98"/>
      <c r="ADC37" s="98"/>
      <c r="ADD37" s="98"/>
      <c r="ADE37" s="98"/>
      <c r="ADF37" s="98"/>
      <c r="ADG37" s="98"/>
      <c r="ADH37" s="98"/>
      <c r="ADI37" s="98"/>
      <c r="ADJ37" s="98"/>
      <c r="ADK37" s="98"/>
      <c r="ADL37" s="98"/>
      <c r="ADM37" s="98"/>
      <c r="ADN37" s="98"/>
      <c r="ADO37" s="98"/>
      <c r="ADP37" s="98"/>
      <c r="ADQ37" s="98"/>
      <c r="ADR37" s="98"/>
      <c r="ADS37" s="98"/>
      <c r="ADT37" s="98"/>
      <c r="ADU37" s="98"/>
      <c r="ADV37" s="98"/>
      <c r="ADW37" s="98"/>
      <c r="ADX37" s="98"/>
      <c r="ADY37" s="98"/>
      <c r="ADZ37" s="98"/>
      <c r="AEA37" s="98"/>
      <c r="AEB37" s="98"/>
      <c r="AEC37" s="98"/>
      <c r="AED37" s="98"/>
      <c r="AEE37" s="98"/>
      <c r="AEF37" s="98"/>
      <c r="AEG37" s="98"/>
      <c r="AEH37" s="98"/>
      <c r="AEI37" s="98"/>
      <c r="AEJ37" s="98"/>
      <c r="AEK37" s="98"/>
      <c r="AEL37" s="98"/>
      <c r="AEM37" s="98"/>
      <c r="AEN37" s="98"/>
      <c r="AEO37" s="98"/>
      <c r="AEP37" s="98"/>
      <c r="AEQ37" s="98"/>
      <c r="AER37" s="98"/>
      <c r="AES37" s="98"/>
      <c r="AET37" s="98"/>
      <c r="AEU37" s="98"/>
      <c r="AEV37" s="98"/>
      <c r="AEW37" s="98"/>
      <c r="AEX37" s="98"/>
      <c r="AEY37" s="98"/>
      <c r="AEZ37" s="98"/>
      <c r="AFA37" s="98"/>
      <c r="AFB37" s="98"/>
      <c r="AFC37" s="98"/>
      <c r="AFD37" s="98"/>
      <c r="AFE37" s="98"/>
      <c r="AFF37" s="98"/>
      <c r="AFG37" s="98"/>
      <c r="AFH37" s="98"/>
      <c r="AFI37" s="98"/>
      <c r="AFJ37" s="98"/>
      <c r="AFK37" s="98"/>
      <c r="AFL37" s="98"/>
      <c r="AFM37" s="98"/>
      <c r="AFN37" s="98"/>
      <c r="AFO37" s="98"/>
      <c r="AFP37" s="98"/>
      <c r="AFQ37" s="98"/>
      <c r="AFR37" s="98"/>
      <c r="AFS37" s="98"/>
      <c r="AFT37" s="98"/>
      <c r="AFU37" s="98"/>
      <c r="AFV37" s="98"/>
      <c r="AFW37" s="98"/>
      <c r="AFX37" s="98"/>
      <c r="AFY37" s="98"/>
      <c r="AFZ37" s="98"/>
      <c r="AGA37" s="98"/>
      <c r="AGB37" s="98"/>
      <c r="AGC37" s="98"/>
      <c r="AGD37" s="98"/>
      <c r="AGE37" s="98"/>
      <c r="AGF37" s="98"/>
      <c r="AGG37" s="98"/>
      <c r="AGH37" s="98"/>
      <c r="AGI37" s="98"/>
      <c r="AGJ37" s="98"/>
      <c r="AGK37" s="98"/>
      <c r="AGL37" s="98"/>
      <c r="AGM37" s="98"/>
      <c r="AGN37" s="98"/>
      <c r="AGO37" s="98"/>
      <c r="AGP37" s="98"/>
      <c r="AGQ37" s="98"/>
      <c r="AGR37" s="98"/>
      <c r="AGS37" s="98"/>
      <c r="AGT37" s="98"/>
      <c r="AGU37" s="98"/>
      <c r="AGV37" s="98"/>
      <c r="AGW37" s="98"/>
      <c r="AGX37" s="98"/>
      <c r="AGY37" s="98"/>
      <c r="AGZ37" s="98"/>
      <c r="AHA37" s="98"/>
      <c r="AHB37" s="98"/>
      <c r="AHC37" s="98"/>
      <c r="AHD37" s="98"/>
      <c r="AHE37" s="98"/>
      <c r="AHF37" s="98"/>
      <c r="AHG37" s="98"/>
      <c r="AHH37" s="98"/>
      <c r="AHI37" s="98"/>
      <c r="AHJ37" s="98"/>
      <c r="AHK37" s="98"/>
      <c r="AHL37" s="98"/>
      <c r="AHM37" s="98"/>
      <c r="AHN37" s="98"/>
      <c r="AHO37" s="98"/>
      <c r="AHP37" s="98"/>
      <c r="AHQ37" s="98"/>
      <c r="AHR37" s="98"/>
      <c r="AHS37" s="98"/>
      <c r="AHT37" s="98"/>
      <c r="AHU37" s="98"/>
      <c r="AHV37" s="98"/>
      <c r="AHW37" s="98"/>
      <c r="AHX37" s="98"/>
      <c r="AHY37" s="98"/>
      <c r="AHZ37" s="98"/>
      <c r="AIA37" s="98"/>
      <c r="AIB37" s="98"/>
      <c r="AIC37" s="98"/>
      <c r="AID37" s="98"/>
      <c r="AIE37" s="98"/>
      <c r="AIF37" s="98"/>
      <c r="AIG37" s="98"/>
      <c r="AIH37" s="98"/>
      <c r="AII37" s="98"/>
      <c r="AIJ37" s="98"/>
      <c r="AIK37" s="98"/>
      <c r="AIL37" s="98"/>
      <c r="AIM37" s="98"/>
      <c r="AIN37" s="98"/>
      <c r="AIO37" s="98"/>
      <c r="AIP37" s="98"/>
      <c r="AIQ37" s="98"/>
      <c r="AIR37" s="98"/>
      <c r="AIS37" s="98"/>
      <c r="AIT37" s="98"/>
      <c r="AIU37" s="98"/>
      <c r="AIV37" s="98"/>
      <c r="AIW37" s="98"/>
      <c r="AIX37" s="98"/>
      <c r="AIY37" s="98"/>
      <c r="AIZ37" s="98"/>
      <c r="AJA37" s="98"/>
      <c r="AJB37" s="98"/>
      <c r="AJC37" s="98"/>
      <c r="AJD37" s="98"/>
      <c r="AJE37" s="98"/>
      <c r="AJF37" s="98"/>
      <c r="AJG37" s="98"/>
      <c r="AJH37" s="98"/>
      <c r="AJI37" s="98"/>
      <c r="AJJ37" s="98"/>
      <c r="AJK37" s="98"/>
      <c r="AJL37" s="98"/>
      <c r="AJM37" s="98"/>
      <c r="AJN37" s="98"/>
      <c r="AJO37" s="98"/>
      <c r="AJP37" s="98"/>
      <c r="AJQ37" s="98"/>
      <c r="AJR37" s="98"/>
      <c r="AJS37" s="98"/>
      <c r="AJT37" s="98"/>
      <c r="AJU37" s="98"/>
      <c r="AJV37" s="98"/>
      <c r="AJW37" s="98"/>
      <c r="AJX37" s="98"/>
      <c r="AJY37" s="98"/>
      <c r="AJZ37" s="98"/>
      <c r="AKA37" s="98"/>
      <c r="AKB37" s="98"/>
      <c r="AKC37" s="98"/>
      <c r="AKD37" s="98"/>
      <c r="AKE37" s="98"/>
      <c r="AKF37" s="98"/>
      <c r="AKG37" s="98"/>
      <c r="AKH37" s="98"/>
      <c r="AKI37" s="98"/>
      <c r="AKJ37" s="98"/>
      <c r="AKK37" s="98"/>
      <c r="AKL37" s="98"/>
      <c r="AKM37" s="98"/>
      <c r="AKN37" s="98"/>
      <c r="AKO37" s="98"/>
      <c r="AKP37" s="98"/>
      <c r="AKQ37" s="98"/>
      <c r="AKR37" s="98"/>
      <c r="AKS37" s="98"/>
      <c r="AKT37" s="98"/>
      <c r="AKU37" s="98"/>
      <c r="AKV37" s="98"/>
      <c r="AKW37" s="98"/>
      <c r="AKX37" s="98"/>
      <c r="AKY37" s="98"/>
      <c r="AKZ37" s="98"/>
      <c r="ALA37" s="98"/>
      <c r="ALB37" s="98"/>
      <c r="ALC37" s="98"/>
      <c r="ALD37" s="98"/>
      <c r="ALE37" s="98"/>
      <c r="ALF37" s="98"/>
      <c r="ALG37" s="98"/>
      <c r="ALH37" s="98"/>
      <c r="ALI37" s="98"/>
      <c r="ALJ37" s="98"/>
      <c r="ALK37" s="98"/>
      <c r="ALL37" s="98"/>
      <c r="ALM37" s="98"/>
      <c r="ALN37" s="98"/>
      <c r="ALO37" s="98"/>
      <c r="ALP37" s="98"/>
      <c r="ALQ37" s="98"/>
      <c r="ALR37" s="98"/>
      <c r="ALS37" s="98"/>
      <c r="ALT37" s="98"/>
      <c r="ALU37" s="98"/>
      <c r="ALV37" s="98"/>
      <c r="ALW37" s="98"/>
      <c r="ALX37" s="98"/>
      <c r="ALY37" s="98"/>
      <c r="ALZ37" s="98"/>
      <c r="AMA37" s="98"/>
      <c r="AMB37" s="98"/>
      <c r="AMC37" s="98"/>
      <c r="AMD37" s="98"/>
      <c r="AME37" s="98"/>
      <c r="AMF37" s="98"/>
      <c r="AMG37" s="98"/>
      <c r="AMH37" s="98"/>
      <c r="AMI37" s="98"/>
      <c r="AMJ37" s="98"/>
      <c r="AMK37" s="98"/>
      <c r="AML37" s="98"/>
      <c r="AMM37" s="98"/>
      <c r="AMN37" s="98"/>
      <c r="AMO37" s="98"/>
      <c r="AMP37" s="98"/>
      <c r="AMQ37" s="98"/>
      <c r="AMR37" s="98"/>
      <c r="AMS37" s="98"/>
      <c r="AMT37" s="98"/>
      <c r="AMU37" s="98"/>
      <c r="AMV37" s="98"/>
      <c r="AMW37" s="98"/>
      <c r="AMX37" s="98"/>
      <c r="AMY37" s="98"/>
      <c r="AMZ37" s="98"/>
      <c r="ANA37" s="98"/>
      <c r="ANB37" s="98"/>
      <c r="ANC37" s="98"/>
      <c r="AND37" s="98"/>
      <c r="ANE37" s="98"/>
      <c r="ANF37" s="98"/>
      <c r="ANG37" s="98"/>
      <c r="ANH37" s="98"/>
      <c r="ANI37" s="98"/>
      <c r="ANJ37" s="98"/>
      <c r="ANK37" s="98"/>
      <c r="ANL37" s="98"/>
      <c r="ANM37" s="98"/>
      <c r="ANN37" s="98"/>
      <c r="ANO37" s="98"/>
      <c r="ANP37" s="98"/>
      <c r="ANQ37" s="98"/>
      <c r="ANR37" s="98"/>
      <c r="ANS37" s="98"/>
      <c r="ANT37" s="98"/>
      <c r="ANU37" s="98"/>
      <c r="ANV37" s="98"/>
      <c r="ANW37" s="98"/>
      <c r="ANX37" s="98"/>
      <c r="ANY37" s="98"/>
      <c r="ANZ37" s="98"/>
      <c r="AOA37" s="98"/>
      <c r="AOB37" s="98"/>
      <c r="AOC37" s="98"/>
      <c r="AOD37" s="98"/>
      <c r="AOE37" s="98"/>
      <c r="AOF37" s="98"/>
      <c r="AOG37" s="98"/>
      <c r="AOH37" s="98"/>
      <c r="AOI37" s="98"/>
      <c r="AOJ37" s="98"/>
      <c r="AOK37" s="98"/>
      <c r="AOL37" s="98"/>
      <c r="AOM37" s="98"/>
      <c r="AON37" s="98"/>
      <c r="AOO37" s="98"/>
      <c r="AOP37" s="98"/>
      <c r="AOQ37" s="98"/>
      <c r="AOR37" s="98"/>
      <c r="AOS37" s="98"/>
      <c r="AOT37" s="98"/>
      <c r="AOU37" s="98"/>
      <c r="AOV37" s="98"/>
      <c r="AOW37" s="98"/>
      <c r="AOX37" s="98"/>
      <c r="AOY37" s="98"/>
      <c r="AOZ37" s="98"/>
      <c r="APA37" s="98"/>
      <c r="APB37" s="98"/>
      <c r="APC37" s="98"/>
      <c r="APD37" s="98"/>
      <c r="APE37" s="98"/>
      <c r="APF37" s="98"/>
      <c r="APG37" s="98"/>
      <c r="APH37" s="98"/>
      <c r="API37" s="98"/>
      <c r="APJ37" s="98"/>
      <c r="APK37" s="98"/>
      <c r="APL37" s="98"/>
      <c r="APM37" s="98"/>
      <c r="APN37" s="98"/>
      <c r="APO37" s="98"/>
      <c r="APP37" s="98"/>
      <c r="APQ37" s="98"/>
      <c r="APR37" s="98"/>
      <c r="APS37" s="98"/>
      <c r="APT37" s="98"/>
      <c r="APU37" s="98"/>
      <c r="APV37" s="98"/>
      <c r="APW37" s="98"/>
      <c r="APX37" s="98"/>
      <c r="APY37" s="98"/>
      <c r="APZ37" s="98"/>
      <c r="AQA37" s="98"/>
      <c r="AQB37" s="98"/>
      <c r="AQC37" s="98"/>
      <c r="AQD37" s="98"/>
      <c r="AQE37" s="98"/>
      <c r="AQF37" s="98"/>
      <c r="AQG37" s="98"/>
      <c r="AQH37" s="98"/>
      <c r="AQI37" s="98"/>
      <c r="AQJ37" s="98"/>
      <c r="AQK37" s="98"/>
      <c r="AQL37" s="98"/>
      <c r="AQM37" s="98"/>
      <c r="AQN37" s="98"/>
      <c r="AQO37" s="98"/>
      <c r="AQP37" s="98"/>
      <c r="AQQ37" s="98"/>
      <c r="AQR37" s="98"/>
      <c r="AQS37" s="98"/>
      <c r="AQT37" s="98"/>
      <c r="AQU37" s="98"/>
      <c r="AQV37" s="98"/>
      <c r="AQW37" s="98"/>
      <c r="AQX37" s="98"/>
      <c r="AQY37" s="98"/>
      <c r="AQZ37" s="98"/>
      <c r="ARA37" s="98"/>
      <c r="ARB37" s="98"/>
      <c r="ARC37" s="98"/>
      <c r="ARD37" s="98"/>
      <c r="ARE37" s="98"/>
      <c r="ARF37" s="98"/>
      <c r="ARG37" s="98"/>
      <c r="ARH37" s="98"/>
      <c r="ARI37" s="98"/>
      <c r="ARJ37" s="98"/>
      <c r="ARK37" s="98"/>
      <c r="ARL37" s="98"/>
      <c r="ARM37" s="98"/>
      <c r="ARN37" s="98"/>
      <c r="ARO37" s="98"/>
      <c r="ARP37" s="98"/>
      <c r="ARQ37" s="98"/>
      <c r="ARR37" s="98"/>
    </row>
    <row r="38" spans="1:1162" s="174" customFormat="1">
      <c r="A38" s="140" t="s">
        <v>244</v>
      </c>
      <c r="B38" s="119" t="s">
        <v>67</v>
      </c>
      <c r="C38" s="175">
        <v>2934</v>
      </c>
      <c r="D38" s="175"/>
      <c r="E38" s="175">
        <v>0</v>
      </c>
      <c r="F38" s="175">
        <v>0</v>
      </c>
      <c r="G38" s="175">
        <v>3613</v>
      </c>
      <c r="H38" s="175">
        <v>2899744</v>
      </c>
      <c r="I38" s="175">
        <v>48018</v>
      </c>
      <c r="J38" s="175">
        <v>18709900</v>
      </c>
      <c r="K38" s="175">
        <v>13158</v>
      </c>
      <c r="L38" s="175">
        <v>5373969</v>
      </c>
      <c r="M38" s="175">
        <v>35640</v>
      </c>
      <c r="N38" s="175">
        <v>17318707</v>
      </c>
      <c r="O38" s="175">
        <v>51977</v>
      </c>
      <c r="P38" s="175">
        <v>14815986</v>
      </c>
      <c r="Q38" s="175">
        <v>23969</v>
      </c>
      <c r="R38" s="175">
        <v>5228455</v>
      </c>
      <c r="S38" s="175">
        <v>0</v>
      </c>
      <c r="T38" s="175">
        <v>0</v>
      </c>
      <c r="U38" s="197">
        <v>20250</v>
      </c>
      <c r="V38" s="197">
        <v>14698390</v>
      </c>
      <c r="W38" s="197">
        <v>38064</v>
      </c>
      <c r="X38" s="197">
        <v>48153946</v>
      </c>
      <c r="Y38" s="197">
        <v>51704</v>
      </c>
      <c r="Z38" s="197">
        <v>61546194</v>
      </c>
      <c r="AA38" s="209">
        <v>112015</v>
      </c>
      <c r="AB38" s="209">
        <v>94691818</v>
      </c>
      <c r="AC38" s="175">
        <v>141385</v>
      </c>
      <c r="AD38" s="175">
        <v>132984006</v>
      </c>
      <c r="AE38" s="175">
        <v>141096</v>
      </c>
      <c r="AF38" s="175">
        <v>87020276</v>
      </c>
      <c r="AG38" s="209">
        <v>123621</v>
      </c>
      <c r="AH38" s="209">
        <v>85143904</v>
      </c>
      <c r="AI38" s="209">
        <v>126336</v>
      </c>
      <c r="AJ38" s="209">
        <v>87733173</v>
      </c>
      <c r="AK38" s="201">
        <v>106855.298521</v>
      </c>
      <c r="AL38" s="201">
        <v>71282609</v>
      </c>
      <c r="AM38" s="176">
        <v>117198.171</v>
      </c>
      <c r="AN38" s="176">
        <v>118102298</v>
      </c>
      <c r="AO38" s="201">
        <v>149330</v>
      </c>
      <c r="AP38" s="201">
        <v>127850728</v>
      </c>
      <c r="AQ38" s="201">
        <v>222539.85500000001</v>
      </c>
      <c r="AR38" s="201">
        <v>219593277.06999999</v>
      </c>
      <c r="AS38" s="201">
        <v>257712.46</v>
      </c>
      <c r="AT38" s="201">
        <v>290114283</v>
      </c>
      <c r="AU38" s="209">
        <v>210837</v>
      </c>
      <c r="AV38" s="209">
        <v>208717514</v>
      </c>
      <c r="AW38" s="175">
        <v>218803</v>
      </c>
      <c r="AX38" s="175">
        <v>173064117</v>
      </c>
      <c r="AY38" s="175">
        <v>174550</v>
      </c>
      <c r="AZ38" s="175">
        <v>139734516</v>
      </c>
      <c r="BA38" s="178"/>
      <c r="BB38" s="175"/>
      <c r="BC38" s="178"/>
      <c r="BD38" s="175"/>
      <c r="BE38" s="178"/>
      <c r="BF38" s="175"/>
      <c r="BG38" s="178"/>
      <c r="BH38" s="175"/>
      <c r="BI38" s="178"/>
      <c r="BJ38" s="98"/>
      <c r="BK38" s="11"/>
      <c r="BL38" s="148"/>
      <c r="BM38" s="14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c r="JD38" s="98"/>
      <c r="JE38" s="98"/>
      <c r="JF38" s="98"/>
      <c r="JG38" s="98"/>
      <c r="JH38" s="98"/>
      <c r="JI38" s="98"/>
      <c r="JJ38" s="98"/>
      <c r="JK38" s="98"/>
      <c r="JL38" s="98"/>
      <c r="JM38" s="98"/>
      <c r="JN38" s="98"/>
      <c r="JO38" s="98"/>
      <c r="JP38" s="98"/>
      <c r="JQ38" s="98"/>
      <c r="JR38" s="98"/>
      <c r="JS38" s="98"/>
      <c r="JT38" s="98"/>
      <c r="JU38" s="98"/>
      <c r="JV38" s="98"/>
      <c r="JW38" s="98"/>
      <c r="JX38" s="98"/>
      <c r="JY38" s="98"/>
      <c r="JZ38" s="98"/>
      <c r="KA38" s="98"/>
      <c r="KB38" s="98"/>
      <c r="KC38" s="98"/>
      <c r="KD38" s="98"/>
      <c r="KE38" s="98"/>
      <c r="KF38" s="98"/>
      <c r="KG38" s="98"/>
      <c r="KH38" s="98"/>
      <c r="KI38" s="98"/>
      <c r="KJ38" s="98"/>
      <c r="KK38" s="98"/>
      <c r="KL38" s="98"/>
      <c r="KM38" s="98"/>
      <c r="KN38" s="98"/>
      <c r="KO38" s="98"/>
      <c r="KP38" s="98"/>
      <c r="KQ38" s="98"/>
      <c r="KR38" s="98"/>
      <c r="KS38" s="98"/>
      <c r="KT38" s="98"/>
      <c r="KU38" s="98"/>
      <c r="KV38" s="98"/>
      <c r="KW38" s="98"/>
      <c r="KX38" s="98"/>
      <c r="KY38" s="98"/>
      <c r="KZ38" s="98"/>
      <c r="LA38" s="98"/>
      <c r="LB38" s="98"/>
      <c r="LC38" s="98"/>
      <c r="LD38" s="98"/>
      <c r="LE38" s="98"/>
      <c r="LF38" s="98"/>
      <c r="LG38" s="98"/>
      <c r="LH38" s="98"/>
      <c r="LI38" s="98"/>
      <c r="LJ38" s="98"/>
      <c r="LK38" s="98"/>
      <c r="LL38" s="98"/>
      <c r="LM38" s="98"/>
      <c r="LN38" s="98"/>
      <c r="LO38" s="98"/>
      <c r="LP38" s="98"/>
      <c r="LQ38" s="98"/>
      <c r="LR38" s="98"/>
      <c r="LS38" s="98"/>
      <c r="LT38" s="98"/>
      <c r="LU38" s="98"/>
      <c r="LV38" s="98"/>
      <c r="LW38" s="98"/>
      <c r="LX38" s="98"/>
      <c r="LY38" s="98"/>
      <c r="LZ38" s="98"/>
      <c r="MA38" s="98"/>
      <c r="MB38" s="98"/>
      <c r="MC38" s="98"/>
      <c r="MD38" s="98"/>
      <c r="ME38" s="98"/>
      <c r="MF38" s="98"/>
      <c r="MG38" s="98"/>
      <c r="MH38" s="98"/>
      <c r="MI38" s="98"/>
      <c r="MJ38" s="98"/>
      <c r="MK38" s="98"/>
      <c r="ML38" s="98"/>
      <c r="MM38" s="98"/>
      <c r="MN38" s="98"/>
      <c r="MO38" s="98"/>
      <c r="MP38" s="98"/>
      <c r="MQ38" s="98"/>
      <c r="MR38" s="98"/>
      <c r="MS38" s="98"/>
      <c r="MT38" s="98"/>
      <c r="MU38" s="98"/>
      <c r="MV38" s="98"/>
      <c r="MW38" s="98"/>
      <c r="MX38" s="98"/>
      <c r="MY38" s="98"/>
      <c r="MZ38" s="98"/>
      <c r="NA38" s="98"/>
      <c r="NB38" s="98"/>
      <c r="NC38" s="98"/>
      <c r="ND38" s="98"/>
      <c r="NE38" s="98"/>
      <c r="NF38" s="98"/>
      <c r="NG38" s="98"/>
      <c r="NH38" s="98"/>
      <c r="NI38" s="98"/>
      <c r="NJ38" s="98"/>
      <c r="NK38" s="98"/>
      <c r="NL38" s="98"/>
      <c r="NM38" s="98"/>
      <c r="NN38" s="98"/>
      <c r="NO38" s="98"/>
      <c r="NP38" s="98"/>
      <c r="NQ38" s="98"/>
      <c r="NR38" s="98"/>
      <c r="NS38" s="98"/>
      <c r="NT38" s="98"/>
      <c r="NU38" s="98"/>
      <c r="NV38" s="98"/>
      <c r="NW38" s="98"/>
      <c r="NX38" s="98"/>
      <c r="NY38" s="98"/>
      <c r="NZ38" s="98"/>
      <c r="OA38" s="98"/>
      <c r="OB38" s="98"/>
      <c r="OC38" s="98"/>
      <c r="OD38" s="98"/>
      <c r="OE38" s="98"/>
      <c r="OF38" s="98"/>
      <c r="OG38" s="98"/>
      <c r="OH38" s="98"/>
      <c r="OI38" s="98"/>
      <c r="OJ38" s="98"/>
      <c r="OK38" s="98"/>
      <c r="OL38" s="98"/>
      <c r="OM38" s="98"/>
      <c r="ON38" s="98"/>
      <c r="OO38" s="98"/>
      <c r="OP38" s="98"/>
      <c r="OQ38" s="98"/>
      <c r="OR38" s="98"/>
      <c r="OS38" s="98"/>
      <c r="OT38" s="98"/>
      <c r="OU38" s="98"/>
      <c r="OV38" s="98"/>
      <c r="OW38" s="98"/>
      <c r="OX38" s="98"/>
      <c r="OY38" s="98"/>
      <c r="OZ38" s="98"/>
      <c r="PA38" s="98"/>
      <c r="PB38" s="98"/>
      <c r="PC38" s="98"/>
      <c r="PD38" s="98"/>
      <c r="PE38" s="98"/>
      <c r="PF38" s="98"/>
      <c r="PG38" s="98"/>
      <c r="PH38" s="98"/>
      <c r="PI38" s="98"/>
      <c r="PJ38" s="98"/>
      <c r="PK38" s="98"/>
      <c r="PL38" s="98"/>
      <c r="PM38" s="98"/>
      <c r="PN38" s="98"/>
      <c r="PO38" s="98"/>
      <c r="PP38" s="98"/>
      <c r="PQ38" s="98"/>
      <c r="PR38" s="98"/>
      <c r="PS38" s="98"/>
      <c r="PT38" s="98"/>
      <c r="PU38" s="98"/>
      <c r="PV38" s="98"/>
      <c r="PW38" s="98"/>
      <c r="PX38" s="98"/>
      <c r="PY38" s="98"/>
      <c r="PZ38" s="98"/>
      <c r="QA38" s="98"/>
      <c r="QB38" s="98"/>
      <c r="QC38" s="98"/>
      <c r="QD38" s="98"/>
      <c r="QE38" s="98"/>
      <c r="QF38" s="98"/>
      <c r="QG38" s="98"/>
      <c r="QH38" s="98"/>
      <c r="QI38" s="98"/>
      <c r="QJ38" s="98"/>
      <c r="QK38" s="98"/>
      <c r="QL38" s="98"/>
      <c r="QM38" s="98"/>
      <c r="QN38" s="98"/>
      <c r="QO38" s="98"/>
      <c r="QP38" s="98"/>
      <c r="QQ38" s="98"/>
      <c r="QR38" s="98"/>
      <c r="QS38" s="98"/>
      <c r="QT38" s="98"/>
      <c r="QU38" s="98"/>
      <c r="QV38" s="98"/>
      <c r="QW38" s="98"/>
      <c r="QX38" s="98"/>
      <c r="QY38" s="98"/>
      <c r="QZ38" s="98"/>
      <c r="RA38" s="98"/>
      <c r="RB38" s="98"/>
      <c r="RC38" s="98"/>
      <c r="RD38" s="98"/>
      <c r="RE38" s="98"/>
      <c r="RF38" s="98"/>
      <c r="RG38" s="98"/>
      <c r="RH38" s="98"/>
      <c r="RI38" s="98"/>
      <c r="RJ38" s="98"/>
      <c r="RK38" s="98"/>
      <c r="RL38" s="98"/>
      <c r="RM38" s="98"/>
      <c r="RN38" s="98"/>
      <c r="RO38" s="98"/>
      <c r="RP38" s="98"/>
      <c r="RQ38" s="98"/>
      <c r="RR38" s="98"/>
      <c r="RS38" s="98"/>
      <c r="RT38" s="98"/>
      <c r="RU38" s="98"/>
      <c r="RV38" s="98"/>
      <c r="RW38" s="98"/>
      <c r="RX38" s="98"/>
      <c r="RY38" s="98"/>
      <c r="RZ38" s="98"/>
      <c r="SA38" s="98"/>
      <c r="SB38" s="98"/>
      <c r="SC38" s="98"/>
      <c r="SD38" s="98"/>
      <c r="SE38" s="98"/>
      <c r="SF38" s="98"/>
      <c r="SG38" s="98"/>
      <c r="SH38" s="98"/>
      <c r="SI38" s="98"/>
      <c r="SJ38" s="98"/>
      <c r="SK38" s="98"/>
      <c r="SL38" s="98"/>
      <c r="SM38" s="98"/>
      <c r="SN38" s="98"/>
      <c r="SO38" s="98"/>
      <c r="SP38" s="98"/>
      <c r="SQ38" s="98"/>
      <c r="SR38" s="98"/>
      <c r="SS38" s="98"/>
      <c r="ST38" s="98"/>
      <c r="SU38" s="98"/>
      <c r="SV38" s="98"/>
      <c r="SW38" s="98"/>
      <c r="SX38" s="98"/>
      <c r="SY38" s="98"/>
      <c r="SZ38" s="98"/>
      <c r="TA38" s="98"/>
      <c r="TB38" s="98"/>
      <c r="TC38" s="98"/>
      <c r="TD38" s="98"/>
      <c r="TE38" s="98"/>
      <c r="TF38" s="98"/>
      <c r="TG38" s="98"/>
      <c r="TH38" s="98"/>
      <c r="TI38" s="98"/>
      <c r="TJ38" s="98"/>
      <c r="TK38" s="98"/>
      <c r="TL38" s="98"/>
      <c r="TM38" s="98"/>
      <c r="TN38" s="98"/>
      <c r="TO38" s="98"/>
      <c r="TP38" s="98"/>
      <c r="TQ38" s="98"/>
      <c r="TR38" s="98"/>
      <c r="TS38" s="98"/>
      <c r="TT38" s="98"/>
      <c r="TU38" s="98"/>
      <c r="TV38" s="98"/>
      <c r="TW38" s="98"/>
      <c r="TX38" s="98"/>
      <c r="TY38" s="98"/>
      <c r="TZ38" s="98"/>
      <c r="UA38" s="98"/>
      <c r="UB38" s="98"/>
      <c r="UC38" s="98"/>
      <c r="UD38" s="98"/>
      <c r="UE38" s="98"/>
      <c r="UF38" s="98"/>
      <c r="UG38" s="98"/>
      <c r="UH38" s="98"/>
      <c r="UI38" s="98"/>
      <c r="UJ38" s="98"/>
      <c r="UK38" s="98"/>
      <c r="UL38" s="98"/>
      <c r="UM38" s="98"/>
      <c r="UN38" s="98"/>
      <c r="UO38" s="98"/>
      <c r="UP38" s="98"/>
      <c r="UQ38" s="98"/>
      <c r="UR38" s="98"/>
      <c r="US38" s="98"/>
      <c r="UT38" s="98"/>
      <c r="UU38" s="98"/>
      <c r="UV38" s="98"/>
      <c r="UW38" s="98"/>
      <c r="UX38" s="98"/>
      <c r="UY38" s="98"/>
      <c r="UZ38" s="98"/>
      <c r="VA38" s="98"/>
      <c r="VB38" s="98"/>
      <c r="VC38" s="98"/>
      <c r="VD38" s="98"/>
      <c r="VE38" s="98"/>
      <c r="VF38" s="98"/>
      <c r="VG38" s="98"/>
      <c r="VH38" s="98"/>
      <c r="VI38" s="98"/>
      <c r="VJ38" s="98"/>
      <c r="VK38" s="98"/>
      <c r="VL38" s="98"/>
      <c r="VM38" s="98"/>
      <c r="VN38" s="98"/>
      <c r="VO38" s="98"/>
      <c r="VP38" s="98"/>
      <c r="VQ38" s="98"/>
      <c r="VR38" s="98"/>
      <c r="VS38" s="98"/>
      <c r="VT38" s="98"/>
      <c r="VU38" s="98"/>
      <c r="VV38" s="98"/>
      <c r="VW38" s="98"/>
      <c r="VX38" s="98"/>
      <c r="VY38" s="98"/>
      <c r="VZ38" s="98"/>
      <c r="WA38" s="98"/>
      <c r="WB38" s="98"/>
      <c r="WC38" s="98"/>
      <c r="WD38" s="98"/>
      <c r="WE38" s="98"/>
      <c r="WF38" s="98"/>
      <c r="WG38" s="98"/>
      <c r="WH38" s="98"/>
      <c r="WI38" s="98"/>
      <c r="WJ38" s="98"/>
      <c r="WK38" s="98"/>
      <c r="WL38" s="98"/>
      <c r="WM38" s="98"/>
      <c r="WN38" s="98"/>
      <c r="WO38" s="98"/>
      <c r="WP38" s="98"/>
      <c r="WQ38" s="98"/>
      <c r="WR38" s="98"/>
      <c r="WS38" s="98"/>
      <c r="WT38" s="98"/>
      <c r="WU38" s="98"/>
      <c r="WV38" s="98"/>
      <c r="WW38" s="98"/>
      <c r="WX38" s="98"/>
      <c r="WY38" s="98"/>
      <c r="WZ38" s="98"/>
      <c r="XA38" s="98"/>
      <c r="XB38" s="98"/>
      <c r="XC38" s="98"/>
      <c r="XD38" s="98"/>
      <c r="XE38" s="98"/>
      <c r="XF38" s="98"/>
      <c r="XG38" s="98"/>
      <c r="XH38" s="98"/>
      <c r="XI38" s="98"/>
      <c r="XJ38" s="98"/>
      <c r="XK38" s="98"/>
      <c r="XL38" s="98"/>
      <c r="XM38" s="98"/>
      <c r="XN38" s="98"/>
      <c r="XO38" s="98"/>
      <c r="XP38" s="98"/>
      <c r="XQ38" s="98"/>
      <c r="XR38" s="98"/>
      <c r="XS38" s="98"/>
      <c r="XT38" s="98"/>
      <c r="XU38" s="98"/>
      <c r="XV38" s="98"/>
      <c r="XW38" s="98"/>
      <c r="XX38" s="98"/>
      <c r="XY38" s="98"/>
      <c r="XZ38" s="98"/>
      <c r="YA38" s="98"/>
      <c r="YB38" s="98"/>
      <c r="YC38" s="98"/>
      <c r="YD38" s="98"/>
      <c r="YE38" s="98"/>
      <c r="YF38" s="98"/>
      <c r="YG38" s="98"/>
      <c r="YH38" s="98"/>
      <c r="YI38" s="98"/>
      <c r="YJ38" s="98"/>
      <c r="YK38" s="98"/>
      <c r="YL38" s="98"/>
      <c r="YM38" s="98"/>
      <c r="YN38" s="98"/>
      <c r="YO38" s="98"/>
      <c r="YP38" s="98"/>
      <c r="YQ38" s="98"/>
      <c r="YR38" s="98"/>
      <c r="YS38" s="98"/>
      <c r="YT38" s="98"/>
      <c r="YU38" s="98"/>
      <c r="YV38" s="98"/>
      <c r="YW38" s="98"/>
      <c r="YX38" s="98"/>
      <c r="YY38" s="98"/>
      <c r="YZ38" s="98"/>
      <c r="ZA38" s="98"/>
      <c r="ZB38" s="98"/>
      <c r="ZC38" s="98"/>
      <c r="ZD38" s="98"/>
      <c r="ZE38" s="98"/>
      <c r="ZF38" s="98"/>
      <c r="ZG38" s="98"/>
      <c r="ZH38" s="98"/>
      <c r="ZI38" s="98"/>
      <c r="ZJ38" s="98"/>
      <c r="ZK38" s="98"/>
      <c r="ZL38" s="98"/>
      <c r="ZM38" s="98"/>
      <c r="ZN38" s="98"/>
      <c r="ZO38" s="98"/>
      <c r="ZP38" s="98"/>
      <c r="ZQ38" s="98"/>
      <c r="ZR38" s="98"/>
      <c r="ZS38" s="98"/>
      <c r="ZT38" s="98"/>
      <c r="ZU38" s="98"/>
      <c r="ZV38" s="98"/>
      <c r="ZW38" s="98"/>
      <c r="ZX38" s="98"/>
      <c r="ZY38" s="98"/>
      <c r="ZZ38" s="98"/>
      <c r="AAA38" s="98"/>
      <c r="AAB38" s="98"/>
      <c r="AAC38" s="98"/>
      <c r="AAD38" s="98"/>
      <c r="AAE38" s="98"/>
      <c r="AAF38" s="98"/>
      <c r="AAG38" s="98"/>
      <c r="AAH38" s="98"/>
      <c r="AAI38" s="98"/>
      <c r="AAJ38" s="98"/>
      <c r="AAK38" s="98"/>
      <c r="AAL38" s="98"/>
      <c r="AAM38" s="98"/>
      <c r="AAN38" s="98"/>
      <c r="AAO38" s="98"/>
      <c r="AAP38" s="98"/>
      <c r="AAQ38" s="98"/>
      <c r="AAR38" s="98"/>
      <c r="AAS38" s="98"/>
      <c r="AAT38" s="98"/>
      <c r="AAU38" s="98"/>
      <c r="AAV38" s="98"/>
      <c r="AAW38" s="98"/>
      <c r="AAX38" s="98"/>
      <c r="AAY38" s="98"/>
      <c r="AAZ38" s="98"/>
      <c r="ABA38" s="98"/>
      <c r="ABB38" s="98"/>
      <c r="ABC38" s="98"/>
      <c r="ABD38" s="98"/>
      <c r="ABE38" s="98"/>
      <c r="ABF38" s="98"/>
      <c r="ABG38" s="98"/>
      <c r="ABH38" s="98"/>
      <c r="ABI38" s="98"/>
      <c r="ABJ38" s="98"/>
      <c r="ABK38" s="98"/>
      <c r="ABL38" s="98"/>
      <c r="ABM38" s="98"/>
      <c r="ABN38" s="98"/>
      <c r="ABO38" s="98"/>
      <c r="ABP38" s="98"/>
      <c r="ABQ38" s="98"/>
      <c r="ABR38" s="98"/>
      <c r="ABS38" s="98"/>
      <c r="ABT38" s="98"/>
      <c r="ABU38" s="98"/>
      <c r="ABV38" s="98"/>
      <c r="ABW38" s="98"/>
      <c r="ABX38" s="98"/>
      <c r="ABY38" s="98"/>
      <c r="ABZ38" s="98"/>
      <c r="ACA38" s="98"/>
      <c r="ACB38" s="98"/>
      <c r="ACC38" s="98"/>
      <c r="ACD38" s="98"/>
      <c r="ACE38" s="98"/>
      <c r="ACF38" s="98"/>
      <c r="ACG38" s="98"/>
      <c r="ACH38" s="98"/>
      <c r="ACI38" s="98"/>
      <c r="ACJ38" s="98"/>
      <c r="ACK38" s="98"/>
      <c r="ACL38" s="98"/>
      <c r="ACM38" s="98"/>
      <c r="ACN38" s="98"/>
      <c r="ACO38" s="98"/>
      <c r="ACP38" s="98"/>
      <c r="ACQ38" s="98"/>
      <c r="ACR38" s="98"/>
      <c r="ACS38" s="98"/>
      <c r="ACT38" s="98"/>
      <c r="ACU38" s="98"/>
      <c r="ACV38" s="98"/>
      <c r="ACW38" s="98"/>
      <c r="ACX38" s="98"/>
      <c r="ACY38" s="98"/>
      <c r="ACZ38" s="98"/>
      <c r="ADA38" s="98"/>
      <c r="ADB38" s="98"/>
      <c r="ADC38" s="98"/>
      <c r="ADD38" s="98"/>
      <c r="ADE38" s="98"/>
      <c r="ADF38" s="98"/>
      <c r="ADG38" s="98"/>
      <c r="ADH38" s="98"/>
      <c r="ADI38" s="98"/>
      <c r="ADJ38" s="98"/>
      <c r="ADK38" s="98"/>
      <c r="ADL38" s="98"/>
      <c r="ADM38" s="98"/>
      <c r="ADN38" s="98"/>
      <c r="ADO38" s="98"/>
      <c r="ADP38" s="98"/>
      <c r="ADQ38" s="98"/>
      <c r="ADR38" s="98"/>
      <c r="ADS38" s="98"/>
      <c r="ADT38" s="98"/>
      <c r="ADU38" s="98"/>
      <c r="ADV38" s="98"/>
      <c r="ADW38" s="98"/>
      <c r="ADX38" s="98"/>
      <c r="ADY38" s="98"/>
      <c r="ADZ38" s="98"/>
      <c r="AEA38" s="98"/>
      <c r="AEB38" s="98"/>
      <c r="AEC38" s="98"/>
      <c r="AED38" s="98"/>
      <c r="AEE38" s="98"/>
      <c r="AEF38" s="98"/>
      <c r="AEG38" s="98"/>
      <c r="AEH38" s="98"/>
      <c r="AEI38" s="98"/>
      <c r="AEJ38" s="98"/>
      <c r="AEK38" s="98"/>
      <c r="AEL38" s="98"/>
      <c r="AEM38" s="98"/>
      <c r="AEN38" s="98"/>
      <c r="AEO38" s="98"/>
      <c r="AEP38" s="98"/>
      <c r="AEQ38" s="98"/>
      <c r="AER38" s="98"/>
      <c r="AES38" s="98"/>
      <c r="AET38" s="98"/>
      <c r="AEU38" s="98"/>
      <c r="AEV38" s="98"/>
      <c r="AEW38" s="98"/>
      <c r="AEX38" s="98"/>
      <c r="AEY38" s="98"/>
      <c r="AEZ38" s="98"/>
      <c r="AFA38" s="98"/>
      <c r="AFB38" s="98"/>
      <c r="AFC38" s="98"/>
      <c r="AFD38" s="98"/>
      <c r="AFE38" s="98"/>
      <c r="AFF38" s="98"/>
      <c r="AFG38" s="98"/>
      <c r="AFH38" s="98"/>
      <c r="AFI38" s="98"/>
      <c r="AFJ38" s="98"/>
      <c r="AFK38" s="98"/>
      <c r="AFL38" s="98"/>
      <c r="AFM38" s="98"/>
      <c r="AFN38" s="98"/>
      <c r="AFO38" s="98"/>
      <c r="AFP38" s="98"/>
      <c r="AFQ38" s="98"/>
      <c r="AFR38" s="98"/>
      <c r="AFS38" s="98"/>
      <c r="AFT38" s="98"/>
      <c r="AFU38" s="98"/>
      <c r="AFV38" s="98"/>
      <c r="AFW38" s="98"/>
      <c r="AFX38" s="98"/>
      <c r="AFY38" s="98"/>
      <c r="AFZ38" s="98"/>
      <c r="AGA38" s="98"/>
      <c r="AGB38" s="98"/>
      <c r="AGC38" s="98"/>
      <c r="AGD38" s="98"/>
      <c r="AGE38" s="98"/>
      <c r="AGF38" s="98"/>
      <c r="AGG38" s="98"/>
      <c r="AGH38" s="98"/>
      <c r="AGI38" s="98"/>
      <c r="AGJ38" s="98"/>
      <c r="AGK38" s="98"/>
      <c r="AGL38" s="98"/>
      <c r="AGM38" s="98"/>
      <c r="AGN38" s="98"/>
      <c r="AGO38" s="98"/>
      <c r="AGP38" s="98"/>
      <c r="AGQ38" s="98"/>
      <c r="AGR38" s="98"/>
      <c r="AGS38" s="98"/>
      <c r="AGT38" s="98"/>
      <c r="AGU38" s="98"/>
      <c r="AGV38" s="98"/>
      <c r="AGW38" s="98"/>
      <c r="AGX38" s="98"/>
      <c r="AGY38" s="98"/>
      <c r="AGZ38" s="98"/>
      <c r="AHA38" s="98"/>
      <c r="AHB38" s="98"/>
      <c r="AHC38" s="98"/>
      <c r="AHD38" s="98"/>
      <c r="AHE38" s="98"/>
      <c r="AHF38" s="98"/>
      <c r="AHG38" s="98"/>
      <c r="AHH38" s="98"/>
      <c r="AHI38" s="98"/>
      <c r="AHJ38" s="98"/>
      <c r="AHK38" s="98"/>
      <c r="AHL38" s="98"/>
      <c r="AHM38" s="98"/>
      <c r="AHN38" s="98"/>
      <c r="AHO38" s="98"/>
      <c r="AHP38" s="98"/>
      <c r="AHQ38" s="98"/>
      <c r="AHR38" s="98"/>
      <c r="AHS38" s="98"/>
      <c r="AHT38" s="98"/>
      <c r="AHU38" s="98"/>
      <c r="AHV38" s="98"/>
      <c r="AHW38" s="98"/>
      <c r="AHX38" s="98"/>
      <c r="AHY38" s="98"/>
      <c r="AHZ38" s="98"/>
      <c r="AIA38" s="98"/>
      <c r="AIB38" s="98"/>
      <c r="AIC38" s="98"/>
      <c r="AID38" s="98"/>
      <c r="AIE38" s="98"/>
      <c r="AIF38" s="98"/>
      <c r="AIG38" s="98"/>
      <c r="AIH38" s="98"/>
      <c r="AII38" s="98"/>
      <c r="AIJ38" s="98"/>
      <c r="AIK38" s="98"/>
      <c r="AIL38" s="98"/>
      <c r="AIM38" s="98"/>
      <c r="AIN38" s="98"/>
      <c r="AIO38" s="98"/>
      <c r="AIP38" s="98"/>
      <c r="AIQ38" s="98"/>
      <c r="AIR38" s="98"/>
      <c r="AIS38" s="98"/>
      <c r="AIT38" s="98"/>
      <c r="AIU38" s="98"/>
      <c r="AIV38" s="98"/>
      <c r="AIW38" s="98"/>
      <c r="AIX38" s="98"/>
      <c r="AIY38" s="98"/>
      <c r="AIZ38" s="98"/>
      <c r="AJA38" s="98"/>
      <c r="AJB38" s="98"/>
      <c r="AJC38" s="98"/>
      <c r="AJD38" s="98"/>
      <c r="AJE38" s="98"/>
      <c r="AJF38" s="98"/>
      <c r="AJG38" s="98"/>
      <c r="AJH38" s="98"/>
      <c r="AJI38" s="98"/>
      <c r="AJJ38" s="98"/>
      <c r="AJK38" s="98"/>
      <c r="AJL38" s="98"/>
      <c r="AJM38" s="98"/>
      <c r="AJN38" s="98"/>
      <c r="AJO38" s="98"/>
      <c r="AJP38" s="98"/>
      <c r="AJQ38" s="98"/>
      <c r="AJR38" s="98"/>
      <c r="AJS38" s="98"/>
      <c r="AJT38" s="98"/>
      <c r="AJU38" s="98"/>
      <c r="AJV38" s="98"/>
      <c r="AJW38" s="98"/>
      <c r="AJX38" s="98"/>
      <c r="AJY38" s="98"/>
      <c r="AJZ38" s="98"/>
      <c r="AKA38" s="98"/>
      <c r="AKB38" s="98"/>
      <c r="AKC38" s="98"/>
      <c r="AKD38" s="98"/>
      <c r="AKE38" s="98"/>
      <c r="AKF38" s="98"/>
      <c r="AKG38" s="98"/>
      <c r="AKH38" s="98"/>
      <c r="AKI38" s="98"/>
      <c r="AKJ38" s="98"/>
      <c r="AKK38" s="98"/>
      <c r="AKL38" s="98"/>
      <c r="AKM38" s="98"/>
      <c r="AKN38" s="98"/>
      <c r="AKO38" s="98"/>
      <c r="AKP38" s="98"/>
      <c r="AKQ38" s="98"/>
      <c r="AKR38" s="98"/>
      <c r="AKS38" s="98"/>
      <c r="AKT38" s="98"/>
      <c r="AKU38" s="98"/>
      <c r="AKV38" s="98"/>
      <c r="AKW38" s="98"/>
      <c r="AKX38" s="98"/>
      <c r="AKY38" s="98"/>
      <c r="AKZ38" s="98"/>
      <c r="ALA38" s="98"/>
      <c r="ALB38" s="98"/>
      <c r="ALC38" s="98"/>
      <c r="ALD38" s="98"/>
      <c r="ALE38" s="98"/>
      <c r="ALF38" s="98"/>
      <c r="ALG38" s="98"/>
      <c r="ALH38" s="98"/>
      <c r="ALI38" s="98"/>
      <c r="ALJ38" s="98"/>
      <c r="ALK38" s="98"/>
      <c r="ALL38" s="98"/>
      <c r="ALM38" s="98"/>
      <c r="ALN38" s="98"/>
      <c r="ALO38" s="98"/>
      <c r="ALP38" s="98"/>
      <c r="ALQ38" s="98"/>
      <c r="ALR38" s="98"/>
      <c r="ALS38" s="98"/>
      <c r="ALT38" s="98"/>
      <c r="ALU38" s="98"/>
      <c r="ALV38" s="98"/>
      <c r="ALW38" s="98"/>
      <c r="ALX38" s="98"/>
      <c r="ALY38" s="98"/>
      <c r="ALZ38" s="98"/>
      <c r="AMA38" s="98"/>
      <c r="AMB38" s="98"/>
      <c r="AMC38" s="98"/>
      <c r="AMD38" s="98"/>
      <c r="AME38" s="98"/>
      <c r="AMF38" s="98"/>
      <c r="AMG38" s="98"/>
      <c r="AMH38" s="98"/>
      <c r="AMI38" s="98"/>
      <c r="AMJ38" s="98"/>
      <c r="AMK38" s="98"/>
      <c r="AML38" s="98"/>
      <c r="AMM38" s="98"/>
      <c r="AMN38" s="98"/>
      <c r="AMO38" s="98"/>
      <c r="AMP38" s="98"/>
      <c r="AMQ38" s="98"/>
      <c r="AMR38" s="98"/>
      <c r="AMS38" s="98"/>
      <c r="AMT38" s="98"/>
      <c r="AMU38" s="98"/>
      <c r="AMV38" s="98"/>
      <c r="AMW38" s="98"/>
      <c r="AMX38" s="98"/>
      <c r="AMY38" s="98"/>
      <c r="AMZ38" s="98"/>
      <c r="ANA38" s="98"/>
      <c r="ANB38" s="98"/>
      <c r="ANC38" s="98"/>
      <c r="AND38" s="98"/>
      <c r="ANE38" s="98"/>
      <c r="ANF38" s="98"/>
      <c r="ANG38" s="98"/>
      <c r="ANH38" s="98"/>
      <c r="ANI38" s="98"/>
      <c r="ANJ38" s="98"/>
      <c r="ANK38" s="98"/>
      <c r="ANL38" s="98"/>
      <c r="ANM38" s="98"/>
      <c r="ANN38" s="98"/>
      <c r="ANO38" s="98"/>
      <c r="ANP38" s="98"/>
      <c r="ANQ38" s="98"/>
      <c r="ANR38" s="98"/>
      <c r="ANS38" s="98"/>
      <c r="ANT38" s="98"/>
      <c r="ANU38" s="98"/>
      <c r="ANV38" s="98"/>
      <c r="ANW38" s="98"/>
      <c r="ANX38" s="98"/>
      <c r="ANY38" s="98"/>
      <c r="ANZ38" s="98"/>
      <c r="AOA38" s="98"/>
      <c r="AOB38" s="98"/>
      <c r="AOC38" s="98"/>
      <c r="AOD38" s="98"/>
      <c r="AOE38" s="98"/>
      <c r="AOF38" s="98"/>
      <c r="AOG38" s="98"/>
      <c r="AOH38" s="98"/>
      <c r="AOI38" s="98"/>
      <c r="AOJ38" s="98"/>
      <c r="AOK38" s="98"/>
      <c r="AOL38" s="98"/>
      <c r="AOM38" s="98"/>
      <c r="AON38" s="98"/>
      <c r="AOO38" s="98"/>
      <c r="AOP38" s="98"/>
      <c r="AOQ38" s="98"/>
      <c r="AOR38" s="98"/>
      <c r="AOS38" s="98"/>
      <c r="AOT38" s="98"/>
      <c r="AOU38" s="98"/>
      <c r="AOV38" s="98"/>
      <c r="AOW38" s="98"/>
      <c r="AOX38" s="98"/>
      <c r="AOY38" s="98"/>
      <c r="AOZ38" s="98"/>
      <c r="APA38" s="98"/>
      <c r="APB38" s="98"/>
      <c r="APC38" s="98"/>
      <c r="APD38" s="98"/>
      <c r="APE38" s="98"/>
      <c r="APF38" s="98"/>
      <c r="APG38" s="98"/>
      <c r="APH38" s="98"/>
      <c r="API38" s="98"/>
      <c r="APJ38" s="98"/>
      <c r="APK38" s="98"/>
      <c r="APL38" s="98"/>
      <c r="APM38" s="98"/>
      <c r="APN38" s="98"/>
      <c r="APO38" s="98"/>
      <c r="APP38" s="98"/>
      <c r="APQ38" s="98"/>
      <c r="APR38" s="98"/>
      <c r="APS38" s="98"/>
      <c r="APT38" s="98"/>
      <c r="APU38" s="98"/>
      <c r="APV38" s="98"/>
      <c r="APW38" s="98"/>
      <c r="APX38" s="98"/>
      <c r="APY38" s="98"/>
      <c r="APZ38" s="98"/>
      <c r="AQA38" s="98"/>
      <c r="AQB38" s="98"/>
      <c r="AQC38" s="98"/>
      <c r="AQD38" s="98"/>
      <c r="AQE38" s="98"/>
      <c r="AQF38" s="98"/>
      <c r="AQG38" s="98"/>
      <c r="AQH38" s="98"/>
      <c r="AQI38" s="98"/>
      <c r="AQJ38" s="98"/>
      <c r="AQK38" s="98"/>
      <c r="AQL38" s="98"/>
      <c r="AQM38" s="98"/>
      <c r="AQN38" s="98"/>
      <c r="AQO38" s="98"/>
      <c r="AQP38" s="98"/>
      <c r="AQQ38" s="98"/>
      <c r="AQR38" s="98"/>
      <c r="AQS38" s="98"/>
      <c r="AQT38" s="98"/>
      <c r="AQU38" s="98"/>
      <c r="AQV38" s="98"/>
      <c r="AQW38" s="98"/>
      <c r="AQX38" s="98"/>
      <c r="AQY38" s="98"/>
      <c r="AQZ38" s="98"/>
      <c r="ARA38" s="98"/>
      <c r="ARB38" s="98"/>
      <c r="ARC38" s="98"/>
      <c r="ARD38" s="98"/>
      <c r="ARE38" s="98"/>
      <c r="ARF38" s="98"/>
      <c r="ARG38" s="98"/>
      <c r="ARH38" s="98"/>
      <c r="ARI38" s="98"/>
      <c r="ARJ38" s="98"/>
      <c r="ARK38" s="98"/>
      <c r="ARL38" s="98"/>
      <c r="ARM38" s="98"/>
      <c r="ARN38" s="98"/>
      <c r="ARO38" s="98"/>
      <c r="ARP38" s="98"/>
      <c r="ARQ38" s="98"/>
      <c r="ARR38" s="98"/>
    </row>
    <row r="39" spans="1:1162" s="174" customFormat="1">
      <c r="A39" s="140" t="s">
        <v>109</v>
      </c>
      <c r="B39" s="119" t="s">
        <v>67</v>
      </c>
      <c r="C39" s="175">
        <v>20</v>
      </c>
      <c r="D39" s="175">
        <v>200</v>
      </c>
      <c r="E39" s="175">
        <v>0</v>
      </c>
      <c r="F39" s="175">
        <v>0</v>
      </c>
      <c r="G39" s="175">
        <v>0</v>
      </c>
      <c r="H39" s="175">
        <v>0</v>
      </c>
      <c r="I39" s="175">
        <v>0</v>
      </c>
      <c r="J39" s="175">
        <v>0</v>
      </c>
      <c r="K39" s="175">
        <v>0</v>
      </c>
      <c r="L39" s="175">
        <v>0</v>
      </c>
      <c r="M39" s="175">
        <v>0</v>
      </c>
      <c r="N39" s="175">
        <v>0</v>
      </c>
      <c r="O39" s="175">
        <v>0</v>
      </c>
      <c r="P39" s="175">
        <v>0</v>
      </c>
      <c r="Q39" s="175">
        <v>0</v>
      </c>
      <c r="R39" s="175">
        <v>0</v>
      </c>
      <c r="S39" s="175">
        <v>0</v>
      </c>
      <c r="T39" s="175">
        <v>0</v>
      </c>
      <c r="U39" s="175">
        <v>0</v>
      </c>
      <c r="V39" s="175">
        <v>0</v>
      </c>
      <c r="W39" s="175">
        <v>0</v>
      </c>
      <c r="X39" s="175">
        <v>0</v>
      </c>
      <c r="Y39" s="175">
        <v>0</v>
      </c>
      <c r="Z39" s="175">
        <v>0</v>
      </c>
      <c r="AA39" s="175">
        <v>0</v>
      </c>
      <c r="AB39" s="175">
        <v>0</v>
      </c>
      <c r="AC39" s="175">
        <v>0</v>
      </c>
      <c r="AD39" s="175">
        <v>0</v>
      </c>
      <c r="AE39" s="175">
        <v>0</v>
      </c>
      <c r="AF39" s="175">
        <v>0</v>
      </c>
      <c r="AG39" s="175">
        <v>0</v>
      </c>
      <c r="AH39" s="175">
        <v>0</v>
      </c>
      <c r="AI39" s="175">
        <v>0</v>
      </c>
      <c r="AJ39" s="175">
        <v>0</v>
      </c>
      <c r="AK39" s="175">
        <v>0</v>
      </c>
      <c r="AL39" s="175">
        <v>0</v>
      </c>
      <c r="AM39" s="175">
        <v>0</v>
      </c>
      <c r="AN39" s="175">
        <v>0</v>
      </c>
      <c r="AO39" s="175">
        <v>0</v>
      </c>
      <c r="AP39" s="175">
        <v>0</v>
      </c>
      <c r="AQ39" s="175">
        <v>0</v>
      </c>
      <c r="AR39" s="175">
        <v>0</v>
      </c>
      <c r="AS39" s="175">
        <v>0</v>
      </c>
      <c r="AT39" s="175">
        <v>0</v>
      </c>
      <c r="AU39" s="175">
        <v>0</v>
      </c>
      <c r="AV39" s="175">
        <v>0</v>
      </c>
      <c r="AW39" s="175">
        <v>0</v>
      </c>
      <c r="AX39" s="175">
        <v>0</v>
      </c>
      <c r="AY39" s="175">
        <v>0</v>
      </c>
      <c r="AZ39" s="175">
        <v>0</v>
      </c>
      <c r="BA39" s="198"/>
      <c r="BB39" s="175"/>
      <c r="BC39" s="175"/>
      <c r="BD39" s="175"/>
      <c r="BE39" s="199"/>
      <c r="BF39" s="175"/>
      <c r="BG39" s="175"/>
      <c r="BH39" s="175"/>
      <c r="BI39" s="198"/>
      <c r="BJ39" s="98"/>
      <c r="BK39" s="11"/>
      <c r="BL39" s="148"/>
      <c r="BM39" s="14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c r="KT39" s="98"/>
      <c r="KU39" s="98"/>
      <c r="KV39" s="98"/>
      <c r="KW39" s="98"/>
      <c r="KX39" s="98"/>
      <c r="KY39" s="98"/>
      <c r="KZ39" s="98"/>
      <c r="LA39" s="98"/>
      <c r="LB39" s="98"/>
      <c r="LC39" s="98"/>
      <c r="LD39" s="98"/>
      <c r="LE39" s="98"/>
      <c r="LF39" s="98"/>
      <c r="LG39" s="98"/>
      <c r="LH39" s="98"/>
      <c r="LI39" s="98"/>
      <c r="LJ39" s="98"/>
      <c r="LK39" s="98"/>
      <c r="LL39" s="98"/>
      <c r="LM39" s="98"/>
      <c r="LN39" s="98"/>
      <c r="LO39" s="98"/>
      <c r="LP39" s="98"/>
      <c r="LQ39" s="98"/>
      <c r="LR39" s="98"/>
      <c r="LS39" s="98"/>
      <c r="LT39" s="98"/>
      <c r="LU39" s="98"/>
      <c r="LV39" s="98"/>
      <c r="LW39" s="98"/>
      <c r="LX39" s="98"/>
      <c r="LY39" s="98"/>
      <c r="LZ39" s="98"/>
      <c r="MA39" s="98"/>
      <c r="MB39" s="98"/>
      <c r="MC39" s="98"/>
      <c r="MD39" s="98"/>
      <c r="ME39" s="98"/>
      <c r="MF39" s="98"/>
      <c r="MG39" s="98"/>
      <c r="MH39" s="98"/>
      <c r="MI39" s="98"/>
      <c r="MJ39" s="98"/>
      <c r="MK39" s="98"/>
      <c r="ML39" s="98"/>
      <c r="MM39" s="98"/>
      <c r="MN39" s="98"/>
      <c r="MO39" s="98"/>
      <c r="MP39" s="98"/>
      <c r="MQ39" s="98"/>
      <c r="MR39" s="98"/>
      <c r="MS39" s="98"/>
      <c r="MT39" s="98"/>
      <c r="MU39" s="98"/>
      <c r="MV39" s="98"/>
      <c r="MW39" s="98"/>
      <c r="MX39" s="98"/>
      <c r="MY39" s="98"/>
      <c r="MZ39" s="98"/>
      <c r="NA39" s="98"/>
      <c r="NB39" s="98"/>
      <c r="NC39" s="98"/>
      <c r="ND39" s="98"/>
      <c r="NE39" s="98"/>
      <c r="NF39" s="98"/>
      <c r="NG39" s="98"/>
      <c r="NH39" s="98"/>
      <c r="NI39" s="98"/>
      <c r="NJ39" s="98"/>
      <c r="NK39" s="98"/>
      <c r="NL39" s="98"/>
      <c r="NM39" s="98"/>
      <c r="NN39" s="98"/>
      <c r="NO39" s="98"/>
      <c r="NP39" s="98"/>
      <c r="NQ39" s="98"/>
      <c r="NR39" s="98"/>
      <c r="NS39" s="98"/>
      <c r="NT39" s="98"/>
      <c r="NU39" s="98"/>
      <c r="NV39" s="98"/>
      <c r="NW39" s="98"/>
      <c r="NX39" s="98"/>
      <c r="NY39" s="98"/>
      <c r="NZ39" s="98"/>
      <c r="OA39" s="98"/>
      <c r="OB39" s="98"/>
      <c r="OC39" s="98"/>
      <c r="OD39" s="98"/>
      <c r="OE39" s="98"/>
      <c r="OF39" s="98"/>
      <c r="OG39" s="98"/>
      <c r="OH39" s="98"/>
      <c r="OI39" s="98"/>
      <c r="OJ39" s="98"/>
      <c r="OK39" s="98"/>
      <c r="OL39" s="98"/>
      <c r="OM39" s="98"/>
      <c r="ON39" s="98"/>
      <c r="OO39" s="98"/>
      <c r="OP39" s="98"/>
      <c r="OQ39" s="98"/>
      <c r="OR39" s="98"/>
      <c r="OS39" s="98"/>
      <c r="OT39" s="98"/>
      <c r="OU39" s="98"/>
      <c r="OV39" s="98"/>
      <c r="OW39" s="98"/>
      <c r="OX39" s="98"/>
      <c r="OY39" s="98"/>
      <c r="OZ39" s="98"/>
      <c r="PA39" s="98"/>
      <c r="PB39" s="98"/>
      <c r="PC39" s="98"/>
      <c r="PD39" s="98"/>
      <c r="PE39" s="98"/>
      <c r="PF39" s="98"/>
      <c r="PG39" s="98"/>
      <c r="PH39" s="98"/>
      <c r="PI39" s="98"/>
      <c r="PJ39" s="98"/>
      <c r="PK39" s="98"/>
      <c r="PL39" s="98"/>
      <c r="PM39" s="98"/>
      <c r="PN39" s="98"/>
      <c r="PO39" s="98"/>
      <c r="PP39" s="98"/>
      <c r="PQ39" s="98"/>
      <c r="PR39" s="98"/>
      <c r="PS39" s="98"/>
      <c r="PT39" s="98"/>
      <c r="PU39" s="98"/>
      <c r="PV39" s="98"/>
      <c r="PW39" s="98"/>
      <c r="PX39" s="98"/>
      <c r="PY39" s="98"/>
      <c r="PZ39" s="98"/>
      <c r="QA39" s="98"/>
      <c r="QB39" s="98"/>
      <c r="QC39" s="98"/>
      <c r="QD39" s="98"/>
      <c r="QE39" s="98"/>
      <c r="QF39" s="98"/>
      <c r="QG39" s="98"/>
      <c r="QH39" s="98"/>
      <c r="QI39" s="98"/>
      <c r="QJ39" s="98"/>
      <c r="QK39" s="98"/>
      <c r="QL39" s="98"/>
      <c r="QM39" s="98"/>
      <c r="QN39" s="98"/>
      <c r="QO39" s="98"/>
      <c r="QP39" s="98"/>
      <c r="QQ39" s="98"/>
      <c r="QR39" s="98"/>
      <c r="QS39" s="98"/>
      <c r="QT39" s="98"/>
      <c r="QU39" s="98"/>
      <c r="QV39" s="98"/>
      <c r="QW39" s="98"/>
      <c r="QX39" s="98"/>
      <c r="QY39" s="98"/>
      <c r="QZ39" s="98"/>
      <c r="RA39" s="98"/>
      <c r="RB39" s="98"/>
      <c r="RC39" s="98"/>
      <c r="RD39" s="98"/>
      <c r="RE39" s="98"/>
      <c r="RF39" s="98"/>
      <c r="RG39" s="98"/>
      <c r="RH39" s="98"/>
      <c r="RI39" s="98"/>
      <c r="RJ39" s="98"/>
      <c r="RK39" s="98"/>
      <c r="RL39" s="98"/>
      <c r="RM39" s="98"/>
      <c r="RN39" s="98"/>
      <c r="RO39" s="98"/>
      <c r="RP39" s="98"/>
      <c r="RQ39" s="98"/>
      <c r="RR39" s="98"/>
      <c r="RS39" s="98"/>
      <c r="RT39" s="98"/>
      <c r="RU39" s="98"/>
      <c r="RV39" s="98"/>
      <c r="RW39" s="98"/>
      <c r="RX39" s="98"/>
      <c r="RY39" s="98"/>
      <c r="RZ39" s="98"/>
      <c r="SA39" s="98"/>
      <c r="SB39" s="98"/>
      <c r="SC39" s="98"/>
      <c r="SD39" s="98"/>
      <c r="SE39" s="98"/>
      <c r="SF39" s="98"/>
      <c r="SG39" s="98"/>
      <c r="SH39" s="98"/>
      <c r="SI39" s="98"/>
      <c r="SJ39" s="98"/>
      <c r="SK39" s="98"/>
      <c r="SL39" s="98"/>
      <c r="SM39" s="98"/>
      <c r="SN39" s="98"/>
      <c r="SO39" s="98"/>
      <c r="SP39" s="98"/>
      <c r="SQ39" s="98"/>
      <c r="SR39" s="98"/>
      <c r="SS39" s="98"/>
      <c r="ST39" s="98"/>
      <c r="SU39" s="98"/>
      <c r="SV39" s="98"/>
      <c r="SW39" s="98"/>
      <c r="SX39" s="98"/>
      <c r="SY39" s="98"/>
      <c r="SZ39" s="98"/>
      <c r="TA39" s="98"/>
      <c r="TB39" s="98"/>
      <c r="TC39" s="98"/>
      <c r="TD39" s="98"/>
      <c r="TE39" s="98"/>
      <c r="TF39" s="98"/>
      <c r="TG39" s="98"/>
      <c r="TH39" s="98"/>
      <c r="TI39" s="98"/>
      <c r="TJ39" s="98"/>
      <c r="TK39" s="98"/>
      <c r="TL39" s="98"/>
      <c r="TM39" s="98"/>
      <c r="TN39" s="98"/>
      <c r="TO39" s="98"/>
      <c r="TP39" s="98"/>
      <c r="TQ39" s="98"/>
      <c r="TR39" s="98"/>
      <c r="TS39" s="98"/>
      <c r="TT39" s="98"/>
      <c r="TU39" s="98"/>
      <c r="TV39" s="98"/>
      <c r="TW39" s="98"/>
      <c r="TX39" s="98"/>
      <c r="TY39" s="98"/>
      <c r="TZ39" s="98"/>
      <c r="UA39" s="98"/>
      <c r="UB39" s="98"/>
      <c r="UC39" s="98"/>
      <c r="UD39" s="98"/>
      <c r="UE39" s="98"/>
      <c r="UF39" s="98"/>
      <c r="UG39" s="98"/>
      <c r="UH39" s="98"/>
      <c r="UI39" s="98"/>
      <c r="UJ39" s="98"/>
      <c r="UK39" s="98"/>
      <c r="UL39" s="98"/>
      <c r="UM39" s="98"/>
      <c r="UN39" s="98"/>
      <c r="UO39" s="98"/>
      <c r="UP39" s="98"/>
      <c r="UQ39" s="98"/>
      <c r="UR39" s="98"/>
      <c r="US39" s="98"/>
      <c r="UT39" s="98"/>
      <c r="UU39" s="98"/>
      <c r="UV39" s="98"/>
      <c r="UW39" s="98"/>
      <c r="UX39" s="98"/>
      <c r="UY39" s="98"/>
      <c r="UZ39" s="98"/>
      <c r="VA39" s="98"/>
      <c r="VB39" s="98"/>
      <c r="VC39" s="98"/>
      <c r="VD39" s="98"/>
      <c r="VE39" s="98"/>
      <c r="VF39" s="98"/>
      <c r="VG39" s="98"/>
      <c r="VH39" s="98"/>
      <c r="VI39" s="98"/>
      <c r="VJ39" s="98"/>
      <c r="VK39" s="98"/>
      <c r="VL39" s="98"/>
      <c r="VM39" s="98"/>
      <c r="VN39" s="98"/>
      <c r="VO39" s="98"/>
      <c r="VP39" s="98"/>
      <c r="VQ39" s="98"/>
      <c r="VR39" s="98"/>
      <c r="VS39" s="98"/>
      <c r="VT39" s="98"/>
      <c r="VU39" s="98"/>
      <c r="VV39" s="98"/>
      <c r="VW39" s="98"/>
      <c r="VX39" s="98"/>
      <c r="VY39" s="98"/>
      <c r="VZ39" s="98"/>
      <c r="WA39" s="98"/>
      <c r="WB39" s="98"/>
      <c r="WC39" s="98"/>
      <c r="WD39" s="98"/>
      <c r="WE39" s="98"/>
      <c r="WF39" s="98"/>
      <c r="WG39" s="98"/>
      <c r="WH39" s="98"/>
      <c r="WI39" s="98"/>
      <c r="WJ39" s="98"/>
      <c r="WK39" s="98"/>
      <c r="WL39" s="98"/>
      <c r="WM39" s="98"/>
      <c r="WN39" s="98"/>
      <c r="WO39" s="98"/>
      <c r="WP39" s="98"/>
      <c r="WQ39" s="98"/>
      <c r="WR39" s="98"/>
      <c r="WS39" s="98"/>
      <c r="WT39" s="98"/>
      <c r="WU39" s="98"/>
      <c r="WV39" s="98"/>
      <c r="WW39" s="98"/>
      <c r="WX39" s="98"/>
      <c r="WY39" s="98"/>
      <c r="WZ39" s="98"/>
      <c r="XA39" s="98"/>
      <c r="XB39" s="98"/>
      <c r="XC39" s="98"/>
      <c r="XD39" s="98"/>
      <c r="XE39" s="98"/>
      <c r="XF39" s="98"/>
      <c r="XG39" s="98"/>
      <c r="XH39" s="98"/>
      <c r="XI39" s="98"/>
      <c r="XJ39" s="98"/>
      <c r="XK39" s="98"/>
      <c r="XL39" s="98"/>
      <c r="XM39" s="98"/>
      <c r="XN39" s="98"/>
      <c r="XO39" s="98"/>
      <c r="XP39" s="98"/>
      <c r="XQ39" s="98"/>
      <c r="XR39" s="98"/>
      <c r="XS39" s="98"/>
      <c r="XT39" s="98"/>
      <c r="XU39" s="98"/>
      <c r="XV39" s="98"/>
      <c r="XW39" s="98"/>
      <c r="XX39" s="98"/>
      <c r="XY39" s="98"/>
      <c r="XZ39" s="98"/>
      <c r="YA39" s="98"/>
      <c r="YB39" s="98"/>
      <c r="YC39" s="98"/>
      <c r="YD39" s="98"/>
      <c r="YE39" s="98"/>
      <c r="YF39" s="98"/>
      <c r="YG39" s="98"/>
      <c r="YH39" s="98"/>
      <c r="YI39" s="98"/>
      <c r="YJ39" s="98"/>
      <c r="YK39" s="98"/>
      <c r="YL39" s="98"/>
      <c r="YM39" s="98"/>
      <c r="YN39" s="98"/>
      <c r="YO39" s="98"/>
      <c r="YP39" s="98"/>
      <c r="YQ39" s="98"/>
      <c r="YR39" s="98"/>
      <c r="YS39" s="98"/>
      <c r="YT39" s="98"/>
      <c r="YU39" s="98"/>
      <c r="YV39" s="98"/>
      <c r="YW39" s="98"/>
      <c r="YX39" s="98"/>
      <c r="YY39" s="98"/>
      <c r="YZ39" s="98"/>
      <c r="ZA39" s="98"/>
      <c r="ZB39" s="98"/>
      <c r="ZC39" s="98"/>
      <c r="ZD39" s="98"/>
      <c r="ZE39" s="98"/>
      <c r="ZF39" s="98"/>
      <c r="ZG39" s="98"/>
      <c r="ZH39" s="98"/>
      <c r="ZI39" s="98"/>
      <c r="ZJ39" s="98"/>
      <c r="ZK39" s="98"/>
      <c r="ZL39" s="98"/>
      <c r="ZM39" s="98"/>
      <c r="ZN39" s="98"/>
      <c r="ZO39" s="98"/>
      <c r="ZP39" s="98"/>
      <c r="ZQ39" s="98"/>
      <c r="ZR39" s="98"/>
      <c r="ZS39" s="98"/>
      <c r="ZT39" s="98"/>
      <c r="ZU39" s="98"/>
      <c r="ZV39" s="98"/>
      <c r="ZW39" s="98"/>
      <c r="ZX39" s="98"/>
      <c r="ZY39" s="98"/>
      <c r="ZZ39" s="98"/>
      <c r="AAA39" s="98"/>
      <c r="AAB39" s="98"/>
      <c r="AAC39" s="98"/>
      <c r="AAD39" s="98"/>
      <c r="AAE39" s="98"/>
      <c r="AAF39" s="98"/>
      <c r="AAG39" s="98"/>
      <c r="AAH39" s="98"/>
      <c r="AAI39" s="98"/>
      <c r="AAJ39" s="98"/>
      <c r="AAK39" s="98"/>
      <c r="AAL39" s="98"/>
      <c r="AAM39" s="98"/>
      <c r="AAN39" s="98"/>
      <c r="AAO39" s="98"/>
      <c r="AAP39" s="98"/>
      <c r="AAQ39" s="98"/>
      <c r="AAR39" s="98"/>
      <c r="AAS39" s="98"/>
      <c r="AAT39" s="98"/>
      <c r="AAU39" s="98"/>
      <c r="AAV39" s="98"/>
      <c r="AAW39" s="98"/>
      <c r="AAX39" s="98"/>
      <c r="AAY39" s="98"/>
      <c r="AAZ39" s="98"/>
      <c r="ABA39" s="98"/>
      <c r="ABB39" s="98"/>
      <c r="ABC39" s="98"/>
      <c r="ABD39" s="98"/>
      <c r="ABE39" s="98"/>
      <c r="ABF39" s="98"/>
      <c r="ABG39" s="98"/>
      <c r="ABH39" s="98"/>
      <c r="ABI39" s="98"/>
      <c r="ABJ39" s="98"/>
      <c r="ABK39" s="98"/>
      <c r="ABL39" s="98"/>
      <c r="ABM39" s="98"/>
      <c r="ABN39" s="98"/>
      <c r="ABO39" s="98"/>
      <c r="ABP39" s="98"/>
      <c r="ABQ39" s="98"/>
      <c r="ABR39" s="98"/>
      <c r="ABS39" s="98"/>
      <c r="ABT39" s="98"/>
      <c r="ABU39" s="98"/>
      <c r="ABV39" s="98"/>
      <c r="ABW39" s="98"/>
      <c r="ABX39" s="98"/>
      <c r="ABY39" s="98"/>
      <c r="ABZ39" s="98"/>
      <c r="ACA39" s="98"/>
      <c r="ACB39" s="98"/>
      <c r="ACC39" s="98"/>
      <c r="ACD39" s="98"/>
      <c r="ACE39" s="98"/>
      <c r="ACF39" s="98"/>
      <c r="ACG39" s="98"/>
      <c r="ACH39" s="98"/>
      <c r="ACI39" s="98"/>
      <c r="ACJ39" s="98"/>
      <c r="ACK39" s="98"/>
      <c r="ACL39" s="98"/>
      <c r="ACM39" s="98"/>
      <c r="ACN39" s="98"/>
      <c r="ACO39" s="98"/>
      <c r="ACP39" s="98"/>
      <c r="ACQ39" s="98"/>
      <c r="ACR39" s="98"/>
      <c r="ACS39" s="98"/>
      <c r="ACT39" s="98"/>
      <c r="ACU39" s="98"/>
      <c r="ACV39" s="98"/>
      <c r="ACW39" s="98"/>
      <c r="ACX39" s="98"/>
      <c r="ACY39" s="98"/>
      <c r="ACZ39" s="98"/>
      <c r="ADA39" s="98"/>
      <c r="ADB39" s="98"/>
      <c r="ADC39" s="98"/>
      <c r="ADD39" s="98"/>
      <c r="ADE39" s="98"/>
      <c r="ADF39" s="98"/>
      <c r="ADG39" s="98"/>
      <c r="ADH39" s="98"/>
      <c r="ADI39" s="98"/>
      <c r="ADJ39" s="98"/>
      <c r="ADK39" s="98"/>
      <c r="ADL39" s="98"/>
      <c r="ADM39" s="98"/>
      <c r="ADN39" s="98"/>
      <c r="ADO39" s="98"/>
      <c r="ADP39" s="98"/>
      <c r="ADQ39" s="98"/>
      <c r="ADR39" s="98"/>
      <c r="ADS39" s="98"/>
      <c r="ADT39" s="98"/>
      <c r="ADU39" s="98"/>
      <c r="ADV39" s="98"/>
      <c r="ADW39" s="98"/>
      <c r="ADX39" s="98"/>
      <c r="ADY39" s="98"/>
      <c r="ADZ39" s="98"/>
      <c r="AEA39" s="98"/>
      <c r="AEB39" s="98"/>
      <c r="AEC39" s="98"/>
      <c r="AED39" s="98"/>
      <c r="AEE39" s="98"/>
      <c r="AEF39" s="98"/>
      <c r="AEG39" s="98"/>
      <c r="AEH39" s="98"/>
      <c r="AEI39" s="98"/>
      <c r="AEJ39" s="98"/>
      <c r="AEK39" s="98"/>
      <c r="AEL39" s="98"/>
      <c r="AEM39" s="98"/>
      <c r="AEN39" s="98"/>
      <c r="AEO39" s="98"/>
      <c r="AEP39" s="98"/>
      <c r="AEQ39" s="98"/>
      <c r="AER39" s="98"/>
      <c r="AES39" s="98"/>
      <c r="AET39" s="98"/>
      <c r="AEU39" s="98"/>
      <c r="AEV39" s="98"/>
      <c r="AEW39" s="98"/>
      <c r="AEX39" s="98"/>
      <c r="AEY39" s="98"/>
      <c r="AEZ39" s="98"/>
      <c r="AFA39" s="98"/>
      <c r="AFB39" s="98"/>
      <c r="AFC39" s="98"/>
      <c r="AFD39" s="98"/>
      <c r="AFE39" s="98"/>
      <c r="AFF39" s="98"/>
      <c r="AFG39" s="98"/>
      <c r="AFH39" s="98"/>
      <c r="AFI39" s="98"/>
      <c r="AFJ39" s="98"/>
      <c r="AFK39" s="98"/>
      <c r="AFL39" s="98"/>
      <c r="AFM39" s="98"/>
      <c r="AFN39" s="98"/>
      <c r="AFO39" s="98"/>
      <c r="AFP39" s="98"/>
      <c r="AFQ39" s="98"/>
      <c r="AFR39" s="98"/>
      <c r="AFS39" s="98"/>
      <c r="AFT39" s="98"/>
      <c r="AFU39" s="98"/>
      <c r="AFV39" s="98"/>
      <c r="AFW39" s="98"/>
      <c r="AFX39" s="98"/>
      <c r="AFY39" s="98"/>
      <c r="AFZ39" s="98"/>
      <c r="AGA39" s="98"/>
      <c r="AGB39" s="98"/>
      <c r="AGC39" s="98"/>
      <c r="AGD39" s="98"/>
      <c r="AGE39" s="98"/>
      <c r="AGF39" s="98"/>
      <c r="AGG39" s="98"/>
      <c r="AGH39" s="98"/>
      <c r="AGI39" s="98"/>
      <c r="AGJ39" s="98"/>
      <c r="AGK39" s="98"/>
      <c r="AGL39" s="98"/>
      <c r="AGM39" s="98"/>
      <c r="AGN39" s="98"/>
      <c r="AGO39" s="98"/>
      <c r="AGP39" s="98"/>
      <c r="AGQ39" s="98"/>
      <c r="AGR39" s="98"/>
      <c r="AGS39" s="98"/>
      <c r="AGT39" s="98"/>
      <c r="AGU39" s="98"/>
      <c r="AGV39" s="98"/>
      <c r="AGW39" s="98"/>
      <c r="AGX39" s="98"/>
      <c r="AGY39" s="98"/>
      <c r="AGZ39" s="98"/>
      <c r="AHA39" s="98"/>
      <c r="AHB39" s="98"/>
      <c r="AHC39" s="98"/>
      <c r="AHD39" s="98"/>
      <c r="AHE39" s="98"/>
      <c r="AHF39" s="98"/>
      <c r="AHG39" s="98"/>
      <c r="AHH39" s="98"/>
      <c r="AHI39" s="98"/>
      <c r="AHJ39" s="98"/>
      <c r="AHK39" s="98"/>
      <c r="AHL39" s="98"/>
      <c r="AHM39" s="98"/>
      <c r="AHN39" s="98"/>
      <c r="AHO39" s="98"/>
      <c r="AHP39" s="98"/>
      <c r="AHQ39" s="98"/>
      <c r="AHR39" s="98"/>
      <c r="AHS39" s="98"/>
      <c r="AHT39" s="98"/>
      <c r="AHU39" s="98"/>
      <c r="AHV39" s="98"/>
      <c r="AHW39" s="98"/>
      <c r="AHX39" s="98"/>
      <c r="AHY39" s="98"/>
      <c r="AHZ39" s="98"/>
      <c r="AIA39" s="98"/>
      <c r="AIB39" s="98"/>
      <c r="AIC39" s="98"/>
      <c r="AID39" s="98"/>
      <c r="AIE39" s="98"/>
      <c r="AIF39" s="98"/>
      <c r="AIG39" s="98"/>
      <c r="AIH39" s="98"/>
      <c r="AII39" s="98"/>
      <c r="AIJ39" s="98"/>
      <c r="AIK39" s="98"/>
      <c r="AIL39" s="98"/>
      <c r="AIM39" s="98"/>
      <c r="AIN39" s="98"/>
      <c r="AIO39" s="98"/>
      <c r="AIP39" s="98"/>
      <c r="AIQ39" s="98"/>
      <c r="AIR39" s="98"/>
      <c r="AIS39" s="98"/>
      <c r="AIT39" s="98"/>
      <c r="AIU39" s="98"/>
      <c r="AIV39" s="98"/>
      <c r="AIW39" s="98"/>
      <c r="AIX39" s="98"/>
      <c r="AIY39" s="98"/>
      <c r="AIZ39" s="98"/>
      <c r="AJA39" s="98"/>
      <c r="AJB39" s="98"/>
      <c r="AJC39" s="98"/>
      <c r="AJD39" s="98"/>
      <c r="AJE39" s="98"/>
      <c r="AJF39" s="98"/>
      <c r="AJG39" s="98"/>
      <c r="AJH39" s="98"/>
      <c r="AJI39" s="98"/>
      <c r="AJJ39" s="98"/>
      <c r="AJK39" s="98"/>
      <c r="AJL39" s="98"/>
      <c r="AJM39" s="98"/>
      <c r="AJN39" s="98"/>
      <c r="AJO39" s="98"/>
      <c r="AJP39" s="98"/>
      <c r="AJQ39" s="98"/>
      <c r="AJR39" s="98"/>
      <c r="AJS39" s="98"/>
      <c r="AJT39" s="98"/>
      <c r="AJU39" s="98"/>
      <c r="AJV39" s="98"/>
      <c r="AJW39" s="98"/>
      <c r="AJX39" s="98"/>
      <c r="AJY39" s="98"/>
      <c r="AJZ39" s="98"/>
      <c r="AKA39" s="98"/>
      <c r="AKB39" s="98"/>
      <c r="AKC39" s="98"/>
      <c r="AKD39" s="98"/>
      <c r="AKE39" s="98"/>
      <c r="AKF39" s="98"/>
      <c r="AKG39" s="98"/>
      <c r="AKH39" s="98"/>
      <c r="AKI39" s="98"/>
      <c r="AKJ39" s="98"/>
      <c r="AKK39" s="98"/>
      <c r="AKL39" s="98"/>
      <c r="AKM39" s="98"/>
      <c r="AKN39" s="98"/>
      <c r="AKO39" s="98"/>
      <c r="AKP39" s="98"/>
      <c r="AKQ39" s="98"/>
      <c r="AKR39" s="98"/>
      <c r="AKS39" s="98"/>
      <c r="AKT39" s="98"/>
      <c r="AKU39" s="98"/>
      <c r="AKV39" s="98"/>
      <c r="AKW39" s="98"/>
      <c r="AKX39" s="98"/>
      <c r="AKY39" s="98"/>
      <c r="AKZ39" s="98"/>
      <c r="ALA39" s="98"/>
      <c r="ALB39" s="98"/>
      <c r="ALC39" s="98"/>
      <c r="ALD39" s="98"/>
      <c r="ALE39" s="98"/>
      <c r="ALF39" s="98"/>
      <c r="ALG39" s="98"/>
      <c r="ALH39" s="98"/>
      <c r="ALI39" s="98"/>
      <c r="ALJ39" s="98"/>
      <c r="ALK39" s="98"/>
      <c r="ALL39" s="98"/>
      <c r="ALM39" s="98"/>
      <c r="ALN39" s="98"/>
      <c r="ALO39" s="98"/>
      <c r="ALP39" s="98"/>
      <c r="ALQ39" s="98"/>
      <c r="ALR39" s="98"/>
      <c r="ALS39" s="98"/>
      <c r="ALT39" s="98"/>
      <c r="ALU39" s="98"/>
      <c r="ALV39" s="98"/>
      <c r="ALW39" s="98"/>
      <c r="ALX39" s="98"/>
      <c r="ALY39" s="98"/>
      <c r="ALZ39" s="98"/>
      <c r="AMA39" s="98"/>
      <c r="AMB39" s="98"/>
      <c r="AMC39" s="98"/>
      <c r="AMD39" s="98"/>
      <c r="AME39" s="98"/>
      <c r="AMF39" s="98"/>
      <c r="AMG39" s="98"/>
      <c r="AMH39" s="98"/>
      <c r="AMI39" s="98"/>
      <c r="AMJ39" s="98"/>
      <c r="AMK39" s="98"/>
      <c r="AML39" s="98"/>
      <c r="AMM39" s="98"/>
      <c r="AMN39" s="98"/>
      <c r="AMO39" s="98"/>
      <c r="AMP39" s="98"/>
      <c r="AMQ39" s="98"/>
      <c r="AMR39" s="98"/>
      <c r="AMS39" s="98"/>
      <c r="AMT39" s="98"/>
      <c r="AMU39" s="98"/>
      <c r="AMV39" s="98"/>
      <c r="AMW39" s="98"/>
      <c r="AMX39" s="98"/>
      <c r="AMY39" s="98"/>
      <c r="AMZ39" s="98"/>
      <c r="ANA39" s="98"/>
      <c r="ANB39" s="98"/>
      <c r="ANC39" s="98"/>
      <c r="AND39" s="98"/>
      <c r="ANE39" s="98"/>
      <c r="ANF39" s="98"/>
      <c r="ANG39" s="98"/>
      <c r="ANH39" s="98"/>
      <c r="ANI39" s="98"/>
      <c r="ANJ39" s="98"/>
      <c r="ANK39" s="98"/>
      <c r="ANL39" s="98"/>
      <c r="ANM39" s="98"/>
      <c r="ANN39" s="98"/>
      <c r="ANO39" s="98"/>
      <c r="ANP39" s="98"/>
      <c r="ANQ39" s="98"/>
      <c r="ANR39" s="98"/>
      <c r="ANS39" s="98"/>
      <c r="ANT39" s="98"/>
      <c r="ANU39" s="98"/>
      <c r="ANV39" s="98"/>
      <c r="ANW39" s="98"/>
      <c r="ANX39" s="98"/>
      <c r="ANY39" s="98"/>
      <c r="ANZ39" s="98"/>
      <c r="AOA39" s="98"/>
      <c r="AOB39" s="98"/>
      <c r="AOC39" s="98"/>
      <c r="AOD39" s="98"/>
      <c r="AOE39" s="98"/>
      <c r="AOF39" s="98"/>
      <c r="AOG39" s="98"/>
      <c r="AOH39" s="98"/>
      <c r="AOI39" s="98"/>
      <c r="AOJ39" s="98"/>
      <c r="AOK39" s="98"/>
      <c r="AOL39" s="98"/>
      <c r="AOM39" s="98"/>
      <c r="AON39" s="98"/>
      <c r="AOO39" s="98"/>
      <c r="AOP39" s="98"/>
      <c r="AOQ39" s="98"/>
      <c r="AOR39" s="98"/>
      <c r="AOS39" s="98"/>
      <c r="AOT39" s="98"/>
      <c r="AOU39" s="98"/>
      <c r="AOV39" s="98"/>
      <c r="AOW39" s="98"/>
      <c r="AOX39" s="98"/>
      <c r="AOY39" s="98"/>
      <c r="AOZ39" s="98"/>
      <c r="APA39" s="98"/>
      <c r="APB39" s="98"/>
      <c r="APC39" s="98"/>
      <c r="APD39" s="98"/>
      <c r="APE39" s="98"/>
      <c r="APF39" s="98"/>
      <c r="APG39" s="98"/>
      <c r="APH39" s="98"/>
      <c r="API39" s="98"/>
      <c r="APJ39" s="98"/>
      <c r="APK39" s="98"/>
      <c r="APL39" s="98"/>
      <c r="APM39" s="98"/>
      <c r="APN39" s="98"/>
      <c r="APO39" s="98"/>
      <c r="APP39" s="98"/>
      <c r="APQ39" s="98"/>
      <c r="APR39" s="98"/>
      <c r="APS39" s="98"/>
      <c r="APT39" s="98"/>
      <c r="APU39" s="98"/>
      <c r="APV39" s="98"/>
      <c r="APW39" s="98"/>
      <c r="APX39" s="98"/>
      <c r="APY39" s="98"/>
      <c r="APZ39" s="98"/>
      <c r="AQA39" s="98"/>
      <c r="AQB39" s="98"/>
      <c r="AQC39" s="98"/>
      <c r="AQD39" s="98"/>
      <c r="AQE39" s="98"/>
      <c r="AQF39" s="98"/>
      <c r="AQG39" s="98"/>
      <c r="AQH39" s="98"/>
      <c r="AQI39" s="98"/>
      <c r="AQJ39" s="98"/>
      <c r="AQK39" s="98"/>
      <c r="AQL39" s="98"/>
      <c r="AQM39" s="98"/>
      <c r="AQN39" s="98"/>
      <c r="AQO39" s="98"/>
      <c r="AQP39" s="98"/>
      <c r="AQQ39" s="98"/>
      <c r="AQR39" s="98"/>
      <c r="AQS39" s="98"/>
      <c r="AQT39" s="98"/>
      <c r="AQU39" s="98"/>
      <c r="AQV39" s="98"/>
      <c r="AQW39" s="98"/>
      <c r="AQX39" s="98"/>
      <c r="AQY39" s="98"/>
      <c r="AQZ39" s="98"/>
      <c r="ARA39" s="98"/>
      <c r="ARB39" s="98"/>
      <c r="ARC39" s="98"/>
      <c r="ARD39" s="98"/>
      <c r="ARE39" s="98"/>
      <c r="ARF39" s="98"/>
      <c r="ARG39" s="98"/>
      <c r="ARH39" s="98"/>
      <c r="ARI39" s="98"/>
      <c r="ARJ39" s="98"/>
      <c r="ARK39" s="98"/>
      <c r="ARL39" s="98"/>
      <c r="ARM39" s="98"/>
      <c r="ARN39" s="98"/>
      <c r="ARO39" s="98"/>
      <c r="ARP39" s="98"/>
      <c r="ARQ39" s="98"/>
      <c r="ARR39" s="98"/>
    </row>
    <row r="40" spans="1:1162" s="174" customFormat="1">
      <c r="A40" s="138" t="s">
        <v>494</v>
      </c>
      <c r="B40" s="134"/>
      <c r="C40" s="197"/>
      <c r="D40" s="175">
        <f>SUM(D32:D39)</f>
        <v>43079675</v>
      </c>
      <c r="E40" s="197"/>
      <c r="F40" s="175">
        <f>SUM(F32:F39)</f>
        <v>4751650</v>
      </c>
      <c r="G40" s="197"/>
      <c r="H40" s="175">
        <f>SUM(H32:H39)</f>
        <v>7293974</v>
      </c>
      <c r="I40" s="197"/>
      <c r="J40" s="175">
        <f>SUM(J32:J39)</f>
        <v>34100108</v>
      </c>
      <c r="K40" s="197"/>
      <c r="L40" s="175">
        <f>SUM(L32:L39)</f>
        <v>16886807</v>
      </c>
      <c r="M40" s="197"/>
      <c r="N40" s="175">
        <f>SUM(N32:N39)</f>
        <v>31813163</v>
      </c>
      <c r="O40" s="197"/>
      <c r="P40" s="175">
        <f>SUM(P32:P39)</f>
        <v>25946538</v>
      </c>
      <c r="Q40" s="197"/>
      <c r="R40" s="175">
        <f>SUM(R32:R39)</f>
        <v>13669815</v>
      </c>
      <c r="S40" s="197"/>
      <c r="T40" s="175">
        <f>SUM(T32:T39)</f>
        <v>4218249</v>
      </c>
      <c r="U40" s="201"/>
      <c r="V40" s="175">
        <f>SUM(V32:V39)</f>
        <v>32454090</v>
      </c>
      <c r="W40" s="201"/>
      <c r="X40" s="175">
        <f>SUM(X32:X39)</f>
        <v>93272267</v>
      </c>
      <c r="Y40" s="201"/>
      <c r="Z40" s="175">
        <f>SUM(Z32:Z39)</f>
        <v>91270520</v>
      </c>
      <c r="AA40" s="201"/>
      <c r="AB40" s="175">
        <f>SUM(AB32:AB39)</f>
        <v>116958547</v>
      </c>
      <c r="AC40" s="197"/>
      <c r="AD40" s="175">
        <f>SUM(AD32:AD39)</f>
        <v>159090584</v>
      </c>
      <c r="AE40" s="197"/>
      <c r="AF40" s="175">
        <f>SUM(AF32:AF39)</f>
        <v>125066082</v>
      </c>
      <c r="AG40" s="201"/>
      <c r="AH40" s="175">
        <f>SUM(AH32:AH39)</f>
        <v>160598253</v>
      </c>
      <c r="AI40" s="201"/>
      <c r="AJ40" s="175">
        <f>SUM(AJ32:AJ39)</f>
        <v>169280661</v>
      </c>
      <c r="AK40" s="201"/>
      <c r="AL40" s="175">
        <f>SUM(AL32:AL39)</f>
        <v>132465272</v>
      </c>
      <c r="AM40" s="182"/>
      <c r="AN40" s="175">
        <f>SUM(AN32:AN39)</f>
        <v>190473760</v>
      </c>
      <c r="AO40" s="201"/>
      <c r="AP40" s="175">
        <f>SUM(AP32:AP39)</f>
        <v>200067670</v>
      </c>
      <c r="AQ40" s="201"/>
      <c r="AR40" s="175">
        <f>SUM(AR32:AR39)</f>
        <v>283073265.61000001</v>
      </c>
      <c r="AS40" s="201"/>
      <c r="AT40" s="175">
        <f>SUM(AT32:AT39)</f>
        <v>390744592</v>
      </c>
      <c r="AU40" s="201"/>
      <c r="AV40" s="175">
        <f>SUM(AV32:AV39)</f>
        <v>374330974</v>
      </c>
      <c r="AW40" s="175"/>
      <c r="AX40" s="175">
        <f>SUM(AX32:AX39)</f>
        <v>351243980</v>
      </c>
      <c r="AY40" s="175"/>
      <c r="AZ40" s="175">
        <f>SUM(AZ32:AZ39)</f>
        <v>309146653</v>
      </c>
      <c r="BA40" s="178"/>
      <c r="BB40" s="175"/>
      <c r="BC40" s="175"/>
      <c r="BD40" s="175"/>
      <c r="BE40" s="178"/>
      <c r="BF40" s="175"/>
      <c r="BG40" s="175"/>
      <c r="BH40" s="175"/>
      <c r="BI40" s="178"/>
      <c r="BJ40" s="98"/>
      <c r="BK40" s="11"/>
      <c r="BL40" s="148"/>
      <c r="BM40" s="14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c r="KT40" s="98"/>
      <c r="KU40" s="98"/>
      <c r="KV40" s="98"/>
      <c r="KW40" s="98"/>
      <c r="KX40" s="98"/>
      <c r="KY40" s="98"/>
      <c r="KZ40" s="98"/>
      <c r="LA40" s="98"/>
      <c r="LB40" s="98"/>
      <c r="LC40" s="98"/>
      <c r="LD40" s="98"/>
      <c r="LE40" s="98"/>
      <c r="LF40" s="98"/>
      <c r="LG40" s="98"/>
      <c r="LH40" s="98"/>
      <c r="LI40" s="98"/>
      <c r="LJ40" s="98"/>
      <c r="LK40" s="98"/>
      <c r="LL40" s="98"/>
      <c r="LM40" s="98"/>
      <c r="LN40" s="98"/>
      <c r="LO40" s="98"/>
      <c r="LP40" s="98"/>
      <c r="LQ40" s="98"/>
      <c r="LR40" s="98"/>
      <c r="LS40" s="98"/>
      <c r="LT40" s="98"/>
      <c r="LU40" s="98"/>
      <c r="LV40" s="98"/>
      <c r="LW40" s="98"/>
      <c r="LX40" s="98"/>
      <c r="LY40" s="98"/>
      <c r="LZ40" s="98"/>
      <c r="MA40" s="98"/>
      <c r="MB40" s="98"/>
      <c r="MC40" s="98"/>
      <c r="MD40" s="98"/>
      <c r="ME40" s="98"/>
      <c r="MF40" s="98"/>
      <c r="MG40" s="98"/>
      <c r="MH40" s="98"/>
      <c r="MI40" s="98"/>
      <c r="MJ40" s="98"/>
      <c r="MK40" s="98"/>
      <c r="ML40" s="98"/>
      <c r="MM40" s="98"/>
      <c r="MN40" s="98"/>
      <c r="MO40" s="98"/>
      <c r="MP40" s="98"/>
      <c r="MQ40" s="98"/>
      <c r="MR40" s="98"/>
      <c r="MS40" s="98"/>
      <c r="MT40" s="98"/>
      <c r="MU40" s="98"/>
      <c r="MV40" s="98"/>
      <c r="MW40" s="98"/>
      <c r="MX40" s="98"/>
      <c r="MY40" s="98"/>
      <c r="MZ40" s="98"/>
      <c r="NA40" s="98"/>
      <c r="NB40" s="98"/>
      <c r="NC40" s="98"/>
      <c r="ND40" s="98"/>
      <c r="NE40" s="98"/>
      <c r="NF40" s="98"/>
      <c r="NG40" s="98"/>
      <c r="NH40" s="98"/>
      <c r="NI40" s="98"/>
      <c r="NJ40" s="98"/>
      <c r="NK40" s="98"/>
      <c r="NL40" s="98"/>
      <c r="NM40" s="98"/>
      <c r="NN40" s="98"/>
      <c r="NO40" s="98"/>
      <c r="NP40" s="98"/>
      <c r="NQ40" s="98"/>
      <c r="NR40" s="98"/>
      <c r="NS40" s="98"/>
      <c r="NT40" s="98"/>
      <c r="NU40" s="98"/>
      <c r="NV40" s="98"/>
      <c r="NW40" s="98"/>
      <c r="NX40" s="98"/>
      <c r="NY40" s="98"/>
      <c r="NZ40" s="98"/>
      <c r="OA40" s="98"/>
      <c r="OB40" s="98"/>
      <c r="OC40" s="98"/>
      <c r="OD40" s="98"/>
      <c r="OE40" s="98"/>
      <c r="OF40" s="98"/>
      <c r="OG40" s="98"/>
      <c r="OH40" s="98"/>
      <c r="OI40" s="98"/>
      <c r="OJ40" s="98"/>
      <c r="OK40" s="98"/>
      <c r="OL40" s="98"/>
      <c r="OM40" s="98"/>
      <c r="ON40" s="98"/>
      <c r="OO40" s="98"/>
      <c r="OP40" s="98"/>
      <c r="OQ40" s="98"/>
      <c r="OR40" s="98"/>
      <c r="OS40" s="98"/>
      <c r="OT40" s="98"/>
      <c r="OU40" s="98"/>
      <c r="OV40" s="98"/>
      <c r="OW40" s="98"/>
      <c r="OX40" s="98"/>
      <c r="OY40" s="98"/>
      <c r="OZ40" s="98"/>
      <c r="PA40" s="98"/>
      <c r="PB40" s="98"/>
      <c r="PC40" s="98"/>
      <c r="PD40" s="98"/>
      <c r="PE40" s="98"/>
      <c r="PF40" s="98"/>
      <c r="PG40" s="98"/>
      <c r="PH40" s="98"/>
      <c r="PI40" s="98"/>
      <c r="PJ40" s="98"/>
      <c r="PK40" s="98"/>
      <c r="PL40" s="98"/>
      <c r="PM40" s="98"/>
      <c r="PN40" s="98"/>
      <c r="PO40" s="98"/>
      <c r="PP40" s="98"/>
      <c r="PQ40" s="98"/>
      <c r="PR40" s="98"/>
      <c r="PS40" s="98"/>
      <c r="PT40" s="98"/>
      <c r="PU40" s="98"/>
      <c r="PV40" s="98"/>
      <c r="PW40" s="98"/>
      <c r="PX40" s="98"/>
      <c r="PY40" s="98"/>
      <c r="PZ40" s="98"/>
      <c r="QA40" s="98"/>
      <c r="QB40" s="98"/>
      <c r="QC40" s="98"/>
      <c r="QD40" s="98"/>
      <c r="QE40" s="98"/>
      <c r="QF40" s="98"/>
      <c r="QG40" s="98"/>
      <c r="QH40" s="98"/>
      <c r="QI40" s="98"/>
      <c r="QJ40" s="98"/>
      <c r="QK40" s="98"/>
      <c r="QL40" s="98"/>
      <c r="QM40" s="98"/>
      <c r="QN40" s="98"/>
      <c r="QO40" s="98"/>
      <c r="QP40" s="98"/>
      <c r="QQ40" s="98"/>
      <c r="QR40" s="98"/>
      <c r="QS40" s="98"/>
      <c r="QT40" s="98"/>
      <c r="QU40" s="98"/>
      <c r="QV40" s="98"/>
      <c r="QW40" s="98"/>
      <c r="QX40" s="98"/>
      <c r="QY40" s="98"/>
      <c r="QZ40" s="98"/>
      <c r="RA40" s="98"/>
      <c r="RB40" s="98"/>
      <c r="RC40" s="98"/>
      <c r="RD40" s="98"/>
      <c r="RE40" s="98"/>
      <c r="RF40" s="98"/>
      <c r="RG40" s="98"/>
      <c r="RH40" s="98"/>
      <c r="RI40" s="98"/>
      <c r="RJ40" s="98"/>
      <c r="RK40" s="98"/>
      <c r="RL40" s="98"/>
      <c r="RM40" s="98"/>
      <c r="RN40" s="98"/>
      <c r="RO40" s="98"/>
      <c r="RP40" s="98"/>
      <c r="RQ40" s="98"/>
      <c r="RR40" s="98"/>
      <c r="RS40" s="98"/>
      <c r="RT40" s="98"/>
      <c r="RU40" s="98"/>
      <c r="RV40" s="98"/>
      <c r="RW40" s="98"/>
      <c r="RX40" s="98"/>
      <c r="RY40" s="98"/>
      <c r="RZ40" s="98"/>
      <c r="SA40" s="98"/>
      <c r="SB40" s="98"/>
      <c r="SC40" s="98"/>
      <c r="SD40" s="98"/>
      <c r="SE40" s="98"/>
      <c r="SF40" s="98"/>
      <c r="SG40" s="98"/>
      <c r="SH40" s="98"/>
      <c r="SI40" s="98"/>
      <c r="SJ40" s="98"/>
      <c r="SK40" s="98"/>
      <c r="SL40" s="98"/>
      <c r="SM40" s="98"/>
      <c r="SN40" s="98"/>
      <c r="SO40" s="98"/>
      <c r="SP40" s="98"/>
      <c r="SQ40" s="98"/>
      <c r="SR40" s="98"/>
      <c r="SS40" s="98"/>
      <c r="ST40" s="98"/>
      <c r="SU40" s="98"/>
      <c r="SV40" s="98"/>
      <c r="SW40" s="98"/>
      <c r="SX40" s="98"/>
      <c r="SY40" s="98"/>
      <c r="SZ40" s="98"/>
      <c r="TA40" s="98"/>
      <c r="TB40" s="98"/>
      <c r="TC40" s="98"/>
      <c r="TD40" s="98"/>
      <c r="TE40" s="98"/>
      <c r="TF40" s="98"/>
      <c r="TG40" s="98"/>
      <c r="TH40" s="98"/>
      <c r="TI40" s="98"/>
      <c r="TJ40" s="98"/>
      <c r="TK40" s="98"/>
      <c r="TL40" s="98"/>
      <c r="TM40" s="98"/>
      <c r="TN40" s="98"/>
      <c r="TO40" s="98"/>
      <c r="TP40" s="98"/>
      <c r="TQ40" s="98"/>
      <c r="TR40" s="98"/>
      <c r="TS40" s="98"/>
      <c r="TT40" s="98"/>
      <c r="TU40" s="98"/>
      <c r="TV40" s="98"/>
      <c r="TW40" s="98"/>
      <c r="TX40" s="98"/>
      <c r="TY40" s="98"/>
      <c r="TZ40" s="98"/>
      <c r="UA40" s="98"/>
      <c r="UB40" s="98"/>
      <c r="UC40" s="98"/>
      <c r="UD40" s="98"/>
      <c r="UE40" s="98"/>
      <c r="UF40" s="98"/>
      <c r="UG40" s="98"/>
      <c r="UH40" s="98"/>
      <c r="UI40" s="98"/>
      <c r="UJ40" s="98"/>
      <c r="UK40" s="98"/>
      <c r="UL40" s="98"/>
      <c r="UM40" s="98"/>
      <c r="UN40" s="98"/>
      <c r="UO40" s="98"/>
      <c r="UP40" s="98"/>
      <c r="UQ40" s="98"/>
      <c r="UR40" s="98"/>
      <c r="US40" s="98"/>
      <c r="UT40" s="98"/>
      <c r="UU40" s="98"/>
      <c r="UV40" s="98"/>
      <c r="UW40" s="98"/>
      <c r="UX40" s="98"/>
      <c r="UY40" s="98"/>
      <c r="UZ40" s="98"/>
      <c r="VA40" s="98"/>
      <c r="VB40" s="98"/>
      <c r="VC40" s="98"/>
      <c r="VD40" s="98"/>
      <c r="VE40" s="98"/>
      <c r="VF40" s="98"/>
      <c r="VG40" s="98"/>
      <c r="VH40" s="98"/>
      <c r="VI40" s="98"/>
      <c r="VJ40" s="98"/>
      <c r="VK40" s="98"/>
      <c r="VL40" s="98"/>
      <c r="VM40" s="98"/>
      <c r="VN40" s="98"/>
      <c r="VO40" s="98"/>
      <c r="VP40" s="98"/>
      <c r="VQ40" s="98"/>
      <c r="VR40" s="98"/>
      <c r="VS40" s="98"/>
      <c r="VT40" s="98"/>
      <c r="VU40" s="98"/>
      <c r="VV40" s="98"/>
      <c r="VW40" s="98"/>
      <c r="VX40" s="98"/>
      <c r="VY40" s="98"/>
      <c r="VZ40" s="98"/>
      <c r="WA40" s="98"/>
      <c r="WB40" s="98"/>
      <c r="WC40" s="98"/>
      <c r="WD40" s="98"/>
      <c r="WE40" s="98"/>
      <c r="WF40" s="98"/>
      <c r="WG40" s="98"/>
      <c r="WH40" s="98"/>
      <c r="WI40" s="98"/>
      <c r="WJ40" s="98"/>
      <c r="WK40" s="98"/>
      <c r="WL40" s="98"/>
      <c r="WM40" s="98"/>
      <c r="WN40" s="98"/>
      <c r="WO40" s="98"/>
      <c r="WP40" s="98"/>
      <c r="WQ40" s="98"/>
      <c r="WR40" s="98"/>
      <c r="WS40" s="98"/>
      <c r="WT40" s="98"/>
      <c r="WU40" s="98"/>
      <c r="WV40" s="98"/>
      <c r="WW40" s="98"/>
      <c r="WX40" s="98"/>
      <c r="WY40" s="98"/>
      <c r="WZ40" s="98"/>
      <c r="XA40" s="98"/>
      <c r="XB40" s="98"/>
      <c r="XC40" s="98"/>
      <c r="XD40" s="98"/>
      <c r="XE40" s="98"/>
      <c r="XF40" s="98"/>
      <c r="XG40" s="98"/>
      <c r="XH40" s="98"/>
      <c r="XI40" s="98"/>
      <c r="XJ40" s="98"/>
      <c r="XK40" s="98"/>
      <c r="XL40" s="98"/>
      <c r="XM40" s="98"/>
      <c r="XN40" s="98"/>
      <c r="XO40" s="98"/>
      <c r="XP40" s="98"/>
      <c r="XQ40" s="98"/>
      <c r="XR40" s="98"/>
      <c r="XS40" s="98"/>
      <c r="XT40" s="98"/>
      <c r="XU40" s="98"/>
      <c r="XV40" s="98"/>
      <c r="XW40" s="98"/>
      <c r="XX40" s="98"/>
      <c r="XY40" s="98"/>
      <c r="XZ40" s="98"/>
      <c r="YA40" s="98"/>
      <c r="YB40" s="98"/>
      <c r="YC40" s="98"/>
      <c r="YD40" s="98"/>
      <c r="YE40" s="98"/>
      <c r="YF40" s="98"/>
      <c r="YG40" s="98"/>
      <c r="YH40" s="98"/>
      <c r="YI40" s="98"/>
      <c r="YJ40" s="98"/>
      <c r="YK40" s="98"/>
      <c r="YL40" s="98"/>
      <c r="YM40" s="98"/>
      <c r="YN40" s="98"/>
      <c r="YO40" s="98"/>
      <c r="YP40" s="98"/>
      <c r="YQ40" s="98"/>
      <c r="YR40" s="98"/>
      <c r="YS40" s="98"/>
      <c r="YT40" s="98"/>
      <c r="YU40" s="98"/>
      <c r="YV40" s="98"/>
      <c r="YW40" s="98"/>
      <c r="YX40" s="98"/>
      <c r="YY40" s="98"/>
      <c r="YZ40" s="98"/>
      <c r="ZA40" s="98"/>
      <c r="ZB40" s="98"/>
      <c r="ZC40" s="98"/>
      <c r="ZD40" s="98"/>
      <c r="ZE40" s="98"/>
      <c r="ZF40" s="98"/>
      <c r="ZG40" s="98"/>
      <c r="ZH40" s="98"/>
      <c r="ZI40" s="98"/>
      <c r="ZJ40" s="98"/>
      <c r="ZK40" s="98"/>
      <c r="ZL40" s="98"/>
      <c r="ZM40" s="98"/>
      <c r="ZN40" s="98"/>
      <c r="ZO40" s="98"/>
      <c r="ZP40" s="98"/>
      <c r="ZQ40" s="98"/>
      <c r="ZR40" s="98"/>
      <c r="ZS40" s="98"/>
      <c r="ZT40" s="98"/>
      <c r="ZU40" s="98"/>
      <c r="ZV40" s="98"/>
      <c r="ZW40" s="98"/>
      <c r="ZX40" s="98"/>
      <c r="ZY40" s="98"/>
      <c r="ZZ40" s="98"/>
      <c r="AAA40" s="98"/>
      <c r="AAB40" s="98"/>
      <c r="AAC40" s="98"/>
      <c r="AAD40" s="98"/>
      <c r="AAE40" s="98"/>
      <c r="AAF40" s="98"/>
      <c r="AAG40" s="98"/>
      <c r="AAH40" s="98"/>
      <c r="AAI40" s="98"/>
      <c r="AAJ40" s="98"/>
      <c r="AAK40" s="98"/>
      <c r="AAL40" s="98"/>
      <c r="AAM40" s="98"/>
      <c r="AAN40" s="98"/>
      <c r="AAO40" s="98"/>
      <c r="AAP40" s="98"/>
      <c r="AAQ40" s="98"/>
      <c r="AAR40" s="98"/>
      <c r="AAS40" s="98"/>
      <c r="AAT40" s="98"/>
      <c r="AAU40" s="98"/>
      <c r="AAV40" s="98"/>
      <c r="AAW40" s="98"/>
      <c r="AAX40" s="98"/>
      <c r="AAY40" s="98"/>
      <c r="AAZ40" s="98"/>
      <c r="ABA40" s="98"/>
      <c r="ABB40" s="98"/>
      <c r="ABC40" s="98"/>
      <c r="ABD40" s="98"/>
      <c r="ABE40" s="98"/>
      <c r="ABF40" s="98"/>
      <c r="ABG40" s="98"/>
      <c r="ABH40" s="98"/>
      <c r="ABI40" s="98"/>
      <c r="ABJ40" s="98"/>
      <c r="ABK40" s="98"/>
      <c r="ABL40" s="98"/>
      <c r="ABM40" s="98"/>
      <c r="ABN40" s="98"/>
      <c r="ABO40" s="98"/>
      <c r="ABP40" s="98"/>
      <c r="ABQ40" s="98"/>
      <c r="ABR40" s="98"/>
      <c r="ABS40" s="98"/>
      <c r="ABT40" s="98"/>
      <c r="ABU40" s="98"/>
      <c r="ABV40" s="98"/>
      <c r="ABW40" s="98"/>
      <c r="ABX40" s="98"/>
      <c r="ABY40" s="98"/>
      <c r="ABZ40" s="98"/>
      <c r="ACA40" s="98"/>
      <c r="ACB40" s="98"/>
      <c r="ACC40" s="98"/>
      <c r="ACD40" s="98"/>
      <c r="ACE40" s="98"/>
      <c r="ACF40" s="98"/>
      <c r="ACG40" s="98"/>
      <c r="ACH40" s="98"/>
      <c r="ACI40" s="98"/>
      <c r="ACJ40" s="98"/>
      <c r="ACK40" s="98"/>
      <c r="ACL40" s="98"/>
      <c r="ACM40" s="98"/>
      <c r="ACN40" s="98"/>
      <c r="ACO40" s="98"/>
      <c r="ACP40" s="98"/>
      <c r="ACQ40" s="98"/>
      <c r="ACR40" s="98"/>
      <c r="ACS40" s="98"/>
      <c r="ACT40" s="98"/>
      <c r="ACU40" s="98"/>
      <c r="ACV40" s="98"/>
      <c r="ACW40" s="98"/>
      <c r="ACX40" s="98"/>
      <c r="ACY40" s="98"/>
      <c r="ACZ40" s="98"/>
      <c r="ADA40" s="98"/>
      <c r="ADB40" s="98"/>
      <c r="ADC40" s="98"/>
      <c r="ADD40" s="98"/>
      <c r="ADE40" s="98"/>
      <c r="ADF40" s="98"/>
      <c r="ADG40" s="98"/>
      <c r="ADH40" s="98"/>
      <c r="ADI40" s="98"/>
      <c r="ADJ40" s="98"/>
      <c r="ADK40" s="98"/>
      <c r="ADL40" s="98"/>
      <c r="ADM40" s="98"/>
      <c r="ADN40" s="98"/>
      <c r="ADO40" s="98"/>
      <c r="ADP40" s="98"/>
      <c r="ADQ40" s="98"/>
      <c r="ADR40" s="98"/>
      <c r="ADS40" s="98"/>
      <c r="ADT40" s="98"/>
      <c r="ADU40" s="98"/>
      <c r="ADV40" s="98"/>
      <c r="ADW40" s="98"/>
      <c r="ADX40" s="98"/>
      <c r="ADY40" s="98"/>
      <c r="ADZ40" s="98"/>
      <c r="AEA40" s="98"/>
      <c r="AEB40" s="98"/>
      <c r="AEC40" s="98"/>
      <c r="AED40" s="98"/>
      <c r="AEE40" s="98"/>
      <c r="AEF40" s="98"/>
      <c r="AEG40" s="98"/>
      <c r="AEH40" s="98"/>
      <c r="AEI40" s="98"/>
      <c r="AEJ40" s="98"/>
      <c r="AEK40" s="98"/>
      <c r="AEL40" s="98"/>
      <c r="AEM40" s="98"/>
      <c r="AEN40" s="98"/>
      <c r="AEO40" s="98"/>
      <c r="AEP40" s="98"/>
      <c r="AEQ40" s="98"/>
      <c r="AER40" s="98"/>
      <c r="AES40" s="98"/>
      <c r="AET40" s="98"/>
      <c r="AEU40" s="98"/>
      <c r="AEV40" s="98"/>
      <c r="AEW40" s="98"/>
      <c r="AEX40" s="98"/>
      <c r="AEY40" s="98"/>
      <c r="AEZ40" s="98"/>
      <c r="AFA40" s="98"/>
      <c r="AFB40" s="98"/>
      <c r="AFC40" s="98"/>
      <c r="AFD40" s="98"/>
      <c r="AFE40" s="98"/>
      <c r="AFF40" s="98"/>
      <c r="AFG40" s="98"/>
      <c r="AFH40" s="98"/>
      <c r="AFI40" s="98"/>
      <c r="AFJ40" s="98"/>
      <c r="AFK40" s="98"/>
      <c r="AFL40" s="98"/>
      <c r="AFM40" s="98"/>
      <c r="AFN40" s="98"/>
      <c r="AFO40" s="98"/>
      <c r="AFP40" s="98"/>
      <c r="AFQ40" s="98"/>
      <c r="AFR40" s="98"/>
      <c r="AFS40" s="98"/>
      <c r="AFT40" s="98"/>
      <c r="AFU40" s="98"/>
      <c r="AFV40" s="98"/>
      <c r="AFW40" s="98"/>
      <c r="AFX40" s="98"/>
      <c r="AFY40" s="98"/>
      <c r="AFZ40" s="98"/>
      <c r="AGA40" s="98"/>
      <c r="AGB40" s="98"/>
      <c r="AGC40" s="98"/>
      <c r="AGD40" s="98"/>
      <c r="AGE40" s="98"/>
      <c r="AGF40" s="98"/>
      <c r="AGG40" s="98"/>
      <c r="AGH40" s="98"/>
      <c r="AGI40" s="98"/>
      <c r="AGJ40" s="98"/>
      <c r="AGK40" s="98"/>
      <c r="AGL40" s="98"/>
      <c r="AGM40" s="98"/>
      <c r="AGN40" s="98"/>
      <c r="AGO40" s="98"/>
      <c r="AGP40" s="98"/>
      <c r="AGQ40" s="98"/>
      <c r="AGR40" s="98"/>
      <c r="AGS40" s="98"/>
      <c r="AGT40" s="98"/>
      <c r="AGU40" s="98"/>
      <c r="AGV40" s="98"/>
      <c r="AGW40" s="98"/>
      <c r="AGX40" s="98"/>
      <c r="AGY40" s="98"/>
      <c r="AGZ40" s="98"/>
      <c r="AHA40" s="98"/>
      <c r="AHB40" s="98"/>
      <c r="AHC40" s="98"/>
      <c r="AHD40" s="98"/>
      <c r="AHE40" s="98"/>
      <c r="AHF40" s="98"/>
      <c r="AHG40" s="98"/>
      <c r="AHH40" s="98"/>
      <c r="AHI40" s="98"/>
      <c r="AHJ40" s="98"/>
      <c r="AHK40" s="98"/>
      <c r="AHL40" s="98"/>
      <c r="AHM40" s="98"/>
      <c r="AHN40" s="98"/>
      <c r="AHO40" s="98"/>
      <c r="AHP40" s="98"/>
      <c r="AHQ40" s="98"/>
      <c r="AHR40" s="98"/>
      <c r="AHS40" s="98"/>
      <c r="AHT40" s="98"/>
      <c r="AHU40" s="98"/>
      <c r="AHV40" s="98"/>
      <c r="AHW40" s="98"/>
      <c r="AHX40" s="98"/>
      <c r="AHY40" s="98"/>
      <c r="AHZ40" s="98"/>
      <c r="AIA40" s="98"/>
      <c r="AIB40" s="98"/>
      <c r="AIC40" s="98"/>
      <c r="AID40" s="98"/>
      <c r="AIE40" s="98"/>
      <c r="AIF40" s="98"/>
      <c r="AIG40" s="98"/>
      <c r="AIH40" s="98"/>
      <c r="AII40" s="98"/>
      <c r="AIJ40" s="98"/>
      <c r="AIK40" s="98"/>
      <c r="AIL40" s="98"/>
      <c r="AIM40" s="98"/>
      <c r="AIN40" s="98"/>
      <c r="AIO40" s="98"/>
      <c r="AIP40" s="98"/>
      <c r="AIQ40" s="98"/>
      <c r="AIR40" s="98"/>
      <c r="AIS40" s="98"/>
      <c r="AIT40" s="98"/>
      <c r="AIU40" s="98"/>
      <c r="AIV40" s="98"/>
      <c r="AIW40" s="98"/>
      <c r="AIX40" s="98"/>
      <c r="AIY40" s="98"/>
      <c r="AIZ40" s="98"/>
      <c r="AJA40" s="98"/>
      <c r="AJB40" s="98"/>
      <c r="AJC40" s="98"/>
      <c r="AJD40" s="98"/>
      <c r="AJE40" s="98"/>
      <c r="AJF40" s="98"/>
      <c r="AJG40" s="98"/>
      <c r="AJH40" s="98"/>
      <c r="AJI40" s="98"/>
      <c r="AJJ40" s="98"/>
      <c r="AJK40" s="98"/>
      <c r="AJL40" s="98"/>
      <c r="AJM40" s="98"/>
      <c r="AJN40" s="98"/>
      <c r="AJO40" s="98"/>
      <c r="AJP40" s="98"/>
      <c r="AJQ40" s="98"/>
      <c r="AJR40" s="98"/>
      <c r="AJS40" s="98"/>
      <c r="AJT40" s="98"/>
      <c r="AJU40" s="98"/>
      <c r="AJV40" s="98"/>
      <c r="AJW40" s="98"/>
      <c r="AJX40" s="98"/>
      <c r="AJY40" s="98"/>
      <c r="AJZ40" s="98"/>
      <c r="AKA40" s="98"/>
      <c r="AKB40" s="98"/>
      <c r="AKC40" s="98"/>
      <c r="AKD40" s="98"/>
      <c r="AKE40" s="98"/>
      <c r="AKF40" s="98"/>
      <c r="AKG40" s="98"/>
      <c r="AKH40" s="98"/>
      <c r="AKI40" s="98"/>
      <c r="AKJ40" s="98"/>
      <c r="AKK40" s="98"/>
      <c r="AKL40" s="98"/>
      <c r="AKM40" s="98"/>
      <c r="AKN40" s="98"/>
      <c r="AKO40" s="98"/>
      <c r="AKP40" s="98"/>
      <c r="AKQ40" s="98"/>
      <c r="AKR40" s="98"/>
      <c r="AKS40" s="98"/>
      <c r="AKT40" s="98"/>
      <c r="AKU40" s="98"/>
      <c r="AKV40" s="98"/>
      <c r="AKW40" s="98"/>
      <c r="AKX40" s="98"/>
      <c r="AKY40" s="98"/>
      <c r="AKZ40" s="98"/>
      <c r="ALA40" s="98"/>
      <c r="ALB40" s="98"/>
      <c r="ALC40" s="98"/>
      <c r="ALD40" s="98"/>
      <c r="ALE40" s="98"/>
      <c r="ALF40" s="98"/>
      <c r="ALG40" s="98"/>
      <c r="ALH40" s="98"/>
      <c r="ALI40" s="98"/>
      <c r="ALJ40" s="98"/>
      <c r="ALK40" s="98"/>
      <c r="ALL40" s="98"/>
      <c r="ALM40" s="98"/>
      <c r="ALN40" s="98"/>
      <c r="ALO40" s="98"/>
      <c r="ALP40" s="98"/>
      <c r="ALQ40" s="98"/>
      <c r="ALR40" s="98"/>
      <c r="ALS40" s="98"/>
      <c r="ALT40" s="98"/>
      <c r="ALU40" s="98"/>
      <c r="ALV40" s="98"/>
      <c r="ALW40" s="98"/>
      <c r="ALX40" s="98"/>
      <c r="ALY40" s="98"/>
      <c r="ALZ40" s="98"/>
      <c r="AMA40" s="98"/>
      <c r="AMB40" s="98"/>
      <c r="AMC40" s="98"/>
      <c r="AMD40" s="98"/>
      <c r="AME40" s="98"/>
      <c r="AMF40" s="98"/>
      <c r="AMG40" s="98"/>
      <c r="AMH40" s="98"/>
      <c r="AMI40" s="98"/>
      <c r="AMJ40" s="98"/>
      <c r="AMK40" s="98"/>
      <c r="AML40" s="98"/>
      <c r="AMM40" s="98"/>
      <c r="AMN40" s="98"/>
      <c r="AMO40" s="98"/>
      <c r="AMP40" s="98"/>
      <c r="AMQ40" s="98"/>
      <c r="AMR40" s="98"/>
      <c r="AMS40" s="98"/>
      <c r="AMT40" s="98"/>
      <c r="AMU40" s="98"/>
      <c r="AMV40" s="98"/>
      <c r="AMW40" s="98"/>
      <c r="AMX40" s="98"/>
      <c r="AMY40" s="98"/>
      <c r="AMZ40" s="98"/>
      <c r="ANA40" s="98"/>
      <c r="ANB40" s="98"/>
      <c r="ANC40" s="98"/>
      <c r="AND40" s="98"/>
      <c r="ANE40" s="98"/>
      <c r="ANF40" s="98"/>
      <c r="ANG40" s="98"/>
      <c r="ANH40" s="98"/>
      <c r="ANI40" s="98"/>
      <c r="ANJ40" s="98"/>
      <c r="ANK40" s="98"/>
      <c r="ANL40" s="98"/>
      <c r="ANM40" s="98"/>
      <c r="ANN40" s="98"/>
      <c r="ANO40" s="98"/>
      <c r="ANP40" s="98"/>
      <c r="ANQ40" s="98"/>
      <c r="ANR40" s="98"/>
      <c r="ANS40" s="98"/>
      <c r="ANT40" s="98"/>
      <c r="ANU40" s="98"/>
      <c r="ANV40" s="98"/>
      <c r="ANW40" s="98"/>
      <c r="ANX40" s="98"/>
      <c r="ANY40" s="98"/>
      <c r="ANZ40" s="98"/>
      <c r="AOA40" s="98"/>
      <c r="AOB40" s="98"/>
      <c r="AOC40" s="98"/>
      <c r="AOD40" s="98"/>
      <c r="AOE40" s="98"/>
      <c r="AOF40" s="98"/>
      <c r="AOG40" s="98"/>
      <c r="AOH40" s="98"/>
      <c r="AOI40" s="98"/>
      <c r="AOJ40" s="98"/>
      <c r="AOK40" s="98"/>
      <c r="AOL40" s="98"/>
      <c r="AOM40" s="98"/>
      <c r="AON40" s="98"/>
      <c r="AOO40" s="98"/>
      <c r="AOP40" s="98"/>
      <c r="AOQ40" s="98"/>
      <c r="AOR40" s="98"/>
      <c r="AOS40" s="98"/>
      <c r="AOT40" s="98"/>
      <c r="AOU40" s="98"/>
      <c r="AOV40" s="98"/>
      <c r="AOW40" s="98"/>
      <c r="AOX40" s="98"/>
      <c r="AOY40" s="98"/>
      <c r="AOZ40" s="98"/>
      <c r="APA40" s="98"/>
      <c r="APB40" s="98"/>
      <c r="APC40" s="98"/>
      <c r="APD40" s="98"/>
      <c r="APE40" s="98"/>
      <c r="APF40" s="98"/>
      <c r="APG40" s="98"/>
      <c r="APH40" s="98"/>
      <c r="API40" s="98"/>
      <c r="APJ40" s="98"/>
      <c r="APK40" s="98"/>
      <c r="APL40" s="98"/>
      <c r="APM40" s="98"/>
      <c r="APN40" s="98"/>
      <c r="APO40" s="98"/>
      <c r="APP40" s="98"/>
      <c r="APQ40" s="98"/>
      <c r="APR40" s="98"/>
      <c r="APS40" s="98"/>
      <c r="APT40" s="98"/>
      <c r="APU40" s="98"/>
      <c r="APV40" s="98"/>
      <c r="APW40" s="98"/>
      <c r="APX40" s="98"/>
      <c r="APY40" s="98"/>
      <c r="APZ40" s="98"/>
      <c r="AQA40" s="98"/>
      <c r="AQB40" s="98"/>
      <c r="AQC40" s="98"/>
      <c r="AQD40" s="98"/>
      <c r="AQE40" s="98"/>
      <c r="AQF40" s="98"/>
      <c r="AQG40" s="98"/>
      <c r="AQH40" s="98"/>
      <c r="AQI40" s="98"/>
      <c r="AQJ40" s="98"/>
      <c r="AQK40" s="98"/>
      <c r="AQL40" s="98"/>
      <c r="AQM40" s="98"/>
      <c r="AQN40" s="98"/>
      <c r="AQO40" s="98"/>
      <c r="AQP40" s="98"/>
      <c r="AQQ40" s="98"/>
      <c r="AQR40" s="98"/>
      <c r="AQS40" s="98"/>
      <c r="AQT40" s="98"/>
      <c r="AQU40" s="98"/>
      <c r="AQV40" s="98"/>
      <c r="AQW40" s="98"/>
      <c r="AQX40" s="98"/>
      <c r="AQY40" s="98"/>
      <c r="AQZ40" s="98"/>
      <c r="ARA40" s="98"/>
      <c r="ARB40" s="98"/>
      <c r="ARC40" s="98"/>
      <c r="ARD40" s="98"/>
      <c r="ARE40" s="98"/>
      <c r="ARF40" s="98"/>
      <c r="ARG40" s="98"/>
      <c r="ARH40" s="98"/>
      <c r="ARI40" s="98"/>
      <c r="ARJ40" s="98"/>
      <c r="ARK40" s="98"/>
      <c r="ARL40" s="98"/>
      <c r="ARM40" s="98"/>
      <c r="ARN40" s="98"/>
      <c r="ARO40" s="98"/>
      <c r="ARP40" s="98"/>
      <c r="ARQ40" s="98"/>
      <c r="ARR40" s="98"/>
    </row>
    <row r="41" spans="1:1162">
      <c r="A41" s="138"/>
      <c r="B41" s="134"/>
      <c r="C41" s="197"/>
      <c r="D41" s="197"/>
      <c r="E41" s="197"/>
      <c r="F41" s="197"/>
      <c r="G41" s="197"/>
      <c r="H41" s="197"/>
      <c r="I41" s="197"/>
      <c r="J41" s="197"/>
      <c r="K41" s="197"/>
      <c r="L41" s="197"/>
      <c r="M41" s="197"/>
      <c r="N41" s="197"/>
      <c r="O41" s="197"/>
      <c r="P41" s="197"/>
      <c r="Q41" s="197"/>
      <c r="R41" s="197"/>
      <c r="S41" s="197"/>
      <c r="T41" s="197"/>
      <c r="U41" s="201"/>
      <c r="V41" s="201"/>
      <c r="W41" s="201"/>
      <c r="X41" s="197"/>
      <c r="Y41" s="201"/>
      <c r="Z41" s="197"/>
      <c r="AA41" s="201"/>
      <c r="AB41" s="209"/>
      <c r="AC41" s="197"/>
      <c r="AD41" s="197"/>
      <c r="AE41" s="197"/>
      <c r="AF41" s="197"/>
      <c r="AG41" s="201"/>
      <c r="AH41" s="209"/>
      <c r="AI41" s="201"/>
      <c r="AJ41" s="209"/>
      <c r="AK41" s="201"/>
      <c r="AL41" s="201"/>
      <c r="AM41" s="182"/>
      <c r="AN41" s="176"/>
      <c r="AO41" s="201"/>
      <c r="AP41" s="201"/>
      <c r="AQ41" s="201"/>
      <c r="AR41" s="201"/>
      <c r="AS41" s="201"/>
      <c r="AT41" s="201"/>
      <c r="AU41" s="201"/>
      <c r="AV41" s="209"/>
      <c r="AW41" s="199"/>
      <c r="AX41" s="199"/>
      <c r="AY41" s="675"/>
      <c r="AZ41" s="675"/>
      <c r="BA41" s="198"/>
      <c r="BB41" s="199"/>
      <c r="BC41" s="199"/>
      <c r="BD41" s="199"/>
      <c r="BE41" s="199"/>
      <c r="BF41" s="199"/>
      <c r="BG41" s="199"/>
      <c r="BH41" s="199"/>
      <c r="BI41" s="198"/>
      <c r="BJ41" s="98"/>
      <c r="BK41" s="11"/>
      <c r="BM41" s="148"/>
    </row>
    <row r="42" spans="1:1162">
      <c r="A42" s="124" t="s">
        <v>110</v>
      </c>
      <c r="B42" s="127" t="s">
        <v>93</v>
      </c>
      <c r="C42" s="183">
        <v>7375</v>
      </c>
      <c r="D42" s="183">
        <v>14496</v>
      </c>
      <c r="E42" s="183">
        <v>0</v>
      </c>
      <c r="F42" s="183">
        <v>0</v>
      </c>
      <c r="G42" s="183">
        <v>0</v>
      </c>
      <c r="H42" s="183">
        <v>0</v>
      </c>
      <c r="I42" s="183">
        <v>0</v>
      </c>
      <c r="J42" s="183">
        <v>0</v>
      </c>
      <c r="K42" s="183">
        <v>0</v>
      </c>
      <c r="L42" s="183">
        <v>0</v>
      </c>
      <c r="M42" s="183">
        <v>0</v>
      </c>
      <c r="N42" s="183">
        <v>0</v>
      </c>
      <c r="O42" s="183">
        <v>0</v>
      </c>
      <c r="P42" s="183">
        <v>0</v>
      </c>
      <c r="Q42" s="183">
        <v>0</v>
      </c>
      <c r="R42" s="183">
        <v>0</v>
      </c>
      <c r="S42" s="183">
        <v>0</v>
      </c>
      <c r="T42" s="183">
        <v>0</v>
      </c>
      <c r="U42" s="183">
        <v>0</v>
      </c>
      <c r="V42" s="183">
        <v>0</v>
      </c>
      <c r="W42" s="183">
        <v>0</v>
      </c>
      <c r="X42" s="183">
        <v>0</v>
      </c>
      <c r="Y42" s="183">
        <v>0</v>
      </c>
      <c r="Z42" s="183">
        <v>0</v>
      </c>
      <c r="AA42" s="183">
        <v>0</v>
      </c>
      <c r="AB42" s="183">
        <v>0</v>
      </c>
      <c r="AC42" s="183">
        <v>0</v>
      </c>
      <c r="AD42" s="183">
        <v>0</v>
      </c>
      <c r="AE42" s="183">
        <v>0</v>
      </c>
      <c r="AF42" s="183">
        <v>0</v>
      </c>
      <c r="AG42" s="183">
        <v>0</v>
      </c>
      <c r="AH42" s="183">
        <v>0</v>
      </c>
      <c r="AI42" s="183">
        <v>0</v>
      </c>
      <c r="AJ42" s="183">
        <v>0</v>
      </c>
      <c r="AK42" s="183">
        <v>0</v>
      </c>
      <c r="AL42" s="183">
        <v>0</v>
      </c>
      <c r="AM42" s="183">
        <v>0</v>
      </c>
      <c r="AN42" s="183">
        <v>0</v>
      </c>
      <c r="AO42" s="183">
        <v>0</v>
      </c>
      <c r="AP42" s="183">
        <v>0</v>
      </c>
      <c r="AQ42" s="183">
        <v>0</v>
      </c>
      <c r="AR42" s="183">
        <v>0</v>
      </c>
      <c r="AS42" s="183">
        <v>0</v>
      </c>
      <c r="AT42" s="183">
        <v>0</v>
      </c>
      <c r="AU42" s="183">
        <v>0</v>
      </c>
      <c r="AV42" s="183">
        <v>0</v>
      </c>
      <c r="AW42" s="183">
        <v>0</v>
      </c>
      <c r="AX42" s="183">
        <v>0</v>
      </c>
      <c r="AY42" s="183">
        <v>0</v>
      </c>
      <c r="AZ42" s="183">
        <v>0</v>
      </c>
      <c r="BA42" s="127"/>
      <c r="BB42" s="183"/>
      <c r="BC42" s="183"/>
      <c r="BD42" s="183"/>
      <c r="BE42" s="127"/>
      <c r="BF42" s="183"/>
      <c r="BG42" s="183"/>
      <c r="BH42" s="183"/>
      <c r="BI42" s="127"/>
      <c r="BJ42" s="98"/>
      <c r="BK42" s="11"/>
      <c r="BM42" s="148"/>
    </row>
    <row r="43" spans="1:1162">
      <c r="A43" s="129"/>
      <c r="B43" s="225"/>
      <c r="C43" s="194"/>
      <c r="D43" s="194"/>
      <c r="E43" s="194"/>
      <c r="F43" s="194"/>
      <c r="G43" s="194"/>
      <c r="H43" s="194"/>
      <c r="I43" s="194"/>
      <c r="J43" s="194"/>
      <c r="K43" s="194"/>
      <c r="L43" s="194"/>
      <c r="M43" s="194"/>
      <c r="N43" s="194"/>
      <c r="O43" s="194"/>
      <c r="P43" s="194"/>
      <c r="Q43" s="194"/>
      <c r="R43" s="194"/>
      <c r="S43" s="194"/>
      <c r="T43" s="194"/>
      <c r="U43" s="202"/>
      <c r="V43" s="202"/>
      <c r="W43" s="202"/>
      <c r="X43" s="202"/>
      <c r="Y43" s="202"/>
      <c r="Z43" s="202"/>
      <c r="AA43" s="202"/>
      <c r="AB43" s="202"/>
      <c r="AC43" s="202"/>
      <c r="AD43" s="202"/>
      <c r="AE43" s="194"/>
      <c r="AF43" s="194"/>
      <c r="AG43" s="202"/>
      <c r="AH43" s="202"/>
      <c r="AI43" s="202"/>
      <c r="AJ43" s="202"/>
      <c r="AK43" s="202"/>
      <c r="AL43" s="202"/>
      <c r="AM43" s="202"/>
      <c r="AN43" s="202"/>
      <c r="AO43" s="202"/>
      <c r="AP43" s="202"/>
      <c r="AQ43" s="196"/>
      <c r="AR43" s="196"/>
      <c r="AS43" s="202"/>
      <c r="AT43" s="202"/>
      <c r="AU43" s="202"/>
      <c r="AV43" s="208"/>
      <c r="AW43" s="163"/>
      <c r="AX43" s="163"/>
      <c r="AY43" s="203"/>
      <c r="AZ43" s="203"/>
      <c r="BA43" s="195"/>
      <c r="BB43" s="163"/>
      <c r="BC43" s="163"/>
      <c r="BD43" s="163"/>
      <c r="BE43" s="163"/>
      <c r="BF43" s="163"/>
      <c r="BG43" s="163"/>
      <c r="BH43" s="163"/>
      <c r="BI43" s="195"/>
      <c r="BJ43" s="98"/>
      <c r="BK43" s="11"/>
      <c r="BM43" s="148"/>
    </row>
    <row r="44" spans="1:1162" s="174" customFormat="1">
      <c r="A44" s="118" t="s">
        <v>111</v>
      </c>
      <c r="B44" s="119" t="s">
        <v>67</v>
      </c>
      <c r="C44" s="175">
        <v>14650</v>
      </c>
      <c r="D44" s="175">
        <v>416593</v>
      </c>
      <c r="E44" s="175">
        <v>0</v>
      </c>
      <c r="F44" s="175">
        <v>0</v>
      </c>
      <c r="G44" s="175">
        <v>0</v>
      </c>
      <c r="H44" s="175">
        <v>0</v>
      </c>
      <c r="I44" s="175">
        <v>0</v>
      </c>
      <c r="J44" s="175">
        <v>0</v>
      </c>
      <c r="K44" s="175">
        <v>0</v>
      </c>
      <c r="L44" s="175">
        <v>0</v>
      </c>
      <c r="M44" s="175">
        <v>0</v>
      </c>
      <c r="N44" s="175">
        <v>0</v>
      </c>
      <c r="O44" s="175">
        <v>0</v>
      </c>
      <c r="P44" s="175">
        <v>0</v>
      </c>
      <c r="Q44" s="175">
        <v>0</v>
      </c>
      <c r="R44" s="175">
        <v>0</v>
      </c>
      <c r="S44" s="175">
        <v>0</v>
      </c>
      <c r="T44" s="175">
        <v>0</v>
      </c>
      <c r="U44" s="175">
        <v>0</v>
      </c>
      <c r="V44" s="175">
        <v>0</v>
      </c>
      <c r="W44" s="175">
        <v>0</v>
      </c>
      <c r="X44" s="175">
        <v>0</v>
      </c>
      <c r="Y44" s="175">
        <v>0</v>
      </c>
      <c r="Z44" s="175">
        <v>0</v>
      </c>
      <c r="AA44" s="175">
        <v>0</v>
      </c>
      <c r="AB44" s="175">
        <v>0</v>
      </c>
      <c r="AC44" s="175">
        <v>0</v>
      </c>
      <c r="AD44" s="175">
        <v>0</v>
      </c>
      <c r="AE44" s="175">
        <v>0</v>
      </c>
      <c r="AF44" s="175">
        <v>0</v>
      </c>
      <c r="AG44" s="175">
        <v>0</v>
      </c>
      <c r="AH44" s="175">
        <v>0</v>
      </c>
      <c r="AI44" s="175">
        <v>0</v>
      </c>
      <c r="AJ44" s="175">
        <v>0</v>
      </c>
      <c r="AK44" s="201">
        <v>2277</v>
      </c>
      <c r="AL44" s="201">
        <v>676222</v>
      </c>
      <c r="AM44" s="176">
        <v>7299.1380000000008</v>
      </c>
      <c r="AN44" s="176">
        <v>1774751.7110904008</v>
      </c>
      <c r="AO44" s="201">
        <v>29645</v>
      </c>
      <c r="AP44" s="201">
        <v>7006547</v>
      </c>
      <c r="AQ44" s="201">
        <v>27478.491000000002</v>
      </c>
      <c r="AR44" s="201">
        <v>4967521.97</v>
      </c>
      <c r="AS44" s="201">
        <v>26927</v>
      </c>
      <c r="AT44" s="201">
        <v>5902204</v>
      </c>
      <c r="AU44" s="209">
        <v>6087</v>
      </c>
      <c r="AV44" s="209">
        <v>996294</v>
      </c>
      <c r="AW44" s="209">
        <v>22668</v>
      </c>
      <c r="AX44" s="209">
        <v>3952594</v>
      </c>
      <c r="AY44" s="175">
        <v>67271</v>
      </c>
      <c r="AZ44" s="175">
        <v>16050607</v>
      </c>
      <c r="BA44" s="178"/>
      <c r="BB44" s="175"/>
      <c r="BC44" s="178"/>
      <c r="BD44" s="175"/>
      <c r="BE44" s="178"/>
      <c r="BF44" s="175"/>
      <c r="BG44" s="178"/>
      <c r="BH44" s="175"/>
      <c r="BI44" s="178"/>
      <c r="BJ44" s="98"/>
      <c r="BK44" s="11"/>
      <c r="BL44" s="98"/>
      <c r="BM44" s="14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c r="JD44" s="98"/>
      <c r="JE44" s="98"/>
      <c r="JF44" s="98"/>
      <c r="JG44" s="98"/>
      <c r="JH44" s="98"/>
      <c r="JI44" s="98"/>
      <c r="JJ44" s="98"/>
      <c r="JK44" s="98"/>
      <c r="JL44" s="98"/>
      <c r="JM44" s="98"/>
      <c r="JN44" s="98"/>
      <c r="JO44" s="98"/>
      <c r="JP44" s="98"/>
      <c r="JQ44" s="98"/>
      <c r="JR44" s="98"/>
      <c r="JS44" s="98"/>
      <c r="JT44" s="98"/>
      <c r="JU44" s="98"/>
      <c r="JV44" s="98"/>
      <c r="JW44" s="98"/>
      <c r="JX44" s="98"/>
      <c r="JY44" s="98"/>
      <c r="JZ44" s="98"/>
      <c r="KA44" s="98"/>
      <c r="KB44" s="98"/>
      <c r="KC44" s="98"/>
      <c r="KD44" s="98"/>
      <c r="KE44" s="98"/>
      <c r="KF44" s="98"/>
      <c r="KG44" s="98"/>
      <c r="KH44" s="98"/>
      <c r="KI44" s="98"/>
      <c r="KJ44" s="98"/>
      <c r="KK44" s="98"/>
      <c r="KL44" s="98"/>
      <c r="KM44" s="98"/>
      <c r="KN44" s="98"/>
      <c r="KO44" s="98"/>
      <c r="KP44" s="98"/>
      <c r="KQ44" s="98"/>
      <c r="KR44" s="98"/>
      <c r="KS44" s="98"/>
      <c r="KT44" s="98"/>
      <c r="KU44" s="98"/>
      <c r="KV44" s="98"/>
      <c r="KW44" s="98"/>
      <c r="KX44" s="98"/>
      <c r="KY44" s="98"/>
      <c r="KZ44" s="98"/>
      <c r="LA44" s="98"/>
      <c r="LB44" s="98"/>
      <c r="LC44" s="98"/>
      <c r="LD44" s="98"/>
      <c r="LE44" s="98"/>
      <c r="LF44" s="98"/>
      <c r="LG44" s="98"/>
      <c r="LH44" s="98"/>
      <c r="LI44" s="98"/>
      <c r="LJ44" s="98"/>
      <c r="LK44" s="98"/>
      <c r="LL44" s="98"/>
      <c r="LM44" s="98"/>
      <c r="LN44" s="98"/>
      <c r="LO44" s="98"/>
      <c r="LP44" s="98"/>
      <c r="LQ44" s="98"/>
      <c r="LR44" s="98"/>
      <c r="LS44" s="98"/>
      <c r="LT44" s="98"/>
      <c r="LU44" s="98"/>
      <c r="LV44" s="98"/>
      <c r="LW44" s="98"/>
      <c r="LX44" s="98"/>
      <c r="LY44" s="98"/>
      <c r="LZ44" s="98"/>
      <c r="MA44" s="98"/>
      <c r="MB44" s="98"/>
      <c r="MC44" s="98"/>
      <c r="MD44" s="98"/>
      <c r="ME44" s="98"/>
      <c r="MF44" s="98"/>
      <c r="MG44" s="98"/>
      <c r="MH44" s="98"/>
      <c r="MI44" s="98"/>
      <c r="MJ44" s="98"/>
      <c r="MK44" s="98"/>
      <c r="ML44" s="98"/>
      <c r="MM44" s="98"/>
      <c r="MN44" s="98"/>
      <c r="MO44" s="98"/>
      <c r="MP44" s="98"/>
      <c r="MQ44" s="98"/>
      <c r="MR44" s="98"/>
      <c r="MS44" s="98"/>
      <c r="MT44" s="98"/>
      <c r="MU44" s="98"/>
      <c r="MV44" s="98"/>
      <c r="MW44" s="98"/>
      <c r="MX44" s="98"/>
      <c r="MY44" s="98"/>
      <c r="MZ44" s="98"/>
      <c r="NA44" s="98"/>
      <c r="NB44" s="98"/>
      <c r="NC44" s="98"/>
      <c r="ND44" s="98"/>
      <c r="NE44" s="98"/>
      <c r="NF44" s="98"/>
      <c r="NG44" s="98"/>
      <c r="NH44" s="98"/>
      <c r="NI44" s="98"/>
      <c r="NJ44" s="98"/>
      <c r="NK44" s="98"/>
      <c r="NL44" s="98"/>
      <c r="NM44" s="98"/>
      <c r="NN44" s="98"/>
      <c r="NO44" s="98"/>
      <c r="NP44" s="98"/>
      <c r="NQ44" s="98"/>
      <c r="NR44" s="98"/>
      <c r="NS44" s="98"/>
      <c r="NT44" s="98"/>
      <c r="NU44" s="98"/>
      <c r="NV44" s="98"/>
      <c r="NW44" s="98"/>
      <c r="NX44" s="98"/>
      <c r="NY44" s="98"/>
      <c r="NZ44" s="98"/>
      <c r="OA44" s="98"/>
      <c r="OB44" s="98"/>
      <c r="OC44" s="98"/>
      <c r="OD44" s="98"/>
      <c r="OE44" s="98"/>
      <c r="OF44" s="98"/>
      <c r="OG44" s="98"/>
      <c r="OH44" s="98"/>
      <c r="OI44" s="98"/>
      <c r="OJ44" s="98"/>
      <c r="OK44" s="98"/>
      <c r="OL44" s="98"/>
      <c r="OM44" s="98"/>
      <c r="ON44" s="98"/>
      <c r="OO44" s="98"/>
      <c r="OP44" s="98"/>
      <c r="OQ44" s="98"/>
      <c r="OR44" s="98"/>
      <c r="OS44" s="98"/>
      <c r="OT44" s="98"/>
      <c r="OU44" s="98"/>
      <c r="OV44" s="98"/>
      <c r="OW44" s="98"/>
      <c r="OX44" s="98"/>
      <c r="OY44" s="98"/>
      <c r="OZ44" s="98"/>
      <c r="PA44" s="98"/>
      <c r="PB44" s="98"/>
      <c r="PC44" s="98"/>
      <c r="PD44" s="98"/>
      <c r="PE44" s="98"/>
      <c r="PF44" s="98"/>
      <c r="PG44" s="98"/>
      <c r="PH44" s="98"/>
      <c r="PI44" s="98"/>
      <c r="PJ44" s="98"/>
      <c r="PK44" s="98"/>
      <c r="PL44" s="98"/>
      <c r="PM44" s="98"/>
      <c r="PN44" s="98"/>
      <c r="PO44" s="98"/>
      <c r="PP44" s="98"/>
      <c r="PQ44" s="98"/>
      <c r="PR44" s="98"/>
      <c r="PS44" s="98"/>
      <c r="PT44" s="98"/>
      <c r="PU44" s="98"/>
      <c r="PV44" s="98"/>
      <c r="PW44" s="98"/>
      <c r="PX44" s="98"/>
      <c r="PY44" s="98"/>
      <c r="PZ44" s="98"/>
      <c r="QA44" s="98"/>
      <c r="QB44" s="98"/>
      <c r="QC44" s="98"/>
      <c r="QD44" s="98"/>
      <c r="QE44" s="98"/>
      <c r="QF44" s="98"/>
      <c r="QG44" s="98"/>
      <c r="QH44" s="98"/>
      <c r="QI44" s="98"/>
      <c r="QJ44" s="98"/>
      <c r="QK44" s="98"/>
      <c r="QL44" s="98"/>
      <c r="QM44" s="98"/>
      <c r="QN44" s="98"/>
      <c r="QO44" s="98"/>
      <c r="QP44" s="98"/>
      <c r="QQ44" s="98"/>
      <c r="QR44" s="98"/>
      <c r="QS44" s="98"/>
      <c r="QT44" s="98"/>
      <c r="QU44" s="98"/>
      <c r="QV44" s="98"/>
      <c r="QW44" s="98"/>
      <c r="QX44" s="98"/>
      <c r="QY44" s="98"/>
      <c r="QZ44" s="98"/>
      <c r="RA44" s="98"/>
      <c r="RB44" s="98"/>
      <c r="RC44" s="98"/>
      <c r="RD44" s="98"/>
      <c r="RE44" s="98"/>
      <c r="RF44" s="98"/>
      <c r="RG44" s="98"/>
      <c r="RH44" s="98"/>
      <c r="RI44" s="98"/>
      <c r="RJ44" s="98"/>
      <c r="RK44" s="98"/>
      <c r="RL44" s="98"/>
      <c r="RM44" s="98"/>
      <c r="RN44" s="98"/>
      <c r="RO44" s="98"/>
      <c r="RP44" s="98"/>
      <c r="RQ44" s="98"/>
      <c r="RR44" s="98"/>
      <c r="RS44" s="98"/>
      <c r="RT44" s="98"/>
      <c r="RU44" s="98"/>
      <c r="RV44" s="98"/>
      <c r="RW44" s="98"/>
      <c r="RX44" s="98"/>
      <c r="RY44" s="98"/>
      <c r="RZ44" s="98"/>
      <c r="SA44" s="98"/>
      <c r="SB44" s="98"/>
      <c r="SC44" s="98"/>
      <c r="SD44" s="98"/>
      <c r="SE44" s="98"/>
      <c r="SF44" s="98"/>
      <c r="SG44" s="98"/>
      <c r="SH44" s="98"/>
      <c r="SI44" s="98"/>
      <c r="SJ44" s="98"/>
      <c r="SK44" s="98"/>
      <c r="SL44" s="98"/>
      <c r="SM44" s="98"/>
      <c r="SN44" s="98"/>
      <c r="SO44" s="98"/>
      <c r="SP44" s="98"/>
      <c r="SQ44" s="98"/>
      <c r="SR44" s="98"/>
      <c r="SS44" s="98"/>
      <c r="ST44" s="98"/>
      <c r="SU44" s="98"/>
      <c r="SV44" s="98"/>
      <c r="SW44" s="98"/>
      <c r="SX44" s="98"/>
      <c r="SY44" s="98"/>
      <c r="SZ44" s="98"/>
      <c r="TA44" s="98"/>
      <c r="TB44" s="98"/>
      <c r="TC44" s="98"/>
      <c r="TD44" s="98"/>
      <c r="TE44" s="98"/>
      <c r="TF44" s="98"/>
      <c r="TG44" s="98"/>
      <c r="TH44" s="98"/>
      <c r="TI44" s="98"/>
      <c r="TJ44" s="98"/>
      <c r="TK44" s="98"/>
      <c r="TL44" s="98"/>
      <c r="TM44" s="98"/>
      <c r="TN44" s="98"/>
      <c r="TO44" s="98"/>
      <c r="TP44" s="98"/>
      <c r="TQ44" s="98"/>
      <c r="TR44" s="98"/>
      <c r="TS44" s="98"/>
      <c r="TT44" s="98"/>
      <c r="TU44" s="98"/>
      <c r="TV44" s="98"/>
      <c r="TW44" s="98"/>
      <c r="TX44" s="98"/>
      <c r="TY44" s="98"/>
      <c r="TZ44" s="98"/>
      <c r="UA44" s="98"/>
      <c r="UB44" s="98"/>
      <c r="UC44" s="98"/>
      <c r="UD44" s="98"/>
      <c r="UE44" s="98"/>
      <c r="UF44" s="98"/>
      <c r="UG44" s="98"/>
      <c r="UH44" s="98"/>
      <c r="UI44" s="98"/>
      <c r="UJ44" s="98"/>
      <c r="UK44" s="98"/>
      <c r="UL44" s="98"/>
      <c r="UM44" s="98"/>
      <c r="UN44" s="98"/>
      <c r="UO44" s="98"/>
      <c r="UP44" s="98"/>
      <c r="UQ44" s="98"/>
      <c r="UR44" s="98"/>
      <c r="US44" s="98"/>
      <c r="UT44" s="98"/>
      <c r="UU44" s="98"/>
      <c r="UV44" s="98"/>
      <c r="UW44" s="98"/>
      <c r="UX44" s="98"/>
      <c r="UY44" s="98"/>
      <c r="UZ44" s="98"/>
      <c r="VA44" s="98"/>
      <c r="VB44" s="98"/>
      <c r="VC44" s="98"/>
      <c r="VD44" s="98"/>
      <c r="VE44" s="98"/>
      <c r="VF44" s="98"/>
      <c r="VG44" s="98"/>
      <c r="VH44" s="98"/>
      <c r="VI44" s="98"/>
      <c r="VJ44" s="98"/>
      <c r="VK44" s="98"/>
      <c r="VL44" s="98"/>
      <c r="VM44" s="98"/>
      <c r="VN44" s="98"/>
      <c r="VO44" s="98"/>
      <c r="VP44" s="98"/>
      <c r="VQ44" s="98"/>
      <c r="VR44" s="98"/>
      <c r="VS44" s="98"/>
      <c r="VT44" s="98"/>
      <c r="VU44" s="98"/>
      <c r="VV44" s="98"/>
      <c r="VW44" s="98"/>
      <c r="VX44" s="98"/>
      <c r="VY44" s="98"/>
      <c r="VZ44" s="98"/>
      <c r="WA44" s="98"/>
      <c r="WB44" s="98"/>
      <c r="WC44" s="98"/>
      <c r="WD44" s="98"/>
      <c r="WE44" s="98"/>
      <c r="WF44" s="98"/>
      <c r="WG44" s="98"/>
      <c r="WH44" s="98"/>
      <c r="WI44" s="98"/>
      <c r="WJ44" s="98"/>
      <c r="WK44" s="98"/>
      <c r="WL44" s="98"/>
      <c r="WM44" s="98"/>
      <c r="WN44" s="98"/>
      <c r="WO44" s="98"/>
      <c r="WP44" s="98"/>
      <c r="WQ44" s="98"/>
      <c r="WR44" s="98"/>
      <c r="WS44" s="98"/>
      <c r="WT44" s="98"/>
      <c r="WU44" s="98"/>
      <c r="WV44" s="98"/>
      <c r="WW44" s="98"/>
      <c r="WX44" s="98"/>
      <c r="WY44" s="98"/>
      <c r="WZ44" s="98"/>
      <c r="XA44" s="98"/>
      <c r="XB44" s="98"/>
      <c r="XC44" s="98"/>
      <c r="XD44" s="98"/>
      <c r="XE44" s="98"/>
      <c r="XF44" s="98"/>
      <c r="XG44" s="98"/>
      <c r="XH44" s="98"/>
      <c r="XI44" s="98"/>
      <c r="XJ44" s="98"/>
      <c r="XK44" s="98"/>
      <c r="XL44" s="98"/>
      <c r="XM44" s="98"/>
      <c r="XN44" s="98"/>
      <c r="XO44" s="98"/>
      <c r="XP44" s="98"/>
      <c r="XQ44" s="98"/>
      <c r="XR44" s="98"/>
      <c r="XS44" s="98"/>
      <c r="XT44" s="98"/>
      <c r="XU44" s="98"/>
      <c r="XV44" s="98"/>
      <c r="XW44" s="98"/>
      <c r="XX44" s="98"/>
      <c r="XY44" s="98"/>
      <c r="XZ44" s="98"/>
      <c r="YA44" s="98"/>
      <c r="YB44" s="98"/>
      <c r="YC44" s="98"/>
      <c r="YD44" s="98"/>
      <c r="YE44" s="98"/>
      <c r="YF44" s="98"/>
      <c r="YG44" s="98"/>
      <c r="YH44" s="98"/>
      <c r="YI44" s="98"/>
      <c r="YJ44" s="98"/>
      <c r="YK44" s="98"/>
      <c r="YL44" s="98"/>
      <c r="YM44" s="98"/>
      <c r="YN44" s="98"/>
      <c r="YO44" s="98"/>
      <c r="YP44" s="98"/>
      <c r="YQ44" s="98"/>
      <c r="YR44" s="98"/>
      <c r="YS44" s="98"/>
      <c r="YT44" s="98"/>
      <c r="YU44" s="98"/>
      <c r="YV44" s="98"/>
      <c r="YW44" s="98"/>
      <c r="YX44" s="98"/>
      <c r="YY44" s="98"/>
      <c r="YZ44" s="98"/>
      <c r="ZA44" s="98"/>
      <c r="ZB44" s="98"/>
      <c r="ZC44" s="98"/>
      <c r="ZD44" s="98"/>
      <c r="ZE44" s="98"/>
      <c r="ZF44" s="98"/>
      <c r="ZG44" s="98"/>
      <c r="ZH44" s="98"/>
      <c r="ZI44" s="98"/>
      <c r="ZJ44" s="98"/>
      <c r="ZK44" s="98"/>
      <c r="ZL44" s="98"/>
      <c r="ZM44" s="98"/>
      <c r="ZN44" s="98"/>
      <c r="ZO44" s="98"/>
      <c r="ZP44" s="98"/>
      <c r="ZQ44" s="98"/>
      <c r="ZR44" s="98"/>
      <c r="ZS44" s="98"/>
      <c r="ZT44" s="98"/>
      <c r="ZU44" s="98"/>
      <c r="ZV44" s="98"/>
      <c r="ZW44" s="98"/>
      <c r="ZX44" s="98"/>
      <c r="ZY44" s="98"/>
      <c r="ZZ44" s="98"/>
      <c r="AAA44" s="98"/>
      <c r="AAB44" s="98"/>
      <c r="AAC44" s="98"/>
      <c r="AAD44" s="98"/>
      <c r="AAE44" s="98"/>
      <c r="AAF44" s="98"/>
      <c r="AAG44" s="98"/>
      <c r="AAH44" s="98"/>
      <c r="AAI44" s="98"/>
      <c r="AAJ44" s="98"/>
      <c r="AAK44" s="98"/>
      <c r="AAL44" s="98"/>
      <c r="AAM44" s="98"/>
      <c r="AAN44" s="98"/>
      <c r="AAO44" s="98"/>
      <c r="AAP44" s="98"/>
      <c r="AAQ44" s="98"/>
      <c r="AAR44" s="98"/>
      <c r="AAS44" s="98"/>
      <c r="AAT44" s="98"/>
      <c r="AAU44" s="98"/>
      <c r="AAV44" s="98"/>
      <c r="AAW44" s="98"/>
      <c r="AAX44" s="98"/>
      <c r="AAY44" s="98"/>
      <c r="AAZ44" s="98"/>
      <c r="ABA44" s="98"/>
      <c r="ABB44" s="98"/>
      <c r="ABC44" s="98"/>
      <c r="ABD44" s="98"/>
      <c r="ABE44" s="98"/>
      <c r="ABF44" s="98"/>
      <c r="ABG44" s="98"/>
      <c r="ABH44" s="98"/>
      <c r="ABI44" s="98"/>
      <c r="ABJ44" s="98"/>
      <c r="ABK44" s="98"/>
      <c r="ABL44" s="98"/>
      <c r="ABM44" s="98"/>
      <c r="ABN44" s="98"/>
      <c r="ABO44" s="98"/>
      <c r="ABP44" s="98"/>
      <c r="ABQ44" s="98"/>
      <c r="ABR44" s="98"/>
      <c r="ABS44" s="98"/>
      <c r="ABT44" s="98"/>
      <c r="ABU44" s="98"/>
      <c r="ABV44" s="98"/>
      <c r="ABW44" s="98"/>
      <c r="ABX44" s="98"/>
      <c r="ABY44" s="98"/>
      <c r="ABZ44" s="98"/>
      <c r="ACA44" s="98"/>
      <c r="ACB44" s="98"/>
      <c r="ACC44" s="98"/>
      <c r="ACD44" s="98"/>
      <c r="ACE44" s="98"/>
      <c r="ACF44" s="98"/>
      <c r="ACG44" s="98"/>
      <c r="ACH44" s="98"/>
      <c r="ACI44" s="98"/>
      <c r="ACJ44" s="98"/>
      <c r="ACK44" s="98"/>
      <c r="ACL44" s="98"/>
      <c r="ACM44" s="98"/>
      <c r="ACN44" s="98"/>
      <c r="ACO44" s="98"/>
      <c r="ACP44" s="98"/>
      <c r="ACQ44" s="98"/>
      <c r="ACR44" s="98"/>
      <c r="ACS44" s="98"/>
      <c r="ACT44" s="98"/>
      <c r="ACU44" s="98"/>
      <c r="ACV44" s="98"/>
      <c r="ACW44" s="98"/>
      <c r="ACX44" s="98"/>
      <c r="ACY44" s="98"/>
      <c r="ACZ44" s="98"/>
      <c r="ADA44" s="98"/>
      <c r="ADB44" s="98"/>
      <c r="ADC44" s="98"/>
      <c r="ADD44" s="98"/>
      <c r="ADE44" s="98"/>
      <c r="ADF44" s="98"/>
      <c r="ADG44" s="98"/>
      <c r="ADH44" s="98"/>
      <c r="ADI44" s="98"/>
      <c r="ADJ44" s="98"/>
      <c r="ADK44" s="98"/>
      <c r="ADL44" s="98"/>
      <c r="ADM44" s="98"/>
      <c r="ADN44" s="98"/>
      <c r="ADO44" s="98"/>
      <c r="ADP44" s="98"/>
      <c r="ADQ44" s="98"/>
      <c r="ADR44" s="98"/>
      <c r="ADS44" s="98"/>
      <c r="ADT44" s="98"/>
      <c r="ADU44" s="98"/>
      <c r="ADV44" s="98"/>
      <c r="ADW44" s="98"/>
      <c r="ADX44" s="98"/>
      <c r="ADY44" s="98"/>
      <c r="ADZ44" s="98"/>
      <c r="AEA44" s="98"/>
      <c r="AEB44" s="98"/>
      <c r="AEC44" s="98"/>
      <c r="AED44" s="98"/>
      <c r="AEE44" s="98"/>
      <c r="AEF44" s="98"/>
      <c r="AEG44" s="98"/>
      <c r="AEH44" s="98"/>
      <c r="AEI44" s="98"/>
      <c r="AEJ44" s="98"/>
      <c r="AEK44" s="98"/>
      <c r="AEL44" s="98"/>
      <c r="AEM44" s="98"/>
      <c r="AEN44" s="98"/>
      <c r="AEO44" s="98"/>
      <c r="AEP44" s="98"/>
      <c r="AEQ44" s="98"/>
      <c r="AER44" s="98"/>
      <c r="AES44" s="98"/>
      <c r="AET44" s="98"/>
      <c r="AEU44" s="98"/>
      <c r="AEV44" s="98"/>
      <c r="AEW44" s="98"/>
      <c r="AEX44" s="98"/>
      <c r="AEY44" s="98"/>
      <c r="AEZ44" s="98"/>
      <c r="AFA44" s="98"/>
      <c r="AFB44" s="98"/>
      <c r="AFC44" s="98"/>
      <c r="AFD44" s="98"/>
      <c r="AFE44" s="98"/>
      <c r="AFF44" s="98"/>
      <c r="AFG44" s="98"/>
      <c r="AFH44" s="98"/>
      <c r="AFI44" s="98"/>
      <c r="AFJ44" s="98"/>
      <c r="AFK44" s="98"/>
      <c r="AFL44" s="98"/>
      <c r="AFM44" s="98"/>
      <c r="AFN44" s="98"/>
      <c r="AFO44" s="98"/>
      <c r="AFP44" s="98"/>
      <c r="AFQ44" s="98"/>
      <c r="AFR44" s="98"/>
      <c r="AFS44" s="98"/>
      <c r="AFT44" s="98"/>
      <c r="AFU44" s="98"/>
      <c r="AFV44" s="98"/>
      <c r="AFW44" s="98"/>
      <c r="AFX44" s="98"/>
      <c r="AFY44" s="98"/>
      <c r="AFZ44" s="98"/>
      <c r="AGA44" s="98"/>
      <c r="AGB44" s="98"/>
      <c r="AGC44" s="98"/>
      <c r="AGD44" s="98"/>
      <c r="AGE44" s="98"/>
      <c r="AGF44" s="98"/>
      <c r="AGG44" s="98"/>
      <c r="AGH44" s="98"/>
      <c r="AGI44" s="98"/>
      <c r="AGJ44" s="98"/>
      <c r="AGK44" s="98"/>
      <c r="AGL44" s="98"/>
      <c r="AGM44" s="98"/>
      <c r="AGN44" s="98"/>
      <c r="AGO44" s="98"/>
      <c r="AGP44" s="98"/>
      <c r="AGQ44" s="98"/>
      <c r="AGR44" s="98"/>
      <c r="AGS44" s="98"/>
      <c r="AGT44" s="98"/>
      <c r="AGU44" s="98"/>
      <c r="AGV44" s="98"/>
      <c r="AGW44" s="98"/>
      <c r="AGX44" s="98"/>
      <c r="AGY44" s="98"/>
      <c r="AGZ44" s="98"/>
      <c r="AHA44" s="98"/>
      <c r="AHB44" s="98"/>
      <c r="AHC44" s="98"/>
      <c r="AHD44" s="98"/>
      <c r="AHE44" s="98"/>
      <c r="AHF44" s="98"/>
      <c r="AHG44" s="98"/>
      <c r="AHH44" s="98"/>
      <c r="AHI44" s="98"/>
      <c r="AHJ44" s="98"/>
      <c r="AHK44" s="98"/>
      <c r="AHL44" s="98"/>
      <c r="AHM44" s="98"/>
      <c r="AHN44" s="98"/>
      <c r="AHO44" s="98"/>
      <c r="AHP44" s="98"/>
      <c r="AHQ44" s="98"/>
      <c r="AHR44" s="98"/>
      <c r="AHS44" s="98"/>
      <c r="AHT44" s="98"/>
      <c r="AHU44" s="98"/>
      <c r="AHV44" s="98"/>
      <c r="AHW44" s="98"/>
      <c r="AHX44" s="98"/>
      <c r="AHY44" s="98"/>
      <c r="AHZ44" s="98"/>
      <c r="AIA44" s="98"/>
      <c r="AIB44" s="98"/>
      <c r="AIC44" s="98"/>
      <c r="AID44" s="98"/>
      <c r="AIE44" s="98"/>
      <c r="AIF44" s="98"/>
      <c r="AIG44" s="98"/>
      <c r="AIH44" s="98"/>
      <c r="AII44" s="98"/>
      <c r="AIJ44" s="98"/>
      <c r="AIK44" s="98"/>
      <c r="AIL44" s="98"/>
      <c r="AIM44" s="98"/>
      <c r="AIN44" s="98"/>
      <c r="AIO44" s="98"/>
      <c r="AIP44" s="98"/>
      <c r="AIQ44" s="98"/>
      <c r="AIR44" s="98"/>
      <c r="AIS44" s="98"/>
      <c r="AIT44" s="98"/>
      <c r="AIU44" s="98"/>
      <c r="AIV44" s="98"/>
      <c r="AIW44" s="98"/>
      <c r="AIX44" s="98"/>
      <c r="AIY44" s="98"/>
      <c r="AIZ44" s="98"/>
      <c r="AJA44" s="98"/>
      <c r="AJB44" s="98"/>
      <c r="AJC44" s="98"/>
      <c r="AJD44" s="98"/>
      <c r="AJE44" s="98"/>
      <c r="AJF44" s="98"/>
      <c r="AJG44" s="98"/>
      <c r="AJH44" s="98"/>
      <c r="AJI44" s="98"/>
      <c r="AJJ44" s="98"/>
      <c r="AJK44" s="98"/>
      <c r="AJL44" s="98"/>
      <c r="AJM44" s="98"/>
      <c r="AJN44" s="98"/>
      <c r="AJO44" s="98"/>
      <c r="AJP44" s="98"/>
      <c r="AJQ44" s="98"/>
      <c r="AJR44" s="98"/>
      <c r="AJS44" s="98"/>
      <c r="AJT44" s="98"/>
      <c r="AJU44" s="98"/>
      <c r="AJV44" s="98"/>
      <c r="AJW44" s="98"/>
      <c r="AJX44" s="98"/>
      <c r="AJY44" s="98"/>
      <c r="AJZ44" s="98"/>
      <c r="AKA44" s="98"/>
      <c r="AKB44" s="98"/>
      <c r="AKC44" s="98"/>
      <c r="AKD44" s="98"/>
      <c r="AKE44" s="98"/>
      <c r="AKF44" s="98"/>
      <c r="AKG44" s="98"/>
      <c r="AKH44" s="98"/>
      <c r="AKI44" s="98"/>
      <c r="AKJ44" s="98"/>
      <c r="AKK44" s="98"/>
      <c r="AKL44" s="98"/>
      <c r="AKM44" s="98"/>
      <c r="AKN44" s="98"/>
      <c r="AKO44" s="98"/>
      <c r="AKP44" s="98"/>
      <c r="AKQ44" s="98"/>
      <c r="AKR44" s="98"/>
      <c r="AKS44" s="98"/>
      <c r="AKT44" s="98"/>
      <c r="AKU44" s="98"/>
      <c r="AKV44" s="98"/>
      <c r="AKW44" s="98"/>
      <c r="AKX44" s="98"/>
      <c r="AKY44" s="98"/>
      <c r="AKZ44" s="98"/>
      <c r="ALA44" s="98"/>
      <c r="ALB44" s="98"/>
      <c r="ALC44" s="98"/>
      <c r="ALD44" s="98"/>
      <c r="ALE44" s="98"/>
      <c r="ALF44" s="98"/>
      <c r="ALG44" s="98"/>
      <c r="ALH44" s="98"/>
      <c r="ALI44" s="98"/>
      <c r="ALJ44" s="98"/>
      <c r="ALK44" s="98"/>
      <c r="ALL44" s="98"/>
      <c r="ALM44" s="98"/>
      <c r="ALN44" s="98"/>
      <c r="ALO44" s="98"/>
      <c r="ALP44" s="98"/>
      <c r="ALQ44" s="98"/>
      <c r="ALR44" s="98"/>
      <c r="ALS44" s="98"/>
      <c r="ALT44" s="98"/>
      <c r="ALU44" s="98"/>
      <c r="ALV44" s="98"/>
      <c r="ALW44" s="98"/>
      <c r="ALX44" s="98"/>
      <c r="ALY44" s="98"/>
      <c r="ALZ44" s="98"/>
      <c r="AMA44" s="98"/>
      <c r="AMB44" s="98"/>
      <c r="AMC44" s="98"/>
      <c r="AMD44" s="98"/>
      <c r="AME44" s="98"/>
      <c r="AMF44" s="98"/>
      <c r="AMG44" s="98"/>
      <c r="AMH44" s="98"/>
      <c r="AMI44" s="98"/>
      <c r="AMJ44" s="98"/>
      <c r="AMK44" s="98"/>
      <c r="AML44" s="98"/>
      <c r="AMM44" s="98"/>
      <c r="AMN44" s="98"/>
      <c r="AMO44" s="98"/>
      <c r="AMP44" s="98"/>
      <c r="AMQ44" s="98"/>
      <c r="AMR44" s="98"/>
      <c r="AMS44" s="98"/>
      <c r="AMT44" s="98"/>
      <c r="AMU44" s="98"/>
      <c r="AMV44" s="98"/>
      <c r="AMW44" s="98"/>
      <c r="AMX44" s="98"/>
      <c r="AMY44" s="98"/>
      <c r="AMZ44" s="98"/>
      <c r="ANA44" s="98"/>
      <c r="ANB44" s="98"/>
      <c r="ANC44" s="98"/>
      <c r="AND44" s="98"/>
      <c r="ANE44" s="98"/>
      <c r="ANF44" s="98"/>
      <c r="ANG44" s="98"/>
      <c r="ANH44" s="98"/>
      <c r="ANI44" s="98"/>
      <c r="ANJ44" s="98"/>
      <c r="ANK44" s="98"/>
      <c r="ANL44" s="98"/>
      <c r="ANM44" s="98"/>
      <c r="ANN44" s="98"/>
      <c r="ANO44" s="98"/>
      <c r="ANP44" s="98"/>
      <c r="ANQ44" s="98"/>
      <c r="ANR44" s="98"/>
      <c r="ANS44" s="98"/>
      <c r="ANT44" s="98"/>
      <c r="ANU44" s="98"/>
      <c r="ANV44" s="98"/>
      <c r="ANW44" s="98"/>
      <c r="ANX44" s="98"/>
      <c r="ANY44" s="98"/>
      <c r="ANZ44" s="98"/>
      <c r="AOA44" s="98"/>
      <c r="AOB44" s="98"/>
      <c r="AOC44" s="98"/>
      <c r="AOD44" s="98"/>
      <c r="AOE44" s="98"/>
      <c r="AOF44" s="98"/>
      <c r="AOG44" s="98"/>
      <c r="AOH44" s="98"/>
      <c r="AOI44" s="98"/>
      <c r="AOJ44" s="98"/>
      <c r="AOK44" s="98"/>
      <c r="AOL44" s="98"/>
      <c r="AOM44" s="98"/>
      <c r="AON44" s="98"/>
      <c r="AOO44" s="98"/>
      <c r="AOP44" s="98"/>
      <c r="AOQ44" s="98"/>
      <c r="AOR44" s="98"/>
      <c r="AOS44" s="98"/>
      <c r="AOT44" s="98"/>
      <c r="AOU44" s="98"/>
      <c r="AOV44" s="98"/>
      <c r="AOW44" s="98"/>
      <c r="AOX44" s="98"/>
      <c r="AOY44" s="98"/>
      <c r="AOZ44" s="98"/>
      <c r="APA44" s="98"/>
      <c r="APB44" s="98"/>
      <c r="APC44" s="98"/>
      <c r="APD44" s="98"/>
      <c r="APE44" s="98"/>
      <c r="APF44" s="98"/>
      <c r="APG44" s="98"/>
      <c r="APH44" s="98"/>
      <c r="API44" s="98"/>
      <c r="APJ44" s="98"/>
      <c r="APK44" s="98"/>
      <c r="APL44" s="98"/>
      <c r="APM44" s="98"/>
      <c r="APN44" s="98"/>
      <c r="APO44" s="98"/>
      <c r="APP44" s="98"/>
      <c r="APQ44" s="98"/>
      <c r="APR44" s="98"/>
      <c r="APS44" s="98"/>
      <c r="APT44" s="98"/>
      <c r="APU44" s="98"/>
      <c r="APV44" s="98"/>
      <c r="APW44" s="98"/>
      <c r="APX44" s="98"/>
      <c r="APY44" s="98"/>
      <c r="APZ44" s="98"/>
      <c r="AQA44" s="98"/>
      <c r="AQB44" s="98"/>
      <c r="AQC44" s="98"/>
      <c r="AQD44" s="98"/>
      <c r="AQE44" s="98"/>
      <c r="AQF44" s="98"/>
      <c r="AQG44" s="98"/>
      <c r="AQH44" s="98"/>
      <c r="AQI44" s="98"/>
      <c r="AQJ44" s="98"/>
      <c r="AQK44" s="98"/>
      <c r="AQL44" s="98"/>
      <c r="AQM44" s="98"/>
      <c r="AQN44" s="98"/>
      <c r="AQO44" s="98"/>
      <c r="AQP44" s="98"/>
      <c r="AQQ44" s="98"/>
      <c r="AQR44" s="98"/>
      <c r="AQS44" s="98"/>
      <c r="AQT44" s="98"/>
      <c r="AQU44" s="98"/>
      <c r="AQV44" s="98"/>
      <c r="AQW44" s="98"/>
      <c r="AQX44" s="98"/>
      <c r="AQY44" s="98"/>
      <c r="AQZ44" s="98"/>
      <c r="ARA44" s="98"/>
      <c r="ARB44" s="98"/>
      <c r="ARC44" s="98"/>
      <c r="ARD44" s="98"/>
      <c r="ARE44" s="98"/>
      <c r="ARF44" s="98"/>
      <c r="ARG44" s="98"/>
      <c r="ARH44" s="98"/>
      <c r="ARI44" s="98"/>
      <c r="ARJ44" s="98"/>
      <c r="ARK44" s="98"/>
      <c r="ARL44" s="98"/>
      <c r="ARM44" s="98"/>
      <c r="ARN44" s="98"/>
      <c r="ARO44" s="98"/>
      <c r="ARP44" s="98"/>
      <c r="ARQ44" s="98"/>
      <c r="ARR44" s="98"/>
    </row>
    <row r="45" spans="1:1162">
      <c r="A45" s="140"/>
      <c r="B45" s="174"/>
      <c r="C45" s="676"/>
      <c r="D45" s="676"/>
      <c r="E45" s="676"/>
      <c r="F45" s="676"/>
      <c r="G45" s="197"/>
      <c r="H45" s="197"/>
      <c r="I45" s="197"/>
      <c r="J45" s="197"/>
      <c r="K45" s="197"/>
      <c r="L45" s="197"/>
      <c r="M45" s="197"/>
      <c r="N45" s="197"/>
      <c r="O45" s="197"/>
      <c r="P45" s="197"/>
      <c r="Q45" s="197"/>
      <c r="R45" s="197"/>
      <c r="S45" s="197"/>
      <c r="T45" s="197"/>
      <c r="U45" s="201"/>
      <c r="V45" s="201"/>
      <c r="W45" s="201"/>
      <c r="X45" s="201"/>
      <c r="Y45" s="201"/>
      <c r="Z45" s="201"/>
      <c r="AA45" s="201"/>
      <c r="AB45" s="201"/>
      <c r="AC45" s="201"/>
      <c r="AD45" s="201"/>
      <c r="AE45" s="197"/>
      <c r="AF45" s="197"/>
      <c r="AG45" s="201"/>
      <c r="AH45" s="201"/>
      <c r="AI45" s="201"/>
      <c r="AJ45" s="201"/>
      <c r="AK45" s="201"/>
      <c r="AL45" s="201"/>
      <c r="AM45" s="201"/>
      <c r="AN45" s="201"/>
      <c r="AO45" s="201"/>
      <c r="AP45" s="201"/>
      <c r="AQ45" s="201"/>
      <c r="AR45" s="201"/>
      <c r="AS45" s="201"/>
      <c r="AT45" s="201"/>
      <c r="AU45" s="201"/>
      <c r="AV45" s="201"/>
      <c r="AW45" s="197"/>
      <c r="AX45" s="197"/>
      <c r="AY45" s="206"/>
      <c r="AZ45" s="206"/>
      <c r="BA45" s="201"/>
      <c r="BB45" s="197"/>
      <c r="BC45" s="197"/>
      <c r="BD45" s="197"/>
      <c r="BE45" s="197"/>
      <c r="BF45" s="197"/>
      <c r="BG45" s="197"/>
      <c r="BH45" s="197"/>
      <c r="BI45" s="201"/>
      <c r="BJ45" s="98"/>
      <c r="BK45" s="11"/>
      <c r="BM45" s="148"/>
    </row>
    <row r="46" spans="1:1162">
      <c r="A46" s="124" t="s">
        <v>112</v>
      </c>
      <c r="B46" s="225"/>
      <c r="C46" s="194"/>
      <c r="D46" s="194"/>
      <c r="E46" s="194"/>
      <c r="F46" s="194"/>
      <c r="G46" s="194"/>
      <c r="H46" s="194"/>
      <c r="I46" s="194"/>
      <c r="J46" s="194"/>
      <c r="K46" s="194"/>
      <c r="L46" s="194"/>
      <c r="M46" s="194"/>
      <c r="N46" s="194"/>
      <c r="O46" s="194"/>
      <c r="P46" s="194"/>
      <c r="Q46" s="194"/>
      <c r="R46" s="194"/>
      <c r="S46" s="194"/>
      <c r="T46" s="194"/>
      <c r="U46" s="202"/>
      <c r="V46" s="202"/>
      <c r="W46" s="202"/>
      <c r="X46" s="202"/>
      <c r="Y46" s="202"/>
      <c r="Z46" s="202"/>
      <c r="AA46" s="202"/>
      <c r="AB46" s="202"/>
      <c r="AC46" s="202"/>
      <c r="AD46" s="202"/>
      <c r="AE46" s="194"/>
      <c r="AF46" s="194"/>
      <c r="AG46" s="202"/>
      <c r="AH46" s="202"/>
      <c r="AI46" s="202"/>
      <c r="AJ46" s="202"/>
      <c r="AK46" s="202"/>
      <c r="AL46" s="202"/>
      <c r="AM46" s="202"/>
      <c r="AN46" s="202"/>
      <c r="AO46" s="202"/>
      <c r="AP46" s="202"/>
      <c r="AQ46" s="202"/>
      <c r="AR46" s="202"/>
      <c r="AS46" s="202"/>
      <c r="AT46" s="202"/>
      <c r="AU46" s="202"/>
      <c r="AV46" s="202"/>
      <c r="AW46" s="166"/>
      <c r="AX46" s="166"/>
      <c r="AY46" s="194"/>
      <c r="AZ46" s="165"/>
      <c r="BA46" s="196"/>
      <c r="BB46" s="166"/>
      <c r="BC46" s="166"/>
      <c r="BD46" s="166"/>
      <c r="BE46" s="166"/>
      <c r="BF46" s="166"/>
      <c r="BG46" s="166"/>
      <c r="BH46" s="166"/>
      <c r="BI46" s="196"/>
      <c r="BJ46" s="98"/>
      <c r="BK46" s="11"/>
      <c r="BL46" s="148"/>
      <c r="BM46" s="148"/>
    </row>
    <row r="47" spans="1:1162">
      <c r="A47" s="126" t="s">
        <v>113</v>
      </c>
      <c r="B47" s="127" t="s">
        <v>67</v>
      </c>
      <c r="C47" s="183">
        <v>0</v>
      </c>
      <c r="D47" s="183">
        <v>0</v>
      </c>
      <c r="E47" s="183">
        <v>0</v>
      </c>
      <c r="F47" s="183">
        <v>0</v>
      </c>
      <c r="G47" s="183">
        <v>0</v>
      </c>
      <c r="H47" s="183">
        <v>0</v>
      </c>
      <c r="I47" s="183">
        <v>0</v>
      </c>
      <c r="J47" s="183">
        <v>0</v>
      </c>
      <c r="K47" s="194">
        <v>1147</v>
      </c>
      <c r="L47" s="194">
        <v>7003</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c r="BB47" s="194"/>
      <c r="BC47" s="194"/>
      <c r="BD47" s="194"/>
      <c r="BE47" s="194"/>
      <c r="BF47" s="194"/>
      <c r="BG47" s="194"/>
      <c r="BH47" s="194"/>
      <c r="BI47" s="194"/>
      <c r="BJ47" s="98"/>
      <c r="BK47" s="11"/>
      <c r="BL47" s="148"/>
      <c r="BM47" s="148"/>
    </row>
    <row r="48" spans="1:1162">
      <c r="A48" s="126" t="s">
        <v>114</v>
      </c>
      <c r="B48" s="127" t="s">
        <v>67</v>
      </c>
      <c r="C48" s="183">
        <v>0</v>
      </c>
      <c r="D48" s="183">
        <v>0</v>
      </c>
      <c r="E48" s="183">
        <v>4251</v>
      </c>
      <c r="F48" s="183">
        <f>E48*152.52</f>
        <v>648362.52</v>
      </c>
      <c r="G48" s="183">
        <v>6372</v>
      </c>
      <c r="H48" s="183">
        <f>G48*171.41</f>
        <v>1092224.52</v>
      </c>
      <c r="I48" s="183">
        <v>6602</v>
      </c>
      <c r="J48" s="183">
        <v>1034863</v>
      </c>
      <c r="K48" s="183">
        <v>6202</v>
      </c>
      <c r="L48" s="183">
        <f>K48*137.45</f>
        <v>852464.89999999991</v>
      </c>
      <c r="M48" s="183">
        <v>8424</v>
      </c>
      <c r="N48" s="183">
        <f>M48*151.73</f>
        <v>1278173.52</v>
      </c>
      <c r="O48" s="183">
        <v>7097</v>
      </c>
      <c r="P48" s="183">
        <f>O48*168.02</f>
        <v>1192437.9400000002</v>
      </c>
      <c r="Q48" s="183">
        <v>7098</v>
      </c>
      <c r="R48" s="183">
        <f>Q48*176</f>
        <v>1249248</v>
      </c>
      <c r="S48" s="183">
        <v>10960</v>
      </c>
      <c r="T48" s="183">
        <v>2013960</v>
      </c>
      <c r="U48" s="194">
        <v>27221</v>
      </c>
      <c r="V48" s="194">
        <v>2779727</v>
      </c>
      <c r="W48" s="194">
        <v>35985</v>
      </c>
      <c r="X48" s="194">
        <v>3885665</v>
      </c>
      <c r="Y48" s="194">
        <v>27985</v>
      </c>
      <c r="Z48" s="194">
        <v>5062003</v>
      </c>
      <c r="AA48" s="208">
        <v>17245</v>
      </c>
      <c r="AB48" s="208">
        <v>4617226</v>
      </c>
      <c r="AC48" s="183">
        <v>20697</v>
      </c>
      <c r="AD48" s="183">
        <v>6315851</v>
      </c>
      <c r="AE48" s="183">
        <v>20632</v>
      </c>
      <c r="AF48" s="183">
        <v>6099237</v>
      </c>
      <c r="AG48" s="208">
        <v>19412</v>
      </c>
      <c r="AH48" s="202">
        <v>5642890</v>
      </c>
      <c r="AI48" s="208">
        <v>18159</v>
      </c>
      <c r="AJ48" s="202">
        <v>3804561</v>
      </c>
      <c r="AK48" s="202">
        <v>17173</v>
      </c>
      <c r="AL48" s="202">
        <v>4180355</v>
      </c>
      <c r="AM48" s="187">
        <v>28262</v>
      </c>
      <c r="AN48" s="187">
        <v>4203131</v>
      </c>
      <c r="AO48" s="202">
        <v>15670</v>
      </c>
      <c r="AP48" s="202">
        <v>2882617</v>
      </c>
      <c r="AQ48" s="202">
        <v>10240</v>
      </c>
      <c r="AR48" s="202">
        <v>1069318</v>
      </c>
      <c r="AS48" s="202">
        <v>11860.36</v>
      </c>
      <c r="AT48" s="202">
        <v>1238563</v>
      </c>
      <c r="AU48" s="208">
        <v>13194</v>
      </c>
      <c r="AV48" s="208">
        <v>1377850</v>
      </c>
      <c r="AW48" s="208">
        <v>11926</v>
      </c>
      <c r="AX48" s="208">
        <v>1245433</v>
      </c>
      <c r="AY48" s="194">
        <v>11187</v>
      </c>
      <c r="AZ48" s="194">
        <v>1168258</v>
      </c>
      <c r="BA48" s="196"/>
      <c r="BB48" s="194"/>
      <c r="BC48" s="166"/>
      <c r="BD48" s="194"/>
      <c r="BE48" s="194"/>
      <c r="BF48" s="148"/>
      <c r="BG48" s="148"/>
      <c r="BH48" s="148"/>
      <c r="BI48" s="196"/>
      <c r="BJ48" s="98"/>
      <c r="BK48" s="11"/>
      <c r="BL48" s="148"/>
      <c r="BM48" s="148"/>
    </row>
    <row r="49" spans="1:1163">
      <c r="A49" s="126" t="s">
        <v>115</v>
      </c>
      <c r="B49" s="127" t="s">
        <v>67</v>
      </c>
      <c r="C49" s="183">
        <v>15484</v>
      </c>
      <c r="D49" s="183">
        <v>117282</v>
      </c>
      <c r="E49" s="183">
        <v>0</v>
      </c>
      <c r="F49" s="183">
        <v>0</v>
      </c>
      <c r="G49" s="183">
        <v>0</v>
      </c>
      <c r="H49" s="183">
        <v>0</v>
      </c>
      <c r="I49" s="183">
        <v>0</v>
      </c>
      <c r="J49" s="183">
        <v>0</v>
      </c>
      <c r="K49" s="183">
        <v>0</v>
      </c>
      <c r="L49" s="183">
        <v>0</v>
      </c>
      <c r="M49" s="183">
        <v>0</v>
      </c>
      <c r="N49" s="127"/>
      <c r="O49" s="183"/>
      <c r="P49" s="127"/>
      <c r="Q49" s="183">
        <v>0</v>
      </c>
      <c r="R49" s="183">
        <v>0</v>
      </c>
      <c r="S49" s="183">
        <v>0</v>
      </c>
      <c r="T49" s="183">
        <v>0</v>
      </c>
      <c r="U49" s="183">
        <v>0</v>
      </c>
      <c r="V49" s="183">
        <v>0</v>
      </c>
      <c r="W49" s="183">
        <v>0</v>
      </c>
      <c r="X49" s="183">
        <v>0</v>
      </c>
      <c r="Y49" s="183">
        <v>0</v>
      </c>
      <c r="Z49" s="183">
        <v>0</v>
      </c>
      <c r="AA49" s="183">
        <v>0</v>
      </c>
      <c r="AB49" s="183">
        <v>0</v>
      </c>
      <c r="AC49" s="183">
        <v>0</v>
      </c>
      <c r="AD49" s="183">
        <v>0</v>
      </c>
      <c r="AE49" s="183">
        <v>0</v>
      </c>
      <c r="AF49" s="183">
        <v>0</v>
      </c>
      <c r="AG49" s="183">
        <v>0</v>
      </c>
      <c r="AH49" s="183">
        <v>0</v>
      </c>
      <c r="AI49" s="183">
        <v>0</v>
      </c>
      <c r="AJ49" s="183">
        <v>0</v>
      </c>
      <c r="AK49" s="183">
        <v>0</v>
      </c>
      <c r="AL49" s="183">
        <v>0</v>
      </c>
      <c r="AM49" s="183">
        <v>0</v>
      </c>
      <c r="AN49" s="183">
        <v>0</v>
      </c>
      <c r="AO49" s="183">
        <v>0</v>
      </c>
      <c r="AP49" s="183">
        <v>0</v>
      </c>
      <c r="AQ49" s="183">
        <v>0</v>
      </c>
      <c r="AR49" s="183">
        <v>0</v>
      </c>
      <c r="AS49" s="183">
        <v>0</v>
      </c>
      <c r="AT49" s="183">
        <v>0</v>
      </c>
      <c r="AU49" s="194">
        <v>0</v>
      </c>
      <c r="AV49" s="194">
        <v>0</v>
      </c>
      <c r="AW49" s="194">
        <v>0</v>
      </c>
      <c r="AX49" s="194">
        <v>0</v>
      </c>
      <c r="AY49" s="194">
        <v>0</v>
      </c>
      <c r="AZ49" s="194">
        <v>0</v>
      </c>
      <c r="BA49" s="194"/>
      <c r="BB49" s="194"/>
      <c r="BC49" s="194"/>
      <c r="BD49" s="194"/>
      <c r="BE49" s="194"/>
      <c r="BF49" s="194"/>
      <c r="BG49" s="194"/>
      <c r="BH49" s="194"/>
      <c r="BI49" s="194"/>
      <c r="BJ49" s="98"/>
      <c r="BK49" s="11"/>
      <c r="BM49" s="148"/>
    </row>
    <row r="50" spans="1:1163">
      <c r="A50" s="126" t="s">
        <v>116</v>
      </c>
      <c r="B50" s="127" t="s">
        <v>67</v>
      </c>
      <c r="C50" s="183">
        <v>726030</v>
      </c>
      <c r="D50" s="183">
        <v>1479044</v>
      </c>
      <c r="E50" s="183">
        <v>25328</v>
      </c>
      <c r="F50" s="183">
        <v>63319</v>
      </c>
      <c r="G50" s="183">
        <v>26919</v>
      </c>
      <c r="H50" s="183">
        <v>68046</v>
      </c>
      <c r="I50" s="183">
        <v>25118</v>
      </c>
      <c r="J50" s="183">
        <v>62795</v>
      </c>
      <c r="K50" s="183">
        <v>20082</v>
      </c>
      <c r="L50" s="183">
        <v>50205</v>
      </c>
      <c r="M50" s="183">
        <v>28693</v>
      </c>
      <c r="N50" s="183">
        <v>71734</v>
      </c>
      <c r="O50" s="183">
        <v>22513</v>
      </c>
      <c r="P50" s="183">
        <v>56283</v>
      </c>
      <c r="Q50" s="183">
        <v>23495</v>
      </c>
      <c r="R50" s="183">
        <v>58729</v>
      </c>
      <c r="S50" s="183">
        <v>23217</v>
      </c>
      <c r="T50" s="183">
        <v>58043</v>
      </c>
      <c r="U50" s="194">
        <v>22999</v>
      </c>
      <c r="V50" s="194">
        <v>57499</v>
      </c>
      <c r="W50" s="194">
        <v>23025</v>
      </c>
      <c r="X50" s="194">
        <v>57564</v>
      </c>
      <c r="Y50" s="194">
        <v>11020</v>
      </c>
      <c r="Z50" s="194">
        <v>27550</v>
      </c>
      <c r="AA50" s="208">
        <v>32795</v>
      </c>
      <c r="AB50" s="208">
        <v>234039</v>
      </c>
      <c r="AC50" s="183">
        <v>6970</v>
      </c>
      <c r="AD50" s="183">
        <v>74168</v>
      </c>
      <c r="AE50" s="183">
        <v>0</v>
      </c>
      <c r="AF50" s="183">
        <v>0</v>
      </c>
      <c r="AG50" s="183">
        <v>0</v>
      </c>
      <c r="AH50" s="183">
        <v>0</v>
      </c>
      <c r="AI50" s="183">
        <v>0</v>
      </c>
      <c r="AJ50" s="183">
        <v>0</v>
      </c>
      <c r="AK50" s="225">
        <v>0</v>
      </c>
      <c r="AL50" s="225">
        <v>0</v>
      </c>
      <c r="AM50" s="183">
        <v>0</v>
      </c>
      <c r="AN50" s="183">
        <v>0</v>
      </c>
      <c r="AO50" s="183">
        <v>0</v>
      </c>
      <c r="AP50" s="183">
        <v>0</v>
      </c>
      <c r="AQ50" s="183">
        <v>0</v>
      </c>
      <c r="AR50" s="183">
        <v>0</v>
      </c>
      <c r="AS50" s="183">
        <v>0</v>
      </c>
      <c r="AT50" s="183">
        <v>0</v>
      </c>
      <c r="AU50" s="194">
        <v>0</v>
      </c>
      <c r="AV50" s="194">
        <v>0</v>
      </c>
      <c r="AW50" s="194">
        <v>0</v>
      </c>
      <c r="AX50" s="194">
        <v>0</v>
      </c>
      <c r="AY50" s="194">
        <v>0</v>
      </c>
      <c r="AZ50" s="194">
        <v>0</v>
      </c>
      <c r="BA50" s="194"/>
      <c r="BB50" s="194"/>
      <c r="BC50" s="194"/>
      <c r="BD50" s="194"/>
      <c r="BE50" s="194"/>
      <c r="BF50" s="194"/>
      <c r="BG50" s="194"/>
      <c r="BH50" s="194"/>
      <c r="BI50" s="194"/>
      <c r="BJ50" s="98"/>
      <c r="BK50" s="11"/>
      <c r="BL50" s="148"/>
      <c r="BM50" s="148"/>
    </row>
    <row r="51" spans="1:1163">
      <c r="A51" s="126" t="s">
        <v>117</v>
      </c>
      <c r="B51" s="127" t="s">
        <v>67</v>
      </c>
      <c r="C51" s="183">
        <v>0</v>
      </c>
      <c r="D51" s="183">
        <v>0</v>
      </c>
      <c r="E51" s="183">
        <v>0</v>
      </c>
      <c r="F51" s="183">
        <v>0</v>
      </c>
      <c r="G51" s="183">
        <v>0</v>
      </c>
      <c r="H51" s="183">
        <v>0</v>
      </c>
      <c r="I51" s="183">
        <v>0</v>
      </c>
      <c r="J51" s="183">
        <v>0</v>
      </c>
      <c r="K51" s="183">
        <v>0</v>
      </c>
      <c r="L51" s="183">
        <v>0</v>
      </c>
      <c r="M51" s="183">
        <v>0</v>
      </c>
      <c r="N51" s="183">
        <v>0</v>
      </c>
      <c r="O51" s="183">
        <v>0</v>
      </c>
      <c r="P51" s="183">
        <v>0</v>
      </c>
      <c r="Q51" s="183">
        <v>0</v>
      </c>
      <c r="R51" s="183">
        <v>0</v>
      </c>
      <c r="S51" s="183">
        <v>0</v>
      </c>
      <c r="T51" s="183">
        <v>0</v>
      </c>
      <c r="U51" s="183">
        <v>383</v>
      </c>
      <c r="V51" s="183">
        <v>765</v>
      </c>
      <c r="W51" s="194">
        <v>0</v>
      </c>
      <c r="X51" s="194">
        <v>0</v>
      </c>
      <c r="Y51" s="183">
        <v>0</v>
      </c>
      <c r="Z51" s="183">
        <v>0</v>
      </c>
      <c r="AA51" s="183">
        <v>0</v>
      </c>
      <c r="AB51" s="183">
        <v>0</v>
      </c>
      <c r="AC51" s="183">
        <v>0</v>
      </c>
      <c r="AD51" s="183">
        <v>0</v>
      </c>
      <c r="AE51" s="208">
        <v>0</v>
      </c>
      <c r="AF51" s="202">
        <v>0</v>
      </c>
      <c r="AG51" s="208">
        <v>74351</v>
      </c>
      <c r="AH51" s="202">
        <v>892825</v>
      </c>
      <c r="AI51" s="208">
        <v>19634</v>
      </c>
      <c r="AJ51" s="202">
        <v>240248</v>
      </c>
      <c r="AK51" s="202">
        <v>14559</v>
      </c>
      <c r="AL51" s="202">
        <v>179079</v>
      </c>
      <c r="AM51" s="187">
        <v>45530</v>
      </c>
      <c r="AN51" s="187">
        <v>663502</v>
      </c>
      <c r="AO51" s="202">
        <v>5541</v>
      </c>
      <c r="AP51" s="202">
        <v>55410</v>
      </c>
      <c r="AQ51" s="202">
        <v>26615</v>
      </c>
      <c r="AR51" s="202">
        <v>266150</v>
      </c>
      <c r="AS51" s="202">
        <v>18785</v>
      </c>
      <c r="AT51" s="202">
        <v>187850</v>
      </c>
      <c r="AU51" s="208">
        <v>7194</v>
      </c>
      <c r="AV51" s="208">
        <v>71940</v>
      </c>
      <c r="AW51" s="208">
        <v>18517</v>
      </c>
      <c r="AX51" s="208">
        <v>185170</v>
      </c>
      <c r="AY51" s="194">
        <v>10825</v>
      </c>
      <c r="AZ51" s="194">
        <v>96912</v>
      </c>
      <c r="BA51" s="202"/>
      <c r="BB51" s="194"/>
      <c r="BC51" s="194"/>
      <c r="BD51" s="194"/>
      <c r="BE51" s="194"/>
      <c r="BF51" s="148"/>
      <c r="BG51" s="148"/>
      <c r="BH51" s="148"/>
      <c r="BI51" s="202"/>
      <c r="BJ51" s="98"/>
      <c r="BK51" s="11"/>
      <c r="BL51" s="148"/>
      <c r="BM51" s="148"/>
    </row>
    <row r="52" spans="1:1163">
      <c r="A52" s="126" t="s">
        <v>118</v>
      </c>
      <c r="B52" s="127" t="s">
        <v>67</v>
      </c>
      <c r="C52" s="183">
        <f>3289694+1373449</f>
        <v>4663143</v>
      </c>
      <c r="D52" s="183">
        <f>2397929+1888074</f>
        <v>4286003</v>
      </c>
      <c r="E52" s="183">
        <v>364608</v>
      </c>
      <c r="F52" s="183">
        <v>146990</v>
      </c>
      <c r="G52" s="183">
        <f>174432+4347</f>
        <v>178779</v>
      </c>
      <c r="H52" s="183">
        <f>45723+8694</f>
        <v>54417</v>
      </c>
      <c r="I52" s="183">
        <f>215504+938</f>
        <v>216442</v>
      </c>
      <c r="J52" s="183">
        <f>258607+1876</f>
        <v>260483</v>
      </c>
      <c r="K52" s="183">
        <f>151644+910</f>
        <v>152554</v>
      </c>
      <c r="L52" s="183">
        <f>181971+1820</f>
        <v>183791</v>
      </c>
      <c r="M52" s="183">
        <v>221770</v>
      </c>
      <c r="N52" s="183">
        <v>226326</v>
      </c>
      <c r="O52" s="183">
        <v>256693</v>
      </c>
      <c r="P52" s="183">
        <v>309181</v>
      </c>
      <c r="Q52" s="183">
        <v>203597</v>
      </c>
      <c r="R52" s="183">
        <v>244317</v>
      </c>
      <c r="S52" s="183">
        <v>208631</v>
      </c>
      <c r="T52" s="183">
        <v>252009</v>
      </c>
      <c r="U52" s="194">
        <v>214533</v>
      </c>
      <c r="V52" s="194">
        <v>409289</v>
      </c>
      <c r="W52" s="194">
        <v>119778</v>
      </c>
      <c r="X52" s="194">
        <v>143973</v>
      </c>
      <c r="Y52" s="194">
        <v>234367</v>
      </c>
      <c r="Z52" s="194">
        <v>457335</v>
      </c>
      <c r="AA52" s="208">
        <v>0</v>
      </c>
      <c r="AB52" s="208">
        <v>0</v>
      </c>
      <c r="AC52" s="183">
        <v>65083</v>
      </c>
      <c r="AD52" s="183">
        <v>7810</v>
      </c>
      <c r="AE52" s="183">
        <v>43813</v>
      </c>
      <c r="AF52" s="183">
        <v>52576</v>
      </c>
      <c r="AG52" s="208">
        <v>10812</v>
      </c>
      <c r="AH52" s="202">
        <v>12975</v>
      </c>
      <c r="AI52" s="208">
        <v>67802</v>
      </c>
      <c r="AJ52" s="202">
        <v>81363</v>
      </c>
      <c r="AK52" s="202">
        <v>116850</v>
      </c>
      <c r="AL52" s="202">
        <v>245820</v>
      </c>
      <c r="AM52" s="187">
        <v>84688</v>
      </c>
      <c r="AN52" s="187">
        <v>101626</v>
      </c>
      <c r="AO52" s="202">
        <v>56663</v>
      </c>
      <c r="AP52" s="202">
        <v>67995</v>
      </c>
      <c r="AQ52" s="202">
        <v>72059</v>
      </c>
      <c r="AR52" s="202">
        <v>86471</v>
      </c>
      <c r="AS52" s="202">
        <v>107761</v>
      </c>
      <c r="AT52" s="202">
        <v>186574</v>
      </c>
      <c r="AU52" s="208">
        <v>29371</v>
      </c>
      <c r="AV52" s="208">
        <v>56215</v>
      </c>
      <c r="AW52" s="208">
        <v>2470</v>
      </c>
      <c r="AX52" s="208">
        <v>55104</v>
      </c>
      <c r="AY52" s="194">
        <v>16113</v>
      </c>
      <c r="AZ52" s="194">
        <v>254745</v>
      </c>
      <c r="BA52" s="196"/>
      <c r="BB52" s="194"/>
      <c r="BC52" s="166"/>
      <c r="BD52" s="194"/>
      <c r="BE52" s="194"/>
      <c r="BF52" s="148"/>
      <c r="BG52" s="148"/>
      <c r="BH52" s="148"/>
      <c r="BI52" s="196"/>
      <c r="BJ52" s="98"/>
      <c r="BK52" s="11"/>
      <c r="BM52" s="148"/>
    </row>
    <row r="53" spans="1:1163">
      <c r="A53" s="126" t="s">
        <v>119</v>
      </c>
      <c r="B53" s="127" t="s">
        <v>67</v>
      </c>
      <c r="C53" s="183">
        <v>21941</v>
      </c>
      <c r="D53" s="183">
        <v>389352</v>
      </c>
      <c r="E53" s="183">
        <v>0</v>
      </c>
      <c r="F53" s="183">
        <v>0</v>
      </c>
      <c r="G53" s="183">
        <v>0</v>
      </c>
      <c r="H53" s="183">
        <v>0</v>
      </c>
      <c r="I53" s="183">
        <v>0</v>
      </c>
      <c r="J53" s="183">
        <v>0</v>
      </c>
      <c r="K53" s="183">
        <v>0</v>
      </c>
      <c r="L53" s="183">
        <v>0</v>
      </c>
      <c r="M53" s="183">
        <v>0</v>
      </c>
      <c r="N53" s="183">
        <v>0</v>
      </c>
      <c r="O53" s="183">
        <v>0</v>
      </c>
      <c r="P53" s="183">
        <v>0</v>
      </c>
      <c r="Q53" s="183">
        <v>0</v>
      </c>
      <c r="R53" s="183">
        <v>0</v>
      </c>
      <c r="S53" s="183">
        <v>0</v>
      </c>
      <c r="T53" s="183">
        <v>0</v>
      </c>
      <c r="U53" s="183">
        <v>0</v>
      </c>
      <c r="V53" s="183">
        <v>0</v>
      </c>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94">
        <v>0</v>
      </c>
      <c r="AV53" s="194">
        <v>0</v>
      </c>
      <c r="AW53" s="194">
        <v>0</v>
      </c>
      <c r="AX53" s="194">
        <v>0</v>
      </c>
      <c r="AY53" s="194">
        <v>0</v>
      </c>
      <c r="AZ53" s="194">
        <v>0</v>
      </c>
      <c r="BA53" s="194"/>
      <c r="BB53" s="194"/>
      <c r="BC53" s="194"/>
      <c r="BD53" s="194"/>
      <c r="BE53" s="194"/>
      <c r="BF53" s="194"/>
      <c r="BG53" s="194"/>
      <c r="BH53" s="194"/>
      <c r="BI53" s="194"/>
      <c r="BJ53" s="98"/>
      <c r="BK53" s="11"/>
      <c r="BM53" s="148"/>
    </row>
    <row r="54" spans="1:1163">
      <c r="A54" s="126" t="s">
        <v>120</v>
      </c>
      <c r="B54" s="127" t="s">
        <v>67</v>
      </c>
      <c r="C54" s="183">
        <v>10695</v>
      </c>
      <c r="D54" s="183">
        <v>53687</v>
      </c>
      <c r="E54" s="183">
        <v>163</v>
      </c>
      <c r="F54" s="183">
        <v>978</v>
      </c>
      <c r="G54" s="183">
        <v>440</v>
      </c>
      <c r="H54" s="183">
        <v>2639</v>
      </c>
      <c r="I54" s="183">
        <v>235</v>
      </c>
      <c r="J54" s="183">
        <v>1412</v>
      </c>
      <c r="K54" s="183">
        <v>169</v>
      </c>
      <c r="L54" s="183">
        <v>1014</v>
      </c>
      <c r="M54" s="183">
        <v>85</v>
      </c>
      <c r="N54" s="183">
        <v>3199</v>
      </c>
      <c r="O54" s="183">
        <v>2685</v>
      </c>
      <c r="P54" s="183">
        <v>85148</v>
      </c>
      <c r="Q54" s="183">
        <v>3540</v>
      </c>
      <c r="R54" s="183">
        <v>131580</v>
      </c>
      <c r="S54" s="183">
        <v>7460</v>
      </c>
      <c r="T54" s="183">
        <v>241564</v>
      </c>
      <c r="U54" s="194">
        <v>3891</v>
      </c>
      <c r="V54" s="194">
        <v>197740</v>
      </c>
      <c r="W54" s="194">
        <v>0</v>
      </c>
      <c r="X54" s="194">
        <v>0</v>
      </c>
      <c r="Y54" s="194">
        <v>7701</v>
      </c>
      <c r="Z54" s="194">
        <v>472291</v>
      </c>
      <c r="AA54" s="183">
        <v>3100</v>
      </c>
      <c r="AB54" s="183">
        <v>204400</v>
      </c>
      <c r="AC54" s="183">
        <v>2692</v>
      </c>
      <c r="AD54" s="183">
        <v>172726</v>
      </c>
      <c r="AE54" s="183">
        <v>3611</v>
      </c>
      <c r="AF54" s="183">
        <v>248699</v>
      </c>
      <c r="AG54" s="208">
        <v>4211</v>
      </c>
      <c r="AH54" s="202">
        <v>227451</v>
      </c>
      <c r="AI54" s="208">
        <v>3297</v>
      </c>
      <c r="AJ54" s="202">
        <v>170422</v>
      </c>
      <c r="AK54" s="202">
        <v>440</v>
      </c>
      <c r="AL54" s="202">
        <v>61527</v>
      </c>
      <c r="AM54" s="187">
        <v>3307</v>
      </c>
      <c r="AN54" s="187">
        <v>215618</v>
      </c>
      <c r="AO54" s="202">
        <v>352</v>
      </c>
      <c r="AP54" s="202">
        <v>41571</v>
      </c>
      <c r="AQ54" s="202">
        <v>1708</v>
      </c>
      <c r="AR54" s="202">
        <v>203314</v>
      </c>
      <c r="AS54" s="202">
        <v>2434</v>
      </c>
      <c r="AT54" s="202">
        <v>203198</v>
      </c>
      <c r="AU54" s="208">
        <v>480</v>
      </c>
      <c r="AV54" s="208">
        <v>50618</v>
      </c>
      <c r="AW54" s="208">
        <v>377</v>
      </c>
      <c r="AX54" s="208">
        <v>36155</v>
      </c>
      <c r="AY54" s="194">
        <v>1891</v>
      </c>
      <c r="AZ54" s="194">
        <v>158266</v>
      </c>
      <c r="BA54" s="196"/>
      <c r="BB54" s="194"/>
      <c r="BC54" s="202"/>
      <c r="BD54" s="194"/>
      <c r="BE54" s="202"/>
      <c r="BF54" s="148"/>
      <c r="BG54" s="202"/>
      <c r="BH54" s="148"/>
      <c r="BI54" s="202"/>
      <c r="BJ54" s="98"/>
      <c r="BK54" s="11"/>
      <c r="BM54" s="148"/>
    </row>
    <row r="55" spans="1:1163">
      <c r="A55" s="126" t="s">
        <v>121</v>
      </c>
      <c r="B55" s="127" t="s">
        <v>67</v>
      </c>
      <c r="C55" s="183">
        <v>0</v>
      </c>
      <c r="D55" s="183">
        <v>0</v>
      </c>
      <c r="E55" s="183">
        <v>0</v>
      </c>
      <c r="F55" s="183">
        <v>0</v>
      </c>
      <c r="G55" s="183">
        <v>0</v>
      </c>
      <c r="H55" s="183">
        <v>0</v>
      </c>
      <c r="I55" s="183">
        <v>0</v>
      </c>
      <c r="J55" s="183">
        <v>0</v>
      </c>
      <c r="K55" s="183">
        <v>0</v>
      </c>
      <c r="L55" s="183">
        <v>0</v>
      </c>
      <c r="M55" s="183">
        <v>0</v>
      </c>
      <c r="N55" s="183">
        <v>0</v>
      </c>
      <c r="O55" s="183">
        <v>0</v>
      </c>
      <c r="P55" s="183">
        <v>0</v>
      </c>
      <c r="Q55" s="183">
        <v>0</v>
      </c>
      <c r="R55" s="183">
        <v>0</v>
      </c>
      <c r="S55" s="183">
        <v>0</v>
      </c>
      <c r="T55" s="183">
        <v>0</v>
      </c>
      <c r="U55" s="183">
        <v>0</v>
      </c>
      <c r="V55" s="183">
        <v>0</v>
      </c>
      <c r="W55" s="183">
        <v>0</v>
      </c>
      <c r="X55" s="183">
        <v>0</v>
      </c>
      <c r="Y55" s="183">
        <v>0</v>
      </c>
      <c r="Z55" s="183">
        <v>0</v>
      </c>
      <c r="AA55" s="183">
        <v>0</v>
      </c>
      <c r="AB55" s="183">
        <v>0</v>
      </c>
      <c r="AC55" s="183">
        <v>0</v>
      </c>
      <c r="AD55" s="183">
        <v>0</v>
      </c>
      <c r="AE55" s="208">
        <v>0</v>
      </c>
      <c r="AF55" s="202">
        <v>0</v>
      </c>
      <c r="AG55" s="208">
        <v>0</v>
      </c>
      <c r="AH55" s="202">
        <v>0</v>
      </c>
      <c r="AI55" s="208">
        <v>0</v>
      </c>
      <c r="AJ55" s="202">
        <v>0</v>
      </c>
      <c r="AK55" s="225">
        <v>0</v>
      </c>
      <c r="AL55" s="225">
        <v>0</v>
      </c>
      <c r="AM55" s="202">
        <v>0</v>
      </c>
      <c r="AN55" s="202">
        <v>0</v>
      </c>
      <c r="AO55" s="202">
        <v>0</v>
      </c>
      <c r="AP55" s="202">
        <v>0</v>
      </c>
      <c r="AQ55" s="202">
        <v>0</v>
      </c>
      <c r="AR55" s="202">
        <v>0</v>
      </c>
      <c r="AS55" s="202">
        <v>729.37</v>
      </c>
      <c r="AT55" s="202">
        <v>49004</v>
      </c>
      <c r="AU55" s="208">
        <v>1659</v>
      </c>
      <c r="AV55" s="208">
        <v>125641</v>
      </c>
      <c r="AW55" s="208">
        <v>1191</v>
      </c>
      <c r="AX55" s="208">
        <v>75940</v>
      </c>
      <c r="AY55" s="194">
        <v>577.38</v>
      </c>
      <c r="AZ55" s="194">
        <v>49749</v>
      </c>
      <c r="BA55" s="185"/>
      <c r="BB55" s="192"/>
      <c r="BC55" s="192"/>
      <c r="BD55" s="192"/>
      <c r="BE55" s="192"/>
      <c r="BF55" s="148"/>
      <c r="BG55" s="148"/>
      <c r="BH55" s="148"/>
      <c r="BI55" s="185"/>
      <c r="BJ55" s="98"/>
      <c r="BK55" s="11"/>
      <c r="BM55" s="148"/>
    </row>
    <row r="56" spans="1:1163">
      <c r="A56" s="126" t="s">
        <v>122</v>
      </c>
      <c r="B56" s="127" t="s">
        <v>67</v>
      </c>
      <c r="C56" s="183">
        <v>34436</v>
      </c>
      <c r="D56" s="183">
        <v>252771</v>
      </c>
      <c r="E56" s="183">
        <v>1131</v>
      </c>
      <c r="F56" s="183">
        <v>11094</v>
      </c>
      <c r="G56" s="183">
        <f>946+68046</f>
        <v>68992</v>
      </c>
      <c r="H56" s="183">
        <f>11952+68046</f>
        <v>79998</v>
      </c>
      <c r="I56" s="183">
        <v>1176</v>
      </c>
      <c r="J56" s="183">
        <v>12750</v>
      </c>
      <c r="K56" s="183">
        <f>994+44766</f>
        <v>45760</v>
      </c>
      <c r="L56" s="183">
        <f>11500+134298</f>
        <v>145798</v>
      </c>
      <c r="M56" s="183">
        <v>53134</v>
      </c>
      <c r="N56" s="183">
        <v>157932</v>
      </c>
      <c r="O56" s="183">
        <v>846</v>
      </c>
      <c r="P56" s="183">
        <v>8936</v>
      </c>
      <c r="Q56" s="183">
        <v>126053</v>
      </c>
      <c r="R56" s="183">
        <v>363382</v>
      </c>
      <c r="S56" s="183">
        <v>72176</v>
      </c>
      <c r="T56" s="183">
        <v>209528</v>
      </c>
      <c r="U56" s="194">
        <v>1697</v>
      </c>
      <c r="V56" s="194">
        <v>20364</v>
      </c>
      <c r="W56" s="194">
        <v>1709</v>
      </c>
      <c r="X56" s="194">
        <v>20503</v>
      </c>
      <c r="Y56" s="194">
        <v>171401</v>
      </c>
      <c r="Z56" s="194">
        <v>1853010</v>
      </c>
      <c r="AA56" s="208">
        <v>14611</v>
      </c>
      <c r="AB56" s="208">
        <v>160718</v>
      </c>
      <c r="AC56" s="183">
        <v>22575</v>
      </c>
      <c r="AD56" s="183">
        <v>225745</v>
      </c>
      <c r="AE56" s="183">
        <v>22984</v>
      </c>
      <c r="AF56" s="183">
        <v>249946</v>
      </c>
      <c r="AG56" s="208">
        <v>67077</v>
      </c>
      <c r="AH56" s="202">
        <v>656898</v>
      </c>
      <c r="AI56" s="208">
        <v>38596</v>
      </c>
      <c r="AJ56" s="202">
        <v>385960</v>
      </c>
      <c r="AK56" s="202">
        <v>13003</v>
      </c>
      <c r="AL56" s="202">
        <v>130030</v>
      </c>
      <c r="AM56" s="187">
        <v>2360</v>
      </c>
      <c r="AN56" s="187">
        <v>14160</v>
      </c>
      <c r="AO56" s="202">
        <v>0</v>
      </c>
      <c r="AP56" s="202">
        <v>0</v>
      </c>
      <c r="AQ56" s="202">
        <v>0</v>
      </c>
      <c r="AR56" s="202">
        <v>0</v>
      </c>
      <c r="AS56" s="202">
        <v>0</v>
      </c>
      <c r="AT56" s="202">
        <v>0</v>
      </c>
      <c r="AU56" s="194">
        <v>0</v>
      </c>
      <c r="AV56" s="194">
        <v>0</v>
      </c>
      <c r="AW56" s="194">
        <v>0</v>
      </c>
      <c r="AX56" s="194">
        <v>0</v>
      </c>
      <c r="AY56" s="194">
        <v>0</v>
      </c>
      <c r="AZ56" s="194">
        <v>0</v>
      </c>
      <c r="BA56" s="194"/>
      <c r="BB56" s="194"/>
      <c r="BC56" s="194"/>
      <c r="BD56" s="194"/>
      <c r="BE56" s="194"/>
      <c r="BF56" s="194"/>
      <c r="BG56" s="194"/>
      <c r="BH56" s="194"/>
      <c r="BI56" s="194"/>
      <c r="BJ56" s="98"/>
      <c r="BK56" s="11"/>
      <c r="BM56" s="148"/>
    </row>
    <row r="57" spans="1:1163">
      <c r="A57" s="129" t="s">
        <v>123</v>
      </c>
      <c r="B57" s="225"/>
      <c r="C57" s="194"/>
      <c r="D57" s="194">
        <f>SUM(D47:D56)</f>
        <v>6578139</v>
      </c>
      <c r="E57" s="194"/>
      <c r="F57" s="194">
        <f>SUM(F47:F56)</f>
        <v>870743.52</v>
      </c>
      <c r="G57" s="194"/>
      <c r="H57" s="194">
        <f>SUM(H47:H56)</f>
        <v>1297324.52</v>
      </c>
      <c r="I57" s="194"/>
      <c r="J57" s="194">
        <f>SUM(J47:J56)</f>
        <v>1372303</v>
      </c>
      <c r="K57" s="194"/>
      <c r="L57" s="194">
        <f>SUM(L47:L56)</f>
        <v>1240275.8999999999</v>
      </c>
      <c r="M57" s="194"/>
      <c r="N57" s="194">
        <f>SUM(N48:N56)</f>
        <v>1737364.52</v>
      </c>
      <c r="O57" s="194"/>
      <c r="P57" s="194">
        <f>SUM(P47:P56)</f>
        <v>1651985.9400000002</v>
      </c>
      <c r="Q57" s="194"/>
      <c r="R57" s="194">
        <f>SUM(R47:R56)</f>
        <v>2047256</v>
      </c>
      <c r="S57" s="194"/>
      <c r="T57" s="194">
        <f>SUM(T47:T56)</f>
        <v>2775104</v>
      </c>
      <c r="U57" s="194"/>
      <c r="V57" s="194">
        <f>SUM(V47:V56)</f>
        <v>3465384</v>
      </c>
      <c r="W57" s="194"/>
      <c r="X57" s="194">
        <f>SUM(X47:X56)</f>
        <v>4107705</v>
      </c>
      <c r="Y57" s="194"/>
      <c r="Z57" s="194">
        <f>SUM(Z47:Z56)</f>
        <v>7872189</v>
      </c>
      <c r="AA57" s="194"/>
      <c r="AB57" s="194">
        <f>SUM(AB47:AB56)</f>
        <v>5216383</v>
      </c>
      <c r="AC57" s="194"/>
      <c r="AD57" s="194">
        <f>SUM(AD47:AD56)</f>
        <v>6796300</v>
      </c>
      <c r="AE57" s="194"/>
      <c r="AF57" s="194">
        <f>SUM(AF47:AF56)</f>
        <v>6650458</v>
      </c>
      <c r="AG57" s="194"/>
      <c r="AH57" s="194">
        <f>SUM(AH47:AH56)</f>
        <v>7433039</v>
      </c>
      <c r="AI57" s="194"/>
      <c r="AJ57" s="194">
        <f>SUM(AJ47:AJ56)</f>
        <v>4682554</v>
      </c>
      <c r="AK57" s="202"/>
      <c r="AL57" s="202">
        <v>4796811</v>
      </c>
      <c r="AM57" s="186"/>
      <c r="AN57" s="187">
        <f>SUM(AN47:AN56)</f>
        <v>5198037</v>
      </c>
      <c r="AO57" s="194"/>
      <c r="AP57" s="194">
        <f>SUM(AP47:AP56)</f>
        <v>3047593</v>
      </c>
      <c r="AQ57" s="194"/>
      <c r="AR57" s="194">
        <f>SUM(AR47:AR56)</f>
        <v>1625253</v>
      </c>
      <c r="AS57" s="194"/>
      <c r="AT57" s="194">
        <f>SUM(AT47:AT56)</f>
        <v>1865189</v>
      </c>
      <c r="AU57" s="194"/>
      <c r="AV57" s="194">
        <f>SUM(AV47:AV56)</f>
        <v>1682264</v>
      </c>
      <c r="AW57" s="194"/>
      <c r="AX57" s="208">
        <f>SUM(AX47:AX56)</f>
        <v>1597802</v>
      </c>
      <c r="AY57" s="191"/>
      <c r="AZ57" s="194">
        <f>SUM(AZ47:AZ56)</f>
        <v>1727930</v>
      </c>
      <c r="BA57" s="191"/>
      <c r="BB57" s="192"/>
      <c r="BC57" s="192"/>
      <c r="BD57" s="192"/>
      <c r="BE57" s="192"/>
      <c r="BF57" s="192"/>
      <c r="BG57" s="192"/>
      <c r="BH57" s="148"/>
      <c r="BI57" s="202"/>
      <c r="BJ57" s="98"/>
      <c r="BK57" s="11"/>
      <c r="BM57" s="148"/>
    </row>
    <row r="58" spans="1:1163">
      <c r="A58" s="131"/>
      <c r="B58" s="225"/>
      <c r="C58" s="194"/>
      <c r="D58" s="194"/>
      <c r="E58" s="194"/>
      <c r="F58" s="194"/>
      <c r="G58" s="194"/>
      <c r="H58" s="194"/>
      <c r="I58" s="194"/>
      <c r="J58" s="194"/>
      <c r="K58" s="194"/>
      <c r="L58" s="194"/>
      <c r="M58" s="194"/>
      <c r="N58" s="194"/>
      <c r="O58" s="194"/>
      <c r="P58" s="194"/>
      <c r="Q58" s="194"/>
      <c r="R58" s="194"/>
      <c r="S58" s="194"/>
      <c r="T58" s="194"/>
      <c r="U58" s="202"/>
      <c r="V58" s="202"/>
      <c r="W58" s="202"/>
      <c r="X58" s="202"/>
      <c r="Y58" s="184"/>
      <c r="Z58" s="184"/>
      <c r="AA58" s="208"/>
      <c r="AB58" s="208"/>
      <c r="AC58" s="194"/>
      <c r="AD58" s="194"/>
      <c r="AE58" s="194"/>
      <c r="AF58" s="194"/>
      <c r="AG58" s="202"/>
      <c r="AH58" s="208"/>
      <c r="AI58" s="202"/>
      <c r="AJ58" s="208"/>
      <c r="AK58" s="202"/>
      <c r="AL58" s="208"/>
      <c r="AM58" s="202"/>
      <c r="AN58" s="202"/>
      <c r="AO58" s="202"/>
      <c r="AP58" s="202"/>
      <c r="AQ58" s="202"/>
      <c r="AR58" s="202"/>
      <c r="AS58" s="202"/>
      <c r="AT58" s="202"/>
      <c r="AU58" s="202"/>
      <c r="AV58" s="208"/>
      <c r="AW58" s="166"/>
      <c r="AX58" s="166"/>
      <c r="AY58" s="165"/>
      <c r="AZ58" s="165"/>
      <c r="BA58" s="196"/>
      <c r="BB58" s="166"/>
      <c r="BC58" s="166"/>
      <c r="BD58" s="166"/>
      <c r="BE58" s="166"/>
      <c r="BF58" s="166"/>
      <c r="BG58" s="166"/>
      <c r="BH58" s="166"/>
      <c r="BI58" s="196"/>
      <c r="BJ58" s="98"/>
      <c r="BK58" s="11"/>
      <c r="BL58" s="148"/>
      <c r="BM58" s="148"/>
    </row>
    <row r="59" spans="1:1163" s="174" customFormat="1">
      <c r="A59" s="118" t="s">
        <v>124</v>
      </c>
      <c r="B59" s="119" t="s">
        <v>67</v>
      </c>
      <c r="C59" s="175">
        <v>60997330</v>
      </c>
      <c r="D59" s="175">
        <v>352328323</v>
      </c>
      <c r="E59" s="175">
        <v>3151470</v>
      </c>
      <c r="F59" s="175">
        <v>60717341</v>
      </c>
      <c r="G59" s="175">
        <v>3254403</v>
      </c>
      <c r="H59" s="175">
        <v>68251534</v>
      </c>
      <c r="I59" s="175">
        <v>3702197</v>
      </c>
      <c r="J59" s="175">
        <v>87460645</v>
      </c>
      <c r="K59" s="175">
        <v>3952768</v>
      </c>
      <c r="L59" s="175">
        <v>99640822</v>
      </c>
      <c r="M59" s="175">
        <v>3692665</v>
      </c>
      <c r="N59" s="175">
        <v>105930163</v>
      </c>
      <c r="O59" s="175">
        <v>3785977</v>
      </c>
      <c r="P59" s="175">
        <v>119532775</v>
      </c>
      <c r="Q59" s="175">
        <v>3825535</v>
      </c>
      <c r="R59" s="175">
        <v>137136740</v>
      </c>
      <c r="S59" s="175">
        <v>3709806</v>
      </c>
      <c r="T59" s="175">
        <v>144944239</v>
      </c>
      <c r="U59" s="197">
        <v>3789743</v>
      </c>
      <c r="V59" s="197">
        <v>158003510</v>
      </c>
      <c r="W59" s="197">
        <v>3830472</v>
      </c>
      <c r="X59" s="197">
        <v>166799208</v>
      </c>
      <c r="Y59" s="197">
        <v>4831172</v>
      </c>
      <c r="Z59" s="197">
        <v>214253964</v>
      </c>
      <c r="AA59" s="209">
        <v>5114267</v>
      </c>
      <c r="AB59" s="209">
        <v>228561597</v>
      </c>
      <c r="AC59" s="197">
        <v>5655459</v>
      </c>
      <c r="AD59" s="197">
        <v>251762799</v>
      </c>
      <c r="AE59" s="175">
        <v>5470875</v>
      </c>
      <c r="AF59" s="175">
        <v>248439413</v>
      </c>
      <c r="AG59" s="201">
        <v>5034977</v>
      </c>
      <c r="AH59" s="201">
        <v>234017491</v>
      </c>
      <c r="AI59" s="201">
        <v>6062404</v>
      </c>
      <c r="AJ59" s="201">
        <v>280656243</v>
      </c>
      <c r="AK59" s="201">
        <v>5814923</v>
      </c>
      <c r="AL59" s="201">
        <v>268381210</v>
      </c>
      <c r="AM59" s="176">
        <v>5692147</v>
      </c>
      <c r="AN59" s="176">
        <v>260534172</v>
      </c>
      <c r="AO59" s="201">
        <v>5609555</v>
      </c>
      <c r="AP59" s="201">
        <v>249348279</v>
      </c>
      <c r="AQ59" s="201">
        <v>6231483.5099999998</v>
      </c>
      <c r="AR59" s="201">
        <v>268018086</v>
      </c>
      <c r="AS59" s="201">
        <v>6204588.1899999995</v>
      </c>
      <c r="AT59" s="201">
        <v>257838999</v>
      </c>
      <c r="AU59" s="209">
        <v>6204695</v>
      </c>
      <c r="AV59" s="209">
        <v>258211794</v>
      </c>
      <c r="AW59" s="204">
        <v>6262538</v>
      </c>
      <c r="AX59" s="204">
        <v>266402673</v>
      </c>
      <c r="AY59" s="197">
        <v>6026581</v>
      </c>
      <c r="AZ59" s="197">
        <v>266405945</v>
      </c>
      <c r="BA59" s="177"/>
      <c r="BB59" s="197"/>
      <c r="BC59" s="197"/>
      <c r="BD59" s="197"/>
      <c r="BE59" s="197"/>
      <c r="BF59" s="197"/>
      <c r="BG59" s="197"/>
      <c r="BH59" s="197"/>
      <c r="BI59" s="197"/>
      <c r="BJ59" s="98"/>
      <c r="BK59" s="11"/>
      <c r="BL59" s="98"/>
      <c r="BM59" s="98"/>
      <c r="BN59" s="14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c r="KT59" s="98"/>
      <c r="KU59" s="98"/>
      <c r="KV59" s="98"/>
      <c r="KW59" s="98"/>
      <c r="KX59" s="98"/>
      <c r="KY59" s="98"/>
      <c r="KZ59" s="98"/>
      <c r="LA59" s="98"/>
      <c r="LB59" s="98"/>
      <c r="LC59" s="98"/>
      <c r="LD59" s="98"/>
      <c r="LE59" s="98"/>
      <c r="LF59" s="98"/>
      <c r="LG59" s="98"/>
      <c r="LH59" s="98"/>
      <c r="LI59" s="98"/>
      <c r="LJ59" s="98"/>
      <c r="LK59" s="98"/>
      <c r="LL59" s="98"/>
      <c r="LM59" s="98"/>
      <c r="LN59" s="98"/>
      <c r="LO59" s="98"/>
      <c r="LP59" s="98"/>
      <c r="LQ59" s="98"/>
      <c r="LR59" s="98"/>
      <c r="LS59" s="98"/>
      <c r="LT59" s="98"/>
      <c r="LU59" s="98"/>
      <c r="LV59" s="98"/>
      <c r="LW59" s="98"/>
      <c r="LX59" s="98"/>
      <c r="LY59" s="98"/>
      <c r="LZ59" s="98"/>
      <c r="MA59" s="98"/>
      <c r="MB59" s="98"/>
      <c r="MC59" s="98"/>
      <c r="MD59" s="98"/>
      <c r="ME59" s="98"/>
      <c r="MF59" s="98"/>
      <c r="MG59" s="98"/>
      <c r="MH59" s="98"/>
      <c r="MI59" s="98"/>
      <c r="MJ59" s="98"/>
      <c r="MK59" s="98"/>
      <c r="ML59" s="98"/>
      <c r="MM59" s="98"/>
      <c r="MN59" s="98"/>
      <c r="MO59" s="98"/>
      <c r="MP59" s="98"/>
      <c r="MQ59" s="98"/>
      <c r="MR59" s="98"/>
      <c r="MS59" s="98"/>
      <c r="MT59" s="98"/>
      <c r="MU59" s="98"/>
      <c r="MV59" s="98"/>
      <c r="MW59" s="98"/>
      <c r="MX59" s="98"/>
      <c r="MY59" s="98"/>
      <c r="MZ59" s="98"/>
      <c r="NA59" s="98"/>
      <c r="NB59" s="98"/>
      <c r="NC59" s="98"/>
      <c r="ND59" s="98"/>
      <c r="NE59" s="98"/>
      <c r="NF59" s="98"/>
      <c r="NG59" s="98"/>
      <c r="NH59" s="98"/>
      <c r="NI59" s="98"/>
      <c r="NJ59" s="98"/>
      <c r="NK59" s="98"/>
      <c r="NL59" s="98"/>
      <c r="NM59" s="98"/>
      <c r="NN59" s="98"/>
      <c r="NO59" s="98"/>
      <c r="NP59" s="98"/>
      <c r="NQ59" s="98"/>
      <c r="NR59" s="98"/>
      <c r="NS59" s="98"/>
      <c r="NT59" s="98"/>
      <c r="NU59" s="98"/>
      <c r="NV59" s="98"/>
      <c r="NW59" s="98"/>
      <c r="NX59" s="98"/>
      <c r="NY59" s="98"/>
      <c r="NZ59" s="98"/>
      <c r="OA59" s="98"/>
      <c r="OB59" s="98"/>
      <c r="OC59" s="98"/>
      <c r="OD59" s="98"/>
      <c r="OE59" s="98"/>
      <c r="OF59" s="98"/>
      <c r="OG59" s="98"/>
      <c r="OH59" s="98"/>
      <c r="OI59" s="98"/>
      <c r="OJ59" s="98"/>
      <c r="OK59" s="98"/>
      <c r="OL59" s="98"/>
      <c r="OM59" s="98"/>
      <c r="ON59" s="98"/>
      <c r="OO59" s="98"/>
      <c r="OP59" s="98"/>
      <c r="OQ59" s="98"/>
      <c r="OR59" s="98"/>
      <c r="OS59" s="98"/>
      <c r="OT59" s="98"/>
      <c r="OU59" s="98"/>
      <c r="OV59" s="98"/>
      <c r="OW59" s="98"/>
      <c r="OX59" s="98"/>
      <c r="OY59" s="98"/>
      <c r="OZ59" s="98"/>
      <c r="PA59" s="98"/>
      <c r="PB59" s="98"/>
      <c r="PC59" s="98"/>
      <c r="PD59" s="98"/>
      <c r="PE59" s="98"/>
      <c r="PF59" s="98"/>
      <c r="PG59" s="98"/>
      <c r="PH59" s="98"/>
      <c r="PI59" s="98"/>
      <c r="PJ59" s="98"/>
      <c r="PK59" s="98"/>
      <c r="PL59" s="98"/>
      <c r="PM59" s="98"/>
      <c r="PN59" s="98"/>
      <c r="PO59" s="98"/>
      <c r="PP59" s="98"/>
      <c r="PQ59" s="98"/>
      <c r="PR59" s="98"/>
      <c r="PS59" s="98"/>
      <c r="PT59" s="98"/>
      <c r="PU59" s="98"/>
      <c r="PV59" s="98"/>
      <c r="PW59" s="98"/>
      <c r="PX59" s="98"/>
      <c r="PY59" s="98"/>
      <c r="PZ59" s="98"/>
      <c r="QA59" s="98"/>
      <c r="QB59" s="98"/>
      <c r="QC59" s="98"/>
      <c r="QD59" s="98"/>
      <c r="QE59" s="98"/>
      <c r="QF59" s="98"/>
      <c r="QG59" s="98"/>
      <c r="QH59" s="98"/>
      <c r="QI59" s="98"/>
      <c r="QJ59" s="98"/>
      <c r="QK59" s="98"/>
      <c r="QL59" s="98"/>
      <c r="QM59" s="98"/>
      <c r="QN59" s="98"/>
      <c r="QO59" s="98"/>
      <c r="QP59" s="98"/>
      <c r="QQ59" s="98"/>
      <c r="QR59" s="98"/>
      <c r="QS59" s="98"/>
      <c r="QT59" s="98"/>
      <c r="QU59" s="98"/>
      <c r="QV59" s="98"/>
      <c r="QW59" s="98"/>
      <c r="QX59" s="98"/>
      <c r="QY59" s="98"/>
      <c r="QZ59" s="98"/>
      <c r="RA59" s="98"/>
      <c r="RB59" s="98"/>
      <c r="RC59" s="98"/>
      <c r="RD59" s="98"/>
      <c r="RE59" s="98"/>
      <c r="RF59" s="98"/>
      <c r="RG59" s="98"/>
      <c r="RH59" s="98"/>
      <c r="RI59" s="98"/>
      <c r="RJ59" s="98"/>
      <c r="RK59" s="98"/>
      <c r="RL59" s="98"/>
      <c r="RM59" s="98"/>
      <c r="RN59" s="98"/>
      <c r="RO59" s="98"/>
      <c r="RP59" s="98"/>
      <c r="RQ59" s="98"/>
      <c r="RR59" s="98"/>
      <c r="RS59" s="98"/>
      <c r="RT59" s="98"/>
      <c r="RU59" s="98"/>
      <c r="RV59" s="98"/>
      <c r="RW59" s="98"/>
      <c r="RX59" s="98"/>
      <c r="RY59" s="98"/>
      <c r="RZ59" s="98"/>
      <c r="SA59" s="98"/>
      <c r="SB59" s="98"/>
      <c r="SC59" s="98"/>
      <c r="SD59" s="98"/>
      <c r="SE59" s="98"/>
      <c r="SF59" s="98"/>
      <c r="SG59" s="98"/>
      <c r="SH59" s="98"/>
      <c r="SI59" s="98"/>
      <c r="SJ59" s="98"/>
      <c r="SK59" s="98"/>
      <c r="SL59" s="98"/>
      <c r="SM59" s="98"/>
      <c r="SN59" s="98"/>
      <c r="SO59" s="98"/>
      <c r="SP59" s="98"/>
      <c r="SQ59" s="98"/>
      <c r="SR59" s="98"/>
      <c r="SS59" s="98"/>
      <c r="ST59" s="98"/>
      <c r="SU59" s="98"/>
      <c r="SV59" s="98"/>
      <c r="SW59" s="98"/>
      <c r="SX59" s="98"/>
      <c r="SY59" s="98"/>
      <c r="SZ59" s="98"/>
      <c r="TA59" s="98"/>
      <c r="TB59" s="98"/>
      <c r="TC59" s="98"/>
      <c r="TD59" s="98"/>
      <c r="TE59" s="98"/>
      <c r="TF59" s="98"/>
      <c r="TG59" s="98"/>
      <c r="TH59" s="98"/>
      <c r="TI59" s="98"/>
      <c r="TJ59" s="98"/>
      <c r="TK59" s="98"/>
      <c r="TL59" s="98"/>
      <c r="TM59" s="98"/>
      <c r="TN59" s="98"/>
      <c r="TO59" s="98"/>
      <c r="TP59" s="98"/>
      <c r="TQ59" s="98"/>
      <c r="TR59" s="98"/>
      <c r="TS59" s="98"/>
      <c r="TT59" s="98"/>
      <c r="TU59" s="98"/>
      <c r="TV59" s="98"/>
      <c r="TW59" s="98"/>
      <c r="TX59" s="98"/>
      <c r="TY59" s="98"/>
      <c r="TZ59" s="98"/>
      <c r="UA59" s="98"/>
      <c r="UB59" s="98"/>
      <c r="UC59" s="98"/>
      <c r="UD59" s="98"/>
      <c r="UE59" s="98"/>
      <c r="UF59" s="98"/>
      <c r="UG59" s="98"/>
      <c r="UH59" s="98"/>
      <c r="UI59" s="98"/>
      <c r="UJ59" s="98"/>
      <c r="UK59" s="98"/>
      <c r="UL59" s="98"/>
      <c r="UM59" s="98"/>
      <c r="UN59" s="98"/>
      <c r="UO59" s="98"/>
      <c r="UP59" s="98"/>
      <c r="UQ59" s="98"/>
      <c r="UR59" s="98"/>
      <c r="US59" s="98"/>
      <c r="UT59" s="98"/>
      <c r="UU59" s="98"/>
      <c r="UV59" s="98"/>
      <c r="UW59" s="98"/>
      <c r="UX59" s="98"/>
      <c r="UY59" s="98"/>
      <c r="UZ59" s="98"/>
      <c r="VA59" s="98"/>
      <c r="VB59" s="98"/>
      <c r="VC59" s="98"/>
      <c r="VD59" s="98"/>
      <c r="VE59" s="98"/>
      <c r="VF59" s="98"/>
      <c r="VG59" s="98"/>
      <c r="VH59" s="98"/>
      <c r="VI59" s="98"/>
      <c r="VJ59" s="98"/>
      <c r="VK59" s="98"/>
      <c r="VL59" s="98"/>
      <c r="VM59" s="98"/>
      <c r="VN59" s="98"/>
      <c r="VO59" s="98"/>
      <c r="VP59" s="98"/>
      <c r="VQ59" s="98"/>
      <c r="VR59" s="98"/>
      <c r="VS59" s="98"/>
      <c r="VT59" s="98"/>
      <c r="VU59" s="98"/>
      <c r="VV59" s="98"/>
      <c r="VW59" s="98"/>
      <c r="VX59" s="98"/>
      <c r="VY59" s="98"/>
      <c r="VZ59" s="98"/>
      <c r="WA59" s="98"/>
      <c r="WB59" s="98"/>
      <c r="WC59" s="98"/>
      <c r="WD59" s="98"/>
      <c r="WE59" s="98"/>
      <c r="WF59" s="98"/>
      <c r="WG59" s="98"/>
      <c r="WH59" s="98"/>
      <c r="WI59" s="98"/>
      <c r="WJ59" s="98"/>
      <c r="WK59" s="98"/>
      <c r="WL59" s="98"/>
      <c r="WM59" s="98"/>
      <c r="WN59" s="98"/>
      <c r="WO59" s="98"/>
      <c r="WP59" s="98"/>
      <c r="WQ59" s="98"/>
      <c r="WR59" s="98"/>
      <c r="WS59" s="98"/>
      <c r="WT59" s="98"/>
      <c r="WU59" s="98"/>
      <c r="WV59" s="98"/>
      <c r="WW59" s="98"/>
      <c r="WX59" s="98"/>
      <c r="WY59" s="98"/>
      <c r="WZ59" s="98"/>
      <c r="XA59" s="98"/>
      <c r="XB59" s="98"/>
      <c r="XC59" s="98"/>
      <c r="XD59" s="98"/>
      <c r="XE59" s="98"/>
      <c r="XF59" s="98"/>
      <c r="XG59" s="98"/>
      <c r="XH59" s="98"/>
      <c r="XI59" s="98"/>
      <c r="XJ59" s="98"/>
      <c r="XK59" s="98"/>
      <c r="XL59" s="98"/>
      <c r="XM59" s="98"/>
      <c r="XN59" s="98"/>
      <c r="XO59" s="98"/>
      <c r="XP59" s="98"/>
      <c r="XQ59" s="98"/>
      <c r="XR59" s="98"/>
      <c r="XS59" s="98"/>
      <c r="XT59" s="98"/>
      <c r="XU59" s="98"/>
      <c r="XV59" s="98"/>
      <c r="XW59" s="98"/>
      <c r="XX59" s="98"/>
      <c r="XY59" s="98"/>
      <c r="XZ59" s="98"/>
      <c r="YA59" s="98"/>
      <c r="YB59" s="98"/>
      <c r="YC59" s="98"/>
      <c r="YD59" s="98"/>
      <c r="YE59" s="98"/>
      <c r="YF59" s="98"/>
      <c r="YG59" s="98"/>
      <c r="YH59" s="98"/>
      <c r="YI59" s="98"/>
      <c r="YJ59" s="98"/>
      <c r="YK59" s="98"/>
      <c r="YL59" s="98"/>
      <c r="YM59" s="98"/>
      <c r="YN59" s="98"/>
      <c r="YO59" s="98"/>
      <c r="YP59" s="98"/>
      <c r="YQ59" s="98"/>
      <c r="YR59" s="98"/>
      <c r="YS59" s="98"/>
      <c r="YT59" s="98"/>
      <c r="YU59" s="98"/>
      <c r="YV59" s="98"/>
      <c r="YW59" s="98"/>
      <c r="YX59" s="98"/>
      <c r="YY59" s="98"/>
      <c r="YZ59" s="98"/>
      <c r="ZA59" s="98"/>
      <c r="ZB59" s="98"/>
      <c r="ZC59" s="98"/>
      <c r="ZD59" s="98"/>
      <c r="ZE59" s="98"/>
      <c r="ZF59" s="98"/>
      <c r="ZG59" s="98"/>
      <c r="ZH59" s="98"/>
      <c r="ZI59" s="98"/>
      <c r="ZJ59" s="98"/>
      <c r="ZK59" s="98"/>
      <c r="ZL59" s="98"/>
      <c r="ZM59" s="98"/>
      <c r="ZN59" s="98"/>
      <c r="ZO59" s="98"/>
      <c r="ZP59" s="98"/>
      <c r="ZQ59" s="98"/>
      <c r="ZR59" s="98"/>
      <c r="ZS59" s="98"/>
      <c r="ZT59" s="98"/>
      <c r="ZU59" s="98"/>
      <c r="ZV59" s="98"/>
      <c r="ZW59" s="98"/>
      <c r="ZX59" s="98"/>
      <c r="ZY59" s="98"/>
      <c r="ZZ59" s="98"/>
      <c r="AAA59" s="98"/>
      <c r="AAB59" s="98"/>
      <c r="AAC59" s="98"/>
      <c r="AAD59" s="98"/>
      <c r="AAE59" s="98"/>
      <c r="AAF59" s="98"/>
      <c r="AAG59" s="98"/>
      <c r="AAH59" s="98"/>
      <c r="AAI59" s="98"/>
      <c r="AAJ59" s="98"/>
      <c r="AAK59" s="98"/>
      <c r="AAL59" s="98"/>
      <c r="AAM59" s="98"/>
      <c r="AAN59" s="98"/>
      <c r="AAO59" s="98"/>
      <c r="AAP59" s="98"/>
      <c r="AAQ59" s="98"/>
      <c r="AAR59" s="98"/>
      <c r="AAS59" s="98"/>
      <c r="AAT59" s="98"/>
      <c r="AAU59" s="98"/>
      <c r="AAV59" s="98"/>
      <c r="AAW59" s="98"/>
      <c r="AAX59" s="98"/>
      <c r="AAY59" s="98"/>
      <c r="AAZ59" s="98"/>
      <c r="ABA59" s="98"/>
      <c r="ABB59" s="98"/>
      <c r="ABC59" s="98"/>
      <c r="ABD59" s="98"/>
      <c r="ABE59" s="98"/>
      <c r="ABF59" s="98"/>
      <c r="ABG59" s="98"/>
      <c r="ABH59" s="98"/>
      <c r="ABI59" s="98"/>
      <c r="ABJ59" s="98"/>
      <c r="ABK59" s="98"/>
      <c r="ABL59" s="98"/>
      <c r="ABM59" s="98"/>
      <c r="ABN59" s="98"/>
      <c r="ABO59" s="98"/>
      <c r="ABP59" s="98"/>
      <c r="ABQ59" s="98"/>
      <c r="ABR59" s="98"/>
      <c r="ABS59" s="98"/>
      <c r="ABT59" s="98"/>
      <c r="ABU59" s="98"/>
      <c r="ABV59" s="98"/>
      <c r="ABW59" s="98"/>
      <c r="ABX59" s="98"/>
      <c r="ABY59" s="98"/>
      <c r="ABZ59" s="98"/>
      <c r="ACA59" s="98"/>
      <c r="ACB59" s="98"/>
      <c r="ACC59" s="98"/>
      <c r="ACD59" s="98"/>
      <c r="ACE59" s="98"/>
      <c r="ACF59" s="98"/>
      <c r="ACG59" s="98"/>
      <c r="ACH59" s="98"/>
      <c r="ACI59" s="98"/>
      <c r="ACJ59" s="98"/>
      <c r="ACK59" s="98"/>
      <c r="ACL59" s="98"/>
      <c r="ACM59" s="98"/>
      <c r="ACN59" s="98"/>
      <c r="ACO59" s="98"/>
      <c r="ACP59" s="98"/>
      <c r="ACQ59" s="98"/>
      <c r="ACR59" s="98"/>
      <c r="ACS59" s="98"/>
      <c r="ACT59" s="98"/>
      <c r="ACU59" s="98"/>
      <c r="ACV59" s="98"/>
      <c r="ACW59" s="98"/>
      <c r="ACX59" s="98"/>
      <c r="ACY59" s="98"/>
      <c r="ACZ59" s="98"/>
      <c r="ADA59" s="98"/>
      <c r="ADB59" s="98"/>
      <c r="ADC59" s="98"/>
      <c r="ADD59" s="98"/>
      <c r="ADE59" s="98"/>
      <c r="ADF59" s="98"/>
      <c r="ADG59" s="98"/>
      <c r="ADH59" s="98"/>
      <c r="ADI59" s="98"/>
      <c r="ADJ59" s="98"/>
      <c r="ADK59" s="98"/>
      <c r="ADL59" s="98"/>
      <c r="ADM59" s="98"/>
      <c r="ADN59" s="98"/>
      <c r="ADO59" s="98"/>
      <c r="ADP59" s="98"/>
      <c r="ADQ59" s="98"/>
      <c r="ADR59" s="98"/>
      <c r="ADS59" s="98"/>
      <c r="ADT59" s="98"/>
      <c r="ADU59" s="98"/>
      <c r="ADV59" s="98"/>
      <c r="ADW59" s="98"/>
      <c r="ADX59" s="98"/>
      <c r="ADY59" s="98"/>
      <c r="ADZ59" s="98"/>
      <c r="AEA59" s="98"/>
      <c r="AEB59" s="98"/>
      <c r="AEC59" s="98"/>
      <c r="AED59" s="98"/>
      <c r="AEE59" s="98"/>
      <c r="AEF59" s="98"/>
      <c r="AEG59" s="98"/>
      <c r="AEH59" s="98"/>
      <c r="AEI59" s="98"/>
      <c r="AEJ59" s="98"/>
      <c r="AEK59" s="98"/>
      <c r="AEL59" s="98"/>
      <c r="AEM59" s="98"/>
      <c r="AEN59" s="98"/>
      <c r="AEO59" s="98"/>
      <c r="AEP59" s="98"/>
      <c r="AEQ59" s="98"/>
      <c r="AER59" s="98"/>
      <c r="AES59" s="98"/>
      <c r="AET59" s="98"/>
      <c r="AEU59" s="98"/>
      <c r="AEV59" s="98"/>
      <c r="AEW59" s="98"/>
      <c r="AEX59" s="98"/>
      <c r="AEY59" s="98"/>
      <c r="AEZ59" s="98"/>
      <c r="AFA59" s="98"/>
      <c r="AFB59" s="98"/>
      <c r="AFC59" s="98"/>
      <c r="AFD59" s="98"/>
      <c r="AFE59" s="98"/>
      <c r="AFF59" s="98"/>
      <c r="AFG59" s="98"/>
      <c r="AFH59" s="98"/>
      <c r="AFI59" s="98"/>
      <c r="AFJ59" s="98"/>
      <c r="AFK59" s="98"/>
      <c r="AFL59" s="98"/>
      <c r="AFM59" s="98"/>
      <c r="AFN59" s="98"/>
      <c r="AFO59" s="98"/>
      <c r="AFP59" s="98"/>
      <c r="AFQ59" s="98"/>
      <c r="AFR59" s="98"/>
      <c r="AFS59" s="98"/>
      <c r="AFT59" s="98"/>
      <c r="AFU59" s="98"/>
      <c r="AFV59" s="98"/>
      <c r="AFW59" s="98"/>
      <c r="AFX59" s="98"/>
      <c r="AFY59" s="98"/>
      <c r="AFZ59" s="98"/>
      <c r="AGA59" s="98"/>
      <c r="AGB59" s="98"/>
      <c r="AGC59" s="98"/>
      <c r="AGD59" s="98"/>
      <c r="AGE59" s="98"/>
      <c r="AGF59" s="98"/>
      <c r="AGG59" s="98"/>
      <c r="AGH59" s="98"/>
      <c r="AGI59" s="98"/>
      <c r="AGJ59" s="98"/>
      <c r="AGK59" s="98"/>
      <c r="AGL59" s="98"/>
      <c r="AGM59" s="98"/>
      <c r="AGN59" s="98"/>
      <c r="AGO59" s="98"/>
      <c r="AGP59" s="98"/>
      <c r="AGQ59" s="98"/>
      <c r="AGR59" s="98"/>
      <c r="AGS59" s="98"/>
      <c r="AGT59" s="98"/>
      <c r="AGU59" s="98"/>
      <c r="AGV59" s="98"/>
      <c r="AGW59" s="98"/>
      <c r="AGX59" s="98"/>
      <c r="AGY59" s="98"/>
      <c r="AGZ59" s="98"/>
      <c r="AHA59" s="98"/>
      <c r="AHB59" s="98"/>
      <c r="AHC59" s="98"/>
      <c r="AHD59" s="98"/>
      <c r="AHE59" s="98"/>
      <c r="AHF59" s="98"/>
      <c r="AHG59" s="98"/>
      <c r="AHH59" s="98"/>
      <c r="AHI59" s="98"/>
      <c r="AHJ59" s="98"/>
      <c r="AHK59" s="98"/>
      <c r="AHL59" s="98"/>
      <c r="AHM59" s="98"/>
      <c r="AHN59" s="98"/>
      <c r="AHO59" s="98"/>
      <c r="AHP59" s="98"/>
      <c r="AHQ59" s="98"/>
      <c r="AHR59" s="98"/>
      <c r="AHS59" s="98"/>
      <c r="AHT59" s="98"/>
      <c r="AHU59" s="98"/>
      <c r="AHV59" s="98"/>
      <c r="AHW59" s="98"/>
      <c r="AHX59" s="98"/>
      <c r="AHY59" s="98"/>
      <c r="AHZ59" s="98"/>
      <c r="AIA59" s="98"/>
      <c r="AIB59" s="98"/>
      <c r="AIC59" s="98"/>
      <c r="AID59" s="98"/>
      <c r="AIE59" s="98"/>
      <c r="AIF59" s="98"/>
      <c r="AIG59" s="98"/>
      <c r="AIH59" s="98"/>
      <c r="AII59" s="98"/>
      <c r="AIJ59" s="98"/>
      <c r="AIK59" s="98"/>
      <c r="AIL59" s="98"/>
      <c r="AIM59" s="98"/>
      <c r="AIN59" s="98"/>
      <c r="AIO59" s="98"/>
      <c r="AIP59" s="98"/>
      <c r="AIQ59" s="98"/>
      <c r="AIR59" s="98"/>
      <c r="AIS59" s="98"/>
      <c r="AIT59" s="98"/>
      <c r="AIU59" s="98"/>
      <c r="AIV59" s="98"/>
      <c r="AIW59" s="98"/>
      <c r="AIX59" s="98"/>
      <c r="AIY59" s="98"/>
      <c r="AIZ59" s="98"/>
      <c r="AJA59" s="98"/>
      <c r="AJB59" s="98"/>
      <c r="AJC59" s="98"/>
      <c r="AJD59" s="98"/>
      <c r="AJE59" s="98"/>
      <c r="AJF59" s="98"/>
      <c r="AJG59" s="98"/>
      <c r="AJH59" s="98"/>
      <c r="AJI59" s="98"/>
      <c r="AJJ59" s="98"/>
      <c r="AJK59" s="98"/>
      <c r="AJL59" s="98"/>
      <c r="AJM59" s="98"/>
      <c r="AJN59" s="98"/>
      <c r="AJO59" s="98"/>
      <c r="AJP59" s="98"/>
      <c r="AJQ59" s="98"/>
      <c r="AJR59" s="98"/>
      <c r="AJS59" s="98"/>
      <c r="AJT59" s="98"/>
      <c r="AJU59" s="98"/>
      <c r="AJV59" s="98"/>
      <c r="AJW59" s="98"/>
      <c r="AJX59" s="98"/>
      <c r="AJY59" s="98"/>
      <c r="AJZ59" s="98"/>
      <c r="AKA59" s="98"/>
      <c r="AKB59" s="98"/>
      <c r="AKC59" s="98"/>
      <c r="AKD59" s="98"/>
      <c r="AKE59" s="98"/>
      <c r="AKF59" s="98"/>
      <c r="AKG59" s="98"/>
      <c r="AKH59" s="98"/>
      <c r="AKI59" s="98"/>
      <c r="AKJ59" s="98"/>
      <c r="AKK59" s="98"/>
      <c r="AKL59" s="98"/>
      <c r="AKM59" s="98"/>
      <c r="AKN59" s="98"/>
      <c r="AKO59" s="98"/>
      <c r="AKP59" s="98"/>
      <c r="AKQ59" s="98"/>
      <c r="AKR59" s="98"/>
      <c r="AKS59" s="98"/>
      <c r="AKT59" s="98"/>
      <c r="AKU59" s="98"/>
      <c r="AKV59" s="98"/>
      <c r="AKW59" s="98"/>
      <c r="AKX59" s="98"/>
      <c r="AKY59" s="98"/>
      <c r="AKZ59" s="98"/>
      <c r="ALA59" s="98"/>
      <c r="ALB59" s="98"/>
      <c r="ALC59" s="98"/>
      <c r="ALD59" s="98"/>
      <c r="ALE59" s="98"/>
      <c r="ALF59" s="98"/>
      <c r="ALG59" s="98"/>
      <c r="ALH59" s="98"/>
      <c r="ALI59" s="98"/>
      <c r="ALJ59" s="98"/>
      <c r="ALK59" s="98"/>
      <c r="ALL59" s="98"/>
      <c r="ALM59" s="98"/>
      <c r="ALN59" s="98"/>
      <c r="ALO59" s="98"/>
      <c r="ALP59" s="98"/>
      <c r="ALQ59" s="98"/>
      <c r="ALR59" s="98"/>
      <c r="ALS59" s="98"/>
      <c r="ALT59" s="98"/>
      <c r="ALU59" s="98"/>
      <c r="ALV59" s="98"/>
      <c r="ALW59" s="98"/>
      <c r="ALX59" s="98"/>
      <c r="ALY59" s="98"/>
      <c r="ALZ59" s="98"/>
      <c r="AMA59" s="98"/>
      <c r="AMB59" s="98"/>
      <c r="AMC59" s="98"/>
      <c r="AMD59" s="98"/>
      <c r="AME59" s="98"/>
      <c r="AMF59" s="98"/>
      <c r="AMG59" s="98"/>
      <c r="AMH59" s="98"/>
      <c r="AMI59" s="98"/>
      <c r="AMJ59" s="98"/>
      <c r="AMK59" s="98"/>
      <c r="AML59" s="98"/>
      <c r="AMM59" s="98"/>
      <c r="AMN59" s="98"/>
      <c r="AMO59" s="98"/>
      <c r="AMP59" s="98"/>
      <c r="AMQ59" s="98"/>
      <c r="AMR59" s="98"/>
      <c r="AMS59" s="98"/>
      <c r="AMT59" s="98"/>
      <c r="AMU59" s="98"/>
      <c r="AMV59" s="98"/>
      <c r="AMW59" s="98"/>
      <c r="AMX59" s="98"/>
      <c r="AMY59" s="98"/>
      <c r="AMZ59" s="98"/>
      <c r="ANA59" s="98"/>
      <c r="ANB59" s="98"/>
      <c r="ANC59" s="98"/>
      <c r="AND59" s="98"/>
      <c r="ANE59" s="98"/>
      <c r="ANF59" s="98"/>
      <c r="ANG59" s="98"/>
      <c r="ANH59" s="98"/>
      <c r="ANI59" s="98"/>
      <c r="ANJ59" s="98"/>
      <c r="ANK59" s="98"/>
      <c r="ANL59" s="98"/>
      <c r="ANM59" s="98"/>
      <c r="ANN59" s="98"/>
      <c r="ANO59" s="98"/>
      <c r="ANP59" s="98"/>
      <c r="ANQ59" s="98"/>
      <c r="ANR59" s="98"/>
      <c r="ANS59" s="98"/>
      <c r="ANT59" s="98"/>
      <c r="ANU59" s="98"/>
      <c r="ANV59" s="98"/>
      <c r="ANW59" s="98"/>
      <c r="ANX59" s="98"/>
      <c r="ANY59" s="98"/>
      <c r="ANZ59" s="98"/>
      <c r="AOA59" s="98"/>
      <c r="AOB59" s="98"/>
      <c r="AOC59" s="98"/>
      <c r="AOD59" s="98"/>
      <c r="AOE59" s="98"/>
      <c r="AOF59" s="98"/>
      <c r="AOG59" s="98"/>
      <c r="AOH59" s="98"/>
      <c r="AOI59" s="98"/>
      <c r="AOJ59" s="98"/>
      <c r="AOK59" s="98"/>
      <c r="AOL59" s="98"/>
      <c r="AOM59" s="98"/>
      <c r="AON59" s="98"/>
      <c r="AOO59" s="98"/>
      <c r="AOP59" s="98"/>
      <c r="AOQ59" s="98"/>
      <c r="AOR59" s="98"/>
      <c r="AOS59" s="98"/>
      <c r="AOT59" s="98"/>
      <c r="AOU59" s="98"/>
      <c r="AOV59" s="98"/>
      <c r="AOW59" s="98"/>
      <c r="AOX59" s="98"/>
      <c r="AOY59" s="98"/>
      <c r="AOZ59" s="98"/>
      <c r="APA59" s="98"/>
      <c r="APB59" s="98"/>
      <c r="APC59" s="98"/>
      <c r="APD59" s="98"/>
      <c r="APE59" s="98"/>
      <c r="APF59" s="98"/>
      <c r="APG59" s="98"/>
      <c r="APH59" s="98"/>
      <c r="API59" s="98"/>
      <c r="APJ59" s="98"/>
      <c r="APK59" s="98"/>
      <c r="APL59" s="98"/>
      <c r="APM59" s="98"/>
      <c r="APN59" s="98"/>
      <c r="APO59" s="98"/>
      <c r="APP59" s="98"/>
      <c r="APQ59" s="98"/>
      <c r="APR59" s="98"/>
      <c r="APS59" s="98"/>
      <c r="APT59" s="98"/>
      <c r="APU59" s="98"/>
      <c r="APV59" s="98"/>
      <c r="APW59" s="98"/>
      <c r="APX59" s="98"/>
      <c r="APY59" s="98"/>
      <c r="APZ59" s="98"/>
      <c r="AQA59" s="98"/>
      <c r="AQB59" s="98"/>
      <c r="AQC59" s="98"/>
      <c r="AQD59" s="98"/>
      <c r="AQE59" s="98"/>
      <c r="AQF59" s="98"/>
      <c r="AQG59" s="98"/>
      <c r="AQH59" s="98"/>
      <c r="AQI59" s="98"/>
      <c r="AQJ59" s="98"/>
      <c r="AQK59" s="98"/>
      <c r="AQL59" s="98"/>
      <c r="AQM59" s="98"/>
      <c r="AQN59" s="98"/>
      <c r="AQO59" s="98"/>
      <c r="AQP59" s="98"/>
      <c r="AQQ59" s="98"/>
      <c r="AQR59" s="98"/>
      <c r="AQS59" s="98"/>
      <c r="AQT59" s="98"/>
      <c r="AQU59" s="98"/>
      <c r="AQV59" s="98"/>
      <c r="AQW59" s="98"/>
      <c r="AQX59" s="98"/>
      <c r="AQY59" s="98"/>
      <c r="AQZ59" s="98"/>
      <c r="ARA59" s="98"/>
      <c r="ARB59" s="98"/>
      <c r="ARC59" s="98"/>
      <c r="ARD59" s="98"/>
      <c r="ARE59" s="98"/>
      <c r="ARF59" s="98"/>
      <c r="ARG59" s="98"/>
      <c r="ARH59" s="98"/>
      <c r="ARI59" s="98"/>
      <c r="ARJ59" s="98"/>
      <c r="ARK59" s="98"/>
      <c r="ARL59" s="98"/>
      <c r="ARM59" s="98"/>
      <c r="ARN59" s="98"/>
      <c r="ARO59" s="98"/>
      <c r="ARP59" s="98"/>
      <c r="ARQ59" s="98"/>
      <c r="ARR59" s="98"/>
      <c r="ARS59" s="98"/>
    </row>
    <row r="60" spans="1:1163">
      <c r="A60" s="118"/>
      <c r="B60" s="119"/>
      <c r="C60" s="175"/>
      <c r="D60" s="175"/>
      <c r="E60" s="175"/>
      <c r="F60" s="175"/>
      <c r="G60" s="175"/>
      <c r="H60" s="175"/>
      <c r="I60" s="175"/>
      <c r="J60" s="175"/>
      <c r="K60" s="175"/>
      <c r="L60" s="175"/>
      <c r="M60" s="175"/>
      <c r="N60" s="175"/>
      <c r="O60" s="175"/>
      <c r="P60" s="175"/>
      <c r="Q60" s="175"/>
      <c r="R60" s="175"/>
      <c r="S60" s="175"/>
      <c r="T60" s="175"/>
      <c r="U60" s="144"/>
      <c r="V60" s="144"/>
      <c r="W60" s="201"/>
      <c r="X60" s="201"/>
      <c r="Y60" s="201"/>
      <c r="Z60" s="201"/>
      <c r="AA60" s="201"/>
      <c r="AB60" s="201"/>
      <c r="AC60" s="175"/>
      <c r="AD60" s="175"/>
      <c r="AE60" s="175"/>
      <c r="AF60" s="175"/>
      <c r="AG60" s="201"/>
      <c r="AH60" s="201"/>
      <c r="AI60" s="201"/>
      <c r="AJ60" s="201"/>
      <c r="AK60" s="201"/>
      <c r="AL60" s="201"/>
      <c r="AM60" s="201"/>
      <c r="AN60" s="201"/>
      <c r="AO60" s="201"/>
      <c r="AP60" s="201"/>
      <c r="AQ60" s="201"/>
      <c r="AR60" s="201"/>
      <c r="AS60" s="201"/>
      <c r="AT60" s="201"/>
      <c r="AU60" s="209"/>
      <c r="AV60" s="209"/>
      <c r="AW60" s="173"/>
      <c r="AX60" s="173"/>
      <c r="AY60" s="172"/>
      <c r="AZ60" s="172"/>
      <c r="BA60" s="177"/>
      <c r="BB60" s="197"/>
      <c r="BC60" s="197"/>
      <c r="BD60" s="197"/>
      <c r="BE60" s="197"/>
      <c r="BF60" s="197"/>
      <c r="BG60" s="197"/>
      <c r="BH60" s="197"/>
      <c r="BI60" s="177"/>
      <c r="BJ60" s="98"/>
      <c r="BK60" s="11"/>
      <c r="BN60" s="148"/>
    </row>
    <row r="61" spans="1:1163">
      <c r="A61" s="124" t="s">
        <v>125</v>
      </c>
      <c r="B61" s="225"/>
      <c r="C61" s="194"/>
      <c r="D61" s="194"/>
      <c r="E61" s="194"/>
      <c r="F61" s="194"/>
      <c r="G61" s="194"/>
      <c r="H61" s="194"/>
      <c r="I61" s="194"/>
      <c r="J61" s="194"/>
      <c r="K61" s="194"/>
      <c r="L61" s="194"/>
      <c r="M61" s="194"/>
      <c r="N61" s="194"/>
      <c r="O61" s="194"/>
      <c r="P61" s="194"/>
      <c r="Q61" s="194"/>
      <c r="R61" s="194"/>
      <c r="S61" s="194"/>
      <c r="T61" s="194"/>
      <c r="U61" s="202"/>
      <c r="V61" s="202"/>
      <c r="W61" s="202"/>
      <c r="X61" s="202"/>
      <c r="Y61" s="202"/>
      <c r="Z61" s="202"/>
      <c r="AA61" s="202"/>
      <c r="AB61" s="202"/>
      <c r="AC61" s="183"/>
      <c r="AD61" s="183"/>
      <c r="AE61" s="194"/>
      <c r="AF61" s="194"/>
      <c r="AG61" s="202"/>
      <c r="AH61" s="202"/>
      <c r="AI61" s="202"/>
      <c r="AJ61" s="202"/>
      <c r="AK61" s="202"/>
      <c r="AL61" s="202"/>
      <c r="AM61" s="202"/>
      <c r="AN61" s="202"/>
      <c r="AO61" s="202"/>
      <c r="AP61" s="202"/>
      <c r="AQ61" s="202"/>
      <c r="AR61" s="202"/>
      <c r="AS61" s="202"/>
      <c r="AT61" s="202"/>
      <c r="AU61" s="202"/>
      <c r="AV61" s="202"/>
      <c r="AW61" s="166"/>
      <c r="AX61" s="166"/>
      <c r="AY61" s="165"/>
      <c r="AZ61" s="165"/>
      <c r="BA61" s="196"/>
      <c r="BB61" s="194"/>
      <c r="BC61" s="194"/>
      <c r="BD61" s="194"/>
      <c r="BE61" s="194"/>
      <c r="BF61" s="194"/>
      <c r="BG61" s="194"/>
      <c r="BH61" s="194"/>
      <c r="BI61" s="196"/>
      <c r="BJ61" s="98"/>
      <c r="BK61" s="11"/>
      <c r="BN61" s="148"/>
    </row>
    <row r="62" spans="1:1163">
      <c r="A62" s="126" t="s">
        <v>216</v>
      </c>
      <c r="B62" s="127" t="s">
        <v>67</v>
      </c>
      <c r="C62" s="183">
        <v>0</v>
      </c>
      <c r="D62" s="183">
        <v>0</v>
      </c>
      <c r="E62" s="183">
        <v>0</v>
      </c>
      <c r="F62" s="183">
        <v>0</v>
      </c>
      <c r="G62" s="183">
        <v>0</v>
      </c>
      <c r="H62" s="183">
        <v>0</v>
      </c>
      <c r="I62" s="183">
        <v>7836</v>
      </c>
      <c r="J62" s="183">
        <v>32070</v>
      </c>
      <c r="K62" s="183">
        <v>5033</v>
      </c>
      <c r="L62" s="183">
        <v>17486</v>
      </c>
      <c r="M62" s="183">
        <v>126766</v>
      </c>
      <c r="N62" s="183">
        <v>69696</v>
      </c>
      <c r="O62" s="183">
        <v>142939</v>
      </c>
      <c r="P62" s="183">
        <v>1039428</v>
      </c>
      <c r="Q62" s="183">
        <v>122114</v>
      </c>
      <c r="R62" s="183">
        <v>677247</v>
      </c>
      <c r="S62" s="183">
        <v>175345</v>
      </c>
      <c r="T62" s="183">
        <v>890820</v>
      </c>
      <c r="U62" s="194">
        <v>220304</v>
      </c>
      <c r="V62" s="194">
        <v>1286308</v>
      </c>
      <c r="W62" s="194">
        <v>172316</v>
      </c>
      <c r="X62" s="194">
        <v>1026723</v>
      </c>
      <c r="Y62" s="194">
        <v>78303</v>
      </c>
      <c r="Z62" s="194">
        <v>300542</v>
      </c>
      <c r="AA62" s="208">
        <v>133683</v>
      </c>
      <c r="AB62" s="208">
        <v>719267</v>
      </c>
      <c r="AC62" s="183">
        <v>148082</v>
      </c>
      <c r="AD62" s="183">
        <v>898292</v>
      </c>
      <c r="AE62" s="202">
        <v>256859</v>
      </c>
      <c r="AF62" s="202">
        <v>1435187</v>
      </c>
      <c r="AG62" s="202">
        <v>110173</v>
      </c>
      <c r="AH62" s="202">
        <v>659783</v>
      </c>
      <c r="AI62" s="202">
        <v>426127</v>
      </c>
      <c r="AJ62" s="202">
        <v>2480317</v>
      </c>
      <c r="AK62" s="202">
        <v>505750</v>
      </c>
      <c r="AL62" s="202">
        <v>3292862</v>
      </c>
      <c r="AM62" s="187">
        <v>453971</v>
      </c>
      <c r="AN62" s="187">
        <v>2858956</v>
      </c>
      <c r="AO62" s="202">
        <v>310670</v>
      </c>
      <c r="AP62" s="202">
        <v>2580202</v>
      </c>
      <c r="AQ62" s="202">
        <v>294884.75</v>
      </c>
      <c r="AR62" s="202">
        <v>2029283</v>
      </c>
      <c r="AS62" s="202">
        <v>184080.68</v>
      </c>
      <c r="AT62" s="202">
        <v>2023384</v>
      </c>
      <c r="AU62" s="208">
        <v>519620</v>
      </c>
      <c r="AV62" s="208">
        <v>4190023</v>
      </c>
      <c r="AW62" s="208">
        <v>589339</v>
      </c>
      <c r="AX62" s="208">
        <v>5726287</v>
      </c>
      <c r="AY62" s="194">
        <v>479467.53</v>
      </c>
      <c r="AZ62" s="194">
        <v>3712515.5</v>
      </c>
      <c r="BA62" s="196"/>
      <c r="BB62" s="194"/>
      <c r="BC62" s="194"/>
      <c r="BD62" s="194"/>
      <c r="BE62" s="194"/>
      <c r="BF62" s="148"/>
      <c r="BG62" s="202"/>
      <c r="BH62" s="148"/>
      <c r="BI62" s="202"/>
      <c r="BJ62" s="98"/>
      <c r="BK62" s="11"/>
      <c r="BN62" s="148"/>
    </row>
    <row r="63" spans="1:1163">
      <c r="A63" s="126" t="s">
        <v>217</v>
      </c>
      <c r="B63" s="127" t="s">
        <v>67</v>
      </c>
      <c r="C63" s="183">
        <v>0</v>
      </c>
      <c r="D63" s="183">
        <v>0</v>
      </c>
      <c r="E63" s="183">
        <v>0</v>
      </c>
      <c r="F63" s="183">
        <v>0</v>
      </c>
      <c r="G63" s="183">
        <v>0</v>
      </c>
      <c r="H63" s="183">
        <v>0</v>
      </c>
      <c r="I63" s="183">
        <v>5470</v>
      </c>
      <c r="J63" s="183">
        <v>30635</v>
      </c>
      <c r="K63" s="183">
        <v>60</v>
      </c>
      <c r="L63" s="183">
        <v>240</v>
      </c>
      <c r="M63" s="183">
        <v>46422</v>
      </c>
      <c r="N63" s="183">
        <v>52966</v>
      </c>
      <c r="O63" s="183">
        <v>11451</v>
      </c>
      <c r="P63" s="183">
        <v>14134</v>
      </c>
      <c r="Q63" s="183">
        <v>5370</v>
      </c>
      <c r="R63" s="183">
        <v>19875</v>
      </c>
      <c r="S63" s="183">
        <v>2025</v>
      </c>
      <c r="T63" s="183">
        <v>36255</v>
      </c>
      <c r="U63" s="194">
        <v>24026</v>
      </c>
      <c r="V63" s="194">
        <v>116680</v>
      </c>
      <c r="W63" s="194">
        <v>31123</v>
      </c>
      <c r="X63" s="194">
        <v>143716</v>
      </c>
      <c r="Y63" s="194">
        <v>32471</v>
      </c>
      <c r="Z63" s="194">
        <v>162435</v>
      </c>
      <c r="AA63" s="208">
        <v>47361</v>
      </c>
      <c r="AB63" s="208">
        <v>244227</v>
      </c>
      <c r="AC63" s="194">
        <v>121884</v>
      </c>
      <c r="AD63" s="194">
        <v>605423</v>
      </c>
      <c r="AE63" s="202">
        <v>88338</v>
      </c>
      <c r="AF63" s="202">
        <v>438168</v>
      </c>
      <c r="AG63" s="202">
        <v>126389</v>
      </c>
      <c r="AH63" s="202">
        <v>635400</v>
      </c>
      <c r="AI63" s="202">
        <v>148469</v>
      </c>
      <c r="AJ63" s="202">
        <v>803927</v>
      </c>
      <c r="AK63" s="202">
        <v>237095</v>
      </c>
      <c r="AL63" s="202">
        <v>1369608</v>
      </c>
      <c r="AM63" s="187">
        <v>176792</v>
      </c>
      <c r="AN63" s="187">
        <v>963578</v>
      </c>
      <c r="AO63" s="202">
        <v>182314</v>
      </c>
      <c r="AP63" s="202">
        <v>1116035</v>
      </c>
      <c r="AQ63" s="202">
        <v>269339.58</v>
      </c>
      <c r="AR63" s="202">
        <v>1763786</v>
      </c>
      <c r="AS63" s="202">
        <v>188796.26</v>
      </c>
      <c r="AT63" s="202">
        <v>1192908</v>
      </c>
      <c r="AU63" s="208">
        <v>177397</v>
      </c>
      <c r="AV63" s="208">
        <v>1177292</v>
      </c>
      <c r="AW63" s="208">
        <v>350885</v>
      </c>
      <c r="AX63" s="208">
        <v>1349499</v>
      </c>
      <c r="AY63" s="194">
        <v>118305</v>
      </c>
      <c r="AZ63" s="194">
        <v>823364</v>
      </c>
      <c r="BA63" s="202"/>
      <c r="BB63" s="194"/>
      <c r="BC63" s="202"/>
      <c r="BD63" s="194"/>
      <c r="BE63" s="202"/>
      <c r="BF63" s="148"/>
      <c r="BG63" s="202"/>
      <c r="BH63" s="148"/>
      <c r="BI63" s="202"/>
      <c r="BJ63" s="98"/>
      <c r="BK63" s="11"/>
      <c r="BN63" s="148"/>
    </row>
    <row r="64" spans="1:1163">
      <c r="A64" s="126" t="s">
        <v>218</v>
      </c>
      <c r="B64" s="127" t="s">
        <v>67</v>
      </c>
      <c r="C64" s="183">
        <v>0</v>
      </c>
      <c r="D64" s="183">
        <v>0</v>
      </c>
      <c r="E64" s="183">
        <v>0</v>
      </c>
      <c r="F64" s="183">
        <v>0</v>
      </c>
      <c r="G64" s="183">
        <v>0</v>
      </c>
      <c r="H64" s="183">
        <v>0</v>
      </c>
      <c r="I64" s="183">
        <v>109307</v>
      </c>
      <c r="J64" s="183">
        <v>218616</v>
      </c>
      <c r="K64" s="183">
        <v>72474</v>
      </c>
      <c r="L64" s="183">
        <v>144945</v>
      </c>
      <c r="M64" s="183">
        <v>47557</v>
      </c>
      <c r="N64" s="183">
        <v>94712</v>
      </c>
      <c r="O64" s="183">
        <v>63113</v>
      </c>
      <c r="P64" s="183">
        <v>125867</v>
      </c>
      <c r="Q64" s="183">
        <v>89478</v>
      </c>
      <c r="R64" s="183">
        <v>178958</v>
      </c>
      <c r="S64" s="183">
        <v>112599</v>
      </c>
      <c r="T64" s="183">
        <v>1092626</v>
      </c>
      <c r="U64" s="194">
        <v>153364</v>
      </c>
      <c r="V64" s="194">
        <v>1683493</v>
      </c>
      <c r="W64" s="194">
        <v>134927</v>
      </c>
      <c r="X64" s="194">
        <v>1260593</v>
      </c>
      <c r="Y64" s="194">
        <v>84595</v>
      </c>
      <c r="Z64" s="194">
        <v>701259</v>
      </c>
      <c r="AA64" s="208">
        <v>44485</v>
      </c>
      <c r="AB64" s="202">
        <v>469114</v>
      </c>
      <c r="AC64" s="183">
        <v>140597</v>
      </c>
      <c r="AD64" s="183">
        <v>428656</v>
      </c>
      <c r="AE64" s="202">
        <v>94634</v>
      </c>
      <c r="AF64" s="202">
        <v>927877</v>
      </c>
      <c r="AG64" s="202">
        <v>118062</v>
      </c>
      <c r="AH64" s="202">
        <v>1877173</v>
      </c>
      <c r="AI64" s="202">
        <v>50242</v>
      </c>
      <c r="AJ64" s="202">
        <v>633258</v>
      </c>
      <c r="AK64" s="202">
        <v>549600</v>
      </c>
      <c r="AL64" s="202">
        <v>3303495</v>
      </c>
      <c r="AM64" s="187">
        <v>210401</v>
      </c>
      <c r="AN64" s="187">
        <v>1324367</v>
      </c>
      <c r="AO64" s="202">
        <v>416078</v>
      </c>
      <c r="AP64" s="202">
        <v>2715818</v>
      </c>
      <c r="AQ64" s="202">
        <v>273067.73</v>
      </c>
      <c r="AR64" s="202">
        <v>1889434</v>
      </c>
      <c r="AS64" s="202">
        <v>257623.28</v>
      </c>
      <c r="AT64" s="202">
        <v>1864118</v>
      </c>
      <c r="AU64" s="208">
        <v>252791</v>
      </c>
      <c r="AV64" s="208">
        <v>1944452</v>
      </c>
      <c r="AW64" s="208">
        <v>352261</v>
      </c>
      <c r="AX64" s="208">
        <v>3543190</v>
      </c>
      <c r="AY64" s="194">
        <v>299143</v>
      </c>
      <c r="AZ64" s="194">
        <v>2814594</v>
      </c>
      <c r="BA64" s="196"/>
      <c r="BB64" s="194"/>
      <c r="BC64" s="194"/>
      <c r="BD64" s="194"/>
      <c r="BE64" s="194"/>
      <c r="BF64" s="148"/>
      <c r="BG64" s="202"/>
      <c r="BH64" s="148"/>
      <c r="BI64" s="202"/>
      <c r="BJ64" s="98"/>
      <c r="BK64" s="11"/>
      <c r="BN64" s="148"/>
    </row>
    <row r="65" spans="1:1163">
      <c r="A65" s="126" t="s">
        <v>219</v>
      </c>
      <c r="B65" s="127" t="s">
        <v>67</v>
      </c>
      <c r="C65" s="183">
        <v>0</v>
      </c>
      <c r="D65" s="183">
        <v>0</v>
      </c>
      <c r="E65" s="183">
        <v>0</v>
      </c>
      <c r="F65" s="183">
        <v>0</v>
      </c>
      <c r="G65" s="183">
        <v>0</v>
      </c>
      <c r="H65" s="183">
        <v>0</v>
      </c>
      <c r="I65" s="183">
        <v>21673</v>
      </c>
      <c r="J65" s="183">
        <v>54371</v>
      </c>
      <c r="K65" s="183">
        <v>125405</v>
      </c>
      <c r="L65" s="183">
        <v>343272</v>
      </c>
      <c r="M65" s="183">
        <v>236768</v>
      </c>
      <c r="N65" s="183">
        <v>1146541</v>
      </c>
      <c r="O65" s="183">
        <v>1057832</v>
      </c>
      <c r="P65" s="183">
        <v>1937243</v>
      </c>
      <c r="Q65" s="183">
        <v>1147184</v>
      </c>
      <c r="R65" s="183">
        <v>3300083</v>
      </c>
      <c r="S65" s="183">
        <v>933608</v>
      </c>
      <c r="T65" s="183">
        <v>2435871</v>
      </c>
      <c r="U65" s="194">
        <v>539628</v>
      </c>
      <c r="V65" s="194">
        <v>1586184</v>
      </c>
      <c r="W65" s="194">
        <v>759955</v>
      </c>
      <c r="X65" s="194">
        <v>1928983</v>
      </c>
      <c r="Y65" s="194">
        <v>563731</v>
      </c>
      <c r="Z65" s="194">
        <v>2489603</v>
      </c>
      <c r="AA65" s="202">
        <v>781523</v>
      </c>
      <c r="AB65" s="202">
        <v>4121913</v>
      </c>
      <c r="AC65" s="183">
        <v>1025359</v>
      </c>
      <c r="AD65" s="183">
        <v>5201858</v>
      </c>
      <c r="AE65" s="202">
        <v>2445633</v>
      </c>
      <c r="AF65" s="202">
        <v>10268681</v>
      </c>
      <c r="AG65" s="202">
        <v>1894690</v>
      </c>
      <c r="AH65" s="202">
        <v>8834803</v>
      </c>
      <c r="AI65" s="202">
        <v>1706340</v>
      </c>
      <c r="AJ65" s="202">
        <v>7672398</v>
      </c>
      <c r="AK65" s="202">
        <v>1429967</v>
      </c>
      <c r="AL65" s="202">
        <v>6333052</v>
      </c>
      <c r="AM65" s="187">
        <v>1577080</v>
      </c>
      <c r="AN65" s="187">
        <v>7723332</v>
      </c>
      <c r="AO65" s="202">
        <v>1689533</v>
      </c>
      <c r="AP65" s="202">
        <v>7590537</v>
      </c>
      <c r="AQ65" s="202">
        <v>1903951.02</v>
      </c>
      <c r="AR65" s="202">
        <v>8844934</v>
      </c>
      <c r="AS65" s="202">
        <v>1563907.82</v>
      </c>
      <c r="AT65" s="202">
        <v>7269988.0600000005</v>
      </c>
      <c r="AU65" s="208">
        <v>1175262</v>
      </c>
      <c r="AV65" s="208">
        <v>5756683</v>
      </c>
      <c r="AW65" s="208">
        <v>1682388</v>
      </c>
      <c r="AX65" s="208">
        <v>7831502</v>
      </c>
      <c r="AY65" s="194">
        <v>1648382</v>
      </c>
      <c r="AZ65" s="194">
        <v>8037588</v>
      </c>
      <c r="BA65" s="202"/>
      <c r="BB65" s="194"/>
      <c r="BC65" s="202"/>
      <c r="BD65" s="194"/>
      <c r="BE65" s="202"/>
      <c r="BF65" s="148"/>
      <c r="BG65" s="202"/>
      <c r="BH65" s="148"/>
      <c r="BI65" s="202"/>
      <c r="BJ65" s="98"/>
      <c r="BK65" s="11"/>
      <c r="BN65" s="148"/>
    </row>
    <row r="66" spans="1:1163">
      <c r="A66" s="126" t="s">
        <v>126</v>
      </c>
      <c r="B66" s="127" t="s">
        <v>67</v>
      </c>
      <c r="C66" s="183">
        <f>681+84</f>
        <v>765</v>
      </c>
      <c r="D66" s="183">
        <f>4020+3486</f>
        <v>7506</v>
      </c>
      <c r="E66" s="183">
        <v>0</v>
      </c>
      <c r="F66" s="183">
        <v>0</v>
      </c>
      <c r="G66" s="183">
        <v>0</v>
      </c>
      <c r="H66" s="183">
        <v>0</v>
      </c>
      <c r="I66" s="183">
        <v>50</v>
      </c>
      <c r="J66" s="183">
        <v>1250</v>
      </c>
      <c r="K66" s="183">
        <v>0</v>
      </c>
      <c r="L66" s="183">
        <v>0</v>
      </c>
      <c r="M66" s="183">
        <v>0</v>
      </c>
      <c r="N66" s="183">
        <v>0</v>
      </c>
      <c r="O66" s="183">
        <v>0</v>
      </c>
      <c r="P66" s="183">
        <v>0</v>
      </c>
      <c r="Q66" s="183">
        <v>20</v>
      </c>
      <c r="R66" s="183">
        <v>40</v>
      </c>
      <c r="S66" s="202">
        <v>0</v>
      </c>
      <c r="T66" s="202">
        <v>0</v>
      </c>
      <c r="U66" s="202">
        <v>0</v>
      </c>
      <c r="V66" s="202">
        <v>0</v>
      </c>
      <c r="W66" s="202">
        <v>0</v>
      </c>
      <c r="X66" s="202">
        <v>0</v>
      </c>
      <c r="Y66" s="202">
        <v>0</v>
      </c>
      <c r="Z66" s="202">
        <v>0</v>
      </c>
      <c r="AA66" s="208">
        <v>0</v>
      </c>
      <c r="AB66" s="208">
        <v>0</v>
      </c>
      <c r="AC66" s="202">
        <v>0</v>
      </c>
      <c r="AD66" s="202">
        <v>0</v>
      </c>
      <c r="AE66" s="202">
        <v>0</v>
      </c>
      <c r="AF66" s="202">
        <v>0</v>
      </c>
      <c r="AG66" s="202">
        <v>0</v>
      </c>
      <c r="AH66" s="202">
        <v>0</v>
      </c>
      <c r="AI66" s="202">
        <v>92</v>
      </c>
      <c r="AJ66" s="202">
        <v>21823</v>
      </c>
      <c r="AK66" s="202">
        <v>0</v>
      </c>
      <c r="AL66" s="225">
        <v>0</v>
      </c>
      <c r="AM66" s="202">
        <v>0</v>
      </c>
      <c r="AN66" s="202">
        <v>0</v>
      </c>
      <c r="AO66" s="202">
        <v>0</v>
      </c>
      <c r="AP66" s="202">
        <v>0</v>
      </c>
      <c r="AQ66" s="202">
        <v>0</v>
      </c>
      <c r="AR66" s="202">
        <v>0</v>
      </c>
      <c r="AS66" s="202">
        <v>1100</v>
      </c>
      <c r="AT66" s="202">
        <v>55000</v>
      </c>
      <c r="AU66" s="208">
        <v>0</v>
      </c>
      <c r="AV66" s="208">
        <v>0</v>
      </c>
      <c r="AW66" s="202">
        <v>868</v>
      </c>
      <c r="AX66" s="208">
        <v>47740</v>
      </c>
      <c r="AY66" s="194">
        <v>0</v>
      </c>
      <c r="AZ66" s="194">
        <v>0</v>
      </c>
      <c r="BA66" s="185"/>
      <c r="BB66" s="192"/>
      <c r="BC66" s="192"/>
      <c r="BD66" s="192"/>
      <c r="BE66" s="192"/>
      <c r="BF66" s="148"/>
      <c r="BG66" s="148"/>
      <c r="BH66" s="148"/>
      <c r="BI66" s="185"/>
      <c r="BJ66" s="98"/>
      <c r="BK66" s="11"/>
      <c r="BN66" s="148"/>
    </row>
    <row r="67" spans="1:1163">
      <c r="A67" s="129" t="s">
        <v>127</v>
      </c>
      <c r="B67" s="225"/>
      <c r="C67" s="194"/>
      <c r="D67" s="194">
        <f>SUM(D62:D66)</f>
        <v>7506</v>
      </c>
      <c r="E67" s="194"/>
      <c r="F67" s="194">
        <f>SUM(F62:F66)</f>
        <v>0</v>
      </c>
      <c r="G67" s="194"/>
      <c r="H67" s="194">
        <v>0</v>
      </c>
      <c r="I67" s="194"/>
      <c r="J67" s="194">
        <f>SUM(J62:J66)</f>
        <v>336942</v>
      </c>
      <c r="K67" s="194"/>
      <c r="L67" s="194">
        <f>SUM(L62:L66)</f>
        <v>505943</v>
      </c>
      <c r="M67" s="194"/>
      <c r="N67" s="194">
        <f>SUM(N62:N66)</f>
        <v>1363915</v>
      </c>
      <c r="O67" s="194"/>
      <c r="P67" s="194">
        <f>SUM(P62:P66)</f>
        <v>3116672</v>
      </c>
      <c r="Q67" s="194"/>
      <c r="R67" s="194">
        <f>SUM(R62:R66)</f>
        <v>4176203</v>
      </c>
      <c r="S67" s="194"/>
      <c r="T67" s="194">
        <f>SUM(T62:T66)</f>
        <v>4455572</v>
      </c>
      <c r="U67" s="202"/>
      <c r="V67" s="202">
        <f>SUM(V62:V66)</f>
        <v>4672665</v>
      </c>
      <c r="W67" s="202"/>
      <c r="X67" s="194">
        <f>SUM(X62:X66)</f>
        <v>4360015</v>
      </c>
      <c r="Y67" s="202"/>
      <c r="Z67" s="194">
        <f>SUM(Z62:Z66)</f>
        <v>3653839</v>
      </c>
      <c r="AA67" s="202"/>
      <c r="AB67" s="208">
        <f>SUM(AB62:AB66)</f>
        <v>5554521</v>
      </c>
      <c r="AC67" s="183"/>
      <c r="AD67" s="183">
        <f>SUM(AD62:AD66)</f>
        <v>7134229</v>
      </c>
      <c r="AE67" s="202"/>
      <c r="AF67" s="208">
        <f>SUM(AF62:AF66)</f>
        <v>13069913</v>
      </c>
      <c r="AG67" s="202"/>
      <c r="AH67" s="202">
        <f>SUM(AH62:AH66)</f>
        <v>12007159</v>
      </c>
      <c r="AI67" s="202"/>
      <c r="AJ67" s="202">
        <f>SUM(AJ62:AJ66)</f>
        <v>11611723</v>
      </c>
      <c r="AK67" s="202"/>
      <c r="AL67" s="202">
        <v>14299017</v>
      </c>
      <c r="AM67" s="202"/>
      <c r="AN67" s="202">
        <f>SUM(AN62:AN66)</f>
        <v>12870233</v>
      </c>
      <c r="AO67" s="202"/>
      <c r="AP67" s="202">
        <f>SUM(AP62:AP66)</f>
        <v>14002592</v>
      </c>
      <c r="AQ67" s="202"/>
      <c r="AR67" s="202">
        <v>14527437</v>
      </c>
      <c r="AS67" s="202"/>
      <c r="AT67" s="202">
        <f>SUM(AT62:AT66)</f>
        <v>12405398.060000001</v>
      </c>
      <c r="AU67" s="202"/>
      <c r="AV67" s="208">
        <v>13068450</v>
      </c>
      <c r="AW67" s="202"/>
      <c r="AX67" s="208">
        <f>SUM(AX62:AX66)</f>
        <v>18498218</v>
      </c>
      <c r="AY67" s="194"/>
      <c r="AZ67" s="194">
        <v>15388061</v>
      </c>
      <c r="BA67" s="191"/>
      <c r="BB67" s="194"/>
      <c r="BC67" s="202"/>
      <c r="BD67" s="194"/>
      <c r="BE67" s="202"/>
      <c r="BF67" s="148"/>
      <c r="BG67" s="148"/>
      <c r="BH67" s="148"/>
      <c r="BI67" s="202"/>
      <c r="BJ67" s="98"/>
      <c r="BK67" s="11"/>
      <c r="BN67" s="148"/>
    </row>
    <row r="68" spans="1:1163">
      <c r="A68" s="131"/>
      <c r="B68" s="225"/>
      <c r="C68" s="194"/>
      <c r="D68" s="194"/>
      <c r="E68" s="194"/>
      <c r="F68" s="194"/>
      <c r="G68" s="194"/>
      <c r="H68" s="194"/>
      <c r="I68" s="194"/>
      <c r="J68" s="194"/>
      <c r="K68" s="194"/>
      <c r="L68" s="194"/>
      <c r="M68" s="194"/>
      <c r="N68" s="194"/>
      <c r="O68" s="194"/>
      <c r="P68" s="194"/>
      <c r="Q68" s="194"/>
      <c r="R68" s="194"/>
      <c r="S68" s="194"/>
      <c r="T68" s="194"/>
      <c r="U68" s="202"/>
      <c r="V68" s="202"/>
      <c r="W68" s="202"/>
      <c r="X68" s="194"/>
      <c r="Y68" s="202"/>
      <c r="Z68" s="194"/>
      <c r="AA68" s="202"/>
      <c r="AB68" s="208"/>
      <c r="AC68" s="183"/>
      <c r="AD68" s="183"/>
      <c r="AE68" s="202"/>
      <c r="AF68" s="208"/>
      <c r="AG68" s="202"/>
      <c r="AH68" s="208"/>
      <c r="AI68" s="202"/>
      <c r="AJ68" s="208"/>
      <c r="AK68" s="202"/>
      <c r="AL68" s="208"/>
      <c r="AM68" s="202"/>
      <c r="AN68" s="202"/>
      <c r="AO68" s="202"/>
      <c r="AP68" s="202"/>
      <c r="AQ68" s="202"/>
      <c r="AR68" s="202"/>
      <c r="AS68" s="202"/>
      <c r="AT68" s="202"/>
      <c r="AU68" s="202"/>
      <c r="AV68" s="208"/>
      <c r="AW68" s="166"/>
      <c r="AX68" s="166"/>
      <c r="AY68" s="194"/>
      <c r="AZ68" s="194"/>
      <c r="BA68" s="196"/>
      <c r="BB68" s="194"/>
      <c r="BC68" s="194"/>
      <c r="BD68" s="194"/>
      <c r="BE68" s="194"/>
      <c r="BF68" s="194"/>
      <c r="BG68" s="194"/>
      <c r="BH68" s="194"/>
      <c r="BI68" s="196"/>
      <c r="BJ68" s="98"/>
      <c r="BK68" s="11"/>
      <c r="BN68" s="148"/>
    </row>
    <row r="69" spans="1:1163" s="174" customFormat="1">
      <c r="A69" s="118" t="s">
        <v>128</v>
      </c>
      <c r="B69" s="119" t="s">
        <v>129</v>
      </c>
      <c r="C69" s="175"/>
      <c r="D69" s="175">
        <v>48</v>
      </c>
      <c r="E69" s="201">
        <v>0</v>
      </c>
      <c r="F69" s="201">
        <v>0</v>
      </c>
      <c r="G69" s="201">
        <v>0</v>
      </c>
      <c r="H69" s="201">
        <v>0</v>
      </c>
      <c r="I69" s="201">
        <v>0</v>
      </c>
      <c r="J69" s="201">
        <v>0</v>
      </c>
      <c r="K69" s="175">
        <v>6539544</v>
      </c>
      <c r="L69" s="175">
        <v>68978807</v>
      </c>
      <c r="M69" s="175">
        <v>5692193</v>
      </c>
      <c r="N69" s="175">
        <v>45155034</v>
      </c>
      <c r="O69" s="175">
        <v>7070062</v>
      </c>
      <c r="P69" s="175">
        <v>64367369</v>
      </c>
      <c r="Q69" s="175">
        <v>29232453</v>
      </c>
      <c r="R69" s="175">
        <v>256963424</v>
      </c>
      <c r="S69" s="175">
        <v>30331701</v>
      </c>
      <c r="T69" s="175">
        <v>246517116</v>
      </c>
      <c r="U69" s="197">
        <v>35220858</v>
      </c>
      <c r="V69" s="197">
        <v>302495527</v>
      </c>
      <c r="W69" s="197">
        <v>37505444</v>
      </c>
      <c r="X69" s="197">
        <v>427446772</v>
      </c>
      <c r="Y69" s="197">
        <v>31182964</v>
      </c>
      <c r="Z69" s="197">
        <v>429928200</v>
      </c>
      <c r="AA69" s="209">
        <v>33358098</v>
      </c>
      <c r="AB69" s="209">
        <v>456926660</v>
      </c>
      <c r="AC69" s="175">
        <v>41453238</v>
      </c>
      <c r="AD69" s="175">
        <v>565061845</v>
      </c>
      <c r="AE69" s="201">
        <v>22649491</v>
      </c>
      <c r="AF69" s="201">
        <v>486770824</v>
      </c>
      <c r="AG69" s="201">
        <v>27716403</v>
      </c>
      <c r="AH69" s="201">
        <v>470342571</v>
      </c>
      <c r="AI69" s="201">
        <v>23451750</v>
      </c>
      <c r="AJ69" s="201">
        <v>480150004</v>
      </c>
      <c r="AK69" s="201">
        <v>47425602</v>
      </c>
      <c r="AL69" s="201">
        <v>442006326</v>
      </c>
      <c r="AM69" s="176">
        <v>40421889</v>
      </c>
      <c r="AN69" s="176">
        <v>421193947</v>
      </c>
      <c r="AO69" s="201">
        <v>52274315</v>
      </c>
      <c r="AP69" s="201">
        <v>642392647</v>
      </c>
      <c r="AQ69" s="201">
        <v>51641931</v>
      </c>
      <c r="AR69" s="201">
        <v>640057980</v>
      </c>
      <c r="AS69" s="201">
        <v>42300118</v>
      </c>
      <c r="AT69" s="201">
        <v>713684538</v>
      </c>
      <c r="AU69" s="209">
        <v>21679930</v>
      </c>
      <c r="AV69" s="209">
        <v>499534159</v>
      </c>
      <c r="AW69" s="204">
        <v>34371491</v>
      </c>
      <c r="AX69" s="204">
        <v>650344132</v>
      </c>
      <c r="AY69" s="175">
        <v>35478981</v>
      </c>
      <c r="AZ69" s="175">
        <v>661857630</v>
      </c>
      <c r="BA69" s="178"/>
      <c r="BB69" s="175"/>
      <c r="BC69" s="178"/>
      <c r="BD69" s="175"/>
      <c r="BE69" s="178"/>
      <c r="BF69" s="175"/>
      <c r="BG69" s="178"/>
      <c r="BH69" s="175"/>
      <c r="BI69" s="178"/>
      <c r="BJ69" s="98"/>
      <c r="BK69" s="11"/>
      <c r="BL69" s="98"/>
      <c r="BM69" s="98"/>
      <c r="BN69" s="14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c r="IW69" s="98"/>
      <c r="IX69" s="98"/>
      <c r="IY69" s="98"/>
      <c r="IZ69" s="98"/>
      <c r="JA69" s="98"/>
      <c r="JB69" s="98"/>
      <c r="JC69" s="98"/>
      <c r="JD69" s="98"/>
      <c r="JE69" s="98"/>
      <c r="JF69" s="98"/>
      <c r="JG69" s="98"/>
      <c r="JH69" s="98"/>
      <c r="JI69" s="98"/>
      <c r="JJ69" s="98"/>
      <c r="JK69" s="98"/>
      <c r="JL69" s="98"/>
      <c r="JM69" s="98"/>
      <c r="JN69" s="98"/>
      <c r="JO69" s="98"/>
      <c r="JP69" s="98"/>
      <c r="JQ69" s="98"/>
      <c r="JR69" s="98"/>
      <c r="JS69" s="98"/>
      <c r="JT69" s="98"/>
      <c r="JU69" s="98"/>
      <c r="JV69" s="98"/>
      <c r="JW69" s="98"/>
      <c r="JX69" s="98"/>
      <c r="JY69" s="98"/>
      <c r="JZ69" s="98"/>
      <c r="KA69" s="98"/>
      <c r="KB69" s="98"/>
      <c r="KC69" s="98"/>
      <c r="KD69" s="98"/>
      <c r="KE69" s="98"/>
      <c r="KF69" s="98"/>
      <c r="KG69" s="98"/>
      <c r="KH69" s="98"/>
      <c r="KI69" s="98"/>
      <c r="KJ69" s="98"/>
      <c r="KK69" s="98"/>
      <c r="KL69" s="98"/>
      <c r="KM69" s="98"/>
      <c r="KN69" s="98"/>
      <c r="KO69" s="98"/>
      <c r="KP69" s="98"/>
      <c r="KQ69" s="98"/>
      <c r="KR69" s="98"/>
      <c r="KS69" s="98"/>
      <c r="KT69" s="98"/>
      <c r="KU69" s="98"/>
      <c r="KV69" s="98"/>
      <c r="KW69" s="98"/>
      <c r="KX69" s="98"/>
      <c r="KY69" s="98"/>
      <c r="KZ69" s="98"/>
      <c r="LA69" s="98"/>
      <c r="LB69" s="98"/>
      <c r="LC69" s="98"/>
      <c r="LD69" s="98"/>
      <c r="LE69" s="98"/>
      <c r="LF69" s="98"/>
      <c r="LG69" s="98"/>
      <c r="LH69" s="98"/>
      <c r="LI69" s="98"/>
      <c r="LJ69" s="98"/>
      <c r="LK69" s="98"/>
      <c r="LL69" s="98"/>
      <c r="LM69" s="98"/>
      <c r="LN69" s="98"/>
      <c r="LO69" s="98"/>
      <c r="LP69" s="98"/>
      <c r="LQ69" s="98"/>
      <c r="LR69" s="98"/>
      <c r="LS69" s="98"/>
      <c r="LT69" s="98"/>
      <c r="LU69" s="98"/>
      <c r="LV69" s="98"/>
      <c r="LW69" s="98"/>
      <c r="LX69" s="98"/>
      <c r="LY69" s="98"/>
      <c r="LZ69" s="98"/>
      <c r="MA69" s="98"/>
      <c r="MB69" s="98"/>
      <c r="MC69" s="98"/>
      <c r="MD69" s="98"/>
      <c r="ME69" s="98"/>
      <c r="MF69" s="98"/>
      <c r="MG69" s="98"/>
      <c r="MH69" s="98"/>
      <c r="MI69" s="98"/>
      <c r="MJ69" s="98"/>
      <c r="MK69" s="98"/>
      <c r="ML69" s="98"/>
      <c r="MM69" s="98"/>
      <c r="MN69" s="98"/>
      <c r="MO69" s="98"/>
      <c r="MP69" s="98"/>
      <c r="MQ69" s="98"/>
      <c r="MR69" s="98"/>
      <c r="MS69" s="98"/>
      <c r="MT69" s="98"/>
      <c r="MU69" s="98"/>
      <c r="MV69" s="98"/>
      <c r="MW69" s="98"/>
      <c r="MX69" s="98"/>
      <c r="MY69" s="98"/>
      <c r="MZ69" s="98"/>
      <c r="NA69" s="98"/>
      <c r="NB69" s="98"/>
      <c r="NC69" s="98"/>
      <c r="ND69" s="98"/>
      <c r="NE69" s="98"/>
      <c r="NF69" s="98"/>
      <c r="NG69" s="98"/>
      <c r="NH69" s="98"/>
      <c r="NI69" s="98"/>
      <c r="NJ69" s="98"/>
      <c r="NK69" s="98"/>
      <c r="NL69" s="98"/>
      <c r="NM69" s="98"/>
      <c r="NN69" s="98"/>
      <c r="NO69" s="98"/>
      <c r="NP69" s="98"/>
      <c r="NQ69" s="98"/>
      <c r="NR69" s="98"/>
      <c r="NS69" s="98"/>
      <c r="NT69" s="98"/>
      <c r="NU69" s="98"/>
      <c r="NV69" s="98"/>
      <c r="NW69" s="98"/>
      <c r="NX69" s="98"/>
      <c r="NY69" s="98"/>
      <c r="NZ69" s="98"/>
      <c r="OA69" s="98"/>
      <c r="OB69" s="98"/>
      <c r="OC69" s="98"/>
      <c r="OD69" s="98"/>
      <c r="OE69" s="98"/>
      <c r="OF69" s="98"/>
      <c r="OG69" s="98"/>
      <c r="OH69" s="98"/>
      <c r="OI69" s="98"/>
      <c r="OJ69" s="98"/>
      <c r="OK69" s="98"/>
      <c r="OL69" s="98"/>
      <c r="OM69" s="98"/>
      <c r="ON69" s="98"/>
      <c r="OO69" s="98"/>
      <c r="OP69" s="98"/>
      <c r="OQ69" s="98"/>
      <c r="OR69" s="98"/>
      <c r="OS69" s="98"/>
      <c r="OT69" s="98"/>
      <c r="OU69" s="98"/>
      <c r="OV69" s="98"/>
      <c r="OW69" s="98"/>
      <c r="OX69" s="98"/>
      <c r="OY69" s="98"/>
      <c r="OZ69" s="98"/>
      <c r="PA69" s="98"/>
      <c r="PB69" s="98"/>
      <c r="PC69" s="98"/>
      <c r="PD69" s="98"/>
      <c r="PE69" s="98"/>
      <c r="PF69" s="98"/>
      <c r="PG69" s="98"/>
      <c r="PH69" s="98"/>
      <c r="PI69" s="98"/>
      <c r="PJ69" s="98"/>
      <c r="PK69" s="98"/>
      <c r="PL69" s="98"/>
      <c r="PM69" s="98"/>
      <c r="PN69" s="98"/>
      <c r="PO69" s="98"/>
      <c r="PP69" s="98"/>
      <c r="PQ69" s="98"/>
      <c r="PR69" s="98"/>
      <c r="PS69" s="98"/>
      <c r="PT69" s="98"/>
      <c r="PU69" s="98"/>
      <c r="PV69" s="98"/>
      <c r="PW69" s="98"/>
      <c r="PX69" s="98"/>
      <c r="PY69" s="98"/>
      <c r="PZ69" s="98"/>
      <c r="QA69" s="98"/>
      <c r="QB69" s="98"/>
      <c r="QC69" s="98"/>
      <c r="QD69" s="98"/>
      <c r="QE69" s="98"/>
      <c r="QF69" s="98"/>
      <c r="QG69" s="98"/>
      <c r="QH69" s="98"/>
      <c r="QI69" s="98"/>
      <c r="QJ69" s="98"/>
      <c r="QK69" s="98"/>
      <c r="QL69" s="98"/>
      <c r="QM69" s="98"/>
      <c r="QN69" s="98"/>
      <c r="QO69" s="98"/>
      <c r="QP69" s="98"/>
      <c r="QQ69" s="98"/>
      <c r="QR69" s="98"/>
      <c r="QS69" s="98"/>
      <c r="QT69" s="98"/>
      <c r="QU69" s="98"/>
      <c r="QV69" s="98"/>
      <c r="QW69" s="98"/>
      <c r="QX69" s="98"/>
      <c r="QY69" s="98"/>
      <c r="QZ69" s="98"/>
      <c r="RA69" s="98"/>
      <c r="RB69" s="98"/>
      <c r="RC69" s="98"/>
      <c r="RD69" s="98"/>
      <c r="RE69" s="98"/>
      <c r="RF69" s="98"/>
      <c r="RG69" s="98"/>
      <c r="RH69" s="98"/>
      <c r="RI69" s="98"/>
      <c r="RJ69" s="98"/>
      <c r="RK69" s="98"/>
      <c r="RL69" s="98"/>
      <c r="RM69" s="98"/>
      <c r="RN69" s="98"/>
      <c r="RO69" s="98"/>
      <c r="RP69" s="98"/>
      <c r="RQ69" s="98"/>
      <c r="RR69" s="98"/>
      <c r="RS69" s="98"/>
      <c r="RT69" s="98"/>
      <c r="RU69" s="98"/>
      <c r="RV69" s="98"/>
      <c r="RW69" s="98"/>
      <c r="RX69" s="98"/>
      <c r="RY69" s="98"/>
      <c r="RZ69" s="98"/>
      <c r="SA69" s="98"/>
      <c r="SB69" s="98"/>
      <c r="SC69" s="98"/>
      <c r="SD69" s="98"/>
      <c r="SE69" s="98"/>
      <c r="SF69" s="98"/>
      <c r="SG69" s="98"/>
      <c r="SH69" s="98"/>
      <c r="SI69" s="98"/>
      <c r="SJ69" s="98"/>
      <c r="SK69" s="98"/>
      <c r="SL69" s="98"/>
      <c r="SM69" s="98"/>
      <c r="SN69" s="98"/>
      <c r="SO69" s="98"/>
      <c r="SP69" s="98"/>
      <c r="SQ69" s="98"/>
      <c r="SR69" s="98"/>
      <c r="SS69" s="98"/>
      <c r="ST69" s="98"/>
      <c r="SU69" s="98"/>
      <c r="SV69" s="98"/>
      <c r="SW69" s="98"/>
      <c r="SX69" s="98"/>
      <c r="SY69" s="98"/>
      <c r="SZ69" s="98"/>
      <c r="TA69" s="98"/>
      <c r="TB69" s="98"/>
      <c r="TC69" s="98"/>
      <c r="TD69" s="98"/>
      <c r="TE69" s="98"/>
      <c r="TF69" s="98"/>
      <c r="TG69" s="98"/>
      <c r="TH69" s="98"/>
      <c r="TI69" s="98"/>
      <c r="TJ69" s="98"/>
      <c r="TK69" s="98"/>
      <c r="TL69" s="98"/>
      <c r="TM69" s="98"/>
      <c r="TN69" s="98"/>
      <c r="TO69" s="98"/>
      <c r="TP69" s="98"/>
      <c r="TQ69" s="98"/>
      <c r="TR69" s="98"/>
      <c r="TS69" s="98"/>
      <c r="TT69" s="98"/>
      <c r="TU69" s="98"/>
      <c r="TV69" s="98"/>
      <c r="TW69" s="98"/>
      <c r="TX69" s="98"/>
      <c r="TY69" s="98"/>
      <c r="TZ69" s="98"/>
      <c r="UA69" s="98"/>
      <c r="UB69" s="98"/>
      <c r="UC69" s="98"/>
      <c r="UD69" s="98"/>
      <c r="UE69" s="98"/>
      <c r="UF69" s="98"/>
      <c r="UG69" s="98"/>
      <c r="UH69" s="98"/>
      <c r="UI69" s="98"/>
      <c r="UJ69" s="98"/>
      <c r="UK69" s="98"/>
      <c r="UL69" s="98"/>
      <c r="UM69" s="98"/>
      <c r="UN69" s="98"/>
      <c r="UO69" s="98"/>
      <c r="UP69" s="98"/>
      <c r="UQ69" s="98"/>
      <c r="UR69" s="98"/>
      <c r="US69" s="98"/>
      <c r="UT69" s="98"/>
      <c r="UU69" s="98"/>
      <c r="UV69" s="98"/>
      <c r="UW69" s="98"/>
      <c r="UX69" s="98"/>
      <c r="UY69" s="98"/>
      <c r="UZ69" s="98"/>
      <c r="VA69" s="98"/>
      <c r="VB69" s="98"/>
      <c r="VC69" s="98"/>
      <c r="VD69" s="98"/>
      <c r="VE69" s="98"/>
      <c r="VF69" s="98"/>
      <c r="VG69" s="98"/>
      <c r="VH69" s="98"/>
      <c r="VI69" s="98"/>
      <c r="VJ69" s="98"/>
      <c r="VK69" s="98"/>
      <c r="VL69" s="98"/>
      <c r="VM69" s="98"/>
      <c r="VN69" s="98"/>
      <c r="VO69" s="98"/>
      <c r="VP69" s="98"/>
      <c r="VQ69" s="98"/>
      <c r="VR69" s="98"/>
      <c r="VS69" s="98"/>
      <c r="VT69" s="98"/>
      <c r="VU69" s="98"/>
      <c r="VV69" s="98"/>
      <c r="VW69" s="98"/>
      <c r="VX69" s="98"/>
      <c r="VY69" s="98"/>
      <c r="VZ69" s="98"/>
      <c r="WA69" s="98"/>
      <c r="WB69" s="98"/>
      <c r="WC69" s="98"/>
      <c r="WD69" s="98"/>
      <c r="WE69" s="98"/>
      <c r="WF69" s="98"/>
      <c r="WG69" s="98"/>
      <c r="WH69" s="98"/>
      <c r="WI69" s="98"/>
      <c r="WJ69" s="98"/>
      <c r="WK69" s="98"/>
      <c r="WL69" s="98"/>
      <c r="WM69" s="98"/>
      <c r="WN69" s="98"/>
      <c r="WO69" s="98"/>
      <c r="WP69" s="98"/>
      <c r="WQ69" s="98"/>
      <c r="WR69" s="98"/>
      <c r="WS69" s="98"/>
      <c r="WT69" s="98"/>
      <c r="WU69" s="98"/>
      <c r="WV69" s="98"/>
      <c r="WW69" s="98"/>
      <c r="WX69" s="98"/>
      <c r="WY69" s="98"/>
      <c r="WZ69" s="98"/>
      <c r="XA69" s="98"/>
      <c r="XB69" s="98"/>
      <c r="XC69" s="98"/>
      <c r="XD69" s="98"/>
      <c r="XE69" s="98"/>
      <c r="XF69" s="98"/>
      <c r="XG69" s="98"/>
      <c r="XH69" s="98"/>
      <c r="XI69" s="98"/>
      <c r="XJ69" s="98"/>
      <c r="XK69" s="98"/>
      <c r="XL69" s="98"/>
      <c r="XM69" s="98"/>
      <c r="XN69" s="98"/>
      <c r="XO69" s="98"/>
      <c r="XP69" s="98"/>
      <c r="XQ69" s="98"/>
      <c r="XR69" s="98"/>
      <c r="XS69" s="98"/>
      <c r="XT69" s="98"/>
      <c r="XU69" s="98"/>
      <c r="XV69" s="98"/>
      <c r="XW69" s="98"/>
      <c r="XX69" s="98"/>
      <c r="XY69" s="98"/>
      <c r="XZ69" s="98"/>
      <c r="YA69" s="98"/>
      <c r="YB69" s="98"/>
      <c r="YC69" s="98"/>
      <c r="YD69" s="98"/>
      <c r="YE69" s="98"/>
      <c r="YF69" s="98"/>
      <c r="YG69" s="98"/>
      <c r="YH69" s="98"/>
      <c r="YI69" s="98"/>
      <c r="YJ69" s="98"/>
      <c r="YK69" s="98"/>
      <c r="YL69" s="98"/>
      <c r="YM69" s="98"/>
      <c r="YN69" s="98"/>
      <c r="YO69" s="98"/>
      <c r="YP69" s="98"/>
      <c r="YQ69" s="98"/>
      <c r="YR69" s="98"/>
      <c r="YS69" s="98"/>
      <c r="YT69" s="98"/>
      <c r="YU69" s="98"/>
      <c r="YV69" s="98"/>
      <c r="YW69" s="98"/>
      <c r="YX69" s="98"/>
      <c r="YY69" s="98"/>
      <c r="YZ69" s="98"/>
      <c r="ZA69" s="98"/>
      <c r="ZB69" s="98"/>
      <c r="ZC69" s="98"/>
      <c r="ZD69" s="98"/>
      <c r="ZE69" s="98"/>
      <c r="ZF69" s="98"/>
      <c r="ZG69" s="98"/>
      <c r="ZH69" s="98"/>
      <c r="ZI69" s="98"/>
      <c r="ZJ69" s="98"/>
      <c r="ZK69" s="98"/>
      <c r="ZL69" s="98"/>
      <c r="ZM69" s="98"/>
      <c r="ZN69" s="98"/>
      <c r="ZO69" s="98"/>
      <c r="ZP69" s="98"/>
      <c r="ZQ69" s="98"/>
      <c r="ZR69" s="98"/>
      <c r="ZS69" s="98"/>
      <c r="ZT69" s="98"/>
      <c r="ZU69" s="98"/>
      <c r="ZV69" s="98"/>
      <c r="ZW69" s="98"/>
      <c r="ZX69" s="98"/>
      <c r="ZY69" s="98"/>
      <c r="ZZ69" s="98"/>
      <c r="AAA69" s="98"/>
      <c r="AAB69" s="98"/>
      <c r="AAC69" s="98"/>
      <c r="AAD69" s="98"/>
      <c r="AAE69" s="98"/>
      <c r="AAF69" s="98"/>
      <c r="AAG69" s="98"/>
      <c r="AAH69" s="98"/>
      <c r="AAI69" s="98"/>
      <c r="AAJ69" s="98"/>
      <c r="AAK69" s="98"/>
      <c r="AAL69" s="98"/>
      <c r="AAM69" s="98"/>
      <c r="AAN69" s="98"/>
      <c r="AAO69" s="98"/>
      <c r="AAP69" s="98"/>
      <c r="AAQ69" s="98"/>
      <c r="AAR69" s="98"/>
      <c r="AAS69" s="98"/>
      <c r="AAT69" s="98"/>
      <c r="AAU69" s="98"/>
      <c r="AAV69" s="98"/>
      <c r="AAW69" s="98"/>
      <c r="AAX69" s="98"/>
      <c r="AAY69" s="98"/>
      <c r="AAZ69" s="98"/>
      <c r="ABA69" s="98"/>
      <c r="ABB69" s="98"/>
      <c r="ABC69" s="98"/>
      <c r="ABD69" s="98"/>
      <c r="ABE69" s="98"/>
      <c r="ABF69" s="98"/>
      <c r="ABG69" s="98"/>
      <c r="ABH69" s="98"/>
      <c r="ABI69" s="98"/>
      <c r="ABJ69" s="98"/>
      <c r="ABK69" s="98"/>
      <c r="ABL69" s="98"/>
      <c r="ABM69" s="98"/>
      <c r="ABN69" s="98"/>
      <c r="ABO69" s="98"/>
      <c r="ABP69" s="98"/>
      <c r="ABQ69" s="98"/>
      <c r="ABR69" s="98"/>
      <c r="ABS69" s="98"/>
      <c r="ABT69" s="98"/>
      <c r="ABU69" s="98"/>
      <c r="ABV69" s="98"/>
      <c r="ABW69" s="98"/>
      <c r="ABX69" s="98"/>
      <c r="ABY69" s="98"/>
      <c r="ABZ69" s="98"/>
      <c r="ACA69" s="98"/>
      <c r="ACB69" s="98"/>
      <c r="ACC69" s="98"/>
      <c r="ACD69" s="98"/>
      <c r="ACE69" s="98"/>
      <c r="ACF69" s="98"/>
      <c r="ACG69" s="98"/>
      <c r="ACH69" s="98"/>
      <c r="ACI69" s="98"/>
      <c r="ACJ69" s="98"/>
      <c r="ACK69" s="98"/>
      <c r="ACL69" s="98"/>
      <c r="ACM69" s="98"/>
      <c r="ACN69" s="98"/>
      <c r="ACO69" s="98"/>
      <c r="ACP69" s="98"/>
      <c r="ACQ69" s="98"/>
      <c r="ACR69" s="98"/>
      <c r="ACS69" s="98"/>
      <c r="ACT69" s="98"/>
      <c r="ACU69" s="98"/>
      <c r="ACV69" s="98"/>
      <c r="ACW69" s="98"/>
      <c r="ACX69" s="98"/>
      <c r="ACY69" s="98"/>
      <c r="ACZ69" s="98"/>
      <c r="ADA69" s="98"/>
      <c r="ADB69" s="98"/>
      <c r="ADC69" s="98"/>
      <c r="ADD69" s="98"/>
      <c r="ADE69" s="98"/>
      <c r="ADF69" s="98"/>
      <c r="ADG69" s="98"/>
      <c r="ADH69" s="98"/>
      <c r="ADI69" s="98"/>
      <c r="ADJ69" s="98"/>
      <c r="ADK69" s="98"/>
      <c r="ADL69" s="98"/>
      <c r="ADM69" s="98"/>
      <c r="ADN69" s="98"/>
      <c r="ADO69" s="98"/>
      <c r="ADP69" s="98"/>
      <c r="ADQ69" s="98"/>
      <c r="ADR69" s="98"/>
      <c r="ADS69" s="98"/>
      <c r="ADT69" s="98"/>
      <c r="ADU69" s="98"/>
      <c r="ADV69" s="98"/>
      <c r="ADW69" s="98"/>
      <c r="ADX69" s="98"/>
      <c r="ADY69" s="98"/>
      <c r="ADZ69" s="98"/>
      <c r="AEA69" s="98"/>
      <c r="AEB69" s="98"/>
      <c r="AEC69" s="98"/>
      <c r="AED69" s="98"/>
      <c r="AEE69" s="98"/>
      <c r="AEF69" s="98"/>
      <c r="AEG69" s="98"/>
      <c r="AEH69" s="98"/>
      <c r="AEI69" s="98"/>
      <c r="AEJ69" s="98"/>
      <c r="AEK69" s="98"/>
      <c r="AEL69" s="98"/>
      <c r="AEM69" s="98"/>
      <c r="AEN69" s="98"/>
      <c r="AEO69" s="98"/>
      <c r="AEP69" s="98"/>
      <c r="AEQ69" s="98"/>
      <c r="AER69" s="98"/>
      <c r="AES69" s="98"/>
      <c r="AET69" s="98"/>
      <c r="AEU69" s="98"/>
      <c r="AEV69" s="98"/>
      <c r="AEW69" s="98"/>
      <c r="AEX69" s="98"/>
      <c r="AEY69" s="98"/>
      <c r="AEZ69" s="98"/>
      <c r="AFA69" s="98"/>
      <c r="AFB69" s="98"/>
      <c r="AFC69" s="98"/>
      <c r="AFD69" s="98"/>
      <c r="AFE69" s="98"/>
      <c r="AFF69" s="98"/>
      <c r="AFG69" s="98"/>
      <c r="AFH69" s="98"/>
      <c r="AFI69" s="98"/>
      <c r="AFJ69" s="98"/>
      <c r="AFK69" s="98"/>
      <c r="AFL69" s="98"/>
      <c r="AFM69" s="98"/>
      <c r="AFN69" s="98"/>
      <c r="AFO69" s="98"/>
      <c r="AFP69" s="98"/>
      <c r="AFQ69" s="98"/>
      <c r="AFR69" s="98"/>
      <c r="AFS69" s="98"/>
      <c r="AFT69" s="98"/>
      <c r="AFU69" s="98"/>
      <c r="AFV69" s="98"/>
      <c r="AFW69" s="98"/>
      <c r="AFX69" s="98"/>
      <c r="AFY69" s="98"/>
      <c r="AFZ69" s="98"/>
      <c r="AGA69" s="98"/>
      <c r="AGB69" s="98"/>
      <c r="AGC69" s="98"/>
      <c r="AGD69" s="98"/>
      <c r="AGE69" s="98"/>
      <c r="AGF69" s="98"/>
      <c r="AGG69" s="98"/>
      <c r="AGH69" s="98"/>
      <c r="AGI69" s="98"/>
      <c r="AGJ69" s="98"/>
      <c r="AGK69" s="98"/>
      <c r="AGL69" s="98"/>
      <c r="AGM69" s="98"/>
      <c r="AGN69" s="98"/>
      <c r="AGO69" s="98"/>
      <c r="AGP69" s="98"/>
      <c r="AGQ69" s="98"/>
      <c r="AGR69" s="98"/>
      <c r="AGS69" s="98"/>
      <c r="AGT69" s="98"/>
      <c r="AGU69" s="98"/>
      <c r="AGV69" s="98"/>
      <c r="AGW69" s="98"/>
      <c r="AGX69" s="98"/>
      <c r="AGY69" s="98"/>
      <c r="AGZ69" s="98"/>
      <c r="AHA69" s="98"/>
      <c r="AHB69" s="98"/>
      <c r="AHC69" s="98"/>
      <c r="AHD69" s="98"/>
      <c r="AHE69" s="98"/>
      <c r="AHF69" s="98"/>
      <c r="AHG69" s="98"/>
      <c r="AHH69" s="98"/>
      <c r="AHI69" s="98"/>
      <c r="AHJ69" s="98"/>
      <c r="AHK69" s="98"/>
      <c r="AHL69" s="98"/>
      <c r="AHM69" s="98"/>
      <c r="AHN69" s="98"/>
      <c r="AHO69" s="98"/>
      <c r="AHP69" s="98"/>
      <c r="AHQ69" s="98"/>
      <c r="AHR69" s="98"/>
      <c r="AHS69" s="98"/>
      <c r="AHT69" s="98"/>
      <c r="AHU69" s="98"/>
      <c r="AHV69" s="98"/>
      <c r="AHW69" s="98"/>
      <c r="AHX69" s="98"/>
      <c r="AHY69" s="98"/>
      <c r="AHZ69" s="98"/>
      <c r="AIA69" s="98"/>
      <c r="AIB69" s="98"/>
      <c r="AIC69" s="98"/>
      <c r="AID69" s="98"/>
      <c r="AIE69" s="98"/>
      <c r="AIF69" s="98"/>
      <c r="AIG69" s="98"/>
      <c r="AIH69" s="98"/>
      <c r="AII69" s="98"/>
      <c r="AIJ69" s="98"/>
      <c r="AIK69" s="98"/>
      <c r="AIL69" s="98"/>
      <c r="AIM69" s="98"/>
      <c r="AIN69" s="98"/>
      <c r="AIO69" s="98"/>
      <c r="AIP69" s="98"/>
      <c r="AIQ69" s="98"/>
      <c r="AIR69" s="98"/>
      <c r="AIS69" s="98"/>
      <c r="AIT69" s="98"/>
      <c r="AIU69" s="98"/>
      <c r="AIV69" s="98"/>
      <c r="AIW69" s="98"/>
      <c r="AIX69" s="98"/>
      <c r="AIY69" s="98"/>
      <c r="AIZ69" s="98"/>
      <c r="AJA69" s="98"/>
      <c r="AJB69" s="98"/>
      <c r="AJC69" s="98"/>
      <c r="AJD69" s="98"/>
      <c r="AJE69" s="98"/>
      <c r="AJF69" s="98"/>
      <c r="AJG69" s="98"/>
      <c r="AJH69" s="98"/>
      <c r="AJI69" s="98"/>
      <c r="AJJ69" s="98"/>
      <c r="AJK69" s="98"/>
      <c r="AJL69" s="98"/>
      <c r="AJM69" s="98"/>
      <c r="AJN69" s="98"/>
      <c r="AJO69" s="98"/>
      <c r="AJP69" s="98"/>
      <c r="AJQ69" s="98"/>
      <c r="AJR69" s="98"/>
      <c r="AJS69" s="98"/>
      <c r="AJT69" s="98"/>
      <c r="AJU69" s="98"/>
      <c r="AJV69" s="98"/>
      <c r="AJW69" s="98"/>
      <c r="AJX69" s="98"/>
      <c r="AJY69" s="98"/>
      <c r="AJZ69" s="98"/>
      <c r="AKA69" s="98"/>
      <c r="AKB69" s="98"/>
      <c r="AKC69" s="98"/>
      <c r="AKD69" s="98"/>
      <c r="AKE69" s="98"/>
      <c r="AKF69" s="98"/>
      <c r="AKG69" s="98"/>
      <c r="AKH69" s="98"/>
      <c r="AKI69" s="98"/>
      <c r="AKJ69" s="98"/>
      <c r="AKK69" s="98"/>
      <c r="AKL69" s="98"/>
      <c r="AKM69" s="98"/>
      <c r="AKN69" s="98"/>
      <c r="AKO69" s="98"/>
      <c r="AKP69" s="98"/>
      <c r="AKQ69" s="98"/>
      <c r="AKR69" s="98"/>
      <c r="AKS69" s="98"/>
      <c r="AKT69" s="98"/>
      <c r="AKU69" s="98"/>
      <c r="AKV69" s="98"/>
      <c r="AKW69" s="98"/>
      <c r="AKX69" s="98"/>
      <c r="AKY69" s="98"/>
      <c r="AKZ69" s="98"/>
      <c r="ALA69" s="98"/>
      <c r="ALB69" s="98"/>
      <c r="ALC69" s="98"/>
      <c r="ALD69" s="98"/>
      <c r="ALE69" s="98"/>
      <c r="ALF69" s="98"/>
      <c r="ALG69" s="98"/>
      <c r="ALH69" s="98"/>
      <c r="ALI69" s="98"/>
      <c r="ALJ69" s="98"/>
      <c r="ALK69" s="98"/>
      <c r="ALL69" s="98"/>
      <c r="ALM69" s="98"/>
      <c r="ALN69" s="98"/>
      <c r="ALO69" s="98"/>
      <c r="ALP69" s="98"/>
      <c r="ALQ69" s="98"/>
      <c r="ALR69" s="98"/>
      <c r="ALS69" s="98"/>
      <c r="ALT69" s="98"/>
      <c r="ALU69" s="98"/>
      <c r="ALV69" s="98"/>
      <c r="ALW69" s="98"/>
      <c r="ALX69" s="98"/>
      <c r="ALY69" s="98"/>
      <c r="ALZ69" s="98"/>
      <c r="AMA69" s="98"/>
      <c r="AMB69" s="98"/>
      <c r="AMC69" s="98"/>
      <c r="AMD69" s="98"/>
      <c r="AME69" s="98"/>
      <c r="AMF69" s="98"/>
      <c r="AMG69" s="98"/>
      <c r="AMH69" s="98"/>
      <c r="AMI69" s="98"/>
      <c r="AMJ69" s="98"/>
      <c r="AMK69" s="98"/>
      <c r="AML69" s="98"/>
      <c r="AMM69" s="98"/>
      <c r="AMN69" s="98"/>
      <c r="AMO69" s="98"/>
      <c r="AMP69" s="98"/>
      <c r="AMQ69" s="98"/>
      <c r="AMR69" s="98"/>
      <c r="AMS69" s="98"/>
      <c r="AMT69" s="98"/>
      <c r="AMU69" s="98"/>
      <c r="AMV69" s="98"/>
      <c r="AMW69" s="98"/>
      <c r="AMX69" s="98"/>
      <c r="AMY69" s="98"/>
      <c r="AMZ69" s="98"/>
      <c r="ANA69" s="98"/>
      <c r="ANB69" s="98"/>
      <c r="ANC69" s="98"/>
      <c r="AND69" s="98"/>
      <c r="ANE69" s="98"/>
      <c r="ANF69" s="98"/>
      <c r="ANG69" s="98"/>
      <c r="ANH69" s="98"/>
      <c r="ANI69" s="98"/>
      <c r="ANJ69" s="98"/>
      <c r="ANK69" s="98"/>
      <c r="ANL69" s="98"/>
      <c r="ANM69" s="98"/>
      <c r="ANN69" s="98"/>
      <c r="ANO69" s="98"/>
      <c r="ANP69" s="98"/>
      <c r="ANQ69" s="98"/>
      <c r="ANR69" s="98"/>
      <c r="ANS69" s="98"/>
      <c r="ANT69" s="98"/>
      <c r="ANU69" s="98"/>
      <c r="ANV69" s="98"/>
      <c r="ANW69" s="98"/>
      <c r="ANX69" s="98"/>
      <c r="ANY69" s="98"/>
      <c r="ANZ69" s="98"/>
      <c r="AOA69" s="98"/>
      <c r="AOB69" s="98"/>
      <c r="AOC69" s="98"/>
      <c r="AOD69" s="98"/>
      <c r="AOE69" s="98"/>
      <c r="AOF69" s="98"/>
      <c r="AOG69" s="98"/>
      <c r="AOH69" s="98"/>
      <c r="AOI69" s="98"/>
      <c r="AOJ69" s="98"/>
      <c r="AOK69" s="98"/>
      <c r="AOL69" s="98"/>
      <c r="AOM69" s="98"/>
      <c r="AON69" s="98"/>
      <c r="AOO69" s="98"/>
      <c r="AOP69" s="98"/>
      <c r="AOQ69" s="98"/>
      <c r="AOR69" s="98"/>
      <c r="AOS69" s="98"/>
      <c r="AOT69" s="98"/>
      <c r="AOU69" s="98"/>
      <c r="AOV69" s="98"/>
      <c r="AOW69" s="98"/>
      <c r="AOX69" s="98"/>
      <c r="AOY69" s="98"/>
      <c r="AOZ69" s="98"/>
      <c r="APA69" s="98"/>
      <c r="APB69" s="98"/>
      <c r="APC69" s="98"/>
      <c r="APD69" s="98"/>
      <c r="APE69" s="98"/>
      <c r="APF69" s="98"/>
      <c r="APG69" s="98"/>
      <c r="APH69" s="98"/>
      <c r="API69" s="98"/>
      <c r="APJ69" s="98"/>
      <c r="APK69" s="98"/>
      <c r="APL69" s="98"/>
      <c r="APM69" s="98"/>
      <c r="APN69" s="98"/>
      <c r="APO69" s="98"/>
      <c r="APP69" s="98"/>
      <c r="APQ69" s="98"/>
      <c r="APR69" s="98"/>
      <c r="APS69" s="98"/>
      <c r="APT69" s="98"/>
      <c r="APU69" s="98"/>
      <c r="APV69" s="98"/>
      <c r="APW69" s="98"/>
      <c r="APX69" s="98"/>
      <c r="APY69" s="98"/>
      <c r="APZ69" s="98"/>
      <c r="AQA69" s="98"/>
      <c r="AQB69" s="98"/>
      <c r="AQC69" s="98"/>
      <c r="AQD69" s="98"/>
      <c r="AQE69" s="98"/>
      <c r="AQF69" s="98"/>
      <c r="AQG69" s="98"/>
      <c r="AQH69" s="98"/>
      <c r="AQI69" s="98"/>
      <c r="AQJ69" s="98"/>
      <c r="AQK69" s="98"/>
      <c r="AQL69" s="98"/>
      <c r="AQM69" s="98"/>
      <c r="AQN69" s="98"/>
      <c r="AQO69" s="98"/>
      <c r="AQP69" s="98"/>
      <c r="AQQ69" s="98"/>
      <c r="AQR69" s="98"/>
      <c r="AQS69" s="98"/>
      <c r="AQT69" s="98"/>
      <c r="AQU69" s="98"/>
      <c r="AQV69" s="98"/>
      <c r="AQW69" s="98"/>
      <c r="AQX69" s="98"/>
      <c r="AQY69" s="98"/>
      <c r="AQZ69" s="98"/>
      <c r="ARA69" s="98"/>
      <c r="ARB69" s="98"/>
      <c r="ARC69" s="98"/>
      <c r="ARD69" s="98"/>
      <c r="ARE69" s="98"/>
      <c r="ARF69" s="98"/>
      <c r="ARG69" s="98"/>
      <c r="ARH69" s="98"/>
      <c r="ARI69" s="98"/>
      <c r="ARJ69" s="98"/>
      <c r="ARK69" s="98"/>
      <c r="ARL69" s="98"/>
      <c r="ARM69" s="98"/>
      <c r="ARN69" s="98"/>
      <c r="ARO69" s="98"/>
      <c r="ARP69" s="98"/>
      <c r="ARQ69" s="98"/>
      <c r="ARR69" s="98"/>
      <c r="ARS69" s="98"/>
    </row>
    <row r="70" spans="1:1163">
      <c r="A70" s="118"/>
      <c r="B70" s="119"/>
      <c r="C70" s="175"/>
      <c r="D70" s="175"/>
      <c r="E70" s="175"/>
      <c r="F70" s="175"/>
      <c r="G70" s="175"/>
      <c r="H70" s="175"/>
      <c r="I70" s="175"/>
      <c r="J70" s="175"/>
      <c r="K70" s="175"/>
      <c r="L70" s="175"/>
      <c r="M70" s="175"/>
      <c r="N70" s="175"/>
      <c r="O70" s="175"/>
      <c r="P70" s="175"/>
      <c r="Q70" s="175"/>
      <c r="R70" s="175"/>
      <c r="S70" s="175"/>
      <c r="T70" s="175"/>
      <c r="U70" s="201"/>
      <c r="V70" s="201"/>
      <c r="W70" s="144"/>
      <c r="X70" s="144"/>
      <c r="Y70" s="197"/>
      <c r="Z70" s="197"/>
      <c r="AA70" s="209"/>
      <c r="AB70" s="209"/>
      <c r="AC70" s="197"/>
      <c r="AD70" s="197"/>
      <c r="AE70" s="201"/>
      <c r="AF70" s="201"/>
      <c r="AG70" s="201"/>
      <c r="AH70" s="201"/>
      <c r="AI70" s="201"/>
      <c r="AJ70" s="201"/>
      <c r="AK70" s="209"/>
      <c r="AL70" s="201"/>
      <c r="AM70" s="201"/>
      <c r="AN70" s="201"/>
      <c r="AO70" s="201"/>
      <c r="AP70" s="201"/>
      <c r="AQ70" s="201"/>
      <c r="AR70" s="201"/>
      <c r="AS70" s="201"/>
      <c r="AT70" s="201"/>
      <c r="AU70" s="209"/>
      <c r="AV70" s="209"/>
      <c r="AW70" s="173"/>
      <c r="AX70" s="173"/>
      <c r="AY70" s="172"/>
      <c r="AZ70" s="172"/>
      <c r="BA70" s="177"/>
      <c r="BB70" s="197"/>
      <c r="BC70" s="197"/>
      <c r="BD70" s="197"/>
      <c r="BE70" s="197"/>
      <c r="BF70" s="197"/>
      <c r="BG70" s="197"/>
      <c r="BH70" s="197"/>
      <c r="BI70" s="177"/>
      <c r="BJ70" s="98"/>
      <c r="BK70" s="11"/>
      <c r="BN70" s="148"/>
    </row>
    <row r="71" spans="1:1163">
      <c r="A71" s="124" t="s">
        <v>130</v>
      </c>
      <c r="B71" s="127" t="s">
        <v>67</v>
      </c>
      <c r="C71" s="183">
        <v>548</v>
      </c>
      <c r="D71" s="183">
        <v>16491</v>
      </c>
      <c r="E71" s="183">
        <v>0</v>
      </c>
      <c r="F71" s="183">
        <v>0</v>
      </c>
      <c r="G71" s="183">
        <v>0</v>
      </c>
      <c r="H71" s="183">
        <v>0</v>
      </c>
      <c r="I71" s="183">
        <v>0</v>
      </c>
      <c r="J71" s="183">
        <v>0</v>
      </c>
      <c r="K71" s="183">
        <v>0</v>
      </c>
      <c r="L71" s="183">
        <v>0</v>
      </c>
      <c r="M71" s="183">
        <v>257</v>
      </c>
      <c r="N71" s="183">
        <v>1029</v>
      </c>
      <c r="O71" s="183">
        <v>578</v>
      </c>
      <c r="P71" s="183">
        <v>3149</v>
      </c>
      <c r="Q71" s="183">
        <v>1060</v>
      </c>
      <c r="R71" s="183">
        <v>5301</v>
      </c>
      <c r="S71" s="183">
        <v>521</v>
      </c>
      <c r="T71" s="183">
        <v>2688</v>
      </c>
      <c r="U71" s="194">
        <v>0</v>
      </c>
      <c r="V71" s="194">
        <v>0</v>
      </c>
      <c r="W71" s="194">
        <v>0</v>
      </c>
      <c r="X71" s="194">
        <v>0</v>
      </c>
      <c r="Y71" s="194">
        <v>0</v>
      </c>
      <c r="Z71" s="194">
        <v>0</v>
      </c>
      <c r="AA71" s="208">
        <v>22</v>
      </c>
      <c r="AB71" s="208">
        <v>160</v>
      </c>
      <c r="AC71" s="194">
        <v>169</v>
      </c>
      <c r="AD71" s="194">
        <v>1300</v>
      </c>
      <c r="AE71" s="202">
        <v>445</v>
      </c>
      <c r="AF71" s="202">
        <v>5171</v>
      </c>
      <c r="AG71" s="202">
        <v>2365</v>
      </c>
      <c r="AH71" s="202">
        <v>18897</v>
      </c>
      <c r="AI71" s="202">
        <v>7271</v>
      </c>
      <c r="AJ71" s="202">
        <v>58165</v>
      </c>
      <c r="AK71" s="208">
        <v>0</v>
      </c>
      <c r="AL71" s="202">
        <v>0</v>
      </c>
      <c r="AM71" s="208">
        <v>0</v>
      </c>
      <c r="AN71" s="202">
        <v>0</v>
      </c>
      <c r="AO71" s="208">
        <v>0</v>
      </c>
      <c r="AP71" s="202">
        <v>0</v>
      </c>
      <c r="AQ71" s="208">
        <v>0</v>
      </c>
      <c r="AR71" s="202">
        <v>0</v>
      </c>
      <c r="AS71" s="208">
        <v>0</v>
      </c>
      <c r="AT71" s="202">
        <v>0</v>
      </c>
      <c r="AU71" s="208">
        <v>0</v>
      </c>
      <c r="AV71" s="202">
        <v>0</v>
      </c>
      <c r="AW71" s="208">
        <v>0</v>
      </c>
      <c r="AX71" s="202">
        <v>0</v>
      </c>
      <c r="AY71" s="208">
        <v>0</v>
      </c>
      <c r="AZ71" s="202">
        <v>0</v>
      </c>
      <c r="BA71" s="202"/>
      <c r="BB71" s="208"/>
      <c r="BC71" s="185"/>
      <c r="BD71" s="202"/>
      <c r="BE71" s="194"/>
      <c r="BF71" s="208"/>
      <c r="BG71" s="185"/>
      <c r="BH71" s="202"/>
      <c r="BI71" s="202"/>
      <c r="BJ71" s="98"/>
      <c r="BK71" s="11"/>
      <c r="BN71" s="148"/>
    </row>
    <row r="72" spans="1:1163">
      <c r="A72" s="131"/>
      <c r="B72" s="127"/>
      <c r="C72" s="183"/>
      <c r="D72" s="183"/>
      <c r="E72" s="183"/>
      <c r="F72" s="183"/>
      <c r="G72" s="183"/>
      <c r="H72" s="183"/>
      <c r="I72" s="183"/>
      <c r="J72" s="183"/>
      <c r="K72" s="183"/>
      <c r="L72" s="183"/>
      <c r="M72" s="183"/>
      <c r="N72" s="183"/>
      <c r="O72" s="183"/>
      <c r="P72" s="183"/>
      <c r="Q72" s="183"/>
      <c r="R72" s="183"/>
      <c r="S72" s="183"/>
      <c r="T72" s="183"/>
      <c r="U72" s="184"/>
      <c r="V72" s="184"/>
      <c r="W72" s="202"/>
      <c r="X72" s="202"/>
      <c r="Y72" s="202"/>
      <c r="Z72" s="202"/>
      <c r="AA72" s="208"/>
      <c r="AB72" s="208"/>
      <c r="AC72" s="183"/>
      <c r="AD72" s="183"/>
      <c r="AE72" s="202"/>
      <c r="AF72" s="202"/>
      <c r="AG72" s="202"/>
      <c r="AH72" s="202"/>
      <c r="AI72" s="202"/>
      <c r="AJ72" s="202"/>
      <c r="AK72" s="202"/>
      <c r="AL72" s="202"/>
      <c r="AM72" s="202"/>
      <c r="AN72" s="202"/>
      <c r="AO72" s="202"/>
      <c r="AP72" s="202"/>
      <c r="AQ72" s="202"/>
      <c r="AR72" s="202"/>
      <c r="AS72" s="202"/>
      <c r="AT72" s="202"/>
      <c r="AU72" s="208"/>
      <c r="AV72" s="208"/>
      <c r="AW72" s="166"/>
      <c r="AX72" s="166"/>
      <c r="AY72" s="165"/>
      <c r="AZ72" s="165"/>
      <c r="BA72" s="196"/>
      <c r="BB72" s="166"/>
      <c r="BC72" s="166"/>
      <c r="BD72" s="166"/>
      <c r="BE72" s="166"/>
      <c r="BF72" s="166"/>
      <c r="BG72" s="166"/>
      <c r="BH72" s="166"/>
      <c r="BI72" s="196"/>
      <c r="BJ72" s="98"/>
      <c r="BK72" s="11"/>
      <c r="BN72" s="148"/>
    </row>
    <row r="73" spans="1:1163" s="174" customFormat="1">
      <c r="A73" s="118" t="s">
        <v>131</v>
      </c>
      <c r="B73" s="134"/>
      <c r="C73" s="197"/>
      <c r="D73" s="197"/>
      <c r="E73" s="197"/>
      <c r="F73" s="197"/>
      <c r="G73" s="197"/>
      <c r="H73" s="197"/>
      <c r="I73" s="197"/>
      <c r="J73" s="197"/>
      <c r="K73" s="197"/>
      <c r="L73" s="197"/>
      <c r="M73" s="197"/>
      <c r="N73" s="197"/>
      <c r="O73" s="197"/>
      <c r="P73" s="197"/>
      <c r="Q73" s="197"/>
      <c r="R73" s="197"/>
      <c r="S73" s="197"/>
      <c r="T73" s="197"/>
      <c r="U73" s="201"/>
      <c r="V73" s="201"/>
      <c r="W73" s="144"/>
      <c r="X73" s="144"/>
      <c r="Y73" s="201"/>
      <c r="Z73" s="201"/>
      <c r="AA73" s="209"/>
      <c r="AB73" s="209"/>
      <c r="AC73" s="175"/>
      <c r="AD73" s="175"/>
      <c r="AE73" s="201"/>
      <c r="AF73" s="201"/>
      <c r="AG73" s="201"/>
      <c r="AH73" s="201"/>
      <c r="AI73" s="201"/>
      <c r="AJ73" s="201"/>
      <c r="AK73" s="201"/>
      <c r="AL73" s="201"/>
      <c r="AM73" s="201"/>
      <c r="AN73" s="201"/>
      <c r="AO73" s="201"/>
      <c r="AP73" s="201"/>
      <c r="AQ73" s="201"/>
      <c r="AR73" s="201"/>
      <c r="AS73" s="201"/>
      <c r="AT73" s="201"/>
      <c r="AU73" s="209"/>
      <c r="AV73" s="209"/>
      <c r="AW73" s="173"/>
      <c r="AX73" s="173"/>
      <c r="AY73" s="175"/>
      <c r="AZ73" s="175"/>
      <c r="BA73" s="177"/>
      <c r="BB73" s="197"/>
      <c r="BC73" s="197"/>
      <c r="BD73" s="197"/>
      <c r="BE73" s="197"/>
      <c r="BF73" s="197"/>
      <c r="BG73" s="197"/>
      <c r="BH73" s="197"/>
      <c r="BI73" s="177"/>
      <c r="BJ73" s="98"/>
      <c r="BK73" s="11"/>
      <c r="BL73" s="98"/>
      <c r="BM73" s="98"/>
      <c r="BN73" s="14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c r="IW73" s="98"/>
      <c r="IX73" s="98"/>
      <c r="IY73" s="98"/>
      <c r="IZ73" s="98"/>
      <c r="JA73" s="98"/>
      <c r="JB73" s="98"/>
      <c r="JC73" s="98"/>
      <c r="JD73" s="98"/>
      <c r="JE73" s="98"/>
      <c r="JF73" s="98"/>
      <c r="JG73" s="98"/>
      <c r="JH73" s="98"/>
      <c r="JI73" s="98"/>
      <c r="JJ73" s="98"/>
      <c r="JK73" s="98"/>
      <c r="JL73" s="98"/>
      <c r="JM73" s="98"/>
      <c r="JN73" s="98"/>
      <c r="JO73" s="98"/>
      <c r="JP73" s="98"/>
      <c r="JQ73" s="98"/>
      <c r="JR73" s="98"/>
      <c r="JS73" s="98"/>
      <c r="JT73" s="98"/>
      <c r="JU73" s="98"/>
      <c r="JV73" s="98"/>
      <c r="JW73" s="98"/>
      <c r="JX73" s="98"/>
      <c r="JY73" s="98"/>
      <c r="JZ73" s="98"/>
      <c r="KA73" s="98"/>
      <c r="KB73" s="98"/>
      <c r="KC73" s="98"/>
      <c r="KD73" s="98"/>
      <c r="KE73" s="98"/>
      <c r="KF73" s="98"/>
      <c r="KG73" s="98"/>
      <c r="KH73" s="98"/>
      <c r="KI73" s="98"/>
      <c r="KJ73" s="98"/>
      <c r="KK73" s="98"/>
      <c r="KL73" s="98"/>
      <c r="KM73" s="98"/>
      <c r="KN73" s="98"/>
      <c r="KO73" s="98"/>
      <c r="KP73" s="98"/>
      <c r="KQ73" s="98"/>
      <c r="KR73" s="98"/>
      <c r="KS73" s="98"/>
      <c r="KT73" s="98"/>
      <c r="KU73" s="98"/>
      <c r="KV73" s="98"/>
      <c r="KW73" s="98"/>
      <c r="KX73" s="98"/>
      <c r="KY73" s="98"/>
      <c r="KZ73" s="98"/>
      <c r="LA73" s="98"/>
      <c r="LB73" s="98"/>
      <c r="LC73" s="98"/>
      <c r="LD73" s="98"/>
      <c r="LE73" s="98"/>
      <c r="LF73" s="98"/>
      <c r="LG73" s="98"/>
      <c r="LH73" s="98"/>
      <c r="LI73" s="98"/>
      <c r="LJ73" s="98"/>
      <c r="LK73" s="98"/>
      <c r="LL73" s="98"/>
      <c r="LM73" s="98"/>
      <c r="LN73" s="98"/>
      <c r="LO73" s="98"/>
      <c r="LP73" s="98"/>
      <c r="LQ73" s="98"/>
      <c r="LR73" s="98"/>
      <c r="LS73" s="98"/>
      <c r="LT73" s="98"/>
      <c r="LU73" s="98"/>
      <c r="LV73" s="98"/>
      <c r="LW73" s="98"/>
      <c r="LX73" s="98"/>
      <c r="LY73" s="98"/>
      <c r="LZ73" s="98"/>
      <c r="MA73" s="98"/>
      <c r="MB73" s="98"/>
      <c r="MC73" s="98"/>
      <c r="MD73" s="98"/>
      <c r="ME73" s="98"/>
      <c r="MF73" s="98"/>
      <c r="MG73" s="98"/>
      <c r="MH73" s="98"/>
      <c r="MI73" s="98"/>
      <c r="MJ73" s="98"/>
      <c r="MK73" s="98"/>
      <c r="ML73" s="98"/>
      <c r="MM73" s="98"/>
      <c r="MN73" s="98"/>
      <c r="MO73" s="98"/>
      <c r="MP73" s="98"/>
      <c r="MQ73" s="98"/>
      <c r="MR73" s="98"/>
      <c r="MS73" s="98"/>
      <c r="MT73" s="98"/>
      <c r="MU73" s="98"/>
      <c r="MV73" s="98"/>
      <c r="MW73" s="98"/>
      <c r="MX73" s="98"/>
      <c r="MY73" s="98"/>
      <c r="MZ73" s="98"/>
      <c r="NA73" s="98"/>
      <c r="NB73" s="98"/>
      <c r="NC73" s="98"/>
      <c r="ND73" s="98"/>
      <c r="NE73" s="98"/>
      <c r="NF73" s="98"/>
      <c r="NG73" s="98"/>
      <c r="NH73" s="98"/>
      <c r="NI73" s="98"/>
      <c r="NJ73" s="98"/>
      <c r="NK73" s="98"/>
      <c r="NL73" s="98"/>
      <c r="NM73" s="98"/>
      <c r="NN73" s="98"/>
      <c r="NO73" s="98"/>
      <c r="NP73" s="98"/>
      <c r="NQ73" s="98"/>
      <c r="NR73" s="98"/>
      <c r="NS73" s="98"/>
      <c r="NT73" s="98"/>
      <c r="NU73" s="98"/>
      <c r="NV73" s="98"/>
      <c r="NW73" s="98"/>
      <c r="NX73" s="98"/>
      <c r="NY73" s="98"/>
      <c r="NZ73" s="98"/>
      <c r="OA73" s="98"/>
      <c r="OB73" s="98"/>
      <c r="OC73" s="98"/>
      <c r="OD73" s="98"/>
      <c r="OE73" s="98"/>
      <c r="OF73" s="98"/>
      <c r="OG73" s="98"/>
      <c r="OH73" s="98"/>
      <c r="OI73" s="98"/>
      <c r="OJ73" s="98"/>
      <c r="OK73" s="98"/>
      <c r="OL73" s="98"/>
      <c r="OM73" s="98"/>
      <c r="ON73" s="98"/>
      <c r="OO73" s="98"/>
      <c r="OP73" s="98"/>
      <c r="OQ73" s="98"/>
      <c r="OR73" s="98"/>
      <c r="OS73" s="98"/>
      <c r="OT73" s="98"/>
      <c r="OU73" s="98"/>
      <c r="OV73" s="98"/>
      <c r="OW73" s="98"/>
      <c r="OX73" s="98"/>
      <c r="OY73" s="98"/>
      <c r="OZ73" s="98"/>
      <c r="PA73" s="98"/>
      <c r="PB73" s="98"/>
      <c r="PC73" s="98"/>
      <c r="PD73" s="98"/>
      <c r="PE73" s="98"/>
      <c r="PF73" s="98"/>
      <c r="PG73" s="98"/>
      <c r="PH73" s="98"/>
      <c r="PI73" s="98"/>
      <c r="PJ73" s="98"/>
      <c r="PK73" s="98"/>
      <c r="PL73" s="98"/>
      <c r="PM73" s="98"/>
      <c r="PN73" s="98"/>
      <c r="PO73" s="98"/>
      <c r="PP73" s="98"/>
      <c r="PQ73" s="98"/>
      <c r="PR73" s="98"/>
      <c r="PS73" s="98"/>
      <c r="PT73" s="98"/>
      <c r="PU73" s="98"/>
      <c r="PV73" s="98"/>
      <c r="PW73" s="98"/>
      <c r="PX73" s="98"/>
      <c r="PY73" s="98"/>
      <c r="PZ73" s="98"/>
      <c r="QA73" s="98"/>
      <c r="QB73" s="98"/>
      <c r="QC73" s="98"/>
      <c r="QD73" s="98"/>
      <c r="QE73" s="98"/>
      <c r="QF73" s="98"/>
      <c r="QG73" s="98"/>
      <c r="QH73" s="98"/>
      <c r="QI73" s="98"/>
      <c r="QJ73" s="98"/>
      <c r="QK73" s="98"/>
      <c r="QL73" s="98"/>
      <c r="QM73" s="98"/>
      <c r="QN73" s="98"/>
      <c r="QO73" s="98"/>
      <c r="QP73" s="98"/>
      <c r="QQ73" s="98"/>
      <c r="QR73" s="98"/>
      <c r="QS73" s="98"/>
      <c r="QT73" s="98"/>
      <c r="QU73" s="98"/>
      <c r="QV73" s="98"/>
      <c r="QW73" s="98"/>
      <c r="QX73" s="98"/>
      <c r="QY73" s="98"/>
      <c r="QZ73" s="98"/>
      <c r="RA73" s="98"/>
      <c r="RB73" s="98"/>
      <c r="RC73" s="98"/>
      <c r="RD73" s="98"/>
      <c r="RE73" s="98"/>
      <c r="RF73" s="98"/>
      <c r="RG73" s="98"/>
      <c r="RH73" s="98"/>
      <c r="RI73" s="98"/>
      <c r="RJ73" s="98"/>
      <c r="RK73" s="98"/>
      <c r="RL73" s="98"/>
      <c r="RM73" s="98"/>
      <c r="RN73" s="98"/>
      <c r="RO73" s="98"/>
      <c r="RP73" s="98"/>
      <c r="RQ73" s="98"/>
      <c r="RR73" s="98"/>
      <c r="RS73" s="98"/>
      <c r="RT73" s="98"/>
      <c r="RU73" s="98"/>
      <c r="RV73" s="98"/>
      <c r="RW73" s="98"/>
      <c r="RX73" s="98"/>
      <c r="RY73" s="98"/>
      <c r="RZ73" s="98"/>
      <c r="SA73" s="98"/>
      <c r="SB73" s="98"/>
      <c r="SC73" s="98"/>
      <c r="SD73" s="98"/>
      <c r="SE73" s="98"/>
      <c r="SF73" s="98"/>
      <c r="SG73" s="98"/>
      <c r="SH73" s="98"/>
      <c r="SI73" s="98"/>
      <c r="SJ73" s="98"/>
      <c r="SK73" s="98"/>
      <c r="SL73" s="98"/>
      <c r="SM73" s="98"/>
      <c r="SN73" s="98"/>
      <c r="SO73" s="98"/>
      <c r="SP73" s="98"/>
      <c r="SQ73" s="98"/>
      <c r="SR73" s="98"/>
      <c r="SS73" s="98"/>
      <c r="ST73" s="98"/>
      <c r="SU73" s="98"/>
      <c r="SV73" s="98"/>
      <c r="SW73" s="98"/>
      <c r="SX73" s="98"/>
      <c r="SY73" s="98"/>
      <c r="SZ73" s="98"/>
      <c r="TA73" s="98"/>
      <c r="TB73" s="98"/>
      <c r="TC73" s="98"/>
      <c r="TD73" s="98"/>
      <c r="TE73" s="98"/>
      <c r="TF73" s="98"/>
      <c r="TG73" s="98"/>
      <c r="TH73" s="98"/>
      <c r="TI73" s="98"/>
      <c r="TJ73" s="98"/>
      <c r="TK73" s="98"/>
      <c r="TL73" s="98"/>
      <c r="TM73" s="98"/>
      <c r="TN73" s="98"/>
      <c r="TO73" s="98"/>
      <c r="TP73" s="98"/>
      <c r="TQ73" s="98"/>
      <c r="TR73" s="98"/>
      <c r="TS73" s="98"/>
      <c r="TT73" s="98"/>
      <c r="TU73" s="98"/>
      <c r="TV73" s="98"/>
      <c r="TW73" s="98"/>
      <c r="TX73" s="98"/>
      <c r="TY73" s="98"/>
      <c r="TZ73" s="98"/>
      <c r="UA73" s="98"/>
      <c r="UB73" s="98"/>
      <c r="UC73" s="98"/>
      <c r="UD73" s="98"/>
      <c r="UE73" s="98"/>
      <c r="UF73" s="98"/>
      <c r="UG73" s="98"/>
      <c r="UH73" s="98"/>
      <c r="UI73" s="98"/>
      <c r="UJ73" s="98"/>
      <c r="UK73" s="98"/>
      <c r="UL73" s="98"/>
      <c r="UM73" s="98"/>
      <c r="UN73" s="98"/>
      <c r="UO73" s="98"/>
      <c r="UP73" s="98"/>
      <c r="UQ73" s="98"/>
      <c r="UR73" s="98"/>
      <c r="US73" s="98"/>
      <c r="UT73" s="98"/>
      <c r="UU73" s="98"/>
      <c r="UV73" s="98"/>
      <c r="UW73" s="98"/>
      <c r="UX73" s="98"/>
      <c r="UY73" s="98"/>
      <c r="UZ73" s="98"/>
      <c r="VA73" s="98"/>
      <c r="VB73" s="98"/>
      <c r="VC73" s="98"/>
      <c r="VD73" s="98"/>
      <c r="VE73" s="98"/>
      <c r="VF73" s="98"/>
      <c r="VG73" s="98"/>
      <c r="VH73" s="98"/>
      <c r="VI73" s="98"/>
      <c r="VJ73" s="98"/>
      <c r="VK73" s="98"/>
      <c r="VL73" s="98"/>
      <c r="VM73" s="98"/>
      <c r="VN73" s="98"/>
      <c r="VO73" s="98"/>
      <c r="VP73" s="98"/>
      <c r="VQ73" s="98"/>
      <c r="VR73" s="98"/>
      <c r="VS73" s="98"/>
      <c r="VT73" s="98"/>
      <c r="VU73" s="98"/>
      <c r="VV73" s="98"/>
      <c r="VW73" s="98"/>
      <c r="VX73" s="98"/>
      <c r="VY73" s="98"/>
      <c r="VZ73" s="98"/>
      <c r="WA73" s="98"/>
      <c r="WB73" s="98"/>
      <c r="WC73" s="98"/>
      <c r="WD73" s="98"/>
      <c r="WE73" s="98"/>
      <c r="WF73" s="98"/>
      <c r="WG73" s="98"/>
      <c r="WH73" s="98"/>
      <c r="WI73" s="98"/>
      <c r="WJ73" s="98"/>
      <c r="WK73" s="98"/>
      <c r="WL73" s="98"/>
      <c r="WM73" s="98"/>
      <c r="WN73" s="98"/>
      <c r="WO73" s="98"/>
      <c r="WP73" s="98"/>
      <c r="WQ73" s="98"/>
      <c r="WR73" s="98"/>
      <c r="WS73" s="98"/>
      <c r="WT73" s="98"/>
      <c r="WU73" s="98"/>
      <c r="WV73" s="98"/>
      <c r="WW73" s="98"/>
      <c r="WX73" s="98"/>
      <c r="WY73" s="98"/>
      <c r="WZ73" s="98"/>
      <c r="XA73" s="98"/>
      <c r="XB73" s="98"/>
      <c r="XC73" s="98"/>
      <c r="XD73" s="98"/>
      <c r="XE73" s="98"/>
      <c r="XF73" s="98"/>
      <c r="XG73" s="98"/>
      <c r="XH73" s="98"/>
      <c r="XI73" s="98"/>
      <c r="XJ73" s="98"/>
      <c r="XK73" s="98"/>
      <c r="XL73" s="98"/>
      <c r="XM73" s="98"/>
      <c r="XN73" s="98"/>
      <c r="XO73" s="98"/>
      <c r="XP73" s="98"/>
      <c r="XQ73" s="98"/>
      <c r="XR73" s="98"/>
      <c r="XS73" s="98"/>
      <c r="XT73" s="98"/>
      <c r="XU73" s="98"/>
      <c r="XV73" s="98"/>
      <c r="XW73" s="98"/>
      <c r="XX73" s="98"/>
      <c r="XY73" s="98"/>
      <c r="XZ73" s="98"/>
      <c r="YA73" s="98"/>
      <c r="YB73" s="98"/>
      <c r="YC73" s="98"/>
      <c r="YD73" s="98"/>
      <c r="YE73" s="98"/>
      <c r="YF73" s="98"/>
      <c r="YG73" s="98"/>
      <c r="YH73" s="98"/>
      <c r="YI73" s="98"/>
      <c r="YJ73" s="98"/>
      <c r="YK73" s="98"/>
      <c r="YL73" s="98"/>
      <c r="YM73" s="98"/>
      <c r="YN73" s="98"/>
      <c r="YO73" s="98"/>
      <c r="YP73" s="98"/>
      <c r="YQ73" s="98"/>
      <c r="YR73" s="98"/>
      <c r="YS73" s="98"/>
      <c r="YT73" s="98"/>
      <c r="YU73" s="98"/>
      <c r="YV73" s="98"/>
      <c r="YW73" s="98"/>
      <c r="YX73" s="98"/>
      <c r="YY73" s="98"/>
      <c r="YZ73" s="98"/>
      <c r="ZA73" s="98"/>
      <c r="ZB73" s="98"/>
      <c r="ZC73" s="98"/>
      <c r="ZD73" s="98"/>
      <c r="ZE73" s="98"/>
      <c r="ZF73" s="98"/>
      <c r="ZG73" s="98"/>
      <c r="ZH73" s="98"/>
      <c r="ZI73" s="98"/>
      <c r="ZJ73" s="98"/>
      <c r="ZK73" s="98"/>
      <c r="ZL73" s="98"/>
      <c r="ZM73" s="98"/>
      <c r="ZN73" s="98"/>
      <c r="ZO73" s="98"/>
      <c r="ZP73" s="98"/>
      <c r="ZQ73" s="98"/>
      <c r="ZR73" s="98"/>
      <c r="ZS73" s="98"/>
      <c r="ZT73" s="98"/>
      <c r="ZU73" s="98"/>
      <c r="ZV73" s="98"/>
      <c r="ZW73" s="98"/>
      <c r="ZX73" s="98"/>
      <c r="ZY73" s="98"/>
      <c r="ZZ73" s="98"/>
      <c r="AAA73" s="98"/>
      <c r="AAB73" s="98"/>
      <c r="AAC73" s="98"/>
      <c r="AAD73" s="98"/>
      <c r="AAE73" s="98"/>
      <c r="AAF73" s="98"/>
      <c r="AAG73" s="98"/>
      <c r="AAH73" s="98"/>
      <c r="AAI73" s="98"/>
      <c r="AAJ73" s="98"/>
      <c r="AAK73" s="98"/>
      <c r="AAL73" s="98"/>
      <c r="AAM73" s="98"/>
      <c r="AAN73" s="98"/>
      <c r="AAO73" s="98"/>
      <c r="AAP73" s="98"/>
      <c r="AAQ73" s="98"/>
      <c r="AAR73" s="98"/>
      <c r="AAS73" s="98"/>
      <c r="AAT73" s="98"/>
      <c r="AAU73" s="98"/>
      <c r="AAV73" s="98"/>
      <c r="AAW73" s="98"/>
      <c r="AAX73" s="98"/>
      <c r="AAY73" s="98"/>
      <c r="AAZ73" s="98"/>
      <c r="ABA73" s="98"/>
      <c r="ABB73" s="98"/>
      <c r="ABC73" s="98"/>
      <c r="ABD73" s="98"/>
      <c r="ABE73" s="98"/>
      <c r="ABF73" s="98"/>
      <c r="ABG73" s="98"/>
      <c r="ABH73" s="98"/>
      <c r="ABI73" s="98"/>
      <c r="ABJ73" s="98"/>
      <c r="ABK73" s="98"/>
      <c r="ABL73" s="98"/>
      <c r="ABM73" s="98"/>
      <c r="ABN73" s="98"/>
      <c r="ABO73" s="98"/>
      <c r="ABP73" s="98"/>
      <c r="ABQ73" s="98"/>
      <c r="ABR73" s="98"/>
      <c r="ABS73" s="98"/>
      <c r="ABT73" s="98"/>
      <c r="ABU73" s="98"/>
      <c r="ABV73" s="98"/>
      <c r="ABW73" s="98"/>
      <c r="ABX73" s="98"/>
      <c r="ABY73" s="98"/>
      <c r="ABZ73" s="98"/>
      <c r="ACA73" s="98"/>
      <c r="ACB73" s="98"/>
      <c r="ACC73" s="98"/>
      <c r="ACD73" s="98"/>
      <c r="ACE73" s="98"/>
      <c r="ACF73" s="98"/>
      <c r="ACG73" s="98"/>
      <c r="ACH73" s="98"/>
      <c r="ACI73" s="98"/>
      <c r="ACJ73" s="98"/>
      <c r="ACK73" s="98"/>
      <c r="ACL73" s="98"/>
      <c r="ACM73" s="98"/>
      <c r="ACN73" s="98"/>
      <c r="ACO73" s="98"/>
      <c r="ACP73" s="98"/>
      <c r="ACQ73" s="98"/>
      <c r="ACR73" s="98"/>
      <c r="ACS73" s="98"/>
      <c r="ACT73" s="98"/>
      <c r="ACU73" s="98"/>
      <c r="ACV73" s="98"/>
      <c r="ACW73" s="98"/>
      <c r="ACX73" s="98"/>
      <c r="ACY73" s="98"/>
      <c r="ACZ73" s="98"/>
      <c r="ADA73" s="98"/>
      <c r="ADB73" s="98"/>
      <c r="ADC73" s="98"/>
      <c r="ADD73" s="98"/>
      <c r="ADE73" s="98"/>
      <c r="ADF73" s="98"/>
      <c r="ADG73" s="98"/>
      <c r="ADH73" s="98"/>
      <c r="ADI73" s="98"/>
      <c r="ADJ73" s="98"/>
      <c r="ADK73" s="98"/>
      <c r="ADL73" s="98"/>
      <c r="ADM73" s="98"/>
      <c r="ADN73" s="98"/>
      <c r="ADO73" s="98"/>
      <c r="ADP73" s="98"/>
      <c r="ADQ73" s="98"/>
      <c r="ADR73" s="98"/>
      <c r="ADS73" s="98"/>
      <c r="ADT73" s="98"/>
      <c r="ADU73" s="98"/>
      <c r="ADV73" s="98"/>
      <c r="ADW73" s="98"/>
      <c r="ADX73" s="98"/>
      <c r="ADY73" s="98"/>
      <c r="ADZ73" s="98"/>
      <c r="AEA73" s="98"/>
      <c r="AEB73" s="98"/>
      <c r="AEC73" s="98"/>
      <c r="AED73" s="98"/>
      <c r="AEE73" s="98"/>
      <c r="AEF73" s="98"/>
      <c r="AEG73" s="98"/>
      <c r="AEH73" s="98"/>
      <c r="AEI73" s="98"/>
      <c r="AEJ73" s="98"/>
      <c r="AEK73" s="98"/>
      <c r="AEL73" s="98"/>
      <c r="AEM73" s="98"/>
      <c r="AEN73" s="98"/>
      <c r="AEO73" s="98"/>
      <c r="AEP73" s="98"/>
      <c r="AEQ73" s="98"/>
      <c r="AER73" s="98"/>
      <c r="AES73" s="98"/>
      <c r="AET73" s="98"/>
      <c r="AEU73" s="98"/>
      <c r="AEV73" s="98"/>
      <c r="AEW73" s="98"/>
      <c r="AEX73" s="98"/>
      <c r="AEY73" s="98"/>
      <c r="AEZ73" s="98"/>
      <c r="AFA73" s="98"/>
      <c r="AFB73" s="98"/>
      <c r="AFC73" s="98"/>
      <c r="AFD73" s="98"/>
      <c r="AFE73" s="98"/>
      <c r="AFF73" s="98"/>
      <c r="AFG73" s="98"/>
      <c r="AFH73" s="98"/>
      <c r="AFI73" s="98"/>
      <c r="AFJ73" s="98"/>
      <c r="AFK73" s="98"/>
      <c r="AFL73" s="98"/>
      <c r="AFM73" s="98"/>
      <c r="AFN73" s="98"/>
      <c r="AFO73" s="98"/>
      <c r="AFP73" s="98"/>
      <c r="AFQ73" s="98"/>
      <c r="AFR73" s="98"/>
      <c r="AFS73" s="98"/>
      <c r="AFT73" s="98"/>
      <c r="AFU73" s="98"/>
      <c r="AFV73" s="98"/>
      <c r="AFW73" s="98"/>
      <c r="AFX73" s="98"/>
      <c r="AFY73" s="98"/>
      <c r="AFZ73" s="98"/>
      <c r="AGA73" s="98"/>
      <c r="AGB73" s="98"/>
      <c r="AGC73" s="98"/>
      <c r="AGD73" s="98"/>
      <c r="AGE73" s="98"/>
      <c r="AGF73" s="98"/>
      <c r="AGG73" s="98"/>
      <c r="AGH73" s="98"/>
      <c r="AGI73" s="98"/>
      <c r="AGJ73" s="98"/>
      <c r="AGK73" s="98"/>
      <c r="AGL73" s="98"/>
      <c r="AGM73" s="98"/>
      <c r="AGN73" s="98"/>
      <c r="AGO73" s="98"/>
      <c r="AGP73" s="98"/>
      <c r="AGQ73" s="98"/>
      <c r="AGR73" s="98"/>
      <c r="AGS73" s="98"/>
      <c r="AGT73" s="98"/>
      <c r="AGU73" s="98"/>
      <c r="AGV73" s="98"/>
      <c r="AGW73" s="98"/>
      <c r="AGX73" s="98"/>
      <c r="AGY73" s="98"/>
      <c r="AGZ73" s="98"/>
      <c r="AHA73" s="98"/>
      <c r="AHB73" s="98"/>
      <c r="AHC73" s="98"/>
      <c r="AHD73" s="98"/>
      <c r="AHE73" s="98"/>
      <c r="AHF73" s="98"/>
      <c r="AHG73" s="98"/>
      <c r="AHH73" s="98"/>
      <c r="AHI73" s="98"/>
      <c r="AHJ73" s="98"/>
      <c r="AHK73" s="98"/>
      <c r="AHL73" s="98"/>
      <c r="AHM73" s="98"/>
      <c r="AHN73" s="98"/>
      <c r="AHO73" s="98"/>
      <c r="AHP73" s="98"/>
      <c r="AHQ73" s="98"/>
      <c r="AHR73" s="98"/>
      <c r="AHS73" s="98"/>
      <c r="AHT73" s="98"/>
      <c r="AHU73" s="98"/>
      <c r="AHV73" s="98"/>
      <c r="AHW73" s="98"/>
      <c r="AHX73" s="98"/>
      <c r="AHY73" s="98"/>
      <c r="AHZ73" s="98"/>
      <c r="AIA73" s="98"/>
      <c r="AIB73" s="98"/>
      <c r="AIC73" s="98"/>
      <c r="AID73" s="98"/>
      <c r="AIE73" s="98"/>
      <c r="AIF73" s="98"/>
      <c r="AIG73" s="98"/>
      <c r="AIH73" s="98"/>
      <c r="AII73" s="98"/>
      <c r="AIJ73" s="98"/>
      <c r="AIK73" s="98"/>
      <c r="AIL73" s="98"/>
      <c r="AIM73" s="98"/>
      <c r="AIN73" s="98"/>
      <c r="AIO73" s="98"/>
      <c r="AIP73" s="98"/>
      <c r="AIQ73" s="98"/>
      <c r="AIR73" s="98"/>
      <c r="AIS73" s="98"/>
      <c r="AIT73" s="98"/>
      <c r="AIU73" s="98"/>
      <c r="AIV73" s="98"/>
      <c r="AIW73" s="98"/>
      <c r="AIX73" s="98"/>
      <c r="AIY73" s="98"/>
      <c r="AIZ73" s="98"/>
      <c r="AJA73" s="98"/>
      <c r="AJB73" s="98"/>
      <c r="AJC73" s="98"/>
      <c r="AJD73" s="98"/>
      <c r="AJE73" s="98"/>
      <c r="AJF73" s="98"/>
      <c r="AJG73" s="98"/>
      <c r="AJH73" s="98"/>
      <c r="AJI73" s="98"/>
      <c r="AJJ73" s="98"/>
      <c r="AJK73" s="98"/>
      <c r="AJL73" s="98"/>
      <c r="AJM73" s="98"/>
      <c r="AJN73" s="98"/>
      <c r="AJO73" s="98"/>
      <c r="AJP73" s="98"/>
      <c r="AJQ73" s="98"/>
      <c r="AJR73" s="98"/>
      <c r="AJS73" s="98"/>
      <c r="AJT73" s="98"/>
      <c r="AJU73" s="98"/>
      <c r="AJV73" s="98"/>
      <c r="AJW73" s="98"/>
      <c r="AJX73" s="98"/>
      <c r="AJY73" s="98"/>
      <c r="AJZ73" s="98"/>
      <c r="AKA73" s="98"/>
      <c r="AKB73" s="98"/>
      <c r="AKC73" s="98"/>
      <c r="AKD73" s="98"/>
      <c r="AKE73" s="98"/>
      <c r="AKF73" s="98"/>
      <c r="AKG73" s="98"/>
      <c r="AKH73" s="98"/>
      <c r="AKI73" s="98"/>
      <c r="AKJ73" s="98"/>
      <c r="AKK73" s="98"/>
      <c r="AKL73" s="98"/>
      <c r="AKM73" s="98"/>
      <c r="AKN73" s="98"/>
      <c r="AKO73" s="98"/>
      <c r="AKP73" s="98"/>
      <c r="AKQ73" s="98"/>
      <c r="AKR73" s="98"/>
      <c r="AKS73" s="98"/>
      <c r="AKT73" s="98"/>
      <c r="AKU73" s="98"/>
      <c r="AKV73" s="98"/>
      <c r="AKW73" s="98"/>
      <c r="AKX73" s="98"/>
      <c r="AKY73" s="98"/>
      <c r="AKZ73" s="98"/>
      <c r="ALA73" s="98"/>
      <c r="ALB73" s="98"/>
      <c r="ALC73" s="98"/>
      <c r="ALD73" s="98"/>
      <c r="ALE73" s="98"/>
      <c r="ALF73" s="98"/>
      <c r="ALG73" s="98"/>
      <c r="ALH73" s="98"/>
      <c r="ALI73" s="98"/>
      <c r="ALJ73" s="98"/>
      <c r="ALK73" s="98"/>
      <c r="ALL73" s="98"/>
      <c r="ALM73" s="98"/>
      <c r="ALN73" s="98"/>
      <c r="ALO73" s="98"/>
      <c r="ALP73" s="98"/>
      <c r="ALQ73" s="98"/>
      <c r="ALR73" s="98"/>
      <c r="ALS73" s="98"/>
      <c r="ALT73" s="98"/>
      <c r="ALU73" s="98"/>
      <c r="ALV73" s="98"/>
      <c r="ALW73" s="98"/>
      <c r="ALX73" s="98"/>
      <c r="ALY73" s="98"/>
      <c r="ALZ73" s="98"/>
      <c r="AMA73" s="98"/>
      <c r="AMB73" s="98"/>
      <c r="AMC73" s="98"/>
      <c r="AMD73" s="98"/>
      <c r="AME73" s="98"/>
      <c r="AMF73" s="98"/>
      <c r="AMG73" s="98"/>
      <c r="AMH73" s="98"/>
      <c r="AMI73" s="98"/>
      <c r="AMJ73" s="98"/>
      <c r="AMK73" s="98"/>
      <c r="AML73" s="98"/>
      <c r="AMM73" s="98"/>
      <c r="AMN73" s="98"/>
      <c r="AMO73" s="98"/>
      <c r="AMP73" s="98"/>
      <c r="AMQ73" s="98"/>
      <c r="AMR73" s="98"/>
      <c r="AMS73" s="98"/>
      <c r="AMT73" s="98"/>
      <c r="AMU73" s="98"/>
      <c r="AMV73" s="98"/>
      <c r="AMW73" s="98"/>
      <c r="AMX73" s="98"/>
      <c r="AMY73" s="98"/>
      <c r="AMZ73" s="98"/>
      <c r="ANA73" s="98"/>
      <c r="ANB73" s="98"/>
      <c r="ANC73" s="98"/>
      <c r="AND73" s="98"/>
      <c r="ANE73" s="98"/>
      <c r="ANF73" s="98"/>
      <c r="ANG73" s="98"/>
      <c r="ANH73" s="98"/>
      <c r="ANI73" s="98"/>
      <c r="ANJ73" s="98"/>
      <c r="ANK73" s="98"/>
      <c r="ANL73" s="98"/>
      <c r="ANM73" s="98"/>
      <c r="ANN73" s="98"/>
      <c r="ANO73" s="98"/>
      <c r="ANP73" s="98"/>
      <c r="ANQ73" s="98"/>
      <c r="ANR73" s="98"/>
      <c r="ANS73" s="98"/>
      <c r="ANT73" s="98"/>
      <c r="ANU73" s="98"/>
      <c r="ANV73" s="98"/>
      <c r="ANW73" s="98"/>
      <c r="ANX73" s="98"/>
      <c r="ANY73" s="98"/>
      <c r="ANZ73" s="98"/>
      <c r="AOA73" s="98"/>
      <c r="AOB73" s="98"/>
      <c r="AOC73" s="98"/>
      <c r="AOD73" s="98"/>
      <c r="AOE73" s="98"/>
      <c r="AOF73" s="98"/>
      <c r="AOG73" s="98"/>
      <c r="AOH73" s="98"/>
      <c r="AOI73" s="98"/>
      <c r="AOJ73" s="98"/>
      <c r="AOK73" s="98"/>
      <c r="AOL73" s="98"/>
      <c r="AOM73" s="98"/>
      <c r="AON73" s="98"/>
      <c r="AOO73" s="98"/>
      <c r="AOP73" s="98"/>
      <c r="AOQ73" s="98"/>
      <c r="AOR73" s="98"/>
      <c r="AOS73" s="98"/>
      <c r="AOT73" s="98"/>
      <c r="AOU73" s="98"/>
      <c r="AOV73" s="98"/>
      <c r="AOW73" s="98"/>
      <c r="AOX73" s="98"/>
      <c r="AOY73" s="98"/>
      <c r="AOZ73" s="98"/>
      <c r="APA73" s="98"/>
      <c r="APB73" s="98"/>
      <c r="APC73" s="98"/>
      <c r="APD73" s="98"/>
      <c r="APE73" s="98"/>
      <c r="APF73" s="98"/>
      <c r="APG73" s="98"/>
      <c r="APH73" s="98"/>
      <c r="API73" s="98"/>
      <c r="APJ73" s="98"/>
      <c r="APK73" s="98"/>
      <c r="APL73" s="98"/>
      <c r="APM73" s="98"/>
      <c r="APN73" s="98"/>
      <c r="APO73" s="98"/>
      <c r="APP73" s="98"/>
      <c r="APQ73" s="98"/>
      <c r="APR73" s="98"/>
      <c r="APS73" s="98"/>
      <c r="APT73" s="98"/>
      <c r="APU73" s="98"/>
      <c r="APV73" s="98"/>
      <c r="APW73" s="98"/>
      <c r="APX73" s="98"/>
      <c r="APY73" s="98"/>
      <c r="APZ73" s="98"/>
      <c r="AQA73" s="98"/>
      <c r="AQB73" s="98"/>
      <c r="AQC73" s="98"/>
      <c r="AQD73" s="98"/>
      <c r="AQE73" s="98"/>
      <c r="AQF73" s="98"/>
      <c r="AQG73" s="98"/>
      <c r="AQH73" s="98"/>
      <c r="AQI73" s="98"/>
      <c r="AQJ73" s="98"/>
      <c r="AQK73" s="98"/>
      <c r="AQL73" s="98"/>
      <c r="AQM73" s="98"/>
      <c r="AQN73" s="98"/>
      <c r="AQO73" s="98"/>
      <c r="AQP73" s="98"/>
      <c r="AQQ73" s="98"/>
      <c r="AQR73" s="98"/>
      <c r="AQS73" s="98"/>
      <c r="AQT73" s="98"/>
      <c r="AQU73" s="98"/>
      <c r="AQV73" s="98"/>
      <c r="AQW73" s="98"/>
      <c r="AQX73" s="98"/>
      <c r="AQY73" s="98"/>
      <c r="AQZ73" s="98"/>
      <c r="ARA73" s="98"/>
      <c r="ARB73" s="98"/>
      <c r="ARC73" s="98"/>
      <c r="ARD73" s="98"/>
      <c r="ARE73" s="98"/>
      <c r="ARF73" s="98"/>
      <c r="ARG73" s="98"/>
      <c r="ARH73" s="98"/>
      <c r="ARI73" s="98"/>
      <c r="ARJ73" s="98"/>
      <c r="ARK73" s="98"/>
      <c r="ARL73" s="98"/>
      <c r="ARM73" s="98"/>
      <c r="ARN73" s="98"/>
      <c r="ARO73" s="98"/>
      <c r="ARP73" s="98"/>
      <c r="ARQ73" s="98"/>
      <c r="ARR73" s="98"/>
      <c r="ARS73" s="98"/>
    </row>
    <row r="74" spans="1:1163" s="174" customFormat="1">
      <c r="A74" s="140" t="s">
        <v>132</v>
      </c>
      <c r="B74" s="119" t="s">
        <v>67</v>
      </c>
      <c r="C74" s="175">
        <v>4099</v>
      </c>
      <c r="D74" s="175">
        <v>1029757</v>
      </c>
      <c r="E74" s="201">
        <v>0</v>
      </c>
      <c r="F74" s="201">
        <v>0</v>
      </c>
      <c r="G74" s="201">
        <v>0</v>
      </c>
      <c r="H74" s="201">
        <v>0</v>
      </c>
      <c r="I74" s="201">
        <v>0</v>
      </c>
      <c r="J74" s="201">
        <v>0</v>
      </c>
      <c r="K74" s="201">
        <v>0</v>
      </c>
      <c r="L74" s="201">
        <v>0</v>
      </c>
      <c r="M74" s="201">
        <v>0</v>
      </c>
      <c r="N74" s="201">
        <v>0</v>
      </c>
      <c r="O74" s="201">
        <v>0</v>
      </c>
      <c r="P74" s="201">
        <v>0</v>
      </c>
      <c r="Q74" s="201">
        <v>0</v>
      </c>
      <c r="R74" s="201">
        <v>0</v>
      </c>
      <c r="S74" s="201">
        <v>0</v>
      </c>
      <c r="T74" s="201">
        <v>0</v>
      </c>
      <c r="U74" s="201">
        <v>0</v>
      </c>
      <c r="V74" s="201">
        <v>0</v>
      </c>
      <c r="W74" s="201">
        <v>0</v>
      </c>
      <c r="X74" s="201">
        <v>0</v>
      </c>
      <c r="Y74" s="201">
        <v>0</v>
      </c>
      <c r="Z74" s="201">
        <v>0</v>
      </c>
      <c r="AA74" s="201">
        <v>0</v>
      </c>
      <c r="AB74" s="201">
        <v>0</v>
      </c>
      <c r="AC74" s="201">
        <v>0</v>
      </c>
      <c r="AD74" s="201">
        <v>0</v>
      </c>
      <c r="AE74" s="201">
        <v>0</v>
      </c>
      <c r="AF74" s="201">
        <v>0</v>
      </c>
      <c r="AG74" s="201">
        <v>0</v>
      </c>
      <c r="AH74" s="201">
        <v>0</v>
      </c>
      <c r="AI74" s="201">
        <v>0</v>
      </c>
      <c r="AJ74" s="201">
        <v>0</v>
      </c>
      <c r="AK74" s="201">
        <v>0</v>
      </c>
      <c r="AL74" s="201">
        <v>0</v>
      </c>
      <c r="AM74" s="201">
        <v>0</v>
      </c>
      <c r="AN74" s="201">
        <v>0</v>
      </c>
      <c r="AO74" s="201">
        <v>0</v>
      </c>
      <c r="AP74" s="201">
        <v>0</v>
      </c>
      <c r="AQ74" s="201">
        <v>0</v>
      </c>
      <c r="AR74" s="201">
        <v>0</v>
      </c>
      <c r="AS74" s="201">
        <v>0</v>
      </c>
      <c r="AT74" s="201">
        <v>0</v>
      </c>
      <c r="AU74" s="201">
        <v>0</v>
      </c>
      <c r="AV74" s="201">
        <v>0</v>
      </c>
      <c r="AW74" s="175">
        <v>0</v>
      </c>
      <c r="AX74" s="175">
        <v>0</v>
      </c>
      <c r="AY74" s="175">
        <v>0</v>
      </c>
      <c r="AZ74" s="175">
        <v>0</v>
      </c>
      <c r="BA74" s="144"/>
      <c r="BB74" s="175"/>
      <c r="BC74" s="175"/>
      <c r="BD74" s="175"/>
      <c r="BE74" s="175"/>
      <c r="BF74" s="175"/>
      <c r="BG74" s="175"/>
      <c r="BH74" s="175"/>
      <c r="BI74" s="175"/>
      <c r="BJ74" s="98"/>
      <c r="BK74" s="11"/>
      <c r="BL74" s="148"/>
      <c r="BM74" s="148"/>
      <c r="BN74" s="14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c r="IW74" s="98"/>
      <c r="IX74" s="98"/>
      <c r="IY74" s="98"/>
      <c r="IZ74" s="98"/>
      <c r="JA74" s="98"/>
      <c r="JB74" s="98"/>
      <c r="JC74" s="98"/>
      <c r="JD74" s="98"/>
      <c r="JE74" s="98"/>
      <c r="JF74" s="98"/>
      <c r="JG74" s="98"/>
      <c r="JH74" s="98"/>
      <c r="JI74" s="98"/>
      <c r="JJ74" s="98"/>
      <c r="JK74" s="98"/>
      <c r="JL74" s="98"/>
      <c r="JM74" s="98"/>
      <c r="JN74" s="98"/>
      <c r="JO74" s="98"/>
      <c r="JP74" s="98"/>
      <c r="JQ74" s="98"/>
      <c r="JR74" s="98"/>
      <c r="JS74" s="98"/>
      <c r="JT74" s="98"/>
      <c r="JU74" s="98"/>
      <c r="JV74" s="98"/>
      <c r="JW74" s="98"/>
      <c r="JX74" s="98"/>
      <c r="JY74" s="98"/>
      <c r="JZ74" s="98"/>
      <c r="KA74" s="98"/>
      <c r="KB74" s="98"/>
      <c r="KC74" s="98"/>
      <c r="KD74" s="98"/>
      <c r="KE74" s="98"/>
      <c r="KF74" s="98"/>
      <c r="KG74" s="98"/>
      <c r="KH74" s="98"/>
      <c r="KI74" s="98"/>
      <c r="KJ74" s="98"/>
      <c r="KK74" s="98"/>
      <c r="KL74" s="98"/>
      <c r="KM74" s="98"/>
      <c r="KN74" s="98"/>
      <c r="KO74" s="98"/>
      <c r="KP74" s="98"/>
      <c r="KQ74" s="98"/>
      <c r="KR74" s="98"/>
      <c r="KS74" s="98"/>
      <c r="KT74" s="98"/>
      <c r="KU74" s="98"/>
      <c r="KV74" s="98"/>
      <c r="KW74" s="98"/>
      <c r="KX74" s="98"/>
      <c r="KY74" s="98"/>
      <c r="KZ74" s="98"/>
      <c r="LA74" s="98"/>
      <c r="LB74" s="98"/>
      <c r="LC74" s="98"/>
      <c r="LD74" s="98"/>
      <c r="LE74" s="98"/>
      <c r="LF74" s="98"/>
      <c r="LG74" s="98"/>
      <c r="LH74" s="98"/>
      <c r="LI74" s="98"/>
      <c r="LJ74" s="98"/>
      <c r="LK74" s="98"/>
      <c r="LL74" s="98"/>
      <c r="LM74" s="98"/>
      <c r="LN74" s="98"/>
      <c r="LO74" s="98"/>
      <c r="LP74" s="98"/>
      <c r="LQ74" s="98"/>
      <c r="LR74" s="98"/>
      <c r="LS74" s="98"/>
      <c r="LT74" s="98"/>
      <c r="LU74" s="98"/>
      <c r="LV74" s="98"/>
      <c r="LW74" s="98"/>
      <c r="LX74" s="98"/>
      <c r="LY74" s="98"/>
      <c r="LZ74" s="98"/>
      <c r="MA74" s="98"/>
      <c r="MB74" s="98"/>
      <c r="MC74" s="98"/>
      <c r="MD74" s="98"/>
      <c r="ME74" s="98"/>
      <c r="MF74" s="98"/>
      <c r="MG74" s="98"/>
      <c r="MH74" s="98"/>
      <c r="MI74" s="98"/>
      <c r="MJ74" s="98"/>
      <c r="MK74" s="98"/>
      <c r="ML74" s="98"/>
      <c r="MM74" s="98"/>
      <c r="MN74" s="98"/>
      <c r="MO74" s="98"/>
      <c r="MP74" s="98"/>
      <c r="MQ74" s="98"/>
      <c r="MR74" s="98"/>
      <c r="MS74" s="98"/>
      <c r="MT74" s="98"/>
      <c r="MU74" s="98"/>
      <c r="MV74" s="98"/>
      <c r="MW74" s="98"/>
      <c r="MX74" s="98"/>
      <c r="MY74" s="98"/>
      <c r="MZ74" s="98"/>
      <c r="NA74" s="98"/>
      <c r="NB74" s="98"/>
      <c r="NC74" s="98"/>
      <c r="ND74" s="98"/>
      <c r="NE74" s="98"/>
      <c r="NF74" s="98"/>
      <c r="NG74" s="98"/>
      <c r="NH74" s="98"/>
      <c r="NI74" s="98"/>
      <c r="NJ74" s="98"/>
      <c r="NK74" s="98"/>
      <c r="NL74" s="98"/>
      <c r="NM74" s="98"/>
      <c r="NN74" s="98"/>
      <c r="NO74" s="98"/>
      <c r="NP74" s="98"/>
      <c r="NQ74" s="98"/>
      <c r="NR74" s="98"/>
      <c r="NS74" s="98"/>
      <c r="NT74" s="98"/>
      <c r="NU74" s="98"/>
      <c r="NV74" s="98"/>
      <c r="NW74" s="98"/>
      <c r="NX74" s="98"/>
      <c r="NY74" s="98"/>
      <c r="NZ74" s="98"/>
      <c r="OA74" s="98"/>
      <c r="OB74" s="98"/>
      <c r="OC74" s="98"/>
      <c r="OD74" s="98"/>
      <c r="OE74" s="98"/>
      <c r="OF74" s="98"/>
      <c r="OG74" s="98"/>
      <c r="OH74" s="98"/>
      <c r="OI74" s="98"/>
      <c r="OJ74" s="98"/>
      <c r="OK74" s="98"/>
      <c r="OL74" s="98"/>
      <c r="OM74" s="98"/>
      <c r="ON74" s="98"/>
      <c r="OO74" s="98"/>
      <c r="OP74" s="98"/>
      <c r="OQ74" s="98"/>
      <c r="OR74" s="98"/>
      <c r="OS74" s="98"/>
      <c r="OT74" s="98"/>
      <c r="OU74" s="98"/>
      <c r="OV74" s="98"/>
      <c r="OW74" s="98"/>
      <c r="OX74" s="98"/>
      <c r="OY74" s="98"/>
      <c r="OZ74" s="98"/>
      <c r="PA74" s="98"/>
      <c r="PB74" s="98"/>
      <c r="PC74" s="98"/>
      <c r="PD74" s="98"/>
      <c r="PE74" s="98"/>
      <c r="PF74" s="98"/>
      <c r="PG74" s="98"/>
      <c r="PH74" s="98"/>
      <c r="PI74" s="98"/>
      <c r="PJ74" s="98"/>
      <c r="PK74" s="98"/>
      <c r="PL74" s="98"/>
      <c r="PM74" s="98"/>
      <c r="PN74" s="98"/>
      <c r="PO74" s="98"/>
      <c r="PP74" s="98"/>
      <c r="PQ74" s="98"/>
      <c r="PR74" s="98"/>
      <c r="PS74" s="98"/>
      <c r="PT74" s="98"/>
      <c r="PU74" s="98"/>
      <c r="PV74" s="98"/>
      <c r="PW74" s="98"/>
      <c r="PX74" s="98"/>
      <c r="PY74" s="98"/>
      <c r="PZ74" s="98"/>
      <c r="QA74" s="98"/>
      <c r="QB74" s="98"/>
      <c r="QC74" s="98"/>
      <c r="QD74" s="98"/>
      <c r="QE74" s="98"/>
      <c r="QF74" s="98"/>
      <c r="QG74" s="98"/>
      <c r="QH74" s="98"/>
      <c r="QI74" s="98"/>
      <c r="QJ74" s="98"/>
      <c r="QK74" s="98"/>
      <c r="QL74" s="98"/>
      <c r="QM74" s="98"/>
      <c r="QN74" s="98"/>
      <c r="QO74" s="98"/>
      <c r="QP74" s="98"/>
      <c r="QQ74" s="98"/>
      <c r="QR74" s="98"/>
      <c r="QS74" s="98"/>
      <c r="QT74" s="98"/>
      <c r="QU74" s="98"/>
      <c r="QV74" s="98"/>
      <c r="QW74" s="98"/>
      <c r="QX74" s="98"/>
      <c r="QY74" s="98"/>
      <c r="QZ74" s="98"/>
      <c r="RA74" s="98"/>
      <c r="RB74" s="98"/>
      <c r="RC74" s="98"/>
      <c r="RD74" s="98"/>
      <c r="RE74" s="98"/>
      <c r="RF74" s="98"/>
      <c r="RG74" s="98"/>
      <c r="RH74" s="98"/>
      <c r="RI74" s="98"/>
      <c r="RJ74" s="98"/>
      <c r="RK74" s="98"/>
      <c r="RL74" s="98"/>
      <c r="RM74" s="98"/>
      <c r="RN74" s="98"/>
      <c r="RO74" s="98"/>
      <c r="RP74" s="98"/>
      <c r="RQ74" s="98"/>
      <c r="RR74" s="98"/>
      <c r="RS74" s="98"/>
      <c r="RT74" s="98"/>
      <c r="RU74" s="98"/>
      <c r="RV74" s="98"/>
      <c r="RW74" s="98"/>
      <c r="RX74" s="98"/>
      <c r="RY74" s="98"/>
      <c r="RZ74" s="98"/>
      <c r="SA74" s="98"/>
      <c r="SB74" s="98"/>
      <c r="SC74" s="98"/>
      <c r="SD74" s="98"/>
      <c r="SE74" s="98"/>
      <c r="SF74" s="98"/>
      <c r="SG74" s="98"/>
      <c r="SH74" s="98"/>
      <c r="SI74" s="98"/>
      <c r="SJ74" s="98"/>
      <c r="SK74" s="98"/>
      <c r="SL74" s="98"/>
      <c r="SM74" s="98"/>
      <c r="SN74" s="98"/>
      <c r="SO74" s="98"/>
      <c r="SP74" s="98"/>
      <c r="SQ74" s="98"/>
      <c r="SR74" s="98"/>
      <c r="SS74" s="98"/>
      <c r="ST74" s="98"/>
      <c r="SU74" s="98"/>
      <c r="SV74" s="98"/>
      <c r="SW74" s="98"/>
      <c r="SX74" s="98"/>
      <c r="SY74" s="98"/>
      <c r="SZ74" s="98"/>
      <c r="TA74" s="98"/>
      <c r="TB74" s="98"/>
      <c r="TC74" s="98"/>
      <c r="TD74" s="98"/>
      <c r="TE74" s="98"/>
      <c r="TF74" s="98"/>
      <c r="TG74" s="98"/>
      <c r="TH74" s="98"/>
      <c r="TI74" s="98"/>
      <c r="TJ74" s="98"/>
      <c r="TK74" s="98"/>
      <c r="TL74" s="98"/>
      <c r="TM74" s="98"/>
      <c r="TN74" s="98"/>
      <c r="TO74" s="98"/>
      <c r="TP74" s="98"/>
      <c r="TQ74" s="98"/>
      <c r="TR74" s="98"/>
      <c r="TS74" s="98"/>
      <c r="TT74" s="98"/>
      <c r="TU74" s="98"/>
      <c r="TV74" s="98"/>
      <c r="TW74" s="98"/>
      <c r="TX74" s="98"/>
      <c r="TY74" s="98"/>
      <c r="TZ74" s="98"/>
      <c r="UA74" s="98"/>
      <c r="UB74" s="98"/>
      <c r="UC74" s="98"/>
      <c r="UD74" s="98"/>
      <c r="UE74" s="98"/>
      <c r="UF74" s="98"/>
      <c r="UG74" s="98"/>
      <c r="UH74" s="98"/>
      <c r="UI74" s="98"/>
      <c r="UJ74" s="98"/>
      <c r="UK74" s="98"/>
      <c r="UL74" s="98"/>
      <c r="UM74" s="98"/>
      <c r="UN74" s="98"/>
      <c r="UO74" s="98"/>
      <c r="UP74" s="98"/>
      <c r="UQ74" s="98"/>
      <c r="UR74" s="98"/>
      <c r="US74" s="98"/>
      <c r="UT74" s="98"/>
      <c r="UU74" s="98"/>
      <c r="UV74" s="98"/>
      <c r="UW74" s="98"/>
      <c r="UX74" s="98"/>
      <c r="UY74" s="98"/>
      <c r="UZ74" s="98"/>
      <c r="VA74" s="98"/>
      <c r="VB74" s="98"/>
      <c r="VC74" s="98"/>
      <c r="VD74" s="98"/>
      <c r="VE74" s="98"/>
      <c r="VF74" s="98"/>
      <c r="VG74" s="98"/>
      <c r="VH74" s="98"/>
      <c r="VI74" s="98"/>
      <c r="VJ74" s="98"/>
      <c r="VK74" s="98"/>
      <c r="VL74" s="98"/>
      <c r="VM74" s="98"/>
      <c r="VN74" s="98"/>
      <c r="VO74" s="98"/>
      <c r="VP74" s="98"/>
      <c r="VQ74" s="98"/>
      <c r="VR74" s="98"/>
      <c r="VS74" s="98"/>
      <c r="VT74" s="98"/>
      <c r="VU74" s="98"/>
      <c r="VV74" s="98"/>
      <c r="VW74" s="98"/>
      <c r="VX74" s="98"/>
      <c r="VY74" s="98"/>
      <c r="VZ74" s="98"/>
      <c r="WA74" s="98"/>
      <c r="WB74" s="98"/>
      <c r="WC74" s="98"/>
      <c r="WD74" s="98"/>
      <c r="WE74" s="98"/>
      <c r="WF74" s="98"/>
      <c r="WG74" s="98"/>
      <c r="WH74" s="98"/>
      <c r="WI74" s="98"/>
      <c r="WJ74" s="98"/>
      <c r="WK74" s="98"/>
      <c r="WL74" s="98"/>
      <c r="WM74" s="98"/>
      <c r="WN74" s="98"/>
      <c r="WO74" s="98"/>
      <c r="WP74" s="98"/>
      <c r="WQ74" s="98"/>
      <c r="WR74" s="98"/>
      <c r="WS74" s="98"/>
      <c r="WT74" s="98"/>
      <c r="WU74" s="98"/>
      <c r="WV74" s="98"/>
      <c r="WW74" s="98"/>
      <c r="WX74" s="98"/>
      <c r="WY74" s="98"/>
      <c r="WZ74" s="98"/>
      <c r="XA74" s="98"/>
      <c r="XB74" s="98"/>
      <c r="XC74" s="98"/>
      <c r="XD74" s="98"/>
      <c r="XE74" s="98"/>
      <c r="XF74" s="98"/>
      <c r="XG74" s="98"/>
      <c r="XH74" s="98"/>
      <c r="XI74" s="98"/>
      <c r="XJ74" s="98"/>
      <c r="XK74" s="98"/>
      <c r="XL74" s="98"/>
      <c r="XM74" s="98"/>
      <c r="XN74" s="98"/>
      <c r="XO74" s="98"/>
      <c r="XP74" s="98"/>
      <c r="XQ74" s="98"/>
      <c r="XR74" s="98"/>
      <c r="XS74" s="98"/>
      <c r="XT74" s="98"/>
      <c r="XU74" s="98"/>
      <c r="XV74" s="98"/>
      <c r="XW74" s="98"/>
      <c r="XX74" s="98"/>
      <c r="XY74" s="98"/>
      <c r="XZ74" s="98"/>
      <c r="YA74" s="98"/>
      <c r="YB74" s="98"/>
      <c r="YC74" s="98"/>
      <c r="YD74" s="98"/>
      <c r="YE74" s="98"/>
      <c r="YF74" s="98"/>
      <c r="YG74" s="98"/>
      <c r="YH74" s="98"/>
      <c r="YI74" s="98"/>
      <c r="YJ74" s="98"/>
      <c r="YK74" s="98"/>
      <c r="YL74" s="98"/>
      <c r="YM74" s="98"/>
      <c r="YN74" s="98"/>
      <c r="YO74" s="98"/>
      <c r="YP74" s="98"/>
      <c r="YQ74" s="98"/>
      <c r="YR74" s="98"/>
      <c r="YS74" s="98"/>
      <c r="YT74" s="98"/>
      <c r="YU74" s="98"/>
      <c r="YV74" s="98"/>
      <c r="YW74" s="98"/>
      <c r="YX74" s="98"/>
      <c r="YY74" s="98"/>
      <c r="YZ74" s="98"/>
      <c r="ZA74" s="98"/>
      <c r="ZB74" s="98"/>
      <c r="ZC74" s="98"/>
      <c r="ZD74" s="98"/>
      <c r="ZE74" s="98"/>
      <c r="ZF74" s="98"/>
      <c r="ZG74" s="98"/>
      <c r="ZH74" s="98"/>
      <c r="ZI74" s="98"/>
      <c r="ZJ74" s="98"/>
      <c r="ZK74" s="98"/>
      <c r="ZL74" s="98"/>
      <c r="ZM74" s="98"/>
      <c r="ZN74" s="98"/>
      <c r="ZO74" s="98"/>
      <c r="ZP74" s="98"/>
      <c r="ZQ74" s="98"/>
      <c r="ZR74" s="98"/>
      <c r="ZS74" s="98"/>
      <c r="ZT74" s="98"/>
      <c r="ZU74" s="98"/>
      <c r="ZV74" s="98"/>
      <c r="ZW74" s="98"/>
      <c r="ZX74" s="98"/>
      <c r="ZY74" s="98"/>
      <c r="ZZ74" s="98"/>
      <c r="AAA74" s="98"/>
      <c r="AAB74" s="98"/>
      <c r="AAC74" s="98"/>
      <c r="AAD74" s="98"/>
      <c r="AAE74" s="98"/>
      <c r="AAF74" s="98"/>
      <c r="AAG74" s="98"/>
      <c r="AAH74" s="98"/>
      <c r="AAI74" s="98"/>
      <c r="AAJ74" s="98"/>
      <c r="AAK74" s="98"/>
      <c r="AAL74" s="98"/>
      <c r="AAM74" s="98"/>
      <c r="AAN74" s="98"/>
      <c r="AAO74" s="98"/>
      <c r="AAP74" s="98"/>
      <c r="AAQ74" s="98"/>
      <c r="AAR74" s="98"/>
      <c r="AAS74" s="98"/>
      <c r="AAT74" s="98"/>
      <c r="AAU74" s="98"/>
      <c r="AAV74" s="98"/>
      <c r="AAW74" s="98"/>
      <c r="AAX74" s="98"/>
      <c r="AAY74" s="98"/>
      <c r="AAZ74" s="98"/>
      <c r="ABA74" s="98"/>
      <c r="ABB74" s="98"/>
      <c r="ABC74" s="98"/>
      <c r="ABD74" s="98"/>
      <c r="ABE74" s="98"/>
      <c r="ABF74" s="98"/>
      <c r="ABG74" s="98"/>
      <c r="ABH74" s="98"/>
      <c r="ABI74" s="98"/>
      <c r="ABJ74" s="98"/>
      <c r="ABK74" s="98"/>
      <c r="ABL74" s="98"/>
      <c r="ABM74" s="98"/>
      <c r="ABN74" s="98"/>
      <c r="ABO74" s="98"/>
      <c r="ABP74" s="98"/>
      <c r="ABQ74" s="98"/>
      <c r="ABR74" s="98"/>
      <c r="ABS74" s="98"/>
      <c r="ABT74" s="98"/>
      <c r="ABU74" s="98"/>
      <c r="ABV74" s="98"/>
      <c r="ABW74" s="98"/>
      <c r="ABX74" s="98"/>
      <c r="ABY74" s="98"/>
      <c r="ABZ74" s="98"/>
      <c r="ACA74" s="98"/>
      <c r="ACB74" s="98"/>
      <c r="ACC74" s="98"/>
      <c r="ACD74" s="98"/>
      <c r="ACE74" s="98"/>
      <c r="ACF74" s="98"/>
      <c r="ACG74" s="98"/>
      <c r="ACH74" s="98"/>
      <c r="ACI74" s="98"/>
      <c r="ACJ74" s="98"/>
      <c r="ACK74" s="98"/>
      <c r="ACL74" s="98"/>
      <c r="ACM74" s="98"/>
      <c r="ACN74" s="98"/>
      <c r="ACO74" s="98"/>
      <c r="ACP74" s="98"/>
      <c r="ACQ74" s="98"/>
      <c r="ACR74" s="98"/>
      <c r="ACS74" s="98"/>
      <c r="ACT74" s="98"/>
      <c r="ACU74" s="98"/>
      <c r="ACV74" s="98"/>
      <c r="ACW74" s="98"/>
      <c r="ACX74" s="98"/>
      <c r="ACY74" s="98"/>
      <c r="ACZ74" s="98"/>
      <c r="ADA74" s="98"/>
      <c r="ADB74" s="98"/>
      <c r="ADC74" s="98"/>
      <c r="ADD74" s="98"/>
      <c r="ADE74" s="98"/>
      <c r="ADF74" s="98"/>
      <c r="ADG74" s="98"/>
      <c r="ADH74" s="98"/>
      <c r="ADI74" s="98"/>
      <c r="ADJ74" s="98"/>
      <c r="ADK74" s="98"/>
      <c r="ADL74" s="98"/>
      <c r="ADM74" s="98"/>
      <c r="ADN74" s="98"/>
      <c r="ADO74" s="98"/>
      <c r="ADP74" s="98"/>
      <c r="ADQ74" s="98"/>
      <c r="ADR74" s="98"/>
      <c r="ADS74" s="98"/>
      <c r="ADT74" s="98"/>
      <c r="ADU74" s="98"/>
      <c r="ADV74" s="98"/>
      <c r="ADW74" s="98"/>
      <c r="ADX74" s="98"/>
      <c r="ADY74" s="98"/>
      <c r="ADZ74" s="98"/>
      <c r="AEA74" s="98"/>
      <c r="AEB74" s="98"/>
      <c r="AEC74" s="98"/>
      <c r="AED74" s="98"/>
      <c r="AEE74" s="98"/>
      <c r="AEF74" s="98"/>
      <c r="AEG74" s="98"/>
      <c r="AEH74" s="98"/>
      <c r="AEI74" s="98"/>
      <c r="AEJ74" s="98"/>
      <c r="AEK74" s="98"/>
      <c r="AEL74" s="98"/>
      <c r="AEM74" s="98"/>
      <c r="AEN74" s="98"/>
      <c r="AEO74" s="98"/>
      <c r="AEP74" s="98"/>
      <c r="AEQ74" s="98"/>
      <c r="AER74" s="98"/>
      <c r="AES74" s="98"/>
      <c r="AET74" s="98"/>
      <c r="AEU74" s="98"/>
      <c r="AEV74" s="98"/>
      <c r="AEW74" s="98"/>
      <c r="AEX74" s="98"/>
      <c r="AEY74" s="98"/>
      <c r="AEZ74" s="98"/>
      <c r="AFA74" s="98"/>
      <c r="AFB74" s="98"/>
      <c r="AFC74" s="98"/>
      <c r="AFD74" s="98"/>
      <c r="AFE74" s="98"/>
      <c r="AFF74" s="98"/>
      <c r="AFG74" s="98"/>
      <c r="AFH74" s="98"/>
      <c r="AFI74" s="98"/>
      <c r="AFJ74" s="98"/>
      <c r="AFK74" s="98"/>
      <c r="AFL74" s="98"/>
      <c r="AFM74" s="98"/>
      <c r="AFN74" s="98"/>
      <c r="AFO74" s="98"/>
      <c r="AFP74" s="98"/>
      <c r="AFQ74" s="98"/>
      <c r="AFR74" s="98"/>
      <c r="AFS74" s="98"/>
      <c r="AFT74" s="98"/>
      <c r="AFU74" s="98"/>
      <c r="AFV74" s="98"/>
      <c r="AFW74" s="98"/>
      <c r="AFX74" s="98"/>
      <c r="AFY74" s="98"/>
      <c r="AFZ74" s="98"/>
      <c r="AGA74" s="98"/>
      <c r="AGB74" s="98"/>
      <c r="AGC74" s="98"/>
      <c r="AGD74" s="98"/>
      <c r="AGE74" s="98"/>
      <c r="AGF74" s="98"/>
      <c r="AGG74" s="98"/>
      <c r="AGH74" s="98"/>
      <c r="AGI74" s="98"/>
      <c r="AGJ74" s="98"/>
      <c r="AGK74" s="98"/>
      <c r="AGL74" s="98"/>
      <c r="AGM74" s="98"/>
      <c r="AGN74" s="98"/>
      <c r="AGO74" s="98"/>
      <c r="AGP74" s="98"/>
      <c r="AGQ74" s="98"/>
      <c r="AGR74" s="98"/>
      <c r="AGS74" s="98"/>
      <c r="AGT74" s="98"/>
      <c r="AGU74" s="98"/>
      <c r="AGV74" s="98"/>
      <c r="AGW74" s="98"/>
      <c r="AGX74" s="98"/>
      <c r="AGY74" s="98"/>
      <c r="AGZ74" s="98"/>
      <c r="AHA74" s="98"/>
      <c r="AHB74" s="98"/>
      <c r="AHC74" s="98"/>
      <c r="AHD74" s="98"/>
      <c r="AHE74" s="98"/>
      <c r="AHF74" s="98"/>
      <c r="AHG74" s="98"/>
      <c r="AHH74" s="98"/>
      <c r="AHI74" s="98"/>
      <c r="AHJ74" s="98"/>
      <c r="AHK74" s="98"/>
      <c r="AHL74" s="98"/>
      <c r="AHM74" s="98"/>
      <c r="AHN74" s="98"/>
      <c r="AHO74" s="98"/>
      <c r="AHP74" s="98"/>
      <c r="AHQ74" s="98"/>
      <c r="AHR74" s="98"/>
      <c r="AHS74" s="98"/>
      <c r="AHT74" s="98"/>
      <c r="AHU74" s="98"/>
      <c r="AHV74" s="98"/>
      <c r="AHW74" s="98"/>
      <c r="AHX74" s="98"/>
      <c r="AHY74" s="98"/>
      <c r="AHZ74" s="98"/>
      <c r="AIA74" s="98"/>
      <c r="AIB74" s="98"/>
      <c r="AIC74" s="98"/>
      <c r="AID74" s="98"/>
      <c r="AIE74" s="98"/>
      <c r="AIF74" s="98"/>
      <c r="AIG74" s="98"/>
      <c r="AIH74" s="98"/>
      <c r="AII74" s="98"/>
      <c r="AIJ74" s="98"/>
      <c r="AIK74" s="98"/>
      <c r="AIL74" s="98"/>
      <c r="AIM74" s="98"/>
      <c r="AIN74" s="98"/>
      <c r="AIO74" s="98"/>
      <c r="AIP74" s="98"/>
      <c r="AIQ74" s="98"/>
      <c r="AIR74" s="98"/>
      <c r="AIS74" s="98"/>
      <c r="AIT74" s="98"/>
      <c r="AIU74" s="98"/>
      <c r="AIV74" s="98"/>
      <c r="AIW74" s="98"/>
      <c r="AIX74" s="98"/>
      <c r="AIY74" s="98"/>
      <c r="AIZ74" s="98"/>
      <c r="AJA74" s="98"/>
      <c r="AJB74" s="98"/>
      <c r="AJC74" s="98"/>
      <c r="AJD74" s="98"/>
      <c r="AJE74" s="98"/>
      <c r="AJF74" s="98"/>
      <c r="AJG74" s="98"/>
      <c r="AJH74" s="98"/>
      <c r="AJI74" s="98"/>
      <c r="AJJ74" s="98"/>
      <c r="AJK74" s="98"/>
      <c r="AJL74" s="98"/>
      <c r="AJM74" s="98"/>
      <c r="AJN74" s="98"/>
      <c r="AJO74" s="98"/>
      <c r="AJP74" s="98"/>
      <c r="AJQ74" s="98"/>
      <c r="AJR74" s="98"/>
      <c r="AJS74" s="98"/>
      <c r="AJT74" s="98"/>
      <c r="AJU74" s="98"/>
      <c r="AJV74" s="98"/>
      <c r="AJW74" s="98"/>
      <c r="AJX74" s="98"/>
      <c r="AJY74" s="98"/>
      <c r="AJZ74" s="98"/>
      <c r="AKA74" s="98"/>
      <c r="AKB74" s="98"/>
      <c r="AKC74" s="98"/>
      <c r="AKD74" s="98"/>
      <c r="AKE74" s="98"/>
      <c r="AKF74" s="98"/>
      <c r="AKG74" s="98"/>
      <c r="AKH74" s="98"/>
      <c r="AKI74" s="98"/>
      <c r="AKJ74" s="98"/>
      <c r="AKK74" s="98"/>
      <c r="AKL74" s="98"/>
      <c r="AKM74" s="98"/>
      <c r="AKN74" s="98"/>
      <c r="AKO74" s="98"/>
      <c r="AKP74" s="98"/>
      <c r="AKQ74" s="98"/>
      <c r="AKR74" s="98"/>
      <c r="AKS74" s="98"/>
      <c r="AKT74" s="98"/>
      <c r="AKU74" s="98"/>
      <c r="AKV74" s="98"/>
      <c r="AKW74" s="98"/>
      <c r="AKX74" s="98"/>
      <c r="AKY74" s="98"/>
      <c r="AKZ74" s="98"/>
      <c r="ALA74" s="98"/>
      <c r="ALB74" s="98"/>
      <c r="ALC74" s="98"/>
      <c r="ALD74" s="98"/>
      <c r="ALE74" s="98"/>
      <c r="ALF74" s="98"/>
      <c r="ALG74" s="98"/>
      <c r="ALH74" s="98"/>
      <c r="ALI74" s="98"/>
      <c r="ALJ74" s="98"/>
      <c r="ALK74" s="98"/>
      <c r="ALL74" s="98"/>
      <c r="ALM74" s="98"/>
      <c r="ALN74" s="98"/>
      <c r="ALO74" s="98"/>
      <c r="ALP74" s="98"/>
      <c r="ALQ74" s="98"/>
      <c r="ALR74" s="98"/>
      <c r="ALS74" s="98"/>
      <c r="ALT74" s="98"/>
      <c r="ALU74" s="98"/>
      <c r="ALV74" s="98"/>
      <c r="ALW74" s="98"/>
      <c r="ALX74" s="98"/>
      <c r="ALY74" s="98"/>
      <c r="ALZ74" s="98"/>
      <c r="AMA74" s="98"/>
      <c r="AMB74" s="98"/>
      <c r="AMC74" s="98"/>
      <c r="AMD74" s="98"/>
      <c r="AME74" s="98"/>
      <c r="AMF74" s="98"/>
      <c r="AMG74" s="98"/>
      <c r="AMH74" s="98"/>
      <c r="AMI74" s="98"/>
      <c r="AMJ74" s="98"/>
      <c r="AMK74" s="98"/>
      <c r="AML74" s="98"/>
      <c r="AMM74" s="98"/>
      <c r="AMN74" s="98"/>
      <c r="AMO74" s="98"/>
      <c r="AMP74" s="98"/>
      <c r="AMQ74" s="98"/>
      <c r="AMR74" s="98"/>
      <c r="AMS74" s="98"/>
      <c r="AMT74" s="98"/>
      <c r="AMU74" s="98"/>
      <c r="AMV74" s="98"/>
      <c r="AMW74" s="98"/>
      <c r="AMX74" s="98"/>
      <c r="AMY74" s="98"/>
      <c r="AMZ74" s="98"/>
      <c r="ANA74" s="98"/>
      <c r="ANB74" s="98"/>
      <c r="ANC74" s="98"/>
      <c r="AND74" s="98"/>
      <c r="ANE74" s="98"/>
      <c r="ANF74" s="98"/>
      <c r="ANG74" s="98"/>
      <c r="ANH74" s="98"/>
      <c r="ANI74" s="98"/>
      <c r="ANJ74" s="98"/>
      <c r="ANK74" s="98"/>
      <c r="ANL74" s="98"/>
      <c r="ANM74" s="98"/>
      <c r="ANN74" s="98"/>
      <c r="ANO74" s="98"/>
      <c r="ANP74" s="98"/>
      <c r="ANQ74" s="98"/>
      <c r="ANR74" s="98"/>
      <c r="ANS74" s="98"/>
      <c r="ANT74" s="98"/>
      <c r="ANU74" s="98"/>
      <c r="ANV74" s="98"/>
      <c r="ANW74" s="98"/>
      <c r="ANX74" s="98"/>
      <c r="ANY74" s="98"/>
      <c r="ANZ74" s="98"/>
      <c r="AOA74" s="98"/>
      <c r="AOB74" s="98"/>
      <c r="AOC74" s="98"/>
      <c r="AOD74" s="98"/>
      <c r="AOE74" s="98"/>
      <c r="AOF74" s="98"/>
      <c r="AOG74" s="98"/>
      <c r="AOH74" s="98"/>
      <c r="AOI74" s="98"/>
      <c r="AOJ74" s="98"/>
      <c r="AOK74" s="98"/>
      <c r="AOL74" s="98"/>
      <c r="AOM74" s="98"/>
      <c r="AON74" s="98"/>
      <c r="AOO74" s="98"/>
      <c r="AOP74" s="98"/>
      <c r="AOQ74" s="98"/>
      <c r="AOR74" s="98"/>
      <c r="AOS74" s="98"/>
      <c r="AOT74" s="98"/>
      <c r="AOU74" s="98"/>
      <c r="AOV74" s="98"/>
      <c r="AOW74" s="98"/>
      <c r="AOX74" s="98"/>
      <c r="AOY74" s="98"/>
      <c r="AOZ74" s="98"/>
      <c r="APA74" s="98"/>
      <c r="APB74" s="98"/>
      <c r="APC74" s="98"/>
      <c r="APD74" s="98"/>
      <c r="APE74" s="98"/>
      <c r="APF74" s="98"/>
      <c r="APG74" s="98"/>
      <c r="APH74" s="98"/>
      <c r="API74" s="98"/>
      <c r="APJ74" s="98"/>
      <c r="APK74" s="98"/>
      <c r="APL74" s="98"/>
      <c r="APM74" s="98"/>
      <c r="APN74" s="98"/>
      <c r="APO74" s="98"/>
      <c r="APP74" s="98"/>
      <c r="APQ74" s="98"/>
      <c r="APR74" s="98"/>
      <c r="APS74" s="98"/>
      <c r="APT74" s="98"/>
      <c r="APU74" s="98"/>
      <c r="APV74" s="98"/>
      <c r="APW74" s="98"/>
      <c r="APX74" s="98"/>
      <c r="APY74" s="98"/>
      <c r="APZ74" s="98"/>
      <c r="AQA74" s="98"/>
      <c r="AQB74" s="98"/>
      <c r="AQC74" s="98"/>
      <c r="AQD74" s="98"/>
      <c r="AQE74" s="98"/>
      <c r="AQF74" s="98"/>
      <c r="AQG74" s="98"/>
      <c r="AQH74" s="98"/>
      <c r="AQI74" s="98"/>
      <c r="AQJ74" s="98"/>
      <c r="AQK74" s="98"/>
      <c r="AQL74" s="98"/>
      <c r="AQM74" s="98"/>
      <c r="AQN74" s="98"/>
      <c r="AQO74" s="98"/>
      <c r="AQP74" s="98"/>
      <c r="AQQ74" s="98"/>
      <c r="AQR74" s="98"/>
      <c r="AQS74" s="98"/>
      <c r="AQT74" s="98"/>
      <c r="AQU74" s="98"/>
      <c r="AQV74" s="98"/>
      <c r="AQW74" s="98"/>
      <c r="AQX74" s="98"/>
      <c r="AQY74" s="98"/>
      <c r="AQZ74" s="98"/>
      <c r="ARA74" s="98"/>
      <c r="ARB74" s="98"/>
      <c r="ARC74" s="98"/>
      <c r="ARD74" s="98"/>
      <c r="ARE74" s="98"/>
      <c r="ARF74" s="98"/>
      <c r="ARG74" s="98"/>
      <c r="ARH74" s="98"/>
      <c r="ARI74" s="98"/>
      <c r="ARJ74" s="98"/>
      <c r="ARK74" s="98"/>
      <c r="ARL74" s="98"/>
      <c r="ARM74" s="98"/>
      <c r="ARN74" s="98"/>
      <c r="ARO74" s="98"/>
      <c r="ARP74" s="98"/>
      <c r="ARQ74" s="98"/>
      <c r="ARR74" s="98"/>
      <c r="ARS74" s="98"/>
    </row>
    <row r="75" spans="1:1163" s="174" customFormat="1">
      <c r="A75" s="140" t="s">
        <v>133</v>
      </c>
      <c r="B75" s="119" t="s">
        <v>67</v>
      </c>
      <c r="C75" s="201">
        <v>0</v>
      </c>
      <c r="D75" s="201">
        <v>0</v>
      </c>
      <c r="E75" s="201">
        <v>0</v>
      </c>
      <c r="F75" s="201">
        <v>0</v>
      </c>
      <c r="G75" s="201">
        <v>0</v>
      </c>
      <c r="H75" s="201">
        <v>0</v>
      </c>
      <c r="I75" s="201">
        <v>0</v>
      </c>
      <c r="J75" s="201">
        <v>0</v>
      </c>
      <c r="K75" s="201">
        <v>0</v>
      </c>
      <c r="L75" s="201">
        <v>0</v>
      </c>
      <c r="M75" s="201">
        <v>0</v>
      </c>
      <c r="N75" s="201">
        <v>0</v>
      </c>
      <c r="O75" s="201">
        <v>145</v>
      </c>
      <c r="P75" s="201">
        <v>45000</v>
      </c>
      <c r="Q75" s="175">
        <v>585</v>
      </c>
      <c r="R75" s="175">
        <v>50000</v>
      </c>
      <c r="S75" s="197">
        <v>0</v>
      </c>
      <c r="T75" s="197">
        <v>0</v>
      </c>
      <c r="U75" s="197">
        <v>0</v>
      </c>
      <c r="V75" s="197">
        <v>0</v>
      </c>
      <c r="W75" s="197">
        <v>740</v>
      </c>
      <c r="X75" s="197">
        <v>1041390</v>
      </c>
      <c r="Y75" s="197">
        <v>748</v>
      </c>
      <c r="Z75" s="197">
        <v>824801</v>
      </c>
      <c r="AA75" s="209">
        <v>1086</v>
      </c>
      <c r="AB75" s="209">
        <v>399869</v>
      </c>
      <c r="AC75" s="175">
        <v>5358</v>
      </c>
      <c r="AD75" s="175">
        <v>1757075</v>
      </c>
      <c r="AE75" s="201">
        <v>2034</v>
      </c>
      <c r="AF75" s="201">
        <v>559171</v>
      </c>
      <c r="AG75" s="201">
        <v>1028</v>
      </c>
      <c r="AH75" s="201">
        <v>316058</v>
      </c>
      <c r="AI75" s="201">
        <v>0</v>
      </c>
      <c r="AJ75" s="201">
        <v>0</v>
      </c>
      <c r="AK75" s="201">
        <v>946</v>
      </c>
      <c r="AL75" s="201">
        <v>283695</v>
      </c>
      <c r="AM75" s="176">
        <v>958</v>
      </c>
      <c r="AN75" s="176">
        <v>287457</v>
      </c>
      <c r="AO75" s="201">
        <v>0</v>
      </c>
      <c r="AP75" s="201">
        <v>0</v>
      </c>
      <c r="AQ75" s="201">
        <v>0</v>
      </c>
      <c r="AR75" s="201">
        <v>0</v>
      </c>
      <c r="AS75" s="201">
        <v>0</v>
      </c>
      <c r="AT75" s="201">
        <v>0</v>
      </c>
      <c r="AU75" s="209">
        <v>0</v>
      </c>
      <c r="AV75" s="209">
        <v>0</v>
      </c>
      <c r="AW75" s="175">
        <v>0</v>
      </c>
      <c r="AX75" s="175">
        <v>0</v>
      </c>
      <c r="AY75" s="175">
        <v>0</v>
      </c>
      <c r="AZ75" s="175">
        <v>0</v>
      </c>
      <c r="BA75" s="177"/>
      <c r="BB75" s="197"/>
      <c r="BC75" s="197"/>
      <c r="BD75" s="197"/>
      <c r="BE75" s="197"/>
      <c r="BF75" s="197"/>
      <c r="BG75" s="197"/>
      <c r="BH75" s="197"/>
      <c r="BI75" s="197"/>
      <c r="BJ75" s="98"/>
      <c r="BK75" s="11"/>
      <c r="BL75" s="148"/>
      <c r="BM75" s="148"/>
      <c r="BN75" s="14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c r="EH75" s="98"/>
      <c r="EI75" s="98"/>
      <c r="EJ75" s="98"/>
      <c r="EK75" s="98"/>
      <c r="EL75" s="98"/>
      <c r="EM75" s="98"/>
      <c r="EN75" s="98"/>
      <c r="EO75" s="98"/>
      <c r="EP75" s="98"/>
      <c r="EQ75" s="98"/>
      <c r="ER75" s="98"/>
      <c r="ES75" s="98"/>
      <c r="ET75" s="98"/>
      <c r="EU75" s="98"/>
      <c r="EV75" s="98"/>
      <c r="EW75" s="98"/>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c r="IW75" s="98"/>
      <c r="IX75" s="98"/>
      <c r="IY75" s="98"/>
      <c r="IZ75" s="98"/>
      <c r="JA75" s="98"/>
      <c r="JB75" s="98"/>
      <c r="JC75" s="98"/>
      <c r="JD75" s="98"/>
      <c r="JE75" s="98"/>
      <c r="JF75" s="98"/>
      <c r="JG75" s="98"/>
      <c r="JH75" s="98"/>
      <c r="JI75" s="98"/>
      <c r="JJ75" s="98"/>
      <c r="JK75" s="98"/>
      <c r="JL75" s="98"/>
      <c r="JM75" s="98"/>
      <c r="JN75" s="98"/>
      <c r="JO75" s="98"/>
      <c r="JP75" s="98"/>
      <c r="JQ75" s="98"/>
      <c r="JR75" s="98"/>
      <c r="JS75" s="98"/>
      <c r="JT75" s="98"/>
      <c r="JU75" s="98"/>
      <c r="JV75" s="98"/>
      <c r="JW75" s="98"/>
      <c r="JX75" s="98"/>
      <c r="JY75" s="98"/>
      <c r="JZ75" s="98"/>
      <c r="KA75" s="98"/>
      <c r="KB75" s="98"/>
      <c r="KC75" s="98"/>
      <c r="KD75" s="98"/>
      <c r="KE75" s="98"/>
      <c r="KF75" s="98"/>
      <c r="KG75" s="98"/>
      <c r="KH75" s="98"/>
      <c r="KI75" s="98"/>
      <c r="KJ75" s="98"/>
      <c r="KK75" s="98"/>
      <c r="KL75" s="98"/>
      <c r="KM75" s="98"/>
      <c r="KN75" s="98"/>
      <c r="KO75" s="98"/>
      <c r="KP75" s="98"/>
      <c r="KQ75" s="98"/>
      <c r="KR75" s="98"/>
      <c r="KS75" s="98"/>
      <c r="KT75" s="98"/>
      <c r="KU75" s="98"/>
      <c r="KV75" s="98"/>
      <c r="KW75" s="98"/>
      <c r="KX75" s="98"/>
      <c r="KY75" s="98"/>
      <c r="KZ75" s="98"/>
      <c r="LA75" s="98"/>
      <c r="LB75" s="98"/>
      <c r="LC75" s="98"/>
      <c r="LD75" s="98"/>
      <c r="LE75" s="98"/>
      <c r="LF75" s="98"/>
      <c r="LG75" s="98"/>
      <c r="LH75" s="98"/>
      <c r="LI75" s="98"/>
      <c r="LJ75" s="98"/>
      <c r="LK75" s="98"/>
      <c r="LL75" s="98"/>
      <c r="LM75" s="98"/>
      <c r="LN75" s="98"/>
      <c r="LO75" s="98"/>
      <c r="LP75" s="98"/>
      <c r="LQ75" s="98"/>
      <c r="LR75" s="98"/>
      <c r="LS75" s="98"/>
      <c r="LT75" s="98"/>
      <c r="LU75" s="98"/>
      <c r="LV75" s="98"/>
      <c r="LW75" s="98"/>
      <c r="LX75" s="98"/>
      <c r="LY75" s="98"/>
      <c r="LZ75" s="98"/>
      <c r="MA75" s="98"/>
      <c r="MB75" s="98"/>
      <c r="MC75" s="98"/>
      <c r="MD75" s="98"/>
      <c r="ME75" s="98"/>
      <c r="MF75" s="98"/>
      <c r="MG75" s="98"/>
      <c r="MH75" s="98"/>
      <c r="MI75" s="98"/>
      <c r="MJ75" s="98"/>
      <c r="MK75" s="98"/>
      <c r="ML75" s="98"/>
      <c r="MM75" s="98"/>
      <c r="MN75" s="98"/>
      <c r="MO75" s="98"/>
      <c r="MP75" s="98"/>
      <c r="MQ75" s="98"/>
      <c r="MR75" s="98"/>
      <c r="MS75" s="98"/>
      <c r="MT75" s="98"/>
      <c r="MU75" s="98"/>
      <c r="MV75" s="98"/>
      <c r="MW75" s="98"/>
      <c r="MX75" s="98"/>
      <c r="MY75" s="98"/>
      <c r="MZ75" s="98"/>
      <c r="NA75" s="98"/>
      <c r="NB75" s="98"/>
      <c r="NC75" s="98"/>
      <c r="ND75" s="98"/>
      <c r="NE75" s="98"/>
      <c r="NF75" s="98"/>
      <c r="NG75" s="98"/>
      <c r="NH75" s="98"/>
      <c r="NI75" s="98"/>
      <c r="NJ75" s="98"/>
      <c r="NK75" s="98"/>
      <c r="NL75" s="98"/>
      <c r="NM75" s="98"/>
      <c r="NN75" s="98"/>
      <c r="NO75" s="98"/>
      <c r="NP75" s="98"/>
      <c r="NQ75" s="98"/>
      <c r="NR75" s="98"/>
      <c r="NS75" s="98"/>
      <c r="NT75" s="98"/>
      <c r="NU75" s="98"/>
      <c r="NV75" s="98"/>
      <c r="NW75" s="98"/>
      <c r="NX75" s="98"/>
      <c r="NY75" s="98"/>
      <c r="NZ75" s="98"/>
      <c r="OA75" s="98"/>
      <c r="OB75" s="98"/>
      <c r="OC75" s="98"/>
      <c r="OD75" s="98"/>
      <c r="OE75" s="98"/>
      <c r="OF75" s="98"/>
      <c r="OG75" s="98"/>
      <c r="OH75" s="98"/>
      <c r="OI75" s="98"/>
      <c r="OJ75" s="98"/>
      <c r="OK75" s="98"/>
      <c r="OL75" s="98"/>
      <c r="OM75" s="98"/>
      <c r="ON75" s="98"/>
      <c r="OO75" s="98"/>
      <c r="OP75" s="98"/>
      <c r="OQ75" s="98"/>
      <c r="OR75" s="98"/>
      <c r="OS75" s="98"/>
      <c r="OT75" s="98"/>
      <c r="OU75" s="98"/>
      <c r="OV75" s="98"/>
      <c r="OW75" s="98"/>
      <c r="OX75" s="98"/>
      <c r="OY75" s="98"/>
      <c r="OZ75" s="98"/>
      <c r="PA75" s="98"/>
      <c r="PB75" s="98"/>
      <c r="PC75" s="98"/>
      <c r="PD75" s="98"/>
      <c r="PE75" s="98"/>
      <c r="PF75" s="98"/>
      <c r="PG75" s="98"/>
      <c r="PH75" s="98"/>
      <c r="PI75" s="98"/>
      <c r="PJ75" s="98"/>
      <c r="PK75" s="98"/>
      <c r="PL75" s="98"/>
      <c r="PM75" s="98"/>
      <c r="PN75" s="98"/>
      <c r="PO75" s="98"/>
      <c r="PP75" s="98"/>
      <c r="PQ75" s="98"/>
      <c r="PR75" s="98"/>
      <c r="PS75" s="98"/>
      <c r="PT75" s="98"/>
      <c r="PU75" s="98"/>
      <c r="PV75" s="98"/>
      <c r="PW75" s="98"/>
      <c r="PX75" s="98"/>
      <c r="PY75" s="98"/>
      <c r="PZ75" s="98"/>
      <c r="QA75" s="98"/>
      <c r="QB75" s="98"/>
      <c r="QC75" s="98"/>
      <c r="QD75" s="98"/>
      <c r="QE75" s="98"/>
      <c r="QF75" s="98"/>
      <c r="QG75" s="98"/>
      <c r="QH75" s="98"/>
      <c r="QI75" s="98"/>
      <c r="QJ75" s="98"/>
      <c r="QK75" s="98"/>
      <c r="QL75" s="98"/>
      <c r="QM75" s="98"/>
      <c r="QN75" s="98"/>
      <c r="QO75" s="98"/>
      <c r="QP75" s="98"/>
      <c r="QQ75" s="98"/>
      <c r="QR75" s="98"/>
      <c r="QS75" s="98"/>
      <c r="QT75" s="98"/>
      <c r="QU75" s="98"/>
      <c r="QV75" s="98"/>
      <c r="QW75" s="98"/>
      <c r="QX75" s="98"/>
      <c r="QY75" s="98"/>
      <c r="QZ75" s="98"/>
      <c r="RA75" s="98"/>
      <c r="RB75" s="98"/>
      <c r="RC75" s="98"/>
      <c r="RD75" s="98"/>
      <c r="RE75" s="98"/>
      <c r="RF75" s="98"/>
      <c r="RG75" s="98"/>
      <c r="RH75" s="98"/>
      <c r="RI75" s="98"/>
      <c r="RJ75" s="98"/>
      <c r="RK75" s="98"/>
      <c r="RL75" s="98"/>
      <c r="RM75" s="98"/>
      <c r="RN75" s="98"/>
      <c r="RO75" s="98"/>
      <c r="RP75" s="98"/>
      <c r="RQ75" s="98"/>
      <c r="RR75" s="98"/>
      <c r="RS75" s="98"/>
      <c r="RT75" s="98"/>
      <c r="RU75" s="98"/>
      <c r="RV75" s="98"/>
      <c r="RW75" s="98"/>
      <c r="RX75" s="98"/>
      <c r="RY75" s="98"/>
      <c r="RZ75" s="98"/>
      <c r="SA75" s="98"/>
      <c r="SB75" s="98"/>
      <c r="SC75" s="98"/>
      <c r="SD75" s="98"/>
      <c r="SE75" s="98"/>
      <c r="SF75" s="98"/>
      <c r="SG75" s="98"/>
      <c r="SH75" s="98"/>
      <c r="SI75" s="98"/>
      <c r="SJ75" s="98"/>
      <c r="SK75" s="98"/>
      <c r="SL75" s="98"/>
      <c r="SM75" s="98"/>
      <c r="SN75" s="98"/>
      <c r="SO75" s="98"/>
      <c r="SP75" s="98"/>
      <c r="SQ75" s="98"/>
      <c r="SR75" s="98"/>
      <c r="SS75" s="98"/>
      <c r="ST75" s="98"/>
      <c r="SU75" s="98"/>
      <c r="SV75" s="98"/>
      <c r="SW75" s="98"/>
      <c r="SX75" s="98"/>
      <c r="SY75" s="98"/>
      <c r="SZ75" s="98"/>
      <c r="TA75" s="98"/>
      <c r="TB75" s="98"/>
      <c r="TC75" s="98"/>
      <c r="TD75" s="98"/>
      <c r="TE75" s="98"/>
      <c r="TF75" s="98"/>
      <c r="TG75" s="98"/>
      <c r="TH75" s="98"/>
      <c r="TI75" s="98"/>
      <c r="TJ75" s="98"/>
      <c r="TK75" s="98"/>
      <c r="TL75" s="98"/>
      <c r="TM75" s="98"/>
      <c r="TN75" s="98"/>
      <c r="TO75" s="98"/>
      <c r="TP75" s="98"/>
      <c r="TQ75" s="98"/>
      <c r="TR75" s="98"/>
      <c r="TS75" s="98"/>
      <c r="TT75" s="98"/>
      <c r="TU75" s="98"/>
      <c r="TV75" s="98"/>
      <c r="TW75" s="98"/>
      <c r="TX75" s="98"/>
      <c r="TY75" s="98"/>
      <c r="TZ75" s="98"/>
      <c r="UA75" s="98"/>
      <c r="UB75" s="98"/>
      <c r="UC75" s="98"/>
      <c r="UD75" s="98"/>
      <c r="UE75" s="98"/>
      <c r="UF75" s="98"/>
      <c r="UG75" s="98"/>
      <c r="UH75" s="98"/>
      <c r="UI75" s="98"/>
      <c r="UJ75" s="98"/>
      <c r="UK75" s="98"/>
      <c r="UL75" s="98"/>
      <c r="UM75" s="98"/>
      <c r="UN75" s="98"/>
      <c r="UO75" s="98"/>
      <c r="UP75" s="98"/>
      <c r="UQ75" s="98"/>
      <c r="UR75" s="98"/>
      <c r="US75" s="98"/>
      <c r="UT75" s="98"/>
      <c r="UU75" s="98"/>
      <c r="UV75" s="98"/>
      <c r="UW75" s="98"/>
      <c r="UX75" s="98"/>
      <c r="UY75" s="98"/>
      <c r="UZ75" s="98"/>
      <c r="VA75" s="98"/>
      <c r="VB75" s="98"/>
      <c r="VC75" s="98"/>
      <c r="VD75" s="98"/>
      <c r="VE75" s="98"/>
      <c r="VF75" s="98"/>
      <c r="VG75" s="98"/>
      <c r="VH75" s="98"/>
      <c r="VI75" s="98"/>
      <c r="VJ75" s="98"/>
      <c r="VK75" s="98"/>
      <c r="VL75" s="98"/>
      <c r="VM75" s="98"/>
      <c r="VN75" s="98"/>
      <c r="VO75" s="98"/>
      <c r="VP75" s="98"/>
      <c r="VQ75" s="98"/>
      <c r="VR75" s="98"/>
      <c r="VS75" s="98"/>
      <c r="VT75" s="98"/>
      <c r="VU75" s="98"/>
      <c r="VV75" s="98"/>
      <c r="VW75" s="98"/>
      <c r="VX75" s="98"/>
      <c r="VY75" s="98"/>
      <c r="VZ75" s="98"/>
      <c r="WA75" s="98"/>
      <c r="WB75" s="98"/>
      <c r="WC75" s="98"/>
      <c r="WD75" s="98"/>
      <c r="WE75" s="98"/>
      <c r="WF75" s="98"/>
      <c r="WG75" s="98"/>
      <c r="WH75" s="98"/>
      <c r="WI75" s="98"/>
      <c r="WJ75" s="98"/>
      <c r="WK75" s="98"/>
      <c r="WL75" s="98"/>
      <c r="WM75" s="98"/>
      <c r="WN75" s="98"/>
      <c r="WO75" s="98"/>
      <c r="WP75" s="98"/>
      <c r="WQ75" s="98"/>
      <c r="WR75" s="98"/>
      <c r="WS75" s="98"/>
      <c r="WT75" s="98"/>
      <c r="WU75" s="98"/>
      <c r="WV75" s="98"/>
      <c r="WW75" s="98"/>
      <c r="WX75" s="98"/>
      <c r="WY75" s="98"/>
      <c r="WZ75" s="98"/>
      <c r="XA75" s="98"/>
      <c r="XB75" s="98"/>
      <c r="XC75" s="98"/>
      <c r="XD75" s="98"/>
      <c r="XE75" s="98"/>
      <c r="XF75" s="98"/>
      <c r="XG75" s="98"/>
      <c r="XH75" s="98"/>
      <c r="XI75" s="98"/>
      <c r="XJ75" s="98"/>
      <c r="XK75" s="98"/>
      <c r="XL75" s="98"/>
      <c r="XM75" s="98"/>
      <c r="XN75" s="98"/>
      <c r="XO75" s="98"/>
      <c r="XP75" s="98"/>
      <c r="XQ75" s="98"/>
      <c r="XR75" s="98"/>
      <c r="XS75" s="98"/>
      <c r="XT75" s="98"/>
      <c r="XU75" s="98"/>
      <c r="XV75" s="98"/>
      <c r="XW75" s="98"/>
      <c r="XX75" s="98"/>
      <c r="XY75" s="98"/>
      <c r="XZ75" s="98"/>
      <c r="YA75" s="98"/>
      <c r="YB75" s="98"/>
      <c r="YC75" s="98"/>
      <c r="YD75" s="98"/>
      <c r="YE75" s="98"/>
      <c r="YF75" s="98"/>
      <c r="YG75" s="98"/>
      <c r="YH75" s="98"/>
      <c r="YI75" s="98"/>
      <c r="YJ75" s="98"/>
      <c r="YK75" s="98"/>
      <c r="YL75" s="98"/>
      <c r="YM75" s="98"/>
      <c r="YN75" s="98"/>
      <c r="YO75" s="98"/>
      <c r="YP75" s="98"/>
      <c r="YQ75" s="98"/>
      <c r="YR75" s="98"/>
      <c r="YS75" s="98"/>
      <c r="YT75" s="98"/>
      <c r="YU75" s="98"/>
      <c r="YV75" s="98"/>
      <c r="YW75" s="98"/>
      <c r="YX75" s="98"/>
      <c r="YY75" s="98"/>
      <c r="YZ75" s="98"/>
      <c r="ZA75" s="98"/>
      <c r="ZB75" s="98"/>
      <c r="ZC75" s="98"/>
      <c r="ZD75" s="98"/>
      <c r="ZE75" s="98"/>
      <c r="ZF75" s="98"/>
      <c r="ZG75" s="98"/>
      <c r="ZH75" s="98"/>
      <c r="ZI75" s="98"/>
      <c r="ZJ75" s="98"/>
      <c r="ZK75" s="98"/>
      <c r="ZL75" s="98"/>
      <c r="ZM75" s="98"/>
      <c r="ZN75" s="98"/>
      <c r="ZO75" s="98"/>
      <c r="ZP75" s="98"/>
      <c r="ZQ75" s="98"/>
      <c r="ZR75" s="98"/>
      <c r="ZS75" s="98"/>
      <c r="ZT75" s="98"/>
      <c r="ZU75" s="98"/>
      <c r="ZV75" s="98"/>
      <c r="ZW75" s="98"/>
      <c r="ZX75" s="98"/>
      <c r="ZY75" s="98"/>
      <c r="ZZ75" s="98"/>
      <c r="AAA75" s="98"/>
      <c r="AAB75" s="98"/>
      <c r="AAC75" s="98"/>
      <c r="AAD75" s="98"/>
      <c r="AAE75" s="98"/>
      <c r="AAF75" s="98"/>
      <c r="AAG75" s="98"/>
      <c r="AAH75" s="98"/>
      <c r="AAI75" s="98"/>
      <c r="AAJ75" s="98"/>
      <c r="AAK75" s="98"/>
      <c r="AAL75" s="98"/>
      <c r="AAM75" s="98"/>
      <c r="AAN75" s="98"/>
      <c r="AAO75" s="98"/>
      <c r="AAP75" s="98"/>
      <c r="AAQ75" s="98"/>
      <c r="AAR75" s="98"/>
      <c r="AAS75" s="98"/>
      <c r="AAT75" s="98"/>
      <c r="AAU75" s="98"/>
      <c r="AAV75" s="98"/>
      <c r="AAW75" s="98"/>
      <c r="AAX75" s="98"/>
      <c r="AAY75" s="98"/>
      <c r="AAZ75" s="98"/>
      <c r="ABA75" s="98"/>
      <c r="ABB75" s="98"/>
      <c r="ABC75" s="98"/>
      <c r="ABD75" s="98"/>
      <c r="ABE75" s="98"/>
      <c r="ABF75" s="98"/>
      <c r="ABG75" s="98"/>
      <c r="ABH75" s="98"/>
      <c r="ABI75" s="98"/>
      <c r="ABJ75" s="98"/>
      <c r="ABK75" s="98"/>
      <c r="ABL75" s="98"/>
      <c r="ABM75" s="98"/>
      <c r="ABN75" s="98"/>
      <c r="ABO75" s="98"/>
      <c r="ABP75" s="98"/>
      <c r="ABQ75" s="98"/>
      <c r="ABR75" s="98"/>
      <c r="ABS75" s="98"/>
      <c r="ABT75" s="98"/>
      <c r="ABU75" s="98"/>
      <c r="ABV75" s="98"/>
      <c r="ABW75" s="98"/>
      <c r="ABX75" s="98"/>
      <c r="ABY75" s="98"/>
      <c r="ABZ75" s="98"/>
      <c r="ACA75" s="98"/>
      <c r="ACB75" s="98"/>
      <c r="ACC75" s="98"/>
      <c r="ACD75" s="98"/>
      <c r="ACE75" s="98"/>
      <c r="ACF75" s="98"/>
      <c r="ACG75" s="98"/>
      <c r="ACH75" s="98"/>
      <c r="ACI75" s="98"/>
      <c r="ACJ75" s="98"/>
      <c r="ACK75" s="98"/>
      <c r="ACL75" s="98"/>
      <c r="ACM75" s="98"/>
      <c r="ACN75" s="98"/>
      <c r="ACO75" s="98"/>
      <c r="ACP75" s="98"/>
      <c r="ACQ75" s="98"/>
      <c r="ACR75" s="98"/>
      <c r="ACS75" s="98"/>
      <c r="ACT75" s="98"/>
      <c r="ACU75" s="98"/>
      <c r="ACV75" s="98"/>
      <c r="ACW75" s="98"/>
      <c r="ACX75" s="98"/>
      <c r="ACY75" s="98"/>
      <c r="ACZ75" s="98"/>
      <c r="ADA75" s="98"/>
      <c r="ADB75" s="98"/>
      <c r="ADC75" s="98"/>
      <c r="ADD75" s="98"/>
      <c r="ADE75" s="98"/>
      <c r="ADF75" s="98"/>
      <c r="ADG75" s="98"/>
      <c r="ADH75" s="98"/>
      <c r="ADI75" s="98"/>
      <c r="ADJ75" s="98"/>
      <c r="ADK75" s="98"/>
      <c r="ADL75" s="98"/>
      <c r="ADM75" s="98"/>
      <c r="ADN75" s="98"/>
      <c r="ADO75" s="98"/>
      <c r="ADP75" s="98"/>
      <c r="ADQ75" s="98"/>
      <c r="ADR75" s="98"/>
      <c r="ADS75" s="98"/>
      <c r="ADT75" s="98"/>
      <c r="ADU75" s="98"/>
      <c r="ADV75" s="98"/>
      <c r="ADW75" s="98"/>
      <c r="ADX75" s="98"/>
      <c r="ADY75" s="98"/>
      <c r="ADZ75" s="98"/>
      <c r="AEA75" s="98"/>
      <c r="AEB75" s="98"/>
      <c r="AEC75" s="98"/>
      <c r="AED75" s="98"/>
      <c r="AEE75" s="98"/>
      <c r="AEF75" s="98"/>
      <c r="AEG75" s="98"/>
      <c r="AEH75" s="98"/>
      <c r="AEI75" s="98"/>
      <c r="AEJ75" s="98"/>
      <c r="AEK75" s="98"/>
      <c r="AEL75" s="98"/>
      <c r="AEM75" s="98"/>
      <c r="AEN75" s="98"/>
      <c r="AEO75" s="98"/>
      <c r="AEP75" s="98"/>
      <c r="AEQ75" s="98"/>
      <c r="AER75" s="98"/>
      <c r="AES75" s="98"/>
      <c r="AET75" s="98"/>
      <c r="AEU75" s="98"/>
      <c r="AEV75" s="98"/>
      <c r="AEW75" s="98"/>
      <c r="AEX75" s="98"/>
      <c r="AEY75" s="98"/>
      <c r="AEZ75" s="98"/>
      <c r="AFA75" s="98"/>
      <c r="AFB75" s="98"/>
      <c r="AFC75" s="98"/>
      <c r="AFD75" s="98"/>
      <c r="AFE75" s="98"/>
      <c r="AFF75" s="98"/>
      <c r="AFG75" s="98"/>
      <c r="AFH75" s="98"/>
      <c r="AFI75" s="98"/>
      <c r="AFJ75" s="98"/>
      <c r="AFK75" s="98"/>
      <c r="AFL75" s="98"/>
      <c r="AFM75" s="98"/>
      <c r="AFN75" s="98"/>
      <c r="AFO75" s="98"/>
      <c r="AFP75" s="98"/>
      <c r="AFQ75" s="98"/>
      <c r="AFR75" s="98"/>
      <c r="AFS75" s="98"/>
      <c r="AFT75" s="98"/>
      <c r="AFU75" s="98"/>
      <c r="AFV75" s="98"/>
      <c r="AFW75" s="98"/>
      <c r="AFX75" s="98"/>
      <c r="AFY75" s="98"/>
      <c r="AFZ75" s="98"/>
      <c r="AGA75" s="98"/>
      <c r="AGB75" s="98"/>
      <c r="AGC75" s="98"/>
      <c r="AGD75" s="98"/>
      <c r="AGE75" s="98"/>
      <c r="AGF75" s="98"/>
      <c r="AGG75" s="98"/>
      <c r="AGH75" s="98"/>
      <c r="AGI75" s="98"/>
      <c r="AGJ75" s="98"/>
      <c r="AGK75" s="98"/>
      <c r="AGL75" s="98"/>
      <c r="AGM75" s="98"/>
      <c r="AGN75" s="98"/>
      <c r="AGO75" s="98"/>
      <c r="AGP75" s="98"/>
      <c r="AGQ75" s="98"/>
      <c r="AGR75" s="98"/>
      <c r="AGS75" s="98"/>
      <c r="AGT75" s="98"/>
      <c r="AGU75" s="98"/>
      <c r="AGV75" s="98"/>
      <c r="AGW75" s="98"/>
      <c r="AGX75" s="98"/>
      <c r="AGY75" s="98"/>
      <c r="AGZ75" s="98"/>
      <c r="AHA75" s="98"/>
      <c r="AHB75" s="98"/>
      <c r="AHC75" s="98"/>
      <c r="AHD75" s="98"/>
      <c r="AHE75" s="98"/>
      <c r="AHF75" s="98"/>
      <c r="AHG75" s="98"/>
      <c r="AHH75" s="98"/>
      <c r="AHI75" s="98"/>
      <c r="AHJ75" s="98"/>
      <c r="AHK75" s="98"/>
      <c r="AHL75" s="98"/>
      <c r="AHM75" s="98"/>
      <c r="AHN75" s="98"/>
      <c r="AHO75" s="98"/>
      <c r="AHP75" s="98"/>
      <c r="AHQ75" s="98"/>
      <c r="AHR75" s="98"/>
      <c r="AHS75" s="98"/>
      <c r="AHT75" s="98"/>
      <c r="AHU75" s="98"/>
      <c r="AHV75" s="98"/>
      <c r="AHW75" s="98"/>
      <c r="AHX75" s="98"/>
      <c r="AHY75" s="98"/>
      <c r="AHZ75" s="98"/>
      <c r="AIA75" s="98"/>
      <c r="AIB75" s="98"/>
      <c r="AIC75" s="98"/>
      <c r="AID75" s="98"/>
      <c r="AIE75" s="98"/>
      <c r="AIF75" s="98"/>
      <c r="AIG75" s="98"/>
      <c r="AIH75" s="98"/>
      <c r="AII75" s="98"/>
      <c r="AIJ75" s="98"/>
      <c r="AIK75" s="98"/>
      <c r="AIL75" s="98"/>
      <c r="AIM75" s="98"/>
      <c r="AIN75" s="98"/>
      <c r="AIO75" s="98"/>
      <c r="AIP75" s="98"/>
      <c r="AIQ75" s="98"/>
      <c r="AIR75" s="98"/>
      <c r="AIS75" s="98"/>
      <c r="AIT75" s="98"/>
      <c r="AIU75" s="98"/>
      <c r="AIV75" s="98"/>
      <c r="AIW75" s="98"/>
      <c r="AIX75" s="98"/>
      <c r="AIY75" s="98"/>
      <c r="AIZ75" s="98"/>
      <c r="AJA75" s="98"/>
      <c r="AJB75" s="98"/>
      <c r="AJC75" s="98"/>
      <c r="AJD75" s="98"/>
      <c r="AJE75" s="98"/>
      <c r="AJF75" s="98"/>
      <c r="AJG75" s="98"/>
      <c r="AJH75" s="98"/>
      <c r="AJI75" s="98"/>
      <c r="AJJ75" s="98"/>
      <c r="AJK75" s="98"/>
      <c r="AJL75" s="98"/>
      <c r="AJM75" s="98"/>
      <c r="AJN75" s="98"/>
      <c r="AJO75" s="98"/>
      <c r="AJP75" s="98"/>
      <c r="AJQ75" s="98"/>
      <c r="AJR75" s="98"/>
      <c r="AJS75" s="98"/>
      <c r="AJT75" s="98"/>
      <c r="AJU75" s="98"/>
      <c r="AJV75" s="98"/>
      <c r="AJW75" s="98"/>
      <c r="AJX75" s="98"/>
      <c r="AJY75" s="98"/>
      <c r="AJZ75" s="98"/>
      <c r="AKA75" s="98"/>
      <c r="AKB75" s="98"/>
      <c r="AKC75" s="98"/>
      <c r="AKD75" s="98"/>
      <c r="AKE75" s="98"/>
      <c r="AKF75" s="98"/>
      <c r="AKG75" s="98"/>
      <c r="AKH75" s="98"/>
      <c r="AKI75" s="98"/>
      <c r="AKJ75" s="98"/>
      <c r="AKK75" s="98"/>
      <c r="AKL75" s="98"/>
      <c r="AKM75" s="98"/>
      <c r="AKN75" s="98"/>
      <c r="AKO75" s="98"/>
      <c r="AKP75" s="98"/>
      <c r="AKQ75" s="98"/>
      <c r="AKR75" s="98"/>
      <c r="AKS75" s="98"/>
      <c r="AKT75" s="98"/>
      <c r="AKU75" s="98"/>
      <c r="AKV75" s="98"/>
      <c r="AKW75" s="98"/>
      <c r="AKX75" s="98"/>
      <c r="AKY75" s="98"/>
      <c r="AKZ75" s="98"/>
      <c r="ALA75" s="98"/>
      <c r="ALB75" s="98"/>
      <c r="ALC75" s="98"/>
      <c r="ALD75" s="98"/>
      <c r="ALE75" s="98"/>
      <c r="ALF75" s="98"/>
      <c r="ALG75" s="98"/>
      <c r="ALH75" s="98"/>
      <c r="ALI75" s="98"/>
      <c r="ALJ75" s="98"/>
      <c r="ALK75" s="98"/>
      <c r="ALL75" s="98"/>
      <c r="ALM75" s="98"/>
      <c r="ALN75" s="98"/>
      <c r="ALO75" s="98"/>
      <c r="ALP75" s="98"/>
      <c r="ALQ75" s="98"/>
      <c r="ALR75" s="98"/>
      <c r="ALS75" s="98"/>
      <c r="ALT75" s="98"/>
      <c r="ALU75" s="98"/>
      <c r="ALV75" s="98"/>
      <c r="ALW75" s="98"/>
      <c r="ALX75" s="98"/>
      <c r="ALY75" s="98"/>
      <c r="ALZ75" s="98"/>
      <c r="AMA75" s="98"/>
      <c r="AMB75" s="98"/>
      <c r="AMC75" s="98"/>
      <c r="AMD75" s="98"/>
      <c r="AME75" s="98"/>
      <c r="AMF75" s="98"/>
      <c r="AMG75" s="98"/>
      <c r="AMH75" s="98"/>
      <c r="AMI75" s="98"/>
      <c r="AMJ75" s="98"/>
      <c r="AMK75" s="98"/>
      <c r="AML75" s="98"/>
      <c r="AMM75" s="98"/>
      <c r="AMN75" s="98"/>
      <c r="AMO75" s="98"/>
      <c r="AMP75" s="98"/>
      <c r="AMQ75" s="98"/>
      <c r="AMR75" s="98"/>
      <c r="AMS75" s="98"/>
      <c r="AMT75" s="98"/>
      <c r="AMU75" s="98"/>
      <c r="AMV75" s="98"/>
      <c r="AMW75" s="98"/>
      <c r="AMX75" s="98"/>
      <c r="AMY75" s="98"/>
      <c r="AMZ75" s="98"/>
      <c r="ANA75" s="98"/>
      <c r="ANB75" s="98"/>
      <c r="ANC75" s="98"/>
      <c r="AND75" s="98"/>
      <c r="ANE75" s="98"/>
      <c r="ANF75" s="98"/>
      <c r="ANG75" s="98"/>
      <c r="ANH75" s="98"/>
      <c r="ANI75" s="98"/>
      <c r="ANJ75" s="98"/>
      <c r="ANK75" s="98"/>
      <c r="ANL75" s="98"/>
      <c r="ANM75" s="98"/>
      <c r="ANN75" s="98"/>
      <c r="ANO75" s="98"/>
      <c r="ANP75" s="98"/>
      <c r="ANQ75" s="98"/>
      <c r="ANR75" s="98"/>
      <c r="ANS75" s="98"/>
      <c r="ANT75" s="98"/>
      <c r="ANU75" s="98"/>
      <c r="ANV75" s="98"/>
      <c r="ANW75" s="98"/>
      <c r="ANX75" s="98"/>
      <c r="ANY75" s="98"/>
      <c r="ANZ75" s="98"/>
      <c r="AOA75" s="98"/>
      <c r="AOB75" s="98"/>
      <c r="AOC75" s="98"/>
      <c r="AOD75" s="98"/>
      <c r="AOE75" s="98"/>
      <c r="AOF75" s="98"/>
      <c r="AOG75" s="98"/>
      <c r="AOH75" s="98"/>
      <c r="AOI75" s="98"/>
      <c r="AOJ75" s="98"/>
      <c r="AOK75" s="98"/>
      <c r="AOL75" s="98"/>
      <c r="AOM75" s="98"/>
      <c r="AON75" s="98"/>
      <c r="AOO75" s="98"/>
      <c r="AOP75" s="98"/>
      <c r="AOQ75" s="98"/>
      <c r="AOR75" s="98"/>
      <c r="AOS75" s="98"/>
      <c r="AOT75" s="98"/>
      <c r="AOU75" s="98"/>
      <c r="AOV75" s="98"/>
      <c r="AOW75" s="98"/>
      <c r="AOX75" s="98"/>
      <c r="AOY75" s="98"/>
      <c r="AOZ75" s="98"/>
      <c r="APA75" s="98"/>
      <c r="APB75" s="98"/>
      <c r="APC75" s="98"/>
      <c r="APD75" s="98"/>
      <c r="APE75" s="98"/>
      <c r="APF75" s="98"/>
      <c r="APG75" s="98"/>
      <c r="APH75" s="98"/>
      <c r="API75" s="98"/>
      <c r="APJ75" s="98"/>
      <c r="APK75" s="98"/>
      <c r="APL75" s="98"/>
      <c r="APM75" s="98"/>
      <c r="APN75" s="98"/>
      <c r="APO75" s="98"/>
      <c r="APP75" s="98"/>
      <c r="APQ75" s="98"/>
      <c r="APR75" s="98"/>
      <c r="APS75" s="98"/>
      <c r="APT75" s="98"/>
      <c r="APU75" s="98"/>
      <c r="APV75" s="98"/>
      <c r="APW75" s="98"/>
      <c r="APX75" s="98"/>
      <c r="APY75" s="98"/>
      <c r="APZ75" s="98"/>
      <c r="AQA75" s="98"/>
      <c r="AQB75" s="98"/>
      <c r="AQC75" s="98"/>
      <c r="AQD75" s="98"/>
      <c r="AQE75" s="98"/>
      <c r="AQF75" s="98"/>
      <c r="AQG75" s="98"/>
      <c r="AQH75" s="98"/>
      <c r="AQI75" s="98"/>
      <c r="AQJ75" s="98"/>
      <c r="AQK75" s="98"/>
      <c r="AQL75" s="98"/>
      <c r="AQM75" s="98"/>
      <c r="AQN75" s="98"/>
      <c r="AQO75" s="98"/>
      <c r="AQP75" s="98"/>
      <c r="AQQ75" s="98"/>
      <c r="AQR75" s="98"/>
      <c r="AQS75" s="98"/>
      <c r="AQT75" s="98"/>
      <c r="AQU75" s="98"/>
      <c r="AQV75" s="98"/>
      <c r="AQW75" s="98"/>
      <c r="AQX75" s="98"/>
      <c r="AQY75" s="98"/>
      <c r="AQZ75" s="98"/>
      <c r="ARA75" s="98"/>
      <c r="ARB75" s="98"/>
      <c r="ARC75" s="98"/>
      <c r="ARD75" s="98"/>
      <c r="ARE75" s="98"/>
      <c r="ARF75" s="98"/>
      <c r="ARG75" s="98"/>
      <c r="ARH75" s="98"/>
      <c r="ARI75" s="98"/>
      <c r="ARJ75" s="98"/>
      <c r="ARK75" s="98"/>
      <c r="ARL75" s="98"/>
      <c r="ARM75" s="98"/>
      <c r="ARN75" s="98"/>
      <c r="ARO75" s="98"/>
      <c r="ARP75" s="98"/>
      <c r="ARQ75" s="98"/>
      <c r="ARR75" s="98"/>
      <c r="ARS75" s="98"/>
    </row>
    <row r="76" spans="1:1163" s="174" customFormat="1">
      <c r="A76" s="140" t="s">
        <v>134</v>
      </c>
      <c r="B76" s="119" t="s">
        <v>67</v>
      </c>
      <c r="C76" s="175">
        <v>1059</v>
      </c>
      <c r="D76" s="175">
        <v>38904</v>
      </c>
      <c r="E76" s="201">
        <v>0</v>
      </c>
      <c r="F76" s="201">
        <v>0</v>
      </c>
      <c r="G76" s="201">
        <v>0</v>
      </c>
      <c r="H76" s="201">
        <v>0</v>
      </c>
      <c r="I76" s="201">
        <v>0</v>
      </c>
      <c r="J76" s="201">
        <v>0</v>
      </c>
      <c r="K76" s="201">
        <v>0</v>
      </c>
      <c r="L76" s="201">
        <v>0</v>
      </c>
      <c r="M76" s="201">
        <v>0</v>
      </c>
      <c r="N76" s="201">
        <v>0</v>
      </c>
      <c r="O76" s="201">
        <v>0</v>
      </c>
      <c r="P76" s="201">
        <v>0</v>
      </c>
      <c r="Q76" s="201">
        <v>0</v>
      </c>
      <c r="R76" s="201">
        <v>0</v>
      </c>
      <c r="S76" s="201">
        <v>0</v>
      </c>
      <c r="T76" s="201">
        <v>0</v>
      </c>
      <c r="U76" s="201">
        <v>0</v>
      </c>
      <c r="V76" s="201">
        <v>0</v>
      </c>
      <c r="W76" s="201">
        <v>0</v>
      </c>
      <c r="X76" s="201">
        <v>0</v>
      </c>
      <c r="Y76" s="201">
        <v>0</v>
      </c>
      <c r="Z76" s="201">
        <v>0</v>
      </c>
      <c r="AA76" s="201">
        <v>0</v>
      </c>
      <c r="AB76" s="201">
        <v>0</v>
      </c>
      <c r="AC76" s="201">
        <v>0</v>
      </c>
      <c r="AD76" s="201">
        <v>0</v>
      </c>
      <c r="AE76" s="201">
        <v>0</v>
      </c>
      <c r="AF76" s="201">
        <v>0</v>
      </c>
      <c r="AG76" s="201">
        <v>0</v>
      </c>
      <c r="AH76" s="201">
        <v>0</v>
      </c>
      <c r="AI76" s="201">
        <v>40</v>
      </c>
      <c r="AJ76" s="201">
        <v>12000</v>
      </c>
      <c r="AK76" s="201">
        <v>220</v>
      </c>
      <c r="AL76" s="201">
        <v>11000</v>
      </c>
      <c r="AM76" s="176">
        <v>316</v>
      </c>
      <c r="AN76" s="176">
        <v>77050</v>
      </c>
      <c r="AO76" s="201">
        <v>2876</v>
      </c>
      <c r="AP76" s="201">
        <v>490050</v>
      </c>
      <c r="AQ76" s="201">
        <v>4732</v>
      </c>
      <c r="AR76" s="201">
        <v>931700</v>
      </c>
      <c r="AS76" s="201">
        <v>1585</v>
      </c>
      <c r="AT76" s="201">
        <v>399970</v>
      </c>
      <c r="AU76" s="209">
        <v>928</v>
      </c>
      <c r="AV76" s="209">
        <v>208436</v>
      </c>
      <c r="AW76" s="197">
        <v>639</v>
      </c>
      <c r="AX76" s="197">
        <v>171900</v>
      </c>
      <c r="AY76" s="175">
        <v>1487</v>
      </c>
      <c r="AZ76" s="175">
        <v>445555</v>
      </c>
      <c r="BA76" s="178"/>
      <c r="BB76" s="175"/>
      <c r="BC76" s="178"/>
      <c r="BD76" s="175"/>
      <c r="BE76" s="178"/>
      <c r="BF76" s="197"/>
      <c r="BG76" s="178"/>
      <c r="BH76" s="197"/>
      <c r="BI76" s="178"/>
      <c r="BJ76" s="98"/>
      <c r="BK76" s="11"/>
      <c r="BL76" s="148"/>
      <c r="BM76" s="98"/>
      <c r="BN76" s="14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98"/>
      <c r="EN76" s="98"/>
      <c r="EO76" s="98"/>
      <c r="EP76" s="98"/>
      <c r="EQ76" s="98"/>
      <c r="ER76" s="98"/>
      <c r="ES76" s="98"/>
      <c r="ET76" s="98"/>
      <c r="EU76" s="98"/>
      <c r="EV76" s="98"/>
      <c r="EW76" s="98"/>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c r="IW76" s="98"/>
      <c r="IX76" s="98"/>
      <c r="IY76" s="98"/>
      <c r="IZ76" s="98"/>
      <c r="JA76" s="98"/>
      <c r="JB76" s="98"/>
      <c r="JC76" s="98"/>
      <c r="JD76" s="98"/>
      <c r="JE76" s="98"/>
      <c r="JF76" s="98"/>
      <c r="JG76" s="98"/>
      <c r="JH76" s="98"/>
      <c r="JI76" s="98"/>
      <c r="JJ76" s="98"/>
      <c r="JK76" s="98"/>
      <c r="JL76" s="98"/>
      <c r="JM76" s="98"/>
      <c r="JN76" s="98"/>
      <c r="JO76" s="98"/>
      <c r="JP76" s="98"/>
      <c r="JQ76" s="98"/>
      <c r="JR76" s="98"/>
      <c r="JS76" s="98"/>
      <c r="JT76" s="98"/>
      <c r="JU76" s="98"/>
      <c r="JV76" s="98"/>
      <c r="JW76" s="98"/>
      <c r="JX76" s="98"/>
      <c r="JY76" s="98"/>
      <c r="JZ76" s="98"/>
      <c r="KA76" s="98"/>
      <c r="KB76" s="98"/>
      <c r="KC76" s="98"/>
      <c r="KD76" s="98"/>
      <c r="KE76" s="98"/>
      <c r="KF76" s="98"/>
      <c r="KG76" s="98"/>
      <c r="KH76" s="98"/>
      <c r="KI76" s="98"/>
      <c r="KJ76" s="98"/>
      <c r="KK76" s="98"/>
      <c r="KL76" s="98"/>
      <c r="KM76" s="98"/>
      <c r="KN76" s="98"/>
      <c r="KO76" s="98"/>
      <c r="KP76" s="98"/>
      <c r="KQ76" s="98"/>
      <c r="KR76" s="98"/>
      <c r="KS76" s="98"/>
      <c r="KT76" s="98"/>
      <c r="KU76" s="98"/>
      <c r="KV76" s="98"/>
      <c r="KW76" s="98"/>
      <c r="KX76" s="98"/>
      <c r="KY76" s="98"/>
      <c r="KZ76" s="98"/>
      <c r="LA76" s="98"/>
      <c r="LB76" s="98"/>
      <c r="LC76" s="98"/>
      <c r="LD76" s="98"/>
      <c r="LE76" s="98"/>
      <c r="LF76" s="98"/>
      <c r="LG76" s="98"/>
      <c r="LH76" s="98"/>
      <c r="LI76" s="98"/>
      <c r="LJ76" s="98"/>
      <c r="LK76" s="98"/>
      <c r="LL76" s="98"/>
      <c r="LM76" s="98"/>
      <c r="LN76" s="98"/>
      <c r="LO76" s="98"/>
      <c r="LP76" s="98"/>
      <c r="LQ76" s="98"/>
      <c r="LR76" s="98"/>
      <c r="LS76" s="98"/>
      <c r="LT76" s="98"/>
      <c r="LU76" s="98"/>
      <c r="LV76" s="98"/>
      <c r="LW76" s="98"/>
      <c r="LX76" s="98"/>
      <c r="LY76" s="98"/>
      <c r="LZ76" s="98"/>
      <c r="MA76" s="98"/>
      <c r="MB76" s="98"/>
      <c r="MC76" s="98"/>
      <c r="MD76" s="98"/>
      <c r="ME76" s="98"/>
      <c r="MF76" s="98"/>
      <c r="MG76" s="98"/>
      <c r="MH76" s="98"/>
      <c r="MI76" s="98"/>
      <c r="MJ76" s="98"/>
      <c r="MK76" s="98"/>
      <c r="ML76" s="98"/>
      <c r="MM76" s="98"/>
      <c r="MN76" s="98"/>
      <c r="MO76" s="98"/>
      <c r="MP76" s="98"/>
      <c r="MQ76" s="98"/>
      <c r="MR76" s="98"/>
      <c r="MS76" s="98"/>
      <c r="MT76" s="98"/>
      <c r="MU76" s="98"/>
      <c r="MV76" s="98"/>
      <c r="MW76" s="98"/>
      <c r="MX76" s="98"/>
      <c r="MY76" s="98"/>
      <c r="MZ76" s="98"/>
      <c r="NA76" s="98"/>
      <c r="NB76" s="98"/>
      <c r="NC76" s="98"/>
      <c r="ND76" s="98"/>
      <c r="NE76" s="98"/>
      <c r="NF76" s="98"/>
      <c r="NG76" s="98"/>
      <c r="NH76" s="98"/>
      <c r="NI76" s="98"/>
      <c r="NJ76" s="98"/>
      <c r="NK76" s="98"/>
      <c r="NL76" s="98"/>
      <c r="NM76" s="98"/>
      <c r="NN76" s="98"/>
      <c r="NO76" s="98"/>
      <c r="NP76" s="98"/>
      <c r="NQ76" s="98"/>
      <c r="NR76" s="98"/>
      <c r="NS76" s="98"/>
      <c r="NT76" s="98"/>
      <c r="NU76" s="98"/>
      <c r="NV76" s="98"/>
      <c r="NW76" s="98"/>
      <c r="NX76" s="98"/>
      <c r="NY76" s="98"/>
      <c r="NZ76" s="98"/>
      <c r="OA76" s="98"/>
      <c r="OB76" s="98"/>
      <c r="OC76" s="98"/>
      <c r="OD76" s="98"/>
      <c r="OE76" s="98"/>
      <c r="OF76" s="98"/>
      <c r="OG76" s="98"/>
      <c r="OH76" s="98"/>
      <c r="OI76" s="98"/>
      <c r="OJ76" s="98"/>
      <c r="OK76" s="98"/>
      <c r="OL76" s="98"/>
      <c r="OM76" s="98"/>
      <c r="ON76" s="98"/>
      <c r="OO76" s="98"/>
      <c r="OP76" s="98"/>
      <c r="OQ76" s="98"/>
      <c r="OR76" s="98"/>
      <c r="OS76" s="98"/>
      <c r="OT76" s="98"/>
      <c r="OU76" s="98"/>
      <c r="OV76" s="98"/>
      <c r="OW76" s="98"/>
      <c r="OX76" s="98"/>
      <c r="OY76" s="98"/>
      <c r="OZ76" s="98"/>
      <c r="PA76" s="98"/>
      <c r="PB76" s="98"/>
      <c r="PC76" s="98"/>
      <c r="PD76" s="98"/>
      <c r="PE76" s="98"/>
      <c r="PF76" s="98"/>
      <c r="PG76" s="98"/>
      <c r="PH76" s="98"/>
      <c r="PI76" s="98"/>
      <c r="PJ76" s="98"/>
      <c r="PK76" s="98"/>
      <c r="PL76" s="98"/>
      <c r="PM76" s="98"/>
      <c r="PN76" s="98"/>
      <c r="PO76" s="98"/>
      <c r="PP76" s="98"/>
      <c r="PQ76" s="98"/>
      <c r="PR76" s="98"/>
      <c r="PS76" s="98"/>
      <c r="PT76" s="98"/>
      <c r="PU76" s="98"/>
      <c r="PV76" s="98"/>
      <c r="PW76" s="98"/>
      <c r="PX76" s="98"/>
      <c r="PY76" s="98"/>
      <c r="PZ76" s="98"/>
      <c r="QA76" s="98"/>
      <c r="QB76" s="98"/>
      <c r="QC76" s="98"/>
      <c r="QD76" s="98"/>
      <c r="QE76" s="98"/>
      <c r="QF76" s="98"/>
      <c r="QG76" s="98"/>
      <c r="QH76" s="98"/>
      <c r="QI76" s="98"/>
      <c r="QJ76" s="98"/>
      <c r="QK76" s="98"/>
      <c r="QL76" s="98"/>
      <c r="QM76" s="98"/>
      <c r="QN76" s="98"/>
      <c r="QO76" s="98"/>
      <c r="QP76" s="98"/>
      <c r="QQ76" s="98"/>
      <c r="QR76" s="98"/>
      <c r="QS76" s="98"/>
      <c r="QT76" s="98"/>
      <c r="QU76" s="98"/>
      <c r="QV76" s="98"/>
      <c r="QW76" s="98"/>
      <c r="QX76" s="98"/>
      <c r="QY76" s="98"/>
      <c r="QZ76" s="98"/>
      <c r="RA76" s="98"/>
      <c r="RB76" s="98"/>
      <c r="RC76" s="98"/>
      <c r="RD76" s="98"/>
      <c r="RE76" s="98"/>
      <c r="RF76" s="98"/>
      <c r="RG76" s="98"/>
      <c r="RH76" s="98"/>
      <c r="RI76" s="98"/>
      <c r="RJ76" s="98"/>
      <c r="RK76" s="98"/>
      <c r="RL76" s="98"/>
      <c r="RM76" s="98"/>
      <c r="RN76" s="98"/>
      <c r="RO76" s="98"/>
      <c r="RP76" s="98"/>
      <c r="RQ76" s="98"/>
      <c r="RR76" s="98"/>
      <c r="RS76" s="98"/>
      <c r="RT76" s="98"/>
      <c r="RU76" s="98"/>
      <c r="RV76" s="98"/>
      <c r="RW76" s="98"/>
      <c r="RX76" s="98"/>
      <c r="RY76" s="98"/>
      <c r="RZ76" s="98"/>
      <c r="SA76" s="98"/>
      <c r="SB76" s="98"/>
      <c r="SC76" s="98"/>
      <c r="SD76" s="98"/>
      <c r="SE76" s="98"/>
      <c r="SF76" s="98"/>
      <c r="SG76" s="98"/>
      <c r="SH76" s="98"/>
      <c r="SI76" s="98"/>
      <c r="SJ76" s="98"/>
      <c r="SK76" s="98"/>
      <c r="SL76" s="98"/>
      <c r="SM76" s="98"/>
      <c r="SN76" s="98"/>
      <c r="SO76" s="98"/>
      <c r="SP76" s="98"/>
      <c r="SQ76" s="98"/>
      <c r="SR76" s="98"/>
      <c r="SS76" s="98"/>
      <c r="ST76" s="98"/>
      <c r="SU76" s="98"/>
      <c r="SV76" s="98"/>
      <c r="SW76" s="98"/>
      <c r="SX76" s="98"/>
      <c r="SY76" s="98"/>
      <c r="SZ76" s="98"/>
      <c r="TA76" s="98"/>
      <c r="TB76" s="98"/>
      <c r="TC76" s="98"/>
      <c r="TD76" s="98"/>
      <c r="TE76" s="98"/>
      <c r="TF76" s="98"/>
      <c r="TG76" s="98"/>
      <c r="TH76" s="98"/>
      <c r="TI76" s="98"/>
      <c r="TJ76" s="98"/>
      <c r="TK76" s="98"/>
      <c r="TL76" s="98"/>
      <c r="TM76" s="98"/>
      <c r="TN76" s="98"/>
      <c r="TO76" s="98"/>
      <c r="TP76" s="98"/>
      <c r="TQ76" s="98"/>
      <c r="TR76" s="98"/>
      <c r="TS76" s="98"/>
      <c r="TT76" s="98"/>
      <c r="TU76" s="98"/>
      <c r="TV76" s="98"/>
      <c r="TW76" s="98"/>
      <c r="TX76" s="98"/>
      <c r="TY76" s="98"/>
      <c r="TZ76" s="98"/>
      <c r="UA76" s="98"/>
      <c r="UB76" s="98"/>
      <c r="UC76" s="98"/>
      <c r="UD76" s="98"/>
      <c r="UE76" s="98"/>
      <c r="UF76" s="98"/>
      <c r="UG76" s="98"/>
      <c r="UH76" s="98"/>
      <c r="UI76" s="98"/>
      <c r="UJ76" s="98"/>
      <c r="UK76" s="98"/>
      <c r="UL76" s="98"/>
      <c r="UM76" s="98"/>
      <c r="UN76" s="98"/>
      <c r="UO76" s="98"/>
      <c r="UP76" s="98"/>
      <c r="UQ76" s="98"/>
      <c r="UR76" s="98"/>
      <c r="US76" s="98"/>
      <c r="UT76" s="98"/>
      <c r="UU76" s="98"/>
      <c r="UV76" s="98"/>
      <c r="UW76" s="98"/>
      <c r="UX76" s="98"/>
      <c r="UY76" s="98"/>
      <c r="UZ76" s="98"/>
      <c r="VA76" s="98"/>
      <c r="VB76" s="98"/>
      <c r="VC76" s="98"/>
      <c r="VD76" s="98"/>
      <c r="VE76" s="98"/>
      <c r="VF76" s="98"/>
      <c r="VG76" s="98"/>
      <c r="VH76" s="98"/>
      <c r="VI76" s="98"/>
      <c r="VJ76" s="98"/>
      <c r="VK76" s="98"/>
      <c r="VL76" s="98"/>
      <c r="VM76" s="98"/>
      <c r="VN76" s="98"/>
      <c r="VO76" s="98"/>
      <c r="VP76" s="98"/>
      <c r="VQ76" s="98"/>
      <c r="VR76" s="98"/>
      <c r="VS76" s="98"/>
      <c r="VT76" s="98"/>
      <c r="VU76" s="98"/>
      <c r="VV76" s="98"/>
      <c r="VW76" s="98"/>
      <c r="VX76" s="98"/>
      <c r="VY76" s="98"/>
      <c r="VZ76" s="98"/>
      <c r="WA76" s="98"/>
      <c r="WB76" s="98"/>
      <c r="WC76" s="98"/>
      <c r="WD76" s="98"/>
      <c r="WE76" s="98"/>
      <c r="WF76" s="98"/>
      <c r="WG76" s="98"/>
      <c r="WH76" s="98"/>
      <c r="WI76" s="98"/>
      <c r="WJ76" s="98"/>
      <c r="WK76" s="98"/>
      <c r="WL76" s="98"/>
      <c r="WM76" s="98"/>
      <c r="WN76" s="98"/>
      <c r="WO76" s="98"/>
      <c r="WP76" s="98"/>
      <c r="WQ76" s="98"/>
      <c r="WR76" s="98"/>
      <c r="WS76" s="98"/>
      <c r="WT76" s="98"/>
      <c r="WU76" s="98"/>
      <c r="WV76" s="98"/>
      <c r="WW76" s="98"/>
      <c r="WX76" s="98"/>
      <c r="WY76" s="98"/>
      <c r="WZ76" s="98"/>
      <c r="XA76" s="98"/>
      <c r="XB76" s="98"/>
      <c r="XC76" s="98"/>
      <c r="XD76" s="98"/>
      <c r="XE76" s="98"/>
      <c r="XF76" s="98"/>
      <c r="XG76" s="98"/>
      <c r="XH76" s="98"/>
      <c r="XI76" s="98"/>
      <c r="XJ76" s="98"/>
      <c r="XK76" s="98"/>
      <c r="XL76" s="98"/>
      <c r="XM76" s="98"/>
      <c r="XN76" s="98"/>
      <c r="XO76" s="98"/>
      <c r="XP76" s="98"/>
      <c r="XQ76" s="98"/>
      <c r="XR76" s="98"/>
      <c r="XS76" s="98"/>
      <c r="XT76" s="98"/>
      <c r="XU76" s="98"/>
      <c r="XV76" s="98"/>
      <c r="XW76" s="98"/>
      <c r="XX76" s="98"/>
      <c r="XY76" s="98"/>
      <c r="XZ76" s="98"/>
      <c r="YA76" s="98"/>
      <c r="YB76" s="98"/>
      <c r="YC76" s="98"/>
      <c r="YD76" s="98"/>
      <c r="YE76" s="98"/>
      <c r="YF76" s="98"/>
      <c r="YG76" s="98"/>
      <c r="YH76" s="98"/>
      <c r="YI76" s="98"/>
      <c r="YJ76" s="98"/>
      <c r="YK76" s="98"/>
      <c r="YL76" s="98"/>
      <c r="YM76" s="98"/>
      <c r="YN76" s="98"/>
      <c r="YO76" s="98"/>
      <c r="YP76" s="98"/>
      <c r="YQ76" s="98"/>
      <c r="YR76" s="98"/>
      <c r="YS76" s="98"/>
      <c r="YT76" s="98"/>
      <c r="YU76" s="98"/>
      <c r="YV76" s="98"/>
      <c r="YW76" s="98"/>
      <c r="YX76" s="98"/>
      <c r="YY76" s="98"/>
      <c r="YZ76" s="98"/>
      <c r="ZA76" s="98"/>
      <c r="ZB76" s="98"/>
      <c r="ZC76" s="98"/>
      <c r="ZD76" s="98"/>
      <c r="ZE76" s="98"/>
      <c r="ZF76" s="98"/>
      <c r="ZG76" s="98"/>
      <c r="ZH76" s="98"/>
      <c r="ZI76" s="98"/>
      <c r="ZJ76" s="98"/>
      <c r="ZK76" s="98"/>
      <c r="ZL76" s="98"/>
      <c r="ZM76" s="98"/>
      <c r="ZN76" s="98"/>
      <c r="ZO76" s="98"/>
      <c r="ZP76" s="98"/>
      <c r="ZQ76" s="98"/>
      <c r="ZR76" s="98"/>
      <c r="ZS76" s="98"/>
      <c r="ZT76" s="98"/>
      <c r="ZU76" s="98"/>
      <c r="ZV76" s="98"/>
      <c r="ZW76" s="98"/>
      <c r="ZX76" s="98"/>
      <c r="ZY76" s="98"/>
      <c r="ZZ76" s="98"/>
      <c r="AAA76" s="98"/>
      <c r="AAB76" s="98"/>
      <c r="AAC76" s="98"/>
      <c r="AAD76" s="98"/>
      <c r="AAE76" s="98"/>
      <c r="AAF76" s="98"/>
      <c r="AAG76" s="98"/>
      <c r="AAH76" s="98"/>
      <c r="AAI76" s="98"/>
      <c r="AAJ76" s="98"/>
      <c r="AAK76" s="98"/>
      <c r="AAL76" s="98"/>
      <c r="AAM76" s="98"/>
      <c r="AAN76" s="98"/>
      <c r="AAO76" s="98"/>
      <c r="AAP76" s="98"/>
      <c r="AAQ76" s="98"/>
      <c r="AAR76" s="98"/>
      <c r="AAS76" s="98"/>
      <c r="AAT76" s="98"/>
      <c r="AAU76" s="98"/>
      <c r="AAV76" s="98"/>
      <c r="AAW76" s="98"/>
      <c r="AAX76" s="98"/>
      <c r="AAY76" s="98"/>
      <c r="AAZ76" s="98"/>
      <c r="ABA76" s="98"/>
      <c r="ABB76" s="98"/>
      <c r="ABC76" s="98"/>
      <c r="ABD76" s="98"/>
      <c r="ABE76" s="98"/>
      <c r="ABF76" s="98"/>
      <c r="ABG76" s="98"/>
      <c r="ABH76" s="98"/>
      <c r="ABI76" s="98"/>
      <c r="ABJ76" s="98"/>
      <c r="ABK76" s="98"/>
      <c r="ABL76" s="98"/>
      <c r="ABM76" s="98"/>
      <c r="ABN76" s="98"/>
      <c r="ABO76" s="98"/>
      <c r="ABP76" s="98"/>
      <c r="ABQ76" s="98"/>
      <c r="ABR76" s="98"/>
      <c r="ABS76" s="98"/>
      <c r="ABT76" s="98"/>
      <c r="ABU76" s="98"/>
      <c r="ABV76" s="98"/>
      <c r="ABW76" s="98"/>
      <c r="ABX76" s="98"/>
      <c r="ABY76" s="98"/>
      <c r="ABZ76" s="98"/>
      <c r="ACA76" s="98"/>
      <c r="ACB76" s="98"/>
      <c r="ACC76" s="98"/>
      <c r="ACD76" s="98"/>
      <c r="ACE76" s="98"/>
      <c r="ACF76" s="98"/>
      <c r="ACG76" s="98"/>
      <c r="ACH76" s="98"/>
      <c r="ACI76" s="98"/>
      <c r="ACJ76" s="98"/>
      <c r="ACK76" s="98"/>
      <c r="ACL76" s="98"/>
      <c r="ACM76" s="98"/>
      <c r="ACN76" s="98"/>
      <c r="ACO76" s="98"/>
      <c r="ACP76" s="98"/>
      <c r="ACQ76" s="98"/>
      <c r="ACR76" s="98"/>
      <c r="ACS76" s="98"/>
      <c r="ACT76" s="98"/>
      <c r="ACU76" s="98"/>
      <c r="ACV76" s="98"/>
      <c r="ACW76" s="98"/>
      <c r="ACX76" s="98"/>
      <c r="ACY76" s="98"/>
      <c r="ACZ76" s="98"/>
      <c r="ADA76" s="98"/>
      <c r="ADB76" s="98"/>
      <c r="ADC76" s="98"/>
      <c r="ADD76" s="98"/>
      <c r="ADE76" s="98"/>
      <c r="ADF76" s="98"/>
      <c r="ADG76" s="98"/>
      <c r="ADH76" s="98"/>
      <c r="ADI76" s="98"/>
      <c r="ADJ76" s="98"/>
      <c r="ADK76" s="98"/>
      <c r="ADL76" s="98"/>
      <c r="ADM76" s="98"/>
      <c r="ADN76" s="98"/>
      <c r="ADO76" s="98"/>
      <c r="ADP76" s="98"/>
      <c r="ADQ76" s="98"/>
      <c r="ADR76" s="98"/>
      <c r="ADS76" s="98"/>
      <c r="ADT76" s="98"/>
      <c r="ADU76" s="98"/>
      <c r="ADV76" s="98"/>
      <c r="ADW76" s="98"/>
      <c r="ADX76" s="98"/>
      <c r="ADY76" s="98"/>
      <c r="ADZ76" s="98"/>
      <c r="AEA76" s="98"/>
      <c r="AEB76" s="98"/>
      <c r="AEC76" s="98"/>
      <c r="AED76" s="98"/>
      <c r="AEE76" s="98"/>
      <c r="AEF76" s="98"/>
      <c r="AEG76" s="98"/>
      <c r="AEH76" s="98"/>
      <c r="AEI76" s="98"/>
      <c r="AEJ76" s="98"/>
      <c r="AEK76" s="98"/>
      <c r="AEL76" s="98"/>
      <c r="AEM76" s="98"/>
      <c r="AEN76" s="98"/>
      <c r="AEO76" s="98"/>
      <c r="AEP76" s="98"/>
      <c r="AEQ76" s="98"/>
      <c r="AER76" s="98"/>
      <c r="AES76" s="98"/>
      <c r="AET76" s="98"/>
      <c r="AEU76" s="98"/>
      <c r="AEV76" s="98"/>
      <c r="AEW76" s="98"/>
      <c r="AEX76" s="98"/>
      <c r="AEY76" s="98"/>
      <c r="AEZ76" s="98"/>
      <c r="AFA76" s="98"/>
      <c r="AFB76" s="98"/>
      <c r="AFC76" s="98"/>
      <c r="AFD76" s="98"/>
      <c r="AFE76" s="98"/>
      <c r="AFF76" s="98"/>
      <c r="AFG76" s="98"/>
      <c r="AFH76" s="98"/>
      <c r="AFI76" s="98"/>
      <c r="AFJ76" s="98"/>
      <c r="AFK76" s="98"/>
      <c r="AFL76" s="98"/>
      <c r="AFM76" s="98"/>
      <c r="AFN76" s="98"/>
      <c r="AFO76" s="98"/>
      <c r="AFP76" s="98"/>
      <c r="AFQ76" s="98"/>
      <c r="AFR76" s="98"/>
      <c r="AFS76" s="98"/>
      <c r="AFT76" s="98"/>
      <c r="AFU76" s="98"/>
      <c r="AFV76" s="98"/>
      <c r="AFW76" s="98"/>
      <c r="AFX76" s="98"/>
      <c r="AFY76" s="98"/>
      <c r="AFZ76" s="98"/>
      <c r="AGA76" s="98"/>
      <c r="AGB76" s="98"/>
      <c r="AGC76" s="98"/>
      <c r="AGD76" s="98"/>
      <c r="AGE76" s="98"/>
      <c r="AGF76" s="98"/>
      <c r="AGG76" s="98"/>
      <c r="AGH76" s="98"/>
      <c r="AGI76" s="98"/>
      <c r="AGJ76" s="98"/>
      <c r="AGK76" s="98"/>
      <c r="AGL76" s="98"/>
      <c r="AGM76" s="98"/>
      <c r="AGN76" s="98"/>
      <c r="AGO76" s="98"/>
      <c r="AGP76" s="98"/>
      <c r="AGQ76" s="98"/>
      <c r="AGR76" s="98"/>
      <c r="AGS76" s="98"/>
      <c r="AGT76" s="98"/>
      <c r="AGU76" s="98"/>
      <c r="AGV76" s="98"/>
      <c r="AGW76" s="98"/>
      <c r="AGX76" s="98"/>
      <c r="AGY76" s="98"/>
      <c r="AGZ76" s="98"/>
      <c r="AHA76" s="98"/>
      <c r="AHB76" s="98"/>
      <c r="AHC76" s="98"/>
      <c r="AHD76" s="98"/>
      <c r="AHE76" s="98"/>
      <c r="AHF76" s="98"/>
      <c r="AHG76" s="98"/>
      <c r="AHH76" s="98"/>
      <c r="AHI76" s="98"/>
      <c r="AHJ76" s="98"/>
      <c r="AHK76" s="98"/>
      <c r="AHL76" s="98"/>
      <c r="AHM76" s="98"/>
      <c r="AHN76" s="98"/>
      <c r="AHO76" s="98"/>
      <c r="AHP76" s="98"/>
      <c r="AHQ76" s="98"/>
      <c r="AHR76" s="98"/>
      <c r="AHS76" s="98"/>
      <c r="AHT76" s="98"/>
      <c r="AHU76" s="98"/>
      <c r="AHV76" s="98"/>
      <c r="AHW76" s="98"/>
      <c r="AHX76" s="98"/>
      <c r="AHY76" s="98"/>
      <c r="AHZ76" s="98"/>
      <c r="AIA76" s="98"/>
      <c r="AIB76" s="98"/>
      <c r="AIC76" s="98"/>
      <c r="AID76" s="98"/>
      <c r="AIE76" s="98"/>
      <c r="AIF76" s="98"/>
      <c r="AIG76" s="98"/>
      <c r="AIH76" s="98"/>
      <c r="AII76" s="98"/>
      <c r="AIJ76" s="98"/>
      <c r="AIK76" s="98"/>
      <c r="AIL76" s="98"/>
      <c r="AIM76" s="98"/>
      <c r="AIN76" s="98"/>
      <c r="AIO76" s="98"/>
      <c r="AIP76" s="98"/>
      <c r="AIQ76" s="98"/>
      <c r="AIR76" s="98"/>
      <c r="AIS76" s="98"/>
      <c r="AIT76" s="98"/>
      <c r="AIU76" s="98"/>
      <c r="AIV76" s="98"/>
      <c r="AIW76" s="98"/>
      <c r="AIX76" s="98"/>
      <c r="AIY76" s="98"/>
      <c r="AIZ76" s="98"/>
      <c r="AJA76" s="98"/>
      <c r="AJB76" s="98"/>
      <c r="AJC76" s="98"/>
      <c r="AJD76" s="98"/>
      <c r="AJE76" s="98"/>
      <c r="AJF76" s="98"/>
      <c r="AJG76" s="98"/>
      <c r="AJH76" s="98"/>
      <c r="AJI76" s="98"/>
      <c r="AJJ76" s="98"/>
      <c r="AJK76" s="98"/>
      <c r="AJL76" s="98"/>
      <c r="AJM76" s="98"/>
      <c r="AJN76" s="98"/>
      <c r="AJO76" s="98"/>
      <c r="AJP76" s="98"/>
      <c r="AJQ76" s="98"/>
      <c r="AJR76" s="98"/>
      <c r="AJS76" s="98"/>
      <c r="AJT76" s="98"/>
      <c r="AJU76" s="98"/>
      <c r="AJV76" s="98"/>
      <c r="AJW76" s="98"/>
      <c r="AJX76" s="98"/>
      <c r="AJY76" s="98"/>
      <c r="AJZ76" s="98"/>
      <c r="AKA76" s="98"/>
      <c r="AKB76" s="98"/>
      <c r="AKC76" s="98"/>
      <c r="AKD76" s="98"/>
      <c r="AKE76" s="98"/>
      <c r="AKF76" s="98"/>
      <c r="AKG76" s="98"/>
      <c r="AKH76" s="98"/>
      <c r="AKI76" s="98"/>
      <c r="AKJ76" s="98"/>
      <c r="AKK76" s="98"/>
      <c r="AKL76" s="98"/>
      <c r="AKM76" s="98"/>
      <c r="AKN76" s="98"/>
      <c r="AKO76" s="98"/>
      <c r="AKP76" s="98"/>
      <c r="AKQ76" s="98"/>
      <c r="AKR76" s="98"/>
      <c r="AKS76" s="98"/>
      <c r="AKT76" s="98"/>
      <c r="AKU76" s="98"/>
      <c r="AKV76" s="98"/>
      <c r="AKW76" s="98"/>
      <c r="AKX76" s="98"/>
      <c r="AKY76" s="98"/>
      <c r="AKZ76" s="98"/>
      <c r="ALA76" s="98"/>
      <c r="ALB76" s="98"/>
      <c r="ALC76" s="98"/>
      <c r="ALD76" s="98"/>
      <c r="ALE76" s="98"/>
      <c r="ALF76" s="98"/>
      <c r="ALG76" s="98"/>
      <c r="ALH76" s="98"/>
      <c r="ALI76" s="98"/>
      <c r="ALJ76" s="98"/>
      <c r="ALK76" s="98"/>
      <c r="ALL76" s="98"/>
      <c r="ALM76" s="98"/>
      <c r="ALN76" s="98"/>
      <c r="ALO76" s="98"/>
      <c r="ALP76" s="98"/>
      <c r="ALQ76" s="98"/>
      <c r="ALR76" s="98"/>
      <c r="ALS76" s="98"/>
      <c r="ALT76" s="98"/>
      <c r="ALU76" s="98"/>
      <c r="ALV76" s="98"/>
      <c r="ALW76" s="98"/>
      <c r="ALX76" s="98"/>
      <c r="ALY76" s="98"/>
      <c r="ALZ76" s="98"/>
      <c r="AMA76" s="98"/>
      <c r="AMB76" s="98"/>
      <c r="AMC76" s="98"/>
      <c r="AMD76" s="98"/>
      <c r="AME76" s="98"/>
      <c r="AMF76" s="98"/>
      <c r="AMG76" s="98"/>
      <c r="AMH76" s="98"/>
      <c r="AMI76" s="98"/>
      <c r="AMJ76" s="98"/>
      <c r="AMK76" s="98"/>
      <c r="AML76" s="98"/>
      <c r="AMM76" s="98"/>
      <c r="AMN76" s="98"/>
      <c r="AMO76" s="98"/>
      <c r="AMP76" s="98"/>
      <c r="AMQ76" s="98"/>
      <c r="AMR76" s="98"/>
      <c r="AMS76" s="98"/>
      <c r="AMT76" s="98"/>
      <c r="AMU76" s="98"/>
      <c r="AMV76" s="98"/>
      <c r="AMW76" s="98"/>
      <c r="AMX76" s="98"/>
      <c r="AMY76" s="98"/>
      <c r="AMZ76" s="98"/>
      <c r="ANA76" s="98"/>
      <c r="ANB76" s="98"/>
      <c r="ANC76" s="98"/>
      <c r="AND76" s="98"/>
      <c r="ANE76" s="98"/>
      <c r="ANF76" s="98"/>
      <c r="ANG76" s="98"/>
      <c r="ANH76" s="98"/>
      <c r="ANI76" s="98"/>
      <c r="ANJ76" s="98"/>
      <c r="ANK76" s="98"/>
      <c r="ANL76" s="98"/>
      <c r="ANM76" s="98"/>
      <c r="ANN76" s="98"/>
      <c r="ANO76" s="98"/>
      <c r="ANP76" s="98"/>
      <c r="ANQ76" s="98"/>
      <c r="ANR76" s="98"/>
      <c r="ANS76" s="98"/>
      <c r="ANT76" s="98"/>
      <c r="ANU76" s="98"/>
      <c r="ANV76" s="98"/>
      <c r="ANW76" s="98"/>
      <c r="ANX76" s="98"/>
      <c r="ANY76" s="98"/>
      <c r="ANZ76" s="98"/>
      <c r="AOA76" s="98"/>
      <c r="AOB76" s="98"/>
      <c r="AOC76" s="98"/>
      <c r="AOD76" s="98"/>
      <c r="AOE76" s="98"/>
      <c r="AOF76" s="98"/>
      <c r="AOG76" s="98"/>
      <c r="AOH76" s="98"/>
      <c r="AOI76" s="98"/>
      <c r="AOJ76" s="98"/>
      <c r="AOK76" s="98"/>
      <c r="AOL76" s="98"/>
      <c r="AOM76" s="98"/>
      <c r="AON76" s="98"/>
      <c r="AOO76" s="98"/>
      <c r="AOP76" s="98"/>
      <c r="AOQ76" s="98"/>
      <c r="AOR76" s="98"/>
      <c r="AOS76" s="98"/>
      <c r="AOT76" s="98"/>
      <c r="AOU76" s="98"/>
      <c r="AOV76" s="98"/>
      <c r="AOW76" s="98"/>
      <c r="AOX76" s="98"/>
      <c r="AOY76" s="98"/>
      <c r="AOZ76" s="98"/>
      <c r="APA76" s="98"/>
      <c r="APB76" s="98"/>
      <c r="APC76" s="98"/>
      <c r="APD76" s="98"/>
      <c r="APE76" s="98"/>
      <c r="APF76" s="98"/>
      <c r="APG76" s="98"/>
      <c r="APH76" s="98"/>
      <c r="API76" s="98"/>
      <c r="APJ76" s="98"/>
      <c r="APK76" s="98"/>
      <c r="APL76" s="98"/>
      <c r="APM76" s="98"/>
      <c r="APN76" s="98"/>
      <c r="APO76" s="98"/>
      <c r="APP76" s="98"/>
      <c r="APQ76" s="98"/>
      <c r="APR76" s="98"/>
      <c r="APS76" s="98"/>
      <c r="APT76" s="98"/>
      <c r="APU76" s="98"/>
      <c r="APV76" s="98"/>
      <c r="APW76" s="98"/>
      <c r="APX76" s="98"/>
      <c r="APY76" s="98"/>
      <c r="APZ76" s="98"/>
      <c r="AQA76" s="98"/>
      <c r="AQB76" s="98"/>
      <c r="AQC76" s="98"/>
      <c r="AQD76" s="98"/>
      <c r="AQE76" s="98"/>
      <c r="AQF76" s="98"/>
      <c r="AQG76" s="98"/>
      <c r="AQH76" s="98"/>
      <c r="AQI76" s="98"/>
      <c r="AQJ76" s="98"/>
      <c r="AQK76" s="98"/>
      <c r="AQL76" s="98"/>
      <c r="AQM76" s="98"/>
      <c r="AQN76" s="98"/>
      <c r="AQO76" s="98"/>
      <c r="AQP76" s="98"/>
      <c r="AQQ76" s="98"/>
      <c r="AQR76" s="98"/>
      <c r="AQS76" s="98"/>
      <c r="AQT76" s="98"/>
      <c r="AQU76" s="98"/>
      <c r="AQV76" s="98"/>
      <c r="AQW76" s="98"/>
      <c r="AQX76" s="98"/>
      <c r="AQY76" s="98"/>
      <c r="AQZ76" s="98"/>
      <c r="ARA76" s="98"/>
      <c r="ARB76" s="98"/>
      <c r="ARC76" s="98"/>
      <c r="ARD76" s="98"/>
      <c r="ARE76" s="98"/>
      <c r="ARF76" s="98"/>
      <c r="ARG76" s="98"/>
      <c r="ARH76" s="98"/>
      <c r="ARI76" s="98"/>
      <c r="ARJ76" s="98"/>
      <c r="ARK76" s="98"/>
      <c r="ARL76" s="98"/>
      <c r="ARM76" s="98"/>
      <c r="ARN76" s="98"/>
      <c r="ARO76" s="98"/>
      <c r="ARP76" s="98"/>
      <c r="ARQ76" s="98"/>
      <c r="ARR76" s="98"/>
      <c r="ARS76" s="98"/>
    </row>
    <row r="77" spans="1:1163" s="174" customFormat="1">
      <c r="A77" s="140" t="s">
        <v>135</v>
      </c>
      <c r="B77" s="119" t="s">
        <v>67</v>
      </c>
      <c r="C77" s="201">
        <v>0</v>
      </c>
      <c r="D77" s="201">
        <v>0</v>
      </c>
      <c r="E77" s="201">
        <v>0</v>
      </c>
      <c r="F77" s="201">
        <v>0</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v>0</v>
      </c>
      <c r="W77" s="201">
        <v>0</v>
      </c>
      <c r="X77" s="201">
        <v>0</v>
      </c>
      <c r="Y77" s="201">
        <v>0</v>
      </c>
      <c r="Z77" s="201">
        <v>0</v>
      </c>
      <c r="AA77" s="201">
        <v>0</v>
      </c>
      <c r="AB77" s="201">
        <v>0</v>
      </c>
      <c r="AC77" s="201">
        <v>0</v>
      </c>
      <c r="AD77" s="201">
        <v>0</v>
      </c>
      <c r="AE77" s="201">
        <v>0</v>
      </c>
      <c r="AF77" s="201">
        <v>0</v>
      </c>
      <c r="AG77" s="201">
        <v>0</v>
      </c>
      <c r="AH77" s="201">
        <v>0</v>
      </c>
      <c r="AI77" s="201">
        <v>25</v>
      </c>
      <c r="AJ77" s="201">
        <v>9016</v>
      </c>
      <c r="AK77" s="201">
        <v>0</v>
      </c>
      <c r="AL77" s="201">
        <v>0</v>
      </c>
      <c r="AM77" s="201">
        <v>0</v>
      </c>
      <c r="AN77" s="201">
        <v>0</v>
      </c>
      <c r="AO77" s="201">
        <v>884</v>
      </c>
      <c r="AP77" s="201">
        <v>544880</v>
      </c>
      <c r="AQ77" s="201">
        <v>100</v>
      </c>
      <c r="AR77" s="201">
        <v>50000</v>
      </c>
      <c r="AS77" s="201">
        <v>0</v>
      </c>
      <c r="AT77" s="201">
        <v>0</v>
      </c>
      <c r="AU77" s="201">
        <v>0</v>
      </c>
      <c r="AV77" s="201">
        <v>0</v>
      </c>
      <c r="AW77" s="175">
        <v>0</v>
      </c>
      <c r="AX77" s="175">
        <v>0</v>
      </c>
      <c r="AY77" s="175">
        <v>0</v>
      </c>
      <c r="AZ77" s="175">
        <v>0</v>
      </c>
      <c r="BA77" s="201"/>
      <c r="BB77" s="197"/>
      <c r="BC77" s="197"/>
      <c r="BD77" s="197"/>
      <c r="BE77" s="197"/>
      <c r="BF77" s="197"/>
      <c r="BG77" s="197"/>
      <c r="BH77" s="197"/>
      <c r="BI77" s="197"/>
      <c r="BJ77" s="98"/>
      <c r="BK77" s="11"/>
      <c r="BL77" s="98"/>
      <c r="BM77" s="148"/>
      <c r="BN77" s="14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8"/>
      <c r="DV77" s="98"/>
      <c r="DW77" s="98"/>
      <c r="DX77" s="98"/>
      <c r="DY77" s="98"/>
      <c r="DZ77" s="98"/>
      <c r="EA77" s="98"/>
      <c r="EB77" s="98"/>
      <c r="EC77" s="98"/>
      <c r="ED77" s="98"/>
      <c r="EE77" s="98"/>
      <c r="EF77" s="98"/>
      <c r="EG77" s="98"/>
      <c r="EH77" s="98"/>
      <c r="EI77" s="98"/>
      <c r="EJ77" s="98"/>
      <c r="EK77" s="98"/>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c r="IW77" s="98"/>
      <c r="IX77" s="98"/>
      <c r="IY77" s="98"/>
      <c r="IZ77" s="98"/>
      <c r="JA77" s="98"/>
      <c r="JB77" s="98"/>
      <c r="JC77" s="98"/>
      <c r="JD77" s="98"/>
      <c r="JE77" s="98"/>
      <c r="JF77" s="98"/>
      <c r="JG77" s="98"/>
      <c r="JH77" s="98"/>
      <c r="JI77" s="98"/>
      <c r="JJ77" s="98"/>
      <c r="JK77" s="98"/>
      <c r="JL77" s="98"/>
      <c r="JM77" s="98"/>
      <c r="JN77" s="98"/>
      <c r="JO77" s="98"/>
      <c r="JP77" s="98"/>
      <c r="JQ77" s="98"/>
      <c r="JR77" s="98"/>
      <c r="JS77" s="98"/>
      <c r="JT77" s="98"/>
      <c r="JU77" s="98"/>
      <c r="JV77" s="98"/>
      <c r="JW77" s="98"/>
      <c r="JX77" s="98"/>
      <c r="JY77" s="98"/>
      <c r="JZ77" s="98"/>
      <c r="KA77" s="98"/>
      <c r="KB77" s="98"/>
      <c r="KC77" s="98"/>
      <c r="KD77" s="98"/>
      <c r="KE77" s="98"/>
      <c r="KF77" s="98"/>
      <c r="KG77" s="98"/>
      <c r="KH77" s="98"/>
      <c r="KI77" s="98"/>
      <c r="KJ77" s="98"/>
      <c r="KK77" s="98"/>
      <c r="KL77" s="98"/>
      <c r="KM77" s="98"/>
      <c r="KN77" s="98"/>
      <c r="KO77" s="98"/>
      <c r="KP77" s="98"/>
      <c r="KQ77" s="98"/>
      <c r="KR77" s="98"/>
      <c r="KS77" s="98"/>
      <c r="KT77" s="98"/>
      <c r="KU77" s="98"/>
      <c r="KV77" s="98"/>
      <c r="KW77" s="98"/>
      <c r="KX77" s="98"/>
      <c r="KY77" s="98"/>
      <c r="KZ77" s="98"/>
      <c r="LA77" s="98"/>
      <c r="LB77" s="98"/>
      <c r="LC77" s="98"/>
      <c r="LD77" s="98"/>
      <c r="LE77" s="98"/>
      <c r="LF77" s="98"/>
      <c r="LG77" s="98"/>
      <c r="LH77" s="98"/>
      <c r="LI77" s="98"/>
      <c r="LJ77" s="98"/>
      <c r="LK77" s="98"/>
      <c r="LL77" s="98"/>
      <c r="LM77" s="98"/>
      <c r="LN77" s="98"/>
      <c r="LO77" s="98"/>
      <c r="LP77" s="98"/>
      <c r="LQ77" s="98"/>
      <c r="LR77" s="98"/>
      <c r="LS77" s="98"/>
      <c r="LT77" s="98"/>
      <c r="LU77" s="98"/>
      <c r="LV77" s="98"/>
      <c r="LW77" s="98"/>
      <c r="LX77" s="98"/>
      <c r="LY77" s="98"/>
      <c r="LZ77" s="98"/>
      <c r="MA77" s="98"/>
      <c r="MB77" s="98"/>
      <c r="MC77" s="98"/>
      <c r="MD77" s="98"/>
      <c r="ME77" s="98"/>
      <c r="MF77" s="98"/>
      <c r="MG77" s="98"/>
      <c r="MH77" s="98"/>
      <c r="MI77" s="98"/>
      <c r="MJ77" s="98"/>
      <c r="MK77" s="98"/>
      <c r="ML77" s="98"/>
      <c r="MM77" s="98"/>
      <c r="MN77" s="98"/>
      <c r="MO77" s="98"/>
      <c r="MP77" s="98"/>
      <c r="MQ77" s="98"/>
      <c r="MR77" s="98"/>
      <c r="MS77" s="98"/>
      <c r="MT77" s="98"/>
      <c r="MU77" s="98"/>
      <c r="MV77" s="98"/>
      <c r="MW77" s="98"/>
      <c r="MX77" s="98"/>
      <c r="MY77" s="98"/>
      <c r="MZ77" s="98"/>
      <c r="NA77" s="98"/>
      <c r="NB77" s="98"/>
      <c r="NC77" s="98"/>
      <c r="ND77" s="98"/>
      <c r="NE77" s="98"/>
      <c r="NF77" s="98"/>
      <c r="NG77" s="98"/>
      <c r="NH77" s="98"/>
      <c r="NI77" s="98"/>
      <c r="NJ77" s="98"/>
      <c r="NK77" s="98"/>
      <c r="NL77" s="98"/>
      <c r="NM77" s="98"/>
      <c r="NN77" s="98"/>
      <c r="NO77" s="98"/>
      <c r="NP77" s="98"/>
      <c r="NQ77" s="98"/>
      <c r="NR77" s="98"/>
      <c r="NS77" s="98"/>
      <c r="NT77" s="98"/>
      <c r="NU77" s="98"/>
      <c r="NV77" s="98"/>
      <c r="NW77" s="98"/>
      <c r="NX77" s="98"/>
      <c r="NY77" s="98"/>
      <c r="NZ77" s="98"/>
      <c r="OA77" s="98"/>
      <c r="OB77" s="98"/>
      <c r="OC77" s="98"/>
      <c r="OD77" s="98"/>
      <c r="OE77" s="98"/>
      <c r="OF77" s="98"/>
      <c r="OG77" s="98"/>
      <c r="OH77" s="98"/>
      <c r="OI77" s="98"/>
      <c r="OJ77" s="98"/>
      <c r="OK77" s="98"/>
      <c r="OL77" s="98"/>
      <c r="OM77" s="98"/>
      <c r="ON77" s="98"/>
      <c r="OO77" s="98"/>
      <c r="OP77" s="98"/>
      <c r="OQ77" s="98"/>
      <c r="OR77" s="98"/>
      <c r="OS77" s="98"/>
      <c r="OT77" s="98"/>
      <c r="OU77" s="98"/>
      <c r="OV77" s="98"/>
      <c r="OW77" s="98"/>
      <c r="OX77" s="98"/>
      <c r="OY77" s="98"/>
      <c r="OZ77" s="98"/>
      <c r="PA77" s="98"/>
      <c r="PB77" s="98"/>
      <c r="PC77" s="98"/>
      <c r="PD77" s="98"/>
      <c r="PE77" s="98"/>
      <c r="PF77" s="98"/>
      <c r="PG77" s="98"/>
      <c r="PH77" s="98"/>
      <c r="PI77" s="98"/>
      <c r="PJ77" s="98"/>
      <c r="PK77" s="98"/>
      <c r="PL77" s="98"/>
      <c r="PM77" s="98"/>
      <c r="PN77" s="98"/>
      <c r="PO77" s="98"/>
      <c r="PP77" s="98"/>
      <c r="PQ77" s="98"/>
      <c r="PR77" s="98"/>
      <c r="PS77" s="98"/>
      <c r="PT77" s="98"/>
      <c r="PU77" s="98"/>
      <c r="PV77" s="98"/>
      <c r="PW77" s="98"/>
      <c r="PX77" s="98"/>
      <c r="PY77" s="98"/>
      <c r="PZ77" s="98"/>
      <c r="QA77" s="98"/>
      <c r="QB77" s="98"/>
      <c r="QC77" s="98"/>
      <c r="QD77" s="98"/>
      <c r="QE77" s="98"/>
      <c r="QF77" s="98"/>
      <c r="QG77" s="98"/>
      <c r="QH77" s="98"/>
      <c r="QI77" s="98"/>
      <c r="QJ77" s="98"/>
      <c r="QK77" s="98"/>
      <c r="QL77" s="98"/>
      <c r="QM77" s="98"/>
      <c r="QN77" s="98"/>
      <c r="QO77" s="98"/>
      <c r="QP77" s="98"/>
      <c r="QQ77" s="98"/>
      <c r="QR77" s="98"/>
      <c r="QS77" s="98"/>
      <c r="QT77" s="98"/>
      <c r="QU77" s="98"/>
      <c r="QV77" s="98"/>
      <c r="QW77" s="98"/>
      <c r="QX77" s="98"/>
      <c r="QY77" s="98"/>
      <c r="QZ77" s="98"/>
      <c r="RA77" s="98"/>
      <c r="RB77" s="98"/>
      <c r="RC77" s="98"/>
      <c r="RD77" s="98"/>
      <c r="RE77" s="98"/>
      <c r="RF77" s="98"/>
      <c r="RG77" s="98"/>
      <c r="RH77" s="98"/>
      <c r="RI77" s="98"/>
      <c r="RJ77" s="98"/>
      <c r="RK77" s="98"/>
      <c r="RL77" s="98"/>
      <c r="RM77" s="98"/>
      <c r="RN77" s="98"/>
      <c r="RO77" s="98"/>
      <c r="RP77" s="98"/>
      <c r="RQ77" s="98"/>
      <c r="RR77" s="98"/>
      <c r="RS77" s="98"/>
      <c r="RT77" s="98"/>
      <c r="RU77" s="98"/>
      <c r="RV77" s="98"/>
      <c r="RW77" s="98"/>
      <c r="RX77" s="98"/>
      <c r="RY77" s="98"/>
      <c r="RZ77" s="98"/>
      <c r="SA77" s="98"/>
      <c r="SB77" s="98"/>
      <c r="SC77" s="98"/>
      <c r="SD77" s="98"/>
      <c r="SE77" s="98"/>
      <c r="SF77" s="98"/>
      <c r="SG77" s="98"/>
      <c r="SH77" s="98"/>
      <c r="SI77" s="98"/>
      <c r="SJ77" s="98"/>
      <c r="SK77" s="98"/>
      <c r="SL77" s="98"/>
      <c r="SM77" s="98"/>
      <c r="SN77" s="98"/>
      <c r="SO77" s="98"/>
      <c r="SP77" s="98"/>
      <c r="SQ77" s="98"/>
      <c r="SR77" s="98"/>
      <c r="SS77" s="98"/>
      <c r="ST77" s="98"/>
      <c r="SU77" s="98"/>
      <c r="SV77" s="98"/>
      <c r="SW77" s="98"/>
      <c r="SX77" s="98"/>
      <c r="SY77" s="98"/>
      <c r="SZ77" s="98"/>
      <c r="TA77" s="98"/>
      <c r="TB77" s="98"/>
      <c r="TC77" s="98"/>
      <c r="TD77" s="98"/>
      <c r="TE77" s="98"/>
      <c r="TF77" s="98"/>
      <c r="TG77" s="98"/>
      <c r="TH77" s="98"/>
      <c r="TI77" s="98"/>
      <c r="TJ77" s="98"/>
      <c r="TK77" s="98"/>
      <c r="TL77" s="98"/>
      <c r="TM77" s="98"/>
      <c r="TN77" s="98"/>
      <c r="TO77" s="98"/>
      <c r="TP77" s="98"/>
      <c r="TQ77" s="98"/>
      <c r="TR77" s="98"/>
      <c r="TS77" s="98"/>
      <c r="TT77" s="98"/>
      <c r="TU77" s="98"/>
      <c r="TV77" s="98"/>
      <c r="TW77" s="98"/>
      <c r="TX77" s="98"/>
      <c r="TY77" s="98"/>
      <c r="TZ77" s="98"/>
      <c r="UA77" s="98"/>
      <c r="UB77" s="98"/>
      <c r="UC77" s="98"/>
      <c r="UD77" s="98"/>
      <c r="UE77" s="98"/>
      <c r="UF77" s="98"/>
      <c r="UG77" s="98"/>
      <c r="UH77" s="98"/>
      <c r="UI77" s="98"/>
      <c r="UJ77" s="98"/>
      <c r="UK77" s="98"/>
      <c r="UL77" s="98"/>
      <c r="UM77" s="98"/>
      <c r="UN77" s="98"/>
      <c r="UO77" s="98"/>
      <c r="UP77" s="98"/>
      <c r="UQ77" s="98"/>
      <c r="UR77" s="98"/>
      <c r="US77" s="98"/>
      <c r="UT77" s="98"/>
      <c r="UU77" s="98"/>
      <c r="UV77" s="98"/>
      <c r="UW77" s="98"/>
      <c r="UX77" s="98"/>
      <c r="UY77" s="98"/>
      <c r="UZ77" s="98"/>
      <c r="VA77" s="98"/>
      <c r="VB77" s="98"/>
      <c r="VC77" s="98"/>
      <c r="VD77" s="98"/>
      <c r="VE77" s="98"/>
      <c r="VF77" s="98"/>
      <c r="VG77" s="98"/>
      <c r="VH77" s="98"/>
      <c r="VI77" s="98"/>
      <c r="VJ77" s="98"/>
      <c r="VK77" s="98"/>
      <c r="VL77" s="98"/>
      <c r="VM77" s="98"/>
      <c r="VN77" s="98"/>
      <c r="VO77" s="98"/>
      <c r="VP77" s="98"/>
      <c r="VQ77" s="98"/>
      <c r="VR77" s="98"/>
      <c r="VS77" s="98"/>
      <c r="VT77" s="98"/>
      <c r="VU77" s="98"/>
      <c r="VV77" s="98"/>
      <c r="VW77" s="98"/>
      <c r="VX77" s="98"/>
      <c r="VY77" s="98"/>
      <c r="VZ77" s="98"/>
      <c r="WA77" s="98"/>
      <c r="WB77" s="98"/>
      <c r="WC77" s="98"/>
      <c r="WD77" s="98"/>
      <c r="WE77" s="98"/>
      <c r="WF77" s="98"/>
      <c r="WG77" s="98"/>
      <c r="WH77" s="98"/>
      <c r="WI77" s="98"/>
      <c r="WJ77" s="98"/>
      <c r="WK77" s="98"/>
      <c r="WL77" s="98"/>
      <c r="WM77" s="98"/>
      <c r="WN77" s="98"/>
      <c r="WO77" s="98"/>
      <c r="WP77" s="98"/>
      <c r="WQ77" s="98"/>
      <c r="WR77" s="98"/>
      <c r="WS77" s="98"/>
      <c r="WT77" s="98"/>
      <c r="WU77" s="98"/>
      <c r="WV77" s="98"/>
      <c r="WW77" s="98"/>
      <c r="WX77" s="98"/>
      <c r="WY77" s="98"/>
      <c r="WZ77" s="98"/>
      <c r="XA77" s="98"/>
      <c r="XB77" s="98"/>
      <c r="XC77" s="98"/>
      <c r="XD77" s="98"/>
      <c r="XE77" s="98"/>
      <c r="XF77" s="98"/>
      <c r="XG77" s="98"/>
      <c r="XH77" s="98"/>
      <c r="XI77" s="98"/>
      <c r="XJ77" s="98"/>
      <c r="XK77" s="98"/>
      <c r="XL77" s="98"/>
      <c r="XM77" s="98"/>
      <c r="XN77" s="98"/>
      <c r="XO77" s="98"/>
      <c r="XP77" s="98"/>
      <c r="XQ77" s="98"/>
      <c r="XR77" s="98"/>
      <c r="XS77" s="98"/>
      <c r="XT77" s="98"/>
      <c r="XU77" s="98"/>
      <c r="XV77" s="98"/>
      <c r="XW77" s="98"/>
      <c r="XX77" s="98"/>
      <c r="XY77" s="98"/>
      <c r="XZ77" s="98"/>
      <c r="YA77" s="98"/>
      <c r="YB77" s="98"/>
      <c r="YC77" s="98"/>
      <c r="YD77" s="98"/>
      <c r="YE77" s="98"/>
      <c r="YF77" s="98"/>
      <c r="YG77" s="98"/>
      <c r="YH77" s="98"/>
      <c r="YI77" s="98"/>
      <c r="YJ77" s="98"/>
      <c r="YK77" s="98"/>
      <c r="YL77" s="98"/>
      <c r="YM77" s="98"/>
      <c r="YN77" s="98"/>
      <c r="YO77" s="98"/>
      <c r="YP77" s="98"/>
      <c r="YQ77" s="98"/>
      <c r="YR77" s="98"/>
      <c r="YS77" s="98"/>
      <c r="YT77" s="98"/>
      <c r="YU77" s="98"/>
      <c r="YV77" s="98"/>
      <c r="YW77" s="98"/>
      <c r="YX77" s="98"/>
      <c r="YY77" s="98"/>
      <c r="YZ77" s="98"/>
      <c r="ZA77" s="98"/>
      <c r="ZB77" s="98"/>
      <c r="ZC77" s="98"/>
      <c r="ZD77" s="98"/>
      <c r="ZE77" s="98"/>
      <c r="ZF77" s="98"/>
      <c r="ZG77" s="98"/>
      <c r="ZH77" s="98"/>
      <c r="ZI77" s="98"/>
      <c r="ZJ77" s="98"/>
      <c r="ZK77" s="98"/>
      <c r="ZL77" s="98"/>
      <c r="ZM77" s="98"/>
      <c r="ZN77" s="98"/>
      <c r="ZO77" s="98"/>
      <c r="ZP77" s="98"/>
      <c r="ZQ77" s="98"/>
      <c r="ZR77" s="98"/>
      <c r="ZS77" s="98"/>
      <c r="ZT77" s="98"/>
      <c r="ZU77" s="98"/>
      <c r="ZV77" s="98"/>
      <c r="ZW77" s="98"/>
      <c r="ZX77" s="98"/>
      <c r="ZY77" s="98"/>
      <c r="ZZ77" s="98"/>
      <c r="AAA77" s="98"/>
      <c r="AAB77" s="98"/>
      <c r="AAC77" s="98"/>
      <c r="AAD77" s="98"/>
      <c r="AAE77" s="98"/>
      <c r="AAF77" s="98"/>
      <c r="AAG77" s="98"/>
      <c r="AAH77" s="98"/>
      <c r="AAI77" s="98"/>
      <c r="AAJ77" s="98"/>
      <c r="AAK77" s="98"/>
      <c r="AAL77" s="98"/>
      <c r="AAM77" s="98"/>
      <c r="AAN77" s="98"/>
      <c r="AAO77" s="98"/>
      <c r="AAP77" s="98"/>
      <c r="AAQ77" s="98"/>
      <c r="AAR77" s="98"/>
      <c r="AAS77" s="98"/>
      <c r="AAT77" s="98"/>
      <c r="AAU77" s="98"/>
      <c r="AAV77" s="98"/>
      <c r="AAW77" s="98"/>
      <c r="AAX77" s="98"/>
      <c r="AAY77" s="98"/>
      <c r="AAZ77" s="98"/>
      <c r="ABA77" s="98"/>
      <c r="ABB77" s="98"/>
      <c r="ABC77" s="98"/>
      <c r="ABD77" s="98"/>
      <c r="ABE77" s="98"/>
      <c r="ABF77" s="98"/>
      <c r="ABG77" s="98"/>
      <c r="ABH77" s="98"/>
      <c r="ABI77" s="98"/>
      <c r="ABJ77" s="98"/>
      <c r="ABK77" s="98"/>
      <c r="ABL77" s="98"/>
      <c r="ABM77" s="98"/>
      <c r="ABN77" s="98"/>
      <c r="ABO77" s="98"/>
      <c r="ABP77" s="98"/>
      <c r="ABQ77" s="98"/>
      <c r="ABR77" s="98"/>
      <c r="ABS77" s="98"/>
      <c r="ABT77" s="98"/>
      <c r="ABU77" s="98"/>
      <c r="ABV77" s="98"/>
      <c r="ABW77" s="98"/>
      <c r="ABX77" s="98"/>
      <c r="ABY77" s="98"/>
      <c r="ABZ77" s="98"/>
      <c r="ACA77" s="98"/>
      <c r="ACB77" s="98"/>
      <c r="ACC77" s="98"/>
      <c r="ACD77" s="98"/>
      <c r="ACE77" s="98"/>
      <c r="ACF77" s="98"/>
      <c r="ACG77" s="98"/>
      <c r="ACH77" s="98"/>
      <c r="ACI77" s="98"/>
      <c r="ACJ77" s="98"/>
      <c r="ACK77" s="98"/>
      <c r="ACL77" s="98"/>
      <c r="ACM77" s="98"/>
      <c r="ACN77" s="98"/>
      <c r="ACO77" s="98"/>
      <c r="ACP77" s="98"/>
      <c r="ACQ77" s="98"/>
      <c r="ACR77" s="98"/>
      <c r="ACS77" s="98"/>
      <c r="ACT77" s="98"/>
      <c r="ACU77" s="98"/>
      <c r="ACV77" s="98"/>
      <c r="ACW77" s="98"/>
      <c r="ACX77" s="98"/>
      <c r="ACY77" s="98"/>
      <c r="ACZ77" s="98"/>
      <c r="ADA77" s="98"/>
      <c r="ADB77" s="98"/>
      <c r="ADC77" s="98"/>
      <c r="ADD77" s="98"/>
      <c r="ADE77" s="98"/>
      <c r="ADF77" s="98"/>
      <c r="ADG77" s="98"/>
      <c r="ADH77" s="98"/>
      <c r="ADI77" s="98"/>
      <c r="ADJ77" s="98"/>
      <c r="ADK77" s="98"/>
      <c r="ADL77" s="98"/>
      <c r="ADM77" s="98"/>
      <c r="ADN77" s="98"/>
      <c r="ADO77" s="98"/>
      <c r="ADP77" s="98"/>
      <c r="ADQ77" s="98"/>
      <c r="ADR77" s="98"/>
      <c r="ADS77" s="98"/>
      <c r="ADT77" s="98"/>
      <c r="ADU77" s="98"/>
      <c r="ADV77" s="98"/>
      <c r="ADW77" s="98"/>
      <c r="ADX77" s="98"/>
      <c r="ADY77" s="98"/>
      <c r="ADZ77" s="98"/>
      <c r="AEA77" s="98"/>
      <c r="AEB77" s="98"/>
      <c r="AEC77" s="98"/>
      <c r="AED77" s="98"/>
      <c r="AEE77" s="98"/>
      <c r="AEF77" s="98"/>
      <c r="AEG77" s="98"/>
      <c r="AEH77" s="98"/>
      <c r="AEI77" s="98"/>
      <c r="AEJ77" s="98"/>
      <c r="AEK77" s="98"/>
      <c r="AEL77" s="98"/>
      <c r="AEM77" s="98"/>
      <c r="AEN77" s="98"/>
      <c r="AEO77" s="98"/>
      <c r="AEP77" s="98"/>
      <c r="AEQ77" s="98"/>
      <c r="AER77" s="98"/>
      <c r="AES77" s="98"/>
      <c r="AET77" s="98"/>
      <c r="AEU77" s="98"/>
      <c r="AEV77" s="98"/>
      <c r="AEW77" s="98"/>
      <c r="AEX77" s="98"/>
      <c r="AEY77" s="98"/>
      <c r="AEZ77" s="98"/>
      <c r="AFA77" s="98"/>
      <c r="AFB77" s="98"/>
      <c r="AFC77" s="98"/>
      <c r="AFD77" s="98"/>
      <c r="AFE77" s="98"/>
      <c r="AFF77" s="98"/>
      <c r="AFG77" s="98"/>
      <c r="AFH77" s="98"/>
      <c r="AFI77" s="98"/>
      <c r="AFJ77" s="98"/>
      <c r="AFK77" s="98"/>
      <c r="AFL77" s="98"/>
      <c r="AFM77" s="98"/>
      <c r="AFN77" s="98"/>
      <c r="AFO77" s="98"/>
      <c r="AFP77" s="98"/>
      <c r="AFQ77" s="98"/>
      <c r="AFR77" s="98"/>
      <c r="AFS77" s="98"/>
      <c r="AFT77" s="98"/>
      <c r="AFU77" s="98"/>
      <c r="AFV77" s="98"/>
      <c r="AFW77" s="98"/>
      <c r="AFX77" s="98"/>
      <c r="AFY77" s="98"/>
      <c r="AFZ77" s="98"/>
      <c r="AGA77" s="98"/>
      <c r="AGB77" s="98"/>
      <c r="AGC77" s="98"/>
      <c r="AGD77" s="98"/>
      <c r="AGE77" s="98"/>
      <c r="AGF77" s="98"/>
      <c r="AGG77" s="98"/>
      <c r="AGH77" s="98"/>
      <c r="AGI77" s="98"/>
      <c r="AGJ77" s="98"/>
      <c r="AGK77" s="98"/>
      <c r="AGL77" s="98"/>
      <c r="AGM77" s="98"/>
      <c r="AGN77" s="98"/>
      <c r="AGO77" s="98"/>
      <c r="AGP77" s="98"/>
      <c r="AGQ77" s="98"/>
      <c r="AGR77" s="98"/>
      <c r="AGS77" s="98"/>
      <c r="AGT77" s="98"/>
      <c r="AGU77" s="98"/>
      <c r="AGV77" s="98"/>
      <c r="AGW77" s="98"/>
      <c r="AGX77" s="98"/>
      <c r="AGY77" s="98"/>
      <c r="AGZ77" s="98"/>
      <c r="AHA77" s="98"/>
      <c r="AHB77" s="98"/>
      <c r="AHC77" s="98"/>
      <c r="AHD77" s="98"/>
      <c r="AHE77" s="98"/>
      <c r="AHF77" s="98"/>
      <c r="AHG77" s="98"/>
      <c r="AHH77" s="98"/>
      <c r="AHI77" s="98"/>
      <c r="AHJ77" s="98"/>
      <c r="AHK77" s="98"/>
      <c r="AHL77" s="98"/>
      <c r="AHM77" s="98"/>
      <c r="AHN77" s="98"/>
      <c r="AHO77" s="98"/>
      <c r="AHP77" s="98"/>
      <c r="AHQ77" s="98"/>
      <c r="AHR77" s="98"/>
      <c r="AHS77" s="98"/>
      <c r="AHT77" s="98"/>
      <c r="AHU77" s="98"/>
      <c r="AHV77" s="98"/>
      <c r="AHW77" s="98"/>
      <c r="AHX77" s="98"/>
      <c r="AHY77" s="98"/>
      <c r="AHZ77" s="98"/>
      <c r="AIA77" s="98"/>
      <c r="AIB77" s="98"/>
      <c r="AIC77" s="98"/>
      <c r="AID77" s="98"/>
      <c r="AIE77" s="98"/>
      <c r="AIF77" s="98"/>
      <c r="AIG77" s="98"/>
      <c r="AIH77" s="98"/>
      <c r="AII77" s="98"/>
      <c r="AIJ77" s="98"/>
      <c r="AIK77" s="98"/>
      <c r="AIL77" s="98"/>
      <c r="AIM77" s="98"/>
      <c r="AIN77" s="98"/>
      <c r="AIO77" s="98"/>
      <c r="AIP77" s="98"/>
      <c r="AIQ77" s="98"/>
      <c r="AIR77" s="98"/>
      <c r="AIS77" s="98"/>
      <c r="AIT77" s="98"/>
      <c r="AIU77" s="98"/>
      <c r="AIV77" s="98"/>
      <c r="AIW77" s="98"/>
      <c r="AIX77" s="98"/>
      <c r="AIY77" s="98"/>
      <c r="AIZ77" s="98"/>
      <c r="AJA77" s="98"/>
      <c r="AJB77" s="98"/>
      <c r="AJC77" s="98"/>
      <c r="AJD77" s="98"/>
      <c r="AJE77" s="98"/>
      <c r="AJF77" s="98"/>
      <c r="AJG77" s="98"/>
      <c r="AJH77" s="98"/>
      <c r="AJI77" s="98"/>
      <c r="AJJ77" s="98"/>
      <c r="AJK77" s="98"/>
      <c r="AJL77" s="98"/>
      <c r="AJM77" s="98"/>
      <c r="AJN77" s="98"/>
      <c r="AJO77" s="98"/>
      <c r="AJP77" s="98"/>
      <c r="AJQ77" s="98"/>
      <c r="AJR77" s="98"/>
      <c r="AJS77" s="98"/>
      <c r="AJT77" s="98"/>
      <c r="AJU77" s="98"/>
      <c r="AJV77" s="98"/>
      <c r="AJW77" s="98"/>
      <c r="AJX77" s="98"/>
      <c r="AJY77" s="98"/>
      <c r="AJZ77" s="98"/>
      <c r="AKA77" s="98"/>
      <c r="AKB77" s="98"/>
      <c r="AKC77" s="98"/>
      <c r="AKD77" s="98"/>
      <c r="AKE77" s="98"/>
      <c r="AKF77" s="98"/>
      <c r="AKG77" s="98"/>
      <c r="AKH77" s="98"/>
      <c r="AKI77" s="98"/>
      <c r="AKJ77" s="98"/>
      <c r="AKK77" s="98"/>
      <c r="AKL77" s="98"/>
      <c r="AKM77" s="98"/>
      <c r="AKN77" s="98"/>
      <c r="AKO77" s="98"/>
      <c r="AKP77" s="98"/>
      <c r="AKQ77" s="98"/>
      <c r="AKR77" s="98"/>
      <c r="AKS77" s="98"/>
      <c r="AKT77" s="98"/>
      <c r="AKU77" s="98"/>
      <c r="AKV77" s="98"/>
      <c r="AKW77" s="98"/>
      <c r="AKX77" s="98"/>
      <c r="AKY77" s="98"/>
      <c r="AKZ77" s="98"/>
      <c r="ALA77" s="98"/>
      <c r="ALB77" s="98"/>
      <c r="ALC77" s="98"/>
      <c r="ALD77" s="98"/>
      <c r="ALE77" s="98"/>
      <c r="ALF77" s="98"/>
      <c r="ALG77" s="98"/>
      <c r="ALH77" s="98"/>
      <c r="ALI77" s="98"/>
      <c r="ALJ77" s="98"/>
      <c r="ALK77" s="98"/>
      <c r="ALL77" s="98"/>
      <c r="ALM77" s="98"/>
      <c r="ALN77" s="98"/>
      <c r="ALO77" s="98"/>
      <c r="ALP77" s="98"/>
      <c r="ALQ77" s="98"/>
      <c r="ALR77" s="98"/>
      <c r="ALS77" s="98"/>
      <c r="ALT77" s="98"/>
      <c r="ALU77" s="98"/>
      <c r="ALV77" s="98"/>
      <c r="ALW77" s="98"/>
      <c r="ALX77" s="98"/>
      <c r="ALY77" s="98"/>
      <c r="ALZ77" s="98"/>
      <c r="AMA77" s="98"/>
      <c r="AMB77" s="98"/>
      <c r="AMC77" s="98"/>
      <c r="AMD77" s="98"/>
      <c r="AME77" s="98"/>
      <c r="AMF77" s="98"/>
      <c r="AMG77" s="98"/>
      <c r="AMH77" s="98"/>
      <c r="AMI77" s="98"/>
      <c r="AMJ77" s="98"/>
      <c r="AMK77" s="98"/>
      <c r="AML77" s="98"/>
      <c r="AMM77" s="98"/>
      <c r="AMN77" s="98"/>
      <c r="AMO77" s="98"/>
      <c r="AMP77" s="98"/>
      <c r="AMQ77" s="98"/>
      <c r="AMR77" s="98"/>
      <c r="AMS77" s="98"/>
      <c r="AMT77" s="98"/>
      <c r="AMU77" s="98"/>
      <c r="AMV77" s="98"/>
      <c r="AMW77" s="98"/>
      <c r="AMX77" s="98"/>
      <c r="AMY77" s="98"/>
      <c r="AMZ77" s="98"/>
      <c r="ANA77" s="98"/>
      <c r="ANB77" s="98"/>
      <c r="ANC77" s="98"/>
      <c r="AND77" s="98"/>
      <c r="ANE77" s="98"/>
      <c r="ANF77" s="98"/>
      <c r="ANG77" s="98"/>
      <c r="ANH77" s="98"/>
      <c r="ANI77" s="98"/>
      <c r="ANJ77" s="98"/>
      <c r="ANK77" s="98"/>
      <c r="ANL77" s="98"/>
      <c r="ANM77" s="98"/>
      <c r="ANN77" s="98"/>
      <c r="ANO77" s="98"/>
      <c r="ANP77" s="98"/>
      <c r="ANQ77" s="98"/>
      <c r="ANR77" s="98"/>
      <c r="ANS77" s="98"/>
      <c r="ANT77" s="98"/>
      <c r="ANU77" s="98"/>
      <c r="ANV77" s="98"/>
      <c r="ANW77" s="98"/>
      <c r="ANX77" s="98"/>
      <c r="ANY77" s="98"/>
      <c r="ANZ77" s="98"/>
      <c r="AOA77" s="98"/>
      <c r="AOB77" s="98"/>
      <c r="AOC77" s="98"/>
      <c r="AOD77" s="98"/>
      <c r="AOE77" s="98"/>
      <c r="AOF77" s="98"/>
      <c r="AOG77" s="98"/>
      <c r="AOH77" s="98"/>
      <c r="AOI77" s="98"/>
      <c r="AOJ77" s="98"/>
      <c r="AOK77" s="98"/>
      <c r="AOL77" s="98"/>
      <c r="AOM77" s="98"/>
      <c r="AON77" s="98"/>
      <c r="AOO77" s="98"/>
      <c r="AOP77" s="98"/>
      <c r="AOQ77" s="98"/>
      <c r="AOR77" s="98"/>
      <c r="AOS77" s="98"/>
      <c r="AOT77" s="98"/>
      <c r="AOU77" s="98"/>
      <c r="AOV77" s="98"/>
      <c r="AOW77" s="98"/>
      <c r="AOX77" s="98"/>
      <c r="AOY77" s="98"/>
      <c r="AOZ77" s="98"/>
      <c r="APA77" s="98"/>
      <c r="APB77" s="98"/>
      <c r="APC77" s="98"/>
      <c r="APD77" s="98"/>
      <c r="APE77" s="98"/>
      <c r="APF77" s="98"/>
      <c r="APG77" s="98"/>
      <c r="APH77" s="98"/>
      <c r="API77" s="98"/>
      <c r="APJ77" s="98"/>
      <c r="APK77" s="98"/>
      <c r="APL77" s="98"/>
      <c r="APM77" s="98"/>
      <c r="APN77" s="98"/>
      <c r="APO77" s="98"/>
      <c r="APP77" s="98"/>
      <c r="APQ77" s="98"/>
      <c r="APR77" s="98"/>
      <c r="APS77" s="98"/>
      <c r="APT77" s="98"/>
      <c r="APU77" s="98"/>
      <c r="APV77" s="98"/>
      <c r="APW77" s="98"/>
      <c r="APX77" s="98"/>
      <c r="APY77" s="98"/>
      <c r="APZ77" s="98"/>
      <c r="AQA77" s="98"/>
      <c r="AQB77" s="98"/>
      <c r="AQC77" s="98"/>
      <c r="AQD77" s="98"/>
      <c r="AQE77" s="98"/>
      <c r="AQF77" s="98"/>
      <c r="AQG77" s="98"/>
      <c r="AQH77" s="98"/>
      <c r="AQI77" s="98"/>
      <c r="AQJ77" s="98"/>
      <c r="AQK77" s="98"/>
      <c r="AQL77" s="98"/>
      <c r="AQM77" s="98"/>
      <c r="AQN77" s="98"/>
      <c r="AQO77" s="98"/>
      <c r="AQP77" s="98"/>
      <c r="AQQ77" s="98"/>
      <c r="AQR77" s="98"/>
      <c r="AQS77" s="98"/>
      <c r="AQT77" s="98"/>
      <c r="AQU77" s="98"/>
      <c r="AQV77" s="98"/>
      <c r="AQW77" s="98"/>
      <c r="AQX77" s="98"/>
      <c r="AQY77" s="98"/>
      <c r="AQZ77" s="98"/>
      <c r="ARA77" s="98"/>
      <c r="ARB77" s="98"/>
      <c r="ARC77" s="98"/>
      <c r="ARD77" s="98"/>
      <c r="ARE77" s="98"/>
      <c r="ARF77" s="98"/>
      <c r="ARG77" s="98"/>
      <c r="ARH77" s="98"/>
      <c r="ARI77" s="98"/>
      <c r="ARJ77" s="98"/>
      <c r="ARK77" s="98"/>
      <c r="ARL77" s="98"/>
      <c r="ARM77" s="98"/>
      <c r="ARN77" s="98"/>
      <c r="ARO77" s="98"/>
      <c r="ARP77" s="98"/>
      <c r="ARQ77" s="98"/>
      <c r="ARR77" s="98"/>
      <c r="ARS77" s="98"/>
    </row>
    <row r="78" spans="1:1163" s="174" customFormat="1">
      <c r="A78" s="140" t="s">
        <v>136</v>
      </c>
      <c r="B78" s="119" t="s">
        <v>67</v>
      </c>
      <c r="C78" s="175">
        <v>84</v>
      </c>
      <c r="D78" s="175">
        <v>713</v>
      </c>
      <c r="E78" s="201">
        <v>0</v>
      </c>
      <c r="F78" s="201">
        <v>0</v>
      </c>
      <c r="G78" s="175">
        <v>44</v>
      </c>
      <c r="H78" s="175">
        <v>661</v>
      </c>
      <c r="I78" s="201">
        <v>0</v>
      </c>
      <c r="J78" s="201">
        <v>0</v>
      </c>
      <c r="K78" s="201">
        <v>0</v>
      </c>
      <c r="L78" s="201">
        <v>0</v>
      </c>
      <c r="M78" s="201">
        <v>0</v>
      </c>
      <c r="N78" s="201">
        <v>0</v>
      </c>
      <c r="O78" s="201">
        <v>0</v>
      </c>
      <c r="P78" s="201">
        <v>0</v>
      </c>
      <c r="Q78" s="201">
        <v>0</v>
      </c>
      <c r="R78" s="201">
        <v>0</v>
      </c>
      <c r="S78" s="201">
        <v>0</v>
      </c>
      <c r="T78" s="201">
        <v>0</v>
      </c>
      <c r="U78" s="201">
        <v>0</v>
      </c>
      <c r="V78" s="201">
        <v>0</v>
      </c>
      <c r="W78" s="201">
        <v>0</v>
      </c>
      <c r="X78" s="201">
        <v>0</v>
      </c>
      <c r="Y78" s="201">
        <v>0</v>
      </c>
      <c r="Z78" s="201">
        <v>0</v>
      </c>
      <c r="AA78" s="201">
        <v>0</v>
      </c>
      <c r="AB78" s="201">
        <v>0</v>
      </c>
      <c r="AC78" s="201">
        <v>0</v>
      </c>
      <c r="AD78" s="201">
        <v>0</v>
      </c>
      <c r="AE78" s="201">
        <v>0</v>
      </c>
      <c r="AF78" s="201">
        <v>0</v>
      </c>
      <c r="AG78" s="201">
        <v>0</v>
      </c>
      <c r="AH78" s="201">
        <v>0</v>
      </c>
      <c r="AI78" s="201">
        <v>0</v>
      </c>
      <c r="AJ78" s="201">
        <v>0</v>
      </c>
      <c r="AK78" s="201">
        <v>0</v>
      </c>
      <c r="AL78" s="201">
        <v>0</v>
      </c>
      <c r="AM78" s="201">
        <v>0</v>
      </c>
      <c r="AN78" s="201">
        <v>0</v>
      </c>
      <c r="AO78" s="201">
        <v>0</v>
      </c>
      <c r="AP78" s="201">
        <v>0</v>
      </c>
      <c r="AQ78" s="201">
        <v>0</v>
      </c>
      <c r="AR78" s="201">
        <v>0</v>
      </c>
      <c r="AS78" s="201">
        <v>0</v>
      </c>
      <c r="AT78" s="201">
        <v>0</v>
      </c>
      <c r="AU78" s="201">
        <v>0</v>
      </c>
      <c r="AV78" s="201">
        <v>0</v>
      </c>
      <c r="AW78" s="197">
        <v>0</v>
      </c>
      <c r="AX78" s="197">
        <v>0</v>
      </c>
      <c r="AY78" s="175">
        <v>0</v>
      </c>
      <c r="AZ78" s="175">
        <v>0</v>
      </c>
      <c r="BA78" s="201"/>
      <c r="BB78" s="197"/>
      <c r="BC78" s="197"/>
      <c r="BD78" s="197"/>
      <c r="BE78" s="197"/>
      <c r="BF78" s="197"/>
      <c r="BG78" s="197"/>
      <c r="BH78" s="197"/>
      <c r="BI78" s="197"/>
      <c r="BJ78" s="98"/>
      <c r="BK78" s="11"/>
      <c r="BL78" s="148"/>
      <c r="BM78" s="98"/>
      <c r="BN78" s="14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98"/>
      <c r="EJ78" s="98"/>
      <c r="EK78" s="98"/>
      <c r="EL78" s="98"/>
      <c r="EM78" s="98"/>
      <c r="EN78" s="98"/>
      <c r="EO78" s="98"/>
      <c r="EP78" s="98"/>
      <c r="EQ78" s="98"/>
      <c r="ER78" s="98"/>
      <c r="ES78" s="98"/>
      <c r="ET78" s="98"/>
      <c r="EU78" s="98"/>
      <c r="EV78" s="98"/>
      <c r="EW78" s="98"/>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c r="IW78" s="98"/>
      <c r="IX78" s="98"/>
      <c r="IY78" s="98"/>
      <c r="IZ78" s="98"/>
      <c r="JA78" s="98"/>
      <c r="JB78" s="98"/>
      <c r="JC78" s="98"/>
      <c r="JD78" s="98"/>
      <c r="JE78" s="98"/>
      <c r="JF78" s="98"/>
      <c r="JG78" s="98"/>
      <c r="JH78" s="98"/>
      <c r="JI78" s="98"/>
      <c r="JJ78" s="98"/>
      <c r="JK78" s="98"/>
      <c r="JL78" s="98"/>
      <c r="JM78" s="98"/>
      <c r="JN78" s="98"/>
      <c r="JO78" s="98"/>
      <c r="JP78" s="98"/>
      <c r="JQ78" s="98"/>
      <c r="JR78" s="98"/>
      <c r="JS78" s="98"/>
      <c r="JT78" s="98"/>
      <c r="JU78" s="98"/>
      <c r="JV78" s="98"/>
      <c r="JW78" s="98"/>
      <c r="JX78" s="98"/>
      <c r="JY78" s="98"/>
      <c r="JZ78" s="98"/>
      <c r="KA78" s="98"/>
      <c r="KB78" s="98"/>
      <c r="KC78" s="98"/>
      <c r="KD78" s="98"/>
      <c r="KE78" s="98"/>
      <c r="KF78" s="98"/>
      <c r="KG78" s="98"/>
      <c r="KH78" s="98"/>
      <c r="KI78" s="98"/>
      <c r="KJ78" s="98"/>
      <c r="KK78" s="98"/>
      <c r="KL78" s="98"/>
      <c r="KM78" s="98"/>
      <c r="KN78" s="98"/>
      <c r="KO78" s="98"/>
      <c r="KP78" s="98"/>
      <c r="KQ78" s="98"/>
      <c r="KR78" s="98"/>
      <c r="KS78" s="98"/>
      <c r="KT78" s="98"/>
      <c r="KU78" s="98"/>
      <c r="KV78" s="98"/>
      <c r="KW78" s="98"/>
      <c r="KX78" s="98"/>
      <c r="KY78" s="98"/>
      <c r="KZ78" s="98"/>
      <c r="LA78" s="98"/>
      <c r="LB78" s="98"/>
      <c r="LC78" s="98"/>
      <c r="LD78" s="98"/>
      <c r="LE78" s="98"/>
      <c r="LF78" s="98"/>
      <c r="LG78" s="98"/>
      <c r="LH78" s="98"/>
      <c r="LI78" s="98"/>
      <c r="LJ78" s="98"/>
      <c r="LK78" s="98"/>
      <c r="LL78" s="98"/>
      <c r="LM78" s="98"/>
      <c r="LN78" s="98"/>
      <c r="LO78" s="98"/>
      <c r="LP78" s="98"/>
      <c r="LQ78" s="98"/>
      <c r="LR78" s="98"/>
      <c r="LS78" s="98"/>
      <c r="LT78" s="98"/>
      <c r="LU78" s="98"/>
      <c r="LV78" s="98"/>
      <c r="LW78" s="98"/>
      <c r="LX78" s="98"/>
      <c r="LY78" s="98"/>
      <c r="LZ78" s="98"/>
      <c r="MA78" s="98"/>
      <c r="MB78" s="98"/>
      <c r="MC78" s="98"/>
      <c r="MD78" s="98"/>
      <c r="ME78" s="98"/>
      <c r="MF78" s="98"/>
      <c r="MG78" s="98"/>
      <c r="MH78" s="98"/>
      <c r="MI78" s="98"/>
      <c r="MJ78" s="98"/>
      <c r="MK78" s="98"/>
      <c r="ML78" s="98"/>
      <c r="MM78" s="98"/>
      <c r="MN78" s="98"/>
      <c r="MO78" s="98"/>
      <c r="MP78" s="98"/>
      <c r="MQ78" s="98"/>
      <c r="MR78" s="98"/>
      <c r="MS78" s="98"/>
      <c r="MT78" s="98"/>
      <c r="MU78" s="98"/>
      <c r="MV78" s="98"/>
      <c r="MW78" s="98"/>
      <c r="MX78" s="98"/>
      <c r="MY78" s="98"/>
      <c r="MZ78" s="98"/>
      <c r="NA78" s="98"/>
      <c r="NB78" s="98"/>
      <c r="NC78" s="98"/>
      <c r="ND78" s="98"/>
      <c r="NE78" s="98"/>
      <c r="NF78" s="98"/>
      <c r="NG78" s="98"/>
      <c r="NH78" s="98"/>
      <c r="NI78" s="98"/>
      <c r="NJ78" s="98"/>
      <c r="NK78" s="98"/>
      <c r="NL78" s="98"/>
      <c r="NM78" s="98"/>
      <c r="NN78" s="98"/>
      <c r="NO78" s="98"/>
      <c r="NP78" s="98"/>
      <c r="NQ78" s="98"/>
      <c r="NR78" s="98"/>
      <c r="NS78" s="98"/>
      <c r="NT78" s="98"/>
      <c r="NU78" s="98"/>
      <c r="NV78" s="98"/>
      <c r="NW78" s="98"/>
      <c r="NX78" s="98"/>
      <c r="NY78" s="98"/>
      <c r="NZ78" s="98"/>
      <c r="OA78" s="98"/>
      <c r="OB78" s="98"/>
      <c r="OC78" s="98"/>
      <c r="OD78" s="98"/>
      <c r="OE78" s="98"/>
      <c r="OF78" s="98"/>
      <c r="OG78" s="98"/>
      <c r="OH78" s="98"/>
      <c r="OI78" s="98"/>
      <c r="OJ78" s="98"/>
      <c r="OK78" s="98"/>
      <c r="OL78" s="98"/>
      <c r="OM78" s="98"/>
      <c r="ON78" s="98"/>
      <c r="OO78" s="98"/>
      <c r="OP78" s="98"/>
      <c r="OQ78" s="98"/>
      <c r="OR78" s="98"/>
      <c r="OS78" s="98"/>
      <c r="OT78" s="98"/>
      <c r="OU78" s="98"/>
      <c r="OV78" s="98"/>
      <c r="OW78" s="98"/>
      <c r="OX78" s="98"/>
      <c r="OY78" s="98"/>
      <c r="OZ78" s="98"/>
      <c r="PA78" s="98"/>
      <c r="PB78" s="98"/>
      <c r="PC78" s="98"/>
      <c r="PD78" s="98"/>
      <c r="PE78" s="98"/>
      <c r="PF78" s="98"/>
      <c r="PG78" s="98"/>
      <c r="PH78" s="98"/>
      <c r="PI78" s="98"/>
      <c r="PJ78" s="98"/>
      <c r="PK78" s="98"/>
      <c r="PL78" s="98"/>
      <c r="PM78" s="98"/>
      <c r="PN78" s="98"/>
      <c r="PO78" s="98"/>
      <c r="PP78" s="98"/>
      <c r="PQ78" s="98"/>
      <c r="PR78" s="98"/>
      <c r="PS78" s="98"/>
      <c r="PT78" s="98"/>
      <c r="PU78" s="98"/>
      <c r="PV78" s="98"/>
      <c r="PW78" s="98"/>
      <c r="PX78" s="98"/>
      <c r="PY78" s="98"/>
      <c r="PZ78" s="98"/>
      <c r="QA78" s="98"/>
      <c r="QB78" s="98"/>
      <c r="QC78" s="98"/>
      <c r="QD78" s="98"/>
      <c r="QE78" s="98"/>
      <c r="QF78" s="98"/>
      <c r="QG78" s="98"/>
      <c r="QH78" s="98"/>
      <c r="QI78" s="98"/>
      <c r="QJ78" s="98"/>
      <c r="QK78" s="98"/>
      <c r="QL78" s="98"/>
      <c r="QM78" s="98"/>
      <c r="QN78" s="98"/>
      <c r="QO78" s="98"/>
      <c r="QP78" s="98"/>
      <c r="QQ78" s="98"/>
      <c r="QR78" s="98"/>
      <c r="QS78" s="98"/>
      <c r="QT78" s="98"/>
      <c r="QU78" s="98"/>
      <c r="QV78" s="98"/>
      <c r="QW78" s="98"/>
      <c r="QX78" s="98"/>
      <c r="QY78" s="98"/>
      <c r="QZ78" s="98"/>
      <c r="RA78" s="98"/>
      <c r="RB78" s="98"/>
      <c r="RC78" s="98"/>
      <c r="RD78" s="98"/>
      <c r="RE78" s="98"/>
      <c r="RF78" s="98"/>
      <c r="RG78" s="98"/>
      <c r="RH78" s="98"/>
      <c r="RI78" s="98"/>
      <c r="RJ78" s="98"/>
      <c r="RK78" s="98"/>
      <c r="RL78" s="98"/>
      <c r="RM78" s="98"/>
      <c r="RN78" s="98"/>
      <c r="RO78" s="98"/>
      <c r="RP78" s="98"/>
      <c r="RQ78" s="98"/>
      <c r="RR78" s="98"/>
      <c r="RS78" s="98"/>
      <c r="RT78" s="98"/>
      <c r="RU78" s="98"/>
      <c r="RV78" s="98"/>
      <c r="RW78" s="98"/>
      <c r="RX78" s="98"/>
      <c r="RY78" s="98"/>
      <c r="RZ78" s="98"/>
      <c r="SA78" s="98"/>
      <c r="SB78" s="98"/>
      <c r="SC78" s="98"/>
      <c r="SD78" s="98"/>
      <c r="SE78" s="98"/>
      <c r="SF78" s="98"/>
      <c r="SG78" s="98"/>
      <c r="SH78" s="98"/>
      <c r="SI78" s="98"/>
      <c r="SJ78" s="98"/>
      <c r="SK78" s="98"/>
      <c r="SL78" s="98"/>
      <c r="SM78" s="98"/>
      <c r="SN78" s="98"/>
      <c r="SO78" s="98"/>
      <c r="SP78" s="98"/>
      <c r="SQ78" s="98"/>
      <c r="SR78" s="98"/>
      <c r="SS78" s="98"/>
      <c r="ST78" s="98"/>
      <c r="SU78" s="98"/>
      <c r="SV78" s="98"/>
      <c r="SW78" s="98"/>
      <c r="SX78" s="98"/>
      <c r="SY78" s="98"/>
      <c r="SZ78" s="98"/>
      <c r="TA78" s="98"/>
      <c r="TB78" s="98"/>
      <c r="TC78" s="98"/>
      <c r="TD78" s="98"/>
      <c r="TE78" s="98"/>
      <c r="TF78" s="98"/>
      <c r="TG78" s="98"/>
      <c r="TH78" s="98"/>
      <c r="TI78" s="98"/>
      <c r="TJ78" s="98"/>
      <c r="TK78" s="98"/>
      <c r="TL78" s="98"/>
      <c r="TM78" s="98"/>
      <c r="TN78" s="98"/>
      <c r="TO78" s="98"/>
      <c r="TP78" s="98"/>
      <c r="TQ78" s="98"/>
      <c r="TR78" s="98"/>
      <c r="TS78" s="98"/>
      <c r="TT78" s="98"/>
      <c r="TU78" s="98"/>
      <c r="TV78" s="98"/>
      <c r="TW78" s="98"/>
      <c r="TX78" s="98"/>
      <c r="TY78" s="98"/>
      <c r="TZ78" s="98"/>
      <c r="UA78" s="98"/>
      <c r="UB78" s="98"/>
      <c r="UC78" s="98"/>
      <c r="UD78" s="98"/>
      <c r="UE78" s="98"/>
      <c r="UF78" s="98"/>
      <c r="UG78" s="98"/>
      <c r="UH78" s="98"/>
      <c r="UI78" s="98"/>
      <c r="UJ78" s="98"/>
      <c r="UK78" s="98"/>
      <c r="UL78" s="98"/>
      <c r="UM78" s="98"/>
      <c r="UN78" s="98"/>
      <c r="UO78" s="98"/>
      <c r="UP78" s="98"/>
      <c r="UQ78" s="98"/>
      <c r="UR78" s="98"/>
      <c r="US78" s="98"/>
      <c r="UT78" s="98"/>
      <c r="UU78" s="98"/>
      <c r="UV78" s="98"/>
      <c r="UW78" s="98"/>
      <c r="UX78" s="98"/>
      <c r="UY78" s="98"/>
      <c r="UZ78" s="98"/>
      <c r="VA78" s="98"/>
      <c r="VB78" s="98"/>
      <c r="VC78" s="98"/>
      <c r="VD78" s="98"/>
      <c r="VE78" s="98"/>
      <c r="VF78" s="98"/>
      <c r="VG78" s="98"/>
      <c r="VH78" s="98"/>
      <c r="VI78" s="98"/>
      <c r="VJ78" s="98"/>
      <c r="VK78" s="98"/>
      <c r="VL78" s="98"/>
      <c r="VM78" s="98"/>
      <c r="VN78" s="98"/>
      <c r="VO78" s="98"/>
      <c r="VP78" s="98"/>
      <c r="VQ78" s="98"/>
      <c r="VR78" s="98"/>
      <c r="VS78" s="98"/>
      <c r="VT78" s="98"/>
      <c r="VU78" s="98"/>
      <c r="VV78" s="98"/>
      <c r="VW78" s="98"/>
      <c r="VX78" s="98"/>
      <c r="VY78" s="98"/>
      <c r="VZ78" s="98"/>
      <c r="WA78" s="98"/>
      <c r="WB78" s="98"/>
      <c r="WC78" s="98"/>
      <c r="WD78" s="98"/>
      <c r="WE78" s="98"/>
      <c r="WF78" s="98"/>
      <c r="WG78" s="98"/>
      <c r="WH78" s="98"/>
      <c r="WI78" s="98"/>
      <c r="WJ78" s="98"/>
      <c r="WK78" s="98"/>
      <c r="WL78" s="98"/>
      <c r="WM78" s="98"/>
      <c r="WN78" s="98"/>
      <c r="WO78" s="98"/>
      <c r="WP78" s="98"/>
      <c r="WQ78" s="98"/>
      <c r="WR78" s="98"/>
      <c r="WS78" s="98"/>
      <c r="WT78" s="98"/>
      <c r="WU78" s="98"/>
      <c r="WV78" s="98"/>
      <c r="WW78" s="98"/>
      <c r="WX78" s="98"/>
      <c r="WY78" s="98"/>
      <c r="WZ78" s="98"/>
      <c r="XA78" s="98"/>
      <c r="XB78" s="98"/>
      <c r="XC78" s="98"/>
      <c r="XD78" s="98"/>
      <c r="XE78" s="98"/>
      <c r="XF78" s="98"/>
      <c r="XG78" s="98"/>
      <c r="XH78" s="98"/>
      <c r="XI78" s="98"/>
      <c r="XJ78" s="98"/>
      <c r="XK78" s="98"/>
      <c r="XL78" s="98"/>
      <c r="XM78" s="98"/>
      <c r="XN78" s="98"/>
      <c r="XO78" s="98"/>
      <c r="XP78" s="98"/>
      <c r="XQ78" s="98"/>
      <c r="XR78" s="98"/>
      <c r="XS78" s="98"/>
      <c r="XT78" s="98"/>
      <c r="XU78" s="98"/>
      <c r="XV78" s="98"/>
      <c r="XW78" s="98"/>
      <c r="XX78" s="98"/>
      <c r="XY78" s="98"/>
      <c r="XZ78" s="98"/>
      <c r="YA78" s="98"/>
      <c r="YB78" s="98"/>
      <c r="YC78" s="98"/>
      <c r="YD78" s="98"/>
      <c r="YE78" s="98"/>
      <c r="YF78" s="98"/>
      <c r="YG78" s="98"/>
      <c r="YH78" s="98"/>
      <c r="YI78" s="98"/>
      <c r="YJ78" s="98"/>
      <c r="YK78" s="98"/>
      <c r="YL78" s="98"/>
      <c r="YM78" s="98"/>
      <c r="YN78" s="98"/>
      <c r="YO78" s="98"/>
      <c r="YP78" s="98"/>
      <c r="YQ78" s="98"/>
      <c r="YR78" s="98"/>
      <c r="YS78" s="98"/>
      <c r="YT78" s="98"/>
      <c r="YU78" s="98"/>
      <c r="YV78" s="98"/>
      <c r="YW78" s="98"/>
      <c r="YX78" s="98"/>
      <c r="YY78" s="98"/>
      <c r="YZ78" s="98"/>
      <c r="ZA78" s="98"/>
      <c r="ZB78" s="98"/>
      <c r="ZC78" s="98"/>
      <c r="ZD78" s="98"/>
      <c r="ZE78" s="98"/>
      <c r="ZF78" s="98"/>
      <c r="ZG78" s="98"/>
      <c r="ZH78" s="98"/>
      <c r="ZI78" s="98"/>
      <c r="ZJ78" s="98"/>
      <c r="ZK78" s="98"/>
      <c r="ZL78" s="98"/>
      <c r="ZM78" s="98"/>
      <c r="ZN78" s="98"/>
      <c r="ZO78" s="98"/>
      <c r="ZP78" s="98"/>
      <c r="ZQ78" s="98"/>
      <c r="ZR78" s="98"/>
      <c r="ZS78" s="98"/>
      <c r="ZT78" s="98"/>
      <c r="ZU78" s="98"/>
      <c r="ZV78" s="98"/>
      <c r="ZW78" s="98"/>
      <c r="ZX78" s="98"/>
      <c r="ZY78" s="98"/>
      <c r="ZZ78" s="98"/>
      <c r="AAA78" s="98"/>
      <c r="AAB78" s="98"/>
      <c r="AAC78" s="98"/>
      <c r="AAD78" s="98"/>
      <c r="AAE78" s="98"/>
      <c r="AAF78" s="98"/>
      <c r="AAG78" s="98"/>
      <c r="AAH78" s="98"/>
      <c r="AAI78" s="98"/>
      <c r="AAJ78" s="98"/>
      <c r="AAK78" s="98"/>
      <c r="AAL78" s="98"/>
      <c r="AAM78" s="98"/>
      <c r="AAN78" s="98"/>
      <c r="AAO78" s="98"/>
      <c r="AAP78" s="98"/>
      <c r="AAQ78" s="98"/>
      <c r="AAR78" s="98"/>
      <c r="AAS78" s="98"/>
      <c r="AAT78" s="98"/>
      <c r="AAU78" s="98"/>
      <c r="AAV78" s="98"/>
      <c r="AAW78" s="98"/>
      <c r="AAX78" s="98"/>
      <c r="AAY78" s="98"/>
      <c r="AAZ78" s="98"/>
      <c r="ABA78" s="98"/>
      <c r="ABB78" s="98"/>
      <c r="ABC78" s="98"/>
      <c r="ABD78" s="98"/>
      <c r="ABE78" s="98"/>
      <c r="ABF78" s="98"/>
      <c r="ABG78" s="98"/>
      <c r="ABH78" s="98"/>
      <c r="ABI78" s="98"/>
      <c r="ABJ78" s="98"/>
      <c r="ABK78" s="98"/>
      <c r="ABL78" s="98"/>
      <c r="ABM78" s="98"/>
      <c r="ABN78" s="98"/>
      <c r="ABO78" s="98"/>
      <c r="ABP78" s="98"/>
      <c r="ABQ78" s="98"/>
      <c r="ABR78" s="98"/>
      <c r="ABS78" s="98"/>
      <c r="ABT78" s="98"/>
      <c r="ABU78" s="98"/>
      <c r="ABV78" s="98"/>
      <c r="ABW78" s="98"/>
      <c r="ABX78" s="98"/>
      <c r="ABY78" s="98"/>
      <c r="ABZ78" s="98"/>
      <c r="ACA78" s="98"/>
      <c r="ACB78" s="98"/>
      <c r="ACC78" s="98"/>
      <c r="ACD78" s="98"/>
      <c r="ACE78" s="98"/>
      <c r="ACF78" s="98"/>
      <c r="ACG78" s="98"/>
      <c r="ACH78" s="98"/>
      <c r="ACI78" s="98"/>
      <c r="ACJ78" s="98"/>
      <c r="ACK78" s="98"/>
      <c r="ACL78" s="98"/>
      <c r="ACM78" s="98"/>
      <c r="ACN78" s="98"/>
      <c r="ACO78" s="98"/>
      <c r="ACP78" s="98"/>
      <c r="ACQ78" s="98"/>
      <c r="ACR78" s="98"/>
      <c r="ACS78" s="98"/>
      <c r="ACT78" s="98"/>
      <c r="ACU78" s="98"/>
      <c r="ACV78" s="98"/>
      <c r="ACW78" s="98"/>
      <c r="ACX78" s="98"/>
      <c r="ACY78" s="98"/>
      <c r="ACZ78" s="98"/>
      <c r="ADA78" s="98"/>
      <c r="ADB78" s="98"/>
      <c r="ADC78" s="98"/>
      <c r="ADD78" s="98"/>
      <c r="ADE78" s="98"/>
      <c r="ADF78" s="98"/>
      <c r="ADG78" s="98"/>
      <c r="ADH78" s="98"/>
      <c r="ADI78" s="98"/>
      <c r="ADJ78" s="98"/>
      <c r="ADK78" s="98"/>
      <c r="ADL78" s="98"/>
      <c r="ADM78" s="98"/>
      <c r="ADN78" s="98"/>
      <c r="ADO78" s="98"/>
      <c r="ADP78" s="98"/>
      <c r="ADQ78" s="98"/>
      <c r="ADR78" s="98"/>
      <c r="ADS78" s="98"/>
      <c r="ADT78" s="98"/>
      <c r="ADU78" s="98"/>
      <c r="ADV78" s="98"/>
      <c r="ADW78" s="98"/>
      <c r="ADX78" s="98"/>
      <c r="ADY78" s="98"/>
      <c r="ADZ78" s="98"/>
      <c r="AEA78" s="98"/>
      <c r="AEB78" s="98"/>
      <c r="AEC78" s="98"/>
      <c r="AED78" s="98"/>
      <c r="AEE78" s="98"/>
      <c r="AEF78" s="98"/>
      <c r="AEG78" s="98"/>
      <c r="AEH78" s="98"/>
      <c r="AEI78" s="98"/>
      <c r="AEJ78" s="98"/>
      <c r="AEK78" s="98"/>
      <c r="AEL78" s="98"/>
      <c r="AEM78" s="98"/>
      <c r="AEN78" s="98"/>
      <c r="AEO78" s="98"/>
      <c r="AEP78" s="98"/>
      <c r="AEQ78" s="98"/>
      <c r="AER78" s="98"/>
      <c r="AES78" s="98"/>
      <c r="AET78" s="98"/>
      <c r="AEU78" s="98"/>
      <c r="AEV78" s="98"/>
      <c r="AEW78" s="98"/>
      <c r="AEX78" s="98"/>
      <c r="AEY78" s="98"/>
      <c r="AEZ78" s="98"/>
      <c r="AFA78" s="98"/>
      <c r="AFB78" s="98"/>
      <c r="AFC78" s="98"/>
      <c r="AFD78" s="98"/>
      <c r="AFE78" s="98"/>
      <c r="AFF78" s="98"/>
      <c r="AFG78" s="98"/>
      <c r="AFH78" s="98"/>
      <c r="AFI78" s="98"/>
      <c r="AFJ78" s="98"/>
      <c r="AFK78" s="98"/>
      <c r="AFL78" s="98"/>
      <c r="AFM78" s="98"/>
      <c r="AFN78" s="98"/>
      <c r="AFO78" s="98"/>
      <c r="AFP78" s="98"/>
      <c r="AFQ78" s="98"/>
      <c r="AFR78" s="98"/>
      <c r="AFS78" s="98"/>
      <c r="AFT78" s="98"/>
      <c r="AFU78" s="98"/>
      <c r="AFV78" s="98"/>
      <c r="AFW78" s="98"/>
      <c r="AFX78" s="98"/>
      <c r="AFY78" s="98"/>
      <c r="AFZ78" s="98"/>
      <c r="AGA78" s="98"/>
      <c r="AGB78" s="98"/>
      <c r="AGC78" s="98"/>
      <c r="AGD78" s="98"/>
      <c r="AGE78" s="98"/>
      <c r="AGF78" s="98"/>
      <c r="AGG78" s="98"/>
      <c r="AGH78" s="98"/>
      <c r="AGI78" s="98"/>
      <c r="AGJ78" s="98"/>
      <c r="AGK78" s="98"/>
      <c r="AGL78" s="98"/>
      <c r="AGM78" s="98"/>
      <c r="AGN78" s="98"/>
      <c r="AGO78" s="98"/>
      <c r="AGP78" s="98"/>
      <c r="AGQ78" s="98"/>
      <c r="AGR78" s="98"/>
      <c r="AGS78" s="98"/>
      <c r="AGT78" s="98"/>
      <c r="AGU78" s="98"/>
      <c r="AGV78" s="98"/>
      <c r="AGW78" s="98"/>
      <c r="AGX78" s="98"/>
      <c r="AGY78" s="98"/>
      <c r="AGZ78" s="98"/>
      <c r="AHA78" s="98"/>
      <c r="AHB78" s="98"/>
      <c r="AHC78" s="98"/>
      <c r="AHD78" s="98"/>
      <c r="AHE78" s="98"/>
      <c r="AHF78" s="98"/>
      <c r="AHG78" s="98"/>
      <c r="AHH78" s="98"/>
      <c r="AHI78" s="98"/>
      <c r="AHJ78" s="98"/>
      <c r="AHK78" s="98"/>
      <c r="AHL78" s="98"/>
      <c r="AHM78" s="98"/>
      <c r="AHN78" s="98"/>
      <c r="AHO78" s="98"/>
      <c r="AHP78" s="98"/>
      <c r="AHQ78" s="98"/>
      <c r="AHR78" s="98"/>
      <c r="AHS78" s="98"/>
      <c r="AHT78" s="98"/>
      <c r="AHU78" s="98"/>
      <c r="AHV78" s="98"/>
      <c r="AHW78" s="98"/>
      <c r="AHX78" s="98"/>
      <c r="AHY78" s="98"/>
      <c r="AHZ78" s="98"/>
      <c r="AIA78" s="98"/>
      <c r="AIB78" s="98"/>
      <c r="AIC78" s="98"/>
      <c r="AID78" s="98"/>
      <c r="AIE78" s="98"/>
      <c r="AIF78" s="98"/>
      <c r="AIG78" s="98"/>
      <c r="AIH78" s="98"/>
      <c r="AII78" s="98"/>
      <c r="AIJ78" s="98"/>
      <c r="AIK78" s="98"/>
      <c r="AIL78" s="98"/>
      <c r="AIM78" s="98"/>
      <c r="AIN78" s="98"/>
      <c r="AIO78" s="98"/>
      <c r="AIP78" s="98"/>
      <c r="AIQ78" s="98"/>
      <c r="AIR78" s="98"/>
      <c r="AIS78" s="98"/>
      <c r="AIT78" s="98"/>
      <c r="AIU78" s="98"/>
      <c r="AIV78" s="98"/>
      <c r="AIW78" s="98"/>
      <c r="AIX78" s="98"/>
      <c r="AIY78" s="98"/>
      <c r="AIZ78" s="98"/>
      <c r="AJA78" s="98"/>
      <c r="AJB78" s="98"/>
      <c r="AJC78" s="98"/>
      <c r="AJD78" s="98"/>
      <c r="AJE78" s="98"/>
      <c r="AJF78" s="98"/>
      <c r="AJG78" s="98"/>
      <c r="AJH78" s="98"/>
      <c r="AJI78" s="98"/>
      <c r="AJJ78" s="98"/>
      <c r="AJK78" s="98"/>
      <c r="AJL78" s="98"/>
      <c r="AJM78" s="98"/>
      <c r="AJN78" s="98"/>
      <c r="AJO78" s="98"/>
      <c r="AJP78" s="98"/>
      <c r="AJQ78" s="98"/>
      <c r="AJR78" s="98"/>
      <c r="AJS78" s="98"/>
      <c r="AJT78" s="98"/>
      <c r="AJU78" s="98"/>
      <c r="AJV78" s="98"/>
      <c r="AJW78" s="98"/>
      <c r="AJX78" s="98"/>
      <c r="AJY78" s="98"/>
      <c r="AJZ78" s="98"/>
      <c r="AKA78" s="98"/>
      <c r="AKB78" s="98"/>
      <c r="AKC78" s="98"/>
      <c r="AKD78" s="98"/>
      <c r="AKE78" s="98"/>
      <c r="AKF78" s="98"/>
      <c r="AKG78" s="98"/>
      <c r="AKH78" s="98"/>
      <c r="AKI78" s="98"/>
      <c r="AKJ78" s="98"/>
      <c r="AKK78" s="98"/>
      <c r="AKL78" s="98"/>
      <c r="AKM78" s="98"/>
      <c r="AKN78" s="98"/>
      <c r="AKO78" s="98"/>
      <c r="AKP78" s="98"/>
      <c r="AKQ78" s="98"/>
      <c r="AKR78" s="98"/>
      <c r="AKS78" s="98"/>
      <c r="AKT78" s="98"/>
      <c r="AKU78" s="98"/>
      <c r="AKV78" s="98"/>
      <c r="AKW78" s="98"/>
      <c r="AKX78" s="98"/>
      <c r="AKY78" s="98"/>
      <c r="AKZ78" s="98"/>
      <c r="ALA78" s="98"/>
      <c r="ALB78" s="98"/>
      <c r="ALC78" s="98"/>
      <c r="ALD78" s="98"/>
      <c r="ALE78" s="98"/>
      <c r="ALF78" s="98"/>
      <c r="ALG78" s="98"/>
      <c r="ALH78" s="98"/>
      <c r="ALI78" s="98"/>
      <c r="ALJ78" s="98"/>
      <c r="ALK78" s="98"/>
      <c r="ALL78" s="98"/>
      <c r="ALM78" s="98"/>
      <c r="ALN78" s="98"/>
      <c r="ALO78" s="98"/>
      <c r="ALP78" s="98"/>
      <c r="ALQ78" s="98"/>
      <c r="ALR78" s="98"/>
      <c r="ALS78" s="98"/>
      <c r="ALT78" s="98"/>
      <c r="ALU78" s="98"/>
      <c r="ALV78" s="98"/>
      <c r="ALW78" s="98"/>
      <c r="ALX78" s="98"/>
      <c r="ALY78" s="98"/>
      <c r="ALZ78" s="98"/>
      <c r="AMA78" s="98"/>
      <c r="AMB78" s="98"/>
      <c r="AMC78" s="98"/>
      <c r="AMD78" s="98"/>
      <c r="AME78" s="98"/>
      <c r="AMF78" s="98"/>
      <c r="AMG78" s="98"/>
      <c r="AMH78" s="98"/>
      <c r="AMI78" s="98"/>
      <c r="AMJ78" s="98"/>
      <c r="AMK78" s="98"/>
      <c r="AML78" s="98"/>
      <c r="AMM78" s="98"/>
      <c r="AMN78" s="98"/>
      <c r="AMO78" s="98"/>
      <c r="AMP78" s="98"/>
      <c r="AMQ78" s="98"/>
      <c r="AMR78" s="98"/>
      <c r="AMS78" s="98"/>
      <c r="AMT78" s="98"/>
      <c r="AMU78" s="98"/>
      <c r="AMV78" s="98"/>
      <c r="AMW78" s="98"/>
      <c r="AMX78" s="98"/>
      <c r="AMY78" s="98"/>
      <c r="AMZ78" s="98"/>
      <c r="ANA78" s="98"/>
      <c r="ANB78" s="98"/>
      <c r="ANC78" s="98"/>
      <c r="AND78" s="98"/>
      <c r="ANE78" s="98"/>
      <c r="ANF78" s="98"/>
      <c r="ANG78" s="98"/>
      <c r="ANH78" s="98"/>
      <c r="ANI78" s="98"/>
      <c r="ANJ78" s="98"/>
      <c r="ANK78" s="98"/>
      <c r="ANL78" s="98"/>
      <c r="ANM78" s="98"/>
      <c r="ANN78" s="98"/>
      <c r="ANO78" s="98"/>
      <c r="ANP78" s="98"/>
      <c r="ANQ78" s="98"/>
      <c r="ANR78" s="98"/>
      <c r="ANS78" s="98"/>
      <c r="ANT78" s="98"/>
      <c r="ANU78" s="98"/>
      <c r="ANV78" s="98"/>
      <c r="ANW78" s="98"/>
      <c r="ANX78" s="98"/>
      <c r="ANY78" s="98"/>
      <c r="ANZ78" s="98"/>
      <c r="AOA78" s="98"/>
      <c r="AOB78" s="98"/>
      <c r="AOC78" s="98"/>
      <c r="AOD78" s="98"/>
      <c r="AOE78" s="98"/>
      <c r="AOF78" s="98"/>
      <c r="AOG78" s="98"/>
      <c r="AOH78" s="98"/>
      <c r="AOI78" s="98"/>
      <c r="AOJ78" s="98"/>
      <c r="AOK78" s="98"/>
      <c r="AOL78" s="98"/>
      <c r="AOM78" s="98"/>
      <c r="AON78" s="98"/>
      <c r="AOO78" s="98"/>
      <c r="AOP78" s="98"/>
      <c r="AOQ78" s="98"/>
      <c r="AOR78" s="98"/>
      <c r="AOS78" s="98"/>
      <c r="AOT78" s="98"/>
      <c r="AOU78" s="98"/>
      <c r="AOV78" s="98"/>
      <c r="AOW78" s="98"/>
      <c r="AOX78" s="98"/>
      <c r="AOY78" s="98"/>
      <c r="AOZ78" s="98"/>
      <c r="APA78" s="98"/>
      <c r="APB78" s="98"/>
      <c r="APC78" s="98"/>
      <c r="APD78" s="98"/>
      <c r="APE78" s="98"/>
      <c r="APF78" s="98"/>
      <c r="APG78" s="98"/>
      <c r="APH78" s="98"/>
      <c r="API78" s="98"/>
      <c r="APJ78" s="98"/>
      <c r="APK78" s="98"/>
      <c r="APL78" s="98"/>
      <c r="APM78" s="98"/>
      <c r="APN78" s="98"/>
      <c r="APO78" s="98"/>
      <c r="APP78" s="98"/>
      <c r="APQ78" s="98"/>
      <c r="APR78" s="98"/>
      <c r="APS78" s="98"/>
      <c r="APT78" s="98"/>
      <c r="APU78" s="98"/>
      <c r="APV78" s="98"/>
      <c r="APW78" s="98"/>
      <c r="APX78" s="98"/>
      <c r="APY78" s="98"/>
      <c r="APZ78" s="98"/>
      <c r="AQA78" s="98"/>
      <c r="AQB78" s="98"/>
      <c r="AQC78" s="98"/>
      <c r="AQD78" s="98"/>
      <c r="AQE78" s="98"/>
      <c r="AQF78" s="98"/>
      <c r="AQG78" s="98"/>
      <c r="AQH78" s="98"/>
      <c r="AQI78" s="98"/>
      <c r="AQJ78" s="98"/>
      <c r="AQK78" s="98"/>
      <c r="AQL78" s="98"/>
      <c r="AQM78" s="98"/>
      <c r="AQN78" s="98"/>
      <c r="AQO78" s="98"/>
      <c r="AQP78" s="98"/>
      <c r="AQQ78" s="98"/>
      <c r="AQR78" s="98"/>
      <c r="AQS78" s="98"/>
      <c r="AQT78" s="98"/>
      <c r="AQU78" s="98"/>
      <c r="AQV78" s="98"/>
      <c r="AQW78" s="98"/>
      <c r="AQX78" s="98"/>
      <c r="AQY78" s="98"/>
      <c r="AQZ78" s="98"/>
      <c r="ARA78" s="98"/>
      <c r="ARB78" s="98"/>
      <c r="ARC78" s="98"/>
      <c r="ARD78" s="98"/>
      <c r="ARE78" s="98"/>
      <c r="ARF78" s="98"/>
      <c r="ARG78" s="98"/>
      <c r="ARH78" s="98"/>
      <c r="ARI78" s="98"/>
      <c r="ARJ78" s="98"/>
      <c r="ARK78" s="98"/>
      <c r="ARL78" s="98"/>
      <c r="ARM78" s="98"/>
      <c r="ARN78" s="98"/>
      <c r="ARO78" s="98"/>
      <c r="ARP78" s="98"/>
      <c r="ARQ78" s="98"/>
      <c r="ARR78" s="98"/>
      <c r="ARS78" s="98"/>
    </row>
    <row r="79" spans="1:1163" s="174" customFormat="1">
      <c r="A79" s="140" t="s">
        <v>137</v>
      </c>
      <c r="B79" s="119" t="s">
        <v>67</v>
      </c>
      <c r="C79" s="201">
        <v>0</v>
      </c>
      <c r="D79" s="201">
        <v>0</v>
      </c>
      <c r="E79" s="201">
        <v>0</v>
      </c>
      <c r="F79" s="201">
        <v>0</v>
      </c>
      <c r="G79" s="201">
        <v>0</v>
      </c>
      <c r="H79" s="201">
        <v>0</v>
      </c>
      <c r="I79" s="201">
        <v>0</v>
      </c>
      <c r="J79" s="201">
        <v>0</v>
      </c>
      <c r="K79" s="201">
        <v>0</v>
      </c>
      <c r="L79" s="201">
        <v>0</v>
      </c>
      <c r="M79" s="201">
        <v>0</v>
      </c>
      <c r="N79" s="201">
        <v>0</v>
      </c>
      <c r="O79" s="201">
        <v>0</v>
      </c>
      <c r="P79" s="201">
        <v>0</v>
      </c>
      <c r="Q79" s="201">
        <v>0</v>
      </c>
      <c r="R79" s="201">
        <v>0</v>
      </c>
      <c r="S79" s="201">
        <v>0</v>
      </c>
      <c r="T79" s="201">
        <v>0</v>
      </c>
      <c r="U79" s="201">
        <v>0</v>
      </c>
      <c r="V79" s="201">
        <v>0</v>
      </c>
      <c r="W79" s="201">
        <v>0</v>
      </c>
      <c r="X79" s="201">
        <v>0</v>
      </c>
      <c r="Y79" s="201">
        <v>0</v>
      </c>
      <c r="Z79" s="201">
        <v>0</v>
      </c>
      <c r="AA79" s="201">
        <v>0</v>
      </c>
      <c r="AB79" s="201">
        <v>0</v>
      </c>
      <c r="AC79" s="201">
        <v>0</v>
      </c>
      <c r="AD79" s="201">
        <v>0</v>
      </c>
      <c r="AE79" s="201">
        <v>0</v>
      </c>
      <c r="AF79" s="201">
        <v>0</v>
      </c>
      <c r="AG79" s="201">
        <v>0</v>
      </c>
      <c r="AH79" s="201">
        <v>0</v>
      </c>
      <c r="AI79" s="201">
        <v>0</v>
      </c>
      <c r="AJ79" s="201">
        <v>0</v>
      </c>
      <c r="AK79" s="209">
        <v>0</v>
      </c>
      <c r="AL79" s="201">
        <v>0</v>
      </c>
      <c r="AM79" s="201">
        <v>0</v>
      </c>
      <c r="AN79" s="201">
        <v>0</v>
      </c>
      <c r="AO79" s="201">
        <v>0</v>
      </c>
      <c r="AP79" s="201">
        <v>0</v>
      </c>
      <c r="AQ79" s="201">
        <v>0</v>
      </c>
      <c r="AR79" s="201">
        <v>0</v>
      </c>
      <c r="AS79" s="201">
        <v>0</v>
      </c>
      <c r="AT79" s="201">
        <v>0</v>
      </c>
      <c r="AU79" s="209">
        <v>226.75</v>
      </c>
      <c r="AV79" s="209">
        <v>80620</v>
      </c>
      <c r="AW79" s="175">
        <v>515</v>
      </c>
      <c r="AX79" s="175">
        <v>183099</v>
      </c>
      <c r="AY79" s="175">
        <v>463.94</v>
      </c>
      <c r="AZ79" s="175">
        <v>160461</v>
      </c>
      <c r="BA79" s="177"/>
      <c r="BB79" s="197"/>
      <c r="BC79" s="197"/>
      <c r="BD79" s="197"/>
      <c r="BE79" s="197"/>
      <c r="BF79" s="197"/>
      <c r="BG79" s="197"/>
      <c r="BH79" s="197"/>
      <c r="BI79" s="177"/>
      <c r="BJ79" s="98"/>
      <c r="BK79" s="11"/>
      <c r="BL79" s="98"/>
      <c r="BM79" s="148"/>
      <c r="BN79" s="14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8"/>
      <c r="DV79" s="98"/>
      <c r="DW79" s="98"/>
      <c r="DX79" s="98"/>
      <c r="DY79" s="98"/>
      <c r="DZ79" s="98"/>
      <c r="EA79" s="98"/>
      <c r="EB79" s="98"/>
      <c r="EC79" s="98"/>
      <c r="ED79" s="98"/>
      <c r="EE79" s="98"/>
      <c r="EF79" s="98"/>
      <c r="EG79" s="98"/>
      <c r="EH79" s="98"/>
      <c r="EI79" s="98"/>
      <c r="EJ79" s="98"/>
      <c r="EK79" s="98"/>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c r="IW79" s="98"/>
      <c r="IX79" s="98"/>
      <c r="IY79" s="98"/>
      <c r="IZ79" s="98"/>
      <c r="JA79" s="98"/>
      <c r="JB79" s="98"/>
      <c r="JC79" s="98"/>
      <c r="JD79" s="98"/>
      <c r="JE79" s="98"/>
      <c r="JF79" s="98"/>
      <c r="JG79" s="98"/>
      <c r="JH79" s="98"/>
      <c r="JI79" s="98"/>
      <c r="JJ79" s="98"/>
      <c r="JK79" s="98"/>
      <c r="JL79" s="98"/>
      <c r="JM79" s="98"/>
      <c r="JN79" s="98"/>
      <c r="JO79" s="98"/>
      <c r="JP79" s="98"/>
      <c r="JQ79" s="98"/>
      <c r="JR79" s="98"/>
      <c r="JS79" s="98"/>
      <c r="JT79" s="98"/>
      <c r="JU79" s="98"/>
      <c r="JV79" s="98"/>
      <c r="JW79" s="98"/>
      <c r="JX79" s="98"/>
      <c r="JY79" s="98"/>
      <c r="JZ79" s="98"/>
      <c r="KA79" s="98"/>
      <c r="KB79" s="98"/>
      <c r="KC79" s="98"/>
      <c r="KD79" s="98"/>
      <c r="KE79" s="98"/>
      <c r="KF79" s="98"/>
      <c r="KG79" s="98"/>
      <c r="KH79" s="98"/>
      <c r="KI79" s="98"/>
      <c r="KJ79" s="98"/>
      <c r="KK79" s="98"/>
      <c r="KL79" s="98"/>
      <c r="KM79" s="98"/>
      <c r="KN79" s="98"/>
      <c r="KO79" s="98"/>
      <c r="KP79" s="98"/>
      <c r="KQ79" s="98"/>
      <c r="KR79" s="98"/>
      <c r="KS79" s="98"/>
      <c r="KT79" s="98"/>
      <c r="KU79" s="98"/>
      <c r="KV79" s="98"/>
      <c r="KW79" s="98"/>
      <c r="KX79" s="98"/>
      <c r="KY79" s="98"/>
      <c r="KZ79" s="98"/>
      <c r="LA79" s="98"/>
      <c r="LB79" s="98"/>
      <c r="LC79" s="98"/>
      <c r="LD79" s="98"/>
      <c r="LE79" s="98"/>
      <c r="LF79" s="98"/>
      <c r="LG79" s="98"/>
      <c r="LH79" s="98"/>
      <c r="LI79" s="98"/>
      <c r="LJ79" s="98"/>
      <c r="LK79" s="98"/>
      <c r="LL79" s="98"/>
      <c r="LM79" s="98"/>
      <c r="LN79" s="98"/>
      <c r="LO79" s="98"/>
      <c r="LP79" s="98"/>
      <c r="LQ79" s="98"/>
      <c r="LR79" s="98"/>
      <c r="LS79" s="98"/>
      <c r="LT79" s="98"/>
      <c r="LU79" s="98"/>
      <c r="LV79" s="98"/>
      <c r="LW79" s="98"/>
      <c r="LX79" s="98"/>
      <c r="LY79" s="98"/>
      <c r="LZ79" s="98"/>
      <c r="MA79" s="98"/>
      <c r="MB79" s="98"/>
      <c r="MC79" s="98"/>
      <c r="MD79" s="98"/>
      <c r="ME79" s="98"/>
      <c r="MF79" s="98"/>
      <c r="MG79" s="98"/>
      <c r="MH79" s="98"/>
      <c r="MI79" s="98"/>
      <c r="MJ79" s="98"/>
      <c r="MK79" s="98"/>
      <c r="ML79" s="98"/>
      <c r="MM79" s="98"/>
      <c r="MN79" s="98"/>
      <c r="MO79" s="98"/>
      <c r="MP79" s="98"/>
      <c r="MQ79" s="98"/>
      <c r="MR79" s="98"/>
      <c r="MS79" s="98"/>
      <c r="MT79" s="98"/>
      <c r="MU79" s="98"/>
      <c r="MV79" s="98"/>
      <c r="MW79" s="98"/>
      <c r="MX79" s="98"/>
      <c r="MY79" s="98"/>
      <c r="MZ79" s="98"/>
      <c r="NA79" s="98"/>
      <c r="NB79" s="98"/>
      <c r="NC79" s="98"/>
      <c r="ND79" s="98"/>
      <c r="NE79" s="98"/>
      <c r="NF79" s="98"/>
      <c r="NG79" s="98"/>
      <c r="NH79" s="98"/>
      <c r="NI79" s="98"/>
      <c r="NJ79" s="98"/>
      <c r="NK79" s="98"/>
      <c r="NL79" s="98"/>
      <c r="NM79" s="98"/>
      <c r="NN79" s="98"/>
      <c r="NO79" s="98"/>
      <c r="NP79" s="98"/>
      <c r="NQ79" s="98"/>
      <c r="NR79" s="98"/>
      <c r="NS79" s="98"/>
      <c r="NT79" s="98"/>
      <c r="NU79" s="98"/>
      <c r="NV79" s="98"/>
      <c r="NW79" s="98"/>
      <c r="NX79" s="98"/>
      <c r="NY79" s="98"/>
      <c r="NZ79" s="98"/>
      <c r="OA79" s="98"/>
      <c r="OB79" s="98"/>
      <c r="OC79" s="98"/>
      <c r="OD79" s="98"/>
      <c r="OE79" s="98"/>
      <c r="OF79" s="98"/>
      <c r="OG79" s="98"/>
      <c r="OH79" s="98"/>
      <c r="OI79" s="98"/>
      <c r="OJ79" s="98"/>
      <c r="OK79" s="98"/>
      <c r="OL79" s="98"/>
      <c r="OM79" s="98"/>
      <c r="ON79" s="98"/>
      <c r="OO79" s="98"/>
      <c r="OP79" s="98"/>
      <c r="OQ79" s="98"/>
      <c r="OR79" s="98"/>
      <c r="OS79" s="98"/>
      <c r="OT79" s="98"/>
      <c r="OU79" s="98"/>
      <c r="OV79" s="98"/>
      <c r="OW79" s="98"/>
      <c r="OX79" s="98"/>
      <c r="OY79" s="98"/>
      <c r="OZ79" s="98"/>
      <c r="PA79" s="98"/>
      <c r="PB79" s="98"/>
      <c r="PC79" s="98"/>
      <c r="PD79" s="98"/>
      <c r="PE79" s="98"/>
      <c r="PF79" s="98"/>
      <c r="PG79" s="98"/>
      <c r="PH79" s="98"/>
      <c r="PI79" s="98"/>
      <c r="PJ79" s="98"/>
      <c r="PK79" s="98"/>
      <c r="PL79" s="98"/>
      <c r="PM79" s="98"/>
      <c r="PN79" s="98"/>
      <c r="PO79" s="98"/>
      <c r="PP79" s="98"/>
      <c r="PQ79" s="98"/>
      <c r="PR79" s="98"/>
      <c r="PS79" s="98"/>
      <c r="PT79" s="98"/>
      <c r="PU79" s="98"/>
      <c r="PV79" s="98"/>
      <c r="PW79" s="98"/>
      <c r="PX79" s="98"/>
      <c r="PY79" s="98"/>
      <c r="PZ79" s="98"/>
      <c r="QA79" s="98"/>
      <c r="QB79" s="98"/>
      <c r="QC79" s="98"/>
      <c r="QD79" s="98"/>
      <c r="QE79" s="98"/>
      <c r="QF79" s="98"/>
      <c r="QG79" s="98"/>
      <c r="QH79" s="98"/>
      <c r="QI79" s="98"/>
      <c r="QJ79" s="98"/>
      <c r="QK79" s="98"/>
      <c r="QL79" s="98"/>
      <c r="QM79" s="98"/>
      <c r="QN79" s="98"/>
      <c r="QO79" s="98"/>
      <c r="QP79" s="98"/>
      <c r="QQ79" s="98"/>
      <c r="QR79" s="98"/>
      <c r="QS79" s="98"/>
      <c r="QT79" s="98"/>
      <c r="QU79" s="98"/>
      <c r="QV79" s="98"/>
      <c r="QW79" s="98"/>
      <c r="QX79" s="98"/>
      <c r="QY79" s="98"/>
      <c r="QZ79" s="98"/>
      <c r="RA79" s="98"/>
      <c r="RB79" s="98"/>
      <c r="RC79" s="98"/>
      <c r="RD79" s="98"/>
      <c r="RE79" s="98"/>
      <c r="RF79" s="98"/>
      <c r="RG79" s="98"/>
      <c r="RH79" s="98"/>
      <c r="RI79" s="98"/>
      <c r="RJ79" s="98"/>
      <c r="RK79" s="98"/>
      <c r="RL79" s="98"/>
      <c r="RM79" s="98"/>
      <c r="RN79" s="98"/>
      <c r="RO79" s="98"/>
      <c r="RP79" s="98"/>
      <c r="RQ79" s="98"/>
      <c r="RR79" s="98"/>
      <c r="RS79" s="98"/>
      <c r="RT79" s="98"/>
      <c r="RU79" s="98"/>
      <c r="RV79" s="98"/>
      <c r="RW79" s="98"/>
      <c r="RX79" s="98"/>
      <c r="RY79" s="98"/>
      <c r="RZ79" s="98"/>
      <c r="SA79" s="98"/>
      <c r="SB79" s="98"/>
      <c r="SC79" s="98"/>
      <c r="SD79" s="98"/>
      <c r="SE79" s="98"/>
      <c r="SF79" s="98"/>
      <c r="SG79" s="98"/>
      <c r="SH79" s="98"/>
      <c r="SI79" s="98"/>
      <c r="SJ79" s="98"/>
      <c r="SK79" s="98"/>
      <c r="SL79" s="98"/>
      <c r="SM79" s="98"/>
      <c r="SN79" s="98"/>
      <c r="SO79" s="98"/>
      <c r="SP79" s="98"/>
      <c r="SQ79" s="98"/>
      <c r="SR79" s="98"/>
      <c r="SS79" s="98"/>
      <c r="ST79" s="98"/>
      <c r="SU79" s="98"/>
      <c r="SV79" s="98"/>
      <c r="SW79" s="98"/>
      <c r="SX79" s="98"/>
      <c r="SY79" s="98"/>
      <c r="SZ79" s="98"/>
      <c r="TA79" s="98"/>
      <c r="TB79" s="98"/>
      <c r="TC79" s="98"/>
      <c r="TD79" s="98"/>
      <c r="TE79" s="98"/>
      <c r="TF79" s="98"/>
      <c r="TG79" s="98"/>
      <c r="TH79" s="98"/>
      <c r="TI79" s="98"/>
      <c r="TJ79" s="98"/>
      <c r="TK79" s="98"/>
      <c r="TL79" s="98"/>
      <c r="TM79" s="98"/>
      <c r="TN79" s="98"/>
      <c r="TO79" s="98"/>
      <c r="TP79" s="98"/>
      <c r="TQ79" s="98"/>
      <c r="TR79" s="98"/>
      <c r="TS79" s="98"/>
      <c r="TT79" s="98"/>
      <c r="TU79" s="98"/>
      <c r="TV79" s="98"/>
      <c r="TW79" s="98"/>
      <c r="TX79" s="98"/>
      <c r="TY79" s="98"/>
      <c r="TZ79" s="98"/>
      <c r="UA79" s="98"/>
      <c r="UB79" s="98"/>
      <c r="UC79" s="98"/>
      <c r="UD79" s="98"/>
      <c r="UE79" s="98"/>
      <c r="UF79" s="98"/>
      <c r="UG79" s="98"/>
      <c r="UH79" s="98"/>
      <c r="UI79" s="98"/>
      <c r="UJ79" s="98"/>
      <c r="UK79" s="98"/>
      <c r="UL79" s="98"/>
      <c r="UM79" s="98"/>
      <c r="UN79" s="98"/>
      <c r="UO79" s="98"/>
      <c r="UP79" s="98"/>
      <c r="UQ79" s="98"/>
      <c r="UR79" s="98"/>
      <c r="US79" s="98"/>
      <c r="UT79" s="98"/>
      <c r="UU79" s="98"/>
      <c r="UV79" s="98"/>
      <c r="UW79" s="98"/>
      <c r="UX79" s="98"/>
      <c r="UY79" s="98"/>
      <c r="UZ79" s="98"/>
      <c r="VA79" s="98"/>
      <c r="VB79" s="98"/>
      <c r="VC79" s="98"/>
      <c r="VD79" s="98"/>
      <c r="VE79" s="98"/>
      <c r="VF79" s="98"/>
      <c r="VG79" s="98"/>
      <c r="VH79" s="98"/>
      <c r="VI79" s="98"/>
      <c r="VJ79" s="98"/>
      <c r="VK79" s="98"/>
      <c r="VL79" s="98"/>
      <c r="VM79" s="98"/>
      <c r="VN79" s="98"/>
      <c r="VO79" s="98"/>
      <c r="VP79" s="98"/>
      <c r="VQ79" s="98"/>
      <c r="VR79" s="98"/>
      <c r="VS79" s="98"/>
      <c r="VT79" s="98"/>
      <c r="VU79" s="98"/>
      <c r="VV79" s="98"/>
      <c r="VW79" s="98"/>
      <c r="VX79" s="98"/>
      <c r="VY79" s="98"/>
      <c r="VZ79" s="98"/>
      <c r="WA79" s="98"/>
      <c r="WB79" s="98"/>
      <c r="WC79" s="98"/>
      <c r="WD79" s="98"/>
      <c r="WE79" s="98"/>
      <c r="WF79" s="98"/>
      <c r="WG79" s="98"/>
      <c r="WH79" s="98"/>
      <c r="WI79" s="98"/>
      <c r="WJ79" s="98"/>
      <c r="WK79" s="98"/>
      <c r="WL79" s="98"/>
      <c r="WM79" s="98"/>
      <c r="WN79" s="98"/>
      <c r="WO79" s="98"/>
      <c r="WP79" s="98"/>
      <c r="WQ79" s="98"/>
      <c r="WR79" s="98"/>
      <c r="WS79" s="98"/>
      <c r="WT79" s="98"/>
      <c r="WU79" s="98"/>
      <c r="WV79" s="98"/>
      <c r="WW79" s="98"/>
      <c r="WX79" s="98"/>
      <c r="WY79" s="98"/>
      <c r="WZ79" s="98"/>
      <c r="XA79" s="98"/>
      <c r="XB79" s="98"/>
      <c r="XC79" s="98"/>
      <c r="XD79" s="98"/>
      <c r="XE79" s="98"/>
      <c r="XF79" s="98"/>
      <c r="XG79" s="98"/>
      <c r="XH79" s="98"/>
      <c r="XI79" s="98"/>
      <c r="XJ79" s="98"/>
      <c r="XK79" s="98"/>
      <c r="XL79" s="98"/>
      <c r="XM79" s="98"/>
      <c r="XN79" s="98"/>
      <c r="XO79" s="98"/>
      <c r="XP79" s="98"/>
      <c r="XQ79" s="98"/>
      <c r="XR79" s="98"/>
      <c r="XS79" s="98"/>
      <c r="XT79" s="98"/>
      <c r="XU79" s="98"/>
      <c r="XV79" s="98"/>
      <c r="XW79" s="98"/>
      <c r="XX79" s="98"/>
      <c r="XY79" s="98"/>
      <c r="XZ79" s="98"/>
      <c r="YA79" s="98"/>
      <c r="YB79" s="98"/>
      <c r="YC79" s="98"/>
      <c r="YD79" s="98"/>
      <c r="YE79" s="98"/>
      <c r="YF79" s="98"/>
      <c r="YG79" s="98"/>
      <c r="YH79" s="98"/>
      <c r="YI79" s="98"/>
      <c r="YJ79" s="98"/>
      <c r="YK79" s="98"/>
      <c r="YL79" s="98"/>
      <c r="YM79" s="98"/>
      <c r="YN79" s="98"/>
      <c r="YO79" s="98"/>
      <c r="YP79" s="98"/>
      <c r="YQ79" s="98"/>
      <c r="YR79" s="98"/>
      <c r="YS79" s="98"/>
      <c r="YT79" s="98"/>
      <c r="YU79" s="98"/>
      <c r="YV79" s="98"/>
      <c r="YW79" s="98"/>
      <c r="YX79" s="98"/>
      <c r="YY79" s="98"/>
      <c r="YZ79" s="98"/>
      <c r="ZA79" s="98"/>
      <c r="ZB79" s="98"/>
      <c r="ZC79" s="98"/>
      <c r="ZD79" s="98"/>
      <c r="ZE79" s="98"/>
      <c r="ZF79" s="98"/>
      <c r="ZG79" s="98"/>
      <c r="ZH79" s="98"/>
      <c r="ZI79" s="98"/>
      <c r="ZJ79" s="98"/>
      <c r="ZK79" s="98"/>
      <c r="ZL79" s="98"/>
      <c r="ZM79" s="98"/>
      <c r="ZN79" s="98"/>
      <c r="ZO79" s="98"/>
      <c r="ZP79" s="98"/>
      <c r="ZQ79" s="98"/>
      <c r="ZR79" s="98"/>
      <c r="ZS79" s="98"/>
      <c r="ZT79" s="98"/>
      <c r="ZU79" s="98"/>
      <c r="ZV79" s="98"/>
      <c r="ZW79" s="98"/>
      <c r="ZX79" s="98"/>
      <c r="ZY79" s="98"/>
      <c r="ZZ79" s="98"/>
      <c r="AAA79" s="98"/>
      <c r="AAB79" s="98"/>
      <c r="AAC79" s="98"/>
      <c r="AAD79" s="98"/>
      <c r="AAE79" s="98"/>
      <c r="AAF79" s="98"/>
      <c r="AAG79" s="98"/>
      <c r="AAH79" s="98"/>
      <c r="AAI79" s="98"/>
      <c r="AAJ79" s="98"/>
      <c r="AAK79" s="98"/>
      <c r="AAL79" s="98"/>
      <c r="AAM79" s="98"/>
      <c r="AAN79" s="98"/>
      <c r="AAO79" s="98"/>
      <c r="AAP79" s="98"/>
      <c r="AAQ79" s="98"/>
      <c r="AAR79" s="98"/>
      <c r="AAS79" s="98"/>
      <c r="AAT79" s="98"/>
      <c r="AAU79" s="98"/>
      <c r="AAV79" s="98"/>
      <c r="AAW79" s="98"/>
      <c r="AAX79" s="98"/>
      <c r="AAY79" s="98"/>
      <c r="AAZ79" s="98"/>
      <c r="ABA79" s="98"/>
      <c r="ABB79" s="98"/>
      <c r="ABC79" s="98"/>
      <c r="ABD79" s="98"/>
      <c r="ABE79" s="98"/>
      <c r="ABF79" s="98"/>
      <c r="ABG79" s="98"/>
      <c r="ABH79" s="98"/>
      <c r="ABI79" s="98"/>
      <c r="ABJ79" s="98"/>
      <c r="ABK79" s="98"/>
      <c r="ABL79" s="98"/>
      <c r="ABM79" s="98"/>
      <c r="ABN79" s="98"/>
      <c r="ABO79" s="98"/>
      <c r="ABP79" s="98"/>
      <c r="ABQ79" s="98"/>
      <c r="ABR79" s="98"/>
      <c r="ABS79" s="98"/>
      <c r="ABT79" s="98"/>
      <c r="ABU79" s="98"/>
      <c r="ABV79" s="98"/>
      <c r="ABW79" s="98"/>
      <c r="ABX79" s="98"/>
      <c r="ABY79" s="98"/>
      <c r="ABZ79" s="98"/>
      <c r="ACA79" s="98"/>
      <c r="ACB79" s="98"/>
      <c r="ACC79" s="98"/>
      <c r="ACD79" s="98"/>
      <c r="ACE79" s="98"/>
      <c r="ACF79" s="98"/>
      <c r="ACG79" s="98"/>
      <c r="ACH79" s="98"/>
      <c r="ACI79" s="98"/>
      <c r="ACJ79" s="98"/>
      <c r="ACK79" s="98"/>
      <c r="ACL79" s="98"/>
      <c r="ACM79" s="98"/>
      <c r="ACN79" s="98"/>
      <c r="ACO79" s="98"/>
      <c r="ACP79" s="98"/>
      <c r="ACQ79" s="98"/>
      <c r="ACR79" s="98"/>
      <c r="ACS79" s="98"/>
      <c r="ACT79" s="98"/>
      <c r="ACU79" s="98"/>
      <c r="ACV79" s="98"/>
      <c r="ACW79" s="98"/>
      <c r="ACX79" s="98"/>
      <c r="ACY79" s="98"/>
      <c r="ACZ79" s="98"/>
      <c r="ADA79" s="98"/>
      <c r="ADB79" s="98"/>
      <c r="ADC79" s="98"/>
      <c r="ADD79" s="98"/>
      <c r="ADE79" s="98"/>
      <c r="ADF79" s="98"/>
      <c r="ADG79" s="98"/>
      <c r="ADH79" s="98"/>
      <c r="ADI79" s="98"/>
      <c r="ADJ79" s="98"/>
      <c r="ADK79" s="98"/>
      <c r="ADL79" s="98"/>
      <c r="ADM79" s="98"/>
      <c r="ADN79" s="98"/>
      <c r="ADO79" s="98"/>
      <c r="ADP79" s="98"/>
      <c r="ADQ79" s="98"/>
      <c r="ADR79" s="98"/>
      <c r="ADS79" s="98"/>
      <c r="ADT79" s="98"/>
      <c r="ADU79" s="98"/>
      <c r="ADV79" s="98"/>
      <c r="ADW79" s="98"/>
      <c r="ADX79" s="98"/>
      <c r="ADY79" s="98"/>
      <c r="ADZ79" s="98"/>
      <c r="AEA79" s="98"/>
      <c r="AEB79" s="98"/>
      <c r="AEC79" s="98"/>
      <c r="AED79" s="98"/>
      <c r="AEE79" s="98"/>
      <c r="AEF79" s="98"/>
      <c r="AEG79" s="98"/>
      <c r="AEH79" s="98"/>
      <c r="AEI79" s="98"/>
      <c r="AEJ79" s="98"/>
      <c r="AEK79" s="98"/>
      <c r="AEL79" s="98"/>
      <c r="AEM79" s="98"/>
      <c r="AEN79" s="98"/>
      <c r="AEO79" s="98"/>
      <c r="AEP79" s="98"/>
      <c r="AEQ79" s="98"/>
      <c r="AER79" s="98"/>
      <c r="AES79" s="98"/>
      <c r="AET79" s="98"/>
      <c r="AEU79" s="98"/>
      <c r="AEV79" s="98"/>
      <c r="AEW79" s="98"/>
      <c r="AEX79" s="98"/>
      <c r="AEY79" s="98"/>
      <c r="AEZ79" s="98"/>
      <c r="AFA79" s="98"/>
      <c r="AFB79" s="98"/>
      <c r="AFC79" s="98"/>
      <c r="AFD79" s="98"/>
      <c r="AFE79" s="98"/>
      <c r="AFF79" s="98"/>
      <c r="AFG79" s="98"/>
      <c r="AFH79" s="98"/>
      <c r="AFI79" s="98"/>
      <c r="AFJ79" s="98"/>
      <c r="AFK79" s="98"/>
      <c r="AFL79" s="98"/>
      <c r="AFM79" s="98"/>
      <c r="AFN79" s="98"/>
      <c r="AFO79" s="98"/>
      <c r="AFP79" s="98"/>
      <c r="AFQ79" s="98"/>
      <c r="AFR79" s="98"/>
      <c r="AFS79" s="98"/>
      <c r="AFT79" s="98"/>
      <c r="AFU79" s="98"/>
      <c r="AFV79" s="98"/>
      <c r="AFW79" s="98"/>
      <c r="AFX79" s="98"/>
      <c r="AFY79" s="98"/>
      <c r="AFZ79" s="98"/>
      <c r="AGA79" s="98"/>
      <c r="AGB79" s="98"/>
      <c r="AGC79" s="98"/>
      <c r="AGD79" s="98"/>
      <c r="AGE79" s="98"/>
      <c r="AGF79" s="98"/>
      <c r="AGG79" s="98"/>
      <c r="AGH79" s="98"/>
      <c r="AGI79" s="98"/>
      <c r="AGJ79" s="98"/>
      <c r="AGK79" s="98"/>
      <c r="AGL79" s="98"/>
      <c r="AGM79" s="98"/>
      <c r="AGN79" s="98"/>
      <c r="AGO79" s="98"/>
      <c r="AGP79" s="98"/>
      <c r="AGQ79" s="98"/>
      <c r="AGR79" s="98"/>
      <c r="AGS79" s="98"/>
      <c r="AGT79" s="98"/>
      <c r="AGU79" s="98"/>
      <c r="AGV79" s="98"/>
      <c r="AGW79" s="98"/>
      <c r="AGX79" s="98"/>
      <c r="AGY79" s="98"/>
      <c r="AGZ79" s="98"/>
      <c r="AHA79" s="98"/>
      <c r="AHB79" s="98"/>
      <c r="AHC79" s="98"/>
      <c r="AHD79" s="98"/>
      <c r="AHE79" s="98"/>
      <c r="AHF79" s="98"/>
      <c r="AHG79" s="98"/>
      <c r="AHH79" s="98"/>
      <c r="AHI79" s="98"/>
      <c r="AHJ79" s="98"/>
      <c r="AHK79" s="98"/>
      <c r="AHL79" s="98"/>
      <c r="AHM79" s="98"/>
      <c r="AHN79" s="98"/>
      <c r="AHO79" s="98"/>
      <c r="AHP79" s="98"/>
      <c r="AHQ79" s="98"/>
      <c r="AHR79" s="98"/>
      <c r="AHS79" s="98"/>
      <c r="AHT79" s="98"/>
      <c r="AHU79" s="98"/>
      <c r="AHV79" s="98"/>
      <c r="AHW79" s="98"/>
      <c r="AHX79" s="98"/>
      <c r="AHY79" s="98"/>
      <c r="AHZ79" s="98"/>
      <c r="AIA79" s="98"/>
      <c r="AIB79" s="98"/>
      <c r="AIC79" s="98"/>
      <c r="AID79" s="98"/>
      <c r="AIE79" s="98"/>
      <c r="AIF79" s="98"/>
      <c r="AIG79" s="98"/>
      <c r="AIH79" s="98"/>
      <c r="AII79" s="98"/>
      <c r="AIJ79" s="98"/>
      <c r="AIK79" s="98"/>
      <c r="AIL79" s="98"/>
      <c r="AIM79" s="98"/>
      <c r="AIN79" s="98"/>
      <c r="AIO79" s="98"/>
      <c r="AIP79" s="98"/>
      <c r="AIQ79" s="98"/>
      <c r="AIR79" s="98"/>
      <c r="AIS79" s="98"/>
      <c r="AIT79" s="98"/>
      <c r="AIU79" s="98"/>
      <c r="AIV79" s="98"/>
      <c r="AIW79" s="98"/>
      <c r="AIX79" s="98"/>
      <c r="AIY79" s="98"/>
      <c r="AIZ79" s="98"/>
      <c r="AJA79" s="98"/>
      <c r="AJB79" s="98"/>
      <c r="AJC79" s="98"/>
      <c r="AJD79" s="98"/>
      <c r="AJE79" s="98"/>
      <c r="AJF79" s="98"/>
      <c r="AJG79" s="98"/>
      <c r="AJH79" s="98"/>
      <c r="AJI79" s="98"/>
      <c r="AJJ79" s="98"/>
      <c r="AJK79" s="98"/>
      <c r="AJL79" s="98"/>
      <c r="AJM79" s="98"/>
      <c r="AJN79" s="98"/>
      <c r="AJO79" s="98"/>
      <c r="AJP79" s="98"/>
      <c r="AJQ79" s="98"/>
      <c r="AJR79" s="98"/>
      <c r="AJS79" s="98"/>
      <c r="AJT79" s="98"/>
      <c r="AJU79" s="98"/>
      <c r="AJV79" s="98"/>
      <c r="AJW79" s="98"/>
      <c r="AJX79" s="98"/>
      <c r="AJY79" s="98"/>
      <c r="AJZ79" s="98"/>
      <c r="AKA79" s="98"/>
      <c r="AKB79" s="98"/>
      <c r="AKC79" s="98"/>
      <c r="AKD79" s="98"/>
      <c r="AKE79" s="98"/>
      <c r="AKF79" s="98"/>
      <c r="AKG79" s="98"/>
      <c r="AKH79" s="98"/>
      <c r="AKI79" s="98"/>
      <c r="AKJ79" s="98"/>
      <c r="AKK79" s="98"/>
      <c r="AKL79" s="98"/>
      <c r="AKM79" s="98"/>
      <c r="AKN79" s="98"/>
      <c r="AKO79" s="98"/>
      <c r="AKP79" s="98"/>
      <c r="AKQ79" s="98"/>
      <c r="AKR79" s="98"/>
      <c r="AKS79" s="98"/>
      <c r="AKT79" s="98"/>
      <c r="AKU79" s="98"/>
      <c r="AKV79" s="98"/>
      <c r="AKW79" s="98"/>
      <c r="AKX79" s="98"/>
      <c r="AKY79" s="98"/>
      <c r="AKZ79" s="98"/>
      <c r="ALA79" s="98"/>
      <c r="ALB79" s="98"/>
      <c r="ALC79" s="98"/>
      <c r="ALD79" s="98"/>
      <c r="ALE79" s="98"/>
      <c r="ALF79" s="98"/>
      <c r="ALG79" s="98"/>
      <c r="ALH79" s="98"/>
      <c r="ALI79" s="98"/>
      <c r="ALJ79" s="98"/>
      <c r="ALK79" s="98"/>
      <c r="ALL79" s="98"/>
      <c r="ALM79" s="98"/>
      <c r="ALN79" s="98"/>
      <c r="ALO79" s="98"/>
      <c r="ALP79" s="98"/>
      <c r="ALQ79" s="98"/>
      <c r="ALR79" s="98"/>
      <c r="ALS79" s="98"/>
      <c r="ALT79" s="98"/>
      <c r="ALU79" s="98"/>
      <c r="ALV79" s="98"/>
      <c r="ALW79" s="98"/>
      <c r="ALX79" s="98"/>
      <c r="ALY79" s="98"/>
      <c r="ALZ79" s="98"/>
      <c r="AMA79" s="98"/>
      <c r="AMB79" s="98"/>
      <c r="AMC79" s="98"/>
      <c r="AMD79" s="98"/>
      <c r="AME79" s="98"/>
      <c r="AMF79" s="98"/>
      <c r="AMG79" s="98"/>
      <c r="AMH79" s="98"/>
      <c r="AMI79" s="98"/>
      <c r="AMJ79" s="98"/>
      <c r="AMK79" s="98"/>
      <c r="AML79" s="98"/>
      <c r="AMM79" s="98"/>
      <c r="AMN79" s="98"/>
      <c r="AMO79" s="98"/>
      <c r="AMP79" s="98"/>
      <c r="AMQ79" s="98"/>
      <c r="AMR79" s="98"/>
      <c r="AMS79" s="98"/>
      <c r="AMT79" s="98"/>
      <c r="AMU79" s="98"/>
      <c r="AMV79" s="98"/>
      <c r="AMW79" s="98"/>
      <c r="AMX79" s="98"/>
      <c r="AMY79" s="98"/>
      <c r="AMZ79" s="98"/>
      <c r="ANA79" s="98"/>
      <c r="ANB79" s="98"/>
      <c r="ANC79" s="98"/>
      <c r="AND79" s="98"/>
      <c r="ANE79" s="98"/>
      <c r="ANF79" s="98"/>
      <c r="ANG79" s="98"/>
      <c r="ANH79" s="98"/>
      <c r="ANI79" s="98"/>
      <c r="ANJ79" s="98"/>
      <c r="ANK79" s="98"/>
      <c r="ANL79" s="98"/>
      <c r="ANM79" s="98"/>
      <c r="ANN79" s="98"/>
      <c r="ANO79" s="98"/>
      <c r="ANP79" s="98"/>
      <c r="ANQ79" s="98"/>
      <c r="ANR79" s="98"/>
      <c r="ANS79" s="98"/>
      <c r="ANT79" s="98"/>
      <c r="ANU79" s="98"/>
      <c r="ANV79" s="98"/>
      <c r="ANW79" s="98"/>
      <c r="ANX79" s="98"/>
      <c r="ANY79" s="98"/>
      <c r="ANZ79" s="98"/>
      <c r="AOA79" s="98"/>
      <c r="AOB79" s="98"/>
      <c r="AOC79" s="98"/>
      <c r="AOD79" s="98"/>
      <c r="AOE79" s="98"/>
      <c r="AOF79" s="98"/>
      <c r="AOG79" s="98"/>
      <c r="AOH79" s="98"/>
      <c r="AOI79" s="98"/>
      <c r="AOJ79" s="98"/>
      <c r="AOK79" s="98"/>
      <c r="AOL79" s="98"/>
      <c r="AOM79" s="98"/>
      <c r="AON79" s="98"/>
      <c r="AOO79" s="98"/>
      <c r="AOP79" s="98"/>
      <c r="AOQ79" s="98"/>
      <c r="AOR79" s="98"/>
      <c r="AOS79" s="98"/>
      <c r="AOT79" s="98"/>
      <c r="AOU79" s="98"/>
      <c r="AOV79" s="98"/>
      <c r="AOW79" s="98"/>
      <c r="AOX79" s="98"/>
      <c r="AOY79" s="98"/>
      <c r="AOZ79" s="98"/>
      <c r="APA79" s="98"/>
      <c r="APB79" s="98"/>
      <c r="APC79" s="98"/>
      <c r="APD79" s="98"/>
      <c r="APE79" s="98"/>
      <c r="APF79" s="98"/>
      <c r="APG79" s="98"/>
      <c r="APH79" s="98"/>
      <c r="API79" s="98"/>
      <c r="APJ79" s="98"/>
      <c r="APK79" s="98"/>
      <c r="APL79" s="98"/>
      <c r="APM79" s="98"/>
      <c r="APN79" s="98"/>
      <c r="APO79" s="98"/>
      <c r="APP79" s="98"/>
      <c r="APQ79" s="98"/>
      <c r="APR79" s="98"/>
      <c r="APS79" s="98"/>
      <c r="APT79" s="98"/>
      <c r="APU79" s="98"/>
      <c r="APV79" s="98"/>
      <c r="APW79" s="98"/>
      <c r="APX79" s="98"/>
      <c r="APY79" s="98"/>
      <c r="APZ79" s="98"/>
      <c r="AQA79" s="98"/>
      <c r="AQB79" s="98"/>
      <c r="AQC79" s="98"/>
      <c r="AQD79" s="98"/>
      <c r="AQE79" s="98"/>
      <c r="AQF79" s="98"/>
      <c r="AQG79" s="98"/>
      <c r="AQH79" s="98"/>
      <c r="AQI79" s="98"/>
      <c r="AQJ79" s="98"/>
      <c r="AQK79" s="98"/>
      <c r="AQL79" s="98"/>
      <c r="AQM79" s="98"/>
      <c r="AQN79" s="98"/>
      <c r="AQO79" s="98"/>
      <c r="AQP79" s="98"/>
      <c r="AQQ79" s="98"/>
      <c r="AQR79" s="98"/>
      <c r="AQS79" s="98"/>
      <c r="AQT79" s="98"/>
      <c r="AQU79" s="98"/>
      <c r="AQV79" s="98"/>
      <c r="AQW79" s="98"/>
      <c r="AQX79" s="98"/>
      <c r="AQY79" s="98"/>
      <c r="AQZ79" s="98"/>
      <c r="ARA79" s="98"/>
      <c r="ARB79" s="98"/>
      <c r="ARC79" s="98"/>
      <c r="ARD79" s="98"/>
      <c r="ARE79" s="98"/>
      <c r="ARF79" s="98"/>
      <c r="ARG79" s="98"/>
      <c r="ARH79" s="98"/>
      <c r="ARI79" s="98"/>
      <c r="ARJ79" s="98"/>
      <c r="ARK79" s="98"/>
      <c r="ARL79" s="98"/>
      <c r="ARM79" s="98"/>
      <c r="ARN79" s="98"/>
      <c r="ARO79" s="98"/>
      <c r="ARP79" s="98"/>
      <c r="ARQ79" s="98"/>
      <c r="ARR79" s="98"/>
      <c r="ARS79" s="98"/>
    </row>
    <row r="80" spans="1:1163" s="174" customFormat="1">
      <c r="A80" s="140" t="s">
        <v>32</v>
      </c>
      <c r="B80" s="119" t="s">
        <v>67</v>
      </c>
      <c r="C80" s="201">
        <v>0</v>
      </c>
      <c r="D80" s="201">
        <v>0</v>
      </c>
      <c r="E80" s="201">
        <v>0</v>
      </c>
      <c r="F80" s="201">
        <v>0</v>
      </c>
      <c r="G80" s="201">
        <v>0</v>
      </c>
      <c r="H80" s="201">
        <v>0</v>
      </c>
      <c r="I80" s="201">
        <v>0</v>
      </c>
      <c r="J80" s="201">
        <v>0</v>
      </c>
      <c r="K80" s="201">
        <v>0</v>
      </c>
      <c r="L80" s="201">
        <v>0</v>
      </c>
      <c r="M80" s="201">
        <v>0</v>
      </c>
      <c r="N80" s="201">
        <v>0</v>
      </c>
      <c r="O80" s="201">
        <v>0</v>
      </c>
      <c r="P80" s="201">
        <v>0</v>
      </c>
      <c r="Q80" s="201">
        <v>0</v>
      </c>
      <c r="R80" s="201">
        <v>0</v>
      </c>
      <c r="S80" s="201">
        <v>0</v>
      </c>
      <c r="T80" s="201">
        <v>0</v>
      </c>
      <c r="U80" s="201">
        <v>0</v>
      </c>
      <c r="V80" s="201">
        <v>0</v>
      </c>
      <c r="W80" s="201">
        <v>0</v>
      </c>
      <c r="X80" s="201">
        <v>0</v>
      </c>
      <c r="Y80" s="201">
        <v>0</v>
      </c>
      <c r="Z80" s="201">
        <v>0</v>
      </c>
      <c r="AA80" s="201">
        <v>0</v>
      </c>
      <c r="AB80" s="201">
        <v>0</v>
      </c>
      <c r="AC80" s="201">
        <v>0</v>
      </c>
      <c r="AD80" s="201">
        <v>0</v>
      </c>
      <c r="AE80" s="201">
        <v>0</v>
      </c>
      <c r="AF80" s="201">
        <v>0</v>
      </c>
      <c r="AG80" s="201">
        <v>0</v>
      </c>
      <c r="AH80" s="201">
        <v>0</v>
      </c>
      <c r="AI80" s="201">
        <v>0</v>
      </c>
      <c r="AJ80" s="201">
        <v>0</v>
      </c>
      <c r="AK80" s="209">
        <v>0</v>
      </c>
      <c r="AL80" s="201">
        <v>0</v>
      </c>
      <c r="AM80" s="201">
        <v>0</v>
      </c>
      <c r="AN80" s="201">
        <v>0</v>
      </c>
      <c r="AO80" s="201">
        <v>0</v>
      </c>
      <c r="AP80" s="201">
        <v>0</v>
      </c>
      <c r="AQ80" s="201">
        <v>0</v>
      </c>
      <c r="AR80" s="201">
        <v>0</v>
      </c>
      <c r="AS80" s="201">
        <v>0</v>
      </c>
      <c r="AT80" s="201">
        <v>0</v>
      </c>
      <c r="AU80" s="201">
        <v>0</v>
      </c>
      <c r="AV80" s="201">
        <v>0</v>
      </c>
      <c r="AW80" s="197">
        <v>435</v>
      </c>
      <c r="AX80" s="197">
        <v>226690</v>
      </c>
      <c r="AY80" s="175">
        <v>0</v>
      </c>
      <c r="AZ80" s="175">
        <v>0</v>
      </c>
      <c r="BA80" s="177"/>
      <c r="BB80" s="197"/>
      <c r="BC80" s="197"/>
      <c r="BD80" s="197"/>
      <c r="BE80" s="197"/>
      <c r="BF80" s="197"/>
      <c r="BG80" s="197"/>
      <c r="BH80" s="197"/>
      <c r="BI80" s="177"/>
      <c r="BJ80" s="98"/>
      <c r="BK80" s="11"/>
      <c r="BL80" s="148"/>
      <c r="BM80" s="98"/>
      <c r="BN80" s="14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c r="DD80" s="98"/>
      <c r="DE80" s="98"/>
      <c r="DF80" s="98"/>
      <c r="DG80" s="98"/>
      <c r="DH80" s="98"/>
      <c r="DI80" s="98"/>
      <c r="DJ80" s="98"/>
      <c r="DK80" s="98"/>
      <c r="DL80" s="98"/>
      <c r="DM80" s="98"/>
      <c r="DN80" s="98"/>
      <c r="DO80" s="98"/>
      <c r="DP80" s="98"/>
      <c r="DQ80" s="98"/>
      <c r="DR80" s="98"/>
      <c r="DS80" s="98"/>
      <c r="DT80" s="98"/>
      <c r="DU80" s="98"/>
      <c r="DV80" s="98"/>
      <c r="DW80" s="98"/>
      <c r="DX80" s="98"/>
      <c r="DY80" s="98"/>
      <c r="DZ80" s="98"/>
      <c r="EA80" s="98"/>
      <c r="EB80" s="98"/>
      <c r="EC80" s="98"/>
      <c r="ED80" s="98"/>
      <c r="EE80" s="98"/>
      <c r="EF80" s="98"/>
      <c r="EG80" s="98"/>
      <c r="EH80" s="98"/>
      <c r="EI80" s="98"/>
      <c r="EJ80" s="98"/>
      <c r="EK80" s="98"/>
      <c r="EL80" s="98"/>
      <c r="EM80" s="98"/>
      <c r="EN80" s="98"/>
      <c r="EO80" s="98"/>
      <c r="EP80" s="98"/>
      <c r="EQ80" s="98"/>
      <c r="ER80" s="98"/>
      <c r="ES80" s="98"/>
      <c r="ET80" s="98"/>
      <c r="EU80" s="98"/>
      <c r="EV80" s="98"/>
      <c r="EW80" s="98"/>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c r="IW80" s="98"/>
      <c r="IX80" s="98"/>
      <c r="IY80" s="98"/>
      <c r="IZ80" s="98"/>
      <c r="JA80" s="98"/>
      <c r="JB80" s="98"/>
      <c r="JC80" s="98"/>
      <c r="JD80" s="98"/>
      <c r="JE80" s="98"/>
      <c r="JF80" s="98"/>
      <c r="JG80" s="98"/>
      <c r="JH80" s="98"/>
      <c r="JI80" s="98"/>
      <c r="JJ80" s="98"/>
      <c r="JK80" s="98"/>
      <c r="JL80" s="98"/>
      <c r="JM80" s="98"/>
      <c r="JN80" s="98"/>
      <c r="JO80" s="98"/>
      <c r="JP80" s="98"/>
      <c r="JQ80" s="98"/>
      <c r="JR80" s="98"/>
      <c r="JS80" s="98"/>
      <c r="JT80" s="98"/>
      <c r="JU80" s="98"/>
      <c r="JV80" s="98"/>
      <c r="JW80" s="98"/>
      <c r="JX80" s="98"/>
      <c r="JY80" s="98"/>
      <c r="JZ80" s="98"/>
      <c r="KA80" s="98"/>
      <c r="KB80" s="98"/>
      <c r="KC80" s="98"/>
      <c r="KD80" s="98"/>
      <c r="KE80" s="98"/>
      <c r="KF80" s="98"/>
      <c r="KG80" s="98"/>
      <c r="KH80" s="98"/>
      <c r="KI80" s="98"/>
      <c r="KJ80" s="98"/>
      <c r="KK80" s="98"/>
      <c r="KL80" s="98"/>
      <c r="KM80" s="98"/>
      <c r="KN80" s="98"/>
      <c r="KO80" s="98"/>
      <c r="KP80" s="98"/>
      <c r="KQ80" s="98"/>
      <c r="KR80" s="98"/>
      <c r="KS80" s="98"/>
      <c r="KT80" s="98"/>
      <c r="KU80" s="98"/>
      <c r="KV80" s="98"/>
      <c r="KW80" s="98"/>
      <c r="KX80" s="98"/>
      <c r="KY80" s="98"/>
      <c r="KZ80" s="98"/>
      <c r="LA80" s="98"/>
      <c r="LB80" s="98"/>
      <c r="LC80" s="98"/>
      <c r="LD80" s="98"/>
      <c r="LE80" s="98"/>
      <c r="LF80" s="98"/>
      <c r="LG80" s="98"/>
      <c r="LH80" s="98"/>
      <c r="LI80" s="98"/>
      <c r="LJ80" s="98"/>
      <c r="LK80" s="98"/>
      <c r="LL80" s="98"/>
      <c r="LM80" s="98"/>
      <c r="LN80" s="98"/>
      <c r="LO80" s="98"/>
      <c r="LP80" s="98"/>
      <c r="LQ80" s="98"/>
      <c r="LR80" s="98"/>
      <c r="LS80" s="98"/>
      <c r="LT80" s="98"/>
      <c r="LU80" s="98"/>
      <c r="LV80" s="98"/>
      <c r="LW80" s="98"/>
      <c r="LX80" s="98"/>
      <c r="LY80" s="98"/>
      <c r="LZ80" s="98"/>
      <c r="MA80" s="98"/>
      <c r="MB80" s="98"/>
      <c r="MC80" s="98"/>
      <c r="MD80" s="98"/>
      <c r="ME80" s="98"/>
      <c r="MF80" s="98"/>
      <c r="MG80" s="98"/>
      <c r="MH80" s="98"/>
      <c r="MI80" s="98"/>
      <c r="MJ80" s="98"/>
      <c r="MK80" s="98"/>
      <c r="ML80" s="98"/>
      <c r="MM80" s="98"/>
      <c r="MN80" s="98"/>
      <c r="MO80" s="98"/>
      <c r="MP80" s="98"/>
      <c r="MQ80" s="98"/>
      <c r="MR80" s="98"/>
      <c r="MS80" s="98"/>
      <c r="MT80" s="98"/>
      <c r="MU80" s="98"/>
      <c r="MV80" s="98"/>
      <c r="MW80" s="98"/>
      <c r="MX80" s="98"/>
      <c r="MY80" s="98"/>
      <c r="MZ80" s="98"/>
      <c r="NA80" s="98"/>
      <c r="NB80" s="98"/>
      <c r="NC80" s="98"/>
      <c r="ND80" s="98"/>
      <c r="NE80" s="98"/>
      <c r="NF80" s="98"/>
      <c r="NG80" s="98"/>
      <c r="NH80" s="98"/>
      <c r="NI80" s="98"/>
      <c r="NJ80" s="98"/>
      <c r="NK80" s="98"/>
      <c r="NL80" s="98"/>
      <c r="NM80" s="98"/>
      <c r="NN80" s="98"/>
      <c r="NO80" s="98"/>
      <c r="NP80" s="98"/>
      <c r="NQ80" s="98"/>
      <c r="NR80" s="98"/>
      <c r="NS80" s="98"/>
      <c r="NT80" s="98"/>
      <c r="NU80" s="98"/>
      <c r="NV80" s="98"/>
      <c r="NW80" s="98"/>
      <c r="NX80" s="98"/>
      <c r="NY80" s="98"/>
      <c r="NZ80" s="98"/>
      <c r="OA80" s="98"/>
      <c r="OB80" s="98"/>
      <c r="OC80" s="98"/>
      <c r="OD80" s="98"/>
      <c r="OE80" s="98"/>
      <c r="OF80" s="98"/>
      <c r="OG80" s="98"/>
      <c r="OH80" s="98"/>
      <c r="OI80" s="98"/>
      <c r="OJ80" s="98"/>
      <c r="OK80" s="98"/>
      <c r="OL80" s="98"/>
      <c r="OM80" s="98"/>
      <c r="ON80" s="98"/>
      <c r="OO80" s="98"/>
      <c r="OP80" s="98"/>
      <c r="OQ80" s="98"/>
      <c r="OR80" s="98"/>
      <c r="OS80" s="98"/>
      <c r="OT80" s="98"/>
      <c r="OU80" s="98"/>
      <c r="OV80" s="98"/>
      <c r="OW80" s="98"/>
      <c r="OX80" s="98"/>
      <c r="OY80" s="98"/>
      <c r="OZ80" s="98"/>
      <c r="PA80" s="98"/>
      <c r="PB80" s="98"/>
      <c r="PC80" s="98"/>
      <c r="PD80" s="98"/>
      <c r="PE80" s="98"/>
      <c r="PF80" s="98"/>
      <c r="PG80" s="98"/>
      <c r="PH80" s="98"/>
      <c r="PI80" s="98"/>
      <c r="PJ80" s="98"/>
      <c r="PK80" s="98"/>
      <c r="PL80" s="98"/>
      <c r="PM80" s="98"/>
      <c r="PN80" s="98"/>
      <c r="PO80" s="98"/>
      <c r="PP80" s="98"/>
      <c r="PQ80" s="98"/>
      <c r="PR80" s="98"/>
      <c r="PS80" s="98"/>
      <c r="PT80" s="98"/>
      <c r="PU80" s="98"/>
      <c r="PV80" s="98"/>
      <c r="PW80" s="98"/>
      <c r="PX80" s="98"/>
      <c r="PY80" s="98"/>
      <c r="PZ80" s="98"/>
      <c r="QA80" s="98"/>
      <c r="QB80" s="98"/>
      <c r="QC80" s="98"/>
      <c r="QD80" s="98"/>
      <c r="QE80" s="98"/>
      <c r="QF80" s="98"/>
      <c r="QG80" s="98"/>
      <c r="QH80" s="98"/>
      <c r="QI80" s="98"/>
      <c r="QJ80" s="98"/>
      <c r="QK80" s="98"/>
      <c r="QL80" s="98"/>
      <c r="QM80" s="98"/>
      <c r="QN80" s="98"/>
      <c r="QO80" s="98"/>
      <c r="QP80" s="98"/>
      <c r="QQ80" s="98"/>
      <c r="QR80" s="98"/>
      <c r="QS80" s="98"/>
      <c r="QT80" s="98"/>
      <c r="QU80" s="98"/>
      <c r="QV80" s="98"/>
      <c r="QW80" s="98"/>
      <c r="QX80" s="98"/>
      <c r="QY80" s="98"/>
      <c r="QZ80" s="98"/>
      <c r="RA80" s="98"/>
      <c r="RB80" s="98"/>
      <c r="RC80" s="98"/>
      <c r="RD80" s="98"/>
      <c r="RE80" s="98"/>
      <c r="RF80" s="98"/>
      <c r="RG80" s="98"/>
      <c r="RH80" s="98"/>
      <c r="RI80" s="98"/>
      <c r="RJ80" s="98"/>
      <c r="RK80" s="98"/>
      <c r="RL80" s="98"/>
      <c r="RM80" s="98"/>
      <c r="RN80" s="98"/>
      <c r="RO80" s="98"/>
      <c r="RP80" s="98"/>
      <c r="RQ80" s="98"/>
      <c r="RR80" s="98"/>
      <c r="RS80" s="98"/>
      <c r="RT80" s="98"/>
      <c r="RU80" s="98"/>
      <c r="RV80" s="98"/>
      <c r="RW80" s="98"/>
      <c r="RX80" s="98"/>
      <c r="RY80" s="98"/>
      <c r="RZ80" s="98"/>
      <c r="SA80" s="98"/>
      <c r="SB80" s="98"/>
      <c r="SC80" s="98"/>
      <c r="SD80" s="98"/>
      <c r="SE80" s="98"/>
      <c r="SF80" s="98"/>
      <c r="SG80" s="98"/>
      <c r="SH80" s="98"/>
      <c r="SI80" s="98"/>
      <c r="SJ80" s="98"/>
      <c r="SK80" s="98"/>
      <c r="SL80" s="98"/>
      <c r="SM80" s="98"/>
      <c r="SN80" s="98"/>
      <c r="SO80" s="98"/>
      <c r="SP80" s="98"/>
      <c r="SQ80" s="98"/>
      <c r="SR80" s="98"/>
      <c r="SS80" s="98"/>
      <c r="ST80" s="98"/>
      <c r="SU80" s="98"/>
      <c r="SV80" s="98"/>
      <c r="SW80" s="98"/>
      <c r="SX80" s="98"/>
      <c r="SY80" s="98"/>
      <c r="SZ80" s="98"/>
      <c r="TA80" s="98"/>
      <c r="TB80" s="98"/>
      <c r="TC80" s="98"/>
      <c r="TD80" s="98"/>
      <c r="TE80" s="98"/>
      <c r="TF80" s="98"/>
      <c r="TG80" s="98"/>
      <c r="TH80" s="98"/>
      <c r="TI80" s="98"/>
      <c r="TJ80" s="98"/>
      <c r="TK80" s="98"/>
      <c r="TL80" s="98"/>
      <c r="TM80" s="98"/>
      <c r="TN80" s="98"/>
      <c r="TO80" s="98"/>
      <c r="TP80" s="98"/>
      <c r="TQ80" s="98"/>
      <c r="TR80" s="98"/>
      <c r="TS80" s="98"/>
      <c r="TT80" s="98"/>
      <c r="TU80" s="98"/>
      <c r="TV80" s="98"/>
      <c r="TW80" s="98"/>
      <c r="TX80" s="98"/>
      <c r="TY80" s="98"/>
      <c r="TZ80" s="98"/>
      <c r="UA80" s="98"/>
      <c r="UB80" s="98"/>
      <c r="UC80" s="98"/>
      <c r="UD80" s="98"/>
      <c r="UE80" s="98"/>
      <c r="UF80" s="98"/>
      <c r="UG80" s="98"/>
      <c r="UH80" s="98"/>
      <c r="UI80" s="98"/>
      <c r="UJ80" s="98"/>
      <c r="UK80" s="98"/>
      <c r="UL80" s="98"/>
      <c r="UM80" s="98"/>
      <c r="UN80" s="98"/>
      <c r="UO80" s="98"/>
      <c r="UP80" s="98"/>
      <c r="UQ80" s="98"/>
      <c r="UR80" s="98"/>
      <c r="US80" s="98"/>
      <c r="UT80" s="98"/>
      <c r="UU80" s="98"/>
      <c r="UV80" s="98"/>
      <c r="UW80" s="98"/>
      <c r="UX80" s="98"/>
      <c r="UY80" s="98"/>
      <c r="UZ80" s="98"/>
      <c r="VA80" s="98"/>
      <c r="VB80" s="98"/>
      <c r="VC80" s="98"/>
      <c r="VD80" s="98"/>
      <c r="VE80" s="98"/>
      <c r="VF80" s="98"/>
      <c r="VG80" s="98"/>
      <c r="VH80" s="98"/>
      <c r="VI80" s="98"/>
      <c r="VJ80" s="98"/>
      <c r="VK80" s="98"/>
      <c r="VL80" s="98"/>
      <c r="VM80" s="98"/>
      <c r="VN80" s="98"/>
      <c r="VO80" s="98"/>
      <c r="VP80" s="98"/>
      <c r="VQ80" s="98"/>
      <c r="VR80" s="98"/>
      <c r="VS80" s="98"/>
      <c r="VT80" s="98"/>
      <c r="VU80" s="98"/>
      <c r="VV80" s="98"/>
      <c r="VW80" s="98"/>
      <c r="VX80" s="98"/>
      <c r="VY80" s="98"/>
      <c r="VZ80" s="98"/>
      <c r="WA80" s="98"/>
      <c r="WB80" s="98"/>
      <c r="WC80" s="98"/>
      <c r="WD80" s="98"/>
      <c r="WE80" s="98"/>
      <c r="WF80" s="98"/>
      <c r="WG80" s="98"/>
      <c r="WH80" s="98"/>
      <c r="WI80" s="98"/>
      <c r="WJ80" s="98"/>
      <c r="WK80" s="98"/>
      <c r="WL80" s="98"/>
      <c r="WM80" s="98"/>
      <c r="WN80" s="98"/>
      <c r="WO80" s="98"/>
      <c r="WP80" s="98"/>
      <c r="WQ80" s="98"/>
      <c r="WR80" s="98"/>
      <c r="WS80" s="98"/>
      <c r="WT80" s="98"/>
      <c r="WU80" s="98"/>
      <c r="WV80" s="98"/>
      <c r="WW80" s="98"/>
      <c r="WX80" s="98"/>
      <c r="WY80" s="98"/>
      <c r="WZ80" s="98"/>
      <c r="XA80" s="98"/>
      <c r="XB80" s="98"/>
      <c r="XC80" s="98"/>
      <c r="XD80" s="98"/>
      <c r="XE80" s="98"/>
      <c r="XF80" s="98"/>
      <c r="XG80" s="98"/>
      <c r="XH80" s="98"/>
      <c r="XI80" s="98"/>
      <c r="XJ80" s="98"/>
      <c r="XK80" s="98"/>
      <c r="XL80" s="98"/>
      <c r="XM80" s="98"/>
      <c r="XN80" s="98"/>
      <c r="XO80" s="98"/>
      <c r="XP80" s="98"/>
      <c r="XQ80" s="98"/>
      <c r="XR80" s="98"/>
      <c r="XS80" s="98"/>
      <c r="XT80" s="98"/>
      <c r="XU80" s="98"/>
      <c r="XV80" s="98"/>
      <c r="XW80" s="98"/>
      <c r="XX80" s="98"/>
      <c r="XY80" s="98"/>
      <c r="XZ80" s="98"/>
      <c r="YA80" s="98"/>
      <c r="YB80" s="98"/>
      <c r="YC80" s="98"/>
      <c r="YD80" s="98"/>
      <c r="YE80" s="98"/>
      <c r="YF80" s="98"/>
      <c r="YG80" s="98"/>
      <c r="YH80" s="98"/>
      <c r="YI80" s="98"/>
      <c r="YJ80" s="98"/>
      <c r="YK80" s="98"/>
      <c r="YL80" s="98"/>
      <c r="YM80" s="98"/>
      <c r="YN80" s="98"/>
      <c r="YO80" s="98"/>
      <c r="YP80" s="98"/>
      <c r="YQ80" s="98"/>
      <c r="YR80" s="98"/>
      <c r="YS80" s="98"/>
      <c r="YT80" s="98"/>
      <c r="YU80" s="98"/>
      <c r="YV80" s="98"/>
      <c r="YW80" s="98"/>
      <c r="YX80" s="98"/>
      <c r="YY80" s="98"/>
      <c r="YZ80" s="98"/>
      <c r="ZA80" s="98"/>
      <c r="ZB80" s="98"/>
      <c r="ZC80" s="98"/>
      <c r="ZD80" s="98"/>
      <c r="ZE80" s="98"/>
      <c r="ZF80" s="98"/>
      <c r="ZG80" s="98"/>
      <c r="ZH80" s="98"/>
      <c r="ZI80" s="98"/>
      <c r="ZJ80" s="98"/>
      <c r="ZK80" s="98"/>
      <c r="ZL80" s="98"/>
      <c r="ZM80" s="98"/>
      <c r="ZN80" s="98"/>
      <c r="ZO80" s="98"/>
      <c r="ZP80" s="98"/>
      <c r="ZQ80" s="98"/>
      <c r="ZR80" s="98"/>
      <c r="ZS80" s="98"/>
      <c r="ZT80" s="98"/>
      <c r="ZU80" s="98"/>
      <c r="ZV80" s="98"/>
      <c r="ZW80" s="98"/>
      <c r="ZX80" s="98"/>
      <c r="ZY80" s="98"/>
      <c r="ZZ80" s="98"/>
      <c r="AAA80" s="98"/>
      <c r="AAB80" s="98"/>
      <c r="AAC80" s="98"/>
      <c r="AAD80" s="98"/>
      <c r="AAE80" s="98"/>
      <c r="AAF80" s="98"/>
      <c r="AAG80" s="98"/>
      <c r="AAH80" s="98"/>
      <c r="AAI80" s="98"/>
      <c r="AAJ80" s="98"/>
      <c r="AAK80" s="98"/>
      <c r="AAL80" s="98"/>
      <c r="AAM80" s="98"/>
      <c r="AAN80" s="98"/>
      <c r="AAO80" s="98"/>
      <c r="AAP80" s="98"/>
      <c r="AAQ80" s="98"/>
      <c r="AAR80" s="98"/>
      <c r="AAS80" s="98"/>
      <c r="AAT80" s="98"/>
      <c r="AAU80" s="98"/>
      <c r="AAV80" s="98"/>
      <c r="AAW80" s="98"/>
      <c r="AAX80" s="98"/>
      <c r="AAY80" s="98"/>
      <c r="AAZ80" s="98"/>
      <c r="ABA80" s="98"/>
      <c r="ABB80" s="98"/>
      <c r="ABC80" s="98"/>
      <c r="ABD80" s="98"/>
      <c r="ABE80" s="98"/>
      <c r="ABF80" s="98"/>
      <c r="ABG80" s="98"/>
      <c r="ABH80" s="98"/>
      <c r="ABI80" s="98"/>
      <c r="ABJ80" s="98"/>
      <c r="ABK80" s="98"/>
      <c r="ABL80" s="98"/>
      <c r="ABM80" s="98"/>
      <c r="ABN80" s="98"/>
      <c r="ABO80" s="98"/>
      <c r="ABP80" s="98"/>
      <c r="ABQ80" s="98"/>
      <c r="ABR80" s="98"/>
      <c r="ABS80" s="98"/>
      <c r="ABT80" s="98"/>
      <c r="ABU80" s="98"/>
      <c r="ABV80" s="98"/>
      <c r="ABW80" s="98"/>
      <c r="ABX80" s="98"/>
      <c r="ABY80" s="98"/>
      <c r="ABZ80" s="98"/>
      <c r="ACA80" s="98"/>
      <c r="ACB80" s="98"/>
      <c r="ACC80" s="98"/>
      <c r="ACD80" s="98"/>
      <c r="ACE80" s="98"/>
      <c r="ACF80" s="98"/>
      <c r="ACG80" s="98"/>
      <c r="ACH80" s="98"/>
      <c r="ACI80" s="98"/>
      <c r="ACJ80" s="98"/>
      <c r="ACK80" s="98"/>
      <c r="ACL80" s="98"/>
      <c r="ACM80" s="98"/>
      <c r="ACN80" s="98"/>
      <c r="ACO80" s="98"/>
      <c r="ACP80" s="98"/>
      <c r="ACQ80" s="98"/>
      <c r="ACR80" s="98"/>
      <c r="ACS80" s="98"/>
      <c r="ACT80" s="98"/>
      <c r="ACU80" s="98"/>
      <c r="ACV80" s="98"/>
      <c r="ACW80" s="98"/>
      <c r="ACX80" s="98"/>
      <c r="ACY80" s="98"/>
      <c r="ACZ80" s="98"/>
      <c r="ADA80" s="98"/>
      <c r="ADB80" s="98"/>
      <c r="ADC80" s="98"/>
      <c r="ADD80" s="98"/>
      <c r="ADE80" s="98"/>
      <c r="ADF80" s="98"/>
      <c r="ADG80" s="98"/>
      <c r="ADH80" s="98"/>
      <c r="ADI80" s="98"/>
      <c r="ADJ80" s="98"/>
      <c r="ADK80" s="98"/>
      <c r="ADL80" s="98"/>
      <c r="ADM80" s="98"/>
      <c r="ADN80" s="98"/>
      <c r="ADO80" s="98"/>
      <c r="ADP80" s="98"/>
      <c r="ADQ80" s="98"/>
      <c r="ADR80" s="98"/>
      <c r="ADS80" s="98"/>
      <c r="ADT80" s="98"/>
      <c r="ADU80" s="98"/>
      <c r="ADV80" s="98"/>
      <c r="ADW80" s="98"/>
      <c r="ADX80" s="98"/>
      <c r="ADY80" s="98"/>
      <c r="ADZ80" s="98"/>
      <c r="AEA80" s="98"/>
      <c r="AEB80" s="98"/>
      <c r="AEC80" s="98"/>
      <c r="AED80" s="98"/>
      <c r="AEE80" s="98"/>
      <c r="AEF80" s="98"/>
      <c r="AEG80" s="98"/>
      <c r="AEH80" s="98"/>
      <c r="AEI80" s="98"/>
      <c r="AEJ80" s="98"/>
      <c r="AEK80" s="98"/>
      <c r="AEL80" s="98"/>
      <c r="AEM80" s="98"/>
      <c r="AEN80" s="98"/>
      <c r="AEO80" s="98"/>
      <c r="AEP80" s="98"/>
      <c r="AEQ80" s="98"/>
      <c r="AER80" s="98"/>
      <c r="AES80" s="98"/>
      <c r="AET80" s="98"/>
      <c r="AEU80" s="98"/>
      <c r="AEV80" s="98"/>
      <c r="AEW80" s="98"/>
      <c r="AEX80" s="98"/>
      <c r="AEY80" s="98"/>
      <c r="AEZ80" s="98"/>
      <c r="AFA80" s="98"/>
      <c r="AFB80" s="98"/>
      <c r="AFC80" s="98"/>
      <c r="AFD80" s="98"/>
      <c r="AFE80" s="98"/>
      <c r="AFF80" s="98"/>
      <c r="AFG80" s="98"/>
      <c r="AFH80" s="98"/>
      <c r="AFI80" s="98"/>
      <c r="AFJ80" s="98"/>
      <c r="AFK80" s="98"/>
      <c r="AFL80" s="98"/>
      <c r="AFM80" s="98"/>
      <c r="AFN80" s="98"/>
      <c r="AFO80" s="98"/>
      <c r="AFP80" s="98"/>
      <c r="AFQ80" s="98"/>
      <c r="AFR80" s="98"/>
      <c r="AFS80" s="98"/>
      <c r="AFT80" s="98"/>
      <c r="AFU80" s="98"/>
      <c r="AFV80" s="98"/>
      <c r="AFW80" s="98"/>
      <c r="AFX80" s="98"/>
      <c r="AFY80" s="98"/>
      <c r="AFZ80" s="98"/>
      <c r="AGA80" s="98"/>
      <c r="AGB80" s="98"/>
      <c r="AGC80" s="98"/>
      <c r="AGD80" s="98"/>
      <c r="AGE80" s="98"/>
      <c r="AGF80" s="98"/>
      <c r="AGG80" s="98"/>
      <c r="AGH80" s="98"/>
      <c r="AGI80" s="98"/>
      <c r="AGJ80" s="98"/>
      <c r="AGK80" s="98"/>
      <c r="AGL80" s="98"/>
      <c r="AGM80" s="98"/>
      <c r="AGN80" s="98"/>
      <c r="AGO80" s="98"/>
      <c r="AGP80" s="98"/>
      <c r="AGQ80" s="98"/>
      <c r="AGR80" s="98"/>
      <c r="AGS80" s="98"/>
      <c r="AGT80" s="98"/>
      <c r="AGU80" s="98"/>
      <c r="AGV80" s="98"/>
      <c r="AGW80" s="98"/>
      <c r="AGX80" s="98"/>
      <c r="AGY80" s="98"/>
      <c r="AGZ80" s="98"/>
      <c r="AHA80" s="98"/>
      <c r="AHB80" s="98"/>
      <c r="AHC80" s="98"/>
      <c r="AHD80" s="98"/>
      <c r="AHE80" s="98"/>
      <c r="AHF80" s="98"/>
      <c r="AHG80" s="98"/>
      <c r="AHH80" s="98"/>
      <c r="AHI80" s="98"/>
      <c r="AHJ80" s="98"/>
      <c r="AHK80" s="98"/>
      <c r="AHL80" s="98"/>
      <c r="AHM80" s="98"/>
      <c r="AHN80" s="98"/>
      <c r="AHO80" s="98"/>
      <c r="AHP80" s="98"/>
      <c r="AHQ80" s="98"/>
      <c r="AHR80" s="98"/>
      <c r="AHS80" s="98"/>
      <c r="AHT80" s="98"/>
      <c r="AHU80" s="98"/>
      <c r="AHV80" s="98"/>
      <c r="AHW80" s="98"/>
      <c r="AHX80" s="98"/>
      <c r="AHY80" s="98"/>
      <c r="AHZ80" s="98"/>
      <c r="AIA80" s="98"/>
      <c r="AIB80" s="98"/>
      <c r="AIC80" s="98"/>
      <c r="AID80" s="98"/>
      <c r="AIE80" s="98"/>
      <c r="AIF80" s="98"/>
      <c r="AIG80" s="98"/>
      <c r="AIH80" s="98"/>
      <c r="AII80" s="98"/>
      <c r="AIJ80" s="98"/>
      <c r="AIK80" s="98"/>
      <c r="AIL80" s="98"/>
      <c r="AIM80" s="98"/>
      <c r="AIN80" s="98"/>
      <c r="AIO80" s="98"/>
      <c r="AIP80" s="98"/>
      <c r="AIQ80" s="98"/>
      <c r="AIR80" s="98"/>
      <c r="AIS80" s="98"/>
      <c r="AIT80" s="98"/>
      <c r="AIU80" s="98"/>
      <c r="AIV80" s="98"/>
      <c r="AIW80" s="98"/>
      <c r="AIX80" s="98"/>
      <c r="AIY80" s="98"/>
      <c r="AIZ80" s="98"/>
      <c r="AJA80" s="98"/>
      <c r="AJB80" s="98"/>
      <c r="AJC80" s="98"/>
      <c r="AJD80" s="98"/>
      <c r="AJE80" s="98"/>
      <c r="AJF80" s="98"/>
      <c r="AJG80" s="98"/>
      <c r="AJH80" s="98"/>
      <c r="AJI80" s="98"/>
      <c r="AJJ80" s="98"/>
      <c r="AJK80" s="98"/>
      <c r="AJL80" s="98"/>
      <c r="AJM80" s="98"/>
      <c r="AJN80" s="98"/>
      <c r="AJO80" s="98"/>
      <c r="AJP80" s="98"/>
      <c r="AJQ80" s="98"/>
      <c r="AJR80" s="98"/>
      <c r="AJS80" s="98"/>
      <c r="AJT80" s="98"/>
      <c r="AJU80" s="98"/>
      <c r="AJV80" s="98"/>
      <c r="AJW80" s="98"/>
      <c r="AJX80" s="98"/>
      <c r="AJY80" s="98"/>
      <c r="AJZ80" s="98"/>
      <c r="AKA80" s="98"/>
      <c r="AKB80" s="98"/>
      <c r="AKC80" s="98"/>
      <c r="AKD80" s="98"/>
      <c r="AKE80" s="98"/>
      <c r="AKF80" s="98"/>
      <c r="AKG80" s="98"/>
      <c r="AKH80" s="98"/>
      <c r="AKI80" s="98"/>
      <c r="AKJ80" s="98"/>
      <c r="AKK80" s="98"/>
      <c r="AKL80" s="98"/>
      <c r="AKM80" s="98"/>
      <c r="AKN80" s="98"/>
      <c r="AKO80" s="98"/>
      <c r="AKP80" s="98"/>
      <c r="AKQ80" s="98"/>
      <c r="AKR80" s="98"/>
      <c r="AKS80" s="98"/>
      <c r="AKT80" s="98"/>
      <c r="AKU80" s="98"/>
      <c r="AKV80" s="98"/>
      <c r="AKW80" s="98"/>
      <c r="AKX80" s="98"/>
      <c r="AKY80" s="98"/>
      <c r="AKZ80" s="98"/>
      <c r="ALA80" s="98"/>
      <c r="ALB80" s="98"/>
      <c r="ALC80" s="98"/>
      <c r="ALD80" s="98"/>
      <c r="ALE80" s="98"/>
      <c r="ALF80" s="98"/>
      <c r="ALG80" s="98"/>
      <c r="ALH80" s="98"/>
      <c r="ALI80" s="98"/>
      <c r="ALJ80" s="98"/>
      <c r="ALK80" s="98"/>
      <c r="ALL80" s="98"/>
      <c r="ALM80" s="98"/>
      <c r="ALN80" s="98"/>
      <c r="ALO80" s="98"/>
      <c r="ALP80" s="98"/>
      <c r="ALQ80" s="98"/>
      <c r="ALR80" s="98"/>
      <c r="ALS80" s="98"/>
      <c r="ALT80" s="98"/>
      <c r="ALU80" s="98"/>
      <c r="ALV80" s="98"/>
      <c r="ALW80" s="98"/>
      <c r="ALX80" s="98"/>
      <c r="ALY80" s="98"/>
      <c r="ALZ80" s="98"/>
      <c r="AMA80" s="98"/>
      <c r="AMB80" s="98"/>
      <c r="AMC80" s="98"/>
      <c r="AMD80" s="98"/>
      <c r="AME80" s="98"/>
      <c r="AMF80" s="98"/>
      <c r="AMG80" s="98"/>
      <c r="AMH80" s="98"/>
      <c r="AMI80" s="98"/>
      <c r="AMJ80" s="98"/>
      <c r="AMK80" s="98"/>
      <c r="AML80" s="98"/>
      <c r="AMM80" s="98"/>
      <c r="AMN80" s="98"/>
      <c r="AMO80" s="98"/>
      <c r="AMP80" s="98"/>
      <c r="AMQ80" s="98"/>
      <c r="AMR80" s="98"/>
      <c r="AMS80" s="98"/>
      <c r="AMT80" s="98"/>
      <c r="AMU80" s="98"/>
      <c r="AMV80" s="98"/>
      <c r="AMW80" s="98"/>
      <c r="AMX80" s="98"/>
      <c r="AMY80" s="98"/>
      <c r="AMZ80" s="98"/>
      <c r="ANA80" s="98"/>
      <c r="ANB80" s="98"/>
      <c r="ANC80" s="98"/>
      <c r="AND80" s="98"/>
      <c r="ANE80" s="98"/>
      <c r="ANF80" s="98"/>
      <c r="ANG80" s="98"/>
      <c r="ANH80" s="98"/>
      <c r="ANI80" s="98"/>
      <c r="ANJ80" s="98"/>
      <c r="ANK80" s="98"/>
      <c r="ANL80" s="98"/>
      <c r="ANM80" s="98"/>
      <c r="ANN80" s="98"/>
      <c r="ANO80" s="98"/>
      <c r="ANP80" s="98"/>
      <c r="ANQ80" s="98"/>
      <c r="ANR80" s="98"/>
      <c r="ANS80" s="98"/>
      <c r="ANT80" s="98"/>
      <c r="ANU80" s="98"/>
      <c r="ANV80" s="98"/>
      <c r="ANW80" s="98"/>
      <c r="ANX80" s="98"/>
      <c r="ANY80" s="98"/>
      <c r="ANZ80" s="98"/>
      <c r="AOA80" s="98"/>
      <c r="AOB80" s="98"/>
      <c r="AOC80" s="98"/>
      <c r="AOD80" s="98"/>
      <c r="AOE80" s="98"/>
      <c r="AOF80" s="98"/>
      <c r="AOG80" s="98"/>
      <c r="AOH80" s="98"/>
      <c r="AOI80" s="98"/>
      <c r="AOJ80" s="98"/>
      <c r="AOK80" s="98"/>
      <c r="AOL80" s="98"/>
      <c r="AOM80" s="98"/>
      <c r="AON80" s="98"/>
      <c r="AOO80" s="98"/>
      <c r="AOP80" s="98"/>
      <c r="AOQ80" s="98"/>
      <c r="AOR80" s="98"/>
      <c r="AOS80" s="98"/>
      <c r="AOT80" s="98"/>
      <c r="AOU80" s="98"/>
      <c r="AOV80" s="98"/>
      <c r="AOW80" s="98"/>
      <c r="AOX80" s="98"/>
      <c r="AOY80" s="98"/>
      <c r="AOZ80" s="98"/>
      <c r="APA80" s="98"/>
      <c r="APB80" s="98"/>
      <c r="APC80" s="98"/>
      <c r="APD80" s="98"/>
      <c r="APE80" s="98"/>
      <c r="APF80" s="98"/>
      <c r="APG80" s="98"/>
      <c r="APH80" s="98"/>
      <c r="API80" s="98"/>
      <c r="APJ80" s="98"/>
      <c r="APK80" s="98"/>
      <c r="APL80" s="98"/>
      <c r="APM80" s="98"/>
      <c r="APN80" s="98"/>
      <c r="APO80" s="98"/>
      <c r="APP80" s="98"/>
      <c r="APQ80" s="98"/>
      <c r="APR80" s="98"/>
      <c r="APS80" s="98"/>
      <c r="APT80" s="98"/>
      <c r="APU80" s="98"/>
      <c r="APV80" s="98"/>
      <c r="APW80" s="98"/>
      <c r="APX80" s="98"/>
      <c r="APY80" s="98"/>
      <c r="APZ80" s="98"/>
      <c r="AQA80" s="98"/>
      <c r="AQB80" s="98"/>
      <c r="AQC80" s="98"/>
      <c r="AQD80" s="98"/>
      <c r="AQE80" s="98"/>
      <c r="AQF80" s="98"/>
      <c r="AQG80" s="98"/>
      <c r="AQH80" s="98"/>
      <c r="AQI80" s="98"/>
      <c r="AQJ80" s="98"/>
      <c r="AQK80" s="98"/>
      <c r="AQL80" s="98"/>
      <c r="AQM80" s="98"/>
      <c r="AQN80" s="98"/>
      <c r="AQO80" s="98"/>
      <c r="AQP80" s="98"/>
      <c r="AQQ80" s="98"/>
      <c r="AQR80" s="98"/>
      <c r="AQS80" s="98"/>
      <c r="AQT80" s="98"/>
      <c r="AQU80" s="98"/>
      <c r="AQV80" s="98"/>
      <c r="AQW80" s="98"/>
      <c r="AQX80" s="98"/>
      <c r="AQY80" s="98"/>
      <c r="AQZ80" s="98"/>
      <c r="ARA80" s="98"/>
      <c r="ARB80" s="98"/>
      <c r="ARC80" s="98"/>
      <c r="ARD80" s="98"/>
      <c r="ARE80" s="98"/>
      <c r="ARF80" s="98"/>
      <c r="ARG80" s="98"/>
      <c r="ARH80" s="98"/>
      <c r="ARI80" s="98"/>
      <c r="ARJ80" s="98"/>
      <c r="ARK80" s="98"/>
      <c r="ARL80" s="98"/>
      <c r="ARM80" s="98"/>
      <c r="ARN80" s="98"/>
      <c r="ARO80" s="98"/>
      <c r="ARP80" s="98"/>
      <c r="ARQ80" s="98"/>
      <c r="ARR80" s="98"/>
      <c r="ARS80" s="98"/>
    </row>
    <row r="81" spans="1:1163" s="174" customFormat="1">
      <c r="A81" s="140" t="s">
        <v>138</v>
      </c>
      <c r="B81" s="119" t="s">
        <v>67</v>
      </c>
      <c r="C81" s="175">
        <f>1618+1830+46973+843</f>
        <v>51264</v>
      </c>
      <c r="D81" s="175">
        <f>33914+24967+938066+1401</f>
        <v>998348</v>
      </c>
      <c r="E81" s="175">
        <v>2448</v>
      </c>
      <c r="F81" s="175">
        <v>94973</v>
      </c>
      <c r="G81" s="175">
        <f>3156+150</f>
        <v>3306</v>
      </c>
      <c r="H81" s="175">
        <f>142020+200</f>
        <v>142220</v>
      </c>
      <c r="I81" s="175">
        <f>2045+1784</f>
        <v>3829</v>
      </c>
      <c r="J81" s="175">
        <f>85359+2140</f>
        <v>87499</v>
      </c>
      <c r="K81" s="175">
        <v>2503</v>
      </c>
      <c r="L81" s="175">
        <v>112815</v>
      </c>
      <c r="M81" s="175">
        <v>2272</v>
      </c>
      <c r="N81" s="175">
        <v>102224</v>
      </c>
      <c r="O81" s="175">
        <v>2992</v>
      </c>
      <c r="P81" s="175">
        <v>134640</v>
      </c>
      <c r="Q81" s="175">
        <v>1117</v>
      </c>
      <c r="R81" s="175">
        <v>50261</v>
      </c>
      <c r="S81" s="175">
        <v>1334</v>
      </c>
      <c r="T81" s="175">
        <v>60035</v>
      </c>
      <c r="U81" s="201">
        <v>0</v>
      </c>
      <c r="V81" s="201">
        <v>0</v>
      </c>
      <c r="W81" s="197">
        <v>1471</v>
      </c>
      <c r="X81" s="197">
        <v>64842</v>
      </c>
      <c r="Y81" s="197">
        <v>678</v>
      </c>
      <c r="Z81" s="197">
        <v>30445</v>
      </c>
      <c r="AA81" s="209">
        <v>362</v>
      </c>
      <c r="AB81" s="209">
        <v>16266</v>
      </c>
      <c r="AC81" s="175">
        <v>974</v>
      </c>
      <c r="AD81" s="175">
        <v>43791</v>
      </c>
      <c r="AE81" s="201">
        <v>390</v>
      </c>
      <c r="AF81" s="201">
        <v>17538</v>
      </c>
      <c r="AG81" s="201">
        <v>795</v>
      </c>
      <c r="AH81" s="201">
        <v>35746</v>
      </c>
      <c r="AI81" s="201">
        <v>0</v>
      </c>
      <c r="AJ81" s="201">
        <v>0</v>
      </c>
      <c r="AK81" s="201">
        <v>0</v>
      </c>
      <c r="AL81" s="201">
        <v>0</v>
      </c>
      <c r="AM81" s="201">
        <v>0</v>
      </c>
      <c r="AN81" s="201">
        <v>0</v>
      </c>
      <c r="AO81" s="201">
        <v>0</v>
      </c>
      <c r="AP81" s="201">
        <v>0</v>
      </c>
      <c r="AQ81" s="201">
        <v>0</v>
      </c>
      <c r="AR81" s="201">
        <v>0</v>
      </c>
      <c r="AS81" s="201">
        <v>0</v>
      </c>
      <c r="AT81" s="201">
        <v>0</v>
      </c>
      <c r="AU81" s="201">
        <v>0</v>
      </c>
      <c r="AV81" s="201">
        <v>0</v>
      </c>
      <c r="AW81" s="175">
        <v>0</v>
      </c>
      <c r="AX81" s="175">
        <v>0</v>
      </c>
      <c r="AY81" s="175">
        <v>0</v>
      </c>
      <c r="AZ81" s="175">
        <v>0</v>
      </c>
      <c r="BA81" s="201"/>
      <c r="BB81" s="197"/>
      <c r="BC81" s="197"/>
      <c r="BD81" s="197"/>
      <c r="BE81" s="197"/>
      <c r="BF81" s="197"/>
      <c r="BG81" s="197"/>
      <c r="BH81" s="197"/>
      <c r="BI81" s="201"/>
      <c r="BJ81" s="98"/>
      <c r="BK81" s="11"/>
      <c r="BL81" s="148"/>
      <c r="BM81" s="148"/>
      <c r="BN81" s="14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c r="IW81" s="98"/>
      <c r="IX81" s="98"/>
      <c r="IY81" s="98"/>
      <c r="IZ81" s="98"/>
      <c r="JA81" s="98"/>
      <c r="JB81" s="98"/>
      <c r="JC81" s="98"/>
      <c r="JD81" s="98"/>
      <c r="JE81" s="98"/>
      <c r="JF81" s="98"/>
      <c r="JG81" s="98"/>
      <c r="JH81" s="98"/>
      <c r="JI81" s="98"/>
      <c r="JJ81" s="98"/>
      <c r="JK81" s="98"/>
      <c r="JL81" s="98"/>
      <c r="JM81" s="98"/>
      <c r="JN81" s="98"/>
      <c r="JO81" s="98"/>
      <c r="JP81" s="98"/>
      <c r="JQ81" s="98"/>
      <c r="JR81" s="98"/>
      <c r="JS81" s="98"/>
      <c r="JT81" s="98"/>
      <c r="JU81" s="98"/>
      <c r="JV81" s="98"/>
      <c r="JW81" s="98"/>
      <c r="JX81" s="98"/>
      <c r="JY81" s="98"/>
      <c r="JZ81" s="98"/>
      <c r="KA81" s="98"/>
      <c r="KB81" s="98"/>
      <c r="KC81" s="98"/>
      <c r="KD81" s="98"/>
      <c r="KE81" s="98"/>
      <c r="KF81" s="98"/>
      <c r="KG81" s="98"/>
      <c r="KH81" s="98"/>
      <c r="KI81" s="98"/>
      <c r="KJ81" s="98"/>
      <c r="KK81" s="98"/>
      <c r="KL81" s="98"/>
      <c r="KM81" s="98"/>
      <c r="KN81" s="98"/>
      <c r="KO81" s="98"/>
      <c r="KP81" s="98"/>
      <c r="KQ81" s="98"/>
      <c r="KR81" s="98"/>
      <c r="KS81" s="98"/>
      <c r="KT81" s="98"/>
      <c r="KU81" s="98"/>
      <c r="KV81" s="98"/>
      <c r="KW81" s="98"/>
      <c r="KX81" s="98"/>
      <c r="KY81" s="98"/>
      <c r="KZ81" s="98"/>
      <c r="LA81" s="98"/>
      <c r="LB81" s="98"/>
      <c r="LC81" s="98"/>
      <c r="LD81" s="98"/>
      <c r="LE81" s="98"/>
      <c r="LF81" s="98"/>
      <c r="LG81" s="98"/>
      <c r="LH81" s="98"/>
      <c r="LI81" s="98"/>
      <c r="LJ81" s="98"/>
      <c r="LK81" s="98"/>
      <c r="LL81" s="98"/>
      <c r="LM81" s="98"/>
      <c r="LN81" s="98"/>
      <c r="LO81" s="98"/>
      <c r="LP81" s="98"/>
      <c r="LQ81" s="98"/>
      <c r="LR81" s="98"/>
      <c r="LS81" s="98"/>
      <c r="LT81" s="98"/>
      <c r="LU81" s="98"/>
      <c r="LV81" s="98"/>
      <c r="LW81" s="98"/>
      <c r="LX81" s="98"/>
      <c r="LY81" s="98"/>
      <c r="LZ81" s="98"/>
      <c r="MA81" s="98"/>
      <c r="MB81" s="98"/>
      <c r="MC81" s="98"/>
      <c r="MD81" s="98"/>
      <c r="ME81" s="98"/>
      <c r="MF81" s="98"/>
      <c r="MG81" s="98"/>
      <c r="MH81" s="98"/>
      <c r="MI81" s="98"/>
      <c r="MJ81" s="98"/>
      <c r="MK81" s="98"/>
      <c r="ML81" s="98"/>
      <c r="MM81" s="98"/>
      <c r="MN81" s="98"/>
      <c r="MO81" s="98"/>
      <c r="MP81" s="98"/>
      <c r="MQ81" s="98"/>
      <c r="MR81" s="98"/>
      <c r="MS81" s="98"/>
      <c r="MT81" s="98"/>
      <c r="MU81" s="98"/>
      <c r="MV81" s="98"/>
      <c r="MW81" s="98"/>
      <c r="MX81" s="98"/>
      <c r="MY81" s="98"/>
      <c r="MZ81" s="98"/>
      <c r="NA81" s="98"/>
      <c r="NB81" s="98"/>
      <c r="NC81" s="98"/>
      <c r="ND81" s="98"/>
      <c r="NE81" s="98"/>
      <c r="NF81" s="98"/>
      <c r="NG81" s="98"/>
      <c r="NH81" s="98"/>
      <c r="NI81" s="98"/>
      <c r="NJ81" s="98"/>
      <c r="NK81" s="98"/>
      <c r="NL81" s="98"/>
      <c r="NM81" s="98"/>
      <c r="NN81" s="98"/>
      <c r="NO81" s="98"/>
      <c r="NP81" s="98"/>
      <c r="NQ81" s="98"/>
      <c r="NR81" s="98"/>
      <c r="NS81" s="98"/>
      <c r="NT81" s="98"/>
      <c r="NU81" s="98"/>
      <c r="NV81" s="98"/>
      <c r="NW81" s="98"/>
      <c r="NX81" s="98"/>
      <c r="NY81" s="98"/>
      <c r="NZ81" s="98"/>
      <c r="OA81" s="98"/>
      <c r="OB81" s="98"/>
      <c r="OC81" s="98"/>
      <c r="OD81" s="98"/>
      <c r="OE81" s="98"/>
      <c r="OF81" s="98"/>
      <c r="OG81" s="98"/>
      <c r="OH81" s="98"/>
      <c r="OI81" s="98"/>
      <c r="OJ81" s="98"/>
      <c r="OK81" s="98"/>
      <c r="OL81" s="98"/>
      <c r="OM81" s="98"/>
      <c r="ON81" s="98"/>
      <c r="OO81" s="98"/>
      <c r="OP81" s="98"/>
      <c r="OQ81" s="98"/>
      <c r="OR81" s="98"/>
      <c r="OS81" s="98"/>
      <c r="OT81" s="98"/>
      <c r="OU81" s="98"/>
      <c r="OV81" s="98"/>
      <c r="OW81" s="98"/>
      <c r="OX81" s="98"/>
      <c r="OY81" s="98"/>
      <c r="OZ81" s="98"/>
      <c r="PA81" s="98"/>
      <c r="PB81" s="98"/>
      <c r="PC81" s="98"/>
      <c r="PD81" s="98"/>
      <c r="PE81" s="98"/>
      <c r="PF81" s="98"/>
      <c r="PG81" s="98"/>
      <c r="PH81" s="98"/>
      <c r="PI81" s="98"/>
      <c r="PJ81" s="98"/>
      <c r="PK81" s="98"/>
      <c r="PL81" s="98"/>
      <c r="PM81" s="98"/>
      <c r="PN81" s="98"/>
      <c r="PO81" s="98"/>
      <c r="PP81" s="98"/>
      <c r="PQ81" s="98"/>
      <c r="PR81" s="98"/>
      <c r="PS81" s="98"/>
      <c r="PT81" s="98"/>
      <c r="PU81" s="98"/>
      <c r="PV81" s="98"/>
      <c r="PW81" s="98"/>
      <c r="PX81" s="98"/>
      <c r="PY81" s="98"/>
      <c r="PZ81" s="98"/>
      <c r="QA81" s="98"/>
      <c r="QB81" s="98"/>
      <c r="QC81" s="98"/>
      <c r="QD81" s="98"/>
      <c r="QE81" s="98"/>
      <c r="QF81" s="98"/>
      <c r="QG81" s="98"/>
      <c r="QH81" s="98"/>
      <c r="QI81" s="98"/>
      <c r="QJ81" s="98"/>
      <c r="QK81" s="98"/>
      <c r="QL81" s="98"/>
      <c r="QM81" s="98"/>
      <c r="QN81" s="98"/>
      <c r="QO81" s="98"/>
      <c r="QP81" s="98"/>
      <c r="QQ81" s="98"/>
      <c r="QR81" s="98"/>
      <c r="QS81" s="98"/>
      <c r="QT81" s="98"/>
      <c r="QU81" s="98"/>
      <c r="QV81" s="98"/>
      <c r="QW81" s="98"/>
      <c r="QX81" s="98"/>
      <c r="QY81" s="98"/>
      <c r="QZ81" s="98"/>
      <c r="RA81" s="98"/>
      <c r="RB81" s="98"/>
      <c r="RC81" s="98"/>
      <c r="RD81" s="98"/>
      <c r="RE81" s="98"/>
      <c r="RF81" s="98"/>
      <c r="RG81" s="98"/>
      <c r="RH81" s="98"/>
      <c r="RI81" s="98"/>
      <c r="RJ81" s="98"/>
      <c r="RK81" s="98"/>
      <c r="RL81" s="98"/>
      <c r="RM81" s="98"/>
      <c r="RN81" s="98"/>
      <c r="RO81" s="98"/>
      <c r="RP81" s="98"/>
      <c r="RQ81" s="98"/>
      <c r="RR81" s="98"/>
      <c r="RS81" s="98"/>
      <c r="RT81" s="98"/>
      <c r="RU81" s="98"/>
      <c r="RV81" s="98"/>
      <c r="RW81" s="98"/>
      <c r="RX81" s="98"/>
      <c r="RY81" s="98"/>
      <c r="RZ81" s="98"/>
      <c r="SA81" s="98"/>
      <c r="SB81" s="98"/>
      <c r="SC81" s="98"/>
      <c r="SD81" s="98"/>
      <c r="SE81" s="98"/>
      <c r="SF81" s="98"/>
      <c r="SG81" s="98"/>
      <c r="SH81" s="98"/>
      <c r="SI81" s="98"/>
      <c r="SJ81" s="98"/>
      <c r="SK81" s="98"/>
      <c r="SL81" s="98"/>
      <c r="SM81" s="98"/>
      <c r="SN81" s="98"/>
      <c r="SO81" s="98"/>
      <c r="SP81" s="98"/>
      <c r="SQ81" s="98"/>
      <c r="SR81" s="98"/>
      <c r="SS81" s="98"/>
      <c r="ST81" s="98"/>
      <c r="SU81" s="98"/>
      <c r="SV81" s="98"/>
      <c r="SW81" s="98"/>
      <c r="SX81" s="98"/>
      <c r="SY81" s="98"/>
      <c r="SZ81" s="98"/>
      <c r="TA81" s="98"/>
      <c r="TB81" s="98"/>
      <c r="TC81" s="98"/>
      <c r="TD81" s="98"/>
      <c r="TE81" s="98"/>
      <c r="TF81" s="98"/>
      <c r="TG81" s="98"/>
      <c r="TH81" s="98"/>
      <c r="TI81" s="98"/>
      <c r="TJ81" s="98"/>
      <c r="TK81" s="98"/>
      <c r="TL81" s="98"/>
      <c r="TM81" s="98"/>
      <c r="TN81" s="98"/>
      <c r="TO81" s="98"/>
      <c r="TP81" s="98"/>
      <c r="TQ81" s="98"/>
      <c r="TR81" s="98"/>
      <c r="TS81" s="98"/>
      <c r="TT81" s="98"/>
      <c r="TU81" s="98"/>
      <c r="TV81" s="98"/>
      <c r="TW81" s="98"/>
      <c r="TX81" s="98"/>
      <c r="TY81" s="98"/>
      <c r="TZ81" s="98"/>
      <c r="UA81" s="98"/>
      <c r="UB81" s="98"/>
      <c r="UC81" s="98"/>
      <c r="UD81" s="98"/>
      <c r="UE81" s="98"/>
      <c r="UF81" s="98"/>
      <c r="UG81" s="98"/>
      <c r="UH81" s="98"/>
      <c r="UI81" s="98"/>
      <c r="UJ81" s="98"/>
      <c r="UK81" s="98"/>
      <c r="UL81" s="98"/>
      <c r="UM81" s="98"/>
      <c r="UN81" s="98"/>
      <c r="UO81" s="98"/>
      <c r="UP81" s="98"/>
      <c r="UQ81" s="98"/>
      <c r="UR81" s="98"/>
      <c r="US81" s="98"/>
      <c r="UT81" s="98"/>
      <c r="UU81" s="98"/>
      <c r="UV81" s="98"/>
      <c r="UW81" s="98"/>
      <c r="UX81" s="98"/>
      <c r="UY81" s="98"/>
      <c r="UZ81" s="98"/>
      <c r="VA81" s="98"/>
      <c r="VB81" s="98"/>
      <c r="VC81" s="98"/>
      <c r="VD81" s="98"/>
      <c r="VE81" s="98"/>
      <c r="VF81" s="98"/>
      <c r="VG81" s="98"/>
      <c r="VH81" s="98"/>
      <c r="VI81" s="98"/>
      <c r="VJ81" s="98"/>
      <c r="VK81" s="98"/>
      <c r="VL81" s="98"/>
      <c r="VM81" s="98"/>
      <c r="VN81" s="98"/>
      <c r="VO81" s="98"/>
      <c r="VP81" s="98"/>
      <c r="VQ81" s="98"/>
      <c r="VR81" s="98"/>
      <c r="VS81" s="98"/>
      <c r="VT81" s="98"/>
      <c r="VU81" s="98"/>
      <c r="VV81" s="98"/>
      <c r="VW81" s="98"/>
      <c r="VX81" s="98"/>
      <c r="VY81" s="98"/>
      <c r="VZ81" s="98"/>
      <c r="WA81" s="98"/>
      <c r="WB81" s="98"/>
      <c r="WC81" s="98"/>
      <c r="WD81" s="98"/>
      <c r="WE81" s="98"/>
      <c r="WF81" s="98"/>
      <c r="WG81" s="98"/>
      <c r="WH81" s="98"/>
      <c r="WI81" s="98"/>
      <c r="WJ81" s="98"/>
      <c r="WK81" s="98"/>
      <c r="WL81" s="98"/>
      <c r="WM81" s="98"/>
      <c r="WN81" s="98"/>
      <c r="WO81" s="98"/>
      <c r="WP81" s="98"/>
      <c r="WQ81" s="98"/>
      <c r="WR81" s="98"/>
      <c r="WS81" s="98"/>
      <c r="WT81" s="98"/>
      <c r="WU81" s="98"/>
      <c r="WV81" s="98"/>
      <c r="WW81" s="98"/>
      <c r="WX81" s="98"/>
      <c r="WY81" s="98"/>
      <c r="WZ81" s="98"/>
      <c r="XA81" s="98"/>
      <c r="XB81" s="98"/>
      <c r="XC81" s="98"/>
      <c r="XD81" s="98"/>
      <c r="XE81" s="98"/>
      <c r="XF81" s="98"/>
      <c r="XG81" s="98"/>
      <c r="XH81" s="98"/>
      <c r="XI81" s="98"/>
      <c r="XJ81" s="98"/>
      <c r="XK81" s="98"/>
      <c r="XL81" s="98"/>
      <c r="XM81" s="98"/>
      <c r="XN81" s="98"/>
      <c r="XO81" s="98"/>
      <c r="XP81" s="98"/>
      <c r="XQ81" s="98"/>
      <c r="XR81" s="98"/>
      <c r="XS81" s="98"/>
      <c r="XT81" s="98"/>
      <c r="XU81" s="98"/>
      <c r="XV81" s="98"/>
      <c r="XW81" s="98"/>
      <c r="XX81" s="98"/>
      <c r="XY81" s="98"/>
      <c r="XZ81" s="98"/>
      <c r="YA81" s="98"/>
      <c r="YB81" s="98"/>
      <c r="YC81" s="98"/>
      <c r="YD81" s="98"/>
      <c r="YE81" s="98"/>
      <c r="YF81" s="98"/>
      <c r="YG81" s="98"/>
      <c r="YH81" s="98"/>
      <c r="YI81" s="98"/>
      <c r="YJ81" s="98"/>
      <c r="YK81" s="98"/>
      <c r="YL81" s="98"/>
      <c r="YM81" s="98"/>
      <c r="YN81" s="98"/>
      <c r="YO81" s="98"/>
      <c r="YP81" s="98"/>
      <c r="YQ81" s="98"/>
      <c r="YR81" s="98"/>
      <c r="YS81" s="98"/>
      <c r="YT81" s="98"/>
      <c r="YU81" s="98"/>
      <c r="YV81" s="98"/>
      <c r="YW81" s="98"/>
      <c r="YX81" s="98"/>
      <c r="YY81" s="98"/>
      <c r="YZ81" s="98"/>
      <c r="ZA81" s="98"/>
      <c r="ZB81" s="98"/>
      <c r="ZC81" s="98"/>
      <c r="ZD81" s="98"/>
      <c r="ZE81" s="98"/>
      <c r="ZF81" s="98"/>
      <c r="ZG81" s="98"/>
      <c r="ZH81" s="98"/>
      <c r="ZI81" s="98"/>
      <c r="ZJ81" s="98"/>
      <c r="ZK81" s="98"/>
      <c r="ZL81" s="98"/>
      <c r="ZM81" s="98"/>
      <c r="ZN81" s="98"/>
      <c r="ZO81" s="98"/>
      <c r="ZP81" s="98"/>
      <c r="ZQ81" s="98"/>
      <c r="ZR81" s="98"/>
      <c r="ZS81" s="98"/>
      <c r="ZT81" s="98"/>
      <c r="ZU81" s="98"/>
      <c r="ZV81" s="98"/>
      <c r="ZW81" s="98"/>
      <c r="ZX81" s="98"/>
      <c r="ZY81" s="98"/>
      <c r="ZZ81" s="98"/>
      <c r="AAA81" s="98"/>
      <c r="AAB81" s="98"/>
      <c r="AAC81" s="98"/>
      <c r="AAD81" s="98"/>
      <c r="AAE81" s="98"/>
      <c r="AAF81" s="98"/>
      <c r="AAG81" s="98"/>
      <c r="AAH81" s="98"/>
      <c r="AAI81" s="98"/>
      <c r="AAJ81" s="98"/>
      <c r="AAK81" s="98"/>
      <c r="AAL81" s="98"/>
      <c r="AAM81" s="98"/>
      <c r="AAN81" s="98"/>
      <c r="AAO81" s="98"/>
      <c r="AAP81" s="98"/>
      <c r="AAQ81" s="98"/>
      <c r="AAR81" s="98"/>
      <c r="AAS81" s="98"/>
      <c r="AAT81" s="98"/>
      <c r="AAU81" s="98"/>
      <c r="AAV81" s="98"/>
      <c r="AAW81" s="98"/>
      <c r="AAX81" s="98"/>
      <c r="AAY81" s="98"/>
      <c r="AAZ81" s="98"/>
      <c r="ABA81" s="98"/>
      <c r="ABB81" s="98"/>
      <c r="ABC81" s="98"/>
      <c r="ABD81" s="98"/>
      <c r="ABE81" s="98"/>
      <c r="ABF81" s="98"/>
      <c r="ABG81" s="98"/>
      <c r="ABH81" s="98"/>
      <c r="ABI81" s="98"/>
      <c r="ABJ81" s="98"/>
      <c r="ABK81" s="98"/>
      <c r="ABL81" s="98"/>
      <c r="ABM81" s="98"/>
      <c r="ABN81" s="98"/>
      <c r="ABO81" s="98"/>
      <c r="ABP81" s="98"/>
      <c r="ABQ81" s="98"/>
      <c r="ABR81" s="98"/>
      <c r="ABS81" s="98"/>
      <c r="ABT81" s="98"/>
      <c r="ABU81" s="98"/>
      <c r="ABV81" s="98"/>
      <c r="ABW81" s="98"/>
      <c r="ABX81" s="98"/>
      <c r="ABY81" s="98"/>
      <c r="ABZ81" s="98"/>
      <c r="ACA81" s="98"/>
      <c r="ACB81" s="98"/>
      <c r="ACC81" s="98"/>
      <c r="ACD81" s="98"/>
      <c r="ACE81" s="98"/>
      <c r="ACF81" s="98"/>
      <c r="ACG81" s="98"/>
      <c r="ACH81" s="98"/>
      <c r="ACI81" s="98"/>
      <c r="ACJ81" s="98"/>
      <c r="ACK81" s="98"/>
      <c r="ACL81" s="98"/>
      <c r="ACM81" s="98"/>
      <c r="ACN81" s="98"/>
      <c r="ACO81" s="98"/>
      <c r="ACP81" s="98"/>
      <c r="ACQ81" s="98"/>
      <c r="ACR81" s="98"/>
      <c r="ACS81" s="98"/>
      <c r="ACT81" s="98"/>
      <c r="ACU81" s="98"/>
      <c r="ACV81" s="98"/>
      <c r="ACW81" s="98"/>
      <c r="ACX81" s="98"/>
      <c r="ACY81" s="98"/>
      <c r="ACZ81" s="98"/>
      <c r="ADA81" s="98"/>
      <c r="ADB81" s="98"/>
      <c r="ADC81" s="98"/>
      <c r="ADD81" s="98"/>
      <c r="ADE81" s="98"/>
      <c r="ADF81" s="98"/>
      <c r="ADG81" s="98"/>
      <c r="ADH81" s="98"/>
      <c r="ADI81" s="98"/>
      <c r="ADJ81" s="98"/>
      <c r="ADK81" s="98"/>
      <c r="ADL81" s="98"/>
      <c r="ADM81" s="98"/>
      <c r="ADN81" s="98"/>
      <c r="ADO81" s="98"/>
      <c r="ADP81" s="98"/>
      <c r="ADQ81" s="98"/>
      <c r="ADR81" s="98"/>
      <c r="ADS81" s="98"/>
      <c r="ADT81" s="98"/>
      <c r="ADU81" s="98"/>
      <c r="ADV81" s="98"/>
      <c r="ADW81" s="98"/>
      <c r="ADX81" s="98"/>
      <c r="ADY81" s="98"/>
      <c r="ADZ81" s="98"/>
      <c r="AEA81" s="98"/>
      <c r="AEB81" s="98"/>
      <c r="AEC81" s="98"/>
      <c r="AED81" s="98"/>
      <c r="AEE81" s="98"/>
      <c r="AEF81" s="98"/>
      <c r="AEG81" s="98"/>
      <c r="AEH81" s="98"/>
      <c r="AEI81" s="98"/>
      <c r="AEJ81" s="98"/>
      <c r="AEK81" s="98"/>
      <c r="AEL81" s="98"/>
      <c r="AEM81" s="98"/>
      <c r="AEN81" s="98"/>
      <c r="AEO81" s="98"/>
      <c r="AEP81" s="98"/>
      <c r="AEQ81" s="98"/>
      <c r="AER81" s="98"/>
      <c r="AES81" s="98"/>
      <c r="AET81" s="98"/>
      <c r="AEU81" s="98"/>
      <c r="AEV81" s="98"/>
      <c r="AEW81" s="98"/>
      <c r="AEX81" s="98"/>
      <c r="AEY81" s="98"/>
      <c r="AEZ81" s="98"/>
      <c r="AFA81" s="98"/>
      <c r="AFB81" s="98"/>
      <c r="AFC81" s="98"/>
      <c r="AFD81" s="98"/>
      <c r="AFE81" s="98"/>
      <c r="AFF81" s="98"/>
      <c r="AFG81" s="98"/>
      <c r="AFH81" s="98"/>
      <c r="AFI81" s="98"/>
      <c r="AFJ81" s="98"/>
      <c r="AFK81" s="98"/>
      <c r="AFL81" s="98"/>
      <c r="AFM81" s="98"/>
      <c r="AFN81" s="98"/>
      <c r="AFO81" s="98"/>
      <c r="AFP81" s="98"/>
      <c r="AFQ81" s="98"/>
      <c r="AFR81" s="98"/>
      <c r="AFS81" s="98"/>
      <c r="AFT81" s="98"/>
      <c r="AFU81" s="98"/>
      <c r="AFV81" s="98"/>
      <c r="AFW81" s="98"/>
      <c r="AFX81" s="98"/>
      <c r="AFY81" s="98"/>
      <c r="AFZ81" s="98"/>
      <c r="AGA81" s="98"/>
      <c r="AGB81" s="98"/>
      <c r="AGC81" s="98"/>
      <c r="AGD81" s="98"/>
      <c r="AGE81" s="98"/>
      <c r="AGF81" s="98"/>
      <c r="AGG81" s="98"/>
      <c r="AGH81" s="98"/>
      <c r="AGI81" s="98"/>
      <c r="AGJ81" s="98"/>
      <c r="AGK81" s="98"/>
      <c r="AGL81" s="98"/>
      <c r="AGM81" s="98"/>
      <c r="AGN81" s="98"/>
      <c r="AGO81" s="98"/>
      <c r="AGP81" s="98"/>
      <c r="AGQ81" s="98"/>
      <c r="AGR81" s="98"/>
      <c r="AGS81" s="98"/>
      <c r="AGT81" s="98"/>
      <c r="AGU81" s="98"/>
      <c r="AGV81" s="98"/>
      <c r="AGW81" s="98"/>
      <c r="AGX81" s="98"/>
      <c r="AGY81" s="98"/>
      <c r="AGZ81" s="98"/>
      <c r="AHA81" s="98"/>
      <c r="AHB81" s="98"/>
      <c r="AHC81" s="98"/>
      <c r="AHD81" s="98"/>
      <c r="AHE81" s="98"/>
      <c r="AHF81" s="98"/>
      <c r="AHG81" s="98"/>
      <c r="AHH81" s="98"/>
      <c r="AHI81" s="98"/>
      <c r="AHJ81" s="98"/>
      <c r="AHK81" s="98"/>
      <c r="AHL81" s="98"/>
      <c r="AHM81" s="98"/>
      <c r="AHN81" s="98"/>
      <c r="AHO81" s="98"/>
      <c r="AHP81" s="98"/>
      <c r="AHQ81" s="98"/>
      <c r="AHR81" s="98"/>
      <c r="AHS81" s="98"/>
      <c r="AHT81" s="98"/>
      <c r="AHU81" s="98"/>
      <c r="AHV81" s="98"/>
      <c r="AHW81" s="98"/>
      <c r="AHX81" s="98"/>
      <c r="AHY81" s="98"/>
      <c r="AHZ81" s="98"/>
      <c r="AIA81" s="98"/>
      <c r="AIB81" s="98"/>
      <c r="AIC81" s="98"/>
      <c r="AID81" s="98"/>
      <c r="AIE81" s="98"/>
      <c r="AIF81" s="98"/>
      <c r="AIG81" s="98"/>
      <c r="AIH81" s="98"/>
      <c r="AII81" s="98"/>
      <c r="AIJ81" s="98"/>
      <c r="AIK81" s="98"/>
      <c r="AIL81" s="98"/>
      <c r="AIM81" s="98"/>
      <c r="AIN81" s="98"/>
      <c r="AIO81" s="98"/>
      <c r="AIP81" s="98"/>
      <c r="AIQ81" s="98"/>
      <c r="AIR81" s="98"/>
      <c r="AIS81" s="98"/>
      <c r="AIT81" s="98"/>
      <c r="AIU81" s="98"/>
      <c r="AIV81" s="98"/>
      <c r="AIW81" s="98"/>
      <c r="AIX81" s="98"/>
      <c r="AIY81" s="98"/>
      <c r="AIZ81" s="98"/>
      <c r="AJA81" s="98"/>
      <c r="AJB81" s="98"/>
      <c r="AJC81" s="98"/>
      <c r="AJD81" s="98"/>
      <c r="AJE81" s="98"/>
      <c r="AJF81" s="98"/>
      <c r="AJG81" s="98"/>
      <c r="AJH81" s="98"/>
      <c r="AJI81" s="98"/>
      <c r="AJJ81" s="98"/>
      <c r="AJK81" s="98"/>
      <c r="AJL81" s="98"/>
      <c r="AJM81" s="98"/>
      <c r="AJN81" s="98"/>
      <c r="AJO81" s="98"/>
      <c r="AJP81" s="98"/>
      <c r="AJQ81" s="98"/>
      <c r="AJR81" s="98"/>
      <c r="AJS81" s="98"/>
      <c r="AJT81" s="98"/>
      <c r="AJU81" s="98"/>
      <c r="AJV81" s="98"/>
      <c r="AJW81" s="98"/>
      <c r="AJX81" s="98"/>
      <c r="AJY81" s="98"/>
      <c r="AJZ81" s="98"/>
      <c r="AKA81" s="98"/>
      <c r="AKB81" s="98"/>
      <c r="AKC81" s="98"/>
      <c r="AKD81" s="98"/>
      <c r="AKE81" s="98"/>
      <c r="AKF81" s="98"/>
      <c r="AKG81" s="98"/>
      <c r="AKH81" s="98"/>
      <c r="AKI81" s="98"/>
      <c r="AKJ81" s="98"/>
      <c r="AKK81" s="98"/>
      <c r="AKL81" s="98"/>
      <c r="AKM81" s="98"/>
      <c r="AKN81" s="98"/>
      <c r="AKO81" s="98"/>
      <c r="AKP81" s="98"/>
      <c r="AKQ81" s="98"/>
      <c r="AKR81" s="98"/>
      <c r="AKS81" s="98"/>
      <c r="AKT81" s="98"/>
      <c r="AKU81" s="98"/>
      <c r="AKV81" s="98"/>
      <c r="AKW81" s="98"/>
      <c r="AKX81" s="98"/>
      <c r="AKY81" s="98"/>
      <c r="AKZ81" s="98"/>
      <c r="ALA81" s="98"/>
      <c r="ALB81" s="98"/>
      <c r="ALC81" s="98"/>
      <c r="ALD81" s="98"/>
      <c r="ALE81" s="98"/>
      <c r="ALF81" s="98"/>
      <c r="ALG81" s="98"/>
      <c r="ALH81" s="98"/>
      <c r="ALI81" s="98"/>
      <c r="ALJ81" s="98"/>
      <c r="ALK81" s="98"/>
      <c r="ALL81" s="98"/>
      <c r="ALM81" s="98"/>
      <c r="ALN81" s="98"/>
      <c r="ALO81" s="98"/>
      <c r="ALP81" s="98"/>
      <c r="ALQ81" s="98"/>
      <c r="ALR81" s="98"/>
      <c r="ALS81" s="98"/>
      <c r="ALT81" s="98"/>
      <c r="ALU81" s="98"/>
      <c r="ALV81" s="98"/>
      <c r="ALW81" s="98"/>
      <c r="ALX81" s="98"/>
      <c r="ALY81" s="98"/>
      <c r="ALZ81" s="98"/>
      <c r="AMA81" s="98"/>
      <c r="AMB81" s="98"/>
      <c r="AMC81" s="98"/>
      <c r="AMD81" s="98"/>
      <c r="AME81" s="98"/>
      <c r="AMF81" s="98"/>
      <c r="AMG81" s="98"/>
      <c r="AMH81" s="98"/>
      <c r="AMI81" s="98"/>
      <c r="AMJ81" s="98"/>
      <c r="AMK81" s="98"/>
      <c r="AML81" s="98"/>
      <c r="AMM81" s="98"/>
      <c r="AMN81" s="98"/>
      <c r="AMO81" s="98"/>
      <c r="AMP81" s="98"/>
      <c r="AMQ81" s="98"/>
      <c r="AMR81" s="98"/>
      <c r="AMS81" s="98"/>
      <c r="AMT81" s="98"/>
      <c r="AMU81" s="98"/>
      <c r="AMV81" s="98"/>
      <c r="AMW81" s="98"/>
      <c r="AMX81" s="98"/>
      <c r="AMY81" s="98"/>
      <c r="AMZ81" s="98"/>
      <c r="ANA81" s="98"/>
      <c r="ANB81" s="98"/>
      <c r="ANC81" s="98"/>
      <c r="AND81" s="98"/>
      <c r="ANE81" s="98"/>
      <c r="ANF81" s="98"/>
      <c r="ANG81" s="98"/>
      <c r="ANH81" s="98"/>
      <c r="ANI81" s="98"/>
      <c r="ANJ81" s="98"/>
      <c r="ANK81" s="98"/>
      <c r="ANL81" s="98"/>
      <c r="ANM81" s="98"/>
      <c r="ANN81" s="98"/>
      <c r="ANO81" s="98"/>
      <c r="ANP81" s="98"/>
      <c r="ANQ81" s="98"/>
      <c r="ANR81" s="98"/>
      <c r="ANS81" s="98"/>
      <c r="ANT81" s="98"/>
      <c r="ANU81" s="98"/>
      <c r="ANV81" s="98"/>
      <c r="ANW81" s="98"/>
      <c r="ANX81" s="98"/>
      <c r="ANY81" s="98"/>
      <c r="ANZ81" s="98"/>
      <c r="AOA81" s="98"/>
      <c r="AOB81" s="98"/>
      <c r="AOC81" s="98"/>
      <c r="AOD81" s="98"/>
      <c r="AOE81" s="98"/>
      <c r="AOF81" s="98"/>
      <c r="AOG81" s="98"/>
      <c r="AOH81" s="98"/>
      <c r="AOI81" s="98"/>
      <c r="AOJ81" s="98"/>
      <c r="AOK81" s="98"/>
      <c r="AOL81" s="98"/>
      <c r="AOM81" s="98"/>
      <c r="AON81" s="98"/>
      <c r="AOO81" s="98"/>
      <c r="AOP81" s="98"/>
      <c r="AOQ81" s="98"/>
      <c r="AOR81" s="98"/>
      <c r="AOS81" s="98"/>
      <c r="AOT81" s="98"/>
      <c r="AOU81" s="98"/>
      <c r="AOV81" s="98"/>
      <c r="AOW81" s="98"/>
      <c r="AOX81" s="98"/>
      <c r="AOY81" s="98"/>
      <c r="AOZ81" s="98"/>
      <c r="APA81" s="98"/>
      <c r="APB81" s="98"/>
      <c r="APC81" s="98"/>
      <c r="APD81" s="98"/>
      <c r="APE81" s="98"/>
      <c r="APF81" s="98"/>
      <c r="APG81" s="98"/>
      <c r="APH81" s="98"/>
      <c r="API81" s="98"/>
      <c r="APJ81" s="98"/>
      <c r="APK81" s="98"/>
      <c r="APL81" s="98"/>
      <c r="APM81" s="98"/>
      <c r="APN81" s="98"/>
      <c r="APO81" s="98"/>
      <c r="APP81" s="98"/>
      <c r="APQ81" s="98"/>
      <c r="APR81" s="98"/>
      <c r="APS81" s="98"/>
      <c r="APT81" s="98"/>
      <c r="APU81" s="98"/>
      <c r="APV81" s="98"/>
      <c r="APW81" s="98"/>
      <c r="APX81" s="98"/>
      <c r="APY81" s="98"/>
      <c r="APZ81" s="98"/>
      <c r="AQA81" s="98"/>
      <c r="AQB81" s="98"/>
      <c r="AQC81" s="98"/>
      <c r="AQD81" s="98"/>
      <c r="AQE81" s="98"/>
      <c r="AQF81" s="98"/>
      <c r="AQG81" s="98"/>
      <c r="AQH81" s="98"/>
      <c r="AQI81" s="98"/>
      <c r="AQJ81" s="98"/>
      <c r="AQK81" s="98"/>
      <c r="AQL81" s="98"/>
      <c r="AQM81" s="98"/>
      <c r="AQN81" s="98"/>
      <c r="AQO81" s="98"/>
      <c r="AQP81" s="98"/>
      <c r="AQQ81" s="98"/>
      <c r="AQR81" s="98"/>
      <c r="AQS81" s="98"/>
      <c r="AQT81" s="98"/>
      <c r="AQU81" s="98"/>
      <c r="AQV81" s="98"/>
      <c r="AQW81" s="98"/>
      <c r="AQX81" s="98"/>
      <c r="AQY81" s="98"/>
      <c r="AQZ81" s="98"/>
      <c r="ARA81" s="98"/>
      <c r="ARB81" s="98"/>
      <c r="ARC81" s="98"/>
      <c r="ARD81" s="98"/>
      <c r="ARE81" s="98"/>
      <c r="ARF81" s="98"/>
      <c r="ARG81" s="98"/>
      <c r="ARH81" s="98"/>
      <c r="ARI81" s="98"/>
      <c r="ARJ81" s="98"/>
      <c r="ARK81" s="98"/>
      <c r="ARL81" s="98"/>
      <c r="ARM81" s="98"/>
      <c r="ARN81" s="98"/>
      <c r="ARO81" s="98"/>
      <c r="ARP81" s="98"/>
      <c r="ARQ81" s="98"/>
      <c r="ARR81" s="98"/>
      <c r="ARS81" s="98"/>
    </row>
    <row r="82" spans="1:1163" s="174" customFormat="1">
      <c r="A82" s="140" t="s">
        <v>139</v>
      </c>
      <c r="B82" s="119" t="s">
        <v>67</v>
      </c>
      <c r="C82" s="175">
        <v>15681</v>
      </c>
      <c r="D82" s="175">
        <v>110510</v>
      </c>
      <c r="E82" s="175">
        <v>1535</v>
      </c>
      <c r="F82" s="175">
        <v>19230</v>
      </c>
      <c r="G82" s="175">
        <v>847</v>
      </c>
      <c r="H82" s="175">
        <v>13600</v>
      </c>
      <c r="I82" s="175">
        <v>444</v>
      </c>
      <c r="J82" s="175">
        <v>8805</v>
      </c>
      <c r="K82" s="175">
        <v>448</v>
      </c>
      <c r="L82" s="175">
        <v>7958</v>
      </c>
      <c r="M82" s="175">
        <v>160</v>
      </c>
      <c r="N82" s="175">
        <v>2880</v>
      </c>
      <c r="O82" s="201">
        <v>0</v>
      </c>
      <c r="P82" s="201">
        <v>0</v>
      </c>
      <c r="Q82" s="197">
        <v>0</v>
      </c>
      <c r="R82" s="197">
        <v>0</v>
      </c>
      <c r="S82" s="197">
        <v>0</v>
      </c>
      <c r="T82" s="197">
        <v>0</v>
      </c>
      <c r="U82" s="197">
        <v>334</v>
      </c>
      <c r="V82" s="197">
        <v>15035</v>
      </c>
      <c r="W82" s="197">
        <v>59</v>
      </c>
      <c r="X82" s="197">
        <v>2360</v>
      </c>
      <c r="Y82" s="197">
        <v>0</v>
      </c>
      <c r="Z82" s="197">
        <v>0</v>
      </c>
      <c r="AA82" s="201">
        <v>0</v>
      </c>
      <c r="AB82" s="201">
        <v>0</v>
      </c>
      <c r="AC82" s="201">
        <v>0</v>
      </c>
      <c r="AD82" s="201">
        <v>0</v>
      </c>
      <c r="AE82" s="201">
        <v>0</v>
      </c>
      <c r="AF82" s="201">
        <v>0</v>
      </c>
      <c r="AG82" s="201">
        <v>0</v>
      </c>
      <c r="AH82" s="201">
        <v>0</v>
      </c>
      <c r="AI82" s="201">
        <v>0</v>
      </c>
      <c r="AJ82" s="201">
        <v>0</v>
      </c>
      <c r="AK82" s="201">
        <v>0</v>
      </c>
      <c r="AL82" s="201">
        <v>0</v>
      </c>
      <c r="AM82" s="201">
        <v>0</v>
      </c>
      <c r="AN82" s="201">
        <v>0</v>
      </c>
      <c r="AO82" s="201">
        <v>0</v>
      </c>
      <c r="AP82" s="201">
        <v>0</v>
      </c>
      <c r="AQ82" s="201">
        <v>0</v>
      </c>
      <c r="AR82" s="201">
        <v>0</v>
      </c>
      <c r="AS82" s="201">
        <v>0</v>
      </c>
      <c r="AT82" s="201">
        <v>0</v>
      </c>
      <c r="AU82" s="201">
        <v>0</v>
      </c>
      <c r="AV82" s="201">
        <v>0</v>
      </c>
      <c r="AW82" s="197">
        <v>0</v>
      </c>
      <c r="AX82" s="197">
        <v>0</v>
      </c>
      <c r="AY82" s="175">
        <v>0</v>
      </c>
      <c r="AZ82" s="175">
        <v>0</v>
      </c>
      <c r="BA82" s="201"/>
      <c r="BB82" s="197"/>
      <c r="BC82" s="197"/>
      <c r="BD82" s="197"/>
      <c r="BE82" s="197"/>
      <c r="BF82" s="197"/>
      <c r="BG82" s="197"/>
      <c r="BH82" s="197"/>
      <c r="BI82" s="201"/>
      <c r="BJ82" s="98"/>
      <c r="BK82" s="11"/>
      <c r="BL82" s="148"/>
      <c r="BM82" s="98"/>
      <c r="BN82" s="14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c r="DD82" s="98"/>
      <c r="DE82" s="98"/>
      <c r="DF82" s="98"/>
      <c r="DG82" s="98"/>
      <c r="DH82" s="98"/>
      <c r="DI82" s="98"/>
      <c r="DJ82" s="98"/>
      <c r="DK82" s="98"/>
      <c r="DL82" s="98"/>
      <c r="DM82" s="98"/>
      <c r="DN82" s="98"/>
      <c r="DO82" s="98"/>
      <c r="DP82" s="98"/>
      <c r="DQ82" s="98"/>
      <c r="DR82" s="98"/>
      <c r="DS82" s="98"/>
      <c r="DT82" s="98"/>
      <c r="DU82" s="98"/>
      <c r="DV82" s="98"/>
      <c r="DW82" s="98"/>
      <c r="DX82" s="98"/>
      <c r="DY82" s="98"/>
      <c r="DZ82" s="98"/>
      <c r="EA82" s="98"/>
      <c r="EB82" s="98"/>
      <c r="EC82" s="98"/>
      <c r="ED82" s="98"/>
      <c r="EE82" s="98"/>
      <c r="EF82" s="98"/>
      <c r="EG82" s="98"/>
      <c r="EH82" s="98"/>
      <c r="EI82" s="98"/>
      <c r="EJ82" s="98"/>
      <c r="EK82" s="98"/>
      <c r="EL82" s="98"/>
      <c r="EM82" s="98"/>
      <c r="EN82" s="98"/>
      <c r="EO82" s="98"/>
      <c r="EP82" s="98"/>
      <c r="EQ82" s="98"/>
      <c r="ER82" s="98"/>
      <c r="ES82" s="98"/>
      <c r="ET82" s="98"/>
      <c r="EU82" s="98"/>
      <c r="EV82" s="98"/>
      <c r="EW82" s="98"/>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c r="IW82" s="98"/>
      <c r="IX82" s="98"/>
      <c r="IY82" s="98"/>
      <c r="IZ82" s="98"/>
      <c r="JA82" s="98"/>
      <c r="JB82" s="98"/>
      <c r="JC82" s="98"/>
      <c r="JD82" s="98"/>
      <c r="JE82" s="98"/>
      <c r="JF82" s="98"/>
      <c r="JG82" s="98"/>
      <c r="JH82" s="98"/>
      <c r="JI82" s="98"/>
      <c r="JJ82" s="98"/>
      <c r="JK82" s="98"/>
      <c r="JL82" s="98"/>
      <c r="JM82" s="98"/>
      <c r="JN82" s="98"/>
      <c r="JO82" s="98"/>
      <c r="JP82" s="98"/>
      <c r="JQ82" s="98"/>
      <c r="JR82" s="98"/>
      <c r="JS82" s="98"/>
      <c r="JT82" s="98"/>
      <c r="JU82" s="98"/>
      <c r="JV82" s="98"/>
      <c r="JW82" s="98"/>
      <c r="JX82" s="98"/>
      <c r="JY82" s="98"/>
      <c r="JZ82" s="98"/>
      <c r="KA82" s="98"/>
      <c r="KB82" s="98"/>
      <c r="KC82" s="98"/>
      <c r="KD82" s="98"/>
      <c r="KE82" s="98"/>
      <c r="KF82" s="98"/>
      <c r="KG82" s="98"/>
      <c r="KH82" s="98"/>
      <c r="KI82" s="98"/>
      <c r="KJ82" s="98"/>
      <c r="KK82" s="98"/>
      <c r="KL82" s="98"/>
      <c r="KM82" s="98"/>
      <c r="KN82" s="98"/>
      <c r="KO82" s="98"/>
      <c r="KP82" s="98"/>
      <c r="KQ82" s="98"/>
      <c r="KR82" s="98"/>
      <c r="KS82" s="98"/>
      <c r="KT82" s="98"/>
      <c r="KU82" s="98"/>
      <c r="KV82" s="98"/>
      <c r="KW82" s="98"/>
      <c r="KX82" s="98"/>
      <c r="KY82" s="98"/>
      <c r="KZ82" s="98"/>
      <c r="LA82" s="98"/>
      <c r="LB82" s="98"/>
      <c r="LC82" s="98"/>
      <c r="LD82" s="98"/>
      <c r="LE82" s="98"/>
      <c r="LF82" s="98"/>
      <c r="LG82" s="98"/>
      <c r="LH82" s="98"/>
      <c r="LI82" s="98"/>
      <c r="LJ82" s="98"/>
      <c r="LK82" s="98"/>
      <c r="LL82" s="98"/>
      <c r="LM82" s="98"/>
      <c r="LN82" s="98"/>
      <c r="LO82" s="98"/>
      <c r="LP82" s="98"/>
      <c r="LQ82" s="98"/>
      <c r="LR82" s="98"/>
      <c r="LS82" s="98"/>
      <c r="LT82" s="98"/>
      <c r="LU82" s="98"/>
      <c r="LV82" s="98"/>
      <c r="LW82" s="98"/>
      <c r="LX82" s="98"/>
      <c r="LY82" s="98"/>
      <c r="LZ82" s="98"/>
      <c r="MA82" s="98"/>
      <c r="MB82" s="98"/>
      <c r="MC82" s="98"/>
      <c r="MD82" s="98"/>
      <c r="ME82" s="98"/>
      <c r="MF82" s="98"/>
      <c r="MG82" s="98"/>
      <c r="MH82" s="98"/>
      <c r="MI82" s="98"/>
      <c r="MJ82" s="98"/>
      <c r="MK82" s="98"/>
      <c r="ML82" s="98"/>
      <c r="MM82" s="98"/>
      <c r="MN82" s="98"/>
      <c r="MO82" s="98"/>
      <c r="MP82" s="98"/>
      <c r="MQ82" s="98"/>
      <c r="MR82" s="98"/>
      <c r="MS82" s="98"/>
      <c r="MT82" s="98"/>
      <c r="MU82" s="98"/>
      <c r="MV82" s="98"/>
      <c r="MW82" s="98"/>
      <c r="MX82" s="98"/>
      <c r="MY82" s="98"/>
      <c r="MZ82" s="98"/>
      <c r="NA82" s="98"/>
      <c r="NB82" s="98"/>
      <c r="NC82" s="98"/>
      <c r="ND82" s="98"/>
      <c r="NE82" s="98"/>
      <c r="NF82" s="98"/>
      <c r="NG82" s="98"/>
      <c r="NH82" s="98"/>
      <c r="NI82" s="98"/>
      <c r="NJ82" s="98"/>
      <c r="NK82" s="98"/>
      <c r="NL82" s="98"/>
      <c r="NM82" s="98"/>
      <c r="NN82" s="98"/>
      <c r="NO82" s="98"/>
      <c r="NP82" s="98"/>
      <c r="NQ82" s="98"/>
      <c r="NR82" s="98"/>
      <c r="NS82" s="98"/>
      <c r="NT82" s="98"/>
      <c r="NU82" s="98"/>
      <c r="NV82" s="98"/>
      <c r="NW82" s="98"/>
      <c r="NX82" s="98"/>
      <c r="NY82" s="98"/>
      <c r="NZ82" s="98"/>
      <c r="OA82" s="98"/>
      <c r="OB82" s="98"/>
      <c r="OC82" s="98"/>
      <c r="OD82" s="98"/>
      <c r="OE82" s="98"/>
      <c r="OF82" s="98"/>
      <c r="OG82" s="98"/>
      <c r="OH82" s="98"/>
      <c r="OI82" s="98"/>
      <c r="OJ82" s="98"/>
      <c r="OK82" s="98"/>
      <c r="OL82" s="98"/>
      <c r="OM82" s="98"/>
      <c r="ON82" s="98"/>
      <c r="OO82" s="98"/>
      <c r="OP82" s="98"/>
      <c r="OQ82" s="98"/>
      <c r="OR82" s="98"/>
      <c r="OS82" s="98"/>
      <c r="OT82" s="98"/>
      <c r="OU82" s="98"/>
      <c r="OV82" s="98"/>
      <c r="OW82" s="98"/>
      <c r="OX82" s="98"/>
      <c r="OY82" s="98"/>
      <c r="OZ82" s="98"/>
      <c r="PA82" s="98"/>
      <c r="PB82" s="98"/>
      <c r="PC82" s="98"/>
      <c r="PD82" s="98"/>
      <c r="PE82" s="98"/>
      <c r="PF82" s="98"/>
      <c r="PG82" s="98"/>
      <c r="PH82" s="98"/>
      <c r="PI82" s="98"/>
      <c r="PJ82" s="98"/>
      <c r="PK82" s="98"/>
      <c r="PL82" s="98"/>
      <c r="PM82" s="98"/>
      <c r="PN82" s="98"/>
      <c r="PO82" s="98"/>
      <c r="PP82" s="98"/>
      <c r="PQ82" s="98"/>
      <c r="PR82" s="98"/>
      <c r="PS82" s="98"/>
      <c r="PT82" s="98"/>
      <c r="PU82" s="98"/>
      <c r="PV82" s="98"/>
      <c r="PW82" s="98"/>
      <c r="PX82" s="98"/>
      <c r="PY82" s="98"/>
      <c r="PZ82" s="98"/>
      <c r="QA82" s="98"/>
      <c r="QB82" s="98"/>
      <c r="QC82" s="98"/>
      <c r="QD82" s="98"/>
      <c r="QE82" s="98"/>
      <c r="QF82" s="98"/>
      <c r="QG82" s="98"/>
      <c r="QH82" s="98"/>
      <c r="QI82" s="98"/>
      <c r="QJ82" s="98"/>
      <c r="QK82" s="98"/>
      <c r="QL82" s="98"/>
      <c r="QM82" s="98"/>
      <c r="QN82" s="98"/>
      <c r="QO82" s="98"/>
      <c r="QP82" s="98"/>
      <c r="QQ82" s="98"/>
      <c r="QR82" s="98"/>
      <c r="QS82" s="98"/>
      <c r="QT82" s="98"/>
      <c r="QU82" s="98"/>
      <c r="QV82" s="98"/>
      <c r="QW82" s="98"/>
      <c r="QX82" s="98"/>
      <c r="QY82" s="98"/>
      <c r="QZ82" s="98"/>
      <c r="RA82" s="98"/>
      <c r="RB82" s="98"/>
      <c r="RC82" s="98"/>
      <c r="RD82" s="98"/>
      <c r="RE82" s="98"/>
      <c r="RF82" s="98"/>
      <c r="RG82" s="98"/>
      <c r="RH82" s="98"/>
      <c r="RI82" s="98"/>
      <c r="RJ82" s="98"/>
      <c r="RK82" s="98"/>
      <c r="RL82" s="98"/>
      <c r="RM82" s="98"/>
      <c r="RN82" s="98"/>
      <c r="RO82" s="98"/>
      <c r="RP82" s="98"/>
      <c r="RQ82" s="98"/>
      <c r="RR82" s="98"/>
      <c r="RS82" s="98"/>
      <c r="RT82" s="98"/>
      <c r="RU82" s="98"/>
      <c r="RV82" s="98"/>
      <c r="RW82" s="98"/>
      <c r="RX82" s="98"/>
      <c r="RY82" s="98"/>
      <c r="RZ82" s="98"/>
      <c r="SA82" s="98"/>
      <c r="SB82" s="98"/>
      <c r="SC82" s="98"/>
      <c r="SD82" s="98"/>
      <c r="SE82" s="98"/>
      <c r="SF82" s="98"/>
      <c r="SG82" s="98"/>
      <c r="SH82" s="98"/>
      <c r="SI82" s="98"/>
      <c r="SJ82" s="98"/>
      <c r="SK82" s="98"/>
      <c r="SL82" s="98"/>
      <c r="SM82" s="98"/>
      <c r="SN82" s="98"/>
      <c r="SO82" s="98"/>
      <c r="SP82" s="98"/>
      <c r="SQ82" s="98"/>
      <c r="SR82" s="98"/>
      <c r="SS82" s="98"/>
      <c r="ST82" s="98"/>
      <c r="SU82" s="98"/>
      <c r="SV82" s="98"/>
      <c r="SW82" s="98"/>
      <c r="SX82" s="98"/>
      <c r="SY82" s="98"/>
      <c r="SZ82" s="98"/>
      <c r="TA82" s="98"/>
      <c r="TB82" s="98"/>
      <c r="TC82" s="98"/>
      <c r="TD82" s="98"/>
      <c r="TE82" s="98"/>
      <c r="TF82" s="98"/>
      <c r="TG82" s="98"/>
      <c r="TH82" s="98"/>
      <c r="TI82" s="98"/>
      <c r="TJ82" s="98"/>
      <c r="TK82" s="98"/>
      <c r="TL82" s="98"/>
      <c r="TM82" s="98"/>
      <c r="TN82" s="98"/>
      <c r="TO82" s="98"/>
      <c r="TP82" s="98"/>
      <c r="TQ82" s="98"/>
      <c r="TR82" s="98"/>
      <c r="TS82" s="98"/>
      <c r="TT82" s="98"/>
      <c r="TU82" s="98"/>
      <c r="TV82" s="98"/>
      <c r="TW82" s="98"/>
      <c r="TX82" s="98"/>
      <c r="TY82" s="98"/>
      <c r="TZ82" s="98"/>
      <c r="UA82" s="98"/>
      <c r="UB82" s="98"/>
      <c r="UC82" s="98"/>
      <c r="UD82" s="98"/>
      <c r="UE82" s="98"/>
      <c r="UF82" s="98"/>
      <c r="UG82" s="98"/>
      <c r="UH82" s="98"/>
      <c r="UI82" s="98"/>
      <c r="UJ82" s="98"/>
      <c r="UK82" s="98"/>
      <c r="UL82" s="98"/>
      <c r="UM82" s="98"/>
      <c r="UN82" s="98"/>
      <c r="UO82" s="98"/>
      <c r="UP82" s="98"/>
      <c r="UQ82" s="98"/>
      <c r="UR82" s="98"/>
      <c r="US82" s="98"/>
      <c r="UT82" s="98"/>
      <c r="UU82" s="98"/>
      <c r="UV82" s="98"/>
      <c r="UW82" s="98"/>
      <c r="UX82" s="98"/>
      <c r="UY82" s="98"/>
      <c r="UZ82" s="98"/>
      <c r="VA82" s="98"/>
      <c r="VB82" s="98"/>
      <c r="VC82" s="98"/>
      <c r="VD82" s="98"/>
      <c r="VE82" s="98"/>
      <c r="VF82" s="98"/>
      <c r="VG82" s="98"/>
      <c r="VH82" s="98"/>
      <c r="VI82" s="98"/>
      <c r="VJ82" s="98"/>
      <c r="VK82" s="98"/>
      <c r="VL82" s="98"/>
      <c r="VM82" s="98"/>
      <c r="VN82" s="98"/>
      <c r="VO82" s="98"/>
      <c r="VP82" s="98"/>
      <c r="VQ82" s="98"/>
      <c r="VR82" s="98"/>
      <c r="VS82" s="98"/>
      <c r="VT82" s="98"/>
      <c r="VU82" s="98"/>
      <c r="VV82" s="98"/>
      <c r="VW82" s="98"/>
      <c r="VX82" s="98"/>
      <c r="VY82" s="98"/>
      <c r="VZ82" s="98"/>
      <c r="WA82" s="98"/>
      <c r="WB82" s="98"/>
      <c r="WC82" s="98"/>
      <c r="WD82" s="98"/>
      <c r="WE82" s="98"/>
      <c r="WF82" s="98"/>
      <c r="WG82" s="98"/>
      <c r="WH82" s="98"/>
      <c r="WI82" s="98"/>
      <c r="WJ82" s="98"/>
      <c r="WK82" s="98"/>
      <c r="WL82" s="98"/>
      <c r="WM82" s="98"/>
      <c r="WN82" s="98"/>
      <c r="WO82" s="98"/>
      <c r="WP82" s="98"/>
      <c r="WQ82" s="98"/>
      <c r="WR82" s="98"/>
      <c r="WS82" s="98"/>
      <c r="WT82" s="98"/>
      <c r="WU82" s="98"/>
      <c r="WV82" s="98"/>
      <c r="WW82" s="98"/>
      <c r="WX82" s="98"/>
      <c r="WY82" s="98"/>
      <c r="WZ82" s="98"/>
      <c r="XA82" s="98"/>
      <c r="XB82" s="98"/>
      <c r="XC82" s="98"/>
      <c r="XD82" s="98"/>
      <c r="XE82" s="98"/>
      <c r="XF82" s="98"/>
      <c r="XG82" s="98"/>
      <c r="XH82" s="98"/>
      <c r="XI82" s="98"/>
      <c r="XJ82" s="98"/>
      <c r="XK82" s="98"/>
      <c r="XL82" s="98"/>
      <c r="XM82" s="98"/>
      <c r="XN82" s="98"/>
      <c r="XO82" s="98"/>
      <c r="XP82" s="98"/>
      <c r="XQ82" s="98"/>
      <c r="XR82" s="98"/>
      <c r="XS82" s="98"/>
      <c r="XT82" s="98"/>
      <c r="XU82" s="98"/>
      <c r="XV82" s="98"/>
      <c r="XW82" s="98"/>
      <c r="XX82" s="98"/>
      <c r="XY82" s="98"/>
      <c r="XZ82" s="98"/>
      <c r="YA82" s="98"/>
      <c r="YB82" s="98"/>
      <c r="YC82" s="98"/>
      <c r="YD82" s="98"/>
      <c r="YE82" s="98"/>
      <c r="YF82" s="98"/>
      <c r="YG82" s="98"/>
      <c r="YH82" s="98"/>
      <c r="YI82" s="98"/>
      <c r="YJ82" s="98"/>
      <c r="YK82" s="98"/>
      <c r="YL82" s="98"/>
      <c r="YM82" s="98"/>
      <c r="YN82" s="98"/>
      <c r="YO82" s="98"/>
      <c r="YP82" s="98"/>
      <c r="YQ82" s="98"/>
      <c r="YR82" s="98"/>
      <c r="YS82" s="98"/>
      <c r="YT82" s="98"/>
      <c r="YU82" s="98"/>
      <c r="YV82" s="98"/>
      <c r="YW82" s="98"/>
      <c r="YX82" s="98"/>
      <c r="YY82" s="98"/>
      <c r="YZ82" s="98"/>
      <c r="ZA82" s="98"/>
      <c r="ZB82" s="98"/>
      <c r="ZC82" s="98"/>
      <c r="ZD82" s="98"/>
      <c r="ZE82" s="98"/>
      <c r="ZF82" s="98"/>
      <c r="ZG82" s="98"/>
      <c r="ZH82" s="98"/>
      <c r="ZI82" s="98"/>
      <c r="ZJ82" s="98"/>
      <c r="ZK82" s="98"/>
      <c r="ZL82" s="98"/>
      <c r="ZM82" s="98"/>
      <c r="ZN82" s="98"/>
      <c r="ZO82" s="98"/>
      <c r="ZP82" s="98"/>
      <c r="ZQ82" s="98"/>
      <c r="ZR82" s="98"/>
      <c r="ZS82" s="98"/>
      <c r="ZT82" s="98"/>
      <c r="ZU82" s="98"/>
      <c r="ZV82" s="98"/>
      <c r="ZW82" s="98"/>
      <c r="ZX82" s="98"/>
      <c r="ZY82" s="98"/>
      <c r="ZZ82" s="98"/>
      <c r="AAA82" s="98"/>
      <c r="AAB82" s="98"/>
      <c r="AAC82" s="98"/>
      <c r="AAD82" s="98"/>
      <c r="AAE82" s="98"/>
      <c r="AAF82" s="98"/>
      <c r="AAG82" s="98"/>
      <c r="AAH82" s="98"/>
      <c r="AAI82" s="98"/>
      <c r="AAJ82" s="98"/>
      <c r="AAK82" s="98"/>
      <c r="AAL82" s="98"/>
      <c r="AAM82" s="98"/>
      <c r="AAN82" s="98"/>
      <c r="AAO82" s="98"/>
      <c r="AAP82" s="98"/>
      <c r="AAQ82" s="98"/>
      <c r="AAR82" s="98"/>
      <c r="AAS82" s="98"/>
      <c r="AAT82" s="98"/>
      <c r="AAU82" s="98"/>
      <c r="AAV82" s="98"/>
      <c r="AAW82" s="98"/>
      <c r="AAX82" s="98"/>
      <c r="AAY82" s="98"/>
      <c r="AAZ82" s="98"/>
      <c r="ABA82" s="98"/>
      <c r="ABB82" s="98"/>
      <c r="ABC82" s="98"/>
      <c r="ABD82" s="98"/>
      <c r="ABE82" s="98"/>
      <c r="ABF82" s="98"/>
      <c r="ABG82" s="98"/>
      <c r="ABH82" s="98"/>
      <c r="ABI82" s="98"/>
      <c r="ABJ82" s="98"/>
      <c r="ABK82" s="98"/>
      <c r="ABL82" s="98"/>
      <c r="ABM82" s="98"/>
      <c r="ABN82" s="98"/>
      <c r="ABO82" s="98"/>
      <c r="ABP82" s="98"/>
      <c r="ABQ82" s="98"/>
      <c r="ABR82" s="98"/>
      <c r="ABS82" s="98"/>
      <c r="ABT82" s="98"/>
      <c r="ABU82" s="98"/>
      <c r="ABV82" s="98"/>
      <c r="ABW82" s="98"/>
      <c r="ABX82" s="98"/>
      <c r="ABY82" s="98"/>
      <c r="ABZ82" s="98"/>
      <c r="ACA82" s="98"/>
      <c r="ACB82" s="98"/>
      <c r="ACC82" s="98"/>
      <c r="ACD82" s="98"/>
      <c r="ACE82" s="98"/>
      <c r="ACF82" s="98"/>
      <c r="ACG82" s="98"/>
      <c r="ACH82" s="98"/>
      <c r="ACI82" s="98"/>
      <c r="ACJ82" s="98"/>
      <c r="ACK82" s="98"/>
      <c r="ACL82" s="98"/>
      <c r="ACM82" s="98"/>
      <c r="ACN82" s="98"/>
      <c r="ACO82" s="98"/>
      <c r="ACP82" s="98"/>
      <c r="ACQ82" s="98"/>
      <c r="ACR82" s="98"/>
      <c r="ACS82" s="98"/>
      <c r="ACT82" s="98"/>
      <c r="ACU82" s="98"/>
      <c r="ACV82" s="98"/>
      <c r="ACW82" s="98"/>
      <c r="ACX82" s="98"/>
      <c r="ACY82" s="98"/>
      <c r="ACZ82" s="98"/>
      <c r="ADA82" s="98"/>
      <c r="ADB82" s="98"/>
      <c r="ADC82" s="98"/>
      <c r="ADD82" s="98"/>
      <c r="ADE82" s="98"/>
      <c r="ADF82" s="98"/>
      <c r="ADG82" s="98"/>
      <c r="ADH82" s="98"/>
      <c r="ADI82" s="98"/>
      <c r="ADJ82" s="98"/>
      <c r="ADK82" s="98"/>
      <c r="ADL82" s="98"/>
      <c r="ADM82" s="98"/>
      <c r="ADN82" s="98"/>
      <c r="ADO82" s="98"/>
      <c r="ADP82" s="98"/>
      <c r="ADQ82" s="98"/>
      <c r="ADR82" s="98"/>
      <c r="ADS82" s="98"/>
      <c r="ADT82" s="98"/>
      <c r="ADU82" s="98"/>
      <c r="ADV82" s="98"/>
      <c r="ADW82" s="98"/>
      <c r="ADX82" s="98"/>
      <c r="ADY82" s="98"/>
      <c r="ADZ82" s="98"/>
      <c r="AEA82" s="98"/>
      <c r="AEB82" s="98"/>
      <c r="AEC82" s="98"/>
      <c r="AED82" s="98"/>
      <c r="AEE82" s="98"/>
      <c r="AEF82" s="98"/>
      <c r="AEG82" s="98"/>
      <c r="AEH82" s="98"/>
      <c r="AEI82" s="98"/>
      <c r="AEJ82" s="98"/>
      <c r="AEK82" s="98"/>
      <c r="AEL82" s="98"/>
      <c r="AEM82" s="98"/>
      <c r="AEN82" s="98"/>
      <c r="AEO82" s="98"/>
      <c r="AEP82" s="98"/>
      <c r="AEQ82" s="98"/>
      <c r="AER82" s="98"/>
      <c r="AES82" s="98"/>
      <c r="AET82" s="98"/>
      <c r="AEU82" s="98"/>
      <c r="AEV82" s="98"/>
      <c r="AEW82" s="98"/>
      <c r="AEX82" s="98"/>
      <c r="AEY82" s="98"/>
      <c r="AEZ82" s="98"/>
      <c r="AFA82" s="98"/>
      <c r="AFB82" s="98"/>
      <c r="AFC82" s="98"/>
      <c r="AFD82" s="98"/>
      <c r="AFE82" s="98"/>
      <c r="AFF82" s="98"/>
      <c r="AFG82" s="98"/>
      <c r="AFH82" s="98"/>
      <c r="AFI82" s="98"/>
      <c r="AFJ82" s="98"/>
      <c r="AFK82" s="98"/>
      <c r="AFL82" s="98"/>
      <c r="AFM82" s="98"/>
      <c r="AFN82" s="98"/>
      <c r="AFO82" s="98"/>
      <c r="AFP82" s="98"/>
      <c r="AFQ82" s="98"/>
      <c r="AFR82" s="98"/>
      <c r="AFS82" s="98"/>
      <c r="AFT82" s="98"/>
      <c r="AFU82" s="98"/>
      <c r="AFV82" s="98"/>
      <c r="AFW82" s="98"/>
      <c r="AFX82" s="98"/>
      <c r="AFY82" s="98"/>
      <c r="AFZ82" s="98"/>
      <c r="AGA82" s="98"/>
      <c r="AGB82" s="98"/>
      <c r="AGC82" s="98"/>
      <c r="AGD82" s="98"/>
      <c r="AGE82" s="98"/>
      <c r="AGF82" s="98"/>
      <c r="AGG82" s="98"/>
      <c r="AGH82" s="98"/>
      <c r="AGI82" s="98"/>
      <c r="AGJ82" s="98"/>
      <c r="AGK82" s="98"/>
      <c r="AGL82" s="98"/>
      <c r="AGM82" s="98"/>
      <c r="AGN82" s="98"/>
      <c r="AGO82" s="98"/>
      <c r="AGP82" s="98"/>
      <c r="AGQ82" s="98"/>
      <c r="AGR82" s="98"/>
      <c r="AGS82" s="98"/>
      <c r="AGT82" s="98"/>
      <c r="AGU82" s="98"/>
      <c r="AGV82" s="98"/>
      <c r="AGW82" s="98"/>
      <c r="AGX82" s="98"/>
      <c r="AGY82" s="98"/>
      <c r="AGZ82" s="98"/>
      <c r="AHA82" s="98"/>
      <c r="AHB82" s="98"/>
      <c r="AHC82" s="98"/>
      <c r="AHD82" s="98"/>
      <c r="AHE82" s="98"/>
      <c r="AHF82" s="98"/>
      <c r="AHG82" s="98"/>
      <c r="AHH82" s="98"/>
      <c r="AHI82" s="98"/>
      <c r="AHJ82" s="98"/>
      <c r="AHK82" s="98"/>
      <c r="AHL82" s="98"/>
      <c r="AHM82" s="98"/>
      <c r="AHN82" s="98"/>
      <c r="AHO82" s="98"/>
      <c r="AHP82" s="98"/>
      <c r="AHQ82" s="98"/>
      <c r="AHR82" s="98"/>
      <c r="AHS82" s="98"/>
      <c r="AHT82" s="98"/>
      <c r="AHU82" s="98"/>
      <c r="AHV82" s="98"/>
      <c r="AHW82" s="98"/>
      <c r="AHX82" s="98"/>
      <c r="AHY82" s="98"/>
      <c r="AHZ82" s="98"/>
      <c r="AIA82" s="98"/>
      <c r="AIB82" s="98"/>
      <c r="AIC82" s="98"/>
      <c r="AID82" s="98"/>
      <c r="AIE82" s="98"/>
      <c r="AIF82" s="98"/>
      <c r="AIG82" s="98"/>
      <c r="AIH82" s="98"/>
      <c r="AII82" s="98"/>
      <c r="AIJ82" s="98"/>
      <c r="AIK82" s="98"/>
      <c r="AIL82" s="98"/>
      <c r="AIM82" s="98"/>
      <c r="AIN82" s="98"/>
      <c r="AIO82" s="98"/>
      <c r="AIP82" s="98"/>
      <c r="AIQ82" s="98"/>
      <c r="AIR82" s="98"/>
      <c r="AIS82" s="98"/>
      <c r="AIT82" s="98"/>
      <c r="AIU82" s="98"/>
      <c r="AIV82" s="98"/>
      <c r="AIW82" s="98"/>
      <c r="AIX82" s="98"/>
      <c r="AIY82" s="98"/>
      <c r="AIZ82" s="98"/>
      <c r="AJA82" s="98"/>
      <c r="AJB82" s="98"/>
      <c r="AJC82" s="98"/>
      <c r="AJD82" s="98"/>
      <c r="AJE82" s="98"/>
      <c r="AJF82" s="98"/>
      <c r="AJG82" s="98"/>
      <c r="AJH82" s="98"/>
      <c r="AJI82" s="98"/>
      <c r="AJJ82" s="98"/>
      <c r="AJK82" s="98"/>
      <c r="AJL82" s="98"/>
      <c r="AJM82" s="98"/>
      <c r="AJN82" s="98"/>
      <c r="AJO82" s="98"/>
      <c r="AJP82" s="98"/>
      <c r="AJQ82" s="98"/>
      <c r="AJR82" s="98"/>
      <c r="AJS82" s="98"/>
      <c r="AJT82" s="98"/>
      <c r="AJU82" s="98"/>
      <c r="AJV82" s="98"/>
      <c r="AJW82" s="98"/>
      <c r="AJX82" s="98"/>
      <c r="AJY82" s="98"/>
      <c r="AJZ82" s="98"/>
      <c r="AKA82" s="98"/>
      <c r="AKB82" s="98"/>
      <c r="AKC82" s="98"/>
      <c r="AKD82" s="98"/>
      <c r="AKE82" s="98"/>
      <c r="AKF82" s="98"/>
      <c r="AKG82" s="98"/>
      <c r="AKH82" s="98"/>
      <c r="AKI82" s="98"/>
      <c r="AKJ82" s="98"/>
      <c r="AKK82" s="98"/>
      <c r="AKL82" s="98"/>
      <c r="AKM82" s="98"/>
      <c r="AKN82" s="98"/>
      <c r="AKO82" s="98"/>
      <c r="AKP82" s="98"/>
      <c r="AKQ82" s="98"/>
      <c r="AKR82" s="98"/>
      <c r="AKS82" s="98"/>
      <c r="AKT82" s="98"/>
      <c r="AKU82" s="98"/>
      <c r="AKV82" s="98"/>
      <c r="AKW82" s="98"/>
      <c r="AKX82" s="98"/>
      <c r="AKY82" s="98"/>
      <c r="AKZ82" s="98"/>
      <c r="ALA82" s="98"/>
      <c r="ALB82" s="98"/>
      <c r="ALC82" s="98"/>
      <c r="ALD82" s="98"/>
      <c r="ALE82" s="98"/>
      <c r="ALF82" s="98"/>
      <c r="ALG82" s="98"/>
      <c r="ALH82" s="98"/>
      <c r="ALI82" s="98"/>
      <c r="ALJ82" s="98"/>
      <c r="ALK82" s="98"/>
      <c r="ALL82" s="98"/>
      <c r="ALM82" s="98"/>
      <c r="ALN82" s="98"/>
      <c r="ALO82" s="98"/>
      <c r="ALP82" s="98"/>
      <c r="ALQ82" s="98"/>
      <c r="ALR82" s="98"/>
      <c r="ALS82" s="98"/>
      <c r="ALT82" s="98"/>
      <c r="ALU82" s="98"/>
      <c r="ALV82" s="98"/>
      <c r="ALW82" s="98"/>
      <c r="ALX82" s="98"/>
      <c r="ALY82" s="98"/>
      <c r="ALZ82" s="98"/>
      <c r="AMA82" s="98"/>
      <c r="AMB82" s="98"/>
      <c r="AMC82" s="98"/>
      <c r="AMD82" s="98"/>
      <c r="AME82" s="98"/>
      <c r="AMF82" s="98"/>
      <c r="AMG82" s="98"/>
      <c r="AMH82" s="98"/>
      <c r="AMI82" s="98"/>
      <c r="AMJ82" s="98"/>
      <c r="AMK82" s="98"/>
      <c r="AML82" s="98"/>
      <c r="AMM82" s="98"/>
      <c r="AMN82" s="98"/>
      <c r="AMO82" s="98"/>
      <c r="AMP82" s="98"/>
      <c r="AMQ82" s="98"/>
      <c r="AMR82" s="98"/>
      <c r="AMS82" s="98"/>
      <c r="AMT82" s="98"/>
      <c r="AMU82" s="98"/>
      <c r="AMV82" s="98"/>
      <c r="AMW82" s="98"/>
      <c r="AMX82" s="98"/>
      <c r="AMY82" s="98"/>
      <c r="AMZ82" s="98"/>
      <c r="ANA82" s="98"/>
      <c r="ANB82" s="98"/>
      <c r="ANC82" s="98"/>
      <c r="AND82" s="98"/>
      <c r="ANE82" s="98"/>
      <c r="ANF82" s="98"/>
      <c r="ANG82" s="98"/>
      <c r="ANH82" s="98"/>
      <c r="ANI82" s="98"/>
      <c r="ANJ82" s="98"/>
      <c r="ANK82" s="98"/>
      <c r="ANL82" s="98"/>
      <c r="ANM82" s="98"/>
      <c r="ANN82" s="98"/>
      <c r="ANO82" s="98"/>
      <c r="ANP82" s="98"/>
      <c r="ANQ82" s="98"/>
      <c r="ANR82" s="98"/>
      <c r="ANS82" s="98"/>
      <c r="ANT82" s="98"/>
      <c r="ANU82" s="98"/>
      <c r="ANV82" s="98"/>
      <c r="ANW82" s="98"/>
      <c r="ANX82" s="98"/>
      <c r="ANY82" s="98"/>
      <c r="ANZ82" s="98"/>
      <c r="AOA82" s="98"/>
      <c r="AOB82" s="98"/>
      <c r="AOC82" s="98"/>
      <c r="AOD82" s="98"/>
      <c r="AOE82" s="98"/>
      <c r="AOF82" s="98"/>
      <c r="AOG82" s="98"/>
      <c r="AOH82" s="98"/>
      <c r="AOI82" s="98"/>
      <c r="AOJ82" s="98"/>
      <c r="AOK82" s="98"/>
      <c r="AOL82" s="98"/>
      <c r="AOM82" s="98"/>
      <c r="AON82" s="98"/>
      <c r="AOO82" s="98"/>
      <c r="AOP82" s="98"/>
      <c r="AOQ82" s="98"/>
      <c r="AOR82" s="98"/>
      <c r="AOS82" s="98"/>
      <c r="AOT82" s="98"/>
      <c r="AOU82" s="98"/>
      <c r="AOV82" s="98"/>
      <c r="AOW82" s="98"/>
      <c r="AOX82" s="98"/>
      <c r="AOY82" s="98"/>
      <c r="AOZ82" s="98"/>
      <c r="APA82" s="98"/>
      <c r="APB82" s="98"/>
      <c r="APC82" s="98"/>
      <c r="APD82" s="98"/>
      <c r="APE82" s="98"/>
      <c r="APF82" s="98"/>
      <c r="APG82" s="98"/>
      <c r="APH82" s="98"/>
      <c r="API82" s="98"/>
      <c r="APJ82" s="98"/>
      <c r="APK82" s="98"/>
      <c r="APL82" s="98"/>
      <c r="APM82" s="98"/>
      <c r="APN82" s="98"/>
      <c r="APO82" s="98"/>
      <c r="APP82" s="98"/>
      <c r="APQ82" s="98"/>
      <c r="APR82" s="98"/>
      <c r="APS82" s="98"/>
      <c r="APT82" s="98"/>
      <c r="APU82" s="98"/>
      <c r="APV82" s="98"/>
      <c r="APW82" s="98"/>
      <c r="APX82" s="98"/>
      <c r="APY82" s="98"/>
      <c r="APZ82" s="98"/>
      <c r="AQA82" s="98"/>
      <c r="AQB82" s="98"/>
      <c r="AQC82" s="98"/>
      <c r="AQD82" s="98"/>
      <c r="AQE82" s="98"/>
      <c r="AQF82" s="98"/>
      <c r="AQG82" s="98"/>
      <c r="AQH82" s="98"/>
      <c r="AQI82" s="98"/>
      <c r="AQJ82" s="98"/>
      <c r="AQK82" s="98"/>
      <c r="AQL82" s="98"/>
      <c r="AQM82" s="98"/>
      <c r="AQN82" s="98"/>
      <c r="AQO82" s="98"/>
      <c r="AQP82" s="98"/>
      <c r="AQQ82" s="98"/>
      <c r="AQR82" s="98"/>
      <c r="AQS82" s="98"/>
      <c r="AQT82" s="98"/>
      <c r="AQU82" s="98"/>
      <c r="AQV82" s="98"/>
      <c r="AQW82" s="98"/>
      <c r="AQX82" s="98"/>
      <c r="AQY82" s="98"/>
      <c r="AQZ82" s="98"/>
      <c r="ARA82" s="98"/>
      <c r="ARB82" s="98"/>
      <c r="ARC82" s="98"/>
      <c r="ARD82" s="98"/>
      <c r="ARE82" s="98"/>
      <c r="ARF82" s="98"/>
      <c r="ARG82" s="98"/>
      <c r="ARH82" s="98"/>
      <c r="ARI82" s="98"/>
      <c r="ARJ82" s="98"/>
      <c r="ARK82" s="98"/>
      <c r="ARL82" s="98"/>
      <c r="ARM82" s="98"/>
      <c r="ARN82" s="98"/>
      <c r="ARO82" s="98"/>
      <c r="ARP82" s="98"/>
      <c r="ARQ82" s="98"/>
      <c r="ARR82" s="98"/>
      <c r="ARS82" s="98"/>
    </row>
    <row r="83" spans="1:1163" s="174" customFormat="1">
      <c r="A83" s="140" t="s">
        <v>140</v>
      </c>
      <c r="B83" s="119" t="s">
        <v>67</v>
      </c>
      <c r="C83" s="175">
        <v>239</v>
      </c>
      <c r="D83" s="175">
        <v>2115</v>
      </c>
      <c r="E83" s="175">
        <v>0</v>
      </c>
      <c r="F83" s="175">
        <v>0</v>
      </c>
      <c r="G83" s="175">
        <v>0</v>
      </c>
      <c r="H83" s="175">
        <v>0</v>
      </c>
      <c r="I83" s="175">
        <v>0</v>
      </c>
      <c r="J83" s="175">
        <v>0</v>
      </c>
      <c r="K83" s="175">
        <v>0</v>
      </c>
      <c r="L83" s="175">
        <v>0</v>
      </c>
      <c r="M83" s="175">
        <v>0</v>
      </c>
      <c r="N83" s="175">
        <v>0</v>
      </c>
      <c r="O83" s="175">
        <v>0</v>
      </c>
      <c r="P83" s="175">
        <v>0</v>
      </c>
      <c r="Q83" s="175">
        <v>0</v>
      </c>
      <c r="R83" s="175">
        <v>0</v>
      </c>
      <c r="S83" s="175">
        <v>0</v>
      </c>
      <c r="T83" s="175">
        <v>0</v>
      </c>
      <c r="U83" s="175">
        <v>0</v>
      </c>
      <c r="V83" s="175">
        <v>0</v>
      </c>
      <c r="W83" s="175">
        <v>0</v>
      </c>
      <c r="X83" s="175">
        <v>0</v>
      </c>
      <c r="Y83" s="175">
        <v>0</v>
      </c>
      <c r="Z83" s="175">
        <v>0</v>
      </c>
      <c r="AA83" s="175">
        <v>0</v>
      </c>
      <c r="AB83" s="175">
        <v>0</v>
      </c>
      <c r="AC83" s="175">
        <v>0</v>
      </c>
      <c r="AD83" s="175">
        <v>0</v>
      </c>
      <c r="AE83" s="175">
        <v>0</v>
      </c>
      <c r="AF83" s="175">
        <v>0</v>
      </c>
      <c r="AG83" s="175">
        <v>0</v>
      </c>
      <c r="AH83" s="175">
        <v>0</v>
      </c>
      <c r="AI83" s="175">
        <v>0</v>
      </c>
      <c r="AJ83" s="175">
        <v>0</v>
      </c>
      <c r="AK83" s="175">
        <v>0</v>
      </c>
      <c r="AL83" s="175">
        <v>0</v>
      </c>
      <c r="AM83" s="175">
        <v>0</v>
      </c>
      <c r="AN83" s="175">
        <v>0</v>
      </c>
      <c r="AO83" s="175">
        <v>0</v>
      </c>
      <c r="AP83" s="175">
        <v>0</v>
      </c>
      <c r="AQ83" s="175">
        <v>0</v>
      </c>
      <c r="AR83" s="175">
        <v>0</v>
      </c>
      <c r="AS83" s="175">
        <v>0</v>
      </c>
      <c r="AT83" s="175">
        <v>0</v>
      </c>
      <c r="AU83" s="175">
        <v>0</v>
      </c>
      <c r="AV83" s="175">
        <v>0</v>
      </c>
      <c r="AW83" s="175">
        <v>0</v>
      </c>
      <c r="AX83" s="175">
        <v>0</v>
      </c>
      <c r="AY83" s="175">
        <v>0</v>
      </c>
      <c r="AZ83" s="175">
        <v>0</v>
      </c>
      <c r="BA83" s="119"/>
      <c r="BB83" s="142"/>
      <c r="BC83" s="142"/>
      <c r="BD83" s="142"/>
      <c r="BE83" s="142"/>
      <c r="BF83" s="142"/>
      <c r="BG83" s="142"/>
      <c r="BH83" s="142"/>
      <c r="BI83" s="119"/>
      <c r="BJ83" s="98"/>
      <c r="BK83" s="11"/>
      <c r="BL83" s="98"/>
      <c r="BM83" s="148"/>
      <c r="BN83" s="14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c r="IW83" s="98"/>
      <c r="IX83" s="98"/>
      <c r="IY83" s="98"/>
      <c r="IZ83" s="98"/>
      <c r="JA83" s="98"/>
      <c r="JB83" s="98"/>
      <c r="JC83" s="98"/>
      <c r="JD83" s="98"/>
      <c r="JE83" s="98"/>
      <c r="JF83" s="98"/>
      <c r="JG83" s="98"/>
      <c r="JH83" s="98"/>
      <c r="JI83" s="98"/>
      <c r="JJ83" s="98"/>
      <c r="JK83" s="98"/>
      <c r="JL83" s="98"/>
      <c r="JM83" s="98"/>
      <c r="JN83" s="98"/>
      <c r="JO83" s="98"/>
      <c r="JP83" s="98"/>
      <c r="JQ83" s="98"/>
      <c r="JR83" s="98"/>
      <c r="JS83" s="98"/>
      <c r="JT83" s="98"/>
      <c r="JU83" s="98"/>
      <c r="JV83" s="98"/>
      <c r="JW83" s="98"/>
      <c r="JX83" s="98"/>
      <c r="JY83" s="98"/>
      <c r="JZ83" s="98"/>
      <c r="KA83" s="98"/>
      <c r="KB83" s="98"/>
      <c r="KC83" s="98"/>
      <c r="KD83" s="98"/>
      <c r="KE83" s="98"/>
      <c r="KF83" s="98"/>
      <c r="KG83" s="98"/>
      <c r="KH83" s="98"/>
      <c r="KI83" s="98"/>
      <c r="KJ83" s="98"/>
      <c r="KK83" s="98"/>
      <c r="KL83" s="98"/>
      <c r="KM83" s="98"/>
      <c r="KN83" s="98"/>
      <c r="KO83" s="98"/>
      <c r="KP83" s="98"/>
      <c r="KQ83" s="98"/>
      <c r="KR83" s="98"/>
      <c r="KS83" s="98"/>
      <c r="KT83" s="98"/>
      <c r="KU83" s="98"/>
      <c r="KV83" s="98"/>
      <c r="KW83" s="98"/>
      <c r="KX83" s="98"/>
      <c r="KY83" s="98"/>
      <c r="KZ83" s="98"/>
      <c r="LA83" s="98"/>
      <c r="LB83" s="98"/>
      <c r="LC83" s="98"/>
      <c r="LD83" s="98"/>
      <c r="LE83" s="98"/>
      <c r="LF83" s="98"/>
      <c r="LG83" s="98"/>
      <c r="LH83" s="98"/>
      <c r="LI83" s="98"/>
      <c r="LJ83" s="98"/>
      <c r="LK83" s="98"/>
      <c r="LL83" s="98"/>
      <c r="LM83" s="98"/>
      <c r="LN83" s="98"/>
      <c r="LO83" s="98"/>
      <c r="LP83" s="98"/>
      <c r="LQ83" s="98"/>
      <c r="LR83" s="98"/>
      <c r="LS83" s="98"/>
      <c r="LT83" s="98"/>
      <c r="LU83" s="98"/>
      <c r="LV83" s="98"/>
      <c r="LW83" s="98"/>
      <c r="LX83" s="98"/>
      <c r="LY83" s="98"/>
      <c r="LZ83" s="98"/>
      <c r="MA83" s="98"/>
      <c r="MB83" s="98"/>
      <c r="MC83" s="98"/>
      <c r="MD83" s="98"/>
      <c r="ME83" s="98"/>
      <c r="MF83" s="98"/>
      <c r="MG83" s="98"/>
      <c r="MH83" s="98"/>
      <c r="MI83" s="98"/>
      <c r="MJ83" s="98"/>
      <c r="MK83" s="98"/>
      <c r="ML83" s="98"/>
      <c r="MM83" s="98"/>
      <c r="MN83" s="98"/>
      <c r="MO83" s="98"/>
      <c r="MP83" s="98"/>
      <c r="MQ83" s="98"/>
      <c r="MR83" s="98"/>
      <c r="MS83" s="98"/>
      <c r="MT83" s="98"/>
      <c r="MU83" s="98"/>
      <c r="MV83" s="98"/>
      <c r="MW83" s="98"/>
      <c r="MX83" s="98"/>
      <c r="MY83" s="98"/>
      <c r="MZ83" s="98"/>
      <c r="NA83" s="98"/>
      <c r="NB83" s="98"/>
      <c r="NC83" s="98"/>
      <c r="ND83" s="98"/>
      <c r="NE83" s="98"/>
      <c r="NF83" s="98"/>
      <c r="NG83" s="98"/>
      <c r="NH83" s="98"/>
      <c r="NI83" s="98"/>
      <c r="NJ83" s="98"/>
      <c r="NK83" s="98"/>
      <c r="NL83" s="98"/>
      <c r="NM83" s="98"/>
      <c r="NN83" s="98"/>
      <c r="NO83" s="98"/>
      <c r="NP83" s="98"/>
      <c r="NQ83" s="98"/>
      <c r="NR83" s="98"/>
      <c r="NS83" s="98"/>
      <c r="NT83" s="98"/>
      <c r="NU83" s="98"/>
      <c r="NV83" s="98"/>
      <c r="NW83" s="98"/>
      <c r="NX83" s="98"/>
      <c r="NY83" s="98"/>
      <c r="NZ83" s="98"/>
      <c r="OA83" s="98"/>
      <c r="OB83" s="98"/>
      <c r="OC83" s="98"/>
      <c r="OD83" s="98"/>
      <c r="OE83" s="98"/>
      <c r="OF83" s="98"/>
      <c r="OG83" s="98"/>
      <c r="OH83" s="98"/>
      <c r="OI83" s="98"/>
      <c r="OJ83" s="98"/>
      <c r="OK83" s="98"/>
      <c r="OL83" s="98"/>
      <c r="OM83" s="98"/>
      <c r="ON83" s="98"/>
      <c r="OO83" s="98"/>
      <c r="OP83" s="98"/>
      <c r="OQ83" s="98"/>
      <c r="OR83" s="98"/>
      <c r="OS83" s="98"/>
      <c r="OT83" s="98"/>
      <c r="OU83" s="98"/>
      <c r="OV83" s="98"/>
      <c r="OW83" s="98"/>
      <c r="OX83" s="98"/>
      <c r="OY83" s="98"/>
      <c r="OZ83" s="98"/>
      <c r="PA83" s="98"/>
      <c r="PB83" s="98"/>
      <c r="PC83" s="98"/>
      <c r="PD83" s="98"/>
      <c r="PE83" s="98"/>
      <c r="PF83" s="98"/>
      <c r="PG83" s="98"/>
      <c r="PH83" s="98"/>
      <c r="PI83" s="98"/>
      <c r="PJ83" s="98"/>
      <c r="PK83" s="98"/>
      <c r="PL83" s="98"/>
      <c r="PM83" s="98"/>
      <c r="PN83" s="98"/>
      <c r="PO83" s="98"/>
      <c r="PP83" s="98"/>
      <c r="PQ83" s="98"/>
      <c r="PR83" s="98"/>
      <c r="PS83" s="98"/>
      <c r="PT83" s="98"/>
      <c r="PU83" s="98"/>
      <c r="PV83" s="98"/>
      <c r="PW83" s="98"/>
      <c r="PX83" s="98"/>
      <c r="PY83" s="98"/>
      <c r="PZ83" s="98"/>
      <c r="QA83" s="98"/>
      <c r="QB83" s="98"/>
      <c r="QC83" s="98"/>
      <c r="QD83" s="98"/>
      <c r="QE83" s="98"/>
      <c r="QF83" s="98"/>
      <c r="QG83" s="98"/>
      <c r="QH83" s="98"/>
      <c r="QI83" s="98"/>
      <c r="QJ83" s="98"/>
      <c r="QK83" s="98"/>
      <c r="QL83" s="98"/>
      <c r="QM83" s="98"/>
      <c r="QN83" s="98"/>
      <c r="QO83" s="98"/>
      <c r="QP83" s="98"/>
      <c r="QQ83" s="98"/>
      <c r="QR83" s="98"/>
      <c r="QS83" s="98"/>
      <c r="QT83" s="98"/>
      <c r="QU83" s="98"/>
      <c r="QV83" s="98"/>
      <c r="QW83" s="98"/>
      <c r="QX83" s="98"/>
      <c r="QY83" s="98"/>
      <c r="QZ83" s="98"/>
      <c r="RA83" s="98"/>
      <c r="RB83" s="98"/>
      <c r="RC83" s="98"/>
      <c r="RD83" s="98"/>
      <c r="RE83" s="98"/>
      <c r="RF83" s="98"/>
      <c r="RG83" s="98"/>
      <c r="RH83" s="98"/>
      <c r="RI83" s="98"/>
      <c r="RJ83" s="98"/>
      <c r="RK83" s="98"/>
      <c r="RL83" s="98"/>
      <c r="RM83" s="98"/>
      <c r="RN83" s="98"/>
      <c r="RO83" s="98"/>
      <c r="RP83" s="98"/>
      <c r="RQ83" s="98"/>
      <c r="RR83" s="98"/>
      <c r="RS83" s="98"/>
      <c r="RT83" s="98"/>
      <c r="RU83" s="98"/>
      <c r="RV83" s="98"/>
      <c r="RW83" s="98"/>
      <c r="RX83" s="98"/>
      <c r="RY83" s="98"/>
      <c r="RZ83" s="98"/>
      <c r="SA83" s="98"/>
      <c r="SB83" s="98"/>
      <c r="SC83" s="98"/>
      <c r="SD83" s="98"/>
      <c r="SE83" s="98"/>
      <c r="SF83" s="98"/>
      <c r="SG83" s="98"/>
      <c r="SH83" s="98"/>
      <c r="SI83" s="98"/>
      <c r="SJ83" s="98"/>
      <c r="SK83" s="98"/>
      <c r="SL83" s="98"/>
      <c r="SM83" s="98"/>
      <c r="SN83" s="98"/>
      <c r="SO83" s="98"/>
      <c r="SP83" s="98"/>
      <c r="SQ83" s="98"/>
      <c r="SR83" s="98"/>
      <c r="SS83" s="98"/>
      <c r="ST83" s="98"/>
      <c r="SU83" s="98"/>
      <c r="SV83" s="98"/>
      <c r="SW83" s="98"/>
      <c r="SX83" s="98"/>
      <c r="SY83" s="98"/>
      <c r="SZ83" s="98"/>
      <c r="TA83" s="98"/>
      <c r="TB83" s="98"/>
      <c r="TC83" s="98"/>
      <c r="TD83" s="98"/>
      <c r="TE83" s="98"/>
      <c r="TF83" s="98"/>
      <c r="TG83" s="98"/>
      <c r="TH83" s="98"/>
      <c r="TI83" s="98"/>
      <c r="TJ83" s="98"/>
      <c r="TK83" s="98"/>
      <c r="TL83" s="98"/>
      <c r="TM83" s="98"/>
      <c r="TN83" s="98"/>
      <c r="TO83" s="98"/>
      <c r="TP83" s="98"/>
      <c r="TQ83" s="98"/>
      <c r="TR83" s="98"/>
      <c r="TS83" s="98"/>
      <c r="TT83" s="98"/>
      <c r="TU83" s="98"/>
      <c r="TV83" s="98"/>
      <c r="TW83" s="98"/>
      <c r="TX83" s="98"/>
      <c r="TY83" s="98"/>
      <c r="TZ83" s="98"/>
      <c r="UA83" s="98"/>
      <c r="UB83" s="98"/>
      <c r="UC83" s="98"/>
      <c r="UD83" s="98"/>
      <c r="UE83" s="98"/>
      <c r="UF83" s="98"/>
      <c r="UG83" s="98"/>
      <c r="UH83" s="98"/>
      <c r="UI83" s="98"/>
      <c r="UJ83" s="98"/>
      <c r="UK83" s="98"/>
      <c r="UL83" s="98"/>
      <c r="UM83" s="98"/>
      <c r="UN83" s="98"/>
      <c r="UO83" s="98"/>
      <c r="UP83" s="98"/>
      <c r="UQ83" s="98"/>
      <c r="UR83" s="98"/>
      <c r="US83" s="98"/>
      <c r="UT83" s="98"/>
      <c r="UU83" s="98"/>
      <c r="UV83" s="98"/>
      <c r="UW83" s="98"/>
      <c r="UX83" s="98"/>
      <c r="UY83" s="98"/>
      <c r="UZ83" s="98"/>
      <c r="VA83" s="98"/>
      <c r="VB83" s="98"/>
      <c r="VC83" s="98"/>
      <c r="VD83" s="98"/>
      <c r="VE83" s="98"/>
      <c r="VF83" s="98"/>
      <c r="VG83" s="98"/>
      <c r="VH83" s="98"/>
      <c r="VI83" s="98"/>
      <c r="VJ83" s="98"/>
      <c r="VK83" s="98"/>
      <c r="VL83" s="98"/>
      <c r="VM83" s="98"/>
      <c r="VN83" s="98"/>
      <c r="VO83" s="98"/>
      <c r="VP83" s="98"/>
      <c r="VQ83" s="98"/>
      <c r="VR83" s="98"/>
      <c r="VS83" s="98"/>
      <c r="VT83" s="98"/>
      <c r="VU83" s="98"/>
      <c r="VV83" s="98"/>
      <c r="VW83" s="98"/>
      <c r="VX83" s="98"/>
      <c r="VY83" s="98"/>
      <c r="VZ83" s="98"/>
      <c r="WA83" s="98"/>
      <c r="WB83" s="98"/>
      <c r="WC83" s="98"/>
      <c r="WD83" s="98"/>
      <c r="WE83" s="98"/>
      <c r="WF83" s="98"/>
      <c r="WG83" s="98"/>
      <c r="WH83" s="98"/>
      <c r="WI83" s="98"/>
      <c r="WJ83" s="98"/>
      <c r="WK83" s="98"/>
      <c r="WL83" s="98"/>
      <c r="WM83" s="98"/>
      <c r="WN83" s="98"/>
      <c r="WO83" s="98"/>
      <c r="WP83" s="98"/>
      <c r="WQ83" s="98"/>
      <c r="WR83" s="98"/>
      <c r="WS83" s="98"/>
      <c r="WT83" s="98"/>
      <c r="WU83" s="98"/>
      <c r="WV83" s="98"/>
      <c r="WW83" s="98"/>
      <c r="WX83" s="98"/>
      <c r="WY83" s="98"/>
      <c r="WZ83" s="98"/>
      <c r="XA83" s="98"/>
      <c r="XB83" s="98"/>
      <c r="XC83" s="98"/>
      <c r="XD83" s="98"/>
      <c r="XE83" s="98"/>
      <c r="XF83" s="98"/>
      <c r="XG83" s="98"/>
      <c r="XH83" s="98"/>
      <c r="XI83" s="98"/>
      <c r="XJ83" s="98"/>
      <c r="XK83" s="98"/>
      <c r="XL83" s="98"/>
      <c r="XM83" s="98"/>
      <c r="XN83" s="98"/>
      <c r="XO83" s="98"/>
      <c r="XP83" s="98"/>
      <c r="XQ83" s="98"/>
      <c r="XR83" s="98"/>
      <c r="XS83" s="98"/>
      <c r="XT83" s="98"/>
      <c r="XU83" s="98"/>
      <c r="XV83" s="98"/>
      <c r="XW83" s="98"/>
      <c r="XX83" s="98"/>
      <c r="XY83" s="98"/>
      <c r="XZ83" s="98"/>
      <c r="YA83" s="98"/>
      <c r="YB83" s="98"/>
      <c r="YC83" s="98"/>
      <c r="YD83" s="98"/>
      <c r="YE83" s="98"/>
      <c r="YF83" s="98"/>
      <c r="YG83" s="98"/>
      <c r="YH83" s="98"/>
      <c r="YI83" s="98"/>
      <c r="YJ83" s="98"/>
      <c r="YK83" s="98"/>
      <c r="YL83" s="98"/>
      <c r="YM83" s="98"/>
      <c r="YN83" s="98"/>
      <c r="YO83" s="98"/>
      <c r="YP83" s="98"/>
      <c r="YQ83" s="98"/>
      <c r="YR83" s="98"/>
      <c r="YS83" s="98"/>
      <c r="YT83" s="98"/>
      <c r="YU83" s="98"/>
      <c r="YV83" s="98"/>
      <c r="YW83" s="98"/>
      <c r="YX83" s="98"/>
      <c r="YY83" s="98"/>
      <c r="YZ83" s="98"/>
      <c r="ZA83" s="98"/>
      <c r="ZB83" s="98"/>
      <c r="ZC83" s="98"/>
      <c r="ZD83" s="98"/>
      <c r="ZE83" s="98"/>
      <c r="ZF83" s="98"/>
      <c r="ZG83" s="98"/>
      <c r="ZH83" s="98"/>
      <c r="ZI83" s="98"/>
      <c r="ZJ83" s="98"/>
      <c r="ZK83" s="98"/>
      <c r="ZL83" s="98"/>
      <c r="ZM83" s="98"/>
      <c r="ZN83" s="98"/>
      <c r="ZO83" s="98"/>
      <c r="ZP83" s="98"/>
      <c r="ZQ83" s="98"/>
      <c r="ZR83" s="98"/>
      <c r="ZS83" s="98"/>
      <c r="ZT83" s="98"/>
      <c r="ZU83" s="98"/>
      <c r="ZV83" s="98"/>
      <c r="ZW83" s="98"/>
      <c r="ZX83" s="98"/>
      <c r="ZY83" s="98"/>
      <c r="ZZ83" s="98"/>
      <c r="AAA83" s="98"/>
      <c r="AAB83" s="98"/>
      <c r="AAC83" s="98"/>
      <c r="AAD83" s="98"/>
      <c r="AAE83" s="98"/>
      <c r="AAF83" s="98"/>
      <c r="AAG83" s="98"/>
      <c r="AAH83" s="98"/>
      <c r="AAI83" s="98"/>
      <c r="AAJ83" s="98"/>
      <c r="AAK83" s="98"/>
      <c r="AAL83" s="98"/>
      <c r="AAM83" s="98"/>
      <c r="AAN83" s="98"/>
      <c r="AAO83" s="98"/>
      <c r="AAP83" s="98"/>
      <c r="AAQ83" s="98"/>
      <c r="AAR83" s="98"/>
      <c r="AAS83" s="98"/>
      <c r="AAT83" s="98"/>
      <c r="AAU83" s="98"/>
      <c r="AAV83" s="98"/>
      <c r="AAW83" s="98"/>
      <c r="AAX83" s="98"/>
      <c r="AAY83" s="98"/>
      <c r="AAZ83" s="98"/>
      <c r="ABA83" s="98"/>
      <c r="ABB83" s="98"/>
      <c r="ABC83" s="98"/>
      <c r="ABD83" s="98"/>
      <c r="ABE83" s="98"/>
      <c r="ABF83" s="98"/>
      <c r="ABG83" s="98"/>
      <c r="ABH83" s="98"/>
      <c r="ABI83" s="98"/>
      <c r="ABJ83" s="98"/>
      <c r="ABK83" s="98"/>
      <c r="ABL83" s="98"/>
      <c r="ABM83" s="98"/>
      <c r="ABN83" s="98"/>
      <c r="ABO83" s="98"/>
      <c r="ABP83" s="98"/>
      <c r="ABQ83" s="98"/>
      <c r="ABR83" s="98"/>
      <c r="ABS83" s="98"/>
      <c r="ABT83" s="98"/>
      <c r="ABU83" s="98"/>
      <c r="ABV83" s="98"/>
      <c r="ABW83" s="98"/>
      <c r="ABX83" s="98"/>
      <c r="ABY83" s="98"/>
      <c r="ABZ83" s="98"/>
      <c r="ACA83" s="98"/>
      <c r="ACB83" s="98"/>
      <c r="ACC83" s="98"/>
      <c r="ACD83" s="98"/>
      <c r="ACE83" s="98"/>
      <c r="ACF83" s="98"/>
      <c r="ACG83" s="98"/>
      <c r="ACH83" s="98"/>
      <c r="ACI83" s="98"/>
      <c r="ACJ83" s="98"/>
      <c r="ACK83" s="98"/>
      <c r="ACL83" s="98"/>
      <c r="ACM83" s="98"/>
      <c r="ACN83" s="98"/>
      <c r="ACO83" s="98"/>
      <c r="ACP83" s="98"/>
      <c r="ACQ83" s="98"/>
      <c r="ACR83" s="98"/>
      <c r="ACS83" s="98"/>
      <c r="ACT83" s="98"/>
      <c r="ACU83" s="98"/>
      <c r="ACV83" s="98"/>
      <c r="ACW83" s="98"/>
      <c r="ACX83" s="98"/>
      <c r="ACY83" s="98"/>
      <c r="ACZ83" s="98"/>
      <c r="ADA83" s="98"/>
      <c r="ADB83" s="98"/>
      <c r="ADC83" s="98"/>
      <c r="ADD83" s="98"/>
      <c r="ADE83" s="98"/>
      <c r="ADF83" s="98"/>
      <c r="ADG83" s="98"/>
      <c r="ADH83" s="98"/>
      <c r="ADI83" s="98"/>
      <c r="ADJ83" s="98"/>
      <c r="ADK83" s="98"/>
      <c r="ADL83" s="98"/>
      <c r="ADM83" s="98"/>
      <c r="ADN83" s="98"/>
      <c r="ADO83" s="98"/>
      <c r="ADP83" s="98"/>
      <c r="ADQ83" s="98"/>
      <c r="ADR83" s="98"/>
      <c r="ADS83" s="98"/>
      <c r="ADT83" s="98"/>
      <c r="ADU83" s="98"/>
      <c r="ADV83" s="98"/>
      <c r="ADW83" s="98"/>
      <c r="ADX83" s="98"/>
      <c r="ADY83" s="98"/>
      <c r="ADZ83" s="98"/>
      <c r="AEA83" s="98"/>
      <c r="AEB83" s="98"/>
      <c r="AEC83" s="98"/>
      <c r="AED83" s="98"/>
      <c r="AEE83" s="98"/>
      <c r="AEF83" s="98"/>
      <c r="AEG83" s="98"/>
      <c r="AEH83" s="98"/>
      <c r="AEI83" s="98"/>
      <c r="AEJ83" s="98"/>
      <c r="AEK83" s="98"/>
      <c r="AEL83" s="98"/>
      <c r="AEM83" s="98"/>
      <c r="AEN83" s="98"/>
      <c r="AEO83" s="98"/>
      <c r="AEP83" s="98"/>
      <c r="AEQ83" s="98"/>
      <c r="AER83" s="98"/>
      <c r="AES83" s="98"/>
      <c r="AET83" s="98"/>
      <c r="AEU83" s="98"/>
      <c r="AEV83" s="98"/>
      <c r="AEW83" s="98"/>
      <c r="AEX83" s="98"/>
      <c r="AEY83" s="98"/>
      <c r="AEZ83" s="98"/>
      <c r="AFA83" s="98"/>
      <c r="AFB83" s="98"/>
      <c r="AFC83" s="98"/>
      <c r="AFD83" s="98"/>
      <c r="AFE83" s="98"/>
      <c r="AFF83" s="98"/>
      <c r="AFG83" s="98"/>
      <c r="AFH83" s="98"/>
      <c r="AFI83" s="98"/>
      <c r="AFJ83" s="98"/>
      <c r="AFK83" s="98"/>
      <c r="AFL83" s="98"/>
      <c r="AFM83" s="98"/>
      <c r="AFN83" s="98"/>
      <c r="AFO83" s="98"/>
      <c r="AFP83" s="98"/>
      <c r="AFQ83" s="98"/>
      <c r="AFR83" s="98"/>
      <c r="AFS83" s="98"/>
      <c r="AFT83" s="98"/>
      <c r="AFU83" s="98"/>
      <c r="AFV83" s="98"/>
      <c r="AFW83" s="98"/>
      <c r="AFX83" s="98"/>
      <c r="AFY83" s="98"/>
      <c r="AFZ83" s="98"/>
      <c r="AGA83" s="98"/>
      <c r="AGB83" s="98"/>
      <c r="AGC83" s="98"/>
      <c r="AGD83" s="98"/>
      <c r="AGE83" s="98"/>
      <c r="AGF83" s="98"/>
      <c r="AGG83" s="98"/>
      <c r="AGH83" s="98"/>
      <c r="AGI83" s="98"/>
      <c r="AGJ83" s="98"/>
      <c r="AGK83" s="98"/>
      <c r="AGL83" s="98"/>
      <c r="AGM83" s="98"/>
      <c r="AGN83" s="98"/>
      <c r="AGO83" s="98"/>
      <c r="AGP83" s="98"/>
      <c r="AGQ83" s="98"/>
      <c r="AGR83" s="98"/>
      <c r="AGS83" s="98"/>
      <c r="AGT83" s="98"/>
      <c r="AGU83" s="98"/>
      <c r="AGV83" s="98"/>
      <c r="AGW83" s="98"/>
      <c r="AGX83" s="98"/>
      <c r="AGY83" s="98"/>
      <c r="AGZ83" s="98"/>
      <c r="AHA83" s="98"/>
      <c r="AHB83" s="98"/>
      <c r="AHC83" s="98"/>
      <c r="AHD83" s="98"/>
      <c r="AHE83" s="98"/>
      <c r="AHF83" s="98"/>
      <c r="AHG83" s="98"/>
      <c r="AHH83" s="98"/>
      <c r="AHI83" s="98"/>
      <c r="AHJ83" s="98"/>
      <c r="AHK83" s="98"/>
      <c r="AHL83" s="98"/>
      <c r="AHM83" s="98"/>
      <c r="AHN83" s="98"/>
      <c r="AHO83" s="98"/>
      <c r="AHP83" s="98"/>
      <c r="AHQ83" s="98"/>
      <c r="AHR83" s="98"/>
      <c r="AHS83" s="98"/>
      <c r="AHT83" s="98"/>
      <c r="AHU83" s="98"/>
      <c r="AHV83" s="98"/>
      <c r="AHW83" s="98"/>
      <c r="AHX83" s="98"/>
      <c r="AHY83" s="98"/>
      <c r="AHZ83" s="98"/>
      <c r="AIA83" s="98"/>
      <c r="AIB83" s="98"/>
      <c r="AIC83" s="98"/>
      <c r="AID83" s="98"/>
      <c r="AIE83" s="98"/>
      <c r="AIF83" s="98"/>
      <c r="AIG83" s="98"/>
      <c r="AIH83" s="98"/>
      <c r="AII83" s="98"/>
      <c r="AIJ83" s="98"/>
      <c r="AIK83" s="98"/>
      <c r="AIL83" s="98"/>
      <c r="AIM83" s="98"/>
      <c r="AIN83" s="98"/>
      <c r="AIO83" s="98"/>
      <c r="AIP83" s="98"/>
      <c r="AIQ83" s="98"/>
      <c r="AIR83" s="98"/>
      <c r="AIS83" s="98"/>
      <c r="AIT83" s="98"/>
      <c r="AIU83" s="98"/>
      <c r="AIV83" s="98"/>
      <c r="AIW83" s="98"/>
      <c r="AIX83" s="98"/>
      <c r="AIY83" s="98"/>
      <c r="AIZ83" s="98"/>
      <c r="AJA83" s="98"/>
      <c r="AJB83" s="98"/>
      <c r="AJC83" s="98"/>
      <c r="AJD83" s="98"/>
      <c r="AJE83" s="98"/>
      <c r="AJF83" s="98"/>
      <c r="AJG83" s="98"/>
      <c r="AJH83" s="98"/>
      <c r="AJI83" s="98"/>
      <c r="AJJ83" s="98"/>
      <c r="AJK83" s="98"/>
      <c r="AJL83" s="98"/>
      <c r="AJM83" s="98"/>
      <c r="AJN83" s="98"/>
      <c r="AJO83" s="98"/>
      <c r="AJP83" s="98"/>
      <c r="AJQ83" s="98"/>
      <c r="AJR83" s="98"/>
      <c r="AJS83" s="98"/>
      <c r="AJT83" s="98"/>
      <c r="AJU83" s="98"/>
      <c r="AJV83" s="98"/>
      <c r="AJW83" s="98"/>
      <c r="AJX83" s="98"/>
      <c r="AJY83" s="98"/>
      <c r="AJZ83" s="98"/>
      <c r="AKA83" s="98"/>
      <c r="AKB83" s="98"/>
      <c r="AKC83" s="98"/>
      <c r="AKD83" s="98"/>
      <c r="AKE83" s="98"/>
      <c r="AKF83" s="98"/>
      <c r="AKG83" s="98"/>
      <c r="AKH83" s="98"/>
      <c r="AKI83" s="98"/>
      <c r="AKJ83" s="98"/>
      <c r="AKK83" s="98"/>
      <c r="AKL83" s="98"/>
      <c r="AKM83" s="98"/>
      <c r="AKN83" s="98"/>
      <c r="AKO83" s="98"/>
      <c r="AKP83" s="98"/>
      <c r="AKQ83" s="98"/>
      <c r="AKR83" s="98"/>
      <c r="AKS83" s="98"/>
      <c r="AKT83" s="98"/>
      <c r="AKU83" s="98"/>
      <c r="AKV83" s="98"/>
      <c r="AKW83" s="98"/>
      <c r="AKX83" s="98"/>
      <c r="AKY83" s="98"/>
      <c r="AKZ83" s="98"/>
      <c r="ALA83" s="98"/>
      <c r="ALB83" s="98"/>
      <c r="ALC83" s="98"/>
      <c r="ALD83" s="98"/>
      <c r="ALE83" s="98"/>
      <c r="ALF83" s="98"/>
      <c r="ALG83" s="98"/>
      <c r="ALH83" s="98"/>
      <c r="ALI83" s="98"/>
      <c r="ALJ83" s="98"/>
      <c r="ALK83" s="98"/>
      <c r="ALL83" s="98"/>
      <c r="ALM83" s="98"/>
      <c r="ALN83" s="98"/>
      <c r="ALO83" s="98"/>
      <c r="ALP83" s="98"/>
      <c r="ALQ83" s="98"/>
      <c r="ALR83" s="98"/>
      <c r="ALS83" s="98"/>
      <c r="ALT83" s="98"/>
      <c r="ALU83" s="98"/>
      <c r="ALV83" s="98"/>
      <c r="ALW83" s="98"/>
      <c r="ALX83" s="98"/>
      <c r="ALY83" s="98"/>
      <c r="ALZ83" s="98"/>
      <c r="AMA83" s="98"/>
      <c r="AMB83" s="98"/>
      <c r="AMC83" s="98"/>
      <c r="AMD83" s="98"/>
      <c r="AME83" s="98"/>
      <c r="AMF83" s="98"/>
      <c r="AMG83" s="98"/>
      <c r="AMH83" s="98"/>
      <c r="AMI83" s="98"/>
      <c r="AMJ83" s="98"/>
      <c r="AMK83" s="98"/>
      <c r="AML83" s="98"/>
      <c r="AMM83" s="98"/>
      <c r="AMN83" s="98"/>
      <c r="AMO83" s="98"/>
      <c r="AMP83" s="98"/>
      <c r="AMQ83" s="98"/>
      <c r="AMR83" s="98"/>
      <c r="AMS83" s="98"/>
      <c r="AMT83" s="98"/>
      <c r="AMU83" s="98"/>
      <c r="AMV83" s="98"/>
      <c r="AMW83" s="98"/>
      <c r="AMX83" s="98"/>
      <c r="AMY83" s="98"/>
      <c r="AMZ83" s="98"/>
      <c r="ANA83" s="98"/>
      <c r="ANB83" s="98"/>
      <c r="ANC83" s="98"/>
      <c r="AND83" s="98"/>
      <c r="ANE83" s="98"/>
      <c r="ANF83" s="98"/>
      <c r="ANG83" s="98"/>
      <c r="ANH83" s="98"/>
      <c r="ANI83" s="98"/>
      <c r="ANJ83" s="98"/>
      <c r="ANK83" s="98"/>
      <c r="ANL83" s="98"/>
      <c r="ANM83" s="98"/>
      <c r="ANN83" s="98"/>
      <c r="ANO83" s="98"/>
      <c r="ANP83" s="98"/>
      <c r="ANQ83" s="98"/>
      <c r="ANR83" s="98"/>
      <c r="ANS83" s="98"/>
      <c r="ANT83" s="98"/>
      <c r="ANU83" s="98"/>
      <c r="ANV83" s="98"/>
      <c r="ANW83" s="98"/>
      <c r="ANX83" s="98"/>
      <c r="ANY83" s="98"/>
      <c r="ANZ83" s="98"/>
      <c r="AOA83" s="98"/>
      <c r="AOB83" s="98"/>
      <c r="AOC83" s="98"/>
      <c r="AOD83" s="98"/>
      <c r="AOE83" s="98"/>
      <c r="AOF83" s="98"/>
      <c r="AOG83" s="98"/>
      <c r="AOH83" s="98"/>
      <c r="AOI83" s="98"/>
      <c r="AOJ83" s="98"/>
      <c r="AOK83" s="98"/>
      <c r="AOL83" s="98"/>
      <c r="AOM83" s="98"/>
      <c r="AON83" s="98"/>
      <c r="AOO83" s="98"/>
      <c r="AOP83" s="98"/>
      <c r="AOQ83" s="98"/>
      <c r="AOR83" s="98"/>
      <c r="AOS83" s="98"/>
      <c r="AOT83" s="98"/>
      <c r="AOU83" s="98"/>
      <c r="AOV83" s="98"/>
      <c r="AOW83" s="98"/>
      <c r="AOX83" s="98"/>
      <c r="AOY83" s="98"/>
      <c r="AOZ83" s="98"/>
      <c r="APA83" s="98"/>
      <c r="APB83" s="98"/>
      <c r="APC83" s="98"/>
      <c r="APD83" s="98"/>
      <c r="APE83" s="98"/>
      <c r="APF83" s="98"/>
      <c r="APG83" s="98"/>
      <c r="APH83" s="98"/>
      <c r="API83" s="98"/>
      <c r="APJ83" s="98"/>
      <c r="APK83" s="98"/>
      <c r="APL83" s="98"/>
      <c r="APM83" s="98"/>
      <c r="APN83" s="98"/>
      <c r="APO83" s="98"/>
      <c r="APP83" s="98"/>
      <c r="APQ83" s="98"/>
      <c r="APR83" s="98"/>
      <c r="APS83" s="98"/>
      <c r="APT83" s="98"/>
      <c r="APU83" s="98"/>
      <c r="APV83" s="98"/>
      <c r="APW83" s="98"/>
      <c r="APX83" s="98"/>
      <c r="APY83" s="98"/>
      <c r="APZ83" s="98"/>
      <c r="AQA83" s="98"/>
      <c r="AQB83" s="98"/>
      <c r="AQC83" s="98"/>
      <c r="AQD83" s="98"/>
      <c r="AQE83" s="98"/>
      <c r="AQF83" s="98"/>
      <c r="AQG83" s="98"/>
      <c r="AQH83" s="98"/>
      <c r="AQI83" s="98"/>
      <c r="AQJ83" s="98"/>
      <c r="AQK83" s="98"/>
      <c r="AQL83" s="98"/>
      <c r="AQM83" s="98"/>
      <c r="AQN83" s="98"/>
      <c r="AQO83" s="98"/>
      <c r="AQP83" s="98"/>
      <c r="AQQ83" s="98"/>
      <c r="AQR83" s="98"/>
      <c r="AQS83" s="98"/>
      <c r="AQT83" s="98"/>
      <c r="AQU83" s="98"/>
      <c r="AQV83" s="98"/>
      <c r="AQW83" s="98"/>
      <c r="AQX83" s="98"/>
      <c r="AQY83" s="98"/>
      <c r="AQZ83" s="98"/>
      <c r="ARA83" s="98"/>
      <c r="ARB83" s="98"/>
      <c r="ARC83" s="98"/>
      <c r="ARD83" s="98"/>
      <c r="ARE83" s="98"/>
      <c r="ARF83" s="98"/>
      <c r="ARG83" s="98"/>
      <c r="ARH83" s="98"/>
      <c r="ARI83" s="98"/>
      <c r="ARJ83" s="98"/>
      <c r="ARK83" s="98"/>
      <c r="ARL83" s="98"/>
      <c r="ARM83" s="98"/>
      <c r="ARN83" s="98"/>
      <c r="ARO83" s="98"/>
      <c r="ARP83" s="98"/>
      <c r="ARQ83" s="98"/>
      <c r="ARR83" s="98"/>
      <c r="ARS83" s="98"/>
    </row>
    <row r="84" spans="1:1163" s="174" customFormat="1">
      <c r="A84" s="138" t="s">
        <v>141</v>
      </c>
      <c r="B84" s="134"/>
      <c r="C84" s="197"/>
      <c r="D84" s="197">
        <f>SUM(D74:D83)</f>
        <v>2180347</v>
      </c>
      <c r="E84" s="197"/>
      <c r="F84" s="197">
        <f>SUM(F74:F83)</f>
        <v>114203</v>
      </c>
      <c r="G84" s="197"/>
      <c r="H84" s="197">
        <f>SUM(H74:H83)</f>
        <v>156481</v>
      </c>
      <c r="I84" s="197"/>
      <c r="J84" s="197">
        <f>SUM(J74:J83)</f>
        <v>96304</v>
      </c>
      <c r="K84" s="197"/>
      <c r="L84" s="197">
        <f>SUM(L74:L83)</f>
        <v>120773</v>
      </c>
      <c r="M84" s="197"/>
      <c r="N84" s="197">
        <f>SUM(N74:N83)</f>
        <v>105104</v>
      </c>
      <c r="O84" s="197"/>
      <c r="P84" s="197">
        <f>SUM(P74:P83)</f>
        <v>179640</v>
      </c>
      <c r="Q84" s="197"/>
      <c r="R84" s="197">
        <f>SUM(R74:R83)</f>
        <v>100261</v>
      </c>
      <c r="S84" s="197"/>
      <c r="T84" s="197">
        <f>SUM(T74:T83)</f>
        <v>60035</v>
      </c>
      <c r="U84" s="201"/>
      <c r="V84" s="201">
        <f>SUM(V74:V83)</f>
        <v>15035</v>
      </c>
      <c r="W84" s="201"/>
      <c r="X84" s="197">
        <f>SUM(X74:X83)</f>
        <v>1108592</v>
      </c>
      <c r="Y84" s="201"/>
      <c r="Z84" s="201">
        <f>SUM(Z74:Z83)</f>
        <v>855246</v>
      </c>
      <c r="AA84" s="201"/>
      <c r="AB84" s="209">
        <f>SUM(AB74:AB83)</f>
        <v>416135</v>
      </c>
      <c r="AC84" s="197"/>
      <c r="AD84" s="209">
        <f>SUM(AD74:AD83)</f>
        <v>1800866</v>
      </c>
      <c r="AE84" s="201"/>
      <c r="AF84" s="209">
        <f>SUM(AF74:AF83)</f>
        <v>576709</v>
      </c>
      <c r="AG84" s="201"/>
      <c r="AH84" s="209">
        <f>SUM(AH74:AH83)</f>
        <v>351804</v>
      </c>
      <c r="AI84" s="201"/>
      <c r="AJ84" s="209">
        <f>SUM(AJ74:AJ83)</f>
        <v>21016</v>
      </c>
      <c r="AK84" s="201"/>
      <c r="AL84" s="201">
        <v>294695</v>
      </c>
      <c r="AM84" s="201"/>
      <c r="AN84" s="209">
        <f>SUM(AN74:AN83)</f>
        <v>364507</v>
      </c>
      <c r="AO84" s="201"/>
      <c r="AP84" s="209">
        <f>SUM(AP74:AP83)</f>
        <v>1034930</v>
      </c>
      <c r="AQ84" s="177"/>
      <c r="AR84" s="209">
        <f>SUM(AR74:AR83)</f>
        <v>981700</v>
      </c>
      <c r="AS84" s="201"/>
      <c r="AT84" s="209">
        <f>SUM(AT74:AT83)</f>
        <v>399970</v>
      </c>
      <c r="AU84" s="201"/>
      <c r="AV84" s="209">
        <f>SUM(AV74:AV83)</f>
        <v>289056</v>
      </c>
      <c r="AW84" s="175"/>
      <c r="AX84" s="175">
        <f>SUM(AX74:AX83)</f>
        <v>581689</v>
      </c>
      <c r="AY84" s="175"/>
      <c r="AZ84" s="175">
        <f>SUM(AZ74:AZ83)</f>
        <v>606016</v>
      </c>
      <c r="BA84" s="180"/>
      <c r="BB84" s="175"/>
      <c r="BC84" s="175"/>
      <c r="BD84" s="175"/>
      <c r="BE84" s="175"/>
      <c r="BF84" s="197"/>
      <c r="BG84" s="197"/>
      <c r="BH84" s="197"/>
      <c r="BI84" s="178"/>
      <c r="BJ84" s="98"/>
      <c r="BK84" s="11"/>
      <c r="BL84" s="148"/>
      <c r="BM84" s="148"/>
      <c r="BN84" s="14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c r="IW84" s="98"/>
      <c r="IX84" s="98"/>
      <c r="IY84" s="98"/>
      <c r="IZ84" s="98"/>
      <c r="JA84" s="98"/>
      <c r="JB84" s="98"/>
      <c r="JC84" s="98"/>
      <c r="JD84" s="98"/>
      <c r="JE84" s="98"/>
      <c r="JF84" s="98"/>
      <c r="JG84" s="98"/>
      <c r="JH84" s="98"/>
      <c r="JI84" s="98"/>
      <c r="JJ84" s="98"/>
      <c r="JK84" s="98"/>
      <c r="JL84" s="98"/>
      <c r="JM84" s="98"/>
      <c r="JN84" s="98"/>
      <c r="JO84" s="98"/>
      <c r="JP84" s="98"/>
      <c r="JQ84" s="98"/>
      <c r="JR84" s="98"/>
      <c r="JS84" s="98"/>
      <c r="JT84" s="98"/>
      <c r="JU84" s="98"/>
      <c r="JV84" s="98"/>
      <c r="JW84" s="98"/>
      <c r="JX84" s="98"/>
      <c r="JY84" s="98"/>
      <c r="JZ84" s="98"/>
      <c r="KA84" s="98"/>
      <c r="KB84" s="98"/>
      <c r="KC84" s="98"/>
      <c r="KD84" s="98"/>
      <c r="KE84" s="98"/>
      <c r="KF84" s="98"/>
      <c r="KG84" s="98"/>
      <c r="KH84" s="98"/>
      <c r="KI84" s="98"/>
      <c r="KJ84" s="98"/>
      <c r="KK84" s="98"/>
      <c r="KL84" s="98"/>
      <c r="KM84" s="98"/>
      <c r="KN84" s="98"/>
      <c r="KO84" s="98"/>
      <c r="KP84" s="98"/>
      <c r="KQ84" s="98"/>
      <c r="KR84" s="98"/>
      <c r="KS84" s="98"/>
      <c r="KT84" s="98"/>
      <c r="KU84" s="98"/>
      <c r="KV84" s="98"/>
      <c r="KW84" s="98"/>
      <c r="KX84" s="98"/>
      <c r="KY84" s="98"/>
      <c r="KZ84" s="98"/>
      <c r="LA84" s="98"/>
      <c r="LB84" s="98"/>
      <c r="LC84" s="98"/>
      <c r="LD84" s="98"/>
      <c r="LE84" s="98"/>
      <c r="LF84" s="98"/>
      <c r="LG84" s="98"/>
      <c r="LH84" s="98"/>
      <c r="LI84" s="98"/>
      <c r="LJ84" s="98"/>
      <c r="LK84" s="98"/>
      <c r="LL84" s="98"/>
      <c r="LM84" s="98"/>
      <c r="LN84" s="98"/>
      <c r="LO84" s="98"/>
      <c r="LP84" s="98"/>
      <c r="LQ84" s="98"/>
      <c r="LR84" s="98"/>
      <c r="LS84" s="98"/>
      <c r="LT84" s="98"/>
      <c r="LU84" s="98"/>
      <c r="LV84" s="98"/>
      <c r="LW84" s="98"/>
      <c r="LX84" s="98"/>
      <c r="LY84" s="98"/>
      <c r="LZ84" s="98"/>
      <c r="MA84" s="98"/>
      <c r="MB84" s="98"/>
      <c r="MC84" s="98"/>
      <c r="MD84" s="98"/>
      <c r="ME84" s="98"/>
      <c r="MF84" s="98"/>
      <c r="MG84" s="98"/>
      <c r="MH84" s="98"/>
      <c r="MI84" s="98"/>
      <c r="MJ84" s="98"/>
      <c r="MK84" s="98"/>
      <c r="ML84" s="98"/>
      <c r="MM84" s="98"/>
      <c r="MN84" s="98"/>
      <c r="MO84" s="98"/>
      <c r="MP84" s="98"/>
      <c r="MQ84" s="98"/>
      <c r="MR84" s="98"/>
      <c r="MS84" s="98"/>
      <c r="MT84" s="98"/>
      <c r="MU84" s="98"/>
      <c r="MV84" s="98"/>
      <c r="MW84" s="98"/>
      <c r="MX84" s="98"/>
      <c r="MY84" s="98"/>
      <c r="MZ84" s="98"/>
      <c r="NA84" s="98"/>
      <c r="NB84" s="98"/>
      <c r="NC84" s="98"/>
      <c r="ND84" s="98"/>
      <c r="NE84" s="98"/>
      <c r="NF84" s="98"/>
      <c r="NG84" s="98"/>
      <c r="NH84" s="98"/>
      <c r="NI84" s="98"/>
      <c r="NJ84" s="98"/>
      <c r="NK84" s="98"/>
      <c r="NL84" s="98"/>
      <c r="NM84" s="98"/>
      <c r="NN84" s="98"/>
      <c r="NO84" s="98"/>
      <c r="NP84" s="98"/>
      <c r="NQ84" s="98"/>
      <c r="NR84" s="98"/>
      <c r="NS84" s="98"/>
      <c r="NT84" s="98"/>
      <c r="NU84" s="98"/>
      <c r="NV84" s="98"/>
      <c r="NW84" s="98"/>
      <c r="NX84" s="98"/>
      <c r="NY84" s="98"/>
      <c r="NZ84" s="98"/>
      <c r="OA84" s="98"/>
      <c r="OB84" s="98"/>
      <c r="OC84" s="98"/>
      <c r="OD84" s="98"/>
      <c r="OE84" s="98"/>
      <c r="OF84" s="98"/>
      <c r="OG84" s="98"/>
      <c r="OH84" s="98"/>
      <c r="OI84" s="98"/>
      <c r="OJ84" s="98"/>
      <c r="OK84" s="98"/>
      <c r="OL84" s="98"/>
      <c r="OM84" s="98"/>
      <c r="ON84" s="98"/>
      <c r="OO84" s="98"/>
      <c r="OP84" s="98"/>
      <c r="OQ84" s="98"/>
      <c r="OR84" s="98"/>
      <c r="OS84" s="98"/>
      <c r="OT84" s="98"/>
      <c r="OU84" s="98"/>
      <c r="OV84" s="98"/>
      <c r="OW84" s="98"/>
      <c r="OX84" s="98"/>
      <c r="OY84" s="98"/>
      <c r="OZ84" s="98"/>
      <c r="PA84" s="98"/>
      <c r="PB84" s="98"/>
      <c r="PC84" s="98"/>
      <c r="PD84" s="98"/>
      <c r="PE84" s="98"/>
      <c r="PF84" s="98"/>
      <c r="PG84" s="98"/>
      <c r="PH84" s="98"/>
      <c r="PI84" s="98"/>
      <c r="PJ84" s="98"/>
      <c r="PK84" s="98"/>
      <c r="PL84" s="98"/>
      <c r="PM84" s="98"/>
      <c r="PN84" s="98"/>
      <c r="PO84" s="98"/>
      <c r="PP84" s="98"/>
      <c r="PQ84" s="98"/>
      <c r="PR84" s="98"/>
      <c r="PS84" s="98"/>
      <c r="PT84" s="98"/>
      <c r="PU84" s="98"/>
      <c r="PV84" s="98"/>
      <c r="PW84" s="98"/>
      <c r="PX84" s="98"/>
      <c r="PY84" s="98"/>
      <c r="PZ84" s="98"/>
      <c r="QA84" s="98"/>
      <c r="QB84" s="98"/>
      <c r="QC84" s="98"/>
      <c r="QD84" s="98"/>
      <c r="QE84" s="98"/>
      <c r="QF84" s="98"/>
      <c r="QG84" s="98"/>
      <c r="QH84" s="98"/>
      <c r="QI84" s="98"/>
      <c r="QJ84" s="98"/>
      <c r="QK84" s="98"/>
      <c r="QL84" s="98"/>
      <c r="QM84" s="98"/>
      <c r="QN84" s="98"/>
      <c r="QO84" s="98"/>
      <c r="QP84" s="98"/>
      <c r="QQ84" s="98"/>
      <c r="QR84" s="98"/>
      <c r="QS84" s="98"/>
      <c r="QT84" s="98"/>
      <c r="QU84" s="98"/>
      <c r="QV84" s="98"/>
      <c r="QW84" s="98"/>
      <c r="QX84" s="98"/>
      <c r="QY84" s="98"/>
      <c r="QZ84" s="98"/>
      <c r="RA84" s="98"/>
      <c r="RB84" s="98"/>
      <c r="RC84" s="98"/>
      <c r="RD84" s="98"/>
      <c r="RE84" s="98"/>
      <c r="RF84" s="98"/>
      <c r="RG84" s="98"/>
      <c r="RH84" s="98"/>
      <c r="RI84" s="98"/>
      <c r="RJ84" s="98"/>
      <c r="RK84" s="98"/>
      <c r="RL84" s="98"/>
      <c r="RM84" s="98"/>
      <c r="RN84" s="98"/>
      <c r="RO84" s="98"/>
      <c r="RP84" s="98"/>
      <c r="RQ84" s="98"/>
      <c r="RR84" s="98"/>
      <c r="RS84" s="98"/>
      <c r="RT84" s="98"/>
      <c r="RU84" s="98"/>
      <c r="RV84" s="98"/>
      <c r="RW84" s="98"/>
      <c r="RX84" s="98"/>
      <c r="RY84" s="98"/>
      <c r="RZ84" s="98"/>
      <c r="SA84" s="98"/>
      <c r="SB84" s="98"/>
      <c r="SC84" s="98"/>
      <c r="SD84" s="98"/>
      <c r="SE84" s="98"/>
      <c r="SF84" s="98"/>
      <c r="SG84" s="98"/>
      <c r="SH84" s="98"/>
      <c r="SI84" s="98"/>
      <c r="SJ84" s="98"/>
      <c r="SK84" s="98"/>
      <c r="SL84" s="98"/>
      <c r="SM84" s="98"/>
      <c r="SN84" s="98"/>
      <c r="SO84" s="98"/>
      <c r="SP84" s="98"/>
      <c r="SQ84" s="98"/>
      <c r="SR84" s="98"/>
      <c r="SS84" s="98"/>
      <c r="ST84" s="98"/>
      <c r="SU84" s="98"/>
      <c r="SV84" s="98"/>
      <c r="SW84" s="98"/>
      <c r="SX84" s="98"/>
      <c r="SY84" s="98"/>
      <c r="SZ84" s="98"/>
      <c r="TA84" s="98"/>
      <c r="TB84" s="98"/>
      <c r="TC84" s="98"/>
      <c r="TD84" s="98"/>
      <c r="TE84" s="98"/>
      <c r="TF84" s="98"/>
      <c r="TG84" s="98"/>
      <c r="TH84" s="98"/>
      <c r="TI84" s="98"/>
      <c r="TJ84" s="98"/>
      <c r="TK84" s="98"/>
      <c r="TL84" s="98"/>
      <c r="TM84" s="98"/>
      <c r="TN84" s="98"/>
      <c r="TO84" s="98"/>
      <c r="TP84" s="98"/>
      <c r="TQ84" s="98"/>
      <c r="TR84" s="98"/>
      <c r="TS84" s="98"/>
      <c r="TT84" s="98"/>
      <c r="TU84" s="98"/>
      <c r="TV84" s="98"/>
      <c r="TW84" s="98"/>
      <c r="TX84" s="98"/>
      <c r="TY84" s="98"/>
      <c r="TZ84" s="98"/>
      <c r="UA84" s="98"/>
      <c r="UB84" s="98"/>
      <c r="UC84" s="98"/>
      <c r="UD84" s="98"/>
      <c r="UE84" s="98"/>
      <c r="UF84" s="98"/>
      <c r="UG84" s="98"/>
      <c r="UH84" s="98"/>
      <c r="UI84" s="98"/>
      <c r="UJ84" s="98"/>
      <c r="UK84" s="98"/>
      <c r="UL84" s="98"/>
      <c r="UM84" s="98"/>
      <c r="UN84" s="98"/>
      <c r="UO84" s="98"/>
      <c r="UP84" s="98"/>
      <c r="UQ84" s="98"/>
      <c r="UR84" s="98"/>
      <c r="US84" s="98"/>
      <c r="UT84" s="98"/>
      <c r="UU84" s="98"/>
      <c r="UV84" s="98"/>
      <c r="UW84" s="98"/>
      <c r="UX84" s="98"/>
      <c r="UY84" s="98"/>
      <c r="UZ84" s="98"/>
      <c r="VA84" s="98"/>
      <c r="VB84" s="98"/>
      <c r="VC84" s="98"/>
      <c r="VD84" s="98"/>
      <c r="VE84" s="98"/>
      <c r="VF84" s="98"/>
      <c r="VG84" s="98"/>
      <c r="VH84" s="98"/>
      <c r="VI84" s="98"/>
      <c r="VJ84" s="98"/>
      <c r="VK84" s="98"/>
      <c r="VL84" s="98"/>
      <c r="VM84" s="98"/>
      <c r="VN84" s="98"/>
      <c r="VO84" s="98"/>
      <c r="VP84" s="98"/>
      <c r="VQ84" s="98"/>
      <c r="VR84" s="98"/>
      <c r="VS84" s="98"/>
      <c r="VT84" s="98"/>
      <c r="VU84" s="98"/>
      <c r="VV84" s="98"/>
      <c r="VW84" s="98"/>
      <c r="VX84" s="98"/>
      <c r="VY84" s="98"/>
      <c r="VZ84" s="98"/>
      <c r="WA84" s="98"/>
      <c r="WB84" s="98"/>
      <c r="WC84" s="98"/>
      <c r="WD84" s="98"/>
      <c r="WE84" s="98"/>
      <c r="WF84" s="98"/>
      <c r="WG84" s="98"/>
      <c r="WH84" s="98"/>
      <c r="WI84" s="98"/>
      <c r="WJ84" s="98"/>
      <c r="WK84" s="98"/>
      <c r="WL84" s="98"/>
      <c r="WM84" s="98"/>
      <c r="WN84" s="98"/>
      <c r="WO84" s="98"/>
      <c r="WP84" s="98"/>
      <c r="WQ84" s="98"/>
      <c r="WR84" s="98"/>
      <c r="WS84" s="98"/>
      <c r="WT84" s="98"/>
      <c r="WU84" s="98"/>
      <c r="WV84" s="98"/>
      <c r="WW84" s="98"/>
      <c r="WX84" s="98"/>
      <c r="WY84" s="98"/>
      <c r="WZ84" s="98"/>
      <c r="XA84" s="98"/>
      <c r="XB84" s="98"/>
      <c r="XC84" s="98"/>
      <c r="XD84" s="98"/>
      <c r="XE84" s="98"/>
      <c r="XF84" s="98"/>
      <c r="XG84" s="98"/>
      <c r="XH84" s="98"/>
      <c r="XI84" s="98"/>
      <c r="XJ84" s="98"/>
      <c r="XK84" s="98"/>
      <c r="XL84" s="98"/>
      <c r="XM84" s="98"/>
      <c r="XN84" s="98"/>
      <c r="XO84" s="98"/>
      <c r="XP84" s="98"/>
      <c r="XQ84" s="98"/>
      <c r="XR84" s="98"/>
      <c r="XS84" s="98"/>
      <c r="XT84" s="98"/>
      <c r="XU84" s="98"/>
      <c r="XV84" s="98"/>
      <c r="XW84" s="98"/>
      <c r="XX84" s="98"/>
      <c r="XY84" s="98"/>
      <c r="XZ84" s="98"/>
      <c r="YA84" s="98"/>
      <c r="YB84" s="98"/>
      <c r="YC84" s="98"/>
      <c r="YD84" s="98"/>
      <c r="YE84" s="98"/>
      <c r="YF84" s="98"/>
      <c r="YG84" s="98"/>
      <c r="YH84" s="98"/>
      <c r="YI84" s="98"/>
      <c r="YJ84" s="98"/>
      <c r="YK84" s="98"/>
      <c r="YL84" s="98"/>
      <c r="YM84" s="98"/>
      <c r="YN84" s="98"/>
      <c r="YO84" s="98"/>
      <c r="YP84" s="98"/>
      <c r="YQ84" s="98"/>
      <c r="YR84" s="98"/>
      <c r="YS84" s="98"/>
      <c r="YT84" s="98"/>
      <c r="YU84" s="98"/>
      <c r="YV84" s="98"/>
      <c r="YW84" s="98"/>
      <c r="YX84" s="98"/>
      <c r="YY84" s="98"/>
      <c r="YZ84" s="98"/>
      <c r="ZA84" s="98"/>
      <c r="ZB84" s="98"/>
      <c r="ZC84" s="98"/>
      <c r="ZD84" s="98"/>
      <c r="ZE84" s="98"/>
      <c r="ZF84" s="98"/>
      <c r="ZG84" s="98"/>
      <c r="ZH84" s="98"/>
      <c r="ZI84" s="98"/>
      <c r="ZJ84" s="98"/>
      <c r="ZK84" s="98"/>
      <c r="ZL84" s="98"/>
      <c r="ZM84" s="98"/>
      <c r="ZN84" s="98"/>
      <c r="ZO84" s="98"/>
      <c r="ZP84" s="98"/>
      <c r="ZQ84" s="98"/>
      <c r="ZR84" s="98"/>
      <c r="ZS84" s="98"/>
      <c r="ZT84" s="98"/>
      <c r="ZU84" s="98"/>
      <c r="ZV84" s="98"/>
      <c r="ZW84" s="98"/>
      <c r="ZX84" s="98"/>
      <c r="ZY84" s="98"/>
      <c r="ZZ84" s="98"/>
      <c r="AAA84" s="98"/>
      <c r="AAB84" s="98"/>
      <c r="AAC84" s="98"/>
      <c r="AAD84" s="98"/>
      <c r="AAE84" s="98"/>
      <c r="AAF84" s="98"/>
      <c r="AAG84" s="98"/>
      <c r="AAH84" s="98"/>
      <c r="AAI84" s="98"/>
      <c r="AAJ84" s="98"/>
      <c r="AAK84" s="98"/>
      <c r="AAL84" s="98"/>
      <c r="AAM84" s="98"/>
      <c r="AAN84" s="98"/>
      <c r="AAO84" s="98"/>
      <c r="AAP84" s="98"/>
      <c r="AAQ84" s="98"/>
      <c r="AAR84" s="98"/>
      <c r="AAS84" s="98"/>
      <c r="AAT84" s="98"/>
      <c r="AAU84" s="98"/>
      <c r="AAV84" s="98"/>
      <c r="AAW84" s="98"/>
      <c r="AAX84" s="98"/>
      <c r="AAY84" s="98"/>
      <c r="AAZ84" s="98"/>
      <c r="ABA84" s="98"/>
      <c r="ABB84" s="98"/>
      <c r="ABC84" s="98"/>
      <c r="ABD84" s="98"/>
      <c r="ABE84" s="98"/>
      <c r="ABF84" s="98"/>
      <c r="ABG84" s="98"/>
      <c r="ABH84" s="98"/>
      <c r="ABI84" s="98"/>
      <c r="ABJ84" s="98"/>
      <c r="ABK84" s="98"/>
      <c r="ABL84" s="98"/>
      <c r="ABM84" s="98"/>
      <c r="ABN84" s="98"/>
      <c r="ABO84" s="98"/>
      <c r="ABP84" s="98"/>
      <c r="ABQ84" s="98"/>
      <c r="ABR84" s="98"/>
      <c r="ABS84" s="98"/>
      <c r="ABT84" s="98"/>
      <c r="ABU84" s="98"/>
      <c r="ABV84" s="98"/>
      <c r="ABW84" s="98"/>
      <c r="ABX84" s="98"/>
      <c r="ABY84" s="98"/>
      <c r="ABZ84" s="98"/>
      <c r="ACA84" s="98"/>
      <c r="ACB84" s="98"/>
      <c r="ACC84" s="98"/>
      <c r="ACD84" s="98"/>
      <c r="ACE84" s="98"/>
      <c r="ACF84" s="98"/>
      <c r="ACG84" s="98"/>
      <c r="ACH84" s="98"/>
      <c r="ACI84" s="98"/>
      <c r="ACJ84" s="98"/>
      <c r="ACK84" s="98"/>
      <c r="ACL84" s="98"/>
      <c r="ACM84" s="98"/>
      <c r="ACN84" s="98"/>
      <c r="ACO84" s="98"/>
      <c r="ACP84" s="98"/>
      <c r="ACQ84" s="98"/>
      <c r="ACR84" s="98"/>
      <c r="ACS84" s="98"/>
      <c r="ACT84" s="98"/>
      <c r="ACU84" s="98"/>
      <c r="ACV84" s="98"/>
      <c r="ACW84" s="98"/>
      <c r="ACX84" s="98"/>
      <c r="ACY84" s="98"/>
      <c r="ACZ84" s="98"/>
      <c r="ADA84" s="98"/>
      <c r="ADB84" s="98"/>
      <c r="ADC84" s="98"/>
      <c r="ADD84" s="98"/>
      <c r="ADE84" s="98"/>
      <c r="ADF84" s="98"/>
      <c r="ADG84" s="98"/>
      <c r="ADH84" s="98"/>
      <c r="ADI84" s="98"/>
      <c r="ADJ84" s="98"/>
      <c r="ADK84" s="98"/>
      <c r="ADL84" s="98"/>
      <c r="ADM84" s="98"/>
      <c r="ADN84" s="98"/>
      <c r="ADO84" s="98"/>
      <c r="ADP84" s="98"/>
      <c r="ADQ84" s="98"/>
      <c r="ADR84" s="98"/>
      <c r="ADS84" s="98"/>
      <c r="ADT84" s="98"/>
      <c r="ADU84" s="98"/>
      <c r="ADV84" s="98"/>
      <c r="ADW84" s="98"/>
      <c r="ADX84" s="98"/>
      <c r="ADY84" s="98"/>
      <c r="ADZ84" s="98"/>
      <c r="AEA84" s="98"/>
      <c r="AEB84" s="98"/>
      <c r="AEC84" s="98"/>
      <c r="AED84" s="98"/>
      <c r="AEE84" s="98"/>
      <c r="AEF84" s="98"/>
      <c r="AEG84" s="98"/>
      <c r="AEH84" s="98"/>
      <c r="AEI84" s="98"/>
      <c r="AEJ84" s="98"/>
      <c r="AEK84" s="98"/>
      <c r="AEL84" s="98"/>
      <c r="AEM84" s="98"/>
      <c r="AEN84" s="98"/>
      <c r="AEO84" s="98"/>
      <c r="AEP84" s="98"/>
      <c r="AEQ84" s="98"/>
      <c r="AER84" s="98"/>
      <c r="AES84" s="98"/>
      <c r="AET84" s="98"/>
      <c r="AEU84" s="98"/>
      <c r="AEV84" s="98"/>
      <c r="AEW84" s="98"/>
      <c r="AEX84" s="98"/>
      <c r="AEY84" s="98"/>
      <c r="AEZ84" s="98"/>
      <c r="AFA84" s="98"/>
      <c r="AFB84" s="98"/>
      <c r="AFC84" s="98"/>
      <c r="AFD84" s="98"/>
      <c r="AFE84" s="98"/>
      <c r="AFF84" s="98"/>
      <c r="AFG84" s="98"/>
      <c r="AFH84" s="98"/>
      <c r="AFI84" s="98"/>
      <c r="AFJ84" s="98"/>
      <c r="AFK84" s="98"/>
      <c r="AFL84" s="98"/>
      <c r="AFM84" s="98"/>
      <c r="AFN84" s="98"/>
      <c r="AFO84" s="98"/>
      <c r="AFP84" s="98"/>
      <c r="AFQ84" s="98"/>
      <c r="AFR84" s="98"/>
      <c r="AFS84" s="98"/>
      <c r="AFT84" s="98"/>
      <c r="AFU84" s="98"/>
      <c r="AFV84" s="98"/>
      <c r="AFW84" s="98"/>
      <c r="AFX84" s="98"/>
      <c r="AFY84" s="98"/>
      <c r="AFZ84" s="98"/>
      <c r="AGA84" s="98"/>
      <c r="AGB84" s="98"/>
      <c r="AGC84" s="98"/>
      <c r="AGD84" s="98"/>
      <c r="AGE84" s="98"/>
      <c r="AGF84" s="98"/>
      <c r="AGG84" s="98"/>
      <c r="AGH84" s="98"/>
      <c r="AGI84" s="98"/>
      <c r="AGJ84" s="98"/>
      <c r="AGK84" s="98"/>
      <c r="AGL84" s="98"/>
      <c r="AGM84" s="98"/>
      <c r="AGN84" s="98"/>
      <c r="AGO84" s="98"/>
      <c r="AGP84" s="98"/>
      <c r="AGQ84" s="98"/>
      <c r="AGR84" s="98"/>
      <c r="AGS84" s="98"/>
      <c r="AGT84" s="98"/>
      <c r="AGU84" s="98"/>
      <c r="AGV84" s="98"/>
      <c r="AGW84" s="98"/>
      <c r="AGX84" s="98"/>
      <c r="AGY84" s="98"/>
      <c r="AGZ84" s="98"/>
      <c r="AHA84" s="98"/>
      <c r="AHB84" s="98"/>
      <c r="AHC84" s="98"/>
      <c r="AHD84" s="98"/>
      <c r="AHE84" s="98"/>
      <c r="AHF84" s="98"/>
      <c r="AHG84" s="98"/>
      <c r="AHH84" s="98"/>
      <c r="AHI84" s="98"/>
      <c r="AHJ84" s="98"/>
      <c r="AHK84" s="98"/>
      <c r="AHL84" s="98"/>
      <c r="AHM84" s="98"/>
      <c r="AHN84" s="98"/>
      <c r="AHO84" s="98"/>
      <c r="AHP84" s="98"/>
      <c r="AHQ84" s="98"/>
      <c r="AHR84" s="98"/>
      <c r="AHS84" s="98"/>
      <c r="AHT84" s="98"/>
      <c r="AHU84" s="98"/>
      <c r="AHV84" s="98"/>
      <c r="AHW84" s="98"/>
      <c r="AHX84" s="98"/>
      <c r="AHY84" s="98"/>
      <c r="AHZ84" s="98"/>
      <c r="AIA84" s="98"/>
      <c r="AIB84" s="98"/>
      <c r="AIC84" s="98"/>
      <c r="AID84" s="98"/>
      <c r="AIE84" s="98"/>
      <c r="AIF84" s="98"/>
      <c r="AIG84" s="98"/>
      <c r="AIH84" s="98"/>
      <c r="AII84" s="98"/>
      <c r="AIJ84" s="98"/>
      <c r="AIK84" s="98"/>
      <c r="AIL84" s="98"/>
      <c r="AIM84" s="98"/>
      <c r="AIN84" s="98"/>
      <c r="AIO84" s="98"/>
      <c r="AIP84" s="98"/>
      <c r="AIQ84" s="98"/>
      <c r="AIR84" s="98"/>
      <c r="AIS84" s="98"/>
      <c r="AIT84" s="98"/>
      <c r="AIU84" s="98"/>
      <c r="AIV84" s="98"/>
      <c r="AIW84" s="98"/>
      <c r="AIX84" s="98"/>
      <c r="AIY84" s="98"/>
      <c r="AIZ84" s="98"/>
      <c r="AJA84" s="98"/>
      <c r="AJB84" s="98"/>
      <c r="AJC84" s="98"/>
      <c r="AJD84" s="98"/>
      <c r="AJE84" s="98"/>
      <c r="AJF84" s="98"/>
      <c r="AJG84" s="98"/>
      <c r="AJH84" s="98"/>
      <c r="AJI84" s="98"/>
      <c r="AJJ84" s="98"/>
      <c r="AJK84" s="98"/>
      <c r="AJL84" s="98"/>
      <c r="AJM84" s="98"/>
      <c r="AJN84" s="98"/>
      <c r="AJO84" s="98"/>
      <c r="AJP84" s="98"/>
      <c r="AJQ84" s="98"/>
      <c r="AJR84" s="98"/>
      <c r="AJS84" s="98"/>
      <c r="AJT84" s="98"/>
      <c r="AJU84" s="98"/>
      <c r="AJV84" s="98"/>
      <c r="AJW84" s="98"/>
      <c r="AJX84" s="98"/>
      <c r="AJY84" s="98"/>
      <c r="AJZ84" s="98"/>
      <c r="AKA84" s="98"/>
      <c r="AKB84" s="98"/>
      <c r="AKC84" s="98"/>
      <c r="AKD84" s="98"/>
      <c r="AKE84" s="98"/>
      <c r="AKF84" s="98"/>
      <c r="AKG84" s="98"/>
      <c r="AKH84" s="98"/>
      <c r="AKI84" s="98"/>
      <c r="AKJ84" s="98"/>
      <c r="AKK84" s="98"/>
      <c r="AKL84" s="98"/>
      <c r="AKM84" s="98"/>
      <c r="AKN84" s="98"/>
      <c r="AKO84" s="98"/>
      <c r="AKP84" s="98"/>
      <c r="AKQ84" s="98"/>
      <c r="AKR84" s="98"/>
      <c r="AKS84" s="98"/>
      <c r="AKT84" s="98"/>
      <c r="AKU84" s="98"/>
      <c r="AKV84" s="98"/>
      <c r="AKW84" s="98"/>
      <c r="AKX84" s="98"/>
      <c r="AKY84" s="98"/>
      <c r="AKZ84" s="98"/>
      <c r="ALA84" s="98"/>
      <c r="ALB84" s="98"/>
      <c r="ALC84" s="98"/>
      <c r="ALD84" s="98"/>
      <c r="ALE84" s="98"/>
      <c r="ALF84" s="98"/>
      <c r="ALG84" s="98"/>
      <c r="ALH84" s="98"/>
      <c r="ALI84" s="98"/>
      <c r="ALJ84" s="98"/>
      <c r="ALK84" s="98"/>
      <c r="ALL84" s="98"/>
      <c r="ALM84" s="98"/>
      <c r="ALN84" s="98"/>
      <c r="ALO84" s="98"/>
      <c r="ALP84" s="98"/>
      <c r="ALQ84" s="98"/>
      <c r="ALR84" s="98"/>
      <c r="ALS84" s="98"/>
      <c r="ALT84" s="98"/>
      <c r="ALU84" s="98"/>
      <c r="ALV84" s="98"/>
      <c r="ALW84" s="98"/>
      <c r="ALX84" s="98"/>
      <c r="ALY84" s="98"/>
      <c r="ALZ84" s="98"/>
      <c r="AMA84" s="98"/>
      <c r="AMB84" s="98"/>
      <c r="AMC84" s="98"/>
      <c r="AMD84" s="98"/>
      <c r="AME84" s="98"/>
      <c r="AMF84" s="98"/>
      <c r="AMG84" s="98"/>
      <c r="AMH84" s="98"/>
      <c r="AMI84" s="98"/>
      <c r="AMJ84" s="98"/>
      <c r="AMK84" s="98"/>
      <c r="AML84" s="98"/>
      <c r="AMM84" s="98"/>
      <c r="AMN84" s="98"/>
      <c r="AMO84" s="98"/>
      <c r="AMP84" s="98"/>
      <c r="AMQ84" s="98"/>
      <c r="AMR84" s="98"/>
      <c r="AMS84" s="98"/>
      <c r="AMT84" s="98"/>
      <c r="AMU84" s="98"/>
      <c r="AMV84" s="98"/>
      <c r="AMW84" s="98"/>
      <c r="AMX84" s="98"/>
      <c r="AMY84" s="98"/>
      <c r="AMZ84" s="98"/>
      <c r="ANA84" s="98"/>
      <c r="ANB84" s="98"/>
      <c r="ANC84" s="98"/>
      <c r="AND84" s="98"/>
      <c r="ANE84" s="98"/>
      <c r="ANF84" s="98"/>
      <c r="ANG84" s="98"/>
      <c r="ANH84" s="98"/>
      <c r="ANI84" s="98"/>
      <c r="ANJ84" s="98"/>
      <c r="ANK84" s="98"/>
      <c r="ANL84" s="98"/>
      <c r="ANM84" s="98"/>
      <c r="ANN84" s="98"/>
      <c r="ANO84" s="98"/>
      <c r="ANP84" s="98"/>
      <c r="ANQ84" s="98"/>
      <c r="ANR84" s="98"/>
      <c r="ANS84" s="98"/>
      <c r="ANT84" s="98"/>
      <c r="ANU84" s="98"/>
      <c r="ANV84" s="98"/>
      <c r="ANW84" s="98"/>
      <c r="ANX84" s="98"/>
      <c r="ANY84" s="98"/>
      <c r="ANZ84" s="98"/>
      <c r="AOA84" s="98"/>
      <c r="AOB84" s="98"/>
      <c r="AOC84" s="98"/>
      <c r="AOD84" s="98"/>
      <c r="AOE84" s="98"/>
      <c r="AOF84" s="98"/>
      <c r="AOG84" s="98"/>
      <c r="AOH84" s="98"/>
      <c r="AOI84" s="98"/>
      <c r="AOJ84" s="98"/>
      <c r="AOK84" s="98"/>
      <c r="AOL84" s="98"/>
      <c r="AOM84" s="98"/>
      <c r="AON84" s="98"/>
      <c r="AOO84" s="98"/>
      <c r="AOP84" s="98"/>
      <c r="AOQ84" s="98"/>
      <c r="AOR84" s="98"/>
      <c r="AOS84" s="98"/>
      <c r="AOT84" s="98"/>
      <c r="AOU84" s="98"/>
      <c r="AOV84" s="98"/>
      <c r="AOW84" s="98"/>
      <c r="AOX84" s="98"/>
      <c r="AOY84" s="98"/>
      <c r="AOZ84" s="98"/>
      <c r="APA84" s="98"/>
      <c r="APB84" s="98"/>
      <c r="APC84" s="98"/>
      <c r="APD84" s="98"/>
      <c r="APE84" s="98"/>
      <c r="APF84" s="98"/>
      <c r="APG84" s="98"/>
      <c r="APH84" s="98"/>
      <c r="API84" s="98"/>
      <c r="APJ84" s="98"/>
      <c r="APK84" s="98"/>
      <c r="APL84" s="98"/>
      <c r="APM84" s="98"/>
      <c r="APN84" s="98"/>
      <c r="APO84" s="98"/>
      <c r="APP84" s="98"/>
      <c r="APQ84" s="98"/>
      <c r="APR84" s="98"/>
      <c r="APS84" s="98"/>
      <c r="APT84" s="98"/>
      <c r="APU84" s="98"/>
      <c r="APV84" s="98"/>
      <c r="APW84" s="98"/>
      <c r="APX84" s="98"/>
      <c r="APY84" s="98"/>
      <c r="APZ84" s="98"/>
      <c r="AQA84" s="98"/>
      <c r="AQB84" s="98"/>
      <c r="AQC84" s="98"/>
      <c r="AQD84" s="98"/>
      <c r="AQE84" s="98"/>
      <c r="AQF84" s="98"/>
      <c r="AQG84" s="98"/>
      <c r="AQH84" s="98"/>
      <c r="AQI84" s="98"/>
      <c r="AQJ84" s="98"/>
      <c r="AQK84" s="98"/>
      <c r="AQL84" s="98"/>
      <c r="AQM84" s="98"/>
      <c r="AQN84" s="98"/>
      <c r="AQO84" s="98"/>
      <c r="AQP84" s="98"/>
      <c r="AQQ84" s="98"/>
      <c r="AQR84" s="98"/>
      <c r="AQS84" s="98"/>
      <c r="AQT84" s="98"/>
      <c r="AQU84" s="98"/>
      <c r="AQV84" s="98"/>
      <c r="AQW84" s="98"/>
      <c r="AQX84" s="98"/>
      <c r="AQY84" s="98"/>
      <c r="AQZ84" s="98"/>
      <c r="ARA84" s="98"/>
      <c r="ARB84" s="98"/>
      <c r="ARC84" s="98"/>
      <c r="ARD84" s="98"/>
      <c r="ARE84" s="98"/>
      <c r="ARF84" s="98"/>
      <c r="ARG84" s="98"/>
      <c r="ARH84" s="98"/>
      <c r="ARI84" s="98"/>
      <c r="ARJ84" s="98"/>
      <c r="ARK84" s="98"/>
      <c r="ARL84" s="98"/>
      <c r="ARM84" s="98"/>
      <c r="ARN84" s="98"/>
      <c r="ARO84" s="98"/>
      <c r="ARP84" s="98"/>
      <c r="ARQ84" s="98"/>
      <c r="ARR84" s="98"/>
      <c r="ARS84" s="98"/>
    </row>
    <row r="85" spans="1:1163">
      <c r="A85" s="138"/>
      <c r="B85" s="134"/>
      <c r="C85" s="197"/>
      <c r="D85" s="197"/>
      <c r="E85" s="197"/>
      <c r="F85" s="197"/>
      <c r="G85" s="197"/>
      <c r="H85" s="197"/>
      <c r="I85" s="197"/>
      <c r="J85" s="197"/>
      <c r="K85" s="197"/>
      <c r="L85" s="197"/>
      <c r="M85" s="197"/>
      <c r="N85" s="197"/>
      <c r="O85" s="197"/>
      <c r="P85" s="197"/>
      <c r="Q85" s="197"/>
      <c r="R85" s="197"/>
      <c r="S85" s="197"/>
      <c r="T85" s="197"/>
      <c r="U85" s="201"/>
      <c r="V85" s="201"/>
      <c r="W85" s="144"/>
      <c r="X85" s="144"/>
      <c r="Y85" s="201"/>
      <c r="Z85" s="197"/>
      <c r="AA85" s="201"/>
      <c r="AB85" s="201"/>
      <c r="AC85" s="175"/>
      <c r="AD85" s="175"/>
      <c r="AE85" s="201"/>
      <c r="AF85" s="201"/>
      <c r="AG85" s="201"/>
      <c r="AH85" s="201"/>
      <c r="AI85" s="201"/>
      <c r="AJ85" s="201"/>
      <c r="AK85" s="201"/>
      <c r="AL85" s="201"/>
      <c r="AM85" s="201"/>
      <c r="AN85" s="201"/>
      <c r="AO85" s="201"/>
      <c r="AP85" s="201"/>
      <c r="AQ85" s="177"/>
      <c r="AR85" s="177"/>
      <c r="AS85" s="201"/>
      <c r="AT85" s="201"/>
      <c r="AU85" s="201"/>
      <c r="AV85" s="209"/>
      <c r="AW85" s="173"/>
      <c r="AX85" s="173"/>
      <c r="AY85" s="172"/>
      <c r="AZ85" s="172"/>
      <c r="BA85" s="177"/>
      <c r="BB85" s="173"/>
      <c r="BC85" s="173"/>
      <c r="BD85" s="173"/>
      <c r="BE85" s="173"/>
      <c r="BF85" s="173"/>
      <c r="BG85" s="173"/>
      <c r="BH85" s="173"/>
      <c r="BI85" s="177"/>
      <c r="BJ85" s="98"/>
      <c r="BK85" s="11"/>
      <c r="BM85" s="148"/>
      <c r="BN85" s="148"/>
    </row>
    <row r="86" spans="1:1163">
      <c r="A86" s="124" t="s">
        <v>142</v>
      </c>
      <c r="B86" s="225"/>
      <c r="C86" s="194"/>
      <c r="D86" s="194"/>
      <c r="E86" s="194"/>
      <c r="F86" s="194"/>
      <c r="G86" s="194"/>
      <c r="H86" s="194"/>
      <c r="I86" s="194"/>
      <c r="J86" s="194"/>
      <c r="K86" s="194"/>
      <c r="L86" s="194"/>
      <c r="M86" s="194"/>
      <c r="N86" s="194"/>
      <c r="O86" s="194"/>
      <c r="P86" s="194"/>
      <c r="Q86" s="194"/>
      <c r="R86" s="194"/>
      <c r="S86" s="194"/>
      <c r="T86" s="194"/>
      <c r="U86" s="202"/>
      <c r="V86" s="202"/>
      <c r="W86" s="184"/>
      <c r="X86" s="184"/>
      <c r="Y86" s="202"/>
      <c r="Z86" s="202"/>
      <c r="AA86" s="202"/>
      <c r="AB86" s="202"/>
      <c r="AC86" s="183"/>
      <c r="AD86" s="183"/>
      <c r="AE86" s="202"/>
      <c r="AF86" s="202"/>
      <c r="AG86" s="202"/>
      <c r="AH86" s="202"/>
      <c r="AI86" s="202"/>
      <c r="AJ86" s="202"/>
      <c r="AK86" s="202"/>
      <c r="AL86" s="202"/>
      <c r="AM86" s="202"/>
      <c r="AN86" s="202"/>
      <c r="AO86" s="202"/>
      <c r="AP86" s="202"/>
      <c r="AQ86" s="202"/>
      <c r="AR86" s="202"/>
      <c r="AS86" s="202"/>
      <c r="AT86" s="202"/>
      <c r="AU86" s="202"/>
      <c r="AV86" s="202"/>
      <c r="AW86" s="166"/>
      <c r="AX86" s="166"/>
      <c r="AY86" s="165"/>
      <c r="AZ86" s="165"/>
      <c r="BA86" s="196"/>
      <c r="BB86" s="166"/>
      <c r="BC86" s="166"/>
      <c r="BD86" s="166"/>
      <c r="BE86" s="166"/>
      <c r="BF86" s="166"/>
      <c r="BG86" s="166"/>
      <c r="BH86" s="166"/>
      <c r="BI86" s="196"/>
      <c r="BJ86" s="98"/>
      <c r="BK86" s="11"/>
      <c r="BL86" s="148"/>
      <c r="BM86" s="148"/>
      <c r="BN86" s="148"/>
    </row>
    <row r="87" spans="1:1163">
      <c r="A87" s="126" t="s">
        <v>363</v>
      </c>
      <c r="B87" s="127" t="s">
        <v>93</v>
      </c>
      <c r="C87" s="183">
        <v>16257</v>
      </c>
      <c r="D87" s="183">
        <v>4800</v>
      </c>
      <c r="E87" s="183">
        <v>0</v>
      </c>
      <c r="F87" s="183">
        <v>0</v>
      </c>
      <c r="G87" s="183">
        <v>0</v>
      </c>
      <c r="H87" s="183">
        <v>0</v>
      </c>
      <c r="I87" s="183">
        <v>0</v>
      </c>
      <c r="J87" s="183">
        <v>0</v>
      </c>
      <c r="K87" s="183">
        <v>0</v>
      </c>
      <c r="L87" s="183">
        <v>0</v>
      </c>
      <c r="M87" s="183">
        <v>0</v>
      </c>
      <c r="N87" s="183">
        <v>0</v>
      </c>
      <c r="O87" s="183">
        <v>0</v>
      </c>
      <c r="P87" s="183">
        <v>0</v>
      </c>
      <c r="Q87" s="183">
        <v>0</v>
      </c>
      <c r="R87" s="183">
        <v>0</v>
      </c>
      <c r="S87" s="183">
        <v>0</v>
      </c>
      <c r="T87" s="183">
        <v>0</v>
      </c>
      <c r="U87" s="183">
        <v>0</v>
      </c>
      <c r="V87" s="183">
        <v>0</v>
      </c>
      <c r="W87" s="183">
        <v>0</v>
      </c>
      <c r="X87" s="183">
        <v>0</v>
      </c>
      <c r="Y87" s="183">
        <v>0</v>
      </c>
      <c r="Z87" s="183">
        <v>0</v>
      </c>
      <c r="AA87" s="183">
        <v>0</v>
      </c>
      <c r="AB87" s="183">
        <v>0</v>
      </c>
      <c r="AC87" s="183">
        <v>10260</v>
      </c>
      <c r="AD87" s="183">
        <v>11286</v>
      </c>
      <c r="AE87" s="202">
        <v>41360</v>
      </c>
      <c r="AF87" s="202">
        <v>27467</v>
      </c>
      <c r="AG87" s="202">
        <v>10280</v>
      </c>
      <c r="AH87" s="202">
        <v>9132</v>
      </c>
      <c r="AI87" s="202">
        <v>7100</v>
      </c>
      <c r="AJ87" s="202">
        <v>5680</v>
      </c>
      <c r="AK87" s="208">
        <v>0</v>
      </c>
      <c r="AL87" s="202">
        <v>0</v>
      </c>
      <c r="AM87" s="187">
        <v>5149</v>
      </c>
      <c r="AN87" s="187">
        <v>3089</v>
      </c>
      <c r="AO87" s="202">
        <v>0</v>
      </c>
      <c r="AP87" s="202">
        <v>0</v>
      </c>
      <c r="AQ87" s="202">
        <v>0</v>
      </c>
      <c r="AR87" s="202">
        <v>0</v>
      </c>
      <c r="AS87" s="202">
        <v>7186</v>
      </c>
      <c r="AT87" s="202">
        <v>4312</v>
      </c>
      <c r="AU87" s="208">
        <v>0</v>
      </c>
      <c r="AV87" s="208">
        <v>0</v>
      </c>
      <c r="AW87" s="194" t="s">
        <v>165</v>
      </c>
      <c r="AX87" s="194" t="s">
        <v>165</v>
      </c>
      <c r="AY87" s="720" t="s">
        <v>165</v>
      </c>
      <c r="AZ87" s="720" t="s">
        <v>165</v>
      </c>
      <c r="BA87" s="196"/>
      <c r="BB87" s="166"/>
      <c r="BC87" s="166"/>
      <c r="BD87" s="166"/>
      <c r="BE87" s="166"/>
      <c r="BF87" s="166"/>
      <c r="BG87" s="166"/>
      <c r="BH87" s="166"/>
      <c r="BI87" s="196"/>
      <c r="BJ87" s="98"/>
      <c r="BK87" s="11"/>
      <c r="BL87" s="148"/>
      <c r="BM87" s="148"/>
      <c r="BN87" s="148"/>
    </row>
    <row r="88" spans="1:1163">
      <c r="A88" s="126" t="s">
        <v>143</v>
      </c>
      <c r="B88" s="127" t="s">
        <v>93</v>
      </c>
      <c r="C88" s="183">
        <v>29990</v>
      </c>
      <c r="D88" s="183">
        <v>36495</v>
      </c>
      <c r="E88" s="183">
        <v>1269</v>
      </c>
      <c r="F88" s="183">
        <v>6247</v>
      </c>
      <c r="G88" s="183">
        <v>898</v>
      </c>
      <c r="H88" s="183">
        <v>4490</v>
      </c>
      <c r="I88" s="183">
        <v>5456</v>
      </c>
      <c r="J88" s="183">
        <v>38963</v>
      </c>
      <c r="K88" s="183">
        <v>15463</v>
      </c>
      <c r="L88" s="183">
        <v>73751</v>
      </c>
      <c r="M88" s="183">
        <v>13676</v>
      </c>
      <c r="N88" s="183">
        <v>60193</v>
      </c>
      <c r="O88" s="183">
        <v>59896</v>
      </c>
      <c r="P88" s="183">
        <v>90368</v>
      </c>
      <c r="Q88" s="183">
        <v>8988</v>
      </c>
      <c r="R88" s="183">
        <v>50716</v>
      </c>
      <c r="S88" s="183">
        <v>51000</v>
      </c>
      <c r="T88" s="183">
        <v>195500</v>
      </c>
      <c r="U88" s="194">
        <v>70464</v>
      </c>
      <c r="V88" s="194">
        <v>285926</v>
      </c>
      <c r="W88" s="194">
        <v>34000</v>
      </c>
      <c r="X88" s="194">
        <v>172667</v>
      </c>
      <c r="Y88" s="194">
        <v>2194</v>
      </c>
      <c r="Z88" s="194">
        <v>3291</v>
      </c>
      <c r="AA88" s="208">
        <v>24617</v>
      </c>
      <c r="AB88" s="208">
        <v>131426</v>
      </c>
      <c r="AC88" s="183">
        <v>17659</v>
      </c>
      <c r="AD88" s="183">
        <v>127910</v>
      </c>
      <c r="AE88" s="202">
        <v>25352</v>
      </c>
      <c r="AF88" s="202">
        <v>308045</v>
      </c>
      <c r="AG88" s="202">
        <v>0</v>
      </c>
      <c r="AH88" s="202">
        <v>0</v>
      </c>
      <c r="AI88" s="202">
        <v>0</v>
      </c>
      <c r="AJ88" s="202">
        <v>0</v>
      </c>
      <c r="AK88" s="202">
        <v>0</v>
      </c>
      <c r="AL88" s="202">
        <v>0</v>
      </c>
      <c r="AM88" s="187">
        <v>0</v>
      </c>
      <c r="AN88" s="187">
        <v>0</v>
      </c>
      <c r="AO88" s="202">
        <v>0</v>
      </c>
      <c r="AP88" s="202">
        <v>0</v>
      </c>
      <c r="AQ88" s="202">
        <v>0</v>
      </c>
      <c r="AR88" s="202">
        <v>0</v>
      </c>
      <c r="AS88" s="202">
        <v>0</v>
      </c>
      <c r="AT88" s="202">
        <v>0</v>
      </c>
      <c r="AU88" s="208">
        <v>0</v>
      </c>
      <c r="AV88" s="208">
        <v>0</v>
      </c>
      <c r="AW88" s="194" t="s">
        <v>165</v>
      </c>
      <c r="AX88" s="194" t="s">
        <v>165</v>
      </c>
      <c r="AY88" s="720" t="s">
        <v>165</v>
      </c>
      <c r="AZ88" s="720" t="s">
        <v>165</v>
      </c>
      <c r="BA88" s="202"/>
      <c r="BB88" s="194"/>
      <c r="BC88" s="194"/>
      <c r="BD88" s="194"/>
      <c r="BE88" s="194"/>
      <c r="BF88" s="194"/>
      <c r="BG88" s="194"/>
      <c r="BH88" s="194"/>
      <c r="BI88" s="202"/>
      <c r="BJ88" s="98"/>
      <c r="BK88" s="11"/>
      <c r="BL88" s="148"/>
      <c r="BM88" s="148"/>
      <c r="BN88" s="148"/>
    </row>
    <row r="89" spans="1:1163">
      <c r="A89" s="126" t="s">
        <v>132</v>
      </c>
      <c r="B89" s="127" t="s">
        <v>93</v>
      </c>
      <c r="C89" s="183">
        <v>141</v>
      </c>
      <c r="D89" s="183">
        <v>729</v>
      </c>
      <c r="E89" s="183">
        <v>0</v>
      </c>
      <c r="F89" s="183">
        <v>0</v>
      </c>
      <c r="G89" s="183">
        <v>0</v>
      </c>
      <c r="H89" s="183">
        <v>0</v>
      </c>
      <c r="I89" s="183">
        <v>0</v>
      </c>
      <c r="J89" s="183">
        <v>0</v>
      </c>
      <c r="K89" s="183">
        <v>0</v>
      </c>
      <c r="L89" s="183">
        <v>0</v>
      </c>
      <c r="M89" s="183">
        <v>0</v>
      </c>
      <c r="N89" s="183">
        <v>0</v>
      </c>
      <c r="O89" s="183">
        <v>0</v>
      </c>
      <c r="P89" s="183">
        <v>0</v>
      </c>
      <c r="Q89" s="183">
        <v>0</v>
      </c>
      <c r="R89" s="183">
        <v>0</v>
      </c>
      <c r="S89" s="183">
        <v>0</v>
      </c>
      <c r="T89" s="183">
        <v>0</v>
      </c>
      <c r="U89" s="183">
        <v>0</v>
      </c>
      <c r="V89" s="183">
        <v>0</v>
      </c>
      <c r="W89" s="183">
        <v>0</v>
      </c>
      <c r="X89" s="183">
        <v>0</v>
      </c>
      <c r="Y89" s="183">
        <v>0</v>
      </c>
      <c r="Z89" s="183">
        <v>0</v>
      </c>
      <c r="AA89" s="183">
        <v>0</v>
      </c>
      <c r="AB89" s="183">
        <v>0</v>
      </c>
      <c r="AC89" s="183">
        <v>0</v>
      </c>
      <c r="AD89" s="183">
        <v>0</v>
      </c>
      <c r="AE89" s="183">
        <v>0</v>
      </c>
      <c r="AF89" s="183">
        <v>0</v>
      </c>
      <c r="AG89" s="183">
        <v>0</v>
      </c>
      <c r="AH89" s="183">
        <v>0</v>
      </c>
      <c r="AI89" s="183">
        <v>0</v>
      </c>
      <c r="AJ89" s="183">
        <v>0</v>
      </c>
      <c r="AK89" s="183">
        <v>0</v>
      </c>
      <c r="AL89" s="183">
        <v>0</v>
      </c>
      <c r="AM89" s="183">
        <v>0</v>
      </c>
      <c r="AN89" s="183">
        <v>0</v>
      </c>
      <c r="AO89" s="183">
        <v>0</v>
      </c>
      <c r="AP89" s="183">
        <v>0</v>
      </c>
      <c r="AQ89" s="183">
        <v>0</v>
      </c>
      <c r="AR89" s="183">
        <v>0</v>
      </c>
      <c r="AS89" s="183">
        <v>0</v>
      </c>
      <c r="AT89" s="183">
        <v>0</v>
      </c>
      <c r="AU89" s="183">
        <v>0</v>
      </c>
      <c r="AV89" s="183">
        <v>0</v>
      </c>
      <c r="AW89" s="194" t="s">
        <v>165</v>
      </c>
      <c r="AX89" s="183" t="s">
        <v>165</v>
      </c>
      <c r="AY89" s="1502" t="s">
        <v>165</v>
      </c>
      <c r="AZ89" s="1502" t="s">
        <v>165</v>
      </c>
      <c r="BA89" s="127"/>
      <c r="BB89" s="135"/>
      <c r="BC89" s="135"/>
      <c r="BD89" s="135"/>
      <c r="BE89" s="135"/>
      <c r="BF89" s="135"/>
      <c r="BG89" s="135"/>
      <c r="BH89" s="135"/>
      <c r="BI89" s="127"/>
      <c r="BJ89" s="98"/>
      <c r="BK89" s="11"/>
      <c r="BL89" s="148"/>
      <c r="BM89" s="148"/>
      <c r="BN89" s="148"/>
    </row>
    <row r="90" spans="1:1163">
      <c r="A90" s="126" t="s">
        <v>144</v>
      </c>
      <c r="B90" s="127" t="s">
        <v>93</v>
      </c>
      <c r="C90" s="183">
        <v>89135</v>
      </c>
      <c r="D90" s="183">
        <v>39514</v>
      </c>
      <c r="E90" s="183">
        <v>12</v>
      </c>
      <c r="F90" s="183">
        <v>13</v>
      </c>
      <c r="G90" s="183">
        <v>20</v>
      </c>
      <c r="H90" s="183">
        <v>20</v>
      </c>
      <c r="I90" s="183">
        <v>20</v>
      </c>
      <c r="J90" s="183">
        <v>22</v>
      </c>
      <c r="K90" s="183">
        <v>0</v>
      </c>
      <c r="L90" s="183">
        <v>0</v>
      </c>
      <c r="M90" s="183">
        <v>0</v>
      </c>
      <c r="N90" s="183">
        <v>0</v>
      </c>
      <c r="O90" s="183">
        <v>0</v>
      </c>
      <c r="P90" s="183">
        <v>0</v>
      </c>
      <c r="Q90" s="183">
        <v>0</v>
      </c>
      <c r="R90" s="183">
        <v>0</v>
      </c>
      <c r="S90" s="183">
        <v>0</v>
      </c>
      <c r="T90" s="183">
        <v>0</v>
      </c>
      <c r="U90" s="183">
        <v>0</v>
      </c>
      <c r="V90" s="183">
        <v>0</v>
      </c>
      <c r="W90" s="183">
        <v>0</v>
      </c>
      <c r="X90" s="183">
        <v>0</v>
      </c>
      <c r="Y90" s="208">
        <v>0</v>
      </c>
      <c r="Z90" s="208">
        <v>0</v>
      </c>
      <c r="AA90" s="208">
        <v>0</v>
      </c>
      <c r="AB90" s="208">
        <v>0</v>
      </c>
      <c r="AC90" s="183">
        <v>0</v>
      </c>
      <c r="AD90" s="183">
        <v>0</v>
      </c>
      <c r="AE90" s="202">
        <v>36775</v>
      </c>
      <c r="AF90" s="202">
        <v>28137</v>
      </c>
      <c r="AG90" s="202">
        <v>0</v>
      </c>
      <c r="AH90" s="202">
        <v>0</v>
      </c>
      <c r="AI90" s="208">
        <v>0</v>
      </c>
      <c r="AJ90" s="202">
        <v>0</v>
      </c>
      <c r="AK90" s="202">
        <v>41</v>
      </c>
      <c r="AL90" s="202">
        <v>20680</v>
      </c>
      <c r="AM90" s="187">
        <v>0</v>
      </c>
      <c r="AN90" s="187">
        <v>0</v>
      </c>
      <c r="AO90" s="202">
        <v>8053</v>
      </c>
      <c r="AP90" s="202">
        <v>4027</v>
      </c>
      <c r="AQ90" s="202">
        <v>0</v>
      </c>
      <c r="AR90" s="202">
        <v>0</v>
      </c>
      <c r="AS90" s="202">
        <v>0</v>
      </c>
      <c r="AT90" s="202">
        <v>0</v>
      </c>
      <c r="AU90" s="208">
        <v>6344</v>
      </c>
      <c r="AV90" s="208">
        <v>3172</v>
      </c>
      <c r="AW90" s="194" t="s">
        <v>165</v>
      </c>
      <c r="AX90" s="192" t="s">
        <v>165</v>
      </c>
      <c r="AY90" s="1503" t="s">
        <v>165</v>
      </c>
      <c r="AZ90" s="1503" t="s">
        <v>165</v>
      </c>
      <c r="BA90" s="185"/>
      <c r="BB90" s="192"/>
      <c r="BC90" s="192"/>
      <c r="BD90" s="192"/>
      <c r="BE90" s="192"/>
      <c r="BF90" s="192"/>
      <c r="BG90" s="192"/>
      <c r="BH90" s="192"/>
      <c r="BI90" s="185"/>
      <c r="BJ90" s="98"/>
      <c r="BK90" s="11"/>
      <c r="BL90" s="148"/>
      <c r="BM90" s="148"/>
      <c r="BN90" s="148"/>
    </row>
    <row r="91" spans="1:1163">
      <c r="A91" s="126" t="s">
        <v>145</v>
      </c>
      <c r="B91" s="127" t="s">
        <v>93</v>
      </c>
      <c r="C91" s="183">
        <v>123552</v>
      </c>
      <c r="D91" s="183">
        <v>125642</v>
      </c>
      <c r="E91" s="183">
        <v>0</v>
      </c>
      <c r="F91" s="183">
        <v>0</v>
      </c>
      <c r="G91" s="183">
        <v>0</v>
      </c>
      <c r="H91" s="183">
        <v>0</v>
      </c>
      <c r="I91" s="183">
        <v>0</v>
      </c>
      <c r="J91" s="183">
        <v>0</v>
      </c>
      <c r="K91" s="183">
        <v>0</v>
      </c>
      <c r="L91" s="183">
        <v>0</v>
      </c>
      <c r="M91" s="183">
        <v>0</v>
      </c>
      <c r="N91" s="183">
        <v>0</v>
      </c>
      <c r="O91" s="183">
        <v>0</v>
      </c>
      <c r="P91" s="183">
        <v>0</v>
      </c>
      <c r="Q91" s="183">
        <v>0</v>
      </c>
      <c r="R91" s="183">
        <v>0</v>
      </c>
      <c r="S91" s="183">
        <v>0</v>
      </c>
      <c r="T91" s="183">
        <v>0</v>
      </c>
      <c r="U91" s="183">
        <v>0</v>
      </c>
      <c r="V91" s="183">
        <v>0</v>
      </c>
      <c r="W91" s="183">
        <v>0</v>
      </c>
      <c r="X91" s="183">
        <v>0</v>
      </c>
      <c r="Y91" s="208">
        <v>0</v>
      </c>
      <c r="Z91" s="208">
        <v>0</v>
      </c>
      <c r="AA91" s="208">
        <v>1800</v>
      </c>
      <c r="AB91" s="208">
        <v>32500</v>
      </c>
      <c r="AC91" s="183">
        <v>37048</v>
      </c>
      <c r="AD91" s="183">
        <v>1163695</v>
      </c>
      <c r="AE91" s="202">
        <v>27344</v>
      </c>
      <c r="AF91" s="202">
        <v>795872</v>
      </c>
      <c r="AG91" s="202">
        <v>280586</v>
      </c>
      <c r="AH91" s="202">
        <v>1582037</v>
      </c>
      <c r="AI91" s="202">
        <v>92503</v>
      </c>
      <c r="AJ91" s="202">
        <v>660920</v>
      </c>
      <c r="AK91" s="202">
        <v>20</v>
      </c>
      <c r="AL91" s="202">
        <v>4000</v>
      </c>
      <c r="AM91" s="187">
        <v>21536</v>
      </c>
      <c r="AN91" s="187">
        <v>8936</v>
      </c>
      <c r="AO91" s="202">
        <v>0</v>
      </c>
      <c r="AP91" s="202">
        <v>0</v>
      </c>
      <c r="AQ91" s="202">
        <v>53.35</v>
      </c>
      <c r="AR91" s="202">
        <v>3986</v>
      </c>
      <c r="AS91" s="202">
        <v>125</v>
      </c>
      <c r="AT91" s="202">
        <v>383</v>
      </c>
      <c r="AU91" s="208">
        <v>16171</v>
      </c>
      <c r="AV91" s="208">
        <v>36315</v>
      </c>
      <c r="AW91" s="194" t="s">
        <v>165</v>
      </c>
      <c r="AX91" s="194" t="s">
        <v>165</v>
      </c>
      <c r="AY91" s="720" t="s">
        <v>165</v>
      </c>
      <c r="AZ91" s="720" t="s">
        <v>165</v>
      </c>
      <c r="BA91" s="196"/>
      <c r="BB91" s="166"/>
      <c r="BC91" s="166"/>
      <c r="BD91" s="166"/>
      <c r="BE91" s="166"/>
      <c r="BF91" s="166"/>
      <c r="BG91" s="166"/>
      <c r="BH91" s="166"/>
      <c r="BI91" s="196"/>
      <c r="BJ91" s="98"/>
      <c r="BK91" s="11"/>
      <c r="BL91" s="148"/>
      <c r="BM91" s="148"/>
      <c r="BN91" s="148"/>
    </row>
    <row r="92" spans="1:1163">
      <c r="A92" s="126" t="s">
        <v>146</v>
      </c>
      <c r="B92" s="127" t="s">
        <v>93</v>
      </c>
      <c r="C92" s="183">
        <v>8640</v>
      </c>
      <c r="D92" s="183">
        <v>15594</v>
      </c>
      <c r="E92" s="183">
        <v>0</v>
      </c>
      <c r="F92" s="183">
        <v>0</v>
      </c>
      <c r="G92" s="183">
        <v>0</v>
      </c>
      <c r="H92" s="183">
        <v>0</v>
      </c>
      <c r="I92" s="183">
        <v>0</v>
      </c>
      <c r="J92" s="183">
        <v>0</v>
      </c>
      <c r="K92" s="183">
        <v>0</v>
      </c>
      <c r="L92" s="183">
        <v>0</v>
      </c>
      <c r="M92" s="183">
        <v>0</v>
      </c>
      <c r="N92" s="183">
        <v>0</v>
      </c>
      <c r="O92" s="183">
        <v>0</v>
      </c>
      <c r="P92" s="183">
        <v>0</v>
      </c>
      <c r="Q92" s="183">
        <v>0</v>
      </c>
      <c r="R92" s="183">
        <v>0</v>
      </c>
      <c r="S92" s="183">
        <v>0</v>
      </c>
      <c r="T92" s="183">
        <v>0</v>
      </c>
      <c r="U92" s="183">
        <v>0</v>
      </c>
      <c r="V92" s="183">
        <v>0</v>
      </c>
      <c r="W92" s="183">
        <v>0</v>
      </c>
      <c r="X92" s="183">
        <v>0</v>
      </c>
      <c r="Y92" s="183">
        <v>0</v>
      </c>
      <c r="Z92" s="183">
        <v>0</v>
      </c>
      <c r="AA92" s="183">
        <v>0</v>
      </c>
      <c r="AB92" s="183">
        <v>0</v>
      </c>
      <c r="AC92" s="183">
        <v>0</v>
      </c>
      <c r="AD92" s="183">
        <v>0</v>
      </c>
      <c r="AE92" s="183">
        <v>0</v>
      </c>
      <c r="AF92" s="183">
        <v>0</v>
      </c>
      <c r="AG92" s="183">
        <v>0</v>
      </c>
      <c r="AH92" s="183">
        <v>0</v>
      </c>
      <c r="AI92" s="183">
        <v>0</v>
      </c>
      <c r="AJ92" s="183">
        <v>0</v>
      </c>
      <c r="AK92" s="183">
        <v>0</v>
      </c>
      <c r="AL92" s="183">
        <v>0</v>
      </c>
      <c r="AM92" s="183">
        <v>0</v>
      </c>
      <c r="AN92" s="183">
        <v>0</v>
      </c>
      <c r="AO92" s="183">
        <v>0</v>
      </c>
      <c r="AP92" s="183">
        <v>0</v>
      </c>
      <c r="AQ92" s="183">
        <v>0</v>
      </c>
      <c r="AR92" s="183">
        <v>0</v>
      </c>
      <c r="AS92" s="183">
        <v>0</v>
      </c>
      <c r="AT92" s="183">
        <v>0</v>
      </c>
      <c r="AU92" s="183">
        <v>0</v>
      </c>
      <c r="AV92" s="183">
        <v>0</v>
      </c>
      <c r="AW92" s="194" t="s">
        <v>165</v>
      </c>
      <c r="AX92" s="194" t="s">
        <v>165</v>
      </c>
      <c r="AY92" s="720" t="s">
        <v>165</v>
      </c>
      <c r="AZ92" s="720" t="s">
        <v>165</v>
      </c>
      <c r="BA92" s="196"/>
      <c r="BB92" s="166"/>
      <c r="BC92" s="166"/>
      <c r="BD92" s="166"/>
      <c r="BE92" s="166"/>
      <c r="BF92" s="166"/>
      <c r="BG92" s="166"/>
      <c r="BH92" s="166"/>
      <c r="BI92" s="196"/>
      <c r="BJ92" s="98"/>
      <c r="BK92" s="11"/>
      <c r="BL92" s="148"/>
      <c r="BM92" s="148"/>
      <c r="BN92" s="148"/>
    </row>
    <row r="93" spans="1:1163">
      <c r="A93" s="126" t="s">
        <v>147</v>
      </c>
      <c r="B93" s="127" t="s">
        <v>93</v>
      </c>
      <c r="C93" s="183">
        <v>1.407</v>
      </c>
      <c r="D93" s="183">
        <v>11149</v>
      </c>
      <c r="E93" s="183">
        <v>0</v>
      </c>
      <c r="F93" s="183">
        <v>0</v>
      </c>
      <c r="G93" s="183">
        <v>0</v>
      </c>
      <c r="H93" s="183">
        <v>0</v>
      </c>
      <c r="I93" s="183">
        <v>0</v>
      </c>
      <c r="J93" s="183">
        <v>0</v>
      </c>
      <c r="K93" s="183">
        <v>0</v>
      </c>
      <c r="L93" s="183">
        <v>0</v>
      </c>
      <c r="M93" s="183">
        <v>0</v>
      </c>
      <c r="N93" s="183">
        <v>0</v>
      </c>
      <c r="O93" s="183">
        <v>0</v>
      </c>
      <c r="P93" s="183">
        <v>0</v>
      </c>
      <c r="Q93" s="1496">
        <v>0.42499999999999999</v>
      </c>
      <c r="R93" s="183">
        <v>3469</v>
      </c>
      <c r="S93" s="183">
        <v>0</v>
      </c>
      <c r="T93" s="183">
        <v>0</v>
      </c>
      <c r="U93" s="1496">
        <v>0.193</v>
      </c>
      <c r="V93" s="183">
        <v>2200</v>
      </c>
      <c r="W93" s="1497">
        <v>0.55000000000000004</v>
      </c>
      <c r="X93" s="194">
        <v>2020</v>
      </c>
      <c r="Y93" s="183">
        <v>0</v>
      </c>
      <c r="Z93" s="183">
        <v>0</v>
      </c>
      <c r="AA93" s="208">
        <v>0</v>
      </c>
      <c r="AB93" s="208">
        <v>0</v>
      </c>
      <c r="AC93" s="194">
        <v>0</v>
      </c>
      <c r="AD93" s="194">
        <v>0</v>
      </c>
      <c r="AE93" s="202">
        <v>0</v>
      </c>
      <c r="AF93" s="202">
        <v>0</v>
      </c>
      <c r="AG93" s="202">
        <v>0</v>
      </c>
      <c r="AH93" s="202">
        <v>0</v>
      </c>
      <c r="AI93" s="202">
        <v>0</v>
      </c>
      <c r="AJ93" s="202">
        <v>0</v>
      </c>
      <c r="AK93" s="183">
        <v>0</v>
      </c>
      <c r="AL93" s="183">
        <v>0</v>
      </c>
      <c r="AM93" s="202">
        <v>0</v>
      </c>
      <c r="AN93" s="202">
        <v>0</v>
      </c>
      <c r="AO93" s="202">
        <v>0</v>
      </c>
      <c r="AP93" s="202">
        <v>0</v>
      </c>
      <c r="AQ93" s="1498">
        <v>4.1240000000000001E-3</v>
      </c>
      <c r="AR93" s="202">
        <v>10420</v>
      </c>
      <c r="AS93" s="202">
        <v>0</v>
      </c>
      <c r="AT93" s="202">
        <v>0</v>
      </c>
      <c r="AU93" s="1499">
        <v>11.5</v>
      </c>
      <c r="AV93" s="208">
        <v>20000</v>
      </c>
      <c r="AW93" s="194" t="s">
        <v>165</v>
      </c>
      <c r="AX93" s="192" t="s">
        <v>165</v>
      </c>
      <c r="AY93" s="1503" t="s">
        <v>165</v>
      </c>
      <c r="AZ93" s="1503" t="s">
        <v>165</v>
      </c>
      <c r="BA93" s="185"/>
      <c r="BB93" s="192"/>
      <c r="BC93" s="192"/>
      <c r="BD93" s="192"/>
      <c r="BE93" s="192"/>
      <c r="BF93" s="192"/>
      <c r="BG93" s="192"/>
      <c r="BH93" s="192"/>
      <c r="BI93" s="185"/>
      <c r="BJ93" s="98"/>
      <c r="BK93" s="11"/>
      <c r="BL93" s="148"/>
      <c r="BM93" s="148"/>
      <c r="BN93" s="148"/>
    </row>
    <row r="94" spans="1:1163">
      <c r="A94" s="126" t="s">
        <v>148</v>
      </c>
      <c r="B94" s="127" t="s">
        <v>129</v>
      </c>
      <c r="C94" s="183">
        <v>48165</v>
      </c>
      <c r="D94" s="183">
        <v>109570</v>
      </c>
      <c r="E94" s="183">
        <v>13001</v>
      </c>
      <c r="F94" s="183">
        <v>78001</v>
      </c>
      <c r="G94" s="183">
        <v>0</v>
      </c>
      <c r="H94" s="183">
        <v>0</v>
      </c>
      <c r="I94" s="183">
        <v>0</v>
      </c>
      <c r="J94" s="183">
        <v>0</v>
      </c>
      <c r="K94" s="183">
        <v>0</v>
      </c>
      <c r="L94" s="183">
        <v>0</v>
      </c>
      <c r="M94" s="183">
        <v>0</v>
      </c>
      <c r="N94" s="183">
        <v>0</v>
      </c>
      <c r="O94" s="183">
        <v>0</v>
      </c>
      <c r="P94" s="183">
        <v>0</v>
      </c>
      <c r="Q94" s="183">
        <v>0</v>
      </c>
      <c r="R94" s="183">
        <v>0</v>
      </c>
      <c r="S94" s="183">
        <v>0</v>
      </c>
      <c r="T94" s="183">
        <v>0</v>
      </c>
      <c r="U94" s="183">
        <v>0</v>
      </c>
      <c r="V94" s="183">
        <v>0</v>
      </c>
      <c r="W94" s="183">
        <v>0</v>
      </c>
      <c r="X94" s="183">
        <v>0</v>
      </c>
      <c r="Y94" s="183">
        <v>0</v>
      </c>
      <c r="Z94" s="183">
        <v>0</v>
      </c>
      <c r="AA94" s="183">
        <v>0</v>
      </c>
      <c r="AB94" s="183">
        <v>0</v>
      </c>
      <c r="AC94" s="183">
        <v>0</v>
      </c>
      <c r="AD94" s="183">
        <v>0</v>
      </c>
      <c r="AE94" s="183">
        <v>0</v>
      </c>
      <c r="AF94" s="183">
        <v>0</v>
      </c>
      <c r="AG94" s="183">
        <v>0</v>
      </c>
      <c r="AH94" s="183">
        <v>0</v>
      </c>
      <c r="AI94" s="183">
        <v>0</v>
      </c>
      <c r="AJ94" s="183">
        <v>0</v>
      </c>
      <c r="AK94" s="183">
        <v>0</v>
      </c>
      <c r="AL94" s="183">
        <v>0</v>
      </c>
      <c r="AM94" s="183">
        <v>0</v>
      </c>
      <c r="AN94" s="183">
        <v>0</v>
      </c>
      <c r="AO94" s="183">
        <v>0</v>
      </c>
      <c r="AP94" s="183">
        <v>0</v>
      </c>
      <c r="AQ94" s="183">
        <v>0</v>
      </c>
      <c r="AR94" s="183">
        <v>0</v>
      </c>
      <c r="AS94" s="183">
        <v>0</v>
      </c>
      <c r="AT94" s="183">
        <v>0</v>
      </c>
      <c r="AU94" s="183">
        <v>0</v>
      </c>
      <c r="AV94" s="183">
        <v>0</v>
      </c>
      <c r="AW94" s="194" t="s">
        <v>165</v>
      </c>
      <c r="AX94" s="183" t="s">
        <v>165</v>
      </c>
      <c r="AY94" s="1354" t="s">
        <v>165</v>
      </c>
      <c r="AZ94" s="1354" t="s">
        <v>165</v>
      </c>
      <c r="BA94" s="184"/>
      <c r="BB94" s="183"/>
      <c r="BC94" s="183"/>
      <c r="BD94" s="183"/>
      <c r="BE94" s="183"/>
      <c r="BF94" s="183"/>
      <c r="BG94" s="183"/>
      <c r="BH94" s="183"/>
      <c r="BI94" s="184"/>
      <c r="BJ94" s="98"/>
      <c r="BK94" s="11"/>
      <c r="BL94" s="148"/>
      <c r="BM94" s="148"/>
      <c r="BN94" s="148"/>
    </row>
    <row r="95" spans="1:1163">
      <c r="A95" s="126" t="s">
        <v>135</v>
      </c>
      <c r="B95" s="127" t="s">
        <v>93</v>
      </c>
      <c r="C95" s="183">
        <v>0</v>
      </c>
      <c r="D95" s="183">
        <v>0</v>
      </c>
      <c r="E95" s="183">
        <v>0</v>
      </c>
      <c r="F95" s="183">
        <v>0</v>
      </c>
      <c r="G95" s="183">
        <v>0</v>
      </c>
      <c r="H95" s="183">
        <v>0</v>
      </c>
      <c r="I95" s="183">
        <v>0</v>
      </c>
      <c r="J95" s="183">
        <v>0</v>
      </c>
      <c r="K95" s="183">
        <v>0</v>
      </c>
      <c r="L95" s="183">
        <v>0</v>
      </c>
      <c r="M95" s="183">
        <v>0</v>
      </c>
      <c r="N95" s="183">
        <v>0</v>
      </c>
      <c r="O95" s="183">
        <v>0</v>
      </c>
      <c r="P95" s="183">
        <v>0</v>
      </c>
      <c r="Q95" s="183">
        <v>0</v>
      </c>
      <c r="R95" s="183">
        <v>0</v>
      </c>
      <c r="S95" s="183">
        <v>0</v>
      </c>
      <c r="T95" s="183">
        <v>0</v>
      </c>
      <c r="U95" s="183">
        <v>0</v>
      </c>
      <c r="V95" s="183">
        <v>0</v>
      </c>
      <c r="W95" s="183">
        <v>0</v>
      </c>
      <c r="X95" s="183">
        <v>0</v>
      </c>
      <c r="Y95" s="208">
        <v>0</v>
      </c>
      <c r="Z95" s="208">
        <v>0</v>
      </c>
      <c r="AA95" s="208">
        <v>0</v>
      </c>
      <c r="AB95" s="208">
        <v>0</v>
      </c>
      <c r="AC95" s="194">
        <v>8844</v>
      </c>
      <c r="AD95" s="194">
        <v>7499</v>
      </c>
      <c r="AE95" s="202">
        <v>70819</v>
      </c>
      <c r="AF95" s="202">
        <v>45116</v>
      </c>
      <c r="AG95" s="202">
        <v>0</v>
      </c>
      <c r="AH95" s="202">
        <v>0</v>
      </c>
      <c r="AI95" s="202">
        <v>39220</v>
      </c>
      <c r="AJ95" s="202">
        <v>47136</v>
      </c>
      <c r="AK95" s="202">
        <v>1155</v>
      </c>
      <c r="AL95" s="202">
        <v>1213</v>
      </c>
      <c r="AM95" s="187">
        <v>38796</v>
      </c>
      <c r="AN95" s="187">
        <v>22585</v>
      </c>
      <c r="AO95" s="202">
        <v>0</v>
      </c>
      <c r="AP95" s="202">
        <v>0</v>
      </c>
      <c r="AQ95" s="202">
        <v>6</v>
      </c>
      <c r="AR95" s="202">
        <v>3600</v>
      </c>
      <c r="AS95" s="202">
        <v>20742</v>
      </c>
      <c r="AT95" s="202">
        <v>12445</v>
      </c>
      <c r="AU95" s="208">
        <v>14430</v>
      </c>
      <c r="AV95" s="208">
        <v>8658</v>
      </c>
      <c r="AW95" s="194" t="s">
        <v>165</v>
      </c>
      <c r="AX95" s="192" t="s">
        <v>165</v>
      </c>
      <c r="AY95" s="1503" t="s">
        <v>165</v>
      </c>
      <c r="AZ95" s="1503" t="s">
        <v>165</v>
      </c>
      <c r="BA95" s="185"/>
      <c r="BB95" s="192"/>
      <c r="BC95" s="192"/>
      <c r="BD95" s="192"/>
      <c r="BE95" s="192"/>
      <c r="BF95" s="192"/>
      <c r="BG95" s="192"/>
      <c r="BH95" s="192"/>
      <c r="BI95" s="185"/>
      <c r="BJ95" s="98"/>
      <c r="BK95" s="11"/>
      <c r="BL95" s="148"/>
      <c r="BM95" s="148"/>
      <c r="BN95" s="148"/>
    </row>
    <row r="96" spans="1:1163">
      <c r="A96" s="126" t="s">
        <v>149</v>
      </c>
      <c r="B96" s="127" t="s">
        <v>93</v>
      </c>
      <c r="C96" s="183">
        <v>5073</v>
      </c>
      <c r="D96" s="183">
        <v>2780</v>
      </c>
      <c r="E96" s="183">
        <v>0</v>
      </c>
      <c r="F96" s="183">
        <v>0</v>
      </c>
      <c r="G96" s="183">
        <v>0</v>
      </c>
      <c r="H96" s="183">
        <v>0</v>
      </c>
      <c r="I96" s="183">
        <v>0</v>
      </c>
      <c r="J96" s="183">
        <v>0</v>
      </c>
      <c r="K96" s="183">
        <v>0</v>
      </c>
      <c r="L96" s="183">
        <v>0</v>
      </c>
      <c r="M96" s="183">
        <v>0</v>
      </c>
      <c r="N96" s="183">
        <v>0</v>
      </c>
      <c r="O96" s="183">
        <v>0</v>
      </c>
      <c r="P96" s="183">
        <v>0</v>
      </c>
      <c r="Q96" s="183">
        <v>0</v>
      </c>
      <c r="R96" s="183">
        <v>0</v>
      </c>
      <c r="S96" s="183">
        <v>0</v>
      </c>
      <c r="T96" s="183">
        <v>0</v>
      </c>
      <c r="U96" s="183">
        <v>0</v>
      </c>
      <c r="V96" s="183">
        <v>0</v>
      </c>
      <c r="W96" s="183">
        <v>0</v>
      </c>
      <c r="X96" s="183">
        <v>0</v>
      </c>
      <c r="Y96" s="183">
        <v>0</v>
      </c>
      <c r="Z96" s="183">
        <v>0</v>
      </c>
      <c r="AA96" s="183">
        <v>0</v>
      </c>
      <c r="AB96" s="183">
        <v>0</v>
      </c>
      <c r="AC96" s="183">
        <v>0</v>
      </c>
      <c r="AD96" s="183">
        <v>0</v>
      </c>
      <c r="AE96" s="183">
        <v>0</v>
      </c>
      <c r="AF96" s="183">
        <v>0</v>
      </c>
      <c r="AG96" s="183">
        <v>0</v>
      </c>
      <c r="AH96" s="183">
        <v>0</v>
      </c>
      <c r="AI96" s="183">
        <v>0</v>
      </c>
      <c r="AJ96" s="183">
        <v>0</v>
      </c>
      <c r="AK96" s="183">
        <v>0</v>
      </c>
      <c r="AL96" s="183">
        <v>0</v>
      </c>
      <c r="AM96" s="183">
        <v>0</v>
      </c>
      <c r="AN96" s="183">
        <v>0</v>
      </c>
      <c r="AO96" s="183">
        <v>0</v>
      </c>
      <c r="AP96" s="183">
        <v>0</v>
      </c>
      <c r="AQ96" s="183">
        <v>0</v>
      </c>
      <c r="AR96" s="183">
        <v>0</v>
      </c>
      <c r="AS96" s="183">
        <v>0</v>
      </c>
      <c r="AT96" s="183">
        <v>0</v>
      </c>
      <c r="AU96" s="183">
        <v>0</v>
      </c>
      <c r="AV96" s="183">
        <v>0</v>
      </c>
      <c r="AW96" s="194" t="s">
        <v>165</v>
      </c>
      <c r="AX96" s="192" t="s">
        <v>165</v>
      </c>
      <c r="AY96" s="1503" t="s">
        <v>165</v>
      </c>
      <c r="AZ96" s="1503" t="s">
        <v>165</v>
      </c>
      <c r="BA96" s="185"/>
      <c r="BB96" s="192"/>
      <c r="BC96" s="192"/>
      <c r="BD96" s="192"/>
      <c r="BE96" s="192"/>
      <c r="BF96" s="192"/>
      <c r="BG96" s="192"/>
      <c r="BH96" s="192"/>
      <c r="BI96" s="185"/>
      <c r="BJ96" s="98"/>
      <c r="BK96" s="11"/>
      <c r="BL96" s="148"/>
      <c r="BM96" s="148"/>
      <c r="BN96" s="148"/>
    </row>
    <row r="97" spans="1:1163">
      <c r="A97" s="126" t="s">
        <v>150</v>
      </c>
      <c r="B97" s="127" t="s">
        <v>93</v>
      </c>
      <c r="C97" s="183">
        <v>0</v>
      </c>
      <c r="D97" s="183">
        <v>0</v>
      </c>
      <c r="E97" s="183">
        <v>0</v>
      </c>
      <c r="F97" s="183">
        <v>0</v>
      </c>
      <c r="G97" s="183">
        <v>0</v>
      </c>
      <c r="H97" s="183">
        <v>0</v>
      </c>
      <c r="I97" s="183">
        <v>0</v>
      </c>
      <c r="J97" s="183">
        <v>0</v>
      </c>
      <c r="K97" s="183">
        <v>0</v>
      </c>
      <c r="L97" s="183">
        <v>0</v>
      </c>
      <c r="M97" s="183">
        <v>0</v>
      </c>
      <c r="N97" s="183">
        <v>0</v>
      </c>
      <c r="O97" s="183">
        <v>0</v>
      </c>
      <c r="P97" s="183">
        <v>0</v>
      </c>
      <c r="Q97" s="183">
        <v>0</v>
      </c>
      <c r="R97" s="183">
        <v>0</v>
      </c>
      <c r="S97" s="183">
        <v>0</v>
      </c>
      <c r="T97" s="183">
        <v>0</v>
      </c>
      <c r="U97" s="183">
        <v>0</v>
      </c>
      <c r="V97" s="183">
        <v>0</v>
      </c>
      <c r="W97" s="183">
        <v>0</v>
      </c>
      <c r="X97" s="183">
        <v>0</v>
      </c>
      <c r="Y97" s="208">
        <v>0</v>
      </c>
      <c r="Z97" s="208">
        <v>0</v>
      </c>
      <c r="AA97" s="208">
        <v>0</v>
      </c>
      <c r="AB97" s="208">
        <v>0</v>
      </c>
      <c r="AC97" s="194">
        <v>0</v>
      </c>
      <c r="AD97" s="194">
        <v>0</v>
      </c>
      <c r="AE97" s="202">
        <v>2245</v>
      </c>
      <c r="AF97" s="202">
        <v>8392</v>
      </c>
      <c r="AG97" s="202">
        <v>5561</v>
      </c>
      <c r="AH97" s="202">
        <v>19639</v>
      </c>
      <c r="AI97" s="202">
        <v>0</v>
      </c>
      <c r="AJ97" s="202">
        <v>0</v>
      </c>
      <c r="AK97" s="183">
        <v>0</v>
      </c>
      <c r="AL97" s="183">
        <v>0</v>
      </c>
      <c r="AM97" s="208">
        <v>0</v>
      </c>
      <c r="AN97" s="202">
        <v>0</v>
      </c>
      <c r="AO97" s="208">
        <v>0</v>
      </c>
      <c r="AP97" s="202">
        <v>0</v>
      </c>
      <c r="AQ97" s="208">
        <v>0</v>
      </c>
      <c r="AR97" s="202">
        <v>0</v>
      </c>
      <c r="AS97" s="183">
        <v>0</v>
      </c>
      <c r="AT97" s="183">
        <v>0</v>
      </c>
      <c r="AU97" s="208">
        <v>0</v>
      </c>
      <c r="AV97" s="202">
        <v>0</v>
      </c>
      <c r="AW97" s="194" t="s">
        <v>165</v>
      </c>
      <c r="AX97" s="194" t="s">
        <v>165</v>
      </c>
      <c r="AY97" s="720" t="s">
        <v>165</v>
      </c>
      <c r="AZ97" s="720" t="s">
        <v>165</v>
      </c>
      <c r="BA97" s="202"/>
      <c r="BB97" s="194"/>
      <c r="BC97" s="194"/>
      <c r="BD97" s="194"/>
      <c r="BE97" s="194"/>
      <c r="BF97" s="194"/>
      <c r="BG97" s="194"/>
      <c r="BH97" s="194"/>
      <c r="BI97" s="202"/>
      <c r="BJ97" s="98"/>
      <c r="BK97" s="11"/>
      <c r="BL97" s="148"/>
      <c r="BM97" s="148"/>
      <c r="BN97" s="148"/>
    </row>
    <row r="98" spans="1:1163">
      <c r="A98" s="126" t="s">
        <v>151</v>
      </c>
      <c r="B98" s="127" t="s">
        <v>93</v>
      </c>
      <c r="C98" s="183">
        <v>118117</v>
      </c>
      <c r="D98" s="183">
        <v>50606</v>
      </c>
      <c r="E98" s="183">
        <v>1116</v>
      </c>
      <c r="F98" s="183">
        <v>572</v>
      </c>
      <c r="G98" s="183">
        <v>3040</v>
      </c>
      <c r="H98" s="183">
        <v>1524</v>
      </c>
      <c r="I98" s="183">
        <v>1200</v>
      </c>
      <c r="J98" s="183">
        <v>922</v>
      </c>
      <c r="K98" s="183">
        <v>51</v>
      </c>
      <c r="L98" s="183">
        <v>33</v>
      </c>
      <c r="M98" s="183">
        <v>792</v>
      </c>
      <c r="N98" s="183">
        <v>511</v>
      </c>
      <c r="O98" s="183">
        <v>0</v>
      </c>
      <c r="P98" s="183">
        <v>0</v>
      </c>
      <c r="Q98" s="183">
        <v>21</v>
      </c>
      <c r="R98" s="183">
        <v>14</v>
      </c>
      <c r="S98" s="183">
        <v>0</v>
      </c>
      <c r="T98" s="183">
        <v>0</v>
      </c>
      <c r="U98" s="183">
        <v>0</v>
      </c>
      <c r="V98" s="183">
        <v>0</v>
      </c>
      <c r="W98" s="183">
        <v>0</v>
      </c>
      <c r="X98" s="183">
        <v>0</v>
      </c>
      <c r="Y98" s="183">
        <v>0</v>
      </c>
      <c r="Z98" s="183">
        <v>0</v>
      </c>
      <c r="AA98" s="183">
        <v>0</v>
      </c>
      <c r="AB98" s="183">
        <v>0</v>
      </c>
      <c r="AC98" s="183">
        <v>0</v>
      </c>
      <c r="AD98" s="183">
        <v>0</v>
      </c>
      <c r="AE98" s="183">
        <v>0</v>
      </c>
      <c r="AF98" s="183">
        <v>0</v>
      </c>
      <c r="AG98" s="183">
        <v>0</v>
      </c>
      <c r="AH98" s="183">
        <v>0</v>
      </c>
      <c r="AI98" s="183">
        <v>0</v>
      </c>
      <c r="AJ98" s="183">
        <v>0</v>
      </c>
      <c r="AK98" s="183">
        <v>0</v>
      </c>
      <c r="AL98" s="183">
        <v>0</v>
      </c>
      <c r="AM98" s="183">
        <v>0</v>
      </c>
      <c r="AN98" s="183">
        <v>0</v>
      </c>
      <c r="AO98" s="183">
        <v>0</v>
      </c>
      <c r="AP98" s="183">
        <v>0</v>
      </c>
      <c r="AQ98" s="183">
        <v>0</v>
      </c>
      <c r="AR98" s="183">
        <v>0</v>
      </c>
      <c r="AS98" s="183">
        <v>0</v>
      </c>
      <c r="AT98" s="183">
        <v>0</v>
      </c>
      <c r="AU98" s="183">
        <v>0</v>
      </c>
      <c r="AV98" s="183">
        <v>0</v>
      </c>
      <c r="AW98" s="194" t="s">
        <v>165</v>
      </c>
      <c r="AX98" s="183" t="s">
        <v>165</v>
      </c>
      <c r="AY98" s="1354" t="s">
        <v>165</v>
      </c>
      <c r="AZ98" s="1354" t="s">
        <v>165</v>
      </c>
      <c r="BA98" s="183"/>
      <c r="BB98" s="183"/>
      <c r="BC98" s="183"/>
      <c r="BD98" s="183"/>
      <c r="BE98" s="183"/>
      <c r="BF98" s="183"/>
      <c r="BG98" s="183"/>
      <c r="BH98" s="183"/>
      <c r="BI98" s="183"/>
      <c r="BJ98" s="98"/>
      <c r="BK98" s="11"/>
      <c r="BL98" s="148"/>
      <c r="BM98" s="148"/>
      <c r="BN98" s="148"/>
    </row>
    <row r="99" spans="1:1163">
      <c r="A99" s="126" t="s">
        <v>152</v>
      </c>
      <c r="B99" s="127" t="s">
        <v>93</v>
      </c>
      <c r="C99" s="183">
        <v>4</v>
      </c>
      <c r="D99" s="183">
        <v>16994</v>
      </c>
      <c r="E99" s="183">
        <v>0</v>
      </c>
      <c r="F99" s="183">
        <v>0</v>
      </c>
      <c r="G99" s="183">
        <v>0</v>
      </c>
      <c r="H99" s="183">
        <v>0</v>
      </c>
      <c r="I99" s="183">
        <v>0</v>
      </c>
      <c r="J99" s="183">
        <v>0</v>
      </c>
      <c r="K99" s="183">
        <v>0</v>
      </c>
      <c r="L99" s="183">
        <v>0</v>
      </c>
      <c r="M99" s="183">
        <v>0</v>
      </c>
      <c r="N99" s="183">
        <v>0</v>
      </c>
      <c r="O99" s="183">
        <v>0</v>
      </c>
      <c r="P99" s="183">
        <v>0</v>
      </c>
      <c r="Q99" s="183">
        <v>0</v>
      </c>
      <c r="R99" s="183">
        <v>0</v>
      </c>
      <c r="S99" s="183">
        <v>0</v>
      </c>
      <c r="T99" s="183">
        <v>0</v>
      </c>
      <c r="U99" s="183">
        <v>0</v>
      </c>
      <c r="V99" s="183">
        <v>0</v>
      </c>
      <c r="W99" s="183">
        <v>0</v>
      </c>
      <c r="X99" s="183">
        <v>0</v>
      </c>
      <c r="Y99" s="183">
        <v>0</v>
      </c>
      <c r="Z99" s="183">
        <v>0</v>
      </c>
      <c r="AA99" s="183">
        <v>0</v>
      </c>
      <c r="AB99" s="183">
        <v>0</v>
      </c>
      <c r="AC99" s="183">
        <v>0</v>
      </c>
      <c r="AD99" s="183">
        <v>0</v>
      </c>
      <c r="AE99" s="183">
        <v>0</v>
      </c>
      <c r="AF99" s="183">
        <v>0</v>
      </c>
      <c r="AG99" s="183">
        <v>0</v>
      </c>
      <c r="AH99" s="183">
        <v>0</v>
      </c>
      <c r="AI99" s="183">
        <v>0</v>
      </c>
      <c r="AJ99" s="183">
        <v>0</v>
      </c>
      <c r="AK99" s="183">
        <v>0</v>
      </c>
      <c r="AL99" s="183">
        <v>0</v>
      </c>
      <c r="AM99" s="183">
        <v>0</v>
      </c>
      <c r="AN99" s="183">
        <v>0</v>
      </c>
      <c r="AO99" s="183">
        <v>0</v>
      </c>
      <c r="AP99" s="183">
        <v>0</v>
      </c>
      <c r="AQ99" s="183">
        <v>0</v>
      </c>
      <c r="AR99" s="183">
        <v>0</v>
      </c>
      <c r="AS99" s="183">
        <v>0</v>
      </c>
      <c r="AT99" s="183">
        <v>0</v>
      </c>
      <c r="AU99" s="183">
        <v>0</v>
      </c>
      <c r="AV99" s="183">
        <v>0</v>
      </c>
      <c r="AW99" s="194" t="s">
        <v>165</v>
      </c>
      <c r="AX99" s="183" t="s">
        <v>165</v>
      </c>
      <c r="AY99" s="1502" t="s">
        <v>165</v>
      </c>
      <c r="AZ99" s="1502" t="s">
        <v>165</v>
      </c>
      <c r="BA99" s="127"/>
      <c r="BB99" s="135"/>
      <c r="BC99" s="135"/>
      <c r="BD99" s="135"/>
      <c r="BE99" s="135"/>
      <c r="BF99" s="135"/>
      <c r="BG99" s="135"/>
      <c r="BH99" s="135"/>
      <c r="BI99" s="127"/>
      <c r="BJ99" s="98"/>
      <c r="BK99" s="11"/>
      <c r="BL99" s="148"/>
      <c r="BM99" s="148"/>
      <c r="BN99" s="148"/>
    </row>
    <row r="100" spans="1:1163">
      <c r="A100" s="126" t="s">
        <v>153</v>
      </c>
      <c r="B100" s="127" t="s">
        <v>93</v>
      </c>
      <c r="C100" s="183">
        <v>1020</v>
      </c>
      <c r="D100" s="183">
        <v>400</v>
      </c>
      <c r="E100" s="183">
        <v>0</v>
      </c>
      <c r="F100" s="183">
        <v>0</v>
      </c>
      <c r="G100" s="183">
        <v>0</v>
      </c>
      <c r="H100" s="183">
        <v>0</v>
      </c>
      <c r="I100" s="183">
        <v>0</v>
      </c>
      <c r="J100" s="183">
        <v>0</v>
      </c>
      <c r="K100" s="183">
        <v>0</v>
      </c>
      <c r="L100" s="183">
        <v>0</v>
      </c>
      <c r="M100" s="183">
        <v>0</v>
      </c>
      <c r="N100" s="183">
        <v>0</v>
      </c>
      <c r="O100" s="183">
        <v>0</v>
      </c>
      <c r="P100" s="183">
        <v>0</v>
      </c>
      <c r="Q100" s="183">
        <v>0</v>
      </c>
      <c r="R100" s="183">
        <v>0</v>
      </c>
      <c r="S100" s="183">
        <v>0</v>
      </c>
      <c r="T100" s="183">
        <v>0</v>
      </c>
      <c r="U100" s="183">
        <v>0</v>
      </c>
      <c r="V100" s="183">
        <v>0</v>
      </c>
      <c r="W100" s="183">
        <v>0</v>
      </c>
      <c r="X100" s="183">
        <v>0</v>
      </c>
      <c r="Y100" s="183">
        <v>0</v>
      </c>
      <c r="Z100" s="183">
        <v>0</v>
      </c>
      <c r="AA100" s="183">
        <v>0</v>
      </c>
      <c r="AB100" s="183">
        <v>0</v>
      </c>
      <c r="AC100" s="183">
        <v>0</v>
      </c>
      <c r="AD100" s="183">
        <v>0</v>
      </c>
      <c r="AE100" s="183">
        <v>0</v>
      </c>
      <c r="AF100" s="183">
        <v>0</v>
      </c>
      <c r="AG100" s="183">
        <v>0</v>
      </c>
      <c r="AH100" s="183">
        <v>0</v>
      </c>
      <c r="AI100" s="183">
        <v>0</v>
      </c>
      <c r="AJ100" s="183">
        <v>0</v>
      </c>
      <c r="AK100" s="183">
        <v>0</v>
      </c>
      <c r="AL100" s="183">
        <v>0</v>
      </c>
      <c r="AM100" s="183">
        <v>0</v>
      </c>
      <c r="AN100" s="183">
        <v>0</v>
      </c>
      <c r="AO100" s="183">
        <v>0</v>
      </c>
      <c r="AP100" s="183">
        <v>0</v>
      </c>
      <c r="AQ100" s="183">
        <v>0</v>
      </c>
      <c r="AR100" s="183">
        <v>0</v>
      </c>
      <c r="AS100" s="183">
        <v>0</v>
      </c>
      <c r="AT100" s="183">
        <v>0</v>
      </c>
      <c r="AU100" s="183">
        <v>0</v>
      </c>
      <c r="AV100" s="183">
        <v>0</v>
      </c>
      <c r="AW100" s="194" t="s">
        <v>165</v>
      </c>
      <c r="AX100" s="183" t="s">
        <v>165</v>
      </c>
      <c r="AY100" s="1502" t="s">
        <v>165</v>
      </c>
      <c r="AZ100" s="1502" t="s">
        <v>165</v>
      </c>
      <c r="BA100" s="127"/>
      <c r="BB100" s="135"/>
      <c r="BC100" s="135"/>
      <c r="BD100" s="135"/>
      <c r="BE100" s="135"/>
      <c r="BF100" s="135"/>
      <c r="BG100" s="135"/>
      <c r="BH100" s="135"/>
      <c r="BI100" s="127"/>
      <c r="BJ100" s="98"/>
      <c r="BK100" s="11"/>
      <c r="BL100" s="148"/>
      <c r="BM100" s="148"/>
      <c r="BN100" s="148"/>
    </row>
    <row r="101" spans="1:1163">
      <c r="A101" s="126" t="s">
        <v>154</v>
      </c>
      <c r="B101" s="127" t="s">
        <v>93</v>
      </c>
      <c r="C101" s="183">
        <v>3.9550000000000001</v>
      </c>
      <c r="D101" s="183">
        <v>730</v>
      </c>
      <c r="E101" s="183">
        <v>0</v>
      </c>
      <c r="F101" s="183">
        <v>0</v>
      </c>
      <c r="G101" s="183">
        <v>0</v>
      </c>
      <c r="H101" s="183">
        <v>0</v>
      </c>
      <c r="I101" s="183">
        <v>0</v>
      </c>
      <c r="J101" s="183">
        <v>0</v>
      </c>
      <c r="K101" s="183">
        <v>0</v>
      </c>
      <c r="L101" s="183">
        <v>0</v>
      </c>
      <c r="M101" s="183">
        <v>0</v>
      </c>
      <c r="N101" s="183">
        <v>0</v>
      </c>
      <c r="O101" s="183">
        <v>0</v>
      </c>
      <c r="P101" s="183">
        <v>0</v>
      </c>
      <c r="Q101" s="183">
        <v>0</v>
      </c>
      <c r="R101" s="183">
        <v>0</v>
      </c>
      <c r="S101" s="183">
        <v>0</v>
      </c>
      <c r="T101" s="183">
        <v>0</v>
      </c>
      <c r="U101" s="183">
        <v>0</v>
      </c>
      <c r="V101" s="183">
        <v>0</v>
      </c>
      <c r="W101" s="183">
        <v>0</v>
      </c>
      <c r="X101" s="183">
        <v>0</v>
      </c>
      <c r="Y101" s="183">
        <v>0</v>
      </c>
      <c r="Z101" s="183">
        <v>0</v>
      </c>
      <c r="AA101" s="183">
        <v>0</v>
      </c>
      <c r="AB101" s="183">
        <v>0</v>
      </c>
      <c r="AC101" s="183">
        <v>0</v>
      </c>
      <c r="AD101" s="183">
        <v>0</v>
      </c>
      <c r="AE101" s="183">
        <v>0</v>
      </c>
      <c r="AF101" s="183">
        <v>0</v>
      </c>
      <c r="AG101" s="183">
        <v>0</v>
      </c>
      <c r="AH101" s="183">
        <v>0</v>
      </c>
      <c r="AI101" s="183">
        <v>0</v>
      </c>
      <c r="AJ101" s="183">
        <v>0</v>
      </c>
      <c r="AK101" s="183">
        <v>0</v>
      </c>
      <c r="AL101" s="183">
        <v>0</v>
      </c>
      <c r="AM101" s="183">
        <v>0</v>
      </c>
      <c r="AN101" s="183">
        <v>0</v>
      </c>
      <c r="AO101" s="183">
        <v>0</v>
      </c>
      <c r="AP101" s="183">
        <v>0</v>
      </c>
      <c r="AQ101" s="183">
        <v>0</v>
      </c>
      <c r="AR101" s="183">
        <v>0</v>
      </c>
      <c r="AS101" s="183">
        <v>0</v>
      </c>
      <c r="AT101" s="183">
        <v>0</v>
      </c>
      <c r="AU101" s="183">
        <v>0</v>
      </c>
      <c r="AV101" s="183">
        <v>0</v>
      </c>
      <c r="AW101" s="194" t="s">
        <v>165</v>
      </c>
      <c r="AX101" s="183" t="s">
        <v>165</v>
      </c>
      <c r="AY101" s="1502" t="s">
        <v>165</v>
      </c>
      <c r="AZ101" s="1502" t="s">
        <v>165</v>
      </c>
      <c r="BA101" s="127"/>
      <c r="BB101" s="135"/>
      <c r="BC101" s="135"/>
      <c r="BD101" s="135"/>
      <c r="BE101" s="135"/>
      <c r="BF101" s="135"/>
      <c r="BG101" s="135"/>
      <c r="BH101" s="135"/>
      <c r="BI101" s="127"/>
      <c r="BJ101" s="98"/>
      <c r="BK101" s="11"/>
      <c r="BL101" s="148"/>
      <c r="BM101" s="148"/>
      <c r="BN101" s="148"/>
    </row>
    <row r="102" spans="1:1163">
      <c r="A102" s="126" t="s">
        <v>138</v>
      </c>
      <c r="B102" s="127" t="s">
        <v>93</v>
      </c>
      <c r="C102" s="183">
        <v>33484</v>
      </c>
      <c r="D102" s="183">
        <v>13545</v>
      </c>
      <c r="E102" s="183">
        <v>0</v>
      </c>
      <c r="F102" s="183">
        <v>0</v>
      </c>
      <c r="G102" s="183">
        <v>0</v>
      </c>
      <c r="H102" s="183">
        <v>0</v>
      </c>
      <c r="I102" s="183">
        <v>0</v>
      </c>
      <c r="J102" s="183">
        <v>0</v>
      </c>
      <c r="K102" s="183">
        <v>0</v>
      </c>
      <c r="L102" s="183">
        <v>0</v>
      </c>
      <c r="M102" s="183">
        <v>0</v>
      </c>
      <c r="N102" s="183">
        <v>0</v>
      </c>
      <c r="O102" s="183">
        <v>0</v>
      </c>
      <c r="P102" s="183">
        <v>0</v>
      </c>
      <c r="Q102" s="183">
        <v>0</v>
      </c>
      <c r="R102" s="183">
        <v>0</v>
      </c>
      <c r="S102" s="183">
        <v>0</v>
      </c>
      <c r="T102" s="183">
        <v>0</v>
      </c>
      <c r="U102" s="183">
        <v>0</v>
      </c>
      <c r="V102" s="183">
        <v>0</v>
      </c>
      <c r="W102" s="183">
        <v>0</v>
      </c>
      <c r="X102" s="183">
        <v>0</v>
      </c>
      <c r="Y102" s="183">
        <v>0</v>
      </c>
      <c r="Z102" s="183">
        <v>0</v>
      </c>
      <c r="AA102" s="183">
        <v>0</v>
      </c>
      <c r="AB102" s="183">
        <v>0</v>
      </c>
      <c r="AC102" s="183">
        <v>0</v>
      </c>
      <c r="AD102" s="183">
        <v>0</v>
      </c>
      <c r="AE102" s="183">
        <v>0</v>
      </c>
      <c r="AF102" s="183">
        <v>0</v>
      </c>
      <c r="AG102" s="183">
        <v>0</v>
      </c>
      <c r="AH102" s="183">
        <v>0</v>
      </c>
      <c r="AI102" s="183">
        <v>0</v>
      </c>
      <c r="AJ102" s="183">
        <v>0</v>
      </c>
      <c r="AK102" s="183">
        <v>0</v>
      </c>
      <c r="AL102" s="183">
        <v>0</v>
      </c>
      <c r="AM102" s="183">
        <v>0</v>
      </c>
      <c r="AN102" s="183">
        <v>0</v>
      </c>
      <c r="AO102" s="183">
        <v>0</v>
      </c>
      <c r="AP102" s="183">
        <v>0</v>
      </c>
      <c r="AQ102" s="183">
        <v>0</v>
      </c>
      <c r="AR102" s="183">
        <v>0</v>
      </c>
      <c r="AS102" s="183">
        <v>0</v>
      </c>
      <c r="AT102" s="183">
        <v>0</v>
      </c>
      <c r="AU102" s="183">
        <v>0</v>
      </c>
      <c r="AV102" s="183">
        <v>0</v>
      </c>
      <c r="AW102" s="194" t="s">
        <v>165</v>
      </c>
      <c r="AX102" s="183" t="s">
        <v>165</v>
      </c>
      <c r="AY102" s="1502" t="s">
        <v>165</v>
      </c>
      <c r="AZ102" s="1502" t="s">
        <v>165</v>
      </c>
      <c r="BA102" s="127"/>
      <c r="BB102" s="135"/>
      <c r="BC102" s="135"/>
      <c r="BD102" s="135"/>
      <c r="BE102" s="135"/>
      <c r="BF102" s="135"/>
      <c r="BG102" s="135"/>
      <c r="BH102" s="135"/>
      <c r="BI102" s="127"/>
      <c r="BJ102" s="98"/>
      <c r="BK102" s="11"/>
      <c r="BL102" s="148"/>
      <c r="BM102" s="148"/>
      <c r="BN102" s="148"/>
    </row>
    <row r="103" spans="1:1163">
      <c r="A103" s="126" t="s">
        <v>155</v>
      </c>
      <c r="B103" s="127" t="s">
        <v>93</v>
      </c>
      <c r="C103" s="183">
        <v>1422</v>
      </c>
      <c r="D103" s="183">
        <v>5378</v>
      </c>
      <c r="E103" s="183">
        <v>615</v>
      </c>
      <c r="F103" s="183">
        <v>2150</v>
      </c>
      <c r="G103" s="183">
        <v>270</v>
      </c>
      <c r="H103" s="183">
        <v>1080</v>
      </c>
      <c r="I103" s="183">
        <v>0</v>
      </c>
      <c r="J103" s="183">
        <v>0</v>
      </c>
      <c r="K103" s="183">
        <v>0</v>
      </c>
      <c r="L103" s="183">
        <v>0</v>
      </c>
      <c r="M103" s="183">
        <v>0</v>
      </c>
      <c r="N103" s="183">
        <v>0</v>
      </c>
      <c r="O103" s="183">
        <v>0</v>
      </c>
      <c r="P103" s="183">
        <v>0</v>
      </c>
      <c r="Q103" s="183">
        <v>0</v>
      </c>
      <c r="R103" s="183">
        <v>0</v>
      </c>
      <c r="S103" s="183">
        <v>0</v>
      </c>
      <c r="T103" s="183">
        <v>0</v>
      </c>
      <c r="U103" s="183">
        <v>0</v>
      </c>
      <c r="V103" s="183">
        <v>0</v>
      </c>
      <c r="W103" s="183">
        <v>0</v>
      </c>
      <c r="X103" s="183">
        <v>0</v>
      </c>
      <c r="Y103" s="183">
        <v>0</v>
      </c>
      <c r="Z103" s="183">
        <v>0</v>
      </c>
      <c r="AA103" s="183">
        <v>0</v>
      </c>
      <c r="AB103" s="183">
        <v>0</v>
      </c>
      <c r="AC103" s="183">
        <v>0</v>
      </c>
      <c r="AD103" s="183">
        <v>0</v>
      </c>
      <c r="AE103" s="183">
        <v>0</v>
      </c>
      <c r="AF103" s="183">
        <v>0</v>
      </c>
      <c r="AG103" s="183">
        <v>0</v>
      </c>
      <c r="AH103" s="183">
        <v>0</v>
      </c>
      <c r="AI103" s="183">
        <v>0</v>
      </c>
      <c r="AJ103" s="183">
        <v>0</v>
      </c>
      <c r="AK103" s="183">
        <v>0</v>
      </c>
      <c r="AL103" s="183">
        <v>0</v>
      </c>
      <c r="AM103" s="183">
        <v>0</v>
      </c>
      <c r="AN103" s="183">
        <v>0</v>
      </c>
      <c r="AO103" s="183">
        <v>0</v>
      </c>
      <c r="AP103" s="183">
        <v>0</v>
      </c>
      <c r="AQ103" s="183">
        <v>0</v>
      </c>
      <c r="AR103" s="183">
        <v>0</v>
      </c>
      <c r="AS103" s="183">
        <v>0</v>
      </c>
      <c r="AT103" s="183">
        <v>0</v>
      </c>
      <c r="AU103" s="183">
        <v>0</v>
      </c>
      <c r="AV103" s="183">
        <v>0</v>
      </c>
      <c r="AW103" s="194" t="s">
        <v>165</v>
      </c>
      <c r="AX103" s="183" t="s">
        <v>165</v>
      </c>
      <c r="AY103" s="1354" t="s">
        <v>165</v>
      </c>
      <c r="AZ103" s="1354" t="s">
        <v>165</v>
      </c>
      <c r="BA103" s="184"/>
      <c r="BB103" s="183"/>
      <c r="BC103" s="183"/>
      <c r="BD103" s="183"/>
      <c r="BE103" s="183"/>
      <c r="BF103" s="183"/>
      <c r="BG103" s="183"/>
      <c r="BH103" s="183"/>
      <c r="BI103" s="184"/>
      <c r="BJ103" s="98"/>
      <c r="BK103" s="11"/>
      <c r="BL103" s="148"/>
      <c r="BN103" s="148"/>
    </row>
    <row r="104" spans="1:1163">
      <c r="A104" s="126" t="s">
        <v>156</v>
      </c>
      <c r="B104" s="127" t="s">
        <v>93</v>
      </c>
      <c r="C104" s="183">
        <v>20447</v>
      </c>
      <c r="D104" s="183">
        <v>14412</v>
      </c>
      <c r="E104" s="183">
        <v>0</v>
      </c>
      <c r="F104" s="183">
        <v>0</v>
      </c>
      <c r="G104" s="183">
        <v>0</v>
      </c>
      <c r="H104" s="183">
        <v>0</v>
      </c>
      <c r="I104" s="183">
        <v>0</v>
      </c>
      <c r="J104" s="183">
        <v>0</v>
      </c>
      <c r="K104" s="183">
        <v>0</v>
      </c>
      <c r="L104" s="183">
        <v>0</v>
      </c>
      <c r="M104" s="183">
        <v>0</v>
      </c>
      <c r="N104" s="183">
        <v>0</v>
      </c>
      <c r="O104" s="183">
        <v>54</v>
      </c>
      <c r="P104" s="183">
        <v>50214</v>
      </c>
      <c r="Q104" s="183">
        <v>0</v>
      </c>
      <c r="R104" s="183">
        <v>0</v>
      </c>
      <c r="S104" s="183">
        <v>0</v>
      </c>
      <c r="T104" s="183">
        <v>0</v>
      </c>
      <c r="U104" s="183">
        <v>0</v>
      </c>
      <c r="V104" s="183">
        <v>0</v>
      </c>
      <c r="W104" s="183">
        <v>0</v>
      </c>
      <c r="X104" s="183">
        <v>0</v>
      </c>
      <c r="Y104" s="183">
        <v>0</v>
      </c>
      <c r="Z104" s="183">
        <v>0</v>
      </c>
      <c r="AA104" s="183">
        <v>0</v>
      </c>
      <c r="AB104" s="183">
        <v>0</v>
      </c>
      <c r="AC104" s="183">
        <v>0</v>
      </c>
      <c r="AD104" s="183">
        <v>0</v>
      </c>
      <c r="AE104" s="183">
        <v>0</v>
      </c>
      <c r="AF104" s="183">
        <v>0</v>
      </c>
      <c r="AG104" s="183">
        <v>0</v>
      </c>
      <c r="AH104" s="183">
        <v>0</v>
      </c>
      <c r="AI104" s="183">
        <v>0</v>
      </c>
      <c r="AJ104" s="183">
        <v>0</v>
      </c>
      <c r="AK104" s="183">
        <v>0</v>
      </c>
      <c r="AL104" s="183">
        <v>0</v>
      </c>
      <c r="AM104" s="183">
        <v>0</v>
      </c>
      <c r="AN104" s="183">
        <v>0</v>
      </c>
      <c r="AO104" s="183">
        <v>0</v>
      </c>
      <c r="AP104" s="183">
        <v>0</v>
      </c>
      <c r="AQ104" s="183">
        <v>0</v>
      </c>
      <c r="AR104" s="183">
        <v>0</v>
      </c>
      <c r="AS104" s="183">
        <v>0</v>
      </c>
      <c r="AT104" s="183">
        <v>0</v>
      </c>
      <c r="AU104" s="183">
        <v>0</v>
      </c>
      <c r="AV104" s="183">
        <v>0</v>
      </c>
      <c r="AW104" s="194" t="s">
        <v>165</v>
      </c>
      <c r="AX104" s="183" t="s">
        <v>165</v>
      </c>
      <c r="AY104" s="1354" t="s">
        <v>165</v>
      </c>
      <c r="AZ104" s="1354" t="s">
        <v>165</v>
      </c>
      <c r="BA104" s="183"/>
      <c r="BB104" s="183"/>
      <c r="BC104" s="183"/>
      <c r="BD104" s="183"/>
      <c r="BE104" s="183"/>
      <c r="BF104" s="183"/>
      <c r="BG104" s="183"/>
      <c r="BH104" s="183"/>
      <c r="BI104" s="183"/>
      <c r="BJ104" s="98"/>
      <c r="BK104" s="11"/>
      <c r="BL104" s="148"/>
      <c r="BM104" s="148"/>
      <c r="BN104" s="148"/>
    </row>
    <row r="105" spans="1:1163">
      <c r="A105" s="126" t="s">
        <v>157</v>
      </c>
      <c r="B105" s="127" t="s">
        <v>93</v>
      </c>
      <c r="C105" s="183">
        <v>1035</v>
      </c>
      <c r="D105" s="183">
        <v>2124</v>
      </c>
      <c r="E105" s="183">
        <v>0</v>
      </c>
      <c r="F105" s="183">
        <v>0</v>
      </c>
      <c r="G105" s="183">
        <v>0</v>
      </c>
      <c r="H105" s="183">
        <v>0</v>
      </c>
      <c r="I105" s="183">
        <v>0</v>
      </c>
      <c r="J105" s="183">
        <v>0</v>
      </c>
      <c r="K105" s="183">
        <v>0</v>
      </c>
      <c r="L105" s="183">
        <v>0</v>
      </c>
      <c r="M105" s="183">
        <v>0</v>
      </c>
      <c r="N105" s="183">
        <v>0</v>
      </c>
      <c r="O105" s="183">
        <v>0</v>
      </c>
      <c r="P105" s="183">
        <v>0</v>
      </c>
      <c r="Q105" s="183">
        <v>0</v>
      </c>
      <c r="R105" s="183">
        <v>0</v>
      </c>
      <c r="S105" s="183">
        <v>0</v>
      </c>
      <c r="T105" s="183">
        <v>0</v>
      </c>
      <c r="U105" s="183">
        <v>0</v>
      </c>
      <c r="V105" s="183">
        <v>0</v>
      </c>
      <c r="W105" s="183">
        <v>0</v>
      </c>
      <c r="X105" s="183">
        <v>0</v>
      </c>
      <c r="Y105" s="208">
        <v>0</v>
      </c>
      <c r="Z105" s="208">
        <v>0</v>
      </c>
      <c r="AA105" s="208">
        <v>0</v>
      </c>
      <c r="AB105" s="208">
        <v>0</v>
      </c>
      <c r="AC105" s="194">
        <v>81</v>
      </c>
      <c r="AD105" s="194">
        <v>15713</v>
      </c>
      <c r="AE105" s="202">
        <v>7</v>
      </c>
      <c r="AF105" s="202">
        <v>1425</v>
      </c>
      <c r="AG105" s="202">
        <v>0</v>
      </c>
      <c r="AH105" s="202">
        <v>0</v>
      </c>
      <c r="AI105" s="202">
        <v>0</v>
      </c>
      <c r="AJ105" s="202">
        <v>0</v>
      </c>
      <c r="AK105" s="202">
        <v>0</v>
      </c>
      <c r="AL105" s="202">
        <v>0</v>
      </c>
      <c r="AM105" s="202">
        <v>0</v>
      </c>
      <c r="AN105" s="202">
        <v>0</v>
      </c>
      <c r="AO105" s="202">
        <v>0</v>
      </c>
      <c r="AP105" s="202">
        <v>0</v>
      </c>
      <c r="AQ105" s="202">
        <v>0</v>
      </c>
      <c r="AR105" s="202">
        <v>0</v>
      </c>
      <c r="AS105" s="202">
        <v>0</v>
      </c>
      <c r="AT105" s="202">
        <v>0</v>
      </c>
      <c r="AU105" s="183">
        <v>0</v>
      </c>
      <c r="AV105" s="183">
        <v>0</v>
      </c>
      <c r="AW105" s="194" t="s">
        <v>165</v>
      </c>
      <c r="AX105" s="194" t="s">
        <v>165</v>
      </c>
      <c r="AY105" s="720" t="s">
        <v>165</v>
      </c>
      <c r="AZ105" s="720" t="s">
        <v>165</v>
      </c>
      <c r="BA105" s="202"/>
      <c r="BB105" s="194"/>
      <c r="BC105" s="194"/>
      <c r="BD105" s="194"/>
      <c r="BE105" s="194"/>
      <c r="BF105" s="194"/>
      <c r="BG105" s="194"/>
      <c r="BH105" s="194"/>
      <c r="BI105" s="202"/>
      <c r="BJ105" s="98"/>
      <c r="BK105" s="11"/>
      <c r="BL105" s="148"/>
      <c r="BM105" s="148"/>
      <c r="BN105" s="148"/>
    </row>
    <row r="106" spans="1:1163">
      <c r="A106" s="126" t="s">
        <v>158</v>
      </c>
      <c r="B106" s="127" t="s">
        <v>93</v>
      </c>
      <c r="C106" s="183">
        <v>0</v>
      </c>
      <c r="D106" s="183">
        <v>0</v>
      </c>
      <c r="E106" s="183">
        <v>0</v>
      </c>
      <c r="F106" s="183">
        <v>0</v>
      </c>
      <c r="G106" s="183">
        <v>0</v>
      </c>
      <c r="H106" s="183">
        <v>0</v>
      </c>
      <c r="I106" s="183">
        <v>0</v>
      </c>
      <c r="J106" s="183">
        <v>0</v>
      </c>
      <c r="K106" s="183">
        <v>0</v>
      </c>
      <c r="L106" s="183">
        <v>0</v>
      </c>
      <c r="M106" s="183">
        <v>0</v>
      </c>
      <c r="N106" s="183">
        <v>0</v>
      </c>
      <c r="O106" s="183">
        <v>0</v>
      </c>
      <c r="P106" s="183">
        <v>0</v>
      </c>
      <c r="Q106" s="183">
        <v>0</v>
      </c>
      <c r="R106" s="183">
        <v>0</v>
      </c>
      <c r="S106" s="183">
        <v>0</v>
      </c>
      <c r="T106" s="183">
        <v>0</v>
      </c>
      <c r="U106" s="183">
        <v>0</v>
      </c>
      <c r="V106" s="183">
        <v>0</v>
      </c>
      <c r="W106" s="183">
        <v>0</v>
      </c>
      <c r="X106" s="183">
        <v>0</v>
      </c>
      <c r="Y106" s="208">
        <v>0</v>
      </c>
      <c r="Z106" s="208">
        <v>0</v>
      </c>
      <c r="AA106" s="208">
        <v>0</v>
      </c>
      <c r="AB106" s="208">
        <v>0</v>
      </c>
      <c r="AC106" s="183">
        <v>1143</v>
      </c>
      <c r="AD106" s="183">
        <v>6680</v>
      </c>
      <c r="AE106" s="202">
        <v>720</v>
      </c>
      <c r="AF106" s="202">
        <v>870</v>
      </c>
      <c r="AG106" s="202">
        <v>0</v>
      </c>
      <c r="AH106" s="202">
        <v>0</v>
      </c>
      <c r="AI106" s="202">
        <v>25701</v>
      </c>
      <c r="AJ106" s="202">
        <v>35990</v>
      </c>
      <c r="AK106" s="183">
        <v>0</v>
      </c>
      <c r="AL106" s="183">
        <v>0</v>
      </c>
      <c r="AM106" s="187">
        <v>28730</v>
      </c>
      <c r="AN106" s="187">
        <v>17238</v>
      </c>
      <c r="AO106" s="202">
        <v>0</v>
      </c>
      <c r="AP106" s="202">
        <v>0</v>
      </c>
      <c r="AQ106" s="202">
        <v>60</v>
      </c>
      <c r="AR106" s="202">
        <v>36000</v>
      </c>
      <c r="AS106" s="202">
        <v>40.090000000000003</v>
      </c>
      <c r="AT106" s="202">
        <v>24054</v>
      </c>
      <c r="AU106" s="208">
        <v>111830</v>
      </c>
      <c r="AV106" s="208">
        <v>67098</v>
      </c>
      <c r="AW106" s="194" t="s">
        <v>165</v>
      </c>
      <c r="AX106" s="192" t="s">
        <v>165</v>
      </c>
      <c r="AY106" s="1503" t="s">
        <v>165</v>
      </c>
      <c r="AZ106" s="1503" t="s">
        <v>165</v>
      </c>
      <c r="BA106" s="185"/>
      <c r="BB106" s="192"/>
      <c r="BC106" s="192"/>
      <c r="BD106" s="192"/>
      <c r="BE106" s="192"/>
      <c r="BF106" s="192"/>
      <c r="BG106" s="192"/>
      <c r="BH106" s="192"/>
      <c r="BI106" s="185"/>
      <c r="BJ106" s="98"/>
      <c r="BK106" s="11"/>
      <c r="BN106" s="148"/>
    </row>
    <row r="107" spans="1:1163">
      <c r="A107" s="126" t="s">
        <v>159</v>
      </c>
      <c r="B107" s="127" t="s">
        <v>93</v>
      </c>
      <c r="C107" s="183">
        <v>0</v>
      </c>
      <c r="D107" s="183">
        <v>0</v>
      </c>
      <c r="E107" s="183">
        <v>0</v>
      </c>
      <c r="F107" s="183">
        <v>0</v>
      </c>
      <c r="G107" s="183">
        <v>0</v>
      </c>
      <c r="H107" s="183">
        <v>0</v>
      </c>
      <c r="I107" s="183">
        <v>0</v>
      </c>
      <c r="J107" s="183">
        <v>0</v>
      </c>
      <c r="K107" s="183">
        <v>0</v>
      </c>
      <c r="L107" s="183">
        <v>0</v>
      </c>
      <c r="M107" s="183">
        <v>0</v>
      </c>
      <c r="N107" s="183">
        <v>0</v>
      </c>
      <c r="O107" s="183">
        <v>0</v>
      </c>
      <c r="P107" s="183">
        <v>0</v>
      </c>
      <c r="Q107" s="183">
        <v>0</v>
      </c>
      <c r="R107" s="183">
        <v>0</v>
      </c>
      <c r="S107" s="183">
        <v>0</v>
      </c>
      <c r="T107" s="183">
        <v>0</v>
      </c>
      <c r="U107" s="183">
        <v>0</v>
      </c>
      <c r="V107" s="183">
        <v>0</v>
      </c>
      <c r="W107" s="194">
        <v>1260</v>
      </c>
      <c r="X107" s="194">
        <v>12600</v>
      </c>
      <c r="Y107" s="208">
        <v>0</v>
      </c>
      <c r="Z107" s="208">
        <v>0</v>
      </c>
      <c r="AA107" s="208">
        <v>0</v>
      </c>
      <c r="AB107" s="208">
        <v>0</v>
      </c>
      <c r="AC107" s="208">
        <v>0</v>
      </c>
      <c r="AD107" s="208">
        <v>0</v>
      </c>
      <c r="AE107" s="208">
        <v>0</v>
      </c>
      <c r="AF107" s="208">
        <v>0</v>
      </c>
      <c r="AG107" s="208">
        <v>0</v>
      </c>
      <c r="AH107" s="208">
        <v>0</v>
      </c>
      <c r="AI107" s="208">
        <v>0</v>
      </c>
      <c r="AJ107" s="208">
        <v>0</v>
      </c>
      <c r="AK107" s="208">
        <v>0</v>
      </c>
      <c r="AL107" s="208">
        <v>0</v>
      </c>
      <c r="AM107" s="208">
        <v>0</v>
      </c>
      <c r="AN107" s="208">
        <v>0</v>
      </c>
      <c r="AO107" s="208">
        <v>0</v>
      </c>
      <c r="AP107" s="208">
        <v>0</v>
      </c>
      <c r="AQ107" s="208">
        <v>0</v>
      </c>
      <c r="AR107" s="208">
        <v>0</v>
      </c>
      <c r="AS107" s="208">
        <v>0</v>
      </c>
      <c r="AT107" s="208">
        <v>0</v>
      </c>
      <c r="AU107" s="208">
        <v>0</v>
      </c>
      <c r="AV107" s="208">
        <v>0</v>
      </c>
      <c r="AW107" s="194" t="s">
        <v>165</v>
      </c>
      <c r="AX107" s="194" t="s">
        <v>165</v>
      </c>
      <c r="AY107" s="720" t="s">
        <v>165</v>
      </c>
      <c r="AZ107" s="720" t="s">
        <v>165</v>
      </c>
      <c r="BA107" s="202"/>
      <c r="BB107" s="194"/>
      <c r="BC107" s="194"/>
      <c r="BD107" s="194"/>
      <c r="BE107" s="194"/>
      <c r="BF107" s="194"/>
      <c r="BG107" s="194"/>
      <c r="BH107" s="194"/>
      <c r="BI107" s="202"/>
      <c r="BJ107" s="98"/>
      <c r="BK107" s="148"/>
      <c r="BL107" s="148"/>
      <c r="BN107" s="148"/>
    </row>
    <row r="108" spans="1:1163">
      <c r="A108" s="129" t="s">
        <v>160</v>
      </c>
      <c r="B108" s="225"/>
      <c r="C108" s="194"/>
      <c r="D108" s="194">
        <f>SUM(D87:D107)</f>
        <v>450462</v>
      </c>
      <c r="E108" s="194"/>
      <c r="F108" s="194">
        <f>SUM(F87:F107)</f>
        <v>86983</v>
      </c>
      <c r="G108" s="194"/>
      <c r="H108" s="194">
        <f>SUM(H87:H107)</f>
        <v>7114</v>
      </c>
      <c r="I108" s="194"/>
      <c r="J108" s="194">
        <f>SUM(J87:J107)</f>
        <v>39907</v>
      </c>
      <c r="K108" s="194"/>
      <c r="L108" s="194">
        <f>SUM(L87:L107)</f>
        <v>73784</v>
      </c>
      <c r="M108" s="194"/>
      <c r="N108" s="194">
        <f>SUM(N87:N107)</f>
        <v>60704</v>
      </c>
      <c r="O108" s="194"/>
      <c r="P108" s="194">
        <f>SUM(P87:P107)</f>
        <v>140582</v>
      </c>
      <c r="Q108" s="194"/>
      <c r="R108" s="194">
        <f>SUM(R87:R107)</f>
        <v>54199</v>
      </c>
      <c r="S108" s="194"/>
      <c r="T108" s="194">
        <f>SUM(T87:T107)</f>
        <v>195500</v>
      </c>
      <c r="U108" s="202"/>
      <c r="V108" s="202">
        <f>SUM(V87:V107)</f>
        <v>288126</v>
      </c>
      <c r="W108" s="184"/>
      <c r="X108" s="183">
        <f>SUM(X87:X107)</f>
        <v>187287</v>
      </c>
      <c r="Y108" s="202"/>
      <c r="Z108" s="202">
        <f>SUM(Z87:Z107)</f>
        <v>3291</v>
      </c>
      <c r="AA108" s="202"/>
      <c r="AB108" s="208">
        <f>SUM(AB87:AB107)</f>
        <v>163926</v>
      </c>
      <c r="AC108" s="183"/>
      <c r="AD108" s="183">
        <f>SUM(AD87:AD107)</f>
        <v>1332783</v>
      </c>
      <c r="AE108" s="202"/>
      <c r="AF108" s="208">
        <f>SUM(AF87:AF107)</f>
        <v>1215324</v>
      </c>
      <c r="AG108" s="202"/>
      <c r="AH108" s="202">
        <f>SUM(AH87:AH107)</f>
        <v>1610808</v>
      </c>
      <c r="AI108" s="202"/>
      <c r="AJ108" s="202">
        <f>SUM(AJ87:AJ107)</f>
        <v>749726</v>
      </c>
      <c r="AK108" s="202"/>
      <c r="AL108" s="202">
        <f>SUM(AL87:AL107)</f>
        <v>25893</v>
      </c>
      <c r="AM108" s="202"/>
      <c r="AN108" s="202">
        <f>SUM(AN87:AN106)</f>
        <v>51848</v>
      </c>
      <c r="AO108" s="196"/>
      <c r="AP108" s="202">
        <f>SUM(AP87:AP107)</f>
        <v>4027</v>
      </c>
      <c r="AQ108" s="202"/>
      <c r="AR108" s="202">
        <f>SUM(AR87:AR107)</f>
        <v>54006</v>
      </c>
      <c r="AS108" s="202"/>
      <c r="AT108" s="202">
        <f>SUM(AT87:AT107)</f>
        <v>41194</v>
      </c>
      <c r="AU108" s="202"/>
      <c r="AV108" s="202">
        <f>SUM(AV87:AV107)</f>
        <v>135243</v>
      </c>
      <c r="AW108" s="208">
        <v>540965</v>
      </c>
      <c r="AX108" s="208">
        <v>546807</v>
      </c>
      <c r="AY108" s="183">
        <v>180669</v>
      </c>
      <c r="AZ108" s="183">
        <v>219320.33</v>
      </c>
      <c r="BA108" s="183"/>
      <c r="BB108" s="183"/>
      <c r="BC108" s="202"/>
      <c r="BD108" s="183"/>
      <c r="BE108" s="202"/>
      <c r="BF108" s="148"/>
      <c r="BG108" s="202"/>
      <c r="BH108" s="148"/>
      <c r="BI108" s="202"/>
      <c r="BJ108" s="98"/>
      <c r="BK108" s="148"/>
      <c r="BL108" s="148"/>
      <c r="BN108" s="148"/>
    </row>
    <row r="109" spans="1:1163">
      <c r="A109" s="129"/>
      <c r="B109" s="225"/>
      <c r="C109" s="194"/>
      <c r="D109" s="194"/>
      <c r="E109" s="194"/>
      <c r="F109" s="194"/>
      <c r="G109" s="194"/>
      <c r="H109" s="194"/>
      <c r="I109" s="194"/>
      <c r="J109" s="194"/>
      <c r="K109" s="194"/>
      <c r="L109" s="194"/>
      <c r="M109" s="194"/>
      <c r="N109" s="194"/>
      <c r="O109" s="194"/>
      <c r="P109" s="194"/>
      <c r="Q109" s="194"/>
      <c r="R109" s="194"/>
      <c r="S109" s="194"/>
      <c r="T109" s="194"/>
      <c r="U109" s="202"/>
      <c r="V109" s="202"/>
      <c r="W109" s="184"/>
      <c r="X109" s="183"/>
      <c r="Y109" s="202"/>
      <c r="Z109" s="202"/>
      <c r="AA109" s="202"/>
      <c r="AB109" s="208"/>
      <c r="AC109" s="183"/>
      <c r="AD109" s="183"/>
      <c r="AE109" s="202"/>
      <c r="AF109" s="208"/>
      <c r="AG109" s="202"/>
      <c r="AH109" s="202"/>
      <c r="AI109" s="202"/>
      <c r="AJ109" s="202"/>
      <c r="AK109" s="202"/>
      <c r="AL109" s="202"/>
      <c r="AM109" s="202"/>
      <c r="AN109" s="202"/>
      <c r="AO109" s="196"/>
      <c r="AP109" s="202"/>
      <c r="AQ109" s="202"/>
      <c r="AR109" s="202"/>
      <c r="AS109" s="202"/>
      <c r="AT109" s="202"/>
      <c r="AU109" s="202"/>
      <c r="AV109" s="202"/>
      <c r="AW109" s="166"/>
      <c r="AX109" s="166"/>
      <c r="AY109" s="165"/>
      <c r="AZ109" s="165"/>
      <c r="BA109" s="196"/>
      <c r="BB109" s="166"/>
      <c r="BC109" s="166"/>
      <c r="BD109" s="166"/>
      <c r="BE109" s="166"/>
      <c r="BF109" s="166"/>
      <c r="BG109" s="166"/>
      <c r="BH109" s="166"/>
      <c r="BI109" s="196"/>
      <c r="BJ109" s="98"/>
      <c r="BN109" s="148"/>
    </row>
    <row r="110" spans="1:1163" s="174" customFormat="1">
      <c r="A110" s="118" t="s">
        <v>161</v>
      </c>
      <c r="B110" s="119" t="s">
        <v>67</v>
      </c>
      <c r="C110" s="175">
        <v>6571</v>
      </c>
      <c r="D110" s="175">
        <v>300679</v>
      </c>
      <c r="E110" s="175">
        <v>0</v>
      </c>
      <c r="F110" s="175">
        <v>0</v>
      </c>
      <c r="G110" s="175">
        <v>0</v>
      </c>
      <c r="H110" s="175">
        <v>0</v>
      </c>
      <c r="I110" s="175">
        <v>0</v>
      </c>
      <c r="J110" s="175">
        <v>0</v>
      </c>
      <c r="K110" s="175">
        <v>0</v>
      </c>
      <c r="L110" s="175">
        <v>0</v>
      </c>
      <c r="M110" s="175">
        <v>0</v>
      </c>
      <c r="N110" s="175">
        <v>0</v>
      </c>
      <c r="O110" s="175">
        <v>0</v>
      </c>
      <c r="P110" s="175">
        <v>0</v>
      </c>
      <c r="Q110" s="175">
        <v>0</v>
      </c>
      <c r="R110" s="175">
        <v>0</v>
      </c>
      <c r="S110" s="175">
        <v>0</v>
      </c>
      <c r="T110" s="175">
        <v>0</v>
      </c>
      <c r="U110" s="175">
        <v>0</v>
      </c>
      <c r="V110" s="175">
        <v>0</v>
      </c>
      <c r="W110" s="175">
        <v>0</v>
      </c>
      <c r="X110" s="175">
        <v>0</v>
      </c>
      <c r="Y110" s="175">
        <v>0</v>
      </c>
      <c r="Z110" s="175">
        <v>0</v>
      </c>
      <c r="AA110" s="175">
        <v>0</v>
      </c>
      <c r="AB110" s="175">
        <v>0</v>
      </c>
      <c r="AC110" s="175">
        <v>0</v>
      </c>
      <c r="AD110" s="175">
        <v>0</v>
      </c>
      <c r="AE110" s="175">
        <v>0</v>
      </c>
      <c r="AF110" s="175">
        <v>0</v>
      </c>
      <c r="AG110" s="175">
        <v>0</v>
      </c>
      <c r="AH110" s="175">
        <v>0</v>
      </c>
      <c r="AI110" s="175">
        <v>0</v>
      </c>
      <c r="AJ110" s="175">
        <v>0</v>
      </c>
      <c r="AK110" s="175">
        <v>0</v>
      </c>
      <c r="AL110" s="175">
        <v>0</v>
      </c>
      <c r="AM110" s="175">
        <v>0</v>
      </c>
      <c r="AN110" s="175">
        <v>0</v>
      </c>
      <c r="AO110" s="175">
        <v>0</v>
      </c>
      <c r="AP110" s="175">
        <v>0</v>
      </c>
      <c r="AQ110" s="175">
        <v>0</v>
      </c>
      <c r="AR110" s="175">
        <v>0</v>
      </c>
      <c r="AS110" s="175">
        <v>0</v>
      </c>
      <c r="AT110" s="175">
        <v>0</v>
      </c>
      <c r="AU110" s="175">
        <v>0</v>
      </c>
      <c r="AV110" s="175">
        <v>0</v>
      </c>
      <c r="AW110" s="175">
        <v>0</v>
      </c>
      <c r="AX110" s="175">
        <v>0</v>
      </c>
      <c r="AY110" s="175">
        <v>0</v>
      </c>
      <c r="AZ110" s="175">
        <v>0</v>
      </c>
      <c r="BA110" s="119"/>
      <c r="BB110" s="175"/>
      <c r="BC110" s="175"/>
      <c r="BD110" s="175"/>
      <c r="BE110" s="142"/>
      <c r="BF110" s="175"/>
      <c r="BG110" s="175"/>
      <c r="BH110" s="175"/>
      <c r="BI110" s="142"/>
      <c r="BJ110" s="98"/>
      <c r="BK110" s="148"/>
      <c r="BL110" s="98"/>
      <c r="BM110" s="98"/>
      <c r="BN110" s="14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8"/>
      <c r="DV110" s="98"/>
      <c r="DW110" s="98"/>
      <c r="DX110" s="98"/>
      <c r="DY110" s="98"/>
      <c r="DZ110" s="98"/>
      <c r="EA110" s="98"/>
      <c r="EB110" s="98"/>
      <c r="EC110" s="98"/>
      <c r="ED110" s="98"/>
      <c r="EE110" s="98"/>
      <c r="EF110" s="98"/>
      <c r="EG110" s="98"/>
      <c r="EH110" s="98"/>
      <c r="EI110" s="98"/>
      <c r="EJ110" s="98"/>
      <c r="EK110" s="98"/>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c r="IW110" s="98"/>
      <c r="IX110" s="98"/>
      <c r="IY110" s="98"/>
      <c r="IZ110" s="98"/>
      <c r="JA110" s="98"/>
      <c r="JB110" s="98"/>
      <c r="JC110" s="98"/>
      <c r="JD110" s="98"/>
      <c r="JE110" s="98"/>
      <c r="JF110" s="98"/>
      <c r="JG110" s="98"/>
      <c r="JH110" s="98"/>
      <c r="JI110" s="98"/>
      <c r="JJ110" s="98"/>
      <c r="JK110" s="98"/>
      <c r="JL110" s="98"/>
      <c r="JM110" s="98"/>
      <c r="JN110" s="98"/>
      <c r="JO110" s="98"/>
      <c r="JP110" s="98"/>
      <c r="JQ110" s="98"/>
      <c r="JR110" s="98"/>
      <c r="JS110" s="98"/>
      <c r="JT110" s="98"/>
      <c r="JU110" s="98"/>
      <c r="JV110" s="98"/>
      <c r="JW110" s="98"/>
      <c r="JX110" s="98"/>
      <c r="JY110" s="98"/>
      <c r="JZ110" s="98"/>
      <c r="KA110" s="98"/>
      <c r="KB110" s="98"/>
      <c r="KC110" s="98"/>
      <c r="KD110" s="98"/>
      <c r="KE110" s="98"/>
      <c r="KF110" s="98"/>
      <c r="KG110" s="98"/>
      <c r="KH110" s="98"/>
      <c r="KI110" s="98"/>
      <c r="KJ110" s="98"/>
      <c r="KK110" s="98"/>
      <c r="KL110" s="98"/>
      <c r="KM110" s="98"/>
      <c r="KN110" s="98"/>
      <c r="KO110" s="98"/>
      <c r="KP110" s="98"/>
      <c r="KQ110" s="98"/>
      <c r="KR110" s="98"/>
      <c r="KS110" s="98"/>
      <c r="KT110" s="98"/>
      <c r="KU110" s="98"/>
      <c r="KV110" s="98"/>
      <c r="KW110" s="98"/>
      <c r="KX110" s="98"/>
      <c r="KY110" s="98"/>
      <c r="KZ110" s="98"/>
      <c r="LA110" s="98"/>
      <c r="LB110" s="98"/>
      <c r="LC110" s="98"/>
      <c r="LD110" s="98"/>
      <c r="LE110" s="98"/>
      <c r="LF110" s="98"/>
      <c r="LG110" s="98"/>
      <c r="LH110" s="98"/>
      <c r="LI110" s="98"/>
      <c r="LJ110" s="98"/>
      <c r="LK110" s="98"/>
      <c r="LL110" s="98"/>
      <c r="LM110" s="98"/>
      <c r="LN110" s="98"/>
      <c r="LO110" s="98"/>
      <c r="LP110" s="98"/>
      <c r="LQ110" s="98"/>
      <c r="LR110" s="98"/>
      <c r="LS110" s="98"/>
      <c r="LT110" s="98"/>
      <c r="LU110" s="98"/>
      <c r="LV110" s="98"/>
      <c r="LW110" s="98"/>
      <c r="LX110" s="98"/>
      <c r="LY110" s="98"/>
      <c r="LZ110" s="98"/>
      <c r="MA110" s="98"/>
      <c r="MB110" s="98"/>
      <c r="MC110" s="98"/>
      <c r="MD110" s="98"/>
      <c r="ME110" s="98"/>
      <c r="MF110" s="98"/>
      <c r="MG110" s="98"/>
      <c r="MH110" s="98"/>
      <c r="MI110" s="98"/>
      <c r="MJ110" s="98"/>
      <c r="MK110" s="98"/>
      <c r="ML110" s="98"/>
      <c r="MM110" s="98"/>
      <c r="MN110" s="98"/>
      <c r="MO110" s="98"/>
      <c r="MP110" s="98"/>
      <c r="MQ110" s="98"/>
      <c r="MR110" s="98"/>
      <c r="MS110" s="98"/>
      <c r="MT110" s="98"/>
      <c r="MU110" s="98"/>
      <c r="MV110" s="98"/>
      <c r="MW110" s="98"/>
      <c r="MX110" s="98"/>
      <c r="MY110" s="98"/>
      <c r="MZ110" s="98"/>
      <c r="NA110" s="98"/>
      <c r="NB110" s="98"/>
      <c r="NC110" s="98"/>
      <c r="ND110" s="98"/>
      <c r="NE110" s="98"/>
      <c r="NF110" s="98"/>
      <c r="NG110" s="98"/>
      <c r="NH110" s="98"/>
      <c r="NI110" s="98"/>
      <c r="NJ110" s="98"/>
      <c r="NK110" s="98"/>
      <c r="NL110" s="98"/>
      <c r="NM110" s="98"/>
      <c r="NN110" s="98"/>
      <c r="NO110" s="98"/>
      <c r="NP110" s="98"/>
      <c r="NQ110" s="98"/>
      <c r="NR110" s="98"/>
      <c r="NS110" s="98"/>
      <c r="NT110" s="98"/>
      <c r="NU110" s="98"/>
      <c r="NV110" s="98"/>
      <c r="NW110" s="98"/>
      <c r="NX110" s="98"/>
      <c r="NY110" s="98"/>
      <c r="NZ110" s="98"/>
      <c r="OA110" s="98"/>
      <c r="OB110" s="98"/>
      <c r="OC110" s="98"/>
      <c r="OD110" s="98"/>
      <c r="OE110" s="98"/>
      <c r="OF110" s="98"/>
      <c r="OG110" s="98"/>
      <c r="OH110" s="98"/>
      <c r="OI110" s="98"/>
      <c r="OJ110" s="98"/>
      <c r="OK110" s="98"/>
      <c r="OL110" s="98"/>
      <c r="OM110" s="98"/>
      <c r="ON110" s="98"/>
      <c r="OO110" s="98"/>
      <c r="OP110" s="98"/>
      <c r="OQ110" s="98"/>
      <c r="OR110" s="98"/>
      <c r="OS110" s="98"/>
      <c r="OT110" s="98"/>
      <c r="OU110" s="98"/>
      <c r="OV110" s="98"/>
      <c r="OW110" s="98"/>
      <c r="OX110" s="98"/>
      <c r="OY110" s="98"/>
      <c r="OZ110" s="98"/>
      <c r="PA110" s="98"/>
      <c r="PB110" s="98"/>
      <c r="PC110" s="98"/>
      <c r="PD110" s="98"/>
      <c r="PE110" s="98"/>
      <c r="PF110" s="98"/>
      <c r="PG110" s="98"/>
      <c r="PH110" s="98"/>
      <c r="PI110" s="98"/>
      <c r="PJ110" s="98"/>
      <c r="PK110" s="98"/>
      <c r="PL110" s="98"/>
      <c r="PM110" s="98"/>
      <c r="PN110" s="98"/>
      <c r="PO110" s="98"/>
      <c r="PP110" s="98"/>
      <c r="PQ110" s="98"/>
      <c r="PR110" s="98"/>
      <c r="PS110" s="98"/>
      <c r="PT110" s="98"/>
      <c r="PU110" s="98"/>
      <c r="PV110" s="98"/>
      <c r="PW110" s="98"/>
      <c r="PX110" s="98"/>
      <c r="PY110" s="98"/>
      <c r="PZ110" s="98"/>
      <c r="QA110" s="98"/>
      <c r="QB110" s="98"/>
      <c r="QC110" s="98"/>
      <c r="QD110" s="98"/>
      <c r="QE110" s="98"/>
      <c r="QF110" s="98"/>
      <c r="QG110" s="98"/>
      <c r="QH110" s="98"/>
      <c r="QI110" s="98"/>
      <c r="QJ110" s="98"/>
      <c r="QK110" s="98"/>
      <c r="QL110" s="98"/>
      <c r="QM110" s="98"/>
      <c r="QN110" s="98"/>
      <c r="QO110" s="98"/>
      <c r="QP110" s="98"/>
      <c r="QQ110" s="98"/>
      <c r="QR110" s="98"/>
      <c r="QS110" s="98"/>
      <c r="QT110" s="98"/>
      <c r="QU110" s="98"/>
      <c r="QV110" s="98"/>
      <c r="QW110" s="98"/>
      <c r="QX110" s="98"/>
      <c r="QY110" s="98"/>
      <c r="QZ110" s="98"/>
      <c r="RA110" s="98"/>
      <c r="RB110" s="98"/>
      <c r="RC110" s="98"/>
      <c r="RD110" s="98"/>
      <c r="RE110" s="98"/>
      <c r="RF110" s="98"/>
      <c r="RG110" s="98"/>
      <c r="RH110" s="98"/>
      <c r="RI110" s="98"/>
      <c r="RJ110" s="98"/>
      <c r="RK110" s="98"/>
      <c r="RL110" s="98"/>
      <c r="RM110" s="98"/>
      <c r="RN110" s="98"/>
      <c r="RO110" s="98"/>
      <c r="RP110" s="98"/>
      <c r="RQ110" s="98"/>
      <c r="RR110" s="98"/>
      <c r="RS110" s="98"/>
      <c r="RT110" s="98"/>
      <c r="RU110" s="98"/>
      <c r="RV110" s="98"/>
      <c r="RW110" s="98"/>
      <c r="RX110" s="98"/>
      <c r="RY110" s="98"/>
      <c r="RZ110" s="98"/>
      <c r="SA110" s="98"/>
      <c r="SB110" s="98"/>
      <c r="SC110" s="98"/>
      <c r="SD110" s="98"/>
      <c r="SE110" s="98"/>
      <c r="SF110" s="98"/>
      <c r="SG110" s="98"/>
      <c r="SH110" s="98"/>
      <c r="SI110" s="98"/>
      <c r="SJ110" s="98"/>
      <c r="SK110" s="98"/>
      <c r="SL110" s="98"/>
      <c r="SM110" s="98"/>
      <c r="SN110" s="98"/>
      <c r="SO110" s="98"/>
      <c r="SP110" s="98"/>
      <c r="SQ110" s="98"/>
      <c r="SR110" s="98"/>
      <c r="SS110" s="98"/>
      <c r="ST110" s="98"/>
      <c r="SU110" s="98"/>
      <c r="SV110" s="98"/>
      <c r="SW110" s="98"/>
      <c r="SX110" s="98"/>
      <c r="SY110" s="98"/>
      <c r="SZ110" s="98"/>
      <c r="TA110" s="98"/>
      <c r="TB110" s="98"/>
      <c r="TC110" s="98"/>
      <c r="TD110" s="98"/>
      <c r="TE110" s="98"/>
      <c r="TF110" s="98"/>
      <c r="TG110" s="98"/>
      <c r="TH110" s="98"/>
      <c r="TI110" s="98"/>
      <c r="TJ110" s="98"/>
      <c r="TK110" s="98"/>
      <c r="TL110" s="98"/>
      <c r="TM110" s="98"/>
      <c r="TN110" s="98"/>
      <c r="TO110" s="98"/>
      <c r="TP110" s="98"/>
      <c r="TQ110" s="98"/>
      <c r="TR110" s="98"/>
      <c r="TS110" s="98"/>
      <c r="TT110" s="98"/>
      <c r="TU110" s="98"/>
      <c r="TV110" s="98"/>
      <c r="TW110" s="98"/>
      <c r="TX110" s="98"/>
      <c r="TY110" s="98"/>
      <c r="TZ110" s="98"/>
      <c r="UA110" s="98"/>
      <c r="UB110" s="98"/>
      <c r="UC110" s="98"/>
      <c r="UD110" s="98"/>
      <c r="UE110" s="98"/>
      <c r="UF110" s="98"/>
      <c r="UG110" s="98"/>
      <c r="UH110" s="98"/>
      <c r="UI110" s="98"/>
      <c r="UJ110" s="98"/>
      <c r="UK110" s="98"/>
      <c r="UL110" s="98"/>
      <c r="UM110" s="98"/>
      <c r="UN110" s="98"/>
      <c r="UO110" s="98"/>
      <c r="UP110" s="98"/>
      <c r="UQ110" s="98"/>
      <c r="UR110" s="98"/>
      <c r="US110" s="98"/>
      <c r="UT110" s="98"/>
      <c r="UU110" s="98"/>
      <c r="UV110" s="98"/>
      <c r="UW110" s="98"/>
      <c r="UX110" s="98"/>
      <c r="UY110" s="98"/>
      <c r="UZ110" s="98"/>
      <c r="VA110" s="98"/>
      <c r="VB110" s="98"/>
      <c r="VC110" s="98"/>
      <c r="VD110" s="98"/>
      <c r="VE110" s="98"/>
      <c r="VF110" s="98"/>
      <c r="VG110" s="98"/>
      <c r="VH110" s="98"/>
      <c r="VI110" s="98"/>
      <c r="VJ110" s="98"/>
      <c r="VK110" s="98"/>
      <c r="VL110" s="98"/>
      <c r="VM110" s="98"/>
      <c r="VN110" s="98"/>
      <c r="VO110" s="98"/>
      <c r="VP110" s="98"/>
      <c r="VQ110" s="98"/>
      <c r="VR110" s="98"/>
      <c r="VS110" s="98"/>
      <c r="VT110" s="98"/>
      <c r="VU110" s="98"/>
      <c r="VV110" s="98"/>
      <c r="VW110" s="98"/>
      <c r="VX110" s="98"/>
      <c r="VY110" s="98"/>
      <c r="VZ110" s="98"/>
      <c r="WA110" s="98"/>
      <c r="WB110" s="98"/>
      <c r="WC110" s="98"/>
      <c r="WD110" s="98"/>
      <c r="WE110" s="98"/>
      <c r="WF110" s="98"/>
      <c r="WG110" s="98"/>
      <c r="WH110" s="98"/>
      <c r="WI110" s="98"/>
      <c r="WJ110" s="98"/>
      <c r="WK110" s="98"/>
      <c r="WL110" s="98"/>
      <c r="WM110" s="98"/>
      <c r="WN110" s="98"/>
      <c r="WO110" s="98"/>
      <c r="WP110" s="98"/>
      <c r="WQ110" s="98"/>
      <c r="WR110" s="98"/>
      <c r="WS110" s="98"/>
      <c r="WT110" s="98"/>
      <c r="WU110" s="98"/>
      <c r="WV110" s="98"/>
      <c r="WW110" s="98"/>
      <c r="WX110" s="98"/>
      <c r="WY110" s="98"/>
      <c r="WZ110" s="98"/>
      <c r="XA110" s="98"/>
      <c r="XB110" s="98"/>
      <c r="XC110" s="98"/>
      <c r="XD110" s="98"/>
      <c r="XE110" s="98"/>
      <c r="XF110" s="98"/>
      <c r="XG110" s="98"/>
      <c r="XH110" s="98"/>
      <c r="XI110" s="98"/>
      <c r="XJ110" s="98"/>
      <c r="XK110" s="98"/>
      <c r="XL110" s="98"/>
      <c r="XM110" s="98"/>
      <c r="XN110" s="98"/>
      <c r="XO110" s="98"/>
      <c r="XP110" s="98"/>
      <c r="XQ110" s="98"/>
      <c r="XR110" s="98"/>
      <c r="XS110" s="98"/>
      <c r="XT110" s="98"/>
      <c r="XU110" s="98"/>
      <c r="XV110" s="98"/>
      <c r="XW110" s="98"/>
      <c r="XX110" s="98"/>
      <c r="XY110" s="98"/>
      <c r="XZ110" s="98"/>
      <c r="YA110" s="98"/>
      <c r="YB110" s="98"/>
      <c r="YC110" s="98"/>
      <c r="YD110" s="98"/>
      <c r="YE110" s="98"/>
      <c r="YF110" s="98"/>
      <c r="YG110" s="98"/>
      <c r="YH110" s="98"/>
      <c r="YI110" s="98"/>
      <c r="YJ110" s="98"/>
      <c r="YK110" s="98"/>
      <c r="YL110" s="98"/>
      <c r="YM110" s="98"/>
      <c r="YN110" s="98"/>
      <c r="YO110" s="98"/>
      <c r="YP110" s="98"/>
      <c r="YQ110" s="98"/>
      <c r="YR110" s="98"/>
      <c r="YS110" s="98"/>
      <c r="YT110" s="98"/>
      <c r="YU110" s="98"/>
      <c r="YV110" s="98"/>
      <c r="YW110" s="98"/>
      <c r="YX110" s="98"/>
      <c r="YY110" s="98"/>
      <c r="YZ110" s="98"/>
      <c r="ZA110" s="98"/>
      <c r="ZB110" s="98"/>
      <c r="ZC110" s="98"/>
      <c r="ZD110" s="98"/>
      <c r="ZE110" s="98"/>
      <c r="ZF110" s="98"/>
      <c r="ZG110" s="98"/>
      <c r="ZH110" s="98"/>
      <c r="ZI110" s="98"/>
      <c r="ZJ110" s="98"/>
      <c r="ZK110" s="98"/>
      <c r="ZL110" s="98"/>
      <c r="ZM110" s="98"/>
      <c r="ZN110" s="98"/>
      <c r="ZO110" s="98"/>
      <c r="ZP110" s="98"/>
      <c r="ZQ110" s="98"/>
      <c r="ZR110" s="98"/>
      <c r="ZS110" s="98"/>
      <c r="ZT110" s="98"/>
      <c r="ZU110" s="98"/>
      <c r="ZV110" s="98"/>
      <c r="ZW110" s="98"/>
      <c r="ZX110" s="98"/>
      <c r="ZY110" s="98"/>
      <c r="ZZ110" s="98"/>
      <c r="AAA110" s="98"/>
      <c r="AAB110" s="98"/>
      <c r="AAC110" s="98"/>
      <c r="AAD110" s="98"/>
      <c r="AAE110" s="98"/>
      <c r="AAF110" s="98"/>
      <c r="AAG110" s="98"/>
      <c r="AAH110" s="98"/>
      <c r="AAI110" s="98"/>
      <c r="AAJ110" s="98"/>
      <c r="AAK110" s="98"/>
      <c r="AAL110" s="98"/>
      <c r="AAM110" s="98"/>
      <c r="AAN110" s="98"/>
      <c r="AAO110" s="98"/>
      <c r="AAP110" s="98"/>
      <c r="AAQ110" s="98"/>
      <c r="AAR110" s="98"/>
      <c r="AAS110" s="98"/>
      <c r="AAT110" s="98"/>
      <c r="AAU110" s="98"/>
      <c r="AAV110" s="98"/>
      <c r="AAW110" s="98"/>
      <c r="AAX110" s="98"/>
      <c r="AAY110" s="98"/>
      <c r="AAZ110" s="98"/>
      <c r="ABA110" s="98"/>
      <c r="ABB110" s="98"/>
      <c r="ABC110" s="98"/>
      <c r="ABD110" s="98"/>
      <c r="ABE110" s="98"/>
      <c r="ABF110" s="98"/>
      <c r="ABG110" s="98"/>
      <c r="ABH110" s="98"/>
      <c r="ABI110" s="98"/>
      <c r="ABJ110" s="98"/>
      <c r="ABK110" s="98"/>
      <c r="ABL110" s="98"/>
      <c r="ABM110" s="98"/>
      <c r="ABN110" s="98"/>
      <c r="ABO110" s="98"/>
      <c r="ABP110" s="98"/>
      <c r="ABQ110" s="98"/>
      <c r="ABR110" s="98"/>
      <c r="ABS110" s="98"/>
      <c r="ABT110" s="98"/>
      <c r="ABU110" s="98"/>
      <c r="ABV110" s="98"/>
      <c r="ABW110" s="98"/>
      <c r="ABX110" s="98"/>
      <c r="ABY110" s="98"/>
      <c r="ABZ110" s="98"/>
      <c r="ACA110" s="98"/>
      <c r="ACB110" s="98"/>
      <c r="ACC110" s="98"/>
      <c r="ACD110" s="98"/>
      <c r="ACE110" s="98"/>
      <c r="ACF110" s="98"/>
      <c r="ACG110" s="98"/>
      <c r="ACH110" s="98"/>
      <c r="ACI110" s="98"/>
      <c r="ACJ110" s="98"/>
      <c r="ACK110" s="98"/>
      <c r="ACL110" s="98"/>
      <c r="ACM110" s="98"/>
      <c r="ACN110" s="98"/>
      <c r="ACO110" s="98"/>
      <c r="ACP110" s="98"/>
      <c r="ACQ110" s="98"/>
      <c r="ACR110" s="98"/>
      <c r="ACS110" s="98"/>
      <c r="ACT110" s="98"/>
      <c r="ACU110" s="98"/>
      <c r="ACV110" s="98"/>
      <c r="ACW110" s="98"/>
      <c r="ACX110" s="98"/>
      <c r="ACY110" s="98"/>
      <c r="ACZ110" s="98"/>
      <c r="ADA110" s="98"/>
      <c r="ADB110" s="98"/>
      <c r="ADC110" s="98"/>
      <c r="ADD110" s="98"/>
      <c r="ADE110" s="98"/>
      <c r="ADF110" s="98"/>
      <c r="ADG110" s="98"/>
      <c r="ADH110" s="98"/>
      <c r="ADI110" s="98"/>
      <c r="ADJ110" s="98"/>
      <c r="ADK110" s="98"/>
      <c r="ADL110" s="98"/>
      <c r="ADM110" s="98"/>
      <c r="ADN110" s="98"/>
      <c r="ADO110" s="98"/>
      <c r="ADP110" s="98"/>
      <c r="ADQ110" s="98"/>
      <c r="ADR110" s="98"/>
      <c r="ADS110" s="98"/>
      <c r="ADT110" s="98"/>
      <c r="ADU110" s="98"/>
      <c r="ADV110" s="98"/>
      <c r="ADW110" s="98"/>
      <c r="ADX110" s="98"/>
      <c r="ADY110" s="98"/>
      <c r="ADZ110" s="98"/>
      <c r="AEA110" s="98"/>
      <c r="AEB110" s="98"/>
      <c r="AEC110" s="98"/>
      <c r="AED110" s="98"/>
      <c r="AEE110" s="98"/>
      <c r="AEF110" s="98"/>
      <c r="AEG110" s="98"/>
      <c r="AEH110" s="98"/>
      <c r="AEI110" s="98"/>
      <c r="AEJ110" s="98"/>
      <c r="AEK110" s="98"/>
      <c r="AEL110" s="98"/>
      <c r="AEM110" s="98"/>
      <c r="AEN110" s="98"/>
      <c r="AEO110" s="98"/>
      <c r="AEP110" s="98"/>
      <c r="AEQ110" s="98"/>
      <c r="AER110" s="98"/>
      <c r="AES110" s="98"/>
      <c r="AET110" s="98"/>
      <c r="AEU110" s="98"/>
      <c r="AEV110" s="98"/>
      <c r="AEW110" s="98"/>
      <c r="AEX110" s="98"/>
      <c r="AEY110" s="98"/>
      <c r="AEZ110" s="98"/>
      <c r="AFA110" s="98"/>
      <c r="AFB110" s="98"/>
      <c r="AFC110" s="98"/>
      <c r="AFD110" s="98"/>
      <c r="AFE110" s="98"/>
      <c r="AFF110" s="98"/>
      <c r="AFG110" s="98"/>
      <c r="AFH110" s="98"/>
      <c r="AFI110" s="98"/>
      <c r="AFJ110" s="98"/>
      <c r="AFK110" s="98"/>
      <c r="AFL110" s="98"/>
      <c r="AFM110" s="98"/>
      <c r="AFN110" s="98"/>
      <c r="AFO110" s="98"/>
      <c r="AFP110" s="98"/>
      <c r="AFQ110" s="98"/>
      <c r="AFR110" s="98"/>
      <c r="AFS110" s="98"/>
      <c r="AFT110" s="98"/>
      <c r="AFU110" s="98"/>
      <c r="AFV110" s="98"/>
      <c r="AFW110" s="98"/>
      <c r="AFX110" s="98"/>
      <c r="AFY110" s="98"/>
      <c r="AFZ110" s="98"/>
      <c r="AGA110" s="98"/>
      <c r="AGB110" s="98"/>
      <c r="AGC110" s="98"/>
      <c r="AGD110" s="98"/>
      <c r="AGE110" s="98"/>
      <c r="AGF110" s="98"/>
      <c r="AGG110" s="98"/>
      <c r="AGH110" s="98"/>
      <c r="AGI110" s="98"/>
      <c r="AGJ110" s="98"/>
      <c r="AGK110" s="98"/>
      <c r="AGL110" s="98"/>
      <c r="AGM110" s="98"/>
      <c r="AGN110" s="98"/>
      <c r="AGO110" s="98"/>
      <c r="AGP110" s="98"/>
      <c r="AGQ110" s="98"/>
      <c r="AGR110" s="98"/>
      <c r="AGS110" s="98"/>
      <c r="AGT110" s="98"/>
      <c r="AGU110" s="98"/>
      <c r="AGV110" s="98"/>
      <c r="AGW110" s="98"/>
      <c r="AGX110" s="98"/>
      <c r="AGY110" s="98"/>
      <c r="AGZ110" s="98"/>
      <c r="AHA110" s="98"/>
      <c r="AHB110" s="98"/>
      <c r="AHC110" s="98"/>
      <c r="AHD110" s="98"/>
      <c r="AHE110" s="98"/>
      <c r="AHF110" s="98"/>
      <c r="AHG110" s="98"/>
      <c r="AHH110" s="98"/>
      <c r="AHI110" s="98"/>
      <c r="AHJ110" s="98"/>
      <c r="AHK110" s="98"/>
      <c r="AHL110" s="98"/>
      <c r="AHM110" s="98"/>
      <c r="AHN110" s="98"/>
      <c r="AHO110" s="98"/>
      <c r="AHP110" s="98"/>
      <c r="AHQ110" s="98"/>
      <c r="AHR110" s="98"/>
      <c r="AHS110" s="98"/>
      <c r="AHT110" s="98"/>
      <c r="AHU110" s="98"/>
      <c r="AHV110" s="98"/>
      <c r="AHW110" s="98"/>
      <c r="AHX110" s="98"/>
      <c r="AHY110" s="98"/>
      <c r="AHZ110" s="98"/>
      <c r="AIA110" s="98"/>
      <c r="AIB110" s="98"/>
      <c r="AIC110" s="98"/>
      <c r="AID110" s="98"/>
      <c r="AIE110" s="98"/>
      <c r="AIF110" s="98"/>
      <c r="AIG110" s="98"/>
      <c r="AIH110" s="98"/>
      <c r="AII110" s="98"/>
      <c r="AIJ110" s="98"/>
      <c r="AIK110" s="98"/>
      <c r="AIL110" s="98"/>
      <c r="AIM110" s="98"/>
      <c r="AIN110" s="98"/>
      <c r="AIO110" s="98"/>
      <c r="AIP110" s="98"/>
      <c r="AIQ110" s="98"/>
      <c r="AIR110" s="98"/>
      <c r="AIS110" s="98"/>
      <c r="AIT110" s="98"/>
      <c r="AIU110" s="98"/>
      <c r="AIV110" s="98"/>
      <c r="AIW110" s="98"/>
      <c r="AIX110" s="98"/>
      <c r="AIY110" s="98"/>
      <c r="AIZ110" s="98"/>
      <c r="AJA110" s="98"/>
      <c r="AJB110" s="98"/>
      <c r="AJC110" s="98"/>
      <c r="AJD110" s="98"/>
      <c r="AJE110" s="98"/>
      <c r="AJF110" s="98"/>
      <c r="AJG110" s="98"/>
      <c r="AJH110" s="98"/>
      <c r="AJI110" s="98"/>
      <c r="AJJ110" s="98"/>
      <c r="AJK110" s="98"/>
      <c r="AJL110" s="98"/>
      <c r="AJM110" s="98"/>
      <c r="AJN110" s="98"/>
      <c r="AJO110" s="98"/>
      <c r="AJP110" s="98"/>
      <c r="AJQ110" s="98"/>
      <c r="AJR110" s="98"/>
      <c r="AJS110" s="98"/>
      <c r="AJT110" s="98"/>
      <c r="AJU110" s="98"/>
      <c r="AJV110" s="98"/>
      <c r="AJW110" s="98"/>
      <c r="AJX110" s="98"/>
      <c r="AJY110" s="98"/>
      <c r="AJZ110" s="98"/>
      <c r="AKA110" s="98"/>
      <c r="AKB110" s="98"/>
      <c r="AKC110" s="98"/>
      <c r="AKD110" s="98"/>
      <c r="AKE110" s="98"/>
      <c r="AKF110" s="98"/>
      <c r="AKG110" s="98"/>
      <c r="AKH110" s="98"/>
      <c r="AKI110" s="98"/>
      <c r="AKJ110" s="98"/>
      <c r="AKK110" s="98"/>
      <c r="AKL110" s="98"/>
      <c r="AKM110" s="98"/>
      <c r="AKN110" s="98"/>
      <c r="AKO110" s="98"/>
      <c r="AKP110" s="98"/>
      <c r="AKQ110" s="98"/>
      <c r="AKR110" s="98"/>
      <c r="AKS110" s="98"/>
      <c r="AKT110" s="98"/>
      <c r="AKU110" s="98"/>
      <c r="AKV110" s="98"/>
      <c r="AKW110" s="98"/>
      <c r="AKX110" s="98"/>
      <c r="AKY110" s="98"/>
      <c r="AKZ110" s="98"/>
      <c r="ALA110" s="98"/>
      <c r="ALB110" s="98"/>
      <c r="ALC110" s="98"/>
      <c r="ALD110" s="98"/>
      <c r="ALE110" s="98"/>
      <c r="ALF110" s="98"/>
      <c r="ALG110" s="98"/>
      <c r="ALH110" s="98"/>
      <c r="ALI110" s="98"/>
      <c r="ALJ110" s="98"/>
      <c r="ALK110" s="98"/>
      <c r="ALL110" s="98"/>
      <c r="ALM110" s="98"/>
      <c r="ALN110" s="98"/>
      <c r="ALO110" s="98"/>
      <c r="ALP110" s="98"/>
      <c r="ALQ110" s="98"/>
      <c r="ALR110" s="98"/>
      <c r="ALS110" s="98"/>
      <c r="ALT110" s="98"/>
      <c r="ALU110" s="98"/>
      <c r="ALV110" s="98"/>
      <c r="ALW110" s="98"/>
      <c r="ALX110" s="98"/>
      <c r="ALY110" s="98"/>
      <c r="ALZ110" s="98"/>
      <c r="AMA110" s="98"/>
      <c r="AMB110" s="98"/>
      <c r="AMC110" s="98"/>
      <c r="AMD110" s="98"/>
      <c r="AME110" s="98"/>
      <c r="AMF110" s="98"/>
      <c r="AMG110" s="98"/>
      <c r="AMH110" s="98"/>
      <c r="AMI110" s="98"/>
      <c r="AMJ110" s="98"/>
      <c r="AMK110" s="98"/>
      <c r="AML110" s="98"/>
      <c r="AMM110" s="98"/>
      <c r="AMN110" s="98"/>
      <c r="AMO110" s="98"/>
      <c r="AMP110" s="98"/>
      <c r="AMQ110" s="98"/>
      <c r="AMR110" s="98"/>
      <c r="AMS110" s="98"/>
      <c r="AMT110" s="98"/>
      <c r="AMU110" s="98"/>
      <c r="AMV110" s="98"/>
      <c r="AMW110" s="98"/>
      <c r="AMX110" s="98"/>
      <c r="AMY110" s="98"/>
      <c r="AMZ110" s="98"/>
      <c r="ANA110" s="98"/>
      <c r="ANB110" s="98"/>
      <c r="ANC110" s="98"/>
      <c r="AND110" s="98"/>
      <c r="ANE110" s="98"/>
      <c r="ANF110" s="98"/>
      <c r="ANG110" s="98"/>
      <c r="ANH110" s="98"/>
      <c r="ANI110" s="98"/>
      <c r="ANJ110" s="98"/>
      <c r="ANK110" s="98"/>
      <c r="ANL110" s="98"/>
      <c r="ANM110" s="98"/>
      <c r="ANN110" s="98"/>
      <c r="ANO110" s="98"/>
      <c r="ANP110" s="98"/>
      <c r="ANQ110" s="98"/>
      <c r="ANR110" s="98"/>
      <c r="ANS110" s="98"/>
      <c r="ANT110" s="98"/>
      <c r="ANU110" s="98"/>
      <c r="ANV110" s="98"/>
      <c r="ANW110" s="98"/>
      <c r="ANX110" s="98"/>
      <c r="ANY110" s="98"/>
      <c r="ANZ110" s="98"/>
      <c r="AOA110" s="98"/>
      <c r="AOB110" s="98"/>
      <c r="AOC110" s="98"/>
      <c r="AOD110" s="98"/>
      <c r="AOE110" s="98"/>
      <c r="AOF110" s="98"/>
      <c r="AOG110" s="98"/>
      <c r="AOH110" s="98"/>
      <c r="AOI110" s="98"/>
      <c r="AOJ110" s="98"/>
      <c r="AOK110" s="98"/>
      <c r="AOL110" s="98"/>
      <c r="AOM110" s="98"/>
      <c r="AON110" s="98"/>
      <c r="AOO110" s="98"/>
      <c r="AOP110" s="98"/>
      <c r="AOQ110" s="98"/>
      <c r="AOR110" s="98"/>
      <c r="AOS110" s="98"/>
      <c r="AOT110" s="98"/>
      <c r="AOU110" s="98"/>
      <c r="AOV110" s="98"/>
      <c r="AOW110" s="98"/>
      <c r="AOX110" s="98"/>
      <c r="AOY110" s="98"/>
      <c r="AOZ110" s="98"/>
      <c r="APA110" s="98"/>
      <c r="APB110" s="98"/>
      <c r="APC110" s="98"/>
      <c r="APD110" s="98"/>
      <c r="APE110" s="98"/>
      <c r="APF110" s="98"/>
      <c r="APG110" s="98"/>
      <c r="APH110" s="98"/>
      <c r="API110" s="98"/>
      <c r="APJ110" s="98"/>
      <c r="APK110" s="98"/>
      <c r="APL110" s="98"/>
      <c r="APM110" s="98"/>
      <c r="APN110" s="98"/>
      <c r="APO110" s="98"/>
      <c r="APP110" s="98"/>
      <c r="APQ110" s="98"/>
      <c r="APR110" s="98"/>
      <c r="APS110" s="98"/>
      <c r="APT110" s="98"/>
      <c r="APU110" s="98"/>
      <c r="APV110" s="98"/>
      <c r="APW110" s="98"/>
      <c r="APX110" s="98"/>
      <c r="APY110" s="98"/>
      <c r="APZ110" s="98"/>
      <c r="AQA110" s="98"/>
      <c r="AQB110" s="98"/>
      <c r="AQC110" s="98"/>
      <c r="AQD110" s="98"/>
      <c r="AQE110" s="98"/>
      <c r="AQF110" s="98"/>
      <c r="AQG110" s="98"/>
      <c r="AQH110" s="98"/>
      <c r="AQI110" s="98"/>
      <c r="AQJ110" s="98"/>
      <c r="AQK110" s="98"/>
      <c r="AQL110" s="98"/>
      <c r="AQM110" s="98"/>
      <c r="AQN110" s="98"/>
      <c r="AQO110" s="98"/>
      <c r="AQP110" s="98"/>
      <c r="AQQ110" s="98"/>
      <c r="AQR110" s="98"/>
      <c r="AQS110" s="98"/>
      <c r="AQT110" s="98"/>
      <c r="AQU110" s="98"/>
      <c r="AQV110" s="98"/>
      <c r="AQW110" s="98"/>
      <c r="AQX110" s="98"/>
      <c r="AQY110" s="98"/>
      <c r="AQZ110" s="98"/>
      <c r="ARA110" s="98"/>
      <c r="ARB110" s="98"/>
      <c r="ARC110" s="98"/>
      <c r="ARD110" s="98"/>
      <c r="ARE110" s="98"/>
      <c r="ARF110" s="98"/>
      <c r="ARG110" s="98"/>
      <c r="ARH110" s="98"/>
      <c r="ARI110" s="98"/>
      <c r="ARJ110" s="98"/>
      <c r="ARK110" s="98"/>
      <c r="ARL110" s="98"/>
      <c r="ARM110" s="98"/>
      <c r="ARN110" s="98"/>
      <c r="ARO110" s="98"/>
      <c r="ARP110" s="98"/>
      <c r="ARQ110" s="98"/>
      <c r="ARR110" s="98"/>
      <c r="ARS110" s="98"/>
    </row>
    <row r="111" spans="1:1163">
      <c r="A111" s="133"/>
      <c r="B111" s="134"/>
      <c r="C111" s="197"/>
      <c r="D111" s="197"/>
      <c r="E111" s="197"/>
      <c r="F111" s="197"/>
      <c r="G111" s="197"/>
      <c r="H111" s="197"/>
      <c r="I111" s="197"/>
      <c r="J111" s="197"/>
      <c r="K111" s="197"/>
      <c r="L111" s="197"/>
      <c r="M111" s="197"/>
      <c r="N111" s="197"/>
      <c r="O111" s="197"/>
      <c r="P111" s="197"/>
      <c r="Q111" s="197"/>
      <c r="R111" s="197"/>
      <c r="S111" s="197"/>
      <c r="T111" s="197"/>
      <c r="U111" s="201"/>
      <c r="V111" s="201"/>
      <c r="W111" s="144"/>
      <c r="X111" s="144"/>
      <c r="Y111" s="144"/>
      <c r="Z111" s="144"/>
      <c r="AA111" s="209"/>
      <c r="AB111" s="209"/>
      <c r="AC111" s="175"/>
      <c r="AD111" s="175"/>
      <c r="AE111" s="201"/>
      <c r="AF111" s="209"/>
      <c r="AG111" s="201"/>
      <c r="AH111" s="209"/>
      <c r="AI111" s="201"/>
      <c r="AJ111" s="209"/>
      <c r="AK111" s="201"/>
      <c r="AL111" s="209"/>
      <c r="AM111" s="201"/>
      <c r="AN111" s="201"/>
      <c r="AO111" s="177"/>
      <c r="AP111" s="201"/>
      <c r="AQ111" s="201"/>
      <c r="AR111" s="201"/>
      <c r="AS111" s="201"/>
      <c r="AT111" s="201"/>
      <c r="AU111" s="201"/>
      <c r="AV111" s="209"/>
      <c r="AW111" s="173"/>
      <c r="AX111" s="173"/>
      <c r="AY111" s="172"/>
      <c r="AZ111" s="172"/>
      <c r="BA111" s="177"/>
      <c r="BB111" s="173"/>
      <c r="BC111" s="173"/>
      <c r="BD111" s="173"/>
      <c r="BE111" s="173"/>
      <c r="BF111" s="173"/>
      <c r="BG111" s="173"/>
      <c r="BH111" s="173"/>
      <c r="BI111" s="177"/>
      <c r="BJ111" s="98"/>
      <c r="BN111" s="148"/>
    </row>
    <row r="112" spans="1:1163">
      <c r="A112" s="124" t="s">
        <v>162</v>
      </c>
      <c r="B112" s="127" t="s">
        <v>93</v>
      </c>
      <c r="C112" s="183">
        <v>2213212</v>
      </c>
      <c r="D112" s="183">
        <v>1620890747</v>
      </c>
      <c r="E112" s="183">
        <v>11233</v>
      </c>
      <c r="F112" s="183">
        <v>179314357</v>
      </c>
      <c r="G112" s="183">
        <v>12047</v>
      </c>
      <c r="H112" s="183">
        <v>153313613</v>
      </c>
      <c r="I112" s="183">
        <v>20757</v>
      </c>
      <c r="J112" s="183">
        <v>247418210</v>
      </c>
      <c r="K112" s="183">
        <v>23881</v>
      </c>
      <c r="L112" s="183">
        <v>359374810</v>
      </c>
      <c r="M112" s="183">
        <v>32111</v>
      </c>
      <c r="N112" s="183">
        <v>422248335</v>
      </c>
      <c r="O112" s="183">
        <v>41196</v>
      </c>
      <c r="P112" s="183">
        <v>605618349</v>
      </c>
      <c r="Q112" s="183">
        <v>53639</v>
      </c>
      <c r="R112" s="183">
        <v>974017155</v>
      </c>
      <c r="S112" s="183">
        <v>79164</v>
      </c>
      <c r="T112" s="183">
        <f>2545194*639.3</f>
        <v>1627142524.1999998</v>
      </c>
      <c r="U112" s="194">
        <v>108133</v>
      </c>
      <c r="V112" s="194">
        <f>3476570*563</f>
        <v>1957308910</v>
      </c>
      <c r="W112" s="194">
        <v>150459</v>
      </c>
      <c r="X112" s="194">
        <f>4843269*483.8</f>
        <v>2343173542.2000003</v>
      </c>
      <c r="Y112" s="194">
        <v>187744</v>
      </c>
      <c r="Z112" s="194">
        <f>6036110*493.3</f>
        <v>2977613063</v>
      </c>
      <c r="AA112" s="208">
        <v>184410</v>
      </c>
      <c r="AB112" s="208">
        <f>5928931*467.4</f>
        <v>2771182349.4000001</v>
      </c>
      <c r="AC112" s="183">
        <v>182450</v>
      </c>
      <c r="AD112" s="183">
        <v>2763465836</v>
      </c>
      <c r="AE112" s="202">
        <v>182154</v>
      </c>
      <c r="AF112" s="202">
        <v>3116213103</v>
      </c>
      <c r="AG112" s="202">
        <v>191709</v>
      </c>
      <c r="AH112" s="202">
        <v>3264710204</v>
      </c>
      <c r="AI112" s="202">
        <v>189753</v>
      </c>
      <c r="AJ112" s="202">
        <v>3285966920</v>
      </c>
      <c r="AK112" s="202">
        <v>221184</v>
      </c>
      <c r="AL112" s="202">
        <v>3636954139</v>
      </c>
      <c r="AM112" s="202">
        <v>238335</v>
      </c>
      <c r="AN112" s="202">
        <v>3522233274</v>
      </c>
      <c r="AO112" s="202">
        <v>231379</v>
      </c>
      <c r="AP112" s="202">
        <v>3477119729</v>
      </c>
      <c r="AQ112" s="202">
        <v>211761</v>
      </c>
      <c r="AR112" s="202">
        <v>2942274771</v>
      </c>
      <c r="AS112" s="202">
        <v>199496</v>
      </c>
      <c r="AT112" s="202">
        <v>3087279157</v>
      </c>
      <c r="AU112" s="208">
        <v>192204</v>
      </c>
      <c r="AV112" s="208">
        <v>3236195818</v>
      </c>
      <c r="AW112" s="208">
        <v>188859</v>
      </c>
      <c r="AX112" s="208">
        <v>3460872364</v>
      </c>
      <c r="AY112" s="183">
        <v>187498</v>
      </c>
      <c r="AZ112" s="183">
        <v>3364962855</v>
      </c>
      <c r="BA112" s="183"/>
      <c r="BB112" s="183"/>
      <c r="BC112" s="202"/>
      <c r="BD112" s="183"/>
      <c r="BE112" s="202"/>
      <c r="BF112" s="148"/>
      <c r="BG112" s="202"/>
      <c r="BH112" s="148"/>
      <c r="BI112" s="202"/>
      <c r="BJ112" s="98"/>
      <c r="BK112" s="148"/>
      <c r="BN112" s="148"/>
    </row>
    <row r="113" spans="1:1163">
      <c r="A113" s="124"/>
      <c r="B113" s="127"/>
      <c r="C113" s="183"/>
      <c r="D113" s="183"/>
      <c r="E113" s="183"/>
      <c r="F113" s="183"/>
      <c r="G113" s="183"/>
      <c r="H113" s="183"/>
      <c r="I113" s="183"/>
      <c r="J113" s="183"/>
      <c r="K113" s="183"/>
      <c r="L113" s="183"/>
      <c r="M113" s="183"/>
      <c r="N113" s="183"/>
      <c r="O113" s="183"/>
      <c r="P113" s="183"/>
      <c r="Q113" s="183"/>
      <c r="R113" s="183"/>
      <c r="S113" s="183"/>
      <c r="T113" s="183"/>
      <c r="U113" s="194"/>
      <c r="V113" s="194"/>
      <c r="W113" s="194"/>
      <c r="X113" s="194"/>
      <c r="Y113" s="194"/>
      <c r="Z113" s="194"/>
      <c r="AA113" s="208"/>
      <c r="AB113" s="208"/>
      <c r="AC113" s="183"/>
      <c r="AD113" s="183"/>
      <c r="AE113" s="202"/>
      <c r="AF113" s="202"/>
      <c r="AG113" s="202"/>
      <c r="AH113" s="202"/>
      <c r="AI113" s="202"/>
      <c r="AJ113" s="202"/>
      <c r="AK113" s="202"/>
      <c r="AL113" s="202"/>
      <c r="AM113" s="202"/>
      <c r="AN113" s="202"/>
      <c r="AO113" s="202"/>
      <c r="AP113" s="202"/>
      <c r="AQ113" s="202"/>
      <c r="AR113" s="202"/>
      <c r="AS113" s="202"/>
      <c r="AT113" s="202"/>
      <c r="AU113" s="208"/>
      <c r="AV113" s="208"/>
      <c r="AW113" s="183"/>
      <c r="AX113" s="183"/>
      <c r="AY113" s="188"/>
      <c r="AZ113" s="188"/>
      <c r="BA113" s="190"/>
      <c r="BB113" s="183"/>
      <c r="BC113" s="183"/>
      <c r="BD113" s="183"/>
      <c r="BE113" s="183"/>
      <c r="BF113" s="183"/>
      <c r="BG113" s="183"/>
      <c r="BH113" s="183"/>
      <c r="BI113" s="190"/>
      <c r="BJ113" s="98"/>
      <c r="BK113" s="148"/>
      <c r="BN113" s="148"/>
    </row>
    <row r="114" spans="1:1163" s="174" customFormat="1">
      <c r="A114" s="118" t="s">
        <v>163</v>
      </c>
      <c r="B114" s="119" t="s">
        <v>67</v>
      </c>
      <c r="C114" s="175">
        <v>156</v>
      </c>
      <c r="D114" s="175">
        <v>2608</v>
      </c>
      <c r="E114" s="175">
        <v>0</v>
      </c>
      <c r="F114" s="175">
        <v>0</v>
      </c>
      <c r="G114" s="175">
        <v>0</v>
      </c>
      <c r="H114" s="175">
        <v>0</v>
      </c>
      <c r="I114" s="175">
        <v>0</v>
      </c>
      <c r="J114" s="175">
        <v>0</v>
      </c>
      <c r="K114" s="175">
        <v>0</v>
      </c>
      <c r="L114" s="175">
        <v>0</v>
      </c>
      <c r="M114" s="175">
        <v>0</v>
      </c>
      <c r="N114" s="175">
        <v>0</v>
      </c>
      <c r="O114" s="175">
        <v>0</v>
      </c>
      <c r="P114" s="175">
        <v>0</v>
      </c>
      <c r="Q114" s="175">
        <v>0</v>
      </c>
      <c r="R114" s="175">
        <v>0</v>
      </c>
      <c r="S114" s="175">
        <v>0</v>
      </c>
      <c r="T114" s="175">
        <v>0</v>
      </c>
      <c r="U114" s="175">
        <v>0</v>
      </c>
      <c r="V114" s="175">
        <v>0</v>
      </c>
      <c r="W114" s="175">
        <v>0</v>
      </c>
      <c r="X114" s="175">
        <v>0</v>
      </c>
      <c r="Y114" s="175">
        <v>0</v>
      </c>
      <c r="Z114" s="175">
        <v>0</v>
      </c>
      <c r="AA114" s="175">
        <v>0</v>
      </c>
      <c r="AB114" s="175">
        <v>0</v>
      </c>
      <c r="AC114" s="175">
        <v>0</v>
      </c>
      <c r="AD114" s="175">
        <v>0</v>
      </c>
      <c r="AE114" s="175">
        <v>0</v>
      </c>
      <c r="AF114" s="175">
        <v>0</v>
      </c>
      <c r="AG114" s="175">
        <v>0</v>
      </c>
      <c r="AH114" s="175">
        <v>0</v>
      </c>
      <c r="AI114" s="175">
        <v>0</v>
      </c>
      <c r="AJ114" s="175">
        <v>0</v>
      </c>
      <c r="AK114" s="175">
        <v>0</v>
      </c>
      <c r="AL114" s="175">
        <v>0</v>
      </c>
      <c r="AM114" s="175">
        <v>0</v>
      </c>
      <c r="AN114" s="175">
        <v>0</v>
      </c>
      <c r="AO114" s="175">
        <v>0</v>
      </c>
      <c r="AP114" s="175">
        <v>0</v>
      </c>
      <c r="AQ114" s="175">
        <v>0</v>
      </c>
      <c r="AR114" s="175">
        <v>0</v>
      </c>
      <c r="AS114" s="175">
        <v>0</v>
      </c>
      <c r="AT114" s="175">
        <v>0</v>
      </c>
      <c r="AU114" s="175">
        <v>0</v>
      </c>
      <c r="AV114" s="175">
        <v>0</v>
      </c>
      <c r="AW114" s="175">
        <v>0</v>
      </c>
      <c r="AX114" s="175">
        <v>0</v>
      </c>
      <c r="AY114" s="142">
        <v>0</v>
      </c>
      <c r="AZ114" s="142">
        <v>0</v>
      </c>
      <c r="BA114" s="142"/>
      <c r="BB114" s="142"/>
      <c r="BC114" s="142"/>
      <c r="BD114" s="142"/>
      <c r="BE114" s="142"/>
      <c r="BF114" s="142"/>
      <c r="BG114" s="142"/>
      <c r="BH114" s="142"/>
      <c r="BI114" s="119"/>
      <c r="BJ114" s="98"/>
      <c r="BK114" s="98"/>
      <c r="BL114" s="98"/>
      <c r="BM114" s="98"/>
      <c r="BN114" s="14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c r="KT114" s="98"/>
      <c r="KU114" s="98"/>
      <c r="KV114" s="98"/>
      <c r="KW114" s="98"/>
      <c r="KX114" s="98"/>
      <c r="KY114" s="98"/>
      <c r="KZ114" s="98"/>
      <c r="LA114" s="98"/>
      <c r="LB114" s="98"/>
      <c r="LC114" s="98"/>
      <c r="LD114" s="98"/>
      <c r="LE114" s="98"/>
      <c r="LF114" s="98"/>
      <c r="LG114" s="98"/>
      <c r="LH114" s="98"/>
      <c r="LI114" s="98"/>
      <c r="LJ114" s="98"/>
      <c r="LK114" s="98"/>
      <c r="LL114" s="98"/>
      <c r="LM114" s="98"/>
      <c r="LN114" s="98"/>
      <c r="LO114" s="98"/>
      <c r="LP114" s="98"/>
      <c r="LQ114" s="98"/>
      <c r="LR114" s="98"/>
      <c r="LS114" s="98"/>
      <c r="LT114" s="98"/>
      <c r="LU114" s="98"/>
      <c r="LV114" s="98"/>
      <c r="LW114" s="98"/>
      <c r="LX114" s="98"/>
      <c r="LY114" s="98"/>
      <c r="LZ114" s="98"/>
      <c r="MA114" s="98"/>
      <c r="MB114" s="98"/>
      <c r="MC114" s="98"/>
      <c r="MD114" s="98"/>
      <c r="ME114" s="98"/>
      <c r="MF114" s="98"/>
      <c r="MG114" s="98"/>
      <c r="MH114" s="98"/>
      <c r="MI114" s="98"/>
      <c r="MJ114" s="98"/>
      <c r="MK114" s="98"/>
      <c r="ML114" s="98"/>
      <c r="MM114" s="98"/>
      <c r="MN114" s="98"/>
      <c r="MO114" s="98"/>
      <c r="MP114" s="98"/>
      <c r="MQ114" s="98"/>
      <c r="MR114" s="98"/>
      <c r="MS114" s="98"/>
      <c r="MT114" s="98"/>
      <c r="MU114" s="98"/>
      <c r="MV114" s="98"/>
      <c r="MW114" s="98"/>
      <c r="MX114" s="98"/>
      <c r="MY114" s="98"/>
      <c r="MZ114" s="98"/>
      <c r="NA114" s="98"/>
      <c r="NB114" s="98"/>
      <c r="NC114" s="98"/>
      <c r="ND114" s="98"/>
      <c r="NE114" s="98"/>
      <c r="NF114" s="98"/>
      <c r="NG114" s="98"/>
      <c r="NH114" s="98"/>
      <c r="NI114" s="98"/>
      <c r="NJ114" s="98"/>
      <c r="NK114" s="98"/>
      <c r="NL114" s="98"/>
      <c r="NM114" s="98"/>
      <c r="NN114" s="98"/>
      <c r="NO114" s="98"/>
      <c r="NP114" s="98"/>
      <c r="NQ114" s="98"/>
      <c r="NR114" s="98"/>
      <c r="NS114" s="98"/>
      <c r="NT114" s="98"/>
      <c r="NU114" s="98"/>
      <c r="NV114" s="98"/>
      <c r="NW114" s="98"/>
      <c r="NX114" s="98"/>
      <c r="NY114" s="98"/>
      <c r="NZ114" s="98"/>
      <c r="OA114" s="98"/>
      <c r="OB114" s="98"/>
      <c r="OC114" s="98"/>
      <c r="OD114" s="98"/>
      <c r="OE114" s="98"/>
      <c r="OF114" s="98"/>
      <c r="OG114" s="98"/>
      <c r="OH114" s="98"/>
      <c r="OI114" s="98"/>
      <c r="OJ114" s="98"/>
      <c r="OK114" s="98"/>
      <c r="OL114" s="98"/>
      <c r="OM114" s="98"/>
      <c r="ON114" s="98"/>
      <c r="OO114" s="98"/>
      <c r="OP114" s="98"/>
      <c r="OQ114" s="98"/>
      <c r="OR114" s="98"/>
      <c r="OS114" s="98"/>
      <c r="OT114" s="98"/>
      <c r="OU114" s="98"/>
      <c r="OV114" s="98"/>
      <c r="OW114" s="98"/>
      <c r="OX114" s="98"/>
      <c r="OY114" s="98"/>
      <c r="OZ114" s="98"/>
      <c r="PA114" s="98"/>
      <c r="PB114" s="98"/>
      <c r="PC114" s="98"/>
      <c r="PD114" s="98"/>
      <c r="PE114" s="98"/>
      <c r="PF114" s="98"/>
      <c r="PG114" s="98"/>
      <c r="PH114" s="98"/>
      <c r="PI114" s="98"/>
      <c r="PJ114" s="98"/>
      <c r="PK114" s="98"/>
      <c r="PL114" s="98"/>
      <c r="PM114" s="98"/>
      <c r="PN114" s="98"/>
      <c r="PO114" s="98"/>
      <c r="PP114" s="98"/>
      <c r="PQ114" s="98"/>
      <c r="PR114" s="98"/>
      <c r="PS114" s="98"/>
      <c r="PT114" s="98"/>
      <c r="PU114" s="98"/>
      <c r="PV114" s="98"/>
      <c r="PW114" s="98"/>
      <c r="PX114" s="98"/>
      <c r="PY114" s="98"/>
      <c r="PZ114" s="98"/>
      <c r="QA114" s="98"/>
      <c r="QB114" s="98"/>
      <c r="QC114" s="98"/>
      <c r="QD114" s="98"/>
      <c r="QE114" s="98"/>
      <c r="QF114" s="98"/>
      <c r="QG114" s="98"/>
      <c r="QH114" s="98"/>
      <c r="QI114" s="98"/>
      <c r="QJ114" s="98"/>
      <c r="QK114" s="98"/>
      <c r="QL114" s="98"/>
      <c r="QM114" s="98"/>
      <c r="QN114" s="98"/>
      <c r="QO114" s="98"/>
      <c r="QP114" s="98"/>
      <c r="QQ114" s="98"/>
      <c r="QR114" s="98"/>
      <c r="QS114" s="98"/>
      <c r="QT114" s="98"/>
      <c r="QU114" s="98"/>
      <c r="QV114" s="98"/>
      <c r="QW114" s="98"/>
      <c r="QX114" s="98"/>
      <c r="QY114" s="98"/>
      <c r="QZ114" s="98"/>
      <c r="RA114" s="98"/>
      <c r="RB114" s="98"/>
      <c r="RC114" s="98"/>
      <c r="RD114" s="98"/>
      <c r="RE114" s="98"/>
      <c r="RF114" s="98"/>
      <c r="RG114" s="98"/>
      <c r="RH114" s="98"/>
      <c r="RI114" s="98"/>
      <c r="RJ114" s="98"/>
      <c r="RK114" s="98"/>
      <c r="RL114" s="98"/>
      <c r="RM114" s="98"/>
      <c r="RN114" s="98"/>
      <c r="RO114" s="98"/>
      <c r="RP114" s="98"/>
      <c r="RQ114" s="98"/>
      <c r="RR114" s="98"/>
      <c r="RS114" s="98"/>
      <c r="RT114" s="98"/>
      <c r="RU114" s="98"/>
      <c r="RV114" s="98"/>
      <c r="RW114" s="98"/>
      <c r="RX114" s="98"/>
      <c r="RY114" s="98"/>
      <c r="RZ114" s="98"/>
      <c r="SA114" s="98"/>
      <c r="SB114" s="98"/>
      <c r="SC114" s="98"/>
      <c r="SD114" s="98"/>
      <c r="SE114" s="98"/>
      <c r="SF114" s="98"/>
      <c r="SG114" s="98"/>
      <c r="SH114" s="98"/>
      <c r="SI114" s="98"/>
      <c r="SJ114" s="98"/>
      <c r="SK114" s="98"/>
      <c r="SL114" s="98"/>
      <c r="SM114" s="98"/>
      <c r="SN114" s="98"/>
      <c r="SO114" s="98"/>
      <c r="SP114" s="98"/>
      <c r="SQ114" s="98"/>
      <c r="SR114" s="98"/>
      <c r="SS114" s="98"/>
      <c r="ST114" s="98"/>
      <c r="SU114" s="98"/>
      <c r="SV114" s="98"/>
      <c r="SW114" s="98"/>
      <c r="SX114" s="98"/>
      <c r="SY114" s="98"/>
      <c r="SZ114" s="98"/>
      <c r="TA114" s="98"/>
      <c r="TB114" s="98"/>
      <c r="TC114" s="98"/>
      <c r="TD114" s="98"/>
      <c r="TE114" s="98"/>
      <c r="TF114" s="98"/>
      <c r="TG114" s="98"/>
      <c r="TH114" s="98"/>
      <c r="TI114" s="98"/>
      <c r="TJ114" s="98"/>
      <c r="TK114" s="98"/>
      <c r="TL114" s="98"/>
      <c r="TM114" s="98"/>
      <c r="TN114" s="98"/>
      <c r="TO114" s="98"/>
      <c r="TP114" s="98"/>
      <c r="TQ114" s="98"/>
      <c r="TR114" s="98"/>
      <c r="TS114" s="98"/>
      <c r="TT114" s="98"/>
      <c r="TU114" s="98"/>
      <c r="TV114" s="98"/>
      <c r="TW114" s="98"/>
      <c r="TX114" s="98"/>
      <c r="TY114" s="98"/>
      <c r="TZ114" s="98"/>
      <c r="UA114" s="98"/>
      <c r="UB114" s="98"/>
      <c r="UC114" s="98"/>
      <c r="UD114" s="98"/>
      <c r="UE114" s="98"/>
      <c r="UF114" s="98"/>
      <c r="UG114" s="98"/>
      <c r="UH114" s="98"/>
      <c r="UI114" s="98"/>
      <c r="UJ114" s="98"/>
      <c r="UK114" s="98"/>
      <c r="UL114" s="98"/>
      <c r="UM114" s="98"/>
      <c r="UN114" s="98"/>
      <c r="UO114" s="98"/>
      <c r="UP114" s="98"/>
      <c r="UQ114" s="98"/>
      <c r="UR114" s="98"/>
      <c r="US114" s="98"/>
      <c r="UT114" s="98"/>
      <c r="UU114" s="98"/>
      <c r="UV114" s="98"/>
      <c r="UW114" s="98"/>
      <c r="UX114" s="98"/>
      <c r="UY114" s="98"/>
      <c r="UZ114" s="98"/>
      <c r="VA114" s="98"/>
      <c r="VB114" s="98"/>
      <c r="VC114" s="98"/>
      <c r="VD114" s="98"/>
      <c r="VE114" s="98"/>
      <c r="VF114" s="98"/>
      <c r="VG114" s="98"/>
      <c r="VH114" s="98"/>
      <c r="VI114" s="98"/>
      <c r="VJ114" s="98"/>
      <c r="VK114" s="98"/>
      <c r="VL114" s="98"/>
      <c r="VM114" s="98"/>
      <c r="VN114" s="98"/>
      <c r="VO114" s="98"/>
      <c r="VP114" s="98"/>
      <c r="VQ114" s="98"/>
      <c r="VR114" s="98"/>
      <c r="VS114" s="98"/>
      <c r="VT114" s="98"/>
      <c r="VU114" s="98"/>
      <c r="VV114" s="98"/>
      <c r="VW114" s="98"/>
      <c r="VX114" s="98"/>
      <c r="VY114" s="98"/>
      <c r="VZ114" s="98"/>
      <c r="WA114" s="98"/>
      <c r="WB114" s="98"/>
      <c r="WC114" s="98"/>
      <c r="WD114" s="98"/>
      <c r="WE114" s="98"/>
      <c r="WF114" s="98"/>
      <c r="WG114" s="98"/>
      <c r="WH114" s="98"/>
      <c r="WI114" s="98"/>
      <c r="WJ114" s="98"/>
      <c r="WK114" s="98"/>
      <c r="WL114" s="98"/>
      <c r="WM114" s="98"/>
      <c r="WN114" s="98"/>
      <c r="WO114" s="98"/>
      <c r="WP114" s="98"/>
      <c r="WQ114" s="98"/>
      <c r="WR114" s="98"/>
      <c r="WS114" s="98"/>
      <c r="WT114" s="98"/>
      <c r="WU114" s="98"/>
      <c r="WV114" s="98"/>
      <c r="WW114" s="98"/>
      <c r="WX114" s="98"/>
      <c r="WY114" s="98"/>
      <c r="WZ114" s="98"/>
      <c r="XA114" s="98"/>
      <c r="XB114" s="98"/>
      <c r="XC114" s="98"/>
      <c r="XD114" s="98"/>
      <c r="XE114" s="98"/>
      <c r="XF114" s="98"/>
      <c r="XG114" s="98"/>
      <c r="XH114" s="98"/>
      <c r="XI114" s="98"/>
      <c r="XJ114" s="98"/>
      <c r="XK114" s="98"/>
      <c r="XL114" s="98"/>
      <c r="XM114" s="98"/>
      <c r="XN114" s="98"/>
      <c r="XO114" s="98"/>
      <c r="XP114" s="98"/>
      <c r="XQ114" s="98"/>
      <c r="XR114" s="98"/>
      <c r="XS114" s="98"/>
      <c r="XT114" s="98"/>
      <c r="XU114" s="98"/>
      <c r="XV114" s="98"/>
      <c r="XW114" s="98"/>
      <c r="XX114" s="98"/>
      <c r="XY114" s="98"/>
      <c r="XZ114" s="98"/>
      <c r="YA114" s="98"/>
      <c r="YB114" s="98"/>
      <c r="YC114" s="98"/>
      <c r="YD114" s="98"/>
      <c r="YE114" s="98"/>
      <c r="YF114" s="98"/>
      <c r="YG114" s="98"/>
      <c r="YH114" s="98"/>
      <c r="YI114" s="98"/>
      <c r="YJ114" s="98"/>
      <c r="YK114" s="98"/>
      <c r="YL114" s="98"/>
      <c r="YM114" s="98"/>
      <c r="YN114" s="98"/>
      <c r="YO114" s="98"/>
      <c r="YP114" s="98"/>
      <c r="YQ114" s="98"/>
      <c r="YR114" s="98"/>
      <c r="YS114" s="98"/>
      <c r="YT114" s="98"/>
      <c r="YU114" s="98"/>
      <c r="YV114" s="98"/>
      <c r="YW114" s="98"/>
      <c r="YX114" s="98"/>
      <c r="YY114" s="98"/>
      <c r="YZ114" s="98"/>
      <c r="ZA114" s="98"/>
      <c r="ZB114" s="98"/>
      <c r="ZC114" s="98"/>
      <c r="ZD114" s="98"/>
      <c r="ZE114" s="98"/>
      <c r="ZF114" s="98"/>
      <c r="ZG114" s="98"/>
      <c r="ZH114" s="98"/>
      <c r="ZI114" s="98"/>
      <c r="ZJ114" s="98"/>
      <c r="ZK114" s="98"/>
      <c r="ZL114" s="98"/>
      <c r="ZM114" s="98"/>
      <c r="ZN114" s="98"/>
      <c r="ZO114" s="98"/>
      <c r="ZP114" s="98"/>
      <c r="ZQ114" s="98"/>
      <c r="ZR114" s="98"/>
      <c r="ZS114" s="98"/>
      <c r="ZT114" s="98"/>
      <c r="ZU114" s="98"/>
      <c r="ZV114" s="98"/>
      <c r="ZW114" s="98"/>
      <c r="ZX114" s="98"/>
      <c r="ZY114" s="98"/>
      <c r="ZZ114" s="98"/>
      <c r="AAA114" s="98"/>
      <c r="AAB114" s="98"/>
      <c r="AAC114" s="98"/>
      <c r="AAD114" s="98"/>
      <c r="AAE114" s="98"/>
      <c r="AAF114" s="98"/>
      <c r="AAG114" s="98"/>
      <c r="AAH114" s="98"/>
      <c r="AAI114" s="98"/>
      <c r="AAJ114" s="98"/>
      <c r="AAK114" s="98"/>
      <c r="AAL114" s="98"/>
      <c r="AAM114" s="98"/>
      <c r="AAN114" s="98"/>
      <c r="AAO114" s="98"/>
      <c r="AAP114" s="98"/>
      <c r="AAQ114" s="98"/>
      <c r="AAR114" s="98"/>
      <c r="AAS114" s="98"/>
      <c r="AAT114" s="98"/>
      <c r="AAU114" s="98"/>
      <c r="AAV114" s="98"/>
      <c r="AAW114" s="98"/>
      <c r="AAX114" s="98"/>
      <c r="AAY114" s="98"/>
      <c r="AAZ114" s="98"/>
      <c r="ABA114" s="98"/>
      <c r="ABB114" s="98"/>
      <c r="ABC114" s="98"/>
      <c r="ABD114" s="98"/>
      <c r="ABE114" s="98"/>
      <c r="ABF114" s="98"/>
      <c r="ABG114" s="98"/>
      <c r="ABH114" s="98"/>
      <c r="ABI114" s="98"/>
      <c r="ABJ114" s="98"/>
      <c r="ABK114" s="98"/>
      <c r="ABL114" s="98"/>
      <c r="ABM114" s="98"/>
      <c r="ABN114" s="98"/>
      <c r="ABO114" s="98"/>
      <c r="ABP114" s="98"/>
      <c r="ABQ114" s="98"/>
      <c r="ABR114" s="98"/>
      <c r="ABS114" s="98"/>
      <c r="ABT114" s="98"/>
      <c r="ABU114" s="98"/>
      <c r="ABV114" s="98"/>
      <c r="ABW114" s="98"/>
      <c r="ABX114" s="98"/>
      <c r="ABY114" s="98"/>
      <c r="ABZ114" s="98"/>
      <c r="ACA114" s="98"/>
      <c r="ACB114" s="98"/>
      <c r="ACC114" s="98"/>
      <c r="ACD114" s="98"/>
      <c r="ACE114" s="98"/>
      <c r="ACF114" s="98"/>
      <c r="ACG114" s="98"/>
      <c r="ACH114" s="98"/>
      <c r="ACI114" s="98"/>
      <c r="ACJ114" s="98"/>
      <c r="ACK114" s="98"/>
      <c r="ACL114" s="98"/>
      <c r="ACM114" s="98"/>
      <c r="ACN114" s="98"/>
      <c r="ACO114" s="98"/>
      <c r="ACP114" s="98"/>
      <c r="ACQ114" s="98"/>
      <c r="ACR114" s="98"/>
      <c r="ACS114" s="98"/>
      <c r="ACT114" s="98"/>
      <c r="ACU114" s="98"/>
      <c r="ACV114" s="98"/>
      <c r="ACW114" s="98"/>
      <c r="ACX114" s="98"/>
      <c r="ACY114" s="98"/>
      <c r="ACZ114" s="98"/>
      <c r="ADA114" s="98"/>
      <c r="ADB114" s="98"/>
      <c r="ADC114" s="98"/>
      <c r="ADD114" s="98"/>
      <c r="ADE114" s="98"/>
      <c r="ADF114" s="98"/>
      <c r="ADG114" s="98"/>
      <c r="ADH114" s="98"/>
      <c r="ADI114" s="98"/>
      <c r="ADJ114" s="98"/>
      <c r="ADK114" s="98"/>
      <c r="ADL114" s="98"/>
      <c r="ADM114" s="98"/>
      <c r="ADN114" s="98"/>
      <c r="ADO114" s="98"/>
      <c r="ADP114" s="98"/>
      <c r="ADQ114" s="98"/>
      <c r="ADR114" s="98"/>
      <c r="ADS114" s="98"/>
      <c r="ADT114" s="98"/>
      <c r="ADU114" s="98"/>
      <c r="ADV114" s="98"/>
      <c r="ADW114" s="98"/>
      <c r="ADX114" s="98"/>
      <c r="ADY114" s="98"/>
      <c r="ADZ114" s="98"/>
      <c r="AEA114" s="98"/>
      <c r="AEB114" s="98"/>
      <c r="AEC114" s="98"/>
      <c r="AED114" s="98"/>
      <c r="AEE114" s="98"/>
      <c r="AEF114" s="98"/>
      <c r="AEG114" s="98"/>
      <c r="AEH114" s="98"/>
      <c r="AEI114" s="98"/>
      <c r="AEJ114" s="98"/>
      <c r="AEK114" s="98"/>
      <c r="AEL114" s="98"/>
      <c r="AEM114" s="98"/>
      <c r="AEN114" s="98"/>
      <c r="AEO114" s="98"/>
      <c r="AEP114" s="98"/>
      <c r="AEQ114" s="98"/>
      <c r="AER114" s="98"/>
      <c r="AES114" s="98"/>
      <c r="AET114" s="98"/>
      <c r="AEU114" s="98"/>
      <c r="AEV114" s="98"/>
      <c r="AEW114" s="98"/>
      <c r="AEX114" s="98"/>
      <c r="AEY114" s="98"/>
      <c r="AEZ114" s="98"/>
      <c r="AFA114" s="98"/>
      <c r="AFB114" s="98"/>
      <c r="AFC114" s="98"/>
      <c r="AFD114" s="98"/>
      <c r="AFE114" s="98"/>
      <c r="AFF114" s="98"/>
      <c r="AFG114" s="98"/>
      <c r="AFH114" s="98"/>
      <c r="AFI114" s="98"/>
      <c r="AFJ114" s="98"/>
      <c r="AFK114" s="98"/>
      <c r="AFL114" s="98"/>
      <c r="AFM114" s="98"/>
      <c r="AFN114" s="98"/>
      <c r="AFO114" s="98"/>
      <c r="AFP114" s="98"/>
      <c r="AFQ114" s="98"/>
      <c r="AFR114" s="98"/>
      <c r="AFS114" s="98"/>
      <c r="AFT114" s="98"/>
      <c r="AFU114" s="98"/>
      <c r="AFV114" s="98"/>
      <c r="AFW114" s="98"/>
      <c r="AFX114" s="98"/>
      <c r="AFY114" s="98"/>
      <c r="AFZ114" s="98"/>
      <c r="AGA114" s="98"/>
      <c r="AGB114" s="98"/>
      <c r="AGC114" s="98"/>
      <c r="AGD114" s="98"/>
      <c r="AGE114" s="98"/>
      <c r="AGF114" s="98"/>
      <c r="AGG114" s="98"/>
      <c r="AGH114" s="98"/>
      <c r="AGI114" s="98"/>
      <c r="AGJ114" s="98"/>
      <c r="AGK114" s="98"/>
      <c r="AGL114" s="98"/>
      <c r="AGM114" s="98"/>
      <c r="AGN114" s="98"/>
      <c r="AGO114" s="98"/>
      <c r="AGP114" s="98"/>
      <c r="AGQ114" s="98"/>
      <c r="AGR114" s="98"/>
      <c r="AGS114" s="98"/>
      <c r="AGT114" s="98"/>
      <c r="AGU114" s="98"/>
      <c r="AGV114" s="98"/>
      <c r="AGW114" s="98"/>
      <c r="AGX114" s="98"/>
      <c r="AGY114" s="98"/>
      <c r="AGZ114" s="98"/>
      <c r="AHA114" s="98"/>
      <c r="AHB114" s="98"/>
      <c r="AHC114" s="98"/>
      <c r="AHD114" s="98"/>
      <c r="AHE114" s="98"/>
      <c r="AHF114" s="98"/>
      <c r="AHG114" s="98"/>
      <c r="AHH114" s="98"/>
      <c r="AHI114" s="98"/>
      <c r="AHJ114" s="98"/>
      <c r="AHK114" s="98"/>
      <c r="AHL114" s="98"/>
      <c r="AHM114" s="98"/>
      <c r="AHN114" s="98"/>
      <c r="AHO114" s="98"/>
      <c r="AHP114" s="98"/>
      <c r="AHQ114" s="98"/>
      <c r="AHR114" s="98"/>
      <c r="AHS114" s="98"/>
      <c r="AHT114" s="98"/>
      <c r="AHU114" s="98"/>
      <c r="AHV114" s="98"/>
      <c r="AHW114" s="98"/>
      <c r="AHX114" s="98"/>
      <c r="AHY114" s="98"/>
      <c r="AHZ114" s="98"/>
      <c r="AIA114" s="98"/>
      <c r="AIB114" s="98"/>
      <c r="AIC114" s="98"/>
      <c r="AID114" s="98"/>
      <c r="AIE114" s="98"/>
      <c r="AIF114" s="98"/>
      <c r="AIG114" s="98"/>
      <c r="AIH114" s="98"/>
      <c r="AII114" s="98"/>
      <c r="AIJ114" s="98"/>
      <c r="AIK114" s="98"/>
      <c r="AIL114" s="98"/>
      <c r="AIM114" s="98"/>
      <c r="AIN114" s="98"/>
      <c r="AIO114" s="98"/>
      <c r="AIP114" s="98"/>
      <c r="AIQ114" s="98"/>
      <c r="AIR114" s="98"/>
      <c r="AIS114" s="98"/>
      <c r="AIT114" s="98"/>
      <c r="AIU114" s="98"/>
      <c r="AIV114" s="98"/>
      <c r="AIW114" s="98"/>
      <c r="AIX114" s="98"/>
      <c r="AIY114" s="98"/>
      <c r="AIZ114" s="98"/>
      <c r="AJA114" s="98"/>
      <c r="AJB114" s="98"/>
      <c r="AJC114" s="98"/>
      <c r="AJD114" s="98"/>
      <c r="AJE114" s="98"/>
      <c r="AJF114" s="98"/>
      <c r="AJG114" s="98"/>
      <c r="AJH114" s="98"/>
      <c r="AJI114" s="98"/>
      <c r="AJJ114" s="98"/>
      <c r="AJK114" s="98"/>
      <c r="AJL114" s="98"/>
      <c r="AJM114" s="98"/>
      <c r="AJN114" s="98"/>
      <c r="AJO114" s="98"/>
      <c r="AJP114" s="98"/>
      <c r="AJQ114" s="98"/>
      <c r="AJR114" s="98"/>
      <c r="AJS114" s="98"/>
      <c r="AJT114" s="98"/>
      <c r="AJU114" s="98"/>
      <c r="AJV114" s="98"/>
      <c r="AJW114" s="98"/>
      <c r="AJX114" s="98"/>
      <c r="AJY114" s="98"/>
      <c r="AJZ114" s="98"/>
      <c r="AKA114" s="98"/>
      <c r="AKB114" s="98"/>
      <c r="AKC114" s="98"/>
      <c r="AKD114" s="98"/>
      <c r="AKE114" s="98"/>
      <c r="AKF114" s="98"/>
      <c r="AKG114" s="98"/>
      <c r="AKH114" s="98"/>
      <c r="AKI114" s="98"/>
      <c r="AKJ114" s="98"/>
      <c r="AKK114" s="98"/>
      <c r="AKL114" s="98"/>
      <c r="AKM114" s="98"/>
      <c r="AKN114" s="98"/>
      <c r="AKO114" s="98"/>
      <c r="AKP114" s="98"/>
      <c r="AKQ114" s="98"/>
      <c r="AKR114" s="98"/>
      <c r="AKS114" s="98"/>
      <c r="AKT114" s="98"/>
      <c r="AKU114" s="98"/>
      <c r="AKV114" s="98"/>
      <c r="AKW114" s="98"/>
      <c r="AKX114" s="98"/>
      <c r="AKY114" s="98"/>
      <c r="AKZ114" s="98"/>
      <c r="ALA114" s="98"/>
      <c r="ALB114" s="98"/>
      <c r="ALC114" s="98"/>
      <c r="ALD114" s="98"/>
      <c r="ALE114" s="98"/>
      <c r="ALF114" s="98"/>
      <c r="ALG114" s="98"/>
      <c r="ALH114" s="98"/>
      <c r="ALI114" s="98"/>
      <c r="ALJ114" s="98"/>
      <c r="ALK114" s="98"/>
      <c r="ALL114" s="98"/>
      <c r="ALM114" s="98"/>
      <c r="ALN114" s="98"/>
      <c r="ALO114" s="98"/>
      <c r="ALP114" s="98"/>
      <c r="ALQ114" s="98"/>
      <c r="ALR114" s="98"/>
      <c r="ALS114" s="98"/>
      <c r="ALT114" s="98"/>
      <c r="ALU114" s="98"/>
      <c r="ALV114" s="98"/>
      <c r="ALW114" s="98"/>
      <c r="ALX114" s="98"/>
      <c r="ALY114" s="98"/>
      <c r="ALZ114" s="98"/>
      <c r="AMA114" s="98"/>
      <c r="AMB114" s="98"/>
      <c r="AMC114" s="98"/>
      <c r="AMD114" s="98"/>
      <c r="AME114" s="98"/>
      <c r="AMF114" s="98"/>
      <c r="AMG114" s="98"/>
      <c r="AMH114" s="98"/>
      <c r="AMI114" s="98"/>
      <c r="AMJ114" s="98"/>
      <c r="AMK114" s="98"/>
      <c r="AML114" s="98"/>
      <c r="AMM114" s="98"/>
      <c r="AMN114" s="98"/>
      <c r="AMO114" s="98"/>
      <c r="AMP114" s="98"/>
      <c r="AMQ114" s="98"/>
      <c r="AMR114" s="98"/>
      <c r="AMS114" s="98"/>
      <c r="AMT114" s="98"/>
      <c r="AMU114" s="98"/>
      <c r="AMV114" s="98"/>
      <c r="AMW114" s="98"/>
      <c r="AMX114" s="98"/>
      <c r="AMY114" s="98"/>
      <c r="AMZ114" s="98"/>
      <c r="ANA114" s="98"/>
      <c r="ANB114" s="98"/>
      <c r="ANC114" s="98"/>
      <c r="AND114" s="98"/>
      <c r="ANE114" s="98"/>
      <c r="ANF114" s="98"/>
      <c r="ANG114" s="98"/>
      <c r="ANH114" s="98"/>
      <c r="ANI114" s="98"/>
      <c r="ANJ114" s="98"/>
      <c r="ANK114" s="98"/>
      <c r="ANL114" s="98"/>
      <c r="ANM114" s="98"/>
      <c r="ANN114" s="98"/>
      <c r="ANO114" s="98"/>
      <c r="ANP114" s="98"/>
      <c r="ANQ114" s="98"/>
      <c r="ANR114" s="98"/>
      <c r="ANS114" s="98"/>
      <c r="ANT114" s="98"/>
      <c r="ANU114" s="98"/>
      <c r="ANV114" s="98"/>
      <c r="ANW114" s="98"/>
      <c r="ANX114" s="98"/>
      <c r="ANY114" s="98"/>
      <c r="ANZ114" s="98"/>
      <c r="AOA114" s="98"/>
      <c r="AOB114" s="98"/>
      <c r="AOC114" s="98"/>
      <c r="AOD114" s="98"/>
      <c r="AOE114" s="98"/>
      <c r="AOF114" s="98"/>
      <c r="AOG114" s="98"/>
      <c r="AOH114" s="98"/>
      <c r="AOI114" s="98"/>
      <c r="AOJ114" s="98"/>
      <c r="AOK114" s="98"/>
      <c r="AOL114" s="98"/>
      <c r="AOM114" s="98"/>
      <c r="AON114" s="98"/>
      <c r="AOO114" s="98"/>
      <c r="AOP114" s="98"/>
      <c r="AOQ114" s="98"/>
      <c r="AOR114" s="98"/>
      <c r="AOS114" s="98"/>
      <c r="AOT114" s="98"/>
      <c r="AOU114" s="98"/>
      <c r="AOV114" s="98"/>
      <c r="AOW114" s="98"/>
      <c r="AOX114" s="98"/>
      <c r="AOY114" s="98"/>
      <c r="AOZ114" s="98"/>
      <c r="APA114" s="98"/>
      <c r="APB114" s="98"/>
      <c r="APC114" s="98"/>
      <c r="APD114" s="98"/>
      <c r="APE114" s="98"/>
      <c r="APF114" s="98"/>
      <c r="APG114" s="98"/>
      <c r="APH114" s="98"/>
      <c r="API114" s="98"/>
      <c r="APJ114" s="98"/>
      <c r="APK114" s="98"/>
      <c r="APL114" s="98"/>
      <c r="APM114" s="98"/>
      <c r="APN114" s="98"/>
      <c r="APO114" s="98"/>
      <c r="APP114" s="98"/>
      <c r="APQ114" s="98"/>
      <c r="APR114" s="98"/>
      <c r="APS114" s="98"/>
      <c r="APT114" s="98"/>
      <c r="APU114" s="98"/>
      <c r="APV114" s="98"/>
      <c r="APW114" s="98"/>
      <c r="APX114" s="98"/>
      <c r="APY114" s="98"/>
      <c r="APZ114" s="98"/>
      <c r="AQA114" s="98"/>
      <c r="AQB114" s="98"/>
      <c r="AQC114" s="98"/>
      <c r="AQD114" s="98"/>
      <c r="AQE114" s="98"/>
      <c r="AQF114" s="98"/>
      <c r="AQG114" s="98"/>
      <c r="AQH114" s="98"/>
      <c r="AQI114" s="98"/>
      <c r="AQJ114" s="98"/>
      <c r="AQK114" s="98"/>
      <c r="AQL114" s="98"/>
      <c r="AQM114" s="98"/>
      <c r="AQN114" s="98"/>
      <c r="AQO114" s="98"/>
      <c r="AQP114" s="98"/>
      <c r="AQQ114" s="98"/>
      <c r="AQR114" s="98"/>
      <c r="AQS114" s="98"/>
      <c r="AQT114" s="98"/>
      <c r="AQU114" s="98"/>
      <c r="AQV114" s="98"/>
      <c r="AQW114" s="98"/>
      <c r="AQX114" s="98"/>
      <c r="AQY114" s="98"/>
      <c r="AQZ114" s="98"/>
      <c r="ARA114" s="98"/>
      <c r="ARB114" s="98"/>
      <c r="ARC114" s="98"/>
      <c r="ARD114" s="98"/>
      <c r="ARE114" s="98"/>
      <c r="ARF114" s="98"/>
      <c r="ARG114" s="98"/>
      <c r="ARH114" s="98"/>
      <c r="ARI114" s="98"/>
      <c r="ARJ114" s="98"/>
      <c r="ARK114" s="98"/>
      <c r="ARL114" s="98"/>
      <c r="ARM114" s="98"/>
      <c r="ARN114" s="98"/>
      <c r="ARO114" s="98"/>
      <c r="ARP114" s="98"/>
      <c r="ARQ114" s="98"/>
      <c r="ARR114" s="98"/>
      <c r="ARS114" s="98"/>
    </row>
    <row r="115" spans="1:1163">
      <c r="A115" s="133"/>
      <c r="B115" s="119"/>
      <c r="C115" s="175"/>
      <c r="D115" s="175"/>
      <c r="E115" s="175"/>
      <c r="F115" s="175"/>
      <c r="G115" s="175"/>
      <c r="H115" s="175"/>
      <c r="I115" s="175"/>
      <c r="J115" s="175"/>
      <c r="K115" s="175"/>
      <c r="L115" s="175"/>
      <c r="M115" s="175"/>
      <c r="N115" s="175"/>
      <c r="O115" s="175"/>
      <c r="P115" s="175"/>
      <c r="Q115" s="175"/>
      <c r="R115" s="175"/>
      <c r="S115" s="175"/>
      <c r="T115" s="175"/>
      <c r="U115" s="144"/>
      <c r="V115" s="144"/>
      <c r="W115" s="197"/>
      <c r="X115" s="197"/>
      <c r="Y115" s="197"/>
      <c r="Z115" s="197"/>
      <c r="AA115" s="209"/>
      <c r="AB115" s="209"/>
      <c r="AC115" s="175"/>
      <c r="AD115" s="175"/>
      <c r="AE115" s="209"/>
      <c r="AF115" s="209"/>
      <c r="AG115" s="209"/>
      <c r="AH115" s="209"/>
      <c r="AI115" s="209"/>
      <c r="AJ115" s="209"/>
      <c r="AK115" s="209"/>
      <c r="AL115" s="209"/>
      <c r="AM115" s="201"/>
      <c r="AN115" s="201"/>
      <c r="AO115" s="201"/>
      <c r="AP115" s="201"/>
      <c r="AQ115" s="201"/>
      <c r="AR115" s="201"/>
      <c r="AS115" s="201"/>
      <c r="AT115" s="201"/>
      <c r="AU115" s="209"/>
      <c r="AV115" s="209"/>
      <c r="AW115" s="199"/>
      <c r="AX115" s="199"/>
      <c r="AY115" s="675"/>
      <c r="AZ115" s="675"/>
      <c r="BA115" s="198"/>
      <c r="BB115" s="199"/>
      <c r="BC115" s="199"/>
      <c r="BD115" s="199"/>
      <c r="BE115" s="199"/>
      <c r="BF115" s="199"/>
      <c r="BG115" s="199"/>
      <c r="BH115" s="199"/>
      <c r="BI115" s="198"/>
      <c r="BJ115" s="98"/>
      <c r="BM115" s="148"/>
      <c r="BN115" s="148"/>
    </row>
    <row r="116" spans="1:1163">
      <c r="A116" s="124" t="s">
        <v>164</v>
      </c>
      <c r="B116" s="127" t="s">
        <v>67</v>
      </c>
      <c r="C116" s="183">
        <v>2917884</v>
      </c>
      <c r="D116" s="183">
        <v>8203256</v>
      </c>
      <c r="E116" s="183">
        <v>293370</v>
      </c>
      <c r="F116" s="183">
        <v>1126629</v>
      </c>
      <c r="G116" s="183">
        <v>354836</v>
      </c>
      <c r="H116" s="183">
        <v>1444659</v>
      </c>
      <c r="I116" s="183">
        <v>526543</v>
      </c>
      <c r="J116" s="183">
        <v>4070915</v>
      </c>
      <c r="K116" s="183">
        <v>439444</v>
      </c>
      <c r="L116" s="183">
        <v>5500499</v>
      </c>
      <c r="M116" s="183">
        <v>637683</v>
      </c>
      <c r="N116" s="183">
        <v>7152245</v>
      </c>
      <c r="O116" s="183">
        <v>451765</v>
      </c>
      <c r="P116" s="183">
        <v>5126645</v>
      </c>
      <c r="Q116" s="183">
        <v>314481</v>
      </c>
      <c r="R116" s="183">
        <v>3771201</v>
      </c>
      <c r="S116" s="183">
        <v>136045</v>
      </c>
      <c r="T116" s="183">
        <v>1333818</v>
      </c>
      <c r="U116" s="194">
        <v>112017</v>
      </c>
      <c r="V116" s="194">
        <v>1005163</v>
      </c>
      <c r="W116" s="194">
        <v>163900</v>
      </c>
      <c r="X116" s="194">
        <v>1147662</v>
      </c>
      <c r="Y116" s="194">
        <v>146811</v>
      </c>
      <c r="Z116" s="194">
        <v>1061190</v>
      </c>
      <c r="AA116" s="208">
        <v>75750</v>
      </c>
      <c r="AB116" s="208">
        <v>635499</v>
      </c>
      <c r="AC116" s="183">
        <v>102105</v>
      </c>
      <c r="AD116" s="183">
        <v>1008920</v>
      </c>
      <c r="AE116" s="202">
        <v>145205</v>
      </c>
      <c r="AF116" s="208">
        <v>1329400</v>
      </c>
      <c r="AG116" s="202">
        <v>209912</v>
      </c>
      <c r="AH116" s="208">
        <v>2561194</v>
      </c>
      <c r="AI116" s="202">
        <v>217867</v>
      </c>
      <c r="AJ116" s="202">
        <v>2447709</v>
      </c>
      <c r="AK116" s="202">
        <v>260520</v>
      </c>
      <c r="AL116" s="202">
        <v>2352729</v>
      </c>
      <c r="AM116" s="187">
        <v>315363</v>
      </c>
      <c r="AN116" s="187">
        <v>3934459</v>
      </c>
      <c r="AO116" s="202">
        <v>1074742</v>
      </c>
      <c r="AP116" s="202">
        <v>18342182</v>
      </c>
      <c r="AQ116" s="202">
        <v>1342504.57</v>
      </c>
      <c r="AR116" s="202">
        <v>23279629</v>
      </c>
      <c r="AS116" s="202">
        <v>1058801.3600000001</v>
      </c>
      <c r="AT116" s="202">
        <v>19248834</v>
      </c>
      <c r="AU116" s="208">
        <v>1092060</v>
      </c>
      <c r="AV116" s="208">
        <v>23070405</v>
      </c>
      <c r="AW116" s="208">
        <v>1505817</v>
      </c>
      <c r="AX116" s="194">
        <v>25320815</v>
      </c>
      <c r="AY116" s="183">
        <v>1570660</v>
      </c>
      <c r="AZ116" s="183">
        <v>25312796</v>
      </c>
      <c r="BA116" s="183"/>
      <c r="BB116" s="183"/>
      <c r="BC116" s="202"/>
      <c r="BD116" s="183"/>
      <c r="BE116" s="202"/>
      <c r="BF116" s="148"/>
      <c r="BG116" s="202"/>
      <c r="BH116" s="148"/>
      <c r="BI116" s="202"/>
      <c r="BJ116" s="98"/>
      <c r="BM116" s="148"/>
      <c r="BN116" s="148"/>
    </row>
    <row r="117" spans="1:1163">
      <c r="A117" s="124"/>
      <c r="B117" s="127"/>
      <c r="C117" s="183"/>
      <c r="D117" s="183"/>
      <c r="E117" s="183"/>
      <c r="F117" s="183"/>
      <c r="G117" s="183"/>
      <c r="H117" s="183"/>
      <c r="I117" s="183"/>
      <c r="J117" s="183"/>
      <c r="K117" s="183"/>
      <c r="L117" s="183"/>
      <c r="M117" s="183"/>
      <c r="N117" s="183"/>
      <c r="O117" s="183"/>
      <c r="P117" s="183"/>
      <c r="Q117" s="183"/>
      <c r="R117" s="183"/>
      <c r="S117" s="183"/>
      <c r="T117" s="183"/>
      <c r="U117" s="184"/>
      <c r="V117" s="184"/>
      <c r="W117" s="202"/>
      <c r="X117" s="202"/>
      <c r="Y117" s="202"/>
      <c r="Z117" s="202"/>
      <c r="AA117" s="208"/>
      <c r="AB117" s="208"/>
      <c r="AC117" s="183"/>
      <c r="AD117" s="183"/>
      <c r="AE117" s="208"/>
      <c r="AF117" s="208"/>
      <c r="AG117" s="208"/>
      <c r="AH117" s="208"/>
      <c r="AI117" s="208"/>
      <c r="AJ117" s="208"/>
      <c r="AK117" s="208"/>
      <c r="AL117" s="208"/>
      <c r="AM117" s="202"/>
      <c r="AN117" s="202"/>
      <c r="AO117" s="202"/>
      <c r="AP117" s="202"/>
      <c r="AQ117" s="202"/>
      <c r="AR117" s="202"/>
      <c r="AS117" s="202"/>
      <c r="AT117" s="202"/>
      <c r="AU117" s="208"/>
      <c r="AV117" s="208"/>
      <c r="AW117" s="166"/>
      <c r="AX117" s="166"/>
      <c r="AY117" s="165"/>
      <c r="AZ117" s="165"/>
      <c r="BA117" s="196"/>
      <c r="BB117" s="166"/>
      <c r="BC117" s="166"/>
      <c r="BD117" s="166"/>
      <c r="BE117" s="166"/>
      <c r="BF117" s="166"/>
      <c r="BG117" s="166"/>
      <c r="BH117" s="166"/>
      <c r="BI117" s="196"/>
      <c r="BJ117" s="98"/>
      <c r="BK117" s="148"/>
      <c r="BM117" s="148"/>
      <c r="BN117" s="148"/>
    </row>
    <row r="118" spans="1:1163" s="174" customFormat="1">
      <c r="A118" s="118" t="s">
        <v>600</v>
      </c>
      <c r="B118" s="134"/>
      <c r="C118" s="197"/>
      <c r="D118" s="197"/>
      <c r="E118" s="197"/>
      <c r="F118" s="197"/>
      <c r="G118" s="197"/>
      <c r="H118" s="197"/>
      <c r="I118" s="197"/>
      <c r="J118" s="197"/>
      <c r="K118" s="197"/>
      <c r="L118" s="197"/>
      <c r="M118" s="197"/>
      <c r="N118" s="197"/>
      <c r="O118" s="197"/>
      <c r="P118" s="197"/>
      <c r="Q118" s="197"/>
      <c r="R118" s="197"/>
      <c r="S118" s="197"/>
      <c r="T118" s="197"/>
      <c r="U118" s="201"/>
      <c r="V118" s="201"/>
      <c r="W118" s="201"/>
      <c r="X118" s="201"/>
      <c r="Y118" s="201"/>
      <c r="Z118" s="201"/>
      <c r="AA118" s="209"/>
      <c r="AB118" s="209"/>
      <c r="AC118" s="175"/>
      <c r="AD118" s="175"/>
      <c r="AE118" s="209"/>
      <c r="AF118" s="209"/>
      <c r="AG118" s="209"/>
      <c r="AH118" s="209"/>
      <c r="AI118" s="209"/>
      <c r="AJ118" s="209"/>
      <c r="AK118" s="209"/>
      <c r="AL118" s="209"/>
      <c r="AM118" s="201"/>
      <c r="AN118" s="201"/>
      <c r="AO118" s="201"/>
      <c r="AP118" s="201"/>
      <c r="AQ118" s="201"/>
      <c r="AR118" s="201"/>
      <c r="AS118" s="201"/>
      <c r="AT118" s="201"/>
      <c r="AU118" s="209"/>
      <c r="AV118" s="209"/>
      <c r="AW118" s="173"/>
      <c r="AX118" s="173"/>
      <c r="AY118" s="206"/>
      <c r="AZ118" s="172"/>
      <c r="BA118" s="177"/>
      <c r="BB118" s="173"/>
      <c r="BC118" s="173"/>
      <c r="BD118" s="173"/>
      <c r="BE118" s="173"/>
      <c r="BF118" s="173"/>
      <c r="BG118" s="173"/>
      <c r="BH118" s="173"/>
      <c r="BI118" s="177"/>
      <c r="BJ118" s="98"/>
      <c r="BK118" s="148"/>
      <c r="BL118" s="148"/>
      <c r="BM118" s="148"/>
      <c r="BN118" s="14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c r="KT118" s="98"/>
      <c r="KU118" s="98"/>
      <c r="KV118" s="98"/>
      <c r="KW118" s="98"/>
      <c r="KX118" s="98"/>
      <c r="KY118" s="98"/>
      <c r="KZ118" s="98"/>
      <c r="LA118" s="98"/>
      <c r="LB118" s="98"/>
      <c r="LC118" s="98"/>
      <c r="LD118" s="98"/>
      <c r="LE118" s="98"/>
      <c r="LF118" s="98"/>
      <c r="LG118" s="98"/>
      <c r="LH118" s="98"/>
      <c r="LI118" s="98"/>
      <c r="LJ118" s="98"/>
      <c r="LK118" s="98"/>
      <c r="LL118" s="98"/>
      <c r="LM118" s="98"/>
      <c r="LN118" s="98"/>
      <c r="LO118" s="98"/>
      <c r="LP118" s="98"/>
      <c r="LQ118" s="98"/>
      <c r="LR118" s="98"/>
      <c r="LS118" s="98"/>
      <c r="LT118" s="98"/>
      <c r="LU118" s="98"/>
      <c r="LV118" s="98"/>
      <c r="LW118" s="98"/>
      <c r="LX118" s="98"/>
      <c r="LY118" s="98"/>
      <c r="LZ118" s="98"/>
      <c r="MA118" s="98"/>
      <c r="MB118" s="98"/>
      <c r="MC118" s="98"/>
      <c r="MD118" s="98"/>
      <c r="ME118" s="98"/>
      <c r="MF118" s="98"/>
      <c r="MG118" s="98"/>
      <c r="MH118" s="98"/>
      <c r="MI118" s="98"/>
      <c r="MJ118" s="98"/>
      <c r="MK118" s="98"/>
      <c r="ML118" s="98"/>
      <c r="MM118" s="98"/>
      <c r="MN118" s="98"/>
      <c r="MO118" s="98"/>
      <c r="MP118" s="98"/>
      <c r="MQ118" s="98"/>
      <c r="MR118" s="98"/>
      <c r="MS118" s="98"/>
      <c r="MT118" s="98"/>
      <c r="MU118" s="98"/>
      <c r="MV118" s="98"/>
      <c r="MW118" s="98"/>
      <c r="MX118" s="98"/>
      <c r="MY118" s="98"/>
      <c r="MZ118" s="98"/>
      <c r="NA118" s="98"/>
      <c r="NB118" s="98"/>
      <c r="NC118" s="98"/>
      <c r="ND118" s="98"/>
      <c r="NE118" s="98"/>
      <c r="NF118" s="98"/>
      <c r="NG118" s="98"/>
      <c r="NH118" s="98"/>
      <c r="NI118" s="98"/>
      <c r="NJ118" s="98"/>
      <c r="NK118" s="98"/>
      <c r="NL118" s="98"/>
      <c r="NM118" s="98"/>
      <c r="NN118" s="98"/>
      <c r="NO118" s="98"/>
      <c r="NP118" s="98"/>
      <c r="NQ118" s="98"/>
      <c r="NR118" s="98"/>
      <c r="NS118" s="98"/>
      <c r="NT118" s="98"/>
      <c r="NU118" s="98"/>
      <c r="NV118" s="98"/>
      <c r="NW118" s="98"/>
      <c r="NX118" s="98"/>
      <c r="NY118" s="98"/>
      <c r="NZ118" s="98"/>
      <c r="OA118" s="98"/>
      <c r="OB118" s="98"/>
      <c r="OC118" s="98"/>
      <c r="OD118" s="98"/>
      <c r="OE118" s="98"/>
      <c r="OF118" s="98"/>
      <c r="OG118" s="98"/>
      <c r="OH118" s="98"/>
      <c r="OI118" s="98"/>
      <c r="OJ118" s="98"/>
      <c r="OK118" s="98"/>
      <c r="OL118" s="98"/>
      <c r="OM118" s="98"/>
      <c r="ON118" s="98"/>
      <c r="OO118" s="98"/>
      <c r="OP118" s="98"/>
      <c r="OQ118" s="98"/>
      <c r="OR118" s="98"/>
      <c r="OS118" s="98"/>
      <c r="OT118" s="98"/>
      <c r="OU118" s="98"/>
      <c r="OV118" s="98"/>
      <c r="OW118" s="98"/>
      <c r="OX118" s="98"/>
      <c r="OY118" s="98"/>
      <c r="OZ118" s="98"/>
      <c r="PA118" s="98"/>
      <c r="PB118" s="98"/>
      <c r="PC118" s="98"/>
      <c r="PD118" s="98"/>
      <c r="PE118" s="98"/>
      <c r="PF118" s="98"/>
      <c r="PG118" s="98"/>
      <c r="PH118" s="98"/>
      <c r="PI118" s="98"/>
      <c r="PJ118" s="98"/>
      <c r="PK118" s="98"/>
      <c r="PL118" s="98"/>
      <c r="PM118" s="98"/>
      <c r="PN118" s="98"/>
      <c r="PO118" s="98"/>
      <c r="PP118" s="98"/>
      <c r="PQ118" s="98"/>
      <c r="PR118" s="98"/>
      <c r="PS118" s="98"/>
      <c r="PT118" s="98"/>
      <c r="PU118" s="98"/>
      <c r="PV118" s="98"/>
      <c r="PW118" s="98"/>
      <c r="PX118" s="98"/>
      <c r="PY118" s="98"/>
      <c r="PZ118" s="98"/>
      <c r="QA118" s="98"/>
      <c r="QB118" s="98"/>
      <c r="QC118" s="98"/>
      <c r="QD118" s="98"/>
      <c r="QE118" s="98"/>
      <c r="QF118" s="98"/>
      <c r="QG118" s="98"/>
      <c r="QH118" s="98"/>
      <c r="QI118" s="98"/>
      <c r="QJ118" s="98"/>
      <c r="QK118" s="98"/>
      <c r="QL118" s="98"/>
      <c r="QM118" s="98"/>
      <c r="QN118" s="98"/>
      <c r="QO118" s="98"/>
      <c r="QP118" s="98"/>
      <c r="QQ118" s="98"/>
      <c r="QR118" s="98"/>
      <c r="QS118" s="98"/>
      <c r="QT118" s="98"/>
      <c r="QU118" s="98"/>
      <c r="QV118" s="98"/>
      <c r="QW118" s="98"/>
      <c r="QX118" s="98"/>
      <c r="QY118" s="98"/>
      <c r="QZ118" s="98"/>
      <c r="RA118" s="98"/>
      <c r="RB118" s="98"/>
      <c r="RC118" s="98"/>
      <c r="RD118" s="98"/>
      <c r="RE118" s="98"/>
      <c r="RF118" s="98"/>
      <c r="RG118" s="98"/>
      <c r="RH118" s="98"/>
      <c r="RI118" s="98"/>
      <c r="RJ118" s="98"/>
      <c r="RK118" s="98"/>
      <c r="RL118" s="98"/>
      <c r="RM118" s="98"/>
      <c r="RN118" s="98"/>
      <c r="RO118" s="98"/>
      <c r="RP118" s="98"/>
      <c r="RQ118" s="98"/>
      <c r="RR118" s="98"/>
      <c r="RS118" s="98"/>
      <c r="RT118" s="98"/>
      <c r="RU118" s="98"/>
      <c r="RV118" s="98"/>
      <c r="RW118" s="98"/>
      <c r="RX118" s="98"/>
      <c r="RY118" s="98"/>
      <c r="RZ118" s="98"/>
      <c r="SA118" s="98"/>
      <c r="SB118" s="98"/>
      <c r="SC118" s="98"/>
      <c r="SD118" s="98"/>
      <c r="SE118" s="98"/>
      <c r="SF118" s="98"/>
      <c r="SG118" s="98"/>
      <c r="SH118" s="98"/>
      <c r="SI118" s="98"/>
      <c r="SJ118" s="98"/>
      <c r="SK118" s="98"/>
      <c r="SL118" s="98"/>
      <c r="SM118" s="98"/>
      <c r="SN118" s="98"/>
      <c r="SO118" s="98"/>
      <c r="SP118" s="98"/>
      <c r="SQ118" s="98"/>
      <c r="SR118" s="98"/>
      <c r="SS118" s="98"/>
      <c r="ST118" s="98"/>
      <c r="SU118" s="98"/>
      <c r="SV118" s="98"/>
      <c r="SW118" s="98"/>
      <c r="SX118" s="98"/>
      <c r="SY118" s="98"/>
      <c r="SZ118" s="98"/>
      <c r="TA118" s="98"/>
      <c r="TB118" s="98"/>
      <c r="TC118" s="98"/>
      <c r="TD118" s="98"/>
      <c r="TE118" s="98"/>
      <c r="TF118" s="98"/>
      <c r="TG118" s="98"/>
      <c r="TH118" s="98"/>
      <c r="TI118" s="98"/>
      <c r="TJ118" s="98"/>
      <c r="TK118" s="98"/>
      <c r="TL118" s="98"/>
      <c r="TM118" s="98"/>
      <c r="TN118" s="98"/>
      <c r="TO118" s="98"/>
      <c r="TP118" s="98"/>
      <c r="TQ118" s="98"/>
      <c r="TR118" s="98"/>
      <c r="TS118" s="98"/>
      <c r="TT118" s="98"/>
      <c r="TU118" s="98"/>
      <c r="TV118" s="98"/>
      <c r="TW118" s="98"/>
      <c r="TX118" s="98"/>
      <c r="TY118" s="98"/>
      <c r="TZ118" s="98"/>
      <c r="UA118" s="98"/>
      <c r="UB118" s="98"/>
      <c r="UC118" s="98"/>
      <c r="UD118" s="98"/>
      <c r="UE118" s="98"/>
      <c r="UF118" s="98"/>
      <c r="UG118" s="98"/>
      <c r="UH118" s="98"/>
      <c r="UI118" s="98"/>
      <c r="UJ118" s="98"/>
      <c r="UK118" s="98"/>
      <c r="UL118" s="98"/>
      <c r="UM118" s="98"/>
      <c r="UN118" s="98"/>
      <c r="UO118" s="98"/>
      <c r="UP118" s="98"/>
      <c r="UQ118" s="98"/>
      <c r="UR118" s="98"/>
      <c r="US118" s="98"/>
      <c r="UT118" s="98"/>
      <c r="UU118" s="98"/>
      <c r="UV118" s="98"/>
      <c r="UW118" s="98"/>
      <c r="UX118" s="98"/>
      <c r="UY118" s="98"/>
      <c r="UZ118" s="98"/>
      <c r="VA118" s="98"/>
      <c r="VB118" s="98"/>
      <c r="VC118" s="98"/>
      <c r="VD118" s="98"/>
      <c r="VE118" s="98"/>
      <c r="VF118" s="98"/>
      <c r="VG118" s="98"/>
      <c r="VH118" s="98"/>
      <c r="VI118" s="98"/>
      <c r="VJ118" s="98"/>
      <c r="VK118" s="98"/>
      <c r="VL118" s="98"/>
      <c r="VM118" s="98"/>
      <c r="VN118" s="98"/>
      <c r="VO118" s="98"/>
      <c r="VP118" s="98"/>
      <c r="VQ118" s="98"/>
      <c r="VR118" s="98"/>
      <c r="VS118" s="98"/>
      <c r="VT118" s="98"/>
      <c r="VU118" s="98"/>
      <c r="VV118" s="98"/>
      <c r="VW118" s="98"/>
      <c r="VX118" s="98"/>
      <c r="VY118" s="98"/>
      <c r="VZ118" s="98"/>
      <c r="WA118" s="98"/>
      <c r="WB118" s="98"/>
      <c r="WC118" s="98"/>
      <c r="WD118" s="98"/>
      <c r="WE118" s="98"/>
      <c r="WF118" s="98"/>
      <c r="WG118" s="98"/>
      <c r="WH118" s="98"/>
      <c r="WI118" s="98"/>
      <c r="WJ118" s="98"/>
      <c r="WK118" s="98"/>
      <c r="WL118" s="98"/>
      <c r="WM118" s="98"/>
      <c r="WN118" s="98"/>
      <c r="WO118" s="98"/>
      <c r="WP118" s="98"/>
      <c r="WQ118" s="98"/>
      <c r="WR118" s="98"/>
      <c r="WS118" s="98"/>
      <c r="WT118" s="98"/>
      <c r="WU118" s="98"/>
      <c r="WV118" s="98"/>
      <c r="WW118" s="98"/>
      <c r="WX118" s="98"/>
      <c r="WY118" s="98"/>
      <c r="WZ118" s="98"/>
      <c r="XA118" s="98"/>
      <c r="XB118" s="98"/>
      <c r="XC118" s="98"/>
      <c r="XD118" s="98"/>
      <c r="XE118" s="98"/>
      <c r="XF118" s="98"/>
      <c r="XG118" s="98"/>
      <c r="XH118" s="98"/>
      <c r="XI118" s="98"/>
      <c r="XJ118" s="98"/>
      <c r="XK118" s="98"/>
      <c r="XL118" s="98"/>
      <c r="XM118" s="98"/>
      <c r="XN118" s="98"/>
      <c r="XO118" s="98"/>
      <c r="XP118" s="98"/>
      <c r="XQ118" s="98"/>
      <c r="XR118" s="98"/>
      <c r="XS118" s="98"/>
      <c r="XT118" s="98"/>
      <c r="XU118" s="98"/>
      <c r="XV118" s="98"/>
      <c r="XW118" s="98"/>
      <c r="XX118" s="98"/>
      <c r="XY118" s="98"/>
      <c r="XZ118" s="98"/>
      <c r="YA118" s="98"/>
      <c r="YB118" s="98"/>
      <c r="YC118" s="98"/>
      <c r="YD118" s="98"/>
      <c r="YE118" s="98"/>
      <c r="YF118" s="98"/>
      <c r="YG118" s="98"/>
      <c r="YH118" s="98"/>
      <c r="YI118" s="98"/>
      <c r="YJ118" s="98"/>
      <c r="YK118" s="98"/>
      <c r="YL118" s="98"/>
      <c r="YM118" s="98"/>
      <c r="YN118" s="98"/>
      <c r="YO118" s="98"/>
      <c r="YP118" s="98"/>
      <c r="YQ118" s="98"/>
      <c r="YR118" s="98"/>
      <c r="YS118" s="98"/>
      <c r="YT118" s="98"/>
      <c r="YU118" s="98"/>
      <c r="YV118" s="98"/>
      <c r="YW118" s="98"/>
      <c r="YX118" s="98"/>
      <c r="YY118" s="98"/>
      <c r="YZ118" s="98"/>
      <c r="ZA118" s="98"/>
      <c r="ZB118" s="98"/>
      <c r="ZC118" s="98"/>
      <c r="ZD118" s="98"/>
      <c r="ZE118" s="98"/>
      <c r="ZF118" s="98"/>
      <c r="ZG118" s="98"/>
      <c r="ZH118" s="98"/>
      <c r="ZI118" s="98"/>
      <c r="ZJ118" s="98"/>
      <c r="ZK118" s="98"/>
      <c r="ZL118" s="98"/>
      <c r="ZM118" s="98"/>
      <c r="ZN118" s="98"/>
      <c r="ZO118" s="98"/>
      <c r="ZP118" s="98"/>
      <c r="ZQ118" s="98"/>
      <c r="ZR118" s="98"/>
      <c r="ZS118" s="98"/>
      <c r="ZT118" s="98"/>
      <c r="ZU118" s="98"/>
      <c r="ZV118" s="98"/>
      <c r="ZW118" s="98"/>
      <c r="ZX118" s="98"/>
      <c r="ZY118" s="98"/>
      <c r="ZZ118" s="98"/>
      <c r="AAA118" s="98"/>
      <c r="AAB118" s="98"/>
      <c r="AAC118" s="98"/>
      <c r="AAD118" s="98"/>
      <c r="AAE118" s="98"/>
      <c r="AAF118" s="98"/>
      <c r="AAG118" s="98"/>
      <c r="AAH118" s="98"/>
      <c r="AAI118" s="98"/>
      <c r="AAJ118" s="98"/>
      <c r="AAK118" s="98"/>
      <c r="AAL118" s="98"/>
      <c r="AAM118" s="98"/>
      <c r="AAN118" s="98"/>
      <c r="AAO118" s="98"/>
      <c r="AAP118" s="98"/>
      <c r="AAQ118" s="98"/>
      <c r="AAR118" s="98"/>
      <c r="AAS118" s="98"/>
      <c r="AAT118" s="98"/>
      <c r="AAU118" s="98"/>
      <c r="AAV118" s="98"/>
      <c r="AAW118" s="98"/>
      <c r="AAX118" s="98"/>
      <c r="AAY118" s="98"/>
      <c r="AAZ118" s="98"/>
      <c r="ABA118" s="98"/>
      <c r="ABB118" s="98"/>
      <c r="ABC118" s="98"/>
      <c r="ABD118" s="98"/>
      <c r="ABE118" s="98"/>
      <c r="ABF118" s="98"/>
      <c r="ABG118" s="98"/>
      <c r="ABH118" s="98"/>
      <c r="ABI118" s="98"/>
      <c r="ABJ118" s="98"/>
      <c r="ABK118" s="98"/>
      <c r="ABL118" s="98"/>
      <c r="ABM118" s="98"/>
      <c r="ABN118" s="98"/>
      <c r="ABO118" s="98"/>
      <c r="ABP118" s="98"/>
      <c r="ABQ118" s="98"/>
      <c r="ABR118" s="98"/>
      <c r="ABS118" s="98"/>
      <c r="ABT118" s="98"/>
      <c r="ABU118" s="98"/>
      <c r="ABV118" s="98"/>
      <c r="ABW118" s="98"/>
      <c r="ABX118" s="98"/>
      <c r="ABY118" s="98"/>
      <c r="ABZ118" s="98"/>
      <c r="ACA118" s="98"/>
      <c r="ACB118" s="98"/>
      <c r="ACC118" s="98"/>
      <c r="ACD118" s="98"/>
      <c r="ACE118" s="98"/>
      <c r="ACF118" s="98"/>
      <c r="ACG118" s="98"/>
      <c r="ACH118" s="98"/>
      <c r="ACI118" s="98"/>
      <c r="ACJ118" s="98"/>
      <c r="ACK118" s="98"/>
      <c r="ACL118" s="98"/>
      <c r="ACM118" s="98"/>
      <c r="ACN118" s="98"/>
      <c r="ACO118" s="98"/>
      <c r="ACP118" s="98"/>
      <c r="ACQ118" s="98"/>
      <c r="ACR118" s="98"/>
      <c r="ACS118" s="98"/>
      <c r="ACT118" s="98"/>
      <c r="ACU118" s="98"/>
      <c r="ACV118" s="98"/>
      <c r="ACW118" s="98"/>
      <c r="ACX118" s="98"/>
      <c r="ACY118" s="98"/>
      <c r="ACZ118" s="98"/>
      <c r="ADA118" s="98"/>
      <c r="ADB118" s="98"/>
      <c r="ADC118" s="98"/>
      <c r="ADD118" s="98"/>
      <c r="ADE118" s="98"/>
      <c r="ADF118" s="98"/>
      <c r="ADG118" s="98"/>
      <c r="ADH118" s="98"/>
      <c r="ADI118" s="98"/>
      <c r="ADJ118" s="98"/>
      <c r="ADK118" s="98"/>
      <c r="ADL118" s="98"/>
      <c r="ADM118" s="98"/>
      <c r="ADN118" s="98"/>
      <c r="ADO118" s="98"/>
      <c r="ADP118" s="98"/>
      <c r="ADQ118" s="98"/>
      <c r="ADR118" s="98"/>
      <c r="ADS118" s="98"/>
      <c r="ADT118" s="98"/>
      <c r="ADU118" s="98"/>
      <c r="ADV118" s="98"/>
      <c r="ADW118" s="98"/>
      <c r="ADX118" s="98"/>
      <c r="ADY118" s="98"/>
      <c r="ADZ118" s="98"/>
      <c r="AEA118" s="98"/>
      <c r="AEB118" s="98"/>
      <c r="AEC118" s="98"/>
      <c r="AED118" s="98"/>
      <c r="AEE118" s="98"/>
      <c r="AEF118" s="98"/>
      <c r="AEG118" s="98"/>
      <c r="AEH118" s="98"/>
      <c r="AEI118" s="98"/>
      <c r="AEJ118" s="98"/>
      <c r="AEK118" s="98"/>
      <c r="AEL118" s="98"/>
      <c r="AEM118" s="98"/>
      <c r="AEN118" s="98"/>
      <c r="AEO118" s="98"/>
      <c r="AEP118" s="98"/>
      <c r="AEQ118" s="98"/>
      <c r="AER118" s="98"/>
      <c r="AES118" s="98"/>
      <c r="AET118" s="98"/>
      <c r="AEU118" s="98"/>
      <c r="AEV118" s="98"/>
      <c r="AEW118" s="98"/>
      <c r="AEX118" s="98"/>
      <c r="AEY118" s="98"/>
      <c r="AEZ118" s="98"/>
      <c r="AFA118" s="98"/>
      <c r="AFB118" s="98"/>
      <c r="AFC118" s="98"/>
      <c r="AFD118" s="98"/>
      <c r="AFE118" s="98"/>
      <c r="AFF118" s="98"/>
      <c r="AFG118" s="98"/>
      <c r="AFH118" s="98"/>
      <c r="AFI118" s="98"/>
      <c r="AFJ118" s="98"/>
      <c r="AFK118" s="98"/>
      <c r="AFL118" s="98"/>
      <c r="AFM118" s="98"/>
      <c r="AFN118" s="98"/>
      <c r="AFO118" s="98"/>
      <c r="AFP118" s="98"/>
      <c r="AFQ118" s="98"/>
      <c r="AFR118" s="98"/>
      <c r="AFS118" s="98"/>
      <c r="AFT118" s="98"/>
      <c r="AFU118" s="98"/>
      <c r="AFV118" s="98"/>
      <c r="AFW118" s="98"/>
      <c r="AFX118" s="98"/>
      <c r="AFY118" s="98"/>
      <c r="AFZ118" s="98"/>
      <c r="AGA118" s="98"/>
      <c r="AGB118" s="98"/>
      <c r="AGC118" s="98"/>
      <c r="AGD118" s="98"/>
      <c r="AGE118" s="98"/>
      <c r="AGF118" s="98"/>
      <c r="AGG118" s="98"/>
      <c r="AGH118" s="98"/>
      <c r="AGI118" s="98"/>
      <c r="AGJ118" s="98"/>
      <c r="AGK118" s="98"/>
      <c r="AGL118" s="98"/>
      <c r="AGM118" s="98"/>
      <c r="AGN118" s="98"/>
      <c r="AGO118" s="98"/>
      <c r="AGP118" s="98"/>
      <c r="AGQ118" s="98"/>
      <c r="AGR118" s="98"/>
      <c r="AGS118" s="98"/>
      <c r="AGT118" s="98"/>
      <c r="AGU118" s="98"/>
      <c r="AGV118" s="98"/>
      <c r="AGW118" s="98"/>
      <c r="AGX118" s="98"/>
      <c r="AGY118" s="98"/>
      <c r="AGZ118" s="98"/>
      <c r="AHA118" s="98"/>
      <c r="AHB118" s="98"/>
      <c r="AHC118" s="98"/>
      <c r="AHD118" s="98"/>
      <c r="AHE118" s="98"/>
      <c r="AHF118" s="98"/>
      <c r="AHG118" s="98"/>
      <c r="AHH118" s="98"/>
      <c r="AHI118" s="98"/>
      <c r="AHJ118" s="98"/>
      <c r="AHK118" s="98"/>
      <c r="AHL118" s="98"/>
      <c r="AHM118" s="98"/>
      <c r="AHN118" s="98"/>
      <c r="AHO118" s="98"/>
      <c r="AHP118" s="98"/>
      <c r="AHQ118" s="98"/>
      <c r="AHR118" s="98"/>
      <c r="AHS118" s="98"/>
      <c r="AHT118" s="98"/>
      <c r="AHU118" s="98"/>
      <c r="AHV118" s="98"/>
      <c r="AHW118" s="98"/>
      <c r="AHX118" s="98"/>
      <c r="AHY118" s="98"/>
      <c r="AHZ118" s="98"/>
      <c r="AIA118" s="98"/>
      <c r="AIB118" s="98"/>
      <c r="AIC118" s="98"/>
      <c r="AID118" s="98"/>
      <c r="AIE118" s="98"/>
      <c r="AIF118" s="98"/>
      <c r="AIG118" s="98"/>
      <c r="AIH118" s="98"/>
      <c r="AII118" s="98"/>
      <c r="AIJ118" s="98"/>
      <c r="AIK118" s="98"/>
      <c r="AIL118" s="98"/>
      <c r="AIM118" s="98"/>
      <c r="AIN118" s="98"/>
      <c r="AIO118" s="98"/>
      <c r="AIP118" s="98"/>
      <c r="AIQ118" s="98"/>
      <c r="AIR118" s="98"/>
      <c r="AIS118" s="98"/>
      <c r="AIT118" s="98"/>
      <c r="AIU118" s="98"/>
      <c r="AIV118" s="98"/>
      <c r="AIW118" s="98"/>
      <c r="AIX118" s="98"/>
      <c r="AIY118" s="98"/>
      <c r="AIZ118" s="98"/>
      <c r="AJA118" s="98"/>
      <c r="AJB118" s="98"/>
      <c r="AJC118" s="98"/>
      <c r="AJD118" s="98"/>
      <c r="AJE118" s="98"/>
      <c r="AJF118" s="98"/>
      <c r="AJG118" s="98"/>
      <c r="AJH118" s="98"/>
      <c r="AJI118" s="98"/>
      <c r="AJJ118" s="98"/>
      <c r="AJK118" s="98"/>
      <c r="AJL118" s="98"/>
      <c r="AJM118" s="98"/>
      <c r="AJN118" s="98"/>
      <c r="AJO118" s="98"/>
      <c r="AJP118" s="98"/>
      <c r="AJQ118" s="98"/>
      <c r="AJR118" s="98"/>
      <c r="AJS118" s="98"/>
      <c r="AJT118" s="98"/>
      <c r="AJU118" s="98"/>
      <c r="AJV118" s="98"/>
      <c r="AJW118" s="98"/>
      <c r="AJX118" s="98"/>
      <c r="AJY118" s="98"/>
      <c r="AJZ118" s="98"/>
      <c r="AKA118" s="98"/>
      <c r="AKB118" s="98"/>
      <c r="AKC118" s="98"/>
      <c r="AKD118" s="98"/>
      <c r="AKE118" s="98"/>
      <c r="AKF118" s="98"/>
      <c r="AKG118" s="98"/>
      <c r="AKH118" s="98"/>
      <c r="AKI118" s="98"/>
      <c r="AKJ118" s="98"/>
      <c r="AKK118" s="98"/>
      <c r="AKL118" s="98"/>
      <c r="AKM118" s="98"/>
      <c r="AKN118" s="98"/>
      <c r="AKO118" s="98"/>
      <c r="AKP118" s="98"/>
      <c r="AKQ118" s="98"/>
      <c r="AKR118" s="98"/>
      <c r="AKS118" s="98"/>
      <c r="AKT118" s="98"/>
      <c r="AKU118" s="98"/>
      <c r="AKV118" s="98"/>
      <c r="AKW118" s="98"/>
      <c r="AKX118" s="98"/>
      <c r="AKY118" s="98"/>
      <c r="AKZ118" s="98"/>
      <c r="ALA118" s="98"/>
      <c r="ALB118" s="98"/>
      <c r="ALC118" s="98"/>
      <c r="ALD118" s="98"/>
      <c r="ALE118" s="98"/>
      <c r="ALF118" s="98"/>
      <c r="ALG118" s="98"/>
      <c r="ALH118" s="98"/>
      <c r="ALI118" s="98"/>
      <c r="ALJ118" s="98"/>
      <c r="ALK118" s="98"/>
      <c r="ALL118" s="98"/>
      <c r="ALM118" s="98"/>
      <c r="ALN118" s="98"/>
      <c r="ALO118" s="98"/>
      <c r="ALP118" s="98"/>
      <c r="ALQ118" s="98"/>
      <c r="ALR118" s="98"/>
      <c r="ALS118" s="98"/>
      <c r="ALT118" s="98"/>
      <c r="ALU118" s="98"/>
      <c r="ALV118" s="98"/>
      <c r="ALW118" s="98"/>
      <c r="ALX118" s="98"/>
      <c r="ALY118" s="98"/>
      <c r="ALZ118" s="98"/>
      <c r="AMA118" s="98"/>
      <c r="AMB118" s="98"/>
      <c r="AMC118" s="98"/>
      <c r="AMD118" s="98"/>
      <c r="AME118" s="98"/>
      <c r="AMF118" s="98"/>
      <c r="AMG118" s="98"/>
      <c r="AMH118" s="98"/>
      <c r="AMI118" s="98"/>
      <c r="AMJ118" s="98"/>
      <c r="AMK118" s="98"/>
      <c r="AML118" s="98"/>
      <c r="AMM118" s="98"/>
      <c r="AMN118" s="98"/>
      <c r="AMO118" s="98"/>
      <c r="AMP118" s="98"/>
      <c r="AMQ118" s="98"/>
      <c r="AMR118" s="98"/>
      <c r="AMS118" s="98"/>
      <c r="AMT118" s="98"/>
      <c r="AMU118" s="98"/>
      <c r="AMV118" s="98"/>
      <c r="AMW118" s="98"/>
      <c r="AMX118" s="98"/>
      <c r="AMY118" s="98"/>
      <c r="AMZ118" s="98"/>
      <c r="ANA118" s="98"/>
      <c r="ANB118" s="98"/>
      <c r="ANC118" s="98"/>
      <c r="AND118" s="98"/>
      <c r="ANE118" s="98"/>
      <c r="ANF118" s="98"/>
      <c r="ANG118" s="98"/>
      <c r="ANH118" s="98"/>
      <c r="ANI118" s="98"/>
      <c r="ANJ118" s="98"/>
      <c r="ANK118" s="98"/>
      <c r="ANL118" s="98"/>
      <c r="ANM118" s="98"/>
      <c r="ANN118" s="98"/>
      <c r="ANO118" s="98"/>
      <c r="ANP118" s="98"/>
      <c r="ANQ118" s="98"/>
      <c r="ANR118" s="98"/>
      <c r="ANS118" s="98"/>
      <c r="ANT118" s="98"/>
      <c r="ANU118" s="98"/>
      <c r="ANV118" s="98"/>
      <c r="ANW118" s="98"/>
      <c r="ANX118" s="98"/>
      <c r="ANY118" s="98"/>
      <c r="ANZ118" s="98"/>
      <c r="AOA118" s="98"/>
      <c r="AOB118" s="98"/>
      <c r="AOC118" s="98"/>
      <c r="AOD118" s="98"/>
      <c r="AOE118" s="98"/>
      <c r="AOF118" s="98"/>
      <c r="AOG118" s="98"/>
      <c r="AOH118" s="98"/>
      <c r="AOI118" s="98"/>
      <c r="AOJ118" s="98"/>
      <c r="AOK118" s="98"/>
      <c r="AOL118" s="98"/>
      <c r="AOM118" s="98"/>
      <c r="AON118" s="98"/>
      <c r="AOO118" s="98"/>
      <c r="AOP118" s="98"/>
      <c r="AOQ118" s="98"/>
      <c r="AOR118" s="98"/>
      <c r="AOS118" s="98"/>
      <c r="AOT118" s="98"/>
      <c r="AOU118" s="98"/>
      <c r="AOV118" s="98"/>
      <c r="AOW118" s="98"/>
      <c r="AOX118" s="98"/>
      <c r="AOY118" s="98"/>
      <c r="AOZ118" s="98"/>
      <c r="APA118" s="98"/>
      <c r="APB118" s="98"/>
      <c r="APC118" s="98"/>
      <c r="APD118" s="98"/>
      <c r="APE118" s="98"/>
      <c r="APF118" s="98"/>
      <c r="APG118" s="98"/>
      <c r="APH118" s="98"/>
      <c r="API118" s="98"/>
      <c r="APJ118" s="98"/>
      <c r="APK118" s="98"/>
      <c r="APL118" s="98"/>
      <c r="APM118" s="98"/>
      <c r="APN118" s="98"/>
      <c r="APO118" s="98"/>
      <c r="APP118" s="98"/>
      <c r="APQ118" s="98"/>
      <c r="APR118" s="98"/>
      <c r="APS118" s="98"/>
      <c r="APT118" s="98"/>
      <c r="APU118" s="98"/>
      <c r="APV118" s="98"/>
      <c r="APW118" s="98"/>
      <c r="APX118" s="98"/>
      <c r="APY118" s="98"/>
      <c r="APZ118" s="98"/>
      <c r="AQA118" s="98"/>
      <c r="AQB118" s="98"/>
      <c r="AQC118" s="98"/>
      <c r="AQD118" s="98"/>
      <c r="AQE118" s="98"/>
      <c r="AQF118" s="98"/>
      <c r="AQG118" s="98"/>
      <c r="AQH118" s="98"/>
      <c r="AQI118" s="98"/>
      <c r="AQJ118" s="98"/>
      <c r="AQK118" s="98"/>
      <c r="AQL118" s="98"/>
      <c r="AQM118" s="98"/>
      <c r="AQN118" s="98"/>
      <c r="AQO118" s="98"/>
      <c r="AQP118" s="98"/>
      <c r="AQQ118" s="98"/>
      <c r="AQR118" s="98"/>
      <c r="AQS118" s="98"/>
      <c r="AQT118" s="98"/>
      <c r="AQU118" s="98"/>
      <c r="AQV118" s="98"/>
      <c r="AQW118" s="98"/>
      <c r="AQX118" s="98"/>
      <c r="AQY118" s="98"/>
      <c r="AQZ118" s="98"/>
      <c r="ARA118" s="98"/>
      <c r="ARB118" s="98"/>
      <c r="ARC118" s="98"/>
      <c r="ARD118" s="98"/>
      <c r="ARE118" s="98"/>
      <c r="ARF118" s="98"/>
      <c r="ARG118" s="98"/>
      <c r="ARH118" s="98"/>
      <c r="ARI118" s="98"/>
      <c r="ARJ118" s="98"/>
      <c r="ARK118" s="98"/>
      <c r="ARL118" s="98"/>
      <c r="ARM118" s="98"/>
      <c r="ARN118" s="98"/>
      <c r="ARO118" s="98"/>
      <c r="ARP118" s="98"/>
      <c r="ARQ118" s="98"/>
      <c r="ARR118" s="98"/>
      <c r="ARS118" s="98"/>
    </row>
    <row r="119" spans="1:1163" s="174" customFormat="1">
      <c r="A119" s="140" t="s">
        <v>220</v>
      </c>
      <c r="B119" s="119" t="s">
        <v>67</v>
      </c>
      <c r="C119" s="175">
        <v>761</v>
      </c>
      <c r="D119" s="175">
        <v>56974</v>
      </c>
      <c r="E119" s="175">
        <v>76</v>
      </c>
      <c r="F119" s="175">
        <v>7540</v>
      </c>
      <c r="G119" s="175">
        <v>1344</v>
      </c>
      <c r="H119" s="175">
        <v>151517</v>
      </c>
      <c r="I119" s="175">
        <v>3266</v>
      </c>
      <c r="J119" s="175">
        <v>222726</v>
      </c>
      <c r="K119" s="175">
        <v>2657</v>
      </c>
      <c r="L119" s="175">
        <v>92967</v>
      </c>
      <c r="M119" s="175">
        <v>3287</v>
      </c>
      <c r="N119" s="175">
        <v>115080</v>
      </c>
      <c r="O119" s="175">
        <v>5835</v>
      </c>
      <c r="P119" s="175">
        <v>204252</v>
      </c>
      <c r="Q119" s="175">
        <v>9724</v>
      </c>
      <c r="R119" s="175">
        <v>340340</v>
      </c>
      <c r="S119" s="175">
        <v>16837</v>
      </c>
      <c r="T119" s="175">
        <v>593043</v>
      </c>
      <c r="U119" s="197">
        <v>19758</v>
      </c>
      <c r="V119" s="197">
        <v>693761</v>
      </c>
      <c r="W119" s="197">
        <v>29905</v>
      </c>
      <c r="X119" s="197">
        <v>1211433</v>
      </c>
      <c r="Y119" s="197">
        <v>23367</v>
      </c>
      <c r="Z119" s="197">
        <v>1535315</v>
      </c>
      <c r="AA119" s="209">
        <v>30732</v>
      </c>
      <c r="AB119" s="209">
        <v>2880905</v>
      </c>
      <c r="AC119" s="175">
        <v>38140</v>
      </c>
      <c r="AD119" s="175">
        <v>3611274</v>
      </c>
      <c r="AE119" s="201">
        <v>48202</v>
      </c>
      <c r="AF119" s="201">
        <v>4582615</v>
      </c>
      <c r="AG119" s="201">
        <v>60382</v>
      </c>
      <c r="AH119" s="201">
        <v>5738224</v>
      </c>
      <c r="AI119" s="201">
        <v>84909</v>
      </c>
      <c r="AJ119" s="201">
        <v>8067752</v>
      </c>
      <c r="AK119" s="201">
        <v>88493</v>
      </c>
      <c r="AL119" s="201">
        <v>9415064</v>
      </c>
      <c r="AM119" s="176">
        <v>97109</v>
      </c>
      <c r="AN119" s="176">
        <v>11168442</v>
      </c>
      <c r="AO119" s="201">
        <v>117397</v>
      </c>
      <c r="AP119" s="201">
        <v>14447079</v>
      </c>
      <c r="AQ119" s="201">
        <v>95623.375</v>
      </c>
      <c r="AR119" s="201">
        <v>12241014.26</v>
      </c>
      <c r="AS119" s="201">
        <v>97442.97</v>
      </c>
      <c r="AT119" s="201">
        <v>10723191</v>
      </c>
      <c r="AU119" s="209">
        <v>108698</v>
      </c>
      <c r="AV119" s="175" t="s">
        <v>165</v>
      </c>
      <c r="AW119" s="197">
        <v>101845</v>
      </c>
      <c r="AX119" s="197" t="s">
        <v>165</v>
      </c>
      <c r="AY119" s="175">
        <v>127975</v>
      </c>
      <c r="AZ119" s="175" t="s">
        <v>165</v>
      </c>
      <c r="BA119" s="209"/>
      <c r="BB119" s="175"/>
      <c r="BC119" s="178"/>
      <c r="BD119" s="175"/>
      <c r="BE119" s="175"/>
      <c r="BF119" s="175"/>
      <c r="BG119" s="178"/>
      <c r="BH119" s="175"/>
      <c r="BI119" s="209"/>
      <c r="BJ119" s="98"/>
      <c r="BK119" s="148"/>
      <c r="BL119" s="148"/>
      <c r="BM119" s="148"/>
      <c r="BN119" s="14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c r="KT119" s="98"/>
      <c r="KU119" s="98"/>
      <c r="KV119" s="98"/>
      <c r="KW119" s="98"/>
      <c r="KX119" s="98"/>
      <c r="KY119" s="98"/>
      <c r="KZ119" s="98"/>
      <c r="LA119" s="98"/>
      <c r="LB119" s="98"/>
      <c r="LC119" s="98"/>
      <c r="LD119" s="98"/>
      <c r="LE119" s="98"/>
      <c r="LF119" s="98"/>
      <c r="LG119" s="98"/>
      <c r="LH119" s="98"/>
      <c r="LI119" s="98"/>
      <c r="LJ119" s="98"/>
      <c r="LK119" s="98"/>
      <c r="LL119" s="98"/>
      <c r="LM119" s="98"/>
      <c r="LN119" s="98"/>
      <c r="LO119" s="98"/>
      <c r="LP119" s="98"/>
      <c r="LQ119" s="98"/>
      <c r="LR119" s="98"/>
      <c r="LS119" s="98"/>
      <c r="LT119" s="98"/>
      <c r="LU119" s="98"/>
      <c r="LV119" s="98"/>
      <c r="LW119" s="98"/>
      <c r="LX119" s="98"/>
      <c r="LY119" s="98"/>
      <c r="LZ119" s="98"/>
      <c r="MA119" s="98"/>
      <c r="MB119" s="98"/>
      <c r="MC119" s="98"/>
      <c r="MD119" s="98"/>
      <c r="ME119" s="98"/>
      <c r="MF119" s="98"/>
      <c r="MG119" s="98"/>
      <c r="MH119" s="98"/>
      <c r="MI119" s="98"/>
      <c r="MJ119" s="98"/>
      <c r="MK119" s="98"/>
      <c r="ML119" s="98"/>
      <c r="MM119" s="98"/>
      <c r="MN119" s="98"/>
      <c r="MO119" s="98"/>
      <c r="MP119" s="98"/>
      <c r="MQ119" s="98"/>
      <c r="MR119" s="98"/>
      <c r="MS119" s="98"/>
      <c r="MT119" s="98"/>
      <c r="MU119" s="98"/>
      <c r="MV119" s="98"/>
      <c r="MW119" s="98"/>
      <c r="MX119" s="98"/>
      <c r="MY119" s="98"/>
      <c r="MZ119" s="98"/>
      <c r="NA119" s="98"/>
      <c r="NB119" s="98"/>
      <c r="NC119" s="98"/>
      <c r="ND119" s="98"/>
      <c r="NE119" s="98"/>
      <c r="NF119" s="98"/>
      <c r="NG119" s="98"/>
      <c r="NH119" s="98"/>
      <c r="NI119" s="98"/>
      <c r="NJ119" s="98"/>
      <c r="NK119" s="98"/>
      <c r="NL119" s="98"/>
      <c r="NM119" s="98"/>
      <c r="NN119" s="98"/>
      <c r="NO119" s="98"/>
      <c r="NP119" s="98"/>
      <c r="NQ119" s="98"/>
      <c r="NR119" s="98"/>
      <c r="NS119" s="98"/>
      <c r="NT119" s="98"/>
      <c r="NU119" s="98"/>
      <c r="NV119" s="98"/>
      <c r="NW119" s="98"/>
      <c r="NX119" s="98"/>
      <c r="NY119" s="98"/>
      <c r="NZ119" s="98"/>
      <c r="OA119" s="98"/>
      <c r="OB119" s="98"/>
      <c r="OC119" s="98"/>
      <c r="OD119" s="98"/>
      <c r="OE119" s="98"/>
      <c r="OF119" s="98"/>
      <c r="OG119" s="98"/>
      <c r="OH119" s="98"/>
      <c r="OI119" s="98"/>
      <c r="OJ119" s="98"/>
      <c r="OK119" s="98"/>
      <c r="OL119" s="98"/>
      <c r="OM119" s="98"/>
      <c r="ON119" s="98"/>
      <c r="OO119" s="98"/>
      <c r="OP119" s="98"/>
      <c r="OQ119" s="98"/>
      <c r="OR119" s="98"/>
      <c r="OS119" s="98"/>
      <c r="OT119" s="98"/>
      <c r="OU119" s="98"/>
      <c r="OV119" s="98"/>
      <c r="OW119" s="98"/>
      <c r="OX119" s="98"/>
      <c r="OY119" s="98"/>
      <c r="OZ119" s="98"/>
      <c r="PA119" s="98"/>
      <c r="PB119" s="98"/>
      <c r="PC119" s="98"/>
      <c r="PD119" s="98"/>
      <c r="PE119" s="98"/>
      <c r="PF119" s="98"/>
      <c r="PG119" s="98"/>
      <c r="PH119" s="98"/>
      <c r="PI119" s="98"/>
      <c r="PJ119" s="98"/>
      <c r="PK119" s="98"/>
      <c r="PL119" s="98"/>
      <c r="PM119" s="98"/>
      <c r="PN119" s="98"/>
      <c r="PO119" s="98"/>
      <c r="PP119" s="98"/>
      <c r="PQ119" s="98"/>
      <c r="PR119" s="98"/>
      <c r="PS119" s="98"/>
      <c r="PT119" s="98"/>
      <c r="PU119" s="98"/>
      <c r="PV119" s="98"/>
      <c r="PW119" s="98"/>
      <c r="PX119" s="98"/>
      <c r="PY119" s="98"/>
      <c r="PZ119" s="98"/>
      <c r="QA119" s="98"/>
      <c r="QB119" s="98"/>
      <c r="QC119" s="98"/>
      <c r="QD119" s="98"/>
      <c r="QE119" s="98"/>
      <c r="QF119" s="98"/>
      <c r="QG119" s="98"/>
      <c r="QH119" s="98"/>
      <c r="QI119" s="98"/>
      <c r="QJ119" s="98"/>
      <c r="QK119" s="98"/>
      <c r="QL119" s="98"/>
      <c r="QM119" s="98"/>
      <c r="QN119" s="98"/>
      <c r="QO119" s="98"/>
      <c r="QP119" s="98"/>
      <c r="QQ119" s="98"/>
      <c r="QR119" s="98"/>
      <c r="QS119" s="98"/>
      <c r="QT119" s="98"/>
      <c r="QU119" s="98"/>
      <c r="QV119" s="98"/>
      <c r="QW119" s="98"/>
      <c r="QX119" s="98"/>
      <c r="QY119" s="98"/>
      <c r="QZ119" s="98"/>
      <c r="RA119" s="98"/>
      <c r="RB119" s="98"/>
      <c r="RC119" s="98"/>
      <c r="RD119" s="98"/>
      <c r="RE119" s="98"/>
      <c r="RF119" s="98"/>
      <c r="RG119" s="98"/>
      <c r="RH119" s="98"/>
      <c r="RI119" s="98"/>
      <c r="RJ119" s="98"/>
      <c r="RK119" s="98"/>
      <c r="RL119" s="98"/>
      <c r="RM119" s="98"/>
      <c r="RN119" s="98"/>
      <c r="RO119" s="98"/>
      <c r="RP119" s="98"/>
      <c r="RQ119" s="98"/>
      <c r="RR119" s="98"/>
      <c r="RS119" s="98"/>
      <c r="RT119" s="98"/>
      <c r="RU119" s="98"/>
      <c r="RV119" s="98"/>
      <c r="RW119" s="98"/>
      <c r="RX119" s="98"/>
      <c r="RY119" s="98"/>
      <c r="RZ119" s="98"/>
      <c r="SA119" s="98"/>
      <c r="SB119" s="98"/>
      <c r="SC119" s="98"/>
      <c r="SD119" s="98"/>
      <c r="SE119" s="98"/>
      <c r="SF119" s="98"/>
      <c r="SG119" s="98"/>
      <c r="SH119" s="98"/>
      <c r="SI119" s="98"/>
      <c r="SJ119" s="98"/>
      <c r="SK119" s="98"/>
      <c r="SL119" s="98"/>
      <c r="SM119" s="98"/>
      <c r="SN119" s="98"/>
      <c r="SO119" s="98"/>
      <c r="SP119" s="98"/>
      <c r="SQ119" s="98"/>
      <c r="SR119" s="98"/>
      <c r="SS119" s="98"/>
      <c r="ST119" s="98"/>
      <c r="SU119" s="98"/>
      <c r="SV119" s="98"/>
      <c r="SW119" s="98"/>
      <c r="SX119" s="98"/>
      <c r="SY119" s="98"/>
      <c r="SZ119" s="98"/>
      <c r="TA119" s="98"/>
      <c r="TB119" s="98"/>
      <c r="TC119" s="98"/>
      <c r="TD119" s="98"/>
      <c r="TE119" s="98"/>
      <c r="TF119" s="98"/>
      <c r="TG119" s="98"/>
      <c r="TH119" s="98"/>
      <c r="TI119" s="98"/>
      <c r="TJ119" s="98"/>
      <c r="TK119" s="98"/>
      <c r="TL119" s="98"/>
      <c r="TM119" s="98"/>
      <c r="TN119" s="98"/>
      <c r="TO119" s="98"/>
      <c r="TP119" s="98"/>
      <c r="TQ119" s="98"/>
      <c r="TR119" s="98"/>
      <c r="TS119" s="98"/>
      <c r="TT119" s="98"/>
      <c r="TU119" s="98"/>
      <c r="TV119" s="98"/>
      <c r="TW119" s="98"/>
      <c r="TX119" s="98"/>
      <c r="TY119" s="98"/>
      <c r="TZ119" s="98"/>
      <c r="UA119" s="98"/>
      <c r="UB119" s="98"/>
      <c r="UC119" s="98"/>
      <c r="UD119" s="98"/>
      <c r="UE119" s="98"/>
      <c r="UF119" s="98"/>
      <c r="UG119" s="98"/>
      <c r="UH119" s="98"/>
      <c r="UI119" s="98"/>
      <c r="UJ119" s="98"/>
      <c r="UK119" s="98"/>
      <c r="UL119" s="98"/>
      <c r="UM119" s="98"/>
      <c r="UN119" s="98"/>
      <c r="UO119" s="98"/>
      <c r="UP119" s="98"/>
      <c r="UQ119" s="98"/>
      <c r="UR119" s="98"/>
      <c r="US119" s="98"/>
      <c r="UT119" s="98"/>
      <c r="UU119" s="98"/>
      <c r="UV119" s="98"/>
      <c r="UW119" s="98"/>
      <c r="UX119" s="98"/>
      <c r="UY119" s="98"/>
      <c r="UZ119" s="98"/>
      <c r="VA119" s="98"/>
      <c r="VB119" s="98"/>
      <c r="VC119" s="98"/>
      <c r="VD119" s="98"/>
      <c r="VE119" s="98"/>
      <c r="VF119" s="98"/>
      <c r="VG119" s="98"/>
      <c r="VH119" s="98"/>
      <c r="VI119" s="98"/>
      <c r="VJ119" s="98"/>
      <c r="VK119" s="98"/>
      <c r="VL119" s="98"/>
      <c r="VM119" s="98"/>
      <c r="VN119" s="98"/>
      <c r="VO119" s="98"/>
      <c r="VP119" s="98"/>
      <c r="VQ119" s="98"/>
      <c r="VR119" s="98"/>
      <c r="VS119" s="98"/>
      <c r="VT119" s="98"/>
      <c r="VU119" s="98"/>
      <c r="VV119" s="98"/>
      <c r="VW119" s="98"/>
      <c r="VX119" s="98"/>
      <c r="VY119" s="98"/>
      <c r="VZ119" s="98"/>
      <c r="WA119" s="98"/>
      <c r="WB119" s="98"/>
      <c r="WC119" s="98"/>
      <c r="WD119" s="98"/>
      <c r="WE119" s="98"/>
      <c r="WF119" s="98"/>
      <c r="WG119" s="98"/>
      <c r="WH119" s="98"/>
      <c r="WI119" s="98"/>
      <c r="WJ119" s="98"/>
      <c r="WK119" s="98"/>
      <c r="WL119" s="98"/>
      <c r="WM119" s="98"/>
      <c r="WN119" s="98"/>
      <c r="WO119" s="98"/>
      <c r="WP119" s="98"/>
      <c r="WQ119" s="98"/>
      <c r="WR119" s="98"/>
      <c r="WS119" s="98"/>
      <c r="WT119" s="98"/>
      <c r="WU119" s="98"/>
      <c r="WV119" s="98"/>
      <c r="WW119" s="98"/>
      <c r="WX119" s="98"/>
      <c r="WY119" s="98"/>
      <c r="WZ119" s="98"/>
      <c r="XA119" s="98"/>
      <c r="XB119" s="98"/>
      <c r="XC119" s="98"/>
      <c r="XD119" s="98"/>
      <c r="XE119" s="98"/>
      <c r="XF119" s="98"/>
      <c r="XG119" s="98"/>
      <c r="XH119" s="98"/>
      <c r="XI119" s="98"/>
      <c r="XJ119" s="98"/>
      <c r="XK119" s="98"/>
      <c r="XL119" s="98"/>
      <c r="XM119" s="98"/>
      <c r="XN119" s="98"/>
      <c r="XO119" s="98"/>
      <c r="XP119" s="98"/>
      <c r="XQ119" s="98"/>
      <c r="XR119" s="98"/>
      <c r="XS119" s="98"/>
      <c r="XT119" s="98"/>
      <c r="XU119" s="98"/>
      <c r="XV119" s="98"/>
      <c r="XW119" s="98"/>
      <c r="XX119" s="98"/>
      <c r="XY119" s="98"/>
      <c r="XZ119" s="98"/>
      <c r="YA119" s="98"/>
      <c r="YB119" s="98"/>
      <c r="YC119" s="98"/>
      <c r="YD119" s="98"/>
      <c r="YE119" s="98"/>
      <c r="YF119" s="98"/>
      <c r="YG119" s="98"/>
      <c r="YH119" s="98"/>
      <c r="YI119" s="98"/>
      <c r="YJ119" s="98"/>
      <c r="YK119" s="98"/>
      <c r="YL119" s="98"/>
      <c r="YM119" s="98"/>
      <c r="YN119" s="98"/>
      <c r="YO119" s="98"/>
      <c r="YP119" s="98"/>
      <c r="YQ119" s="98"/>
      <c r="YR119" s="98"/>
      <c r="YS119" s="98"/>
      <c r="YT119" s="98"/>
      <c r="YU119" s="98"/>
      <c r="YV119" s="98"/>
      <c r="YW119" s="98"/>
      <c r="YX119" s="98"/>
      <c r="YY119" s="98"/>
      <c r="YZ119" s="98"/>
      <c r="ZA119" s="98"/>
      <c r="ZB119" s="98"/>
      <c r="ZC119" s="98"/>
      <c r="ZD119" s="98"/>
      <c r="ZE119" s="98"/>
      <c r="ZF119" s="98"/>
      <c r="ZG119" s="98"/>
      <c r="ZH119" s="98"/>
      <c r="ZI119" s="98"/>
      <c r="ZJ119" s="98"/>
      <c r="ZK119" s="98"/>
      <c r="ZL119" s="98"/>
      <c r="ZM119" s="98"/>
      <c r="ZN119" s="98"/>
      <c r="ZO119" s="98"/>
      <c r="ZP119" s="98"/>
      <c r="ZQ119" s="98"/>
      <c r="ZR119" s="98"/>
      <c r="ZS119" s="98"/>
      <c r="ZT119" s="98"/>
      <c r="ZU119" s="98"/>
      <c r="ZV119" s="98"/>
      <c r="ZW119" s="98"/>
      <c r="ZX119" s="98"/>
      <c r="ZY119" s="98"/>
      <c r="ZZ119" s="98"/>
      <c r="AAA119" s="98"/>
      <c r="AAB119" s="98"/>
      <c r="AAC119" s="98"/>
      <c r="AAD119" s="98"/>
      <c r="AAE119" s="98"/>
      <c r="AAF119" s="98"/>
      <c r="AAG119" s="98"/>
      <c r="AAH119" s="98"/>
      <c r="AAI119" s="98"/>
      <c r="AAJ119" s="98"/>
      <c r="AAK119" s="98"/>
      <c r="AAL119" s="98"/>
      <c r="AAM119" s="98"/>
      <c r="AAN119" s="98"/>
      <c r="AAO119" s="98"/>
      <c r="AAP119" s="98"/>
      <c r="AAQ119" s="98"/>
      <c r="AAR119" s="98"/>
      <c r="AAS119" s="98"/>
      <c r="AAT119" s="98"/>
      <c r="AAU119" s="98"/>
      <c r="AAV119" s="98"/>
      <c r="AAW119" s="98"/>
      <c r="AAX119" s="98"/>
      <c r="AAY119" s="98"/>
      <c r="AAZ119" s="98"/>
      <c r="ABA119" s="98"/>
      <c r="ABB119" s="98"/>
      <c r="ABC119" s="98"/>
      <c r="ABD119" s="98"/>
      <c r="ABE119" s="98"/>
      <c r="ABF119" s="98"/>
      <c r="ABG119" s="98"/>
      <c r="ABH119" s="98"/>
      <c r="ABI119" s="98"/>
      <c r="ABJ119" s="98"/>
      <c r="ABK119" s="98"/>
      <c r="ABL119" s="98"/>
      <c r="ABM119" s="98"/>
      <c r="ABN119" s="98"/>
      <c r="ABO119" s="98"/>
      <c r="ABP119" s="98"/>
      <c r="ABQ119" s="98"/>
      <c r="ABR119" s="98"/>
      <c r="ABS119" s="98"/>
      <c r="ABT119" s="98"/>
      <c r="ABU119" s="98"/>
      <c r="ABV119" s="98"/>
      <c r="ABW119" s="98"/>
      <c r="ABX119" s="98"/>
      <c r="ABY119" s="98"/>
      <c r="ABZ119" s="98"/>
      <c r="ACA119" s="98"/>
      <c r="ACB119" s="98"/>
      <c r="ACC119" s="98"/>
      <c r="ACD119" s="98"/>
      <c r="ACE119" s="98"/>
      <c r="ACF119" s="98"/>
      <c r="ACG119" s="98"/>
      <c r="ACH119" s="98"/>
      <c r="ACI119" s="98"/>
      <c r="ACJ119" s="98"/>
      <c r="ACK119" s="98"/>
      <c r="ACL119" s="98"/>
      <c r="ACM119" s="98"/>
      <c r="ACN119" s="98"/>
      <c r="ACO119" s="98"/>
      <c r="ACP119" s="98"/>
      <c r="ACQ119" s="98"/>
      <c r="ACR119" s="98"/>
      <c r="ACS119" s="98"/>
      <c r="ACT119" s="98"/>
      <c r="ACU119" s="98"/>
      <c r="ACV119" s="98"/>
      <c r="ACW119" s="98"/>
      <c r="ACX119" s="98"/>
      <c r="ACY119" s="98"/>
      <c r="ACZ119" s="98"/>
      <c r="ADA119" s="98"/>
      <c r="ADB119" s="98"/>
      <c r="ADC119" s="98"/>
      <c r="ADD119" s="98"/>
      <c r="ADE119" s="98"/>
      <c r="ADF119" s="98"/>
      <c r="ADG119" s="98"/>
      <c r="ADH119" s="98"/>
      <c r="ADI119" s="98"/>
      <c r="ADJ119" s="98"/>
      <c r="ADK119" s="98"/>
      <c r="ADL119" s="98"/>
      <c r="ADM119" s="98"/>
      <c r="ADN119" s="98"/>
      <c r="ADO119" s="98"/>
      <c r="ADP119" s="98"/>
      <c r="ADQ119" s="98"/>
      <c r="ADR119" s="98"/>
      <c r="ADS119" s="98"/>
      <c r="ADT119" s="98"/>
      <c r="ADU119" s="98"/>
      <c r="ADV119" s="98"/>
      <c r="ADW119" s="98"/>
      <c r="ADX119" s="98"/>
      <c r="ADY119" s="98"/>
      <c r="ADZ119" s="98"/>
      <c r="AEA119" s="98"/>
      <c r="AEB119" s="98"/>
      <c r="AEC119" s="98"/>
      <c r="AED119" s="98"/>
      <c r="AEE119" s="98"/>
      <c r="AEF119" s="98"/>
      <c r="AEG119" s="98"/>
      <c r="AEH119" s="98"/>
      <c r="AEI119" s="98"/>
      <c r="AEJ119" s="98"/>
      <c r="AEK119" s="98"/>
      <c r="AEL119" s="98"/>
      <c r="AEM119" s="98"/>
      <c r="AEN119" s="98"/>
      <c r="AEO119" s="98"/>
      <c r="AEP119" s="98"/>
      <c r="AEQ119" s="98"/>
      <c r="AER119" s="98"/>
      <c r="AES119" s="98"/>
      <c r="AET119" s="98"/>
      <c r="AEU119" s="98"/>
      <c r="AEV119" s="98"/>
      <c r="AEW119" s="98"/>
      <c r="AEX119" s="98"/>
      <c r="AEY119" s="98"/>
      <c r="AEZ119" s="98"/>
      <c r="AFA119" s="98"/>
      <c r="AFB119" s="98"/>
      <c r="AFC119" s="98"/>
      <c r="AFD119" s="98"/>
      <c r="AFE119" s="98"/>
      <c r="AFF119" s="98"/>
      <c r="AFG119" s="98"/>
      <c r="AFH119" s="98"/>
      <c r="AFI119" s="98"/>
      <c r="AFJ119" s="98"/>
      <c r="AFK119" s="98"/>
      <c r="AFL119" s="98"/>
      <c r="AFM119" s="98"/>
      <c r="AFN119" s="98"/>
      <c r="AFO119" s="98"/>
      <c r="AFP119" s="98"/>
      <c r="AFQ119" s="98"/>
      <c r="AFR119" s="98"/>
      <c r="AFS119" s="98"/>
      <c r="AFT119" s="98"/>
      <c r="AFU119" s="98"/>
      <c r="AFV119" s="98"/>
      <c r="AFW119" s="98"/>
      <c r="AFX119" s="98"/>
      <c r="AFY119" s="98"/>
      <c r="AFZ119" s="98"/>
      <c r="AGA119" s="98"/>
      <c r="AGB119" s="98"/>
      <c r="AGC119" s="98"/>
      <c r="AGD119" s="98"/>
      <c r="AGE119" s="98"/>
      <c r="AGF119" s="98"/>
      <c r="AGG119" s="98"/>
      <c r="AGH119" s="98"/>
      <c r="AGI119" s="98"/>
      <c r="AGJ119" s="98"/>
      <c r="AGK119" s="98"/>
      <c r="AGL119" s="98"/>
      <c r="AGM119" s="98"/>
      <c r="AGN119" s="98"/>
      <c r="AGO119" s="98"/>
      <c r="AGP119" s="98"/>
      <c r="AGQ119" s="98"/>
      <c r="AGR119" s="98"/>
      <c r="AGS119" s="98"/>
      <c r="AGT119" s="98"/>
      <c r="AGU119" s="98"/>
      <c r="AGV119" s="98"/>
      <c r="AGW119" s="98"/>
      <c r="AGX119" s="98"/>
      <c r="AGY119" s="98"/>
      <c r="AGZ119" s="98"/>
      <c r="AHA119" s="98"/>
      <c r="AHB119" s="98"/>
      <c r="AHC119" s="98"/>
      <c r="AHD119" s="98"/>
      <c r="AHE119" s="98"/>
      <c r="AHF119" s="98"/>
      <c r="AHG119" s="98"/>
      <c r="AHH119" s="98"/>
      <c r="AHI119" s="98"/>
      <c r="AHJ119" s="98"/>
      <c r="AHK119" s="98"/>
      <c r="AHL119" s="98"/>
      <c r="AHM119" s="98"/>
      <c r="AHN119" s="98"/>
      <c r="AHO119" s="98"/>
      <c r="AHP119" s="98"/>
      <c r="AHQ119" s="98"/>
      <c r="AHR119" s="98"/>
      <c r="AHS119" s="98"/>
      <c r="AHT119" s="98"/>
      <c r="AHU119" s="98"/>
      <c r="AHV119" s="98"/>
      <c r="AHW119" s="98"/>
      <c r="AHX119" s="98"/>
      <c r="AHY119" s="98"/>
      <c r="AHZ119" s="98"/>
      <c r="AIA119" s="98"/>
      <c r="AIB119" s="98"/>
      <c r="AIC119" s="98"/>
      <c r="AID119" s="98"/>
      <c r="AIE119" s="98"/>
      <c r="AIF119" s="98"/>
      <c r="AIG119" s="98"/>
      <c r="AIH119" s="98"/>
      <c r="AII119" s="98"/>
      <c r="AIJ119" s="98"/>
      <c r="AIK119" s="98"/>
      <c r="AIL119" s="98"/>
      <c r="AIM119" s="98"/>
      <c r="AIN119" s="98"/>
      <c r="AIO119" s="98"/>
      <c r="AIP119" s="98"/>
      <c r="AIQ119" s="98"/>
      <c r="AIR119" s="98"/>
      <c r="AIS119" s="98"/>
      <c r="AIT119" s="98"/>
      <c r="AIU119" s="98"/>
      <c r="AIV119" s="98"/>
      <c r="AIW119" s="98"/>
      <c r="AIX119" s="98"/>
      <c r="AIY119" s="98"/>
      <c r="AIZ119" s="98"/>
      <c r="AJA119" s="98"/>
      <c r="AJB119" s="98"/>
      <c r="AJC119" s="98"/>
      <c r="AJD119" s="98"/>
      <c r="AJE119" s="98"/>
      <c r="AJF119" s="98"/>
      <c r="AJG119" s="98"/>
      <c r="AJH119" s="98"/>
      <c r="AJI119" s="98"/>
      <c r="AJJ119" s="98"/>
      <c r="AJK119" s="98"/>
      <c r="AJL119" s="98"/>
      <c r="AJM119" s="98"/>
      <c r="AJN119" s="98"/>
      <c r="AJO119" s="98"/>
      <c r="AJP119" s="98"/>
      <c r="AJQ119" s="98"/>
      <c r="AJR119" s="98"/>
      <c r="AJS119" s="98"/>
      <c r="AJT119" s="98"/>
      <c r="AJU119" s="98"/>
      <c r="AJV119" s="98"/>
      <c r="AJW119" s="98"/>
      <c r="AJX119" s="98"/>
      <c r="AJY119" s="98"/>
      <c r="AJZ119" s="98"/>
      <c r="AKA119" s="98"/>
      <c r="AKB119" s="98"/>
      <c r="AKC119" s="98"/>
      <c r="AKD119" s="98"/>
      <c r="AKE119" s="98"/>
      <c r="AKF119" s="98"/>
      <c r="AKG119" s="98"/>
      <c r="AKH119" s="98"/>
      <c r="AKI119" s="98"/>
      <c r="AKJ119" s="98"/>
      <c r="AKK119" s="98"/>
      <c r="AKL119" s="98"/>
      <c r="AKM119" s="98"/>
      <c r="AKN119" s="98"/>
      <c r="AKO119" s="98"/>
      <c r="AKP119" s="98"/>
      <c r="AKQ119" s="98"/>
      <c r="AKR119" s="98"/>
      <c r="AKS119" s="98"/>
      <c r="AKT119" s="98"/>
      <c r="AKU119" s="98"/>
      <c r="AKV119" s="98"/>
      <c r="AKW119" s="98"/>
      <c r="AKX119" s="98"/>
      <c r="AKY119" s="98"/>
      <c r="AKZ119" s="98"/>
      <c r="ALA119" s="98"/>
      <c r="ALB119" s="98"/>
      <c r="ALC119" s="98"/>
      <c r="ALD119" s="98"/>
      <c r="ALE119" s="98"/>
      <c r="ALF119" s="98"/>
      <c r="ALG119" s="98"/>
      <c r="ALH119" s="98"/>
      <c r="ALI119" s="98"/>
      <c r="ALJ119" s="98"/>
      <c r="ALK119" s="98"/>
      <c r="ALL119" s="98"/>
      <c r="ALM119" s="98"/>
      <c r="ALN119" s="98"/>
      <c r="ALO119" s="98"/>
      <c r="ALP119" s="98"/>
      <c r="ALQ119" s="98"/>
      <c r="ALR119" s="98"/>
      <c r="ALS119" s="98"/>
      <c r="ALT119" s="98"/>
      <c r="ALU119" s="98"/>
      <c r="ALV119" s="98"/>
      <c r="ALW119" s="98"/>
      <c r="ALX119" s="98"/>
      <c r="ALY119" s="98"/>
      <c r="ALZ119" s="98"/>
      <c r="AMA119" s="98"/>
      <c r="AMB119" s="98"/>
      <c r="AMC119" s="98"/>
      <c r="AMD119" s="98"/>
      <c r="AME119" s="98"/>
      <c r="AMF119" s="98"/>
      <c r="AMG119" s="98"/>
      <c r="AMH119" s="98"/>
      <c r="AMI119" s="98"/>
      <c r="AMJ119" s="98"/>
      <c r="AMK119" s="98"/>
      <c r="AML119" s="98"/>
      <c r="AMM119" s="98"/>
      <c r="AMN119" s="98"/>
      <c r="AMO119" s="98"/>
      <c r="AMP119" s="98"/>
      <c r="AMQ119" s="98"/>
      <c r="AMR119" s="98"/>
      <c r="AMS119" s="98"/>
      <c r="AMT119" s="98"/>
      <c r="AMU119" s="98"/>
      <c r="AMV119" s="98"/>
      <c r="AMW119" s="98"/>
      <c r="AMX119" s="98"/>
      <c r="AMY119" s="98"/>
      <c r="AMZ119" s="98"/>
      <c r="ANA119" s="98"/>
      <c r="ANB119" s="98"/>
      <c r="ANC119" s="98"/>
      <c r="AND119" s="98"/>
      <c r="ANE119" s="98"/>
      <c r="ANF119" s="98"/>
      <c r="ANG119" s="98"/>
      <c r="ANH119" s="98"/>
      <c r="ANI119" s="98"/>
      <c r="ANJ119" s="98"/>
      <c r="ANK119" s="98"/>
      <c r="ANL119" s="98"/>
      <c r="ANM119" s="98"/>
      <c r="ANN119" s="98"/>
      <c r="ANO119" s="98"/>
      <c r="ANP119" s="98"/>
      <c r="ANQ119" s="98"/>
      <c r="ANR119" s="98"/>
      <c r="ANS119" s="98"/>
      <c r="ANT119" s="98"/>
      <c r="ANU119" s="98"/>
      <c r="ANV119" s="98"/>
      <c r="ANW119" s="98"/>
      <c r="ANX119" s="98"/>
      <c r="ANY119" s="98"/>
      <c r="ANZ119" s="98"/>
      <c r="AOA119" s="98"/>
      <c r="AOB119" s="98"/>
      <c r="AOC119" s="98"/>
      <c r="AOD119" s="98"/>
      <c r="AOE119" s="98"/>
      <c r="AOF119" s="98"/>
      <c r="AOG119" s="98"/>
      <c r="AOH119" s="98"/>
      <c r="AOI119" s="98"/>
      <c r="AOJ119" s="98"/>
      <c r="AOK119" s="98"/>
      <c r="AOL119" s="98"/>
      <c r="AOM119" s="98"/>
      <c r="AON119" s="98"/>
      <c r="AOO119" s="98"/>
      <c r="AOP119" s="98"/>
      <c r="AOQ119" s="98"/>
      <c r="AOR119" s="98"/>
      <c r="AOS119" s="98"/>
      <c r="AOT119" s="98"/>
      <c r="AOU119" s="98"/>
      <c r="AOV119" s="98"/>
      <c r="AOW119" s="98"/>
      <c r="AOX119" s="98"/>
      <c r="AOY119" s="98"/>
      <c r="AOZ119" s="98"/>
      <c r="APA119" s="98"/>
      <c r="APB119" s="98"/>
      <c r="APC119" s="98"/>
      <c r="APD119" s="98"/>
      <c r="APE119" s="98"/>
      <c r="APF119" s="98"/>
      <c r="APG119" s="98"/>
      <c r="APH119" s="98"/>
      <c r="API119" s="98"/>
      <c r="APJ119" s="98"/>
      <c r="APK119" s="98"/>
      <c r="APL119" s="98"/>
      <c r="APM119" s="98"/>
      <c r="APN119" s="98"/>
      <c r="APO119" s="98"/>
      <c r="APP119" s="98"/>
      <c r="APQ119" s="98"/>
      <c r="APR119" s="98"/>
      <c r="APS119" s="98"/>
      <c r="APT119" s="98"/>
      <c r="APU119" s="98"/>
      <c r="APV119" s="98"/>
      <c r="APW119" s="98"/>
      <c r="APX119" s="98"/>
      <c r="APY119" s="98"/>
      <c r="APZ119" s="98"/>
      <c r="AQA119" s="98"/>
      <c r="AQB119" s="98"/>
      <c r="AQC119" s="98"/>
      <c r="AQD119" s="98"/>
      <c r="AQE119" s="98"/>
      <c r="AQF119" s="98"/>
      <c r="AQG119" s="98"/>
      <c r="AQH119" s="98"/>
      <c r="AQI119" s="98"/>
      <c r="AQJ119" s="98"/>
      <c r="AQK119" s="98"/>
      <c r="AQL119" s="98"/>
      <c r="AQM119" s="98"/>
      <c r="AQN119" s="98"/>
      <c r="AQO119" s="98"/>
      <c r="AQP119" s="98"/>
      <c r="AQQ119" s="98"/>
      <c r="AQR119" s="98"/>
      <c r="AQS119" s="98"/>
      <c r="AQT119" s="98"/>
      <c r="AQU119" s="98"/>
      <c r="AQV119" s="98"/>
      <c r="AQW119" s="98"/>
      <c r="AQX119" s="98"/>
      <c r="AQY119" s="98"/>
      <c r="AQZ119" s="98"/>
      <c r="ARA119" s="98"/>
      <c r="ARB119" s="98"/>
      <c r="ARC119" s="98"/>
      <c r="ARD119" s="98"/>
      <c r="ARE119" s="98"/>
      <c r="ARF119" s="98"/>
      <c r="ARG119" s="98"/>
      <c r="ARH119" s="98"/>
      <c r="ARI119" s="98"/>
      <c r="ARJ119" s="98"/>
      <c r="ARK119" s="98"/>
      <c r="ARL119" s="98"/>
      <c r="ARM119" s="98"/>
      <c r="ARN119" s="98"/>
      <c r="ARO119" s="98"/>
      <c r="ARP119" s="98"/>
      <c r="ARQ119" s="98"/>
      <c r="ARR119" s="98"/>
      <c r="ARS119" s="98"/>
    </row>
    <row r="120" spans="1:1163" s="174" customFormat="1">
      <c r="A120" s="140" t="s">
        <v>221</v>
      </c>
      <c r="B120" s="119" t="s">
        <v>67</v>
      </c>
      <c r="C120" s="175">
        <f>13279841+158</f>
        <v>13279999</v>
      </c>
      <c r="D120" s="175">
        <f>210198878+1553</f>
        <v>210200431</v>
      </c>
      <c r="E120" s="175">
        <v>1207728</v>
      </c>
      <c r="F120" s="175">
        <v>0</v>
      </c>
      <c r="G120" s="175">
        <v>922821</v>
      </c>
      <c r="H120" s="175"/>
      <c r="I120" s="175">
        <v>1040106</v>
      </c>
      <c r="J120" s="175"/>
      <c r="K120" s="175">
        <v>871302</v>
      </c>
      <c r="L120" s="201"/>
      <c r="M120" s="175">
        <v>1336332</v>
      </c>
      <c r="N120" s="175"/>
      <c r="O120" s="175">
        <v>1163987</v>
      </c>
      <c r="P120" s="175"/>
      <c r="Q120" s="175">
        <v>946315</v>
      </c>
      <c r="R120" s="201"/>
      <c r="S120" s="175">
        <v>996074</v>
      </c>
      <c r="T120" s="175">
        <v>62183292</v>
      </c>
      <c r="U120" s="197">
        <v>939139</v>
      </c>
      <c r="V120" s="197">
        <v>68289943</v>
      </c>
      <c r="W120" s="197">
        <v>964031</v>
      </c>
      <c r="X120" s="197">
        <v>77073056</v>
      </c>
      <c r="Y120" s="197">
        <v>988251</v>
      </c>
      <c r="Z120" s="197">
        <v>86203153</v>
      </c>
      <c r="AA120" s="209">
        <v>936778</v>
      </c>
      <c r="AB120" s="209">
        <v>81499614</v>
      </c>
      <c r="AC120" s="175">
        <v>1044856</v>
      </c>
      <c r="AD120" s="175">
        <v>87296010</v>
      </c>
      <c r="AE120" s="201">
        <v>1008377</v>
      </c>
      <c r="AF120" s="201">
        <v>85398002</v>
      </c>
      <c r="AG120" s="201">
        <v>1079227</v>
      </c>
      <c r="AH120" s="201">
        <v>93520617</v>
      </c>
      <c r="AI120" s="201">
        <v>998152</v>
      </c>
      <c r="AJ120" s="201">
        <v>96265511</v>
      </c>
      <c r="AK120" s="201">
        <v>1077028</v>
      </c>
      <c r="AL120" s="201">
        <v>114289225</v>
      </c>
      <c r="AM120" s="176">
        <v>1233849</v>
      </c>
      <c r="AN120" s="176">
        <v>133592283</v>
      </c>
      <c r="AO120" s="201">
        <v>1287196</v>
      </c>
      <c r="AP120" s="201">
        <v>150848771</v>
      </c>
      <c r="AQ120" s="201">
        <v>1237484.76</v>
      </c>
      <c r="AR120" s="201">
        <v>152947445.05000001</v>
      </c>
      <c r="AS120" s="201">
        <v>1296485</v>
      </c>
      <c r="AT120" s="201">
        <v>185466127</v>
      </c>
      <c r="AU120" s="209">
        <v>834385</v>
      </c>
      <c r="AV120" s="209">
        <v>137315560</v>
      </c>
      <c r="AW120" s="197">
        <v>852550</v>
      </c>
      <c r="AX120" s="197">
        <v>131259688</v>
      </c>
      <c r="AY120" s="175">
        <v>862391</v>
      </c>
      <c r="AZ120" s="175">
        <v>110463553</v>
      </c>
      <c r="BA120" s="178"/>
      <c r="BB120" s="175"/>
      <c r="BC120" s="178"/>
      <c r="BD120" s="175"/>
      <c r="BE120" s="178"/>
      <c r="BF120" s="175"/>
      <c r="BG120" s="178"/>
      <c r="BH120" s="175"/>
      <c r="BI120" s="178"/>
      <c r="BJ120" s="98"/>
      <c r="BK120" s="148"/>
      <c r="BL120" s="148"/>
      <c r="BM120" s="148"/>
      <c r="BN120" s="14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98"/>
      <c r="EN120" s="98"/>
      <c r="EO120" s="98"/>
      <c r="EP120" s="98"/>
      <c r="EQ120" s="98"/>
      <c r="ER120" s="98"/>
      <c r="ES120" s="98"/>
      <c r="ET120" s="98"/>
      <c r="EU120" s="98"/>
      <c r="EV120" s="98"/>
      <c r="EW120" s="98"/>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c r="IW120" s="98"/>
      <c r="IX120" s="98"/>
      <c r="IY120" s="98"/>
      <c r="IZ120" s="98"/>
      <c r="JA120" s="98"/>
      <c r="JB120" s="98"/>
      <c r="JC120" s="98"/>
      <c r="JD120" s="98"/>
      <c r="JE120" s="98"/>
      <c r="JF120" s="98"/>
      <c r="JG120" s="98"/>
      <c r="JH120" s="98"/>
      <c r="JI120" s="98"/>
      <c r="JJ120" s="98"/>
      <c r="JK120" s="98"/>
      <c r="JL120" s="98"/>
      <c r="JM120" s="98"/>
      <c r="JN120" s="98"/>
      <c r="JO120" s="98"/>
      <c r="JP120" s="98"/>
      <c r="JQ120" s="98"/>
      <c r="JR120" s="98"/>
      <c r="JS120" s="98"/>
      <c r="JT120" s="98"/>
      <c r="JU120" s="98"/>
      <c r="JV120" s="98"/>
      <c r="JW120" s="98"/>
      <c r="JX120" s="98"/>
      <c r="JY120" s="98"/>
      <c r="JZ120" s="98"/>
      <c r="KA120" s="98"/>
      <c r="KB120" s="98"/>
      <c r="KC120" s="98"/>
      <c r="KD120" s="98"/>
      <c r="KE120" s="98"/>
      <c r="KF120" s="98"/>
      <c r="KG120" s="98"/>
      <c r="KH120" s="98"/>
      <c r="KI120" s="98"/>
      <c r="KJ120" s="98"/>
      <c r="KK120" s="98"/>
      <c r="KL120" s="98"/>
      <c r="KM120" s="98"/>
      <c r="KN120" s="98"/>
      <c r="KO120" s="98"/>
      <c r="KP120" s="98"/>
      <c r="KQ120" s="98"/>
      <c r="KR120" s="98"/>
      <c r="KS120" s="98"/>
      <c r="KT120" s="98"/>
      <c r="KU120" s="98"/>
      <c r="KV120" s="98"/>
      <c r="KW120" s="98"/>
      <c r="KX120" s="98"/>
      <c r="KY120" s="98"/>
      <c r="KZ120" s="98"/>
      <c r="LA120" s="98"/>
      <c r="LB120" s="98"/>
      <c r="LC120" s="98"/>
      <c r="LD120" s="98"/>
      <c r="LE120" s="98"/>
      <c r="LF120" s="98"/>
      <c r="LG120" s="98"/>
      <c r="LH120" s="98"/>
      <c r="LI120" s="98"/>
      <c r="LJ120" s="98"/>
      <c r="LK120" s="98"/>
      <c r="LL120" s="98"/>
      <c r="LM120" s="98"/>
      <c r="LN120" s="98"/>
      <c r="LO120" s="98"/>
      <c r="LP120" s="98"/>
      <c r="LQ120" s="98"/>
      <c r="LR120" s="98"/>
      <c r="LS120" s="98"/>
      <c r="LT120" s="98"/>
      <c r="LU120" s="98"/>
      <c r="LV120" s="98"/>
      <c r="LW120" s="98"/>
      <c r="LX120" s="98"/>
      <c r="LY120" s="98"/>
      <c r="LZ120" s="98"/>
      <c r="MA120" s="98"/>
      <c r="MB120" s="98"/>
      <c r="MC120" s="98"/>
      <c r="MD120" s="98"/>
      <c r="ME120" s="98"/>
      <c r="MF120" s="98"/>
      <c r="MG120" s="98"/>
      <c r="MH120" s="98"/>
      <c r="MI120" s="98"/>
      <c r="MJ120" s="98"/>
      <c r="MK120" s="98"/>
      <c r="ML120" s="98"/>
      <c r="MM120" s="98"/>
      <c r="MN120" s="98"/>
      <c r="MO120" s="98"/>
      <c r="MP120" s="98"/>
      <c r="MQ120" s="98"/>
      <c r="MR120" s="98"/>
      <c r="MS120" s="98"/>
      <c r="MT120" s="98"/>
      <c r="MU120" s="98"/>
      <c r="MV120" s="98"/>
      <c r="MW120" s="98"/>
      <c r="MX120" s="98"/>
      <c r="MY120" s="98"/>
      <c r="MZ120" s="98"/>
      <c r="NA120" s="98"/>
      <c r="NB120" s="98"/>
      <c r="NC120" s="98"/>
      <c r="ND120" s="98"/>
      <c r="NE120" s="98"/>
      <c r="NF120" s="98"/>
      <c r="NG120" s="98"/>
      <c r="NH120" s="98"/>
      <c r="NI120" s="98"/>
      <c r="NJ120" s="98"/>
      <c r="NK120" s="98"/>
      <c r="NL120" s="98"/>
      <c r="NM120" s="98"/>
      <c r="NN120" s="98"/>
      <c r="NO120" s="98"/>
      <c r="NP120" s="98"/>
      <c r="NQ120" s="98"/>
      <c r="NR120" s="98"/>
      <c r="NS120" s="98"/>
      <c r="NT120" s="98"/>
      <c r="NU120" s="98"/>
      <c r="NV120" s="98"/>
      <c r="NW120" s="98"/>
      <c r="NX120" s="98"/>
      <c r="NY120" s="98"/>
      <c r="NZ120" s="98"/>
      <c r="OA120" s="98"/>
      <c r="OB120" s="98"/>
      <c r="OC120" s="98"/>
      <c r="OD120" s="98"/>
      <c r="OE120" s="98"/>
      <c r="OF120" s="98"/>
      <c r="OG120" s="98"/>
      <c r="OH120" s="98"/>
      <c r="OI120" s="98"/>
      <c r="OJ120" s="98"/>
      <c r="OK120" s="98"/>
      <c r="OL120" s="98"/>
      <c r="OM120" s="98"/>
      <c r="ON120" s="98"/>
      <c r="OO120" s="98"/>
      <c r="OP120" s="98"/>
      <c r="OQ120" s="98"/>
      <c r="OR120" s="98"/>
      <c r="OS120" s="98"/>
      <c r="OT120" s="98"/>
      <c r="OU120" s="98"/>
      <c r="OV120" s="98"/>
      <c r="OW120" s="98"/>
      <c r="OX120" s="98"/>
      <c r="OY120" s="98"/>
      <c r="OZ120" s="98"/>
      <c r="PA120" s="98"/>
      <c r="PB120" s="98"/>
      <c r="PC120" s="98"/>
      <c r="PD120" s="98"/>
      <c r="PE120" s="98"/>
      <c r="PF120" s="98"/>
      <c r="PG120" s="98"/>
      <c r="PH120" s="98"/>
      <c r="PI120" s="98"/>
      <c r="PJ120" s="98"/>
      <c r="PK120" s="98"/>
      <c r="PL120" s="98"/>
      <c r="PM120" s="98"/>
      <c r="PN120" s="98"/>
      <c r="PO120" s="98"/>
      <c r="PP120" s="98"/>
      <c r="PQ120" s="98"/>
      <c r="PR120" s="98"/>
      <c r="PS120" s="98"/>
      <c r="PT120" s="98"/>
      <c r="PU120" s="98"/>
      <c r="PV120" s="98"/>
      <c r="PW120" s="98"/>
      <c r="PX120" s="98"/>
      <c r="PY120" s="98"/>
      <c r="PZ120" s="98"/>
      <c r="QA120" s="98"/>
      <c r="QB120" s="98"/>
      <c r="QC120" s="98"/>
      <c r="QD120" s="98"/>
      <c r="QE120" s="98"/>
      <c r="QF120" s="98"/>
      <c r="QG120" s="98"/>
      <c r="QH120" s="98"/>
      <c r="QI120" s="98"/>
      <c r="QJ120" s="98"/>
      <c r="QK120" s="98"/>
      <c r="QL120" s="98"/>
      <c r="QM120" s="98"/>
      <c r="QN120" s="98"/>
      <c r="QO120" s="98"/>
      <c r="QP120" s="98"/>
      <c r="QQ120" s="98"/>
      <c r="QR120" s="98"/>
      <c r="QS120" s="98"/>
      <c r="QT120" s="98"/>
      <c r="QU120" s="98"/>
      <c r="QV120" s="98"/>
      <c r="QW120" s="98"/>
      <c r="QX120" s="98"/>
      <c r="QY120" s="98"/>
      <c r="QZ120" s="98"/>
      <c r="RA120" s="98"/>
      <c r="RB120" s="98"/>
      <c r="RC120" s="98"/>
      <c r="RD120" s="98"/>
      <c r="RE120" s="98"/>
      <c r="RF120" s="98"/>
      <c r="RG120" s="98"/>
      <c r="RH120" s="98"/>
      <c r="RI120" s="98"/>
      <c r="RJ120" s="98"/>
      <c r="RK120" s="98"/>
      <c r="RL120" s="98"/>
      <c r="RM120" s="98"/>
      <c r="RN120" s="98"/>
      <c r="RO120" s="98"/>
      <c r="RP120" s="98"/>
      <c r="RQ120" s="98"/>
      <c r="RR120" s="98"/>
      <c r="RS120" s="98"/>
      <c r="RT120" s="98"/>
      <c r="RU120" s="98"/>
      <c r="RV120" s="98"/>
      <c r="RW120" s="98"/>
      <c r="RX120" s="98"/>
      <c r="RY120" s="98"/>
      <c r="RZ120" s="98"/>
      <c r="SA120" s="98"/>
      <c r="SB120" s="98"/>
      <c r="SC120" s="98"/>
      <c r="SD120" s="98"/>
      <c r="SE120" s="98"/>
      <c r="SF120" s="98"/>
      <c r="SG120" s="98"/>
      <c r="SH120" s="98"/>
      <c r="SI120" s="98"/>
      <c r="SJ120" s="98"/>
      <c r="SK120" s="98"/>
      <c r="SL120" s="98"/>
      <c r="SM120" s="98"/>
      <c r="SN120" s="98"/>
      <c r="SO120" s="98"/>
      <c r="SP120" s="98"/>
      <c r="SQ120" s="98"/>
      <c r="SR120" s="98"/>
      <c r="SS120" s="98"/>
      <c r="ST120" s="98"/>
      <c r="SU120" s="98"/>
      <c r="SV120" s="98"/>
      <c r="SW120" s="98"/>
      <c r="SX120" s="98"/>
      <c r="SY120" s="98"/>
      <c r="SZ120" s="98"/>
      <c r="TA120" s="98"/>
      <c r="TB120" s="98"/>
      <c r="TC120" s="98"/>
      <c r="TD120" s="98"/>
      <c r="TE120" s="98"/>
      <c r="TF120" s="98"/>
      <c r="TG120" s="98"/>
      <c r="TH120" s="98"/>
      <c r="TI120" s="98"/>
      <c r="TJ120" s="98"/>
      <c r="TK120" s="98"/>
      <c r="TL120" s="98"/>
      <c r="TM120" s="98"/>
      <c r="TN120" s="98"/>
      <c r="TO120" s="98"/>
      <c r="TP120" s="98"/>
      <c r="TQ120" s="98"/>
      <c r="TR120" s="98"/>
      <c r="TS120" s="98"/>
      <c r="TT120" s="98"/>
      <c r="TU120" s="98"/>
      <c r="TV120" s="98"/>
      <c r="TW120" s="98"/>
      <c r="TX120" s="98"/>
      <c r="TY120" s="98"/>
      <c r="TZ120" s="98"/>
      <c r="UA120" s="98"/>
      <c r="UB120" s="98"/>
      <c r="UC120" s="98"/>
      <c r="UD120" s="98"/>
      <c r="UE120" s="98"/>
      <c r="UF120" s="98"/>
      <c r="UG120" s="98"/>
      <c r="UH120" s="98"/>
      <c r="UI120" s="98"/>
      <c r="UJ120" s="98"/>
      <c r="UK120" s="98"/>
      <c r="UL120" s="98"/>
      <c r="UM120" s="98"/>
      <c r="UN120" s="98"/>
      <c r="UO120" s="98"/>
      <c r="UP120" s="98"/>
      <c r="UQ120" s="98"/>
      <c r="UR120" s="98"/>
      <c r="US120" s="98"/>
      <c r="UT120" s="98"/>
      <c r="UU120" s="98"/>
      <c r="UV120" s="98"/>
      <c r="UW120" s="98"/>
      <c r="UX120" s="98"/>
      <c r="UY120" s="98"/>
      <c r="UZ120" s="98"/>
      <c r="VA120" s="98"/>
      <c r="VB120" s="98"/>
      <c r="VC120" s="98"/>
      <c r="VD120" s="98"/>
      <c r="VE120" s="98"/>
      <c r="VF120" s="98"/>
      <c r="VG120" s="98"/>
      <c r="VH120" s="98"/>
      <c r="VI120" s="98"/>
      <c r="VJ120" s="98"/>
      <c r="VK120" s="98"/>
      <c r="VL120" s="98"/>
      <c r="VM120" s="98"/>
      <c r="VN120" s="98"/>
      <c r="VO120" s="98"/>
      <c r="VP120" s="98"/>
      <c r="VQ120" s="98"/>
      <c r="VR120" s="98"/>
      <c r="VS120" s="98"/>
      <c r="VT120" s="98"/>
      <c r="VU120" s="98"/>
      <c r="VV120" s="98"/>
      <c r="VW120" s="98"/>
      <c r="VX120" s="98"/>
      <c r="VY120" s="98"/>
      <c r="VZ120" s="98"/>
      <c r="WA120" s="98"/>
      <c r="WB120" s="98"/>
      <c r="WC120" s="98"/>
      <c r="WD120" s="98"/>
      <c r="WE120" s="98"/>
      <c r="WF120" s="98"/>
      <c r="WG120" s="98"/>
      <c r="WH120" s="98"/>
      <c r="WI120" s="98"/>
      <c r="WJ120" s="98"/>
      <c r="WK120" s="98"/>
      <c r="WL120" s="98"/>
      <c r="WM120" s="98"/>
      <c r="WN120" s="98"/>
      <c r="WO120" s="98"/>
      <c r="WP120" s="98"/>
      <c r="WQ120" s="98"/>
      <c r="WR120" s="98"/>
      <c r="WS120" s="98"/>
      <c r="WT120" s="98"/>
      <c r="WU120" s="98"/>
      <c r="WV120" s="98"/>
      <c r="WW120" s="98"/>
      <c r="WX120" s="98"/>
      <c r="WY120" s="98"/>
      <c r="WZ120" s="98"/>
      <c r="XA120" s="98"/>
      <c r="XB120" s="98"/>
      <c r="XC120" s="98"/>
      <c r="XD120" s="98"/>
      <c r="XE120" s="98"/>
      <c r="XF120" s="98"/>
      <c r="XG120" s="98"/>
      <c r="XH120" s="98"/>
      <c r="XI120" s="98"/>
      <c r="XJ120" s="98"/>
      <c r="XK120" s="98"/>
      <c r="XL120" s="98"/>
      <c r="XM120" s="98"/>
      <c r="XN120" s="98"/>
      <c r="XO120" s="98"/>
      <c r="XP120" s="98"/>
      <c r="XQ120" s="98"/>
      <c r="XR120" s="98"/>
      <c r="XS120" s="98"/>
      <c r="XT120" s="98"/>
      <c r="XU120" s="98"/>
      <c r="XV120" s="98"/>
      <c r="XW120" s="98"/>
      <c r="XX120" s="98"/>
      <c r="XY120" s="98"/>
      <c r="XZ120" s="98"/>
      <c r="YA120" s="98"/>
      <c r="YB120" s="98"/>
      <c r="YC120" s="98"/>
      <c r="YD120" s="98"/>
      <c r="YE120" s="98"/>
      <c r="YF120" s="98"/>
      <c r="YG120" s="98"/>
      <c r="YH120" s="98"/>
      <c r="YI120" s="98"/>
      <c r="YJ120" s="98"/>
      <c r="YK120" s="98"/>
      <c r="YL120" s="98"/>
      <c r="YM120" s="98"/>
      <c r="YN120" s="98"/>
      <c r="YO120" s="98"/>
      <c r="YP120" s="98"/>
      <c r="YQ120" s="98"/>
      <c r="YR120" s="98"/>
      <c r="YS120" s="98"/>
      <c r="YT120" s="98"/>
      <c r="YU120" s="98"/>
      <c r="YV120" s="98"/>
      <c r="YW120" s="98"/>
      <c r="YX120" s="98"/>
      <c r="YY120" s="98"/>
      <c r="YZ120" s="98"/>
      <c r="ZA120" s="98"/>
      <c r="ZB120" s="98"/>
      <c r="ZC120" s="98"/>
      <c r="ZD120" s="98"/>
      <c r="ZE120" s="98"/>
      <c r="ZF120" s="98"/>
      <c r="ZG120" s="98"/>
      <c r="ZH120" s="98"/>
      <c r="ZI120" s="98"/>
      <c r="ZJ120" s="98"/>
      <c r="ZK120" s="98"/>
      <c r="ZL120" s="98"/>
      <c r="ZM120" s="98"/>
      <c r="ZN120" s="98"/>
      <c r="ZO120" s="98"/>
      <c r="ZP120" s="98"/>
      <c r="ZQ120" s="98"/>
      <c r="ZR120" s="98"/>
      <c r="ZS120" s="98"/>
      <c r="ZT120" s="98"/>
      <c r="ZU120" s="98"/>
      <c r="ZV120" s="98"/>
      <c r="ZW120" s="98"/>
      <c r="ZX120" s="98"/>
      <c r="ZY120" s="98"/>
      <c r="ZZ120" s="98"/>
      <c r="AAA120" s="98"/>
      <c r="AAB120" s="98"/>
      <c r="AAC120" s="98"/>
      <c r="AAD120" s="98"/>
      <c r="AAE120" s="98"/>
      <c r="AAF120" s="98"/>
      <c r="AAG120" s="98"/>
      <c r="AAH120" s="98"/>
      <c r="AAI120" s="98"/>
      <c r="AAJ120" s="98"/>
      <c r="AAK120" s="98"/>
      <c r="AAL120" s="98"/>
      <c r="AAM120" s="98"/>
      <c r="AAN120" s="98"/>
      <c r="AAO120" s="98"/>
      <c r="AAP120" s="98"/>
      <c r="AAQ120" s="98"/>
      <c r="AAR120" s="98"/>
      <c r="AAS120" s="98"/>
      <c r="AAT120" s="98"/>
      <c r="AAU120" s="98"/>
      <c r="AAV120" s="98"/>
      <c r="AAW120" s="98"/>
      <c r="AAX120" s="98"/>
      <c r="AAY120" s="98"/>
      <c r="AAZ120" s="98"/>
      <c r="ABA120" s="98"/>
      <c r="ABB120" s="98"/>
      <c r="ABC120" s="98"/>
      <c r="ABD120" s="98"/>
      <c r="ABE120" s="98"/>
      <c r="ABF120" s="98"/>
      <c r="ABG120" s="98"/>
      <c r="ABH120" s="98"/>
      <c r="ABI120" s="98"/>
      <c r="ABJ120" s="98"/>
      <c r="ABK120" s="98"/>
      <c r="ABL120" s="98"/>
      <c r="ABM120" s="98"/>
      <c r="ABN120" s="98"/>
      <c r="ABO120" s="98"/>
      <c r="ABP120" s="98"/>
      <c r="ABQ120" s="98"/>
      <c r="ABR120" s="98"/>
      <c r="ABS120" s="98"/>
      <c r="ABT120" s="98"/>
      <c r="ABU120" s="98"/>
      <c r="ABV120" s="98"/>
      <c r="ABW120" s="98"/>
      <c r="ABX120" s="98"/>
      <c r="ABY120" s="98"/>
      <c r="ABZ120" s="98"/>
      <c r="ACA120" s="98"/>
      <c r="ACB120" s="98"/>
      <c r="ACC120" s="98"/>
      <c r="ACD120" s="98"/>
      <c r="ACE120" s="98"/>
      <c r="ACF120" s="98"/>
      <c r="ACG120" s="98"/>
      <c r="ACH120" s="98"/>
      <c r="ACI120" s="98"/>
      <c r="ACJ120" s="98"/>
      <c r="ACK120" s="98"/>
      <c r="ACL120" s="98"/>
      <c r="ACM120" s="98"/>
      <c r="ACN120" s="98"/>
      <c r="ACO120" s="98"/>
      <c r="ACP120" s="98"/>
      <c r="ACQ120" s="98"/>
      <c r="ACR120" s="98"/>
      <c r="ACS120" s="98"/>
      <c r="ACT120" s="98"/>
      <c r="ACU120" s="98"/>
      <c r="ACV120" s="98"/>
      <c r="ACW120" s="98"/>
      <c r="ACX120" s="98"/>
      <c r="ACY120" s="98"/>
      <c r="ACZ120" s="98"/>
      <c r="ADA120" s="98"/>
      <c r="ADB120" s="98"/>
      <c r="ADC120" s="98"/>
      <c r="ADD120" s="98"/>
      <c r="ADE120" s="98"/>
      <c r="ADF120" s="98"/>
      <c r="ADG120" s="98"/>
      <c r="ADH120" s="98"/>
      <c r="ADI120" s="98"/>
      <c r="ADJ120" s="98"/>
      <c r="ADK120" s="98"/>
      <c r="ADL120" s="98"/>
      <c r="ADM120" s="98"/>
      <c r="ADN120" s="98"/>
      <c r="ADO120" s="98"/>
      <c r="ADP120" s="98"/>
      <c r="ADQ120" s="98"/>
      <c r="ADR120" s="98"/>
      <c r="ADS120" s="98"/>
      <c r="ADT120" s="98"/>
      <c r="ADU120" s="98"/>
      <c r="ADV120" s="98"/>
      <c r="ADW120" s="98"/>
      <c r="ADX120" s="98"/>
      <c r="ADY120" s="98"/>
      <c r="ADZ120" s="98"/>
      <c r="AEA120" s="98"/>
      <c r="AEB120" s="98"/>
      <c r="AEC120" s="98"/>
      <c r="AED120" s="98"/>
      <c r="AEE120" s="98"/>
      <c r="AEF120" s="98"/>
      <c r="AEG120" s="98"/>
      <c r="AEH120" s="98"/>
      <c r="AEI120" s="98"/>
      <c r="AEJ120" s="98"/>
      <c r="AEK120" s="98"/>
      <c r="AEL120" s="98"/>
      <c r="AEM120" s="98"/>
      <c r="AEN120" s="98"/>
      <c r="AEO120" s="98"/>
      <c r="AEP120" s="98"/>
      <c r="AEQ120" s="98"/>
      <c r="AER120" s="98"/>
      <c r="AES120" s="98"/>
      <c r="AET120" s="98"/>
      <c r="AEU120" s="98"/>
      <c r="AEV120" s="98"/>
      <c r="AEW120" s="98"/>
      <c r="AEX120" s="98"/>
      <c r="AEY120" s="98"/>
      <c r="AEZ120" s="98"/>
      <c r="AFA120" s="98"/>
      <c r="AFB120" s="98"/>
      <c r="AFC120" s="98"/>
      <c r="AFD120" s="98"/>
      <c r="AFE120" s="98"/>
      <c r="AFF120" s="98"/>
      <c r="AFG120" s="98"/>
      <c r="AFH120" s="98"/>
      <c r="AFI120" s="98"/>
      <c r="AFJ120" s="98"/>
      <c r="AFK120" s="98"/>
      <c r="AFL120" s="98"/>
      <c r="AFM120" s="98"/>
      <c r="AFN120" s="98"/>
      <c r="AFO120" s="98"/>
      <c r="AFP120" s="98"/>
      <c r="AFQ120" s="98"/>
      <c r="AFR120" s="98"/>
      <c r="AFS120" s="98"/>
      <c r="AFT120" s="98"/>
      <c r="AFU120" s="98"/>
      <c r="AFV120" s="98"/>
      <c r="AFW120" s="98"/>
      <c r="AFX120" s="98"/>
      <c r="AFY120" s="98"/>
      <c r="AFZ120" s="98"/>
      <c r="AGA120" s="98"/>
      <c r="AGB120" s="98"/>
      <c r="AGC120" s="98"/>
      <c r="AGD120" s="98"/>
      <c r="AGE120" s="98"/>
      <c r="AGF120" s="98"/>
      <c r="AGG120" s="98"/>
      <c r="AGH120" s="98"/>
      <c r="AGI120" s="98"/>
      <c r="AGJ120" s="98"/>
      <c r="AGK120" s="98"/>
      <c r="AGL120" s="98"/>
      <c r="AGM120" s="98"/>
      <c r="AGN120" s="98"/>
      <c r="AGO120" s="98"/>
      <c r="AGP120" s="98"/>
      <c r="AGQ120" s="98"/>
      <c r="AGR120" s="98"/>
      <c r="AGS120" s="98"/>
      <c r="AGT120" s="98"/>
      <c r="AGU120" s="98"/>
      <c r="AGV120" s="98"/>
      <c r="AGW120" s="98"/>
      <c r="AGX120" s="98"/>
      <c r="AGY120" s="98"/>
      <c r="AGZ120" s="98"/>
      <c r="AHA120" s="98"/>
      <c r="AHB120" s="98"/>
      <c r="AHC120" s="98"/>
      <c r="AHD120" s="98"/>
      <c r="AHE120" s="98"/>
      <c r="AHF120" s="98"/>
      <c r="AHG120" s="98"/>
      <c r="AHH120" s="98"/>
      <c r="AHI120" s="98"/>
      <c r="AHJ120" s="98"/>
      <c r="AHK120" s="98"/>
      <c r="AHL120" s="98"/>
      <c r="AHM120" s="98"/>
      <c r="AHN120" s="98"/>
      <c r="AHO120" s="98"/>
      <c r="AHP120" s="98"/>
      <c r="AHQ120" s="98"/>
      <c r="AHR120" s="98"/>
      <c r="AHS120" s="98"/>
      <c r="AHT120" s="98"/>
      <c r="AHU120" s="98"/>
      <c r="AHV120" s="98"/>
      <c r="AHW120" s="98"/>
      <c r="AHX120" s="98"/>
      <c r="AHY120" s="98"/>
      <c r="AHZ120" s="98"/>
      <c r="AIA120" s="98"/>
      <c r="AIB120" s="98"/>
      <c r="AIC120" s="98"/>
      <c r="AID120" s="98"/>
      <c r="AIE120" s="98"/>
      <c r="AIF120" s="98"/>
      <c r="AIG120" s="98"/>
      <c r="AIH120" s="98"/>
      <c r="AII120" s="98"/>
      <c r="AIJ120" s="98"/>
      <c r="AIK120" s="98"/>
      <c r="AIL120" s="98"/>
      <c r="AIM120" s="98"/>
      <c r="AIN120" s="98"/>
      <c r="AIO120" s="98"/>
      <c r="AIP120" s="98"/>
      <c r="AIQ120" s="98"/>
      <c r="AIR120" s="98"/>
      <c r="AIS120" s="98"/>
      <c r="AIT120" s="98"/>
      <c r="AIU120" s="98"/>
      <c r="AIV120" s="98"/>
      <c r="AIW120" s="98"/>
      <c r="AIX120" s="98"/>
      <c r="AIY120" s="98"/>
      <c r="AIZ120" s="98"/>
      <c r="AJA120" s="98"/>
      <c r="AJB120" s="98"/>
      <c r="AJC120" s="98"/>
      <c r="AJD120" s="98"/>
      <c r="AJE120" s="98"/>
      <c r="AJF120" s="98"/>
      <c r="AJG120" s="98"/>
      <c r="AJH120" s="98"/>
      <c r="AJI120" s="98"/>
      <c r="AJJ120" s="98"/>
      <c r="AJK120" s="98"/>
      <c r="AJL120" s="98"/>
      <c r="AJM120" s="98"/>
      <c r="AJN120" s="98"/>
      <c r="AJO120" s="98"/>
      <c r="AJP120" s="98"/>
      <c r="AJQ120" s="98"/>
      <c r="AJR120" s="98"/>
      <c r="AJS120" s="98"/>
      <c r="AJT120" s="98"/>
      <c r="AJU120" s="98"/>
      <c r="AJV120" s="98"/>
      <c r="AJW120" s="98"/>
      <c r="AJX120" s="98"/>
      <c r="AJY120" s="98"/>
      <c r="AJZ120" s="98"/>
      <c r="AKA120" s="98"/>
      <c r="AKB120" s="98"/>
      <c r="AKC120" s="98"/>
      <c r="AKD120" s="98"/>
      <c r="AKE120" s="98"/>
      <c r="AKF120" s="98"/>
      <c r="AKG120" s="98"/>
      <c r="AKH120" s="98"/>
      <c r="AKI120" s="98"/>
      <c r="AKJ120" s="98"/>
      <c r="AKK120" s="98"/>
      <c r="AKL120" s="98"/>
      <c r="AKM120" s="98"/>
      <c r="AKN120" s="98"/>
      <c r="AKO120" s="98"/>
      <c r="AKP120" s="98"/>
      <c r="AKQ120" s="98"/>
      <c r="AKR120" s="98"/>
      <c r="AKS120" s="98"/>
      <c r="AKT120" s="98"/>
      <c r="AKU120" s="98"/>
      <c r="AKV120" s="98"/>
      <c r="AKW120" s="98"/>
      <c r="AKX120" s="98"/>
      <c r="AKY120" s="98"/>
      <c r="AKZ120" s="98"/>
      <c r="ALA120" s="98"/>
      <c r="ALB120" s="98"/>
      <c r="ALC120" s="98"/>
      <c r="ALD120" s="98"/>
      <c r="ALE120" s="98"/>
      <c r="ALF120" s="98"/>
      <c r="ALG120" s="98"/>
      <c r="ALH120" s="98"/>
      <c r="ALI120" s="98"/>
      <c r="ALJ120" s="98"/>
      <c r="ALK120" s="98"/>
      <c r="ALL120" s="98"/>
      <c r="ALM120" s="98"/>
      <c r="ALN120" s="98"/>
      <c r="ALO120" s="98"/>
      <c r="ALP120" s="98"/>
      <c r="ALQ120" s="98"/>
      <c r="ALR120" s="98"/>
      <c r="ALS120" s="98"/>
      <c r="ALT120" s="98"/>
      <c r="ALU120" s="98"/>
      <c r="ALV120" s="98"/>
      <c r="ALW120" s="98"/>
      <c r="ALX120" s="98"/>
      <c r="ALY120" s="98"/>
      <c r="ALZ120" s="98"/>
      <c r="AMA120" s="98"/>
      <c r="AMB120" s="98"/>
      <c r="AMC120" s="98"/>
      <c r="AMD120" s="98"/>
      <c r="AME120" s="98"/>
      <c r="AMF120" s="98"/>
      <c r="AMG120" s="98"/>
      <c r="AMH120" s="98"/>
      <c r="AMI120" s="98"/>
      <c r="AMJ120" s="98"/>
      <c r="AMK120" s="98"/>
      <c r="AML120" s="98"/>
      <c r="AMM120" s="98"/>
      <c r="AMN120" s="98"/>
      <c r="AMO120" s="98"/>
      <c r="AMP120" s="98"/>
      <c r="AMQ120" s="98"/>
      <c r="AMR120" s="98"/>
      <c r="AMS120" s="98"/>
      <c r="AMT120" s="98"/>
      <c r="AMU120" s="98"/>
      <c r="AMV120" s="98"/>
      <c r="AMW120" s="98"/>
      <c r="AMX120" s="98"/>
      <c r="AMY120" s="98"/>
      <c r="AMZ120" s="98"/>
      <c r="ANA120" s="98"/>
      <c r="ANB120" s="98"/>
      <c r="ANC120" s="98"/>
      <c r="AND120" s="98"/>
      <c r="ANE120" s="98"/>
      <c r="ANF120" s="98"/>
      <c r="ANG120" s="98"/>
      <c r="ANH120" s="98"/>
      <c r="ANI120" s="98"/>
      <c r="ANJ120" s="98"/>
      <c r="ANK120" s="98"/>
      <c r="ANL120" s="98"/>
      <c r="ANM120" s="98"/>
      <c r="ANN120" s="98"/>
      <c r="ANO120" s="98"/>
      <c r="ANP120" s="98"/>
      <c r="ANQ120" s="98"/>
      <c r="ANR120" s="98"/>
      <c r="ANS120" s="98"/>
      <c r="ANT120" s="98"/>
      <c r="ANU120" s="98"/>
      <c r="ANV120" s="98"/>
      <c r="ANW120" s="98"/>
      <c r="ANX120" s="98"/>
      <c r="ANY120" s="98"/>
      <c r="ANZ120" s="98"/>
      <c r="AOA120" s="98"/>
      <c r="AOB120" s="98"/>
      <c r="AOC120" s="98"/>
      <c r="AOD120" s="98"/>
      <c r="AOE120" s="98"/>
      <c r="AOF120" s="98"/>
      <c r="AOG120" s="98"/>
      <c r="AOH120" s="98"/>
      <c r="AOI120" s="98"/>
      <c r="AOJ120" s="98"/>
      <c r="AOK120" s="98"/>
      <c r="AOL120" s="98"/>
      <c r="AOM120" s="98"/>
      <c r="AON120" s="98"/>
      <c r="AOO120" s="98"/>
      <c r="AOP120" s="98"/>
      <c r="AOQ120" s="98"/>
      <c r="AOR120" s="98"/>
      <c r="AOS120" s="98"/>
      <c r="AOT120" s="98"/>
      <c r="AOU120" s="98"/>
      <c r="AOV120" s="98"/>
      <c r="AOW120" s="98"/>
      <c r="AOX120" s="98"/>
      <c r="AOY120" s="98"/>
      <c r="AOZ120" s="98"/>
      <c r="APA120" s="98"/>
      <c r="APB120" s="98"/>
      <c r="APC120" s="98"/>
      <c r="APD120" s="98"/>
      <c r="APE120" s="98"/>
      <c r="APF120" s="98"/>
      <c r="APG120" s="98"/>
      <c r="APH120" s="98"/>
      <c r="API120" s="98"/>
      <c r="APJ120" s="98"/>
      <c r="APK120" s="98"/>
      <c r="APL120" s="98"/>
      <c r="APM120" s="98"/>
      <c r="APN120" s="98"/>
      <c r="APO120" s="98"/>
      <c r="APP120" s="98"/>
      <c r="APQ120" s="98"/>
      <c r="APR120" s="98"/>
      <c r="APS120" s="98"/>
      <c r="APT120" s="98"/>
      <c r="APU120" s="98"/>
      <c r="APV120" s="98"/>
      <c r="APW120" s="98"/>
      <c r="APX120" s="98"/>
      <c r="APY120" s="98"/>
      <c r="APZ120" s="98"/>
      <c r="AQA120" s="98"/>
      <c r="AQB120" s="98"/>
      <c r="AQC120" s="98"/>
      <c r="AQD120" s="98"/>
      <c r="AQE120" s="98"/>
      <c r="AQF120" s="98"/>
      <c r="AQG120" s="98"/>
      <c r="AQH120" s="98"/>
      <c r="AQI120" s="98"/>
      <c r="AQJ120" s="98"/>
      <c r="AQK120" s="98"/>
      <c r="AQL120" s="98"/>
      <c r="AQM120" s="98"/>
      <c r="AQN120" s="98"/>
      <c r="AQO120" s="98"/>
      <c r="AQP120" s="98"/>
      <c r="AQQ120" s="98"/>
      <c r="AQR120" s="98"/>
      <c r="AQS120" s="98"/>
      <c r="AQT120" s="98"/>
      <c r="AQU120" s="98"/>
      <c r="AQV120" s="98"/>
      <c r="AQW120" s="98"/>
      <c r="AQX120" s="98"/>
      <c r="AQY120" s="98"/>
      <c r="AQZ120" s="98"/>
      <c r="ARA120" s="98"/>
      <c r="ARB120" s="98"/>
      <c r="ARC120" s="98"/>
      <c r="ARD120" s="98"/>
      <c r="ARE120" s="98"/>
      <c r="ARF120" s="98"/>
      <c r="ARG120" s="98"/>
      <c r="ARH120" s="98"/>
      <c r="ARI120" s="98"/>
      <c r="ARJ120" s="98"/>
      <c r="ARK120" s="98"/>
      <c r="ARL120" s="98"/>
      <c r="ARM120" s="98"/>
      <c r="ARN120" s="98"/>
      <c r="ARO120" s="98"/>
      <c r="ARP120" s="98"/>
      <c r="ARQ120" s="98"/>
      <c r="ARR120" s="98"/>
      <c r="ARS120" s="98"/>
    </row>
    <row r="121" spans="1:1163" s="174" customFormat="1">
      <c r="A121" s="140" t="s">
        <v>166</v>
      </c>
      <c r="B121" s="119" t="s">
        <v>67</v>
      </c>
      <c r="C121" s="175"/>
      <c r="D121" s="175"/>
      <c r="E121" s="175">
        <v>0</v>
      </c>
      <c r="F121" s="175">
        <v>30084556</v>
      </c>
      <c r="G121" s="175">
        <v>0</v>
      </c>
      <c r="H121" s="175">
        <v>29636688</v>
      </c>
      <c r="I121" s="175">
        <v>51</v>
      </c>
      <c r="J121" s="175">
        <v>34285775</v>
      </c>
      <c r="K121" s="175">
        <v>0</v>
      </c>
      <c r="L121" s="175">
        <v>25149796</v>
      </c>
      <c r="M121" s="175">
        <v>140</v>
      </c>
      <c r="N121" s="175">
        <v>53989350</v>
      </c>
      <c r="O121" s="175">
        <v>0</v>
      </c>
      <c r="P121" s="175">
        <v>60358281</v>
      </c>
      <c r="Q121" s="201">
        <v>53</v>
      </c>
      <c r="R121" s="175">
        <v>65581056</v>
      </c>
      <c r="S121" s="197">
        <v>0</v>
      </c>
      <c r="T121" s="197">
        <v>0</v>
      </c>
      <c r="U121" s="197">
        <v>0</v>
      </c>
      <c r="V121" s="197">
        <v>0</v>
      </c>
      <c r="W121" s="197">
        <v>0</v>
      </c>
      <c r="X121" s="197">
        <v>0</v>
      </c>
      <c r="Y121" s="197">
        <v>0</v>
      </c>
      <c r="Z121" s="197">
        <v>0</v>
      </c>
      <c r="AA121" s="197">
        <v>0</v>
      </c>
      <c r="AB121" s="197">
        <v>0</v>
      </c>
      <c r="AC121" s="197">
        <v>0</v>
      </c>
      <c r="AD121" s="197">
        <v>0</v>
      </c>
      <c r="AE121" s="197">
        <v>0</v>
      </c>
      <c r="AF121" s="197">
        <v>0</v>
      </c>
      <c r="AG121" s="197">
        <v>0</v>
      </c>
      <c r="AH121" s="197">
        <v>0</v>
      </c>
      <c r="AI121" s="197">
        <v>0</v>
      </c>
      <c r="AJ121" s="197">
        <v>0</v>
      </c>
      <c r="AK121" s="197">
        <v>0</v>
      </c>
      <c r="AL121" s="197">
        <v>0</v>
      </c>
      <c r="AM121" s="197">
        <v>0</v>
      </c>
      <c r="AN121" s="197">
        <v>0</v>
      </c>
      <c r="AO121" s="197">
        <v>0</v>
      </c>
      <c r="AP121" s="197">
        <v>0</v>
      </c>
      <c r="AQ121" s="197">
        <v>0</v>
      </c>
      <c r="AR121" s="197">
        <v>0</v>
      </c>
      <c r="AS121" s="197">
        <v>0</v>
      </c>
      <c r="AT121" s="197">
        <v>0</v>
      </c>
      <c r="AU121" s="197">
        <v>0</v>
      </c>
      <c r="AV121" s="197">
        <v>0</v>
      </c>
      <c r="AW121" s="197">
        <v>0</v>
      </c>
      <c r="AX121" s="197">
        <v>0</v>
      </c>
      <c r="AY121" s="175">
        <v>0</v>
      </c>
      <c r="AZ121" s="175">
        <v>0</v>
      </c>
      <c r="BA121" s="144"/>
      <c r="BB121" s="175"/>
      <c r="BC121" s="175"/>
      <c r="BD121" s="175"/>
      <c r="BE121" s="175"/>
      <c r="BF121" s="175"/>
      <c r="BG121" s="175"/>
      <c r="BH121" s="175"/>
      <c r="BI121" s="144"/>
      <c r="BJ121" s="98"/>
      <c r="BK121" s="148"/>
      <c r="BL121" s="148"/>
      <c r="BM121" s="148"/>
      <c r="BN121" s="14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98"/>
      <c r="EN121" s="98"/>
      <c r="EO121" s="98"/>
      <c r="EP121" s="98"/>
      <c r="EQ121" s="98"/>
      <c r="ER121" s="98"/>
      <c r="ES121" s="98"/>
      <c r="ET121" s="98"/>
      <c r="EU121" s="98"/>
      <c r="EV121" s="98"/>
      <c r="EW121" s="98"/>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c r="IW121" s="98"/>
      <c r="IX121" s="98"/>
      <c r="IY121" s="98"/>
      <c r="IZ121" s="98"/>
      <c r="JA121" s="98"/>
      <c r="JB121" s="98"/>
      <c r="JC121" s="98"/>
      <c r="JD121" s="98"/>
      <c r="JE121" s="98"/>
      <c r="JF121" s="98"/>
      <c r="JG121" s="98"/>
      <c r="JH121" s="98"/>
      <c r="JI121" s="98"/>
      <c r="JJ121" s="98"/>
      <c r="JK121" s="98"/>
      <c r="JL121" s="98"/>
      <c r="JM121" s="98"/>
      <c r="JN121" s="98"/>
      <c r="JO121" s="98"/>
      <c r="JP121" s="98"/>
      <c r="JQ121" s="98"/>
      <c r="JR121" s="98"/>
      <c r="JS121" s="98"/>
      <c r="JT121" s="98"/>
      <c r="JU121" s="98"/>
      <c r="JV121" s="98"/>
      <c r="JW121" s="98"/>
      <c r="JX121" s="98"/>
      <c r="JY121" s="98"/>
      <c r="JZ121" s="98"/>
      <c r="KA121" s="98"/>
      <c r="KB121" s="98"/>
      <c r="KC121" s="98"/>
      <c r="KD121" s="98"/>
      <c r="KE121" s="98"/>
      <c r="KF121" s="98"/>
      <c r="KG121" s="98"/>
      <c r="KH121" s="98"/>
      <c r="KI121" s="98"/>
      <c r="KJ121" s="98"/>
      <c r="KK121" s="98"/>
      <c r="KL121" s="98"/>
      <c r="KM121" s="98"/>
      <c r="KN121" s="98"/>
      <c r="KO121" s="98"/>
      <c r="KP121" s="98"/>
      <c r="KQ121" s="98"/>
      <c r="KR121" s="98"/>
      <c r="KS121" s="98"/>
      <c r="KT121" s="98"/>
      <c r="KU121" s="98"/>
      <c r="KV121" s="98"/>
      <c r="KW121" s="98"/>
      <c r="KX121" s="98"/>
      <c r="KY121" s="98"/>
      <c r="KZ121" s="98"/>
      <c r="LA121" s="98"/>
      <c r="LB121" s="98"/>
      <c r="LC121" s="98"/>
      <c r="LD121" s="98"/>
      <c r="LE121" s="98"/>
      <c r="LF121" s="98"/>
      <c r="LG121" s="98"/>
      <c r="LH121" s="98"/>
      <c r="LI121" s="98"/>
      <c r="LJ121" s="98"/>
      <c r="LK121" s="98"/>
      <c r="LL121" s="98"/>
      <c r="LM121" s="98"/>
      <c r="LN121" s="98"/>
      <c r="LO121" s="98"/>
      <c r="LP121" s="98"/>
      <c r="LQ121" s="98"/>
      <c r="LR121" s="98"/>
      <c r="LS121" s="98"/>
      <c r="LT121" s="98"/>
      <c r="LU121" s="98"/>
      <c r="LV121" s="98"/>
      <c r="LW121" s="98"/>
      <c r="LX121" s="98"/>
      <c r="LY121" s="98"/>
      <c r="LZ121" s="98"/>
      <c r="MA121" s="98"/>
      <c r="MB121" s="98"/>
      <c r="MC121" s="98"/>
      <c r="MD121" s="98"/>
      <c r="ME121" s="98"/>
      <c r="MF121" s="98"/>
      <c r="MG121" s="98"/>
      <c r="MH121" s="98"/>
      <c r="MI121" s="98"/>
      <c r="MJ121" s="98"/>
      <c r="MK121" s="98"/>
      <c r="ML121" s="98"/>
      <c r="MM121" s="98"/>
      <c r="MN121" s="98"/>
      <c r="MO121" s="98"/>
      <c r="MP121" s="98"/>
      <c r="MQ121" s="98"/>
      <c r="MR121" s="98"/>
      <c r="MS121" s="98"/>
      <c r="MT121" s="98"/>
      <c r="MU121" s="98"/>
      <c r="MV121" s="98"/>
      <c r="MW121" s="98"/>
      <c r="MX121" s="98"/>
      <c r="MY121" s="98"/>
      <c r="MZ121" s="98"/>
      <c r="NA121" s="98"/>
      <c r="NB121" s="98"/>
      <c r="NC121" s="98"/>
      <c r="ND121" s="98"/>
      <c r="NE121" s="98"/>
      <c r="NF121" s="98"/>
      <c r="NG121" s="98"/>
      <c r="NH121" s="98"/>
      <c r="NI121" s="98"/>
      <c r="NJ121" s="98"/>
      <c r="NK121" s="98"/>
      <c r="NL121" s="98"/>
      <c r="NM121" s="98"/>
      <c r="NN121" s="98"/>
      <c r="NO121" s="98"/>
      <c r="NP121" s="98"/>
      <c r="NQ121" s="98"/>
      <c r="NR121" s="98"/>
      <c r="NS121" s="98"/>
      <c r="NT121" s="98"/>
      <c r="NU121" s="98"/>
      <c r="NV121" s="98"/>
      <c r="NW121" s="98"/>
      <c r="NX121" s="98"/>
      <c r="NY121" s="98"/>
      <c r="NZ121" s="98"/>
      <c r="OA121" s="98"/>
      <c r="OB121" s="98"/>
      <c r="OC121" s="98"/>
      <c r="OD121" s="98"/>
      <c r="OE121" s="98"/>
      <c r="OF121" s="98"/>
      <c r="OG121" s="98"/>
      <c r="OH121" s="98"/>
      <c r="OI121" s="98"/>
      <c r="OJ121" s="98"/>
      <c r="OK121" s="98"/>
      <c r="OL121" s="98"/>
      <c r="OM121" s="98"/>
      <c r="ON121" s="98"/>
      <c r="OO121" s="98"/>
      <c r="OP121" s="98"/>
      <c r="OQ121" s="98"/>
      <c r="OR121" s="98"/>
      <c r="OS121" s="98"/>
      <c r="OT121" s="98"/>
      <c r="OU121" s="98"/>
      <c r="OV121" s="98"/>
      <c r="OW121" s="98"/>
      <c r="OX121" s="98"/>
      <c r="OY121" s="98"/>
      <c r="OZ121" s="98"/>
      <c r="PA121" s="98"/>
      <c r="PB121" s="98"/>
      <c r="PC121" s="98"/>
      <c r="PD121" s="98"/>
      <c r="PE121" s="98"/>
      <c r="PF121" s="98"/>
      <c r="PG121" s="98"/>
      <c r="PH121" s="98"/>
      <c r="PI121" s="98"/>
      <c r="PJ121" s="98"/>
      <c r="PK121" s="98"/>
      <c r="PL121" s="98"/>
      <c r="PM121" s="98"/>
      <c r="PN121" s="98"/>
      <c r="PO121" s="98"/>
      <c r="PP121" s="98"/>
      <c r="PQ121" s="98"/>
      <c r="PR121" s="98"/>
      <c r="PS121" s="98"/>
      <c r="PT121" s="98"/>
      <c r="PU121" s="98"/>
      <c r="PV121" s="98"/>
      <c r="PW121" s="98"/>
      <c r="PX121" s="98"/>
      <c r="PY121" s="98"/>
      <c r="PZ121" s="98"/>
      <c r="QA121" s="98"/>
      <c r="QB121" s="98"/>
      <c r="QC121" s="98"/>
      <c r="QD121" s="98"/>
      <c r="QE121" s="98"/>
      <c r="QF121" s="98"/>
      <c r="QG121" s="98"/>
      <c r="QH121" s="98"/>
      <c r="QI121" s="98"/>
      <c r="QJ121" s="98"/>
      <c r="QK121" s="98"/>
      <c r="QL121" s="98"/>
      <c r="QM121" s="98"/>
      <c r="QN121" s="98"/>
      <c r="QO121" s="98"/>
      <c r="QP121" s="98"/>
      <c r="QQ121" s="98"/>
      <c r="QR121" s="98"/>
      <c r="QS121" s="98"/>
      <c r="QT121" s="98"/>
      <c r="QU121" s="98"/>
      <c r="QV121" s="98"/>
      <c r="QW121" s="98"/>
      <c r="QX121" s="98"/>
      <c r="QY121" s="98"/>
      <c r="QZ121" s="98"/>
      <c r="RA121" s="98"/>
      <c r="RB121" s="98"/>
      <c r="RC121" s="98"/>
      <c r="RD121" s="98"/>
      <c r="RE121" s="98"/>
      <c r="RF121" s="98"/>
      <c r="RG121" s="98"/>
      <c r="RH121" s="98"/>
      <c r="RI121" s="98"/>
      <c r="RJ121" s="98"/>
      <c r="RK121" s="98"/>
      <c r="RL121" s="98"/>
      <c r="RM121" s="98"/>
      <c r="RN121" s="98"/>
      <c r="RO121" s="98"/>
      <c r="RP121" s="98"/>
      <c r="RQ121" s="98"/>
      <c r="RR121" s="98"/>
      <c r="RS121" s="98"/>
      <c r="RT121" s="98"/>
      <c r="RU121" s="98"/>
      <c r="RV121" s="98"/>
      <c r="RW121" s="98"/>
      <c r="RX121" s="98"/>
      <c r="RY121" s="98"/>
      <c r="RZ121" s="98"/>
      <c r="SA121" s="98"/>
      <c r="SB121" s="98"/>
      <c r="SC121" s="98"/>
      <c r="SD121" s="98"/>
      <c r="SE121" s="98"/>
      <c r="SF121" s="98"/>
      <c r="SG121" s="98"/>
      <c r="SH121" s="98"/>
      <c r="SI121" s="98"/>
      <c r="SJ121" s="98"/>
      <c r="SK121" s="98"/>
      <c r="SL121" s="98"/>
      <c r="SM121" s="98"/>
      <c r="SN121" s="98"/>
      <c r="SO121" s="98"/>
      <c r="SP121" s="98"/>
      <c r="SQ121" s="98"/>
      <c r="SR121" s="98"/>
      <c r="SS121" s="98"/>
      <c r="ST121" s="98"/>
      <c r="SU121" s="98"/>
      <c r="SV121" s="98"/>
      <c r="SW121" s="98"/>
      <c r="SX121" s="98"/>
      <c r="SY121" s="98"/>
      <c r="SZ121" s="98"/>
      <c r="TA121" s="98"/>
      <c r="TB121" s="98"/>
      <c r="TC121" s="98"/>
      <c r="TD121" s="98"/>
      <c r="TE121" s="98"/>
      <c r="TF121" s="98"/>
      <c r="TG121" s="98"/>
      <c r="TH121" s="98"/>
      <c r="TI121" s="98"/>
      <c r="TJ121" s="98"/>
      <c r="TK121" s="98"/>
      <c r="TL121" s="98"/>
      <c r="TM121" s="98"/>
      <c r="TN121" s="98"/>
      <c r="TO121" s="98"/>
      <c r="TP121" s="98"/>
      <c r="TQ121" s="98"/>
      <c r="TR121" s="98"/>
      <c r="TS121" s="98"/>
      <c r="TT121" s="98"/>
      <c r="TU121" s="98"/>
      <c r="TV121" s="98"/>
      <c r="TW121" s="98"/>
      <c r="TX121" s="98"/>
      <c r="TY121" s="98"/>
      <c r="TZ121" s="98"/>
      <c r="UA121" s="98"/>
      <c r="UB121" s="98"/>
      <c r="UC121" s="98"/>
      <c r="UD121" s="98"/>
      <c r="UE121" s="98"/>
      <c r="UF121" s="98"/>
      <c r="UG121" s="98"/>
      <c r="UH121" s="98"/>
      <c r="UI121" s="98"/>
      <c r="UJ121" s="98"/>
      <c r="UK121" s="98"/>
      <c r="UL121" s="98"/>
      <c r="UM121" s="98"/>
      <c r="UN121" s="98"/>
      <c r="UO121" s="98"/>
      <c r="UP121" s="98"/>
      <c r="UQ121" s="98"/>
      <c r="UR121" s="98"/>
      <c r="US121" s="98"/>
      <c r="UT121" s="98"/>
      <c r="UU121" s="98"/>
      <c r="UV121" s="98"/>
      <c r="UW121" s="98"/>
      <c r="UX121" s="98"/>
      <c r="UY121" s="98"/>
      <c r="UZ121" s="98"/>
      <c r="VA121" s="98"/>
      <c r="VB121" s="98"/>
      <c r="VC121" s="98"/>
      <c r="VD121" s="98"/>
      <c r="VE121" s="98"/>
      <c r="VF121" s="98"/>
      <c r="VG121" s="98"/>
      <c r="VH121" s="98"/>
      <c r="VI121" s="98"/>
      <c r="VJ121" s="98"/>
      <c r="VK121" s="98"/>
      <c r="VL121" s="98"/>
      <c r="VM121" s="98"/>
      <c r="VN121" s="98"/>
      <c r="VO121" s="98"/>
      <c r="VP121" s="98"/>
      <c r="VQ121" s="98"/>
      <c r="VR121" s="98"/>
      <c r="VS121" s="98"/>
      <c r="VT121" s="98"/>
      <c r="VU121" s="98"/>
      <c r="VV121" s="98"/>
      <c r="VW121" s="98"/>
      <c r="VX121" s="98"/>
      <c r="VY121" s="98"/>
      <c r="VZ121" s="98"/>
      <c r="WA121" s="98"/>
      <c r="WB121" s="98"/>
      <c r="WC121" s="98"/>
      <c r="WD121" s="98"/>
      <c r="WE121" s="98"/>
      <c r="WF121" s="98"/>
      <c r="WG121" s="98"/>
      <c r="WH121" s="98"/>
      <c r="WI121" s="98"/>
      <c r="WJ121" s="98"/>
      <c r="WK121" s="98"/>
      <c r="WL121" s="98"/>
      <c r="WM121" s="98"/>
      <c r="WN121" s="98"/>
      <c r="WO121" s="98"/>
      <c r="WP121" s="98"/>
      <c r="WQ121" s="98"/>
      <c r="WR121" s="98"/>
      <c r="WS121" s="98"/>
      <c r="WT121" s="98"/>
      <c r="WU121" s="98"/>
      <c r="WV121" s="98"/>
      <c r="WW121" s="98"/>
      <c r="WX121" s="98"/>
      <c r="WY121" s="98"/>
      <c r="WZ121" s="98"/>
      <c r="XA121" s="98"/>
      <c r="XB121" s="98"/>
      <c r="XC121" s="98"/>
      <c r="XD121" s="98"/>
      <c r="XE121" s="98"/>
      <c r="XF121" s="98"/>
      <c r="XG121" s="98"/>
      <c r="XH121" s="98"/>
      <c r="XI121" s="98"/>
      <c r="XJ121" s="98"/>
      <c r="XK121" s="98"/>
      <c r="XL121" s="98"/>
      <c r="XM121" s="98"/>
      <c r="XN121" s="98"/>
      <c r="XO121" s="98"/>
      <c r="XP121" s="98"/>
      <c r="XQ121" s="98"/>
      <c r="XR121" s="98"/>
      <c r="XS121" s="98"/>
      <c r="XT121" s="98"/>
      <c r="XU121" s="98"/>
      <c r="XV121" s="98"/>
      <c r="XW121" s="98"/>
      <c r="XX121" s="98"/>
      <c r="XY121" s="98"/>
      <c r="XZ121" s="98"/>
      <c r="YA121" s="98"/>
      <c r="YB121" s="98"/>
      <c r="YC121" s="98"/>
      <c r="YD121" s="98"/>
      <c r="YE121" s="98"/>
      <c r="YF121" s="98"/>
      <c r="YG121" s="98"/>
      <c r="YH121" s="98"/>
      <c r="YI121" s="98"/>
      <c r="YJ121" s="98"/>
      <c r="YK121" s="98"/>
      <c r="YL121" s="98"/>
      <c r="YM121" s="98"/>
      <c r="YN121" s="98"/>
      <c r="YO121" s="98"/>
      <c r="YP121" s="98"/>
      <c r="YQ121" s="98"/>
      <c r="YR121" s="98"/>
      <c r="YS121" s="98"/>
      <c r="YT121" s="98"/>
      <c r="YU121" s="98"/>
      <c r="YV121" s="98"/>
      <c r="YW121" s="98"/>
      <c r="YX121" s="98"/>
      <c r="YY121" s="98"/>
      <c r="YZ121" s="98"/>
      <c r="ZA121" s="98"/>
      <c r="ZB121" s="98"/>
      <c r="ZC121" s="98"/>
      <c r="ZD121" s="98"/>
      <c r="ZE121" s="98"/>
      <c r="ZF121" s="98"/>
      <c r="ZG121" s="98"/>
      <c r="ZH121" s="98"/>
      <c r="ZI121" s="98"/>
      <c r="ZJ121" s="98"/>
      <c r="ZK121" s="98"/>
      <c r="ZL121" s="98"/>
      <c r="ZM121" s="98"/>
      <c r="ZN121" s="98"/>
      <c r="ZO121" s="98"/>
      <c r="ZP121" s="98"/>
      <c r="ZQ121" s="98"/>
      <c r="ZR121" s="98"/>
      <c r="ZS121" s="98"/>
      <c r="ZT121" s="98"/>
      <c r="ZU121" s="98"/>
      <c r="ZV121" s="98"/>
      <c r="ZW121" s="98"/>
      <c r="ZX121" s="98"/>
      <c r="ZY121" s="98"/>
      <c r="ZZ121" s="98"/>
      <c r="AAA121" s="98"/>
      <c r="AAB121" s="98"/>
      <c r="AAC121" s="98"/>
      <c r="AAD121" s="98"/>
      <c r="AAE121" s="98"/>
      <c r="AAF121" s="98"/>
      <c r="AAG121" s="98"/>
      <c r="AAH121" s="98"/>
      <c r="AAI121" s="98"/>
      <c r="AAJ121" s="98"/>
      <c r="AAK121" s="98"/>
      <c r="AAL121" s="98"/>
      <c r="AAM121" s="98"/>
      <c r="AAN121" s="98"/>
      <c r="AAO121" s="98"/>
      <c r="AAP121" s="98"/>
      <c r="AAQ121" s="98"/>
      <c r="AAR121" s="98"/>
      <c r="AAS121" s="98"/>
      <c r="AAT121" s="98"/>
      <c r="AAU121" s="98"/>
      <c r="AAV121" s="98"/>
      <c r="AAW121" s="98"/>
      <c r="AAX121" s="98"/>
      <c r="AAY121" s="98"/>
      <c r="AAZ121" s="98"/>
      <c r="ABA121" s="98"/>
      <c r="ABB121" s="98"/>
      <c r="ABC121" s="98"/>
      <c r="ABD121" s="98"/>
      <c r="ABE121" s="98"/>
      <c r="ABF121" s="98"/>
      <c r="ABG121" s="98"/>
      <c r="ABH121" s="98"/>
      <c r="ABI121" s="98"/>
      <c r="ABJ121" s="98"/>
      <c r="ABK121" s="98"/>
      <c r="ABL121" s="98"/>
      <c r="ABM121" s="98"/>
      <c r="ABN121" s="98"/>
      <c r="ABO121" s="98"/>
      <c r="ABP121" s="98"/>
      <c r="ABQ121" s="98"/>
      <c r="ABR121" s="98"/>
      <c r="ABS121" s="98"/>
      <c r="ABT121" s="98"/>
      <c r="ABU121" s="98"/>
      <c r="ABV121" s="98"/>
      <c r="ABW121" s="98"/>
      <c r="ABX121" s="98"/>
      <c r="ABY121" s="98"/>
      <c r="ABZ121" s="98"/>
      <c r="ACA121" s="98"/>
      <c r="ACB121" s="98"/>
      <c r="ACC121" s="98"/>
      <c r="ACD121" s="98"/>
      <c r="ACE121" s="98"/>
      <c r="ACF121" s="98"/>
      <c r="ACG121" s="98"/>
      <c r="ACH121" s="98"/>
      <c r="ACI121" s="98"/>
      <c r="ACJ121" s="98"/>
      <c r="ACK121" s="98"/>
      <c r="ACL121" s="98"/>
      <c r="ACM121" s="98"/>
      <c r="ACN121" s="98"/>
      <c r="ACO121" s="98"/>
      <c r="ACP121" s="98"/>
      <c r="ACQ121" s="98"/>
      <c r="ACR121" s="98"/>
      <c r="ACS121" s="98"/>
      <c r="ACT121" s="98"/>
      <c r="ACU121" s="98"/>
      <c r="ACV121" s="98"/>
      <c r="ACW121" s="98"/>
      <c r="ACX121" s="98"/>
      <c r="ACY121" s="98"/>
      <c r="ACZ121" s="98"/>
      <c r="ADA121" s="98"/>
      <c r="ADB121" s="98"/>
      <c r="ADC121" s="98"/>
      <c r="ADD121" s="98"/>
      <c r="ADE121" s="98"/>
      <c r="ADF121" s="98"/>
      <c r="ADG121" s="98"/>
      <c r="ADH121" s="98"/>
      <c r="ADI121" s="98"/>
      <c r="ADJ121" s="98"/>
      <c r="ADK121" s="98"/>
      <c r="ADL121" s="98"/>
      <c r="ADM121" s="98"/>
      <c r="ADN121" s="98"/>
      <c r="ADO121" s="98"/>
      <c r="ADP121" s="98"/>
      <c r="ADQ121" s="98"/>
      <c r="ADR121" s="98"/>
      <c r="ADS121" s="98"/>
      <c r="ADT121" s="98"/>
      <c r="ADU121" s="98"/>
      <c r="ADV121" s="98"/>
      <c r="ADW121" s="98"/>
      <c r="ADX121" s="98"/>
      <c r="ADY121" s="98"/>
      <c r="ADZ121" s="98"/>
      <c r="AEA121" s="98"/>
      <c r="AEB121" s="98"/>
      <c r="AEC121" s="98"/>
      <c r="AED121" s="98"/>
      <c r="AEE121" s="98"/>
      <c r="AEF121" s="98"/>
      <c r="AEG121" s="98"/>
      <c r="AEH121" s="98"/>
      <c r="AEI121" s="98"/>
      <c r="AEJ121" s="98"/>
      <c r="AEK121" s="98"/>
      <c r="AEL121" s="98"/>
      <c r="AEM121" s="98"/>
      <c r="AEN121" s="98"/>
      <c r="AEO121" s="98"/>
      <c r="AEP121" s="98"/>
      <c r="AEQ121" s="98"/>
      <c r="AER121" s="98"/>
      <c r="AES121" s="98"/>
      <c r="AET121" s="98"/>
      <c r="AEU121" s="98"/>
      <c r="AEV121" s="98"/>
      <c r="AEW121" s="98"/>
      <c r="AEX121" s="98"/>
      <c r="AEY121" s="98"/>
      <c r="AEZ121" s="98"/>
      <c r="AFA121" s="98"/>
      <c r="AFB121" s="98"/>
      <c r="AFC121" s="98"/>
      <c r="AFD121" s="98"/>
      <c r="AFE121" s="98"/>
      <c r="AFF121" s="98"/>
      <c r="AFG121" s="98"/>
      <c r="AFH121" s="98"/>
      <c r="AFI121" s="98"/>
      <c r="AFJ121" s="98"/>
      <c r="AFK121" s="98"/>
      <c r="AFL121" s="98"/>
      <c r="AFM121" s="98"/>
      <c r="AFN121" s="98"/>
      <c r="AFO121" s="98"/>
      <c r="AFP121" s="98"/>
      <c r="AFQ121" s="98"/>
      <c r="AFR121" s="98"/>
      <c r="AFS121" s="98"/>
      <c r="AFT121" s="98"/>
      <c r="AFU121" s="98"/>
      <c r="AFV121" s="98"/>
      <c r="AFW121" s="98"/>
      <c r="AFX121" s="98"/>
      <c r="AFY121" s="98"/>
      <c r="AFZ121" s="98"/>
      <c r="AGA121" s="98"/>
      <c r="AGB121" s="98"/>
      <c r="AGC121" s="98"/>
      <c r="AGD121" s="98"/>
      <c r="AGE121" s="98"/>
      <c r="AGF121" s="98"/>
      <c r="AGG121" s="98"/>
      <c r="AGH121" s="98"/>
      <c r="AGI121" s="98"/>
      <c r="AGJ121" s="98"/>
      <c r="AGK121" s="98"/>
      <c r="AGL121" s="98"/>
      <c r="AGM121" s="98"/>
      <c r="AGN121" s="98"/>
      <c r="AGO121" s="98"/>
      <c r="AGP121" s="98"/>
      <c r="AGQ121" s="98"/>
      <c r="AGR121" s="98"/>
      <c r="AGS121" s="98"/>
      <c r="AGT121" s="98"/>
      <c r="AGU121" s="98"/>
      <c r="AGV121" s="98"/>
      <c r="AGW121" s="98"/>
      <c r="AGX121" s="98"/>
      <c r="AGY121" s="98"/>
      <c r="AGZ121" s="98"/>
      <c r="AHA121" s="98"/>
      <c r="AHB121" s="98"/>
      <c r="AHC121" s="98"/>
      <c r="AHD121" s="98"/>
      <c r="AHE121" s="98"/>
      <c r="AHF121" s="98"/>
      <c r="AHG121" s="98"/>
      <c r="AHH121" s="98"/>
      <c r="AHI121" s="98"/>
      <c r="AHJ121" s="98"/>
      <c r="AHK121" s="98"/>
      <c r="AHL121" s="98"/>
      <c r="AHM121" s="98"/>
      <c r="AHN121" s="98"/>
      <c r="AHO121" s="98"/>
      <c r="AHP121" s="98"/>
      <c r="AHQ121" s="98"/>
      <c r="AHR121" s="98"/>
      <c r="AHS121" s="98"/>
      <c r="AHT121" s="98"/>
      <c r="AHU121" s="98"/>
      <c r="AHV121" s="98"/>
      <c r="AHW121" s="98"/>
      <c r="AHX121" s="98"/>
      <c r="AHY121" s="98"/>
      <c r="AHZ121" s="98"/>
      <c r="AIA121" s="98"/>
      <c r="AIB121" s="98"/>
      <c r="AIC121" s="98"/>
      <c r="AID121" s="98"/>
      <c r="AIE121" s="98"/>
      <c r="AIF121" s="98"/>
      <c r="AIG121" s="98"/>
      <c r="AIH121" s="98"/>
      <c r="AII121" s="98"/>
      <c r="AIJ121" s="98"/>
      <c r="AIK121" s="98"/>
      <c r="AIL121" s="98"/>
      <c r="AIM121" s="98"/>
      <c r="AIN121" s="98"/>
      <c r="AIO121" s="98"/>
      <c r="AIP121" s="98"/>
      <c r="AIQ121" s="98"/>
      <c r="AIR121" s="98"/>
      <c r="AIS121" s="98"/>
      <c r="AIT121" s="98"/>
      <c r="AIU121" s="98"/>
      <c r="AIV121" s="98"/>
      <c r="AIW121" s="98"/>
      <c r="AIX121" s="98"/>
      <c r="AIY121" s="98"/>
      <c r="AIZ121" s="98"/>
      <c r="AJA121" s="98"/>
      <c r="AJB121" s="98"/>
      <c r="AJC121" s="98"/>
      <c r="AJD121" s="98"/>
      <c r="AJE121" s="98"/>
      <c r="AJF121" s="98"/>
      <c r="AJG121" s="98"/>
      <c r="AJH121" s="98"/>
      <c r="AJI121" s="98"/>
      <c r="AJJ121" s="98"/>
      <c r="AJK121" s="98"/>
      <c r="AJL121" s="98"/>
      <c r="AJM121" s="98"/>
      <c r="AJN121" s="98"/>
      <c r="AJO121" s="98"/>
      <c r="AJP121" s="98"/>
      <c r="AJQ121" s="98"/>
      <c r="AJR121" s="98"/>
      <c r="AJS121" s="98"/>
      <c r="AJT121" s="98"/>
      <c r="AJU121" s="98"/>
      <c r="AJV121" s="98"/>
      <c r="AJW121" s="98"/>
      <c r="AJX121" s="98"/>
      <c r="AJY121" s="98"/>
      <c r="AJZ121" s="98"/>
      <c r="AKA121" s="98"/>
      <c r="AKB121" s="98"/>
      <c r="AKC121" s="98"/>
      <c r="AKD121" s="98"/>
      <c r="AKE121" s="98"/>
      <c r="AKF121" s="98"/>
      <c r="AKG121" s="98"/>
      <c r="AKH121" s="98"/>
      <c r="AKI121" s="98"/>
      <c r="AKJ121" s="98"/>
      <c r="AKK121" s="98"/>
      <c r="AKL121" s="98"/>
      <c r="AKM121" s="98"/>
      <c r="AKN121" s="98"/>
      <c r="AKO121" s="98"/>
      <c r="AKP121" s="98"/>
      <c r="AKQ121" s="98"/>
      <c r="AKR121" s="98"/>
      <c r="AKS121" s="98"/>
      <c r="AKT121" s="98"/>
      <c r="AKU121" s="98"/>
      <c r="AKV121" s="98"/>
      <c r="AKW121" s="98"/>
      <c r="AKX121" s="98"/>
      <c r="AKY121" s="98"/>
      <c r="AKZ121" s="98"/>
      <c r="ALA121" s="98"/>
      <c r="ALB121" s="98"/>
      <c r="ALC121" s="98"/>
      <c r="ALD121" s="98"/>
      <c r="ALE121" s="98"/>
      <c r="ALF121" s="98"/>
      <c r="ALG121" s="98"/>
      <c r="ALH121" s="98"/>
      <c r="ALI121" s="98"/>
      <c r="ALJ121" s="98"/>
      <c r="ALK121" s="98"/>
      <c r="ALL121" s="98"/>
      <c r="ALM121" s="98"/>
      <c r="ALN121" s="98"/>
      <c r="ALO121" s="98"/>
      <c r="ALP121" s="98"/>
      <c r="ALQ121" s="98"/>
      <c r="ALR121" s="98"/>
      <c r="ALS121" s="98"/>
      <c r="ALT121" s="98"/>
      <c r="ALU121" s="98"/>
      <c r="ALV121" s="98"/>
      <c r="ALW121" s="98"/>
      <c r="ALX121" s="98"/>
      <c r="ALY121" s="98"/>
      <c r="ALZ121" s="98"/>
      <c r="AMA121" s="98"/>
      <c r="AMB121" s="98"/>
      <c r="AMC121" s="98"/>
      <c r="AMD121" s="98"/>
      <c r="AME121" s="98"/>
      <c r="AMF121" s="98"/>
      <c r="AMG121" s="98"/>
      <c r="AMH121" s="98"/>
      <c r="AMI121" s="98"/>
      <c r="AMJ121" s="98"/>
      <c r="AMK121" s="98"/>
      <c r="AML121" s="98"/>
      <c r="AMM121" s="98"/>
      <c r="AMN121" s="98"/>
      <c r="AMO121" s="98"/>
      <c r="AMP121" s="98"/>
      <c r="AMQ121" s="98"/>
      <c r="AMR121" s="98"/>
      <c r="AMS121" s="98"/>
      <c r="AMT121" s="98"/>
      <c r="AMU121" s="98"/>
      <c r="AMV121" s="98"/>
      <c r="AMW121" s="98"/>
      <c r="AMX121" s="98"/>
      <c r="AMY121" s="98"/>
      <c r="AMZ121" s="98"/>
      <c r="ANA121" s="98"/>
      <c r="ANB121" s="98"/>
      <c r="ANC121" s="98"/>
      <c r="AND121" s="98"/>
      <c r="ANE121" s="98"/>
      <c r="ANF121" s="98"/>
      <c r="ANG121" s="98"/>
      <c r="ANH121" s="98"/>
      <c r="ANI121" s="98"/>
      <c r="ANJ121" s="98"/>
      <c r="ANK121" s="98"/>
      <c r="ANL121" s="98"/>
      <c r="ANM121" s="98"/>
      <c r="ANN121" s="98"/>
      <c r="ANO121" s="98"/>
      <c r="ANP121" s="98"/>
      <c r="ANQ121" s="98"/>
      <c r="ANR121" s="98"/>
      <c r="ANS121" s="98"/>
      <c r="ANT121" s="98"/>
      <c r="ANU121" s="98"/>
      <c r="ANV121" s="98"/>
      <c r="ANW121" s="98"/>
      <c r="ANX121" s="98"/>
      <c r="ANY121" s="98"/>
      <c r="ANZ121" s="98"/>
      <c r="AOA121" s="98"/>
      <c r="AOB121" s="98"/>
      <c r="AOC121" s="98"/>
      <c r="AOD121" s="98"/>
      <c r="AOE121" s="98"/>
      <c r="AOF121" s="98"/>
      <c r="AOG121" s="98"/>
      <c r="AOH121" s="98"/>
      <c r="AOI121" s="98"/>
      <c r="AOJ121" s="98"/>
      <c r="AOK121" s="98"/>
      <c r="AOL121" s="98"/>
      <c r="AOM121" s="98"/>
      <c r="AON121" s="98"/>
      <c r="AOO121" s="98"/>
      <c r="AOP121" s="98"/>
      <c r="AOQ121" s="98"/>
      <c r="AOR121" s="98"/>
      <c r="AOS121" s="98"/>
      <c r="AOT121" s="98"/>
      <c r="AOU121" s="98"/>
      <c r="AOV121" s="98"/>
      <c r="AOW121" s="98"/>
      <c r="AOX121" s="98"/>
      <c r="AOY121" s="98"/>
      <c r="AOZ121" s="98"/>
      <c r="APA121" s="98"/>
      <c r="APB121" s="98"/>
      <c r="APC121" s="98"/>
      <c r="APD121" s="98"/>
      <c r="APE121" s="98"/>
      <c r="APF121" s="98"/>
      <c r="APG121" s="98"/>
      <c r="APH121" s="98"/>
      <c r="API121" s="98"/>
      <c r="APJ121" s="98"/>
      <c r="APK121" s="98"/>
      <c r="APL121" s="98"/>
      <c r="APM121" s="98"/>
      <c r="APN121" s="98"/>
      <c r="APO121" s="98"/>
      <c r="APP121" s="98"/>
      <c r="APQ121" s="98"/>
      <c r="APR121" s="98"/>
      <c r="APS121" s="98"/>
      <c r="APT121" s="98"/>
      <c r="APU121" s="98"/>
      <c r="APV121" s="98"/>
      <c r="APW121" s="98"/>
      <c r="APX121" s="98"/>
      <c r="APY121" s="98"/>
      <c r="APZ121" s="98"/>
      <c r="AQA121" s="98"/>
      <c r="AQB121" s="98"/>
      <c r="AQC121" s="98"/>
      <c r="AQD121" s="98"/>
      <c r="AQE121" s="98"/>
      <c r="AQF121" s="98"/>
      <c r="AQG121" s="98"/>
      <c r="AQH121" s="98"/>
      <c r="AQI121" s="98"/>
      <c r="AQJ121" s="98"/>
      <c r="AQK121" s="98"/>
      <c r="AQL121" s="98"/>
      <c r="AQM121" s="98"/>
      <c r="AQN121" s="98"/>
      <c r="AQO121" s="98"/>
      <c r="AQP121" s="98"/>
      <c r="AQQ121" s="98"/>
      <c r="AQR121" s="98"/>
      <c r="AQS121" s="98"/>
      <c r="AQT121" s="98"/>
      <c r="AQU121" s="98"/>
      <c r="AQV121" s="98"/>
      <c r="AQW121" s="98"/>
      <c r="AQX121" s="98"/>
      <c r="AQY121" s="98"/>
      <c r="AQZ121" s="98"/>
      <c r="ARA121" s="98"/>
      <c r="ARB121" s="98"/>
      <c r="ARC121" s="98"/>
      <c r="ARD121" s="98"/>
      <c r="ARE121" s="98"/>
      <c r="ARF121" s="98"/>
      <c r="ARG121" s="98"/>
      <c r="ARH121" s="98"/>
      <c r="ARI121" s="98"/>
      <c r="ARJ121" s="98"/>
      <c r="ARK121" s="98"/>
      <c r="ARL121" s="98"/>
      <c r="ARM121" s="98"/>
      <c r="ARN121" s="98"/>
      <c r="ARO121" s="98"/>
      <c r="ARP121" s="98"/>
      <c r="ARQ121" s="98"/>
      <c r="ARR121" s="98"/>
      <c r="ARS121" s="98"/>
    </row>
    <row r="122" spans="1:1163" s="174" customFormat="1">
      <c r="A122" s="140" t="s">
        <v>271</v>
      </c>
      <c r="B122" s="119" t="s">
        <v>67</v>
      </c>
      <c r="C122" s="175">
        <v>0</v>
      </c>
      <c r="D122" s="175">
        <v>0</v>
      </c>
      <c r="E122" s="175">
        <v>48992</v>
      </c>
      <c r="F122" s="175">
        <v>0</v>
      </c>
      <c r="G122" s="175">
        <v>40307</v>
      </c>
      <c r="H122" s="175"/>
      <c r="I122" s="175">
        <v>35704</v>
      </c>
      <c r="J122" s="175"/>
      <c r="K122" s="175">
        <v>10044</v>
      </c>
      <c r="L122" s="175"/>
      <c r="M122" s="175">
        <v>72133</v>
      </c>
      <c r="N122" s="175"/>
      <c r="O122" s="175">
        <v>71618</v>
      </c>
      <c r="P122" s="175"/>
      <c r="Q122" s="175">
        <v>58874</v>
      </c>
      <c r="R122" s="175"/>
      <c r="S122" s="175">
        <v>134866</v>
      </c>
      <c r="T122" s="175">
        <v>49990491</v>
      </c>
      <c r="U122" s="197">
        <v>183499</v>
      </c>
      <c r="V122" s="197">
        <v>69153310</v>
      </c>
      <c r="W122" s="197">
        <v>261603</v>
      </c>
      <c r="X122" s="197">
        <v>115530022</v>
      </c>
      <c r="Y122" s="197">
        <v>249265</v>
      </c>
      <c r="Z122" s="197">
        <v>120772694</v>
      </c>
      <c r="AA122" s="209">
        <v>317958</v>
      </c>
      <c r="AB122" s="209">
        <v>162169871</v>
      </c>
      <c r="AC122" s="197">
        <v>334480</v>
      </c>
      <c r="AD122" s="197">
        <v>157877255</v>
      </c>
      <c r="AE122" s="201">
        <v>308601</v>
      </c>
      <c r="AF122" s="201">
        <v>143534559</v>
      </c>
      <c r="AG122" s="201">
        <v>357528</v>
      </c>
      <c r="AH122" s="201">
        <v>164534101</v>
      </c>
      <c r="AI122" s="201">
        <v>452736</v>
      </c>
      <c r="AJ122" s="201">
        <v>215433965</v>
      </c>
      <c r="AK122" s="201">
        <v>367525</v>
      </c>
      <c r="AL122" s="201">
        <v>181809730</v>
      </c>
      <c r="AM122" s="176">
        <v>471866</v>
      </c>
      <c r="AN122" s="176">
        <v>237850873</v>
      </c>
      <c r="AO122" s="201">
        <v>529484</v>
      </c>
      <c r="AP122" s="201">
        <v>289787359</v>
      </c>
      <c r="AQ122" s="201">
        <v>522933</v>
      </c>
      <c r="AR122" s="201">
        <v>288013089.63850319</v>
      </c>
      <c r="AS122" s="201">
        <v>617533.93939393933</v>
      </c>
      <c r="AT122" s="201">
        <v>377504480.30203307</v>
      </c>
      <c r="AU122" s="209">
        <v>646458.78787878784</v>
      </c>
      <c r="AV122" s="209">
        <v>418660054.64841866</v>
      </c>
      <c r="AW122" s="197">
        <v>586993.33333333337</v>
      </c>
      <c r="AX122" s="197">
        <v>353672268</v>
      </c>
      <c r="AY122" s="175">
        <v>556253.33333333337</v>
      </c>
      <c r="AZ122" s="175">
        <v>310349363</v>
      </c>
      <c r="BA122" s="178"/>
      <c r="BB122" s="175"/>
      <c r="BC122" s="178"/>
      <c r="BD122" s="175"/>
      <c r="BE122" s="178"/>
      <c r="BF122" s="175"/>
      <c r="BG122" s="178"/>
      <c r="BH122" s="175"/>
      <c r="BI122" s="178"/>
      <c r="BJ122" s="98"/>
      <c r="BK122" s="148"/>
      <c r="BL122" s="148"/>
      <c r="BM122" s="148"/>
      <c r="BN122" s="14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98"/>
      <c r="EN122" s="98"/>
      <c r="EO122" s="98"/>
      <c r="EP122" s="98"/>
      <c r="EQ122" s="98"/>
      <c r="ER122" s="98"/>
      <c r="ES122" s="98"/>
      <c r="ET122" s="98"/>
      <c r="EU122" s="98"/>
      <c r="EV122" s="98"/>
      <c r="EW122" s="98"/>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c r="IW122" s="98"/>
      <c r="IX122" s="98"/>
      <c r="IY122" s="98"/>
      <c r="IZ122" s="98"/>
      <c r="JA122" s="98"/>
      <c r="JB122" s="98"/>
      <c r="JC122" s="98"/>
      <c r="JD122" s="98"/>
      <c r="JE122" s="98"/>
      <c r="JF122" s="98"/>
      <c r="JG122" s="98"/>
      <c r="JH122" s="98"/>
      <c r="JI122" s="98"/>
      <c r="JJ122" s="98"/>
      <c r="JK122" s="98"/>
      <c r="JL122" s="98"/>
      <c r="JM122" s="98"/>
      <c r="JN122" s="98"/>
      <c r="JO122" s="98"/>
      <c r="JP122" s="98"/>
      <c r="JQ122" s="98"/>
      <c r="JR122" s="98"/>
      <c r="JS122" s="98"/>
      <c r="JT122" s="98"/>
      <c r="JU122" s="98"/>
      <c r="JV122" s="98"/>
      <c r="JW122" s="98"/>
      <c r="JX122" s="98"/>
      <c r="JY122" s="98"/>
      <c r="JZ122" s="98"/>
      <c r="KA122" s="98"/>
      <c r="KB122" s="98"/>
      <c r="KC122" s="98"/>
      <c r="KD122" s="98"/>
      <c r="KE122" s="98"/>
      <c r="KF122" s="98"/>
      <c r="KG122" s="98"/>
      <c r="KH122" s="98"/>
      <c r="KI122" s="98"/>
      <c r="KJ122" s="98"/>
      <c r="KK122" s="98"/>
      <c r="KL122" s="98"/>
      <c r="KM122" s="98"/>
      <c r="KN122" s="98"/>
      <c r="KO122" s="98"/>
      <c r="KP122" s="98"/>
      <c r="KQ122" s="98"/>
      <c r="KR122" s="98"/>
      <c r="KS122" s="98"/>
      <c r="KT122" s="98"/>
      <c r="KU122" s="98"/>
      <c r="KV122" s="98"/>
      <c r="KW122" s="98"/>
      <c r="KX122" s="98"/>
      <c r="KY122" s="98"/>
      <c r="KZ122" s="98"/>
      <c r="LA122" s="98"/>
      <c r="LB122" s="98"/>
      <c r="LC122" s="98"/>
      <c r="LD122" s="98"/>
      <c r="LE122" s="98"/>
      <c r="LF122" s="98"/>
      <c r="LG122" s="98"/>
      <c r="LH122" s="98"/>
      <c r="LI122" s="98"/>
      <c r="LJ122" s="98"/>
      <c r="LK122" s="98"/>
      <c r="LL122" s="98"/>
      <c r="LM122" s="98"/>
      <c r="LN122" s="98"/>
      <c r="LO122" s="98"/>
      <c r="LP122" s="98"/>
      <c r="LQ122" s="98"/>
      <c r="LR122" s="98"/>
      <c r="LS122" s="98"/>
      <c r="LT122" s="98"/>
      <c r="LU122" s="98"/>
      <c r="LV122" s="98"/>
      <c r="LW122" s="98"/>
      <c r="LX122" s="98"/>
      <c r="LY122" s="98"/>
      <c r="LZ122" s="98"/>
      <c r="MA122" s="98"/>
      <c r="MB122" s="98"/>
      <c r="MC122" s="98"/>
      <c r="MD122" s="98"/>
      <c r="ME122" s="98"/>
      <c r="MF122" s="98"/>
      <c r="MG122" s="98"/>
      <c r="MH122" s="98"/>
      <c r="MI122" s="98"/>
      <c r="MJ122" s="98"/>
      <c r="MK122" s="98"/>
      <c r="ML122" s="98"/>
      <c r="MM122" s="98"/>
      <c r="MN122" s="98"/>
      <c r="MO122" s="98"/>
      <c r="MP122" s="98"/>
      <c r="MQ122" s="98"/>
      <c r="MR122" s="98"/>
      <c r="MS122" s="98"/>
      <c r="MT122" s="98"/>
      <c r="MU122" s="98"/>
      <c r="MV122" s="98"/>
      <c r="MW122" s="98"/>
      <c r="MX122" s="98"/>
      <c r="MY122" s="98"/>
      <c r="MZ122" s="98"/>
      <c r="NA122" s="98"/>
      <c r="NB122" s="98"/>
      <c r="NC122" s="98"/>
      <c r="ND122" s="98"/>
      <c r="NE122" s="98"/>
      <c r="NF122" s="98"/>
      <c r="NG122" s="98"/>
      <c r="NH122" s="98"/>
      <c r="NI122" s="98"/>
      <c r="NJ122" s="98"/>
      <c r="NK122" s="98"/>
      <c r="NL122" s="98"/>
      <c r="NM122" s="98"/>
      <c r="NN122" s="98"/>
      <c r="NO122" s="98"/>
      <c r="NP122" s="98"/>
      <c r="NQ122" s="98"/>
      <c r="NR122" s="98"/>
      <c r="NS122" s="98"/>
      <c r="NT122" s="98"/>
      <c r="NU122" s="98"/>
      <c r="NV122" s="98"/>
      <c r="NW122" s="98"/>
      <c r="NX122" s="98"/>
      <c r="NY122" s="98"/>
      <c r="NZ122" s="98"/>
      <c r="OA122" s="98"/>
      <c r="OB122" s="98"/>
      <c r="OC122" s="98"/>
      <c r="OD122" s="98"/>
      <c r="OE122" s="98"/>
      <c r="OF122" s="98"/>
      <c r="OG122" s="98"/>
      <c r="OH122" s="98"/>
      <c r="OI122" s="98"/>
      <c r="OJ122" s="98"/>
      <c r="OK122" s="98"/>
      <c r="OL122" s="98"/>
      <c r="OM122" s="98"/>
      <c r="ON122" s="98"/>
      <c r="OO122" s="98"/>
      <c r="OP122" s="98"/>
      <c r="OQ122" s="98"/>
      <c r="OR122" s="98"/>
      <c r="OS122" s="98"/>
      <c r="OT122" s="98"/>
      <c r="OU122" s="98"/>
      <c r="OV122" s="98"/>
      <c r="OW122" s="98"/>
      <c r="OX122" s="98"/>
      <c r="OY122" s="98"/>
      <c r="OZ122" s="98"/>
      <c r="PA122" s="98"/>
      <c r="PB122" s="98"/>
      <c r="PC122" s="98"/>
      <c r="PD122" s="98"/>
      <c r="PE122" s="98"/>
      <c r="PF122" s="98"/>
      <c r="PG122" s="98"/>
      <c r="PH122" s="98"/>
      <c r="PI122" s="98"/>
      <c r="PJ122" s="98"/>
      <c r="PK122" s="98"/>
      <c r="PL122" s="98"/>
      <c r="PM122" s="98"/>
      <c r="PN122" s="98"/>
      <c r="PO122" s="98"/>
      <c r="PP122" s="98"/>
      <c r="PQ122" s="98"/>
      <c r="PR122" s="98"/>
      <c r="PS122" s="98"/>
      <c r="PT122" s="98"/>
      <c r="PU122" s="98"/>
      <c r="PV122" s="98"/>
      <c r="PW122" s="98"/>
      <c r="PX122" s="98"/>
      <c r="PY122" s="98"/>
      <c r="PZ122" s="98"/>
      <c r="QA122" s="98"/>
      <c r="QB122" s="98"/>
      <c r="QC122" s="98"/>
      <c r="QD122" s="98"/>
      <c r="QE122" s="98"/>
      <c r="QF122" s="98"/>
      <c r="QG122" s="98"/>
      <c r="QH122" s="98"/>
      <c r="QI122" s="98"/>
      <c r="QJ122" s="98"/>
      <c r="QK122" s="98"/>
      <c r="QL122" s="98"/>
      <c r="QM122" s="98"/>
      <c r="QN122" s="98"/>
      <c r="QO122" s="98"/>
      <c r="QP122" s="98"/>
      <c r="QQ122" s="98"/>
      <c r="QR122" s="98"/>
      <c r="QS122" s="98"/>
      <c r="QT122" s="98"/>
      <c r="QU122" s="98"/>
      <c r="QV122" s="98"/>
      <c r="QW122" s="98"/>
      <c r="QX122" s="98"/>
      <c r="QY122" s="98"/>
      <c r="QZ122" s="98"/>
      <c r="RA122" s="98"/>
      <c r="RB122" s="98"/>
      <c r="RC122" s="98"/>
      <c r="RD122" s="98"/>
      <c r="RE122" s="98"/>
      <c r="RF122" s="98"/>
      <c r="RG122" s="98"/>
      <c r="RH122" s="98"/>
      <c r="RI122" s="98"/>
      <c r="RJ122" s="98"/>
      <c r="RK122" s="98"/>
      <c r="RL122" s="98"/>
      <c r="RM122" s="98"/>
      <c r="RN122" s="98"/>
      <c r="RO122" s="98"/>
      <c r="RP122" s="98"/>
      <c r="RQ122" s="98"/>
      <c r="RR122" s="98"/>
      <c r="RS122" s="98"/>
      <c r="RT122" s="98"/>
      <c r="RU122" s="98"/>
      <c r="RV122" s="98"/>
      <c r="RW122" s="98"/>
      <c r="RX122" s="98"/>
      <c r="RY122" s="98"/>
      <c r="RZ122" s="98"/>
      <c r="SA122" s="98"/>
      <c r="SB122" s="98"/>
      <c r="SC122" s="98"/>
      <c r="SD122" s="98"/>
      <c r="SE122" s="98"/>
      <c r="SF122" s="98"/>
      <c r="SG122" s="98"/>
      <c r="SH122" s="98"/>
      <c r="SI122" s="98"/>
      <c r="SJ122" s="98"/>
      <c r="SK122" s="98"/>
      <c r="SL122" s="98"/>
      <c r="SM122" s="98"/>
      <c r="SN122" s="98"/>
      <c r="SO122" s="98"/>
      <c r="SP122" s="98"/>
      <c r="SQ122" s="98"/>
      <c r="SR122" s="98"/>
      <c r="SS122" s="98"/>
      <c r="ST122" s="98"/>
      <c r="SU122" s="98"/>
      <c r="SV122" s="98"/>
      <c r="SW122" s="98"/>
      <c r="SX122" s="98"/>
      <c r="SY122" s="98"/>
      <c r="SZ122" s="98"/>
      <c r="TA122" s="98"/>
      <c r="TB122" s="98"/>
      <c r="TC122" s="98"/>
      <c r="TD122" s="98"/>
      <c r="TE122" s="98"/>
      <c r="TF122" s="98"/>
      <c r="TG122" s="98"/>
      <c r="TH122" s="98"/>
      <c r="TI122" s="98"/>
      <c r="TJ122" s="98"/>
      <c r="TK122" s="98"/>
      <c r="TL122" s="98"/>
      <c r="TM122" s="98"/>
      <c r="TN122" s="98"/>
      <c r="TO122" s="98"/>
      <c r="TP122" s="98"/>
      <c r="TQ122" s="98"/>
      <c r="TR122" s="98"/>
      <c r="TS122" s="98"/>
      <c r="TT122" s="98"/>
      <c r="TU122" s="98"/>
      <c r="TV122" s="98"/>
      <c r="TW122" s="98"/>
      <c r="TX122" s="98"/>
      <c r="TY122" s="98"/>
      <c r="TZ122" s="98"/>
      <c r="UA122" s="98"/>
      <c r="UB122" s="98"/>
      <c r="UC122" s="98"/>
      <c r="UD122" s="98"/>
      <c r="UE122" s="98"/>
      <c r="UF122" s="98"/>
      <c r="UG122" s="98"/>
      <c r="UH122" s="98"/>
      <c r="UI122" s="98"/>
      <c r="UJ122" s="98"/>
      <c r="UK122" s="98"/>
      <c r="UL122" s="98"/>
      <c r="UM122" s="98"/>
      <c r="UN122" s="98"/>
      <c r="UO122" s="98"/>
      <c r="UP122" s="98"/>
      <c r="UQ122" s="98"/>
      <c r="UR122" s="98"/>
      <c r="US122" s="98"/>
      <c r="UT122" s="98"/>
      <c r="UU122" s="98"/>
      <c r="UV122" s="98"/>
      <c r="UW122" s="98"/>
      <c r="UX122" s="98"/>
      <c r="UY122" s="98"/>
      <c r="UZ122" s="98"/>
      <c r="VA122" s="98"/>
      <c r="VB122" s="98"/>
      <c r="VC122" s="98"/>
      <c r="VD122" s="98"/>
      <c r="VE122" s="98"/>
      <c r="VF122" s="98"/>
      <c r="VG122" s="98"/>
      <c r="VH122" s="98"/>
      <c r="VI122" s="98"/>
      <c r="VJ122" s="98"/>
      <c r="VK122" s="98"/>
      <c r="VL122" s="98"/>
      <c r="VM122" s="98"/>
      <c r="VN122" s="98"/>
      <c r="VO122" s="98"/>
      <c r="VP122" s="98"/>
      <c r="VQ122" s="98"/>
      <c r="VR122" s="98"/>
      <c r="VS122" s="98"/>
      <c r="VT122" s="98"/>
      <c r="VU122" s="98"/>
      <c r="VV122" s="98"/>
      <c r="VW122" s="98"/>
      <c r="VX122" s="98"/>
      <c r="VY122" s="98"/>
      <c r="VZ122" s="98"/>
      <c r="WA122" s="98"/>
      <c r="WB122" s="98"/>
      <c r="WC122" s="98"/>
      <c r="WD122" s="98"/>
      <c r="WE122" s="98"/>
      <c r="WF122" s="98"/>
      <c r="WG122" s="98"/>
      <c r="WH122" s="98"/>
      <c r="WI122" s="98"/>
      <c r="WJ122" s="98"/>
      <c r="WK122" s="98"/>
      <c r="WL122" s="98"/>
      <c r="WM122" s="98"/>
      <c r="WN122" s="98"/>
      <c r="WO122" s="98"/>
      <c r="WP122" s="98"/>
      <c r="WQ122" s="98"/>
      <c r="WR122" s="98"/>
      <c r="WS122" s="98"/>
      <c r="WT122" s="98"/>
      <c r="WU122" s="98"/>
      <c r="WV122" s="98"/>
      <c r="WW122" s="98"/>
      <c r="WX122" s="98"/>
      <c r="WY122" s="98"/>
      <c r="WZ122" s="98"/>
      <c r="XA122" s="98"/>
      <c r="XB122" s="98"/>
      <c r="XC122" s="98"/>
      <c r="XD122" s="98"/>
      <c r="XE122" s="98"/>
      <c r="XF122" s="98"/>
      <c r="XG122" s="98"/>
      <c r="XH122" s="98"/>
      <c r="XI122" s="98"/>
      <c r="XJ122" s="98"/>
      <c r="XK122" s="98"/>
      <c r="XL122" s="98"/>
      <c r="XM122" s="98"/>
      <c r="XN122" s="98"/>
      <c r="XO122" s="98"/>
      <c r="XP122" s="98"/>
      <c r="XQ122" s="98"/>
      <c r="XR122" s="98"/>
      <c r="XS122" s="98"/>
      <c r="XT122" s="98"/>
      <c r="XU122" s="98"/>
      <c r="XV122" s="98"/>
      <c r="XW122" s="98"/>
      <c r="XX122" s="98"/>
      <c r="XY122" s="98"/>
      <c r="XZ122" s="98"/>
      <c r="YA122" s="98"/>
      <c r="YB122" s="98"/>
      <c r="YC122" s="98"/>
      <c r="YD122" s="98"/>
      <c r="YE122" s="98"/>
      <c r="YF122" s="98"/>
      <c r="YG122" s="98"/>
      <c r="YH122" s="98"/>
      <c r="YI122" s="98"/>
      <c r="YJ122" s="98"/>
      <c r="YK122" s="98"/>
      <c r="YL122" s="98"/>
      <c r="YM122" s="98"/>
      <c r="YN122" s="98"/>
      <c r="YO122" s="98"/>
      <c r="YP122" s="98"/>
      <c r="YQ122" s="98"/>
      <c r="YR122" s="98"/>
      <c r="YS122" s="98"/>
      <c r="YT122" s="98"/>
      <c r="YU122" s="98"/>
      <c r="YV122" s="98"/>
      <c r="YW122" s="98"/>
      <c r="YX122" s="98"/>
      <c r="YY122" s="98"/>
      <c r="YZ122" s="98"/>
      <c r="ZA122" s="98"/>
      <c r="ZB122" s="98"/>
      <c r="ZC122" s="98"/>
      <c r="ZD122" s="98"/>
      <c r="ZE122" s="98"/>
      <c r="ZF122" s="98"/>
      <c r="ZG122" s="98"/>
      <c r="ZH122" s="98"/>
      <c r="ZI122" s="98"/>
      <c r="ZJ122" s="98"/>
      <c r="ZK122" s="98"/>
      <c r="ZL122" s="98"/>
      <c r="ZM122" s="98"/>
      <c r="ZN122" s="98"/>
      <c r="ZO122" s="98"/>
      <c r="ZP122" s="98"/>
      <c r="ZQ122" s="98"/>
      <c r="ZR122" s="98"/>
      <c r="ZS122" s="98"/>
      <c r="ZT122" s="98"/>
      <c r="ZU122" s="98"/>
      <c r="ZV122" s="98"/>
      <c r="ZW122" s="98"/>
      <c r="ZX122" s="98"/>
      <c r="ZY122" s="98"/>
      <c r="ZZ122" s="98"/>
      <c r="AAA122" s="98"/>
      <c r="AAB122" s="98"/>
      <c r="AAC122" s="98"/>
      <c r="AAD122" s="98"/>
      <c r="AAE122" s="98"/>
      <c r="AAF122" s="98"/>
      <c r="AAG122" s="98"/>
      <c r="AAH122" s="98"/>
      <c r="AAI122" s="98"/>
      <c r="AAJ122" s="98"/>
      <c r="AAK122" s="98"/>
      <c r="AAL122" s="98"/>
      <c r="AAM122" s="98"/>
      <c r="AAN122" s="98"/>
      <c r="AAO122" s="98"/>
      <c r="AAP122" s="98"/>
      <c r="AAQ122" s="98"/>
      <c r="AAR122" s="98"/>
      <c r="AAS122" s="98"/>
      <c r="AAT122" s="98"/>
      <c r="AAU122" s="98"/>
      <c r="AAV122" s="98"/>
      <c r="AAW122" s="98"/>
      <c r="AAX122" s="98"/>
      <c r="AAY122" s="98"/>
      <c r="AAZ122" s="98"/>
      <c r="ABA122" s="98"/>
      <c r="ABB122" s="98"/>
      <c r="ABC122" s="98"/>
      <c r="ABD122" s="98"/>
      <c r="ABE122" s="98"/>
      <c r="ABF122" s="98"/>
      <c r="ABG122" s="98"/>
      <c r="ABH122" s="98"/>
      <c r="ABI122" s="98"/>
      <c r="ABJ122" s="98"/>
      <c r="ABK122" s="98"/>
      <c r="ABL122" s="98"/>
      <c r="ABM122" s="98"/>
      <c r="ABN122" s="98"/>
      <c r="ABO122" s="98"/>
      <c r="ABP122" s="98"/>
      <c r="ABQ122" s="98"/>
      <c r="ABR122" s="98"/>
      <c r="ABS122" s="98"/>
      <c r="ABT122" s="98"/>
      <c r="ABU122" s="98"/>
      <c r="ABV122" s="98"/>
      <c r="ABW122" s="98"/>
      <c r="ABX122" s="98"/>
      <c r="ABY122" s="98"/>
      <c r="ABZ122" s="98"/>
      <c r="ACA122" s="98"/>
      <c r="ACB122" s="98"/>
      <c r="ACC122" s="98"/>
      <c r="ACD122" s="98"/>
      <c r="ACE122" s="98"/>
      <c r="ACF122" s="98"/>
      <c r="ACG122" s="98"/>
      <c r="ACH122" s="98"/>
      <c r="ACI122" s="98"/>
      <c r="ACJ122" s="98"/>
      <c r="ACK122" s="98"/>
      <c r="ACL122" s="98"/>
      <c r="ACM122" s="98"/>
      <c r="ACN122" s="98"/>
      <c r="ACO122" s="98"/>
      <c r="ACP122" s="98"/>
      <c r="ACQ122" s="98"/>
      <c r="ACR122" s="98"/>
      <c r="ACS122" s="98"/>
      <c r="ACT122" s="98"/>
      <c r="ACU122" s="98"/>
      <c r="ACV122" s="98"/>
      <c r="ACW122" s="98"/>
      <c r="ACX122" s="98"/>
      <c r="ACY122" s="98"/>
      <c r="ACZ122" s="98"/>
      <c r="ADA122" s="98"/>
      <c r="ADB122" s="98"/>
      <c r="ADC122" s="98"/>
      <c r="ADD122" s="98"/>
      <c r="ADE122" s="98"/>
      <c r="ADF122" s="98"/>
      <c r="ADG122" s="98"/>
      <c r="ADH122" s="98"/>
      <c r="ADI122" s="98"/>
      <c r="ADJ122" s="98"/>
      <c r="ADK122" s="98"/>
      <c r="ADL122" s="98"/>
      <c r="ADM122" s="98"/>
      <c r="ADN122" s="98"/>
      <c r="ADO122" s="98"/>
      <c r="ADP122" s="98"/>
      <c r="ADQ122" s="98"/>
      <c r="ADR122" s="98"/>
      <c r="ADS122" s="98"/>
      <c r="ADT122" s="98"/>
      <c r="ADU122" s="98"/>
      <c r="ADV122" s="98"/>
      <c r="ADW122" s="98"/>
      <c r="ADX122" s="98"/>
      <c r="ADY122" s="98"/>
      <c r="ADZ122" s="98"/>
      <c r="AEA122" s="98"/>
      <c r="AEB122" s="98"/>
      <c r="AEC122" s="98"/>
      <c r="AED122" s="98"/>
      <c r="AEE122" s="98"/>
      <c r="AEF122" s="98"/>
      <c r="AEG122" s="98"/>
      <c r="AEH122" s="98"/>
      <c r="AEI122" s="98"/>
      <c r="AEJ122" s="98"/>
      <c r="AEK122" s="98"/>
      <c r="AEL122" s="98"/>
      <c r="AEM122" s="98"/>
      <c r="AEN122" s="98"/>
      <c r="AEO122" s="98"/>
      <c r="AEP122" s="98"/>
      <c r="AEQ122" s="98"/>
      <c r="AER122" s="98"/>
      <c r="AES122" s="98"/>
      <c r="AET122" s="98"/>
      <c r="AEU122" s="98"/>
      <c r="AEV122" s="98"/>
      <c r="AEW122" s="98"/>
      <c r="AEX122" s="98"/>
      <c r="AEY122" s="98"/>
      <c r="AEZ122" s="98"/>
      <c r="AFA122" s="98"/>
      <c r="AFB122" s="98"/>
      <c r="AFC122" s="98"/>
      <c r="AFD122" s="98"/>
      <c r="AFE122" s="98"/>
      <c r="AFF122" s="98"/>
      <c r="AFG122" s="98"/>
      <c r="AFH122" s="98"/>
      <c r="AFI122" s="98"/>
      <c r="AFJ122" s="98"/>
      <c r="AFK122" s="98"/>
      <c r="AFL122" s="98"/>
      <c r="AFM122" s="98"/>
      <c r="AFN122" s="98"/>
      <c r="AFO122" s="98"/>
      <c r="AFP122" s="98"/>
      <c r="AFQ122" s="98"/>
      <c r="AFR122" s="98"/>
      <c r="AFS122" s="98"/>
      <c r="AFT122" s="98"/>
      <c r="AFU122" s="98"/>
      <c r="AFV122" s="98"/>
      <c r="AFW122" s="98"/>
      <c r="AFX122" s="98"/>
      <c r="AFY122" s="98"/>
      <c r="AFZ122" s="98"/>
      <c r="AGA122" s="98"/>
      <c r="AGB122" s="98"/>
      <c r="AGC122" s="98"/>
      <c r="AGD122" s="98"/>
      <c r="AGE122" s="98"/>
      <c r="AGF122" s="98"/>
      <c r="AGG122" s="98"/>
      <c r="AGH122" s="98"/>
      <c r="AGI122" s="98"/>
      <c r="AGJ122" s="98"/>
      <c r="AGK122" s="98"/>
      <c r="AGL122" s="98"/>
      <c r="AGM122" s="98"/>
      <c r="AGN122" s="98"/>
      <c r="AGO122" s="98"/>
      <c r="AGP122" s="98"/>
      <c r="AGQ122" s="98"/>
      <c r="AGR122" s="98"/>
      <c r="AGS122" s="98"/>
      <c r="AGT122" s="98"/>
      <c r="AGU122" s="98"/>
      <c r="AGV122" s="98"/>
      <c r="AGW122" s="98"/>
      <c r="AGX122" s="98"/>
      <c r="AGY122" s="98"/>
      <c r="AGZ122" s="98"/>
      <c r="AHA122" s="98"/>
      <c r="AHB122" s="98"/>
      <c r="AHC122" s="98"/>
      <c r="AHD122" s="98"/>
      <c r="AHE122" s="98"/>
      <c r="AHF122" s="98"/>
      <c r="AHG122" s="98"/>
      <c r="AHH122" s="98"/>
      <c r="AHI122" s="98"/>
      <c r="AHJ122" s="98"/>
      <c r="AHK122" s="98"/>
      <c r="AHL122" s="98"/>
      <c r="AHM122" s="98"/>
      <c r="AHN122" s="98"/>
      <c r="AHO122" s="98"/>
      <c r="AHP122" s="98"/>
      <c r="AHQ122" s="98"/>
      <c r="AHR122" s="98"/>
      <c r="AHS122" s="98"/>
      <c r="AHT122" s="98"/>
      <c r="AHU122" s="98"/>
      <c r="AHV122" s="98"/>
      <c r="AHW122" s="98"/>
      <c r="AHX122" s="98"/>
      <c r="AHY122" s="98"/>
      <c r="AHZ122" s="98"/>
      <c r="AIA122" s="98"/>
      <c r="AIB122" s="98"/>
      <c r="AIC122" s="98"/>
      <c r="AID122" s="98"/>
      <c r="AIE122" s="98"/>
      <c r="AIF122" s="98"/>
      <c r="AIG122" s="98"/>
      <c r="AIH122" s="98"/>
      <c r="AII122" s="98"/>
      <c r="AIJ122" s="98"/>
      <c r="AIK122" s="98"/>
      <c r="AIL122" s="98"/>
      <c r="AIM122" s="98"/>
      <c r="AIN122" s="98"/>
      <c r="AIO122" s="98"/>
      <c r="AIP122" s="98"/>
      <c r="AIQ122" s="98"/>
      <c r="AIR122" s="98"/>
      <c r="AIS122" s="98"/>
      <c r="AIT122" s="98"/>
      <c r="AIU122" s="98"/>
      <c r="AIV122" s="98"/>
      <c r="AIW122" s="98"/>
      <c r="AIX122" s="98"/>
      <c r="AIY122" s="98"/>
      <c r="AIZ122" s="98"/>
      <c r="AJA122" s="98"/>
      <c r="AJB122" s="98"/>
      <c r="AJC122" s="98"/>
      <c r="AJD122" s="98"/>
      <c r="AJE122" s="98"/>
      <c r="AJF122" s="98"/>
      <c r="AJG122" s="98"/>
      <c r="AJH122" s="98"/>
      <c r="AJI122" s="98"/>
      <c r="AJJ122" s="98"/>
      <c r="AJK122" s="98"/>
      <c r="AJL122" s="98"/>
      <c r="AJM122" s="98"/>
      <c r="AJN122" s="98"/>
      <c r="AJO122" s="98"/>
      <c r="AJP122" s="98"/>
      <c r="AJQ122" s="98"/>
      <c r="AJR122" s="98"/>
      <c r="AJS122" s="98"/>
      <c r="AJT122" s="98"/>
      <c r="AJU122" s="98"/>
      <c r="AJV122" s="98"/>
      <c r="AJW122" s="98"/>
      <c r="AJX122" s="98"/>
      <c r="AJY122" s="98"/>
      <c r="AJZ122" s="98"/>
      <c r="AKA122" s="98"/>
      <c r="AKB122" s="98"/>
      <c r="AKC122" s="98"/>
      <c r="AKD122" s="98"/>
      <c r="AKE122" s="98"/>
      <c r="AKF122" s="98"/>
      <c r="AKG122" s="98"/>
      <c r="AKH122" s="98"/>
      <c r="AKI122" s="98"/>
      <c r="AKJ122" s="98"/>
      <c r="AKK122" s="98"/>
      <c r="AKL122" s="98"/>
      <c r="AKM122" s="98"/>
      <c r="AKN122" s="98"/>
      <c r="AKO122" s="98"/>
      <c r="AKP122" s="98"/>
      <c r="AKQ122" s="98"/>
      <c r="AKR122" s="98"/>
      <c r="AKS122" s="98"/>
      <c r="AKT122" s="98"/>
      <c r="AKU122" s="98"/>
      <c r="AKV122" s="98"/>
      <c r="AKW122" s="98"/>
      <c r="AKX122" s="98"/>
      <c r="AKY122" s="98"/>
      <c r="AKZ122" s="98"/>
      <c r="ALA122" s="98"/>
      <c r="ALB122" s="98"/>
      <c r="ALC122" s="98"/>
      <c r="ALD122" s="98"/>
      <c r="ALE122" s="98"/>
      <c r="ALF122" s="98"/>
      <c r="ALG122" s="98"/>
      <c r="ALH122" s="98"/>
      <c r="ALI122" s="98"/>
      <c r="ALJ122" s="98"/>
      <c r="ALK122" s="98"/>
      <c r="ALL122" s="98"/>
      <c r="ALM122" s="98"/>
      <c r="ALN122" s="98"/>
      <c r="ALO122" s="98"/>
      <c r="ALP122" s="98"/>
      <c r="ALQ122" s="98"/>
      <c r="ALR122" s="98"/>
      <c r="ALS122" s="98"/>
      <c r="ALT122" s="98"/>
      <c r="ALU122" s="98"/>
      <c r="ALV122" s="98"/>
      <c r="ALW122" s="98"/>
      <c r="ALX122" s="98"/>
      <c r="ALY122" s="98"/>
      <c r="ALZ122" s="98"/>
      <c r="AMA122" s="98"/>
      <c r="AMB122" s="98"/>
      <c r="AMC122" s="98"/>
      <c r="AMD122" s="98"/>
      <c r="AME122" s="98"/>
      <c r="AMF122" s="98"/>
      <c r="AMG122" s="98"/>
      <c r="AMH122" s="98"/>
      <c r="AMI122" s="98"/>
      <c r="AMJ122" s="98"/>
      <c r="AMK122" s="98"/>
      <c r="AML122" s="98"/>
      <c r="AMM122" s="98"/>
      <c r="AMN122" s="98"/>
      <c r="AMO122" s="98"/>
      <c r="AMP122" s="98"/>
      <c r="AMQ122" s="98"/>
      <c r="AMR122" s="98"/>
      <c r="AMS122" s="98"/>
      <c r="AMT122" s="98"/>
      <c r="AMU122" s="98"/>
      <c r="AMV122" s="98"/>
      <c r="AMW122" s="98"/>
      <c r="AMX122" s="98"/>
      <c r="AMY122" s="98"/>
      <c r="AMZ122" s="98"/>
      <c r="ANA122" s="98"/>
      <c r="ANB122" s="98"/>
      <c r="ANC122" s="98"/>
      <c r="AND122" s="98"/>
      <c r="ANE122" s="98"/>
      <c r="ANF122" s="98"/>
      <c r="ANG122" s="98"/>
      <c r="ANH122" s="98"/>
      <c r="ANI122" s="98"/>
      <c r="ANJ122" s="98"/>
      <c r="ANK122" s="98"/>
      <c r="ANL122" s="98"/>
      <c r="ANM122" s="98"/>
      <c r="ANN122" s="98"/>
      <c r="ANO122" s="98"/>
      <c r="ANP122" s="98"/>
      <c r="ANQ122" s="98"/>
      <c r="ANR122" s="98"/>
      <c r="ANS122" s="98"/>
      <c r="ANT122" s="98"/>
      <c r="ANU122" s="98"/>
      <c r="ANV122" s="98"/>
      <c r="ANW122" s="98"/>
      <c r="ANX122" s="98"/>
      <c r="ANY122" s="98"/>
      <c r="ANZ122" s="98"/>
      <c r="AOA122" s="98"/>
      <c r="AOB122" s="98"/>
      <c r="AOC122" s="98"/>
      <c r="AOD122" s="98"/>
      <c r="AOE122" s="98"/>
      <c r="AOF122" s="98"/>
      <c r="AOG122" s="98"/>
      <c r="AOH122" s="98"/>
      <c r="AOI122" s="98"/>
      <c r="AOJ122" s="98"/>
      <c r="AOK122" s="98"/>
      <c r="AOL122" s="98"/>
      <c r="AOM122" s="98"/>
      <c r="AON122" s="98"/>
      <c r="AOO122" s="98"/>
      <c r="AOP122" s="98"/>
      <c r="AOQ122" s="98"/>
      <c r="AOR122" s="98"/>
      <c r="AOS122" s="98"/>
      <c r="AOT122" s="98"/>
      <c r="AOU122" s="98"/>
      <c r="AOV122" s="98"/>
      <c r="AOW122" s="98"/>
      <c r="AOX122" s="98"/>
      <c r="AOY122" s="98"/>
      <c r="AOZ122" s="98"/>
      <c r="APA122" s="98"/>
      <c r="APB122" s="98"/>
      <c r="APC122" s="98"/>
      <c r="APD122" s="98"/>
      <c r="APE122" s="98"/>
      <c r="APF122" s="98"/>
      <c r="APG122" s="98"/>
      <c r="APH122" s="98"/>
      <c r="API122" s="98"/>
      <c r="APJ122" s="98"/>
      <c r="APK122" s="98"/>
      <c r="APL122" s="98"/>
      <c r="APM122" s="98"/>
      <c r="APN122" s="98"/>
      <c r="APO122" s="98"/>
      <c r="APP122" s="98"/>
      <c r="APQ122" s="98"/>
      <c r="APR122" s="98"/>
      <c r="APS122" s="98"/>
      <c r="APT122" s="98"/>
      <c r="APU122" s="98"/>
      <c r="APV122" s="98"/>
      <c r="APW122" s="98"/>
      <c r="APX122" s="98"/>
      <c r="APY122" s="98"/>
      <c r="APZ122" s="98"/>
      <c r="AQA122" s="98"/>
      <c r="AQB122" s="98"/>
      <c r="AQC122" s="98"/>
      <c r="AQD122" s="98"/>
      <c r="AQE122" s="98"/>
      <c r="AQF122" s="98"/>
      <c r="AQG122" s="98"/>
      <c r="AQH122" s="98"/>
      <c r="AQI122" s="98"/>
      <c r="AQJ122" s="98"/>
      <c r="AQK122" s="98"/>
      <c r="AQL122" s="98"/>
      <c r="AQM122" s="98"/>
      <c r="AQN122" s="98"/>
      <c r="AQO122" s="98"/>
      <c r="AQP122" s="98"/>
      <c r="AQQ122" s="98"/>
      <c r="AQR122" s="98"/>
      <c r="AQS122" s="98"/>
      <c r="AQT122" s="98"/>
      <c r="AQU122" s="98"/>
      <c r="AQV122" s="98"/>
      <c r="AQW122" s="98"/>
      <c r="AQX122" s="98"/>
      <c r="AQY122" s="98"/>
      <c r="AQZ122" s="98"/>
      <c r="ARA122" s="98"/>
      <c r="ARB122" s="98"/>
      <c r="ARC122" s="98"/>
      <c r="ARD122" s="98"/>
      <c r="ARE122" s="98"/>
      <c r="ARF122" s="98"/>
      <c r="ARG122" s="98"/>
      <c r="ARH122" s="98"/>
      <c r="ARI122" s="98"/>
      <c r="ARJ122" s="98"/>
      <c r="ARK122" s="98"/>
      <c r="ARL122" s="98"/>
      <c r="ARM122" s="98"/>
      <c r="ARN122" s="98"/>
      <c r="ARO122" s="98"/>
      <c r="ARP122" s="98"/>
      <c r="ARQ122" s="98"/>
      <c r="ARR122" s="98"/>
      <c r="ARS122" s="98"/>
    </row>
    <row r="123" spans="1:1163" s="174" customFormat="1">
      <c r="A123" s="140" t="s">
        <v>167</v>
      </c>
      <c r="B123" s="119" t="s">
        <v>67</v>
      </c>
      <c r="C123" s="175">
        <v>4283</v>
      </c>
      <c r="D123" s="175">
        <v>43562</v>
      </c>
      <c r="E123" s="175">
        <v>0</v>
      </c>
      <c r="F123" s="175">
        <v>0</v>
      </c>
      <c r="G123" s="175">
        <v>0</v>
      </c>
      <c r="H123" s="175">
        <v>0</v>
      </c>
      <c r="I123" s="175">
        <v>0</v>
      </c>
      <c r="J123" s="175">
        <v>0</v>
      </c>
      <c r="K123" s="175">
        <v>0</v>
      </c>
      <c r="L123" s="175">
        <v>0</v>
      </c>
      <c r="M123" s="175">
        <v>0</v>
      </c>
      <c r="N123" s="175">
        <v>0</v>
      </c>
      <c r="O123" s="175">
        <v>222</v>
      </c>
      <c r="P123" s="175">
        <v>25709</v>
      </c>
      <c r="Q123" s="175">
        <v>768</v>
      </c>
      <c r="R123" s="175">
        <v>113637</v>
      </c>
      <c r="S123" s="175">
        <v>1079</v>
      </c>
      <c r="T123" s="175">
        <v>162108</v>
      </c>
      <c r="U123" s="201">
        <v>0</v>
      </c>
      <c r="V123" s="201">
        <v>0</v>
      </c>
      <c r="W123" s="201">
        <v>0</v>
      </c>
      <c r="X123" s="201">
        <v>0</v>
      </c>
      <c r="Y123" s="201">
        <v>0</v>
      </c>
      <c r="Z123" s="201">
        <v>0</v>
      </c>
      <c r="AA123" s="201">
        <v>0</v>
      </c>
      <c r="AB123" s="201">
        <v>0</v>
      </c>
      <c r="AC123" s="201">
        <v>0</v>
      </c>
      <c r="AD123" s="201">
        <v>0</v>
      </c>
      <c r="AE123" s="201">
        <v>0</v>
      </c>
      <c r="AF123" s="201">
        <v>0</v>
      </c>
      <c r="AG123" s="201">
        <v>0</v>
      </c>
      <c r="AH123" s="201">
        <v>0</v>
      </c>
      <c r="AI123" s="201">
        <v>0</v>
      </c>
      <c r="AJ123" s="201">
        <v>0</v>
      </c>
      <c r="AK123" s="197">
        <v>0</v>
      </c>
      <c r="AL123" s="197">
        <v>0</v>
      </c>
      <c r="AM123" s="197">
        <v>0</v>
      </c>
      <c r="AN123" s="197">
        <v>0</v>
      </c>
      <c r="AO123" s="201">
        <v>0</v>
      </c>
      <c r="AP123" s="201">
        <v>0</v>
      </c>
      <c r="AQ123" s="201">
        <v>0</v>
      </c>
      <c r="AR123" s="201">
        <v>0</v>
      </c>
      <c r="AS123" s="201">
        <v>0</v>
      </c>
      <c r="AT123" s="201">
        <v>0</v>
      </c>
      <c r="AU123" s="201">
        <v>0</v>
      </c>
      <c r="AV123" s="201">
        <v>0</v>
      </c>
      <c r="AW123" s="197">
        <v>0</v>
      </c>
      <c r="AX123" s="197">
        <v>0</v>
      </c>
      <c r="AY123" s="175">
        <v>0</v>
      </c>
      <c r="AZ123" s="175">
        <v>0</v>
      </c>
      <c r="BA123" s="144"/>
      <c r="BB123" s="175"/>
      <c r="BC123" s="175"/>
      <c r="BD123" s="175"/>
      <c r="BE123" s="175"/>
      <c r="BF123" s="175"/>
      <c r="BG123" s="175"/>
      <c r="BH123" s="175"/>
      <c r="BI123" s="144"/>
      <c r="BJ123" s="98"/>
      <c r="BK123" s="148"/>
      <c r="BL123" s="148"/>
      <c r="BM123" s="148"/>
      <c r="BN123" s="14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98"/>
      <c r="EN123" s="98"/>
      <c r="EO123" s="98"/>
      <c r="EP123" s="98"/>
      <c r="EQ123" s="98"/>
      <c r="ER123" s="98"/>
      <c r="ES123" s="98"/>
      <c r="ET123" s="98"/>
      <c r="EU123" s="98"/>
      <c r="EV123" s="98"/>
      <c r="EW123" s="98"/>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c r="IW123" s="98"/>
      <c r="IX123" s="98"/>
      <c r="IY123" s="98"/>
      <c r="IZ123" s="98"/>
      <c r="JA123" s="98"/>
      <c r="JB123" s="98"/>
      <c r="JC123" s="98"/>
      <c r="JD123" s="98"/>
      <c r="JE123" s="98"/>
      <c r="JF123" s="98"/>
      <c r="JG123" s="98"/>
      <c r="JH123" s="98"/>
      <c r="JI123" s="98"/>
      <c r="JJ123" s="98"/>
      <c r="JK123" s="98"/>
      <c r="JL123" s="98"/>
      <c r="JM123" s="98"/>
      <c r="JN123" s="98"/>
      <c r="JO123" s="98"/>
      <c r="JP123" s="98"/>
      <c r="JQ123" s="98"/>
      <c r="JR123" s="98"/>
      <c r="JS123" s="98"/>
      <c r="JT123" s="98"/>
      <c r="JU123" s="98"/>
      <c r="JV123" s="98"/>
      <c r="JW123" s="98"/>
      <c r="JX123" s="98"/>
      <c r="JY123" s="98"/>
      <c r="JZ123" s="98"/>
      <c r="KA123" s="98"/>
      <c r="KB123" s="98"/>
      <c r="KC123" s="98"/>
      <c r="KD123" s="98"/>
      <c r="KE123" s="98"/>
      <c r="KF123" s="98"/>
      <c r="KG123" s="98"/>
      <c r="KH123" s="98"/>
      <c r="KI123" s="98"/>
      <c r="KJ123" s="98"/>
      <c r="KK123" s="98"/>
      <c r="KL123" s="98"/>
      <c r="KM123" s="98"/>
      <c r="KN123" s="98"/>
      <c r="KO123" s="98"/>
      <c r="KP123" s="98"/>
      <c r="KQ123" s="98"/>
      <c r="KR123" s="98"/>
      <c r="KS123" s="98"/>
      <c r="KT123" s="98"/>
      <c r="KU123" s="98"/>
      <c r="KV123" s="98"/>
      <c r="KW123" s="98"/>
      <c r="KX123" s="98"/>
      <c r="KY123" s="98"/>
      <c r="KZ123" s="98"/>
      <c r="LA123" s="98"/>
      <c r="LB123" s="98"/>
      <c r="LC123" s="98"/>
      <c r="LD123" s="98"/>
      <c r="LE123" s="98"/>
      <c r="LF123" s="98"/>
      <c r="LG123" s="98"/>
      <c r="LH123" s="98"/>
      <c r="LI123" s="98"/>
      <c r="LJ123" s="98"/>
      <c r="LK123" s="98"/>
      <c r="LL123" s="98"/>
      <c r="LM123" s="98"/>
      <c r="LN123" s="98"/>
      <c r="LO123" s="98"/>
      <c r="LP123" s="98"/>
      <c r="LQ123" s="98"/>
      <c r="LR123" s="98"/>
      <c r="LS123" s="98"/>
      <c r="LT123" s="98"/>
      <c r="LU123" s="98"/>
      <c r="LV123" s="98"/>
      <c r="LW123" s="98"/>
      <c r="LX123" s="98"/>
      <c r="LY123" s="98"/>
      <c r="LZ123" s="98"/>
      <c r="MA123" s="98"/>
      <c r="MB123" s="98"/>
      <c r="MC123" s="98"/>
      <c r="MD123" s="98"/>
      <c r="ME123" s="98"/>
      <c r="MF123" s="98"/>
      <c r="MG123" s="98"/>
      <c r="MH123" s="98"/>
      <c r="MI123" s="98"/>
      <c r="MJ123" s="98"/>
      <c r="MK123" s="98"/>
      <c r="ML123" s="98"/>
      <c r="MM123" s="98"/>
      <c r="MN123" s="98"/>
      <c r="MO123" s="98"/>
      <c r="MP123" s="98"/>
      <c r="MQ123" s="98"/>
      <c r="MR123" s="98"/>
      <c r="MS123" s="98"/>
      <c r="MT123" s="98"/>
      <c r="MU123" s="98"/>
      <c r="MV123" s="98"/>
      <c r="MW123" s="98"/>
      <c r="MX123" s="98"/>
      <c r="MY123" s="98"/>
      <c r="MZ123" s="98"/>
      <c r="NA123" s="98"/>
      <c r="NB123" s="98"/>
      <c r="NC123" s="98"/>
      <c r="ND123" s="98"/>
      <c r="NE123" s="98"/>
      <c r="NF123" s="98"/>
      <c r="NG123" s="98"/>
      <c r="NH123" s="98"/>
      <c r="NI123" s="98"/>
      <c r="NJ123" s="98"/>
      <c r="NK123" s="98"/>
      <c r="NL123" s="98"/>
      <c r="NM123" s="98"/>
      <c r="NN123" s="98"/>
      <c r="NO123" s="98"/>
      <c r="NP123" s="98"/>
      <c r="NQ123" s="98"/>
      <c r="NR123" s="98"/>
      <c r="NS123" s="98"/>
      <c r="NT123" s="98"/>
      <c r="NU123" s="98"/>
      <c r="NV123" s="98"/>
      <c r="NW123" s="98"/>
      <c r="NX123" s="98"/>
      <c r="NY123" s="98"/>
      <c r="NZ123" s="98"/>
      <c r="OA123" s="98"/>
      <c r="OB123" s="98"/>
      <c r="OC123" s="98"/>
      <c r="OD123" s="98"/>
      <c r="OE123" s="98"/>
      <c r="OF123" s="98"/>
      <c r="OG123" s="98"/>
      <c r="OH123" s="98"/>
      <c r="OI123" s="98"/>
      <c r="OJ123" s="98"/>
      <c r="OK123" s="98"/>
      <c r="OL123" s="98"/>
      <c r="OM123" s="98"/>
      <c r="ON123" s="98"/>
      <c r="OO123" s="98"/>
      <c r="OP123" s="98"/>
      <c r="OQ123" s="98"/>
      <c r="OR123" s="98"/>
      <c r="OS123" s="98"/>
      <c r="OT123" s="98"/>
      <c r="OU123" s="98"/>
      <c r="OV123" s="98"/>
      <c r="OW123" s="98"/>
      <c r="OX123" s="98"/>
      <c r="OY123" s="98"/>
      <c r="OZ123" s="98"/>
      <c r="PA123" s="98"/>
      <c r="PB123" s="98"/>
      <c r="PC123" s="98"/>
      <c r="PD123" s="98"/>
      <c r="PE123" s="98"/>
      <c r="PF123" s="98"/>
      <c r="PG123" s="98"/>
      <c r="PH123" s="98"/>
      <c r="PI123" s="98"/>
      <c r="PJ123" s="98"/>
      <c r="PK123" s="98"/>
      <c r="PL123" s="98"/>
      <c r="PM123" s="98"/>
      <c r="PN123" s="98"/>
      <c r="PO123" s="98"/>
      <c r="PP123" s="98"/>
      <c r="PQ123" s="98"/>
      <c r="PR123" s="98"/>
      <c r="PS123" s="98"/>
      <c r="PT123" s="98"/>
      <c r="PU123" s="98"/>
      <c r="PV123" s="98"/>
      <c r="PW123" s="98"/>
      <c r="PX123" s="98"/>
      <c r="PY123" s="98"/>
      <c r="PZ123" s="98"/>
      <c r="QA123" s="98"/>
      <c r="QB123" s="98"/>
      <c r="QC123" s="98"/>
      <c r="QD123" s="98"/>
      <c r="QE123" s="98"/>
      <c r="QF123" s="98"/>
      <c r="QG123" s="98"/>
      <c r="QH123" s="98"/>
      <c r="QI123" s="98"/>
      <c r="QJ123" s="98"/>
      <c r="QK123" s="98"/>
      <c r="QL123" s="98"/>
      <c r="QM123" s="98"/>
      <c r="QN123" s="98"/>
      <c r="QO123" s="98"/>
      <c r="QP123" s="98"/>
      <c r="QQ123" s="98"/>
      <c r="QR123" s="98"/>
      <c r="QS123" s="98"/>
      <c r="QT123" s="98"/>
      <c r="QU123" s="98"/>
      <c r="QV123" s="98"/>
      <c r="QW123" s="98"/>
      <c r="QX123" s="98"/>
      <c r="QY123" s="98"/>
      <c r="QZ123" s="98"/>
      <c r="RA123" s="98"/>
      <c r="RB123" s="98"/>
      <c r="RC123" s="98"/>
      <c r="RD123" s="98"/>
      <c r="RE123" s="98"/>
      <c r="RF123" s="98"/>
      <c r="RG123" s="98"/>
      <c r="RH123" s="98"/>
      <c r="RI123" s="98"/>
      <c r="RJ123" s="98"/>
      <c r="RK123" s="98"/>
      <c r="RL123" s="98"/>
      <c r="RM123" s="98"/>
      <c r="RN123" s="98"/>
      <c r="RO123" s="98"/>
      <c r="RP123" s="98"/>
      <c r="RQ123" s="98"/>
      <c r="RR123" s="98"/>
      <c r="RS123" s="98"/>
      <c r="RT123" s="98"/>
      <c r="RU123" s="98"/>
      <c r="RV123" s="98"/>
      <c r="RW123" s="98"/>
      <c r="RX123" s="98"/>
      <c r="RY123" s="98"/>
      <c r="RZ123" s="98"/>
      <c r="SA123" s="98"/>
      <c r="SB123" s="98"/>
      <c r="SC123" s="98"/>
      <c r="SD123" s="98"/>
      <c r="SE123" s="98"/>
      <c r="SF123" s="98"/>
      <c r="SG123" s="98"/>
      <c r="SH123" s="98"/>
      <c r="SI123" s="98"/>
      <c r="SJ123" s="98"/>
      <c r="SK123" s="98"/>
      <c r="SL123" s="98"/>
      <c r="SM123" s="98"/>
      <c r="SN123" s="98"/>
      <c r="SO123" s="98"/>
      <c r="SP123" s="98"/>
      <c r="SQ123" s="98"/>
      <c r="SR123" s="98"/>
      <c r="SS123" s="98"/>
      <c r="ST123" s="98"/>
      <c r="SU123" s="98"/>
      <c r="SV123" s="98"/>
      <c r="SW123" s="98"/>
      <c r="SX123" s="98"/>
      <c r="SY123" s="98"/>
      <c r="SZ123" s="98"/>
      <c r="TA123" s="98"/>
      <c r="TB123" s="98"/>
      <c r="TC123" s="98"/>
      <c r="TD123" s="98"/>
      <c r="TE123" s="98"/>
      <c r="TF123" s="98"/>
      <c r="TG123" s="98"/>
      <c r="TH123" s="98"/>
      <c r="TI123" s="98"/>
      <c r="TJ123" s="98"/>
      <c r="TK123" s="98"/>
      <c r="TL123" s="98"/>
      <c r="TM123" s="98"/>
      <c r="TN123" s="98"/>
      <c r="TO123" s="98"/>
      <c r="TP123" s="98"/>
      <c r="TQ123" s="98"/>
      <c r="TR123" s="98"/>
      <c r="TS123" s="98"/>
      <c r="TT123" s="98"/>
      <c r="TU123" s="98"/>
      <c r="TV123" s="98"/>
      <c r="TW123" s="98"/>
      <c r="TX123" s="98"/>
      <c r="TY123" s="98"/>
      <c r="TZ123" s="98"/>
      <c r="UA123" s="98"/>
      <c r="UB123" s="98"/>
      <c r="UC123" s="98"/>
      <c r="UD123" s="98"/>
      <c r="UE123" s="98"/>
      <c r="UF123" s="98"/>
      <c r="UG123" s="98"/>
      <c r="UH123" s="98"/>
      <c r="UI123" s="98"/>
      <c r="UJ123" s="98"/>
      <c r="UK123" s="98"/>
      <c r="UL123" s="98"/>
      <c r="UM123" s="98"/>
      <c r="UN123" s="98"/>
      <c r="UO123" s="98"/>
      <c r="UP123" s="98"/>
      <c r="UQ123" s="98"/>
      <c r="UR123" s="98"/>
      <c r="US123" s="98"/>
      <c r="UT123" s="98"/>
      <c r="UU123" s="98"/>
      <c r="UV123" s="98"/>
      <c r="UW123" s="98"/>
      <c r="UX123" s="98"/>
      <c r="UY123" s="98"/>
      <c r="UZ123" s="98"/>
      <c r="VA123" s="98"/>
      <c r="VB123" s="98"/>
      <c r="VC123" s="98"/>
      <c r="VD123" s="98"/>
      <c r="VE123" s="98"/>
      <c r="VF123" s="98"/>
      <c r="VG123" s="98"/>
      <c r="VH123" s="98"/>
      <c r="VI123" s="98"/>
      <c r="VJ123" s="98"/>
      <c r="VK123" s="98"/>
      <c r="VL123" s="98"/>
      <c r="VM123" s="98"/>
      <c r="VN123" s="98"/>
      <c r="VO123" s="98"/>
      <c r="VP123" s="98"/>
      <c r="VQ123" s="98"/>
      <c r="VR123" s="98"/>
      <c r="VS123" s="98"/>
      <c r="VT123" s="98"/>
      <c r="VU123" s="98"/>
      <c r="VV123" s="98"/>
      <c r="VW123" s="98"/>
      <c r="VX123" s="98"/>
      <c r="VY123" s="98"/>
      <c r="VZ123" s="98"/>
      <c r="WA123" s="98"/>
      <c r="WB123" s="98"/>
      <c r="WC123" s="98"/>
      <c r="WD123" s="98"/>
      <c r="WE123" s="98"/>
      <c r="WF123" s="98"/>
      <c r="WG123" s="98"/>
      <c r="WH123" s="98"/>
      <c r="WI123" s="98"/>
      <c r="WJ123" s="98"/>
      <c r="WK123" s="98"/>
      <c r="WL123" s="98"/>
      <c r="WM123" s="98"/>
      <c r="WN123" s="98"/>
      <c r="WO123" s="98"/>
      <c r="WP123" s="98"/>
      <c r="WQ123" s="98"/>
      <c r="WR123" s="98"/>
      <c r="WS123" s="98"/>
      <c r="WT123" s="98"/>
      <c r="WU123" s="98"/>
      <c r="WV123" s="98"/>
      <c r="WW123" s="98"/>
      <c r="WX123" s="98"/>
      <c r="WY123" s="98"/>
      <c r="WZ123" s="98"/>
      <c r="XA123" s="98"/>
      <c r="XB123" s="98"/>
      <c r="XC123" s="98"/>
      <c r="XD123" s="98"/>
      <c r="XE123" s="98"/>
      <c r="XF123" s="98"/>
      <c r="XG123" s="98"/>
      <c r="XH123" s="98"/>
      <c r="XI123" s="98"/>
      <c r="XJ123" s="98"/>
      <c r="XK123" s="98"/>
      <c r="XL123" s="98"/>
      <c r="XM123" s="98"/>
      <c r="XN123" s="98"/>
      <c r="XO123" s="98"/>
      <c r="XP123" s="98"/>
      <c r="XQ123" s="98"/>
      <c r="XR123" s="98"/>
      <c r="XS123" s="98"/>
      <c r="XT123" s="98"/>
      <c r="XU123" s="98"/>
      <c r="XV123" s="98"/>
      <c r="XW123" s="98"/>
      <c r="XX123" s="98"/>
      <c r="XY123" s="98"/>
      <c r="XZ123" s="98"/>
      <c r="YA123" s="98"/>
      <c r="YB123" s="98"/>
      <c r="YC123" s="98"/>
      <c r="YD123" s="98"/>
      <c r="YE123" s="98"/>
      <c r="YF123" s="98"/>
      <c r="YG123" s="98"/>
      <c r="YH123" s="98"/>
      <c r="YI123" s="98"/>
      <c r="YJ123" s="98"/>
      <c r="YK123" s="98"/>
      <c r="YL123" s="98"/>
      <c r="YM123" s="98"/>
      <c r="YN123" s="98"/>
      <c r="YO123" s="98"/>
      <c r="YP123" s="98"/>
      <c r="YQ123" s="98"/>
      <c r="YR123" s="98"/>
      <c r="YS123" s="98"/>
      <c r="YT123" s="98"/>
      <c r="YU123" s="98"/>
      <c r="YV123" s="98"/>
      <c r="YW123" s="98"/>
      <c r="YX123" s="98"/>
      <c r="YY123" s="98"/>
      <c r="YZ123" s="98"/>
      <c r="ZA123" s="98"/>
      <c r="ZB123" s="98"/>
      <c r="ZC123" s="98"/>
      <c r="ZD123" s="98"/>
      <c r="ZE123" s="98"/>
      <c r="ZF123" s="98"/>
      <c r="ZG123" s="98"/>
      <c r="ZH123" s="98"/>
      <c r="ZI123" s="98"/>
      <c r="ZJ123" s="98"/>
      <c r="ZK123" s="98"/>
      <c r="ZL123" s="98"/>
      <c r="ZM123" s="98"/>
      <c r="ZN123" s="98"/>
      <c r="ZO123" s="98"/>
      <c r="ZP123" s="98"/>
      <c r="ZQ123" s="98"/>
      <c r="ZR123" s="98"/>
      <c r="ZS123" s="98"/>
      <c r="ZT123" s="98"/>
      <c r="ZU123" s="98"/>
      <c r="ZV123" s="98"/>
      <c r="ZW123" s="98"/>
      <c r="ZX123" s="98"/>
      <c r="ZY123" s="98"/>
      <c r="ZZ123" s="98"/>
      <c r="AAA123" s="98"/>
      <c r="AAB123" s="98"/>
      <c r="AAC123" s="98"/>
      <c r="AAD123" s="98"/>
      <c r="AAE123" s="98"/>
      <c r="AAF123" s="98"/>
      <c r="AAG123" s="98"/>
      <c r="AAH123" s="98"/>
      <c r="AAI123" s="98"/>
      <c r="AAJ123" s="98"/>
      <c r="AAK123" s="98"/>
      <c r="AAL123" s="98"/>
      <c r="AAM123" s="98"/>
      <c r="AAN123" s="98"/>
      <c r="AAO123" s="98"/>
      <c r="AAP123" s="98"/>
      <c r="AAQ123" s="98"/>
      <c r="AAR123" s="98"/>
      <c r="AAS123" s="98"/>
      <c r="AAT123" s="98"/>
      <c r="AAU123" s="98"/>
      <c r="AAV123" s="98"/>
      <c r="AAW123" s="98"/>
      <c r="AAX123" s="98"/>
      <c r="AAY123" s="98"/>
      <c r="AAZ123" s="98"/>
      <c r="ABA123" s="98"/>
      <c r="ABB123" s="98"/>
      <c r="ABC123" s="98"/>
      <c r="ABD123" s="98"/>
      <c r="ABE123" s="98"/>
      <c r="ABF123" s="98"/>
      <c r="ABG123" s="98"/>
      <c r="ABH123" s="98"/>
      <c r="ABI123" s="98"/>
      <c r="ABJ123" s="98"/>
      <c r="ABK123" s="98"/>
      <c r="ABL123" s="98"/>
      <c r="ABM123" s="98"/>
      <c r="ABN123" s="98"/>
      <c r="ABO123" s="98"/>
      <c r="ABP123" s="98"/>
      <c r="ABQ123" s="98"/>
      <c r="ABR123" s="98"/>
      <c r="ABS123" s="98"/>
      <c r="ABT123" s="98"/>
      <c r="ABU123" s="98"/>
      <c r="ABV123" s="98"/>
      <c r="ABW123" s="98"/>
      <c r="ABX123" s="98"/>
      <c r="ABY123" s="98"/>
      <c r="ABZ123" s="98"/>
      <c r="ACA123" s="98"/>
      <c r="ACB123" s="98"/>
      <c r="ACC123" s="98"/>
      <c r="ACD123" s="98"/>
      <c r="ACE123" s="98"/>
      <c r="ACF123" s="98"/>
      <c r="ACG123" s="98"/>
      <c r="ACH123" s="98"/>
      <c r="ACI123" s="98"/>
      <c r="ACJ123" s="98"/>
      <c r="ACK123" s="98"/>
      <c r="ACL123" s="98"/>
      <c r="ACM123" s="98"/>
      <c r="ACN123" s="98"/>
      <c r="ACO123" s="98"/>
      <c r="ACP123" s="98"/>
      <c r="ACQ123" s="98"/>
      <c r="ACR123" s="98"/>
      <c r="ACS123" s="98"/>
      <c r="ACT123" s="98"/>
      <c r="ACU123" s="98"/>
      <c r="ACV123" s="98"/>
      <c r="ACW123" s="98"/>
      <c r="ACX123" s="98"/>
      <c r="ACY123" s="98"/>
      <c r="ACZ123" s="98"/>
      <c r="ADA123" s="98"/>
      <c r="ADB123" s="98"/>
      <c r="ADC123" s="98"/>
      <c r="ADD123" s="98"/>
      <c r="ADE123" s="98"/>
      <c r="ADF123" s="98"/>
      <c r="ADG123" s="98"/>
      <c r="ADH123" s="98"/>
      <c r="ADI123" s="98"/>
      <c r="ADJ123" s="98"/>
      <c r="ADK123" s="98"/>
      <c r="ADL123" s="98"/>
      <c r="ADM123" s="98"/>
      <c r="ADN123" s="98"/>
      <c r="ADO123" s="98"/>
      <c r="ADP123" s="98"/>
      <c r="ADQ123" s="98"/>
      <c r="ADR123" s="98"/>
      <c r="ADS123" s="98"/>
      <c r="ADT123" s="98"/>
      <c r="ADU123" s="98"/>
      <c r="ADV123" s="98"/>
      <c r="ADW123" s="98"/>
      <c r="ADX123" s="98"/>
      <c r="ADY123" s="98"/>
      <c r="ADZ123" s="98"/>
      <c r="AEA123" s="98"/>
      <c r="AEB123" s="98"/>
      <c r="AEC123" s="98"/>
      <c r="AED123" s="98"/>
      <c r="AEE123" s="98"/>
      <c r="AEF123" s="98"/>
      <c r="AEG123" s="98"/>
      <c r="AEH123" s="98"/>
      <c r="AEI123" s="98"/>
      <c r="AEJ123" s="98"/>
      <c r="AEK123" s="98"/>
      <c r="AEL123" s="98"/>
      <c r="AEM123" s="98"/>
      <c r="AEN123" s="98"/>
      <c r="AEO123" s="98"/>
      <c r="AEP123" s="98"/>
      <c r="AEQ123" s="98"/>
      <c r="AER123" s="98"/>
      <c r="AES123" s="98"/>
      <c r="AET123" s="98"/>
      <c r="AEU123" s="98"/>
      <c r="AEV123" s="98"/>
      <c r="AEW123" s="98"/>
      <c r="AEX123" s="98"/>
      <c r="AEY123" s="98"/>
      <c r="AEZ123" s="98"/>
      <c r="AFA123" s="98"/>
      <c r="AFB123" s="98"/>
      <c r="AFC123" s="98"/>
      <c r="AFD123" s="98"/>
      <c r="AFE123" s="98"/>
      <c r="AFF123" s="98"/>
      <c r="AFG123" s="98"/>
      <c r="AFH123" s="98"/>
      <c r="AFI123" s="98"/>
      <c r="AFJ123" s="98"/>
      <c r="AFK123" s="98"/>
      <c r="AFL123" s="98"/>
      <c r="AFM123" s="98"/>
      <c r="AFN123" s="98"/>
      <c r="AFO123" s="98"/>
      <c r="AFP123" s="98"/>
      <c r="AFQ123" s="98"/>
      <c r="AFR123" s="98"/>
      <c r="AFS123" s="98"/>
      <c r="AFT123" s="98"/>
      <c r="AFU123" s="98"/>
      <c r="AFV123" s="98"/>
      <c r="AFW123" s="98"/>
      <c r="AFX123" s="98"/>
      <c r="AFY123" s="98"/>
      <c r="AFZ123" s="98"/>
      <c r="AGA123" s="98"/>
      <c r="AGB123" s="98"/>
      <c r="AGC123" s="98"/>
      <c r="AGD123" s="98"/>
      <c r="AGE123" s="98"/>
      <c r="AGF123" s="98"/>
      <c r="AGG123" s="98"/>
      <c r="AGH123" s="98"/>
      <c r="AGI123" s="98"/>
      <c r="AGJ123" s="98"/>
      <c r="AGK123" s="98"/>
      <c r="AGL123" s="98"/>
      <c r="AGM123" s="98"/>
      <c r="AGN123" s="98"/>
      <c r="AGO123" s="98"/>
      <c r="AGP123" s="98"/>
      <c r="AGQ123" s="98"/>
      <c r="AGR123" s="98"/>
      <c r="AGS123" s="98"/>
      <c r="AGT123" s="98"/>
      <c r="AGU123" s="98"/>
      <c r="AGV123" s="98"/>
      <c r="AGW123" s="98"/>
      <c r="AGX123" s="98"/>
      <c r="AGY123" s="98"/>
      <c r="AGZ123" s="98"/>
      <c r="AHA123" s="98"/>
      <c r="AHB123" s="98"/>
      <c r="AHC123" s="98"/>
      <c r="AHD123" s="98"/>
      <c r="AHE123" s="98"/>
      <c r="AHF123" s="98"/>
      <c r="AHG123" s="98"/>
      <c r="AHH123" s="98"/>
      <c r="AHI123" s="98"/>
      <c r="AHJ123" s="98"/>
      <c r="AHK123" s="98"/>
      <c r="AHL123" s="98"/>
      <c r="AHM123" s="98"/>
      <c r="AHN123" s="98"/>
      <c r="AHO123" s="98"/>
      <c r="AHP123" s="98"/>
      <c r="AHQ123" s="98"/>
      <c r="AHR123" s="98"/>
      <c r="AHS123" s="98"/>
      <c r="AHT123" s="98"/>
      <c r="AHU123" s="98"/>
      <c r="AHV123" s="98"/>
      <c r="AHW123" s="98"/>
      <c r="AHX123" s="98"/>
      <c r="AHY123" s="98"/>
      <c r="AHZ123" s="98"/>
      <c r="AIA123" s="98"/>
      <c r="AIB123" s="98"/>
      <c r="AIC123" s="98"/>
      <c r="AID123" s="98"/>
      <c r="AIE123" s="98"/>
      <c r="AIF123" s="98"/>
      <c r="AIG123" s="98"/>
      <c r="AIH123" s="98"/>
      <c r="AII123" s="98"/>
      <c r="AIJ123" s="98"/>
      <c r="AIK123" s="98"/>
      <c r="AIL123" s="98"/>
      <c r="AIM123" s="98"/>
      <c r="AIN123" s="98"/>
      <c r="AIO123" s="98"/>
      <c r="AIP123" s="98"/>
      <c r="AIQ123" s="98"/>
      <c r="AIR123" s="98"/>
      <c r="AIS123" s="98"/>
      <c r="AIT123" s="98"/>
      <c r="AIU123" s="98"/>
      <c r="AIV123" s="98"/>
      <c r="AIW123" s="98"/>
      <c r="AIX123" s="98"/>
      <c r="AIY123" s="98"/>
      <c r="AIZ123" s="98"/>
      <c r="AJA123" s="98"/>
      <c r="AJB123" s="98"/>
      <c r="AJC123" s="98"/>
      <c r="AJD123" s="98"/>
      <c r="AJE123" s="98"/>
      <c r="AJF123" s="98"/>
      <c r="AJG123" s="98"/>
      <c r="AJH123" s="98"/>
      <c r="AJI123" s="98"/>
      <c r="AJJ123" s="98"/>
      <c r="AJK123" s="98"/>
      <c r="AJL123" s="98"/>
      <c r="AJM123" s="98"/>
      <c r="AJN123" s="98"/>
      <c r="AJO123" s="98"/>
      <c r="AJP123" s="98"/>
      <c r="AJQ123" s="98"/>
      <c r="AJR123" s="98"/>
      <c r="AJS123" s="98"/>
      <c r="AJT123" s="98"/>
      <c r="AJU123" s="98"/>
      <c r="AJV123" s="98"/>
      <c r="AJW123" s="98"/>
      <c r="AJX123" s="98"/>
      <c r="AJY123" s="98"/>
      <c r="AJZ123" s="98"/>
      <c r="AKA123" s="98"/>
      <c r="AKB123" s="98"/>
      <c r="AKC123" s="98"/>
      <c r="AKD123" s="98"/>
      <c r="AKE123" s="98"/>
      <c r="AKF123" s="98"/>
      <c r="AKG123" s="98"/>
      <c r="AKH123" s="98"/>
      <c r="AKI123" s="98"/>
      <c r="AKJ123" s="98"/>
      <c r="AKK123" s="98"/>
      <c r="AKL123" s="98"/>
      <c r="AKM123" s="98"/>
      <c r="AKN123" s="98"/>
      <c r="AKO123" s="98"/>
      <c r="AKP123" s="98"/>
      <c r="AKQ123" s="98"/>
      <c r="AKR123" s="98"/>
      <c r="AKS123" s="98"/>
      <c r="AKT123" s="98"/>
      <c r="AKU123" s="98"/>
      <c r="AKV123" s="98"/>
      <c r="AKW123" s="98"/>
      <c r="AKX123" s="98"/>
      <c r="AKY123" s="98"/>
      <c r="AKZ123" s="98"/>
      <c r="ALA123" s="98"/>
      <c r="ALB123" s="98"/>
      <c r="ALC123" s="98"/>
      <c r="ALD123" s="98"/>
      <c r="ALE123" s="98"/>
      <c r="ALF123" s="98"/>
      <c r="ALG123" s="98"/>
      <c r="ALH123" s="98"/>
      <c r="ALI123" s="98"/>
      <c r="ALJ123" s="98"/>
      <c r="ALK123" s="98"/>
      <c r="ALL123" s="98"/>
      <c r="ALM123" s="98"/>
      <c r="ALN123" s="98"/>
      <c r="ALO123" s="98"/>
      <c r="ALP123" s="98"/>
      <c r="ALQ123" s="98"/>
      <c r="ALR123" s="98"/>
      <c r="ALS123" s="98"/>
      <c r="ALT123" s="98"/>
      <c r="ALU123" s="98"/>
      <c r="ALV123" s="98"/>
      <c r="ALW123" s="98"/>
      <c r="ALX123" s="98"/>
      <c r="ALY123" s="98"/>
      <c r="ALZ123" s="98"/>
      <c r="AMA123" s="98"/>
      <c r="AMB123" s="98"/>
      <c r="AMC123" s="98"/>
      <c r="AMD123" s="98"/>
      <c r="AME123" s="98"/>
      <c r="AMF123" s="98"/>
      <c r="AMG123" s="98"/>
      <c r="AMH123" s="98"/>
      <c r="AMI123" s="98"/>
      <c r="AMJ123" s="98"/>
      <c r="AMK123" s="98"/>
      <c r="AML123" s="98"/>
      <c r="AMM123" s="98"/>
      <c r="AMN123" s="98"/>
      <c r="AMO123" s="98"/>
      <c r="AMP123" s="98"/>
      <c r="AMQ123" s="98"/>
      <c r="AMR123" s="98"/>
      <c r="AMS123" s="98"/>
      <c r="AMT123" s="98"/>
      <c r="AMU123" s="98"/>
      <c r="AMV123" s="98"/>
      <c r="AMW123" s="98"/>
      <c r="AMX123" s="98"/>
      <c r="AMY123" s="98"/>
      <c r="AMZ123" s="98"/>
      <c r="ANA123" s="98"/>
      <c r="ANB123" s="98"/>
      <c r="ANC123" s="98"/>
      <c r="AND123" s="98"/>
      <c r="ANE123" s="98"/>
      <c r="ANF123" s="98"/>
      <c r="ANG123" s="98"/>
      <c r="ANH123" s="98"/>
      <c r="ANI123" s="98"/>
      <c r="ANJ123" s="98"/>
      <c r="ANK123" s="98"/>
      <c r="ANL123" s="98"/>
      <c r="ANM123" s="98"/>
      <c r="ANN123" s="98"/>
      <c r="ANO123" s="98"/>
      <c r="ANP123" s="98"/>
      <c r="ANQ123" s="98"/>
      <c r="ANR123" s="98"/>
      <c r="ANS123" s="98"/>
      <c r="ANT123" s="98"/>
      <c r="ANU123" s="98"/>
      <c r="ANV123" s="98"/>
      <c r="ANW123" s="98"/>
      <c r="ANX123" s="98"/>
      <c r="ANY123" s="98"/>
      <c r="ANZ123" s="98"/>
      <c r="AOA123" s="98"/>
      <c r="AOB123" s="98"/>
      <c r="AOC123" s="98"/>
      <c r="AOD123" s="98"/>
      <c r="AOE123" s="98"/>
      <c r="AOF123" s="98"/>
      <c r="AOG123" s="98"/>
      <c r="AOH123" s="98"/>
      <c r="AOI123" s="98"/>
      <c r="AOJ123" s="98"/>
      <c r="AOK123" s="98"/>
      <c r="AOL123" s="98"/>
      <c r="AOM123" s="98"/>
      <c r="AON123" s="98"/>
      <c r="AOO123" s="98"/>
      <c r="AOP123" s="98"/>
      <c r="AOQ123" s="98"/>
      <c r="AOR123" s="98"/>
      <c r="AOS123" s="98"/>
      <c r="AOT123" s="98"/>
      <c r="AOU123" s="98"/>
      <c r="AOV123" s="98"/>
      <c r="AOW123" s="98"/>
      <c r="AOX123" s="98"/>
      <c r="AOY123" s="98"/>
      <c r="AOZ123" s="98"/>
      <c r="APA123" s="98"/>
      <c r="APB123" s="98"/>
      <c r="APC123" s="98"/>
      <c r="APD123" s="98"/>
      <c r="APE123" s="98"/>
      <c r="APF123" s="98"/>
      <c r="APG123" s="98"/>
      <c r="APH123" s="98"/>
      <c r="API123" s="98"/>
      <c r="APJ123" s="98"/>
      <c r="APK123" s="98"/>
      <c r="APL123" s="98"/>
      <c r="APM123" s="98"/>
      <c r="APN123" s="98"/>
      <c r="APO123" s="98"/>
      <c r="APP123" s="98"/>
      <c r="APQ123" s="98"/>
      <c r="APR123" s="98"/>
      <c r="APS123" s="98"/>
      <c r="APT123" s="98"/>
      <c r="APU123" s="98"/>
      <c r="APV123" s="98"/>
      <c r="APW123" s="98"/>
      <c r="APX123" s="98"/>
      <c r="APY123" s="98"/>
      <c r="APZ123" s="98"/>
      <c r="AQA123" s="98"/>
      <c r="AQB123" s="98"/>
      <c r="AQC123" s="98"/>
      <c r="AQD123" s="98"/>
      <c r="AQE123" s="98"/>
      <c r="AQF123" s="98"/>
      <c r="AQG123" s="98"/>
      <c r="AQH123" s="98"/>
      <c r="AQI123" s="98"/>
      <c r="AQJ123" s="98"/>
      <c r="AQK123" s="98"/>
      <c r="AQL123" s="98"/>
      <c r="AQM123" s="98"/>
      <c r="AQN123" s="98"/>
      <c r="AQO123" s="98"/>
      <c r="AQP123" s="98"/>
      <c r="AQQ123" s="98"/>
      <c r="AQR123" s="98"/>
      <c r="AQS123" s="98"/>
      <c r="AQT123" s="98"/>
      <c r="AQU123" s="98"/>
      <c r="AQV123" s="98"/>
      <c r="AQW123" s="98"/>
      <c r="AQX123" s="98"/>
      <c r="AQY123" s="98"/>
      <c r="AQZ123" s="98"/>
      <c r="ARA123" s="98"/>
      <c r="ARB123" s="98"/>
      <c r="ARC123" s="98"/>
      <c r="ARD123" s="98"/>
      <c r="ARE123" s="98"/>
      <c r="ARF123" s="98"/>
      <c r="ARG123" s="98"/>
      <c r="ARH123" s="98"/>
      <c r="ARI123" s="98"/>
      <c r="ARJ123" s="98"/>
      <c r="ARK123" s="98"/>
      <c r="ARL123" s="98"/>
      <c r="ARM123" s="98"/>
      <c r="ARN123" s="98"/>
      <c r="ARO123" s="98"/>
      <c r="ARP123" s="98"/>
      <c r="ARQ123" s="98"/>
      <c r="ARR123" s="98"/>
      <c r="ARS123" s="98"/>
    </row>
    <row r="124" spans="1:1163" s="174" customFormat="1">
      <c r="A124" s="140" t="s">
        <v>222</v>
      </c>
      <c r="B124" s="119" t="s">
        <v>67</v>
      </c>
      <c r="C124" s="175">
        <v>178695</v>
      </c>
      <c r="D124" s="175">
        <v>20721196</v>
      </c>
      <c r="E124" s="175">
        <v>26911</v>
      </c>
      <c r="F124" s="175">
        <v>5545374</v>
      </c>
      <c r="G124" s="175">
        <v>15786</v>
      </c>
      <c r="H124" s="175">
        <v>3202746</v>
      </c>
      <c r="I124" s="175">
        <v>15318</v>
      </c>
      <c r="J124" s="175">
        <v>3047564</v>
      </c>
      <c r="K124" s="175">
        <v>10193</v>
      </c>
      <c r="L124" s="175">
        <v>1842513</v>
      </c>
      <c r="M124" s="175">
        <v>32110</v>
      </c>
      <c r="N124" s="175">
        <v>6951500</v>
      </c>
      <c r="O124" s="175">
        <v>13809</v>
      </c>
      <c r="P124" s="175">
        <v>4003028</v>
      </c>
      <c r="Q124" s="175">
        <v>14143</v>
      </c>
      <c r="R124" s="175">
        <v>5315181</v>
      </c>
      <c r="S124" s="175">
        <v>11290</v>
      </c>
      <c r="T124" s="175">
        <v>4663700</v>
      </c>
      <c r="U124" s="197">
        <v>12946</v>
      </c>
      <c r="V124" s="197">
        <v>5297600</v>
      </c>
      <c r="W124" s="197">
        <v>22498</v>
      </c>
      <c r="X124" s="197">
        <v>10336566</v>
      </c>
      <c r="Y124" s="197">
        <v>20839</v>
      </c>
      <c r="Z124" s="197">
        <v>11511265</v>
      </c>
      <c r="AA124" s="209">
        <v>12944</v>
      </c>
      <c r="AB124" s="209">
        <v>8064715</v>
      </c>
      <c r="AC124" s="197">
        <v>11463</v>
      </c>
      <c r="AD124" s="197">
        <v>5204073</v>
      </c>
      <c r="AE124" s="201">
        <v>12689</v>
      </c>
      <c r="AF124" s="201">
        <v>4850531</v>
      </c>
      <c r="AG124" s="201">
        <v>21677</v>
      </c>
      <c r="AH124" s="201">
        <v>8149179</v>
      </c>
      <c r="AI124" s="201">
        <v>20283</v>
      </c>
      <c r="AJ124" s="201">
        <v>8011826</v>
      </c>
      <c r="AK124" s="201">
        <v>33170</v>
      </c>
      <c r="AL124" s="201">
        <v>15849797</v>
      </c>
      <c r="AM124" s="176">
        <v>22482</v>
      </c>
      <c r="AN124" s="176">
        <v>11687280</v>
      </c>
      <c r="AO124" s="201">
        <v>28971</v>
      </c>
      <c r="AP124" s="201">
        <v>11680489</v>
      </c>
      <c r="AQ124" s="201">
        <v>31527.75</v>
      </c>
      <c r="AR124" s="201">
        <v>13887829.9</v>
      </c>
      <c r="AS124" s="201">
        <v>37849</v>
      </c>
      <c r="AT124" s="201">
        <v>16550625</v>
      </c>
      <c r="AU124" s="209">
        <v>24792</v>
      </c>
      <c r="AV124" s="209">
        <v>12149759</v>
      </c>
      <c r="AW124" s="197">
        <v>43750</v>
      </c>
      <c r="AX124" s="197">
        <v>21205504</v>
      </c>
      <c r="AY124" s="175">
        <v>46673</v>
      </c>
      <c r="AZ124" s="175">
        <v>17280177</v>
      </c>
      <c r="BA124" s="177"/>
      <c r="BB124" s="197"/>
      <c r="BC124" s="178"/>
      <c r="BD124" s="197"/>
      <c r="BE124" s="178"/>
      <c r="BF124" s="197"/>
      <c r="BG124" s="178"/>
      <c r="BH124" s="197"/>
      <c r="BI124" s="178"/>
      <c r="BJ124" s="98"/>
      <c r="BK124" s="148"/>
      <c r="BL124" s="148"/>
      <c r="BM124" s="148"/>
      <c r="BN124" s="14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98"/>
      <c r="EN124" s="98"/>
      <c r="EO124" s="98"/>
      <c r="EP124" s="98"/>
      <c r="EQ124" s="98"/>
      <c r="ER124" s="98"/>
      <c r="ES124" s="98"/>
      <c r="ET124" s="98"/>
      <c r="EU124" s="98"/>
      <c r="EV124" s="98"/>
      <c r="EW124" s="98"/>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c r="KT124" s="98"/>
      <c r="KU124" s="98"/>
      <c r="KV124" s="98"/>
      <c r="KW124" s="98"/>
      <c r="KX124" s="98"/>
      <c r="KY124" s="98"/>
      <c r="KZ124" s="98"/>
      <c r="LA124" s="98"/>
      <c r="LB124" s="98"/>
      <c r="LC124" s="98"/>
      <c r="LD124" s="98"/>
      <c r="LE124" s="98"/>
      <c r="LF124" s="98"/>
      <c r="LG124" s="98"/>
      <c r="LH124" s="98"/>
      <c r="LI124" s="98"/>
      <c r="LJ124" s="98"/>
      <c r="LK124" s="98"/>
      <c r="LL124" s="98"/>
      <c r="LM124" s="98"/>
      <c r="LN124" s="98"/>
      <c r="LO124" s="98"/>
      <c r="LP124" s="98"/>
      <c r="LQ124" s="98"/>
      <c r="LR124" s="98"/>
      <c r="LS124" s="98"/>
      <c r="LT124" s="98"/>
      <c r="LU124" s="98"/>
      <c r="LV124" s="98"/>
      <c r="LW124" s="98"/>
      <c r="LX124" s="98"/>
      <c r="LY124" s="98"/>
      <c r="LZ124" s="98"/>
      <c r="MA124" s="98"/>
      <c r="MB124" s="98"/>
      <c r="MC124" s="98"/>
      <c r="MD124" s="98"/>
      <c r="ME124" s="98"/>
      <c r="MF124" s="98"/>
      <c r="MG124" s="98"/>
      <c r="MH124" s="98"/>
      <c r="MI124" s="98"/>
      <c r="MJ124" s="98"/>
      <c r="MK124" s="98"/>
      <c r="ML124" s="98"/>
      <c r="MM124" s="98"/>
      <c r="MN124" s="98"/>
      <c r="MO124" s="98"/>
      <c r="MP124" s="98"/>
      <c r="MQ124" s="98"/>
      <c r="MR124" s="98"/>
      <c r="MS124" s="98"/>
      <c r="MT124" s="98"/>
      <c r="MU124" s="98"/>
      <c r="MV124" s="98"/>
      <c r="MW124" s="98"/>
      <c r="MX124" s="98"/>
      <c r="MY124" s="98"/>
      <c r="MZ124" s="98"/>
      <c r="NA124" s="98"/>
      <c r="NB124" s="98"/>
      <c r="NC124" s="98"/>
      <c r="ND124" s="98"/>
      <c r="NE124" s="98"/>
      <c r="NF124" s="98"/>
      <c r="NG124" s="98"/>
      <c r="NH124" s="98"/>
      <c r="NI124" s="98"/>
      <c r="NJ124" s="98"/>
      <c r="NK124" s="98"/>
      <c r="NL124" s="98"/>
      <c r="NM124" s="98"/>
      <c r="NN124" s="98"/>
      <c r="NO124" s="98"/>
      <c r="NP124" s="98"/>
      <c r="NQ124" s="98"/>
      <c r="NR124" s="98"/>
      <c r="NS124" s="98"/>
      <c r="NT124" s="98"/>
      <c r="NU124" s="98"/>
      <c r="NV124" s="98"/>
      <c r="NW124" s="98"/>
      <c r="NX124" s="98"/>
      <c r="NY124" s="98"/>
      <c r="NZ124" s="98"/>
      <c r="OA124" s="98"/>
      <c r="OB124" s="98"/>
      <c r="OC124" s="98"/>
      <c r="OD124" s="98"/>
      <c r="OE124" s="98"/>
      <c r="OF124" s="98"/>
      <c r="OG124" s="98"/>
      <c r="OH124" s="98"/>
      <c r="OI124" s="98"/>
      <c r="OJ124" s="98"/>
      <c r="OK124" s="98"/>
      <c r="OL124" s="98"/>
      <c r="OM124" s="98"/>
      <c r="ON124" s="98"/>
      <c r="OO124" s="98"/>
      <c r="OP124" s="98"/>
      <c r="OQ124" s="98"/>
      <c r="OR124" s="98"/>
      <c r="OS124" s="98"/>
      <c r="OT124" s="98"/>
      <c r="OU124" s="98"/>
      <c r="OV124" s="98"/>
      <c r="OW124" s="98"/>
      <c r="OX124" s="98"/>
      <c r="OY124" s="98"/>
      <c r="OZ124" s="98"/>
      <c r="PA124" s="98"/>
      <c r="PB124" s="98"/>
      <c r="PC124" s="98"/>
      <c r="PD124" s="98"/>
      <c r="PE124" s="98"/>
      <c r="PF124" s="98"/>
      <c r="PG124" s="98"/>
      <c r="PH124" s="98"/>
      <c r="PI124" s="98"/>
      <c r="PJ124" s="98"/>
      <c r="PK124" s="98"/>
      <c r="PL124" s="98"/>
      <c r="PM124" s="98"/>
      <c r="PN124" s="98"/>
      <c r="PO124" s="98"/>
      <c r="PP124" s="98"/>
      <c r="PQ124" s="98"/>
      <c r="PR124" s="98"/>
      <c r="PS124" s="98"/>
      <c r="PT124" s="98"/>
      <c r="PU124" s="98"/>
      <c r="PV124" s="98"/>
      <c r="PW124" s="98"/>
      <c r="PX124" s="98"/>
      <c r="PY124" s="98"/>
      <c r="PZ124" s="98"/>
      <c r="QA124" s="98"/>
      <c r="QB124" s="98"/>
      <c r="QC124" s="98"/>
      <c r="QD124" s="98"/>
      <c r="QE124" s="98"/>
      <c r="QF124" s="98"/>
      <c r="QG124" s="98"/>
      <c r="QH124" s="98"/>
      <c r="QI124" s="98"/>
      <c r="QJ124" s="98"/>
      <c r="QK124" s="98"/>
      <c r="QL124" s="98"/>
      <c r="QM124" s="98"/>
      <c r="QN124" s="98"/>
      <c r="QO124" s="98"/>
      <c r="QP124" s="98"/>
      <c r="QQ124" s="98"/>
      <c r="QR124" s="98"/>
      <c r="QS124" s="98"/>
      <c r="QT124" s="98"/>
      <c r="QU124" s="98"/>
      <c r="QV124" s="98"/>
      <c r="QW124" s="98"/>
      <c r="QX124" s="98"/>
      <c r="QY124" s="98"/>
      <c r="QZ124" s="98"/>
      <c r="RA124" s="98"/>
      <c r="RB124" s="98"/>
      <c r="RC124" s="98"/>
      <c r="RD124" s="98"/>
      <c r="RE124" s="98"/>
      <c r="RF124" s="98"/>
      <c r="RG124" s="98"/>
      <c r="RH124" s="98"/>
      <c r="RI124" s="98"/>
      <c r="RJ124" s="98"/>
      <c r="RK124" s="98"/>
      <c r="RL124" s="98"/>
      <c r="RM124" s="98"/>
      <c r="RN124" s="98"/>
      <c r="RO124" s="98"/>
      <c r="RP124" s="98"/>
      <c r="RQ124" s="98"/>
      <c r="RR124" s="98"/>
      <c r="RS124" s="98"/>
      <c r="RT124" s="98"/>
      <c r="RU124" s="98"/>
      <c r="RV124" s="98"/>
      <c r="RW124" s="98"/>
      <c r="RX124" s="98"/>
      <c r="RY124" s="98"/>
      <c r="RZ124" s="98"/>
      <c r="SA124" s="98"/>
      <c r="SB124" s="98"/>
      <c r="SC124" s="98"/>
      <c r="SD124" s="98"/>
      <c r="SE124" s="98"/>
      <c r="SF124" s="98"/>
      <c r="SG124" s="98"/>
      <c r="SH124" s="98"/>
      <c r="SI124" s="98"/>
      <c r="SJ124" s="98"/>
      <c r="SK124" s="98"/>
      <c r="SL124" s="98"/>
      <c r="SM124" s="98"/>
      <c r="SN124" s="98"/>
      <c r="SO124" s="98"/>
      <c r="SP124" s="98"/>
      <c r="SQ124" s="98"/>
      <c r="SR124" s="98"/>
      <c r="SS124" s="98"/>
      <c r="ST124" s="98"/>
      <c r="SU124" s="98"/>
      <c r="SV124" s="98"/>
      <c r="SW124" s="98"/>
      <c r="SX124" s="98"/>
      <c r="SY124" s="98"/>
      <c r="SZ124" s="98"/>
      <c r="TA124" s="98"/>
      <c r="TB124" s="98"/>
      <c r="TC124" s="98"/>
      <c r="TD124" s="98"/>
      <c r="TE124" s="98"/>
      <c r="TF124" s="98"/>
      <c r="TG124" s="98"/>
      <c r="TH124" s="98"/>
      <c r="TI124" s="98"/>
      <c r="TJ124" s="98"/>
      <c r="TK124" s="98"/>
      <c r="TL124" s="98"/>
      <c r="TM124" s="98"/>
      <c r="TN124" s="98"/>
      <c r="TO124" s="98"/>
      <c r="TP124" s="98"/>
      <c r="TQ124" s="98"/>
      <c r="TR124" s="98"/>
      <c r="TS124" s="98"/>
      <c r="TT124" s="98"/>
      <c r="TU124" s="98"/>
      <c r="TV124" s="98"/>
      <c r="TW124" s="98"/>
      <c r="TX124" s="98"/>
      <c r="TY124" s="98"/>
      <c r="TZ124" s="98"/>
      <c r="UA124" s="98"/>
      <c r="UB124" s="98"/>
      <c r="UC124" s="98"/>
      <c r="UD124" s="98"/>
      <c r="UE124" s="98"/>
      <c r="UF124" s="98"/>
      <c r="UG124" s="98"/>
      <c r="UH124" s="98"/>
      <c r="UI124" s="98"/>
      <c r="UJ124" s="98"/>
      <c r="UK124" s="98"/>
      <c r="UL124" s="98"/>
      <c r="UM124" s="98"/>
      <c r="UN124" s="98"/>
      <c r="UO124" s="98"/>
      <c r="UP124" s="98"/>
      <c r="UQ124" s="98"/>
      <c r="UR124" s="98"/>
      <c r="US124" s="98"/>
      <c r="UT124" s="98"/>
      <c r="UU124" s="98"/>
      <c r="UV124" s="98"/>
      <c r="UW124" s="98"/>
      <c r="UX124" s="98"/>
      <c r="UY124" s="98"/>
      <c r="UZ124" s="98"/>
      <c r="VA124" s="98"/>
      <c r="VB124" s="98"/>
      <c r="VC124" s="98"/>
      <c r="VD124" s="98"/>
      <c r="VE124" s="98"/>
      <c r="VF124" s="98"/>
      <c r="VG124" s="98"/>
      <c r="VH124" s="98"/>
      <c r="VI124" s="98"/>
      <c r="VJ124" s="98"/>
      <c r="VK124" s="98"/>
      <c r="VL124" s="98"/>
      <c r="VM124" s="98"/>
      <c r="VN124" s="98"/>
      <c r="VO124" s="98"/>
      <c r="VP124" s="98"/>
      <c r="VQ124" s="98"/>
      <c r="VR124" s="98"/>
      <c r="VS124" s="98"/>
      <c r="VT124" s="98"/>
      <c r="VU124" s="98"/>
      <c r="VV124" s="98"/>
      <c r="VW124" s="98"/>
      <c r="VX124" s="98"/>
      <c r="VY124" s="98"/>
      <c r="VZ124" s="98"/>
      <c r="WA124" s="98"/>
      <c r="WB124" s="98"/>
      <c r="WC124" s="98"/>
      <c r="WD124" s="98"/>
      <c r="WE124" s="98"/>
      <c r="WF124" s="98"/>
      <c r="WG124" s="98"/>
      <c r="WH124" s="98"/>
      <c r="WI124" s="98"/>
      <c r="WJ124" s="98"/>
      <c r="WK124" s="98"/>
      <c r="WL124" s="98"/>
      <c r="WM124" s="98"/>
      <c r="WN124" s="98"/>
      <c r="WO124" s="98"/>
      <c r="WP124" s="98"/>
      <c r="WQ124" s="98"/>
      <c r="WR124" s="98"/>
      <c r="WS124" s="98"/>
      <c r="WT124" s="98"/>
      <c r="WU124" s="98"/>
      <c r="WV124" s="98"/>
      <c r="WW124" s="98"/>
      <c r="WX124" s="98"/>
      <c r="WY124" s="98"/>
      <c r="WZ124" s="98"/>
      <c r="XA124" s="98"/>
      <c r="XB124" s="98"/>
      <c r="XC124" s="98"/>
      <c r="XD124" s="98"/>
      <c r="XE124" s="98"/>
      <c r="XF124" s="98"/>
      <c r="XG124" s="98"/>
      <c r="XH124" s="98"/>
      <c r="XI124" s="98"/>
      <c r="XJ124" s="98"/>
      <c r="XK124" s="98"/>
      <c r="XL124" s="98"/>
      <c r="XM124" s="98"/>
      <c r="XN124" s="98"/>
      <c r="XO124" s="98"/>
      <c r="XP124" s="98"/>
      <c r="XQ124" s="98"/>
      <c r="XR124" s="98"/>
      <c r="XS124" s="98"/>
      <c r="XT124" s="98"/>
      <c r="XU124" s="98"/>
      <c r="XV124" s="98"/>
      <c r="XW124" s="98"/>
      <c r="XX124" s="98"/>
      <c r="XY124" s="98"/>
      <c r="XZ124" s="98"/>
      <c r="YA124" s="98"/>
      <c r="YB124" s="98"/>
      <c r="YC124" s="98"/>
      <c r="YD124" s="98"/>
      <c r="YE124" s="98"/>
      <c r="YF124" s="98"/>
      <c r="YG124" s="98"/>
      <c r="YH124" s="98"/>
      <c r="YI124" s="98"/>
      <c r="YJ124" s="98"/>
      <c r="YK124" s="98"/>
      <c r="YL124" s="98"/>
      <c r="YM124" s="98"/>
      <c r="YN124" s="98"/>
      <c r="YO124" s="98"/>
      <c r="YP124" s="98"/>
      <c r="YQ124" s="98"/>
      <c r="YR124" s="98"/>
      <c r="YS124" s="98"/>
      <c r="YT124" s="98"/>
      <c r="YU124" s="98"/>
      <c r="YV124" s="98"/>
      <c r="YW124" s="98"/>
      <c r="YX124" s="98"/>
      <c r="YY124" s="98"/>
      <c r="YZ124" s="98"/>
      <c r="ZA124" s="98"/>
      <c r="ZB124" s="98"/>
      <c r="ZC124" s="98"/>
      <c r="ZD124" s="98"/>
      <c r="ZE124" s="98"/>
      <c r="ZF124" s="98"/>
      <c r="ZG124" s="98"/>
      <c r="ZH124" s="98"/>
      <c r="ZI124" s="98"/>
      <c r="ZJ124" s="98"/>
      <c r="ZK124" s="98"/>
      <c r="ZL124" s="98"/>
      <c r="ZM124" s="98"/>
      <c r="ZN124" s="98"/>
      <c r="ZO124" s="98"/>
      <c r="ZP124" s="98"/>
      <c r="ZQ124" s="98"/>
      <c r="ZR124" s="98"/>
      <c r="ZS124" s="98"/>
      <c r="ZT124" s="98"/>
      <c r="ZU124" s="98"/>
      <c r="ZV124" s="98"/>
      <c r="ZW124" s="98"/>
      <c r="ZX124" s="98"/>
      <c r="ZY124" s="98"/>
      <c r="ZZ124" s="98"/>
      <c r="AAA124" s="98"/>
      <c r="AAB124" s="98"/>
      <c r="AAC124" s="98"/>
      <c r="AAD124" s="98"/>
      <c r="AAE124" s="98"/>
      <c r="AAF124" s="98"/>
      <c r="AAG124" s="98"/>
      <c r="AAH124" s="98"/>
      <c r="AAI124" s="98"/>
      <c r="AAJ124" s="98"/>
      <c r="AAK124" s="98"/>
      <c r="AAL124" s="98"/>
      <c r="AAM124" s="98"/>
      <c r="AAN124" s="98"/>
      <c r="AAO124" s="98"/>
      <c r="AAP124" s="98"/>
      <c r="AAQ124" s="98"/>
      <c r="AAR124" s="98"/>
      <c r="AAS124" s="98"/>
      <c r="AAT124" s="98"/>
      <c r="AAU124" s="98"/>
      <c r="AAV124" s="98"/>
      <c r="AAW124" s="98"/>
      <c r="AAX124" s="98"/>
      <c r="AAY124" s="98"/>
      <c r="AAZ124" s="98"/>
      <c r="ABA124" s="98"/>
      <c r="ABB124" s="98"/>
      <c r="ABC124" s="98"/>
      <c r="ABD124" s="98"/>
      <c r="ABE124" s="98"/>
      <c r="ABF124" s="98"/>
      <c r="ABG124" s="98"/>
      <c r="ABH124" s="98"/>
      <c r="ABI124" s="98"/>
      <c r="ABJ124" s="98"/>
      <c r="ABK124" s="98"/>
      <c r="ABL124" s="98"/>
      <c r="ABM124" s="98"/>
      <c r="ABN124" s="98"/>
      <c r="ABO124" s="98"/>
      <c r="ABP124" s="98"/>
      <c r="ABQ124" s="98"/>
      <c r="ABR124" s="98"/>
      <c r="ABS124" s="98"/>
      <c r="ABT124" s="98"/>
      <c r="ABU124" s="98"/>
      <c r="ABV124" s="98"/>
      <c r="ABW124" s="98"/>
      <c r="ABX124" s="98"/>
      <c r="ABY124" s="98"/>
      <c r="ABZ124" s="98"/>
      <c r="ACA124" s="98"/>
      <c r="ACB124" s="98"/>
      <c r="ACC124" s="98"/>
      <c r="ACD124" s="98"/>
      <c r="ACE124" s="98"/>
      <c r="ACF124" s="98"/>
      <c r="ACG124" s="98"/>
      <c r="ACH124" s="98"/>
      <c r="ACI124" s="98"/>
      <c r="ACJ124" s="98"/>
      <c r="ACK124" s="98"/>
      <c r="ACL124" s="98"/>
      <c r="ACM124" s="98"/>
      <c r="ACN124" s="98"/>
      <c r="ACO124" s="98"/>
      <c r="ACP124" s="98"/>
      <c r="ACQ124" s="98"/>
      <c r="ACR124" s="98"/>
      <c r="ACS124" s="98"/>
      <c r="ACT124" s="98"/>
      <c r="ACU124" s="98"/>
      <c r="ACV124" s="98"/>
      <c r="ACW124" s="98"/>
      <c r="ACX124" s="98"/>
      <c r="ACY124" s="98"/>
      <c r="ACZ124" s="98"/>
      <c r="ADA124" s="98"/>
      <c r="ADB124" s="98"/>
      <c r="ADC124" s="98"/>
      <c r="ADD124" s="98"/>
      <c r="ADE124" s="98"/>
      <c r="ADF124" s="98"/>
      <c r="ADG124" s="98"/>
      <c r="ADH124" s="98"/>
      <c r="ADI124" s="98"/>
      <c r="ADJ124" s="98"/>
      <c r="ADK124" s="98"/>
      <c r="ADL124" s="98"/>
      <c r="ADM124" s="98"/>
      <c r="ADN124" s="98"/>
      <c r="ADO124" s="98"/>
      <c r="ADP124" s="98"/>
      <c r="ADQ124" s="98"/>
      <c r="ADR124" s="98"/>
      <c r="ADS124" s="98"/>
      <c r="ADT124" s="98"/>
      <c r="ADU124" s="98"/>
      <c r="ADV124" s="98"/>
      <c r="ADW124" s="98"/>
      <c r="ADX124" s="98"/>
      <c r="ADY124" s="98"/>
      <c r="ADZ124" s="98"/>
      <c r="AEA124" s="98"/>
      <c r="AEB124" s="98"/>
      <c r="AEC124" s="98"/>
      <c r="AED124" s="98"/>
      <c r="AEE124" s="98"/>
      <c r="AEF124" s="98"/>
      <c r="AEG124" s="98"/>
      <c r="AEH124" s="98"/>
      <c r="AEI124" s="98"/>
      <c r="AEJ124" s="98"/>
      <c r="AEK124" s="98"/>
      <c r="AEL124" s="98"/>
      <c r="AEM124" s="98"/>
      <c r="AEN124" s="98"/>
      <c r="AEO124" s="98"/>
      <c r="AEP124" s="98"/>
      <c r="AEQ124" s="98"/>
      <c r="AER124" s="98"/>
      <c r="AES124" s="98"/>
      <c r="AET124" s="98"/>
      <c r="AEU124" s="98"/>
      <c r="AEV124" s="98"/>
      <c r="AEW124" s="98"/>
      <c r="AEX124" s="98"/>
      <c r="AEY124" s="98"/>
      <c r="AEZ124" s="98"/>
      <c r="AFA124" s="98"/>
      <c r="AFB124" s="98"/>
      <c r="AFC124" s="98"/>
      <c r="AFD124" s="98"/>
      <c r="AFE124" s="98"/>
      <c r="AFF124" s="98"/>
      <c r="AFG124" s="98"/>
      <c r="AFH124" s="98"/>
      <c r="AFI124" s="98"/>
      <c r="AFJ124" s="98"/>
      <c r="AFK124" s="98"/>
      <c r="AFL124" s="98"/>
      <c r="AFM124" s="98"/>
      <c r="AFN124" s="98"/>
      <c r="AFO124" s="98"/>
      <c r="AFP124" s="98"/>
      <c r="AFQ124" s="98"/>
      <c r="AFR124" s="98"/>
      <c r="AFS124" s="98"/>
      <c r="AFT124" s="98"/>
      <c r="AFU124" s="98"/>
      <c r="AFV124" s="98"/>
      <c r="AFW124" s="98"/>
      <c r="AFX124" s="98"/>
      <c r="AFY124" s="98"/>
      <c r="AFZ124" s="98"/>
      <c r="AGA124" s="98"/>
      <c r="AGB124" s="98"/>
      <c r="AGC124" s="98"/>
      <c r="AGD124" s="98"/>
      <c r="AGE124" s="98"/>
      <c r="AGF124" s="98"/>
      <c r="AGG124" s="98"/>
      <c r="AGH124" s="98"/>
      <c r="AGI124" s="98"/>
      <c r="AGJ124" s="98"/>
      <c r="AGK124" s="98"/>
      <c r="AGL124" s="98"/>
      <c r="AGM124" s="98"/>
      <c r="AGN124" s="98"/>
      <c r="AGO124" s="98"/>
      <c r="AGP124" s="98"/>
      <c r="AGQ124" s="98"/>
      <c r="AGR124" s="98"/>
      <c r="AGS124" s="98"/>
      <c r="AGT124" s="98"/>
      <c r="AGU124" s="98"/>
      <c r="AGV124" s="98"/>
      <c r="AGW124" s="98"/>
      <c r="AGX124" s="98"/>
      <c r="AGY124" s="98"/>
      <c r="AGZ124" s="98"/>
      <c r="AHA124" s="98"/>
      <c r="AHB124" s="98"/>
      <c r="AHC124" s="98"/>
      <c r="AHD124" s="98"/>
      <c r="AHE124" s="98"/>
      <c r="AHF124" s="98"/>
      <c r="AHG124" s="98"/>
      <c r="AHH124" s="98"/>
      <c r="AHI124" s="98"/>
      <c r="AHJ124" s="98"/>
      <c r="AHK124" s="98"/>
      <c r="AHL124" s="98"/>
      <c r="AHM124" s="98"/>
      <c r="AHN124" s="98"/>
      <c r="AHO124" s="98"/>
      <c r="AHP124" s="98"/>
      <c r="AHQ124" s="98"/>
      <c r="AHR124" s="98"/>
      <c r="AHS124" s="98"/>
      <c r="AHT124" s="98"/>
      <c r="AHU124" s="98"/>
      <c r="AHV124" s="98"/>
      <c r="AHW124" s="98"/>
      <c r="AHX124" s="98"/>
      <c r="AHY124" s="98"/>
      <c r="AHZ124" s="98"/>
      <c r="AIA124" s="98"/>
      <c r="AIB124" s="98"/>
      <c r="AIC124" s="98"/>
      <c r="AID124" s="98"/>
      <c r="AIE124" s="98"/>
      <c r="AIF124" s="98"/>
      <c r="AIG124" s="98"/>
      <c r="AIH124" s="98"/>
      <c r="AII124" s="98"/>
      <c r="AIJ124" s="98"/>
      <c r="AIK124" s="98"/>
      <c r="AIL124" s="98"/>
      <c r="AIM124" s="98"/>
      <c r="AIN124" s="98"/>
      <c r="AIO124" s="98"/>
      <c r="AIP124" s="98"/>
      <c r="AIQ124" s="98"/>
      <c r="AIR124" s="98"/>
      <c r="AIS124" s="98"/>
      <c r="AIT124" s="98"/>
      <c r="AIU124" s="98"/>
      <c r="AIV124" s="98"/>
      <c r="AIW124" s="98"/>
      <c r="AIX124" s="98"/>
      <c r="AIY124" s="98"/>
      <c r="AIZ124" s="98"/>
      <c r="AJA124" s="98"/>
      <c r="AJB124" s="98"/>
      <c r="AJC124" s="98"/>
      <c r="AJD124" s="98"/>
      <c r="AJE124" s="98"/>
      <c r="AJF124" s="98"/>
      <c r="AJG124" s="98"/>
      <c r="AJH124" s="98"/>
      <c r="AJI124" s="98"/>
      <c r="AJJ124" s="98"/>
      <c r="AJK124" s="98"/>
      <c r="AJL124" s="98"/>
      <c r="AJM124" s="98"/>
      <c r="AJN124" s="98"/>
      <c r="AJO124" s="98"/>
      <c r="AJP124" s="98"/>
      <c r="AJQ124" s="98"/>
      <c r="AJR124" s="98"/>
      <c r="AJS124" s="98"/>
      <c r="AJT124" s="98"/>
      <c r="AJU124" s="98"/>
      <c r="AJV124" s="98"/>
      <c r="AJW124" s="98"/>
      <c r="AJX124" s="98"/>
      <c r="AJY124" s="98"/>
      <c r="AJZ124" s="98"/>
      <c r="AKA124" s="98"/>
      <c r="AKB124" s="98"/>
      <c r="AKC124" s="98"/>
      <c r="AKD124" s="98"/>
      <c r="AKE124" s="98"/>
      <c r="AKF124" s="98"/>
      <c r="AKG124" s="98"/>
      <c r="AKH124" s="98"/>
      <c r="AKI124" s="98"/>
      <c r="AKJ124" s="98"/>
      <c r="AKK124" s="98"/>
      <c r="AKL124" s="98"/>
      <c r="AKM124" s="98"/>
      <c r="AKN124" s="98"/>
      <c r="AKO124" s="98"/>
      <c r="AKP124" s="98"/>
      <c r="AKQ124" s="98"/>
      <c r="AKR124" s="98"/>
      <c r="AKS124" s="98"/>
      <c r="AKT124" s="98"/>
      <c r="AKU124" s="98"/>
      <c r="AKV124" s="98"/>
      <c r="AKW124" s="98"/>
      <c r="AKX124" s="98"/>
      <c r="AKY124" s="98"/>
      <c r="AKZ124" s="98"/>
      <c r="ALA124" s="98"/>
      <c r="ALB124" s="98"/>
      <c r="ALC124" s="98"/>
      <c r="ALD124" s="98"/>
      <c r="ALE124" s="98"/>
      <c r="ALF124" s="98"/>
      <c r="ALG124" s="98"/>
      <c r="ALH124" s="98"/>
      <c r="ALI124" s="98"/>
      <c r="ALJ124" s="98"/>
      <c r="ALK124" s="98"/>
      <c r="ALL124" s="98"/>
      <c r="ALM124" s="98"/>
      <c r="ALN124" s="98"/>
      <c r="ALO124" s="98"/>
      <c r="ALP124" s="98"/>
      <c r="ALQ124" s="98"/>
      <c r="ALR124" s="98"/>
      <c r="ALS124" s="98"/>
      <c r="ALT124" s="98"/>
      <c r="ALU124" s="98"/>
      <c r="ALV124" s="98"/>
      <c r="ALW124" s="98"/>
      <c r="ALX124" s="98"/>
      <c r="ALY124" s="98"/>
      <c r="ALZ124" s="98"/>
      <c r="AMA124" s="98"/>
      <c r="AMB124" s="98"/>
      <c r="AMC124" s="98"/>
      <c r="AMD124" s="98"/>
      <c r="AME124" s="98"/>
      <c r="AMF124" s="98"/>
      <c r="AMG124" s="98"/>
      <c r="AMH124" s="98"/>
      <c r="AMI124" s="98"/>
      <c r="AMJ124" s="98"/>
      <c r="AMK124" s="98"/>
      <c r="AML124" s="98"/>
      <c r="AMM124" s="98"/>
      <c r="AMN124" s="98"/>
      <c r="AMO124" s="98"/>
      <c r="AMP124" s="98"/>
      <c r="AMQ124" s="98"/>
      <c r="AMR124" s="98"/>
      <c r="AMS124" s="98"/>
      <c r="AMT124" s="98"/>
      <c r="AMU124" s="98"/>
      <c r="AMV124" s="98"/>
      <c r="AMW124" s="98"/>
      <c r="AMX124" s="98"/>
      <c r="AMY124" s="98"/>
      <c r="AMZ124" s="98"/>
      <c r="ANA124" s="98"/>
      <c r="ANB124" s="98"/>
      <c r="ANC124" s="98"/>
      <c r="AND124" s="98"/>
      <c r="ANE124" s="98"/>
      <c r="ANF124" s="98"/>
      <c r="ANG124" s="98"/>
      <c r="ANH124" s="98"/>
      <c r="ANI124" s="98"/>
      <c r="ANJ124" s="98"/>
      <c r="ANK124" s="98"/>
      <c r="ANL124" s="98"/>
      <c r="ANM124" s="98"/>
      <c r="ANN124" s="98"/>
      <c r="ANO124" s="98"/>
      <c r="ANP124" s="98"/>
      <c r="ANQ124" s="98"/>
      <c r="ANR124" s="98"/>
      <c r="ANS124" s="98"/>
      <c r="ANT124" s="98"/>
      <c r="ANU124" s="98"/>
      <c r="ANV124" s="98"/>
      <c r="ANW124" s="98"/>
      <c r="ANX124" s="98"/>
      <c r="ANY124" s="98"/>
      <c r="ANZ124" s="98"/>
      <c r="AOA124" s="98"/>
      <c r="AOB124" s="98"/>
      <c r="AOC124" s="98"/>
      <c r="AOD124" s="98"/>
      <c r="AOE124" s="98"/>
      <c r="AOF124" s="98"/>
      <c r="AOG124" s="98"/>
      <c r="AOH124" s="98"/>
      <c r="AOI124" s="98"/>
      <c r="AOJ124" s="98"/>
      <c r="AOK124" s="98"/>
      <c r="AOL124" s="98"/>
      <c r="AOM124" s="98"/>
      <c r="AON124" s="98"/>
      <c r="AOO124" s="98"/>
      <c r="AOP124" s="98"/>
      <c r="AOQ124" s="98"/>
      <c r="AOR124" s="98"/>
      <c r="AOS124" s="98"/>
      <c r="AOT124" s="98"/>
      <c r="AOU124" s="98"/>
      <c r="AOV124" s="98"/>
      <c r="AOW124" s="98"/>
      <c r="AOX124" s="98"/>
      <c r="AOY124" s="98"/>
      <c r="AOZ124" s="98"/>
      <c r="APA124" s="98"/>
      <c r="APB124" s="98"/>
      <c r="APC124" s="98"/>
      <c r="APD124" s="98"/>
      <c r="APE124" s="98"/>
      <c r="APF124" s="98"/>
      <c r="APG124" s="98"/>
      <c r="APH124" s="98"/>
      <c r="API124" s="98"/>
      <c r="APJ124" s="98"/>
      <c r="APK124" s="98"/>
      <c r="APL124" s="98"/>
      <c r="APM124" s="98"/>
      <c r="APN124" s="98"/>
      <c r="APO124" s="98"/>
      <c r="APP124" s="98"/>
      <c r="APQ124" s="98"/>
      <c r="APR124" s="98"/>
      <c r="APS124" s="98"/>
      <c r="APT124" s="98"/>
      <c r="APU124" s="98"/>
      <c r="APV124" s="98"/>
      <c r="APW124" s="98"/>
      <c r="APX124" s="98"/>
      <c r="APY124" s="98"/>
      <c r="APZ124" s="98"/>
      <c r="AQA124" s="98"/>
      <c r="AQB124" s="98"/>
      <c r="AQC124" s="98"/>
      <c r="AQD124" s="98"/>
      <c r="AQE124" s="98"/>
      <c r="AQF124" s="98"/>
      <c r="AQG124" s="98"/>
      <c r="AQH124" s="98"/>
      <c r="AQI124" s="98"/>
      <c r="AQJ124" s="98"/>
      <c r="AQK124" s="98"/>
      <c r="AQL124" s="98"/>
      <c r="AQM124" s="98"/>
      <c r="AQN124" s="98"/>
      <c r="AQO124" s="98"/>
      <c r="AQP124" s="98"/>
      <c r="AQQ124" s="98"/>
      <c r="AQR124" s="98"/>
      <c r="AQS124" s="98"/>
      <c r="AQT124" s="98"/>
      <c r="AQU124" s="98"/>
      <c r="AQV124" s="98"/>
      <c r="AQW124" s="98"/>
      <c r="AQX124" s="98"/>
      <c r="AQY124" s="98"/>
      <c r="AQZ124" s="98"/>
      <c r="ARA124" s="98"/>
      <c r="ARB124" s="98"/>
      <c r="ARC124" s="98"/>
      <c r="ARD124" s="98"/>
      <c r="ARE124" s="98"/>
      <c r="ARF124" s="98"/>
      <c r="ARG124" s="98"/>
      <c r="ARH124" s="98"/>
      <c r="ARI124" s="98"/>
      <c r="ARJ124" s="98"/>
      <c r="ARK124" s="98"/>
      <c r="ARL124" s="98"/>
      <c r="ARM124" s="98"/>
      <c r="ARN124" s="98"/>
      <c r="ARO124" s="98"/>
      <c r="ARP124" s="98"/>
      <c r="ARQ124" s="98"/>
      <c r="ARR124" s="98"/>
      <c r="ARS124" s="98"/>
    </row>
    <row r="125" spans="1:1163" s="174" customFormat="1">
      <c r="A125" s="140" t="s">
        <v>168</v>
      </c>
      <c r="B125" s="119" t="s">
        <v>67</v>
      </c>
      <c r="C125" s="201">
        <v>0</v>
      </c>
      <c r="D125" s="201">
        <v>0</v>
      </c>
      <c r="E125" s="201">
        <v>0</v>
      </c>
      <c r="F125" s="201">
        <v>0</v>
      </c>
      <c r="G125" s="201">
        <v>0</v>
      </c>
      <c r="H125" s="201">
        <v>0</v>
      </c>
      <c r="I125" s="201">
        <v>0</v>
      </c>
      <c r="J125" s="201">
        <v>0</v>
      </c>
      <c r="K125" s="201">
        <v>0</v>
      </c>
      <c r="L125" s="201">
        <v>0</v>
      </c>
      <c r="M125" s="201">
        <v>0</v>
      </c>
      <c r="N125" s="201">
        <v>0</v>
      </c>
      <c r="O125" s="201">
        <v>0</v>
      </c>
      <c r="P125" s="201">
        <v>0</v>
      </c>
      <c r="Q125" s="201">
        <v>0</v>
      </c>
      <c r="R125" s="201">
        <v>0</v>
      </c>
      <c r="S125" s="201">
        <v>0</v>
      </c>
      <c r="T125" s="201">
        <v>0</v>
      </c>
      <c r="U125" s="201">
        <v>0</v>
      </c>
      <c r="V125" s="201">
        <v>0</v>
      </c>
      <c r="W125" s="201">
        <v>0</v>
      </c>
      <c r="X125" s="201">
        <v>0</v>
      </c>
      <c r="Y125" s="201">
        <v>0</v>
      </c>
      <c r="Z125" s="201">
        <v>0</v>
      </c>
      <c r="AA125" s="201">
        <v>0</v>
      </c>
      <c r="AB125" s="201">
        <v>0</v>
      </c>
      <c r="AC125" s="201">
        <v>0</v>
      </c>
      <c r="AD125" s="201">
        <v>0</v>
      </c>
      <c r="AE125" s="201">
        <v>0</v>
      </c>
      <c r="AF125" s="201">
        <v>0</v>
      </c>
      <c r="AG125" s="201">
        <v>0</v>
      </c>
      <c r="AH125" s="201">
        <v>0</v>
      </c>
      <c r="AI125" s="201">
        <v>0</v>
      </c>
      <c r="AJ125" s="201">
        <v>0</v>
      </c>
      <c r="AK125" s="201">
        <v>0</v>
      </c>
      <c r="AL125" s="201">
        <v>0</v>
      </c>
      <c r="AM125" s="201">
        <v>0</v>
      </c>
      <c r="AN125" s="201">
        <v>0</v>
      </c>
      <c r="AO125" s="201">
        <v>0</v>
      </c>
      <c r="AP125" s="201">
        <v>0</v>
      </c>
      <c r="AQ125" s="201">
        <v>0</v>
      </c>
      <c r="AR125" s="201">
        <v>0</v>
      </c>
      <c r="AS125" s="201">
        <v>0</v>
      </c>
      <c r="AT125" s="201">
        <v>0</v>
      </c>
      <c r="AU125" s="201">
        <v>0</v>
      </c>
      <c r="AV125" s="201">
        <v>0</v>
      </c>
      <c r="AW125" s="201">
        <v>0</v>
      </c>
      <c r="AX125" s="201">
        <v>0</v>
      </c>
      <c r="AY125" s="175">
        <v>0</v>
      </c>
      <c r="AZ125" s="175">
        <v>0</v>
      </c>
      <c r="BA125" s="177"/>
      <c r="BB125" s="197"/>
      <c r="BC125" s="197"/>
      <c r="BD125" s="197"/>
      <c r="BE125" s="197"/>
      <c r="BF125" s="197"/>
      <c r="BG125" s="197"/>
      <c r="BH125" s="197"/>
      <c r="BI125" s="177"/>
      <c r="BJ125" s="98"/>
      <c r="BK125" s="148"/>
      <c r="BL125" s="148"/>
      <c r="BM125" s="148"/>
      <c r="BN125" s="14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c r="KT125" s="98"/>
      <c r="KU125" s="98"/>
      <c r="KV125" s="98"/>
      <c r="KW125" s="98"/>
      <c r="KX125" s="98"/>
      <c r="KY125" s="98"/>
      <c r="KZ125" s="98"/>
      <c r="LA125" s="98"/>
      <c r="LB125" s="98"/>
      <c r="LC125" s="98"/>
      <c r="LD125" s="98"/>
      <c r="LE125" s="98"/>
      <c r="LF125" s="98"/>
      <c r="LG125" s="98"/>
      <c r="LH125" s="98"/>
      <c r="LI125" s="98"/>
      <c r="LJ125" s="98"/>
      <c r="LK125" s="98"/>
      <c r="LL125" s="98"/>
      <c r="LM125" s="98"/>
      <c r="LN125" s="98"/>
      <c r="LO125" s="98"/>
      <c r="LP125" s="98"/>
      <c r="LQ125" s="98"/>
      <c r="LR125" s="98"/>
      <c r="LS125" s="98"/>
      <c r="LT125" s="98"/>
      <c r="LU125" s="98"/>
      <c r="LV125" s="98"/>
      <c r="LW125" s="98"/>
      <c r="LX125" s="98"/>
      <c r="LY125" s="98"/>
      <c r="LZ125" s="98"/>
      <c r="MA125" s="98"/>
      <c r="MB125" s="98"/>
      <c r="MC125" s="98"/>
      <c r="MD125" s="98"/>
      <c r="ME125" s="98"/>
      <c r="MF125" s="98"/>
      <c r="MG125" s="98"/>
      <c r="MH125" s="98"/>
      <c r="MI125" s="98"/>
      <c r="MJ125" s="98"/>
      <c r="MK125" s="98"/>
      <c r="ML125" s="98"/>
      <c r="MM125" s="98"/>
      <c r="MN125" s="98"/>
      <c r="MO125" s="98"/>
      <c r="MP125" s="98"/>
      <c r="MQ125" s="98"/>
      <c r="MR125" s="98"/>
      <c r="MS125" s="98"/>
      <c r="MT125" s="98"/>
      <c r="MU125" s="98"/>
      <c r="MV125" s="98"/>
      <c r="MW125" s="98"/>
      <c r="MX125" s="98"/>
      <c r="MY125" s="98"/>
      <c r="MZ125" s="98"/>
      <c r="NA125" s="98"/>
      <c r="NB125" s="98"/>
      <c r="NC125" s="98"/>
      <c r="ND125" s="98"/>
      <c r="NE125" s="98"/>
      <c r="NF125" s="98"/>
      <c r="NG125" s="98"/>
      <c r="NH125" s="98"/>
      <c r="NI125" s="98"/>
      <c r="NJ125" s="98"/>
      <c r="NK125" s="98"/>
      <c r="NL125" s="98"/>
      <c r="NM125" s="98"/>
      <c r="NN125" s="98"/>
      <c r="NO125" s="98"/>
      <c r="NP125" s="98"/>
      <c r="NQ125" s="98"/>
      <c r="NR125" s="98"/>
      <c r="NS125" s="98"/>
      <c r="NT125" s="98"/>
      <c r="NU125" s="98"/>
      <c r="NV125" s="98"/>
      <c r="NW125" s="98"/>
      <c r="NX125" s="98"/>
      <c r="NY125" s="98"/>
      <c r="NZ125" s="98"/>
      <c r="OA125" s="98"/>
      <c r="OB125" s="98"/>
      <c r="OC125" s="98"/>
      <c r="OD125" s="98"/>
      <c r="OE125" s="98"/>
      <c r="OF125" s="98"/>
      <c r="OG125" s="98"/>
      <c r="OH125" s="98"/>
      <c r="OI125" s="98"/>
      <c r="OJ125" s="98"/>
      <c r="OK125" s="98"/>
      <c r="OL125" s="98"/>
      <c r="OM125" s="98"/>
      <c r="ON125" s="98"/>
      <c r="OO125" s="98"/>
      <c r="OP125" s="98"/>
      <c r="OQ125" s="98"/>
      <c r="OR125" s="98"/>
      <c r="OS125" s="98"/>
      <c r="OT125" s="98"/>
      <c r="OU125" s="98"/>
      <c r="OV125" s="98"/>
      <c r="OW125" s="98"/>
      <c r="OX125" s="98"/>
      <c r="OY125" s="98"/>
      <c r="OZ125" s="98"/>
      <c r="PA125" s="98"/>
      <c r="PB125" s="98"/>
      <c r="PC125" s="98"/>
      <c r="PD125" s="98"/>
      <c r="PE125" s="98"/>
      <c r="PF125" s="98"/>
      <c r="PG125" s="98"/>
      <c r="PH125" s="98"/>
      <c r="PI125" s="98"/>
      <c r="PJ125" s="98"/>
      <c r="PK125" s="98"/>
      <c r="PL125" s="98"/>
      <c r="PM125" s="98"/>
      <c r="PN125" s="98"/>
      <c r="PO125" s="98"/>
      <c r="PP125" s="98"/>
      <c r="PQ125" s="98"/>
      <c r="PR125" s="98"/>
      <c r="PS125" s="98"/>
      <c r="PT125" s="98"/>
      <c r="PU125" s="98"/>
      <c r="PV125" s="98"/>
      <c r="PW125" s="98"/>
      <c r="PX125" s="98"/>
      <c r="PY125" s="98"/>
      <c r="PZ125" s="98"/>
      <c r="QA125" s="98"/>
      <c r="QB125" s="98"/>
      <c r="QC125" s="98"/>
      <c r="QD125" s="98"/>
      <c r="QE125" s="98"/>
      <c r="QF125" s="98"/>
      <c r="QG125" s="98"/>
      <c r="QH125" s="98"/>
      <c r="QI125" s="98"/>
      <c r="QJ125" s="98"/>
      <c r="QK125" s="98"/>
      <c r="QL125" s="98"/>
      <c r="QM125" s="98"/>
      <c r="QN125" s="98"/>
      <c r="QO125" s="98"/>
      <c r="QP125" s="98"/>
      <c r="QQ125" s="98"/>
      <c r="QR125" s="98"/>
      <c r="QS125" s="98"/>
      <c r="QT125" s="98"/>
      <c r="QU125" s="98"/>
      <c r="QV125" s="98"/>
      <c r="QW125" s="98"/>
      <c r="QX125" s="98"/>
      <c r="QY125" s="98"/>
      <c r="QZ125" s="98"/>
      <c r="RA125" s="98"/>
      <c r="RB125" s="98"/>
      <c r="RC125" s="98"/>
      <c r="RD125" s="98"/>
      <c r="RE125" s="98"/>
      <c r="RF125" s="98"/>
      <c r="RG125" s="98"/>
      <c r="RH125" s="98"/>
      <c r="RI125" s="98"/>
      <c r="RJ125" s="98"/>
      <c r="RK125" s="98"/>
      <c r="RL125" s="98"/>
      <c r="RM125" s="98"/>
      <c r="RN125" s="98"/>
      <c r="RO125" s="98"/>
      <c r="RP125" s="98"/>
      <c r="RQ125" s="98"/>
      <c r="RR125" s="98"/>
      <c r="RS125" s="98"/>
      <c r="RT125" s="98"/>
      <c r="RU125" s="98"/>
      <c r="RV125" s="98"/>
      <c r="RW125" s="98"/>
      <c r="RX125" s="98"/>
      <c r="RY125" s="98"/>
      <c r="RZ125" s="98"/>
      <c r="SA125" s="98"/>
      <c r="SB125" s="98"/>
      <c r="SC125" s="98"/>
      <c r="SD125" s="98"/>
      <c r="SE125" s="98"/>
      <c r="SF125" s="98"/>
      <c r="SG125" s="98"/>
      <c r="SH125" s="98"/>
      <c r="SI125" s="98"/>
      <c r="SJ125" s="98"/>
      <c r="SK125" s="98"/>
      <c r="SL125" s="98"/>
      <c r="SM125" s="98"/>
      <c r="SN125" s="98"/>
      <c r="SO125" s="98"/>
      <c r="SP125" s="98"/>
      <c r="SQ125" s="98"/>
      <c r="SR125" s="98"/>
      <c r="SS125" s="98"/>
      <c r="ST125" s="98"/>
      <c r="SU125" s="98"/>
      <c r="SV125" s="98"/>
      <c r="SW125" s="98"/>
      <c r="SX125" s="98"/>
      <c r="SY125" s="98"/>
      <c r="SZ125" s="98"/>
      <c r="TA125" s="98"/>
      <c r="TB125" s="98"/>
      <c r="TC125" s="98"/>
      <c r="TD125" s="98"/>
      <c r="TE125" s="98"/>
      <c r="TF125" s="98"/>
      <c r="TG125" s="98"/>
      <c r="TH125" s="98"/>
      <c r="TI125" s="98"/>
      <c r="TJ125" s="98"/>
      <c r="TK125" s="98"/>
      <c r="TL125" s="98"/>
      <c r="TM125" s="98"/>
      <c r="TN125" s="98"/>
      <c r="TO125" s="98"/>
      <c r="TP125" s="98"/>
      <c r="TQ125" s="98"/>
      <c r="TR125" s="98"/>
      <c r="TS125" s="98"/>
      <c r="TT125" s="98"/>
      <c r="TU125" s="98"/>
      <c r="TV125" s="98"/>
      <c r="TW125" s="98"/>
      <c r="TX125" s="98"/>
      <c r="TY125" s="98"/>
      <c r="TZ125" s="98"/>
      <c r="UA125" s="98"/>
      <c r="UB125" s="98"/>
      <c r="UC125" s="98"/>
      <c r="UD125" s="98"/>
      <c r="UE125" s="98"/>
      <c r="UF125" s="98"/>
      <c r="UG125" s="98"/>
      <c r="UH125" s="98"/>
      <c r="UI125" s="98"/>
      <c r="UJ125" s="98"/>
      <c r="UK125" s="98"/>
      <c r="UL125" s="98"/>
      <c r="UM125" s="98"/>
      <c r="UN125" s="98"/>
      <c r="UO125" s="98"/>
      <c r="UP125" s="98"/>
      <c r="UQ125" s="98"/>
      <c r="UR125" s="98"/>
      <c r="US125" s="98"/>
      <c r="UT125" s="98"/>
      <c r="UU125" s="98"/>
      <c r="UV125" s="98"/>
      <c r="UW125" s="98"/>
      <c r="UX125" s="98"/>
      <c r="UY125" s="98"/>
      <c r="UZ125" s="98"/>
      <c r="VA125" s="98"/>
      <c r="VB125" s="98"/>
      <c r="VC125" s="98"/>
      <c r="VD125" s="98"/>
      <c r="VE125" s="98"/>
      <c r="VF125" s="98"/>
      <c r="VG125" s="98"/>
      <c r="VH125" s="98"/>
      <c r="VI125" s="98"/>
      <c r="VJ125" s="98"/>
      <c r="VK125" s="98"/>
      <c r="VL125" s="98"/>
      <c r="VM125" s="98"/>
      <c r="VN125" s="98"/>
      <c r="VO125" s="98"/>
      <c r="VP125" s="98"/>
      <c r="VQ125" s="98"/>
      <c r="VR125" s="98"/>
      <c r="VS125" s="98"/>
      <c r="VT125" s="98"/>
      <c r="VU125" s="98"/>
      <c r="VV125" s="98"/>
      <c r="VW125" s="98"/>
      <c r="VX125" s="98"/>
      <c r="VY125" s="98"/>
      <c r="VZ125" s="98"/>
      <c r="WA125" s="98"/>
      <c r="WB125" s="98"/>
      <c r="WC125" s="98"/>
      <c r="WD125" s="98"/>
      <c r="WE125" s="98"/>
      <c r="WF125" s="98"/>
      <c r="WG125" s="98"/>
      <c r="WH125" s="98"/>
      <c r="WI125" s="98"/>
      <c r="WJ125" s="98"/>
      <c r="WK125" s="98"/>
      <c r="WL125" s="98"/>
      <c r="WM125" s="98"/>
      <c r="WN125" s="98"/>
      <c r="WO125" s="98"/>
      <c r="WP125" s="98"/>
      <c r="WQ125" s="98"/>
      <c r="WR125" s="98"/>
      <c r="WS125" s="98"/>
      <c r="WT125" s="98"/>
      <c r="WU125" s="98"/>
      <c r="WV125" s="98"/>
      <c r="WW125" s="98"/>
      <c r="WX125" s="98"/>
      <c r="WY125" s="98"/>
      <c r="WZ125" s="98"/>
      <c r="XA125" s="98"/>
      <c r="XB125" s="98"/>
      <c r="XC125" s="98"/>
      <c r="XD125" s="98"/>
      <c r="XE125" s="98"/>
      <c r="XF125" s="98"/>
      <c r="XG125" s="98"/>
      <c r="XH125" s="98"/>
      <c r="XI125" s="98"/>
      <c r="XJ125" s="98"/>
      <c r="XK125" s="98"/>
      <c r="XL125" s="98"/>
      <c r="XM125" s="98"/>
      <c r="XN125" s="98"/>
      <c r="XO125" s="98"/>
      <c r="XP125" s="98"/>
      <c r="XQ125" s="98"/>
      <c r="XR125" s="98"/>
      <c r="XS125" s="98"/>
      <c r="XT125" s="98"/>
      <c r="XU125" s="98"/>
      <c r="XV125" s="98"/>
      <c r="XW125" s="98"/>
      <c r="XX125" s="98"/>
      <c r="XY125" s="98"/>
      <c r="XZ125" s="98"/>
      <c r="YA125" s="98"/>
      <c r="YB125" s="98"/>
      <c r="YC125" s="98"/>
      <c r="YD125" s="98"/>
      <c r="YE125" s="98"/>
      <c r="YF125" s="98"/>
      <c r="YG125" s="98"/>
      <c r="YH125" s="98"/>
      <c r="YI125" s="98"/>
      <c r="YJ125" s="98"/>
      <c r="YK125" s="98"/>
      <c r="YL125" s="98"/>
      <c r="YM125" s="98"/>
      <c r="YN125" s="98"/>
      <c r="YO125" s="98"/>
      <c r="YP125" s="98"/>
      <c r="YQ125" s="98"/>
      <c r="YR125" s="98"/>
      <c r="YS125" s="98"/>
      <c r="YT125" s="98"/>
      <c r="YU125" s="98"/>
      <c r="YV125" s="98"/>
      <c r="YW125" s="98"/>
      <c r="YX125" s="98"/>
      <c r="YY125" s="98"/>
      <c r="YZ125" s="98"/>
      <c r="ZA125" s="98"/>
      <c r="ZB125" s="98"/>
      <c r="ZC125" s="98"/>
      <c r="ZD125" s="98"/>
      <c r="ZE125" s="98"/>
      <c r="ZF125" s="98"/>
      <c r="ZG125" s="98"/>
      <c r="ZH125" s="98"/>
      <c r="ZI125" s="98"/>
      <c r="ZJ125" s="98"/>
      <c r="ZK125" s="98"/>
      <c r="ZL125" s="98"/>
      <c r="ZM125" s="98"/>
      <c r="ZN125" s="98"/>
      <c r="ZO125" s="98"/>
      <c r="ZP125" s="98"/>
      <c r="ZQ125" s="98"/>
      <c r="ZR125" s="98"/>
      <c r="ZS125" s="98"/>
      <c r="ZT125" s="98"/>
      <c r="ZU125" s="98"/>
      <c r="ZV125" s="98"/>
      <c r="ZW125" s="98"/>
      <c r="ZX125" s="98"/>
      <c r="ZY125" s="98"/>
      <c r="ZZ125" s="98"/>
      <c r="AAA125" s="98"/>
      <c r="AAB125" s="98"/>
      <c r="AAC125" s="98"/>
      <c r="AAD125" s="98"/>
      <c r="AAE125" s="98"/>
      <c r="AAF125" s="98"/>
      <c r="AAG125" s="98"/>
      <c r="AAH125" s="98"/>
      <c r="AAI125" s="98"/>
      <c r="AAJ125" s="98"/>
      <c r="AAK125" s="98"/>
      <c r="AAL125" s="98"/>
      <c r="AAM125" s="98"/>
      <c r="AAN125" s="98"/>
      <c r="AAO125" s="98"/>
      <c r="AAP125" s="98"/>
      <c r="AAQ125" s="98"/>
      <c r="AAR125" s="98"/>
      <c r="AAS125" s="98"/>
      <c r="AAT125" s="98"/>
      <c r="AAU125" s="98"/>
      <c r="AAV125" s="98"/>
      <c r="AAW125" s="98"/>
      <c r="AAX125" s="98"/>
      <c r="AAY125" s="98"/>
      <c r="AAZ125" s="98"/>
      <c r="ABA125" s="98"/>
      <c r="ABB125" s="98"/>
      <c r="ABC125" s="98"/>
      <c r="ABD125" s="98"/>
      <c r="ABE125" s="98"/>
      <c r="ABF125" s="98"/>
      <c r="ABG125" s="98"/>
      <c r="ABH125" s="98"/>
      <c r="ABI125" s="98"/>
      <c r="ABJ125" s="98"/>
      <c r="ABK125" s="98"/>
      <c r="ABL125" s="98"/>
      <c r="ABM125" s="98"/>
      <c r="ABN125" s="98"/>
      <c r="ABO125" s="98"/>
      <c r="ABP125" s="98"/>
      <c r="ABQ125" s="98"/>
      <c r="ABR125" s="98"/>
      <c r="ABS125" s="98"/>
      <c r="ABT125" s="98"/>
      <c r="ABU125" s="98"/>
      <c r="ABV125" s="98"/>
      <c r="ABW125" s="98"/>
      <c r="ABX125" s="98"/>
      <c r="ABY125" s="98"/>
      <c r="ABZ125" s="98"/>
      <c r="ACA125" s="98"/>
      <c r="ACB125" s="98"/>
      <c r="ACC125" s="98"/>
      <c r="ACD125" s="98"/>
      <c r="ACE125" s="98"/>
      <c r="ACF125" s="98"/>
      <c r="ACG125" s="98"/>
      <c r="ACH125" s="98"/>
      <c r="ACI125" s="98"/>
      <c r="ACJ125" s="98"/>
      <c r="ACK125" s="98"/>
      <c r="ACL125" s="98"/>
      <c r="ACM125" s="98"/>
      <c r="ACN125" s="98"/>
      <c r="ACO125" s="98"/>
      <c r="ACP125" s="98"/>
      <c r="ACQ125" s="98"/>
      <c r="ACR125" s="98"/>
      <c r="ACS125" s="98"/>
      <c r="ACT125" s="98"/>
      <c r="ACU125" s="98"/>
      <c r="ACV125" s="98"/>
      <c r="ACW125" s="98"/>
      <c r="ACX125" s="98"/>
      <c r="ACY125" s="98"/>
      <c r="ACZ125" s="98"/>
      <c r="ADA125" s="98"/>
      <c r="ADB125" s="98"/>
      <c r="ADC125" s="98"/>
      <c r="ADD125" s="98"/>
      <c r="ADE125" s="98"/>
      <c r="ADF125" s="98"/>
      <c r="ADG125" s="98"/>
      <c r="ADH125" s="98"/>
      <c r="ADI125" s="98"/>
      <c r="ADJ125" s="98"/>
      <c r="ADK125" s="98"/>
      <c r="ADL125" s="98"/>
      <c r="ADM125" s="98"/>
      <c r="ADN125" s="98"/>
      <c r="ADO125" s="98"/>
      <c r="ADP125" s="98"/>
      <c r="ADQ125" s="98"/>
      <c r="ADR125" s="98"/>
      <c r="ADS125" s="98"/>
      <c r="ADT125" s="98"/>
      <c r="ADU125" s="98"/>
      <c r="ADV125" s="98"/>
      <c r="ADW125" s="98"/>
      <c r="ADX125" s="98"/>
      <c r="ADY125" s="98"/>
      <c r="ADZ125" s="98"/>
      <c r="AEA125" s="98"/>
      <c r="AEB125" s="98"/>
      <c r="AEC125" s="98"/>
      <c r="AED125" s="98"/>
      <c r="AEE125" s="98"/>
      <c r="AEF125" s="98"/>
      <c r="AEG125" s="98"/>
      <c r="AEH125" s="98"/>
      <c r="AEI125" s="98"/>
      <c r="AEJ125" s="98"/>
      <c r="AEK125" s="98"/>
      <c r="AEL125" s="98"/>
      <c r="AEM125" s="98"/>
      <c r="AEN125" s="98"/>
      <c r="AEO125" s="98"/>
      <c r="AEP125" s="98"/>
      <c r="AEQ125" s="98"/>
      <c r="AER125" s="98"/>
      <c r="AES125" s="98"/>
      <c r="AET125" s="98"/>
      <c r="AEU125" s="98"/>
      <c r="AEV125" s="98"/>
      <c r="AEW125" s="98"/>
      <c r="AEX125" s="98"/>
      <c r="AEY125" s="98"/>
      <c r="AEZ125" s="98"/>
      <c r="AFA125" s="98"/>
      <c r="AFB125" s="98"/>
      <c r="AFC125" s="98"/>
      <c r="AFD125" s="98"/>
      <c r="AFE125" s="98"/>
      <c r="AFF125" s="98"/>
      <c r="AFG125" s="98"/>
      <c r="AFH125" s="98"/>
      <c r="AFI125" s="98"/>
      <c r="AFJ125" s="98"/>
      <c r="AFK125" s="98"/>
      <c r="AFL125" s="98"/>
      <c r="AFM125" s="98"/>
      <c r="AFN125" s="98"/>
      <c r="AFO125" s="98"/>
      <c r="AFP125" s="98"/>
      <c r="AFQ125" s="98"/>
      <c r="AFR125" s="98"/>
      <c r="AFS125" s="98"/>
      <c r="AFT125" s="98"/>
      <c r="AFU125" s="98"/>
      <c r="AFV125" s="98"/>
      <c r="AFW125" s="98"/>
      <c r="AFX125" s="98"/>
      <c r="AFY125" s="98"/>
      <c r="AFZ125" s="98"/>
      <c r="AGA125" s="98"/>
      <c r="AGB125" s="98"/>
      <c r="AGC125" s="98"/>
      <c r="AGD125" s="98"/>
      <c r="AGE125" s="98"/>
      <c r="AGF125" s="98"/>
      <c r="AGG125" s="98"/>
      <c r="AGH125" s="98"/>
      <c r="AGI125" s="98"/>
      <c r="AGJ125" s="98"/>
      <c r="AGK125" s="98"/>
      <c r="AGL125" s="98"/>
      <c r="AGM125" s="98"/>
      <c r="AGN125" s="98"/>
      <c r="AGO125" s="98"/>
      <c r="AGP125" s="98"/>
      <c r="AGQ125" s="98"/>
      <c r="AGR125" s="98"/>
      <c r="AGS125" s="98"/>
      <c r="AGT125" s="98"/>
      <c r="AGU125" s="98"/>
      <c r="AGV125" s="98"/>
      <c r="AGW125" s="98"/>
      <c r="AGX125" s="98"/>
      <c r="AGY125" s="98"/>
      <c r="AGZ125" s="98"/>
      <c r="AHA125" s="98"/>
      <c r="AHB125" s="98"/>
      <c r="AHC125" s="98"/>
      <c r="AHD125" s="98"/>
      <c r="AHE125" s="98"/>
      <c r="AHF125" s="98"/>
      <c r="AHG125" s="98"/>
      <c r="AHH125" s="98"/>
      <c r="AHI125" s="98"/>
      <c r="AHJ125" s="98"/>
      <c r="AHK125" s="98"/>
      <c r="AHL125" s="98"/>
      <c r="AHM125" s="98"/>
      <c r="AHN125" s="98"/>
      <c r="AHO125" s="98"/>
      <c r="AHP125" s="98"/>
      <c r="AHQ125" s="98"/>
      <c r="AHR125" s="98"/>
      <c r="AHS125" s="98"/>
      <c r="AHT125" s="98"/>
      <c r="AHU125" s="98"/>
      <c r="AHV125" s="98"/>
      <c r="AHW125" s="98"/>
      <c r="AHX125" s="98"/>
      <c r="AHY125" s="98"/>
      <c r="AHZ125" s="98"/>
      <c r="AIA125" s="98"/>
      <c r="AIB125" s="98"/>
      <c r="AIC125" s="98"/>
      <c r="AID125" s="98"/>
      <c r="AIE125" s="98"/>
      <c r="AIF125" s="98"/>
      <c r="AIG125" s="98"/>
      <c r="AIH125" s="98"/>
      <c r="AII125" s="98"/>
      <c r="AIJ125" s="98"/>
      <c r="AIK125" s="98"/>
      <c r="AIL125" s="98"/>
      <c r="AIM125" s="98"/>
      <c r="AIN125" s="98"/>
      <c r="AIO125" s="98"/>
      <c r="AIP125" s="98"/>
      <c r="AIQ125" s="98"/>
      <c r="AIR125" s="98"/>
      <c r="AIS125" s="98"/>
      <c r="AIT125" s="98"/>
      <c r="AIU125" s="98"/>
      <c r="AIV125" s="98"/>
      <c r="AIW125" s="98"/>
      <c r="AIX125" s="98"/>
      <c r="AIY125" s="98"/>
      <c r="AIZ125" s="98"/>
      <c r="AJA125" s="98"/>
      <c r="AJB125" s="98"/>
      <c r="AJC125" s="98"/>
      <c r="AJD125" s="98"/>
      <c r="AJE125" s="98"/>
      <c r="AJF125" s="98"/>
      <c r="AJG125" s="98"/>
      <c r="AJH125" s="98"/>
      <c r="AJI125" s="98"/>
      <c r="AJJ125" s="98"/>
      <c r="AJK125" s="98"/>
      <c r="AJL125" s="98"/>
      <c r="AJM125" s="98"/>
      <c r="AJN125" s="98"/>
      <c r="AJO125" s="98"/>
      <c r="AJP125" s="98"/>
      <c r="AJQ125" s="98"/>
      <c r="AJR125" s="98"/>
      <c r="AJS125" s="98"/>
      <c r="AJT125" s="98"/>
      <c r="AJU125" s="98"/>
      <c r="AJV125" s="98"/>
      <c r="AJW125" s="98"/>
      <c r="AJX125" s="98"/>
      <c r="AJY125" s="98"/>
      <c r="AJZ125" s="98"/>
      <c r="AKA125" s="98"/>
      <c r="AKB125" s="98"/>
      <c r="AKC125" s="98"/>
      <c r="AKD125" s="98"/>
      <c r="AKE125" s="98"/>
      <c r="AKF125" s="98"/>
      <c r="AKG125" s="98"/>
      <c r="AKH125" s="98"/>
      <c r="AKI125" s="98"/>
      <c r="AKJ125" s="98"/>
      <c r="AKK125" s="98"/>
      <c r="AKL125" s="98"/>
      <c r="AKM125" s="98"/>
      <c r="AKN125" s="98"/>
      <c r="AKO125" s="98"/>
      <c r="AKP125" s="98"/>
      <c r="AKQ125" s="98"/>
      <c r="AKR125" s="98"/>
      <c r="AKS125" s="98"/>
      <c r="AKT125" s="98"/>
      <c r="AKU125" s="98"/>
      <c r="AKV125" s="98"/>
      <c r="AKW125" s="98"/>
      <c r="AKX125" s="98"/>
      <c r="AKY125" s="98"/>
      <c r="AKZ125" s="98"/>
      <c r="ALA125" s="98"/>
      <c r="ALB125" s="98"/>
      <c r="ALC125" s="98"/>
      <c r="ALD125" s="98"/>
      <c r="ALE125" s="98"/>
      <c r="ALF125" s="98"/>
      <c r="ALG125" s="98"/>
      <c r="ALH125" s="98"/>
      <c r="ALI125" s="98"/>
      <c r="ALJ125" s="98"/>
      <c r="ALK125" s="98"/>
      <c r="ALL125" s="98"/>
      <c r="ALM125" s="98"/>
      <c r="ALN125" s="98"/>
      <c r="ALO125" s="98"/>
      <c r="ALP125" s="98"/>
      <c r="ALQ125" s="98"/>
      <c r="ALR125" s="98"/>
      <c r="ALS125" s="98"/>
      <c r="ALT125" s="98"/>
      <c r="ALU125" s="98"/>
      <c r="ALV125" s="98"/>
      <c r="ALW125" s="98"/>
      <c r="ALX125" s="98"/>
      <c r="ALY125" s="98"/>
      <c r="ALZ125" s="98"/>
      <c r="AMA125" s="98"/>
      <c r="AMB125" s="98"/>
      <c r="AMC125" s="98"/>
      <c r="AMD125" s="98"/>
      <c r="AME125" s="98"/>
      <c r="AMF125" s="98"/>
      <c r="AMG125" s="98"/>
      <c r="AMH125" s="98"/>
      <c r="AMI125" s="98"/>
      <c r="AMJ125" s="98"/>
      <c r="AMK125" s="98"/>
      <c r="AML125" s="98"/>
      <c r="AMM125" s="98"/>
      <c r="AMN125" s="98"/>
      <c r="AMO125" s="98"/>
      <c r="AMP125" s="98"/>
      <c r="AMQ125" s="98"/>
      <c r="AMR125" s="98"/>
      <c r="AMS125" s="98"/>
      <c r="AMT125" s="98"/>
      <c r="AMU125" s="98"/>
      <c r="AMV125" s="98"/>
      <c r="AMW125" s="98"/>
      <c r="AMX125" s="98"/>
      <c r="AMY125" s="98"/>
      <c r="AMZ125" s="98"/>
      <c r="ANA125" s="98"/>
      <c r="ANB125" s="98"/>
      <c r="ANC125" s="98"/>
      <c r="AND125" s="98"/>
      <c r="ANE125" s="98"/>
      <c r="ANF125" s="98"/>
      <c r="ANG125" s="98"/>
      <c r="ANH125" s="98"/>
      <c r="ANI125" s="98"/>
      <c r="ANJ125" s="98"/>
      <c r="ANK125" s="98"/>
      <c r="ANL125" s="98"/>
      <c r="ANM125" s="98"/>
      <c r="ANN125" s="98"/>
      <c r="ANO125" s="98"/>
      <c r="ANP125" s="98"/>
      <c r="ANQ125" s="98"/>
      <c r="ANR125" s="98"/>
      <c r="ANS125" s="98"/>
      <c r="ANT125" s="98"/>
      <c r="ANU125" s="98"/>
      <c r="ANV125" s="98"/>
      <c r="ANW125" s="98"/>
      <c r="ANX125" s="98"/>
      <c r="ANY125" s="98"/>
      <c r="ANZ125" s="98"/>
      <c r="AOA125" s="98"/>
      <c r="AOB125" s="98"/>
      <c r="AOC125" s="98"/>
      <c r="AOD125" s="98"/>
      <c r="AOE125" s="98"/>
      <c r="AOF125" s="98"/>
      <c r="AOG125" s="98"/>
      <c r="AOH125" s="98"/>
      <c r="AOI125" s="98"/>
      <c r="AOJ125" s="98"/>
      <c r="AOK125" s="98"/>
      <c r="AOL125" s="98"/>
      <c r="AOM125" s="98"/>
      <c r="AON125" s="98"/>
      <c r="AOO125" s="98"/>
      <c r="AOP125" s="98"/>
      <c r="AOQ125" s="98"/>
      <c r="AOR125" s="98"/>
      <c r="AOS125" s="98"/>
      <c r="AOT125" s="98"/>
      <c r="AOU125" s="98"/>
      <c r="AOV125" s="98"/>
      <c r="AOW125" s="98"/>
      <c r="AOX125" s="98"/>
      <c r="AOY125" s="98"/>
      <c r="AOZ125" s="98"/>
      <c r="APA125" s="98"/>
      <c r="APB125" s="98"/>
      <c r="APC125" s="98"/>
      <c r="APD125" s="98"/>
      <c r="APE125" s="98"/>
      <c r="APF125" s="98"/>
      <c r="APG125" s="98"/>
      <c r="APH125" s="98"/>
      <c r="API125" s="98"/>
      <c r="APJ125" s="98"/>
      <c r="APK125" s="98"/>
      <c r="APL125" s="98"/>
      <c r="APM125" s="98"/>
      <c r="APN125" s="98"/>
      <c r="APO125" s="98"/>
      <c r="APP125" s="98"/>
      <c r="APQ125" s="98"/>
      <c r="APR125" s="98"/>
      <c r="APS125" s="98"/>
      <c r="APT125" s="98"/>
      <c r="APU125" s="98"/>
      <c r="APV125" s="98"/>
      <c r="APW125" s="98"/>
      <c r="APX125" s="98"/>
      <c r="APY125" s="98"/>
      <c r="APZ125" s="98"/>
      <c r="AQA125" s="98"/>
      <c r="AQB125" s="98"/>
      <c r="AQC125" s="98"/>
      <c r="AQD125" s="98"/>
      <c r="AQE125" s="98"/>
      <c r="AQF125" s="98"/>
      <c r="AQG125" s="98"/>
      <c r="AQH125" s="98"/>
      <c r="AQI125" s="98"/>
      <c r="AQJ125" s="98"/>
      <c r="AQK125" s="98"/>
      <c r="AQL125" s="98"/>
      <c r="AQM125" s="98"/>
      <c r="AQN125" s="98"/>
      <c r="AQO125" s="98"/>
      <c r="AQP125" s="98"/>
      <c r="AQQ125" s="98"/>
      <c r="AQR125" s="98"/>
      <c r="AQS125" s="98"/>
      <c r="AQT125" s="98"/>
      <c r="AQU125" s="98"/>
      <c r="AQV125" s="98"/>
      <c r="AQW125" s="98"/>
      <c r="AQX125" s="98"/>
      <c r="AQY125" s="98"/>
      <c r="AQZ125" s="98"/>
      <c r="ARA125" s="98"/>
      <c r="ARB125" s="98"/>
      <c r="ARC125" s="98"/>
      <c r="ARD125" s="98"/>
      <c r="ARE125" s="98"/>
      <c r="ARF125" s="98"/>
      <c r="ARG125" s="98"/>
      <c r="ARH125" s="98"/>
      <c r="ARI125" s="98"/>
      <c r="ARJ125" s="98"/>
      <c r="ARK125" s="98"/>
      <c r="ARL125" s="98"/>
      <c r="ARM125" s="98"/>
      <c r="ARN125" s="98"/>
      <c r="ARO125" s="98"/>
      <c r="ARP125" s="98"/>
      <c r="ARQ125" s="98"/>
      <c r="ARR125" s="98"/>
      <c r="ARS125" s="98"/>
    </row>
    <row r="126" spans="1:1163" s="174" customFormat="1">
      <c r="A126" s="140" t="s">
        <v>169</v>
      </c>
      <c r="B126" s="119" t="s">
        <v>67</v>
      </c>
      <c r="C126" s="175">
        <v>78734</v>
      </c>
      <c r="D126" s="175">
        <v>14822327</v>
      </c>
      <c r="E126" s="175">
        <v>10978</v>
      </c>
      <c r="F126" s="175">
        <v>3684252</v>
      </c>
      <c r="G126" s="175">
        <v>10715</v>
      </c>
      <c r="H126" s="175">
        <v>4148454</v>
      </c>
      <c r="I126" s="175">
        <v>16236</v>
      </c>
      <c r="J126" s="175">
        <v>6823064</v>
      </c>
      <c r="K126" s="175">
        <v>12877</v>
      </c>
      <c r="L126" s="175">
        <v>5485523</v>
      </c>
      <c r="M126" s="175">
        <v>15592</v>
      </c>
      <c r="N126" s="175">
        <v>6767117</v>
      </c>
      <c r="O126" s="175">
        <v>17755</v>
      </c>
      <c r="P126" s="175">
        <v>9047127</v>
      </c>
      <c r="Q126" s="175">
        <v>14747</v>
      </c>
      <c r="R126" s="175">
        <v>9470735</v>
      </c>
      <c r="S126" s="175">
        <v>11766</v>
      </c>
      <c r="T126" s="175">
        <v>8501662</v>
      </c>
      <c r="U126" s="197">
        <v>9573</v>
      </c>
      <c r="V126" s="197">
        <v>7221337</v>
      </c>
      <c r="W126" s="197">
        <v>11767</v>
      </c>
      <c r="X126" s="197">
        <v>8802975</v>
      </c>
      <c r="Y126" s="197">
        <v>10514</v>
      </c>
      <c r="Z126" s="197">
        <v>7831157</v>
      </c>
      <c r="AA126" s="209">
        <v>7173</v>
      </c>
      <c r="AB126" s="209">
        <v>2155801</v>
      </c>
      <c r="AC126" s="175">
        <v>5012</v>
      </c>
      <c r="AD126" s="175">
        <v>1452698</v>
      </c>
      <c r="AE126" s="201">
        <v>6654</v>
      </c>
      <c r="AF126" s="201">
        <v>1914960</v>
      </c>
      <c r="AG126" s="201">
        <v>3093</v>
      </c>
      <c r="AH126" s="201">
        <v>876904</v>
      </c>
      <c r="AI126" s="201">
        <v>0</v>
      </c>
      <c r="AJ126" s="201">
        <v>0</v>
      </c>
      <c r="AK126" s="197">
        <v>0</v>
      </c>
      <c r="AL126" s="197">
        <v>0</v>
      </c>
      <c r="AM126" s="197">
        <v>0</v>
      </c>
      <c r="AN126" s="197">
        <v>0</v>
      </c>
      <c r="AO126" s="201">
        <v>0</v>
      </c>
      <c r="AP126" s="201">
        <v>0</v>
      </c>
      <c r="AQ126" s="201">
        <v>0</v>
      </c>
      <c r="AR126" s="201">
        <v>0</v>
      </c>
      <c r="AS126" s="201">
        <v>0</v>
      </c>
      <c r="AT126" s="201">
        <v>0</v>
      </c>
      <c r="AU126" s="201">
        <v>0</v>
      </c>
      <c r="AV126" s="201">
        <v>0</v>
      </c>
      <c r="AW126" s="197">
        <v>0</v>
      </c>
      <c r="AX126" s="197">
        <v>0</v>
      </c>
      <c r="AY126" s="175">
        <v>0</v>
      </c>
      <c r="AZ126" s="175">
        <v>0</v>
      </c>
      <c r="BA126" s="143"/>
      <c r="BB126" s="175"/>
      <c r="BC126" s="175"/>
      <c r="BD126" s="175"/>
      <c r="BE126" s="181"/>
      <c r="BF126" s="175"/>
      <c r="BG126" s="175"/>
      <c r="BH126" s="175"/>
      <c r="BI126" s="143"/>
      <c r="BJ126" s="98"/>
      <c r="BK126" s="148"/>
      <c r="BL126" s="148"/>
      <c r="BM126" s="148"/>
      <c r="BN126" s="14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98"/>
      <c r="EN126" s="98"/>
      <c r="EO126" s="98"/>
      <c r="EP126" s="98"/>
      <c r="EQ126" s="98"/>
      <c r="ER126" s="98"/>
      <c r="ES126" s="98"/>
      <c r="ET126" s="98"/>
      <c r="EU126" s="98"/>
      <c r="EV126" s="98"/>
      <c r="EW126" s="98"/>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c r="IW126" s="98"/>
      <c r="IX126" s="98"/>
      <c r="IY126" s="98"/>
      <c r="IZ126" s="98"/>
      <c r="JA126" s="98"/>
      <c r="JB126" s="98"/>
      <c r="JC126" s="98"/>
      <c r="JD126" s="98"/>
      <c r="JE126" s="98"/>
      <c r="JF126" s="98"/>
      <c r="JG126" s="98"/>
      <c r="JH126" s="98"/>
      <c r="JI126" s="98"/>
      <c r="JJ126" s="98"/>
      <c r="JK126" s="98"/>
      <c r="JL126" s="98"/>
      <c r="JM126" s="98"/>
      <c r="JN126" s="98"/>
      <c r="JO126" s="98"/>
      <c r="JP126" s="98"/>
      <c r="JQ126" s="98"/>
      <c r="JR126" s="98"/>
      <c r="JS126" s="98"/>
      <c r="JT126" s="98"/>
      <c r="JU126" s="98"/>
      <c r="JV126" s="98"/>
      <c r="JW126" s="98"/>
      <c r="JX126" s="98"/>
      <c r="JY126" s="98"/>
      <c r="JZ126" s="98"/>
      <c r="KA126" s="98"/>
      <c r="KB126" s="98"/>
      <c r="KC126" s="98"/>
      <c r="KD126" s="98"/>
      <c r="KE126" s="98"/>
      <c r="KF126" s="98"/>
      <c r="KG126" s="98"/>
      <c r="KH126" s="98"/>
      <c r="KI126" s="98"/>
      <c r="KJ126" s="98"/>
      <c r="KK126" s="98"/>
      <c r="KL126" s="98"/>
      <c r="KM126" s="98"/>
      <c r="KN126" s="98"/>
      <c r="KO126" s="98"/>
      <c r="KP126" s="98"/>
      <c r="KQ126" s="98"/>
      <c r="KR126" s="98"/>
      <c r="KS126" s="98"/>
      <c r="KT126" s="98"/>
      <c r="KU126" s="98"/>
      <c r="KV126" s="98"/>
      <c r="KW126" s="98"/>
      <c r="KX126" s="98"/>
      <c r="KY126" s="98"/>
      <c r="KZ126" s="98"/>
      <c r="LA126" s="98"/>
      <c r="LB126" s="98"/>
      <c r="LC126" s="98"/>
      <c r="LD126" s="98"/>
      <c r="LE126" s="98"/>
      <c r="LF126" s="98"/>
      <c r="LG126" s="98"/>
      <c r="LH126" s="98"/>
      <c r="LI126" s="98"/>
      <c r="LJ126" s="98"/>
      <c r="LK126" s="98"/>
      <c r="LL126" s="98"/>
      <c r="LM126" s="98"/>
      <c r="LN126" s="98"/>
      <c r="LO126" s="98"/>
      <c r="LP126" s="98"/>
      <c r="LQ126" s="98"/>
      <c r="LR126" s="98"/>
      <c r="LS126" s="98"/>
      <c r="LT126" s="98"/>
      <c r="LU126" s="98"/>
      <c r="LV126" s="98"/>
      <c r="LW126" s="98"/>
      <c r="LX126" s="98"/>
      <c r="LY126" s="98"/>
      <c r="LZ126" s="98"/>
      <c r="MA126" s="98"/>
      <c r="MB126" s="98"/>
      <c r="MC126" s="98"/>
      <c r="MD126" s="98"/>
      <c r="ME126" s="98"/>
      <c r="MF126" s="98"/>
      <c r="MG126" s="98"/>
      <c r="MH126" s="98"/>
      <c r="MI126" s="98"/>
      <c r="MJ126" s="98"/>
      <c r="MK126" s="98"/>
      <c r="ML126" s="98"/>
      <c r="MM126" s="98"/>
      <c r="MN126" s="98"/>
      <c r="MO126" s="98"/>
      <c r="MP126" s="98"/>
      <c r="MQ126" s="98"/>
      <c r="MR126" s="98"/>
      <c r="MS126" s="98"/>
      <c r="MT126" s="98"/>
      <c r="MU126" s="98"/>
      <c r="MV126" s="98"/>
      <c r="MW126" s="98"/>
      <c r="MX126" s="98"/>
      <c r="MY126" s="98"/>
      <c r="MZ126" s="98"/>
      <c r="NA126" s="98"/>
      <c r="NB126" s="98"/>
      <c r="NC126" s="98"/>
      <c r="ND126" s="98"/>
      <c r="NE126" s="98"/>
      <c r="NF126" s="98"/>
      <c r="NG126" s="98"/>
      <c r="NH126" s="98"/>
      <c r="NI126" s="98"/>
      <c r="NJ126" s="98"/>
      <c r="NK126" s="98"/>
      <c r="NL126" s="98"/>
      <c r="NM126" s="98"/>
      <c r="NN126" s="98"/>
      <c r="NO126" s="98"/>
      <c r="NP126" s="98"/>
      <c r="NQ126" s="98"/>
      <c r="NR126" s="98"/>
      <c r="NS126" s="98"/>
      <c r="NT126" s="98"/>
      <c r="NU126" s="98"/>
      <c r="NV126" s="98"/>
      <c r="NW126" s="98"/>
      <c r="NX126" s="98"/>
      <c r="NY126" s="98"/>
      <c r="NZ126" s="98"/>
      <c r="OA126" s="98"/>
      <c r="OB126" s="98"/>
      <c r="OC126" s="98"/>
      <c r="OD126" s="98"/>
      <c r="OE126" s="98"/>
      <c r="OF126" s="98"/>
      <c r="OG126" s="98"/>
      <c r="OH126" s="98"/>
      <c r="OI126" s="98"/>
      <c r="OJ126" s="98"/>
      <c r="OK126" s="98"/>
      <c r="OL126" s="98"/>
      <c r="OM126" s="98"/>
      <c r="ON126" s="98"/>
      <c r="OO126" s="98"/>
      <c r="OP126" s="98"/>
      <c r="OQ126" s="98"/>
      <c r="OR126" s="98"/>
      <c r="OS126" s="98"/>
      <c r="OT126" s="98"/>
      <c r="OU126" s="98"/>
      <c r="OV126" s="98"/>
      <c r="OW126" s="98"/>
      <c r="OX126" s="98"/>
      <c r="OY126" s="98"/>
      <c r="OZ126" s="98"/>
      <c r="PA126" s="98"/>
      <c r="PB126" s="98"/>
      <c r="PC126" s="98"/>
      <c r="PD126" s="98"/>
      <c r="PE126" s="98"/>
      <c r="PF126" s="98"/>
      <c r="PG126" s="98"/>
      <c r="PH126" s="98"/>
      <c r="PI126" s="98"/>
      <c r="PJ126" s="98"/>
      <c r="PK126" s="98"/>
      <c r="PL126" s="98"/>
      <c r="PM126" s="98"/>
      <c r="PN126" s="98"/>
      <c r="PO126" s="98"/>
      <c r="PP126" s="98"/>
      <c r="PQ126" s="98"/>
      <c r="PR126" s="98"/>
      <c r="PS126" s="98"/>
      <c r="PT126" s="98"/>
      <c r="PU126" s="98"/>
      <c r="PV126" s="98"/>
      <c r="PW126" s="98"/>
      <c r="PX126" s="98"/>
      <c r="PY126" s="98"/>
      <c r="PZ126" s="98"/>
      <c r="QA126" s="98"/>
      <c r="QB126" s="98"/>
      <c r="QC126" s="98"/>
      <c r="QD126" s="98"/>
      <c r="QE126" s="98"/>
      <c r="QF126" s="98"/>
      <c r="QG126" s="98"/>
      <c r="QH126" s="98"/>
      <c r="QI126" s="98"/>
      <c r="QJ126" s="98"/>
      <c r="QK126" s="98"/>
      <c r="QL126" s="98"/>
      <c r="QM126" s="98"/>
      <c r="QN126" s="98"/>
      <c r="QO126" s="98"/>
      <c r="QP126" s="98"/>
      <c r="QQ126" s="98"/>
      <c r="QR126" s="98"/>
      <c r="QS126" s="98"/>
      <c r="QT126" s="98"/>
      <c r="QU126" s="98"/>
      <c r="QV126" s="98"/>
      <c r="QW126" s="98"/>
      <c r="QX126" s="98"/>
      <c r="QY126" s="98"/>
      <c r="QZ126" s="98"/>
      <c r="RA126" s="98"/>
      <c r="RB126" s="98"/>
      <c r="RC126" s="98"/>
      <c r="RD126" s="98"/>
      <c r="RE126" s="98"/>
      <c r="RF126" s="98"/>
      <c r="RG126" s="98"/>
      <c r="RH126" s="98"/>
      <c r="RI126" s="98"/>
      <c r="RJ126" s="98"/>
      <c r="RK126" s="98"/>
      <c r="RL126" s="98"/>
      <c r="RM126" s="98"/>
      <c r="RN126" s="98"/>
      <c r="RO126" s="98"/>
      <c r="RP126" s="98"/>
      <c r="RQ126" s="98"/>
      <c r="RR126" s="98"/>
      <c r="RS126" s="98"/>
      <c r="RT126" s="98"/>
      <c r="RU126" s="98"/>
      <c r="RV126" s="98"/>
      <c r="RW126" s="98"/>
      <c r="RX126" s="98"/>
      <c r="RY126" s="98"/>
      <c r="RZ126" s="98"/>
      <c r="SA126" s="98"/>
      <c r="SB126" s="98"/>
      <c r="SC126" s="98"/>
      <c r="SD126" s="98"/>
      <c r="SE126" s="98"/>
      <c r="SF126" s="98"/>
      <c r="SG126" s="98"/>
      <c r="SH126" s="98"/>
      <c r="SI126" s="98"/>
      <c r="SJ126" s="98"/>
      <c r="SK126" s="98"/>
      <c r="SL126" s="98"/>
      <c r="SM126" s="98"/>
      <c r="SN126" s="98"/>
      <c r="SO126" s="98"/>
      <c r="SP126" s="98"/>
      <c r="SQ126" s="98"/>
      <c r="SR126" s="98"/>
      <c r="SS126" s="98"/>
      <c r="ST126" s="98"/>
      <c r="SU126" s="98"/>
      <c r="SV126" s="98"/>
      <c r="SW126" s="98"/>
      <c r="SX126" s="98"/>
      <c r="SY126" s="98"/>
      <c r="SZ126" s="98"/>
      <c r="TA126" s="98"/>
      <c r="TB126" s="98"/>
      <c r="TC126" s="98"/>
      <c r="TD126" s="98"/>
      <c r="TE126" s="98"/>
      <c r="TF126" s="98"/>
      <c r="TG126" s="98"/>
      <c r="TH126" s="98"/>
      <c r="TI126" s="98"/>
      <c r="TJ126" s="98"/>
      <c r="TK126" s="98"/>
      <c r="TL126" s="98"/>
      <c r="TM126" s="98"/>
      <c r="TN126" s="98"/>
      <c r="TO126" s="98"/>
      <c r="TP126" s="98"/>
      <c r="TQ126" s="98"/>
      <c r="TR126" s="98"/>
      <c r="TS126" s="98"/>
      <c r="TT126" s="98"/>
      <c r="TU126" s="98"/>
      <c r="TV126" s="98"/>
      <c r="TW126" s="98"/>
      <c r="TX126" s="98"/>
      <c r="TY126" s="98"/>
      <c r="TZ126" s="98"/>
      <c r="UA126" s="98"/>
      <c r="UB126" s="98"/>
      <c r="UC126" s="98"/>
      <c r="UD126" s="98"/>
      <c r="UE126" s="98"/>
      <c r="UF126" s="98"/>
      <c r="UG126" s="98"/>
      <c r="UH126" s="98"/>
      <c r="UI126" s="98"/>
      <c r="UJ126" s="98"/>
      <c r="UK126" s="98"/>
      <c r="UL126" s="98"/>
      <c r="UM126" s="98"/>
      <c r="UN126" s="98"/>
      <c r="UO126" s="98"/>
      <c r="UP126" s="98"/>
      <c r="UQ126" s="98"/>
      <c r="UR126" s="98"/>
      <c r="US126" s="98"/>
      <c r="UT126" s="98"/>
      <c r="UU126" s="98"/>
      <c r="UV126" s="98"/>
      <c r="UW126" s="98"/>
      <c r="UX126" s="98"/>
      <c r="UY126" s="98"/>
      <c r="UZ126" s="98"/>
      <c r="VA126" s="98"/>
      <c r="VB126" s="98"/>
      <c r="VC126" s="98"/>
      <c r="VD126" s="98"/>
      <c r="VE126" s="98"/>
      <c r="VF126" s="98"/>
      <c r="VG126" s="98"/>
      <c r="VH126" s="98"/>
      <c r="VI126" s="98"/>
      <c r="VJ126" s="98"/>
      <c r="VK126" s="98"/>
      <c r="VL126" s="98"/>
      <c r="VM126" s="98"/>
      <c r="VN126" s="98"/>
      <c r="VO126" s="98"/>
      <c r="VP126" s="98"/>
      <c r="VQ126" s="98"/>
      <c r="VR126" s="98"/>
      <c r="VS126" s="98"/>
      <c r="VT126" s="98"/>
      <c r="VU126" s="98"/>
      <c r="VV126" s="98"/>
      <c r="VW126" s="98"/>
      <c r="VX126" s="98"/>
      <c r="VY126" s="98"/>
      <c r="VZ126" s="98"/>
      <c r="WA126" s="98"/>
      <c r="WB126" s="98"/>
      <c r="WC126" s="98"/>
      <c r="WD126" s="98"/>
      <c r="WE126" s="98"/>
      <c r="WF126" s="98"/>
      <c r="WG126" s="98"/>
      <c r="WH126" s="98"/>
      <c r="WI126" s="98"/>
      <c r="WJ126" s="98"/>
      <c r="WK126" s="98"/>
      <c r="WL126" s="98"/>
      <c r="WM126" s="98"/>
      <c r="WN126" s="98"/>
      <c r="WO126" s="98"/>
      <c r="WP126" s="98"/>
      <c r="WQ126" s="98"/>
      <c r="WR126" s="98"/>
      <c r="WS126" s="98"/>
      <c r="WT126" s="98"/>
      <c r="WU126" s="98"/>
      <c r="WV126" s="98"/>
      <c r="WW126" s="98"/>
      <c r="WX126" s="98"/>
      <c r="WY126" s="98"/>
      <c r="WZ126" s="98"/>
      <c r="XA126" s="98"/>
      <c r="XB126" s="98"/>
      <c r="XC126" s="98"/>
      <c r="XD126" s="98"/>
      <c r="XE126" s="98"/>
      <c r="XF126" s="98"/>
      <c r="XG126" s="98"/>
      <c r="XH126" s="98"/>
      <c r="XI126" s="98"/>
      <c r="XJ126" s="98"/>
      <c r="XK126" s="98"/>
      <c r="XL126" s="98"/>
      <c r="XM126" s="98"/>
      <c r="XN126" s="98"/>
      <c r="XO126" s="98"/>
      <c r="XP126" s="98"/>
      <c r="XQ126" s="98"/>
      <c r="XR126" s="98"/>
      <c r="XS126" s="98"/>
      <c r="XT126" s="98"/>
      <c r="XU126" s="98"/>
      <c r="XV126" s="98"/>
      <c r="XW126" s="98"/>
      <c r="XX126" s="98"/>
      <c r="XY126" s="98"/>
      <c r="XZ126" s="98"/>
      <c r="YA126" s="98"/>
      <c r="YB126" s="98"/>
      <c r="YC126" s="98"/>
      <c r="YD126" s="98"/>
      <c r="YE126" s="98"/>
      <c r="YF126" s="98"/>
      <c r="YG126" s="98"/>
      <c r="YH126" s="98"/>
      <c r="YI126" s="98"/>
      <c r="YJ126" s="98"/>
      <c r="YK126" s="98"/>
      <c r="YL126" s="98"/>
      <c r="YM126" s="98"/>
      <c r="YN126" s="98"/>
      <c r="YO126" s="98"/>
      <c r="YP126" s="98"/>
      <c r="YQ126" s="98"/>
      <c r="YR126" s="98"/>
      <c r="YS126" s="98"/>
      <c r="YT126" s="98"/>
      <c r="YU126" s="98"/>
      <c r="YV126" s="98"/>
      <c r="YW126" s="98"/>
      <c r="YX126" s="98"/>
      <c r="YY126" s="98"/>
      <c r="YZ126" s="98"/>
      <c r="ZA126" s="98"/>
      <c r="ZB126" s="98"/>
      <c r="ZC126" s="98"/>
      <c r="ZD126" s="98"/>
      <c r="ZE126" s="98"/>
      <c r="ZF126" s="98"/>
      <c r="ZG126" s="98"/>
      <c r="ZH126" s="98"/>
      <c r="ZI126" s="98"/>
      <c r="ZJ126" s="98"/>
      <c r="ZK126" s="98"/>
      <c r="ZL126" s="98"/>
      <c r="ZM126" s="98"/>
      <c r="ZN126" s="98"/>
      <c r="ZO126" s="98"/>
      <c r="ZP126" s="98"/>
      <c r="ZQ126" s="98"/>
      <c r="ZR126" s="98"/>
      <c r="ZS126" s="98"/>
      <c r="ZT126" s="98"/>
      <c r="ZU126" s="98"/>
      <c r="ZV126" s="98"/>
      <c r="ZW126" s="98"/>
      <c r="ZX126" s="98"/>
      <c r="ZY126" s="98"/>
      <c r="ZZ126" s="98"/>
      <c r="AAA126" s="98"/>
      <c r="AAB126" s="98"/>
      <c r="AAC126" s="98"/>
      <c r="AAD126" s="98"/>
      <c r="AAE126" s="98"/>
      <c r="AAF126" s="98"/>
      <c r="AAG126" s="98"/>
      <c r="AAH126" s="98"/>
      <c r="AAI126" s="98"/>
      <c r="AAJ126" s="98"/>
      <c r="AAK126" s="98"/>
      <c r="AAL126" s="98"/>
      <c r="AAM126" s="98"/>
      <c r="AAN126" s="98"/>
      <c r="AAO126" s="98"/>
      <c r="AAP126" s="98"/>
      <c r="AAQ126" s="98"/>
      <c r="AAR126" s="98"/>
      <c r="AAS126" s="98"/>
      <c r="AAT126" s="98"/>
      <c r="AAU126" s="98"/>
      <c r="AAV126" s="98"/>
      <c r="AAW126" s="98"/>
      <c r="AAX126" s="98"/>
      <c r="AAY126" s="98"/>
      <c r="AAZ126" s="98"/>
      <c r="ABA126" s="98"/>
      <c r="ABB126" s="98"/>
      <c r="ABC126" s="98"/>
      <c r="ABD126" s="98"/>
      <c r="ABE126" s="98"/>
      <c r="ABF126" s="98"/>
      <c r="ABG126" s="98"/>
      <c r="ABH126" s="98"/>
      <c r="ABI126" s="98"/>
      <c r="ABJ126" s="98"/>
      <c r="ABK126" s="98"/>
      <c r="ABL126" s="98"/>
      <c r="ABM126" s="98"/>
      <c r="ABN126" s="98"/>
      <c r="ABO126" s="98"/>
      <c r="ABP126" s="98"/>
      <c r="ABQ126" s="98"/>
      <c r="ABR126" s="98"/>
      <c r="ABS126" s="98"/>
      <c r="ABT126" s="98"/>
      <c r="ABU126" s="98"/>
      <c r="ABV126" s="98"/>
      <c r="ABW126" s="98"/>
      <c r="ABX126" s="98"/>
      <c r="ABY126" s="98"/>
      <c r="ABZ126" s="98"/>
      <c r="ACA126" s="98"/>
      <c r="ACB126" s="98"/>
      <c r="ACC126" s="98"/>
      <c r="ACD126" s="98"/>
      <c r="ACE126" s="98"/>
      <c r="ACF126" s="98"/>
      <c r="ACG126" s="98"/>
      <c r="ACH126" s="98"/>
      <c r="ACI126" s="98"/>
      <c r="ACJ126" s="98"/>
      <c r="ACK126" s="98"/>
      <c r="ACL126" s="98"/>
      <c r="ACM126" s="98"/>
      <c r="ACN126" s="98"/>
      <c r="ACO126" s="98"/>
      <c r="ACP126" s="98"/>
      <c r="ACQ126" s="98"/>
      <c r="ACR126" s="98"/>
      <c r="ACS126" s="98"/>
      <c r="ACT126" s="98"/>
      <c r="ACU126" s="98"/>
      <c r="ACV126" s="98"/>
      <c r="ACW126" s="98"/>
      <c r="ACX126" s="98"/>
      <c r="ACY126" s="98"/>
      <c r="ACZ126" s="98"/>
      <c r="ADA126" s="98"/>
      <c r="ADB126" s="98"/>
      <c r="ADC126" s="98"/>
      <c r="ADD126" s="98"/>
      <c r="ADE126" s="98"/>
      <c r="ADF126" s="98"/>
      <c r="ADG126" s="98"/>
      <c r="ADH126" s="98"/>
      <c r="ADI126" s="98"/>
      <c r="ADJ126" s="98"/>
      <c r="ADK126" s="98"/>
      <c r="ADL126" s="98"/>
      <c r="ADM126" s="98"/>
      <c r="ADN126" s="98"/>
      <c r="ADO126" s="98"/>
      <c r="ADP126" s="98"/>
      <c r="ADQ126" s="98"/>
      <c r="ADR126" s="98"/>
      <c r="ADS126" s="98"/>
      <c r="ADT126" s="98"/>
      <c r="ADU126" s="98"/>
      <c r="ADV126" s="98"/>
      <c r="ADW126" s="98"/>
      <c r="ADX126" s="98"/>
      <c r="ADY126" s="98"/>
      <c r="ADZ126" s="98"/>
      <c r="AEA126" s="98"/>
      <c r="AEB126" s="98"/>
      <c r="AEC126" s="98"/>
      <c r="AED126" s="98"/>
      <c r="AEE126" s="98"/>
      <c r="AEF126" s="98"/>
      <c r="AEG126" s="98"/>
      <c r="AEH126" s="98"/>
      <c r="AEI126" s="98"/>
      <c r="AEJ126" s="98"/>
      <c r="AEK126" s="98"/>
      <c r="AEL126" s="98"/>
      <c r="AEM126" s="98"/>
      <c r="AEN126" s="98"/>
      <c r="AEO126" s="98"/>
      <c r="AEP126" s="98"/>
      <c r="AEQ126" s="98"/>
      <c r="AER126" s="98"/>
      <c r="AES126" s="98"/>
      <c r="AET126" s="98"/>
      <c r="AEU126" s="98"/>
      <c r="AEV126" s="98"/>
      <c r="AEW126" s="98"/>
      <c r="AEX126" s="98"/>
      <c r="AEY126" s="98"/>
      <c r="AEZ126" s="98"/>
      <c r="AFA126" s="98"/>
      <c r="AFB126" s="98"/>
      <c r="AFC126" s="98"/>
      <c r="AFD126" s="98"/>
      <c r="AFE126" s="98"/>
      <c r="AFF126" s="98"/>
      <c r="AFG126" s="98"/>
      <c r="AFH126" s="98"/>
      <c r="AFI126" s="98"/>
      <c r="AFJ126" s="98"/>
      <c r="AFK126" s="98"/>
      <c r="AFL126" s="98"/>
      <c r="AFM126" s="98"/>
      <c r="AFN126" s="98"/>
      <c r="AFO126" s="98"/>
      <c r="AFP126" s="98"/>
      <c r="AFQ126" s="98"/>
      <c r="AFR126" s="98"/>
      <c r="AFS126" s="98"/>
      <c r="AFT126" s="98"/>
      <c r="AFU126" s="98"/>
      <c r="AFV126" s="98"/>
      <c r="AFW126" s="98"/>
      <c r="AFX126" s="98"/>
      <c r="AFY126" s="98"/>
      <c r="AFZ126" s="98"/>
      <c r="AGA126" s="98"/>
      <c r="AGB126" s="98"/>
      <c r="AGC126" s="98"/>
      <c r="AGD126" s="98"/>
      <c r="AGE126" s="98"/>
      <c r="AGF126" s="98"/>
      <c r="AGG126" s="98"/>
      <c r="AGH126" s="98"/>
      <c r="AGI126" s="98"/>
      <c r="AGJ126" s="98"/>
      <c r="AGK126" s="98"/>
      <c r="AGL126" s="98"/>
      <c r="AGM126" s="98"/>
      <c r="AGN126" s="98"/>
      <c r="AGO126" s="98"/>
      <c r="AGP126" s="98"/>
      <c r="AGQ126" s="98"/>
      <c r="AGR126" s="98"/>
      <c r="AGS126" s="98"/>
      <c r="AGT126" s="98"/>
      <c r="AGU126" s="98"/>
      <c r="AGV126" s="98"/>
      <c r="AGW126" s="98"/>
      <c r="AGX126" s="98"/>
      <c r="AGY126" s="98"/>
      <c r="AGZ126" s="98"/>
      <c r="AHA126" s="98"/>
      <c r="AHB126" s="98"/>
      <c r="AHC126" s="98"/>
      <c r="AHD126" s="98"/>
      <c r="AHE126" s="98"/>
      <c r="AHF126" s="98"/>
      <c r="AHG126" s="98"/>
      <c r="AHH126" s="98"/>
      <c r="AHI126" s="98"/>
      <c r="AHJ126" s="98"/>
      <c r="AHK126" s="98"/>
      <c r="AHL126" s="98"/>
      <c r="AHM126" s="98"/>
      <c r="AHN126" s="98"/>
      <c r="AHO126" s="98"/>
      <c r="AHP126" s="98"/>
      <c r="AHQ126" s="98"/>
      <c r="AHR126" s="98"/>
      <c r="AHS126" s="98"/>
      <c r="AHT126" s="98"/>
      <c r="AHU126" s="98"/>
      <c r="AHV126" s="98"/>
      <c r="AHW126" s="98"/>
      <c r="AHX126" s="98"/>
      <c r="AHY126" s="98"/>
      <c r="AHZ126" s="98"/>
      <c r="AIA126" s="98"/>
      <c r="AIB126" s="98"/>
      <c r="AIC126" s="98"/>
      <c r="AID126" s="98"/>
      <c r="AIE126" s="98"/>
      <c r="AIF126" s="98"/>
      <c r="AIG126" s="98"/>
      <c r="AIH126" s="98"/>
      <c r="AII126" s="98"/>
      <c r="AIJ126" s="98"/>
      <c r="AIK126" s="98"/>
      <c r="AIL126" s="98"/>
      <c r="AIM126" s="98"/>
      <c r="AIN126" s="98"/>
      <c r="AIO126" s="98"/>
      <c r="AIP126" s="98"/>
      <c r="AIQ126" s="98"/>
      <c r="AIR126" s="98"/>
      <c r="AIS126" s="98"/>
      <c r="AIT126" s="98"/>
      <c r="AIU126" s="98"/>
      <c r="AIV126" s="98"/>
      <c r="AIW126" s="98"/>
      <c r="AIX126" s="98"/>
      <c r="AIY126" s="98"/>
      <c r="AIZ126" s="98"/>
      <c r="AJA126" s="98"/>
      <c r="AJB126" s="98"/>
      <c r="AJC126" s="98"/>
      <c r="AJD126" s="98"/>
      <c r="AJE126" s="98"/>
      <c r="AJF126" s="98"/>
      <c r="AJG126" s="98"/>
      <c r="AJH126" s="98"/>
      <c r="AJI126" s="98"/>
      <c r="AJJ126" s="98"/>
      <c r="AJK126" s="98"/>
      <c r="AJL126" s="98"/>
      <c r="AJM126" s="98"/>
      <c r="AJN126" s="98"/>
      <c r="AJO126" s="98"/>
      <c r="AJP126" s="98"/>
      <c r="AJQ126" s="98"/>
      <c r="AJR126" s="98"/>
      <c r="AJS126" s="98"/>
      <c r="AJT126" s="98"/>
      <c r="AJU126" s="98"/>
      <c r="AJV126" s="98"/>
      <c r="AJW126" s="98"/>
      <c r="AJX126" s="98"/>
      <c r="AJY126" s="98"/>
      <c r="AJZ126" s="98"/>
      <c r="AKA126" s="98"/>
      <c r="AKB126" s="98"/>
      <c r="AKC126" s="98"/>
      <c r="AKD126" s="98"/>
      <c r="AKE126" s="98"/>
      <c r="AKF126" s="98"/>
      <c r="AKG126" s="98"/>
      <c r="AKH126" s="98"/>
      <c r="AKI126" s="98"/>
      <c r="AKJ126" s="98"/>
      <c r="AKK126" s="98"/>
      <c r="AKL126" s="98"/>
      <c r="AKM126" s="98"/>
      <c r="AKN126" s="98"/>
      <c r="AKO126" s="98"/>
      <c r="AKP126" s="98"/>
      <c r="AKQ126" s="98"/>
      <c r="AKR126" s="98"/>
      <c r="AKS126" s="98"/>
      <c r="AKT126" s="98"/>
      <c r="AKU126" s="98"/>
      <c r="AKV126" s="98"/>
      <c r="AKW126" s="98"/>
      <c r="AKX126" s="98"/>
      <c r="AKY126" s="98"/>
      <c r="AKZ126" s="98"/>
      <c r="ALA126" s="98"/>
      <c r="ALB126" s="98"/>
      <c r="ALC126" s="98"/>
      <c r="ALD126" s="98"/>
      <c r="ALE126" s="98"/>
      <c r="ALF126" s="98"/>
      <c r="ALG126" s="98"/>
      <c r="ALH126" s="98"/>
      <c r="ALI126" s="98"/>
      <c r="ALJ126" s="98"/>
      <c r="ALK126" s="98"/>
      <c r="ALL126" s="98"/>
      <c r="ALM126" s="98"/>
      <c r="ALN126" s="98"/>
      <c r="ALO126" s="98"/>
      <c r="ALP126" s="98"/>
      <c r="ALQ126" s="98"/>
      <c r="ALR126" s="98"/>
      <c r="ALS126" s="98"/>
      <c r="ALT126" s="98"/>
      <c r="ALU126" s="98"/>
      <c r="ALV126" s="98"/>
      <c r="ALW126" s="98"/>
      <c r="ALX126" s="98"/>
      <c r="ALY126" s="98"/>
      <c r="ALZ126" s="98"/>
      <c r="AMA126" s="98"/>
      <c r="AMB126" s="98"/>
      <c r="AMC126" s="98"/>
      <c r="AMD126" s="98"/>
      <c r="AME126" s="98"/>
      <c r="AMF126" s="98"/>
      <c r="AMG126" s="98"/>
      <c r="AMH126" s="98"/>
      <c r="AMI126" s="98"/>
      <c r="AMJ126" s="98"/>
      <c r="AMK126" s="98"/>
      <c r="AML126" s="98"/>
      <c r="AMM126" s="98"/>
      <c r="AMN126" s="98"/>
      <c r="AMO126" s="98"/>
      <c r="AMP126" s="98"/>
      <c r="AMQ126" s="98"/>
      <c r="AMR126" s="98"/>
      <c r="AMS126" s="98"/>
      <c r="AMT126" s="98"/>
      <c r="AMU126" s="98"/>
      <c r="AMV126" s="98"/>
      <c r="AMW126" s="98"/>
      <c r="AMX126" s="98"/>
      <c r="AMY126" s="98"/>
      <c r="AMZ126" s="98"/>
      <c r="ANA126" s="98"/>
      <c r="ANB126" s="98"/>
      <c r="ANC126" s="98"/>
      <c r="AND126" s="98"/>
      <c r="ANE126" s="98"/>
      <c r="ANF126" s="98"/>
      <c r="ANG126" s="98"/>
      <c r="ANH126" s="98"/>
      <c r="ANI126" s="98"/>
      <c r="ANJ126" s="98"/>
      <c r="ANK126" s="98"/>
      <c r="ANL126" s="98"/>
      <c r="ANM126" s="98"/>
      <c r="ANN126" s="98"/>
      <c r="ANO126" s="98"/>
      <c r="ANP126" s="98"/>
      <c r="ANQ126" s="98"/>
      <c r="ANR126" s="98"/>
      <c r="ANS126" s="98"/>
      <c r="ANT126" s="98"/>
      <c r="ANU126" s="98"/>
      <c r="ANV126" s="98"/>
      <c r="ANW126" s="98"/>
      <c r="ANX126" s="98"/>
      <c r="ANY126" s="98"/>
      <c r="ANZ126" s="98"/>
      <c r="AOA126" s="98"/>
      <c r="AOB126" s="98"/>
      <c r="AOC126" s="98"/>
      <c r="AOD126" s="98"/>
      <c r="AOE126" s="98"/>
      <c r="AOF126" s="98"/>
      <c r="AOG126" s="98"/>
      <c r="AOH126" s="98"/>
      <c r="AOI126" s="98"/>
      <c r="AOJ126" s="98"/>
      <c r="AOK126" s="98"/>
      <c r="AOL126" s="98"/>
      <c r="AOM126" s="98"/>
      <c r="AON126" s="98"/>
      <c r="AOO126" s="98"/>
      <c r="AOP126" s="98"/>
      <c r="AOQ126" s="98"/>
      <c r="AOR126" s="98"/>
      <c r="AOS126" s="98"/>
      <c r="AOT126" s="98"/>
      <c r="AOU126" s="98"/>
      <c r="AOV126" s="98"/>
      <c r="AOW126" s="98"/>
      <c r="AOX126" s="98"/>
      <c r="AOY126" s="98"/>
      <c r="AOZ126" s="98"/>
      <c r="APA126" s="98"/>
      <c r="APB126" s="98"/>
      <c r="APC126" s="98"/>
      <c r="APD126" s="98"/>
      <c r="APE126" s="98"/>
      <c r="APF126" s="98"/>
      <c r="APG126" s="98"/>
      <c r="APH126" s="98"/>
      <c r="API126" s="98"/>
      <c r="APJ126" s="98"/>
      <c r="APK126" s="98"/>
      <c r="APL126" s="98"/>
      <c r="APM126" s="98"/>
      <c r="APN126" s="98"/>
      <c r="APO126" s="98"/>
      <c r="APP126" s="98"/>
      <c r="APQ126" s="98"/>
      <c r="APR126" s="98"/>
      <c r="APS126" s="98"/>
      <c r="APT126" s="98"/>
      <c r="APU126" s="98"/>
      <c r="APV126" s="98"/>
      <c r="APW126" s="98"/>
      <c r="APX126" s="98"/>
      <c r="APY126" s="98"/>
      <c r="APZ126" s="98"/>
      <c r="AQA126" s="98"/>
      <c r="AQB126" s="98"/>
      <c r="AQC126" s="98"/>
      <c r="AQD126" s="98"/>
      <c r="AQE126" s="98"/>
      <c r="AQF126" s="98"/>
      <c r="AQG126" s="98"/>
      <c r="AQH126" s="98"/>
      <c r="AQI126" s="98"/>
      <c r="AQJ126" s="98"/>
      <c r="AQK126" s="98"/>
      <c r="AQL126" s="98"/>
      <c r="AQM126" s="98"/>
      <c r="AQN126" s="98"/>
      <c r="AQO126" s="98"/>
      <c r="AQP126" s="98"/>
      <c r="AQQ126" s="98"/>
      <c r="AQR126" s="98"/>
      <c r="AQS126" s="98"/>
      <c r="AQT126" s="98"/>
      <c r="AQU126" s="98"/>
      <c r="AQV126" s="98"/>
      <c r="AQW126" s="98"/>
      <c r="AQX126" s="98"/>
      <c r="AQY126" s="98"/>
      <c r="AQZ126" s="98"/>
      <c r="ARA126" s="98"/>
      <c r="ARB126" s="98"/>
      <c r="ARC126" s="98"/>
      <c r="ARD126" s="98"/>
      <c r="ARE126" s="98"/>
      <c r="ARF126" s="98"/>
      <c r="ARG126" s="98"/>
      <c r="ARH126" s="98"/>
      <c r="ARI126" s="98"/>
      <c r="ARJ126" s="98"/>
      <c r="ARK126" s="98"/>
      <c r="ARL126" s="98"/>
      <c r="ARM126" s="98"/>
      <c r="ARN126" s="98"/>
      <c r="ARO126" s="98"/>
      <c r="ARP126" s="98"/>
      <c r="ARQ126" s="98"/>
      <c r="ARR126" s="98"/>
      <c r="ARS126" s="98"/>
    </row>
    <row r="127" spans="1:1163" s="174" customFormat="1">
      <c r="A127" s="140" t="s">
        <v>229</v>
      </c>
      <c r="B127" s="119" t="s">
        <v>67</v>
      </c>
      <c r="C127" s="175">
        <v>537069</v>
      </c>
      <c r="D127" s="175">
        <v>108751359</v>
      </c>
      <c r="E127" s="175">
        <v>91667</v>
      </c>
      <c r="F127" s="175">
        <v>23292830</v>
      </c>
      <c r="G127" s="175">
        <v>61595</v>
      </c>
      <c r="H127" s="175">
        <v>18141673</v>
      </c>
      <c r="I127" s="175">
        <v>80199</v>
      </c>
      <c r="J127" s="175">
        <v>21823610</v>
      </c>
      <c r="K127" s="175">
        <v>86203</v>
      </c>
      <c r="L127" s="175">
        <v>20645888</v>
      </c>
      <c r="M127" s="175">
        <v>60651</v>
      </c>
      <c r="N127" s="175">
        <v>18834203</v>
      </c>
      <c r="O127" s="175">
        <v>79669</v>
      </c>
      <c r="P127" s="175">
        <v>30962497</v>
      </c>
      <c r="Q127" s="175">
        <v>69887</v>
      </c>
      <c r="R127" s="175">
        <v>35289099</v>
      </c>
      <c r="S127" s="175">
        <v>85630</v>
      </c>
      <c r="T127" s="175">
        <v>51056433</v>
      </c>
      <c r="U127" s="197">
        <v>91192</v>
      </c>
      <c r="V127" s="197">
        <v>54011414</v>
      </c>
      <c r="W127" s="197">
        <v>88972</v>
      </c>
      <c r="X127" s="197">
        <v>58363779</v>
      </c>
      <c r="Y127" s="197">
        <v>76065</v>
      </c>
      <c r="Z127" s="197">
        <v>57906645</v>
      </c>
      <c r="AA127" s="209">
        <v>59134</v>
      </c>
      <c r="AB127" s="209">
        <v>39661379</v>
      </c>
      <c r="AC127" s="175">
        <v>68964</v>
      </c>
      <c r="AD127" s="175">
        <v>39051843</v>
      </c>
      <c r="AE127" s="201">
        <v>56596</v>
      </c>
      <c r="AF127" s="201">
        <v>29974170</v>
      </c>
      <c r="AG127" s="201">
        <v>87161</v>
      </c>
      <c r="AH127" s="201">
        <v>44463737</v>
      </c>
      <c r="AI127" s="201">
        <v>124870</v>
      </c>
      <c r="AJ127" s="201">
        <v>68141539</v>
      </c>
      <c r="AK127" s="201">
        <v>110651</v>
      </c>
      <c r="AL127" s="201">
        <v>79167249</v>
      </c>
      <c r="AM127" s="176">
        <v>111779</v>
      </c>
      <c r="AN127" s="176">
        <v>78531838</v>
      </c>
      <c r="AO127" s="201">
        <v>96928</v>
      </c>
      <c r="AP127" s="201">
        <v>76449238</v>
      </c>
      <c r="AQ127" s="201">
        <v>113400.715</v>
      </c>
      <c r="AR127" s="201">
        <v>82261110.629999995</v>
      </c>
      <c r="AS127" s="201">
        <v>122147</v>
      </c>
      <c r="AT127" s="201">
        <v>100575286</v>
      </c>
      <c r="AU127" s="209">
        <v>112926.62</v>
      </c>
      <c r="AV127" s="209">
        <v>99085695</v>
      </c>
      <c r="AW127" s="197">
        <v>125411</v>
      </c>
      <c r="AX127" s="197">
        <v>102663206</v>
      </c>
      <c r="AY127" s="175">
        <v>123633</v>
      </c>
      <c r="AZ127" s="175">
        <v>80279524</v>
      </c>
      <c r="BA127" s="177"/>
      <c r="BB127" s="197"/>
      <c r="BC127" s="178"/>
      <c r="BD127" s="197"/>
      <c r="BE127" s="178"/>
      <c r="BF127" s="197"/>
      <c r="BG127" s="178"/>
      <c r="BH127" s="197"/>
      <c r="BI127" s="178"/>
      <c r="BJ127" s="98"/>
      <c r="BK127" s="148"/>
      <c r="BL127" s="148"/>
      <c r="BM127" s="148"/>
      <c r="BN127" s="14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98"/>
      <c r="EN127" s="98"/>
      <c r="EO127" s="98"/>
      <c r="EP127" s="98"/>
      <c r="EQ127" s="98"/>
      <c r="ER127" s="98"/>
      <c r="ES127" s="98"/>
      <c r="ET127" s="98"/>
      <c r="EU127" s="98"/>
      <c r="EV127" s="98"/>
      <c r="EW127" s="98"/>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c r="IW127" s="98"/>
      <c r="IX127" s="98"/>
      <c r="IY127" s="98"/>
      <c r="IZ127" s="98"/>
      <c r="JA127" s="98"/>
      <c r="JB127" s="98"/>
      <c r="JC127" s="98"/>
      <c r="JD127" s="98"/>
      <c r="JE127" s="98"/>
      <c r="JF127" s="98"/>
      <c r="JG127" s="98"/>
      <c r="JH127" s="98"/>
      <c r="JI127" s="98"/>
      <c r="JJ127" s="98"/>
      <c r="JK127" s="98"/>
      <c r="JL127" s="98"/>
      <c r="JM127" s="98"/>
      <c r="JN127" s="98"/>
      <c r="JO127" s="98"/>
      <c r="JP127" s="98"/>
      <c r="JQ127" s="98"/>
      <c r="JR127" s="98"/>
      <c r="JS127" s="98"/>
      <c r="JT127" s="98"/>
      <c r="JU127" s="98"/>
      <c r="JV127" s="98"/>
      <c r="JW127" s="98"/>
      <c r="JX127" s="98"/>
      <c r="JY127" s="98"/>
      <c r="JZ127" s="98"/>
      <c r="KA127" s="98"/>
      <c r="KB127" s="98"/>
      <c r="KC127" s="98"/>
      <c r="KD127" s="98"/>
      <c r="KE127" s="98"/>
      <c r="KF127" s="98"/>
      <c r="KG127" s="98"/>
      <c r="KH127" s="98"/>
      <c r="KI127" s="98"/>
      <c r="KJ127" s="98"/>
      <c r="KK127" s="98"/>
      <c r="KL127" s="98"/>
      <c r="KM127" s="98"/>
      <c r="KN127" s="98"/>
      <c r="KO127" s="98"/>
      <c r="KP127" s="98"/>
      <c r="KQ127" s="98"/>
      <c r="KR127" s="98"/>
      <c r="KS127" s="98"/>
      <c r="KT127" s="98"/>
      <c r="KU127" s="98"/>
      <c r="KV127" s="98"/>
      <c r="KW127" s="98"/>
      <c r="KX127" s="98"/>
      <c r="KY127" s="98"/>
      <c r="KZ127" s="98"/>
      <c r="LA127" s="98"/>
      <c r="LB127" s="98"/>
      <c r="LC127" s="98"/>
      <c r="LD127" s="98"/>
      <c r="LE127" s="98"/>
      <c r="LF127" s="98"/>
      <c r="LG127" s="98"/>
      <c r="LH127" s="98"/>
      <c r="LI127" s="98"/>
      <c r="LJ127" s="98"/>
      <c r="LK127" s="98"/>
      <c r="LL127" s="98"/>
      <c r="LM127" s="98"/>
      <c r="LN127" s="98"/>
      <c r="LO127" s="98"/>
      <c r="LP127" s="98"/>
      <c r="LQ127" s="98"/>
      <c r="LR127" s="98"/>
      <c r="LS127" s="98"/>
      <c r="LT127" s="98"/>
      <c r="LU127" s="98"/>
      <c r="LV127" s="98"/>
      <c r="LW127" s="98"/>
      <c r="LX127" s="98"/>
      <c r="LY127" s="98"/>
      <c r="LZ127" s="98"/>
      <c r="MA127" s="98"/>
      <c r="MB127" s="98"/>
      <c r="MC127" s="98"/>
      <c r="MD127" s="98"/>
      <c r="ME127" s="98"/>
      <c r="MF127" s="98"/>
      <c r="MG127" s="98"/>
      <c r="MH127" s="98"/>
      <c r="MI127" s="98"/>
      <c r="MJ127" s="98"/>
      <c r="MK127" s="98"/>
      <c r="ML127" s="98"/>
      <c r="MM127" s="98"/>
      <c r="MN127" s="98"/>
      <c r="MO127" s="98"/>
      <c r="MP127" s="98"/>
      <c r="MQ127" s="98"/>
      <c r="MR127" s="98"/>
      <c r="MS127" s="98"/>
      <c r="MT127" s="98"/>
      <c r="MU127" s="98"/>
      <c r="MV127" s="98"/>
      <c r="MW127" s="98"/>
      <c r="MX127" s="98"/>
      <c r="MY127" s="98"/>
      <c r="MZ127" s="98"/>
      <c r="NA127" s="98"/>
      <c r="NB127" s="98"/>
      <c r="NC127" s="98"/>
      <c r="ND127" s="98"/>
      <c r="NE127" s="98"/>
      <c r="NF127" s="98"/>
      <c r="NG127" s="98"/>
      <c r="NH127" s="98"/>
      <c r="NI127" s="98"/>
      <c r="NJ127" s="98"/>
      <c r="NK127" s="98"/>
      <c r="NL127" s="98"/>
      <c r="NM127" s="98"/>
      <c r="NN127" s="98"/>
      <c r="NO127" s="98"/>
      <c r="NP127" s="98"/>
      <c r="NQ127" s="98"/>
      <c r="NR127" s="98"/>
      <c r="NS127" s="98"/>
      <c r="NT127" s="98"/>
      <c r="NU127" s="98"/>
      <c r="NV127" s="98"/>
      <c r="NW127" s="98"/>
      <c r="NX127" s="98"/>
      <c r="NY127" s="98"/>
      <c r="NZ127" s="98"/>
      <c r="OA127" s="98"/>
      <c r="OB127" s="98"/>
      <c r="OC127" s="98"/>
      <c r="OD127" s="98"/>
      <c r="OE127" s="98"/>
      <c r="OF127" s="98"/>
      <c r="OG127" s="98"/>
      <c r="OH127" s="98"/>
      <c r="OI127" s="98"/>
      <c r="OJ127" s="98"/>
      <c r="OK127" s="98"/>
      <c r="OL127" s="98"/>
      <c r="OM127" s="98"/>
      <c r="ON127" s="98"/>
      <c r="OO127" s="98"/>
      <c r="OP127" s="98"/>
      <c r="OQ127" s="98"/>
      <c r="OR127" s="98"/>
      <c r="OS127" s="98"/>
      <c r="OT127" s="98"/>
      <c r="OU127" s="98"/>
      <c r="OV127" s="98"/>
      <c r="OW127" s="98"/>
      <c r="OX127" s="98"/>
      <c r="OY127" s="98"/>
      <c r="OZ127" s="98"/>
      <c r="PA127" s="98"/>
      <c r="PB127" s="98"/>
      <c r="PC127" s="98"/>
      <c r="PD127" s="98"/>
      <c r="PE127" s="98"/>
      <c r="PF127" s="98"/>
      <c r="PG127" s="98"/>
      <c r="PH127" s="98"/>
      <c r="PI127" s="98"/>
      <c r="PJ127" s="98"/>
      <c r="PK127" s="98"/>
      <c r="PL127" s="98"/>
      <c r="PM127" s="98"/>
      <c r="PN127" s="98"/>
      <c r="PO127" s="98"/>
      <c r="PP127" s="98"/>
      <c r="PQ127" s="98"/>
      <c r="PR127" s="98"/>
      <c r="PS127" s="98"/>
      <c r="PT127" s="98"/>
      <c r="PU127" s="98"/>
      <c r="PV127" s="98"/>
      <c r="PW127" s="98"/>
      <c r="PX127" s="98"/>
      <c r="PY127" s="98"/>
      <c r="PZ127" s="98"/>
      <c r="QA127" s="98"/>
      <c r="QB127" s="98"/>
      <c r="QC127" s="98"/>
      <c r="QD127" s="98"/>
      <c r="QE127" s="98"/>
      <c r="QF127" s="98"/>
      <c r="QG127" s="98"/>
      <c r="QH127" s="98"/>
      <c r="QI127" s="98"/>
      <c r="QJ127" s="98"/>
      <c r="QK127" s="98"/>
      <c r="QL127" s="98"/>
      <c r="QM127" s="98"/>
      <c r="QN127" s="98"/>
      <c r="QO127" s="98"/>
      <c r="QP127" s="98"/>
      <c r="QQ127" s="98"/>
      <c r="QR127" s="98"/>
      <c r="QS127" s="98"/>
      <c r="QT127" s="98"/>
      <c r="QU127" s="98"/>
      <c r="QV127" s="98"/>
      <c r="QW127" s="98"/>
      <c r="QX127" s="98"/>
      <c r="QY127" s="98"/>
      <c r="QZ127" s="98"/>
      <c r="RA127" s="98"/>
      <c r="RB127" s="98"/>
      <c r="RC127" s="98"/>
      <c r="RD127" s="98"/>
      <c r="RE127" s="98"/>
      <c r="RF127" s="98"/>
      <c r="RG127" s="98"/>
      <c r="RH127" s="98"/>
      <c r="RI127" s="98"/>
      <c r="RJ127" s="98"/>
      <c r="RK127" s="98"/>
      <c r="RL127" s="98"/>
      <c r="RM127" s="98"/>
      <c r="RN127" s="98"/>
      <c r="RO127" s="98"/>
      <c r="RP127" s="98"/>
      <c r="RQ127" s="98"/>
      <c r="RR127" s="98"/>
      <c r="RS127" s="98"/>
      <c r="RT127" s="98"/>
      <c r="RU127" s="98"/>
      <c r="RV127" s="98"/>
      <c r="RW127" s="98"/>
      <c r="RX127" s="98"/>
      <c r="RY127" s="98"/>
      <c r="RZ127" s="98"/>
      <c r="SA127" s="98"/>
      <c r="SB127" s="98"/>
      <c r="SC127" s="98"/>
      <c r="SD127" s="98"/>
      <c r="SE127" s="98"/>
      <c r="SF127" s="98"/>
      <c r="SG127" s="98"/>
      <c r="SH127" s="98"/>
      <c r="SI127" s="98"/>
      <c r="SJ127" s="98"/>
      <c r="SK127" s="98"/>
      <c r="SL127" s="98"/>
      <c r="SM127" s="98"/>
      <c r="SN127" s="98"/>
      <c r="SO127" s="98"/>
      <c r="SP127" s="98"/>
      <c r="SQ127" s="98"/>
      <c r="SR127" s="98"/>
      <c r="SS127" s="98"/>
      <c r="ST127" s="98"/>
      <c r="SU127" s="98"/>
      <c r="SV127" s="98"/>
      <c r="SW127" s="98"/>
      <c r="SX127" s="98"/>
      <c r="SY127" s="98"/>
      <c r="SZ127" s="98"/>
      <c r="TA127" s="98"/>
      <c r="TB127" s="98"/>
      <c r="TC127" s="98"/>
      <c r="TD127" s="98"/>
      <c r="TE127" s="98"/>
      <c r="TF127" s="98"/>
      <c r="TG127" s="98"/>
      <c r="TH127" s="98"/>
      <c r="TI127" s="98"/>
      <c r="TJ127" s="98"/>
      <c r="TK127" s="98"/>
      <c r="TL127" s="98"/>
      <c r="TM127" s="98"/>
      <c r="TN127" s="98"/>
      <c r="TO127" s="98"/>
      <c r="TP127" s="98"/>
      <c r="TQ127" s="98"/>
      <c r="TR127" s="98"/>
      <c r="TS127" s="98"/>
      <c r="TT127" s="98"/>
      <c r="TU127" s="98"/>
      <c r="TV127" s="98"/>
      <c r="TW127" s="98"/>
      <c r="TX127" s="98"/>
      <c r="TY127" s="98"/>
      <c r="TZ127" s="98"/>
      <c r="UA127" s="98"/>
      <c r="UB127" s="98"/>
      <c r="UC127" s="98"/>
      <c r="UD127" s="98"/>
      <c r="UE127" s="98"/>
      <c r="UF127" s="98"/>
      <c r="UG127" s="98"/>
      <c r="UH127" s="98"/>
      <c r="UI127" s="98"/>
      <c r="UJ127" s="98"/>
      <c r="UK127" s="98"/>
      <c r="UL127" s="98"/>
      <c r="UM127" s="98"/>
      <c r="UN127" s="98"/>
      <c r="UO127" s="98"/>
      <c r="UP127" s="98"/>
      <c r="UQ127" s="98"/>
      <c r="UR127" s="98"/>
      <c r="US127" s="98"/>
      <c r="UT127" s="98"/>
      <c r="UU127" s="98"/>
      <c r="UV127" s="98"/>
      <c r="UW127" s="98"/>
      <c r="UX127" s="98"/>
      <c r="UY127" s="98"/>
      <c r="UZ127" s="98"/>
      <c r="VA127" s="98"/>
      <c r="VB127" s="98"/>
      <c r="VC127" s="98"/>
      <c r="VD127" s="98"/>
      <c r="VE127" s="98"/>
      <c r="VF127" s="98"/>
      <c r="VG127" s="98"/>
      <c r="VH127" s="98"/>
      <c r="VI127" s="98"/>
      <c r="VJ127" s="98"/>
      <c r="VK127" s="98"/>
      <c r="VL127" s="98"/>
      <c r="VM127" s="98"/>
      <c r="VN127" s="98"/>
      <c r="VO127" s="98"/>
      <c r="VP127" s="98"/>
      <c r="VQ127" s="98"/>
      <c r="VR127" s="98"/>
      <c r="VS127" s="98"/>
      <c r="VT127" s="98"/>
      <c r="VU127" s="98"/>
      <c r="VV127" s="98"/>
      <c r="VW127" s="98"/>
      <c r="VX127" s="98"/>
      <c r="VY127" s="98"/>
      <c r="VZ127" s="98"/>
      <c r="WA127" s="98"/>
      <c r="WB127" s="98"/>
      <c r="WC127" s="98"/>
      <c r="WD127" s="98"/>
      <c r="WE127" s="98"/>
      <c r="WF127" s="98"/>
      <c r="WG127" s="98"/>
      <c r="WH127" s="98"/>
      <c r="WI127" s="98"/>
      <c r="WJ127" s="98"/>
      <c r="WK127" s="98"/>
      <c r="WL127" s="98"/>
      <c r="WM127" s="98"/>
      <c r="WN127" s="98"/>
      <c r="WO127" s="98"/>
      <c r="WP127" s="98"/>
      <c r="WQ127" s="98"/>
      <c r="WR127" s="98"/>
      <c r="WS127" s="98"/>
      <c r="WT127" s="98"/>
      <c r="WU127" s="98"/>
      <c r="WV127" s="98"/>
      <c r="WW127" s="98"/>
      <c r="WX127" s="98"/>
      <c r="WY127" s="98"/>
      <c r="WZ127" s="98"/>
      <c r="XA127" s="98"/>
      <c r="XB127" s="98"/>
      <c r="XC127" s="98"/>
      <c r="XD127" s="98"/>
      <c r="XE127" s="98"/>
      <c r="XF127" s="98"/>
      <c r="XG127" s="98"/>
      <c r="XH127" s="98"/>
      <c r="XI127" s="98"/>
      <c r="XJ127" s="98"/>
      <c r="XK127" s="98"/>
      <c r="XL127" s="98"/>
      <c r="XM127" s="98"/>
      <c r="XN127" s="98"/>
      <c r="XO127" s="98"/>
      <c r="XP127" s="98"/>
      <c r="XQ127" s="98"/>
      <c r="XR127" s="98"/>
      <c r="XS127" s="98"/>
      <c r="XT127" s="98"/>
      <c r="XU127" s="98"/>
      <c r="XV127" s="98"/>
      <c r="XW127" s="98"/>
      <c r="XX127" s="98"/>
      <c r="XY127" s="98"/>
      <c r="XZ127" s="98"/>
      <c r="YA127" s="98"/>
      <c r="YB127" s="98"/>
      <c r="YC127" s="98"/>
      <c r="YD127" s="98"/>
      <c r="YE127" s="98"/>
      <c r="YF127" s="98"/>
      <c r="YG127" s="98"/>
      <c r="YH127" s="98"/>
      <c r="YI127" s="98"/>
      <c r="YJ127" s="98"/>
      <c r="YK127" s="98"/>
      <c r="YL127" s="98"/>
      <c r="YM127" s="98"/>
      <c r="YN127" s="98"/>
      <c r="YO127" s="98"/>
      <c r="YP127" s="98"/>
      <c r="YQ127" s="98"/>
      <c r="YR127" s="98"/>
      <c r="YS127" s="98"/>
      <c r="YT127" s="98"/>
      <c r="YU127" s="98"/>
      <c r="YV127" s="98"/>
      <c r="YW127" s="98"/>
      <c r="YX127" s="98"/>
      <c r="YY127" s="98"/>
      <c r="YZ127" s="98"/>
      <c r="ZA127" s="98"/>
      <c r="ZB127" s="98"/>
      <c r="ZC127" s="98"/>
      <c r="ZD127" s="98"/>
      <c r="ZE127" s="98"/>
      <c r="ZF127" s="98"/>
      <c r="ZG127" s="98"/>
      <c r="ZH127" s="98"/>
      <c r="ZI127" s="98"/>
      <c r="ZJ127" s="98"/>
      <c r="ZK127" s="98"/>
      <c r="ZL127" s="98"/>
      <c r="ZM127" s="98"/>
      <c r="ZN127" s="98"/>
      <c r="ZO127" s="98"/>
      <c r="ZP127" s="98"/>
      <c r="ZQ127" s="98"/>
      <c r="ZR127" s="98"/>
      <c r="ZS127" s="98"/>
      <c r="ZT127" s="98"/>
      <c r="ZU127" s="98"/>
      <c r="ZV127" s="98"/>
      <c r="ZW127" s="98"/>
      <c r="ZX127" s="98"/>
      <c r="ZY127" s="98"/>
      <c r="ZZ127" s="98"/>
      <c r="AAA127" s="98"/>
      <c r="AAB127" s="98"/>
      <c r="AAC127" s="98"/>
      <c r="AAD127" s="98"/>
      <c r="AAE127" s="98"/>
      <c r="AAF127" s="98"/>
      <c r="AAG127" s="98"/>
      <c r="AAH127" s="98"/>
      <c r="AAI127" s="98"/>
      <c r="AAJ127" s="98"/>
      <c r="AAK127" s="98"/>
      <c r="AAL127" s="98"/>
      <c r="AAM127" s="98"/>
      <c r="AAN127" s="98"/>
      <c r="AAO127" s="98"/>
      <c r="AAP127" s="98"/>
      <c r="AAQ127" s="98"/>
      <c r="AAR127" s="98"/>
      <c r="AAS127" s="98"/>
      <c r="AAT127" s="98"/>
      <c r="AAU127" s="98"/>
      <c r="AAV127" s="98"/>
      <c r="AAW127" s="98"/>
      <c r="AAX127" s="98"/>
      <c r="AAY127" s="98"/>
      <c r="AAZ127" s="98"/>
      <c r="ABA127" s="98"/>
      <c r="ABB127" s="98"/>
      <c r="ABC127" s="98"/>
      <c r="ABD127" s="98"/>
      <c r="ABE127" s="98"/>
      <c r="ABF127" s="98"/>
      <c r="ABG127" s="98"/>
      <c r="ABH127" s="98"/>
      <c r="ABI127" s="98"/>
      <c r="ABJ127" s="98"/>
      <c r="ABK127" s="98"/>
      <c r="ABL127" s="98"/>
      <c r="ABM127" s="98"/>
      <c r="ABN127" s="98"/>
      <c r="ABO127" s="98"/>
      <c r="ABP127" s="98"/>
      <c r="ABQ127" s="98"/>
      <c r="ABR127" s="98"/>
      <c r="ABS127" s="98"/>
      <c r="ABT127" s="98"/>
      <c r="ABU127" s="98"/>
      <c r="ABV127" s="98"/>
      <c r="ABW127" s="98"/>
      <c r="ABX127" s="98"/>
      <c r="ABY127" s="98"/>
      <c r="ABZ127" s="98"/>
      <c r="ACA127" s="98"/>
      <c r="ACB127" s="98"/>
      <c r="ACC127" s="98"/>
      <c r="ACD127" s="98"/>
      <c r="ACE127" s="98"/>
      <c r="ACF127" s="98"/>
      <c r="ACG127" s="98"/>
      <c r="ACH127" s="98"/>
      <c r="ACI127" s="98"/>
      <c r="ACJ127" s="98"/>
      <c r="ACK127" s="98"/>
      <c r="ACL127" s="98"/>
      <c r="ACM127" s="98"/>
      <c r="ACN127" s="98"/>
      <c r="ACO127" s="98"/>
      <c r="ACP127" s="98"/>
      <c r="ACQ127" s="98"/>
      <c r="ACR127" s="98"/>
      <c r="ACS127" s="98"/>
      <c r="ACT127" s="98"/>
      <c r="ACU127" s="98"/>
      <c r="ACV127" s="98"/>
      <c r="ACW127" s="98"/>
      <c r="ACX127" s="98"/>
      <c r="ACY127" s="98"/>
      <c r="ACZ127" s="98"/>
      <c r="ADA127" s="98"/>
      <c r="ADB127" s="98"/>
      <c r="ADC127" s="98"/>
      <c r="ADD127" s="98"/>
      <c r="ADE127" s="98"/>
      <c r="ADF127" s="98"/>
      <c r="ADG127" s="98"/>
      <c r="ADH127" s="98"/>
      <c r="ADI127" s="98"/>
      <c r="ADJ127" s="98"/>
      <c r="ADK127" s="98"/>
      <c r="ADL127" s="98"/>
      <c r="ADM127" s="98"/>
      <c r="ADN127" s="98"/>
      <c r="ADO127" s="98"/>
      <c r="ADP127" s="98"/>
      <c r="ADQ127" s="98"/>
      <c r="ADR127" s="98"/>
      <c r="ADS127" s="98"/>
      <c r="ADT127" s="98"/>
      <c r="ADU127" s="98"/>
      <c r="ADV127" s="98"/>
      <c r="ADW127" s="98"/>
      <c r="ADX127" s="98"/>
      <c r="ADY127" s="98"/>
      <c r="ADZ127" s="98"/>
      <c r="AEA127" s="98"/>
      <c r="AEB127" s="98"/>
      <c r="AEC127" s="98"/>
      <c r="AED127" s="98"/>
      <c r="AEE127" s="98"/>
      <c r="AEF127" s="98"/>
      <c r="AEG127" s="98"/>
      <c r="AEH127" s="98"/>
      <c r="AEI127" s="98"/>
      <c r="AEJ127" s="98"/>
      <c r="AEK127" s="98"/>
      <c r="AEL127" s="98"/>
      <c r="AEM127" s="98"/>
      <c r="AEN127" s="98"/>
      <c r="AEO127" s="98"/>
      <c r="AEP127" s="98"/>
      <c r="AEQ127" s="98"/>
      <c r="AER127" s="98"/>
      <c r="AES127" s="98"/>
      <c r="AET127" s="98"/>
      <c r="AEU127" s="98"/>
      <c r="AEV127" s="98"/>
      <c r="AEW127" s="98"/>
      <c r="AEX127" s="98"/>
      <c r="AEY127" s="98"/>
      <c r="AEZ127" s="98"/>
      <c r="AFA127" s="98"/>
      <c r="AFB127" s="98"/>
      <c r="AFC127" s="98"/>
      <c r="AFD127" s="98"/>
      <c r="AFE127" s="98"/>
      <c r="AFF127" s="98"/>
      <c r="AFG127" s="98"/>
      <c r="AFH127" s="98"/>
      <c r="AFI127" s="98"/>
      <c r="AFJ127" s="98"/>
      <c r="AFK127" s="98"/>
      <c r="AFL127" s="98"/>
      <c r="AFM127" s="98"/>
      <c r="AFN127" s="98"/>
      <c r="AFO127" s="98"/>
      <c r="AFP127" s="98"/>
      <c r="AFQ127" s="98"/>
      <c r="AFR127" s="98"/>
      <c r="AFS127" s="98"/>
      <c r="AFT127" s="98"/>
      <c r="AFU127" s="98"/>
      <c r="AFV127" s="98"/>
      <c r="AFW127" s="98"/>
      <c r="AFX127" s="98"/>
      <c r="AFY127" s="98"/>
      <c r="AFZ127" s="98"/>
      <c r="AGA127" s="98"/>
      <c r="AGB127" s="98"/>
      <c r="AGC127" s="98"/>
      <c r="AGD127" s="98"/>
      <c r="AGE127" s="98"/>
      <c r="AGF127" s="98"/>
      <c r="AGG127" s="98"/>
      <c r="AGH127" s="98"/>
      <c r="AGI127" s="98"/>
      <c r="AGJ127" s="98"/>
      <c r="AGK127" s="98"/>
      <c r="AGL127" s="98"/>
      <c r="AGM127" s="98"/>
      <c r="AGN127" s="98"/>
      <c r="AGO127" s="98"/>
      <c r="AGP127" s="98"/>
      <c r="AGQ127" s="98"/>
      <c r="AGR127" s="98"/>
      <c r="AGS127" s="98"/>
      <c r="AGT127" s="98"/>
      <c r="AGU127" s="98"/>
      <c r="AGV127" s="98"/>
      <c r="AGW127" s="98"/>
      <c r="AGX127" s="98"/>
      <c r="AGY127" s="98"/>
      <c r="AGZ127" s="98"/>
      <c r="AHA127" s="98"/>
      <c r="AHB127" s="98"/>
      <c r="AHC127" s="98"/>
      <c r="AHD127" s="98"/>
      <c r="AHE127" s="98"/>
      <c r="AHF127" s="98"/>
      <c r="AHG127" s="98"/>
      <c r="AHH127" s="98"/>
      <c r="AHI127" s="98"/>
      <c r="AHJ127" s="98"/>
      <c r="AHK127" s="98"/>
      <c r="AHL127" s="98"/>
      <c r="AHM127" s="98"/>
      <c r="AHN127" s="98"/>
      <c r="AHO127" s="98"/>
      <c r="AHP127" s="98"/>
      <c r="AHQ127" s="98"/>
      <c r="AHR127" s="98"/>
      <c r="AHS127" s="98"/>
      <c r="AHT127" s="98"/>
      <c r="AHU127" s="98"/>
      <c r="AHV127" s="98"/>
      <c r="AHW127" s="98"/>
      <c r="AHX127" s="98"/>
      <c r="AHY127" s="98"/>
      <c r="AHZ127" s="98"/>
      <c r="AIA127" s="98"/>
      <c r="AIB127" s="98"/>
      <c r="AIC127" s="98"/>
      <c r="AID127" s="98"/>
      <c r="AIE127" s="98"/>
      <c r="AIF127" s="98"/>
      <c r="AIG127" s="98"/>
      <c r="AIH127" s="98"/>
      <c r="AII127" s="98"/>
      <c r="AIJ127" s="98"/>
      <c r="AIK127" s="98"/>
      <c r="AIL127" s="98"/>
      <c r="AIM127" s="98"/>
      <c r="AIN127" s="98"/>
      <c r="AIO127" s="98"/>
      <c r="AIP127" s="98"/>
      <c r="AIQ127" s="98"/>
      <c r="AIR127" s="98"/>
      <c r="AIS127" s="98"/>
      <c r="AIT127" s="98"/>
      <c r="AIU127" s="98"/>
      <c r="AIV127" s="98"/>
      <c r="AIW127" s="98"/>
      <c r="AIX127" s="98"/>
      <c r="AIY127" s="98"/>
      <c r="AIZ127" s="98"/>
      <c r="AJA127" s="98"/>
      <c r="AJB127" s="98"/>
      <c r="AJC127" s="98"/>
      <c r="AJD127" s="98"/>
      <c r="AJE127" s="98"/>
      <c r="AJF127" s="98"/>
      <c r="AJG127" s="98"/>
      <c r="AJH127" s="98"/>
      <c r="AJI127" s="98"/>
      <c r="AJJ127" s="98"/>
      <c r="AJK127" s="98"/>
      <c r="AJL127" s="98"/>
      <c r="AJM127" s="98"/>
      <c r="AJN127" s="98"/>
      <c r="AJO127" s="98"/>
      <c r="AJP127" s="98"/>
      <c r="AJQ127" s="98"/>
      <c r="AJR127" s="98"/>
      <c r="AJS127" s="98"/>
      <c r="AJT127" s="98"/>
      <c r="AJU127" s="98"/>
      <c r="AJV127" s="98"/>
      <c r="AJW127" s="98"/>
      <c r="AJX127" s="98"/>
      <c r="AJY127" s="98"/>
      <c r="AJZ127" s="98"/>
      <c r="AKA127" s="98"/>
      <c r="AKB127" s="98"/>
      <c r="AKC127" s="98"/>
      <c r="AKD127" s="98"/>
      <c r="AKE127" s="98"/>
      <c r="AKF127" s="98"/>
      <c r="AKG127" s="98"/>
      <c r="AKH127" s="98"/>
      <c r="AKI127" s="98"/>
      <c r="AKJ127" s="98"/>
      <c r="AKK127" s="98"/>
      <c r="AKL127" s="98"/>
      <c r="AKM127" s="98"/>
      <c r="AKN127" s="98"/>
      <c r="AKO127" s="98"/>
      <c r="AKP127" s="98"/>
      <c r="AKQ127" s="98"/>
      <c r="AKR127" s="98"/>
      <c r="AKS127" s="98"/>
      <c r="AKT127" s="98"/>
      <c r="AKU127" s="98"/>
      <c r="AKV127" s="98"/>
      <c r="AKW127" s="98"/>
      <c r="AKX127" s="98"/>
      <c r="AKY127" s="98"/>
      <c r="AKZ127" s="98"/>
      <c r="ALA127" s="98"/>
      <c r="ALB127" s="98"/>
      <c r="ALC127" s="98"/>
      <c r="ALD127" s="98"/>
      <c r="ALE127" s="98"/>
      <c r="ALF127" s="98"/>
      <c r="ALG127" s="98"/>
      <c r="ALH127" s="98"/>
      <c r="ALI127" s="98"/>
      <c r="ALJ127" s="98"/>
      <c r="ALK127" s="98"/>
      <c r="ALL127" s="98"/>
      <c r="ALM127" s="98"/>
      <c r="ALN127" s="98"/>
      <c r="ALO127" s="98"/>
      <c r="ALP127" s="98"/>
      <c r="ALQ127" s="98"/>
      <c r="ALR127" s="98"/>
      <c r="ALS127" s="98"/>
      <c r="ALT127" s="98"/>
      <c r="ALU127" s="98"/>
      <c r="ALV127" s="98"/>
      <c r="ALW127" s="98"/>
      <c r="ALX127" s="98"/>
      <c r="ALY127" s="98"/>
      <c r="ALZ127" s="98"/>
      <c r="AMA127" s="98"/>
      <c r="AMB127" s="98"/>
      <c r="AMC127" s="98"/>
      <c r="AMD127" s="98"/>
      <c r="AME127" s="98"/>
      <c r="AMF127" s="98"/>
      <c r="AMG127" s="98"/>
      <c r="AMH127" s="98"/>
      <c r="AMI127" s="98"/>
      <c r="AMJ127" s="98"/>
      <c r="AMK127" s="98"/>
      <c r="AML127" s="98"/>
      <c r="AMM127" s="98"/>
      <c r="AMN127" s="98"/>
      <c r="AMO127" s="98"/>
      <c r="AMP127" s="98"/>
      <c r="AMQ127" s="98"/>
      <c r="AMR127" s="98"/>
      <c r="AMS127" s="98"/>
      <c r="AMT127" s="98"/>
      <c r="AMU127" s="98"/>
      <c r="AMV127" s="98"/>
      <c r="AMW127" s="98"/>
      <c r="AMX127" s="98"/>
      <c r="AMY127" s="98"/>
      <c r="AMZ127" s="98"/>
      <c r="ANA127" s="98"/>
      <c r="ANB127" s="98"/>
      <c r="ANC127" s="98"/>
      <c r="AND127" s="98"/>
      <c r="ANE127" s="98"/>
      <c r="ANF127" s="98"/>
      <c r="ANG127" s="98"/>
      <c r="ANH127" s="98"/>
      <c r="ANI127" s="98"/>
      <c r="ANJ127" s="98"/>
      <c r="ANK127" s="98"/>
      <c r="ANL127" s="98"/>
      <c r="ANM127" s="98"/>
      <c r="ANN127" s="98"/>
      <c r="ANO127" s="98"/>
      <c r="ANP127" s="98"/>
      <c r="ANQ127" s="98"/>
      <c r="ANR127" s="98"/>
      <c r="ANS127" s="98"/>
      <c r="ANT127" s="98"/>
      <c r="ANU127" s="98"/>
      <c r="ANV127" s="98"/>
      <c r="ANW127" s="98"/>
      <c r="ANX127" s="98"/>
      <c r="ANY127" s="98"/>
      <c r="ANZ127" s="98"/>
      <c r="AOA127" s="98"/>
      <c r="AOB127" s="98"/>
      <c r="AOC127" s="98"/>
      <c r="AOD127" s="98"/>
      <c r="AOE127" s="98"/>
      <c r="AOF127" s="98"/>
      <c r="AOG127" s="98"/>
      <c r="AOH127" s="98"/>
      <c r="AOI127" s="98"/>
      <c r="AOJ127" s="98"/>
      <c r="AOK127" s="98"/>
      <c r="AOL127" s="98"/>
      <c r="AOM127" s="98"/>
      <c r="AON127" s="98"/>
      <c r="AOO127" s="98"/>
      <c r="AOP127" s="98"/>
      <c r="AOQ127" s="98"/>
      <c r="AOR127" s="98"/>
      <c r="AOS127" s="98"/>
      <c r="AOT127" s="98"/>
      <c r="AOU127" s="98"/>
      <c r="AOV127" s="98"/>
      <c r="AOW127" s="98"/>
      <c r="AOX127" s="98"/>
      <c r="AOY127" s="98"/>
      <c r="AOZ127" s="98"/>
      <c r="APA127" s="98"/>
      <c r="APB127" s="98"/>
      <c r="APC127" s="98"/>
      <c r="APD127" s="98"/>
      <c r="APE127" s="98"/>
      <c r="APF127" s="98"/>
      <c r="APG127" s="98"/>
      <c r="APH127" s="98"/>
      <c r="API127" s="98"/>
      <c r="APJ127" s="98"/>
      <c r="APK127" s="98"/>
      <c r="APL127" s="98"/>
      <c r="APM127" s="98"/>
      <c r="APN127" s="98"/>
      <c r="APO127" s="98"/>
      <c r="APP127" s="98"/>
      <c r="APQ127" s="98"/>
      <c r="APR127" s="98"/>
      <c r="APS127" s="98"/>
      <c r="APT127" s="98"/>
      <c r="APU127" s="98"/>
      <c r="APV127" s="98"/>
      <c r="APW127" s="98"/>
      <c r="APX127" s="98"/>
      <c r="APY127" s="98"/>
      <c r="APZ127" s="98"/>
      <c r="AQA127" s="98"/>
      <c r="AQB127" s="98"/>
      <c r="AQC127" s="98"/>
      <c r="AQD127" s="98"/>
      <c r="AQE127" s="98"/>
      <c r="AQF127" s="98"/>
      <c r="AQG127" s="98"/>
      <c r="AQH127" s="98"/>
      <c r="AQI127" s="98"/>
      <c r="AQJ127" s="98"/>
      <c r="AQK127" s="98"/>
      <c r="AQL127" s="98"/>
      <c r="AQM127" s="98"/>
      <c r="AQN127" s="98"/>
      <c r="AQO127" s="98"/>
      <c r="AQP127" s="98"/>
      <c r="AQQ127" s="98"/>
      <c r="AQR127" s="98"/>
      <c r="AQS127" s="98"/>
      <c r="AQT127" s="98"/>
      <c r="AQU127" s="98"/>
      <c r="AQV127" s="98"/>
      <c r="AQW127" s="98"/>
      <c r="AQX127" s="98"/>
      <c r="AQY127" s="98"/>
      <c r="AQZ127" s="98"/>
      <c r="ARA127" s="98"/>
      <c r="ARB127" s="98"/>
      <c r="ARC127" s="98"/>
      <c r="ARD127" s="98"/>
      <c r="ARE127" s="98"/>
      <c r="ARF127" s="98"/>
      <c r="ARG127" s="98"/>
      <c r="ARH127" s="98"/>
      <c r="ARI127" s="98"/>
      <c r="ARJ127" s="98"/>
      <c r="ARK127" s="98"/>
      <c r="ARL127" s="98"/>
      <c r="ARM127" s="98"/>
      <c r="ARN127" s="98"/>
      <c r="ARO127" s="98"/>
      <c r="ARP127" s="98"/>
      <c r="ARQ127" s="98"/>
      <c r="ARR127" s="98"/>
      <c r="ARS127" s="98"/>
    </row>
    <row r="128" spans="1:1163" s="174" customFormat="1">
      <c r="A128" s="140" t="s">
        <v>170</v>
      </c>
      <c r="B128" s="119" t="s">
        <v>67</v>
      </c>
      <c r="C128" s="175">
        <v>0</v>
      </c>
      <c r="D128" s="175">
        <v>0</v>
      </c>
      <c r="E128" s="175">
        <v>0</v>
      </c>
      <c r="F128" s="175">
        <v>0</v>
      </c>
      <c r="G128" s="175">
        <v>0</v>
      </c>
      <c r="H128" s="175">
        <v>0</v>
      </c>
      <c r="I128" s="175">
        <v>0</v>
      </c>
      <c r="J128" s="175">
        <v>0</v>
      </c>
      <c r="K128" s="175">
        <v>0</v>
      </c>
      <c r="L128" s="175">
        <v>0</v>
      </c>
      <c r="M128" s="175">
        <v>0</v>
      </c>
      <c r="N128" s="175">
        <v>0</v>
      </c>
      <c r="O128" s="201">
        <v>0</v>
      </c>
      <c r="P128" s="201">
        <v>0</v>
      </c>
      <c r="Q128" s="201">
        <v>0</v>
      </c>
      <c r="R128" s="201">
        <v>0</v>
      </c>
      <c r="S128" s="201">
        <v>0</v>
      </c>
      <c r="T128" s="201">
        <v>0</v>
      </c>
      <c r="U128" s="201">
        <v>0</v>
      </c>
      <c r="V128" s="201">
        <v>0</v>
      </c>
      <c r="W128" s="201">
        <v>0</v>
      </c>
      <c r="X128" s="201">
        <v>0</v>
      </c>
      <c r="Y128" s="201">
        <v>0</v>
      </c>
      <c r="Z128" s="201">
        <v>0</v>
      </c>
      <c r="AA128" s="201">
        <v>0</v>
      </c>
      <c r="AB128" s="201">
        <v>0</v>
      </c>
      <c r="AC128" s="201">
        <v>0</v>
      </c>
      <c r="AD128" s="201">
        <v>0</v>
      </c>
      <c r="AE128" s="201">
        <v>0</v>
      </c>
      <c r="AF128" s="201">
        <v>0</v>
      </c>
      <c r="AG128" s="201">
        <v>0</v>
      </c>
      <c r="AH128" s="201">
        <v>0</v>
      </c>
      <c r="AI128" s="201">
        <v>0</v>
      </c>
      <c r="AJ128" s="201">
        <v>0</v>
      </c>
      <c r="AK128" s="197">
        <v>0</v>
      </c>
      <c r="AL128" s="197">
        <v>0</v>
      </c>
      <c r="AM128" s="201">
        <v>0</v>
      </c>
      <c r="AN128" s="201">
        <v>0</v>
      </c>
      <c r="AO128" s="201">
        <v>0</v>
      </c>
      <c r="AP128" s="201">
        <v>0</v>
      </c>
      <c r="AQ128" s="201">
        <v>0</v>
      </c>
      <c r="AR128" s="201">
        <v>0</v>
      </c>
      <c r="AS128" s="201">
        <v>0</v>
      </c>
      <c r="AT128" s="201">
        <v>0</v>
      </c>
      <c r="AU128" s="209">
        <v>1020.5</v>
      </c>
      <c r="AV128" s="209">
        <v>169505</v>
      </c>
      <c r="AW128" s="197">
        <v>2120</v>
      </c>
      <c r="AX128" s="197">
        <v>330906</v>
      </c>
      <c r="AY128" s="175">
        <v>2129</v>
      </c>
      <c r="AZ128" s="175">
        <v>279802</v>
      </c>
      <c r="BA128" s="177"/>
      <c r="BB128" s="197"/>
      <c r="BC128" s="178"/>
      <c r="BD128" s="197"/>
      <c r="BE128" s="178"/>
      <c r="BF128" s="197"/>
      <c r="BG128" s="178"/>
      <c r="BH128" s="197"/>
      <c r="BI128" s="178"/>
      <c r="BJ128" s="98"/>
      <c r="BK128" s="148"/>
      <c r="BL128" s="148"/>
      <c r="BM128" s="148"/>
      <c r="BN128" s="14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c r="KT128" s="98"/>
      <c r="KU128" s="98"/>
      <c r="KV128" s="98"/>
      <c r="KW128" s="98"/>
      <c r="KX128" s="98"/>
      <c r="KY128" s="98"/>
      <c r="KZ128" s="98"/>
      <c r="LA128" s="98"/>
      <c r="LB128" s="98"/>
      <c r="LC128" s="98"/>
      <c r="LD128" s="98"/>
      <c r="LE128" s="98"/>
      <c r="LF128" s="98"/>
      <c r="LG128" s="98"/>
      <c r="LH128" s="98"/>
      <c r="LI128" s="98"/>
      <c r="LJ128" s="98"/>
      <c r="LK128" s="98"/>
      <c r="LL128" s="98"/>
      <c r="LM128" s="98"/>
      <c r="LN128" s="98"/>
      <c r="LO128" s="98"/>
      <c r="LP128" s="98"/>
      <c r="LQ128" s="98"/>
      <c r="LR128" s="98"/>
      <c r="LS128" s="98"/>
      <c r="LT128" s="98"/>
      <c r="LU128" s="98"/>
      <c r="LV128" s="98"/>
      <c r="LW128" s="98"/>
      <c r="LX128" s="98"/>
      <c r="LY128" s="98"/>
      <c r="LZ128" s="98"/>
      <c r="MA128" s="98"/>
      <c r="MB128" s="98"/>
      <c r="MC128" s="98"/>
      <c r="MD128" s="98"/>
      <c r="ME128" s="98"/>
      <c r="MF128" s="98"/>
      <c r="MG128" s="98"/>
      <c r="MH128" s="98"/>
      <c r="MI128" s="98"/>
      <c r="MJ128" s="98"/>
      <c r="MK128" s="98"/>
      <c r="ML128" s="98"/>
      <c r="MM128" s="98"/>
      <c r="MN128" s="98"/>
      <c r="MO128" s="98"/>
      <c r="MP128" s="98"/>
      <c r="MQ128" s="98"/>
      <c r="MR128" s="98"/>
      <c r="MS128" s="98"/>
      <c r="MT128" s="98"/>
      <c r="MU128" s="98"/>
      <c r="MV128" s="98"/>
      <c r="MW128" s="98"/>
      <c r="MX128" s="98"/>
      <c r="MY128" s="98"/>
      <c r="MZ128" s="98"/>
      <c r="NA128" s="98"/>
      <c r="NB128" s="98"/>
      <c r="NC128" s="98"/>
      <c r="ND128" s="98"/>
      <c r="NE128" s="98"/>
      <c r="NF128" s="98"/>
      <c r="NG128" s="98"/>
      <c r="NH128" s="98"/>
      <c r="NI128" s="98"/>
      <c r="NJ128" s="98"/>
      <c r="NK128" s="98"/>
      <c r="NL128" s="98"/>
      <c r="NM128" s="98"/>
      <c r="NN128" s="98"/>
      <c r="NO128" s="98"/>
      <c r="NP128" s="98"/>
      <c r="NQ128" s="98"/>
      <c r="NR128" s="98"/>
      <c r="NS128" s="98"/>
      <c r="NT128" s="98"/>
      <c r="NU128" s="98"/>
      <c r="NV128" s="98"/>
      <c r="NW128" s="98"/>
      <c r="NX128" s="98"/>
      <c r="NY128" s="98"/>
      <c r="NZ128" s="98"/>
      <c r="OA128" s="98"/>
      <c r="OB128" s="98"/>
      <c r="OC128" s="98"/>
      <c r="OD128" s="98"/>
      <c r="OE128" s="98"/>
      <c r="OF128" s="98"/>
      <c r="OG128" s="98"/>
      <c r="OH128" s="98"/>
      <c r="OI128" s="98"/>
      <c r="OJ128" s="98"/>
      <c r="OK128" s="98"/>
      <c r="OL128" s="98"/>
      <c r="OM128" s="98"/>
      <c r="ON128" s="98"/>
      <c r="OO128" s="98"/>
      <c r="OP128" s="98"/>
      <c r="OQ128" s="98"/>
      <c r="OR128" s="98"/>
      <c r="OS128" s="98"/>
      <c r="OT128" s="98"/>
      <c r="OU128" s="98"/>
      <c r="OV128" s="98"/>
      <c r="OW128" s="98"/>
      <c r="OX128" s="98"/>
      <c r="OY128" s="98"/>
      <c r="OZ128" s="98"/>
      <c r="PA128" s="98"/>
      <c r="PB128" s="98"/>
      <c r="PC128" s="98"/>
      <c r="PD128" s="98"/>
      <c r="PE128" s="98"/>
      <c r="PF128" s="98"/>
      <c r="PG128" s="98"/>
      <c r="PH128" s="98"/>
      <c r="PI128" s="98"/>
      <c r="PJ128" s="98"/>
      <c r="PK128" s="98"/>
      <c r="PL128" s="98"/>
      <c r="PM128" s="98"/>
      <c r="PN128" s="98"/>
      <c r="PO128" s="98"/>
      <c r="PP128" s="98"/>
      <c r="PQ128" s="98"/>
      <c r="PR128" s="98"/>
      <c r="PS128" s="98"/>
      <c r="PT128" s="98"/>
      <c r="PU128" s="98"/>
      <c r="PV128" s="98"/>
      <c r="PW128" s="98"/>
      <c r="PX128" s="98"/>
      <c r="PY128" s="98"/>
      <c r="PZ128" s="98"/>
      <c r="QA128" s="98"/>
      <c r="QB128" s="98"/>
      <c r="QC128" s="98"/>
      <c r="QD128" s="98"/>
      <c r="QE128" s="98"/>
      <c r="QF128" s="98"/>
      <c r="QG128" s="98"/>
      <c r="QH128" s="98"/>
      <c r="QI128" s="98"/>
      <c r="QJ128" s="98"/>
      <c r="QK128" s="98"/>
      <c r="QL128" s="98"/>
      <c r="QM128" s="98"/>
      <c r="QN128" s="98"/>
      <c r="QO128" s="98"/>
      <c r="QP128" s="98"/>
      <c r="QQ128" s="98"/>
      <c r="QR128" s="98"/>
      <c r="QS128" s="98"/>
      <c r="QT128" s="98"/>
      <c r="QU128" s="98"/>
      <c r="QV128" s="98"/>
      <c r="QW128" s="98"/>
      <c r="QX128" s="98"/>
      <c r="QY128" s="98"/>
      <c r="QZ128" s="98"/>
      <c r="RA128" s="98"/>
      <c r="RB128" s="98"/>
      <c r="RC128" s="98"/>
      <c r="RD128" s="98"/>
      <c r="RE128" s="98"/>
      <c r="RF128" s="98"/>
      <c r="RG128" s="98"/>
      <c r="RH128" s="98"/>
      <c r="RI128" s="98"/>
      <c r="RJ128" s="98"/>
      <c r="RK128" s="98"/>
      <c r="RL128" s="98"/>
      <c r="RM128" s="98"/>
      <c r="RN128" s="98"/>
      <c r="RO128" s="98"/>
      <c r="RP128" s="98"/>
      <c r="RQ128" s="98"/>
      <c r="RR128" s="98"/>
      <c r="RS128" s="98"/>
      <c r="RT128" s="98"/>
      <c r="RU128" s="98"/>
      <c r="RV128" s="98"/>
      <c r="RW128" s="98"/>
      <c r="RX128" s="98"/>
      <c r="RY128" s="98"/>
      <c r="RZ128" s="98"/>
      <c r="SA128" s="98"/>
      <c r="SB128" s="98"/>
      <c r="SC128" s="98"/>
      <c r="SD128" s="98"/>
      <c r="SE128" s="98"/>
      <c r="SF128" s="98"/>
      <c r="SG128" s="98"/>
      <c r="SH128" s="98"/>
      <c r="SI128" s="98"/>
      <c r="SJ128" s="98"/>
      <c r="SK128" s="98"/>
      <c r="SL128" s="98"/>
      <c r="SM128" s="98"/>
      <c r="SN128" s="98"/>
      <c r="SO128" s="98"/>
      <c r="SP128" s="98"/>
      <c r="SQ128" s="98"/>
      <c r="SR128" s="98"/>
      <c r="SS128" s="98"/>
      <c r="ST128" s="98"/>
      <c r="SU128" s="98"/>
      <c r="SV128" s="98"/>
      <c r="SW128" s="98"/>
      <c r="SX128" s="98"/>
      <c r="SY128" s="98"/>
      <c r="SZ128" s="98"/>
      <c r="TA128" s="98"/>
      <c r="TB128" s="98"/>
      <c r="TC128" s="98"/>
      <c r="TD128" s="98"/>
      <c r="TE128" s="98"/>
      <c r="TF128" s="98"/>
      <c r="TG128" s="98"/>
      <c r="TH128" s="98"/>
      <c r="TI128" s="98"/>
      <c r="TJ128" s="98"/>
      <c r="TK128" s="98"/>
      <c r="TL128" s="98"/>
      <c r="TM128" s="98"/>
      <c r="TN128" s="98"/>
      <c r="TO128" s="98"/>
      <c r="TP128" s="98"/>
      <c r="TQ128" s="98"/>
      <c r="TR128" s="98"/>
      <c r="TS128" s="98"/>
      <c r="TT128" s="98"/>
      <c r="TU128" s="98"/>
      <c r="TV128" s="98"/>
      <c r="TW128" s="98"/>
      <c r="TX128" s="98"/>
      <c r="TY128" s="98"/>
      <c r="TZ128" s="98"/>
      <c r="UA128" s="98"/>
      <c r="UB128" s="98"/>
      <c r="UC128" s="98"/>
      <c r="UD128" s="98"/>
      <c r="UE128" s="98"/>
      <c r="UF128" s="98"/>
      <c r="UG128" s="98"/>
      <c r="UH128" s="98"/>
      <c r="UI128" s="98"/>
      <c r="UJ128" s="98"/>
      <c r="UK128" s="98"/>
      <c r="UL128" s="98"/>
      <c r="UM128" s="98"/>
      <c r="UN128" s="98"/>
      <c r="UO128" s="98"/>
      <c r="UP128" s="98"/>
      <c r="UQ128" s="98"/>
      <c r="UR128" s="98"/>
      <c r="US128" s="98"/>
      <c r="UT128" s="98"/>
      <c r="UU128" s="98"/>
      <c r="UV128" s="98"/>
      <c r="UW128" s="98"/>
      <c r="UX128" s="98"/>
      <c r="UY128" s="98"/>
      <c r="UZ128" s="98"/>
      <c r="VA128" s="98"/>
      <c r="VB128" s="98"/>
      <c r="VC128" s="98"/>
      <c r="VD128" s="98"/>
      <c r="VE128" s="98"/>
      <c r="VF128" s="98"/>
      <c r="VG128" s="98"/>
      <c r="VH128" s="98"/>
      <c r="VI128" s="98"/>
      <c r="VJ128" s="98"/>
      <c r="VK128" s="98"/>
      <c r="VL128" s="98"/>
      <c r="VM128" s="98"/>
      <c r="VN128" s="98"/>
      <c r="VO128" s="98"/>
      <c r="VP128" s="98"/>
      <c r="VQ128" s="98"/>
      <c r="VR128" s="98"/>
      <c r="VS128" s="98"/>
      <c r="VT128" s="98"/>
      <c r="VU128" s="98"/>
      <c r="VV128" s="98"/>
      <c r="VW128" s="98"/>
      <c r="VX128" s="98"/>
      <c r="VY128" s="98"/>
      <c r="VZ128" s="98"/>
      <c r="WA128" s="98"/>
      <c r="WB128" s="98"/>
      <c r="WC128" s="98"/>
      <c r="WD128" s="98"/>
      <c r="WE128" s="98"/>
      <c r="WF128" s="98"/>
      <c r="WG128" s="98"/>
      <c r="WH128" s="98"/>
      <c r="WI128" s="98"/>
      <c r="WJ128" s="98"/>
      <c r="WK128" s="98"/>
      <c r="WL128" s="98"/>
      <c r="WM128" s="98"/>
      <c r="WN128" s="98"/>
      <c r="WO128" s="98"/>
      <c r="WP128" s="98"/>
      <c r="WQ128" s="98"/>
      <c r="WR128" s="98"/>
      <c r="WS128" s="98"/>
      <c r="WT128" s="98"/>
      <c r="WU128" s="98"/>
      <c r="WV128" s="98"/>
      <c r="WW128" s="98"/>
      <c r="WX128" s="98"/>
      <c r="WY128" s="98"/>
      <c r="WZ128" s="98"/>
      <c r="XA128" s="98"/>
      <c r="XB128" s="98"/>
      <c r="XC128" s="98"/>
      <c r="XD128" s="98"/>
      <c r="XE128" s="98"/>
      <c r="XF128" s="98"/>
      <c r="XG128" s="98"/>
      <c r="XH128" s="98"/>
      <c r="XI128" s="98"/>
      <c r="XJ128" s="98"/>
      <c r="XK128" s="98"/>
      <c r="XL128" s="98"/>
      <c r="XM128" s="98"/>
      <c r="XN128" s="98"/>
      <c r="XO128" s="98"/>
      <c r="XP128" s="98"/>
      <c r="XQ128" s="98"/>
      <c r="XR128" s="98"/>
      <c r="XS128" s="98"/>
      <c r="XT128" s="98"/>
      <c r="XU128" s="98"/>
      <c r="XV128" s="98"/>
      <c r="XW128" s="98"/>
      <c r="XX128" s="98"/>
      <c r="XY128" s="98"/>
      <c r="XZ128" s="98"/>
      <c r="YA128" s="98"/>
      <c r="YB128" s="98"/>
      <c r="YC128" s="98"/>
      <c r="YD128" s="98"/>
      <c r="YE128" s="98"/>
      <c r="YF128" s="98"/>
      <c r="YG128" s="98"/>
      <c r="YH128" s="98"/>
      <c r="YI128" s="98"/>
      <c r="YJ128" s="98"/>
      <c r="YK128" s="98"/>
      <c r="YL128" s="98"/>
      <c r="YM128" s="98"/>
      <c r="YN128" s="98"/>
      <c r="YO128" s="98"/>
      <c r="YP128" s="98"/>
      <c r="YQ128" s="98"/>
      <c r="YR128" s="98"/>
      <c r="YS128" s="98"/>
      <c r="YT128" s="98"/>
      <c r="YU128" s="98"/>
      <c r="YV128" s="98"/>
      <c r="YW128" s="98"/>
      <c r="YX128" s="98"/>
      <c r="YY128" s="98"/>
      <c r="YZ128" s="98"/>
      <c r="ZA128" s="98"/>
      <c r="ZB128" s="98"/>
      <c r="ZC128" s="98"/>
      <c r="ZD128" s="98"/>
      <c r="ZE128" s="98"/>
      <c r="ZF128" s="98"/>
      <c r="ZG128" s="98"/>
      <c r="ZH128" s="98"/>
      <c r="ZI128" s="98"/>
      <c r="ZJ128" s="98"/>
      <c r="ZK128" s="98"/>
      <c r="ZL128" s="98"/>
      <c r="ZM128" s="98"/>
      <c r="ZN128" s="98"/>
      <c r="ZO128" s="98"/>
      <c r="ZP128" s="98"/>
      <c r="ZQ128" s="98"/>
      <c r="ZR128" s="98"/>
      <c r="ZS128" s="98"/>
      <c r="ZT128" s="98"/>
      <c r="ZU128" s="98"/>
      <c r="ZV128" s="98"/>
      <c r="ZW128" s="98"/>
      <c r="ZX128" s="98"/>
      <c r="ZY128" s="98"/>
      <c r="ZZ128" s="98"/>
      <c r="AAA128" s="98"/>
      <c r="AAB128" s="98"/>
      <c r="AAC128" s="98"/>
      <c r="AAD128" s="98"/>
      <c r="AAE128" s="98"/>
      <c r="AAF128" s="98"/>
      <c r="AAG128" s="98"/>
      <c r="AAH128" s="98"/>
      <c r="AAI128" s="98"/>
      <c r="AAJ128" s="98"/>
      <c r="AAK128" s="98"/>
      <c r="AAL128" s="98"/>
      <c r="AAM128" s="98"/>
      <c r="AAN128" s="98"/>
      <c r="AAO128" s="98"/>
      <c r="AAP128" s="98"/>
      <c r="AAQ128" s="98"/>
      <c r="AAR128" s="98"/>
      <c r="AAS128" s="98"/>
      <c r="AAT128" s="98"/>
      <c r="AAU128" s="98"/>
      <c r="AAV128" s="98"/>
      <c r="AAW128" s="98"/>
      <c r="AAX128" s="98"/>
      <c r="AAY128" s="98"/>
      <c r="AAZ128" s="98"/>
      <c r="ABA128" s="98"/>
      <c r="ABB128" s="98"/>
      <c r="ABC128" s="98"/>
      <c r="ABD128" s="98"/>
      <c r="ABE128" s="98"/>
      <c r="ABF128" s="98"/>
      <c r="ABG128" s="98"/>
      <c r="ABH128" s="98"/>
      <c r="ABI128" s="98"/>
      <c r="ABJ128" s="98"/>
      <c r="ABK128" s="98"/>
      <c r="ABL128" s="98"/>
      <c r="ABM128" s="98"/>
      <c r="ABN128" s="98"/>
      <c r="ABO128" s="98"/>
      <c r="ABP128" s="98"/>
      <c r="ABQ128" s="98"/>
      <c r="ABR128" s="98"/>
      <c r="ABS128" s="98"/>
      <c r="ABT128" s="98"/>
      <c r="ABU128" s="98"/>
      <c r="ABV128" s="98"/>
      <c r="ABW128" s="98"/>
      <c r="ABX128" s="98"/>
      <c r="ABY128" s="98"/>
      <c r="ABZ128" s="98"/>
      <c r="ACA128" s="98"/>
      <c r="ACB128" s="98"/>
      <c r="ACC128" s="98"/>
      <c r="ACD128" s="98"/>
      <c r="ACE128" s="98"/>
      <c r="ACF128" s="98"/>
      <c r="ACG128" s="98"/>
      <c r="ACH128" s="98"/>
      <c r="ACI128" s="98"/>
      <c r="ACJ128" s="98"/>
      <c r="ACK128" s="98"/>
      <c r="ACL128" s="98"/>
      <c r="ACM128" s="98"/>
      <c r="ACN128" s="98"/>
      <c r="ACO128" s="98"/>
      <c r="ACP128" s="98"/>
      <c r="ACQ128" s="98"/>
      <c r="ACR128" s="98"/>
      <c r="ACS128" s="98"/>
      <c r="ACT128" s="98"/>
      <c r="ACU128" s="98"/>
      <c r="ACV128" s="98"/>
      <c r="ACW128" s="98"/>
      <c r="ACX128" s="98"/>
      <c r="ACY128" s="98"/>
      <c r="ACZ128" s="98"/>
      <c r="ADA128" s="98"/>
      <c r="ADB128" s="98"/>
      <c r="ADC128" s="98"/>
      <c r="ADD128" s="98"/>
      <c r="ADE128" s="98"/>
      <c r="ADF128" s="98"/>
      <c r="ADG128" s="98"/>
      <c r="ADH128" s="98"/>
      <c r="ADI128" s="98"/>
      <c r="ADJ128" s="98"/>
      <c r="ADK128" s="98"/>
      <c r="ADL128" s="98"/>
      <c r="ADM128" s="98"/>
      <c r="ADN128" s="98"/>
      <c r="ADO128" s="98"/>
      <c r="ADP128" s="98"/>
      <c r="ADQ128" s="98"/>
      <c r="ADR128" s="98"/>
      <c r="ADS128" s="98"/>
      <c r="ADT128" s="98"/>
      <c r="ADU128" s="98"/>
      <c r="ADV128" s="98"/>
      <c r="ADW128" s="98"/>
      <c r="ADX128" s="98"/>
      <c r="ADY128" s="98"/>
      <c r="ADZ128" s="98"/>
      <c r="AEA128" s="98"/>
      <c r="AEB128" s="98"/>
      <c r="AEC128" s="98"/>
      <c r="AED128" s="98"/>
      <c r="AEE128" s="98"/>
      <c r="AEF128" s="98"/>
      <c r="AEG128" s="98"/>
      <c r="AEH128" s="98"/>
      <c r="AEI128" s="98"/>
      <c r="AEJ128" s="98"/>
      <c r="AEK128" s="98"/>
      <c r="AEL128" s="98"/>
      <c r="AEM128" s="98"/>
      <c r="AEN128" s="98"/>
      <c r="AEO128" s="98"/>
      <c r="AEP128" s="98"/>
      <c r="AEQ128" s="98"/>
      <c r="AER128" s="98"/>
      <c r="AES128" s="98"/>
      <c r="AET128" s="98"/>
      <c r="AEU128" s="98"/>
      <c r="AEV128" s="98"/>
      <c r="AEW128" s="98"/>
      <c r="AEX128" s="98"/>
      <c r="AEY128" s="98"/>
      <c r="AEZ128" s="98"/>
      <c r="AFA128" s="98"/>
      <c r="AFB128" s="98"/>
      <c r="AFC128" s="98"/>
      <c r="AFD128" s="98"/>
      <c r="AFE128" s="98"/>
      <c r="AFF128" s="98"/>
      <c r="AFG128" s="98"/>
      <c r="AFH128" s="98"/>
      <c r="AFI128" s="98"/>
      <c r="AFJ128" s="98"/>
      <c r="AFK128" s="98"/>
      <c r="AFL128" s="98"/>
      <c r="AFM128" s="98"/>
      <c r="AFN128" s="98"/>
      <c r="AFO128" s="98"/>
      <c r="AFP128" s="98"/>
      <c r="AFQ128" s="98"/>
      <c r="AFR128" s="98"/>
      <c r="AFS128" s="98"/>
      <c r="AFT128" s="98"/>
      <c r="AFU128" s="98"/>
      <c r="AFV128" s="98"/>
      <c r="AFW128" s="98"/>
      <c r="AFX128" s="98"/>
      <c r="AFY128" s="98"/>
      <c r="AFZ128" s="98"/>
      <c r="AGA128" s="98"/>
      <c r="AGB128" s="98"/>
      <c r="AGC128" s="98"/>
      <c r="AGD128" s="98"/>
      <c r="AGE128" s="98"/>
      <c r="AGF128" s="98"/>
      <c r="AGG128" s="98"/>
      <c r="AGH128" s="98"/>
      <c r="AGI128" s="98"/>
      <c r="AGJ128" s="98"/>
      <c r="AGK128" s="98"/>
      <c r="AGL128" s="98"/>
      <c r="AGM128" s="98"/>
      <c r="AGN128" s="98"/>
      <c r="AGO128" s="98"/>
      <c r="AGP128" s="98"/>
      <c r="AGQ128" s="98"/>
      <c r="AGR128" s="98"/>
      <c r="AGS128" s="98"/>
      <c r="AGT128" s="98"/>
      <c r="AGU128" s="98"/>
      <c r="AGV128" s="98"/>
      <c r="AGW128" s="98"/>
      <c r="AGX128" s="98"/>
      <c r="AGY128" s="98"/>
      <c r="AGZ128" s="98"/>
      <c r="AHA128" s="98"/>
      <c r="AHB128" s="98"/>
      <c r="AHC128" s="98"/>
      <c r="AHD128" s="98"/>
      <c r="AHE128" s="98"/>
      <c r="AHF128" s="98"/>
      <c r="AHG128" s="98"/>
      <c r="AHH128" s="98"/>
      <c r="AHI128" s="98"/>
      <c r="AHJ128" s="98"/>
      <c r="AHK128" s="98"/>
      <c r="AHL128" s="98"/>
      <c r="AHM128" s="98"/>
      <c r="AHN128" s="98"/>
      <c r="AHO128" s="98"/>
      <c r="AHP128" s="98"/>
      <c r="AHQ128" s="98"/>
      <c r="AHR128" s="98"/>
      <c r="AHS128" s="98"/>
      <c r="AHT128" s="98"/>
      <c r="AHU128" s="98"/>
      <c r="AHV128" s="98"/>
      <c r="AHW128" s="98"/>
      <c r="AHX128" s="98"/>
      <c r="AHY128" s="98"/>
      <c r="AHZ128" s="98"/>
      <c r="AIA128" s="98"/>
      <c r="AIB128" s="98"/>
      <c r="AIC128" s="98"/>
      <c r="AID128" s="98"/>
      <c r="AIE128" s="98"/>
      <c r="AIF128" s="98"/>
      <c r="AIG128" s="98"/>
      <c r="AIH128" s="98"/>
      <c r="AII128" s="98"/>
      <c r="AIJ128" s="98"/>
      <c r="AIK128" s="98"/>
      <c r="AIL128" s="98"/>
      <c r="AIM128" s="98"/>
      <c r="AIN128" s="98"/>
      <c r="AIO128" s="98"/>
      <c r="AIP128" s="98"/>
      <c r="AIQ128" s="98"/>
      <c r="AIR128" s="98"/>
      <c r="AIS128" s="98"/>
      <c r="AIT128" s="98"/>
      <c r="AIU128" s="98"/>
      <c r="AIV128" s="98"/>
      <c r="AIW128" s="98"/>
      <c r="AIX128" s="98"/>
      <c r="AIY128" s="98"/>
      <c r="AIZ128" s="98"/>
      <c r="AJA128" s="98"/>
      <c r="AJB128" s="98"/>
      <c r="AJC128" s="98"/>
      <c r="AJD128" s="98"/>
      <c r="AJE128" s="98"/>
      <c r="AJF128" s="98"/>
      <c r="AJG128" s="98"/>
      <c r="AJH128" s="98"/>
      <c r="AJI128" s="98"/>
      <c r="AJJ128" s="98"/>
      <c r="AJK128" s="98"/>
      <c r="AJL128" s="98"/>
      <c r="AJM128" s="98"/>
      <c r="AJN128" s="98"/>
      <c r="AJO128" s="98"/>
      <c r="AJP128" s="98"/>
      <c r="AJQ128" s="98"/>
      <c r="AJR128" s="98"/>
      <c r="AJS128" s="98"/>
      <c r="AJT128" s="98"/>
      <c r="AJU128" s="98"/>
      <c r="AJV128" s="98"/>
      <c r="AJW128" s="98"/>
      <c r="AJX128" s="98"/>
      <c r="AJY128" s="98"/>
      <c r="AJZ128" s="98"/>
      <c r="AKA128" s="98"/>
      <c r="AKB128" s="98"/>
      <c r="AKC128" s="98"/>
      <c r="AKD128" s="98"/>
      <c r="AKE128" s="98"/>
      <c r="AKF128" s="98"/>
      <c r="AKG128" s="98"/>
      <c r="AKH128" s="98"/>
      <c r="AKI128" s="98"/>
      <c r="AKJ128" s="98"/>
      <c r="AKK128" s="98"/>
      <c r="AKL128" s="98"/>
      <c r="AKM128" s="98"/>
      <c r="AKN128" s="98"/>
      <c r="AKO128" s="98"/>
      <c r="AKP128" s="98"/>
      <c r="AKQ128" s="98"/>
      <c r="AKR128" s="98"/>
      <c r="AKS128" s="98"/>
      <c r="AKT128" s="98"/>
      <c r="AKU128" s="98"/>
      <c r="AKV128" s="98"/>
      <c r="AKW128" s="98"/>
      <c r="AKX128" s="98"/>
      <c r="AKY128" s="98"/>
      <c r="AKZ128" s="98"/>
      <c r="ALA128" s="98"/>
      <c r="ALB128" s="98"/>
      <c r="ALC128" s="98"/>
      <c r="ALD128" s="98"/>
      <c r="ALE128" s="98"/>
      <c r="ALF128" s="98"/>
      <c r="ALG128" s="98"/>
      <c r="ALH128" s="98"/>
      <c r="ALI128" s="98"/>
      <c r="ALJ128" s="98"/>
      <c r="ALK128" s="98"/>
      <c r="ALL128" s="98"/>
      <c r="ALM128" s="98"/>
      <c r="ALN128" s="98"/>
      <c r="ALO128" s="98"/>
      <c r="ALP128" s="98"/>
      <c r="ALQ128" s="98"/>
      <c r="ALR128" s="98"/>
      <c r="ALS128" s="98"/>
      <c r="ALT128" s="98"/>
      <c r="ALU128" s="98"/>
      <c r="ALV128" s="98"/>
      <c r="ALW128" s="98"/>
      <c r="ALX128" s="98"/>
      <c r="ALY128" s="98"/>
      <c r="ALZ128" s="98"/>
      <c r="AMA128" s="98"/>
      <c r="AMB128" s="98"/>
      <c r="AMC128" s="98"/>
      <c r="AMD128" s="98"/>
      <c r="AME128" s="98"/>
      <c r="AMF128" s="98"/>
      <c r="AMG128" s="98"/>
      <c r="AMH128" s="98"/>
      <c r="AMI128" s="98"/>
      <c r="AMJ128" s="98"/>
      <c r="AMK128" s="98"/>
      <c r="AML128" s="98"/>
      <c r="AMM128" s="98"/>
      <c r="AMN128" s="98"/>
      <c r="AMO128" s="98"/>
      <c r="AMP128" s="98"/>
      <c r="AMQ128" s="98"/>
      <c r="AMR128" s="98"/>
      <c r="AMS128" s="98"/>
      <c r="AMT128" s="98"/>
      <c r="AMU128" s="98"/>
      <c r="AMV128" s="98"/>
      <c r="AMW128" s="98"/>
      <c r="AMX128" s="98"/>
      <c r="AMY128" s="98"/>
      <c r="AMZ128" s="98"/>
      <c r="ANA128" s="98"/>
      <c r="ANB128" s="98"/>
      <c r="ANC128" s="98"/>
      <c r="AND128" s="98"/>
      <c r="ANE128" s="98"/>
      <c r="ANF128" s="98"/>
      <c r="ANG128" s="98"/>
      <c r="ANH128" s="98"/>
      <c r="ANI128" s="98"/>
      <c r="ANJ128" s="98"/>
      <c r="ANK128" s="98"/>
      <c r="ANL128" s="98"/>
      <c r="ANM128" s="98"/>
      <c r="ANN128" s="98"/>
      <c r="ANO128" s="98"/>
      <c r="ANP128" s="98"/>
      <c r="ANQ128" s="98"/>
      <c r="ANR128" s="98"/>
      <c r="ANS128" s="98"/>
      <c r="ANT128" s="98"/>
      <c r="ANU128" s="98"/>
      <c r="ANV128" s="98"/>
      <c r="ANW128" s="98"/>
      <c r="ANX128" s="98"/>
      <c r="ANY128" s="98"/>
      <c r="ANZ128" s="98"/>
      <c r="AOA128" s="98"/>
      <c r="AOB128" s="98"/>
      <c r="AOC128" s="98"/>
      <c r="AOD128" s="98"/>
      <c r="AOE128" s="98"/>
      <c r="AOF128" s="98"/>
      <c r="AOG128" s="98"/>
      <c r="AOH128" s="98"/>
      <c r="AOI128" s="98"/>
      <c r="AOJ128" s="98"/>
      <c r="AOK128" s="98"/>
      <c r="AOL128" s="98"/>
      <c r="AOM128" s="98"/>
      <c r="AON128" s="98"/>
      <c r="AOO128" s="98"/>
      <c r="AOP128" s="98"/>
      <c r="AOQ128" s="98"/>
      <c r="AOR128" s="98"/>
      <c r="AOS128" s="98"/>
      <c r="AOT128" s="98"/>
      <c r="AOU128" s="98"/>
      <c r="AOV128" s="98"/>
      <c r="AOW128" s="98"/>
      <c r="AOX128" s="98"/>
      <c r="AOY128" s="98"/>
      <c r="AOZ128" s="98"/>
      <c r="APA128" s="98"/>
      <c r="APB128" s="98"/>
      <c r="APC128" s="98"/>
      <c r="APD128" s="98"/>
      <c r="APE128" s="98"/>
      <c r="APF128" s="98"/>
      <c r="APG128" s="98"/>
      <c r="APH128" s="98"/>
      <c r="API128" s="98"/>
      <c r="APJ128" s="98"/>
      <c r="APK128" s="98"/>
      <c r="APL128" s="98"/>
      <c r="APM128" s="98"/>
      <c r="APN128" s="98"/>
      <c r="APO128" s="98"/>
      <c r="APP128" s="98"/>
      <c r="APQ128" s="98"/>
      <c r="APR128" s="98"/>
      <c r="APS128" s="98"/>
      <c r="APT128" s="98"/>
      <c r="APU128" s="98"/>
      <c r="APV128" s="98"/>
      <c r="APW128" s="98"/>
      <c r="APX128" s="98"/>
      <c r="APY128" s="98"/>
      <c r="APZ128" s="98"/>
      <c r="AQA128" s="98"/>
      <c r="AQB128" s="98"/>
      <c r="AQC128" s="98"/>
      <c r="AQD128" s="98"/>
      <c r="AQE128" s="98"/>
      <c r="AQF128" s="98"/>
      <c r="AQG128" s="98"/>
      <c r="AQH128" s="98"/>
      <c r="AQI128" s="98"/>
      <c r="AQJ128" s="98"/>
      <c r="AQK128" s="98"/>
      <c r="AQL128" s="98"/>
      <c r="AQM128" s="98"/>
      <c r="AQN128" s="98"/>
      <c r="AQO128" s="98"/>
      <c r="AQP128" s="98"/>
      <c r="AQQ128" s="98"/>
      <c r="AQR128" s="98"/>
      <c r="AQS128" s="98"/>
      <c r="AQT128" s="98"/>
      <c r="AQU128" s="98"/>
      <c r="AQV128" s="98"/>
      <c r="AQW128" s="98"/>
      <c r="AQX128" s="98"/>
      <c r="AQY128" s="98"/>
      <c r="AQZ128" s="98"/>
      <c r="ARA128" s="98"/>
      <c r="ARB128" s="98"/>
      <c r="ARC128" s="98"/>
      <c r="ARD128" s="98"/>
      <c r="ARE128" s="98"/>
      <c r="ARF128" s="98"/>
      <c r="ARG128" s="98"/>
      <c r="ARH128" s="98"/>
      <c r="ARI128" s="98"/>
      <c r="ARJ128" s="98"/>
      <c r="ARK128" s="98"/>
      <c r="ARL128" s="98"/>
      <c r="ARM128" s="98"/>
      <c r="ARN128" s="98"/>
      <c r="ARO128" s="98"/>
      <c r="ARP128" s="98"/>
      <c r="ARQ128" s="98"/>
      <c r="ARR128" s="98"/>
      <c r="ARS128" s="98"/>
    </row>
    <row r="129" spans="1:1163" s="174" customFormat="1">
      <c r="A129" s="140" t="s">
        <v>171</v>
      </c>
      <c r="B129" s="119" t="s">
        <v>67</v>
      </c>
      <c r="C129" s="175">
        <v>328</v>
      </c>
      <c r="D129" s="175">
        <v>343931</v>
      </c>
      <c r="E129" s="175">
        <v>21</v>
      </c>
      <c r="F129" s="175">
        <v>32192</v>
      </c>
      <c r="G129" s="175">
        <v>58</v>
      </c>
      <c r="H129" s="175">
        <v>187219</v>
      </c>
      <c r="I129" s="175">
        <v>0</v>
      </c>
      <c r="J129" s="175">
        <v>0</v>
      </c>
      <c r="K129" s="175">
        <v>0</v>
      </c>
      <c r="L129" s="175">
        <v>0</v>
      </c>
      <c r="M129" s="175">
        <v>66</v>
      </c>
      <c r="N129" s="175">
        <v>358048</v>
      </c>
      <c r="O129" s="175">
        <v>46</v>
      </c>
      <c r="P129" s="175">
        <v>586165</v>
      </c>
      <c r="Q129" s="175">
        <v>41</v>
      </c>
      <c r="R129" s="175">
        <v>335662</v>
      </c>
      <c r="S129" s="175">
        <v>5</v>
      </c>
      <c r="T129" s="175">
        <v>38444</v>
      </c>
      <c r="U129" s="201">
        <v>0</v>
      </c>
      <c r="V129" s="201">
        <v>0</v>
      </c>
      <c r="W129" s="197">
        <v>20</v>
      </c>
      <c r="X129" s="197">
        <v>105840</v>
      </c>
      <c r="Y129" s="201">
        <v>0</v>
      </c>
      <c r="Z129" s="201">
        <v>0</v>
      </c>
      <c r="AA129" s="201">
        <v>0</v>
      </c>
      <c r="AB129" s="201">
        <v>0</v>
      </c>
      <c r="AC129" s="201">
        <v>0</v>
      </c>
      <c r="AD129" s="201">
        <v>0</v>
      </c>
      <c r="AE129" s="201">
        <v>0</v>
      </c>
      <c r="AF129" s="201">
        <v>0</v>
      </c>
      <c r="AG129" s="201">
        <v>0</v>
      </c>
      <c r="AH129" s="201">
        <v>0</v>
      </c>
      <c r="AI129" s="201">
        <v>0</v>
      </c>
      <c r="AJ129" s="201">
        <v>0</v>
      </c>
      <c r="AK129" s="197">
        <v>0</v>
      </c>
      <c r="AL129" s="197">
        <v>0</v>
      </c>
      <c r="AM129" s="201">
        <v>0</v>
      </c>
      <c r="AN129" s="201">
        <v>0</v>
      </c>
      <c r="AO129" s="201">
        <v>0</v>
      </c>
      <c r="AP129" s="201">
        <v>0</v>
      </c>
      <c r="AQ129" s="201">
        <v>0</v>
      </c>
      <c r="AR129" s="201">
        <v>0</v>
      </c>
      <c r="AS129" s="201">
        <v>0</v>
      </c>
      <c r="AT129" s="201">
        <v>0</v>
      </c>
      <c r="AU129" s="201">
        <v>0</v>
      </c>
      <c r="AV129" s="201">
        <v>0</v>
      </c>
      <c r="AW129" s="197">
        <v>0</v>
      </c>
      <c r="AX129" s="197">
        <v>0</v>
      </c>
      <c r="AY129" s="175">
        <v>0</v>
      </c>
      <c r="AZ129" s="175">
        <v>0</v>
      </c>
      <c r="BA129" s="201"/>
      <c r="BB129" s="175"/>
      <c r="BC129" s="175"/>
      <c r="BD129" s="175"/>
      <c r="BE129" s="197"/>
      <c r="BF129" s="175"/>
      <c r="BG129" s="175"/>
      <c r="BH129" s="175"/>
      <c r="BI129" s="201"/>
      <c r="BJ129" s="98"/>
      <c r="BK129" s="148"/>
      <c r="BL129" s="148"/>
      <c r="BM129" s="148"/>
      <c r="BN129" s="14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98"/>
      <c r="EN129" s="98"/>
      <c r="EO129" s="98"/>
      <c r="EP129" s="98"/>
      <c r="EQ129" s="98"/>
      <c r="ER129" s="98"/>
      <c r="ES129" s="98"/>
      <c r="ET129" s="98"/>
      <c r="EU129" s="98"/>
      <c r="EV129" s="98"/>
      <c r="EW129" s="98"/>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c r="IW129" s="98"/>
      <c r="IX129" s="98"/>
      <c r="IY129" s="98"/>
      <c r="IZ129" s="98"/>
      <c r="JA129" s="98"/>
      <c r="JB129" s="98"/>
      <c r="JC129" s="98"/>
      <c r="JD129" s="98"/>
      <c r="JE129" s="98"/>
      <c r="JF129" s="98"/>
      <c r="JG129" s="98"/>
      <c r="JH129" s="98"/>
      <c r="JI129" s="98"/>
      <c r="JJ129" s="98"/>
      <c r="JK129" s="98"/>
      <c r="JL129" s="98"/>
      <c r="JM129" s="98"/>
      <c r="JN129" s="98"/>
      <c r="JO129" s="98"/>
      <c r="JP129" s="98"/>
      <c r="JQ129" s="98"/>
      <c r="JR129" s="98"/>
      <c r="JS129" s="98"/>
      <c r="JT129" s="98"/>
      <c r="JU129" s="98"/>
      <c r="JV129" s="98"/>
      <c r="JW129" s="98"/>
      <c r="JX129" s="98"/>
      <c r="JY129" s="98"/>
      <c r="JZ129" s="98"/>
      <c r="KA129" s="98"/>
      <c r="KB129" s="98"/>
      <c r="KC129" s="98"/>
      <c r="KD129" s="98"/>
      <c r="KE129" s="98"/>
      <c r="KF129" s="98"/>
      <c r="KG129" s="98"/>
      <c r="KH129" s="98"/>
      <c r="KI129" s="98"/>
      <c r="KJ129" s="98"/>
      <c r="KK129" s="98"/>
      <c r="KL129" s="98"/>
      <c r="KM129" s="98"/>
      <c r="KN129" s="98"/>
      <c r="KO129" s="98"/>
      <c r="KP129" s="98"/>
      <c r="KQ129" s="98"/>
      <c r="KR129" s="98"/>
      <c r="KS129" s="98"/>
      <c r="KT129" s="98"/>
      <c r="KU129" s="98"/>
      <c r="KV129" s="98"/>
      <c r="KW129" s="98"/>
      <c r="KX129" s="98"/>
      <c r="KY129" s="98"/>
      <c r="KZ129" s="98"/>
      <c r="LA129" s="98"/>
      <c r="LB129" s="98"/>
      <c r="LC129" s="98"/>
      <c r="LD129" s="98"/>
      <c r="LE129" s="98"/>
      <c r="LF129" s="98"/>
      <c r="LG129" s="98"/>
      <c r="LH129" s="98"/>
      <c r="LI129" s="98"/>
      <c r="LJ129" s="98"/>
      <c r="LK129" s="98"/>
      <c r="LL129" s="98"/>
      <c r="LM129" s="98"/>
      <c r="LN129" s="98"/>
      <c r="LO129" s="98"/>
      <c r="LP129" s="98"/>
      <c r="LQ129" s="98"/>
      <c r="LR129" s="98"/>
      <c r="LS129" s="98"/>
      <c r="LT129" s="98"/>
      <c r="LU129" s="98"/>
      <c r="LV129" s="98"/>
      <c r="LW129" s="98"/>
      <c r="LX129" s="98"/>
      <c r="LY129" s="98"/>
      <c r="LZ129" s="98"/>
      <c r="MA129" s="98"/>
      <c r="MB129" s="98"/>
      <c r="MC129" s="98"/>
      <c r="MD129" s="98"/>
      <c r="ME129" s="98"/>
      <c r="MF129" s="98"/>
      <c r="MG129" s="98"/>
      <c r="MH129" s="98"/>
      <c r="MI129" s="98"/>
      <c r="MJ129" s="98"/>
      <c r="MK129" s="98"/>
      <c r="ML129" s="98"/>
      <c r="MM129" s="98"/>
      <c r="MN129" s="98"/>
      <c r="MO129" s="98"/>
      <c r="MP129" s="98"/>
      <c r="MQ129" s="98"/>
      <c r="MR129" s="98"/>
      <c r="MS129" s="98"/>
      <c r="MT129" s="98"/>
      <c r="MU129" s="98"/>
      <c r="MV129" s="98"/>
      <c r="MW129" s="98"/>
      <c r="MX129" s="98"/>
      <c r="MY129" s="98"/>
      <c r="MZ129" s="98"/>
      <c r="NA129" s="98"/>
      <c r="NB129" s="98"/>
      <c r="NC129" s="98"/>
      <c r="ND129" s="98"/>
      <c r="NE129" s="98"/>
      <c r="NF129" s="98"/>
      <c r="NG129" s="98"/>
      <c r="NH129" s="98"/>
      <c r="NI129" s="98"/>
      <c r="NJ129" s="98"/>
      <c r="NK129" s="98"/>
      <c r="NL129" s="98"/>
      <c r="NM129" s="98"/>
      <c r="NN129" s="98"/>
      <c r="NO129" s="98"/>
      <c r="NP129" s="98"/>
      <c r="NQ129" s="98"/>
      <c r="NR129" s="98"/>
      <c r="NS129" s="98"/>
      <c r="NT129" s="98"/>
      <c r="NU129" s="98"/>
      <c r="NV129" s="98"/>
      <c r="NW129" s="98"/>
      <c r="NX129" s="98"/>
      <c r="NY129" s="98"/>
      <c r="NZ129" s="98"/>
      <c r="OA129" s="98"/>
      <c r="OB129" s="98"/>
      <c r="OC129" s="98"/>
      <c r="OD129" s="98"/>
      <c r="OE129" s="98"/>
      <c r="OF129" s="98"/>
      <c r="OG129" s="98"/>
      <c r="OH129" s="98"/>
      <c r="OI129" s="98"/>
      <c r="OJ129" s="98"/>
      <c r="OK129" s="98"/>
      <c r="OL129" s="98"/>
      <c r="OM129" s="98"/>
      <c r="ON129" s="98"/>
      <c r="OO129" s="98"/>
      <c r="OP129" s="98"/>
      <c r="OQ129" s="98"/>
      <c r="OR129" s="98"/>
      <c r="OS129" s="98"/>
      <c r="OT129" s="98"/>
      <c r="OU129" s="98"/>
      <c r="OV129" s="98"/>
      <c r="OW129" s="98"/>
      <c r="OX129" s="98"/>
      <c r="OY129" s="98"/>
      <c r="OZ129" s="98"/>
      <c r="PA129" s="98"/>
      <c r="PB129" s="98"/>
      <c r="PC129" s="98"/>
      <c r="PD129" s="98"/>
      <c r="PE129" s="98"/>
      <c r="PF129" s="98"/>
      <c r="PG129" s="98"/>
      <c r="PH129" s="98"/>
      <c r="PI129" s="98"/>
      <c r="PJ129" s="98"/>
      <c r="PK129" s="98"/>
      <c r="PL129" s="98"/>
      <c r="PM129" s="98"/>
      <c r="PN129" s="98"/>
      <c r="PO129" s="98"/>
      <c r="PP129" s="98"/>
      <c r="PQ129" s="98"/>
      <c r="PR129" s="98"/>
      <c r="PS129" s="98"/>
      <c r="PT129" s="98"/>
      <c r="PU129" s="98"/>
      <c r="PV129" s="98"/>
      <c r="PW129" s="98"/>
      <c r="PX129" s="98"/>
      <c r="PY129" s="98"/>
      <c r="PZ129" s="98"/>
      <c r="QA129" s="98"/>
      <c r="QB129" s="98"/>
      <c r="QC129" s="98"/>
      <c r="QD129" s="98"/>
      <c r="QE129" s="98"/>
      <c r="QF129" s="98"/>
      <c r="QG129" s="98"/>
      <c r="QH129" s="98"/>
      <c r="QI129" s="98"/>
      <c r="QJ129" s="98"/>
      <c r="QK129" s="98"/>
      <c r="QL129" s="98"/>
      <c r="QM129" s="98"/>
      <c r="QN129" s="98"/>
      <c r="QO129" s="98"/>
      <c r="QP129" s="98"/>
      <c r="QQ129" s="98"/>
      <c r="QR129" s="98"/>
      <c r="QS129" s="98"/>
      <c r="QT129" s="98"/>
      <c r="QU129" s="98"/>
      <c r="QV129" s="98"/>
      <c r="QW129" s="98"/>
      <c r="QX129" s="98"/>
      <c r="QY129" s="98"/>
      <c r="QZ129" s="98"/>
      <c r="RA129" s="98"/>
      <c r="RB129" s="98"/>
      <c r="RC129" s="98"/>
      <c r="RD129" s="98"/>
      <c r="RE129" s="98"/>
      <c r="RF129" s="98"/>
      <c r="RG129" s="98"/>
      <c r="RH129" s="98"/>
      <c r="RI129" s="98"/>
      <c r="RJ129" s="98"/>
      <c r="RK129" s="98"/>
      <c r="RL129" s="98"/>
      <c r="RM129" s="98"/>
      <c r="RN129" s="98"/>
      <c r="RO129" s="98"/>
      <c r="RP129" s="98"/>
      <c r="RQ129" s="98"/>
      <c r="RR129" s="98"/>
      <c r="RS129" s="98"/>
      <c r="RT129" s="98"/>
      <c r="RU129" s="98"/>
      <c r="RV129" s="98"/>
      <c r="RW129" s="98"/>
      <c r="RX129" s="98"/>
      <c r="RY129" s="98"/>
      <c r="RZ129" s="98"/>
      <c r="SA129" s="98"/>
      <c r="SB129" s="98"/>
      <c r="SC129" s="98"/>
      <c r="SD129" s="98"/>
      <c r="SE129" s="98"/>
      <c r="SF129" s="98"/>
      <c r="SG129" s="98"/>
      <c r="SH129" s="98"/>
      <c r="SI129" s="98"/>
      <c r="SJ129" s="98"/>
      <c r="SK129" s="98"/>
      <c r="SL129" s="98"/>
      <c r="SM129" s="98"/>
      <c r="SN129" s="98"/>
      <c r="SO129" s="98"/>
      <c r="SP129" s="98"/>
      <c r="SQ129" s="98"/>
      <c r="SR129" s="98"/>
      <c r="SS129" s="98"/>
      <c r="ST129" s="98"/>
      <c r="SU129" s="98"/>
      <c r="SV129" s="98"/>
      <c r="SW129" s="98"/>
      <c r="SX129" s="98"/>
      <c r="SY129" s="98"/>
      <c r="SZ129" s="98"/>
      <c r="TA129" s="98"/>
      <c r="TB129" s="98"/>
      <c r="TC129" s="98"/>
      <c r="TD129" s="98"/>
      <c r="TE129" s="98"/>
      <c r="TF129" s="98"/>
      <c r="TG129" s="98"/>
      <c r="TH129" s="98"/>
      <c r="TI129" s="98"/>
      <c r="TJ129" s="98"/>
      <c r="TK129" s="98"/>
      <c r="TL129" s="98"/>
      <c r="TM129" s="98"/>
      <c r="TN129" s="98"/>
      <c r="TO129" s="98"/>
      <c r="TP129" s="98"/>
      <c r="TQ129" s="98"/>
      <c r="TR129" s="98"/>
      <c r="TS129" s="98"/>
      <c r="TT129" s="98"/>
      <c r="TU129" s="98"/>
      <c r="TV129" s="98"/>
      <c r="TW129" s="98"/>
      <c r="TX129" s="98"/>
      <c r="TY129" s="98"/>
      <c r="TZ129" s="98"/>
      <c r="UA129" s="98"/>
      <c r="UB129" s="98"/>
      <c r="UC129" s="98"/>
      <c r="UD129" s="98"/>
      <c r="UE129" s="98"/>
      <c r="UF129" s="98"/>
      <c r="UG129" s="98"/>
      <c r="UH129" s="98"/>
      <c r="UI129" s="98"/>
      <c r="UJ129" s="98"/>
      <c r="UK129" s="98"/>
      <c r="UL129" s="98"/>
      <c r="UM129" s="98"/>
      <c r="UN129" s="98"/>
      <c r="UO129" s="98"/>
      <c r="UP129" s="98"/>
      <c r="UQ129" s="98"/>
      <c r="UR129" s="98"/>
      <c r="US129" s="98"/>
      <c r="UT129" s="98"/>
      <c r="UU129" s="98"/>
      <c r="UV129" s="98"/>
      <c r="UW129" s="98"/>
      <c r="UX129" s="98"/>
      <c r="UY129" s="98"/>
      <c r="UZ129" s="98"/>
      <c r="VA129" s="98"/>
      <c r="VB129" s="98"/>
      <c r="VC129" s="98"/>
      <c r="VD129" s="98"/>
      <c r="VE129" s="98"/>
      <c r="VF129" s="98"/>
      <c r="VG129" s="98"/>
      <c r="VH129" s="98"/>
      <c r="VI129" s="98"/>
      <c r="VJ129" s="98"/>
      <c r="VK129" s="98"/>
      <c r="VL129" s="98"/>
      <c r="VM129" s="98"/>
      <c r="VN129" s="98"/>
      <c r="VO129" s="98"/>
      <c r="VP129" s="98"/>
      <c r="VQ129" s="98"/>
      <c r="VR129" s="98"/>
      <c r="VS129" s="98"/>
      <c r="VT129" s="98"/>
      <c r="VU129" s="98"/>
      <c r="VV129" s="98"/>
      <c r="VW129" s="98"/>
      <c r="VX129" s="98"/>
      <c r="VY129" s="98"/>
      <c r="VZ129" s="98"/>
      <c r="WA129" s="98"/>
      <c r="WB129" s="98"/>
      <c r="WC129" s="98"/>
      <c r="WD129" s="98"/>
      <c r="WE129" s="98"/>
      <c r="WF129" s="98"/>
      <c r="WG129" s="98"/>
      <c r="WH129" s="98"/>
      <c r="WI129" s="98"/>
      <c r="WJ129" s="98"/>
      <c r="WK129" s="98"/>
      <c r="WL129" s="98"/>
      <c r="WM129" s="98"/>
      <c r="WN129" s="98"/>
      <c r="WO129" s="98"/>
      <c r="WP129" s="98"/>
      <c r="WQ129" s="98"/>
      <c r="WR129" s="98"/>
      <c r="WS129" s="98"/>
      <c r="WT129" s="98"/>
      <c r="WU129" s="98"/>
      <c r="WV129" s="98"/>
      <c r="WW129" s="98"/>
      <c r="WX129" s="98"/>
      <c r="WY129" s="98"/>
      <c r="WZ129" s="98"/>
      <c r="XA129" s="98"/>
      <c r="XB129" s="98"/>
      <c r="XC129" s="98"/>
      <c r="XD129" s="98"/>
      <c r="XE129" s="98"/>
      <c r="XF129" s="98"/>
      <c r="XG129" s="98"/>
      <c r="XH129" s="98"/>
      <c r="XI129" s="98"/>
      <c r="XJ129" s="98"/>
      <c r="XK129" s="98"/>
      <c r="XL129" s="98"/>
      <c r="XM129" s="98"/>
      <c r="XN129" s="98"/>
      <c r="XO129" s="98"/>
      <c r="XP129" s="98"/>
      <c r="XQ129" s="98"/>
      <c r="XR129" s="98"/>
      <c r="XS129" s="98"/>
      <c r="XT129" s="98"/>
      <c r="XU129" s="98"/>
      <c r="XV129" s="98"/>
      <c r="XW129" s="98"/>
      <c r="XX129" s="98"/>
      <c r="XY129" s="98"/>
      <c r="XZ129" s="98"/>
      <c r="YA129" s="98"/>
      <c r="YB129" s="98"/>
      <c r="YC129" s="98"/>
      <c r="YD129" s="98"/>
      <c r="YE129" s="98"/>
      <c r="YF129" s="98"/>
      <c r="YG129" s="98"/>
      <c r="YH129" s="98"/>
      <c r="YI129" s="98"/>
      <c r="YJ129" s="98"/>
      <c r="YK129" s="98"/>
      <c r="YL129" s="98"/>
      <c r="YM129" s="98"/>
      <c r="YN129" s="98"/>
      <c r="YO129" s="98"/>
      <c r="YP129" s="98"/>
      <c r="YQ129" s="98"/>
      <c r="YR129" s="98"/>
      <c r="YS129" s="98"/>
      <c r="YT129" s="98"/>
      <c r="YU129" s="98"/>
      <c r="YV129" s="98"/>
      <c r="YW129" s="98"/>
      <c r="YX129" s="98"/>
      <c r="YY129" s="98"/>
      <c r="YZ129" s="98"/>
      <c r="ZA129" s="98"/>
      <c r="ZB129" s="98"/>
      <c r="ZC129" s="98"/>
      <c r="ZD129" s="98"/>
      <c r="ZE129" s="98"/>
      <c r="ZF129" s="98"/>
      <c r="ZG129" s="98"/>
      <c r="ZH129" s="98"/>
      <c r="ZI129" s="98"/>
      <c r="ZJ129" s="98"/>
      <c r="ZK129" s="98"/>
      <c r="ZL129" s="98"/>
      <c r="ZM129" s="98"/>
      <c r="ZN129" s="98"/>
      <c r="ZO129" s="98"/>
      <c r="ZP129" s="98"/>
      <c r="ZQ129" s="98"/>
      <c r="ZR129" s="98"/>
      <c r="ZS129" s="98"/>
      <c r="ZT129" s="98"/>
      <c r="ZU129" s="98"/>
      <c r="ZV129" s="98"/>
      <c r="ZW129" s="98"/>
      <c r="ZX129" s="98"/>
      <c r="ZY129" s="98"/>
      <c r="ZZ129" s="98"/>
      <c r="AAA129" s="98"/>
      <c r="AAB129" s="98"/>
      <c r="AAC129" s="98"/>
      <c r="AAD129" s="98"/>
      <c r="AAE129" s="98"/>
      <c r="AAF129" s="98"/>
      <c r="AAG129" s="98"/>
      <c r="AAH129" s="98"/>
      <c r="AAI129" s="98"/>
      <c r="AAJ129" s="98"/>
      <c r="AAK129" s="98"/>
      <c r="AAL129" s="98"/>
      <c r="AAM129" s="98"/>
      <c r="AAN129" s="98"/>
      <c r="AAO129" s="98"/>
      <c r="AAP129" s="98"/>
      <c r="AAQ129" s="98"/>
      <c r="AAR129" s="98"/>
      <c r="AAS129" s="98"/>
      <c r="AAT129" s="98"/>
      <c r="AAU129" s="98"/>
      <c r="AAV129" s="98"/>
      <c r="AAW129" s="98"/>
      <c r="AAX129" s="98"/>
      <c r="AAY129" s="98"/>
      <c r="AAZ129" s="98"/>
      <c r="ABA129" s="98"/>
      <c r="ABB129" s="98"/>
      <c r="ABC129" s="98"/>
      <c r="ABD129" s="98"/>
      <c r="ABE129" s="98"/>
      <c r="ABF129" s="98"/>
      <c r="ABG129" s="98"/>
      <c r="ABH129" s="98"/>
      <c r="ABI129" s="98"/>
      <c r="ABJ129" s="98"/>
      <c r="ABK129" s="98"/>
      <c r="ABL129" s="98"/>
      <c r="ABM129" s="98"/>
      <c r="ABN129" s="98"/>
      <c r="ABO129" s="98"/>
      <c r="ABP129" s="98"/>
      <c r="ABQ129" s="98"/>
      <c r="ABR129" s="98"/>
      <c r="ABS129" s="98"/>
      <c r="ABT129" s="98"/>
      <c r="ABU129" s="98"/>
      <c r="ABV129" s="98"/>
      <c r="ABW129" s="98"/>
      <c r="ABX129" s="98"/>
      <c r="ABY129" s="98"/>
      <c r="ABZ129" s="98"/>
      <c r="ACA129" s="98"/>
      <c r="ACB129" s="98"/>
      <c r="ACC129" s="98"/>
      <c r="ACD129" s="98"/>
      <c r="ACE129" s="98"/>
      <c r="ACF129" s="98"/>
      <c r="ACG129" s="98"/>
      <c r="ACH129" s="98"/>
      <c r="ACI129" s="98"/>
      <c r="ACJ129" s="98"/>
      <c r="ACK129" s="98"/>
      <c r="ACL129" s="98"/>
      <c r="ACM129" s="98"/>
      <c r="ACN129" s="98"/>
      <c r="ACO129" s="98"/>
      <c r="ACP129" s="98"/>
      <c r="ACQ129" s="98"/>
      <c r="ACR129" s="98"/>
      <c r="ACS129" s="98"/>
      <c r="ACT129" s="98"/>
      <c r="ACU129" s="98"/>
      <c r="ACV129" s="98"/>
      <c r="ACW129" s="98"/>
      <c r="ACX129" s="98"/>
      <c r="ACY129" s="98"/>
      <c r="ACZ129" s="98"/>
      <c r="ADA129" s="98"/>
      <c r="ADB129" s="98"/>
      <c r="ADC129" s="98"/>
      <c r="ADD129" s="98"/>
      <c r="ADE129" s="98"/>
      <c r="ADF129" s="98"/>
      <c r="ADG129" s="98"/>
      <c r="ADH129" s="98"/>
      <c r="ADI129" s="98"/>
      <c r="ADJ129" s="98"/>
      <c r="ADK129" s="98"/>
      <c r="ADL129" s="98"/>
      <c r="ADM129" s="98"/>
      <c r="ADN129" s="98"/>
      <c r="ADO129" s="98"/>
      <c r="ADP129" s="98"/>
      <c r="ADQ129" s="98"/>
      <c r="ADR129" s="98"/>
      <c r="ADS129" s="98"/>
      <c r="ADT129" s="98"/>
      <c r="ADU129" s="98"/>
      <c r="ADV129" s="98"/>
      <c r="ADW129" s="98"/>
      <c r="ADX129" s="98"/>
      <c r="ADY129" s="98"/>
      <c r="ADZ129" s="98"/>
      <c r="AEA129" s="98"/>
      <c r="AEB129" s="98"/>
      <c r="AEC129" s="98"/>
      <c r="AED129" s="98"/>
      <c r="AEE129" s="98"/>
      <c r="AEF129" s="98"/>
      <c r="AEG129" s="98"/>
      <c r="AEH129" s="98"/>
      <c r="AEI129" s="98"/>
      <c r="AEJ129" s="98"/>
      <c r="AEK129" s="98"/>
      <c r="AEL129" s="98"/>
      <c r="AEM129" s="98"/>
      <c r="AEN129" s="98"/>
      <c r="AEO129" s="98"/>
      <c r="AEP129" s="98"/>
      <c r="AEQ129" s="98"/>
      <c r="AER129" s="98"/>
      <c r="AES129" s="98"/>
      <c r="AET129" s="98"/>
      <c r="AEU129" s="98"/>
      <c r="AEV129" s="98"/>
      <c r="AEW129" s="98"/>
      <c r="AEX129" s="98"/>
      <c r="AEY129" s="98"/>
      <c r="AEZ129" s="98"/>
      <c r="AFA129" s="98"/>
      <c r="AFB129" s="98"/>
      <c r="AFC129" s="98"/>
      <c r="AFD129" s="98"/>
      <c r="AFE129" s="98"/>
      <c r="AFF129" s="98"/>
      <c r="AFG129" s="98"/>
      <c r="AFH129" s="98"/>
      <c r="AFI129" s="98"/>
      <c r="AFJ129" s="98"/>
      <c r="AFK129" s="98"/>
      <c r="AFL129" s="98"/>
      <c r="AFM129" s="98"/>
      <c r="AFN129" s="98"/>
      <c r="AFO129" s="98"/>
      <c r="AFP129" s="98"/>
      <c r="AFQ129" s="98"/>
      <c r="AFR129" s="98"/>
      <c r="AFS129" s="98"/>
      <c r="AFT129" s="98"/>
      <c r="AFU129" s="98"/>
      <c r="AFV129" s="98"/>
      <c r="AFW129" s="98"/>
      <c r="AFX129" s="98"/>
      <c r="AFY129" s="98"/>
      <c r="AFZ129" s="98"/>
      <c r="AGA129" s="98"/>
      <c r="AGB129" s="98"/>
      <c r="AGC129" s="98"/>
      <c r="AGD129" s="98"/>
      <c r="AGE129" s="98"/>
      <c r="AGF129" s="98"/>
      <c r="AGG129" s="98"/>
      <c r="AGH129" s="98"/>
      <c r="AGI129" s="98"/>
      <c r="AGJ129" s="98"/>
      <c r="AGK129" s="98"/>
      <c r="AGL129" s="98"/>
      <c r="AGM129" s="98"/>
      <c r="AGN129" s="98"/>
      <c r="AGO129" s="98"/>
      <c r="AGP129" s="98"/>
      <c r="AGQ129" s="98"/>
      <c r="AGR129" s="98"/>
      <c r="AGS129" s="98"/>
      <c r="AGT129" s="98"/>
      <c r="AGU129" s="98"/>
      <c r="AGV129" s="98"/>
      <c r="AGW129" s="98"/>
      <c r="AGX129" s="98"/>
      <c r="AGY129" s="98"/>
      <c r="AGZ129" s="98"/>
      <c r="AHA129" s="98"/>
      <c r="AHB129" s="98"/>
      <c r="AHC129" s="98"/>
      <c r="AHD129" s="98"/>
      <c r="AHE129" s="98"/>
      <c r="AHF129" s="98"/>
      <c r="AHG129" s="98"/>
      <c r="AHH129" s="98"/>
      <c r="AHI129" s="98"/>
      <c r="AHJ129" s="98"/>
      <c r="AHK129" s="98"/>
      <c r="AHL129" s="98"/>
      <c r="AHM129" s="98"/>
      <c r="AHN129" s="98"/>
      <c r="AHO129" s="98"/>
      <c r="AHP129" s="98"/>
      <c r="AHQ129" s="98"/>
      <c r="AHR129" s="98"/>
      <c r="AHS129" s="98"/>
      <c r="AHT129" s="98"/>
      <c r="AHU129" s="98"/>
      <c r="AHV129" s="98"/>
      <c r="AHW129" s="98"/>
      <c r="AHX129" s="98"/>
      <c r="AHY129" s="98"/>
      <c r="AHZ129" s="98"/>
      <c r="AIA129" s="98"/>
      <c r="AIB129" s="98"/>
      <c r="AIC129" s="98"/>
      <c r="AID129" s="98"/>
      <c r="AIE129" s="98"/>
      <c r="AIF129" s="98"/>
      <c r="AIG129" s="98"/>
      <c r="AIH129" s="98"/>
      <c r="AII129" s="98"/>
      <c r="AIJ129" s="98"/>
      <c r="AIK129" s="98"/>
      <c r="AIL129" s="98"/>
      <c r="AIM129" s="98"/>
      <c r="AIN129" s="98"/>
      <c r="AIO129" s="98"/>
      <c r="AIP129" s="98"/>
      <c r="AIQ129" s="98"/>
      <c r="AIR129" s="98"/>
      <c r="AIS129" s="98"/>
      <c r="AIT129" s="98"/>
      <c r="AIU129" s="98"/>
      <c r="AIV129" s="98"/>
      <c r="AIW129" s="98"/>
      <c r="AIX129" s="98"/>
      <c r="AIY129" s="98"/>
      <c r="AIZ129" s="98"/>
      <c r="AJA129" s="98"/>
      <c r="AJB129" s="98"/>
      <c r="AJC129" s="98"/>
      <c r="AJD129" s="98"/>
      <c r="AJE129" s="98"/>
      <c r="AJF129" s="98"/>
      <c r="AJG129" s="98"/>
      <c r="AJH129" s="98"/>
      <c r="AJI129" s="98"/>
      <c r="AJJ129" s="98"/>
      <c r="AJK129" s="98"/>
      <c r="AJL129" s="98"/>
      <c r="AJM129" s="98"/>
      <c r="AJN129" s="98"/>
      <c r="AJO129" s="98"/>
      <c r="AJP129" s="98"/>
      <c r="AJQ129" s="98"/>
      <c r="AJR129" s="98"/>
      <c r="AJS129" s="98"/>
      <c r="AJT129" s="98"/>
      <c r="AJU129" s="98"/>
      <c r="AJV129" s="98"/>
      <c r="AJW129" s="98"/>
      <c r="AJX129" s="98"/>
      <c r="AJY129" s="98"/>
      <c r="AJZ129" s="98"/>
      <c r="AKA129" s="98"/>
      <c r="AKB129" s="98"/>
      <c r="AKC129" s="98"/>
      <c r="AKD129" s="98"/>
      <c r="AKE129" s="98"/>
      <c r="AKF129" s="98"/>
      <c r="AKG129" s="98"/>
      <c r="AKH129" s="98"/>
      <c r="AKI129" s="98"/>
      <c r="AKJ129" s="98"/>
      <c r="AKK129" s="98"/>
      <c r="AKL129" s="98"/>
      <c r="AKM129" s="98"/>
      <c r="AKN129" s="98"/>
      <c r="AKO129" s="98"/>
      <c r="AKP129" s="98"/>
      <c r="AKQ129" s="98"/>
      <c r="AKR129" s="98"/>
      <c r="AKS129" s="98"/>
      <c r="AKT129" s="98"/>
      <c r="AKU129" s="98"/>
      <c r="AKV129" s="98"/>
      <c r="AKW129" s="98"/>
      <c r="AKX129" s="98"/>
      <c r="AKY129" s="98"/>
      <c r="AKZ129" s="98"/>
      <c r="ALA129" s="98"/>
      <c r="ALB129" s="98"/>
      <c r="ALC129" s="98"/>
      <c r="ALD129" s="98"/>
      <c r="ALE129" s="98"/>
      <c r="ALF129" s="98"/>
      <c r="ALG129" s="98"/>
      <c r="ALH129" s="98"/>
      <c r="ALI129" s="98"/>
      <c r="ALJ129" s="98"/>
      <c r="ALK129" s="98"/>
      <c r="ALL129" s="98"/>
      <c r="ALM129" s="98"/>
      <c r="ALN129" s="98"/>
      <c r="ALO129" s="98"/>
      <c r="ALP129" s="98"/>
      <c r="ALQ129" s="98"/>
      <c r="ALR129" s="98"/>
      <c r="ALS129" s="98"/>
      <c r="ALT129" s="98"/>
      <c r="ALU129" s="98"/>
      <c r="ALV129" s="98"/>
      <c r="ALW129" s="98"/>
      <c r="ALX129" s="98"/>
      <c r="ALY129" s="98"/>
      <c r="ALZ129" s="98"/>
      <c r="AMA129" s="98"/>
      <c r="AMB129" s="98"/>
      <c r="AMC129" s="98"/>
      <c r="AMD129" s="98"/>
      <c r="AME129" s="98"/>
      <c r="AMF129" s="98"/>
      <c r="AMG129" s="98"/>
      <c r="AMH129" s="98"/>
      <c r="AMI129" s="98"/>
      <c r="AMJ129" s="98"/>
      <c r="AMK129" s="98"/>
      <c r="AML129" s="98"/>
      <c r="AMM129" s="98"/>
      <c r="AMN129" s="98"/>
      <c r="AMO129" s="98"/>
      <c r="AMP129" s="98"/>
      <c r="AMQ129" s="98"/>
      <c r="AMR129" s="98"/>
      <c r="AMS129" s="98"/>
      <c r="AMT129" s="98"/>
      <c r="AMU129" s="98"/>
      <c r="AMV129" s="98"/>
      <c r="AMW129" s="98"/>
      <c r="AMX129" s="98"/>
      <c r="AMY129" s="98"/>
      <c r="AMZ129" s="98"/>
      <c r="ANA129" s="98"/>
      <c r="ANB129" s="98"/>
      <c r="ANC129" s="98"/>
      <c r="AND129" s="98"/>
      <c r="ANE129" s="98"/>
      <c r="ANF129" s="98"/>
      <c r="ANG129" s="98"/>
      <c r="ANH129" s="98"/>
      <c r="ANI129" s="98"/>
      <c r="ANJ129" s="98"/>
      <c r="ANK129" s="98"/>
      <c r="ANL129" s="98"/>
      <c r="ANM129" s="98"/>
      <c r="ANN129" s="98"/>
      <c r="ANO129" s="98"/>
      <c r="ANP129" s="98"/>
      <c r="ANQ129" s="98"/>
      <c r="ANR129" s="98"/>
      <c r="ANS129" s="98"/>
      <c r="ANT129" s="98"/>
      <c r="ANU129" s="98"/>
      <c r="ANV129" s="98"/>
      <c r="ANW129" s="98"/>
      <c r="ANX129" s="98"/>
      <c r="ANY129" s="98"/>
      <c r="ANZ129" s="98"/>
      <c r="AOA129" s="98"/>
      <c r="AOB129" s="98"/>
      <c r="AOC129" s="98"/>
      <c r="AOD129" s="98"/>
      <c r="AOE129" s="98"/>
      <c r="AOF129" s="98"/>
      <c r="AOG129" s="98"/>
      <c r="AOH129" s="98"/>
      <c r="AOI129" s="98"/>
      <c r="AOJ129" s="98"/>
      <c r="AOK129" s="98"/>
      <c r="AOL129" s="98"/>
      <c r="AOM129" s="98"/>
      <c r="AON129" s="98"/>
      <c r="AOO129" s="98"/>
      <c r="AOP129" s="98"/>
      <c r="AOQ129" s="98"/>
      <c r="AOR129" s="98"/>
      <c r="AOS129" s="98"/>
      <c r="AOT129" s="98"/>
      <c r="AOU129" s="98"/>
      <c r="AOV129" s="98"/>
      <c r="AOW129" s="98"/>
      <c r="AOX129" s="98"/>
      <c r="AOY129" s="98"/>
      <c r="AOZ129" s="98"/>
      <c r="APA129" s="98"/>
      <c r="APB129" s="98"/>
      <c r="APC129" s="98"/>
      <c r="APD129" s="98"/>
      <c r="APE129" s="98"/>
      <c r="APF129" s="98"/>
      <c r="APG129" s="98"/>
      <c r="APH129" s="98"/>
      <c r="API129" s="98"/>
      <c r="APJ129" s="98"/>
      <c r="APK129" s="98"/>
      <c r="APL129" s="98"/>
      <c r="APM129" s="98"/>
      <c r="APN129" s="98"/>
      <c r="APO129" s="98"/>
      <c r="APP129" s="98"/>
      <c r="APQ129" s="98"/>
      <c r="APR129" s="98"/>
      <c r="APS129" s="98"/>
      <c r="APT129" s="98"/>
      <c r="APU129" s="98"/>
      <c r="APV129" s="98"/>
      <c r="APW129" s="98"/>
      <c r="APX129" s="98"/>
      <c r="APY129" s="98"/>
      <c r="APZ129" s="98"/>
      <c r="AQA129" s="98"/>
      <c r="AQB129" s="98"/>
      <c r="AQC129" s="98"/>
      <c r="AQD129" s="98"/>
      <c r="AQE129" s="98"/>
      <c r="AQF129" s="98"/>
      <c r="AQG129" s="98"/>
      <c r="AQH129" s="98"/>
      <c r="AQI129" s="98"/>
      <c r="AQJ129" s="98"/>
      <c r="AQK129" s="98"/>
      <c r="AQL129" s="98"/>
      <c r="AQM129" s="98"/>
      <c r="AQN129" s="98"/>
      <c r="AQO129" s="98"/>
      <c r="AQP129" s="98"/>
      <c r="AQQ129" s="98"/>
      <c r="AQR129" s="98"/>
      <c r="AQS129" s="98"/>
      <c r="AQT129" s="98"/>
      <c r="AQU129" s="98"/>
      <c r="AQV129" s="98"/>
      <c r="AQW129" s="98"/>
      <c r="AQX129" s="98"/>
      <c r="AQY129" s="98"/>
      <c r="AQZ129" s="98"/>
      <c r="ARA129" s="98"/>
      <c r="ARB129" s="98"/>
      <c r="ARC129" s="98"/>
      <c r="ARD129" s="98"/>
      <c r="ARE129" s="98"/>
      <c r="ARF129" s="98"/>
      <c r="ARG129" s="98"/>
      <c r="ARH129" s="98"/>
      <c r="ARI129" s="98"/>
      <c r="ARJ129" s="98"/>
      <c r="ARK129" s="98"/>
      <c r="ARL129" s="98"/>
      <c r="ARM129" s="98"/>
      <c r="ARN129" s="98"/>
      <c r="ARO129" s="98"/>
      <c r="ARP129" s="98"/>
      <c r="ARQ129" s="98"/>
      <c r="ARR129" s="98"/>
      <c r="ARS129" s="98"/>
    </row>
    <row r="130" spans="1:1163" s="174" customFormat="1">
      <c r="A130" s="140" t="s">
        <v>223</v>
      </c>
      <c r="B130" s="119" t="s">
        <v>67</v>
      </c>
      <c r="C130" s="175">
        <v>1704177</v>
      </c>
      <c r="D130" s="175">
        <v>99272004</v>
      </c>
      <c r="E130" s="175">
        <v>327692</v>
      </c>
      <c r="F130" s="175">
        <v>20142466</v>
      </c>
      <c r="G130" s="175">
        <v>226463</v>
      </c>
      <c r="H130" s="175">
        <v>16974854</v>
      </c>
      <c r="I130" s="175">
        <v>397105</v>
      </c>
      <c r="J130" s="175">
        <v>29324196</v>
      </c>
      <c r="K130" s="175">
        <v>272391</v>
      </c>
      <c r="L130" s="175">
        <v>29964159</v>
      </c>
      <c r="M130" s="175">
        <v>336950</v>
      </c>
      <c r="N130" s="175">
        <v>37675931</v>
      </c>
      <c r="O130" s="175">
        <v>371754</v>
      </c>
      <c r="P130" s="175">
        <v>45096049</v>
      </c>
      <c r="Q130" s="175">
        <v>319192</v>
      </c>
      <c r="R130" s="175">
        <v>51163829</v>
      </c>
      <c r="S130" s="175">
        <v>320163</v>
      </c>
      <c r="T130" s="175">
        <v>69347543</v>
      </c>
      <c r="U130" s="197">
        <v>368164</v>
      </c>
      <c r="V130" s="197">
        <v>123873011</v>
      </c>
      <c r="W130" s="197">
        <v>343821</v>
      </c>
      <c r="X130" s="197">
        <v>187953682</v>
      </c>
      <c r="Y130" s="197">
        <v>224461</v>
      </c>
      <c r="Z130" s="197">
        <v>126677148</v>
      </c>
      <c r="AA130" s="209">
        <v>204332</v>
      </c>
      <c r="AB130" s="209">
        <v>79156923</v>
      </c>
      <c r="AC130" s="175">
        <v>265166</v>
      </c>
      <c r="AD130" s="175">
        <v>51456028</v>
      </c>
      <c r="AE130" s="201">
        <v>299761</v>
      </c>
      <c r="AF130" s="201">
        <v>46256774</v>
      </c>
      <c r="AG130" s="201">
        <v>444264</v>
      </c>
      <c r="AH130" s="201">
        <v>99000474</v>
      </c>
      <c r="AI130" s="201">
        <v>458444</v>
      </c>
      <c r="AJ130" s="201">
        <v>152536417</v>
      </c>
      <c r="AK130" s="201">
        <v>372704</v>
      </c>
      <c r="AL130" s="201">
        <v>197540254</v>
      </c>
      <c r="AM130" s="176">
        <v>292791</v>
      </c>
      <c r="AN130" s="176">
        <v>160337523</v>
      </c>
      <c r="AO130" s="201">
        <v>300467</v>
      </c>
      <c r="AP130" s="201">
        <v>154374737</v>
      </c>
      <c r="AQ130" s="201">
        <v>322939.83</v>
      </c>
      <c r="AR130" s="201">
        <v>139138916.06999999</v>
      </c>
      <c r="AS130" s="201">
        <v>347933</v>
      </c>
      <c r="AT130" s="201">
        <v>172107391</v>
      </c>
      <c r="AU130" s="209">
        <v>353169</v>
      </c>
      <c r="AV130" s="209">
        <v>229999326</v>
      </c>
      <c r="AW130" s="197">
        <v>369920</v>
      </c>
      <c r="AX130" s="197">
        <v>246741492</v>
      </c>
      <c r="AY130" s="175">
        <v>420545</v>
      </c>
      <c r="AZ130" s="175">
        <v>242096974</v>
      </c>
      <c r="BA130" s="178"/>
      <c r="BB130" s="175"/>
      <c r="BC130" s="178"/>
      <c r="BD130" s="175"/>
      <c r="BE130" s="178"/>
      <c r="BF130" s="175"/>
      <c r="BG130" s="178"/>
      <c r="BH130" s="175"/>
      <c r="BI130" s="178"/>
      <c r="BJ130" s="98"/>
      <c r="BK130" s="148"/>
      <c r="BL130" s="148"/>
      <c r="BM130" s="148"/>
      <c r="BN130" s="14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98"/>
      <c r="EN130" s="98"/>
      <c r="EO130" s="98"/>
      <c r="EP130" s="98"/>
      <c r="EQ130" s="98"/>
      <c r="ER130" s="98"/>
      <c r="ES130" s="98"/>
      <c r="ET130" s="98"/>
      <c r="EU130" s="98"/>
      <c r="EV130" s="98"/>
      <c r="EW130" s="98"/>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c r="IW130" s="98"/>
      <c r="IX130" s="98"/>
      <c r="IY130" s="98"/>
      <c r="IZ130" s="98"/>
      <c r="JA130" s="98"/>
      <c r="JB130" s="98"/>
      <c r="JC130" s="98"/>
      <c r="JD130" s="98"/>
      <c r="JE130" s="98"/>
      <c r="JF130" s="98"/>
      <c r="JG130" s="98"/>
      <c r="JH130" s="98"/>
      <c r="JI130" s="98"/>
      <c r="JJ130" s="98"/>
      <c r="JK130" s="98"/>
      <c r="JL130" s="98"/>
      <c r="JM130" s="98"/>
      <c r="JN130" s="98"/>
      <c r="JO130" s="98"/>
      <c r="JP130" s="98"/>
      <c r="JQ130" s="98"/>
      <c r="JR130" s="98"/>
      <c r="JS130" s="98"/>
      <c r="JT130" s="98"/>
      <c r="JU130" s="98"/>
      <c r="JV130" s="98"/>
      <c r="JW130" s="98"/>
      <c r="JX130" s="98"/>
      <c r="JY130" s="98"/>
      <c r="JZ130" s="98"/>
      <c r="KA130" s="98"/>
      <c r="KB130" s="98"/>
      <c r="KC130" s="98"/>
      <c r="KD130" s="98"/>
      <c r="KE130" s="98"/>
      <c r="KF130" s="98"/>
      <c r="KG130" s="98"/>
      <c r="KH130" s="98"/>
      <c r="KI130" s="98"/>
      <c r="KJ130" s="98"/>
      <c r="KK130" s="98"/>
      <c r="KL130" s="98"/>
      <c r="KM130" s="98"/>
      <c r="KN130" s="98"/>
      <c r="KO130" s="98"/>
      <c r="KP130" s="98"/>
      <c r="KQ130" s="98"/>
      <c r="KR130" s="98"/>
      <c r="KS130" s="98"/>
      <c r="KT130" s="98"/>
      <c r="KU130" s="98"/>
      <c r="KV130" s="98"/>
      <c r="KW130" s="98"/>
      <c r="KX130" s="98"/>
      <c r="KY130" s="98"/>
      <c r="KZ130" s="98"/>
      <c r="LA130" s="98"/>
      <c r="LB130" s="98"/>
      <c r="LC130" s="98"/>
      <c r="LD130" s="98"/>
      <c r="LE130" s="98"/>
      <c r="LF130" s="98"/>
      <c r="LG130" s="98"/>
      <c r="LH130" s="98"/>
      <c r="LI130" s="98"/>
      <c r="LJ130" s="98"/>
      <c r="LK130" s="98"/>
      <c r="LL130" s="98"/>
      <c r="LM130" s="98"/>
      <c r="LN130" s="98"/>
      <c r="LO130" s="98"/>
      <c r="LP130" s="98"/>
      <c r="LQ130" s="98"/>
      <c r="LR130" s="98"/>
      <c r="LS130" s="98"/>
      <c r="LT130" s="98"/>
      <c r="LU130" s="98"/>
      <c r="LV130" s="98"/>
      <c r="LW130" s="98"/>
      <c r="LX130" s="98"/>
      <c r="LY130" s="98"/>
      <c r="LZ130" s="98"/>
      <c r="MA130" s="98"/>
      <c r="MB130" s="98"/>
      <c r="MC130" s="98"/>
      <c r="MD130" s="98"/>
      <c r="ME130" s="98"/>
      <c r="MF130" s="98"/>
      <c r="MG130" s="98"/>
      <c r="MH130" s="98"/>
      <c r="MI130" s="98"/>
      <c r="MJ130" s="98"/>
      <c r="MK130" s="98"/>
      <c r="ML130" s="98"/>
      <c r="MM130" s="98"/>
      <c r="MN130" s="98"/>
      <c r="MO130" s="98"/>
      <c r="MP130" s="98"/>
      <c r="MQ130" s="98"/>
      <c r="MR130" s="98"/>
      <c r="MS130" s="98"/>
      <c r="MT130" s="98"/>
      <c r="MU130" s="98"/>
      <c r="MV130" s="98"/>
      <c r="MW130" s="98"/>
      <c r="MX130" s="98"/>
      <c r="MY130" s="98"/>
      <c r="MZ130" s="98"/>
      <c r="NA130" s="98"/>
      <c r="NB130" s="98"/>
      <c r="NC130" s="98"/>
      <c r="ND130" s="98"/>
      <c r="NE130" s="98"/>
      <c r="NF130" s="98"/>
      <c r="NG130" s="98"/>
      <c r="NH130" s="98"/>
      <c r="NI130" s="98"/>
      <c r="NJ130" s="98"/>
      <c r="NK130" s="98"/>
      <c r="NL130" s="98"/>
      <c r="NM130" s="98"/>
      <c r="NN130" s="98"/>
      <c r="NO130" s="98"/>
      <c r="NP130" s="98"/>
      <c r="NQ130" s="98"/>
      <c r="NR130" s="98"/>
      <c r="NS130" s="98"/>
      <c r="NT130" s="98"/>
      <c r="NU130" s="98"/>
      <c r="NV130" s="98"/>
      <c r="NW130" s="98"/>
      <c r="NX130" s="98"/>
      <c r="NY130" s="98"/>
      <c r="NZ130" s="98"/>
      <c r="OA130" s="98"/>
      <c r="OB130" s="98"/>
      <c r="OC130" s="98"/>
      <c r="OD130" s="98"/>
      <c r="OE130" s="98"/>
      <c r="OF130" s="98"/>
      <c r="OG130" s="98"/>
      <c r="OH130" s="98"/>
      <c r="OI130" s="98"/>
      <c r="OJ130" s="98"/>
      <c r="OK130" s="98"/>
      <c r="OL130" s="98"/>
      <c r="OM130" s="98"/>
      <c r="ON130" s="98"/>
      <c r="OO130" s="98"/>
      <c r="OP130" s="98"/>
      <c r="OQ130" s="98"/>
      <c r="OR130" s="98"/>
      <c r="OS130" s="98"/>
      <c r="OT130" s="98"/>
      <c r="OU130" s="98"/>
      <c r="OV130" s="98"/>
      <c r="OW130" s="98"/>
      <c r="OX130" s="98"/>
      <c r="OY130" s="98"/>
      <c r="OZ130" s="98"/>
      <c r="PA130" s="98"/>
      <c r="PB130" s="98"/>
      <c r="PC130" s="98"/>
      <c r="PD130" s="98"/>
      <c r="PE130" s="98"/>
      <c r="PF130" s="98"/>
      <c r="PG130" s="98"/>
      <c r="PH130" s="98"/>
      <c r="PI130" s="98"/>
      <c r="PJ130" s="98"/>
      <c r="PK130" s="98"/>
      <c r="PL130" s="98"/>
      <c r="PM130" s="98"/>
      <c r="PN130" s="98"/>
      <c r="PO130" s="98"/>
      <c r="PP130" s="98"/>
      <c r="PQ130" s="98"/>
      <c r="PR130" s="98"/>
      <c r="PS130" s="98"/>
      <c r="PT130" s="98"/>
      <c r="PU130" s="98"/>
      <c r="PV130" s="98"/>
      <c r="PW130" s="98"/>
      <c r="PX130" s="98"/>
      <c r="PY130" s="98"/>
      <c r="PZ130" s="98"/>
      <c r="QA130" s="98"/>
      <c r="QB130" s="98"/>
      <c r="QC130" s="98"/>
      <c r="QD130" s="98"/>
      <c r="QE130" s="98"/>
      <c r="QF130" s="98"/>
      <c r="QG130" s="98"/>
      <c r="QH130" s="98"/>
      <c r="QI130" s="98"/>
      <c r="QJ130" s="98"/>
      <c r="QK130" s="98"/>
      <c r="QL130" s="98"/>
      <c r="QM130" s="98"/>
      <c r="QN130" s="98"/>
      <c r="QO130" s="98"/>
      <c r="QP130" s="98"/>
      <c r="QQ130" s="98"/>
      <c r="QR130" s="98"/>
      <c r="QS130" s="98"/>
      <c r="QT130" s="98"/>
      <c r="QU130" s="98"/>
      <c r="QV130" s="98"/>
      <c r="QW130" s="98"/>
      <c r="QX130" s="98"/>
      <c r="QY130" s="98"/>
      <c r="QZ130" s="98"/>
      <c r="RA130" s="98"/>
      <c r="RB130" s="98"/>
      <c r="RC130" s="98"/>
      <c r="RD130" s="98"/>
      <c r="RE130" s="98"/>
      <c r="RF130" s="98"/>
      <c r="RG130" s="98"/>
      <c r="RH130" s="98"/>
      <c r="RI130" s="98"/>
      <c r="RJ130" s="98"/>
      <c r="RK130" s="98"/>
      <c r="RL130" s="98"/>
      <c r="RM130" s="98"/>
      <c r="RN130" s="98"/>
      <c r="RO130" s="98"/>
      <c r="RP130" s="98"/>
      <c r="RQ130" s="98"/>
      <c r="RR130" s="98"/>
      <c r="RS130" s="98"/>
      <c r="RT130" s="98"/>
      <c r="RU130" s="98"/>
      <c r="RV130" s="98"/>
      <c r="RW130" s="98"/>
      <c r="RX130" s="98"/>
      <c r="RY130" s="98"/>
      <c r="RZ130" s="98"/>
      <c r="SA130" s="98"/>
      <c r="SB130" s="98"/>
      <c r="SC130" s="98"/>
      <c r="SD130" s="98"/>
      <c r="SE130" s="98"/>
      <c r="SF130" s="98"/>
      <c r="SG130" s="98"/>
      <c r="SH130" s="98"/>
      <c r="SI130" s="98"/>
      <c r="SJ130" s="98"/>
      <c r="SK130" s="98"/>
      <c r="SL130" s="98"/>
      <c r="SM130" s="98"/>
      <c r="SN130" s="98"/>
      <c r="SO130" s="98"/>
      <c r="SP130" s="98"/>
      <c r="SQ130" s="98"/>
      <c r="SR130" s="98"/>
      <c r="SS130" s="98"/>
      <c r="ST130" s="98"/>
      <c r="SU130" s="98"/>
      <c r="SV130" s="98"/>
      <c r="SW130" s="98"/>
      <c r="SX130" s="98"/>
      <c r="SY130" s="98"/>
      <c r="SZ130" s="98"/>
      <c r="TA130" s="98"/>
      <c r="TB130" s="98"/>
      <c r="TC130" s="98"/>
      <c r="TD130" s="98"/>
      <c r="TE130" s="98"/>
      <c r="TF130" s="98"/>
      <c r="TG130" s="98"/>
      <c r="TH130" s="98"/>
      <c r="TI130" s="98"/>
      <c r="TJ130" s="98"/>
      <c r="TK130" s="98"/>
      <c r="TL130" s="98"/>
      <c r="TM130" s="98"/>
      <c r="TN130" s="98"/>
      <c r="TO130" s="98"/>
      <c r="TP130" s="98"/>
      <c r="TQ130" s="98"/>
      <c r="TR130" s="98"/>
      <c r="TS130" s="98"/>
      <c r="TT130" s="98"/>
      <c r="TU130" s="98"/>
      <c r="TV130" s="98"/>
      <c r="TW130" s="98"/>
      <c r="TX130" s="98"/>
      <c r="TY130" s="98"/>
      <c r="TZ130" s="98"/>
      <c r="UA130" s="98"/>
      <c r="UB130" s="98"/>
      <c r="UC130" s="98"/>
      <c r="UD130" s="98"/>
      <c r="UE130" s="98"/>
      <c r="UF130" s="98"/>
      <c r="UG130" s="98"/>
      <c r="UH130" s="98"/>
      <c r="UI130" s="98"/>
      <c r="UJ130" s="98"/>
      <c r="UK130" s="98"/>
      <c r="UL130" s="98"/>
      <c r="UM130" s="98"/>
      <c r="UN130" s="98"/>
      <c r="UO130" s="98"/>
      <c r="UP130" s="98"/>
      <c r="UQ130" s="98"/>
      <c r="UR130" s="98"/>
      <c r="US130" s="98"/>
      <c r="UT130" s="98"/>
      <c r="UU130" s="98"/>
      <c r="UV130" s="98"/>
      <c r="UW130" s="98"/>
      <c r="UX130" s="98"/>
      <c r="UY130" s="98"/>
      <c r="UZ130" s="98"/>
      <c r="VA130" s="98"/>
      <c r="VB130" s="98"/>
      <c r="VC130" s="98"/>
      <c r="VD130" s="98"/>
      <c r="VE130" s="98"/>
      <c r="VF130" s="98"/>
      <c r="VG130" s="98"/>
      <c r="VH130" s="98"/>
      <c r="VI130" s="98"/>
      <c r="VJ130" s="98"/>
      <c r="VK130" s="98"/>
      <c r="VL130" s="98"/>
      <c r="VM130" s="98"/>
      <c r="VN130" s="98"/>
      <c r="VO130" s="98"/>
      <c r="VP130" s="98"/>
      <c r="VQ130" s="98"/>
      <c r="VR130" s="98"/>
      <c r="VS130" s="98"/>
      <c r="VT130" s="98"/>
      <c r="VU130" s="98"/>
      <c r="VV130" s="98"/>
      <c r="VW130" s="98"/>
      <c r="VX130" s="98"/>
      <c r="VY130" s="98"/>
      <c r="VZ130" s="98"/>
      <c r="WA130" s="98"/>
      <c r="WB130" s="98"/>
      <c r="WC130" s="98"/>
      <c r="WD130" s="98"/>
      <c r="WE130" s="98"/>
      <c r="WF130" s="98"/>
      <c r="WG130" s="98"/>
      <c r="WH130" s="98"/>
      <c r="WI130" s="98"/>
      <c r="WJ130" s="98"/>
      <c r="WK130" s="98"/>
      <c r="WL130" s="98"/>
      <c r="WM130" s="98"/>
      <c r="WN130" s="98"/>
      <c r="WO130" s="98"/>
      <c r="WP130" s="98"/>
      <c r="WQ130" s="98"/>
      <c r="WR130" s="98"/>
      <c r="WS130" s="98"/>
      <c r="WT130" s="98"/>
      <c r="WU130" s="98"/>
      <c r="WV130" s="98"/>
      <c r="WW130" s="98"/>
      <c r="WX130" s="98"/>
      <c r="WY130" s="98"/>
      <c r="WZ130" s="98"/>
      <c r="XA130" s="98"/>
      <c r="XB130" s="98"/>
      <c r="XC130" s="98"/>
      <c r="XD130" s="98"/>
      <c r="XE130" s="98"/>
      <c r="XF130" s="98"/>
      <c r="XG130" s="98"/>
      <c r="XH130" s="98"/>
      <c r="XI130" s="98"/>
      <c r="XJ130" s="98"/>
      <c r="XK130" s="98"/>
      <c r="XL130" s="98"/>
      <c r="XM130" s="98"/>
      <c r="XN130" s="98"/>
      <c r="XO130" s="98"/>
      <c r="XP130" s="98"/>
      <c r="XQ130" s="98"/>
      <c r="XR130" s="98"/>
      <c r="XS130" s="98"/>
      <c r="XT130" s="98"/>
      <c r="XU130" s="98"/>
      <c r="XV130" s="98"/>
      <c r="XW130" s="98"/>
      <c r="XX130" s="98"/>
      <c r="XY130" s="98"/>
      <c r="XZ130" s="98"/>
      <c r="YA130" s="98"/>
      <c r="YB130" s="98"/>
      <c r="YC130" s="98"/>
      <c r="YD130" s="98"/>
      <c r="YE130" s="98"/>
      <c r="YF130" s="98"/>
      <c r="YG130" s="98"/>
      <c r="YH130" s="98"/>
      <c r="YI130" s="98"/>
      <c r="YJ130" s="98"/>
      <c r="YK130" s="98"/>
      <c r="YL130" s="98"/>
      <c r="YM130" s="98"/>
      <c r="YN130" s="98"/>
      <c r="YO130" s="98"/>
      <c r="YP130" s="98"/>
      <c r="YQ130" s="98"/>
      <c r="YR130" s="98"/>
      <c r="YS130" s="98"/>
      <c r="YT130" s="98"/>
      <c r="YU130" s="98"/>
      <c r="YV130" s="98"/>
      <c r="YW130" s="98"/>
      <c r="YX130" s="98"/>
      <c r="YY130" s="98"/>
      <c r="YZ130" s="98"/>
      <c r="ZA130" s="98"/>
      <c r="ZB130" s="98"/>
      <c r="ZC130" s="98"/>
      <c r="ZD130" s="98"/>
      <c r="ZE130" s="98"/>
      <c r="ZF130" s="98"/>
      <c r="ZG130" s="98"/>
      <c r="ZH130" s="98"/>
      <c r="ZI130" s="98"/>
      <c r="ZJ130" s="98"/>
      <c r="ZK130" s="98"/>
      <c r="ZL130" s="98"/>
      <c r="ZM130" s="98"/>
      <c r="ZN130" s="98"/>
      <c r="ZO130" s="98"/>
      <c r="ZP130" s="98"/>
      <c r="ZQ130" s="98"/>
      <c r="ZR130" s="98"/>
      <c r="ZS130" s="98"/>
      <c r="ZT130" s="98"/>
      <c r="ZU130" s="98"/>
      <c r="ZV130" s="98"/>
      <c r="ZW130" s="98"/>
      <c r="ZX130" s="98"/>
      <c r="ZY130" s="98"/>
      <c r="ZZ130" s="98"/>
      <c r="AAA130" s="98"/>
      <c r="AAB130" s="98"/>
      <c r="AAC130" s="98"/>
      <c r="AAD130" s="98"/>
      <c r="AAE130" s="98"/>
      <c r="AAF130" s="98"/>
      <c r="AAG130" s="98"/>
      <c r="AAH130" s="98"/>
      <c r="AAI130" s="98"/>
      <c r="AAJ130" s="98"/>
      <c r="AAK130" s="98"/>
      <c r="AAL130" s="98"/>
      <c r="AAM130" s="98"/>
      <c r="AAN130" s="98"/>
      <c r="AAO130" s="98"/>
      <c r="AAP130" s="98"/>
      <c r="AAQ130" s="98"/>
      <c r="AAR130" s="98"/>
      <c r="AAS130" s="98"/>
      <c r="AAT130" s="98"/>
      <c r="AAU130" s="98"/>
      <c r="AAV130" s="98"/>
      <c r="AAW130" s="98"/>
      <c r="AAX130" s="98"/>
      <c r="AAY130" s="98"/>
      <c r="AAZ130" s="98"/>
      <c r="ABA130" s="98"/>
      <c r="ABB130" s="98"/>
      <c r="ABC130" s="98"/>
      <c r="ABD130" s="98"/>
      <c r="ABE130" s="98"/>
      <c r="ABF130" s="98"/>
      <c r="ABG130" s="98"/>
      <c r="ABH130" s="98"/>
      <c r="ABI130" s="98"/>
      <c r="ABJ130" s="98"/>
      <c r="ABK130" s="98"/>
      <c r="ABL130" s="98"/>
      <c r="ABM130" s="98"/>
      <c r="ABN130" s="98"/>
      <c r="ABO130" s="98"/>
      <c r="ABP130" s="98"/>
      <c r="ABQ130" s="98"/>
      <c r="ABR130" s="98"/>
      <c r="ABS130" s="98"/>
      <c r="ABT130" s="98"/>
      <c r="ABU130" s="98"/>
      <c r="ABV130" s="98"/>
      <c r="ABW130" s="98"/>
      <c r="ABX130" s="98"/>
      <c r="ABY130" s="98"/>
      <c r="ABZ130" s="98"/>
      <c r="ACA130" s="98"/>
      <c r="ACB130" s="98"/>
      <c r="ACC130" s="98"/>
      <c r="ACD130" s="98"/>
      <c r="ACE130" s="98"/>
      <c r="ACF130" s="98"/>
      <c r="ACG130" s="98"/>
      <c r="ACH130" s="98"/>
      <c r="ACI130" s="98"/>
      <c r="ACJ130" s="98"/>
      <c r="ACK130" s="98"/>
      <c r="ACL130" s="98"/>
      <c r="ACM130" s="98"/>
      <c r="ACN130" s="98"/>
      <c r="ACO130" s="98"/>
      <c r="ACP130" s="98"/>
      <c r="ACQ130" s="98"/>
      <c r="ACR130" s="98"/>
      <c r="ACS130" s="98"/>
      <c r="ACT130" s="98"/>
      <c r="ACU130" s="98"/>
      <c r="ACV130" s="98"/>
      <c r="ACW130" s="98"/>
      <c r="ACX130" s="98"/>
      <c r="ACY130" s="98"/>
      <c r="ACZ130" s="98"/>
      <c r="ADA130" s="98"/>
      <c r="ADB130" s="98"/>
      <c r="ADC130" s="98"/>
      <c r="ADD130" s="98"/>
      <c r="ADE130" s="98"/>
      <c r="ADF130" s="98"/>
      <c r="ADG130" s="98"/>
      <c r="ADH130" s="98"/>
      <c r="ADI130" s="98"/>
      <c r="ADJ130" s="98"/>
      <c r="ADK130" s="98"/>
      <c r="ADL130" s="98"/>
      <c r="ADM130" s="98"/>
      <c r="ADN130" s="98"/>
      <c r="ADO130" s="98"/>
      <c r="ADP130" s="98"/>
      <c r="ADQ130" s="98"/>
      <c r="ADR130" s="98"/>
      <c r="ADS130" s="98"/>
      <c r="ADT130" s="98"/>
      <c r="ADU130" s="98"/>
      <c r="ADV130" s="98"/>
      <c r="ADW130" s="98"/>
      <c r="ADX130" s="98"/>
      <c r="ADY130" s="98"/>
      <c r="ADZ130" s="98"/>
      <c r="AEA130" s="98"/>
      <c r="AEB130" s="98"/>
      <c r="AEC130" s="98"/>
      <c r="AED130" s="98"/>
      <c r="AEE130" s="98"/>
      <c r="AEF130" s="98"/>
      <c r="AEG130" s="98"/>
      <c r="AEH130" s="98"/>
      <c r="AEI130" s="98"/>
      <c r="AEJ130" s="98"/>
      <c r="AEK130" s="98"/>
      <c r="AEL130" s="98"/>
      <c r="AEM130" s="98"/>
      <c r="AEN130" s="98"/>
      <c r="AEO130" s="98"/>
      <c r="AEP130" s="98"/>
      <c r="AEQ130" s="98"/>
      <c r="AER130" s="98"/>
      <c r="AES130" s="98"/>
      <c r="AET130" s="98"/>
      <c r="AEU130" s="98"/>
      <c r="AEV130" s="98"/>
      <c r="AEW130" s="98"/>
      <c r="AEX130" s="98"/>
      <c r="AEY130" s="98"/>
      <c r="AEZ130" s="98"/>
      <c r="AFA130" s="98"/>
      <c r="AFB130" s="98"/>
      <c r="AFC130" s="98"/>
      <c r="AFD130" s="98"/>
      <c r="AFE130" s="98"/>
      <c r="AFF130" s="98"/>
      <c r="AFG130" s="98"/>
      <c r="AFH130" s="98"/>
      <c r="AFI130" s="98"/>
      <c r="AFJ130" s="98"/>
      <c r="AFK130" s="98"/>
      <c r="AFL130" s="98"/>
      <c r="AFM130" s="98"/>
      <c r="AFN130" s="98"/>
      <c r="AFO130" s="98"/>
      <c r="AFP130" s="98"/>
      <c r="AFQ130" s="98"/>
      <c r="AFR130" s="98"/>
      <c r="AFS130" s="98"/>
      <c r="AFT130" s="98"/>
      <c r="AFU130" s="98"/>
      <c r="AFV130" s="98"/>
      <c r="AFW130" s="98"/>
      <c r="AFX130" s="98"/>
      <c r="AFY130" s="98"/>
      <c r="AFZ130" s="98"/>
      <c r="AGA130" s="98"/>
      <c r="AGB130" s="98"/>
      <c r="AGC130" s="98"/>
      <c r="AGD130" s="98"/>
      <c r="AGE130" s="98"/>
      <c r="AGF130" s="98"/>
      <c r="AGG130" s="98"/>
      <c r="AGH130" s="98"/>
      <c r="AGI130" s="98"/>
      <c r="AGJ130" s="98"/>
      <c r="AGK130" s="98"/>
      <c r="AGL130" s="98"/>
      <c r="AGM130" s="98"/>
      <c r="AGN130" s="98"/>
      <c r="AGO130" s="98"/>
      <c r="AGP130" s="98"/>
      <c r="AGQ130" s="98"/>
      <c r="AGR130" s="98"/>
      <c r="AGS130" s="98"/>
      <c r="AGT130" s="98"/>
      <c r="AGU130" s="98"/>
      <c r="AGV130" s="98"/>
      <c r="AGW130" s="98"/>
      <c r="AGX130" s="98"/>
      <c r="AGY130" s="98"/>
      <c r="AGZ130" s="98"/>
      <c r="AHA130" s="98"/>
      <c r="AHB130" s="98"/>
      <c r="AHC130" s="98"/>
      <c r="AHD130" s="98"/>
      <c r="AHE130" s="98"/>
      <c r="AHF130" s="98"/>
      <c r="AHG130" s="98"/>
      <c r="AHH130" s="98"/>
      <c r="AHI130" s="98"/>
      <c r="AHJ130" s="98"/>
      <c r="AHK130" s="98"/>
      <c r="AHL130" s="98"/>
      <c r="AHM130" s="98"/>
      <c r="AHN130" s="98"/>
      <c r="AHO130" s="98"/>
      <c r="AHP130" s="98"/>
      <c r="AHQ130" s="98"/>
      <c r="AHR130" s="98"/>
      <c r="AHS130" s="98"/>
      <c r="AHT130" s="98"/>
      <c r="AHU130" s="98"/>
      <c r="AHV130" s="98"/>
      <c r="AHW130" s="98"/>
      <c r="AHX130" s="98"/>
      <c r="AHY130" s="98"/>
      <c r="AHZ130" s="98"/>
      <c r="AIA130" s="98"/>
      <c r="AIB130" s="98"/>
      <c r="AIC130" s="98"/>
      <c r="AID130" s="98"/>
      <c r="AIE130" s="98"/>
      <c r="AIF130" s="98"/>
      <c r="AIG130" s="98"/>
      <c r="AIH130" s="98"/>
      <c r="AII130" s="98"/>
      <c r="AIJ130" s="98"/>
      <c r="AIK130" s="98"/>
      <c r="AIL130" s="98"/>
      <c r="AIM130" s="98"/>
      <c r="AIN130" s="98"/>
      <c r="AIO130" s="98"/>
      <c r="AIP130" s="98"/>
      <c r="AIQ130" s="98"/>
      <c r="AIR130" s="98"/>
      <c r="AIS130" s="98"/>
      <c r="AIT130" s="98"/>
      <c r="AIU130" s="98"/>
      <c r="AIV130" s="98"/>
      <c r="AIW130" s="98"/>
      <c r="AIX130" s="98"/>
      <c r="AIY130" s="98"/>
      <c r="AIZ130" s="98"/>
      <c r="AJA130" s="98"/>
      <c r="AJB130" s="98"/>
      <c r="AJC130" s="98"/>
      <c r="AJD130" s="98"/>
      <c r="AJE130" s="98"/>
      <c r="AJF130" s="98"/>
      <c r="AJG130" s="98"/>
      <c r="AJH130" s="98"/>
      <c r="AJI130" s="98"/>
      <c r="AJJ130" s="98"/>
      <c r="AJK130" s="98"/>
      <c r="AJL130" s="98"/>
      <c r="AJM130" s="98"/>
      <c r="AJN130" s="98"/>
      <c r="AJO130" s="98"/>
      <c r="AJP130" s="98"/>
      <c r="AJQ130" s="98"/>
      <c r="AJR130" s="98"/>
      <c r="AJS130" s="98"/>
      <c r="AJT130" s="98"/>
      <c r="AJU130" s="98"/>
      <c r="AJV130" s="98"/>
      <c r="AJW130" s="98"/>
      <c r="AJX130" s="98"/>
      <c r="AJY130" s="98"/>
      <c r="AJZ130" s="98"/>
      <c r="AKA130" s="98"/>
      <c r="AKB130" s="98"/>
      <c r="AKC130" s="98"/>
      <c r="AKD130" s="98"/>
      <c r="AKE130" s="98"/>
      <c r="AKF130" s="98"/>
      <c r="AKG130" s="98"/>
      <c r="AKH130" s="98"/>
      <c r="AKI130" s="98"/>
      <c r="AKJ130" s="98"/>
      <c r="AKK130" s="98"/>
      <c r="AKL130" s="98"/>
      <c r="AKM130" s="98"/>
      <c r="AKN130" s="98"/>
      <c r="AKO130" s="98"/>
      <c r="AKP130" s="98"/>
      <c r="AKQ130" s="98"/>
      <c r="AKR130" s="98"/>
      <c r="AKS130" s="98"/>
      <c r="AKT130" s="98"/>
      <c r="AKU130" s="98"/>
      <c r="AKV130" s="98"/>
      <c r="AKW130" s="98"/>
      <c r="AKX130" s="98"/>
      <c r="AKY130" s="98"/>
      <c r="AKZ130" s="98"/>
      <c r="ALA130" s="98"/>
      <c r="ALB130" s="98"/>
      <c r="ALC130" s="98"/>
      <c r="ALD130" s="98"/>
      <c r="ALE130" s="98"/>
      <c r="ALF130" s="98"/>
      <c r="ALG130" s="98"/>
      <c r="ALH130" s="98"/>
      <c r="ALI130" s="98"/>
      <c r="ALJ130" s="98"/>
      <c r="ALK130" s="98"/>
      <c r="ALL130" s="98"/>
      <c r="ALM130" s="98"/>
      <c r="ALN130" s="98"/>
      <c r="ALO130" s="98"/>
      <c r="ALP130" s="98"/>
      <c r="ALQ130" s="98"/>
      <c r="ALR130" s="98"/>
      <c r="ALS130" s="98"/>
      <c r="ALT130" s="98"/>
      <c r="ALU130" s="98"/>
      <c r="ALV130" s="98"/>
      <c r="ALW130" s="98"/>
      <c r="ALX130" s="98"/>
      <c r="ALY130" s="98"/>
      <c r="ALZ130" s="98"/>
      <c r="AMA130" s="98"/>
      <c r="AMB130" s="98"/>
      <c r="AMC130" s="98"/>
      <c r="AMD130" s="98"/>
      <c r="AME130" s="98"/>
      <c r="AMF130" s="98"/>
      <c r="AMG130" s="98"/>
      <c r="AMH130" s="98"/>
      <c r="AMI130" s="98"/>
      <c r="AMJ130" s="98"/>
      <c r="AMK130" s="98"/>
      <c r="AML130" s="98"/>
      <c r="AMM130" s="98"/>
      <c r="AMN130" s="98"/>
      <c r="AMO130" s="98"/>
      <c r="AMP130" s="98"/>
      <c r="AMQ130" s="98"/>
      <c r="AMR130" s="98"/>
      <c r="AMS130" s="98"/>
      <c r="AMT130" s="98"/>
      <c r="AMU130" s="98"/>
      <c r="AMV130" s="98"/>
      <c r="AMW130" s="98"/>
      <c r="AMX130" s="98"/>
      <c r="AMY130" s="98"/>
      <c r="AMZ130" s="98"/>
      <c r="ANA130" s="98"/>
      <c r="ANB130" s="98"/>
      <c r="ANC130" s="98"/>
      <c r="AND130" s="98"/>
      <c r="ANE130" s="98"/>
      <c r="ANF130" s="98"/>
      <c r="ANG130" s="98"/>
      <c r="ANH130" s="98"/>
      <c r="ANI130" s="98"/>
      <c r="ANJ130" s="98"/>
      <c r="ANK130" s="98"/>
      <c r="ANL130" s="98"/>
      <c r="ANM130" s="98"/>
      <c r="ANN130" s="98"/>
      <c r="ANO130" s="98"/>
      <c r="ANP130" s="98"/>
      <c r="ANQ130" s="98"/>
      <c r="ANR130" s="98"/>
      <c r="ANS130" s="98"/>
      <c r="ANT130" s="98"/>
      <c r="ANU130" s="98"/>
      <c r="ANV130" s="98"/>
      <c r="ANW130" s="98"/>
      <c r="ANX130" s="98"/>
      <c r="ANY130" s="98"/>
      <c r="ANZ130" s="98"/>
      <c r="AOA130" s="98"/>
      <c r="AOB130" s="98"/>
      <c r="AOC130" s="98"/>
      <c r="AOD130" s="98"/>
      <c r="AOE130" s="98"/>
      <c r="AOF130" s="98"/>
      <c r="AOG130" s="98"/>
      <c r="AOH130" s="98"/>
      <c r="AOI130" s="98"/>
      <c r="AOJ130" s="98"/>
      <c r="AOK130" s="98"/>
      <c r="AOL130" s="98"/>
      <c r="AOM130" s="98"/>
      <c r="AON130" s="98"/>
      <c r="AOO130" s="98"/>
      <c r="AOP130" s="98"/>
      <c r="AOQ130" s="98"/>
      <c r="AOR130" s="98"/>
      <c r="AOS130" s="98"/>
      <c r="AOT130" s="98"/>
      <c r="AOU130" s="98"/>
      <c r="AOV130" s="98"/>
      <c r="AOW130" s="98"/>
      <c r="AOX130" s="98"/>
      <c r="AOY130" s="98"/>
      <c r="AOZ130" s="98"/>
      <c r="APA130" s="98"/>
      <c r="APB130" s="98"/>
      <c r="APC130" s="98"/>
      <c r="APD130" s="98"/>
      <c r="APE130" s="98"/>
      <c r="APF130" s="98"/>
      <c r="APG130" s="98"/>
      <c r="APH130" s="98"/>
      <c r="API130" s="98"/>
      <c r="APJ130" s="98"/>
      <c r="APK130" s="98"/>
      <c r="APL130" s="98"/>
      <c r="APM130" s="98"/>
      <c r="APN130" s="98"/>
      <c r="APO130" s="98"/>
      <c r="APP130" s="98"/>
      <c r="APQ130" s="98"/>
      <c r="APR130" s="98"/>
      <c r="APS130" s="98"/>
      <c r="APT130" s="98"/>
      <c r="APU130" s="98"/>
      <c r="APV130" s="98"/>
      <c r="APW130" s="98"/>
      <c r="APX130" s="98"/>
      <c r="APY130" s="98"/>
      <c r="APZ130" s="98"/>
      <c r="AQA130" s="98"/>
      <c r="AQB130" s="98"/>
      <c r="AQC130" s="98"/>
      <c r="AQD130" s="98"/>
      <c r="AQE130" s="98"/>
      <c r="AQF130" s="98"/>
      <c r="AQG130" s="98"/>
      <c r="AQH130" s="98"/>
      <c r="AQI130" s="98"/>
      <c r="AQJ130" s="98"/>
      <c r="AQK130" s="98"/>
      <c r="AQL130" s="98"/>
      <c r="AQM130" s="98"/>
      <c r="AQN130" s="98"/>
      <c r="AQO130" s="98"/>
      <c r="AQP130" s="98"/>
      <c r="AQQ130" s="98"/>
      <c r="AQR130" s="98"/>
      <c r="AQS130" s="98"/>
      <c r="AQT130" s="98"/>
      <c r="AQU130" s="98"/>
      <c r="AQV130" s="98"/>
      <c r="AQW130" s="98"/>
      <c r="AQX130" s="98"/>
      <c r="AQY130" s="98"/>
      <c r="AQZ130" s="98"/>
      <c r="ARA130" s="98"/>
      <c r="ARB130" s="98"/>
      <c r="ARC130" s="98"/>
      <c r="ARD130" s="98"/>
      <c r="ARE130" s="98"/>
      <c r="ARF130" s="98"/>
      <c r="ARG130" s="98"/>
      <c r="ARH130" s="98"/>
      <c r="ARI130" s="98"/>
      <c r="ARJ130" s="98"/>
      <c r="ARK130" s="98"/>
      <c r="ARL130" s="98"/>
      <c r="ARM130" s="98"/>
      <c r="ARN130" s="98"/>
      <c r="ARO130" s="98"/>
      <c r="ARP130" s="98"/>
      <c r="ARQ130" s="98"/>
      <c r="ARR130" s="98"/>
      <c r="ARS130" s="98"/>
    </row>
    <row r="131" spans="1:1163" s="174" customFormat="1">
      <c r="A131" s="138" t="s">
        <v>284</v>
      </c>
      <c r="B131" s="134"/>
      <c r="C131" s="197"/>
      <c r="D131" s="197">
        <f>SUM(D119:D130)</f>
        <v>454211784</v>
      </c>
      <c r="E131" s="197"/>
      <c r="F131" s="197">
        <f>SUM(F119:F130)</f>
        <v>82789210</v>
      </c>
      <c r="G131" s="197"/>
      <c r="H131" s="197">
        <f>SUM(H119:H130)</f>
        <v>72443151</v>
      </c>
      <c r="I131" s="197"/>
      <c r="J131" s="197">
        <f>SUM(J119:J130)</f>
        <v>95526935</v>
      </c>
      <c r="K131" s="197"/>
      <c r="L131" s="197">
        <f>SUM(L119:L130)</f>
        <v>83180846</v>
      </c>
      <c r="M131" s="197"/>
      <c r="N131" s="197">
        <f>SUM(N119:N130)</f>
        <v>124691229</v>
      </c>
      <c r="O131" s="197"/>
      <c r="P131" s="197">
        <f>SUM(P119:P130)</f>
        <v>150283108</v>
      </c>
      <c r="Q131" s="197"/>
      <c r="R131" s="197">
        <f>SUM(R119:R130)</f>
        <v>167609539</v>
      </c>
      <c r="S131" s="197"/>
      <c r="T131" s="197">
        <f>SUM(T119:T130)</f>
        <v>246536716</v>
      </c>
      <c r="U131" s="201"/>
      <c r="V131" s="201">
        <f>SUM(V119:V130)</f>
        <v>328540376</v>
      </c>
      <c r="W131" s="201"/>
      <c r="X131" s="197">
        <f>SUM(X119:X130)</f>
        <v>459377353</v>
      </c>
      <c r="Y131" s="201"/>
      <c r="Z131" s="197">
        <f>SUM(Z119:Z130)</f>
        <v>412437377</v>
      </c>
      <c r="AA131" s="201"/>
      <c r="AB131" s="209">
        <f>SUM(AB119:AB130)</f>
        <v>375589208</v>
      </c>
      <c r="AC131" s="175"/>
      <c r="AD131" s="175">
        <f>SUM(AD119:AD130)</f>
        <v>345949181</v>
      </c>
      <c r="AE131" s="201"/>
      <c r="AF131" s="209">
        <f>SUM(AF119:AF130)</f>
        <v>316511611</v>
      </c>
      <c r="AG131" s="201"/>
      <c r="AH131" s="201">
        <f>SUM(AH119:AH130)</f>
        <v>416283236</v>
      </c>
      <c r="AI131" s="201"/>
      <c r="AJ131" s="201">
        <f>SUM(AJ119:AJ130)</f>
        <v>548457010</v>
      </c>
      <c r="AK131" s="201"/>
      <c r="AL131" s="201">
        <v>598071319</v>
      </c>
      <c r="AM131" s="176"/>
      <c r="AN131" s="176">
        <f>SUM(AN119:AN130)</f>
        <v>633168239</v>
      </c>
      <c r="AO131" s="201"/>
      <c r="AP131" s="201">
        <f>SUM(AP119:AP130)</f>
        <v>697587673</v>
      </c>
      <c r="AQ131" s="201"/>
      <c r="AR131" s="201">
        <f>SUM(AR119:AR130)</f>
        <v>688489405.54850316</v>
      </c>
      <c r="AS131" s="201"/>
      <c r="AT131" s="201">
        <f>SUM(AT119:AT130)</f>
        <v>862927100.30203307</v>
      </c>
      <c r="AU131" s="201"/>
      <c r="AV131" s="209">
        <f>SUM(AV119:AV130)</f>
        <v>897379899.64841866</v>
      </c>
      <c r="AW131" s="197"/>
      <c r="AX131" s="197">
        <f>SUM(AX120:AX130)</f>
        <v>855873064</v>
      </c>
      <c r="AY131" s="175"/>
      <c r="AZ131" s="175">
        <f>SUM(AZ120:AZ130)</f>
        <v>760749393</v>
      </c>
      <c r="BA131" s="180"/>
      <c r="BB131" s="197"/>
      <c r="BC131" s="197"/>
      <c r="BD131" s="197"/>
      <c r="BE131" s="178"/>
      <c r="BF131" s="197"/>
      <c r="BG131" s="197"/>
      <c r="BH131" s="197"/>
      <c r="BI131" s="178"/>
      <c r="BJ131" s="98"/>
      <c r="BK131" s="148"/>
      <c r="BL131" s="148"/>
      <c r="BM131" s="148"/>
      <c r="BN131" s="14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c r="IW131" s="98"/>
      <c r="IX131" s="98"/>
      <c r="IY131" s="98"/>
      <c r="IZ131" s="98"/>
      <c r="JA131" s="98"/>
      <c r="JB131" s="98"/>
      <c r="JC131" s="98"/>
      <c r="JD131" s="98"/>
      <c r="JE131" s="98"/>
      <c r="JF131" s="98"/>
      <c r="JG131" s="98"/>
      <c r="JH131" s="98"/>
      <c r="JI131" s="98"/>
      <c r="JJ131" s="98"/>
      <c r="JK131" s="98"/>
      <c r="JL131" s="98"/>
      <c r="JM131" s="98"/>
      <c r="JN131" s="98"/>
      <c r="JO131" s="98"/>
      <c r="JP131" s="98"/>
      <c r="JQ131" s="98"/>
      <c r="JR131" s="98"/>
      <c r="JS131" s="98"/>
      <c r="JT131" s="98"/>
      <c r="JU131" s="98"/>
      <c r="JV131" s="98"/>
      <c r="JW131" s="98"/>
      <c r="JX131" s="98"/>
      <c r="JY131" s="98"/>
      <c r="JZ131" s="98"/>
      <c r="KA131" s="98"/>
      <c r="KB131" s="98"/>
      <c r="KC131" s="98"/>
      <c r="KD131" s="98"/>
      <c r="KE131" s="98"/>
      <c r="KF131" s="98"/>
      <c r="KG131" s="98"/>
      <c r="KH131" s="98"/>
      <c r="KI131" s="98"/>
      <c r="KJ131" s="98"/>
      <c r="KK131" s="98"/>
      <c r="KL131" s="98"/>
      <c r="KM131" s="98"/>
      <c r="KN131" s="98"/>
      <c r="KO131" s="98"/>
      <c r="KP131" s="98"/>
      <c r="KQ131" s="98"/>
      <c r="KR131" s="98"/>
      <c r="KS131" s="98"/>
      <c r="KT131" s="98"/>
      <c r="KU131" s="98"/>
      <c r="KV131" s="98"/>
      <c r="KW131" s="98"/>
      <c r="KX131" s="98"/>
      <c r="KY131" s="98"/>
      <c r="KZ131" s="98"/>
      <c r="LA131" s="98"/>
      <c r="LB131" s="98"/>
      <c r="LC131" s="98"/>
      <c r="LD131" s="98"/>
      <c r="LE131" s="98"/>
      <c r="LF131" s="98"/>
      <c r="LG131" s="98"/>
      <c r="LH131" s="98"/>
      <c r="LI131" s="98"/>
      <c r="LJ131" s="98"/>
      <c r="LK131" s="98"/>
      <c r="LL131" s="98"/>
      <c r="LM131" s="98"/>
      <c r="LN131" s="98"/>
      <c r="LO131" s="98"/>
      <c r="LP131" s="98"/>
      <c r="LQ131" s="98"/>
      <c r="LR131" s="98"/>
      <c r="LS131" s="98"/>
      <c r="LT131" s="98"/>
      <c r="LU131" s="98"/>
      <c r="LV131" s="98"/>
      <c r="LW131" s="98"/>
      <c r="LX131" s="98"/>
      <c r="LY131" s="98"/>
      <c r="LZ131" s="98"/>
      <c r="MA131" s="98"/>
      <c r="MB131" s="98"/>
      <c r="MC131" s="98"/>
      <c r="MD131" s="98"/>
      <c r="ME131" s="98"/>
      <c r="MF131" s="98"/>
      <c r="MG131" s="98"/>
      <c r="MH131" s="98"/>
      <c r="MI131" s="98"/>
      <c r="MJ131" s="98"/>
      <c r="MK131" s="98"/>
      <c r="ML131" s="98"/>
      <c r="MM131" s="98"/>
      <c r="MN131" s="98"/>
      <c r="MO131" s="98"/>
      <c r="MP131" s="98"/>
      <c r="MQ131" s="98"/>
      <c r="MR131" s="98"/>
      <c r="MS131" s="98"/>
      <c r="MT131" s="98"/>
      <c r="MU131" s="98"/>
      <c r="MV131" s="98"/>
      <c r="MW131" s="98"/>
      <c r="MX131" s="98"/>
      <c r="MY131" s="98"/>
      <c r="MZ131" s="98"/>
      <c r="NA131" s="98"/>
      <c r="NB131" s="98"/>
      <c r="NC131" s="98"/>
      <c r="ND131" s="98"/>
      <c r="NE131" s="98"/>
      <c r="NF131" s="98"/>
      <c r="NG131" s="98"/>
      <c r="NH131" s="98"/>
      <c r="NI131" s="98"/>
      <c r="NJ131" s="98"/>
      <c r="NK131" s="98"/>
      <c r="NL131" s="98"/>
      <c r="NM131" s="98"/>
      <c r="NN131" s="98"/>
      <c r="NO131" s="98"/>
      <c r="NP131" s="98"/>
      <c r="NQ131" s="98"/>
      <c r="NR131" s="98"/>
      <c r="NS131" s="98"/>
      <c r="NT131" s="98"/>
      <c r="NU131" s="98"/>
      <c r="NV131" s="98"/>
      <c r="NW131" s="98"/>
      <c r="NX131" s="98"/>
      <c r="NY131" s="98"/>
      <c r="NZ131" s="98"/>
      <c r="OA131" s="98"/>
      <c r="OB131" s="98"/>
      <c r="OC131" s="98"/>
      <c r="OD131" s="98"/>
      <c r="OE131" s="98"/>
      <c r="OF131" s="98"/>
      <c r="OG131" s="98"/>
      <c r="OH131" s="98"/>
      <c r="OI131" s="98"/>
      <c r="OJ131" s="98"/>
      <c r="OK131" s="98"/>
      <c r="OL131" s="98"/>
      <c r="OM131" s="98"/>
      <c r="ON131" s="98"/>
      <c r="OO131" s="98"/>
      <c r="OP131" s="98"/>
      <c r="OQ131" s="98"/>
      <c r="OR131" s="98"/>
      <c r="OS131" s="98"/>
      <c r="OT131" s="98"/>
      <c r="OU131" s="98"/>
      <c r="OV131" s="98"/>
      <c r="OW131" s="98"/>
      <c r="OX131" s="98"/>
      <c r="OY131" s="98"/>
      <c r="OZ131" s="98"/>
      <c r="PA131" s="98"/>
      <c r="PB131" s="98"/>
      <c r="PC131" s="98"/>
      <c r="PD131" s="98"/>
      <c r="PE131" s="98"/>
      <c r="PF131" s="98"/>
      <c r="PG131" s="98"/>
      <c r="PH131" s="98"/>
      <c r="PI131" s="98"/>
      <c r="PJ131" s="98"/>
      <c r="PK131" s="98"/>
      <c r="PL131" s="98"/>
      <c r="PM131" s="98"/>
      <c r="PN131" s="98"/>
      <c r="PO131" s="98"/>
      <c r="PP131" s="98"/>
      <c r="PQ131" s="98"/>
      <c r="PR131" s="98"/>
      <c r="PS131" s="98"/>
      <c r="PT131" s="98"/>
      <c r="PU131" s="98"/>
      <c r="PV131" s="98"/>
      <c r="PW131" s="98"/>
      <c r="PX131" s="98"/>
      <c r="PY131" s="98"/>
      <c r="PZ131" s="98"/>
      <c r="QA131" s="98"/>
      <c r="QB131" s="98"/>
      <c r="QC131" s="98"/>
      <c r="QD131" s="98"/>
      <c r="QE131" s="98"/>
      <c r="QF131" s="98"/>
      <c r="QG131" s="98"/>
      <c r="QH131" s="98"/>
      <c r="QI131" s="98"/>
      <c r="QJ131" s="98"/>
      <c r="QK131" s="98"/>
      <c r="QL131" s="98"/>
      <c r="QM131" s="98"/>
      <c r="QN131" s="98"/>
      <c r="QO131" s="98"/>
      <c r="QP131" s="98"/>
      <c r="QQ131" s="98"/>
      <c r="QR131" s="98"/>
      <c r="QS131" s="98"/>
      <c r="QT131" s="98"/>
      <c r="QU131" s="98"/>
      <c r="QV131" s="98"/>
      <c r="QW131" s="98"/>
      <c r="QX131" s="98"/>
      <c r="QY131" s="98"/>
      <c r="QZ131" s="98"/>
      <c r="RA131" s="98"/>
      <c r="RB131" s="98"/>
      <c r="RC131" s="98"/>
      <c r="RD131" s="98"/>
      <c r="RE131" s="98"/>
      <c r="RF131" s="98"/>
      <c r="RG131" s="98"/>
      <c r="RH131" s="98"/>
      <c r="RI131" s="98"/>
      <c r="RJ131" s="98"/>
      <c r="RK131" s="98"/>
      <c r="RL131" s="98"/>
      <c r="RM131" s="98"/>
      <c r="RN131" s="98"/>
      <c r="RO131" s="98"/>
      <c r="RP131" s="98"/>
      <c r="RQ131" s="98"/>
      <c r="RR131" s="98"/>
      <c r="RS131" s="98"/>
      <c r="RT131" s="98"/>
      <c r="RU131" s="98"/>
      <c r="RV131" s="98"/>
      <c r="RW131" s="98"/>
      <c r="RX131" s="98"/>
      <c r="RY131" s="98"/>
      <c r="RZ131" s="98"/>
      <c r="SA131" s="98"/>
      <c r="SB131" s="98"/>
      <c r="SC131" s="98"/>
      <c r="SD131" s="98"/>
      <c r="SE131" s="98"/>
      <c r="SF131" s="98"/>
      <c r="SG131" s="98"/>
      <c r="SH131" s="98"/>
      <c r="SI131" s="98"/>
      <c r="SJ131" s="98"/>
      <c r="SK131" s="98"/>
      <c r="SL131" s="98"/>
      <c r="SM131" s="98"/>
      <c r="SN131" s="98"/>
      <c r="SO131" s="98"/>
      <c r="SP131" s="98"/>
      <c r="SQ131" s="98"/>
      <c r="SR131" s="98"/>
      <c r="SS131" s="98"/>
      <c r="ST131" s="98"/>
      <c r="SU131" s="98"/>
      <c r="SV131" s="98"/>
      <c r="SW131" s="98"/>
      <c r="SX131" s="98"/>
      <c r="SY131" s="98"/>
      <c r="SZ131" s="98"/>
      <c r="TA131" s="98"/>
      <c r="TB131" s="98"/>
      <c r="TC131" s="98"/>
      <c r="TD131" s="98"/>
      <c r="TE131" s="98"/>
      <c r="TF131" s="98"/>
      <c r="TG131" s="98"/>
      <c r="TH131" s="98"/>
      <c r="TI131" s="98"/>
      <c r="TJ131" s="98"/>
      <c r="TK131" s="98"/>
      <c r="TL131" s="98"/>
      <c r="TM131" s="98"/>
      <c r="TN131" s="98"/>
      <c r="TO131" s="98"/>
      <c r="TP131" s="98"/>
      <c r="TQ131" s="98"/>
      <c r="TR131" s="98"/>
      <c r="TS131" s="98"/>
      <c r="TT131" s="98"/>
      <c r="TU131" s="98"/>
      <c r="TV131" s="98"/>
      <c r="TW131" s="98"/>
      <c r="TX131" s="98"/>
      <c r="TY131" s="98"/>
      <c r="TZ131" s="98"/>
      <c r="UA131" s="98"/>
      <c r="UB131" s="98"/>
      <c r="UC131" s="98"/>
      <c r="UD131" s="98"/>
      <c r="UE131" s="98"/>
      <c r="UF131" s="98"/>
      <c r="UG131" s="98"/>
      <c r="UH131" s="98"/>
      <c r="UI131" s="98"/>
      <c r="UJ131" s="98"/>
      <c r="UK131" s="98"/>
      <c r="UL131" s="98"/>
      <c r="UM131" s="98"/>
      <c r="UN131" s="98"/>
      <c r="UO131" s="98"/>
      <c r="UP131" s="98"/>
      <c r="UQ131" s="98"/>
      <c r="UR131" s="98"/>
      <c r="US131" s="98"/>
      <c r="UT131" s="98"/>
      <c r="UU131" s="98"/>
      <c r="UV131" s="98"/>
      <c r="UW131" s="98"/>
      <c r="UX131" s="98"/>
      <c r="UY131" s="98"/>
      <c r="UZ131" s="98"/>
      <c r="VA131" s="98"/>
      <c r="VB131" s="98"/>
      <c r="VC131" s="98"/>
      <c r="VD131" s="98"/>
      <c r="VE131" s="98"/>
      <c r="VF131" s="98"/>
      <c r="VG131" s="98"/>
      <c r="VH131" s="98"/>
      <c r="VI131" s="98"/>
      <c r="VJ131" s="98"/>
      <c r="VK131" s="98"/>
      <c r="VL131" s="98"/>
      <c r="VM131" s="98"/>
      <c r="VN131" s="98"/>
      <c r="VO131" s="98"/>
      <c r="VP131" s="98"/>
      <c r="VQ131" s="98"/>
      <c r="VR131" s="98"/>
      <c r="VS131" s="98"/>
      <c r="VT131" s="98"/>
      <c r="VU131" s="98"/>
      <c r="VV131" s="98"/>
      <c r="VW131" s="98"/>
      <c r="VX131" s="98"/>
      <c r="VY131" s="98"/>
      <c r="VZ131" s="98"/>
      <c r="WA131" s="98"/>
      <c r="WB131" s="98"/>
      <c r="WC131" s="98"/>
      <c r="WD131" s="98"/>
      <c r="WE131" s="98"/>
      <c r="WF131" s="98"/>
      <c r="WG131" s="98"/>
      <c r="WH131" s="98"/>
      <c r="WI131" s="98"/>
      <c r="WJ131" s="98"/>
      <c r="WK131" s="98"/>
      <c r="WL131" s="98"/>
      <c r="WM131" s="98"/>
      <c r="WN131" s="98"/>
      <c r="WO131" s="98"/>
      <c r="WP131" s="98"/>
      <c r="WQ131" s="98"/>
      <c r="WR131" s="98"/>
      <c r="WS131" s="98"/>
      <c r="WT131" s="98"/>
      <c r="WU131" s="98"/>
      <c r="WV131" s="98"/>
      <c r="WW131" s="98"/>
      <c r="WX131" s="98"/>
      <c r="WY131" s="98"/>
      <c r="WZ131" s="98"/>
      <c r="XA131" s="98"/>
      <c r="XB131" s="98"/>
      <c r="XC131" s="98"/>
      <c r="XD131" s="98"/>
      <c r="XE131" s="98"/>
      <c r="XF131" s="98"/>
      <c r="XG131" s="98"/>
      <c r="XH131" s="98"/>
      <c r="XI131" s="98"/>
      <c r="XJ131" s="98"/>
      <c r="XK131" s="98"/>
      <c r="XL131" s="98"/>
      <c r="XM131" s="98"/>
      <c r="XN131" s="98"/>
      <c r="XO131" s="98"/>
      <c r="XP131" s="98"/>
      <c r="XQ131" s="98"/>
      <c r="XR131" s="98"/>
      <c r="XS131" s="98"/>
      <c r="XT131" s="98"/>
      <c r="XU131" s="98"/>
      <c r="XV131" s="98"/>
      <c r="XW131" s="98"/>
      <c r="XX131" s="98"/>
      <c r="XY131" s="98"/>
      <c r="XZ131" s="98"/>
      <c r="YA131" s="98"/>
      <c r="YB131" s="98"/>
      <c r="YC131" s="98"/>
      <c r="YD131" s="98"/>
      <c r="YE131" s="98"/>
      <c r="YF131" s="98"/>
      <c r="YG131" s="98"/>
      <c r="YH131" s="98"/>
      <c r="YI131" s="98"/>
      <c r="YJ131" s="98"/>
      <c r="YK131" s="98"/>
      <c r="YL131" s="98"/>
      <c r="YM131" s="98"/>
      <c r="YN131" s="98"/>
      <c r="YO131" s="98"/>
      <c r="YP131" s="98"/>
      <c r="YQ131" s="98"/>
      <c r="YR131" s="98"/>
      <c r="YS131" s="98"/>
      <c r="YT131" s="98"/>
      <c r="YU131" s="98"/>
      <c r="YV131" s="98"/>
      <c r="YW131" s="98"/>
      <c r="YX131" s="98"/>
      <c r="YY131" s="98"/>
      <c r="YZ131" s="98"/>
      <c r="ZA131" s="98"/>
      <c r="ZB131" s="98"/>
      <c r="ZC131" s="98"/>
      <c r="ZD131" s="98"/>
      <c r="ZE131" s="98"/>
      <c r="ZF131" s="98"/>
      <c r="ZG131" s="98"/>
      <c r="ZH131" s="98"/>
      <c r="ZI131" s="98"/>
      <c r="ZJ131" s="98"/>
      <c r="ZK131" s="98"/>
      <c r="ZL131" s="98"/>
      <c r="ZM131" s="98"/>
      <c r="ZN131" s="98"/>
      <c r="ZO131" s="98"/>
      <c r="ZP131" s="98"/>
      <c r="ZQ131" s="98"/>
      <c r="ZR131" s="98"/>
      <c r="ZS131" s="98"/>
      <c r="ZT131" s="98"/>
      <c r="ZU131" s="98"/>
      <c r="ZV131" s="98"/>
      <c r="ZW131" s="98"/>
      <c r="ZX131" s="98"/>
      <c r="ZY131" s="98"/>
      <c r="ZZ131" s="98"/>
      <c r="AAA131" s="98"/>
      <c r="AAB131" s="98"/>
      <c r="AAC131" s="98"/>
      <c r="AAD131" s="98"/>
      <c r="AAE131" s="98"/>
      <c r="AAF131" s="98"/>
      <c r="AAG131" s="98"/>
      <c r="AAH131" s="98"/>
      <c r="AAI131" s="98"/>
      <c r="AAJ131" s="98"/>
      <c r="AAK131" s="98"/>
      <c r="AAL131" s="98"/>
      <c r="AAM131" s="98"/>
      <c r="AAN131" s="98"/>
      <c r="AAO131" s="98"/>
      <c r="AAP131" s="98"/>
      <c r="AAQ131" s="98"/>
      <c r="AAR131" s="98"/>
      <c r="AAS131" s="98"/>
      <c r="AAT131" s="98"/>
      <c r="AAU131" s="98"/>
      <c r="AAV131" s="98"/>
      <c r="AAW131" s="98"/>
      <c r="AAX131" s="98"/>
      <c r="AAY131" s="98"/>
      <c r="AAZ131" s="98"/>
      <c r="ABA131" s="98"/>
      <c r="ABB131" s="98"/>
      <c r="ABC131" s="98"/>
      <c r="ABD131" s="98"/>
      <c r="ABE131" s="98"/>
      <c r="ABF131" s="98"/>
      <c r="ABG131" s="98"/>
      <c r="ABH131" s="98"/>
      <c r="ABI131" s="98"/>
      <c r="ABJ131" s="98"/>
      <c r="ABK131" s="98"/>
      <c r="ABL131" s="98"/>
      <c r="ABM131" s="98"/>
      <c r="ABN131" s="98"/>
      <c r="ABO131" s="98"/>
      <c r="ABP131" s="98"/>
      <c r="ABQ131" s="98"/>
      <c r="ABR131" s="98"/>
      <c r="ABS131" s="98"/>
      <c r="ABT131" s="98"/>
      <c r="ABU131" s="98"/>
      <c r="ABV131" s="98"/>
      <c r="ABW131" s="98"/>
      <c r="ABX131" s="98"/>
      <c r="ABY131" s="98"/>
      <c r="ABZ131" s="98"/>
      <c r="ACA131" s="98"/>
      <c r="ACB131" s="98"/>
      <c r="ACC131" s="98"/>
      <c r="ACD131" s="98"/>
      <c r="ACE131" s="98"/>
      <c r="ACF131" s="98"/>
      <c r="ACG131" s="98"/>
      <c r="ACH131" s="98"/>
      <c r="ACI131" s="98"/>
      <c r="ACJ131" s="98"/>
      <c r="ACK131" s="98"/>
      <c r="ACL131" s="98"/>
      <c r="ACM131" s="98"/>
      <c r="ACN131" s="98"/>
      <c r="ACO131" s="98"/>
      <c r="ACP131" s="98"/>
      <c r="ACQ131" s="98"/>
      <c r="ACR131" s="98"/>
      <c r="ACS131" s="98"/>
      <c r="ACT131" s="98"/>
      <c r="ACU131" s="98"/>
      <c r="ACV131" s="98"/>
      <c r="ACW131" s="98"/>
      <c r="ACX131" s="98"/>
      <c r="ACY131" s="98"/>
      <c r="ACZ131" s="98"/>
      <c r="ADA131" s="98"/>
      <c r="ADB131" s="98"/>
      <c r="ADC131" s="98"/>
      <c r="ADD131" s="98"/>
      <c r="ADE131" s="98"/>
      <c r="ADF131" s="98"/>
      <c r="ADG131" s="98"/>
      <c r="ADH131" s="98"/>
      <c r="ADI131" s="98"/>
      <c r="ADJ131" s="98"/>
      <c r="ADK131" s="98"/>
      <c r="ADL131" s="98"/>
      <c r="ADM131" s="98"/>
      <c r="ADN131" s="98"/>
      <c r="ADO131" s="98"/>
      <c r="ADP131" s="98"/>
      <c r="ADQ131" s="98"/>
      <c r="ADR131" s="98"/>
      <c r="ADS131" s="98"/>
      <c r="ADT131" s="98"/>
      <c r="ADU131" s="98"/>
      <c r="ADV131" s="98"/>
      <c r="ADW131" s="98"/>
      <c r="ADX131" s="98"/>
      <c r="ADY131" s="98"/>
      <c r="ADZ131" s="98"/>
      <c r="AEA131" s="98"/>
      <c r="AEB131" s="98"/>
      <c r="AEC131" s="98"/>
      <c r="AED131" s="98"/>
      <c r="AEE131" s="98"/>
      <c r="AEF131" s="98"/>
      <c r="AEG131" s="98"/>
      <c r="AEH131" s="98"/>
      <c r="AEI131" s="98"/>
      <c r="AEJ131" s="98"/>
      <c r="AEK131" s="98"/>
      <c r="AEL131" s="98"/>
      <c r="AEM131" s="98"/>
      <c r="AEN131" s="98"/>
      <c r="AEO131" s="98"/>
      <c r="AEP131" s="98"/>
      <c r="AEQ131" s="98"/>
      <c r="AER131" s="98"/>
      <c r="AES131" s="98"/>
      <c r="AET131" s="98"/>
      <c r="AEU131" s="98"/>
      <c r="AEV131" s="98"/>
      <c r="AEW131" s="98"/>
      <c r="AEX131" s="98"/>
      <c r="AEY131" s="98"/>
      <c r="AEZ131" s="98"/>
      <c r="AFA131" s="98"/>
      <c r="AFB131" s="98"/>
      <c r="AFC131" s="98"/>
      <c r="AFD131" s="98"/>
      <c r="AFE131" s="98"/>
      <c r="AFF131" s="98"/>
      <c r="AFG131" s="98"/>
      <c r="AFH131" s="98"/>
      <c r="AFI131" s="98"/>
      <c r="AFJ131" s="98"/>
      <c r="AFK131" s="98"/>
      <c r="AFL131" s="98"/>
      <c r="AFM131" s="98"/>
      <c r="AFN131" s="98"/>
      <c r="AFO131" s="98"/>
      <c r="AFP131" s="98"/>
      <c r="AFQ131" s="98"/>
      <c r="AFR131" s="98"/>
      <c r="AFS131" s="98"/>
      <c r="AFT131" s="98"/>
      <c r="AFU131" s="98"/>
      <c r="AFV131" s="98"/>
      <c r="AFW131" s="98"/>
      <c r="AFX131" s="98"/>
      <c r="AFY131" s="98"/>
      <c r="AFZ131" s="98"/>
      <c r="AGA131" s="98"/>
      <c r="AGB131" s="98"/>
      <c r="AGC131" s="98"/>
      <c r="AGD131" s="98"/>
      <c r="AGE131" s="98"/>
      <c r="AGF131" s="98"/>
      <c r="AGG131" s="98"/>
      <c r="AGH131" s="98"/>
      <c r="AGI131" s="98"/>
      <c r="AGJ131" s="98"/>
      <c r="AGK131" s="98"/>
      <c r="AGL131" s="98"/>
      <c r="AGM131" s="98"/>
      <c r="AGN131" s="98"/>
      <c r="AGO131" s="98"/>
      <c r="AGP131" s="98"/>
      <c r="AGQ131" s="98"/>
      <c r="AGR131" s="98"/>
      <c r="AGS131" s="98"/>
      <c r="AGT131" s="98"/>
      <c r="AGU131" s="98"/>
      <c r="AGV131" s="98"/>
      <c r="AGW131" s="98"/>
      <c r="AGX131" s="98"/>
      <c r="AGY131" s="98"/>
      <c r="AGZ131" s="98"/>
      <c r="AHA131" s="98"/>
      <c r="AHB131" s="98"/>
      <c r="AHC131" s="98"/>
      <c r="AHD131" s="98"/>
      <c r="AHE131" s="98"/>
      <c r="AHF131" s="98"/>
      <c r="AHG131" s="98"/>
      <c r="AHH131" s="98"/>
      <c r="AHI131" s="98"/>
      <c r="AHJ131" s="98"/>
      <c r="AHK131" s="98"/>
      <c r="AHL131" s="98"/>
      <c r="AHM131" s="98"/>
      <c r="AHN131" s="98"/>
      <c r="AHO131" s="98"/>
      <c r="AHP131" s="98"/>
      <c r="AHQ131" s="98"/>
      <c r="AHR131" s="98"/>
      <c r="AHS131" s="98"/>
      <c r="AHT131" s="98"/>
      <c r="AHU131" s="98"/>
      <c r="AHV131" s="98"/>
      <c r="AHW131" s="98"/>
      <c r="AHX131" s="98"/>
      <c r="AHY131" s="98"/>
      <c r="AHZ131" s="98"/>
      <c r="AIA131" s="98"/>
      <c r="AIB131" s="98"/>
      <c r="AIC131" s="98"/>
      <c r="AID131" s="98"/>
      <c r="AIE131" s="98"/>
      <c r="AIF131" s="98"/>
      <c r="AIG131" s="98"/>
      <c r="AIH131" s="98"/>
      <c r="AII131" s="98"/>
      <c r="AIJ131" s="98"/>
      <c r="AIK131" s="98"/>
      <c r="AIL131" s="98"/>
      <c r="AIM131" s="98"/>
      <c r="AIN131" s="98"/>
      <c r="AIO131" s="98"/>
      <c r="AIP131" s="98"/>
      <c r="AIQ131" s="98"/>
      <c r="AIR131" s="98"/>
      <c r="AIS131" s="98"/>
      <c r="AIT131" s="98"/>
      <c r="AIU131" s="98"/>
      <c r="AIV131" s="98"/>
      <c r="AIW131" s="98"/>
      <c r="AIX131" s="98"/>
      <c r="AIY131" s="98"/>
      <c r="AIZ131" s="98"/>
      <c r="AJA131" s="98"/>
      <c r="AJB131" s="98"/>
      <c r="AJC131" s="98"/>
      <c r="AJD131" s="98"/>
      <c r="AJE131" s="98"/>
      <c r="AJF131" s="98"/>
      <c r="AJG131" s="98"/>
      <c r="AJH131" s="98"/>
      <c r="AJI131" s="98"/>
      <c r="AJJ131" s="98"/>
      <c r="AJK131" s="98"/>
      <c r="AJL131" s="98"/>
      <c r="AJM131" s="98"/>
      <c r="AJN131" s="98"/>
      <c r="AJO131" s="98"/>
      <c r="AJP131" s="98"/>
      <c r="AJQ131" s="98"/>
      <c r="AJR131" s="98"/>
      <c r="AJS131" s="98"/>
      <c r="AJT131" s="98"/>
      <c r="AJU131" s="98"/>
      <c r="AJV131" s="98"/>
      <c r="AJW131" s="98"/>
      <c r="AJX131" s="98"/>
      <c r="AJY131" s="98"/>
      <c r="AJZ131" s="98"/>
      <c r="AKA131" s="98"/>
      <c r="AKB131" s="98"/>
      <c r="AKC131" s="98"/>
      <c r="AKD131" s="98"/>
      <c r="AKE131" s="98"/>
      <c r="AKF131" s="98"/>
      <c r="AKG131" s="98"/>
      <c r="AKH131" s="98"/>
      <c r="AKI131" s="98"/>
      <c r="AKJ131" s="98"/>
      <c r="AKK131" s="98"/>
      <c r="AKL131" s="98"/>
      <c r="AKM131" s="98"/>
      <c r="AKN131" s="98"/>
      <c r="AKO131" s="98"/>
      <c r="AKP131" s="98"/>
      <c r="AKQ131" s="98"/>
      <c r="AKR131" s="98"/>
      <c r="AKS131" s="98"/>
      <c r="AKT131" s="98"/>
      <c r="AKU131" s="98"/>
      <c r="AKV131" s="98"/>
      <c r="AKW131" s="98"/>
      <c r="AKX131" s="98"/>
      <c r="AKY131" s="98"/>
      <c r="AKZ131" s="98"/>
      <c r="ALA131" s="98"/>
      <c r="ALB131" s="98"/>
      <c r="ALC131" s="98"/>
      <c r="ALD131" s="98"/>
      <c r="ALE131" s="98"/>
      <c r="ALF131" s="98"/>
      <c r="ALG131" s="98"/>
      <c r="ALH131" s="98"/>
      <c r="ALI131" s="98"/>
      <c r="ALJ131" s="98"/>
      <c r="ALK131" s="98"/>
      <c r="ALL131" s="98"/>
      <c r="ALM131" s="98"/>
      <c r="ALN131" s="98"/>
      <c r="ALO131" s="98"/>
      <c r="ALP131" s="98"/>
      <c r="ALQ131" s="98"/>
      <c r="ALR131" s="98"/>
      <c r="ALS131" s="98"/>
      <c r="ALT131" s="98"/>
      <c r="ALU131" s="98"/>
      <c r="ALV131" s="98"/>
      <c r="ALW131" s="98"/>
      <c r="ALX131" s="98"/>
      <c r="ALY131" s="98"/>
      <c r="ALZ131" s="98"/>
      <c r="AMA131" s="98"/>
      <c r="AMB131" s="98"/>
      <c r="AMC131" s="98"/>
      <c r="AMD131" s="98"/>
      <c r="AME131" s="98"/>
      <c r="AMF131" s="98"/>
      <c r="AMG131" s="98"/>
      <c r="AMH131" s="98"/>
      <c r="AMI131" s="98"/>
      <c r="AMJ131" s="98"/>
      <c r="AMK131" s="98"/>
      <c r="AML131" s="98"/>
      <c r="AMM131" s="98"/>
      <c r="AMN131" s="98"/>
      <c r="AMO131" s="98"/>
      <c r="AMP131" s="98"/>
      <c r="AMQ131" s="98"/>
      <c r="AMR131" s="98"/>
      <c r="AMS131" s="98"/>
      <c r="AMT131" s="98"/>
      <c r="AMU131" s="98"/>
      <c r="AMV131" s="98"/>
      <c r="AMW131" s="98"/>
      <c r="AMX131" s="98"/>
      <c r="AMY131" s="98"/>
      <c r="AMZ131" s="98"/>
      <c r="ANA131" s="98"/>
      <c r="ANB131" s="98"/>
      <c r="ANC131" s="98"/>
      <c r="AND131" s="98"/>
      <c r="ANE131" s="98"/>
      <c r="ANF131" s="98"/>
      <c r="ANG131" s="98"/>
      <c r="ANH131" s="98"/>
      <c r="ANI131" s="98"/>
      <c r="ANJ131" s="98"/>
      <c r="ANK131" s="98"/>
      <c r="ANL131" s="98"/>
      <c r="ANM131" s="98"/>
      <c r="ANN131" s="98"/>
      <c r="ANO131" s="98"/>
      <c r="ANP131" s="98"/>
      <c r="ANQ131" s="98"/>
      <c r="ANR131" s="98"/>
      <c r="ANS131" s="98"/>
      <c r="ANT131" s="98"/>
      <c r="ANU131" s="98"/>
      <c r="ANV131" s="98"/>
      <c r="ANW131" s="98"/>
      <c r="ANX131" s="98"/>
      <c r="ANY131" s="98"/>
      <c r="ANZ131" s="98"/>
      <c r="AOA131" s="98"/>
      <c r="AOB131" s="98"/>
      <c r="AOC131" s="98"/>
      <c r="AOD131" s="98"/>
      <c r="AOE131" s="98"/>
      <c r="AOF131" s="98"/>
      <c r="AOG131" s="98"/>
      <c r="AOH131" s="98"/>
      <c r="AOI131" s="98"/>
      <c r="AOJ131" s="98"/>
      <c r="AOK131" s="98"/>
      <c r="AOL131" s="98"/>
      <c r="AOM131" s="98"/>
      <c r="AON131" s="98"/>
      <c r="AOO131" s="98"/>
      <c r="AOP131" s="98"/>
      <c r="AOQ131" s="98"/>
      <c r="AOR131" s="98"/>
      <c r="AOS131" s="98"/>
      <c r="AOT131" s="98"/>
      <c r="AOU131" s="98"/>
      <c r="AOV131" s="98"/>
      <c r="AOW131" s="98"/>
      <c r="AOX131" s="98"/>
      <c r="AOY131" s="98"/>
      <c r="AOZ131" s="98"/>
      <c r="APA131" s="98"/>
      <c r="APB131" s="98"/>
      <c r="APC131" s="98"/>
      <c r="APD131" s="98"/>
      <c r="APE131" s="98"/>
      <c r="APF131" s="98"/>
      <c r="APG131" s="98"/>
      <c r="APH131" s="98"/>
      <c r="API131" s="98"/>
      <c r="APJ131" s="98"/>
      <c r="APK131" s="98"/>
      <c r="APL131" s="98"/>
      <c r="APM131" s="98"/>
      <c r="APN131" s="98"/>
      <c r="APO131" s="98"/>
      <c r="APP131" s="98"/>
      <c r="APQ131" s="98"/>
      <c r="APR131" s="98"/>
      <c r="APS131" s="98"/>
      <c r="APT131" s="98"/>
      <c r="APU131" s="98"/>
      <c r="APV131" s="98"/>
      <c r="APW131" s="98"/>
      <c r="APX131" s="98"/>
      <c r="APY131" s="98"/>
      <c r="APZ131" s="98"/>
      <c r="AQA131" s="98"/>
      <c r="AQB131" s="98"/>
      <c r="AQC131" s="98"/>
      <c r="AQD131" s="98"/>
      <c r="AQE131" s="98"/>
      <c r="AQF131" s="98"/>
      <c r="AQG131" s="98"/>
      <c r="AQH131" s="98"/>
      <c r="AQI131" s="98"/>
      <c r="AQJ131" s="98"/>
      <c r="AQK131" s="98"/>
      <c r="AQL131" s="98"/>
      <c r="AQM131" s="98"/>
      <c r="AQN131" s="98"/>
      <c r="AQO131" s="98"/>
      <c r="AQP131" s="98"/>
      <c r="AQQ131" s="98"/>
      <c r="AQR131" s="98"/>
      <c r="AQS131" s="98"/>
      <c r="AQT131" s="98"/>
      <c r="AQU131" s="98"/>
      <c r="AQV131" s="98"/>
      <c r="AQW131" s="98"/>
      <c r="AQX131" s="98"/>
      <c r="AQY131" s="98"/>
      <c r="AQZ131" s="98"/>
      <c r="ARA131" s="98"/>
      <c r="ARB131" s="98"/>
      <c r="ARC131" s="98"/>
      <c r="ARD131" s="98"/>
      <c r="ARE131" s="98"/>
      <c r="ARF131" s="98"/>
      <c r="ARG131" s="98"/>
      <c r="ARH131" s="98"/>
      <c r="ARI131" s="98"/>
      <c r="ARJ131" s="98"/>
      <c r="ARK131" s="98"/>
      <c r="ARL131" s="98"/>
      <c r="ARM131" s="98"/>
      <c r="ARN131" s="98"/>
      <c r="ARO131" s="98"/>
      <c r="ARP131" s="98"/>
      <c r="ARQ131" s="98"/>
      <c r="ARR131" s="98"/>
      <c r="ARS131" s="98"/>
    </row>
    <row r="132" spans="1:1163">
      <c r="A132" s="138"/>
      <c r="B132" s="134"/>
      <c r="C132" s="197"/>
      <c r="D132" s="197"/>
      <c r="E132" s="197"/>
      <c r="F132" s="197"/>
      <c r="G132" s="197"/>
      <c r="H132" s="197"/>
      <c r="I132" s="197"/>
      <c r="J132" s="197"/>
      <c r="K132" s="197"/>
      <c r="L132" s="197"/>
      <c r="M132" s="197"/>
      <c r="N132" s="197"/>
      <c r="O132" s="197"/>
      <c r="P132" s="197"/>
      <c r="Q132" s="197"/>
      <c r="R132" s="197"/>
      <c r="S132" s="197"/>
      <c r="T132" s="197"/>
      <c r="U132" s="201"/>
      <c r="V132" s="201"/>
      <c r="W132" s="144"/>
      <c r="X132" s="144"/>
      <c r="Y132" s="201"/>
      <c r="Z132" s="201"/>
      <c r="AA132" s="201"/>
      <c r="AB132" s="201"/>
      <c r="AC132" s="197"/>
      <c r="AD132" s="197"/>
      <c r="AE132" s="201"/>
      <c r="AF132" s="209"/>
      <c r="AG132" s="201"/>
      <c r="AH132" s="201"/>
      <c r="AI132" s="201"/>
      <c r="AJ132" s="201"/>
      <c r="AK132" s="201"/>
      <c r="AL132" s="201"/>
      <c r="AM132" s="201"/>
      <c r="AN132" s="201"/>
      <c r="AO132" s="201"/>
      <c r="AP132" s="201"/>
      <c r="AQ132" s="177"/>
      <c r="AR132" s="177"/>
      <c r="AS132" s="201"/>
      <c r="AT132" s="201"/>
      <c r="AU132" s="201"/>
      <c r="AV132" s="209"/>
      <c r="AW132" s="201"/>
      <c r="AX132" s="174"/>
      <c r="AY132" s="172"/>
      <c r="AZ132" s="172"/>
      <c r="BA132" s="177"/>
      <c r="BB132" s="173"/>
      <c r="BC132" s="173"/>
      <c r="BD132" s="173"/>
      <c r="BE132" s="173"/>
      <c r="BF132" s="173"/>
      <c r="BG132" s="173"/>
      <c r="BH132" s="173"/>
      <c r="BI132" s="177"/>
      <c r="BJ132" s="98"/>
      <c r="BK132" s="148"/>
      <c r="BL132" s="148"/>
      <c r="BM132" s="148"/>
      <c r="BN132" s="148"/>
    </row>
    <row r="133" spans="1:1163">
      <c r="A133" s="124" t="s">
        <v>172</v>
      </c>
      <c r="B133" s="225"/>
      <c r="C133" s="194"/>
      <c r="D133" s="194"/>
      <c r="E133" s="194"/>
      <c r="F133" s="194"/>
      <c r="G133" s="194"/>
      <c r="H133" s="194"/>
      <c r="I133" s="194"/>
      <c r="J133" s="194"/>
      <c r="K133" s="194"/>
      <c r="L133" s="194"/>
      <c r="M133" s="194"/>
      <c r="N133" s="194"/>
      <c r="O133" s="194"/>
      <c r="P133" s="194"/>
      <c r="Q133" s="194"/>
      <c r="R133" s="194"/>
      <c r="S133" s="194"/>
      <c r="T133" s="194"/>
      <c r="U133" s="202"/>
      <c r="V133" s="202"/>
      <c r="W133" s="202"/>
      <c r="X133" s="202"/>
      <c r="Y133" s="202"/>
      <c r="Z133" s="202"/>
      <c r="AA133" s="202"/>
      <c r="AB133" s="202"/>
      <c r="AC133" s="194"/>
      <c r="AD133" s="194"/>
      <c r="AE133" s="202"/>
      <c r="AF133" s="202"/>
      <c r="AG133" s="202"/>
      <c r="AH133" s="202"/>
      <c r="AI133" s="202"/>
      <c r="AJ133" s="202"/>
      <c r="AK133" s="202"/>
      <c r="AL133" s="202"/>
      <c r="AM133" s="202"/>
      <c r="AN133" s="202"/>
      <c r="AO133" s="202"/>
      <c r="AP133" s="202"/>
      <c r="AQ133" s="202"/>
      <c r="AR133" s="202"/>
      <c r="AS133" s="202"/>
      <c r="AT133" s="202"/>
      <c r="AU133" s="202"/>
      <c r="AV133" s="202"/>
      <c r="AW133" s="194"/>
      <c r="AX133" s="194"/>
      <c r="AY133" s="165"/>
      <c r="AZ133" s="165"/>
      <c r="BA133" s="196"/>
      <c r="BB133" s="166"/>
      <c r="BC133" s="166"/>
      <c r="BD133" s="166"/>
      <c r="BE133" s="166"/>
      <c r="BF133" s="166"/>
      <c r="BG133" s="166"/>
      <c r="BH133" s="166"/>
      <c r="BI133" s="196"/>
      <c r="BJ133" s="98"/>
      <c r="BL133" s="148"/>
      <c r="BM133" s="148"/>
      <c r="BN133" s="148"/>
    </row>
    <row r="134" spans="1:1163">
      <c r="A134" s="126" t="s">
        <v>173</v>
      </c>
      <c r="B134" s="127" t="s">
        <v>67</v>
      </c>
      <c r="C134" s="183">
        <v>81529</v>
      </c>
      <c r="D134" s="183">
        <v>844292</v>
      </c>
      <c r="E134" s="183">
        <v>2568</v>
      </c>
      <c r="F134" s="183">
        <v>116932</v>
      </c>
      <c r="G134" s="183">
        <v>3181</v>
      </c>
      <c r="H134" s="183">
        <v>145799</v>
      </c>
      <c r="I134" s="183">
        <v>1914</v>
      </c>
      <c r="J134" s="183">
        <v>79613</v>
      </c>
      <c r="K134" s="183">
        <v>3551</v>
      </c>
      <c r="L134" s="183">
        <v>35507</v>
      </c>
      <c r="M134" s="183">
        <v>3158</v>
      </c>
      <c r="N134" s="183">
        <v>21425</v>
      </c>
      <c r="O134" s="183">
        <v>6560</v>
      </c>
      <c r="P134" s="183">
        <v>43954</v>
      </c>
      <c r="Q134" s="183">
        <v>9497</v>
      </c>
      <c r="R134" s="183">
        <v>76224</v>
      </c>
      <c r="S134" s="183">
        <v>4933</v>
      </c>
      <c r="T134" s="183">
        <v>149430</v>
      </c>
      <c r="U134" s="194">
        <v>21014</v>
      </c>
      <c r="V134" s="194">
        <v>850089</v>
      </c>
      <c r="W134" s="194">
        <v>7367</v>
      </c>
      <c r="X134" s="194">
        <v>328732</v>
      </c>
      <c r="Y134" s="194">
        <v>31774</v>
      </c>
      <c r="Z134" s="194">
        <v>1317361</v>
      </c>
      <c r="AA134" s="208">
        <v>17499</v>
      </c>
      <c r="AB134" s="208">
        <v>715084</v>
      </c>
      <c r="AC134" s="183">
        <v>25800</v>
      </c>
      <c r="AD134" s="183">
        <v>1132516</v>
      </c>
      <c r="AE134" s="202">
        <v>18748</v>
      </c>
      <c r="AF134" s="202">
        <v>694865</v>
      </c>
      <c r="AG134" s="202">
        <v>36169</v>
      </c>
      <c r="AH134" s="202">
        <v>1451195</v>
      </c>
      <c r="AI134" s="202">
        <v>66610</v>
      </c>
      <c r="AJ134" s="202">
        <v>2345293</v>
      </c>
      <c r="AK134" s="202">
        <v>57241</v>
      </c>
      <c r="AL134" s="202">
        <v>2120733</v>
      </c>
      <c r="AM134" s="187">
        <v>65818</v>
      </c>
      <c r="AN134" s="187">
        <v>3043804</v>
      </c>
      <c r="AO134" s="202">
        <v>59835</v>
      </c>
      <c r="AP134" s="202">
        <v>2242642</v>
      </c>
      <c r="AQ134" s="202">
        <v>44072.68</v>
      </c>
      <c r="AR134" s="202">
        <v>1734040</v>
      </c>
      <c r="AS134" s="202">
        <v>62630.98</v>
      </c>
      <c r="AT134" s="202">
        <v>2487199</v>
      </c>
      <c r="AU134" s="208">
        <v>29733</v>
      </c>
      <c r="AV134" s="208">
        <v>1494518</v>
      </c>
      <c r="AW134" s="202">
        <v>61828</v>
      </c>
      <c r="AX134" s="208">
        <v>3082424</v>
      </c>
      <c r="AY134" s="194">
        <v>21962.6</v>
      </c>
      <c r="AZ134" s="194">
        <v>986583</v>
      </c>
      <c r="BA134" s="196"/>
      <c r="BB134" s="194"/>
      <c r="BC134" s="194"/>
      <c r="BD134" s="194"/>
      <c r="BE134" s="194"/>
      <c r="BF134" s="148"/>
      <c r="BG134" s="148"/>
      <c r="BH134" s="148"/>
      <c r="BI134" s="196"/>
      <c r="BJ134" s="98"/>
      <c r="BK134" s="148"/>
      <c r="BL134" s="148"/>
      <c r="BM134" s="148"/>
      <c r="BN134" s="148"/>
    </row>
    <row r="135" spans="1:1163">
      <c r="A135" s="126" t="s">
        <v>174</v>
      </c>
      <c r="B135" s="127" t="s">
        <v>67</v>
      </c>
      <c r="C135" s="183">
        <v>2648</v>
      </c>
      <c r="D135" s="183">
        <v>162003</v>
      </c>
      <c r="E135" s="183">
        <v>352</v>
      </c>
      <c r="F135" s="183">
        <v>79225</v>
      </c>
      <c r="G135" s="183">
        <v>354</v>
      </c>
      <c r="H135" s="183">
        <v>94751</v>
      </c>
      <c r="I135" s="183">
        <v>300</v>
      </c>
      <c r="J135" s="183">
        <v>84241</v>
      </c>
      <c r="K135" s="183">
        <v>173</v>
      </c>
      <c r="L135" s="183">
        <v>45591</v>
      </c>
      <c r="M135" s="183">
        <v>30</v>
      </c>
      <c r="N135" s="183">
        <v>8037</v>
      </c>
      <c r="O135" s="194">
        <v>0</v>
      </c>
      <c r="P135" s="194">
        <v>0</v>
      </c>
      <c r="Q135" s="194">
        <v>0</v>
      </c>
      <c r="R135" s="194">
        <v>0</v>
      </c>
      <c r="S135" s="194">
        <v>0</v>
      </c>
      <c r="T135" s="194">
        <v>0</v>
      </c>
      <c r="U135" s="194">
        <v>3456</v>
      </c>
      <c r="V135" s="194">
        <v>900710</v>
      </c>
      <c r="W135" s="194">
        <v>11432</v>
      </c>
      <c r="X135" s="194">
        <v>66104</v>
      </c>
      <c r="Y135" s="194">
        <v>1971</v>
      </c>
      <c r="Z135" s="194">
        <v>105241</v>
      </c>
      <c r="AA135" s="208">
        <v>473</v>
      </c>
      <c r="AB135" s="208">
        <v>14839</v>
      </c>
      <c r="AC135" s="183">
        <v>0</v>
      </c>
      <c r="AD135" s="183">
        <v>0</v>
      </c>
      <c r="AE135" s="202">
        <v>0</v>
      </c>
      <c r="AF135" s="202">
        <v>0</v>
      </c>
      <c r="AG135" s="202">
        <v>0</v>
      </c>
      <c r="AH135" s="202">
        <v>0</v>
      </c>
      <c r="AI135" s="202">
        <v>0</v>
      </c>
      <c r="AJ135" s="202">
        <v>0</v>
      </c>
      <c r="AK135" s="202">
        <v>0</v>
      </c>
      <c r="AL135" s="202">
        <v>0</v>
      </c>
      <c r="AM135" s="202">
        <v>0</v>
      </c>
      <c r="AN135" s="202">
        <v>0</v>
      </c>
      <c r="AO135" s="202">
        <v>0</v>
      </c>
      <c r="AP135" s="202">
        <v>0</v>
      </c>
      <c r="AQ135" s="202">
        <v>0</v>
      </c>
      <c r="AR135" s="202">
        <v>0</v>
      </c>
      <c r="AS135" s="202">
        <v>0</v>
      </c>
      <c r="AT135" s="202">
        <v>0</v>
      </c>
      <c r="AU135" s="202">
        <v>0</v>
      </c>
      <c r="AV135" s="202">
        <v>0</v>
      </c>
      <c r="AW135" s="202">
        <v>0</v>
      </c>
      <c r="AX135" s="202">
        <v>0</v>
      </c>
      <c r="AY135" s="194">
        <v>0</v>
      </c>
      <c r="AZ135" s="194">
        <v>0</v>
      </c>
      <c r="BA135" s="185"/>
      <c r="BB135" s="194"/>
      <c r="BC135" s="194"/>
      <c r="BD135" s="194"/>
      <c r="BE135" s="194"/>
      <c r="BF135" s="194"/>
      <c r="BG135" s="194"/>
      <c r="BH135" s="194"/>
      <c r="BI135" s="185"/>
      <c r="BJ135" s="98"/>
      <c r="BL135" s="148"/>
      <c r="BM135" s="148"/>
      <c r="BN135" s="148"/>
    </row>
    <row r="136" spans="1:1163">
      <c r="A136" s="129" t="s">
        <v>175</v>
      </c>
      <c r="B136" s="127"/>
      <c r="C136" s="183"/>
      <c r="D136" s="183">
        <f>SUM(D134:D135)</f>
        <v>1006295</v>
      </c>
      <c r="E136" s="183"/>
      <c r="F136" s="183">
        <f>SUM(F134:F135)</f>
        <v>196157</v>
      </c>
      <c r="G136" s="183"/>
      <c r="H136" s="183">
        <f>SUM(H134:H135)</f>
        <v>240550</v>
      </c>
      <c r="I136" s="183"/>
      <c r="J136" s="183">
        <f>SUM(J134:J135)</f>
        <v>163854</v>
      </c>
      <c r="K136" s="183"/>
      <c r="L136" s="183">
        <f>SUM(L134:L135)</f>
        <v>81098</v>
      </c>
      <c r="M136" s="183"/>
      <c r="N136" s="183">
        <f>SUM(N134:N135)</f>
        <v>29462</v>
      </c>
      <c r="O136" s="183"/>
      <c r="P136" s="183">
        <f>SUM(P134:P135)</f>
        <v>43954</v>
      </c>
      <c r="Q136" s="183"/>
      <c r="R136" s="183">
        <f>SUM(R134:R135)</f>
        <v>76224</v>
      </c>
      <c r="S136" s="183"/>
      <c r="T136" s="183">
        <f>SUM(T134:T135)</f>
        <v>149430</v>
      </c>
      <c r="U136" s="184"/>
      <c r="V136" s="183">
        <f>SUM(V134:V135)</f>
        <v>1750799</v>
      </c>
      <c r="W136" s="202"/>
      <c r="X136" s="194">
        <f>SUM(X134:X135)</f>
        <v>394836</v>
      </c>
      <c r="Y136" s="202"/>
      <c r="Z136" s="194">
        <f>SUM(Z134:Z135)</f>
        <v>1422602</v>
      </c>
      <c r="AA136" s="202"/>
      <c r="AB136" s="208">
        <f>SUM(AB134:AB135)</f>
        <v>729923</v>
      </c>
      <c r="AC136" s="183"/>
      <c r="AD136" s="183">
        <f>SUM(AD134:AD135)</f>
        <v>1132516</v>
      </c>
      <c r="AE136" s="202"/>
      <c r="AF136" s="202">
        <f>SUM(AF134:AF135)</f>
        <v>694865</v>
      </c>
      <c r="AG136" s="202"/>
      <c r="AH136" s="202">
        <f>SUM(AH134:AH135)</f>
        <v>1451195</v>
      </c>
      <c r="AI136" s="202"/>
      <c r="AJ136" s="202">
        <f>SUM(AJ134:AJ135)</f>
        <v>2345293</v>
      </c>
      <c r="AK136" s="202"/>
      <c r="AL136" s="202">
        <f>SUM(AL134:AL135)</f>
        <v>2120733</v>
      </c>
      <c r="AM136" s="202"/>
      <c r="AN136" s="202">
        <f>SUM(AN134:AN135)</f>
        <v>3043804</v>
      </c>
      <c r="AO136" s="202"/>
      <c r="AP136" s="202">
        <f>SUM(AP134:AP135)</f>
        <v>2242642</v>
      </c>
      <c r="AQ136" s="202"/>
      <c r="AR136" s="202">
        <f>SUM(AR134:AR135)</f>
        <v>1734040</v>
      </c>
      <c r="AS136" s="202"/>
      <c r="AT136" s="202">
        <f>SUM(AT134:AT135)</f>
        <v>2487199</v>
      </c>
      <c r="AU136" s="202"/>
      <c r="AV136" s="202">
        <f>SUM(AV134:AV135)</f>
        <v>1494518</v>
      </c>
      <c r="AW136" s="166"/>
      <c r="AX136" s="194">
        <f>SUM(AX134:AX135)</f>
        <v>3082424</v>
      </c>
      <c r="AY136" s="194"/>
      <c r="AZ136" s="194">
        <f>SUM(AZ134:AZ135)</f>
        <v>986583</v>
      </c>
      <c r="BA136" s="205"/>
      <c r="BB136" s="194"/>
      <c r="BC136" s="194"/>
      <c r="BD136" s="194"/>
      <c r="BE136" s="194"/>
      <c r="BF136" s="194"/>
      <c r="BG136" s="194"/>
      <c r="BH136" s="194"/>
      <c r="BI136" s="185"/>
      <c r="BJ136" s="98"/>
      <c r="BK136" s="148"/>
      <c r="BL136" s="148"/>
      <c r="BN136" s="148"/>
    </row>
    <row r="137" spans="1:1163">
      <c r="A137" s="126"/>
      <c r="B137" s="127"/>
      <c r="C137" s="183"/>
      <c r="D137" s="183"/>
      <c r="E137" s="183"/>
      <c r="F137" s="183"/>
      <c r="G137" s="183"/>
      <c r="H137" s="183"/>
      <c r="I137" s="183"/>
      <c r="J137" s="183"/>
      <c r="K137" s="183"/>
      <c r="L137" s="183"/>
      <c r="M137" s="183"/>
      <c r="N137" s="183"/>
      <c r="O137" s="183"/>
      <c r="P137" s="183"/>
      <c r="Q137" s="183"/>
      <c r="R137" s="183"/>
      <c r="S137" s="183"/>
      <c r="T137" s="183"/>
      <c r="U137" s="184"/>
      <c r="V137" s="184"/>
      <c r="W137" s="202"/>
      <c r="X137" s="202"/>
      <c r="Y137" s="202"/>
      <c r="Z137" s="202"/>
      <c r="AA137" s="202"/>
      <c r="AB137" s="202"/>
      <c r="AC137" s="183"/>
      <c r="AD137" s="183"/>
      <c r="AE137" s="202"/>
      <c r="AF137" s="202"/>
      <c r="AG137" s="202"/>
      <c r="AH137" s="202"/>
      <c r="AI137" s="202"/>
      <c r="AJ137" s="202"/>
      <c r="AK137" s="202"/>
      <c r="AL137" s="202"/>
      <c r="AM137" s="202"/>
      <c r="AN137" s="202"/>
      <c r="AO137" s="202"/>
      <c r="AP137" s="202"/>
      <c r="AQ137" s="202"/>
      <c r="AR137" s="202"/>
      <c r="AS137" s="202"/>
      <c r="AT137" s="202"/>
      <c r="AU137" s="208"/>
      <c r="AV137" s="208"/>
      <c r="AW137" s="166"/>
      <c r="AX137" s="166"/>
      <c r="AY137" s="165"/>
      <c r="AZ137" s="165"/>
      <c r="BA137" s="196"/>
      <c r="BB137" s="166"/>
      <c r="BC137" s="166"/>
      <c r="BD137" s="166"/>
      <c r="BE137" s="166"/>
      <c r="BF137" s="166"/>
      <c r="BG137" s="166"/>
      <c r="BH137" s="166"/>
      <c r="BI137" s="196"/>
      <c r="BJ137" s="98"/>
      <c r="BL137" s="148"/>
      <c r="BM137" s="148"/>
      <c r="BN137" s="148"/>
    </row>
    <row r="138" spans="1:1163" s="174" customFormat="1">
      <c r="A138" s="118" t="s">
        <v>176</v>
      </c>
      <c r="B138" s="134"/>
      <c r="C138" s="197"/>
      <c r="D138" s="197"/>
      <c r="E138" s="197"/>
      <c r="F138" s="197"/>
      <c r="G138" s="197"/>
      <c r="H138" s="197"/>
      <c r="I138" s="197"/>
      <c r="J138" s="197"/>
      <c r="K138" s="197"/>
      <c r="L138" s="197"/>
      <c r="M138" s="197"/>
      <c r="N138" s="197"/>
      <c r="O138" s="197"/>
      <c r="P138" s="197"/>
      <c r="Q138" s="197"/>
      <c r="R138" s="197"/>
      <c r="S138" s="197"/>
      <c r="T138" s="197"/>
      <c r="U138" s="201"/>
      <c r="V138" s="201"/>
      <c r="W138" s="201"/>
      <c r="X138" s="201"/>
      <c r="Y138" s="201"/>
      <c r="Z138" s="201"/>
      <c r="AA138" s="201"/>
      <c r="AB138" s="201"/>
      <c r="AC138" s="175"/>
      <c r="AD138" s="175"/>
      <c r="AE138" s="201"/>
      <c r="AF138" s="201"/>
      <c r="AG138" s="201"/>
      <c r="AH138" s="201"/>
      <c r="AI138" s="201"/>
      <c r="AJ138" s="201"/>
      <c r="AK138" s="201"/>
      <c r="AL138" s="201"/>
      <c r="AM138" s="201"/>
      <c r="AN138" s="201"/>
      <c r="AO138" s="201"/>
      <c r="AP138" s="201"/>
      <c r="AQ138" s="201"/>
      <c r="AR138" s="201"/>
      <c r="AS138" s="201"/>
      <c r="AT138" s="201"/>
      <c r="AU138" s="201"/>
      <c r="AV138" s="201"/>
      <c r="AW138" s="173"/>
      <c r="AX138" s="173"/>
      <c r="AY138" s="172"/>
      <c r="AZ138" s="172"/>
      <c r="BA138" s="177"/>
      <c r="BB138" s="173"/>
      <c r="BC138" s="173"/>
      <c r="BD138" s="173"/>
      <c r="BE138" s="173"/>
      <c r="BF138" s="197"/>
      <c r="BG138" s="178"/>
      <c r="BH138" s="197"/>
      <c r="BI138" s="177"/>
      <c r="BJ138" s="98"/>
      <c r="BK138" s="148"/>
      <c r="BL138" s="148"/>
      <c r="BM138" s="148"/>
      <c r="BN138" s="14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98"/>
      <c r="EN138" s="98"/>
      <c r="EO138" s="98"/>
      <c r="EP138" s="98"/>
      <c r="EQ138" s="98"/>
      <c r="ER138" s="98"/>
      <c r="ES138" s="98"/>
      <c r="ET138" s="98"/>
      <c r="EU138" s="98"/>
      <c r="EV138" s="98"/>
      <c r="EW138" s="98"/>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c r="IW138" s="98"/>
      <c r="IX138" s="98"/>
      <c r="IY138" s="98"/>
      <c r="IZ138" s="98"/>
      <c r="JA138" s="98"/>
      <c r="JB138" s="98"/>
      <c r="JC138" s="98"/>
      <c r="JD138" s="98"/>
      <c r="JE138" s="98"/>
      <c r="JF138" s="98"/>
      <c r="JG138" s="98"/>
      <c r="JH138" s="98"/>
      <c r="JI138" s="98"/>
      <c r="JJ138" s="98"/>
      <c r="JK138" s="98"/>
      <c r="JL138" s="98"/>
      <c r="JM138" s="98"/>
      <c r="JN138" s="98"/>
      <c r="JO138" s="98"/>
      <c r="JP138" s="98"/>
      <c r="JQ138" s="98"/>
      <c r="JR138" s="98"/>
      <c r="JS138" s="98"/>
      <c r="JT138" s="98"/>
      <c r="JU138" s="98"/>
      <c r="JV138" s="98"/>
      <c r="JW138" s="98"/>
      <c r="JX138" s="98"/>
      <c r="JY138" s="98"/>
      <c r="JZ138" s="98"/>
      <c r="KA138" s="98"/>
      <c r="KB138" s="98"/>
      <c r="KC138" s="98"/>
      <c r="KD138" s="98"/>
      <c r="KE138" s="98"/>
      <c r="KF138" s="98"/>
      <c r="KG138" s="98"/>
      <c r="KH138" s="98"/>
      <c r="KI138" s="98"/>
      <c r="KJ138" s="98"/>
      <c r="KK138" s="98"/>
      <c r="KL138" s="98"/>
      <c r="KM138" s="98"/>
      <c r="KN138" s="98"/>
      <c r="KO138" s="98"/>
      <c r="KP138" s="98"/>
      <c r="KQ138" s="98"/>
      <c r="KR138" s="98"/>
      <c r="KS138" s="98"/>
      <c r="KT138" s="98"/>
      <c r="KU138" s="98"/>
      <c r="KV138" s="98"/>
      <c r="KW138" s="98"/>
      <c r="KX138" s="98"/>
      <c r="KY138" s="98"/>
      <c r="KZ138" s="98"/>
      <c r="LA138" s="98"/>
      <c r="LB138" s="98"/>
      <c r="LC138" s="98"/>
      <c r="LD138" s="98"/>
      <c r="LE138" s="98"/>
      <c r="LF138" s="98"/>
      <c r="LG138" s="98"/>
      <c r="LH138" s="98"/>
      <c r="LI138" s="98"/>
      <c r="LJ138" s="98"/>
      <c r="LK138" s="98"/>
      <c r="LL138" s="98"/>
      <c r="LM138" s="98"/>
      <c r="LN138" s="98"/>
      <c r="LO138" s="98"/>
      <c r="LP138" s="98"/>
      <c r="LQ138" s="98"/>
      <c r="LR138" s="98"/>
      <c r="LS138" s="98"/>
      <c r="LT138" s="98"/>
      <c r="LU138" s="98"/>
      <c r="LV138" s="98"/>
      <c r="LW138" s="98"/>
      <c r="LX138" s="98"/>
      <c r="LY138" s="98"/>
      <c r="LZ138" s="98"/>
      <c r="MA138" s="98"/>
      <c r="MB138" s="98"/>
      <c r="MC138" s="98"/>
      <c r="MD138" s="98"/>
      <c r="ME138" s="98"/>
      <c r="MF138" s="98"/>
      <c r="MG138" s="98"/>
      <c r="MH138" s="98"/>
      <c r="MI138" s="98"/>
      <c r="MJ138" s="98"/>
      <c r="MK138" s="98"/>
      <c r="ML138" s="98"/>
      <c r="MM138" s="98"/>
      <c r="MN138" s="98"/>
      <c r="MO138" s="98"/>
      <c r="MP138" s="98"/>
      <c r="MQ138" s="98"/>
      <c r="MR138" s="98"/>
      <c r="MS138" s="98"/>
      <c r="MT138" s="98"/>
      <c r="MU138" s="98"/>
      <c r="MV138" s="98"/>
      <c r="MW138" s="98"/>
      <c r="MX138" s="98"/>
      <c r="MY138" s="98"/>
      <c r="MZ138" s="98"/>
      <c r="NA138" s="98"/>
      <c r="NB138" s="98"/>
      <c r="NC138" s="98"/>
      <c r="ND138" s="98"/>
      <c r="NE138" s="98"/>
      <c r="NF138" s="98"/>
      <c r="NG138" s="98"/>
      <c r="NH138" s="98"/>
      <c r="NI138" s="98"/>
      <c r="NJ138" s="98"/>
      <c r="NK138" s="98"/>
      <c r="NL138" s="98"/>
      <c r="NM138" s="98"/>
      <c r="NN138" s="98"/>
      <c r="NO138" s="98"/>
      <c r="NP138" s="98"/>
      <c r="NQ138" s="98"/>
      <c r="NR138" s="98"/>
      <c r="NS138" s="98"/>
      <c r="NT138" s="98"/>
      <c r="NU138" s="98"/>
      <c r="NV138" s="98"/>
      <c r="NW138" s="98"/>
      <c r="NX138" s="98"/>
      <c r="NY138" s="98"/>
      <c r="NZ138" s="98"/>
      <c r="OA138" s="98"/>
      <c r="OB138" s="98"/>
      <c r="OC138" s="98"/>
      <c r="OD138" s="98"/>
      <c r="OE138" s="98"/>
      <c r="OF138" s="98"/>
      <c r="OG138" s="98"/>
      <c r="OH138" s="98"/>
      <c r="OI138" s="98"/>
      <c r="OJ138" s="98"/>
      <c r="OK138" s="98"/>
      <c r="OL138" s="98"/>
      <c r="OM138" s="98"/>
      <c r="ON138" s="98"/>
      <c r="OO138" s="98"/>
      <c r="OP138" s="98"/>
      <c r="OQ138" s="98"/>
      <c r="OR138" s="98"/>
      <c r="OS138" s="98"/>
      <c r="OT138" s="98"/>
      <c r="OU138" s="98"/>
      <c r="OV138" s="98"/>
      <c r="OW138" s="98"/>
      <c r="OX138" s="98"/>
      <c r="OY138" s="98"/>
      <c r="OZ138" s="98"/>
      <c r="PA138" s="98"/>
      <c r="PB138" s="98"/>
      <c r="PC138" s="98"/>
      <c r="PD138" s="98"/>
      <c r="PE138" s="98"/>
      <c r="PF138" s="98"/>
      <c r="PG138" s="98"/>
      <c r="PH138" s="98"/>
      <c r="PI138" s="98"/>
      <c r="PJ138" s="98"/>
      <c r="PK138" s="98"/>
      <c r="PL138" s="98"/>
      <c r="PM138" s="98"/>
      <c r="PN138" s="98"/>
      <c r="PO138" s="98"/>
      <c r="PP138" s="98"/>
      <c r="PQ138" s="98"/>
      <c r="PR138" s="98"/>
      <c r="PS138" s="98"/>
      <c r="PT138" s="98"/>
      <c r="PU138" s="98"/>
      <c r="PV138" s="98"/>
      <c r="PW138" s="98"/>
      <c r="PX138" s="98"/>
      <c r="PY138" s="98"/>
      <c r="PZ138" s="98"/>
      <c r="QA138" s="98"/>
      <c r="QB138" s="98"/>
      <c r="QC138" s="98"/>
      <c r="QD138" s="98"/>
      <c r="QE138" s="98"/>
      <c r="QF138" s="98"/>
      <c r="QG138" s="98"/>
      <c r="QH138" s="98"/>
      <c r="QI138" s="98"/>
      <c r="QJ138" s="98"/>
      <c r="QK138" s="98"/>
      <c r="QL138" s="98"/>
      <c r="QM138" s="98"/>
      <c r="QN138" s="98"/>
      <c r="QO138" s="98"/>
      <c r="QP138" s="98"/>
      <c r="QQ138" s="98"/>
      <c r="QR138" s="98"/>
      <c r="QS138" s="98"/>
      <c r="QT138" s="98"/>
      <c r="QU138" s="98"/>
      <c r="QV138" s="98"/>
      <c r="QW138" s="98"/>
      <c r="QX138" s="98"/>
      <c r="QY138" s="98"/>
      <c r="QZ138" s="98"/>
      <c r="RA138" s="98"/>
      <c r="RB138" s="98"/>
      <c r="RC138" s="98"/>
      <c r="RD138" s="98"/>
      <c r="RE138" s="98"/>
      <c r="RF138" s="98"/>
      <c r="RG138" s="98"/>
      <c r="RH138" s="98"/>
      <c r="RI138" s="98"/>
      <c r="RJ138" s="98"/>
      <c r="RK138" s="98"/>
      <c r="RL138" s="98"/>
      <c r="RM138" s="98"/>
      <c r="RN138" s="98"/>
      <c r="RO138" s="98"/>
      <c r="RP138" s="98"/>
      <c r="RQ138" s="98"/>
      <c r="RR138" s="98"/>
      <c r="RS138" s="98"/>
      <c r="RT138" s="98"/>
      <c r="RU138" s="98"/>
      <c r="RV138" s="98"/>
      <c r="RW138" s="98"/>
      <c r="RX138" s="98"/>
      <c r="RY138" s="98"/>
      <c r="RZ138" s="98"/>
      <c r="SA138" s="98"/>
      <c r="SB138" s="98"/>
      <c r="SC138" s="98"/>
      <c r="SD138" s="98"/>
      <c r="SE138" s="98"/>
      <c r="SF138" s="98"/>
      <c r="SG138" s="98"/>
      <c r="SH138" s="98"/>
      <c r="SI138" s="98"/>
      <c r="SJ138" s="98"/>
      <c r="SK138" s="98"/>
      <c r="SL138" s="98"/>
      <c r="SM138" s="98"/>
      <c r="SN138" s="98"/>
      <c r="SO138" s="98"/>
      <c r="SP138" s="98"/>
      <c r="SQ138" s="98"/>
      <c r="SR138" s="98"/>
      <c r="SS138" s="98"/>
      <c r="ST138" s="98"/>
      <c r="SU138" s="98"/>
      <c r="SV138" s="98"/>
      <c r="SW138" s="98"/>
      <c r="SX138" s="98"/>
      <c r="SY138" s="98"/>
      <c r="SZ138" s="98"/>
      <c r="TA138" s="98"/>
      <c r="TB138" s="98"/>
      <c r="TC138" s="98"/>
      <c r="TD138" s="98"/>
      <c r="TE138" s="98"/>
      <c r="TF138" s="98"/>
      <c r="TG138" s="98"/>
      <c r="TH138" s="98"/>
      <c r="TI138" s="98"/>
      <c r="TJ138" s="98"/>
      <c r="TK138" s="98"/>
      <c r="TL138" s="98"/>
      <c r="TM138" s="98"/>
      <c r="TN138" s="98"/>
      <c r="TO138" s="98"/>
      <c r="TP138" s="98"/>
      <c r="TQ138" s="98"/>
      <c r="TR138" s="98"/>
      <c r="TS138" s="98"/>
      <c r="TT138" s="98"/>
      <c r="TU138" s="98"/>
      <c r="TV138" s="98"/>
      <c r="TW138" s="98"/>
      <c r="TX138" s="98"/>
      <c r="TY138" s="98"/>
      <c r="TZ138" s="98"/>
      <c r="UA138" s="98"/>
      <c r="UB138" s="98"/>
      <c r="UC138" s="98"/>
      <c r="UD138" s="98"/>
      <c r="UE138" s="98"/>
      <c r="UF138" s="98"/>
      <c r="UG138" s="98"/>
      <c r="UH138" s="98"/>
      <c r="UI138" s="98"/>
      <c r="UJ138" s="98"/>
      <c r="UK138" s="98"/>
      <c r="UL138" s="98"/>
      <c r="UM138" s="98"/>
      <c r="UN138" s="98"/>
      <c r="UO138" s="98"/>
      <c r="UP138" s="98"/>
      <c r="UQ138" s="98"/>
      <c r="UR138" s="98"/>
      <c r="US138" s="98"/>
      <c r="UT138" s="98"/>
      <c r="UU138" s="98"/>
      <c r="UV138" s="98"/>
      <c r="UW138" s="98"/>
      <c r="UX138" s="98"/>
      <c r="UY138" s="98"/>
      <c r="UZ138" s="98"/>
      <c r="VA138" s="98"/>
      <c r="VB138" s="98"/>
      <c r="VC138" s="98"/>
      <c r="VD138" s="98"/>
      <c r="VE138" s="98"/>
      <c r="VF138" s="98"/>
      <c r="VG138" s="98"/>
      <c r="VH138" s="98"/>
      <c r="VI138" s="98"/>
      <c r="VJ138" s="98"/>
      <c r="VK138" s="98"/>
      <c r="VL138" s="98"/>
      <c r="VM138" s="98"/>
      <c r="VN138" s="98"/>
      <c r="VO138" s="98"/>
      <c r="VP138" s="98"/>
      <c r="VQ138" s="98"/>
      <c r="VR138" s="98"/>
      <c r="VS138" s="98"/>
      <c r="VT138" s="98"/>
      <c r="VU138" s="98"/>
      <c r="VV138" s="98"/>
      <c r="VW138" s="98"/>
      <c r="VX138" s="98"/>
      <c r="VY138" s="98"/>
      <c r="VZ138" s="98"/>
      <c r="WA138" s="98"/>
      <c r="WB138" s="98"/>
      <c r="WC138" s="98"/>
      <c r="WD138" s="98"/>
      <c r="WE138" s="98"/>
      <c r="WF138" s="98"/>
      <c r="WG138" s="98"/>
      <c r="WH138" s="98"/>
      <c r="WI138" s="98"/>
      <c r="WJ138" s="98"/>
      <c r="WK138" s="98"/>
      <c r="WL138" s="98"/>
      <c r="WM138" s="98"/>
      <c r="WN138" s="98"/>
      <c r="WO138" s="98"/>
      <c r="WP138" s="98"/>
      <c r="WQ138" s="98"/>
      <c r="WR138" s="98"/>
      <c r="WS138" s="98"/>
      <c r="WT138" s="98"/>
      <c r="WU138" s="98"/>
      <c r="WV138" s="98"/>
      <c r="WW138" s="98"/>
      <c r="WX138" s="98"/>
      <c r="WY138" s="98"/>
      <c r="WZ138" s="98"/>
      <c r="XA138" s="98"/>
      <c r="XB138" s="98"/>
      <c r="XC138" s="98"/>
      <c r="XD138" s="98"/>
      <c r="XE138" s="98"/>
      <c r="XF138" s="98"/>
      <c r="XG138" s="98"/>
      <c r="XH138" s="98"/>
      <c r="XI138" s="98"/>
      <c r="XJ138" s="98"/>
      <c r="XK138" s="98"/>
      <c r="XL138" s="98"/>
      <c r="XM138" s="98"/>
      <c r="XN138" s="98"/>
      <c r="XO138" s="98"/>
      <c r="XP138" s="98"/>
      <c r="XQ138" s="98"/>
      <c r="XR138" s="98"/>
      <c r="XS138" s="98"/>
      <c r="XT138" s="98"/>
      <c r="XU138" s="98"/>
      <c r="XV138" s="98"/>
      <c r="XW138" s="98"/>
      <c r="XX138" s="98"/>
      <c r="XY138" s="98"/>
      <c r="XZ138" s="98"/>
      <c r="YA138" s="98"/>
      <c r="YB138" s="98"/>
      <c r="YC138" s="98"/>
      <c r="YD138" s="98"/>
      <c r="YE138" s="98"/>
      <c r="YF138" s="98"/>
      <c r="YG138" s="98"/>
      <c r="YH138" s="98"/>
      <c r="YI138" s="98"/>
      <c r="YJ138" s="98"/>
      <c r="YK138" s="98"/>
      <c r="YL138" s="98"/>
      <c r="YM138" s="98"/>
      <c r="YN138" s="98"/>
      <c r="YO138" s="98"/>
      <c r="YP138" s="98"/>
      <c r="YQ138" s="98"/>
      <c r="YR138" s="98"/>
      <c r="YS138" s="98"/>
      <c r="YT138" s="98"/>
      <c r="YU138" s="98"/>
      <c r="YV138" s="98"/>
      <c r="YW138" s="98"/>
      <c r="YX138" s="98"/>
      <c r="YY138" s="98"/>
      <c r="YZ138" s="98"/>
      <c r="ZA138" s="98"/>
      <c r="ZB138" s="98"/>
      <c r="ZC138" s="98"/>
      <c r="ZD138" s="98"/>
      <c r="ZE138" s="98"/>
      <c r="ZF138" s="98"/>
      <c r="ZG138" s="98"/>
      <c r="ZH138" s="98"/>
      <c r="ZI138" s="98"/>
      <c r="ZJ138" s="98"/>
      <c r="ZK138" s="98"/>
      <c r="ZL138" s="98"/>
      <c r="ZM138" s="98"/>
      <c r="ZN138" s="98"/>
      <c r="ZO138" s="98"/>
      <c r="ZP138" s="98"/>
      <c r="ZQ138" s="98"/>
      <c r="ZR138" s="98"/>
      <c r="ZS138" s="98"/>
      <c r="ZT138" s="98"/>
      <c r="ZU138" s="98"/>
      <c r="ZV138" s="98"/>
      <c r="ZW138" s="98"/>
      <c r="ZX138" s="98"/>
      <c r="ZY138" s="98"/>
      <c r="ZZ138" s="98"/>
      <c r="AAA138" s="98"/>
      <c r="AAB138" s="98"/>
      <c r="AAC138" s="98"/>
      <c r="AAD138" s="98"/>
      <c r="AAE138" s="98"/>
      <c r="AAF138" s="98"/>
      <c r="AAG138" s="98"/>
      <c r="AAH138" s="98"/>
      <c r="AAI138" s="98"/>
      <c r="AAJ138" s="98"/>
      <c r="AAK138" s="98"/>
      <c r="AAL138" s="98"/>
      <c r="AAM138" s="98"/>
      <c r="AAN138" s="98"/>
      <c r="AAO138" s="98"/>
      <c r="AAP138" s="98"/>
      <c r="AAQ138" s="98"/>
      <c r="AAR138" s="98"/>
      <c r="AAS138" s="98"/>
      <c r="AAT138" s="98"/>
      <c r="AAU138" s="98"/>
      <c r="AAV138" s="98"/>
      <c r="AAW138" s="98"/>
      <c r="AAX138" s="98"/>
      <c r="AAY138" s="98"/>
      <c r="AAZ138" s="98"/>
      <c r="ABA138" s="98"/>
      <c r="ABB138" s="98"/>
      <c r="ABC138" s="98"/>
      <c r="ABD138" s="98"/>
      <c r="ABE138" s="98"/>
      <c r="ABF138" s="98"/>
      <c r="ABG138" s="98"/>
      <c r="ABH138" s="98"/>
      <c r="ABI138" s="98"/>
      <c r="ABJ138" s="98"/>
      <c r="ABK138" s="98"/>
      <c r="ABL138" s="98"/>
      <c r="ABM138" s="98"/>
      <c r="ABN138" s="98"/>
      <c r="ABO138" s="98"/>
      <c r="ABP138" s="98"/>
      <c r="ABQ138" s="98"/>
      <c r="ABR138" s="98"/>
      <c r="ABS138" s="98"/>
      <c r="ABT138" s="98"/>
      <c r="ABU138" s="98"/>
      <c r="ABV138" s="98"/>
      <c r="ABW138" s="98"/>
      <c r="ABX138" s="98"/>
      <c r="ABY138" s="98"/>
      <c r="ABZ138" s="98"/>
      <c r="ACA138" s="98"/>
      <c r="ACB138" s="98"/>
      <c r="ACC138" s="98"/>
      <c r="ACD138" s="98"/>
      <c r="ACE138" s="98"/>
      <c r="ACF138" s="98"/>
      <c r="ACG138" s="98"/>
      <c r="ACH138" s="98"/>
      <c r="ACI138" s="98"/>
      <c r="ACJ138" s="98"/>
      <c r="ACK138" s="98"/>
      <c r="ACL138" s="98"/>
      <c r="ACM138" s="98"/>
      <c r="ACN138" s="98"/>
      <c r="ACO138" s="98"/>
      <c r="ACP138" s="98"/>
      <c r="ACQ138" s="98"/>
      <c r="ACR138" s="98"/>
      <c r="ACS138" s="98"/>
      <c r="ACT138" s="98"/>
      <c r="ACU138" s="98"/>
      <c r="ACV138" s="98"/>
      <c r="ACW138" s="98"/>
      <c r="ACX138" s="98"/>
      <c r="ACY138" s="98"/>
      <c r="ACZ138" s="98"/>
      <c r="ADA138" s="98"/>
      <c r="ADB138" s="98"/>
      <c r="ADC138" s="98"/>
      <c r="ADD138" s="98"/>
      <c r="ADE138" s="98"/>
      <c r="ADF138" s="98"/>
      <c r="ADG138" s="98"/>
      <c r="ADH138" s="98"/>
      <c r="ADI138" s="98"/>
      <c r="ADJ138" s="98"/>
      <c r="ADK138" s="98"/>
      <c r="ADL138" s="98"/>
      <c r="ADM138" s="98"/>
      <c r="ADN138" s="98"/>
      <c r="ADO138" s="98"/>
      <c r="ADP138" s="98"/>
      <c r="ADQ138" s="98"/>
      <c r="ADR138" s="98"/>
      <c r="ADS138" s="98"/>
      <c r="ADT138" s="98"/>
      <c r="ADU138" s="98"/>
      <c r="ADV138" s="98"/>
      <c r="ADW138" s="98"/>
      <c r="ADX138" s="98"/>
      <c r="ADY138" s="98"/>
      <c r="ADZ138" s="98"/>
      <c r="AEA138" s="98"/>
      <c r="AEB138" s="98"/>
      <c r="AEC138" s="98"/>
      <c r="AED138" s="98"/>
      <c r="AEE138" s="98"/>
      <c r="AEF138" s="98"/>
      <c r="AEG138" s="98"/>
      <c r="AEH138" s="98"/>
      <c r="AEI138" s="98"/>
      <c r="AEJ138" s="98"/>
      <c r="AEK138" s="98"/>
      <c r="AEL138" s="98"/>
      <c r="AEM138" s="98"/>
      <c r="AEN138" s="98"/>
      <c r="AEO138" s="98"/>
      <c r="AEP138" s="98"/>
      <c r="AEQ138" s="98"/>
      <c r="AER138" s="98"/>
      <c r="AES138" s="98"/>
      <c r="AET138" s="98"/>
      <c r="AEU138" s="98"/>
      <c r="AEV138" s="98"/>
      <c r="AEW138" s="98"/>
      <c r="AEX138" s="98"/>
      <c r="AEY138" s="98"/>
      <c r="AEZ138" s="98"/>
      <c r="AFA138" s="98"/>
      <c r="AFB138" s="98"/>
      <c r="AFC138" s="98"/>
      <c r="AFD138" s="98"/>
      <c r="AFE138" s="98"/>
      <c r="AFF138" s="98"/>
      <c r="AFG138" s="98"/>
      <c r="AFH138" s="98"/>
      <c r="AFI138" s="98"/>
      <c r="AFJ138" s="98"/>
      <c r="AFK138" s="98"/>
      <c r="AFL138" s="98"/>
      <c r="AFM138" s="98"/>
      <c r="AFN138" s="98"/>
      <c r="AFO138" s="98"/>
      <c r="AFP138" s="98"/>
      <c r="AFQ138" s="98"/>
      <c r="AFR138" s="98"/>
      <c r="AFS138" s="98"/>
      <c r="AFT138" s="98"/>
      <c r="AFU138" s="98"/>
      <c r="AFV138" s="98"/>
      <c r="AFW138" s="98"/>
      <c r="AFX138" s="98"/>
      <c r="AFY138" s="98"/>
      <c r="AFZ138" s="98"/>
      <c r="AGA138" s="98"/>
      <c r="AGB138" s="98"/>
      <c r="AGC138" s="98"/>
      <c r="AGD138" s="98"/>
      <c r="AGE138" s="98"/>
      <c r="AGF138" s="98"/>
      <c r="AGG138" s="98"/>
      <c r="AGH138" s="98"/>
      <c r="AGI138" s="98"/>
      <c r="AGJ138" s="98"/>
      <c r="AGK138" s="98"/>
      <c r="AGL138" s="98"/>
      <c r="AGM138" s="98"/>
      <c r="AGN138" s="98"/>
      <c r="AGO138" s="98"/>
      <c r="AGP138" s="98"/>
      <c r="AGQ138" s="98"/>
      <c r="AGR138" s="98"/>
      <c r="AGS138" s="98"/>
      <c r="AGT138" s="98"/>
      <c r="AGU138" s="98"/>
      <c r="AGV138" s="98"/>
      <c r="AGW138" s="98"/>
      <c r="AGX138" s="98"/>
      <c r="AGY138" s="98"/>
      <c r="AGZ138" s="98"/>
      <c r="AHA138" s="98"/>
      <c r="AHB138" s="98"/>
      <c r="AHC138" s="98"/>
      <c r="AHD138" s="98"/>
      <c r="AHE138" s="98"/>
      <c r="AHF138" s="98"/>
      <c r="AHG138" s="98"/>
      <c r="AHH138" s="98"/>
      <c r="AHI138" s="98"/>
      <c r="AHJ138" s="98"/>
      <c r="AHK138" s="98"/>
      <c r="AHL138" s="98"/>
      <c r="AHM138" s="98"/>
      <c r="AHN138" s="98"/>
      <c r="AHO138" s="98"/>
      <c r="AHP138" s="98"/>
      <c r="AHQ138" s="98"/>
      <c r="AHR138" s="98"/>
      <c r="AHS138" s="98"/>
      <c r="AHT138" s="98"/>
      <c r="AHU138" s="98"/>
      <c r="AHV138" s="98"/>
      <c r="AHW138" s="98"/>
      <c r="AHX138" s="98"/>
      <c r="AHY138" s="98"/>
      <c r="AHZ138" s="98"/>
      <c r="AIA138" s="98"/>
      <c r="AIB138" s="98"/>
      <c r="AIC138" s="98"/>
      <c r="AID138" s="98"/>
      <c r="AIE138" s="98"/>
      <c r="AIF138" s="98"/>
      <c r="AIG138" s="98"/>
      <c r="AIH138" s="98"/>
      <c r="AII138" s="98"/>
      <c r="AIJ138" s="98"/>
      <c r="AIK138" s="98"/>
      <c r="AIL138" s="98"/>
      <c r="AIM138" s="98"/>
      <c r="AIN138" s="98"/>
      <c r="AIO138" s="98"/>
      <c r="AIP138" s="98"/>
      <c r="AIQ138" s="98"/>
      <c r="AIR138" s="98"/>
      <c r="AIS138" s="98"/>
      <c r="AIT138" s="98"/>
      <c r="AIU138" s="98"/>
      <c r="AIV138" s="98"/>
      <c r="AIW138" s="98"/>
      <c r="AIX138" s="98"/>
      <c r="AIY138" s="98"/>
      <c r="AIZ138" s="98"/>
      <c r="AJA138" s="98"/>
      <c r="AJB138" s="98"/>
      <c r="AJC138" s="98"/>
      <c r="AJD138" s="98"/>
      <c r="AJE138" s="98"/>
      <c r="AJF138" s="98"/>
      <c r="AJG138" s="98"/>
      <c r="AJH138" s="98"/>
      <c r="AJI138" s="98"/>
      <c r="AJJ138" s="98"/>
      <c r="AJK138" s="98"/>
      <c r="AJL138" s="98"/>
      <c r="AJM138" s="98"/>
      <c r="AJN138" s="98"/>
      <c r="AJO138" s="98"/>
      <c r="AJP138" s="98"/>
      <c r="AJQ138" s="98"/>
      <c r="AJR138" s="98"/>
      <c r="AJS138" s="98"/>
      <c r="AJT138" s="98"/>
      <c r="AJU138" s="98"/>
      <c r="AJV138" s="98"/>
      <c r="AJW138" s="98"/>
      <c r="AJX138" s="98"/>
      <c r="AJY138" s="98"/>
      <c r="AJZ138" s="98"/>
      <c r="AKA138" s="98"/>
      <c r="AKB138" s="98"/>
      <c r="AKC138" s="98"/>
      <c r="AKD138" s="98"/>
      <c r="AKE138" s="98"/>
      <c r="AKF138" s="98"/>
      <c r="AKG138" s="98"/>
      <c r="AKH138" s="98"/>
      <c r="AKI138" s="98"/>
      <c r="AKJ138" s="98"/>
      <c r="AKK138" s="98"/>
      <c r="AKL138" s="98"/>
      <c r="AKM138" s="98"/>
      <c r="AKN138" s="98"/>
      <c r="AKO138" s="98"/>
      <c r="AKP138" s="98"/>
      <c r="AKQ138" s="98"/>
      <c r="AKR138" s="98"/>
      <c r="AKS138" s="98"/>
      <c r="AKT138" s="98"/>
      <c r="AKU138" s="98"/>
      <c r="AKV138" s="98"/>
      <c r="AKW138" s="98"/>
      <c r="AKX138" s="98"/>
      <c r="AKY138" s="98"/>
      <c r="AKZ138" s="98"/>
      <c r="ALA138" s="98"/>
      <c r="ALB138" s="98"/>
      <c r="ALC138" s="98"/>
      <c r="ALD138" s="98"/>
      <c r="ALE138" s="98"/>
      <c r="ALF138" s="98"/>
      <c r="ALG138" s="98"/>
      <c r="ALH138" s="98"/>
      <c r="ALI138" s="98"/>
      <c r="ALJ138" s="98"/>
      <c r="ALK138" s="98"/>
      <c r="ALL138" s="98"/>
      <c r="ALM138" s="98"/>
      <c r="ALN138" s="98"/>
      <c r="ALO138" s="98"/>
      <c r="ALP138" s="98"/>
      <c r="ALQ138" s="98"/>
      <c r="ALR138" s="98"/>
      <c r="ALS138" s="98"/>
      <c r="ALT138" s="98"/>
      <c r="ALU138" s="98"/>
      <c r="ALV138" s="98"/>
      <c r="ALW138" s="98"/>
      <c r="ALX138" s="98"/>
      <c r="ALY138" s="98"/>
      <c r="ALZ138" s="98"/>
      <c r="AMA138" s="98"/>
      <c r="AMB138" s="98"/>
      <c r="AMC138" s="98"/>
      <c r="AMD138" s="98"/>
      <c r="AME138" s="98"/>
      <c r="AMF138" s="98"/>
      <c r="AMG138" s="98"/>
      <c r="AMH138" s="98"/>
      <c r="AMI138" s="98"/>
      <c r="AMJ138" s="98"/>
      <c r="AMK138" s="98"/>
      <c r="AML138" s="98"/>
      <c r="AMM138" s="98"/>
      <c r="AMN138" s="98"/>
      <c r="AMO138" s="98"/>
      <c r="AMP138" s="98"/>
      <c r="AMQ138" s="98"/>
      <c r="AMR138" s="98"/>
      <c r="AMS138" s="98"/>
      <c r="AMT138" s="98"/>
      <c r="AMU138" s="98"/>
      <c r="AMV138" s="98"/>
      <c r="AMW138" s="98"/>
      <c r="AMX138" s="98"/>
      <c r="AMY138" s="98"/>
      <c r="AMZ138" s="98"/>
      <c r="ANA138" s="98"/>
      <c r="ANB138" s="98"/>
      <c r="ANC138" s="98"/>
      <c r="AND138" s="98"/>
      <c r="ANE138" s="98"/>
      <c r="ANF138" s="98"/>
      <c r="ANG138" s="98"/>
      <c r="ANH138" s="98"/>
      <c r="ANI138" s="98"/>
      <c r="ANJ138" s="98"/>
      <c r="ANK138" s="98"/>
      <c r="ANL138" s="98"/>
      <c r="ANM138" s="98"/>
      <c r="ANN138" s="98"/>
      <c r="ANO138" s="98"/>
      <c r="ANP138" s="98"/>
      <c r="ANQ138" s="98"/>
      <c r="ANR138" s="98"/>
      <c r="ANS138" s="98"/>
      <c r="ANT138" s="98"/>
      <c r="ANU138" s="98"/>
      <c r="ANV138" s="98"/>
      <c r="ANW138" s="98"/>
      <c r="ANX138" s="98"/>
      <c r="ANY138" s="98"/>
      <c r="ANZ138" s="98"/>
      <c r="AOA138" s="98"/>
      <c r="AOB138" s="98"/>
      <c r="AOC138" s="98"/>
      <c r="AOD138" s="98"/>
      <c r="AOE138" s="98"/>
      <c r="AOF138" s="98"/>
      <c r="AOG138" s="98"/>
      <c r="AOH138" s="98"/>
      <c r="AOI138" s="98"/>
      <c r="AOJ138" s="98"/>
      <c r="AOK138" s="98"/>
      <c r="AOL138" s="98"/>
      <c r="AOM138" s="98"/>
      <c r="AON138" s="98"/>
      <c r="AOO138" s="98"/>
      <c r="AOP138" s="98"/>
      <c r="AOQ138" s="98"/>
      <c r="AOR138" s="98"/>
      <c r="AOS138" s="98"/>
      <c r="AOT138" s="98"/>
      <c r="AOU138" s="98"/>
      <c r="AOV138" s="98"/>
      <c r="AOW138" s="98"/>
      <c r="AOX138" s="98"/>
      <c r="AOY138" s="98"/>
      <c r="AOZ138" s="98"/>
      <c r="APA138" s="98"/>
      <c r="APB138" s="98"/>
      <c r="APC138" s="98"/>
      <c r="APD138" s="98"/>
      <c r="APE138" s="98"/>
      <c r="APF138" s="98"/>
      <c r="APG138" s="98"/>
      <c r="APH138" s="98"/>
      <c r="API138" s="98"/>
      <c r="APJ138" s="98"/>
      <c r="APK138" s="98"/>
      <c r="APL138" s="98"/>
      <c r="APM138" s="98"/>
      <c r="APN138" s="98"/>
      <c r="APO138" s="98"/>
      <c r="APP138" s="98"/>
      <c r="APQ138" s="98"/>
      <c r="APR138" s="98"/>
      <c r="APS138" s="98"/>
      <c r="APT138" s="98"/>
      <c r="APU138" s="98"/>
      <c r="APV138" s="98"/>
      <c r="APW138" s="98"/>
      <c r="APX138" s="98"/>
      <c r="APY138" s="98"/>
      <c r="APZ138" s="98"/>
      <c r="AQA138" s="98"/>
      <c r="AQB138" s="98"/>
      <c r="AQC138" s="98"/>
      <c r="AQD138" s="98"/>
      <c r="AQE138" s="98"/>
      <c r="AQF138" s="98"/>
      <c r="AQG138" s="98"/>
      <c r="AQH138" s="98"/>
      <c r="AQI138" s="98"/>
      <c r="AQJ138" s="98"/>
      <c r="AQK138" s="98"/>
      <c r="AQL138" s="98"/>
      <c r="AQM138" s="98"/>
      <c r="AQN138" s="98"/>
      <c r="AQO138" s="98"/>
      <c r="AQP138" s="98"/>
      <c r="AQQ138" s="98"/>
      <c r="AQR138" s="98"/>
      <c r="AQS138" s="98"/>
      <c r="AQT138" s="98"/>
      <c r="AQU138" s="98"/>
      <c r="AQV138" s="98"/>
      <c r="AQW138" s="98"/>
      <c r="AQX138" s="98"/>
      <c r="AQY138" s="98"/>
      <c r="AQZ138" s="98"/>
      <c r="ARA138" s="98"/>
      <c r="ARB138" s="98"/>
      <c r="ARC138" s="98"/>
      <c r="ARD138" s="98"/>
      <c r="ARE138" s="98"/>
      <c r="ARF138" s="98"/>
      <c r="ARG138" s="98"/>
      <c r="ARH138" s="98"/>
      <c r="ARI138" s="98"/>
      <c r="ARJ138" s="98"/>
      <c r="ARK138" s="98"/>
      <c r="ARL138" s="98"/>
      <c r="ARM138" s="98"/>
      <c r="ARN138" s="98"/>
      <c r="ARO138" s="98"/>
      <c r="ARP138" s="98"/>
      <c r="ARQ138" s="98"/>
      <c r="ARR138" s="98"/>
      <c r="ARS138" s="98"/>
    </row>
    <row r="139" spans="1:1163" s="174" customFormat="1">
      <c r="A139" s="140" t="s">
        <v>177</v>
      </c>
      <c r="B139" s="119" t="s">
        <v>67</v>
      </c>
      <c r="C139" s="175">
        <f>36059783+58996</f>
        <v>36118779</v>
      </c>
      <c r="D139" s="175">
        <f>289345160+74096</f>
        <v>289419256</v>
      </c>
      <c r="E139" s="175">
        <f>1657610+57510+6486977</f>
        <v>8202097</v>
      </c>
      <c r="F139" s="175">
        <f>12229942+395666+71628071</f>
        <v>84253679</v>
      </c>
      <c r="G139" s="175">
        <f>1192606+5584621+371084</f>
        <v>7148311</v>
      </c>
      <c r="H139" s="175">
        <f>11756182+76432171+4081924</f>
        <v>92270277</v>
      </c>
      <c r="I139" s="175">
        <f>734378+6143446+447938</f>
        <v>7325762</v>
      </c>
      <c r="J139" s="175">
        <f>8025011+95277003+4405318</f>
        <v>107707332</v>
      </c>
      <c r="K139" s="175">
        <v>5419241</v>
      </c>
      <c r="L139" s="175">
        <f>3108688+77486104+5227926+3507394</f>
        <v>89330112</v>
      </c>
      <c r="M139" s="175">
        <f>875714+4977138</f>
        <v>5852852</v>
      </c>
      <c r="N139" s="175">
        <f>11605187+85004101</f>
        <v>96609288</v>
      </c>
      <c r="O139" s="175">
        <v>5968718</v>
      </c>
      <c r="P139" s="175">
        <v>102407489</v>
      </c>
      <c r="Q139" s="175">
        <v>6382235</v>
      </c>
      <c r="R139" s="175">
        <v>116709492</v>
      </c>
      <c r="S139" s="175">
        <v>5649979</v>
      </c>
      <c r="T139" s="175">
        <v>103585095</v>
      </c>
      <c r="U139" s="197">
        <v>5464527</v>
      </c>
      <c r="V139" s="197">
        <v>93583305</v>
      </c>
      <c r="W139" s="197">
        <v>4896893</v>
      </c>
      <c r="X139" s="197">
        <v>85248528</v>
      </c>
      <c r="Y139" s="197">
        <v>4772519</v>
      </c>
      <c r="Z139" s="197">
        <v>111147853</v>
      </c>
      <c r="AA139" s="209">
        <v>4773385</v>
      </c>
      <c r="AB139" s="209">
        <v>128740105</v>
      </c>
      <c r="AC139" s="175">
        <v>5638929</v>
      </c>
      <c r="AD139" s="175">
        <v>159029485</v>
      </c>
      <c r="AE139" s="209">
        <v>5475700</v>
      </c>
      <c r="AF139" s="209">
        <v>152105587</v>
      </c>
      <c r="AG139" s="201">
        <v>6434476</v>
      </c>
      <c r="AH139" s="201">
        <v>150174086</v>
      </c>
      <c r="AI139" s="201">
        <v>6533317</v>
      </c>
      <c r="AJ139" s="201">
        <v>154980117</v>
      </c>
      <c r="AK139" s="201">
        <v>5791703</v>
      </c>
      <c r="AL139" s="201">
        <v>136656820</v>
      </c>
      <c r="AM139" s="176">
        <v>7413286</v>
      </c>
      <c r="AN139" s="176">
        <v>183370087</v>
      </c>
      <c r="AO139" s="201">
        <v>6939914</v>
      </c>
      <c r="AP139" s="201">
        <v>200462609</v>
      </c>
      <c r="AQ139" s="201">
        <v>7015521</v>
      </c>
      <c r="AR139" s="201">
        <v>188894160</v>
      </c>
      <c r="AS139" s="201">
        <v>5780878</v>
      </c>
      <c r="AT139" s="201">
        <v>163634792</v>
      </c>
      <c r="AU139" s="209">
        <v>7282826</v>
      </c>
      <c r="AV139" s="209">
        <v>235698057</v>
      </c>
      <c r="AW139" s="201">
        <v>6599275</v>
      </c>
      <c r="AX139" s="201">
        <v>192414071</v>
      </c>
      <c r="AY139" s="197">
        <v>8004155</v>
      </c>
      <c r="AZ139" s="197">
        <v>189790259</v>
      </c>
      <c r="BA139" s="177"/>
      <c r="BB139" s="197"/>
      <c r="BC139" s="178"/>
      <c r="BD139" s="197"/>
      <c r="BE139" s="178"/>
      <c r="BF139" s="175"/>
      <c r="BG139" s="178"/>
      <c r="BH139" s="175"/>
      <c r="BI139" s="177"/>
      <c r="BJ139" s="98"/>
      <c r="BK139" s="148"/>
      <c r="BL139" s="98"/>
      <c r="BM139" s="98"/>
      <c r="BN139" s="14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98"/>
      <c r="EN139" s="98"/>
      <c r="EO139" s="98"/>
      <c r="EP139" s="98"/>
      <c r="EQ139" s="98"/>
      <c r="ER139" s="98"/>
      <c r="ES139" s="98"/>
      <c r="ET139" s="98"/>
      <c r="EU139" s="98"/>
      <c r="EV139" s="98"/>
      <c r="EW139" s="98"/>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c r="IW139" s="98"/>
      <c r="IX139" s="98"/>
      <c r="IY139" s="98"/>
      <c r="IZ139" s="98"/>
      <c r="JA139" s="98"/>
      <c r="JB139" s="98"/>
      <c r="JC139" s="98"/>
      <c r="JD139" s="98"/>
      <c r="JE139" s="98"/>
      <c r="JF139" s="98"/>
      <c r="JG139" s="98"/>
      <c r="JH139" s="98"/>
      <c r="JI139" s="98"/>
      <c r="JJ139" s="98"/>
      <c r="JK139" s="98"/>
      <c r="JL139" s="98"/>
      <c r="JM139" s="98"/>
      <c r="JN139" s="98"/>
      <c r="JO139" s="98"/>
      <c r="JP139" s="98"/>
      <c r="JQ139" s="98"/>
      <c r="JR139" s="98"/>
      <c r="JS139" s="98"/>
      <c r="JT139" s="98"/>
      <c r="JU139" s="98"/>
      <c r="JV139" s="98"/>
      <c r="JW139" s="98"/>
      <c r="JX139" s="98"/>
      <c r="JY139" s="98"/>
      <c r="JZ139" s="98"/>
      <c r="KA139" s="98"/>
      <c r="KB139" s="98"/>
      <c r="KC139" s="98"/>
      <c r="KD139" s="98"/>
      <c r="KE139" s="98"/>
      <c r="KF139" s="98"/>
      <c r="KG139" s="98"/>
      <c r="KH139" s="98"/>
      <c r="KI139" s="98"/>
      <c r="KJ139" s="98"/>
      <c r="KK139" s="98"/>
      <c r="KL139" s="98"/>
      <c r="KM139" s="98"/>
      <c r="KN139" s="98"/>
      <c r="KO139" s="98"/>
      <c r="KP139" s="98"/>
      <c r="KQ139" s="98"/>
      <c r="KR139" s="98"/>
      <c r="KS139" s="98"/>
      <c r="KT139" s="98"/>
      <c r="KU139" s="98"/>
      <c r="KV139" s="98"/>
      <c r="KW139" s="98"/>
      <c r="KX139" s="98"/>
      <c r="KY139" s="98"/>
      <c r="KZ139" s="98"/>
      <c r="LA139" s="98"/>
      <c r="LB139" s="98"/>
      <c r="LC139" s="98"/>
      <c r="LD139" s="98"/>
      <c r="LE139" s="98"/>
      <c r="LF139" s="98"/>
      <c r="LG139" s="98"/>
      <c r="LH139" s="98"/>
      <c r="LI139" s="98"/>
      <c r="LJ139" s="98"/>
      <c r="LK139" s="98"/>
      <c r="LL139" s="98"/>
      <c r="LM139" s="98"/>
      <c r="LN139" s="98"/>
      <c r="LO139" s="98"/>
      <c r="LP139" s="98"/>
      <c r="LQ139" s="98"/>
      <c r="LR139" s="98"/>
      <c r="LS139" s="98"/>
      <c r="LT139" s="98"/>
      <c r="LU139" s="98"/>
      <c r="LV139" s="98"/>
      <c r="LW139" s="98"/>
      <c r="LX139" s="98"/>
      <c r="LY139" s="98"/>
      <c r="LZ139" s="98"/>
      <c r="MA139" s="98"/>
      <c r="MB139" s="98"/>
      <c r="MC139" s="98"/>
      <c r="MD139" s="98"/>
      <c r="ME139" s="98"/>
      <c r="MF139" s="98"/>
      <c r="MG139" s="98"/>
      <c r="MH139" s="98"/>
      <c r="MI139" s="98"/>
      <c r="MJ139" s="98"/>
      <c r="MK139" s="98"/>
      <c r="ML139" s="98"/>
      <c r="MM139" s="98"/>
      <c r="MN139" s="98"/>
      <c r="MO139" s="98"/>
      <c r="MP139" s="98"/>
      <c r="MQ139" s="98"/>
      <c r="MR139" s="98"/>
      <c r="MS139" s="98"/>
      <c r="MT139" s="98"/>
      <c r="MU139" s="98"/>
      <c r="MV139" s="98"/>
      <c r="MW139" s="98"/>
      <c r="MX139" s="98"/>
      <c r="MY139" s="98"/>
      <c r="MZ139" s="98"/>
      <c r="NA139" s="98"/>
      <c r="NB139" s="98"/>
      <c r="NC139" s="98"/>
      <c r="ND139" s="98"/>
      <c r="NE139" s="98"/>
      <c r="NF139" s="98"/>
      <c r="NG139" s="98"/>
      <c r="NH139" s="98"/>
      <c r="NI139" s="98"/>
      <c r="NJ139" s="98"/>
      <c r="NK139" s="98"/>
      <c r="NL139" s="98"/>
      <c r="NM139" s="98"/>
      <c r="NN139" s="98"/>
      <c r="NO139" s="98"/>
      <c r="NP139" s="98"/>
      <c r="NQ139" s="98"/>
      <c r="NR139" s="98"/>
      <c r="NS139" s="98"/>
      <c r="NT139" s="98"/>
      <c r="NU139" s="98"/>
      <c r="NV139" s="98"/>
      <c r="NW139" s="98"/>
      <c r="NX139" s="98"/>
      <c r="NY139" s="98"/>
      <c r="NZ139" s="98"/>
      <c r="OA139" s="98"/>
      <c r="OB139" s="98"/>
      <c r="OC139" s="98"/>
      <c r="OD139" s="98"/>
      <c r="OE139" s="98"/>
      <c r="OF139" s="98"/>
      <c r="OG139" s="98"/>
      <c r="OH139" s="98"/>
      <c r="OI139" s="98"/>
      <c r="OJ139" s="98"/>
      <c r="OK139" s="98"/>
      <c r="OL139" s="98"/>
      <c r="OM139" s="98"/>
      <c r="ON139" s="98"/>
      <c r="OO139" s="98"/>
      <c r="OP139" s="98"/>
      <c r="OQ139" s="98"/>
      <c r="OR139" s="98"/>
      <c r="OS139" s="98"/>
      <c r="OT139" s="98"/>
      <c r="OU139" s="98"/>
      <c r="OV139" s="98"/>
      <c r="OW139" s="98"/>
      <c r="OX139" s="98"/>
      <c r="OY139" s="98"/>
      <c r="OZ139" s="98"/>
      <c r="PA139" s="98"/>
      <c r="PB139" s="98"/>
      <c r="PC139" s="98"/>
      <c r="PD139" s="98"/>
      <c r="PE139" s="98"/>
      <c r="PF139" s="98"/>
      <c r="PG139" s="98"/>
      <c r="PH139" s="98"/>
      <c r="PI139" s="98"/>
      <c r="PJ139" s="98"/>
      <c r="PK139" s="98"/>
      <c r="PL139" s="98"/>
      <c r="PM139" s="98"/>
      <c r="PN139" s="98"/>
      <c r="PO139" s="98"/>
      <c r="PP139" s="98"/>
      <c r="PQ139" s="98"/>
      <c r="PR139" s="98"/>
      <c r="PS139" s="98"/>
      <c r="PT139" s="98"/>
      <c r="PU139" s="98"/>
      <c r="PV139" s="98"/>
      <c r="PW139" s="98"/>
      <c r="PX139" s="98"/>
      <c r="PY139" s="98"/>
      <c r="PZ139" s="98"/>
      <c r="QA139" s="98"/>
      <c r="QB139" s="98"/>
      <c r="QC139" s="98"/>
      <c r="QD139" s="98"/>
      <c r="QE139" s="98"/>
      <c r="QF139" s="98"/>
      <c r="QG139" s="98"/>
      <c r="QH139" s="98"/>
      <c r="QI139" s="98"/>
      <c r="QJ139" s="98"/>
      <c r="QK139" s="98"/>
      <c r="QL139" s="98"/>
      <c r="QM139" s="98"/>
      <c r="QN139" s="98"/>
      <c r="QO139" s="98"/>
      <c r="QP139" s="98"/>
      <c r="QQ139" s="98"/>
      <c r="QR139" s="98"/>
      <c r="QS139" s="98"/>
      <c r="QT139" s="98"/>
      <c r="QU139" s="98"/>
      <c r="QV139" s="98"/>
      <c r="QW139" s="98"/>
      <c r="QX139" s="98"/>
      <c r="QY139" s="98"/>
      <c r="QZ139" s="98"/>
      <c r="RA139" s="98"/>
      <c r="RB139" s="98"/>
      <c r="RC139" s="98"/>
      <c r="RD139" s="98"/>
      <c r="RE139" s="98"/>
      <c r="RF139" s="98"/>
      <c r="RG139" s="98"/>
      <c r="RH139" s="98"/>
      <c r="RI139" s="98"/>
      <c r="RJ139" s="98"/>
      <c r="RK139" s="98"/>
      <c r="RL139" s="98"/>
      <c r="RM139" s="98"/>
      <c r="RN139" s="98"/>
      <c r="RO139" s="98"/>
      <c r="RP139" s="98"/>
      <c r="RQ139" s="98"/>
      <c r="RR139" s="98"/>
      <c r="RS139" s="98"/>
      <c r="RT139" s="98"/>
      <c r="RU139" s="98"/>
      <c r="RV139" s="98"/>
      <c r="RW139" s="98"/>
      <c r="RX139" s="98"/>
      <c r="RY139" s="98"/>
      <c r="RZ139" s="98"/>
      <c r="SA139" s="98"/>
      <c r="SB139" s="98"/>
      <c r="SC139" s="98"/>
      <c r="SD139" s="98"/>
      <c r="SE139" s="98"/>
      <c r="SF139" s="98"/>
      <c r="SG139" s="98"/>
      <c r="SH139" s="98"/>
      <c r="SI139" s="98"/>
      <c r="SJ139" s="98"/>
      <c r="SK139" s="98"/>
      <c r="SL139" s="98"/>
      <c r="SM139" s="98"/>
      <c r="SN139" s="98"/>
      <c r="SO139" s="98"/>
      <c r="SP139" s="98"/>
      <c r="SQ139" s="98"/>
      <c r="SR139" s="98"/>
      <c r="SS139" s="98"/>
      <c r="ST139" s="98"/>
      <c r="SU139" s="98"/>
      <c r="SV139" s="98"/>
      <c r="SW139" s="98"/>
      <c r="SX139" s="98"/>
      <c r="SY139" s="98"/>
      <c r="SZ139" s="98"/>
      <c r="TA139" s="98"/>
      <c r="TB139" s="98"/>
      <c r="TC139" s="98"/>
      <c r="TD139" s="98"/>
      <c r="TE139" s="98"/>
      <c r="TF139" s="98"/>
      <c r="TG139" s="98"/>
      <c r="TH139" s="98"/>
      <c r="TI139" s="98"/>
      <c r="TJ139" s="98"/>
      <c r="TK139" s="98"/>
      <c r="TL139" s="98"/>
      <c r="TM139" s="98"/>
      <c r="TN139" s="98"/>
      <c r="TO139" s="98"/>
      <c r="TP139" s="98"/>
      <c r="TQ139" s="98"/>
      <c r="TR139" s="98"/>
      <c r="TS139" s="98"/>
      <c r="TT139" s="98"/>
      <c r="TU139" s="98"/>
      <c r="TV139" s="98"/>
      <c r="TW139" s="98"/>
      <c r="TX139" s="98"/>
      <c r="TY139" s="98"/>
      <c r="TZ139" s="98"/>
      <c r="UA139" s="98"/>
      <c r="UB139" s="98"/>
      <c r="UC139" s="98"/>
      <c r="UD139" s="98"/>
      <c r="UE139" s="98"/>
      <c r="UF139" s="98"/>
      <c r="UG139" s="98"/>
      <c r="UH139" s="98"/>
      <c r="UI139" s="98"/>
      <c r="UJ139" s="98"/>
      <c r="UK139" s="98"/>
      <c r="UL139" s="98"/>
      <c r="UM139" s="98"/>
      <c r="UN139" s="98"/>
      <c r="UO139" s="98"/>
      <c r="UP139" s="98"/>
      <c r="UQ139" s="98"/>
      <c r="UR139" s="98"/>
      <c r="US139" s="98"/>
      <c r="UT139" s="98"/>
      <c r="UU139" s="98"/>
      <c r="UV139" s="98"/>
      <c r="UW139" s="98"/>
      <c r="UX139" s="98"/>
      <c r="UY139" s="98"/>
      <c r="UZ139" s="98"/>
      <c r="VA139" s="98"/>
      <c r="VB139" s="98"/>
      <c r="VC139" s="98"/>
      <c r="VD139" s="98"/>
      <c r="VE139" s="98"/>
      <c r="VF139" s="98"/>
      <c r="VG139" s="98"/>
      <c r="VH139" s="98"/>
      <c r="VI139" s="98"/>
      <c r="VJ139" s="98"/>
      <c r="VK139" s="98"/>
      <c r="VL139" s="98"/>
      <c r="VM139" s="98"/>
      <c r="VN139" s="98"/>
      <c r="VO139" s="98"/>
      <c r="VP139" s="98"/>
      <c r="VQ139" s="98"/>
      <c r="VR139" s="98"/>
      <c r="VS139" s="98"/>
      <c r="VT139" s="98"/>
      <c r="VU139" s="98"/>
      <c r="VV139" s="98"/>
      <c r="VW139" s="98"/>
      <c r="VX139" s="98"/>
      <c r="VY139" s="98"/>
      <c r="VZ139" s="98"/>
      <c r="WA139" s="98"/>
      <c r="WB139" s="98"/>
      <c r="WC139" s="98"/>
      <c r="WD139" s="98"/>
      <c r="WE139" s="98"/>
      <c r="WF139" s="98"/>
      <c r="WG139" s="98"/>
      <c r="WH139" s="98"/>
      <c r="WI139" s="98"/>
      <c r="WJ139" s="98"/>
      <c r="WK139" s="98"/>
      <c r="WL139" s="98"/>
      <c r="WM139" s="98"/>
      <c r="WN139" s="98"/>
      <c r="WO139" s="98"/>
      <c r="WP139" s="98"/>
      <c r="WQ139" s="98"/>
      <c r="WR139" s="98"/>
      <c r="WS139" s="98"/>
      <c r="WT139" s="98"/>
      <c r="WU139" s="98"/>
      <c r="WV139" s="98"/>
      <c r="WW139" s="98"/>
      <c r="WX139" s="98"/>
      <c r="WY139" s="98"/>
      <c r="WZ139" s="98"/>
      <c r="XA139" s="98"/>
      <c r="XB139" s="98"/>
      <c r="XC139" s="98"/>
      <c r="XD139" s="98"/>
      <c r="XE139" s="98"/>
      <c r="XF139" s="98"/>
      <c r="XG139" s="98"/>
      <c r="XH139" s="98"/>
      <c r="XI139" s="98"/>
      <c r="XJ139" s="98"/>
      <c r="XK139" s="98"/>
      <c r="XL139" s="98"/>
      <c r="XM139" s="98"/>
      <c r="XN139" s="98"/>
      <c r="XO139" s="98"/>
      <c r="XP139" s="98"/>
      <c r="XQ139" s="98"/>
      <c r="XR139" s="98"/>
      <c r="XS139" s="98"/>
      <c r="XT139" s="98"/>
      <c r="XU139" s="98"/>
      <c r="XV139" s="98"/>
      <c r="XW139" s="98"/>
      <c r="XX139" s="98"/>
      <c r="XY139" s="98"/>
      <c r="XZ139" s="98"/>
      <c r="YA139" s="98"/>
      <c r="YB139" s="98"/>
      <c r="YC139" s="98"/>
      <c r="YD139" s="98"/>
      <c r="YE139" s="98"/>
      <c r="YF139" s="98"/>
      <c r="YG139" s="98"/>
      <c r="YH139" s="98"/>
      <c r="YI139" s="98"/>
      <c r="YJ139" s="98"/>
      <c r="YK139" s="98"/>
      <c r="YL139" s="98"/>
      <c r="YM139" s="98"/>
      <c r="YN139" s="98"/>
      <c r="YO139" s="98"/>
      <c r="YP139" s="98"/>
      <c r="YQ139" s="98"/>
      <c r="YR139" s="98"/>
      <c r="YS139" s="98"/>
      <c r="YT139" s="98"/>
      <c r="YU139" s="98"/>
      <c r="YV139" s="98"/>
      <c r="YW139" s="98"/>
      <c r="YX139" s="98"/>
      <c r="YY139" s="98"/>
      <c r="YZ139" s="98"/>
      <c r="ZA139" s="98"/>
      <c r="ZB139" s="98"/>
      <c r="ZC139" s="98"/>
      <c r="ZD139" s="98"/>
      <c r="ZE139" s="98"/>
      <c r="ZF139" s="98"/>
      <c r="ZG139" s="98"/>
      <c r="ZH139" s="98"/>
      <c r="ZI139" s="98"/>
      <c r="ZJ139" s="98"/>
      <c r="ZK139" s="98"/>
      <c r="ZL139" s="98"/>
      <c r="ZM139" s="98"/>
      <c r="ZN139" s="98"/>
      <c r="ZO139" s="98"/>
      <c r="ZP139" s="98"/>
      <c r="ZQ139" s="98"/>
      <c r="ZR139" s="98"/>
      <c r="ZS139" s="98"/>
      <c r="ZT139" s="98"/>
      <c r="ZU139" s="98"/>
      <c r="ZV139" s="98"/>
      <c r="ZW139" s="98"/>
      <c r="ZX139" s="98"/>
      <c r="ZY139" s="98"/>
      <c r="ZZ139" s="98"/>
      <c r="AAA139" s="98"/>
      <c r="AAB139" s="98"/>
      <c r="AAC139" s="98"/>
      <c r="AAD139" s="98"/>
      <c r="AAE139" s="98"/>
      <c r="AAF139" s="98"/>
      <c r="AAG139" s="98"/>
      <c r="AAH139" s="98"/>
      <c r="AAI139" s="98"/>
      <c r="AAJ139" s="98"/>
      <c r="AAK139" s="98"/>
      <c r="AAL139" s="98"/>
      <c r="AAM139" s="98"/>
      <c r="AAN139" s="98"/>
      <c r="AAO139" s="98"/>
      <c r="AAP139" s="98"/>
      <c r="AAQ139" s="98"/>
      <c r="AAR139" s="98"/>
      <c r="AAS139" s="98"/>
      <c r="AAT139" s="98"/>
      <c r="AAU139" s="98"/>
      <c r="AAV139" s="98"/>
      <c r="AAW139" s="98"/>
      <c r="AAX139" s="98"/>
      <c r="AAY139" s="98"/>
      <c r="AAZ139" s="98"/>
      <c r="ABA139" s="98"/>
      <c r="ABB139" s="98"/>
      <c r="ABC139" s="98"/>
      <c r="ABD139" s="98"/>
      <c r="ABE139" s="98"/>
      <c r="ABF139" s="98"/>
      <c r="ABG139" s="98"/>
      <c r="ABH139" s="98"/>
      <c r="ABI139" s="98"/>
      <c r="ABJ139" s="98"/>
      <c r="ABK139" s="98"/>
      <c r="ABL139" s="98"/>
      <c r="ABM139" s="98"/>
      <c r="ABN139" s="98"/>
      <c r="ABO139" s="98"/>
      <c r="ABP139" s="98"/>
      <c r="ABQ139" s="98"/>
      <c r="ABR139" s="98"/>
      <c r="ABS139" s="98"/>
      <c r="ABT139" s="98"/>
      <c r="ABU139" s="98"/>
      <c r="ABV139" s="98"/>
      <c r="ABW139" s="98"/>
      <c r="ABX139" s="98"/>
      <c r="ABY139" s="98"/>
      <c r="ABZ139" s="98"/>
      <c r="ACA139" s="98"/>
      <c r="ACB139" s="98"/>
      <c r="ACC139" s="98"/>
      <c r="ACD139" s="98"/>
      <c r="ACE139" s="98"/>
      <c r="ACF139" s="98"/>
      <c r="ACG139" s="98"/>
      <c r="ACH139" s="98"/>
      <c r="ACI139" s="98"/>
      <c r="ACJ139" s="98"/>
      <c r="ACK139" s="98"/>
      <c r="ACL139" s="98"/>
      <c r="ACM139" s="98"/>
      <c r="ACN139" s="98"/>
      <c r="ACO139" s="98"/>
      <c r="ACP139" s="98"/>
      <c r="ACQ139" s="98"/>
      <c r="ACR139" s="98"/>
      <c r="ACS139" s="98"/>
      <c r="ACT139" s="98"/>
      <c r="ACU139" s="98"/>
      <c r="ACV139" s="98"/>
      <c r="ACW139" s="98"/>
      <c r="ACX139" s="98"/>
      <c r="ACY139" s="98"/>
      <c r="ACZ139" s="98"/>
      <c r="ADA139" s="98"/>
      <c r="ADB139" s="98"/>
      <c r="ADC139" s="98"/>
      <c r="ADD139" s="98"/>
      <c r="ADE139" s="98"/>
      <c r="ADF139" s="98"/>
      <c r="ADG139" s="98"/>
      <c r="ADH139" s="98"/>
      <c r="ADI139" s="98"/>
      <c r="ADJ139" s="98"/>
      <c r="ADK139" s="98"/>
      <c r="ADL139" s="98"/>
      <c r="ADM139" s="98"/>
      <c r="ADN139" s="98"/>
      <c r="ADO139" s="98"/>
      <c r="ADP139" s="98"/>
      <c r="ADQ139" s="98"/>
      <c r="ADR139" s="98"/>
      <c r="ADS139" s="98"/>
      <c r="ADT139" s="98"/>
      <c r="ADU139" s="98"/>
      <c r="ADV139" s="98"/>
      <c r="ADW139" s="98"/>
      <c r="ADX139" s="98"/>
      <c r="ADY139" s="98"/>
      <c r="ADZ139" s="98"/>
      <c r="AEA139" s="98"/>
      <c r="AEB139" s="98"/>
      <c r="AEC139" s="98"/>
      <c r="AED139" s="98"/>
      <c r="AEE139" s="98"/>
      <c r="AEF139" s="98"/>
      <c r="AEG139" s="98"/>
      <c r="AEH139" s="98"/>
      <c r="AEI139" s="98"/>
      <c r="AEJ139" s="98"/>
      <c r="AEK139" s="98"/>
      <c r="AEL139" s="98"/>
      <c r="AEM139" s="98"/>
      <c r="AEN139" s="98"/>
      <c r="AEO139" s="98"/>
      <c r="AEP139" s="98"/>
      <c r="AEQ139" s="98"/>
      <c r="AER139" s="98"/>
      <c r="AES139" s="98"/>
      <c r="AET139" s="98"/>
      <c r="AEU139" s="98"/>
      <c r="AEV139" s="98"/>
      <c r="AEW139" s="98"/>
      <c r="AEX139" s="98"/>
      <c r="AEY139" s="98"/>
      <c r="AEZ139" s="98"/>
      <c r="AFA139" s="98"/>
      <c r="AFB139" s="98"/>
      <c r="AFC139" s="98"/>
      <c r="AFD139" s="98"/>
      <c r="AFE139" s="98"/>
      <c r="AFF139" s="98"/>
      <c r="AFG139" s="98"/>
      <c r="AFH139" s="98"/>
      <c r="AFI139" s="98"/>
      <c r="AFJ139" s="98"/>
      <c r="AFK139" s="98"/>
      <c r="AFL139" s="98"/>
      <c r="AFM139" s="98"/>
      <c r="AFN139" s="98"/>
      <c r="AFO139" s="98"/>
      <c r="AFP139" s="98"/>
      <c r="AFQ139" s="98"/>
      <c r="AFR139" s="98"/>
      <c r="AFS139" s="98"/>
      <c r="AFT139" s="98"/>
      <c r="AFU139" s="98"/>
      <c r="AFV139" s="98"/>
      <c r="AFW139" s="98"/>
      <c r="AFX139" s="98"/>
      <c r="AFY139" s="98"/>
      <c r="AFZ139" s="98"/>
      <c r="AGA139" s="98"/>
      <c r="AGB139" s="98"/>
      <c r="AGC139" s="98"/>
      <c r="AGD139" s="98"/>
      <c r="AGE139" s="98"/>
      <c r="AGF139" s="98"/>
      <c r="AGG139" s="98"/>
      <c r="AGH139" s="98"/>
      <c r="AGI139" s="98"/>
      <c r="AGJ139" s="98"/>
      <c r="AGK139" s="98"/>
      <c r="AGL139" s="98"/>
      <c r="AGM139" s="98"/>
      <c r="AGN139" s="98"/>
      <c r="AGO139" s="98"/>
      <c r="AGP139" s="98"/>
      <c r="AGQ139" s="98"/>
      <c r="AGR139" s="98"/>
      <c r="AGS139" s="98"/>
      <c r="AGT139" s="98"/>
      <c r="AGU139" s="98"/>
      <c r="AGV139" s="98"/>
      <c r="AGW139" s="98"/>
      <c r="AGX139" s="98"/>
      <c r="AGY139" s="98"/>
      <c r="AGZ139" s="98"/>
      <c r="AHA139" s="98"/>
      <c r="AHB139" s="98"/>
      <c r="AHC139" s="98"/>
      <c r="AHD139" s="98"/>
      <c r="AHE139" s="98"/>
      <c r="AHF139" s="98"/>
      <c r="AHG139" s="98"/>
      <c r="AHH139" s="98"/>
      <c r="AHI139" s="98"/>
      <c r="AHJ139" s="98"/>
      <c r="AHK139" s="98"/>
      <c r="AHL139" s="98"/>
      <c r="AHM139" s="98"/>
      <c r="AHN139" s="98"/>
      <c r="AHO139" s="98"/>
      <c r="AHP139" s="98"/>
      <c r="AHQ139" s="98"/>
      <c r="AHR139" s="98"/>
      <c r="AHS139" s="98"/>
      <c r="AHT139" s="98"/>
      <c r="AHU139" s="98"/>
      <c r="AHV139" s="98"/>
      <c r="AHW139" s="98"/>
      <c r="AHX139" s="98"/>
      <c r="AHY139" s="98"/>
      <c r="AHZ139" s="98"/>
      <c r="AIA139" s="98"/>
      <c r="AIB139" s="98"/>
      <c r="AIC139" s="98"/>
      <c r="AID139" s="98"/>
      <c r="AIE139" s="98"/>
      <c r="AIF139" s="98"/>
      <c r="AIG139" s="98"/>
      <c r="AIH139" s="98"/>
      <c r="AII139" s="98"/>
      <c r="AIJ139" s="98"/>
      <c r="AIK139" s="98"/>
      <c r="AIL139" s="98"/>
      <c r="AIM139" s="98"/>
      <c r="AIN139" s="98"/>
      <c r="AIO139" s="98"/>
      <c r="AIP139" s="98"/>
      <c r="AIQ139" s="98"/>
      <c r="AIR139" s="98"/>
      <c r="AIS139" s="98"/>
      <c r="AIT139" s="98"/>
      <c r="AIU139" s="98"/>
      <c r="AIV139" s="98"/>
      <c r="AIW139" s="98"/>
      <c r="AIX139" s="98"/>
      <c r="AIY139" s="98"/>
      <c r="AIZ139" s="98"/>
      <c r="AJA139" s="98"/>
      <c r="AJB139" s="98"/>
      <c r="AJC139" s="98"/>
      <c r="AJD139" s="98"/>
      <c r="AJE139" s="98"/>
      <c r="AJF139" s="98"/>
      <c r="AJG139" s="98"/>
      <c r="AJH139" s="98"/>
      <c r="AJI139" s="98"/>
      <c r="AJJ139" s="98"/>
      <c r="AJK139" s="98"/>
      <c r="AJL139" s="98"/>
      <c r="AJM139" s="98"/>
      <c r="AJN139" s="98"/>
      <c r="AJO139" s="98"/>
      <c r="AJP139" s="98"/>
      <c r="AJQ139" s="98"/>
      <c r="AJR139" s="98"/>
      <c r="AJS139" s="98"/>
      <c r="AJT139" s="98"/>
      <c r="AJU139" s="98"/>
      <c r="AJV139" s="98"/>
      <c r="AJW139" s="98"/>
      <c r="AJX139" s="98"/>
      <c r="AJY139" s="98"/>
      <c r="AJZ139" s="98"/>
      <c r="AKA139" s="98"/>
      <c r="AKB139" s="98"/>
      <c r="AKC139" s="98"/>
      <c r="AKD139" s="98"/>
      <c r="AKE139" s="98"/>
      <c r="AKF139" s="98"/>
      <c r="AKG139" s="98"/>
      <c r="AKH139" s="98"/>
      <c r="AKI139" s="98"/>
      <c r="AKJ139" s="98"/>
      <c r="AKK139" s="98"/>
      <c r="AKL139" s="98"/>
      <c r="AKM139" s="98"/>
      <c r="AKN139" s="98"/>
      <c r="AKO139" s="98"/>
      <c r="AKP139" s="98"/>
      <c r="AKQ139" s="98"/>
      <c r="AKR139" s="98"/>
      <c r="AKS139" s="98"/>
      <c r="AKT139" s="98"/>
      <c r="AKU139" s="98"/>
      <c r="AKV139" s="98"/>
      <c r="AKW139" s="98"/>
      <c r="AKX139" s="98"/>
      <c r="AKY139" s="98"/>
      <c r="AKZ139" s="98"/>
      <c r="ALA139" s="98"/>
      <c r="ALB139" s="98"/>
      <c r="ALC139" s="98"/>
      <c r="ALD139" s="98"/>
      <c r="ALE139" s="98"/>
      <c r="ALF139" s="98"/>
      <c r="ALG139" s="98"/>
      <c r="ALH139" s="98"/>
      <c r="ALI139" s="98"/>
      <c r="ALJ139" s="98"/>
      <c r="ALK139" s="98"/>
      <c r="ALL139" s="98"/>
      <c r="ALM139" s="98"/>
      <c r="ALN139" s="98"/>
      <c r="ALO139" s="98"/>
      <c r="ALP139" s="98"/>
      <c r="ALQ139" s="98"/>
      <c r="ALR139" s="98"/>
      <c r="ALS139" s="98"/>
      <c r="ALT139" s="98"/>
      <c r="ALU139" s="98"/>
      <c r="ALV139" s="98"/>
      <c r="ALW139" s="98"/>
      <c r="ALX139" s="98"/>
      <c r="ALY139" s="98"/>
      <c r="ALZ139" s="98"/>
      <c r="AMA139" s="98"/>
      <c r="AMB139" s="98"/>
      <c r="AMC139" s="98"/>
      <c r="AMD139" s="98"/>
      <c r="AME139" s="98"/>
      <c r="AMF139" s="98"/>
      <c r="AMG139" s="98"/>
      <c r="AMH139" s="98"/>
      <c r="AMI139" s="98"/>
      <c r="AMJ139" s="98"/>
      <c r="AMK139" s="98"/>
      <c r="AML139" s="98"/>
      <c r="AMM139" s="98"/>
      <c r="AMN139" s="98"/>
      <c r="AMO139" s="98"/>
      <c r="AMP139" s="98"/>
      <c r="AMQ139" s="98"/>
      <c r="AMR139" s="98"/>
      <c r="AMS139" s="98"/>
      <c r="AMT139" s="98"/>
      <c r="AMU139" s="98"/>
      <c r="AMV139" s="98"/>
      <c r="AMW139" s="98"/>
      <c r="AMX139" s="98"/>
      <c r="AMY139" s="98"/>
      <c r="AMZ139" s="98"/>
      <c r="ANA139" s="98"/>
      <c r="ANB139" s="98"/>
      <c r="ANC139" s="98"/>
      <c r="AND139" s="98"/>
      <c r="ANE139" s="98"/>
      <c r="ANF139" s="98"/>
      <c r="ANG139" s="98"/>
      <c r="ANH139" s="98"/>
      <c r="ANI139" s="98"/>
      <c r="ANJ139" s="98"/>
      <c r="ANK139" s="98"/>
      <c r="ANL139" s="98"/>
      <c r="ANM139" s="98"/>
      <c r="ANN139" s="98"/>
      <c r="ANO139" s="98"/>
      <c r="ANP139" s="98"/>
      <c r="ANQ139" s="98"/>
      <c r="ANR139" s="98"/>
      <c r="ANS139" s="98"/>
      <c r="ANT139" s="98"/>
      <c r="ANU139" s="98"/>
      <c r="ANV139" s="98"/>
      <c r="ANW139" s="98"/>
      <c r="ANX139" s="98"/>
      <c r="ANY139" s="98"/>
      <c r="ANZ139" s="98"/>
      <c r="AOA139" s="98"/>
      <c r="AOB139" s="98"/>
      <c r="AOC139" s="98"/>
      <c r="AOD139" s="98"/>
      <c r="AOE139" s="98"/>
      <c r="AOF139" s="98"/>
      <c r="AOG139" s="98"/>
      <c r="AOH139" s="98"/>
      <c r="AOI139" s="98"/>
      <c r="AOJ139" s="98"/>
      <c r="AOK139" s="98"/>
      <c r="AOL139" s="98"/>
      <c r="AOM139" s="98"/>
      <c r="AON139" s="98"/>
      <c r="AOO139" s="98"/>
      <c r="AOP139" s="98"/>
      <c r="AOQ139" s="98"/>
      <c r="AOR139" s="98"/>
      <c r="AOS139" s="98"/>
      <c r="AOT139" s="98"/>
      <c r="AOU139" s="98"/>
      <c r="AOV139" s="98"/>
      <c r="AOW139" s="98"/>
      <c r="AOX139" s="98"/>
      <c r="AOY139" s="98"/>
      <c r="AOZ139" s="98"/>
      <c r="APA139" s="98"/>
      <c r="APB139" s="98"/>
      <c r="APC139" s="98"/>
      <c r="APD139" s="98"/>
      <c r="APE139" s="98"/>
      <c r="APF139" s="98"/>
      <c r="APG139" s="98"/>
      <c r="APH139" s="98"/>
      <c r="API139" s="98"/>
      <c r="APJ139" s="98"/>
      <c r="APK139" s="98"/>
      <c r="APL139" s="98"/>
      <c r="APM139" s="98"/>
      <c r="APN139" s="98"/>
      <c r="APO139" s="98"/>
      <c r="APP139" s="98"/>
      <c r="APQ139" s="98"/>
      <c r="APR139" s="98"/>
      <c r="APS139" s="98"/>
      <c r="APT139" s="98"/>
      <c r="APU139" s="98"/>
      <c r="APV139" s="98"/>
      <c r="APW139" s="98"/>
      <c r="APX139" s="98"/>
      <c r="APY139" s="98"/>
      <c r="APZ139" s="98"/>
      <c r="AQA139" s="98"/>
      <c r="AQB139" s="98"/>
      <c r="AQC139" s="98"/>
      <c r="AQD139" s="98"/>
      <c r="AQE139" s="98"/>
      <c r="AQF139" s="98"/>
      <c r="AQG139" s="98"/>
      <c r="AQH139" s="98"/>
      <c r="AQI139" s="98"/>
      <c r="AQJ139" s="98"/>
      <c r="AQK139" s="98"/>
      <c r="AQL139" s="98"/>
      <c r="AQM139" s="98"/>
      <c r="AQN139" s="98"/>
      <c r="AQO139" s="98"/>
      <c r="AQP139" s="98"/>
      <c r="AQQ139" s="98"/>
      <c r="AQR139" s="98"/>
      <c r="AQS139" s="98"/>
      <c r="AQT139" s="98"/>
      <c r="AQU139" s="98"/>
      <c r="AQV139" s="98"/>
      <c r="AQW139" s="98"/>
      <c r="AQX139" s="98"/>
      <c r="AQY139" s="98"/>
      <c r="AQZ139" s="98"/>
      <c r="ARA139" s="98"/>
      <c r="ARB139" s="98"/>
      <c r="ARC139" s="98"/>
      <c r="ARD139" s="98"/>
      <c r="ARE139" s="98"/>
      <c r="ARF139" s="98"/>
      <c r="ARG139" s="98"/>
      <c r="ARH139" s="98"/>
      <c r="ARI139" s="98"/>
      <c r="ARJ139" s="98"/>
      <c r="ARK139" s="98"/>
      <c r="ARL139" s="98"/>
      <c r="ARM139" s="98"/>
      <c r="ARN139" s="98"/>
      <c r="ARO139" s="98"/>
      <c r="ARP139" s="98"/>
      <c r="ARQ139" s="98"/>
      <c r="ARR139" s="98"/>
      <c r="ARS139" s="98"/>
    </row>
    <row r="140" spans="1:1163" s="174" customFormat="1">
      <c r="A140" s="140" t="s">
        <v>178</v>
      </c>
      <c r="B140" s="119" t="s">
        <v>67</v>
      </c>
      <c r="C140" s="175">
        <v>802892431</v>
      </c>
      <c r="D140" s="175">
        <v>7214436003</v>
      </c>
      <c r="E140" s="175">
        <v>84952689</v>
      </c>
      <c r="F140" s="175">
        <v>1157998681</v>
      </c>
      <c r="G140" s="175">
        <f>75302640-G139</f>
        <v>68154329</v>
      </c>
      <c r="H140" s="175">
        <f>1129628976-H139</f>
        <v>1037358699</v>
      </c>
      <c r="I140" s="175">
        <f>78182395-I139</f>
        <v>70856633</v>
      </c>
      <c r="J140" s="175">
        <f>1495065014-J139</f>
        <v>1387357682</v>
      </c>
      <c r="K140" s="175">
        <f>2215960+18203684+31272604+13001535+4870519</f>
        <v>69564302</v>
      </c>
      <c r="L140" s="175">
        <f>1546325341-L139</f>
        <v>1456995229</v>
      </c>
      <c r="M140" s="175">
        <f>M143-M139</f>
        <v>84778276</v>
      </c>
      <c r="N140" s="175">
        <f>N143-N139</f>
        <v>1574676000</v>
      </c>
      <c r="O140" s="175">
        <v>82680588</v>
      </c>
      <c r="P140" s="175">
        <v>1927169247</v>
      </c>
      <c r="Q140" s="175">
        <v>74894501</v>
      </c>
      <c r="R140" s="175">
        <v>1797514359</v>
      </c>
      <c r="S140" s="175">
        <v>77892331</v>
      </c>
      <c r="T140" s="175">
        <v>1621771014</v>
      </c>
      <c r="U140" s="197">
        <v>92854562</v>
      </c>
      <c r="V140" s="197">
        <v>1663694794</v>
      </c>
      <c r="W140" s="197">
        <v>101573077</v>
      </c>
      <c r="X140" s="197">
        <v>2036817396</v>
      </c>
      <c r="Y140" s="197">
        <v>99079566</v>
      </c>
      <c r="Z140" s="197">
        <v>2315663115</v>
      </c>
      <c r="AA140" s="209">
        <v>109394339</v>
      </c>
      <c r="AB140" s="209">
        <v>2849976022</v>
      </c>
      <c r="AC140" s="175">
        <v>102508204</v>
      </c>
      <c r="AD140" s="175">
        <v>2762946127</v>
      </c>
      <c r="AE140" s="209">
        <v>110863008</v>
      </c>
      <c r="AF140" s="209">
        <v>2844629286</v>
      </c>
      <c r="AG140" s="201">
        <v>117828830</v>
      </c>
      <c r="AH140" s="201">
        <v>2480440822</v>
      </c>
      <c r="AI140" s="201">
        <v>129432288</v>
      </c>
      <c r="AJ140" s="201">
        <v>2825709297</v>
      </c>
      <c r="AK140" s="201">
        <v>127859595</v>
      </c>
      <c r="AL140" s="201">
        <v>2787821563</v>
      </c>
      <c r="AM140" s="176">
        <v>144305307</v>
      </c>
      <c r="AN140" s="176">
        <v>3449970594</v>
      </c>
      <c r="AO140" s="201">
        <v>136811715</v>
      </c>
      <c r="AP140" s="201">
        <v>3903459152</v>
      </c>
      <c r="AQ140" s="201">
        <v>135989777</v>
      </c>
      <c r="AR140" s="201">
        <v>3328272950</v>
      </c>
      <c r="AS140" s="201">
        <v>153084739</v>
      </c>
      <c r="AT140" s="201">
        <v>4201552721</v>
      </c>
      <c r="AU140" s="209">
        <v>158731693</v>
      </c>
      <c r="AV140" s="209">
        <v>5134014112</v>
      </c>
      <c r="AW140" s="201">
        <v>165167541</v>
      </c>
      <c r="AX140" s="201">
        <v>4872202224</v>
      </c>
      <c r="AY140" s="197">
        <v>186743301</v>
      </c>
      <c r="AZ140" s="197">
        <v>4871266951</v>
      </c>
      <c r="BA140" s="178"/>
      <c r="BB140" s="175"/>
      <c r="BC140" s="178"/>
      <c r="BD140" s="175"/>
      <c r="BE140" s="178"/>
      <c r="BF140" s="197"/>
      <c r="BG140" s="178"/>
      <c r="BH140" s="197"/>
      <c r="BI140" s="178"/>
      <c r="BJ140" s="98"/>
      <c r="BK140" s="98"/>
      <c r="BL140" s="148"/>
      <c r="BM140" s="98"/>
      <c r="BN140" s="14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c r="JE140" s="98"/>
      <c r="JF140" s="98"/>
      <c r="JG140" s="98"/>
      <c r="JH140" s="98"/>
      <c r="JI140" s="98"/>
      <c r="JJ140" s="98"/>
      <c r="JK140" s="98"/>
      <c r="JL140" s="98"/>
      <c r="JM140" s="98"/>
      <c r="JN140" s="98"/>
      <c r="JO140" s="98"/>
      <c r="JP140" s="98"/>
      <c r="JQ140" s="98"/>
      <c r="JR140" s="98"/>
      <c r="JS140" s="98"/>
      <c r="JT140" s="98"/>
      <c r="JU140" s="98"/>
      <c r="JV140" s="98"/>
      <c r="JW140" s="98"/>
      <c r="JX140" s="98"/>
      <c r="JY140" s="98"/>
      <c r="JZ140" s="98"/>
      <c r="KA140" s="98"/>
      <c r="KB140" s="98"/>
      <c r="KC140" s="98"/>
      <c r="KD140" s="98"/>
      <c r="KE140" s="98"/>
      <c r="KF140" s="98"/>
      <c r="KG140" s="98"/>
      <c r="KH140" s="98"/>
      <c r="KI140" s="98"/>
      <c r="KJ140" s="98"/>
      <c r="KK140" s="98"/>
      <c r="KL140" s="98"/>
      <c r="KM140" s="98"/>
      <c r="KN140" s="98"/>
      <c r="KO140" s="98"/>
      <c r="KP140" s="98"/>
      <c r="KQ140" s="98"/>
      <c r="KR140" s="98"/>
      <c r="KS140" s="98"/>
      <c r="KT140" s="98"/>
      <c r="KU140" s="98"/>
      <c r="KV140" s="98"/>
      <c r="KW140" s="98"/>
      <c r="KX140" s="98"/>
      <c r="KY140" s="98"/>
      <c r="KZ140" s="98"/>
      <c r="LA140" s="98"/>
      <c r="LB140" s="98"/>
      <c r="LC140" s="98"/>
      <c r="LD140" s="98"/>
      <c r="LE140" s="98"/>
      <c r="LF140" s="98"/>
      <c r="LG140" s="98"/>
      <c r="LH140" s="98"/>
      <c r="LI140" s="98"/>
      <c r="LJ140" s="98"/>
      <c r="LK140" s="98"/>
      <c r="LL140" s="98"/>
      <c r="LM140" s="98"/>
      <c r="LN140" s="98"/>
      <c r="LO140" s="98"/>
      <c r="LP140" s="98"/>
      <c r="LQ140" s="98"/>
      <c r="LR140" s="98"/>
      <c r="LS140" s="98"/>
      <c r="LT140" s="98"/>
      <c r="LU140" s="98"/>
      <c r="LV140" s="98"/>
      <c r="LW140" s="98"/>
      <c r="LX140" s="98"/>
      <c r="LY140" s="98"/>
      <c r="LZ140" s="98"/>
      <c r="MA140" s="98"/>
      <c r="MB140" s="98"/>
      <c r="MC140" s="98"/>
      <c r="MD140" s="98"/>
      <c r="ME140" s="98"/>
      <c r="MF140" s="98"/>
      <c r="MG140" s="98"/>
      <c r="MH140" s="98"/>
      <c r="MI140" s="98"/>
      <c r="MJ140" s="98"/>
      <c r="MK140" s="98"/>
      <c r="ML140" s="98"/>
      <c r="MM140" s="98"/>
      <c r="MN140" s="98"/>
      <c r="MO140" s="98"/>
      <c r="MP140" s="98"/>
      <c r="MQ140" s="98"/>
      <c r="MR140" s="98"/>
      <c r="MS140" s="98"/>
      <c r="MT140" s="98"/>
      <c r="MU140" s="98"/>
      <c r="MV140" s="98"/>
      <c r="MW140" s="98"/>
      <c r="MX140" s="98"/>
      <c r="MY140" s="98"/>
      <c r="MZ140" s="98"/>
      <c r="NA140" s="98"/>
      <c r="NB140" s="98"/>
      <c r="NC140" s="98"/>
      <c r="ND140" s="98"/>
      <c r="NE140" s="98"/>
      <c r="NF140" s="98"/>
      <c r="NG140" s="98"/>
      <c r="NH140" s="98"/>
      <c r="NI140" s="98"/>
      <c r="NJ140" s="98"/>
      <c r="NK140" s="98"/>
      <c r="NL140" s="98"/>
      <c r="NM140" s="98"/>
      <c r="NN140" s="98"/>
      <c r="NO140" s="98"/>
      <c r="NP140" s="98"/>
      <c r="NQ140" s="98"/>
      <c r="NR140" s="98"/>
      <c r="NS140" s="98"/>
      <c r="NT140" s="98"/>
      <c r="NU140" s="98"/>
      <c r="NV140" s="98"/>
      <c r="NW140" s="98"/>
      <c r="NX140" s="98"/>
      <c r="NY140" s="98"/>
      <c r="NZ140" s="98"/>
      <c r="OA140" s="98"/>
      <c r="OB140" s="98"/>
      <c r="OC140" s="98"/>
      <c r="OD140" s="98"/>
      <c r="OE140" s="98"/>
      <c r="OF140" s="98"/>
      <c r="OG140" s="98"/>
      <c r="OH140" s="98"/>
      <c r="OI140" s="98"/>
      <c r="OJ140" s="98"/>
      <c r="OK140" s="98"/>
      <c r="OL140" s="98"/>
      <c r="OM140" s="98"/>
      <c r="ON140" s="98"/>
      <c r="OO140" s="98"/>
      <c r="OP140" s="98"/>
      <c r="OQ140" s="98"/>
      <c r="OR140" s="98"/>
      <c r="OS140" s="98"/>
      <c r="OT140" s="98"/>
      <c r="OU140" s="98"/>
      <c r="OV140" s="98"/>
      <c r="OW140" s="98"/>
      <c r="OX140" s="98"/>
      <c r="OY140" s="98"/>
      <c r="OZ140" s="98"/>
      <c r="PA140" s="98"/>
      <c r="PB140" s="98"/>
      <c r="PC140" s="98"/>
      <c r="PD140" s="98"/>
      <c r="PE140" s="98"/>
      <c r="PF140" s="98"/>
      <c r="PG140" s="98"/>
      <c r="PH140" s="98"/>
      <c r="PI140" s="98"/>
      <c r="PJ140" s="98"/>
      <c r="PK140" s="98"/>
      <c r="PL140" s="98"/>
      <c r="PM140" s="98"/>
      <c r="PN140" s="98"/>
      <c r="PO140" s="98"/>
      <c r="PP140" s="98"/>
      <c r="PQ140" s="98"/>
      <c r="PR140" s="98"/>
      <c r="PS140" s="98"/>
      <c r="PT140" s="98"/>
      <c r="PU140" s="98"/>
      <c r="PV140" s="98"/>
      <c r="PW140" s="98"/>
      <c r="PX140" s="98"/>
      <c r="PY140" s="98"/>
      <c r="PZ140" s="98"/>
      <c r="QA140" s="98"/>
      <c r="QB140" s="98"/>
      <c r="QC140" s="98"/>
      <c r="QD140" s="98"/>
      <c r="QE140" s="98"/>
      <c r="QF140" s="98"/>
      <c r="QG140" s="98"/>
      <c r="QH140" s="98"/>
      <c r="QI140" s="98"/>
      <c r="QJ140" s="98"/>
      <c r="QK140" s="98"/>
      <c r="QL140" s="98"/>
      <c r="QM140" s="98"/>
      <c r="QN140" s="98"/>
      <c r="QO140" s="98"/>
      <c r="QP140" s="98"/>
      <c r="QQ140" s="98"/>
      <c r="QR140" s="98"/>
      <c r="QS140" s="98"/>
      <c r="QT140" s="98"/>
      <c r="QU140" s="98"/>
      <c r="QV140" s="98"/>
      <c r="QW140" s="98"/>
      <c r="QX140" s="98"/>
      <c r="QY140" s="98"/>
      <c r="QZ140" s="98"/>
      <c r="RA140" s="98"/>
      <c r="RB140" s="98"/>
      <c r="RC140" s="98"/>
      <c r="RD140" s="98"/>
      <c r="RE140" s="98"/>
      <c r="RF140" s="98"/>
      <c r="RG140" s="98"/>
      <c r="RH140" s="98"/>
      <c r="RI140" s="98"/>
      <c r="RJ140" s="98"/>
      <c r="RK140" s="98"/>
      <c r="RL140" s="98"/>
      <c r="RM140" s="98"/>
      <c r="RN140" s="98"/>
      <c r="RO140" s="98"/>
      <c r="RP140" s="98"/>
      <c r="RQ140" s="98"/>
      <c r="RR140" s="98"/>
      <c r="RS140" s="98"/>
      <c r="RT140" s="98"/>
      <c r="RU140" s="98"/>
      <c r="RV140" s="98"/>
      <c r="RW140" s="98"/>
      <c r="RX140" s="98"/>
      <c r="RY140" s="98"/>
      <c r="RZ140" s="98"/>
      <c r="SA140" s="98"/>
      <c r="SB140" s="98"/>
      <c r="SC140" s="98"/>
      <c r="SD140" s="98"/>
      <c r="SE140" s="98"/>
      <c r="SF140" s="98"/>
      <c r="SG140" s="98"/>
      <c r="SH140" s="98"/>
      <c r="SI140" s="98"/>
      <c r="SJ140" s="98"/>
      <c r="SK140" s="98"/>
      <c r="SL140" s="98"/>
      <c r="SM140" s="98"/>
      <c r="SN140" s="98"/>
      <c r="SO140" s="98"/>
      <c r="SP140" s="98"/>
      <c r="SQ140" s="98"/>
      <c r="SR140" s="98"/>
      <c r="SS140" s="98"/>
      <c r="ST140" s="98"/>
      <c r="SU140" s="98"/>
      <c r="SV140" s="98"/>
      <c r="SW140" s="98"/>
      <c r="SX140" s="98"/>
      <c r="SY140" s="98"/>
      <c r="SZ140" s="98"/>
      <c r="TA140" s="98"/>
      <c r="TB140" s="98"/>
      <c r="TC140" s="98"/>
      <c r="TD140" s="98"/>
      <c r="TE140" s="98"/>
      <c r="TF140" s="98"/>
      <c r="TG140" s="98"/>
      <c r="TH140" s="98"/>
      <c r="TI140" s="98"/>
      <c r="TJ140" s="98"/>
      <c r="TK140" s="98"/>
      <c r="TL140" s="98"/>
      <c r="TM140" s="98"/>
      <c r="TN140" s="98"/>
      <c r="TO140" s="98"/>
      <c r="TP140" s="98"/>
      <c r="TQ140" s="98"/>
      <c r="TR140" s="98"/>
      <c r="TS140" s="98"/>
      <c r="TT140" s="98"/>
      <c r="TU140" s="98"/>
      <c r="TV140" s="98"/>
      <c r="TW140" s="98"/>
      <c r="TX140" s="98"/>
      <c r="TY140" s="98"/>
      <c r="TZ140" s="98"/>
      <c r="UA140" s="98"/>
      <c r="UB140" s="98"/>
      <c r="UC140" s="98"/>
      <c r="UD140" s="98"/>
      <c r="UE140" s="98"/>
      <c r="UF140" s="98"/>
      <c r="UG140" s="98"/>
      <c r="UH140" s="98"/>
      <c r="UI140" s="98"/>
      <c r="UJ140" s="98"/>
      <c r="UK140" s="98"/>
      <c r="UL140" s="98"/>
      <c r="UM140" s="98"/>
      <c r="UN140" s="98"/>
      <c r="UO140" s="98"/>
      <c r="UP140" s="98"/>
      <c r="UQ140" s="98"/>
      <c r="UR140" s="98"/>
      <c r="US140" s="98"/>
      <c r="UT140" s="98"/>
      <c r="UU140" s="98"/>
      <c r="UV140" s="98"/>
      <c r="UW140" s="98"/>
      <c r="UX140" s="98"/>
      <c r="UY140" s="98"/>
      <c r="UZ140" s="98"/>
      <c r="VA140" s="98"/>
      <c r="VB140" s="98"/>
      <c r="VC140" s="98"/>
      <c r="VD140" s="98"/>
      <c r="VE140" s="98"/>
      <c r="VF140" s="98"/>
      <c r="VG140" s="98"/>
      <c r="VH140" s="98"/>
      <c r="VI140" s="98"/>
      <c r="VJ140" s="98"/>
      <c r="VK140" s="98"/>
      <c r="VL140" s="98"/>
      <c r="VM140" s="98"/>
      <c r="VN140" s="98"/>
      <c r="VO140" s="98"/>
      <c r="VP140" s="98"/>
      <c r="VQ140" s="98"/>
      <c r="VR140" s="98"/>
      <c r="VS140" s="98"/>
      <c r="VT140" s="98"/>
      <c r="VU140" s="98"/>
      <c r="VV140" s="98"/>
      <c r="VW140" s="98"/>
      <c r="VX140" s="98"/>
      <c r="VY140" s="98"/>
      <c r="VZ140" s="98"/>
      <c r="WA140" s="98"/>
      <c r="WB140" s="98"/>
      <c r="WC140" s="98"/>
      <c r="WD140" s="98"/>
      <c r="WE140" s="98"/>
      <c r="WF140" s="98"/>
      <c r="WG140" s="98"/>
      <c r="WH140" s="98"/>
      <c r="WI140" s="98"/>
      <c r="WJ140" s="98"/>
      <c r="WK140" s="98"/>
      <c r="WL140" s="98"/>
      <c r="WM140" s="98"/>
      <c r="WN140" s="98"/>
      <c r="WO140" s="98"/>
      <c r="WP140" s="98"/>
      <c r="WQ140" s="98"/>
      <c r="WR140" s="98"/>
      <c r="WS140" s="98"/>
      <c r="WT140" s="98"/>
      <c r="WU140" s="98"/>
      <c r="WV140" s="98"/>
      <c r="WW140" s="98"/>
      <c r="WX140" s="98"/>
      <c r="WY140" s="98"/>
      <c r="WZ140" s="98"/>
      <c r="XA140" s="98"/>
      <c r="XB140" s="98"/>
      <c r="XC140" s="98"/>
      <c r="XD140" s="98"/>
      <c r="XE140" s="98"/>
      <c r="XF140" s="98"/>
      <c r="XG140" s="98"/>
      <c r="XH140" s="98"/>
      <c r="XI140" s="98"/>
      <c r="XJ140" s="98"/>
      <c r="XK140" s="98"/>
      <c r="XL140" s="98"/>
      <c r="XM140" s="98"/>
      <c r="XN140" s="98"/>
      <c r="XO140" s="98"/>
      <c r="XP140" s="98"/>
      <c r="XQ140" s="98"/>
      <c r="XR140" s="98"/>
      <c r="XS140" s="98"/>
      <c r="XT140" s="98"/>
      <c r="XU140" s="98"/>
      <c r="XV140" s="98"/>
      <c r="XW140" s="98"/>
      <c r="XX140" s="98"/>
      <c r="XY140" s="98"/>
      <c r="XZ140" s="98"/>
      <c r="YA140" s="98"/>
      <c r="YB140" s="98"/>
      <c r="YC140" s="98"/>
      <c r="YD140" s="98"/>
      <c r="YE140" s="98"/>
      <c r="YF140" s="98"/>
      <c r="YG140" s="98"/>
      <c r="YH140" s="98"/>
      <c r="YI140" s="98"/>
      <c r="YJ140" s="98"/>
      <c r="YK140" s="98"/>
      <c r="YL140" s="98"/>
      <c r="YM140" s="98"/>
      <c r="YN140" s="98"/>
      <c r="YO140" s="98"/>
      <c r="YP140" s="98"/>
      <c r="YQ140" s="98"/>
      <c r="YR140" s="98"/>
      <c r="YS140" s="98"/>
      <c r="YT140" s="98"/>
      <c r="YU140" s="98"/>
      <c r="YV140" s="98"/>
      <c r="YW140" s="98"/>
      <c r="YX140" s="98"/>
      <c r="YY140" s="98"/>
      <c r="YZ140" s="98"/>
      <c r="ZA140" s="98"/>
      <c r="ZB140" s="98"/>
      <c r="ZC140" s="98"/>
      <c r="ZD140" s="98"/>
      <c r="ZE140" s="98"/>
      <c r="ZF140" s="98"/>
      <c r="ZG140" s="98"/>
      <c r="ZH140" s="98"/>
      <c r="ZI140" s="98"/>
      <c r="ZJ140" s="98"/>
      <c r="ZK140" s="98"/>
      <c r="ZL140" s="98"/>
      <c r="ZM140" s="98"/>
      <c r="ZN140" s="98"/>
      <c r="ZO140" s="98"/>
      <c r="ZP140" s="98"/>
      <c r="ZQ140" s="98"/>
      <c r="ZR140" s="98"/>
      <c r="ZS140" s="98"/>
      <c r="ZT140" s="98"/>
      <c r="ZU140" s="98"/>
      <c r="ZV140" s="98"/>
      <c r="ZW140" s="98"/>
      <c r="ZX140" s="98"/>
      <c r="ZY140" s="98"/>
      <c r="ZZ140" s="98"/>
      <c r="AAA140" s="98"/>
      <c r="AAB140" s="98"/>
      <c r="AAC140" s="98"/>
      <c r="AAD140" s="98"/>
      <c r="AAE140" s="98"/>
      <c r="AAF140" s="98"/>
      <c r="AAG140" s="98"/>
      <c r="AAH140" s="98"/>
      <c r="AAI140" s="98"/>
      <c r="AAJ140" s="98"/>
      <c r="AAK140" s="98"/>
      <c r="AAL140" s="98"/>
      <c r="AAM140" s="98"/>
      <c r="AAN140" s="98"/>
      <c r="AAO140" s="98"/>
      <c r="AAP140" s="98"/>
      <c r="AAQ140" s="98"/>
      <c r="AAR140" s="98"/>
      <c r="AAS140" s="98"/>
      <c r="AAT140" s="98"/>
      <c r="AAU140" s="98"/>
      <c r="AAV140" s="98"/>
      <c r="AAW140" s="98"/>
      <c r="AAX140" s="98"/>
      <c r="AAY140" s="98"/>
      <c r="AAZ140" s="98"/>
      <c r="ABA140" s="98"/>
      <c r="ABB140" s="98"/>
      <c r="ABC140" s="98"/>
      <c r="ABD140" s="98"/>
      <c r="ABE140" s="98"/>
      <c r="ABF140" s="98"/>
      <c r="ABG140" s="98"/>
      <c r="ABH140" s="98"/>
      <c r="ABI140" s="98"/>
      <c r="ABJ140" s="98"/>
      <c r="ABK140" s="98"/>
      <c r="ABL140" s="98"/>
      <c r="ABM140" s="98"/>
      <c r="ABN140" s="98"/>
      <c r="ABO140" s="98"/>
      <c r="ABP140" s="98"/>
      <c r="ABQ140" s="98"/>
      <c r="ABR140" s="98"/>
      <c r="ABS140" s="98"/>
      <c r="ABT140" s="98"/>
      <c r="ABU140" s="98"/>
      <c r="ABV140" s="98"/>
      <c r="ABW140" s="98"/>
      <c r="ABX140" s="98"/>
      <c r="ABY140" s="98"/>
      <c r="ABZ140" s="98"/>
      <c r="ACA140" s="98"/>
      <c r="ACB140" s="98"/>
      <c r="ACC140" s="98"/>
      <c r="ACD140" s="98"/>
      <c r="ACE140" s="98"/>
      <c r="ACF140" s="98"/>
      <c r="ACG140" s="98"/>
      <c r="ACH140" s="98"/>
      <c r="ACI140" s="98"/>
      <c r="ACJ140" s="98"/>
      <c r="ACK140" s="98"/>
      <c r="ACL140" s="98"/>
      <c r="ACM140" s="98"/>
      <c r="ACN140" s="98"/>
      <c r="ACO140" s="98"/>
      <c r="ACP140" s="98"/>
      <c r="ACQ140" s="98"/>
      <c r="ACR140" s="98"/>
      <c r="ACS140" s="98"/>
      <c r="ACT140" s="98"/>
      <c r="ACU140" s="98"/>
      <c r="ACV140" s="98"/>
      <c r="ACW140" s="98"/>
      <c r="ACX140" s="98"/>
      <c r="ACY140" s="98"/>
      <c r="ACZ140" s="98"/>
      <c r="ADA140" s="98"/>
      <c r="ADB140" s="98"/>
      <c r="ADC140" s="98"/>
      <c r="ADD140" s="98"/>
      <c r="ADE140" s="98"/>
      <c r="ADF140" s="98"/>
      <c r="ADG140" s="98"/>
      <c r="ADH140" s="98"/>
      <c r="ADI140" s="98"/>
      <c r="ADJ140" s="98"/>
      <c r="ADK140" s="98"/>
      <c r="ADL140" s="98"/>
      <c r="ADM140" s="98"/>
      <c r="ADN140" s="98"/>
      <c r="ADO140" s="98"/>
      <c r="ADP140" s="98"/>
      <c r="ADQ140" s="98"/>
      <c r="ADR140" s="98"/>
      <c r="ADS140" s="98"/>
      <c r="ADT140" s="98"/>
      <c r="ADU140" s="98"/>
      <c r="ADV140" s="98"/>
      <c r="ADW140" s="98"/>
      <c r="ADX140" s="98"/>
      <c r="ADY140" s="98"/>
      <c r="ADZ140" s="98"/>
      <c r="AEA140" s="98"/>
      <c r="AEB140" s="98"/>
      <c r="AEC140" s="98"/>
      <c r="AED140" s="98"/>
      <c r="AEE140" s="98"/>
      <c r="AEF140" s="98"/>
      <c r="AEG140" s="98"/>
      <c r="AEH140" s="98"/>
      <c r="AEI140" s="98"/>
      <c r="AEJ140" s="98"/>
      <c r="AEK140" s="98"/>
      <c r="AEL140" s="98"/>
      <c r="AEM140" s="98"/>
      <c r="AEN140" s="98"/>
      <c r="AEO140" s="98"/>
      <c r="AEP140" s="98"/>
      <c r="AEQ140" s="98"/>
      <c r="AER140" s="98"/>
      <c r="AES140" s="98"/>
      <c r="AET140" s="98"/>
      <c r="AEU140" s="98"/>
      <c r="AEV140" s="98"/>
      <c r="AEW140" s="98"/>
      <c r="AEX140" s="98"/>
      <c r="AEY140" s="98"/>
      <c r="AEZ140" s="98"/>
      <c r="AFA140" s="98"/>
      <c r="AFB140" s="98"/>
      <c r="AFC140" s="98"/>
      <c r="AFD140" s="98"/>
      <c r="AFE140" s="98"/>
      <c r="AFF140" s="98"/>
      <c r="AFG140" s="98"/>
      <c r="AFH140" s="98"/>
      <c r="AFI140" s="98"/>
      <c r="AFJ140" s="98"/>
      <c r="AFK140" s="98"/>
      <c r="AFL140" s="98"/>
      <c r="AFM140" s="98"/>
      <c r="AFN140" s="98"/>
      <c r="AFO140" s="98"/>
      <c r="AFP140" s="98"/>
      <c r="AFQ140" s="98"/>
      <c r="AFR140" s="98"/>
      <c r="AFS140" s="98"/>
      <c r="AFT140" s="98"/>
      <c r="AFU140" s="98"/>
      <c r="AFV140" s="98"/>
      <c r="AFW140" s="98"/>
      <c r="AFX140" s="98"/>
      <c r="AFY140" s="98"/>
      <c r="AFZ140" s="98"/>
      <c r="AGA140" s="98"/>
      <c r="AGB140" s="98"/>
      <c r="AGC140" s="98"/>
      <c r="AGD140" s="98"/>
      <c r="AGE140" s="98"/>
      <c r="AGF140" s="98"/>
      <c r="AGG140" s="98"/>
      <c r="AGH140" s="98"/>
      <c r="AGI140" s="98"/>
      <c r="AGJ140" s="98"/>
      <c r="AGK140" s="98"/>
      <c r="AGL140" s="98"/>
      <c r="AGM140" s="98"/>
      <c r="AGN140" s="98"/>
      <c r="AGO140" s="98"/>
      <c r="AGP140" s="98"/>
      <c r="AGQ140" s="98"/>
      <c r="AGR140" s="98"/>
      <c r="AGS140" s="98"/>
      <c r="AGT140" s="98"/>
      <c r="AGU140" s="98"/>
      <c r="AGV140" s="98"/>
      <c r="AGW140" s="98"/>
      <c r="AGX140" s="98"/>
      <c r="AGY140" s="98"/>
      <c r="AGZ140" s="98"/>
      <c r="AHA140" s="98"/>
      <c r="AHB140" s="98"/>
      <c r="AHC140" s="98"/>
      <c r="AHD140" s="98"/>
      <c r="AHE140" s="98"/>
      <c r="AHF140" s="98"/>
      <c r="AHG140" s="98"/>
      <c r="AHH140" s="98"/>
      <c r="AHI140" s="98"/>
      <c r="AHJ140" s="98"/>
      <c r="AHK140" s="98"/>
      <c r="AHL140" s="98"/>
      <c r="AHM140" s="98"/>
      <c r="AHN140" s="98"/>
      <c r="AHO140" s="98"/>
      <c r="AHP140" s="98"/>
      <c r="AHQ140" s="98"/>
      <c r="AHR140" s="98"/>
      <c r="AHS140" s="98"/>
      <c r="AHT140" s="98"/>
      <c r="AHU140" s="98"/>
      <c r="AHV140" s="98"/>
      <c r="AHW140" s="98"/>
      <c r="AHX140" s="98"/>
      <c r="AHY140" s="98"/>
      <c r="AHZ140" s="98"/>
      <c r="AIA140" s="98"/>
      <c r="AIB140" s="98"/>
      <c r="AIC140" s="98"/>
      <c r="AID140" s="98"/>
      <c r="AIE140" s="98"/>
      <c r="AIF140" s="98"/>
      <c r="AIG140" s="98"/>
      <c r="AIH140" s="98"/>
      <c r="AII140" s="98"/>
      <c r="AIJ140" s="98"/>
      <c r="AIK140" s="98"/>
      <c r="AIL140" s="98"/>
      <c r="AIM140" s="98"/>
      <c r="AIN140" s="98"/>
      <c r="AIO140" s="98"/>
      <c r="AIP140" s="98"/>
      <c r="AIQ140" s="98"/>
      <c r="AIR140" s="98"/>
      <c r="AIS140" s="98"/>
      <c r="AIT140" s="98"/>
      <c r="AIU140" s="98"/>
      <c r="AIV140" s="98"/>
      <c r="AIW140" s="98"/>
      <c r="AIX140" s="98"/>
      <c r="AIY140" s="98"/>
      <c r="AIZ140" s="98"/>
      <c r="AJA140" s="98"/>
      <c r="AJB140" s="98"/>
      <c r="AJC140" s="98"/>
      <c r="AJD140" s="98"/>
      <c r="AJE140" s="98"/>
      <c r="AJF140" s="98"/>
      <c r="AJG140" s="98"/>
      <c r="AJH140" s="98"/>
      <c r="AJI140" s="98"/>
      <c r="AJJ140" s="98"/>
      <c r="AJK140" s="98"/>
      <c r="AJL140" s="98"/>
      <c r="AJM140" s="98"/>
      <c r="AJN140" s="98"/>
      <c r="AJO140" s="98"/>
      <c r="AJP140" s="98"/>
      <c r="AJQ140" s="98"/>
      <c r="AJR140" s="98"/>
      <c r="AJS140" s="98"/>
      <c r="AJT140" s="98"/>
      <c r="AJU140" s="98"/>
      <c r="AJV140" s="98"/>
      <c r="AJW140" s="98"/>
      <c r="AJX140" s="98"/>
      <c r="AJY140" s="98"/>
      <c r="AJZ140" s="98"/>
      <c r="AKA140" s="98"/>
      <c r="AKB140" s="98"/>
      <c r="AKC140" s="98"/>
      <c r="AKD140" s="98"/>
      <c r="AKE140" s="98"/>
      <c r="AKF140" s="98"/>
      <c r="AKG140" s="98"/>
      <c r="AKH140" s="98"/>
      <c r="AKI140" s="98"/>
      <c r="AKJ140" s="98"/>
      <c r="AKK140" s="98"/>
      <c r="AKL140" s="98"/>
      <c r="AKM140" s="98"/>
      <c r="AKN140" s="98"/>
      <c r="AKO140" s="98"/>
      <c r="AKP140" s="98"/>
      <c r="AKQ140" s="98"/>
      <c r="AKR140" s="98"/>
      <c r="AKS140" s="98"/>
      <c r="AKT140" s="98"/>
      <c r="AKU140" s="98"/>
      <c r="AKV140" s="98"/>
      <c r="AKW140" s="98"/>
      <c r="AKX140" s="98"/>
      <c r="AKY140" s="98"/>
      <c r="AKZ140" s="98"/>
      <c r="ALA140" s="98"/>
      <c r="ALB140" s="98"/>
      <c r="ALC140" s="98"/>
      <c r="ALD140" s="98"/>
      <c r="ALE140" s="98"/>
      <c r="ALF140" s="98"/>
      <c r="ALG140" s="98"/>
      <c r="ALH140" s="98"/>
      <c r="ALI140" s="98"/>
      <c r="ALJ140" s="98"/>
      <c r="ALK140" s="98"/>
      <c r="ALL140" s="98"/>
      <c r="ALM140" s="98"/>
      <c r="ALN140" s="98"/>
      <c r="ALO140" s="98"/>
      <c r="ALP140" s="98"/>
      <c r="ALQ140" s="98"/>
      <c r="ALR140" s="98"/>
      <c r="ALS140" s="98"/>
      <c r="ALT140" s="98"/>
      <c r="ALU140" s="98"/>
      <c r="ALV140" s="98"/>
      <c r="ALW140" s="98"/>
      <c r="ALX140" s="98"/>
      <c r="ALY140" s="98"/>
      <c r="ALZ140" s="98"/>
      <c r="AMA140" s="98"/>
      <c r="AMB140" s="98"/>
      <c r="AMC140" s="98"/>
      <c r="AMD140" s="98"/>
      <c r="AME140" s="98"/>
      <c r="AMF140" s="98"/>
      <c r="AMG140" s="98"/>
      <c r="AMH140" s="98"/>
      <c r="AMI140" s="98"/>
      <c r="AMJ140" s="98"/>
      <c r="AMK140" s="98"/>
      <c r="AML140" s="98"/>
      <c r="AMM140" s="98"/>
      <c r="AMN140" s="98"/>
      <c r="AMO140" s="98"/>
      <c r="AMP140" s="98"/>
      <c r="AMQ140" s="98"/>
      <c r="AMR140" s="98"/>
      <c r="AMS140" s="98"/>
      <c r="AMT140" s="98"/>
      <c r="AMU140" s="98"/>
      <c r="AMV140" s="98"/>
      <c r="AMW140" s="98"/>
      <c r="AMX140" s="98"/>
      <c r="AMY140" s="98"/>
      <c r="AMZ140" s="98"/>
      <c r="ANA140" s="98"/>
      <c r="ANB140" s="98"/>
      <c r="ANC140" s="98"/>
      <c r="AND140" s="98"/>
      <c r="ANE140" s="98"/>
      <c r="ANF140" s="98"/>
      <c r="ANG140" s="98"/>
      <c r="ANH140" s="98"/>
      <c r="ANI140" s="98"/>
      <c r="ANJ140" s="98"/>
      <c r="ANK140" s="98"/>
      <c r="ANL140" s="98"/>
      <c r="ANM140" s="98"/>
      <c r="ANN140" s="98"/>
      <c r="ANO140" s="98"/>
      <c r="ANP140" s="98"/>
      <c r="ANQ140" s="98"/>
      <c r="ANR140" s="98"/>
      <c r="ANS140" s="98"/>
      <c r="ANT140" s="98"/>
      <c r="ANU140" s="98"/>
      <c r="ANV140" s="98"/>
      <c r="ANW140" s="98"/>
      <c r="ANX140" s="98"/>
      <c r="ANY140" s="98"/>
      <c r="ANZ140" s="98"/>
      <c r="AOA140" s="98"/>
      <c r="AOB140" s="98"/>
      <c r="AOC140" s="98"/>
      <c r="AOD140" s="98"/>
      <c r="AOE140" s="98"/>
      <c r="AOF140" s="98"/>
      <c r="AOG140" s="98"/>
      <c r="AOH140" s="98"/>
      <c r="AOI140" s="98"/>
      <c r="AOJ140" s="98"/>
      <c r="AOK140" s="98"/>
      <c r="AOL140" s="98"/>
      <c r="AOM140" s="98"/>
      <c r="AON140" s="98"/>
      <c r="AOO140" s="98"/>
      <c r="AOP140" s="98"/>
      <c r="AOQ140" s="98"/>
      <c r="AOR140" s="98"/>
      <c r="AOS140" s="98"/>
      <c r="AOT140" s="98"/>
      <c r="AOU140" s="98"/>
      <c r="AOV140" s="98"/>
      <c r="AOW140" s="98"/>
      <c r="AOX140" s="98"/>
      <c r="AOY140" s="98"/>
      <c r="AOZ140" s="98"/>
      <c r="APA140" s="98"/>
      <c r="APB140" s="98"/>
      <c r="APC140" s="98"/>
      <c r="APD140" s="98"/>
      <c r="APE140" s="98"/>
      <c r="APF140" s="98"/>
      <c r="APG140" s="98"/>
      <c r="APH140" s="98"/>
      <c r="API140" s="98"/>
      <c r="APJ140" s="98"/>
      <c r="APK140" s="98"/>
      <c r="APL140" s="98"/>
      <c r="APM140" s="98"/>
      <c r="APN140" s="98"/>
      <c r="APO140" s="98"/>
      <c r="APP140" s="98"/>
      <c r="APQ140" s="98"/>
      <c r="APR140" s="98"/>
      <c r="APS140" s="98"/>
      <c r="APT140" s="98"/>
      <c r="APU140" s="98"/>
      <c r="APV140" s="98"/>
      <c r="APW140" s="98"/>
      <c r="APX140" s="98"/>
      <c r="APY140" s="98"/>
      <c r="APZ140" s="98"/>
      <c r="AQA140" s="98"/>
      <c r="AQB140" s="98"/>
      <c r="AQC140" s="98"/>
      <c r="AQD140" s="98"/>
      <c r="AQE140" s="98"/>
      <c r="AQF140" s="98"/>
      <c r="AQG140" s="98"/>
      <c r="AQH140" s="98"/>
      <c r="AQI140" s="98"/>
      <c r="AQJ140" s="98"/>
      <c r="AQK140" s="98"/>
      <c r="AQL140" s="98"/>
      <c r="AQM140" s="98"/>
      <c r="AQN140" s="98"/>
      <c r="AQO140" s="98"/>
      <c r="AQP140" s="98"/>
      <c r="AQQ140" s="98"/>
      <c r="AQR140" s="98"/>
      <c r="AQS140" s="98"/>
      <c r="AQT140" s="98"/>
      <c r="AQU140" s="98"/>
      <c r="AQV140" s="98"/>
      <c r="AQW140" s="98"/>
      <c r="AQX140" s="98"/>
      <c r="AQY140" s="98"/>
      <c r="AQZ140" s="98"/>
      <c r="ARA140" s="98"/>
      <c r="ARB140" s="98"/>
      <c r="ARC140" s="98"/>
      <c r="ARD140" s="98"/>
      <c r="ARE140" s="98"/>
      <c r="ARF140" s="98"/>
      <c r="ARG140" s="98"/>
      <c r="ARH140" s="98"/>
      <c r="ARI140" s="98"/>
      <c r="ARJ140" s="98"/>
      <c r="ARK140" s="98"/>
      <c r="ARL140" s="98"/>
      <c r="ARM140" s="98"/>
      <c r="ARN140" s="98"/>
      <c r="ARO140" s="98"/>
      <c r="ARP140" s="98"/>
      <c r="ARQ140" s="98"/>
      <c r="ARR140" s="98"/>
      <c r="ARS140" s="98"/>
    </row>
    <row r="141" spans="1:1163" s="174" customFormat="1">
      <c r="A141" s="140" t="s">
        <v>179</v>
      </c>
      <c r="B141" s="119" t="s">
        <v>67</v>
      </c>
      <c r="C141" s="175">
        <v>50823118</v>
      </c>
      <c r="D141" s="175">
        <v>747819924</v>
      </c>
      <c r="E141" s="175">
        <v>18940</v>
      </c>
      <c r="F141" s="175">
        <v>388102</v>
      </c>
      <c r="G141" s="175">
        <v>0</v>
      </c>
      <c r="H141" s="175">
        <v>0</v>
      </c>
      <c r="I141" s="175">
        <v>0</v>
      </c>
      <c r="J141" s="175">
        <v>0</v>
      </c>
      <c r="K141" s="175">
        <v>0</v>
      </c>
      <c r="L141" s="175">
        <v>0</v>
      </c>
      <c r="M141" s="175"/>
      <c r="N141" s="175"/>
      <c r="O141" s="175">
        <v>21423</v>
      </c>
      <c r="P141" s="175">
        <v>422109</v>
      </c>
      <c r="Q141" s="175">
        <v>14204</v>
      </c>
      <c r="R141" s="175">
        <v>522000</v>
      </c>
      <c r="S141" s="175">
        <v>580433</v>
      </c>
      <c r="T141" s="175">
        <v>12294447</v>
      </c>
      <c r="U141" s="201">
        <v>0</v>
      </c>
      <c r="V141" s="201">
        <v>0</v>
      </c>
      <c r="W141" s="201">
        <v>0</v>
      </c>
      <c r="X141" s="201">
        <v>0</v>
      </c>
      <c r="Y141" s="201">
        <v>0</v>
      </c>
      <c r="Z141" s="201">
        <v>0</v>
      </c>
      <c r="AA141" s="201">
        <v>0</v>
      </c>
      <c r="AB141" s="201">
        <v>0</v>
      </c>
      <c r="AC141" s="201">
        <v>0</v>
      </c>
      <c r="AD141" s="201">
        <v>0</v>
      </c>
      <c r="AE141" s="201">
        <v>0</v>
      </c>
      <c r="AF141" s="201">
        <v>0</v>
      </c>
      <c r="AG141" s="201">
        <v>0</v>
      </c>
      <c r="AH141" s="201">
        <v>0</v>
      </c>
      <c r="AI141" s="201">
        <v>0</v>
      </c>
      <c r="AJ141" s="201">
        <v>0</v>
      </c>
      <c r="AK141" s="201">
        <v>0</v>
      </c>
      <c r="AL141" s="201">
        <v>0</v>
      </c>
      <c r="AM141" s="201">
        <v>0</v>
      </c>
      <c r="AN141" s="201">
        <v>0</v>
      </c>
      <c r="AO141" s="201">
        <v>0</v>
      </c>
      <c r="AP141" s="201">
        <v>0</v>
      </c>
      <c r="AQ141" s="201">
        <v>0</v>
      </c>
      <c r="AR141" s="201">
        <v>0</v>
      </c>
      <c r="AS141" s="201">
        <v>0</v>
      </c>
      <c r="AT141" s="201">
        <v>0</v>
      </c>
      <c r="AU141" s="201">
        <v>0</v>
      </c>
      <c r="AV141" s="201">
        <v>0</v>
      </c>
      <c r="AW141" s="201">
        <v>0</v>
      </c>
      <c r="AX141" s="201">
        <v>0</v>
      </c>
      <c r="AY141" s="197">
        <v>0</v>
      </c>
      <c r="AZ141" s="197">
        <v>0</v>
      </c>
      <c r="BA141" s="177"/>
      <c r="BB141" s="197"/>
      <c r="BC141" s="197"/>
      <c r="BD141" s="197"/>
      <c r="BE141" s="197"/>
      <c r="BF141" s="175"/>
      <c r="BG141" s="178"/>
      <c r="BH141" s="175"/>
      <c r="BI141" s="177"/>
      <c r="BJ141" s="98"/>
      <c r="BK141" s="98"/>
      <c r="BL141" s="148"/>
      <c r="BM141" s="98"/>
      <c r="BN141" s="14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98"/>
      <c r="CV141" s="98"/>
      <c r="CW141" s="98"/>
      <c r="CX141" s="98"/>
      <c r="CY141" s="98"/>
      <c r="CZ141" s="98"/>
      <c r="DA141" s="98"/>
      <c r="DB141" s="98"/>
      <c r="DC141" s="98"/>
      <c r="DD141" s="98"/>
      <c r="DE141" s="98"/>
      <c r="DF141" s="98"/>
      <c r="DG141" s="98"/>
      <c r="DH141" s="98"/>
      <c r="DI141" s="98"/>
      <c r="DJ141" s="98"/>
      <c r="DK141" s="98"/>
      <c r="DL141" s="98"/>
      <c r="DM141" s="98"/>
      <c r="DN141" s="98"/>
      <c r="DO141" s="98"/>
      <c r="DP141" s="98"/>
      <c r="DQ141" s="98"/>
      <c r="DR141" s="98"/>
      <c r="DS141" s="98"/>
      <c r="DT141" s="98"/>
      <c r="DU141" s="98"/>
      <c r="DV141" s="98"/>
      <c r="DW141" s="98"/>
      <c r="DX141" s="98"/>
      <c r="DY141" s="98"/>
      <c r="DZ141" s="98"/>
      <c r="EA141" s="98"/>
      <c r="EB141" s="98"/>
      <c r="EC141" s="98"/>
      <c r="ED141" s="98"/>
      <c r="EE141" s="98"/>
      <c r="EF141" s="98"/>
      <c r="EG141" s="98"/>
      <c r="EH141" s="98"/>
      <c r="EI141" s="98"/>
      <c r="EJ141" s="98"/>
      <c r="EK141" s="98"/>
      <c r="EL141" s="98"/>
      <c r="EM141" s="98"/>
      <c r="EN141" s="98"/>
      <c r="EO141" s="98"/>
      <c r="EP141" s="98"/>
      <c r="EQ141" s="98"/>
      <c r="ER141" s="98"/>
      <c r="ES141" s="98"/>
      <c r="ET141" s="98"/>
      <c r="EU141" s="98"/>
      <c r="EV141" s="98"/>
      <c r="EW141" s="98"/>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c r="IW141" s="98"/>
      <c r="IX141" s="98"/>
      <c r="IY141" s="98"/>
      <c r="IZ141" s="98"/>
      <c r="JA141" s="98"/>
      <c r="JB141" s="98"/>
      <c r="JC141" s="98"/>
      <c r="JD141" s="98"/>
      <c r="JE141" s="98"/>
      <c r="JF141" s="98"/>
      <c r="JG141" s="98"/>
      <c r="JH141" s="98"/>
      <c r="JI141" s="98"/>
      <c r="JJ141" s="98"/>
      <c r="JK141" s="98"/>
      <c r="JL141" s="98"/>
      <c r="JM141" s="98"/>
      <c r="JN141" s="98"/>
      <c r="JO141" s="98"/>
      <c r="JP141" s="98"/>
      <c r="JQ141" s="98"/>
      <c r="JR141" s="98"/>
      <c r="JS141" s="98"/>
      <c r="JT141" s="98"/>
      <c r="JU141" s="98"/>
      <c r="JV141" s="98"/>
      <c r="JW141" s="98"/>
      <c r="JX141" s="98"/>
      <c r="JY141" s="98"/>
      <c r="JZ141" s="98"/>
      <c r="KA141" s="98"/>
      <c r="KB141" s="98"/>
      <c r="KC141" s="98"/>
      <c r="KD141" s="98"/>
      <c r="KE141" s="98"/>
      <c r="KF141" s="98"/>
      <c r="KG141" s="98"/>
      <c r="KH141" s="98"/>
      <c r="KI141" s="98"/>
      <c r="KJ141" s="98"/>
      <c r="KK141" s="98"/>
      <c r="KL141" s="98"/>
      <c r="KM141" s="98"/>
      <c r="KN141" s="98"/>
      <c r="KO141" s="98"/>
      <c r="KP141" s="98"/>
      <c r="KQ141" s="98"/>
      <c r="KR141" s="98"/>
      <c r="KS141" s="98"/>
      <c r="KT141" s="98"/>
      <c r="KU141" s="98"/>
      <c r="KV141" s="98"/>
      <c r="KW141" s="98"/>
      <c r="KX141" s="98"/>
      <c r="KY141" s="98"/>
      <c r="KZ141" s="98"/>
      <c r="LA141" s="98"/>
      <c r="LB141" s="98"/>
      <c r="LC141" s="98"/>
      <c r="LD141" s="98"/>
      <c r="LE141" s="98"/>
      <c r="LF141" s="98"/>
      <c r="LG141" s="98"/>
      <c r="LH141" s="98"/>
      <c r="LI141" s="98"/>
      <c r="LJ141" s="98"/>
      <c r="LK141" s="98"/>
      <c r="LL141" s="98"/>
      <c r="LM141" s="98"/>
      <c r="LN141" s="98"/>
      <c r="LO141" s="98"/>
      <c r="LP141" s="98"/>
      <c r="LQ141" s="98"/>
      <c r="LR141" s="98"/>
      <c r="LS141" s="98"/>
      <c r="LT141" s="98"/>
      <c r="LU141" s="98"/>
      <c r="LV141" s="98"/>
      <c r="LW141" s="98"/>
      <c r="LX141" s="98"/>
      <c r="LY141" s="98"/>
      <c r="LZ141" s="98"/>
      <c r="MA141" s="98"/>
      <c r="MB141" s="98"/>
      <c r="MC141" s="98"/>
      <c r="MD141" s="98"/>
      <c r="ME141" s="98"/>
      <c r="MF141" s="98"/>
      <c r="MG141" s="98"/>
      <c r="MH141" s="98"/>
      <c r="MI141" s="98"/>
      <c r="MJ141" s="98"/>
      <c r="MK141" s="98"/>
      <c r="ML141" s="98"/>
      <c r="MM141" s="98"/>
      <c r="MN141" s="98"/>
      <c r="MO141" s="98"/>
      <c r="MP141" s="98"/>
      <c r="MQ141" s="98"/>
      <c r="MR141" s="98"/>
      <c r="MS141" s="98"/>
      <c r="MT141" s="98"/>
      <c r="MU141" s="98"/>
      <c r="MV141" s="98"/>
      <c r="MW141" s="98"/>
      <c r="MX141" s="98"/>
      <c r="MY141" s="98"/>
      <c r="MZ141" s="98"/>
      <c r="NA141" s="98"/>
      <c r="NB141" s="98"/>
      <c r="NC141" s="98"/>
      <c r="ND141" s="98"/>
      <c r="NE141" s="98"/>
      <c r="NF141" s="98"/>
      <c r="NG141" s="98"/>
      <c r="NH141" s="98"/>
      <c r="NI141" s="98"/>
      <c r="NJ141" s="98"/>
      <c r="NK141" s="98"/>
      <c r="NL141" s="98"/>
      <c r="NM141" s="98"/>
      <c r="NN141" s="98"/>
      <c r="NO141" s="98"/>
      <c r="NP141" s="98"/>
      <c r="NQ141" s="98"/>
      <c r="NR141" s="98"/>
      <c r="NS141" s="98"/>
      <c r="NT141" s="98"/>
      <c r="NU141" s="98"/>
      <c r="NV141" s="98"/>
      <c r="NW141" s="98"/>
      <c r="NX141" s="98"/>
      <c r="NY141" s="98"/>
      <c r="NZ141" s="98"/>
      <c r="OA141" s="98"/>
      <c r="OB141" s="98"/>
      <c r="OC141" s="98"/>
      <c r="OD141" s="98"/>
      <c r="OE141" s="98"/>
      <c r="OF141" s="98"/>
      <c r="OG141" s="98"/>
      <c r="OH141" s="98"/>
      <c r="OI141" s="98"/>
      <c r="OJ141" s="98"/>
      <c r="OK141" s="98"/>
      <c r="OL141" s="98"/>
      <c r="OM141" s="98"/>
      <c r="ON141" s="98"/>
      <c r="OO141" s="98"/>
      <c r="OP141" s="98"/>
      <c r="OQ141" s="98"/>
      <c r="OR141" s="98"/>
      <c r="OS141" s="98"/>
      <c r="OT141" s="98"/>
      <c r="OU141" s="98"/>
      <c r="OV141" s="98"/>
      <c r="OW141" s="98"/>
      <c r="OX141" s="98"/>
      <c r="OY141" s="98"/>
      <c r="OZ141" s="98"/>
      <c r="PA141" s="98"/>
      <c r="PB141" s="98"/>
      <c r="PC141" s="98"/>
      <c r="PD141" s="98"/>
      <c r="PE141" s="98"/>
      <c r="PF141" s="98"/>
      <c r="PG141" s="98"/>
      <c r="PH141" s="98"/>
      <c r="PI141" s="98"/>
      <c r="PJ141" s="98"/>
      <c r="PK141" s="98"/>
      <c r="PL141" s="98"/>
      <c r="PM141" s="98"/>
      <c r="PN141" s="98"/>
      <c r="PO141" s="98"/>
      <c r="PP141" s="98"/>
      <c r="PQ141" s="98"/>
      <c r="PR141" s="98"/>
      <c r="PS141" s="98"/>
      <c r="PT141" s="98"/>
      <c r="PU141" s="98"/>
      <c r="PV141" s="98"/>
      <c r="PW141" s="98"/>
      <c r="PX141" s="98"/>
      <c r="PY141" s="98"/>
      <c r="PZ141" s="98"/>
      <c r="QA141" s="98"/>
      <c r="QB141" s="98"/>
      <c r="QC141" s="98"/>
      <c r="QD141" s="98"/>
      <c r="QE141" s="98"/>
      <c r="QF141" s="98"/>
      <c r="QG141" s="98"/>
      <c r="QH141" s="98"/>
      <c r="QI141" s="98"/>
      <c r="QJ141" s="98"/>
      <c r="QK141" s="98"/>
      <c r="QL141" s="98"/>
      <c r="QM141" s="98"/>
      <c r="QN141" s="98"/>
      <c r="QO141" s="98"/>
      <c r="QP141" s="98"/>
      <c r="QQ141" s="98"/>
      <c r="QR141" s="98"/>
      <c r="QS141" s="98"/>
      <c r="QT141" s="98"/>
      <c r="QU141" s="98"/>
      <c r="QV141" s="98"/>
      <c r="QW141" s="98"/>
      <c r="QX141" s="98"/>
      <c r="QY141" s="98"/>
      <c r="QZ141" s="98"/>
      <c r="RA141" s="98"/>
      <c r="RB141" s="98"/>
      <c r="RC141" s="98"/>
      <c r="RD141" s="98"/>
      <c r="RE141" s="98"/>
      <c r="RF141" s="98"/>
      <c r="RG141" s="98"/>
      <c r="RH141" s="98"/>
      <c r="RI141" s="98"/>
      <c r="RJ141" s="98"/>
      <c r="RK141" s="98"/>
      <c r="RL141" s="98"/>
      <c r="RM141" s="98"/>
      <c r="RN141" s="98"/>
      <c r="RO141" s="98"/>
      <c r="RP141" s="98"/>
      <c r="RQ141" s="98"/>
      <c r="RR141" s="98"/>
      <c r="RS141" s="98"/>
      <c r="RT141" s="98"/>
      <c r="RU141" s="98"/>
      <c r="RV141" s="98"/>
      <c r="RW141" s="98"/>
      <c r="RX141" s="98"/>
      <c r="RY141" s="98"/>
      <c r="RZ141" s="98"/>
      <c r="SA141" s="98"/>
      <c r="SB141" s="98"/>
      <c r="SC141" s="98"/>
      <c r="SD141" s="98"/>
      <c r="SE141" s="98"/>
      <c r="SF141" s="98"/>
      <c r="SG141" s="98"/>
      <c r="SH141" s="98"/>
      <c r="SI141" s="98"/>
      <c r="SJ141" s="98"/>
      <c r="SK141" s="98"/>
      <c r="SL141" s="98"/>
      <c r="SM141" s="98"/>
      <c r="SN141" s="98"/>
      <c r="SO141" s="98"/>
      <c r="SP141" s="98"/>
      <c r="SQ141" s="98"/>
      <c r="SR141" s="98"/>
      <c r="SS141" s="98"/>
      <c r="ST141" s="98"/>
      <c r="SU141" s="98"/>
      <c r="SV141" s="98"/>
      <c r="SW141" s="98"/>
      <c r="SX141" s="98"/>
      <c r="SY141" s="98"/>
      <c r="SZ141" s="98"/>
      <c r="TA141" s="98"/>
      <c r="TB141" s="98"/>
      <c r="TC141" s="98"/>
      <c r="TD141" s="98"/>
      <c r="TE141" s="98"/>
      <c r="TF141" s="98"/>
      <c r="TG141" s="98"/>
      <c r="TH141" s="98"/>
      <c r="TI141" s="98"/>
      <c r="TJ141" s="98"/>
      <c r="TK141" s="98"/>
      <c r="TL141" s="98"/>
      <c r="TM141" s="98"/>
      <c r="TN141" s="98"/>
      <c r="TO141" s="98"/>
      <c r="TP141" s="98"/>
      <c r="TQ141" s="98"/>
      <c r="TR141" s="98"/>
      <c r="TS141" s="98"/>
      <c r="TT141" s="98"/>
      <c r="TU141" s="98"/>
      <c r="TV141" s="98"/>
      <c r="TW141" s="98"/>
      <c r="TX141" s="98"/>
      <c r="TY141" s="98"/>
      <c r="TZ141" s="98"/>
      <c r="UA141" s="98"/>
      <c r="UB141" s="98"/>
      <c r="UC141" s="98"/>
      <c r="UD141" s="98"/>
      <c r="UE141" s="98"/>
      <c r="UF141" s="98"/>
      <c r="UG141" s="98"/>
      <c r="UH141" s="98"/>
      <c r="UI141" s="98"/>
      <c r="UJ141" s="98"/>
      <c r="UK141" s="98"/>
      <c r="UL141" s="98"/>
      <c r="UM141" s="98"/>
      <c r="UN141" s="98"/>
      <c r="UO141" s="98"/>
      <c r="UP141" s="98"/>
      <c r="UQ141" s="98"/>
      <c r="UR141" s="98"/>
      <c r="US141" s="98"/>
      <c r="UT141" s="98"/>
      <c r="UU141" s="98"/>
      <c r="UV141" s="98"/>
      <c r="UW141" s="98"/>
      <c r="UX141" s="98"/>
      <c r="UY141" s="98"/>
      <c r="UZ141" s="98"/>
      <c r="VA141" s="98"/>
      <c r="VB141" s="98"/>
      <c r="VC141" s="98"/>
      <c r="VD141" s="98"/>
      <c r="VE141" s="98"/>
      <c r="VF141" s="98"/>
      <c r="VG141" s="98"/>
      <c r="VH141" s="98"/>
      <c r="VI141" s="98"/>
      <c r="VJ141" s="98"/>
      <c r="VK141" s="98"/>
      <c r="VL141" s="98"/>
      <c r="VM141" s="98"/>
      <c r="VN141" s="98"/>
      <c r="VO141" s="98"/>
      <c r="VP141" s="98"/>
      <c r="VQ141" s="98"/>
      <c r="VR141" s="98"/>
      <c r="VS141" s="98"/>
      <c r="VT141" s="98"/>
      <c r="VU141" s="98"/>
      <c r="VV141" s="98"/>
      <c r="VW141" s="98"/>
      <c r="VX141" s="98"/>
      <c r="VY141" s="98"/>
      <c r="VZ141" s="98"/>
      <c r="WA141" s="98"/>
      <c r="WB141" s="98"/>
      <c r="WC141" s="98"/>
      <c r="WD141" s="98"/>
      <c r="WE141" s="98"/>
      <c r="WF141" s="98"/>
      <c r="WG141" s="98"/>
      <c r="WH141" s="98"/>
      <c r="WI141" s="98"/>
      <c r="WJ141" s="98"/>
      <c r="WK141" s="98"/>
      <c r="WL141" s="98"/>
      <c r="WM141" s="98"/>
      <c r="WN141" s="98"/>
      <c r="WO141" s="98"/>
      <c r="WP141" s="98"/>
      <c r="WQ141" s="98"/>
      <c r="WR141" s="98"/>
      <c r="WS141" s="98"/>
      <c r="WT141" s="98"/>
      <c r="WU141" s="98"/>
      <c r="WV141" s="98"/>
      <c r="WW141" s="98"/>
      <c r="WX141" s="98"/>
      <c r="WY141" s="98"/>
      <c r="WZ141" s="98"/>
      <c r="XA141" s="98"/>
      <c r="XB141" s="98"/>
      <c r="XC141" s="98"/>
      <c r="XD141" s="98"/>
      <c r="XE141" s="98"/>
      <c r="XF141" s="98"/>
      <c r="XG141" s="98"/>
      <c r="XH141" s="98"/>
      <c r="XI141" s="98"/>
      <c r="XJ141" s="98"/>
      <c r="XK141" s="98"/>
      <c r="XL141" s="98"/>
      <c r="XM141" s="98"/>
      <c r="XN141" s="98"/>
      <c r="XO141" s="98"/>
      <c r="XP141" s="98"/>
      <c r="XQ141" s="98"/>
      <c r="XR141" s="98"/>
      <c r="XS141" s="98"/>
      <c r="XT141" s="98"/>
      <c r="XU141" s="98"/>
      <c r="XV141" s="98"/>
      <c r="XW141" s="98"/>
      <c r="XX141" s="98"/>
      <c r="XY141" s="98"/>
      <c r="XZ141" s="98"/>
      <c r="YA141" s="98"/>
      <c r="YB141" s="98"/>
      <c r="YC141" s="98"/>
      <c r="YD141" s="98"/>
      <c r="YE141" s="98"/>
      <c r="YF141" s="98"/>
      <c r="YG141" s="98"/>
      <c r="YH141" s="98"/>
      <c r="YI141" s="98"/>
      <c r="YJ141" s="98"/>
      <c r="YK141" s="98"/>
      <c r="YL141" s="98"/>
      <c r="YM141" s="98"/>
      <c r="YN141" s="98"/>
      <c r="YO141" s="98"/>
      <c r="YP141" s="98"/>
      <c r="YQ141" s="98"/>
      <c r="YR141" s="98"/>
      <c r="YS141" s="98"/>
      <c r="YT141" s="98"/>
      <c r="YU141" s="98"/>
      <c r="YV141" s="98"/>
      <c r="YW141" s="98"/>
      <c r="YX141" s="98"/>
      <c r="YY141" s="98"/>
      <c r="YZ141" s="98"/>
      <c r="ZA141" s="98"/>
      <c r="ZB141" s="98"/>
      <c r="ZC141" s="98"/>
      <c r="ZD141" s="98"/>
      <c r="ZE141" s="98"/>
      <c r="ZF141" s="98"/>
      <c r="ZG141" s="98"/>
      <c r="ZH141" s="98"/>
      <c r="ZI141" s="98"/>
      <c r="ZJ141" s="98"/>
      <c r="ZK141" s="98"/>
      <c r="ZL141" s="98"/>
      <c r="ZM141" s="98"/>
      <c r="ZN141" s="98"/>
      <c r="ZO141" s="98"/>
      <c r="ZP141" s="98"/>
      <c r="ZQ141" s="98"/>
      <c r="ZR141" s="98"/>
      <c r="ZS141" s="98"/>
      <c r="ZT141" s="98"/>
      <c r="ZU141" s="98"/>
      <c r="ZV141" s="98"/>
      <c r="ZW141" s="98"/>
      <c r="ZX141" s="98"/>
      <c r="ZY141" s="98"/>
      <c r="ZZ141" s="98"/>
      <c r="AAA141" s="98"/>
      <c r="AAB141" s="98"/>
      <c r="AAC141" s="98"/>
      <c r="AAD141" s="98"/>
      <c r="AAE141" s="98"/>
      <c r="AAF141" s="98"/>
      <c r="AAG141" s="98"/>
      <c r="AAH141" s="98"/>
      <c r="AAI141" s="98"/>
      <c r="AAJ141" s="98"/>
      <c r="AAK141" s="98"/>
      <c r="AAL141" s="98"/>
      <c r="AAM141" s="98"/>
      <c r="AAN141" s="98"/>
      <c r="AAO141" s="98"/>
      <c r="AAP141" s="98"/>
      <c r="AAQ141" s="98"/>
      <c r="AAR141" s="98"/>
      <c r="AAS141" s="98"/>
      <c r="AAT141" s="98"/>
      <c r="AAU141" s="98"/>
      <c r="AAV141" s="98"/>
      <c r="AAW141" s="98"/>
      <c r="AAX141" s="98"/>
      <c r="AAY141" s="98"/>
      <c r="AAZ141" s="98"/>
      <c r="ABA141" s="98"/>
      <c r="ABB141" s="98"/>
      <c r="ABC141" s="98"/>
      <c r="ABD141" s="98"/>
      <c r="ABE141" s="98"/>
      <c r="ABF141" s="98"/>
      <c r="ABG141" s="98"/>
      <c r="ABH141" s="98"/>
      <c r="ABI141" s="98"/>
      <c r="ABJ141" s="98"/>
      <c r="ABK141" s="98"/>
      <c r="ABL141" s="98"/>
      <c r="ABM141" s="98"/>
      <c r="ABN141" s="98"/>
      <c r="ABO141" s="98"/>
      <c r="ABP141" s="98"/>
      <c r="ABQ141" s="98"/>
      <c r="ABR141" s="98"/>
      <c r="ABS141" s="98"/>
      <c r="ABT141" s="98"/>
      <c r="ABU141" s="98"/>
      <c r="ABV141" s="98"/>
      <c r="ABW141" s="98"/>
      <c r="ABX141" s="98"/>
      <c r="ABY141" s="98"/>
      <c r="ABZ141" s="98"/>
      <c r="ACA141" s="98"/>
      <c r="ACB141" s="98"/>
      <c r="ACC141" s="98"/>
      <c r="ACD141" s="98"/>
      <c r="ACE141" s="98"/>
      <c r="ACF141" s="98"/>
      <c r="ACG141" s="98"/>
      <c r="ACH141" s="98"/>
      <c r="ACI141" s="98"/>
      <c r="ACJ141" s="98"/>
      <c r="ACK141" s="98"/>
      <c r="ACL141" s="98"/>
      <c r="ACM141" s="98"/>
      <c r="ACN141" s="98"/>
      <c r="ACO141" s="98"/>
      <c r="ACP141" s="98"/>
      <c r="ACQ141" s="98"/>
      <c r="ACR141" s="98"/>
      <c r="ACS141" s="98"/>
      <c r="ACT141" s="98"/>
      <c r="ACU141" s="98"/>
      <c r="ACV141" s="98"/>
      <c r="ACW141" s="98"/>
      <c r="ACX141" s="98"/>
      <c r="ACY141" s="98"/>
      <c r="ACZ141" s="98"/>
      <c r="ADA141" s="98"/>
      <c r="ADB141" s="98"/>
      <c r="ADC141" s="98"/>
      <c r="ADD141" s="98"/>
      <c r="ADE141" s="98"/>
      <c r="ADF141" s="98"/>
      <c r="ADG141" s="98"/>
      <c r="ADH141" s="98"/>
      <c r="ADI141" s="98"/>
      <c r="ADJ141" s="98"/>
      <c r="ADK141" s="98"/>
      <c r="ADL141" s="98"/>
      <c r="ADM141" s="98"/>
      <c r="ADN141" s="98"/>
      <c r="ADO141" s="98"/>
      <c r="ADP141" s="98"/>
      <c r="ADQ141" s="98"/>
      <c r="ADR141" s="98"/>
      <c r="ADS141" s="98"/>
      <c r="ADT141" s="98"/>
      <c r="ADU141" s="98"/>
      <c r="ADV141" s="98"/>
      <c r="ADW141" s="98"/>
      <c r="ADX141" s="98"/>
      <c r="ADY141" s="98"/>
      <c r="ADZ141" s="98"/>
      <c r="AEA141" s="98"/>
      <c r="AEB141" s="98"/>
      <c r="AEC141" s="98"/>
      <c r="AED141" s="98"/>
      <c r="AEE141" s="98"/>
      <c r="AEF141" s="98"/>
      <c r="AEG141" s="98"/>
      <c r="AEH141" s="98"/>
      <c r="AEI141" s="98"/>
      <c r="AEJ141" s="98"/>
      <c r="AEK141" s="98"/>
      <c r="AEL141" s="98"/>
      <c r="AEM141" s="98"/>
      <c r="AEN141" s="98"/>
      <c r="AEO141" s="98"/>
      <c r="AEP141" s="98"/>
      <c r="AEQ141" s="98"/>
      <c r="AER141" s="98"/>
      <c r="AES141" s="98"/>
      <c r="AET141" s="98"/>
      <c r="AEU141" s="98"/>
      <c r="AEV141" s="98"/>
      <c r="AEW141" s="98"/>
      <c r="AEX141" s="98"/>
      <c r="AEY141" s="98"/>
      <c r="AEZ141" s="98"/>
      <c r="AFA141" s="98"/>
      <c r="AFB141" s="98"/>
      <c r="AFC141" s="98"/>
      <c r="AFD141" s="98"/>
      <c r="AFE141" s="98"/>
      <c r="AFF141" s="98"/>
      <c r="AFG141" s="98"/>
      <c r="AFH141" s="98"/>
      <c r="AFI141" s="98"/>
      <c r="AFJ141" s="98"/>
      <c r="AFK141" s="98"/>
      <c r="AFL141" s="98"/>
      <c r="AFM141" s="98"/>
      <c r="AFN141" s="98"/>
      <c r="AFO141" s="98"/>
      <c r="AFP141" s="98"/>
      <c r="AFQ141" s="98"/>
      <c r="AFR141" s="98"/>
      <c r="AFS141" s="98"/>
      <c r="AFT141" s="98"/>
      <c r="AFU141" s="98"/>
      <c r="AFV141" s="98"/>
      <c r="AFW141" s="98"/>
      <c r="AFX141" s="98"/>
      <c r="AFY141" s="98"/>
      <c r="AFZ141" s="98"/>
      <c r="AGA141" s="98"/>
      <c r="AGB141" s="98"/>
      <c r="AGC141" s="98"/>
      <c r="AGD141" s="98"/>
      <c r="AGE141" s="98"/>
      <c r="AGF141" s="98"/>
      <c r="AGG141" s="98"/>
      <c r="AGH141" s="98"/>
      <c r="AGI141" s="98"/>
      <c r="AGJ141" s="98"/>
      <c r="AGK141" s="98"/>
      <c r="AGL141" s="98"/>
      <c r="AGM141" s="98"/>
      <c r="AGN141" s="98"/>
      <c r="AGO141" s="98"/>
      <c r="AGP141" s="98"/>
      <c r="AGQ141" s="98"/>
      <c r="AGR141" s="98"/>
      <c r="AGS141" s="98"/>
      <c r="AGT141" s="98"/>
      <c r="AGU141" s="98"/>
      <c r="AGV141" s="98"/>
      <c r="AGW141" s="98"/>
      <c r="AGX141" s="98"/>
      <c r="AGY141" s="98"/>
      <c r="AGZ141" s="98"/>
      <c r="AHA141" s="98"/>
      <c r="AHB141" s="98"/>
      <c r="AHC141" s="98"/>
      <c r="AHD141" s="98"/>
      <c r="AHE141" s="98"/>
      <c r="AHF141" s="98"/>
      <c r="AHG141" s="98"/>
      <c r="AHH141" s="98"/>
      <c r="AHI141" s="98"/>
      <c r="AHJ141" s="98"/>
      <c r="AHK141" s="98"/>
      <c r="AHL141" s="98"/>
      <c r="AHM141" s="98"/>
      <c r="AHN141" s="98"/>
      <c r="AHO141" s="98"/>
      <c r="AHP141" s="98"/>
      <c r="AHQ141" s="98"/>
      <c r="AHR141" s="98"/>
      <c r="AHS141" s="98"/>
      <c r="AHT141" s="98"/>
      <c r="AHU141" s="98"/>
      <c r="AHV141" s="98"/>
      <c r="AHW141" s="98"/>
      <c r="AHX141" s="98"/>
      <c r="AHY141" s="98"/>
      <c r="AHZ141" s="98"/>
      <c r="AIA141" s="98"/>
      <c r="AIB141" s="98"/>
      <c r="AIC141" s="98"/>
      <c r="AID141" s="98"/>
      <c r="AIE141" s="98"/>
      <c r="AIF141" s="98"/>
      <c r="AIG141" s="98"/>
      <c r="AIH141" s="98"/>
      <c r="AII141" s="98"/>
      <c r="AIJ141" s="98"/>
      <c r="AIK141" s="98"/>
      <c r="AIL141" s="98"/>
      <c r="AIM141" s="98"/>
      <c r="AIN141" s="98"/>
      <c r="AIO141" s="98"/>
      <c r="AIP141" s="98"/>
      <c r="AIQ141" s="98"/>
      <c r="AIR141" s="98"/>
      <c r="AIS141" s="98"/>
      <c r="AIT141" s="98"/>
      <c r="AIU141" s="98"/>
      <c r="AIV141" s="98"/>
      <c r="AIW141" s="98"/>
      <c r="AIX141" s="98"/>
      <c r="AIY141" s="98"/>
      <c r="AIZ141" s="98"/>
      <c r="AJA141" s="98"/>
      <c r="AJB141" s="98"/>
      <c r="AJC141" s="98"/>
      <c r="AJD141" s="98"/>
      <c r="AJE141" s="98"/>
      <c r="AJF141" s="98"/>
      <c r="AJG141" s="98"/>
      <c r="AJH141" s="98"/>
      <c r="AJI141" s="98"/>
      <c r="AJJ141" s="98"/>
      <c r="AJK141" s="98"/>
      <c r="AJL141" s="98"/>
      <c r="AJM141" s="98"/>
      <c r="AJN141" s="98"/>
      <c r="AJO141" s="98"/>
      <c r="AJP141" s="98"/>
      <c r="AJQ141" s="98"/>
      <c r="AJR141" s="98"/>
      <c r="AJS141" s="98"/>
      <c r="AJT141" s="98"/>
      <c r="AJU141" s="98"/>
      <c r="AJV141" s="98"/>
      <c r="AJW141" s="98"/>
      <c r="AJX141" s="98"/>
      <c r="AJY141" s="98"/>
      <c r="AJZ141" s="98"/>
      <c r="AKA141" s="98"/>
      <c r="AKB141" s="98"/>
      <c r="AKC141" s="98"/>
      <c r="AKD141" s="98"/>
      <c r="AKE141" s="98"/>
      <c r="AKF141" s="98"/>
      <c r="AKG141" s="98"/>
      <c r="AKH141" s="98"/>
      <c r="AKI141" s="98"/>
      <c r="AKJ141" s="98"/>
      <c r="AKK141" s="98"/>
      <c r="AKL141" s="98"/>
      <c r="AKM141" s="98"/>
      <c r="AKN141" s="98"/>
      <c r="AKO141" s="98"/>
      <c r="AKP141" s="98"/>
      <c r="AKQ141" s="98"/>
      <c r="AKR141" s="98"/>
      <c r="AKS141" s="98"/>
      <c r="AKT141" s="98"/>
      <c r="AKU141" s="98"/>
      <c r="AKV141" s="98"/>
      <c r="AKW141" s="98"/>
      <c r="AKX141" s="98"/>
      <c r="AKY141" s="98"/>
      <c r="AKZ141" s="98"/>
      <c r="ALA141" s="98"/>
      <c r="ALB141" s="98"/>
      <c r="ALC141" s="98"/>
      <c r="ALD141" s="98"/>
      <c r="ALE141" s="98"/>
      <c r="ALF141" s="98"/>
      <c r="ALG141" s="98"/>
      <c r="ALH141" s="98"/>
      <c r="ALI141" s="98"/>
      <c r="ALJ141" s="98"/>
      <c r="ALK141" s="98"/>
      <c r="ALL141" s="98"/>
      <c r="ALM141" s="98"/>
      <c r="ALN141" s="98"/>
      <c r="ALO141" s="98"/>
      <c r="ALP141" s="98"/>
      <c r="ALQ141" s="98"/>
      <c r="ALR141" s="98"/>
      <c r="ALS141" s="98"/>
      <c r="ALT141" s="98"/>
      <c r="ALU141" s="98"/>
      <c r="ALV141" s="98"/>
      <c r="ALW141" s="98"/>
      <c r="ALX141" s="98"/>
      <c r="ALY141" s="98"/>
      <c r="ALZ141" s="98"/>
      <c r="AMA141" s="98"/>
      <c r="AMB141" s="98"/>
      <c r="AMC141" s="98"/>
      <c r="AMD141" s="98"/>
      <c r="AME141" s="98"/>
      <c r="AMF141" s="98"/>
      <c r="AMG141" s="98"/>
      <c r="AMH141" s="98"/>
      <c r="AMI141" s="98"/>
      <c r="AMJ141" s="98"/>
      <c r="AMK141" s="98"/>
      <c r="AML141" s="98"/>
      <c r="AMM141" s="98"/>
      <c r="AMN141" s="98"/>
      <c r="AMO141" s="98"/>
      <c r="AMP141" s="98"/>
      <c r="AMQ141" s="98"/>
      <c r="AMR141" s="98"/>
      <c r="AMS141" s="98"/>
      <c r="AMT141" s="98"/>
      <c r="AMU141" s="98"/>
      <c r="AMV141" s="98"/>
      <c r="AMW141" s="98"/>
      <c r="AMX141" s="98"/>
      <c r="AMY141" s="98"/>
      <c r="AMZ141" s="98"/>
      <c r="ANA141" s="98"/>
      <c r="ANB141" s="98"/>
      <c r="ANC141" s="98"/>
      <c r="AND141" s="98"/>
      <c r="ANE141" s="98"/>
      <c r="ANF141" s="98"/>
      <c r="ANG141" s="98"/>
      <c r="ANH141" s="98"/>
      <c r="ANI141" s="98"/>
      <c r="ANJ141" s="98"/>
      <c r="ANK141" s="98"/>
      <c r="ANL141" s="98"/>
      <c r="ANM141" s="98"/>
      <c r="ANN141" s="98"/>
      <c r="ANO141" s="98"/>
      <c r="ANP141" s="98"/>
      <c r="ANQ141" s="98"/>
      <c r="ANR141" s="98"/>
      <c r="ANS141" s="98"/>
      <c r="ANT141" s="98"/>
      <c r="ANU141" s="98"/>
      <c r="ANV141" s="98"/>
      <c r="ANW141" s="98"/>
      <c r="ANX141" s="98"/>
      <c r="ANY141" s="98"/>
      <c r="ANZ141" s="98"/>
      <c r="AOA141" s="98"/>
      <c r="AOB141" s="98"/>
      <c r="AOC141" s="98"/>
      <c r="AOD141" s="98"/>
      <c r="AOE141" s="98"/>
      <c r="AOF141" s="98"/>
      <c r="AOG141" s="98"/>
      <c r="AOH141" s="98"/>
      <c r="AOI141" s="98"/>
      <c r="AOJ141" s="98"/>
      <c r="AOK141" s="98"/>
      <c r="AOL141" s="98"/>
      <c r="AOM141" s="98"/>
      <c r="AON141" s="98"/>
      <c r="AOO141" s="98"/>
      <c r="AOP141" s="98"/>
      <c r="AOQ141" s="98"/>
      <c r="AOR141" s="98"/>
      <c r="AOS141" s="98"/>
      <c r="AOT141" s="98"/>
      <c r="AOU141" s="98"/>
      <c r="AOV141" s="98"/>
      <c r="AOW141" s="98"/>
      <c r="AOX141" s="98"/>
      <c r="AOY141" s="98"/>
      <c r="AOZ141" s="98"/>
      <c r="APA141" s="98"/>
      <c r="APB141" s="98"/>
      <c r="APC141" s="98"/>
      <c r="APD141" s="98"/>
      <c r="APE141" s="98"/>
      <c r="APF141" s="98"/>
      <c r="APG141" s="98"/>
      <c r="APH141" s="98"/>
      <c r="API141" s="98"/>
      <c r="APJ141" s="98"/>
      <c r="APK141" s="98"/>
      <c r="APL141" s="98"/>
      <c r="APM141" s="98"/>
      <c r="APN141" s="98"/>
      <c r="APO141" s="98"/>
      <c r="APP141" s="98"/>
      <c r="APQ141" s="98"/>
      <c r="APR141" s="98"/>
      <c r="APS141" s="98"/>
      <c r="APT141" s="98"/>
      <c r="APU141" s="98"/>
      <c r="APV141" s="98"/>
      <c r="APW141" s="98"/>
      <c r="APX141" s="98"/>
      <c r="APY141" s="98"/>
      <c r="APZ141" s="98"/>
      <c r="AQA141" s="98"/>
      <c r="AQB141" s="98"/>
      <c r="AQC141" s="98"/>
      <c r="AQD141" s="98"/>
      <c r="AQE141" s="98"/>
      <c r="AQF141" s="98"/>
      <c r="AQG141" s="98"/>
      <c r="AQH141" s="98"/>
      <c r="AQI141" s="98"/>
      <c r="AQJ141" s="98"/>
      <c r="AQK141" s="98"/>
      <c r="AQL141" s="98"/>
      <c r="AQM141" s="98"/>
      <c r="AQN141" s="98"/>
      <c r="AQO141" s="98"/>
      <c r="AQP141" s="98"/>
      <c r="AQQ141" s="98"/>
      <c r="AQR141" s="98"/>
      <c r="AQS141" s="98"/>
      <c r="AQT141" s="98"/>
      <c r="AQU141" s="98"/>
      <c r="AQV141" s="98"/>
      <c r="AQW141" s="98"/>
      <c r="AQX141" s="98"/>
      <c r="AQY141" s="98"/>
      <c r="AQZ141" s="98"/>
      <c r="ARA141" s="98"/>
      <c r="ARB141" s="98"/>
      <c r="ARC141" s="98"/>
      <c r="ARD141" s="98"/>
      <c r="ARE141" s="98"/>
      <c r="ARF141" s="98"/>
      <c r="ARG141" s="98"/>
      <c r="ARH141" s="98"/>
      <c r="ARI141" s="98"/>
      <c r="ARJ141" s="98"/>
      <c r="ARK141" s="98"/>
      <c r="ARL141" s="98"/>
      <c r="ARM141" s="98"/>
      <c r="ARN141" s="98"/>
      <c r="ARO141" s="98"/>
      <c r="ARP141" s="98"/>
      <c r="ARQ141" s="98"/>
      <c r="ARR141" s="98"/>
      <c r="ARS141" s="98"/>
    </row>
    <row r="142" spans="1:1163" s="174" customFormat="1">
      <c r="A142" s="140" t="s">
        <v>180</v>
      </c>
      <c r="B142" s="119" t="s">
        <v>67</v>
      </c>
      <c r="C142" s="175">
        <v>1296263</v>
      </c>
      <c r="D142" s="175">
        <v>76999512</v>
      </c>
      <c r="E142" s="175">
        <v>38988</v>
      </c>
      <c r="F142" s="175">
        <v>4241104</v>
      </c>
      <c r="G142" s="175">
        <v>3763</v>
      </c>
      <c r="H142" s="175">
        <v>526820</v>
      </c>
      <c r="I142" s="175">
        <v>0</v>
      </c>
      <c r="J142" s="175">
        <v>0</v>
      </c>
      <c r="K142" s="175">
        <v>0</v>
      </c>
      <c r="L142" s="175">
        <v>0</v>
      </c>
      <c r="M142" s="175">
        <v>0</v>
      </c>
      <c r="N142" s="175">
        <v>0</v>
      </c>
      <c r="O142" s="175">
        <v>0</v>
      </c>
      <c r="P142" s="175">
        <v>0</v>
      </c>
      <c r="Q142" s="175">
        <v>0</v>
      </c>
      <c r="R142" s="175">
        <v>0</v>
      </c>
      <c r="S142" s="175">
        <v>0</v>
      </c>
      <c r="T142" s="175">
        <v>0</v>
      </c>
      <c r="U142" s="175">
        <v>0</v>
      </c>
      <c r="V142" s="175">
        <v>0</v>
      </c>
      <c r="W142" s="175">
        <v>0</v>
      </c>
      <c r="X142" s="175">
        <v>0</v>
      </c>
      <c r="Y142" s="175">
        <v>0</v>
      </c>
      <c r="Z142" s="175">
        <v>0</v>
      </c>
      <c r="AA142" s="175">
        <v>0</v>
      </c>
      <c r="AB142" s="175">
        <v>0</v>
      </c>
      <c r="AC142" s="175">
        <v>0</v>
      </c>
      <c r="AD142" s="175">
        <v>0</v>
      </c>
      <c r="AE142" s="175">
        <v>0</v>
      </c>
      <c r="AF142" s="175">
        <v>0</v>
      </c>
      <c r="AG142" s="175">
        <v>0</v>
      </c>
      <c r="AH142" s="175">
        <v>0</v>
      </c>
      <c r="AI142" s="175">
        <v>0</v>
      </c>
      <c r="AJ142" s="175">
        <v>0</v>
      </c>
      <c r="AK142" s="175">
        <v>0</v>
      </c>
      <c r="AL142" s="175">
        <v>0</v>
      </c>
      <c r="AM142" s="175">
        <v>0</v>
      </c>
      <c r="AN142" s="175">
        <v>0</v>
      </c>
      <c r="AO142" s="175">
        <v>0</v>
      </c>
      <c r="AP142" s="175">
        <v>0</v>
      </c>
      <c r="AQ142" s="175">
        <v>0</v>
      </c>
      <c r="AR142" s="175">
        <v>0</v>
      </c>
      <c r="AS142" s="175">
        <v>0</v>
      </c>
      <c r="AT142" s="201">
        <v>0</v>
      </c>
      <c r="AU142" s="201">
        <v>0</v>
      </c>
      <c r="AV142" s="201">
        <v>0</v>
      </c>
      <c r="AW142" s="201">
        <v>0</v>
      </c>
      <c r="AX142" s="201">
        <v>0</v>
      </c>
      <c r="AY142" s="197">
        <v>0</v>
      </c>
      <c r="AZ142" s="197">
        <v>0</v>
      </c>
      <c r="BA142" s="144"/>
      <c r="BB142" s="175"/>
      <c r="BC142" s="175"/>
      <c r="BD142" s="175"/>
      <c r="BE142" s="175"/>
      <c r="BF142" s="197"/>
      <c r="BG142" s="178"/>
      <c r="BH142" s="197"/>
      <c r="BI142" s="144"/>
      <c r="BJ142" s="98"/>
      <c r="BK142" s="98"/>
      <c r="BL142" s="98"/>
      <c r="BM142" s="148"/>
      <c r="BN142" s="14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c r="CZ142" s="98"/>
      <c r="DA142" s="98"/>
      <c r="DB142" s="98"/>
      <c r="DC142" s="98"/>
      <c r="DD142" s="98"/>
      <c r="DE142" s="98"/>
      <c r="DF142" s="98"/>
      <c r="DG142" s="98"/>
      <c r="DH142" s="98"/>
      <c r="DI142" s="98"/>
      <c r="DJ142" s="98"/>
      <c r="DK142" s="98"/>
      <c r="DL142" s="98"/>
      <c r="DM142" s="98"/>
      <c r="DN142" s="98"/>
      <c r="DO142" s="98"/>
      <c r="DP142" s="98"/>
      <c r="DQ142" s="98"/>
      <c r="DR142" s="98"/>
      <c r="DS142" s="98"/>
      <c r="DT142" s="98"/>
      <c r="DU142" s="98"/>
      <c r="DV142" s="98"/>
      <c r="DW142" s="98"/>
      <c r="DX142" s="98"/>
      <c r="DY142" s="98"/>
      <c r="DZ142" s="98"/>
      <c r="EA142" s="98"/>
      <c r="EB142" s="98"/>
      <c r="EC142" s="98"/>
      <c r="ED142" s="98"/>
      <c r="EE142" s="98"/>
      <c r="EF142" s="98"/>
      <c r="EG142" s="98"/>
      <c r="EH142" s="98"/>
      <c r="EI142" s="98"/>
      <c r="EJ142" s="98"/>
      <c r="EK142" s="98"/>
      <c r="EL142" s="98"/>
      <c r="EM142" s="98"/>
      <c r="EN142" s="98"/>
      <c r="EO142" s="98"/>
      <c r="EP142" s="98"/>
      <c r="EQ142" s="98"/>
      <c r="ER142" s="98"/>
      <c r="ES142" s="98"/>
      <c r="ET142" s="98"/>
      <c r="EU142" s="98"/>
      <c r="EV142" s="98"/>
      <c r="EW142" s="98"/>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c r="IW142" s="98"/>
      <c r="IX142" s="98"/>
      <c r="IY142" s="98"/>
      <c r="IZ142" s="98"/>
      <c r="JA142" s="98"/>
      <c r="JB142" s="98"/>
      <c r="JC142" s="98"/>
      <c r="JD142" s="98"/>
      <c r="JE142" s="98"/>
      <c r="JF142" s="98"/>
      <c r="JG142" s="98"/>
      <c r="JH142" s="98"/>
      <c r="JI142" s="98"/>
      <c r="JJ142" s="98"/>
      <c r="JK142" s="98"/>
      <c r="JL142" s="98"/>
      <c r="JM142" s="98"/>
      <c r="JN142" s="98"/>
      <c r="JO142" s="98"/>
      <c r="JP142" s="98"/>
      <c r="JQ142" s="98"/>
      <c r="JR142" s="98"/>
      <c r="JS142" s="98"/>
      <c r="JT142" s="98"/>
      <c r="JU142" s="98"/>
      <c r="JV142" s="98"/>
      <c r="JW142" s="98"/>
      <c r="JX142" s="98"/>
      <c r="JY142" s="98"/>
      <c r="JZ142" s="98"/>
      <c r="KA142" s="98"/>
      <c r="KB142" s="98"/>
      <c r="KC142" s="98"/>
      <c r="KD142" s="98"/>
      <c r="KE142" s="98"/>
      <c r="KF142" s="98"/>
      <c r="KG142" s="98"/>
      <c r="KH142" s="98"/>
      <c r="KI142" s="98"/>
      <c r="KJ142" s="98"/>
      <c r="KK142" s="98"/>
      <c r="KL142" s="98"/>
      <c r="KM142" s="98"/>
      <c r="KN142" s="98"/>
      <c r="KO142" s="98"/>
      <c r="KP142" s="98"/>
      <c r="KQ142" s="98"/>
      <c r="KR142" s="98"/>
      <c r="KS142" s="98"/>
      <c r="KT142" s="98"/>
      <c r="KU142" s="98"/>
      <c r="KV142" s="98"/>
      <c r="KW142" s="98"/>
      <c r="KX142" s="98"/>
      <c r="KY142" s="98"/>
      <c r="KZ142" s="98"/>
      <c r="LA142" s="98"/>
      <c r="LB142" s="98"/>
      <c r="LC142" s="98"/>
      <c r="LD142" s="98"/>
      <c r="LE142" s="98"/>
      <c r="LF142" s="98"/>
      <c r="LG142" s="98"/>
      <c r="LH142" s="98"/>
      <c r="LI142" s="98"/>
      <c r="LJ142" s="98"/>
      <c r="LK142" s="98"/>
      <c r="LL142" s="98"/>
      <c r="LM142" s="98"/>
      <c r="LN142" s="98"/>
      <c r="LO142" s="98"/>
      <c r="LP142" s="98"/>
      <c r="LQ142" s="98"/>
      <c r="LR142" s="98"/>
      <c r="LS142" s="98"/>
      <c r="LT142" s="98"/>
      <c r="LU142" s="98"/>
      <c r="LV142" s="98"/>
      <c r="LW142" s="98"/>
      <c r="LX142" s="98"/>
      <c r="LY142" s="98"/>
      <c r="LZ142" s="98"/>
      <c r="MA142" s="98"/>
      <c r="MB142" s="98"/>
      <c r="MC142" s="98"/>
      <c r="MD142" s="98"/>
      <c r="ME142" s="98"/>
      <c r="MF142" s="98"/>
      <c r="MG142" s="98"/>
      <c r="MH142" s="98"/>
      <c r="MI142" s="98"/>
      <c r="MJ142" s="98"/>
      <c r="MK142" s="98"/>
      <c r="ML142" s="98"/>
      <c r="MM142" s="98"/>
      <c r="MN142" s="98"/>
      <c r="MO142" s="98"/>
      <c r="MP142" s="98"/>
      <c r="MQ142" s="98"/>
      <c r="MR142" s="98"/>
      <c r="MS142" s="98"/>
      <c r="MT142" s="98"/>
      <c r="MU142" s="98"/>
      <c r="MV142" s="98"/>
      <c r="MW142" s="98"/>
      <c r="MX142" s="98"/>
      <c r="MY142" s="98"/>
      <c r="MZ142" s="98"/>
      <c r="NA142" s="98"/>
      <c r="NB142" s="98"/>
      <c r="NC142" s="98"/>
      <c r="ND142" s="98"/>
      <c r="NE142" s="98"/>
      <c r="NF142" s="98"/>
      <c r="NG142" s="98"/>
      <c r="NH142" s="98"/>
      <c r="NI142" s="98"/>
      <c r="NJ142" s="98"/>
      <c r="NK142" s="98"/>
      <c r="NL142" s="98"/>
      <c r="NM142" s="98"/>
      <c r="NN142" s="98"/>
      <c r="NO142" s="98"/>
      <c r="NP142" s="98"/>
      <c r="NQ142" s="98"/>
      <c r="NR142" s="98"/>
      <c r="NS142" s="98"/>
      <c r="NT142" s="98"/>
      <c r="NU142" s="98"/>
      <c r="NV142" s="98"/>
      <c r="NW142" s="98"/>
      <c r="NX142" s="98"/>
      <c r="NY142" s="98"/>
      <c r="NZ142" s="98"/>
      <c r="OA142" s="98"/>
      <c r="OB142" s="98"/>
      <c r="OC142" s="98"/>
      <c r="OD142" s="98"/>
      <c r="OE142" s="98"/>
      <c r="OF142" s="98"/>
      <c r="OG142" s="98"/>
      <c r="OH142" s="98"/>
      <c r="OI142" s="98"/>
      <c r="OJ142" s="98"/>
      <c r="OK142" s="98"/>
      <c r="OL142" s="98"/>
      <c r="OM142" s="98"/>
      <c r="ON142" s="98"/>
      <c r="OO142" s="98"/>
      <c r="OP142" s="98"/>
      <c r="OQ142" s="98"/>
      <c r="OR142" s="98"/>
      <c r="OS142" s="98"/>
      <c r="OT142" s="98"/>
      <c r="OU142" s="98"/>
      <c r="OV142" s="98"/>
      <c r="OW142" s="98"/>
      <c r="OX142" s="98"/>
      <c r="OY142" s="98"/>
      <c r="OZ142" s="98"/>
      <c r="PA142" s="98"/>
      <c r="PB142" s="98"/>
      <c r="PC142" s="98"/>
      <c r="PD142" s="98"/>
      <c r="PE142" s="98"/>
      <c r="PF142" s="98"/>
      <c r="PG142" s="98"/>
      <c r="PH142" s="98"/>
      <c r="PI142" s="98"/>
      <c r="PJ142" s="98"/>
      <c r="PK142" s="98"/>
      <c r="PL142" s="98"/>
      <c r="PM142" s="98"/>
      <c r="PN142" s="98"/>
      <c r="PO142" s="98"/>
      <c r="PP142" s="98"/>
      <c r="PQ142" s="98"/>
      <c r="PR142" s="98"/>
      <c r="PS142" s="98"/>
      <c r="PT142" s="98"/>
      <c r="PU142" s="98"/>
      <c r="PV142" s="98"/>
      <c r="PW142" s="98"/>
      <c r="PX142" s="98"/>
      <c r="PY142" s="98"/>
      <c r="PZ142" s="98"/>
      <c r="QA142" s="98"/>
      <c r="QB142" s="98"/>
      <c r="QC142" s="98"/>
      <c r="QD142" s="98"/>
      <c r="QE142" s="98"/>
      <c r="QF142" s="98"/>
      <c r="QG142" s="98"/>
      <c r="QH142" s="98"/>
      <c r="QI142" s="98"/>
      <c r="QJ142" s="98"/>
      <c r="QK142" s="98"/>
      <c r="QL142" s="98"/>
      <c r="QM142" s="98"/>
      <c r="QN142" s="98"/>
      <c r="QO142" s="98"/>
      <c r="QP142" s="98"/>
      <c r="QQ142" s="98"/>
      <c r="QR142" s="98"/>
      <c r="QS142" s="98"/>
      <c r="QT142" s="98"/>
      <c r="QU142" s="98"/>
      <c r="QV142" s="98"/>
      <c r="QW142" s="98"/>
      <c r="QX142" s="98"/>
      <c r="QY142" s="98"/>
      <c r="QZ142" s="98"/>
      <c r="RA142" s="98"/>
      <c r="RB142" s="98"/>
      <c r="RC142" s="98"/>
      <c r="RD142" s="98"/>
      <c r="RE142" s="98"/>
      <c r="RF142" s="98"/>
      <c r="RG142" s="98"/>
      <c r="RH142" s="98"/>
      <c r="RI142" s="98"/>
      <c r="RJ142" s="98"/>
      <c r="RK142" s="98"/>
      <c r="RL142" s="98"/>
      <c r="RM142" s="98"/>
      <c r="RN142" s="98"/>
      <c r="RO142" s="98"/>
      <c r="RP142" s="98"/>
      <c r="RQ142" s="98"/>
      <c r="RR142" s="98"/>
      <c r="RS142" s="98"/>
      <c r="RT142" s="98"/>
      <c r="RU142" s="98"/>
      <c r="RV142" s="98"/>
      <c r="RW142" s="98"/>
      <c r="RX142" s="98"/>
      <c r="RY142" s="98"/>
      <c r="RZ142" s="98"/>
      <c r="SA142" s="98"/>
      <c r="SB142" s="98"/>
      <c r="SC142" s="98"/>
      <c r="SD142" s="98"/>
      <c r="SE142" s="98"/>
      <c r="SF142" s="98"/>
      <c r="SG142" s="98"/>
      <c r="SH142" s="98"/>
      <c r="SI142" s="98"/>
      <c r="SJ142" s="98"/>
      <c r="SK142" s="98"/>
      <c r="SL142" s="98"/>
      <c r="SM142" s="98"/>
      <c r="SN142" s="98"/>
      <c r="SO142" s="98"/>
      <c r="SP142" s="98"/>
      <c r="SQ142" s="98"/>
      <c r="SR142" s="98"/>
      <c r="SS142" s="98"/>
      <c r="ST142" s="98"/>
      <c r="SU142" s="98"/>
      <c r="SV142" s="98"/>
      <c r="SW142" s="98"/>
      <c r="SX142" s="98"/>
      <c r="SY142" s="98"/>
      <c r="SZ142" s="98"/>
      <c r="TA142" s="98"/>
      <c r="TB142" s="98"/>
      <c r="TC142" s="98"/>
      <c r="TD142" s="98"/>
      <c r="TE142" s="98"/>
      <c r="TF142" s="98"/>
      <c r="TG142" s="98"/>
      <c r="TH142" s="98"/>
      <c r="TI142" s="98"/>
      <c r="TJ142" s="98"/>
      <c r="TK142" s="98"/>
      <c r="TL142" s="98"/>
      <c r="TM142" s="98"/>
      <c r="TN142" s="98"/>
      <c r="TO142" s="98"/>
      <c r="TP142" s="98"/>
      <c r="TQ142" s="98"/>
      <c r="TR142" s="98"/>
      <c r="TS142" s="98"/>
      <c r="TT142" s="98"/>
      <c r="TU142" s="98"/>
      <c r="TV142" s="98"/>
      <c r="TW142" s="98"/>
      <c r="TX142" s="98"/>
      <c r="TY142" s="98"/>
      <c r="TZ142" s="98"/>
      <c r="UA142" s="98"/>
      <c r="UB142" s="98"/>
      <c r="UC142" s="98"/>
      <c r="UD142" s="98"/>
      <c r="UE142" s="98"/>
      <c r="UF142" s="98"/>
      <c r="UG142" s="98"/>
      <c r="UH142" s="98"/>
      <c r="UI142" s="98"/>
      <c r="UJ142" s="98"/>
      <c r="UK142" s="98"/>
      <c r="UL142" s="98"/>
      <c r="UM142" s="98"/>
      <c r="UN142" s="98"/>
      <c r="UO142" s="98"/>
      <c r="UP142" s="98"/>
      <c r="UQ142" s="98"/>
      <c r="UR142" s="98"/>
      <c r="US142" s="98"/>
      <c r="UT142" s="98"/>
      <c r="UU142" s="98"/>
      <c r="UV142" s="98"/>
      <c r="UW142" s="98"/>
      <c r="UX142" s="98"/>
      <c r="UY142" s="98"/>
      <c r="UZ142" s="98"/>
      <c r="VA142" s="98"/>
      <c r="VB142" s="98"/>
      <c r="VC142" s="98"/>
      <c r="VD142" s="98"/>
      <c r="VE142" s="98"/>
      <c r="VF142" s="98"/>
      <c r="VG142" s="98"/>
      <c r="VH142" s="98"/>
      <c r="VI142" s="98"/>
      <c r="VJ142" s="98"/>
      <c r="VK142" s="98"/>
      <c r="VL142" s="98"/>
      <c r="VM142" s="98"/>
      <c r="VN142" s="98"/>
      <c r="VO142" s="98"/>
      <c r="VP142" s="98"/>
      <c r="VQ142" s="98"/>
      <c r="VR142" s="98"/>
      <c r="VS142" s="98"/>
      <c r="VT142" s="98"/>
      <c r="VU142" s="98"/>
      <c r="VV142" s="98"/>
      <c r="VW142" s="98"/>
      <c r="VX142" s="98"/>
      <c r="VY142" s="98"/>
      <c r="VZ142" s="98"/>
      <c r="WA142" s="98"/>
      <c r="WB142" s="98"/>
      <c r="WC142" s="98"/>
      <c r="WD142" s="98"/>
      <c r="WE142" s="98"/>
      <c r="WF142" s="98"/>
      <c r="WG142" s="98"/>
      <c r="WH142" s="98"/>
      <c r="WI142" s="98"/>
      <c r="WJ142" s="98"/>
      <c r="WK142" s="98"/>
      <c r="WL142" s="98"/>
      <c r="WM142" s="98"/>
      <c r="WN142" s="98"/>
      <c r="WO142" s="98"/>
      <c r="WP142" s="98"/>
      <c r="WQ142" s="98"/>
      <c r="WR142" s="98"/>
      <c r="WS142" s="98"/>
      <c r="WT142" s="98"/>
      <c r="WU142" s="98"/>
      <c r="WV142" s="98"/>
      <c r="WW142" s="98"/>
      <c r="WX142" s="98"/>
      <c r="WY142" s="98"/>
      <c r="WZ142" s="98"/>
      <c r="XA142" s="98"/>
      <c r="XB142" s="98"/>
      <c r="XC142" s="98"/>
      <c r="XD142" s="98"/>
      <c r="XE142" s="98"/>
      <c r="XF142" s="98"/>
      <c r="XG142" s="98"/>
      <c r="XH142" s="98"/>
      <c r="XI142" s="98"/>
      <c r="XJ142" s="98"/>
      <c r="XK142" s="98"/>
      <c r="XL142" s="98"/>
      <c r="XM142" s="98"/>
      <c r="XN142" s="98"/>
      <c r="XO142" s="98"/>
      <c r="XP142" s="98"/>
      <c r="XQ142" s="98"/>
      <c r="XR142" s="98"/>
      <c r="XS142" s="98"/>
      <c r="XT142" s="98"/>
      <c r="XU142" s="98"/>
      <c r="XV142" s="98"/>
      <c r="XW142" s="98"/>
      <c r="XX142" s="98"/>
      <c r="XY142" s="98"/>
      <c r="XZ142" s="98"/>
      <c r="YA142" s="98"/>
      <c r="YB142" s="98"/>
      <c r="YC142" s="98"/>
      <c r="YD142" s="98"/>
      <c r="YE142" s="98"/>
      <c r="YF142" s="98"/>
      <c r="YG142" s="98"/>
      <c r="YH142" s="98"/>
      <c r="YI142" s="98"/>
      <c r="YJ142" s="98"/>
      <c r="YK142" s="98"/>
      <c r="YL142" s="98"/>
      <c r="YM142" s="98"/>
      <c r="YN142" s="98"/>
      <c r="YO142" s="98"/>
      <c r="YP142" s="98"/>
      <c r="YQ142" s="98"/>
      <c r="YR142" s="98"/>
      <c r="YS142" s="98"/>
      <c r="YT142" s="98"/>
      <c r="YU142" s="98"/>
      <c r="YV142" s="98"/>
      <c r="YW142" s="98"/>
      <c r="YX142" s="98"/>
      <c r="YY142" s="98"/>
      <c r="YZ142" s="98"/>
      <c r="ZA142" s="98"/>
      <c r="ZB142" s="98"/>
      <c r="ZC142" s="98"/>
      <c r="ZD142" s="98"/>
      <c r="ZE142" s="98"/>
      <c r="ZF142" s="98"/>
      <c r="ZG142" s="98"/>
      <c r="ZH142" s="98"/>
      <c r="ZI142" s="98"/>
      <c r="ZJ142" s="98"/>
      <c r="ZK142" s="98"/>
      <c r="ZL142" s="98"/>
      <c r="ZM142" s="98"/>
      <c r="ZN142" s="98"/>
      <c r="ZO142" s="98"/>
      <c r="ZP142" s="98"/>
      <c r="ZQ142" s="98"/>
      <c r="ZR142" s="98"/>
      <c r="ZS142" s="98"/>
      <c r="ZT142" s="98"/>
      <c r="ZU142" s="98"/>
      <c r="ZV142" s="98"/>
      <c r="ZW142" s="98"/>
      <c r="ZX142" s="98"/>
      <c r="ZY142" s="98"/>
      <c r="ZZ142" s="98"/>
      <c r="AAA142" s="98"/>
      <c r="AAB142" s="98"/>
      <c r="AAC142" s="98"/>
      <c r="AAD142" s="98"/>
      <c r="AAE142" s="98"/>
      <c r="AAF142" s="98"/>
      <c r="AAG142" s="98"/>
      <c r="AAH142" s="98"/>
      <c r="AAI142" s="98"/>
      <c r="AAJ142" s="98"/>
      <c r="AAK142" s="98"/>
      <c r="AAL142" s="98"/>
      <c r="AAM142" s="98"/>
      <c r="AAN142" s="98"/>
      <c r="AAO142" s="98"/>
      <c r="AAP142" s="98"/>
      <c r="AAQ142" s="98"/>
      <c r="AAR142" s="98"/>
      <c r="AAS142" s="98"/>
      <c r="AAT142" s="98"/>
      <c r="AAU142" s="98"/>
      <c r="AAV142" s="98"/>
      <c r="AAW142" s="98"/>
      <c r="AAX142" s="98"/>
      <c r="AAY142" s="98"/>
      <c r="AAZ142" s="98"/>
      <c r="ABA142" s="98"/>
      <c r="ABB142" s="98"/>
      <c r="ABC142" s="98"/>
      <c r="ABD142" s="98"/>
      <c r="ABE142" s="98"/>
      <c r="ABF142" s="98"/>
      <c r="ABG142" s="98"/>
      <c r="ABH142" s="98"/>
      <c r="ABI142" s="98"/>
      <c r="ABJ142" s="98"/>
      <c r="ABK142" s="98"/>
      <c r="ABL142" s="98"/>
      <c r="ABM142" s="98"/>
      <c r="ABN142" s="98"/>
      <c r="ABO142" s="98"/>
      <c r="ABP142" s="98"/>
      <c r="ABQ142" s="98"/>
      <c r="ABR142" s="98"/>
      <c r="ABS142" s="98"/>
      <c r="ABT142" s="98"/>
      <c r="ABU142" s="98"/>
      <c r="ABV142" s="98"/>
      <c r="ABW142" s="98"/>
      <c r="ABX142" s="98"/>
      <c r="ABY142" s="98"/>
      <c r="ABZ142" s="98"/>
      <c r="ACA142" s="98"/>
      <c r="ACB142" s="98"/>
      <c r="ACC142" s="98"/>
      <c r="ACD142" s="98"/>
      <c r="ACE142" s="98"/>
      <c r="ACF142" s="98"/>
      <c r="ACG142" s="98"/>
      <c r="ACH142" s="98"/>
      <c r="ACI142" s="98"/>
      <c r="ACJ142" s="98"/>
      <c r="ACK142" s="98"/>
      <c r="ACL142" s="98"/>
      <c r="ACM142" s="98"/>
      <c r="ACN142" s="98"/>
      <c r="ACO142" s="98"/>
      <c r="ACP142" s="98"/>
      <c r="ACQ142" s="98"/>
      <c r="ACR142" s="98"/>
      <c r="ACS142" s="98"/>
      <c r="ACT142" s="98"/>
      <c r="ACU142" s="98"/>
      <c r="ACV142" s="98"/>
      <c r="ACW142" s="98"/>
      <c r="ACX142" s="98"/>
      <c r="ACY142" s="98"/>
      <c r="ACZ142" s="98"/>
      <c r="ADA142" s="98"/>
      <c r="ADB142" s="98"/>
      <c r="ADC142" s="98"/>
      <c r="ADD142" s="98"/>
      <c r="ADE142" s="98"/>
      <c r="ADF142" s="98"/>
      <c r="ADG142" s="98"/>
      <c r="ADH142" s="98"/>
      <c r="ADI142" s="98"/>
      <c r="ADJ142" s="98"/>
      <c r="ADK142" s="98"/>
      <c r="ADL142" s="98"/>
      <c r="ADM142" s="98"/>
      <c r="ADN142" s="98"/>
      <c r="ADO142" s="98"/>
      <c r="ADP142" s="98"/>
      <c r="ADQ142" s="98"/>
      <c r="ADR142" s="98"/>
      <c r="ADS142" s="98"/>
      <c r="ADT142" s="98"/>
      <c r="ADU142" s="98"/>
      <c r="ADV142" s="98"/>
      <c r="ADW142" s="98"/>
      <c r="ADX142" s="98"/>
      <c r="ADY142" s="98"/>
      <c r="ADZ142" s="98"/>
      <c r="AEA142" s="98"/>
      <c r="AEB142" s="98"/>
      <c r="AEC142" s="98"/>
      <c r="AED142" s="98"/>
      <c r="AEE142" s="98"/>
      <c r="AEF142" s="98"/>
      <c r="AEG142" s="98"/>
      <c r="AEH142" s="98"/>
      <c r="AEI142" s="98"/>
      <c r="AEJ142" s="98"/>
      <c r="AEK142" s="98"/>
      <c r="AEL142" s="98"/>
      <c r="AEM142" s="98"/>
      <c r="AEN142" s="98"/>
      <c r="AEO142" s="98"/>
      <c r="AEP142" s="98"/>
      <c r="AEQ142" s="98"/>
      <c r="AER142" s="98"/>
      <c r="AES142" s="98"/>
      <c r="AET142" s="98"/>
      <c r="AEU142" s="98"/>
      <c r="AEV142" s="98"/>
      <c r="AEW142" s="98"/>
      <c r="AEX142" s="98"/>
      <c r="AEY142" s="98"/>
      <c r="AEZ142" s="98"/>
      <c r="AFA142" s="98"/>
      <c r="AFB142" s="98"/>
      <c r="AFC142" s="98"/>
      <c r="AFD142" s="98"/>
      <c r="AFE142" s="98"/>
      <c r="AFF142" s="98"/>
      <c r="AFG142" s="98"/>
      <c r="AFH142" s="98"/>
      <c r="AFI142" s="98"/>
      <c r="AFJ142" s="98"/>
      <c r="AFK142" s="98"/>
      <c r="AFL142" s="98"/>
      <c r="AFM142" s="98"/>
      <c r="AFN142" s="98"/>
      <c r="AFO142" s="98"/>
      <c r="AFP142" s="98"/>
      <c r="AFQ142" s="98"/>
      <c r="AFR142" s="98"/>
      <c r="AFS142" s="98"/>
      <c r="AFT142" s="98"/>
      <c r="AFU142" s="98"/>
      <c r="AFV142" s="98"/>
      <c r="AFW142" s="98"/>
      <c r="AFX142" s="98"/>
      <c r="AFY142" s="98"/>
      <c r="AFZ142" s="98"/>
      <c r="AGA142" s="98"/>
      <c r="AGB142" s="98"/>
      <c r="AGC142" s="98"/>
      <c r="AGD142" s="98"/>
      <c r="AGE142" s="98"/>
      <c r="AGF142" s="98"/>
      <c r="AGG142" s="98"/>
      <c r="AGH142" s="98"/>
      <c r="AGI142" s="98"/>
      <c r="AGJ142" s="98"/>
      <c r="AGK142" s="98"/>
      <c r="AGL142" s="98"/>
      <c r="AGM142" s="98"/>
      <c r="AGN142" s="98"/>
      <c r="AGO142" s="98"/>
      <c r="AGP142" s="98"/>
      <c r="AGQ142" s="98"/>
      <c r="AGR142" s="98"/>
      <c r="AGS142" s="98"/>
      <c r="AGT142" s="98"/>
      <c r="AGU142" s="98"/>
      <c r="AGV142" s="98"/>
      <c r="AGW142" s="98"/>
      <c r="AGX142" s="98"/>
      <c r="AGY142" s="98"/>
      <c r="AGZ142" s="98"/>
      <c r="AHA142" s="98"/>
      <c r="AHB142" s="98"/>
      <c r="AHC142" s="98"/>
      <c r="AHD142" s="98"/>
      <c r="AHE142" s="98"/>
      <c r="AHF142" s="98"/>
      <c r="AHG142" s="98"/>
      <c r="AHH142" s="98"/>
      <c r="AHI142" s="98"/>
      <c r="AHJ142" s="98"/>
      <c r="AHK142" s="98"/>
      <c r="AHL142" s="98"/>
      <c r="AHM142" s="98"/>
      <c r="AHN142" s="98"/>
      <c r="AHO142" s="98"/>
      <c r="AHP142" s="98"/>
      <c r="AHQ142" s="98"/>
      <c r="AHR142" s="98"/>
      <c r="AHS142" s="98"/>
      <c r="AHT142" s="98"/>
      <c r="AHU142" s="98"/>
      <c r="AHV142" s="98"/>
      <c r="AHW142" s="98"/>
      <c r="AHX142" s="98"/>
      <c r="AHY142" s="98"/>
      <c r="AHZ142" s="98"/>
      <c r="AIA142" s="98"/>
      <c r="AIB142" s="98"/>
      <c r="AIC142" s="98"/>
      <c r="AID142" s="98"/>
      <c r="AIE142" s="98"/>
      <c r="AIF142" s="98"/>
      <c r="AIG142" s="98"/>
      <c r="AIH142" s="98"/>
      <c r="AII142" s="98"/>
      <c r="AIJ142" s="98"/>
      <c r="AIK142" s="98"/>
      <c r="AIL142" s="98"/>
      <c r="AIM142" s="98"/>
      <c r="AIN142" s="98"/>
      <c r="AIO142" s="98"/>
      <c r="AIP142" s="98"/>
      <c r="AIQ142" s="98"/>
      <c r="AIR142" s="98"/>
      <c r="AIS142" s="98"/>
      <c r="AIT142" s="98"/>
      <c r="AIU142" s="98"/>
      <c r="AIV142" s="98"/>
      <c r="AIW142" s="98"/>
      <c r="AIX142" s="98"/>
      <c r="AIY142" s="98"/>
      <c r="AIZ142" s="98"/>
      <c r="AJA142" s="98"/>
      <c r="AJB142" s="98"/>
      <c r="AJC142" s="98"/>
      <c r="AJD142" s="98"/>
      <c r="AJE142" s="98"/>
      <c r="AJF142" s="98"/>
      <c r="AJG142" s="98"/>
      <c r="AJH142" s="98"/>
      <c r="AJI142" s="98"/>
      <c r="AJJ142" s="98"/>
      <c r="AJK142" s="98"/>
      <c r="AJL142" s="98"/>
      <c r="AJM142" s="98"/>
      <c r="AJN142" s="98"/>
      <c r="AJO142" s="98"/>
      <c r="AJP142" s="98"/>
      <c r="AJQ142" s="98"/>
      <c r="AJR142" s="98"/>
      <c r="AJS142" s="98"/>
      <c r="AJT142" s="98"/>
      <c r="AJU142" s="98"/>
      <c r="AJV142" s="98"/>
      <c r="AJW142" s="98"/>
      <c r="AJX142" s="98"/>
      <c r="AJY142" s="98"/>
      <c r="AJZ142" s="98"/>
      <c r="AKA142" s="98"/>
      <c r="AKB142" s="98"/>
      <c r="AKC142" s="98"/>
      <c r="AKD142" s="98"/>
      <c r="AKE142" s="98"/>
      <c r="AKF142" s="98"/>
      <c r="AKG142" s="98"/>
      <c r="AKH142" s="98"/>
      <c r="AKI142" s="98"/>
      <c r="AKJ142" s="98"/>
      <c r="AKK142" s="98"/>
      <c r="AKL142" s="98"/>
      <c r="AKM142" s="98"/>
      <c r="AKN142" s="98"/>
      <c r="AKO142" s="98"/>
      <c r="AKP142" s="98"/>
      <c r="AKQ142" s="98"/>
      <c r="AKR142" s="98"/>
      <c r="AKS142" s="98"/>
      <c r="AKT142" s="98"/>
      <c r="AKU142" s="98"/>
      <c r="AKV142" s="98"/>
      <c r="AKW142" s="98"/>
      <c r="AKX142" s="98"/>
      <c r="AKY142" s="98"/>
      <c r="AKZ142" s="98"/>
      <c r="ALA142" s="98"/>
      <c r="ALB142" s="98"/>
      <c r="ALC142" s="98"/>
      <c r="ALD142" s="98"/>
      <c r="ALE142" s="98"/>
      <c r="ALF142" s="98"/>
      <c r="ALG142" s="98"/>
      <c r="ALH142" s="98"/>
      <c r="ALI142" s="98"/>
      <c r="ALJ142" s="98"/>
      <c r="ALK142" s="98"/>
      <c r="ALL142" s="98"/>
      <c r="ALM142" s="98"/>
      <c r="ALN142" s="98"/>
      <c r="ALO142" s="98"/>
      <c r="ALP142" s="98"/>
      <c r="ALQ142" s="98"/>
      <c r="ALR142" s="98"/>
      <c r="ALS142" s="98"/>
      <c r="ALT142" s="98"/>
      <c r="ALU142" s="98"/>
      <c r="ALV142" s="98"/>
      <c r="ALW142" s="98"/>
      <c r="ALX142" s="98"/>
      <c r="ALY142" s="98"/>
      <c r="ALZ142" s="98"/>
      <c r="AMA142" s="98"/>
      <c r="AMB142" s="98"/>
      <c r="AMC142" s="98"/>
      <c r="AMD142" s="98"/>
      <c r="AME142" s="98"/>
      <c r="AMF142" s="98"/>
      <c r="AMG142" s="98"/>
      <c r="AMH142" s="98"/>
      <c r="AMI142" s="98"/>
      <c r="AMJ142" s="98"/>
      <c r="AMK142" s="98"/>
      <c r="AML142" s="98"/>
      <c r="AMM142" s="98"/>
      <c r="AMN142" s="98"/>
      <c r="AMO142" s="98"/>
      <c r="AMP142" s="98"/>
      <c r="AMQ142" s="98"/>
      <c r="AMR142" s="98"/>
      <c r="AMS142" s="98"/>
      <c r="AMT142" s="98"/>
      <c r="AMU142" s="98"/>
      <c r="AMV142" s="98"/>
      <c r="AMW142" s="98"/>
      <c r="AMX142" s="98"/>
      <c r="AMY142" s="98"/>
      <c r="AMZ142" s="98"/>
      <c r="ANA142" s="98"/>
      <c r="ANB142" s="98"/>
      <c r="ANC142" s="98"/>
      <c r="AND142" s="98"/>
      <c r="ANE142" s="98"/>
      <c r="ANF142" s="98"/>
      <c r="ANG142" s="98"/>
      <c r="ANH142" s="98"/>
      <c r="ANI142" s="98"/>
      <c r="ANJ142" s="98"/>
      <c r="ANK142" s="98"/>
      <c r="ANL142" s="98"/>
      <c r="ANM142" s="98"/>
      <c r="ANN142" s="98"/>
      <c r="ANO142" s="98"/>
      <c r="ANP142" s="98"/>
      <c r="ANQ142" s="98"/>
      <c r="ANR142" s="98"/>
      <c r="ANS142" s="98"/>
      <c r="ANT142" s="98"/>
      <c r="ANU142" s="98"/>
      <c r="ANV142" s="98"/>
      <c r="ANW142" s="98"/>
      <c r="ANX142" s="98"/>
      <c r="ANY142" s="98"/>
      <c r="ANZ142" s="98"/>
      <c r="AOA142" s="98"/>
      <c r="AOB142" s="98"/>
      <c r="AOC142" s="98"/>
      <c r="AOD142" s="98"/>
      <c r="AOE142" s="98"/>
      <c r="AOF142" s="98"/>
      <c r="AOG142" s="98"/>
      <c r="AOH142" s="98"/>
      <c r="AOI142" s="98"/>
      <c r="AOJ142" s="98"/>
      <c r="AOK142" s="98"/>
      <c r="AOL142" s="98"/>
      <c r="AOM142" s="98"/>
      <c r="AON142" s="98"/>
      <c r="AOO142" s="98"/>
      <c r="AOP142" s="98"/>
      <c r="AOQ142" s="98"/>
      <c r="AOR142" s="98"/>
      <c r="AOS142" s="98"/>
      <c r="AOT142" s="98"/>
      <c r="AOU142" s="98"/>
      <c r="AOV142" s="98"/>
      <c r="AOW142" s="98"/>
      <c r="AOX142" s="98"/>
      <c r="AOY142" s="98"/>
      <c r="AOZ142" s="98"/>
      <c r="APA142" s="98"/>
      <c r="APB142" s="98"/>
      <c r="APC142" s="98"/>
      <c r="APD142" s="98"/>
      <c r="APE142" s="98"/>
      <c r="APF142" s="98"/>
      <c r="APG142" s="98"/>
      <c r="APH142" s="98"/>
      <c r="API142" s="98"/>
      <c r="APJ142" s="98"/>
      <c r="APK142" s="98"/>
      <c r="APL142" s="98"/>
      <c r="APM142" s="98"/>
      <c r="APN142" s="98"/>
      <c r="APO142" s="98"/>
      <c r="APP142" s="98"/>
      <c r="APQ142" s="98"/>
      <c r="APR142" s="98"/>
      <c r="APS142" s="98"/>
      <c r="APT142" s="98"/>
      <c r="APU142" s="98"/>
      <c r="APV142" s="98"/>
      <c r="APW142" s="98"/>
      <c r="APX142" s="98"/>
      <c r="APY142" s="98"/>
      <c r="APZ142" s="98"/>
      <c r="AQA142" s="98"/>
      <c r="AQB142" s="98"/>
      <c r="AQC142" s="98"/>
      <c r="AQD142" s="98"/>
      <c r="AQE142" s="98"/>
      <c r="AQF142" s="98"/>
      <c r="AQG142" s="98"/>
      <c r="AQH142" s="98"/>
      <c r="AQI142" s="98"/>
      <c r="AQJ142" s="98"/>
      <c r="AQK142" s="98"/>
      <c r="AQL142" s="98"/>
      <c r="AQM142" s="98"/>
      <c r="AQN142" s="98"/>
      <c r="AQO142" s="98"/>
      <c r="AQP142" s="98"/>
      <c r="AQQ142" s="98"/>
      <c r="AQR142" s="98"/>
      <c r="AQS142" s="98"/>
      <c r="AQT142" s="98"/>
      <c r="AQU142" s="98"/>
      <c r="AQV142" s="98"/>
      <c r="AQW142" s="98"/>
      <c r="AQX142" s="98"/>
      <c r="AQY142" s="98"/>
      <c r="AQZ142" s="98"/>
      <c r="ARA142" s="98"/>
      <c r="ARB142" s="98"/>
      <c r="ARC142" s="98"/>
      <c r="ARD142" s="98"/>
      <c r="ARE142" s="98"/>
      <c r="ARF142" s="98"/>
      <c r="ARG142" s="98"/>
      <c r="ARH142" s="98"/>
      <c r="ARI142" s="98"/>
      <c r="ARJ142" s="98"/>
      <c r="ARK142" s="98"/>
      <c r="ARL142" s="98"/>
      <c r="ARM142" s="98"/>
      <c r="ARN142" s="98"/>
      <c r="ARO142" s="98"/>
      <c r="ARP142" s="98"/>
      <c r="ARQ142" s="98"/>
      <c r="ARR142" s="98"/>
      <c r="ARS142" s="98"/>
    </row>
    <row r="143" spans="1:1163" s="174" customFormat="1">
      <c r="A143" s="138" t="s">
        <v>181</v>
      </c>
      <c r="B143" s="134"/>
      <c r="C143" s="197">
        <f t="shared" ref="C143:L143" si="48">SUM(C139:C142)</f>
        <v>891130591</v>
      </c>
      <c r="D143" s="197">
        <f t="shared" si="48"/>
        <v>8328674695</v>
      </c>
      <c r="E143" s="197">
        <f t="shared" si="48"/>
        <v>93212714</v>
      </c>
      <c r="F143" s="197">
        <f t="shared" si="48"/>
        <v>1246881566</v>
      </c>
      <c r="G143" s="197">
        <f t="shared" si="48"/>
        <v>75306403</v>
      </c>
      <c r="H143" s="197">
        <f t="shared" si="48"/>
        <v>1130155796</v>
      </c>
      <c r="I143" s="197">
        <f t="shared" si="48"/>
        <v>78182395</v>
      </c>
      <c r="J143" s="197">
        <f t="shared" si="48"/>
        <v>1495065014</v>
      </c>
      <c r="K143" s="197">
        <f t="shared" si="48"/>
        <v>74983543</v>
      </c>
      <c r="L143" s="197">
        <f t="shared" si="48"/>
        <v>1546325341</v>
      </c>
      <c r="M143" s="197">
        <v>90631128</v>
      </c>
      <c r="N143" s="197">
        <v>1671285288</v>
      </c>
      <c r="O143" s="197">
        <f t="shared" ref="O143:AA143" si="49">SUM(O139:O142)</f>
        <v>88670729</v>
      </c>
      <c r="P143" s="197">
        <f t="shared" si="49"/>
        <v>2029998845</v>
      </c>
      <c r="Q143" s="197">
        <f t="shared" si="49"/>
        <v>81290940</v>
      </c>
      <c r="R143" s="197">
        <f t="shared" si="49"/>
        <v>1914745851</v>
      </c>
      <c r="S143" s="197">
        <f t="shared" si="49"/>
        <v>84122743</v>
      </c>
      <c r="T143" s="197">
        <f t="shared" si="49"/>
        <v>1737650556</v>
      </c>
      <c r="U143" s="201">
        <f t="shared" si="49"/>
        <v>98319089</v>
      </c>
      <c r="V143" s="201">
        <f t="shared" si="49"/>
        <v>1757278099</v>
      </c>
      <c r="W143" s="197">
        <f t="shared" si="49"/>
        <v>106469970</v>
      </c>
      <c r="X143" s="197">
        <f t="shared" si="49"/>
        <v>2122065924</v>
      </c>
      <c r="Y143" s="197">
        <f t="shared" si="49"/>
        <v>103852085</v>
      </c>
      <c r="Z143" s="197">
        <f t="shared" si="49"/>
        <v>2426810968</v>
      </c>
      <c r="AA143" s="209">
        <f t="shared" si="49"/>
        <v>114167724</v>
      </c>
      <c r="AB143" s="209">
        <f>SUM(AB139:AB140)</f>
        <v>2978716127</v>
      </c>
      <c r="AC143" s="175">
        <f t="shared" ref="AC143:AJ143" si="50">SUM(AC139:AC142)</f>
        <v>108147133</v>
      </c>
      <c r="AD143" s="175">
        <f t="shared" si="50"/>
        <v>2921975612</v>
      </c>
      <c r="AE143" s="201">
        <f t="shared" si="50"/>
        <v>116338708</v>
      </c>
      <c r="AF143" s="201">
        <f t="shared" si="50"/>
        <v>2996734873</v>
      </c>
      <c r="AG143" s="201">
        <f t="shared" si="50"/>
        <v>124263306</v>
      </c>
      <c r="AH143" s="201">
        <f t="shared" si="50"/>
        <v>2630614908</v>
      </c>
      <c r="AI143" s="201">
        <f t="shared" si="50"/>
        <v>135965605</v>
      </c>
      <c r="AJ143" s="201">
        <f t="shared" si="50"/>
        <v>2980689414</v>
      </c>
      <c r="AK143" s="201">
        <v>133651298</v>
      </c>
      <c r="AL143" s="201">
        <v>2924478383</v>
      </c>
      <c r="AM143" s="201">
        <f t="shared" ref="AM143:AZ143" si="51">SUM(AM139:AM142)</f>
        <v>151718593</v>
      </c>
      <c r="AN143" s="201">
        <f t="shared" si="51"/>
        <v>3633340681</v>
      </c>
      <c r="AO143" s="201">
        <f t="shared" si="51"/>
        <v>143751629</v>
      </c>
      <c r="AP143" s="201">
        <f t="shared" si="51"/>
        <v>4103921761</v>
      </c>
      <c r="AQ143" s="201">
        <f t="shared" si="51"/>
        <v>143005298</v>
      </c>
      <c r="AR143" s="201">
        <f t="shared" si="51"/>
        <v>3517167110</v>
      </c>
      <c r="AS143" s="201">
        <f t="shared" si="51"/>
        <v>158865617</v>
      </c>
      <c r="AT143" s="201">
        <f t="shared" si="51"/>
        <v>4365187513</v>
      </c>
      <c r="AU143" s="209">
        <f t="shared" si="51"/>
        <v>166014519</v>
      </c>
      <c r="AV143" s="209">
        <f t="shared" si="51"/>
        <v>5369712169</v>
      </c>
      <c r="AW143" s="175">
        <f t="shared" si="51"/>
        <v>171766816</v>
      </c>
      <c r="AX143" s="175">
        <f t="shared" si="51"/>
        <v>5064616295</v>
      </c>
      <c r="AY143" s="197">
        <f t="shared" si="51"/>
        <v>194747456</v>
      </c>
      <c r="AZ143" s="197">
        <f t="shared" si="51"/>
        <v>5061057210</v>
      </c>
      <c r="BA143" s="180"/>
      <c r="BB143" s="175"/>
      <c r="BC143" s="178"/>
      <c r="BD143" s="175"/>
      <c r="BE143" s="178"/>
      <c r="BF143" s="175"/>
      <c r="BG143" s="178"/>
      <c r="BH143" s="175"/>
      <c r="BI143" s="178"/>
      <c r="BJ143" s="98"/>
      <c r="BK143" s="98"/>
      <c r="BL143" s="98"/>
      <c r="BM143" s="148"/>
      <c r="BN143" s="14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c r="CZ143" s="98"/>
      <c r="DA143" s="98"/>
      <c r="DB143" s="98"/>
      <c r="DC143" s="98"/>
      <c r="DD143" s="98"/>
      <c r="DE143" s="98"/>
      <c r="DF143" s="98"/>
      <c r="DG143" s="98"/>
      <c r="DH143" s="98"/>
      <c r="DI143" s="98"/>
      <c r="DJ143" s="98"/>
      <c r="DK143" s="98"/>
      <c r="DL143" s="98"/>
      <c r="DM143" s="98"/>
      <c r="DN143" s="98"/>
      <c r="DO143" s="98"/>
      <c r="DP143" s="98"/>
      <c r="DQ143" s="98"/>
      <c r="DR143" s="98"/>
      <c r="DS143" s="98"/>
      <c r="DT143" s="98"/>
      <c r="DU143" s="98"/>
      <c r="DV143" s="98"/>
      <c r="DW143" s="98"/>
      <c r="DX143" s="98"/>
      <c r="DY143" s="98"/>
      <c r="DZ143" s="98"/>
      <c r="EA143" s="98"/>
      <c r="EB143" s="98"/>
      <c r="EC143" s="98"/>
      <c r="ED143" s="98"/>
      <c r="EE143" s="98"/>
      <c r="EF143" s="98"/>
      <c r="EG143" s="98"/>
      <c r="EH143" s="98"/>
      <c r="EI143" s="98"/>
      <c r="EJ143" s="98"/>
      <c r="EK143" s="98"/>
      <c r="EL143" s="98"/>
      <c r="EM143" s="98"/>
      <c r="EN143" s="98"/>
      <c r="EO143" s="98"/>
      <c r="EP143" s="98"/>
      <c r="EQ143" s="98"/>
      <c r="ER143" s="98"/>
      <c r="ES143" s="98"/>
      <c r="ET143" s="98"/>
      <c r="EU143" s="98"/>
      <c r="EV143" s="98"/>
      <c r="EW143" s="98"/>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c r="IW143" s="98"/>
      <c r="IX143" s="98"/>
      <c r="IY143" s="98"/>
      <c r="IZ143" s="98"/>
      <c r="JA143" s="98"/>
      <c r="JB143" s="98"/>
      <c r="JC143" s="98"/>
      <c r="JD143" s="98"/>
      <c r="JE143" s="98"/>
      <c r="JF143" s="98"/>
      <c r="JG143" s="98"/>
      <c r="JH143" s="98"/>
      <c r="JI143" s="98"/>
      <c r="JJ143" s="98"/>
      <c r="JK143" s="98"/>
      <c r="JL143" s="98"/>
      <c r="JM143" s="98"/>
      <c r="JN143" s="98"/>
      <c r="JO143" s="98"/>
      <c r="JP143" s="98"/>
      <c r="JQ143" s="98"/>
      <c r="JR143" s="98"/>
      <c r="JS143" s="98"/>
      <c r="JT143" s="98"/>
      <c r="JU143" s="98"/>
      <c r="JV143" s="98"/>
      <c r="JW143" s="98"/>
      <c r="JX143" s="98"/>
      <c r="JY143" s="98"/>
      <c r="JZ143" s="98"/>
      <c r="KA143" s="98"/>
      <c r="KB143" s="98"/>
      <c r="KC143" s="98"/>
      <c r="KD143" s="98"/>
      <c r="KE143" s="98"/>
      <c r="KF143" s="98"/>
      <c r="KG143" s="98"/>
      <c r="KH143" s="98"/>
      <c r="KI143" s="98"/>
      <c r="KJ143" s="98"/>
      <c r="KK143" s="98"/>
      <c r="KL143" s="98"/>
      <c r="KM143" s="98"/>
      <c r="KN143" s="98"/>
      <c r="KO143" s="98"/>
      <c r="KP143" s="98"/>
      <c r="KQ143" s="98"/>
      <c r="KR143" s="98"/>
      <c r="KS143" s="98"/>
      <c r="KT143" s="98"/>
      <c r="KU143" s="98"/>
      <c r="KV143" s="98"/>
      <c r="KW143" s="98"/>
      <c r="KX143" s="98"/>
      <c r="KY143" s="98"/>
      <c r="KZ143" s="98"/>
      <c r="LA143" s="98"/>
      <c r="LB143" s="98"/>
      <c r="LC143" s="98"/>
      <c r="LD143" s="98"/>
      <c r="LE143" s="98"/>
      <c r="LF143" s="98"/>
      <c r="LG143" s="98"/>
      <c r="LH143" s="98"/>
      <c r="LI143" s="98"/>
      <c r="LJ143" s="98"/>
      <c r="LK143" s="98"/>
      <c r="LL143" s="98"/>
      <c r="LM143" s="98"/>
      <c r="LN143" s="98"/>
      <c r="LO143" s="98"/>
      <c r="LP143" s="98"/>
      <c r="LQ143" s="98"/>
      <c r="LR143" s="98"/>
      <c r="LS143" s="98"/>
      <c r="LT143" s="98"/>
      <c r="LU143" s="98"/>
      <c r="LV143" s="98"/>
      <c r="LW143" s="98"/>
      <c r="LX143" s="98"/>
      <c r="LY143" s="98"/>
      <c r="LZ143" s="98"/>
      <c r="MA143" s="98"/>
      <c r="MB143" s="98"/>
      <c r="MC143" s="98"/>
      <c r="MD143" s="98"/>
      <c r="ME143" s="98"/>
      <c r="MF143" s="98"/>
      <c r="MG143" s="98"/>
      <c r="MH143" s="98"/>
      <c r="MI143" s="98"/>
      <c r="MJ143" s="98"/>
      <c r="MK143" s="98"/>
      <c r="ML143" s="98"/>
      <c r="MM143" s="98"/>
      <c r="MN143" s="98"/>
      <c r="MO143" s="98"/>
      <c r="MP143" s="98"/>
      <c r="MQ143" s="98"/>
      <c r="MR143" s="98"/>
      <c r="MS143" s="98"/>
      <c r="MT143" s="98"/>
      <c r="MU143" s="98"/>
      <c r="MV143" s="98"/>
      <c r="MW143" s="98"/>
      <c r="MX143" s="98"/>
      <c r="MY143" s="98"/>
      <c r="MZ143" s="98"/>
      <c r="NA143" s="98"/>
      <c r="NB143" s="98"/>
      <c r="NC143" s="98"/>
      <c r="ND143" s="98"/>
      <c r="NE143" s="98"/>
      <c r="NF143" s="98"/>
      <c r="NG143" s="98"/>
      <c r="NH143" s="98"/>
      <c r="NI143" s="98"/>
      <c r="NJ143" s="98"/>
      <c r="NK143" s="98"/>
      <c r="NL143" s="98"/>
      <c r="NM143" s="98"/>
      <c r="NN143" s="98"/>
      <c r="NO143" s="98"/>
      <c r="NP143" s="98"/>
      <c r="NQ143" s="98"/>
      <c r="NR143" s="98"/>
      <c r="NS143" s="98"/>
      <c r="NT143" s="98"/>
      <c r="NU143" s="98"/>
      <c r="NV143" s="98"/>
      <c r="NW143" s="98"/>
      <c r="NX143" s="98"/>
      <c r="NY143" s="98"/>
      <c r="NZ143" s="98"/>
      <c r="OA143" s="98"/>
      <c r="OB143" s="98"/>
      <c r="OC143" s="98"/>
      <c r="OD143" s="98"/>
      <c r="OE143" s="98"/>
      <c r="OF143" s="98"/>
      <c r="OG143" s="98"/>
      <c r="OH143" s="98"/>
      <c r="OI143" s="98"/>
      <c r="OJ143" s="98"/>
      <c r="OK143" s="98"/>
      <c r="OL143" s="98"/>
      <c r="OM143" s="98"/>
      <c r="ON143" s="98"/>
      <c r="OO143" s="98"/>
      <c r="OP143" s="98"/>
      <c r="OQ143" s="98"/>
      <c r="OR143" s="98"/>
      <c r="OS143" s="98"/>
      <c r="OT143" s="98"/>
      <c r="OU143" s="98"/>
      <c r="OV143" s="98"/>
      <c r="OW143" s="98"/>
      <c r="OX143" s="98"/>
      <c r="OY143" s="98"/>
      <c r="OZ143" s="98"/>
      <c r="PA143" s="98"/>
      <c r="PB143" s="98"/>
      <c r="PC143" s="98"/>
      <c r="PD143" s="98"/>
      <c r="PE143" s="98"/>
      <c r="PF143" s="98"/>
      <c r="PG143" s="98"/>
      <c r="PH143" s="98"/>
      <c r="PI143" s="98"/>
      <c r="PJ143" s="98"/>
      <c r="PK143" s="98"/>
      <c r="PL143" s="98"/>
      <c r="PM143" s="98"/>
      <c r="PN143" s="98"/>
      <c r="PO143" s="98"/>
      <c r="PP143" s="98"/>
      <c r="PQ143" s="98"/>
      <c r="PR143" s="98"/>
      <c r="PS143" s="98"/>
      <c r="PT143" s="98"/>
      <c r="PU143" s="98"/>
      <c r="PV143" s="98"/>
      <c r="PW143" s="98"/>
      <c r="PX143" s="98"/>
      <c r="PY143" s="98"/>
      <c r="PZ143" s="98"/>
      <c r="QA143" s="98"/>
      <c r="QB143" s="98"/>
      <c r="QC143" s="98"/>
      <c r="QD143" s="98"/>
      <c r="QE143" s="98"/>
      <c r="QF143" s="98"/>
      <c r="QG143" s="98"/>
      <c r="QH143" s="98"/>
      <c r="QI143" s="98"/>
      <c r="QJ143" s="98"/>
      <c r="QK143" s="98"/>
      <c r="QL143" s="98"/>
      <c r="QM143" s="98"/>
      <c r="QN143" s="98"/>
      <c r="QO143" s="98"/>
      <c r="QP143" s="98"/>
      <c r="QQ143" s="98"/>
      <c r="QR143" s="98"/>
      <c r="QS143" s="98"/>
      <c r="QT143" s="98"/>
      <c r="QU143" s="98"/>
      <c r="QV143" s="98"/>
      <c r="QW143" s="98"/>
      <c r="QX143" s="98"/>
      <c r="QY143" s="98"/>
      <c r="QZ143" s="98"/>
      <c r="RA143" s="98"/>
      <c r="RB143" s="98"/>
      <c r="RC143" s="98"/>
      <c r="RD143" s="98"/>
      <c r="RE143" s="98"/>
      <c r="RF143" s="98"/>
      <c r="RG143" s="98"/>
      <c r="RH143" s="98"/>
      <c r="RI143" s="98"/>
      <c r="RJ143" s="98"/>
      <c r="RK143" s="98"/>
      <c r="RL143" s="98"/>
      <c r="RM143" s="98"/>
      <c r="RN143" s="98"/>
      <c r="RO143" s="98"/>
      <c r="RP143" s="98"/>
      <c r="RQ143" s="98"/>
      <c r="RR143" s="98"/>
      <c r="RS143" s="98"/>
      <c r="RT143" s="98"/>
      <c r="RU143" s="98"/>
      <c r="RV143" s="98"/>
      <c r="RW143" s="98"/>
      <c r="RX143" s="98"/>
      <c r="RY143" s="98"/>
      <c r="RZ143" s="98"/>
      <c r="SA143" s="98"/>
      <c r="SB143" s="98"/>
      <c r="SC143" s="98"/>
      <c r="SD143" s="98"/>
      <c r="SE143" s="98"/>
      <c r="SF143" s="98"/>
      <c r="SG143" s="98"/>
      <c r="SH143" s="98"/>
      <c r="SI143" s="98"/>
      <c r="SJ143" s="98"/>
      <c r="SK143" s="98"/>
      <c r="SL143" s="98"/>
      <c r="SM143" s="98"/>
      <c r="SN143" s="98"/>
      <c r="SO143" s="98"/>
      <c r="SP143" s="98"/>
      <c r="SQ143" s="98"/>
      <c r="SR143" s="98"/>
      <c r="SS143" s="98"/>
      <c r="ST143" s="98"/>
      <c r="SU143" s="98"/>
      <c r="SV143" s="98"/>
      <c r="SW143" s="98"/>
      <c r="SX143" s="98"/>
      <c r="SY143" s="98"/>
      <c r="SZ143" s="98"/>
      <c r="TA143" s="98"/>
      <c r="TB143" s="98"/>
      <c r="TC143" s="98"/>
      <c r="TD143" s="98"/>
      <c r="TE143" s="98"/>
      <c r="TF143" s="98"/>
      <c r="TG143" s="98"/>
      <c r="TH143" s="98"/>
      <c r="TI143" s="98"/>
      <c r="TJ143" s="98"/>
      <c r="TK143" s="98"/>
      <c r="TL143" s="98"/>
      <c r="TM143" s="98"/>
      <c r="TN143" s="98"/>
      <c r="TO143" s="98"/>
      <c r="TP143" s="98"/>
      <c r="TQ143" s="98"/>
      <c r="TR143" s="98"/>
      <c r="TS143" s="98"/>
      <c r="TT143" s="98"/>
      <c r="TU143" s="98"/>
      <c r="TV143" s="98"/>
      <c r="TW143" s="98"/>
      <c r="TX143" s="98"/>
      <c r="TY143" s="98"/>
      <c r="TZ143" s="98"/>
      <c r="UA143" s="98"/>
      <c r="UB143" s="98"/>
      <c r="UC143" s="98"/>
      <c r="UD143" s="98"/>
      <c r="UE143" s="98"/>
      <c r="UF143" s="98"/>
      <c r="UG143" s="98"/>
      <c r="UH143" s="98"/>
      <c r="UI143" s="98"/>
      <c r="UJ143" s="98"/>
      <c r="UK143" s="98"/>
      <c r="UL143" s="98"/>
      <c r="UM143" s="98"/>
      <c r="UN143" s="98"/>
      <c r="UO143" s="98"/>
      <c r="UP143" s="98"/>
      <c r="UQ143" s="98"/>
      <c r="UR143" s="98"/>
      <c r="US143" s="98"/>
      <c r="UT143" s="98"/>
      <c r="UU143" s="98"/>
      <c r="UV143" s="98"/>
      <c r="UW143" s="98"/>
      <c r="UX143" s="98"/>
      <c r="UY143" s="98"/>
      <c r="UZ143" s="98"/>
      <c r="VA143" s="98"/>
      <c r="VB143" s="98"/>
      <c r="VC143" s="98"/>
      <c r="VD143" s="98"/>
      <c r="VE143" s="98"/>
      <c r="VF143" s="98"/>
      <c r="VG143" s="98"/>
      <c r="VH143" s="98"/>
      <c r="VI143" s="98"/>
      <c r="VJ143" s="98"/>
      <c r="VK143" s="98"/>
      <c r="VL143" s="98"/>
      <c r="VM143" s="98"/>
      <c r="VN143" s="98"/>
      <c r="VO143" s="98"/>
      <c r="VP143" s="98"/>
      <c r="VQ143" s="98"/>
      <c r="VR143" s="98"/>
      <c r="VS143" s="98"/>
      <c r="VT143" s="98"/>
      <c r="VU143" s="98"/>
      <c r="VV143" s="98"/>
      <c r="VW143" s="98"/>
      <c r="VX143" s="98"/>
      <c r="VY143" s="98"/>
      <c r="VZ143" s="98"/>
      <c r="WA143" s="98"/>
      <c r="WB143" s="98"/>
      <c r="WC143" s="98"/>
      <c r="WD143" s="98"/>
      <c r="WE143" s="98"/>
      <c r="WF143" s="98"/>
      <c r="WG143" s="98"/>
      <c r="WH143" s="98"/>
      <c r="WI143" s="98"/>
      <c r="WJ143" s="98"/>
      <c r="WK143" s="98"/>
      <c r="WL143" s="98"/>
      <c r="WM143" s="98"/>
      <c r="WN143" s="98"/>
      <c r="WO143" s="98"/>
      <c r="WP143" s="98"/>
      <c r="WQ143" s="98"/>
      <c r="WR143" s="98"/>
      <c r="WS143" s="98"/>
      <c r="WT143" s="98"/>
      <c r="WU143" s="98"/>
      <c r="WV143" s="98"/>
      <c r="WW143" s="98"/>
      <c r="WX143" s="98"/>
      <c r="WY143" s="98"/>
      <c r="WZ143" s="98"/>
      <c r="XA143" s="98"/>
      <c r="XB143" s="98"/>
      <c r="XC143" s="98"/>
      <c r="XD143" s="98"/>
      <c r="XE143" s="98"/>
      <c r="XF143" s="98"/>
      <c r="XG143" s="98"/>
      <c r="XH143" s="98"/>
      <c r="XI143" s="98"/>
      <c r="XJ143" s="98"/>
      <c r="XK143" s="98"/>
      <c r="XL143" s="98"/>
      <c r="XM143" s="98"/>
      <c r="XN143" s="98"/>
      <c r="XO143" s="98"/>
      <c r="XP143" s="98"/>
      <c r="XQ143" s="98"/>
      <c r="XR143" s="98"/>
      <c r="XS143" s="98"/>
      <c r="XT143" s="98"/>
      <c r="XU143" s="98"/>
      <c r="XV143" s="98"/>
      <c r="XW143" s="98"/>
      <c r="XX143" s="98"/>
      <c r="XY143" s="98"/>
      <c r="XZ143" s="98"/>
      <c r="YA143" s="98"/>
      <c r="YB143" s="98"/>
      <c r="YC143" s="98"/>
      <c r="YD143" s="98"/>
      <c r="YE143" s="98"/>
      <c r="YF143" s="98"/>
      <c r="YG143" s="98"/>
      <c r="YH143" s="98"/>
      <c r="YI143" s="98"/>
      <c r="YJ143" s="98"/>
      <c r="YK143" s="98"/>
      <c r="YL143" s="98"/>
      <c r="YM143" s="98"/>
      <c r="YN143" s="98"/>
      <c r="YO143" s="98"/>
      <c r="YP143" s="98"/>
      <c r="YQ143" s="98"/>
      <c r="YR143" s="98"/>
      <c r="YS143" s="98"/>
      <c r="YT143" s="98"/>
      <c r="YU143" s="98"/>
      <c r="YV143" s="98"/>
      <c r="YW143" s="98"/>
      <c r="YX143" s="98"/>
      <c r="YY143" s="98"/>
      <c r="YZ143" s="98"/>
      <c r="ZA143" s="98"/>
      <c r="ZB143" s="98"/>
      <c r="ZC143" s="98"/>
      <c r="ZD143" s="98"/>
      <c r="ZE143" s="98"/>
      <c r="ZF143" s="98"/>
      <c r="ZG143" s="98"/>
      <c r="ZH143" s="98"/>
      <c r="ZI143" s="98"/>
      <c r="ZJ143" s="98"/>
      <c r="ZK143" s="98"/>
      <c r="ZL143" s="98"/>
      <c r="ZM143" s="98"/>
      <c r="ZN143" s="98"/>
      <c r="ZO143" s="98"/>
      <c r="ZP143" s="98"/>
      <c r="ZQ143" s="98"/>
      <c r="ZR143" s="98"/>
      <c r="ZS143" s="98"/>
      <c r="ZT143" s="98"/>
      <c r="ZU143" s="98"/>
      <c r="ZV143" s="98"/>
      <c r="ZW143" s="98"/>
      <c r="ZX143" s="98"/>
      <c r="ZY143" s="98"/>
      <c r="ZZ143" s="98"/>
      <c r="AAA143" s="98"/>
      <c r="AAB143" s="98"/>
      <c r="AAC143" s="98"/>
      <c r="AAD143" s="98"/>
      <c r="AAE143" s="98"/>
      <c r="AAF143" s="98"/>
      <c r="AAG143" s="98"/>
      <c r="AAH143" s="98"/>
      <c r="AAI143" s="98"/>
      <c r="AAJ143" s="98"/>
      <c r="AAK143" s="98"/>
      <c r="AAL143" s="98"/>
      <c r="AAM143" s="98"/>
      <c r="AAN143" s="98"/>
      <c r="AAO143" s="98"/>
      <c r="AAP143" s="98"/>
      <c r="AAQ143" s="98"/>
      <c r="AAR143" s="98"/>
      <c r="AAS143" s="98"/>
      <c r="AAT143" s="98"/>
      <c r="AAU143" s="98"/>
      <c r="AAV143" s="98"/>
      <c r="AAW143" s="98"/>
      <c r="AAX143" s="98"/>
      <c r="AAY143" s="98"/>
      <c r="AAZ143" s="98"/>
      <c r="ABA143" s="98"/>
      <c r="ABB143" s="98"/>
      <c r="ABC143" s="98"/>
      <c r="ABD143" s="98"/>
      <c r="ABE143" s="98"/>
      <c r="ABF143" s="98"/>
      <c r="ABG143" s="98"/>
      <c r="ABH143" s="98"/>
      <c r="ABI143" s="98"/>
      <c r="ABJ143" s="98"/>
      <c r="ABK143" s="98"/>
      <c r="ABL143" s="98"/>
      <c r="ABM143" s="98"/>
      <c r="ABN143" s="98"/>
      <c r="ABO143" s="98"/>
      <c r="ABP143" s="98"/>
      <c r="ABQ143" s="98"/>
      <c r="ABR143" s="98"/>
      <c r="ABS143" s="98"/>
      <c r="ABT143" s="98"/>
      <c r="ABU143" s="98"/>
      <c r="ABV143" s="98"/>
      <c r="ABW143" s="98"/>
      <c r="ABX143" s="98"/>
      <c r="ABY143" s="98"/>
      <c r="ABZ143" s="98"/>
      <c r="ACA143" s="98"/>
      <c r="ACB143" s="98"/>
      <c r="ACC143" s="98"/>
      <c r="ACD143" s="98"/>
      <c r="ACE143" s="98"/>
      <c r="ACF143" s="98"/>
      <c r="ACG143" s="98"/>
      <c r="ACH143" s="98"/>
      <c r="ACI143" s="98"/>
      <c r="ACJ143" s="98"/>
      <c r="ACK143" s="98"/>
      <c r="ACL143" s="98"/>
      <c r="ACM143" s="98"/>
      <c r="ACN143" s="98"/>
      <c r="ACO143" s="98"/>
      <c r="ACP143" s="98"/>
      <c r="ACQ143" s="98"/>
      <c r="ACR143" s="98"/>
      <c r="ACS143" s="98"/>
      <c r="ACT143" s="98"/>
      <c r="ACU143" s="98"/>
      <c r="ACV143" s="98"/>
      <c r="ACW143" s="98"/>
      <c r="ACX143" s="98"/>
      <c r="ACY143" s="98"/>
      <c r="ACZ143" s="98"/>
      <c r="ADA143" s="98"/>
      <c r="ADB143" s="98"/>
      <c r="ADC143" s="98"/>
      <c r="ADD143" s="98"/>
      <c r="ADE143" s="98"/>
      <c r="ADF143" s="98"/>
      <c r="ADG143" s="98"/>
      <c r="ADH143" s="98"/>
      <c r="ADI143" s="98"/>
      <c r="ADJ143" s="98"/>
      <c r="ADK143" s="98"/>
      <c r="ADL143" s="98"/>
      <c r="ADM143" s="98"/>
      <c r="ADN143" s="98"/>
      <c r="ADO143" s="98"/>
      <c r="ADP143" s="98"/>
      <c r="ADQ143" s="98"/>
      <c r="ADR143" s="98"/>
      <c r="ADS143" s="98"/>
      <c r="ADT143" s="98"/>
      <c r="ADU143" s="98"/>
      <c r="ADV143" s="98"/>
      <c r="ADW143" s="98"/>
      <c r="ADX143" s="98"/>
      <c r="ADY143" s="98"/>
      <c r="ADZ143" s="98"/>
      <c r="AEA143" s="98"/>
      <c r="AEB143" s="98"/>
      <c r="AEC143" s="98"/>
      <c r="AED143" s="98"/>
      <c r="AEE143" s="98"/>
      <c r="AEF143" s="98"/>
      <c r="AEG143" s="98"/>
      <c r="AEH143" s="98"/>
      <c r="AEI143" s="98"/>
      <c r="AEJ143" s="98"/>
      <c r="AEK143" s="98"/>
      <c r="AEL143" s="98"/>
      <c r="AEM143" s="98"/>
      <c r="AEN143" s="98"/>
      <c r="AEO143" s="98"/>
      <c r="AEP143" s="98"/>
      <c r="AEQ143" s="98"/>
      <c r="AER143" s="98"/>
      <c r="AES143" s="98"/>
      <c r="AET143" s="98"/>
      <c r="AEU143" s="98"/>
      <c r="AEV143" s="98"/>
      <c r="AEW143" s="98"/>
      <c r="AEX143" s="98"/>
      <c r="AEY143" s="98"/>
      <c r="AEZ143" s="98"/>
      <c r="AFA143" s="98"/>
      <c r="AFB143" s="98"/>
      <c r="AFC143" s="98"/>
      <c r="AFD143" s="98"/>
      <c r="AFE143" s="98"/>
      <c r="AFF143" s="98"/>
      <c r="AFG143" s="98"/>
      <c r="AFH143" s="98"/>
      <c r="AFI143" s="98"/>
      <c r="AFJ143" s="98"/>
      <c r="AFK143" s="98"/>
      <c r="AFL143" s="98"/>
      <c r="AFM143" s="98"/>
      <c r="AFN143" s="98"/>
      <c r="AFO143" s="98"/>
      <c r="AFP143" s="98"/>
      <c r="AFQ143" s="98"/>
      <c r="AFR143" s="98"/>
      <c r="AFS143" s="98"/>
      <c r="AFT143" s="98"/>
      <c r="AFU143" s="98"/>
      <c r="AFV143" s="98"/>
      <c r="AFW143" s="98"/>
      <c r="AFX143" s="98"/>
      <c r="AFY143" s="98"/>
      <c r="AFZ143" s="98"/>
      <c r="AGA143" s="98"/>
      <c r="AGB143" s="98"/>
      <c r="AGC143" s="98"/>
      <c r="AGD143" s="98"/>
      <c r="AGE143" s="98"/>
      <c r="AGF143" s="98"/>
      <c r="AGG143" s="98"/>
      <c r="AGH143" s="98"/>
      <c r="AGI143" s="98"/>
      <c r="AGJ143" s="98"/>
      <c r="AGK143" s="98"/>
      <c r="AGL143" s="98"/>
      <c r="AGM143" s="98"/>
      <c r="AGN143" s="98"/>
      <c r="AGO143" s="98"/>
      <c r="AGP143" s="98"/>
      <c r="AGQ143" s="98"/>
      <c r="AGR143" s="98"/>
      <c r="AGS143" s="98"/>
      <c r="AGT143" s="98"/>
      <c r="AGU143" s="98"/>
      <c r="AGV143" s="98"/>
      <c r="AGW143" s="98"/>
      <c r="AGX143" s="98"/>
      <c r="AGY143" s="98"/>
      <c r="AGZ143" s="98"/>
      <c r="AHA143" s="98"/>
      <c r="AHB143" s="98"/>
      <c r="AHC143" s="98"/>
      <c r="AHD143" s="98"/>
      <c r="AHE143" s="98"/>
      <c r="AHF143" s="98"/>
      <c r="AHG143" s="98"/>
      <c r="AHH143" s="98"/>
      <c r="AHI143" s="98"/>
      <c r="AHJ143" s="98"/>
      <c r="AHK143" s="98"/>
      <c r="AHL143" s="98"/>
      <c r="AHM143" s="98"/>
      <c r="AHN143" s="98"/>
      <c r="AHO143" s="98"/>
      <c r="AHP143" s="98"/>
      <c r="AHQ143" s="98"/>
      <c r="AHR143" s="98"/>
      <c r="AHS143" s="98"/>
      <c r="AHT143" s="98"/>
      <c r="AHU143" s="98"/>
      <c r="AHV143" s="98"/>
      <c r="AHW143" s="98"/>
      <c r="AHX143" s="98"/>
      <c r="AHY143" s="98"/>
      <c r="AHZ143" s="98"/>
      <c r="AIA143" s="98"/>
      <c r="AIB143" s="98"/>
      <c r="AIC143" s="98"/>
      <c r="AID143" s="98"/>
      <c r="AIE143" s="98"/>
      <c r="AIF143" s="98"/>
      <c r="AIG143" s="98"/>
      <c r="AIH143" s="98"/>
      <c r="AII143" s="98"/>
      <c r="AIJ143" s="98"/>
      <c r="AIK143" s="98"/>
      <c r="AIL143" s="98"/>
      <c r="AIM143" s="98"/>
      <c r="AIN143" s="98"/>
      <c r="AIO143" s="98"/>
      <c r="AIP143" s="98"/>
      <c r="AIQ143" s="98"/>
      <c r="AIR143" s="98"/>
      <c r="AIS143" s="98"/>
      <c r="AIT143" s="98"/>
      <c r="AIU143" s="98"/>
      <c r="AIV143" s="98"/>
      <c r="AIW143" s="98"/>
      <c r="AIX143" s="98"/>
      <c r="AIY143" s="98"/>
      <c r="AIZ143" s="98"/>
      <c r="AJA143" s="98"/>
      <c r="AJB143" s="98"/>
      <c r="AJC143" s="98"/>
      <c r="AJD143" s="98"/>
      <c r="AJE143" s="98"/>
      <c r="AJF143" s="98"/>
      <c r="AJG143" s="98"/>
      <c r="AJH143" s="98"/>
      <c r="AJI143" s="98"/>
      <c r="AJJ143" s="98"/>
      <c r="AJK143" s="98"/>
      <c r="AJL143" s="98"/>
      <c r="AJM143" s="98"/>
      <c r="AJN143" s="98"/>
      <c r="AJO143" s="98"/>
      <c r="AJP143" s="98"/>
      <c r="AJQ143" s="98"/>
      <c r="AJR143" s="98"/>
      <c r="AJS143" s="98"/>
      <c r="AJT143" s="98"/>
      <c r="AJU143" s="98"/>
      <c r="AJV143" s="98"/>
      <c r="AJW143" s="98"/>
      <c r="AJX143" s="98"/>
      <c r="AJY143" s="98"/>
      <c r="AJZ143" s="98"/>
      <c r="AKA143" s="98"/>
      <c r="AKB143" s="98"/>
      <c r="AKC143" s="98"/>
      <c r="AKD143" s="98"/>
      <c r="AKE143" s="98"/>
      <c r="AKF143" s="98"/>
      <c r="AKG143" s="98"/>
      <c r="AKH143" s="98"/>
      <c r="AKI143" s="98"/>
      <c r="AKJ143" s="98"/>
      <c r="AKK143" s="98"/>
      <c r="AKL143" s="98"/>
      <c r="AKM143" s="98"/>
      <c r="AKN143" s="98"/>
      <c r="AKO143" s="98"/>
      <c r="AKP143" s="98"/>
      <c r="AKQ143" s="98"/>
      <c r="AKR143" s="98"/>
      <c r="AKS143" s="98"/>
      <c r="AKT143" s="98"/>
      <c r="AKU143" s="98"/>
      <c r="AKV143" s="98"/>
      <c r="AKW143" s="98"/>
      <c r="AKX143" s="98"/>
      <c r="AKY143" s="98"/>
      <c r="AKZ143" s="98"/>
      <c r="ALA143" s="98"/>
      <c r="ALB143" s="98"/>
      <c r="ALC143" s="98"/>
      <c r="ALD143" s="98"/>
      <c r="ALE143" s="98"/>
      <c r="ALF143" s="98"/>
      <c r="ALG143" s="98"/>
      <c r="ALH143" s="98"/>
      <c r="ALI143" s="98"/>
      <c r="ALJ143" s="98"/>
      <c r="ALK143" s="98"/>
      <c r="ALL143" s="98"/>
      <c r="ALM143" s="98"/>
      <c r="ALN143" s="98"/>
      <c r="ALO143" s="98"/>
      <c r="ALP143" s="98"/>
      <c r="ALQ143" s="98"/>
      <c r="ALR143" s="98"/>
      <c r="ALS143" s="98"/>
      <c r="ALT143" s="98"/>
      <c r="ALU143" s="98"/>
      <c r="ALV143" s="98"/>
      <c r="ALW143" s="98"/>
      <c r="ALX143" s="98"/>
      <c r="ALY143" s="98"/>
      <c r="ALZ143" s="98"/>
      <c r="AMA143" s="98"/>
      <c r="AMB143" s="98"/>
      <c r="AMC143" s="98"/>
      <c r="AMD143" s="98"/>
      <c r="AME143" s="98"/>
      <c r="AMF143" s="98"/>
      <c r="AMG143" s="98"/>
      <c r="AMH143" s="98"/>
      <c r="AMI143" s="98"/>
      <c r="AMJ143" s="98"/>
      <c r="AMK143" s="98"/>
      <c r="AML143" s="98"/>
      <c r="AMM143" s="98"/>
      <c r="AMN143" s="98"/>
      <c r="AMO143" s="98"/>
      <c r="AMP143" s="98"/>
      <c r="AMQ143" s="98"/>
      <c r="AMR143" s="98"/>
      <c r="AMS143" s="98"/>
      <c r="AMT143" s="98"/>
      <c r="AMU143" s="98"/>
      <c r="AMV143" s="98"/>
      <c r="AMW143" s="98"/>
      <c r="AMX143" s="98"/>
      <c r="AMY143" s="98"/>
      <c r="AMZ143" s="98"/>
      <c r="ANA143" s="98"/>
      <c r="ANB143" s="98"/>
      <c r="ANC143" s="98"/>
      <c r="AND143" s="98"/>
      <c r="ANE143" s="98"/>
      <c r="ANF143" s="98"/>
      <c r="ANG143" s="98"/>
      <c r="ANH143" s="98"/>
      <c r="ANI143" s="98"/>
      <c r="ANJ143" s="98"/>
      <c r="ANK143" s="98"/>
      <c r="ANL143" s="98"/>
      <c r="ANM143" s="98"/>
      <c r="ANN143" s="98"/>
      <c r="ANO143" s="98"/>
      <c r="ANP143" s="98"/>
      <c r="ANQ143" s="98"/>
      <c r="ANR143" s="98"/>
      <c r="ANS143" s="98"/>
      <c r="ANT143" s="98"/>
      <c r="ANU143" s="98"/>
      <c r="ANV143" s="98"/>
      <c r="ANW143" s="98"/>
      <c r="ANX143" s="98"/>
      <c r="ANY143" s="98"/>
      <c r="ANZ143" s="98"/>
      <c r="AOA143" s="98"/>
      <c r="AOB143" s="98"/>
      <c r="AOC143" s="98"/>
      <c r="AOD143" s="98"/>
      <c r="AOE143" s="98"/>
      <c r="AOF143" s="98"/>
      <c r="AOG143" s="98"/>
      <c r="AOH143" s="98"/>
      <c r="AOI143" s="98"/>
      <c r="AOJ143" s="98"/>
      <c r="AOK143" s="98"/>
      <c r="AOL143" s="98"/>
      <c r="AOM143" s="98"/>
      <c r="AON143" s="98"/>
      <c r="AOO143" s="98"/>
      <c r="AOP143" s="98"/>
      <c r="AOQ143" s="98"/>
      <c r="AOR143" s="98"/>
      <c r="AOS143" s="98"/>
      <c r="AOT143" s="98"/>
      <c r="AOU143" s="98"/>
      <c r="AOV143" s="98"/>
      <c r="AOW143" s="98"/>
      <c r="AOX143" s="98"/>
      <c r="AOY143" s="98"/>
      <c r="AOZ143" s="98"/>
      <c r="APA143" s="98"/>
      <c r="APB143" s="98"/>
      <c r="APC143" s="98"/>
      <c r="APD143" s="98"/>
      <c r="APE143" s="98"/>
      <c r="APF143" s="98"/>
      <c r="APG143" s="98"/>
      <c r="APH143" s="98"/>
      <c r="API143" s="98"/>
      <c r="APJ143" s="98"/>
      <c r="APK143" s="98"/>
      <c r="APL143" s="98"/>
      <c r="APM143" s="98"/>
      <c r="APN143" s="98"/>
      <c r="APO143" s="98"/>
      <c r="APP143" s="98"/>
      <c r="APQ143" s="98"/>
      <c r="APR143" s="98"/>
      <c r="APS143" s="98"/>
      <c r="APT143" s="98"/>
      <c r="APU143" s="98"/>
      <c r="APV143" s="98"/>
      <c r="APW143" s="98"/>
      <c r="APX143" s="98"/>
      <c r="APY143" s="98"/>
      <c r="APZ143" s="98"/>
      <c r="AQA143" s="98"/>
      <c r="AQB143" s="98"/>
      <c r="AQC143" s="98"/>
      <c r="AQD143" s="98"/>
      <c r="AQE143" s="98"/>
      <c r="AQF143" s="98"/>
      <c r="AQG143" s="98"/>
      <c r="AQH143" s="98"/>
      <c r="AQI143" s="98"/>
      <c r="AQJ143" s="98"/>
      <c r="AQK143" s="98"/>
      <c r="AQL143" s="98"/>
      <c r="AQM143" s="98"/>
      <c r="AQN143" s="98"/>
      <c r="AQO143" s="98"/>
      <c r="AQP143" s="98"/>
      <c r="AQQ143" s="98"/>
      <c r="AQR143" s="98"/>
      <c r="AQS143" s="98"/>
      <c r="AQT143" s="98"/>
      <c r="AQU143" s="98"/>
      <c r="AQV143" s="98"/>
      <c r="AQW143" s="98"/>
      <c r="AQX143" s="98"/>
      <c r="AQY143" s="98"/>
      <c r="AQZ143" s="98"/>
      <c r="ARA143" s="98"/>
      <c r="ARB143" s="98"/>
      <c r="ARC143" s="98"/>
      <c r="ARD143" s="98"/>
      <c r="ARE143" s="98"/>
      <c r="ARF143" s="98"/>
      <c r="ARG143" s="98"/>
      <c r="ARH143" s="98"/>
      <c r="ARI143" s="98"/>
      <c r="ARJ143" s="98"/>
      <c r="ARK143" s="98"/>
      <c r="ARL143" s="98"/>
      <c r="ARM143" s="98"/>
      <c r="ARN143" s="98"/>
      <c r="ARO143" s="98"/>
      <c r="ARP143" s="98"/>
      <c r="ARQ143" s="98"/>
      <c r="ARR143" s="98"/>
      <c r="ARS143" s="98"/>
    </row>
    <row r="144" spans="1:1163">
      <c r="A144" s="138"/>
      <c r="B144" s="134"/>
      <c r="C144" s="197"/>
      <c r="D144" s="197"/>
      <c r="E144" s="197"/>
      <c r="F144" s="197"/>
      <c r="G144" s="197"/>
      <c r="H144" s="197"/>
      <c r="I144" s="197"/>
      <c r="J144" s="197"/>
      <c r="K144" s="197"/>
      <c r="L144" s="197"/>
      <c r="M144" s="197"/>
      <c r="N144" s="197"/>
      <c r="O144" s="197"/>
      <c r="P144" s="197"/>
      <c r="Q144" s="197"/>
      <c r="R144" s="197"/>
      <c r="S144" s="197"/>
      <c r="T144" s="197"/>
      <c r="U144" s="201"/>
      <c r="V144" s="201"/>
      <c r="W144" s="144"/>
      <c r="X144" s="144"/>
      <c r="Y144" s="201"/>
      <c r="Z144" s="201"/>
      <c r="AA144" s="201"/>
      <c r="AB144" s="201"/>
      <c r="AC144" s="175"/>
      <c r="AD144" s="175"/>
      <c r="AE144" s="201"/>
      <c r="AF144" s="201"/>
      <c r="AG144" s="201"/>
      <c r="AH144" s="201"/>
      <c r="AI144" s="201"/>
      <c r="AJ144" s="201"/>
      <c r="AK144" s="201"/>
      <c r="AL144" s="201"/>
      <c r="AM144" s="201"/>
      <c r="AN144" s="201"/>
      <c r="AO144" s="201"/>
      <c r="AP144" s="201"/>
      <c r="AQ144" s="177"/>
      <c r="AR144" s="177"/>
      <c r="AS144" s="201"/>
      <c r="AT144" s="201"/>
      <c r="AU144" s="209"/>
      <c r="AV144" s="209"/>
      <c r="AW144" s="173"/>
      <c r="AX144" s="173"/>
      <c r="AY144" s="172"/>
      <c r="AZ144" s="172"/>
      <c r="BA144" s="177"/>
      <c r="BB144" s="197"/>
      <c r="BC144" s="197"/>
      <c r="BD144" s="197"/>
      <c r="BE144" s="197"/>
      <c r="BF144" s="197"/>
      <c r="BG144" s="197"/>
      <c r="BH144" s="197"/>
      <c r="BI144" s="177"/>
      <c r="BJ144" s="98"/>
      <c r="BK144" s="148"/>
      <c r="BN144" s="148"/>
    </row>
    <row r="145" spans="1:1163">
      <c r="A145" s="124" t="s">
        <v>182</v>
      </c>
      <c r="B145" s="225"/>
      <c r="C145" s="194"/>
      <c r="D145" s="194"/>
      <c r="E145" s="194"/>
      <c r="F145" s="194"/>
      <c r="G145" s="194"/>
      <c r="H145" s="194"/>
      <c r="I145" s="194"/>
      <c r="J145" s="194"/>
      <c r="K145" s="194"/>
      <c r="L145" s="194"/>
      <c r="M145" s="194"/>
      <c r="N145" s="194"/>
      <c r="O145" s="194"/>
      <c r="P145" s="194"/>
      <c r="Q145" s="194"/>
      <c r="R145" s="194"/>
      <c r="S145" s="194"/>
      <c r="T145" s="194"/>
      <c r="U145" s="194"/>
      <c r="V145" s="194"/>
      <c r="W145" s="202"/>
      <c r="X145" s="202"/>
      <c r="Y145" s="202"/>
      <c r="Z145" s="202"/>
      <c r="AA145" s="202"/>
      <c r="AB145" s="202"/>
      <c r="AC145" s="183"/>
      <c r="AD145" s="183"/>
      <c r="AE145" s="202"/>
      <c r="AF145" s="202"/>
      <c r="AG145" s="202"/>
      <c r="AH145" s="202"/>
      <c r="AI145" s="202"/>
      <c r="AJ145" s="202"/>
      <c r="AK145" s="202"/>
      <c r="AL145" s="202"/>
      <c r="AM145" s="202"/>
      <c r="AN145" s="202"/>
      <c r="AO145" s="202"/>
      <c r="AP145" s="202"/>
      <c r="AQ145" s="202"/>
      <c r="AR145" s="202"/>
      <c r="AS145" s="202"/>
      <c r="AT145" s="202"/>
      <c r="AU145" s="208"/>
      <c r="AV145" s="208"/>
      <c r="AW145" s="166"/>
      <c r="AX145" s="166"/>
      <c r="AY145" s="165"/>
      <c r="AZ145" s="165"/>
      <c r="BA145" s="196"/>
      <c r="BB145" s="194"/>
      <c r="BC145" s="194"/>
      <c r="BD145" s="194"/>
      <c r="BE145" s="194"/>
      <c r="BF145" s="194"/>
      <c r="BG145" s="194"/>
      <c r="BH145" s="194"/>
      <c r="BI145" s="196"/>
      <c r="BJ145" s="98"/>
      <c r="BK145" s="148"/>
      <c r="BL145" s="148"/>
      <c r="BN145" s="148"/>
    </row>
    <row r="146" spans="1:1163">
      <c r="A146" s="126" t="s">
        <v>601</v>
      </c>
      <c r="B146" s="127" t="s">
        <v>67</v>
      </c>
      <c r="C146" s="183">
        <v>3681</v>
      </c>
      <c r="D146" s="183">
        <v>29628</v>
      </c>
      <c r="E146" s="183">
        <v>0</v>
      </c>
      <c r="F146" s="183">
        <v>0</v>
      </c>
      <c r="G146" s="183">
        <v>0</v>
      </c>
      <c r="H146" s="183">
        <v>0</v>
      </c>
      <c r="I146" s="183">
        <v>0</v>
      </c>
      <c r="J146" s="183">
        <v>0</v>
      </c>
      <c r="K146" s="183">
        <v>0</v>
      </c>
      <c r="L146" s="183">
        <v>0</v>
      </c>
      <c r="M146" s="183">
        <v>0</v>
      </c>
      <c r="N146" s="183">
        <v>0</v>
      </c>
      <c r="O146" s="183">
        <v>300</v>
      </c>
      <c r="P146" s="183">
        <v>2100</v>
      </c>
      <c r="Q146" s="183">
        <v>330</v>
      </c>
      <c r="R146" s="183">
        <v>2310</v>
      </c>
      <c r="S146" s="183">
        <v>243</v>
      </c>
      <c r="T146" s="183">
        <v>3162</v>
      </c>
      <c r="U146" s="194">
        <v>0</v>
      </c>
      <c r="V146" s="194">
        <v>0</v>
      </c>
      <c r="W146" s="194">
        <v>360</v>
      </c>
      <c r="X146" s="194">
        <v>7200</v>
      </c>
      <c r="Y146" s="194">
        <v>333</v>
      </c>
      <c r="Z146" s="194">
        <v>6660</v>
      </c>
      <c r="AA146" s="208">
        <v>0</v>
      </c>
      <c r="AB146" s="208">
        <v>0</v>
      </c>
      <c r="AC146" s="194">
        <v>280</v>
      </c>
      <c r="AD146" s="194">
        <v>1120</v>
      </c>
      <c r="AE146" s="202">
        <v>0</v>
      </c>
      <c r="AF146" s="208">
        <v>0</v>
      </c>
      <c r="AG146" s="202">
        <v>2500</v>
      </c>
      <c r="AH146" s="202">
        <v>25000</v>
      </c>
      <c r="AI146" s="202">
        <v>3950</v>
      </c>
      <c r="AJ146" s="202">
        <v>39500</v>
      </c>
      <c r="AK146" s="202">
        <v>7342</v>
      </c>
      <c r="AL146" s="202">
        <v>62040</v>
      </c>
      <c r="AM146" s="187">
        <v>4387</v>
      </c>
      <c r="AN146" s="187">
        <v>126045</v>
      </c>
      <c r="AO146" s="202">
        <v>3624</v>
      </c>
      <c r="AP146" s="202">
        <v>86372</v>
      </c>
      <c r="AQ146" s="202">
        <v>3086</v>
      </c>
      <c r="AR146" s="202">
        <v>67892</v>
      </c>
      <c r="AS146" s="202">
        <v>2932</v>
      </c>
      <c r="AT146" s="202">
        <v>64504</v>
      </c>
      <c r="AU146" s="208">
        <v>10221</v>
      </c>
      <c r="AV146" s="208">
        <v>164408</v>
      </c>
      <c r="AW146" s="208">
        <v>17599</v>
      </c>
      <c r="AX146" s="208">
        <v>327033</v>
      </c>
      <c r="AY146" s="183">
        <v>7585</v>
      </c>
      <c r="AZ146" s="183">
        <v>65984</v>
      </c>
      <c r="BA146" s="183"/>
      <c r="BB146" s="183"/>
      <c r="BC146" s="202"/>
      <c r="BD146" s="183"/>
      <c r="BE146" s="202"/>
      <c r="BF146" s="148"/>
      <c r="BG146" s="148"/>
      <c r="BH146" s="148"/>
      <c r="BI146" s="183"/>
      <c r="BJ146" s="98"/>
      <c r="BK146" s="148"/>
      <c r="BL146" s="148"/>
      <c r="BN146" s="148"/>
    </row>
    <row r="147" spans="1:1163">
      <c r="A147" s="126" t="s">
        <v>602</v>
      </c>
      <c r="B147" s="127" t="s">
        <v>67</v>
      </c>
      <c r="C147" s="183">
        <v>15153489</v>
      </c>
      <c r="D147" s="183">
        <v>19272893</v>
      </c>
      <c r="E147" s="183">
        <v>607812</v>
      </c>
      <c r="F147" s="183">
        <v>1792235</v>
      </c>
      <c r="G147" s="183">
        <v>637350</v>
      </c>
      <c r="H147" s="183">
        <v>2028155</v>
      </c>
      <c r="I147" s="183">
        <v>514252</v>
      </c>
      <c r="J147" s="183">
        <v>1659214</v>
      </c>
      <c r="K147" s="183">
        <v>345481</v>
      </c>
      <c r="L147" s="183">
        <v>1686993</v>
      </c>
      <c r="M147" s="183">
        <v>184696</v>
      </c>
      <c r="N147" s="183">
        <v>968942</v>
      </c>
      <c r="O147" s="183">
        <v>193511</v>
      </c>
      <c r="P147" s="183">
        <v>1151735</v>
      </c>
      <c r="Q147" s="183">
        <v>217092</v>
      </c>
      <c r="R147" s="183">
        <v>1006511</v>
      </c>
      <c r="S147" s="183">
        <v>131866</v>
      </c>
      <c r="T147" s="183">
        <v>1311783</v>
      </c>
      <c r="U147" s="194">
        <v>2138091</v>
      </c>
      <c r="V147" s="194">
        <v>10322448</v>
      </c>
      <c r="W147" s="194">
        <v>1812436</v>
      </c>
      <c r="X147" s="194">
        <v>7795442</v>
      </c>
      <c r="Y147" s="194">
        <v>1828663</v>
      </c>
      <c r="Z147" s="194">
        <v>10640754</v>
      </c>
      <c r="AA147" s="208">
        <v>1737984</v>
      </c>
      <c r="AB147" s="208">
        <v>9709097</v>
      </c>
      <c r="AC147" s="194">
        <v>2083846</v>
      </c>
      <c r="AD147" s="194">
        <v>13055973</v>
      </c>
      <c r="AE147" s="202">
        <v>2099107</v>
      </c>
      <c r="AF147" s="208">
        <v>14189487</v>
      </c>
      <c r="AG147" s="202">
        <v>2249595</v>
      </c>
      <c r="AH147" s="202">
        <v>15123079</v>
      </c>
      <c r="AI147" s="202">
        <v>2189534</v>
      </c>
      <c r="AJ147" s="202">
        <v>14819627</v>
      </c>
      <c r="AK147" s="202">
        <v>2667429</v>
      </c>
      <c r="AL147" s="202">
        <v>17747807</v>
      </c>
      <c r="AM147" s="187">
        <v>2277880</v>
      </c>
      <c r="AN147" s="187">
        <v>13685622</v>
      </c>
      <c r="AO147" s="202">
        <v>3002887</v>
      </c>
      <c r="AP147" s="202">
        <v>12916212</v>
      </c>
      <c r="AQ147" s="202">
        <v>3004290.21</v>
      </c>
      <c r="AR147" s="202">
        <v>13969321</v>
      </c>
      <c r="AS147" s="202">
        <v>2968501.47</v>
      </c>
      <c r="AT147" s="202">
        <v>13949154.48</v>
      </c>
      <c r="AU147" s="208">
        <v>3511669</v>
      </c>
      <c r="AV147" s="208">
        <v>15444737</v>
      </c>
      <c r="AW147" s="202">
        <v>3943000</v>
      </c>
      <c r="AX147" s="202">
        <v>16636737</v>
      </c>
      <c r="AY147" s="183">
        <v>5416874</v>
      </c>
      <c r="AZ147" s="183">
        <v>28410365</v>
      </c>
      <c r="BA147" s="183"/>
      <c r="BB147" s="183"/>
      <c r="BC147" s="202"/>
      <c r="BD147" s="183"/>
      <c r="BE147" s="202"/>
      <c r="BF147" s="148"/>
      <c r="BG147" s="202"/>
      <c r="BH147" s="148"/>
      <c r="BI147" s="202"/>
      <c r="BJ147" s="98"/>
      <c r="BK147" s="148"/>
      <c r="BM147" s="148"/>
      <c r="BN147" s="148"/>
    </row>
    <row r="148" spans="1:1163">
      <c r="A148" s="129" t="s">
        <v>183</v>
      </c>
      <c r="B148" s="225"/>
      <c r="C148" s="194"/>
      <c r="D148" s="194">
        <f>SUM(D146:D147)</f>
        <v>19302521</v>
      </c>
      <c r="E148" s="194"/>
      <c r="F148" s="194">
        <f>SUM(F146:F147)</f>
        <v>1792235</v>
      </c>
      <c r="G148" s="194"/>
      <c r="H148" s="194">
        <f>SUM(H146:H147)</f>
        <v>2028155</v>
      </c>
      <c r="I148" s="194"/>
      <c r="J148" s="194">
        <f>SUM(J146:J147)</f>
        <v>1659214</v>
      </c>
      <c r="K148" s="194"/>
      <c r="L148" s="194">
        <f>SUM(L146:L147)</f>
        <v>1686993</v>
      </c>
      <c r="M148" s="194"/>
      <c r="N148" s="194">
        <f>SUM(N146:N147)</f>
        <v>968942</v>
      </c>
      <c r="O148" s="194"/>
      <c r="P148" s="194">
        <f>SUM(P146:P147)</f>
        <v>1153835</v>
      </c>
      <c r="Q148" s="194"/>
      <c r="R148" s="194">
        <f>SUM(R146:R147)</f>
        <v>1008821</v>
      </c>
      <c r="S148" s="194"/>
      <c r="T148" s="194">
        <f>SUM(T146:T147)</f>
        <v>1314945</v>
      </c>
      <c r="U148" s="202"/>
      <c r="V148" s="202">
        <f>SUM(V146:V147)</f>
        <v>10322448</v>
      </c>
      <c r="W148" s="202"/>
      <c r="X148" s="194">
        <f>SUM(X146:X147)</f>
        <v>7802642</v>
      </c>
      <c r="Y148" s="202"/>
      <c r="Z148" s="194">
        <f>SUM(Z146:Z147)</f>
        <v>10647414</v>
      </c>
      <c r="AA148" s="202"/>
      <c r="AB148" s="208">
        <f>SUM(AB146:AB147)</f>
        <v>9709097</v>
      </c>
      <c r="AC148" s="194"/>
      <c r="AD148" s="194">
        <f>SUM(AD146:AD147)</f>
        <v>13057093</v>
      </c>
      <c r="AE148" s="202"/>
      <c r="AF148" s="202">
        <f>SUM(AF146:AF147)</f>
        <v>14189487</v>
      </c>
      <c r="AG148" s="202"/>
      <c r="AH148" s="202">
        <f>SUM(AH146:AH147)</f>
        <v>15148079</v>
      </c>
      <c r="AI148" s="202"/>
      <c r="AJ148" s="202">
        <f>SUM(AJ146:AJ147)</f>
        <v>14859127</v>
      </c>
      <c r="AK148" s="202"/>
      <c r="AL148" s="202">
        <v>17809847</v>
      </c>
      <c r="AM148" s="187"/>
      <c r="AN148" s="187">
        <v>13811667</v>
      </c>
      <c r="AO148" s="202"/>
      <c r="AP148" s="202">
        <v>13002584</v>
      </c>
      <c r="AQ148" s="202"/>
      <c r="AR148" s="202">
        <v>14037213</v>
      </c>
      <c r="AS148" s="202"/>
      <c r="AT148" s="202">
        <f>SUM(AT146:AT147)</f>
        <v>14013658.48</v>
      </c>
      <c r="AU148" s="202"/>
      <c r="AV148" s="208">
        <f>SUM(AV146:AV147)</f>
        <v>15609145</v>
      </c>
      <c r="AW148" s="202"/>
      <c r="AX148" s="202">
        <f>SUM(AX146:AX147)</f>
        <v>16963770</v>
      </c>
      <c r="AY148" s="183"/>
      <c r="AZ148" s="183">
        <f>SUM(AZ146:AZ147)</f>
        <v>28476349</v>
      </c>
      <c r="BA148" s="188"/>
      <c r="BB148" s="183"/>
      <c r="BC148" s="202"/>
      <c r="BD148" s="183"/>
      <c r="BE148" s="202"/>
      <c r="BF148" s="148"/>
      <c r="BG148" s="148"/>
      <c r="BH148" s="148"/>
      <c r="BI148" s="202"/>
      <c r="BJ148" s="98"/>
      <c r="BK148" s="148"/>
      <c r="BN148" s="148"/>
    </row>
    <row r="149" spans="1:1163">
      <c r="A149" s="131"/>
      <c r="B149" s="225"/>
      <c r="C149" s="194"/>
      <c r="D149" s="194"/>
      <c r="E149" s="194"/>
      <c r="F149" s="194"/>
      <c r="G149" s="194"/>
      <c r="H149" s="194"/>
      <c r="I149" s="194"/>
      <c r="J149" s="194"/>
      <c r="K149" s="194"/>
      <c r="L149" s="194"/>
      <c r="M149" s="194"/>
      <c r="N149" s="194"/>
      <c r="O149" s="194"/>
      <c r="P149" s="194"/>
      <c r="Q149" s="194"/>
      <c r="R149" s="194"/>
      <c r="S149" s="194"/>
      <c r="T149" s="194"/>
      <c r="U149" s="184"/>
      <c r="V149" s="184"/>
      <c r="W149" s="202"/>
      <c r="X149" s="194"/>
      <c r="Y149" s="202"/>
      <c r="Z149" s="194"/>
      <c r="AA149" s="202"/>
      <c r="AB149" s="208"/>
      <c r="AC149" s="183"/>
      <c r="AD149" s="183"/>
      <c r="AE149" s="208"/>
      <c r="AF149" s="208"/>
      <c r="AG149" s="208"/>
      <c r="AH149" s="208"/>
      <c r="AI149" s="208"/>
      <c r="AJ149" s="208"/>
      <c r="AK149" s="208"/>
      <c r="AL149" s="208"/>
      <c r="AM149" s="202"/>
      <c r="AN149" s="202"/>
      <c r="AO149" s="202"/>
      <c r="AP149" s="202"/>
      <c r="AQ149" s="202"/>
      <c r="AR149" s="202"/>
      <c r="AS149" s="202"/>
      <c r="AT149" s="202"/>
      <c r="AU149" s="202"/>
      <c r="AV149" s="208"/>
      <c r="AW149" s="166"/>
      <c r="AX149" s="166"/>
      <c r="AY149" s="165"/>
      <c r="AZ149" s="165"/>
      <c r="BA149" s="196"/>
      <c r="BB149" s="194"/>
      <c r="BC149" s="194"/>
      <c r="BD149" s="194"/>
      <c r="BE149" s="194"/>
      <c r="BF149" s="194"/>
      <c r="BG149" s="194"/>
      <c r="BH149" s="194"/>
      <c r="BI149" s="196"/>
      <c r="BJ149" s="98"/>
      <c r="BK149" s="148"/>
      <c r="BM149" s="148"/>
      <c r="BN149" s="148"/>
    </row>
    <row r="150" spans="1:1163" s="174" customFormat="1">
      <c r="A150" s="118" t="s">
        <v>184</v>
      </c>
      <c r="B150" s="119" t="s">
        <v>67</v>
      </c>
      <c r="C150" s="175">
        <v>60376</v>
      </c>
      <c r="D150" s="175">
        <v>1075116</v>
      </c>
      <c r="E150" s="175">
        <v>0</v>
      </c>
      <c r="F150" s="175">
        <v>0</v>
      </c>
      <c r="G150" s="175">
        <v>0</v>
      </c>
      <c r="H150" s="175">
        <v>0</v>
      </c>
      <c r="I150" s="175">
        <v>0</v>
      </c>
      <c r="J150" s="175">
        <v>0</v>
      </c>
      <c r="K150" s="175">
        <v>0</v>
      </c>
      <c r="L150" s="175">
        <v>0</v>
      </c>
      <c r="M150" s="175">
        <v>16729</v>
      </c>
      <c r="N150" s="175">
        <v>215936</v>
      </c>
      <c r="O150" s="197">
        <v>0</v>
      </c>
      <c r="P150" s="197">
        <v>0</v>
      </c>
      <c r="Q150" s="197">
        <v>0</v>
      </c>
      <c r="R150" s="197">
        <v>0</v>
      </c>
      <c r="S150" s="197">
        <v>0</v>
      </c>
      <c r="T150" s="197">
        <v>0</v>
      </c>
      <c r="U150" s="197">
        <v>0</v>
      </c>
      <c r="V150" s="197">
        <v>0</v>
      </c>
      <c r="W150" s="197">
        <v>0</v>
      </c>
      <c r="X150" s="197">
        <v>0</v>
      </c>
      <c r="Y150" s="197">
        <v>0</v>
      </c>
      <c r="Z150" s="197">
        <v>0</v>
      </c>
      <c r="AA150" s="197">
        <v>0</v>
      </c>
      <c r="AB150" s="197">
        <v>0</v>
      </c>
      <c r="AC150" s="197">
        <v>0</v>
      </c>
      <c r="AD150" s="197">
        <v>0</v>
      </c>
      <c r="AE150" s="197">
        <v>0</v>
      </c>
      <c r="AF150" s="197">
        <v>0</v>
      </c>
      <c r="AG150" s="197">
        <v>0</v>
      </c>
      <c r="AH150" s="197">
        <v>0</v>
      </c>
      <c r="AI150" s="197">
        <v>0</v>
      </c>
      <c r="AJ150" s="197">
        <v>0</v>
      </c>
      <c r="AK150" s="197">
        <v>0</v>
      </c>
      <c r="AL150" s="197">
        <v>0</v>
      </c>
      <c r="AM150" s="197">
        <v>0</v>
      </c>
      <c r="AN150" s="197">
        <v>0</v>
      </c>
      <c r="AO150" s="197">
        <v>0</v>
      </c>
      <c r="AP150" s="197">
        <v>0</v>
      </c>
      <c r="AQ150" s="197">
        <v>0</v>
      </c>
      <c r="AR150" s="197">
        <v>0</v>
      </c>
      <c r="AS150" s="197">
        <v>0</v>
      </c>
      <c r="AT150" s="197">
        <v>0</v>
      </c>
      <c r="AU150" s="197">
        <v>0</v>
      </c>
      <c r="AV150" s="197">
        <v>0</v>
      </c>
      <c r="AW150" s="175">
        <v>0</v>
      </c>
      <c r="AX150" s="175">
        <v>0</v>
      </c>
      <c r="AY150" s="175">
        <v>0</v>
      </c>
      <c r="AZ150" s="175">
        <v>0</v>
      </c>
      <c r="BA150" s="144"/>
      <c r="BB150" s="175"/>
      <c r="BC150" s="175"/>
      <c r="BD150" s="175"/>
      <c r="BE150" s="175"/>
      <c r="BF150" s="175"/>
      <c r="BG150" s="175"/>
      <c r="BH150" s="175"/>
      <c r="BI150" s="144"/>
      <c r="BJ150" s="98"/>
      <c r="BK150" s="148"/>
      <c r="BL150" s="148"/>
      <c r="BM150" s="148"/>
      <c r="BN150" s="14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c r="CT150" s="98"/>
      <c r="CU150" s="98"/>
      <c r="CV150" s="98"/>
      <c r="CW150" s="98"/>
      <c r="CX150" s="98"/>
      <c r="CY150" s="98"/>
      <c r="CZ150" s="98"/>
      <c r="DA150" s="98"/>
      <c r="DB150" s="98"/>
      <c r="DC150" s="98"/>
      <c r="DD150" s="98"/>
      <c r="DE150" s="98"/>
      <c r="DF150" s="98"/>
      <c r="DG150" s="98"/>
      <c r="DH150" s="98"/>
      <c r="DI150" s="98"/>
      <c r="DJ150" s="98"/>
      <c r="DK150" s="98"/>
      <c r="DL150" s="98"/>
      <c r="DM150" s="98"/>
      <c r="DN150" s="98"/>
      <c r="DO150" s="98"/>
      <c r="DP150" s="98"/>
      <c r="DQ150" s="98"/>
      <c r="DR150" s="98"/>
      <c r="DS150" s="98"/>
      <c r="DT150" s="98"/>
      <c r="DU150" s="98"/>
      <c r="DV150" s="98"/>
      <c r="DW150" s="98"/>
      <c r="DX150" s="98"/>
      <c r="DY150" s="98"/>
      <c r="DZ150" s="98"/>
      <c r="EA150" s="98"/>
      <c r="EB150" s="98"/>
      <c r="EC150" s="98"/>
      <c r="ED150" s="98"/>
      <c r="EE150" s="98"/>
      <c r="EF150" s="98"/>
      <c r="EG150" s="98"/>
      <c r="EH150" s="98"/>
      <c r="EI150" s="98"/>
      <c r="EJ150" s="98"/>
      <c r="EK150" s="98"/>
      <c r="EL150" s="98"/>
      <c r="EM150" s="98"/>
      <c r="EN150" s="98"/>
      <c r="EO150" s="98"/>
      <c r="EP150" s="98"/>
      <c r="EQ150" s="98"/>
      <c r="ER150" s="98"/>
      <c r="ES150" s="98"/>
      <c r="ET150" s="98"/>
      <c r="EU150" s="98"/>
      <c r="EV150" s="98"/>
      <c r="EW150" s="98"/>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c r="IW150" s="98"/>
      <c r="IX150" s="98"/>
      <c r="IY150" s="98"/>
      <c r="IZ150" s="98"/>
      <c r="JA150" s="98"/>
      <c r="JB150" s="98"/>
      <c r="JC150" s="98"/>
      <c r="JD150" s="98"/>
      <c r="JE150" s="98"/>
      <c r="JF150" s="98"/>
      <c r="JG150" s="98"/>
      <c r="JH150" s="98"/>
      <c r="JI150" s="98"/>
      <c r="JJ150" s="98"/>
      <c r="JK150" s="98"/>
      <c r="JL150" s="98"/>
      <c r="JM150" s="98"/>
      <c r="JN150" s="98"/>
      <c r="JO150" s="98"/>
      <c r="JP150" s="98"/>
      <c r="JQ150" s="98"/>
      <c r="JR150" s="98"/>
      <c r="JS150" s="98"/>
      <c r="JT150" s="98"/>
      <c r="JU150" s="98"/>
      <c r="JV150" s="98"/>
      <c r="JW150" s="98"/>
      <c r="JX150" s="98"/>
      <c r="JY150" s="98"/>
      <c r="JZ150" s="98"/>
      <c r="KA150" s="98"/>
      <c r="KB150" s="98"/>
      <c r="KC150" s="98"/>
      <c r="KD150" s="98"/>
      <c r="KE150" s="98"/>
      <c r="KF150" s="98"/>
      <c r="KG150" s="98"/>
      <c r="KH150" s="98"/>
      <c r="KI150" s="98"/>
      <c r="KJ150" s="98"/>
      <c r="KK150" s="98"/>
      <c r="KL150" s="98"/>
      <c r="KM150" s="98"/>
      <c r="KN150" s="98"/>
      <c r="KO150" s="98"/>
      <c r="KP150" s="98"/>
      <c r="KQ150" s="98"/>
      <c r="KR150" s="98"/>
      <c r="KS150" s="98"/>
      <c r="KT150" s="98"/>
      <c r="KU150" s="98"/>
      <c r="KV150" s="98"/>
      <c r="KW150" s="98"/>
      <c r="KX150" s="98"/>
      <c r="KY150" s="98"/>
      <c r="KZ150" s="98"/>
      <c r="LA150" s="98"/>
      <c r="LB150" s="98"/>
      <c r="LC150" s="98"/>
      <c r="LD150" s="98"/>
      <c r="LE150" s="98"/>
      <c r="LF150" s="98"/>
      <c r="LG150" s="98"/>
      <c r="LH150" s="98"/>
      <c r="LI150" s="98"/>
      <c r="LJ150" s="98"/>
      <c r="LK150" s="98"/>
      <c r="LL150" s="98"/>
      <c r="LM150" s="98"/>
      <c r="LN150" s="98"/>
      <c r="LO150" s="98"/>
      <c r="LP150" s="98"/>
      <c r="LQ150" s="98"/>
      <c r="LR150" s="98"/>
      <c r="LS150" s="98"/>
      <c r="LT150" s="98"/>
      <c r="LU150" s="98"/>
      <c r="LV150" s="98"/>
      <c r="LW150" s="98"/>
      <c r="LX150" s="98"/>
      <c r="LY150" s="98"/>
      <c r="LZ150" s="98"/>
      <c r="MA150" s="98"/>
      <c r="MB150" s="98"/>
      <c r="MC150" s="98"/>
      <c r="MD150" s="98"/>
      <c r="ME150" s="98"/>
      <c r="MF150" s="98"/>
      <c r="MG150" s="98"/>
      <c r="MH150" s="98"/>
      <c r="MI150" s="98"/>
      <c r="MJ150" s="98"/>
      <c r="MK150" s="98"/>
      <c r="ML150" s="98"/>
      <c r="MM150" s="98"/>
      <c r="MN150" s="98"/>
      <c r="MO150" s="98"/>
      <c r="MP150" s="98"/>
      <c r="MQ150" s="98"/>
      <c r="MR150" s="98"/>
      <c r="MS150" s="98"/>
      <c r="MT150" s="98"/>
      <c r="MU150" s="98"/>
      <c r="MV150" s="98"/>
      <c r="MW150" s="98"/>
      <c r="MX150" s="98"/>
      <c r="MY150" s="98"/>
      <c r="MZ150" s="98"/>
      <c r="NA150" s="98"/>
      <c r="NB150" s="98"/>
      <c r="NC150" s="98"/>
      <c r="ND150" s="98"/>
      <c r="NE150" s="98"/>
      <c r="NF150" s="98"/>
      <c r="NG150" s="98"/>
      <c r="NH150" s="98"/>
      <c r="NI150" s="98"/>
      <c r="NJ150" s="98"/>
      <c r="NK150" s="98"/>
      <c r="NL150" s="98"/>
      <c r="NM150" s="98"/>
      <c r="NN150" s="98"/>
      <c r="NO150" s="98"/>
      <c r="NP150" s="98"/>
      <c r="NQ150" s="98"/>
      <c r="NR150" s="98"/>
      <c r="NS150" s="98"/>
      <c r="NT150" s="98"/>
      <c r="NU150" s="98"/>
      <c r="NV150" s="98"/>
      <c r="NW150" s="98"/>
      <c r="NX150" s="98"/>
      <c r="NY150" s="98"/>
      <c r="NZ150" s="98"/>
      <c r="OA150" s="98"/>
      <c r="OB150" s="98"/>
      <c r="OC150" s="98"/>
      <c r="OD150" s="98"/>
      <c r="OE150" s="98"/>
      <c r="OF150" s="98"/>
      <c r="OG150" s="98"/>
      <c r="OH150" s="98"/>
      <c r="OI150" s="98"/>
      <c r="OJ150" s="98"/>
      <c r="OK150" s="98"/>
      <c r="OL150" s="98"/>
      <c r="OM150" s="98"/>
      <c r="ON150" s="98"/>
      <c r="OO150" s="98"/>
      <c r="OP150" s="98"/>
      <c r="OQ150" s="98"/>
      <c r="OR150" s="98"/>
      <c r="OS150" s="98"/>
      <c r="OT150" s="98"/>
      <c r="OU150" s="98"/>
      <c r="OV150" s="98"/>
      <c r="OW150" s="98"/>
      <c r="OX150" s="98"/>
      <c r="OY150" s="98"/>
      <c r="OZ150" s="98"/>
      <c r="PA150" s="98"/>
      <c r="PB150" s="98"/>
      <c r="PC150" s="98"/>
      <c r="PD150" s="98"/>
      <c r="PE150" s="98"/>
      <c r="PF150" s="98"/>
      <c r="PG150" s="98"/>
      <c r="PH150" s="98"/>
      <c r="PI150" s="98"/>
      <c r="PJ150" s="98"/>
      <c r="PK150" s="98"/>
      <c r="PL150" s="98"/>
      <c r="PM150" s="98"/>
      <c r="PN150" s="98"/>
      <c r="PO150" s="98"/>
      <c r="PP150" s="98"/>
      <c r="PQ150" s="98"/>
      <c r="PR150" s="98"/>
      <c r="PS150" s="98"/>
      <c r="PT150" s="98"/>
      <c r="PU150" s="98"/>
      <c r="PV150" s="98"/>
      <c r="PW150" s="98"/>
      <c r="PX150" s="98"/>
      <c r="PY150" s="98"/>
      <c r="PZ150" s="98"/>
      <c r="QA150" s="98"/>
      <c r="QB150" s="98"/>
      <c r="QC150" s="98"/>
      <c r="QD150" s="98"/>
      <c r="QE150" s="98"/>
      <c r="QF150" s="98"/>
      <c r="QG150" s="98"/>
      <c r="QH150" s="98"/>
      <c r="QI150" s="98"/>
      <c r="QJ150" s="98"/>
      <c r="QK150" s="98"/>
      <c r="QL150" s="98"/>
      <c r="QM150" s="98"/>
      <c r="QN150" s="98"/>
      <c r="QO150" s="98"/>
      <c r="QP150" s="98"/>
      <c r="QQ150" s="98"/>
      <c r="QR150" s="98"/>
      <c r="QS150" s="98"/>
      <c r="QT150" s="98"/>
      <c r="QU150" s="98"/>
      <c r="QV150" s="98"/>
      <c r="QW150" s="98"/>
      <c r="QX150" s="98"/>
      <c r="QY150" s="98"/>
      <c r="QZ150" s="98"/>
      <c r="RA150" s="98"/>
      <c r="RB150" s="98"/>
      <c r="RC150" s="98"/>
      <c r="RD150" s="98"/>
      <c r="RE150" s="98"/>
      <c r="RF150" s="98"/>
      <c r="RG150" s="98"/>
      <c r="RH150" s="98"/>
      <c r="RI150" s="98"/>
      <c r="RJ150" s="98"/>
      <c r="RK150" s="98"/>
      <c r="RL150" s="98"/>
      <c r="RM150" s="98"/>
      <c r="RN150" s="98"/>
      <c r="RO150" s="98"/>
      <c r="RP150" s="98"/>
      <c r="RQ150" s="98"/>
      <c r="RR150" s="98"/>
      <c r="RS150" s="98"/>
      <c r="RT150" s="98"/>
      <c r="RU150" s="98"/>
      <c r="RV150" s="98"/>
      <c r="RW150" s="98"/>
      <c r="RX150" s="98"/>
      <c r="RY150" s="98"/>
      <c r="RZ150" s="98"/>
      <c r="SA150" s="98"/>
      <c r="SB150" s="98"/>
      <c r="SC150" s="98"/>
      <c r="SD150" s="98"/>
      <c r="SE150" s="98"/>
      <c r="SF150" s="98"/>
      <c r="SG150" s="98"/>
      <c r="SH150" s="98"/>
      <c r="SI150" s="98"/>
      <c r="SJ150" s="98"/>
      <c r="SK150" s="98"/>
      <c r="SL150" s="98"/>
      <c r="SM150" s="98"/>
      <c r="SN150" s="98"/>
      <c r="SO150" s="98"/>
      <c r="SP150" s="98"/>
      <c r="SQ150" s="98"/>
      <c r="SR150" s="98"/>
      <c r="SS150" s="98"/>
      <c r="ST150" s="98"/>
      <c r="SU150" s="98"/>
      <c r="SV150" s="98"/>
      <c r="SW150" s="98"/>
      <c r="SX150" s="98"/>
      <c r="SY150" s="98"/>
      <c r="SZ150" s="98"/>
      <c r="TA150" s="98"/>
      <c r="TB150" s="98"/>
      <c r="TC150" s="98"/>
      <c r="TD150" s="98"/>
      <c r="TE150" s="98"/>
      <c r="TF150" s="98"/>
      <c r="TG150" s="98"/>
      <c r="TH150" s="98"/>
      <c r="TI150" s="98"/>
      <c r="TJ150" s="98"/>
      <c r="TK150" s="98"/>
      <c r="TL150" s="98"/>
      <c r="TM150" s="98"/>
      <c r="TN150" s="98"/>
      <c r="TO150" s="98"/>
      <c r="TP150" s="98"/>
      <c r="TQ150" s="98"/>
      <c r="TR150" s="98"/>
      <c r="TS150" s="98"/>
      <c r="TT150" s="98"/>
      <c r="TU150" s="98"/>
      <c r="TV150" s="98"/>
      <c r="TW150" s="98"/>
      <c r="TX150" s="98"/>
      <c r="TY150" s="98"/>
      <c r="TZ150" s="98"/>
      <c r="UA150" s="98"/>
      <c r="UB150" s="98"/>
      <c r="UC150" s="98"/>
      <c r="UD150" s="98"/>
      <c r="UE150" s="98"/>
      <c r="UF150" s="98"/>
      <c r="UG150" s="98"/>
      <c r="UH150" s="98"/>
      <c r="UI150" s="98"/>
      <c r="UJ150" s="98"/>
      <c r="UK150" s="98"/>
      <c r="UL150" s="98"/>
      <c r="UM150" s="98"/>
      <c r="UN150" s="98"/>
      <c r="UO150" s="98"/>
      <c r="UP150" s="98"/>
      <c r="UQ150" s="98"/>
      <c r="UR150" s="98"/>
      <c r="US150" s="98"/>
      <c r="UT150" s="98"/>
      <c r="UU150" s="98"/>
      <c r="UV150" s="98"/>
      <c r="UW150" s="98"/>
      <c r="UX150" s="98"/>
      <c r="UY150" s="98"/>
      <c r="UZ150" s="98"/>
      <c r="VA150" s="98"/>
      <c r="VB150" s="98"/>
      <c r="VC150" s="98"/>
      <c r="VD150" s="98"/>
      <c r="VE150" s="98"/>
      <c r="VF150" s="98"/>
      <c r="VG150" s="98"/>
      <c r="VH150" s="98"/>
      <c r="VI150" s="98"/>
      <c r="VJ150" s="98"/>
      <c r="VK150" s="98"/>
      <c r="VL150" s="98"/>
      <c r="VM150" s="98"/>
      <c r="VN150" s="98"/>
      <c r="VO150" s="98"/>
      <c r="VP150" s="98"/>
      <c r="VQ150" s="98"/>
      <c r="VR150" s="98"/>
      <c r="VS150" s="98"/>
      <c r="VT150" s="98"/>
      <c r="VU150" s="98"/>
      <c r="VV150" s="98"/>
      <c r="VW150" s="98"/>
      <c r="VX150" s="98"/>
      <c r="VY150" s="98"/>
      <c r="VZ150" s="98"/>
      <c r="WA150" s="98"/>
      <c r="WB150" s="98"/>
      <c r="WC150" s="98"/>
      <c r="WD150" s="98"/>
      <c r="WE150" s="98"/>
      <c r="WF150" s="98"/>
      <c r="WG150" s="98"/>
      <c r="WH150" s="98"/>
      <c r="WI150" s="98"/>
      <c r="WJ150" s="98"/>
      <c r="WK150" s="98"/>
      <c r="WL150" s="98"/>
      <c r="WM150" s="98"/>
      <c r="WN150" s="98"/>
      <c r="WO150" s="98"/>
      <c r="WP150" s="98"/>
      <c r="WQ150" s="98"/>
      <c r="WR150" s="98"/>
      <c r="WS150" s="98"/>
      <c r="WT150" s="98"/>
      <c r="WU150" s="98"/>
      <c r="WV150" s="98"/>
      <c r="WW150" s="98"/>
      <c r="WX150" s="98"/>
      <c r="WY150" s="98"/>
      <c r="WZ150" s="98"/>
      <c r="XA150" s="98"/>
      <c r="XB150" s="98"/>
      <c r="XC150" s="98"/>
      <c r="XD150" s="98"/>
      <c r="XE150" s="98"/>
      <c r="XF150" s="98"/>
      <c r="XG150" s="98"/>
      <c r="XH150" s="98"/>
      <c r="XI150" s="98"/>
      <c r="XJ150" s="98"/>
      <c r="XK150" s="98"/>
      <c r="XL150" s="98"/>
      <c r="XM150" s="98"/>
      <c r="XN150" s="98"/>
      <c r="XO150" s="98"/>
      <c r="XP150" s="98"/>
      <c r="XQ150" s="98"/>
      <c r="XR150" s="98"/>
      <c r="XS150" s="98"/>
      <c r="XT150" s="98"/>
      <c r="XU150" s="98"/>
      <c r="XV150" s="98"/>
      <c r="XW150" s="98"/>
      <c r="XX150" s="98"/>
      <c r="XY150" s="98"/>
      <c r="XZ150" s="98"/>
      <c r="YA150" s="98"/>
      <c r="YB150" s="98"/>
      <c r="YC150" s="98"/>
      <c r="YD150" s="98"/>
      <c r="YE150" s="98"/>
      <c r="YF150" s="98"/>
      <c r="YG150" s="98"/>
      <c r="YH150" s="98"/>
      <c r="YI150" s="98"/>
      <c r="YJ150" s="98"/>
      <c r="YK150" s="98"/>
      <c r="YL150" s="98"/>
      <c r="YM150" s="98"/>
      <c r="YN150" s="98"/>
      <c r="YO150" s="98"/>
      <c r="YP150" s="98"/>
      <c r="YQ150" s="98"/>
      <c r="YR150" s="98"/>
      <c r="YS150" s="98"/>
      <c r="YT150" s="98"/>
      <c r="YU150" s="98"/>
      <c r="YV150" s="98"/>
      <c r="YW150" s="98"/>
      <c r="YX150" s="98"/>
      <c r="YY150" s="98"/>
      <c r="YZ150" s="98"/>
      <c r="ZA150" s="98"/>
      <c r="ZB150" s="98"/>
      <c r="ZC150" s="98"/>
      <c r="ZD150" s="98"/>
      <c r="ZE150" s="98"/>
      <c r="ZF150" s="98"/>
      <c r="ZG150" s="98"/>
      <c r="ZH150" s="98"/>
      <c r="ZI150" s="98"/>
      <c r="ZJ150" s="98"/>
      <c r="ZK150" s="98"/>
      <c r="ZL150" s="98"/>
      <c r="ZM150" s="98"/>
      <c r="ZN150" s="98"/>
      <c r="ZO150" s="98"/>
      <c r="ZP150" s="98"/>
      <c r="ZQ150" s="98"/>
      <c r="ZR150" s="98"/>
      <c r="ZS150" s="98"/>
      <c r="ZT150" s="98"/>
      <c r="ZU150" s="98"/>
      <c r="ZV150" s="98"/>
      <c r="ZW150" s="98"/>
      <c r="ZX150" s="98"/>
      <c r="ZY150" s="98"/>
      <c r="ZZ150" s="98"/>
      <c r="AAA150" s="98"/>
      <c r="AAB150" s="98"/>
      <c r="AAC150" s="98"/>
      <c r="AAD150" s="98"/>
      <c r="AAE150" s="98"/>
      <c r="AAF150" s="98"/>
      <c r="AAG150" s="98"/>
      <c r="AAH150" s="98"/>
      <c r="AAI150" s="98"/>
      <c r="AAJ150" s="98"/>
      <c r="AAK150" s="98"/>
      <c r="AAL150" s="98"/>
      <c r="AAM150" s="98"/>
      <c r="AAN150" s="98"/>
      <c r="AAO150" s="98"/>
      <c r="AAP150" s="98"/>
      <c r="AAQ150" s="98"/>
      <c r="AAR150" s="98"/>
      <c r="AAS150" s="98"/>
      <c r="AAT150" s="98"/>
      <c r="AAU150" s="98"/>
      <c r="AAV150" s="98"/>
      <c r="AAW150" s="98"/>
      <c r="AAX150" s="98"/>
      <c r="AAY150" s="98"/>
      <c r="AAZ150" s="98"/>
      <c r="ABA150" s="98"/>
      <c r="ABB150" s="98"/>
      <c r="ABC150" s="98"/>
      <c r="ABD150" s="98"/>
      <c r="ABE150" s="98"/>
      <c r="ABF150" s="98"/>
      <c r="ABG150" s="98"/>
      <c r="ABH150" s="98"/>
      <c r="ABI150" s="98"/>
      <c r="ABJ150" s="98"/>
      <c r="ABK150" s="98"/>
      <c r="ABL150" s="98"/>
      <c r="ABM150" s="98"/>
      <c r="ABN150" s="98"/>
      <c r="ABO150" s="98"/>
      <c r="ABP150" s="98"/>
      <c r="ABQ150" s="98"/>
      <c r="ABR150" s="98"/>
      <c r="ABS150" s="98"/>
      <c r="ABT150" s="98"/>
      <c r="ABU150" s="98"/>
      <c r="ABV150" s="98"/>
      <c r="ABW150" s="98"/>
      <c r="ABX150" s="98"/>
      <c r="ABY150" s="98"/>
      <c r="ABZ150" s="98"/>
      <c r="ACA150" s="98"/>
      <c r="ACB150" s="98"/>
      <c r="ACC150" s="98"/>
      <c r="ACD150" s="98"/>
      <c r="ACE150" s="98"/>
      <c r="ACF150" s="98"/>
      <c r="ACG150" s="98"/>
      <c r="ACH150" s="98"/>
      <c r="ACI150" s="98"/>
      <c r="ACJ150" s="98"/>
      <c r="ACK150" s="98"/>
      <c r="ACL150" s="98"/>
      <c r="ACM150" s="98"/>
      <c r="ACN150" s="98"/>
      <c r="ACO150" s="98"/>
      <c r="ACP150" s="98"/>
      <c r="ACQ150" s="98"/>
      <c r="ACR150" s="98"/>
      <c r="ACS150" s="98"/>
      <c r="ACT150" s="98"/>
      <c r="ACU150" s="98"/>
      <c r="ACV150" s="98"/>
      <c r="ACW150" s="98"/>
      <c r="ACX150" s="98"/>
      <c r="ACY150" s="98"/>
      <c r="ACZ150" s="98"/>
      <c r="ADA150" s="98"/>
      <c r="ADB150" s="98"/>
      <c r="ADC150" s="98"/>
      <c r="ADD150" s="98"/>
      <c r="ADE150" s="98"/>
      <c r="ADF150" s="98"/>
      <c r="ADG150" s="98"/>
      <c r="ADH150" s="98"/>
      <c r="ADI150" s="98"/>
      <c r="ADJ150" s="98"/>
      <c r="ADK150" s="98"/>
      <c r="ADL150" s="98"/>
      <c r="ADM150" s="98"/>
      <c r="ADN150" s="98"/>
      <c r="ADO150" s="98"/>
      <c r="ADP150" s="98"/>
      <c r="ADQ150" s="98"/>
      <c r="ADR150" s="98"/>
      <c r="ADS150" s="98"/>
      <c r="ADT150" s="98"/>
      <c r="ADU150" s="98"/>
      <c r="ADV150" s="98"/>
      <c r="ADW150" s="98"/>
      <c r="ADX150" s="98"/>
      <c r="ADY150" s="98"/>
      <c r="ADZ150" s="98"/>
      <c r="AEA150" s="98"/>
      <c r="AEB150" s="98"/>
      <c r="AEC150" s="98"/>
      <c r="AED150" s="98"/>
      <c r="AEE150" s="98"/>
      <c r="AEF150" s="98"/>
      <c r="AEG150" s="98"/>
      <c r="AEH150" s="98"/>
      <c r="AEI150" s="98"/>
      <c r="AEJ150" s="98"/>
      <c r="AEK150" s="98"/>
      <c r="AEL150" s="98"/>
      <c r="AEM150" s="98"/>
      <c r="AEN150" s="98"/>
      <c r="AEO150" s="98"/>
      <c r="AEP150" s="98"/>
      <c r="AEQ150" s="98"/>
      <c r="AER150" s="98"/>
      <c r="AES150" s="98"/>
      <c r="AET150" s="98"/>
      <c r="AEU150" s="98"/>
      <c r="AEV150" s="98"/>
      <c r="AEW150" s="98"/>
      <c r="AEX150" s="98"/>
      <c r="AEY150" s="98"/>
      <c r="AEZ150" s="98"/>
      <c r="AFA150" s="98"/>
      <c r="AFB150" s="98"/>
      <c r="AFC150" s="98"/>
      <c r="AFD150" s="98"/>
      <c r="AFE150" s="98"/>
      <c r="AFF150" s="98"/>
      <c r="AFG150" s="98"/>
      <c r="AFH150" s="98"/>
      <c r="AFI150" s="98"/>
      <c r="AFJ150" s="98"/>
      <c r="AFK150" s="98"/>
      <c r="AFL150" s="98"/>
      <c r="AFM150" s="98"/>
      <c r="AFN150" s="98"/>
      <c r="AFO150" s="98"/>
      <c r="AFP150" s="98"/>
      <c r="AFQ150" s="98"/>
      <c r="AFR150" s="98"/>
      <c r="AFS150" s="98"/>
      <c r="AFT150" s="98"/>
      <c r="AFU150" s="98"/>
      <c r="AFV150" s="98"/>
      <c r="AFW150" s="98"/>
      <c r="AFX150" s="98"/>
      <c r="AFY150" s="98"/>
      <c r="AFZ150" s="98"/>
      <c r="AGA150" s="98"/>
      <c r="AGB150" s="98"/>
      <c r="AGC150" s="98"/>
      <c r="AGD150" s="98"/>
      <c r="AGE150" s="98"/>
      <c r="AGF150" s="98"/>
      <c r="AGG150" s="98"/>
      <c r="AGH150" s="98"/>
      <c r="AGI150" s="98"/>
      <c r="AGJ150" s="98"/>
      <c r="AGK150" s="98"/>
      <c r="AGL150" s="98"/>
      <c r="AGM150" s="98"/>
      <c r="AGN150" s="98"/>
      <c r="AGO150" s="98"/>
      <c r="AGP150" s="98"/>
      <c r="AGQ150" s="98"/>
      <c r="AGR150" s="98"/>
      <c r="AGS150" s="98"/>
      <c r="AGT150" s="98"/>
      <c r="AGU150" s="98"/>
      <c r="AGV150" s="98"/>
      <c r="AGW150" s="98"/>
      <c r="AGX150" s="98"/>
      <c r="AGY150" s="98"/>
      <c r="AGZ150" s="98"/>
      <c r="AHA150" s="98"/>
      <c r="AHB150" s="98"/>
      <c r="AHC150" s="98"/>
      <c r="AHD150" s="98"/>
      <c r="AHE150" s="98"/>
      <c r="AHF150" s="98"/>
      <c r="AHG150" s="98"/>
      <c r="AHH150" s="98"/>
      <c r="AHI150" s="98"/>
      <c r="AHJ150" s="98"/>
      <c r="AHK150" s="98"/>
      <c r="AHL150" s="98"/>
      <c r="AHM150" s="98"/>
      <c r="AHN150" s="98"/>
      <c r="AHO150" s="98"/>
      <c r="AHP150" s="98"/>
      <c r="AHQ150" s="98"/>
      <c r="AHR150" s="98"/>
      <c r="AHS150" s="98"/>
      <c r="AHT150" s="98"/>
      <c r="AHU150" s="98"/>
      <c r="AHV150" s="98"/>
      <c r="AHW150" s="98"/>
      <c r="AHX150" s="98"/>
      <c r="AHY150" s="98"/>
      <c r="AHZ150" s="98"/>
      <c r="AIA150" s="98"/>
      <c r="AIB150" s="98"/>
      <c r="AIC150" s="98"/>
      <c r="AID150" s="98"/>
      <c r="AIE150" s="98"/>
      <c r="AIF150" s="98"/>
      <c r="AIG150" s="98"/>
      <c r="AIH150" s="98"/>
      <c r="AII150" s="98"/>
      <c r="AIJ150" s="98"/>
      <c r="AIK150" s="98"/>
      <c r="AIL150" s="98"/>
      <c r="AIM150" s="98"/>
      <c r="AIN150" s="98"/>
      <c r="AIO150" s="98"/>
      <c r="AIP150" s="98"/>
      <c r="AIQ150" s="98"/>
      <c r="AIR150" s="98"/>
      <c r="AIS150" s="98"/>
      <c r="AIT150" s="98"/>
      <c r="AIU150" s="98"/>
      <c r="AIV150" s="98"/>
      <c r="AIW150" s="98"/>
      <c r="AIX150" s="98"/>
      <c r="AIY150" s="98"/>
      <c r="AIZ150" s="98"/>
      <c r="AJA150" s="98"/>
      <c r="AJB150" s="98"/>
      <c r="AJC150" s="98"/>
      <c r="AJD150" s="98"/>
      <c r="AJE150" s="98"/>
      <c r="AJF150" s="98"/>
      <c r="AJG150" s="98"/>
      <c r="AJH150" s="98"/>
      <c r="AJI150" s="98"/>
      <c r="AJJ150" s="98"/>
      <c r="AJK150" s="98"/>
      <c r="AJL150" s="98"/>
      <c r="AJM150" s="98"/>
      <c r="AJN150" s="98"/>
      <c r="AJO150" s="98"/>
      <c r="AJP150" s="98"/>
      <c r="AJQ150" s="98"/>
      <c r="AJR150" s="98"/>
      <c r="AJS150" s="98"/>
      <c r="AJT150" s="98"/>
      <c r="AJU150" s="98"/>
      <c r="AJV150" s="98"/>
      <c r="AJW150" s="98"/>
      <c r="AJX150" s="98"/>
      <c r="AJY150" s="98"/>
      <c r="AJZ150" s="98"/>
      <c r="AKA150" s="98"/>
      <c r="AKB150" s="98"/>
      <c r="AKC150" s="98"/>
      <c r="AKD150" s="98"/>
      <c r="AKE150" s="98"/>
      <c r="AKF150" s="98"/>
      <c r="AKG150" s="98"/>
      <c r="AKH150" s="98"/>
      <c r="AKI150" s="98"/>
      <c r="AKJ150" s="98"/>
      <c r="AKK150" s="98"/>
      <c r="AKL150" s="98"/>
      <c r="AKM150" s="98"/>
      <c r="AKN150" s="98"/>
      <c r="AKO150" s="98"/>
      <c r="AKP150" s="98"/>
      <c r="AKQ150" s="98"/>
      <c r="AKR150" s="98"/>
      <c r="AKS150" s="98"/>
      <c r="AKT150" s="98"/>
      <c r="AKU150" s="98"/>
      <c r="AKV150" s="98"/>
      <c r="AKW150" s="98"/>
      <c r="AKX150" s="98"/>
      <c r="AKY150" s="98"/>
      <c r="AKZ150" s="98"/>
      <c r="ALA150" s="98"/>
      <c r="ALB150" s="98"/>
      <c r="ALC150" s="98"/>
      <c r="ALD150" s="98"/>
      <c r="ALE150" s="98"/>
      <c r="ALF150" s="98"/>
      <c r="ALG150" s="98"/>
      <c r="ALH150" s="98"/>
      <c r="ALI150" s="98"/>
      <c r="ALJ150" s="98"/>
      <c r="ALK150" s="98"/>
      <c r="ALL150" s="98"/>
      <c r="ALM150" s="98"/>
      <c r="ALN150" s="98"/>
      <c r="ALO150" s="98"/>
      <c r="ALP150" s="98"/>
      <c r="ALQ150" s="98"/>
      <c r="ALR150" s="98"/>
      <c r="ALS150" s="98"/>
      <c r="ALT150" s="98"/>
      <c r="ALU150" s="98"/>
      <c r="ALV150" s="98"/>
      <c r="ALW150" s="98"/>
      <c r="ALX150" s="98"/>
      <c r="ALY150" s="98"/>
      <c r="ALZ150" s="98"/>
      <c r="AMA150" s="98"/>
      <c r="AMB150" s="98"/>
      <c r="AMC150" s="98"/>
      <c r="AMD150" s="98"/>
      <c r="AME150" s="98"/>
      <c r="AMF150" s="98"/>
      <c r="AMG150" s="98"/>
      <c r="AMH150" s="98"/>
      <c r="AMI150" s="98"/>
      <c r="AMJ150" s="98"/>
      <c r="AMK150" s="98"/>
      <c r="AML150" s="98"/>
      <c r="AMM150" s="98"/>
      <c r="AMN150" s="98"/>
      <c r="AMO150" s="98"/>
      <c r="AMP150" s="98"/>
      <c r="AMQ150" s="98"/>
      <c r="AMR150" s="98"/>
      <c r="AMS150" s="98"/>
      <c r="AMT150" s="98"/>
      <c r="AMU150" s="98"/>
      <c r="AMV150" s="98"/>
      <c r="AMW150" s="98"/>
      <c r="AMX150" s="98"/>
      <c r="AMY150" s="98"/>
      <c r="AMZ150" s="98"/>
      <c r="ANA150" s="98"/>
      <c r="ANB150" s="98"/>
      <c r="ANC150" s="98"/>
      <c r="AND150" s="98"/>
      <c r="ANE150" s="98"/>
      <c r="ANF150" s="98"/>
      <c r="ANG150" s="98"/>
      <c r="ANH150" s="98"/>
      <c r="ANI150" s="98"/>
      <c r="ANJ150" s="98"/>
      <c r="ANK150" s="98"/>
      <c r="ANL150" s="98"/>
      <c r="ANM150" s="98"/>
      <c r="ANN150" s="98"/>
      <c r="ANO150" s="98"/>
      <c r="ANP150" s="98"/>
      <c r="ANQ150" s="98"/>
      <c r="ANR150" s="98"/>
      <c r="ANS150" s="98"/>
      <c r="ANT150" s="98"/>
      <c r="ANU150" s="98"/>
      <c r="ANV150" s="98"/>
      <c r="ANW150" s="98"/>
      <c r="ANX150" s="98"/>
      <c r="ANY150" s="98"/>
      <c r="ANZ150" s="98"/>
      <c r="AOA150" s="98"/>
      <c r="AOB150" s="98"/>
      <c r="AOC150" s="98"/>
      <c r="AOD150" s="98"/>
      <c r="AOE150" s="98"/>
      <c r="AOF150" s="98"/>
      <c r="AOG150" s="98"/>
      <c r="AOH150" s="98"/>
      <c r="AOI150" s="98"/>
      <c r="AOJ150" s="98"/>
      <c r="AOK150" s="98"/>
      <c r="AOL150" s="98"/>
      <c r="AOM150" s="98"/>
      <c r="AON150" s="98"/>
      <c r="AOO150" s="98"/>
      <c r="AOP150" s="98"/>
      <c r="AOQ150" s="98"/>
      <c r="AOR150" s="98"/>
      <c r="AOS150" s="98"/>
      <c r="AOT150" s="98"/>
      <c r="AOU150" s="98"/>
      <c r="AOV150" s="98"/>
      <c r="AOW150" s="98"/>
      <c r="AOX150" s="98"/>
      <c r="AOY150" s="98"/>
      <c r="AOZ150" s="98"/>
      <c r="APA150" s="98"/>
      <c r="APB150" s="98"/>
      <c r="APC150" s="98"/>
      <c r="APD150" s="98"/>
      <c r="APE150" s="98"/>
      <c r="APF150" s="98"/>
      <c r="APG150" s="98"/>
      <c r="APH150" s="98"/>
      <c r="API150" s="98"/>
      <c r="APJ150" s="98"/>
      <c r="APK150" s="98"/>
      <c r="APL150" s="98"/>
      <c r="APM150" s="98"/>
      <c r="APN150" s="98"/>
      <c r="APO150" s="98"/>
      <c r="APP150" s="98"/>
      <c r="APQ150" s="98"/>
      <c r="APR150" s="98"/>
      <c r="APS150" s="98"/>
      <c r="APT150" s="98"/>
      <c r="APU150" s="98"/>
      <c r="APV150" s="98"/>
      <c r="APW150" s="98"/>
      <c r="APX150" s="98"/>
      <c r="APY150" s="98"/>
      <c r="APZ150" s="98"/>
      <c r="AQA150" s="98"/>
      <c r="AQB150" s="98"/>
      <c r="AQC150" s="98"/>
      <c r="AQD150" s="98"/>
      <c r="AQE150" s="98"/>
      <c r="AQF150" s="98"/>
      <c r="AQG150" s="98"/>
      <c r="AQH150" s="98"/>
      <c r="AQI150" s="98"/>
      <c r="AQJ150" s="98"/>
      <c r="AQK150" s="98"/>
      <c r="AQL150" s="98"/>
      <c r="AQM150" s="98"/>
      <c r="AQN150" s="98"/>
      <c r="AQO150" s="98"/>
      <c r="AQP150" s="98"/>
      <c r="AQQ150" s="98"/>
      <c r="AQR150" s="98"/>
      <c r="AQS150" s="98"/>
      <c r="AQT150" s="98"/>
      <c r="AQU150" s="98"/>
      <c r="AQV150" s="98"/>
      <c r="AQW150" s="98"/>
      <c r="AQX150" s="98"/>
      <c r="AQY150" s="98"/>
      <c r="AQZ150" s="98"/>
      <c r="ARA150" s="98"/>
      <c r="ARB150" s="98"/>
      <c r="ARC150" s="98"/>
      <c r="ARD150" s="98"/>
      <c r="ARE150" s="98"/>
      <c r="ARF150" s="98"/>
      <c r="ARG150" s="98"/>
      <c r="ARH150" s="98"/>
      <c r="ARI150" s="98"/>
      <c r="ARJ150" s="98"/>
      <c r="ARK150" s="98"/>
      <c r="ARL150" s="98"/>
      <c r="ARM150" s="98"/>
      <c r="ARN150" s="98"/>
      <c r="ARO150" s="98"/>
      <c r="ARP150" s="98"/>
      <c r="ARQ150" s="98"/>
      <c r="ARR150" s="98"/>
      <c r="ARS150" s="98"/>
    </row>
    <row r="151" spans="1:1163">
      <c r="A151" s="133"/>
      <c r="B151" s="134"/>
      <c r="C151" s="175"/>
      <c r="D151" s="175"/>
      <c r="E151" s="197"/>
      <c r="F151" s="197"/>
      <c r="G151" s="197"/>
      <c r="H151" s="197"/>
      <c r="I151" s="197"/>
      <c r="J151" s="197"/>
      <c r="K151" s="197"/>
      <c r="L151" s="197"/>
      <c r="M151" s="197"/>
      <c r="N151" s="197"/>
      <c r="O151" s="197"/>
      <c r="P151" s="197"/>
      <c r="Q151" s="197"/>
      <c r="R151" s="197"/>
      <c r="S151" s="197"/>
      <c r="T151" s="197"/>
      <c r="U151" s="144"/>
      <c r="V151" s="144"/>
      <c r="W151" s="201"/>
      <c r="X151" s="197"/>
      <c r="Y151" s="201"/>
      <c r="Z151" s="197"/>
      <c r="AA151" s="201"/>
      <c r="AB151" s="209"/>
      <c r="AC151" s="175"/>
      <c r="AD151" s="175"/>
      <c r="AE151" s="209"/>
      <c r="AF151" s="209"/>
      <c r="AG151" s="209"/>
      <c r="AH151" s="209"/>
      <c r="AI151" s="209"/>
      <c r="AJ151" s="209"/>
      <c r="AK151" s="209"/>
      <c r="AL151" s="209"/>
      <c r="AM151" s="201"/>
      <c r="AN151" s="201"/>
      <c r="AO151" s="201"/>
      <c r="AP151" s="201"/>
      <c r="AQ151" s="201"/>
      <c r="AR151" s="201"/>
      <c r="AS151" s="201"/>
      <c r="AT151" s="201"/>
      <c r="AU151" s="201"/>
      <c r="AV151" s="209"/>
      <c r="AW151" s="173"/>
      <c r="AX151" s="173"/>
      <c r="AY151" s="172"/>
      <c r="AZ151" s="172"/>
      <c r="BA151" s="177"/>
      <c r="BB151" s="173"/>
      <c r="BC151" s="173"/>
      <c r="BD151" s="173"/>
      <c r="BE151" s="173"/>
      <c r="BF151" s="173"/>
      <c r="BG151" s="173"/>
      <c r="BH151" s="173"/>
      <c r="BI151" s="177"/>
      <c r="BJ151" s="98"/>
      <c r="BK151" s="148"/>
      <c r="BN151" s="148"/>
    </row>
    <row r="152" spans="1:1163">
      <c r="A152" s="124" t="s">
        <v>603</v>
      </c>
      <c r="B152" s="127" t="s">
        <v>67</v>
      </c>
      <c r="C152" s="194">
        <f>1933359+2254+5135</f>
        <v>1940748</v>
      </c>
      <c r="D152" s="194">
        <f>41514513+90860+81538</f>
        <v>41686911</v>
      </c>
      <c r="E152" s="183">
        <v>1693</v>
      </c>
      <c r="F152" s="183">
        <v>36738</v>
      </c>
      <c r="G152" s="183">
        <v>1196</v>
      </c>
      <c r="H152" s="183">
        <v>29885</v>
      </c>
      <c r="I152" s="183">
        <v>74</v>
      </c>
      <c r="J152" s="183">
        <v>1852</v>
      </c>
      <c r="K152" s="183">
        <v>0</v>
      </c>
      <c r="L152" s="183">
        <v>0</v>
      </c>
      <c r="M152" s="183">
        <v>0</v>
      </c>
      <c r="N152" s="183">
        <v>0</v>
      </c>
      <c r="O152" s="194">
        <v>0</v>
      </c>
      <c r="P152" s="194">
        <v>0</v>
      </c>
      <c r="Q152" s="194">
        <v>0</v>
      </c>
      <c r="R152" s="194">
        <v>0</v>
      </c>
      <c r="S152" s="194">
        <v>0</v>
      </c>
      <c r="T152" s="194">
        <v>0</v>
      </c>
      <c r="U152" s="194">
        <v>0</v>
      </c>
      <c r="V152" s="194">
        <v>0</v>
      </c>
      <c r="W152" s="194">
        <v>11375</v>
      </c>
      <c r="X152" s="194">
        <v>50000</v>
      </c>
      <c r="Y152" s="194">
        <v>364577</v>
      </c>
      <c r="Z152" s="194">
        <v>57927462</v>
      </c>
      <c r="AA152" s="208">
        <v>209640</v>
      </c>
      <c r="AB152" s="208">
        <v>37774547</v>
      </c>
      <c r="AC152" s="183">
        <v>402844</v>
      </c>
      <c r="AD152" s="183">
        <v>72200142</v>
      </c>
      <c r="AE152" s="208">
        <v>247858</v>
      </c>
      <c r="AF152" s="208">
        <v>43403053</v>
      </c>
      <c r="AG152" s="202">
        <v>202523</v>
      </c>
      <c r="AH152" s="202">
        <v>22742452</v>
      </c>
      <c r="AI152" s="202">
        <v>227900</v>
      </c>
      <c r="AJ152" s="202">
        <v>28424450</v>
      </c>
      <c r="AK152" s="202">
        <v>296807</v>
      </c>
      <c r="AL152" s="202">
        <v>32668655</v>
      </c>
      <c r="AM152" s="187">
        <v>176990</v>
      </c>
      <c r="AN152" s="187">
        <v>22153201</v>
      </c>
      <c r="AO152" s="202">
        <v>79430</v>
      </c>
      <c r="AP152" s="202">
        <v>8129205</v>
      </c>
      <c r="AQ152" s="202">
        <v>108155</v>
      </c>
      <c r="AR152" s="202">
        <v>13201137</v>
      </c>
      <c r="AS152" s="202">
        <v>259536</v>
      </c>
      <c r="AT152" s="202">
        <v>33614116</v>
      </c>
      <c r="AU152" s="208">
        <v>498603</v>
      </c>
      <c r="AV152" s="208">
        <v>76091438</v>
      </c>
      <c r="AW152" s="208">
        <v>578388</v>
      </c>
      <c r="AX152" s="208">
        <v>75626451</v>
      </c>
      <c r="AY152" s="183">
        <v>587836</v>
      </c>
      <c r="AZ152" s="183">
        <v>65180987</v>
      </c>
      <c r="BA152" s="195"/>
      <c r="BB152" s="183"/>
      <c r="BC152" s="202"/>
      <c r="BD152" s="183"/>
      <c r="BE152" s="202"/>
      <c r="BF152" s="148"/>
      <c r="BG152" s="148"/>
      <c r="BH152" s="148"/>
      <c r="BI152" s="202"/>
      <c r="BJ152" s="98"/>
      <c r="BK152" s="148"/>
      <c r="BL152" s="148"/>
      <c r="BN152" s="148"/>
    </row>
    <row r="153" spans="1:1163">
      <c r="A153" s="124"/>
      <c r="B153" s="127"/>
      <c r="C153" s="194"/>
      <c r="D153" s="194"/>
      <c r="E153" s="183"/>
      <c r="F153" s="183"/>
      <c r="G153" s="183"/>
      <c r="H153" s="183"/>
      <c r="I153" s="183"/>
      <c r="J153" s="183"/>
      <c r="K153" s="183"/>
      <c r="L153" s="183"/>
      <c r="M153" s="183"/>
      <c r="N153" s="183"/>
      <c r="O153" s="194"/>
      <c r="P153" s="194"/>
      <c r="Q153" s="194"/>
      <c r="R153" s="194"/>
      <c r="S153" s="194"/>
      <c r="T153" s="194"/>
      <c r="U153" s="194"/>
      <c r="V153" s="194"/>
      <c r="W153" s="194"/>
      <c r="X153" s="194"/>
      <c r="Y153" s="194"/>
      <c r="Z153" s="194"/>
      <c r="AA153" s="208"/>
      <c r="AB153" s="208"/>
      <c r="AC153" s="183"/>
      <c r="AD153" s="183"/>
      <c r="AE153" s="208"/>
      <c r="AF153" s="208"/>
      <c r="AG153" s="202"/>
      <c r="AH153" s="202"/>
      <c r="AI153" s="202"/>
      <c r="AJ153" s="202"/>
      <c r="AK153" s="202"/>
      <c r="AL153" s="202"/>
      <c r="AM153" s="187"/>
      <c r="AN153" s="187"/>
      <c r="AO153" s="202"/>
      <c r="AP153" s="202"/>
      <c r="AQ153" s="202"/>
      <c r="AR153" s="202"/>
      <c r="AS153" s="202"/>
      <c r="AT153" s="202"/>
      <c r="AU153" s="208"/>
      <c r="AV153" s="208"/>
      <c r="AW153" s="163"/>
      <c r="AX153" s="163"/>
      <c r="AY153" s="203"/>
      <c r="AZ153" s="203"/>
      <c r="BA153" s="195"/>
      <c r="BB153" s="163"/>
      <c r="BC153" s="163"/>
      <c r="BD153" s="163"/>
      <c r="BE153" s="163"/>
      <c r="BF153" s="163"/>
      <c r="BG153" s="163"/>
      <c r="BH153" s="163"/>
      <c r="BI153" s="195"/>
      <c r="BJ153" s="98"/>
      <c r="BK153" s="148"/>
      <c r="BL153" s="148"/>
      <c r="BN153" s="148"/>
    </row>
    <row r="154" spans="1:1163" s="174" customFormat="1">
      <c r="A154" s="118" t="s">
        <v>185</v>
      </c>
      <c r="B154" s="119" t="s">
        <v>67</v>
      </c>
      <c r="C154" s="175">
        <v>79</v>
      </c>
      <c r="D154" s="175">
        <v>1730</v>
      </c>
      <c r="E154" s="175">
        <v>0</v>
      </c>
      <c r="F154" s="175">
        <v>0</v>
      </c>
      <c r="G154" s="175">
        <v>0</v>
      </c>
      <c r="H154" s="175">
        <v>0</v>
      </c>
      <c r="I154" s="175">
        <v>0</v>
      </c>
      <c r="J154" s="175">
        <v>0</v>
      </c>
      <c r="K154" s="175">
        <v>0</v>
      </c>
      <c r="L154" s="175">
        <v>0</v>
      </c>
      <c r="M154" s="175">
        <v>16729</v>
      </c>
      <c r="N154" s="175">
        <v>215936</v>
      </c>
      <c r="O154" s="197">
        <v>0</v>
      </c>
      <c r="P154" s="197">
        <v>0</v>
      </c>
      <c r="Q154" s="197">
        <v>0</v>
      </c>
      <c r="R154" s="197">
        <v>0</v>
      </c>
      <c r="S154" s="197">
        <v>0</v>
      </c>
      <c r="T154" s="197">
        <v>0</v>
      </c>
      <c r="U154" s="197">
        <v>0</v>
      </c>
      <c r="V154" s="197">
        <v>0</v>
      </c>
      <c r="W154" s="197">
        <v>0</v>
      </c>
      <c r="X154" s="197">
        <v>0</v>
      </c>
      <c r="Y154" s="197">
        <v>0</v>
      </c>
      <c r="Z154" s="197">
        <v>0</v>
      </c>
      <c r="AA154" s="197">
        <v>0</v>
      </c>
      <c r="AB154" s="197">
        <v>0</v>
      </c>
      <c r="AC154" s="197">
        <v>0</v>
      </c>
      <c r="AD154" s="197">
        <v>0</v>
      </c>
      <c r="AE154" s="197">
        <v>0</v>
      </c>
      <c r="AF154" s="197">
        <v>0</v>
      </c>
      <c r="AG154" s="197">
        <v>0</v>
      </c>
      <c r="AH154" s="197">
        <v>0</v>
      </c>
      <c r="AI154" s="197">
        <v>0</v>
      </c>
      <c r="AJ154" s="197">
        <v>0</v>
      </c>
      <c r="AK154" s="197">
        <v>0</v>
      </c>
      <c r="AL154" s="197">
        <v>0</v>
      </c>
      <c r="AM154" s="197">
        <v>0</v>
      </c>
      <c r="AN154" s="197">
        <v>0</v>
      </c>
      <c r="AO154" s="197">
        <v>0</v>
      </c>
      <c r="AP154" s="197">
        <v>0</v>
      </c>
      <c r="AQ154" s="197">
        <v>0</v>
      </c>
      <c r="AR154" s="197">
        <v>0</v>
      </c>
      <c r="AS154" s="197">
        <v>0</v>
      </c>
      <c r="AT154" s="197">
        <v>0</v>
      </c>
      <c r="AU154" s="197">
        <v>0</v>
      </c>
      <c r="AV154" s="197">
        <v>0</v>
      </c>
      <c r="AW154" s="175">
        <v>0</v>
      </c>
      <c r="AX154" s="175">
        <v>0</v>
      </c>
      <c r="AY154" s="175">
        <v>0</v>
      </c>
      <c r="AZ154" s="175">
        <v>0</v>
      </c>
      <c r="BA154" s="144"/>
      <c r="BB154" s="175"/>
      <c r="BC154" s="175"/>
      <c r="BD154" s="175"/>
      <c r="BE154" s="175"/>
      <c r="BF154" s="175"/>
      <c r="BG154" s="175"/>
      <c r="BH154" s="175"/>
      <c r="BI154" s="175"/>
      <c r="BJ154" s="98"/>
      <c r="BK154" s="148"/>
      <c r="BL154" s="98"/>
      <c r="BM154" s="98"/>
      <c r="BN154" s="14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c r="DQ154" s="98"/>
      <c r="DR154" s="98"/>
      <c r="DS154" s="98"/>
      <c r="DT154" s="98"/>
      <c r="DU154" s="98"/>
      <c r="DV154" s="98"/>
      <c r="DW154" s="98"/>
      <c r="DX154" s="98"/>
      <c r="DY154" s="98"/>
      <c r="DZ154" s="98"/>
      <c r="EA154" s="98"/>
      <c r="EB154" s="98"/>
      <c r="EC154" s="98"/>
      <c r="ED154" s="98"/>
      <c r="EE154" s="98"/>
      <c r="EF154" s="98"/>
      <c r="EG154" s="98"/>
      <c r="EH154" s="98"/>
      <c r="EI154" s="98"/>
      <c r="EJ154" s="98"/>
      <c r="EK154" s="98"/>
      <c r="EL154" s="98"/>
      <c r="EM154" s="98"/>
      <c r="EN154" s="98"/>
      <c r="EO154" s="98"/>
      <c r="EP154" s="98"/>
      <c r="EQ154" s="98"/>
      <c r="ER154" s="98"/>
      <c r="ES154" s="98"/>
      <c r="ET154" s="98"/>
      <c r="EU154" s="98"/>
      <c r="EV154" s="98"/>
      <c r="EW154" s="98"/>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c r="IW154" s="98"/>
      <c r="IX154" s="98"/>
      <c r="IY154" s="98"/>
      <c r="IZ154" s="98"/>
      <c r="JA154" s="98"/>
      <c r="JB154" s="98"/>
      <c r="JC154" s="98"/>
      <c r="JD154" s="98"/>
      <c r="JE154" s="98"/>
      <c r="JF154" s="98"/>
      <c r="JG154" s="98"/>
      <c r="JH154" s="98"/>
      <c r="JI154" s="98"/>
      <c r="JJ154" s="98"/>
      <c r="JK154" s="98"/>
      <c r="JL154" s="98"/>
      <c r="JM154" s="98"/>
      <c r="JN154" s="98"/>
      <c r="JO154" s="98"/>
      <c r="JP154" s="98"/>
      <c r="JQ154" s="98"/>
      <c r="JR154" s="98"/>
      <c r="JS154" s="98"/>
      <c r="JT154" s="98"/>
      <c r="JU154" s="98"/>
      <c r="JV154" s="98"/>
      <c r="JW154" s="98"/>
      <c r="JX154" s="98"/>
      <c r="JY154" s="98"/>
      <c r="JZ154" s="98"/>
      <c r="KA154" s="98"/>
      <c r="KB154" s="98"/>
      <c r="KC154" s="98"/>
      <c r="KD154" s="98"/>
      <c r="KE154" s="98"/>
      <c r="KF154" s="98"/>
      <c r="KG154" s="98"/>
      <c r="KH154" s="98"/>
      <c r="KI154" s="98"/>
      <c r="KJ154" s="98"/>
      <c r="KK154" s="98"/>
      <c r="KL154" s="98"/>
      <c r="KM154" s="98"/>
      <c r="KN154" s="98"/>
      <c r="KO154" s="98"/>
      <c r="KP154" s="98"/>
      <c r="KQ154" s="98"/>
      <c r="KR154" s="98"/>
      <c r="KS154" s="98"/>
      <c r="KT154" s="98"/>
      <c r="KU154" s="98"/>
      <c r="KV154" s="98"/>
      <c r="KW154" s="98"/>
      <c r="KX154" s="98"/>
      <c r="KY154" s="98"/>
      <c r="KZ154" s="98"/>
      <c r="LA154" s="98"/>
      <c r="LB154" s="98"/>
      <c r="LC154" s="98"/>
      <c r="LD154" s="98"/>
      <c r="LE154" s="98"/>
      <c r="LF154" s="98"/>
      <c r="LG154" s="98"/>
      <c r="LH154" s="98"/>
      <c r="LI154" s="98"/>
      <c r="LJ154" s="98"/>
      <c r="LK154" s="98"/>
      <c r="LL154" s="98"/>
      <c r="LM154" s="98"/>
      <c r="LN154" s="98"/>
      <c r="LO154" s="98"/>
      <c r="LP154" s="98"/>
      <c r="LQ154" s="98"/>
      <c r="LR154" s="98"/>
      <c r="LS154" s="98"/>
      <c r="LT154" s="98"/>
      <c r="LU154" s="98"/>
      <c r="LV154" s="98"/>
      <c r="LW154" s="98"/>
      <c r="LX154" s="98"/>
      <c r="LY154" s="98"/>
      <c r="LZ154" s="98"/>
      <c r="MA154" s="98"/>
      <c r="MB154" s="98"/>
      <c r="MC154" s="98"/>
      <c r="MD154" s="98"/>
      <c r="ME154" s="98"/>
      <c r="MF154" s="98"/>
      <c r="MG154" s="98"/>
      <c r="MH154" s="98"/>
      <c r="MI154" s="98"/>
      <c r="MJ154" s="98"/>
      <c r="MK154" s="98"/>
      <c r="ML154" s="98"/>
      <c r="MM154" s="98"/>
      <c r="MN154" s="98"/>
      <c r="MO154" s="98"/>
      <c r="MP154" s="98"/>
      <c r="MQ154" s="98"/>
      <c r="MR154" s="98"/>
      <c r="MS154" s="98"/>
      <c r="MT154" s="98"/>
      <c r="MU154" s="98"/>
      <c r="MV154" s="98"/>
      <c r="MW154" s="98"/>
      <c r="MX154" s="98"/>
      <c r="MY154" s="98"/>
      <c r="MZ154" s="98"/>
      <c r="NA154" s="98"/>
      <c r="NB154" s="98"/>
      <c r="NC154" s="98"/>
      <c r="ND154" s="98"/>
      <c r="NE154" s="98"/>
      <c r="NF154" s="98"/>
      <c r="NG154" s="98"/>
      <c r="NH154" s="98"/>
      <c r="NI154" s="98"/>
      <c r="NJ154" s="98"/>
      <c r="NK154" s="98"/>
      <c r="NL154" s="98"/>
      <c r="NM154" s="98"/>
      <c r="NN154" s="98"/>
      <c r="NO154" s="98"/>
      <c r="NP154" s="98"/>
      <c r="NQ154" s="98"/>
      <c r="NR154" s="98"/>
      <c r="NS154" s="98"/>
      <c r="NT154" s="98"/>
      <c r="NU154" s="98"/>
      <c r="NV154" s="98"/>
      <c r="NW154" s="98"/>
      <c r="NX154" s="98"/>
      <c r="NY154" s="98"/>
      <c r="NZ154" s="98"/>
      <c r="OA154" s="98"/>
      <c r="OB154" s="98"/>
      <c r="OC154" s="98"/>
      <c r="OD154" s="98"/>
      <c r="OE154" s="98"/>
      <c r="OF154" s="98"/>
      <c r="OG154" s="98"/>
      <c r="OH154" s="98"/>
      <c r="OI154" s="98"/>
      <c r="OJ154" s="98"/>
      <c r="OK154" s="98"/>
      <c r="OL154" s="98"/>
      <c r="OM154" s="98"/>
      <c r="ON154" s="98"/>
      <c r="OO154" s="98"/>
      <c r="OP154" s="98"/>
      <c r="OQ154" s="98"/>
      <c r="OR154" s="98"/>
      <c r="OS154" s="98"/>
      <c r="OT154" s="98"/>
      <c r="OU154" s="98"/>
      <c r="OV154" s="98"/>
      <c r="OW154" s="98"/>
      <c r="OX154" s="98"/>
      <c r="OY154" s="98"/>
      <c r="OZ154" s="98"/>
      <c r="PA154" s="98"/>
      <c r="PB154" s="98"/>
      <c r="PC154" s="98"/>
      <c r="PD154" s="98"/>
      <c r="PE154" s="98"/>
      <c r="PF154" s="98"/>
      <c r="PG154" s="98"/>
      <c r="PH154" s="98"/>
      <c r="PI154" s="98"/>
      <c r="PJ154" s="98"/>
      <c r="PK154" s="98"/>
      <c r="PL154" s="98"/>
      <c r="PM154" s="98"/>
      <c r="PN154" s="98"/>
      <c r="PO154" s="98"/>
      <c r="PP154" s="98"/>
      <c r="PQ154" s="98"/>
      <c r="PR154" s="98"/>
      <c r="PS154" s="98"/>
      <c r="PT154" s="98"/>
      <c r="PU154" s="98"/>
      <c r="PV154" s="98"/>
      <c r="PW154" s="98"/>
      <c r="PX154" s="98"/>
      <c r="PY154" s="98"/>
      <c r="PZ154" s="98"/>
      <c r="QA154" s="98"/>
      <c r="QB154" s="98"/>
      <c r="QC154" s="98"/>
      <c r="QD154" s="98"/>
      <c r="QE154" s="98"/>
      <c r="QF154" s="98"/>
      <c r="QG154" s="98"/>
      <c r="QH154" s="98"/>
      <c r="QI154" s="98"/>
      <c r="QJ154" s="98"/>
      <c r="QK154" s="98"/>
      <c r="QL154" s="98"/>
      <c r="QM154" s="98"/>
      <c r="QN154" s="98"/>
      <c r="QO154" s="98"/>
      <c r="QP154" s="98"/>
      <c r="QQ154" s="98"/>
      <c r="QR154" s="98"/>
      <c r="QS154" s="98"/>
      <c r="QT154" s="98"/>
      <c r="QU154" s="98"/>
      <c r="QV154" s="98"/>
      <c r="QW154" s="98"/>
      <c r="QX154" s="98"/>
      <c r="QY154" s="98"/>
      <c r="QZ154" s="98"/>
      <c r="RA154" s="98"/>
      <c r="RB154" s="98"/>
      <c r="RC154" s="98"/>
      <c r="RD154" s="98"/>
      <c r="RE154" s="98"/>
      <c r="RF154" s="98"/>
      <c r="RG154" s="98"/>
      <c r="RH154" s="98"/>
      <c r="RI154" s="98"/>
      <c r="RJ154" s="98"/>
      <c r="RK154" s="98"/>
      <c r="RL154" s="98"/>
      <c r="RM154" s="98"/>
      <c r="RN154" s="98"/>
      <c r="RO154" s="98"/>
      <c r="RP154" s="98"/>
      <c r="RQ154" s="98"/>
      <c r="RR154" s="98"/>
      <c r="RS154" s="98"/>
      <c r="RT154" s="98"/>
      <c r="RU154" s="98"/>
      <c r="RV154" s="98"/>
      <c r="RW154" s="98"/>
      <c r="RX154" s="98"/>
      <c r="RY154" s="98"/>
      <c r="RZ154" s="98"/>
      <c r="SA154" s="98"/>
      <c r="SB154" s="98"/>
      <c r="SC154" s="98"/>
      <c r="SD154" s="98"/>
      <c r="SE154" s="98"/>
      <c r="SF154" s="98"/>
      <c r="SG154" s="98"/>
      <c r="SH154" s="98"/>
      <c r="SI154" s="98"/>
      <c r="SJ154" s="98"/>
      <c r="SK154" s="98"/>
      <c r="SL154" s="98"/>
      <c r="SM154" s="98"/>
      <c r="SN154" s="98"/>
      <c r="SO154" s="98"/>
      <c r="SP154" s="98"/>
      <c r="SQ154" s="98"/>
      <c r="SR154" s="98"/>
      <c r="SS154" s="98"/>
      <c r="ST154" s="98"/>
      <c r="SU154" s="98"/>
      <c r="SV154" s="98"/>
      <c r="SW154" s="98"/>
      <c r="SX154" s="98"/>
      <c r="SY154" s="98"/>
      <c r="SZ154" s="98"/>
      <c r="TA154" s="98"/>
      <c r="TB154" s="98"/>
      <c r="TC154" s="98"/>
      <c r="TD154" s="98"/>
      <c r="TE154" s="98"/>
      <c r="TF154" s="98"/>
      <c r="TG154" s="98"/>
      <c r="TH154" s="98"/>
      <c r="TI154" s="98"/>
      <c r="TJ154" s="98"/>
      <c r="TK154" s="98"/>
      <c r="TL154" s="98"/>
      <c r="TM154" s="98"/>
      <c r="TN154" s="98"/>
      <c r="TO154" s="98"/>
      <c r="TP154" s="98"/>
      <c r="TQ154" s="98"/>
      <c r="TR154" s="98"/>
      <c r="TS154" s="98"/>
      <c r="TT154" s="98"/>
      <c r="TU154" s="98"/>
      <c r="TV154" s="98"/>
      <c r="TW154" s="98"/>
      <c r="TX154" s="98"/>
      <c r="TY154" s="98"/>
      <c r="TZ154" s="98"/>
      <c r="UA154" s="98"/>
      <c r="UB154" s="98"/>
      <c r="UC154" s="98"/>
      <c r="UD154" s="98"/>
      <c r="UE154" s="98"/>
      <c r="UF154" s="98"/>
      <c r="UG154" s="98"/>
      <c r="UH154" s="98"/>
      <c r="UI154" s="98"/>
      <c r="UJ154" s="98"/>
      <c r="UK154" s="98"/>
      <c r="UL154" s="98"/>
      <c r="UM154" s="98"/>
      <c r="UN154" s="98"/>
      <c r="UO154" s="98"/>
      <c r="UP154" s="98"/>
      <c r="UQ154" s="98"/>
      <c r="UR154" s="98"/>
      <c r="US154" s="98"/>
      <c r="UT154" s="98"/>
      <c r="UU154" s="98"/>
      <c r="UV154" s="98"/>
      <c r="UW154" s="98"/>
      <c r="UX154" s="98"/>
      <c r="UY154" s="98"/>
      <c r="UZ154" s="98"/>
      <c r="VA154" s="98"/>
      <c r="VB154" s="98"/>
      <c r="VC154" s="98"/>
      <c r="VD154" s="98"/>
      <c r="VE154" s="98"/>
      <c r="VF154" s="98"/>
      <c r="VG154" s="98"/>
      <c r="VH154" s="98"/>
      <c r="VI154" s="98"/>
      <c r="VJ154" s="98"/>
      <c r="VK154" s="98"/>
      <c r="VL154" s="98"/>
      <c r="VM154" s="98"/>
      <c r="VN154" s="98"/>
      <c r="VO154" s="98"/>
      <c r="VP154" s="98"/>
      <c r="VQ154" s="98"/>
      <c r="VR154" s="98"/>
      <c r="VS154" s="98"/>
      <c r="VT154" s="98"/>
      <c r="VU154" s="98"/>
      <c r="VV154" s="98"/>
      <c r="VW154" s="98"/>
      <c r="VX154" s="98"/>
      <c r="VY154" s="98"/>
      <c r="VZ154" s="98"/>
      <c r="WA154" s="98"/>
      <c r="WB154" s="98"/>
      <c r="WC154" s="98"/>
      <c r="WD154" s="98"/>
      <c r="WE154" s="98"/>
      <c r="WF154" s="98"/>
      <c r="WG154" s="98"/>
      <c r="WH154" s="98"/>
      <c r="WI154" s="98"/>
      <c r="WJ154" s="98"/>
      <c r="WK154" s="98"/>
      <c r="WL154" s="98"/>
      <c r="WM154" s="98"/>
      <c r="WN154" s="98"/>
      <c r="WO154" s="98"/>
      <c r="WP154" s="98"/>
      <c r="WQ154" s="98"/>
      <c r="WR154" s="98"/>
      <c r="WS154" s="98"/>
      <c r="WT154" s="98"/>
      <c r="WU154" s="98"/>
      <c r="WV154" s="98"/>
      <c r="WW154" s="98"/>
      <c r="WX154" s="98"/>
      <c r="WY154" s="98"/>
      <c r="WZ154" s="98"/>
      <c r="XA154" s="98"/>
      <c r="XB154" s="98"/>
      <c r="XC154" s="98"/>
      <c r="XD154" s="98"/>
      <c r="XE154" s="98"/>
      <c r="XF154" s="98"/>
      <c r="XG154" s="98"/>
      <c r="XH154" s="98"/>
      <c r="XI154" s="98"/>
      <c r="XJ154" s="98"/>
      <c r="XK154" s="98"/>
      <c r="XL154" s="98"/>
      <c r="XM154" s="98"/>
      <c r="XN154" s="98"/>
      <c r="XO154" s="98"/>
      <c r="XP154" s="98"/>
      <c r="XQ154" s="98"/>
      <c r="XR154" s="98"/>
      <c r="XS154" s="98"/>
      <c r="XT154" s="98"/>
      <c r="XU154" s="98"/>
      <c r="XV154" s="98"/>
      <c r="XW154" s="98"/>
      <c r="XX154" s="98"/>
      <c r="XY154" s="98"/>
      <c r="XZ154" s="98"/>
      <c r="YA154" s="98"/>
      <c r="YB154" s="98"/>
      <c r="YC154" s="98"/>
      <c r="YD154" s="98"/>
      <c r="YE154" s="98"/>
      <c r="YF154" s="98"/>
      <c r="YG154" s="98"/>
      <c r="YH154" s="98"/>
      <c r="YI154" s="98"/>
      <c r="YJ154" s="98"/>
      <c r="YK154" s="98"/>
      <c r="YL154" s="98"/>
      <c r="YM154" s="98"/>
      <c r="YN154" s="98"/>
      <c r="YO154" s="98"/>
      <c r="YP154" s="98"/>
      <c r="YQ154" s="98"/>
      <c r="YR154" s="98"/>
      <c r="YS154" s="98"/>
      <c r="YT154" s="98"/>
      <c r="YU154" s="98"/>
      <c r="YV154" s="98"/>
      <c r="YW154" s="98"/>
      <c r="YX154" s="98"/>
      <c r="YY154" s="98"/>
      <c r="YZ154" s="98"/>
      <c r="ZA154" s="98"/>
      <c r="ZB154" s="98"/>
      <c r="ZC154" s="98"/>
      <c r="ZD154" s="98"/>
      <c r="ZE154" s="98"/>
      <c r="ZF154" s="98"/>
      <c r="ZG154" s="98"/>
      <c r="ZH154" s="98"/>
      <c r="ZI154" s="98"/>
      <c r="ZJ154" s="98"/>
      <c r="ZK154" s="98"/>
      <c r="ZL154" s="98"/>
      <c r="ZM154" s="98"/>
      <c r="ZN154" s="98"/>
      <c r="ZO154" s="98"/>
      <c r="ZP154" s="98"/>
      <c r="ZQ154" s="98"/>
      <c r="ZR154" s="98"/>
      <c r="ZS154" s="98"/>
      <c r="ZT154" s="98"/>
      <c r="ZU154" s="98"/>
      <c r="ZV154" s="98"/>
      <c r="ZW154" s="98"/>
      <c r="ZX154" s="98"/>
      <c r="ZY154" s="98"/>
      <c r="ZZ154" s="98"/>
      <c r="AAA154" s="98"/>
      <c r="AAB154" s="98"/>
      <c r="AAC154" s="98"/>
      <c r="AAD154" s="98"/>
      <c r="AAE154" s="98"/>
      <c r="AAF154" s="98"/>
      <c r="AAG154" s="98"/>
      <c r="AAH154" s="98"/>
      <c r="AAI154" s="98"/>
      <c r="AAJ154" s="98"/>
      <c r="AAK154" s="98"/>
      <c r="AAL154" s="98"/>
      <c r="AAM154" s="98"/>
      <c r="AAN154" s="98"/>
      <c r="AAO154" s="98"/>
      <c r="AAP154" s="98"/>
      <c r="AAQ154" s="98"/>
      <c r="AAR154" s="98"/>
      <c r="AAS154" s="98"/>
      <c r="AAT154" s="98"/>
      <c r="AAU154" s="98"/>
      <c r="AAV154" s="98"/>
      <c r="AAW154" s="98"/>
      <c r="AAX154" s="98"/>
      <c r="AAY154" s="98"/>
      <c r="AAZ154" s="98"/>
      <c r="ABA154" s="98"/>
      <c r="ABB154" s="98"/>
      <c r="ABC154" s="98"/>
      <c r="ABD154" s="98"/>
      <c r="ABE154" s="98"/>
      <c r="ABF154" s="98"/>
      <c r="ABG154" s="98"/>
      <c r="ABH154" s="98"/>
      <c r="ABI154" s="98"/>
      <c r="ABJ154" s="98"/>
      <c r="ABK154" s="98"/>
      <c r="ABL154" s="98"/>
      <c r="ABM154" s="98"/>
      <c r="ABN154" s="98"/>
      <c r="ABO154" s="98"/>
      <c r="ABP154" s="98"/>
      <c r="ABQ154" s="98"/>
      <c r="ABR154" s="98"/>
      <c r="ABS154" s="98"/>
      <c r="ABT154" s="98"/>
      <c r="ABU154" s="98"/>
      <c r="ABV154" s="98"/>
      <c r="ABW154" s="98"/>
      <c r="ABX154" s="98"/>
      <c r="ABY154" s="98"/>
      <c r="ABZ154" s="98"/>
      <c r="ACA154" s="98"/>
      <c r="ACB154" s="98"/>
      <c r="ACC154" s="98"/>
      <c r="ACD154" s="98"/>
      <c r="ACE154" s="98"/>
      <c r="ACF154" s="98"/>
      <c r="ACG154" s="98"/>
      <c r="ACH154" s="98"/>
      <c r="ACI154" s="98"/>
      <c r="ACJ154" s="98"/>
      <c r="ACK154" s="98"/>
      <c r="ACL154" s="98"/>
      <c r="ACM154" s="98"/>
      <c r="ACN154" s="98"/>
      <c r="ACO154" s="98"/>
      <c r="ACP154" s="98"/>
      <c r="ACQ154" s="98"/>
      <c r="ACR154" s="98"/>
      <c r="ACS154" s="98"/>
      <c r="ACT154" s="98"/>
      <c r="ACU154" s="98"/>
      <c r="ACV154" s="98"/>
      <c r="ACW154" s="98"/>
      <c r="ACX154" s="98"/>
      <c r="ACY154" s="98"/>
      <c r="ACZ154" s="98"/>
      <c r="ADA154" s="98"/>
      <c r="ADB154" s="98"/>
      <c r="ADC154" s="98"/>
      <c r="ADD154" s="98"/>
      <c r="ADE154" s="98"/>
      <c r="ADF154" s="98"/>
      <c r="ADG154" s="98"/>
      <c r="ADH154" s="98"/>
      <c r="ADI154" s="98"/>
      <c r="ADJ154" s="98"/>
      <c r="ADK154" s="98"/>
      <c r="ADL154" s="98"/>
      <c r="ADM154" s="98"/>
      <c r="ADN154" s="98"/>
      <c r="ADO154" s="98"/>
      <c r="ADP154" s="98"/>
      <c r="ADQ154" s="98"/>
      <c r="ADR154" s="98"/>
      <c r="ADS154" s="98"/>
      <c r="ADT154" s="98"/>
      <c r="ADU154" s="98"/>
      <c r="ADV154" s="98"/>
      <c r="ADW154" s="98"/>
      <c r="ADX154" s="98"/>
      <c r="ADY154" s="98"/>
      <c r="ADZ154" s="98"/>
      <c r="AEA154" s="98"/>
      <c r="AEB154" s="98"/>
      <c r="AEC154" s="98"/>
      <c r="AED154" s="98"/>
      <c r="AEE154" s="98"/>
      <c r="AEF154" s="98"/>
      <c r="AEG154" s="98"/>
      <c r="AEH154" s="98"/>
      <c r="AEI154" s="98"/>
      <c r="AEJ154" s="98"/>
      <c r="AEK154" s="98"/>
      <c r="AEL154" s="98"/>
      <c r="AEM154" s="98"/>
      <c r="AEN154" s="98"/>
      <c r="AEO154" s="98"/>
      <c r="AEP154" s="98"/>
      <c r="AEQ154" s="98"/>
      <c r="AER154" s="98"/>
      <c r="AES154" s="98"/>
      <c r="AET154" s="98"/>
      <c r="AEU154" s="98"/>
      <c r="AEV154" s="98"/>
      <c r="AEW154" s="98"/>
      <c r="AEX154" s="98"/>
      <c r="AEY154" s="98"/>
      <c r="AEZ154" s="98"/>
      <c r="AFA154" s="98"/>
      <c r="AFB154" s="98"/>
      <c r="AFC154" s="98"/>
      <c r="AFD154" s="98"/>
      <c r="AFE154" s="98"/>
      <c r="AFF154" s="98"/>
      <c r="AFG154" s="98"/>
      <c r="AFH154" s="98"/>
      <c r="AFI154" s="98"/>
      <c r="AFJ154" s="98"/>
      <c r="AFK154" s="98"/>
      <c r="AFL154" s="98"/>
      <c r="AFM154" s="98"/>
      <c r="AFN154" s="98"/>
      <c r="AFO154" s="98"/>
      <c r="AFP154" s="98"/>
      <c r="AFQ154" s="98"/>
      <c r="AFR154" s="98"/>
      <c r="AFS154" s="98"/>
      <c r="AFT154" s="98"/>
      <c r="AFU154" s="98"/>
      <c r="AFV154" s="98"/>
      <c r="AFW154" s="98"/>
      <c r="AFX154" s="98"/>
      <c r="AFY154" s="98"/>
      <c r="AFZ154" s="98"/>
      <c r="AGA154" s="98"/>
      <c r="AGB154" s="98"/>
      <c r="AGC154" s="98"/>
      <c r="AGD154" s="98"/>
      <c r="AGE154" s="98"/>
      <c r="AGF154" s="98"/>
      <c r="AGG154" s="98"/>
      <c r="AGH154" s="98"/>
      <c r="AGI154" s="98"/>
      <c r="AGJ154" s="98"/>
      <c r="AGK154" s="98"/>
      <c r="AGL154" s="98"/>
      <c r="AGM154" s="98"/>
      <c r="AGN154" s="98"/>
      <c r="AGO154" s="98"/>
      <c r="AGP154" s="98"/>
      <c r="AGQ154" s="98"/>
      <c r="AGR154" s="98"/>
      <c r="AGS154" s="98"/>
      <c r="AGT154" s="98"/>
      <c r="AGU154" s="98"/>
      <c r="AGV154" s="98"/>
      <c r="AGW154" s="98"/>
      <c r="AGX154" s="98"/>
      <c r="AGY154" s="98"/>
      <c r="AGZ154" s="98"/>
      <c r="AHA154" s="98"/>
      <c r="AHB154" s="98"/>
      <c r="AHC154" s="98"/>
      <c r="AHD154" s="98"/>
      <c r="AHE154" s="98"/>
      <c r="AHF154" s="98"/>
      <c r="AHG154" s="98"/>
      <c r="AHH154" s="98"/>
      <c r="AHI154" s="98"/>
      <c r="AHJ154" s="98"/>
      <c r="AHK154" s="98"/>
      <c r="AHL154" s="98"/>
      <c r="AHM154" s="98"/>
      <c r="AHN154" s="98"/>
      <c r="AHO154" s="98"/>
      <c r="AHP154" s="98"/>
      <c r="AHQ154" s="98"/>
      <c r="AHR154" s="98"/>
      <c r="AHS154" s="98"/>
      <c r="AHT154" s="98"/>
      <c r="AHU154" s="98"/>
      <c r="AHV154" s="98"/>
      <c r="AHW154" s="98"/>
      <c r="AHX154" s="98"/>
      <c r="AHY154" s="98"/>
      <c r="AHZ154" s="98"/>
      <c r="AIA154" s="98"/>
      <c r="AIB154" s="98"/>
      <c r="AIC154" s="98"/>
      <c r="AID154" s="98"/>
      <c r="AIE154" s="98"/>
      <c r="AIF154" s="98"/>
      <c r="AIG154" s="98"/>
      <c r="AIH154" s="98"/>
      <c r="AII154" s="98"/>
      <c r="AIJ154" s="98"/>
      <c r="AIK154" s="98"/>
      <c r="AIL154" s="98"/>
      <c r="AIM154" s="98"/>
      <c r="AIN154" s="98"/>
      <c r="AIO154" s="98"/>
      <c r="AIP154" s="98"/>
      <c r="AIQ154" s="98"/>
      <c r="AIR154" s="98"/>
      <c r="AIS154" s="98"/>
      <c r="AIT154" s="98"/>
      <c r="AIU154" s="98"/>
      <c r="AIV154" s="98"/>
      <c r="AIW154" s="98"/>
      <c r="AIX154" s="98"/>
      <c r="AIY154" s="98"/>
      <c r="AIZ154" s="98"/>
      <c r="AJA154" s="98"/>
      <c r="AJB154" s="98"/>
      <c r="AJC154" s="98"/>
      <c r="AJD154" s="98"/>
      <c r="AJE154" s="98"/>
      <c r="AJF154" s="98"/>
      <c r="AJG154" s="98"/>
      <c r="AJH154" s="98"/>
      <c r="AJI154" s="98"/>
      <c r="AJJ154" s="98"/>
      <c r="AJK154" s="98"/>
      <c r="AJL154" s="98"/>
      <c r="AJM154" s="98"/>
      <c r="AJN154" s="98"/>
      <c r="AJO154" s="98"/>
      <c r="AJP154" s="98"/>
      <c r="AJQ154" s="98"/>
      <c r="AJR154" s="98"/>
      <c r="AJS154" s="98"/>
      <c r="AJT154" s="98"/>
      <c r="AJU154" s="98"/>
      <c r="AJV154" s="98"/>
      <c r="AJW154" s="98"/>
      <c r="AJX154" s="98"/>
      <c r="AJY154" s="98"/>
      <c r="AJZ154" s="98"/>
      <c r="AKA154" s="98"/>
      <c r="AKB154" s="98"/>
      <c r="AKC154" s="98"/>
      <c r="AKD154" s="98"/>
      <c r="AKE154" s="98"/>
      <c r="AKF154" s="98"/>
      <c r="AKG154" s="98"/>
      <c r="AKH154" s="98"/>
      <c r="AKI154" s="98"/>
      <c r="AKJ154" s="98"/>
      <c r="AKK154" s="98"/>
      <c r="AKL154" s="98"/>
      <c r="AKM154" s="98"/>
      <c r="AKN154" s="98"/>
      <c r="AKO154" s="98"/>
      <c r="AKP154" s="98"/>
      <c r="AKQ154" s="98"/>
      <c r="AKR154" s="98"/>
      <c r="AKS154" s="98"/>
      <c r="AKT154" s="98"/>
      <c r="AKU154" s="98"/>
      <c r="AKV154" s="98"/>
      <c r="AKW154" s="98"/>
      <c r="AKX154" s="98"/>
      <c r="AKY154" s="98"/>
      <c r="AKZ154" s="98"/>
      <c r="ALA154" s="98"/>
      <c r="ALB154" s="98"/>
      <c r="ALC154" s="98"/>
      <c r="ALD154" s="98"/>
      <c r="ALE154" s="98"/>
      <c r="ALF154" s="98"/>
      <c r="ALG154" s="98"/>
      <c r="ALH154" s="98"/>
      <c r="ALI154" s="98"/>
      <c r="ALJ154" s="98"/>
      <c r="ALK154" s="98"/>
      <c r="ALL154" s="98"/>
      <c r="ALM154" s="98"/>
      <c r="ALN154" s="98"/>
      <c r="ALO154" s="98"/>
      <c r="ALP154" s="98"/>
      <c r="ALQ154" s="98"/>
      <c r="ALR154" s="98"/>
      <c r="ALS154" s="98"/>
      <c r="ALT154" s="98"/>
      <c r="ALU154" s="98"/>
      <c r="ALV154" s="98"/>
      <c r="ALW154" s="98"/>
      <c r="ALX154" s="98"/>
      <c r="ALY154" s="98"/>
      <c r="ALZ154" s="98"/>
      <c r="AMA154" s="98"/>
      <c r="AMB154" s="98"/>
      <c r="AMC154" s="98"/>
      <c r="AMD154" s="98"/>
      <c r="AME154" s="98"/>
      <c r="AMF154" s="98"/>
      <c r="AMG154" s="98"/>
      <c r="AMH154" s="98"/>
      <c r="AMI154" s="98"/>
      <c r="AMJ154" s="98"/>
      <c r="AMK154" s="98"/>
      <c r="AML154" s="98"/>
      <c r="AMM154" s="98"/>
      <c r="AMN154" s="98"/>
      <c r="AMO154" s="98"/>
      <c r="AMP154" s="98"/>
      <c r="AMQ154" s="98"/>
      <c r="AMR154" s="98"/>
      <c r="AMS154" s="98"/>
      <c r="AMT154" s="98"/>
      <c r="AMU154" s="98"/>
      <c r="AMV154" s="98"/>
      <c r="AMW154" s="98"/>
      <c r="AMX154" s="98"/>
      <c r="AMY154" s="98"/>
      <c r="AMZ154" s="98"/>
      <c r="ANA154" s="98"/>
      <c r="ANB154" s="98"/>
      <c r="ANC154" s="98"/>
      <c r="AND154" s="98"/>
      <c r="ANE154" s="98"/>
      <c r="ANF154" s="98"/>
      <c r="ANG154" s="98"/>
      <c r="ANH154" s="98"/>
      <c r="ANI154" s="98"/>
      <c r="ANJ154" s="98"/>
      <c r="ANK154" s="98"/>
      <c r="ANL154" s="98"/>
      <c r="ANM154" s="98"/>
      <c r="ANN154" s="98"/>
      <c r="ANO154" s="98"/>
      <c r="ANP154" s="98"/>
      <c r="ANQ154" s="98"/>
      <c r="ANR154" s="98"/>
      <c r="ANS154" s="98"/>
      <c r="ANT154" s="98"/>
      <c r="ANU154" s="98"/>
      <c r="ANV154" s="98"/>
      <c r="ANW154" s="98"/>
      <c r="ANX154" s="98"/>
      <c r="ANY154" s="98"/>
      <c r="ANZ154" s="98"/>
      <c r="AOA154" s="98"/>
      <c r="AOB154" s="98"/>
      <c r="AOC154" s="98"/>
      <c r="AOD154" s="98"/>
      <c r="AOE154" s="98"/>
      <c r="AOF154" s="98"/>
      <c r="AOG154" s="98"/>
      <c r="AOH154" s="98"/>
      <c r="AOI154" s="98"/>
      <c r="AOJ154" s="98"/>
      <c r="AOK154" s="98"/>
      <c r="AOL154" s="98"/>
      <c r="AOM154" s="98"/>
      <c r="AON154" s="98"/>
      <c r="AOO154" s="98"/>
      <c r="AOP154" s="98"/>
      <c r="AOQ154" s="98"/>
      <c r="AOR154" s="98"/>
      <c r="AOS154" s="98"/>
      <c r="AOT154" s="98"/>
      <c r="AOU154" s="98"/>
      <c r="AOV154" s="98"/>
      <c r="AOW154" s="98"/>
      <c r="AOX154" s="98"/>
      <c r="AOY154" s="98"/>
      <c r="AOZ154" s="98"/>
      <c r="APA154" s="98"/>
      <c r="APB154" s="98"/>
      <c r="APC154" s="98"/>
      <c r="APD154" s="98"/>
      <c r="APE154" s="98"/>
      <c r="APF154" s="98"/>
      <c r="APG154" s="98"/>
      <c r="APH154" s="98"/>
      <c r="API154" s="98"/>
      <c r="APJ154" s="98"/>
      <c r="APK154" s="98"/>
      <c r="APL154" s="98"/>
      <c r="APM154" s="98"/>
      <c r="APN154" s="98"/>
      <c r="APO154" s="98"/>
      <c r="APP154" s="98"/>
      <c r="APQ154" s="98"/>
      <c r="APR154" s="98"/>
      <c r="APS154" s="98"/>
      <c r="APT154" s="98"/>
      <c r="APU154" s="98"/>
      <c r="APV154" s="98"/>
      <c r="APW154" s="98"/>
      <c r="APX154" s="98"/>
      <c r="APY154" s="98"/>
      <c r="APZ154" s="98"/>
      <c r="AQA154" s="98"/>
      <c r="AQB154" s="98"/>
      <c r="AQC154" s="98"/>
      <c r="AQD154" s="98"/>
      <c r="AQE154" s="98"/>
      <c r="AQF154" s="98"/>
      <c r="AQG154" s="98"/>
      <c r="AQH154" s="98"/>
      <c r="AQI154" s="98"/>
      <c r="AQJ154" s="98"/>
      <c r="AQK154" s="98"/>
      <c r="AQL154" s="98"/>
      <c r="AQM154" s="98"/>
      <c r="AQN154" s="98"/>
      <c r="AQO154" s="98"/>
      <c r="AQP154" s="98"/>
      <c r="AQQ154" s="98"/>
      <c r="AQR154" s="98"/>
      <c r="AQS154" s="98"/>
      <c r="AQT154" s="98"/>
      <c r="AQU154" s="98"/>
      <c r="AQV154" s="98"/>
      <c r="AQW154" s="98"/>
      <c r="AQX154" s="98"/>
      <c r="AQY154" s="98"/>
      <c r="AQZ154" s="98"/>
      <c r="ARA154" s="98"/>
      <c r="ARB154" s="98"/>
      <c r="ARC154" s="98"/>
      <c r="ARD154" s="98"/>
      <c r="ARE154" s="98"/>
      <c r="ARF154" s="98"/>
      <c r="ARG154" s="98"/>
      <c r="ARH154" s="98"/>
      <c r="ARI154" s="98"/>
      <c r="ARJ154" s="98"/>
      <c r="ARK154" s="98"/>
      <c r="ARL154" s="98"/>
      <c r="ARM154" s="98"/>
      <c r="ARN154" s="98"/>
      <c r="ARO154" s="98"/>
      <c r="ARP154" s="98"/>
      <c r="ARQ154" s="98"/>
      <c r="ARR154" s="98"/>
      <c r="ARS154" s="98"/>
    </row>
    <row r="155" spans="1:1163">
      <c r="A155" s="118"/>
      <c r="B155" s="119"/>
      <c r="C155" s="175"/>
      <c r="D155" s="175"/>
      <c r="E155" s="175"/>
      <c r="F155" s="175"/>
      <c r="G155" s="175"/>
      <c r="H155" s="175"/>
      <c r="I155" s="175"/>
      <c r="J155" s="175"/>
      <c r="K155" s="175"/>
      <c r="L155" s="175"/>
      <c r="M155" s="175"/>
      <c r="N155" s="175"/>
      <c r="O155" s="175"/>
      <c r="P155" s="175"/>
      <c r="Q155" s="175"/>
      <c r="R155" s="175"/>
      <c r="S155" s="175"/>
      <c r="T155" s="175"/>
      <c r="U155" s="144"/>
      <c r="V155" s="144"/>
      <c r="W155" s="201"/>
      <c r="X155" s="201"/>
      <c r="Y155" s="201"/>
      <c r="Z155" s="201"/>
      <c r="AA155" s="209"/>
      <c r="AB155" s="209"/>
      <c r="AC155" s="197"/>
      <c r="AD155" s="197"/>
      <c r="AE155" s="209"/>
      <c r="AF155" s="209"/>
      <c r="AG155" s="209"/>
      <c r="AH155" s="209"/>
      <c r="AI155" s="209"/>
      <c r="AJ155" s="209"/>
      <c r="AK155" s="209"/>
      <c r="AL155" s="209"/>
      <c r="AM155" s="201"/>
      <c r="AN155" s="201"/>
      <c r="AO155" s="201"/>
      <c r="AP155" s="201"/>
      <c r="AQ155" s="201"/>
      <c r="AR155" s="201"/>
      <c r="AS155" s="201"/>
      <c r="AT155" s="201"/>
      <c r="AU155" s="209"/>
      <c r="AV155" s="209"/>
      <c r="AW155" s="199"/>
      <c r="AX155" s="199"/>
      <c r="AY155" s="675"/>
      <c r="AZ155" s="675"/>
      <c r="BA155" s="198"/>
      <c r="BB155" s="199"/>
      <c r="BC155" s="199"/>
      <c r="BD155" s="199"/>
      <c r="BE155" s="199"/>
      <c r="BF155" s="199"/>
      <c r="BG155" s="199"/>
      <c r="BH155" s="199"/>
      <c r="BI155" s="198"/>
      <c r="BJ155" s="98"/>
      <c r="BK155" s="148"/>
      <c r="BM155" s="148"/>
      <c r="BN155" s="148"/>
    </row>
    <row r="156" spans="1:1163">
      <c r="A156" s="124" t="s">
        <v>604</v>
      </c>
      <c r="B156" s="127"/>
      <c r="C156" s="183"/>
      <c r="D156" s="183"/>
      <c r="E156" s="183"/>
      <c r="F156" s="183"/>
      <c r="G156" s="183"/>
      <c r="H156" s="183"/>
      <c r="I156" s="183"/>
      <c r="J156" s="183"/>
      <c r="K156" s="183"/>
      <c r="L156" s="183"/>
      <c r="M156" s="183"/>
      <c r="N156" s="183"/>
      <c r="O156" s="183"/>
      <c r="P156" s="183"/>
      <c r="Q156" s="183"/>
      <c r="R156" s="183"/>
      <c r="S156" s="183"/>
      <c r="T156" s="183"/>
      <c r="U156" s="194"/>
      <c r="V156" s="194"/>
      <c r="W156" s="184"/>
      <c r="X156" s="184"/>
      <c r="Y156" s="202"/>
      <c r="Z156" s="202"/>
      <c r="AA156" s="208"/>
      <c r="AB156" s="208"/>
      <c r="AC156" s="194"/>
      <c r="AD156" s="194"/>
      <c r="AE156" s="208"/>
      <c r="AF156" s="208"/>
      <c r="AG156" s="208"/>
      <c r="AH156" s="208"/>
      <c r="AI156" s="208"/>
      <c r="AJ156" s="208"/>
      <c r="AK156" s="208"/>
      <c r="AL156" s="208"/>
      <c r="AM156" s="202"/>
      <c r="AN156" s="202"/>
      <c r="AO156" s="202"/>
      <c r="AP156" s="202"/>
      <c r="AQ156" s="202"/>
      <c r="AR156" s="202"/>
      <c r="AS156" s="202"/>
      <c r="AT156" s="202"/>
      <c r="AU156" s="208"/>
      <c r="AV156" s="208"/>
      <c r="AW156" s="166"/>
      <c r="AX156" s="166"/>
      <c r="AY156" s="165"/>
      <c r="AZ156" s="165"/>
      <c r="BA156" s="196"/>
      <c r="BB156" s="166"/>
      <c r="BC156" s="166"/>
      <c r="BD156" s="166"/>
      <c r="BE156" s="166"/>
      <c r="BF156" s="166"/>
      <c r="BG156" s="166"/>
      <c r="BH156" s="166"/>
      <c r="BI156" s="196"/>
      <c r="BJ156" s="98"/>
      <c r="BK156" s="148"/>
      <c r="BN156" s="148"/>
    </row>
    <row r="157" spans="1:1163">
      <c r="A157" s="126" t="s">
        <v>265</v>
      </c>
      <c r="B157" s="127" t="s">
        <v>67</v>
      </c>
      <c r="C157" s="183">
        <v>3008</v>
      </c>
      <c r="D157" s="183">
        <v>21968147</v>
      </c>
      <c r="E157" s="183">
        <v>983</v>
      </c>
      <c r="F157" s="183">
        <v>13023142</v>
      </c>
      <c r="G157" s="183">
        <v>609</v>
      </c>
      <c r="H157" s="183">
        <v>7689911</v>
      </c>
      <c r="I157" s="183">
        <v>534</v>
      </c>
      <c r="J157" s="183">
        <v>5314179</v>
      </c>
      <c r="K157" s="183">
        <v>447</v>
      </c>
      <c r="L157" s="183">
        <v>3169424</v>
      </c>
      <c r="M157" s="183">
        <v>520</v>
      </c>
      <c r="N157" s="183">
        <v>6556752</v>
      </c>
      <c r="O157" s="183">
        <v>508</v>
      </c>
      <c r="P157" s="183">
        <v>9629912</v>
      </c>
      <c r="Q157" s="183">
        <v>484</v>
      </c>
      <c r="R157" s="183">
        <v>5564158</v>
      </c>
      <c r="S157" s="183">
        <v>368</v>
      </c>
      <c r="T157" s="183">
        <v>1858290</v>
      </c>
      <c r="U157" s="194">
        <v>287</v>
      </c>
      <c r="V157" s="194">
        <v>4456414</v>
      </c>
      <c r="W157" s="194">
        <v>261</v>
      </c>
      <c r="X157" s="194">
        <v>4472086</v>
      </c>
      <c r="Y157" s="194">
        <v>268</v>
      </c>
      <c r="Z157" s="194">
        <v>4264988</v>
      </c>
      <c r="AA157" s="208">
        <v>288</v>
      </c>
      <c r="AB157" s="208">
        <v>6062266</v>
      </c>
      <c r="AC157" s="183">
        <v>557</v>
      </c>
      <c r="AD157" s="183">
        <v>30281378</v>
      </c>
      <c r="AE157" s="208">
        <v>297</v>
      </c>
      <c r="AF157" s="208">
        <v>10916333</v>
      </c>
      <c r="AG157" s="202">
        <v>657</v>
      </c>
      <c r="AH157" s="202">
        <v>35844989</v>
      </c>
      <c r="AI157" s="202">
        <v>824</v>
      </c>
      <c r="AJ157" s="202">
        <v>56374547</v>
      </c>
      <c r="AK157" s="202">
        <v>942.28099999999995</v>
      </c>
      <c r="AL157" s="202">
        <v>63521086</v>
      </c>
      <c r="AM157" s="187">
        <v>1219.008</v>
      </c>
      <c r="AN157" s="187">
        <v>58771721</v>
      </c>
      <c r="AO157" s="202">
        <v>1269</v>
      </c>
      <c r="AP157" s="202">
        <v>84579343</v>
      </c>
      <c r="AQ157" s="202">
        <v>1010.34484</v>
      </c>
      <c r="AR157" s="202">
        <v>37681101.764114715</v>
      </c>
      <c r="AS157" s="202">
        <v>1564.39</v>
      </c>
      <c r="AT157" s="202">
        <v>79316782</v>
      </c>
      <c r="AU157" s="208">
        <v>2008</v>
      </c>
      <c r="AV157" s="208">
        <v>77843596</v>
      </c>
      <c r="AW157" s="208">
        <v>2068</v>
      </c>
      <c r="AX157" s="208">
        <v>53657040</v>
      </c>
      <c r="AY157" s="183">
        <v>1779</v>
      </c>
      <c r="AZ157" s="183">
        <v>52756999</v>
      </c>
      <c r="BA157" s="183"/>
      <c r="BB157" s="183"/>
      <c r="BC157" s="155"/>
      <c r="BD157" s="183"/>
      <c r="BE157" s="155"/>
      <c r="BF157" s="148"/>
      <c r="BG157" s="155"/>
      <c r="BH157" s="148"/>
      <c r="BI157" s="155"/>
      <c r="BJ157" s="98"/>
      <c r="BK157" s="148"/>
      <c r="BN157" s="148"/>
    </row>
    <row r="158" spans="1:1163">
      <c r="A158" s="126" t="s">
        <v>266</v>
      </c>
      <c r="B158" s="127" t="s">
        <v>67</v>
      </c>
      <c r="C158" s="202">
        <v>0</v>
      </c>
      <c r="D158" s="202">
        <v>0</v>
      </c>
      <c r="E158" s="202">
        <v>0</v>
      </c>
      <c r="F158" s="202">
        <v>0</v>
      </c>
      <c r="G158" s="202">
        <v>0</v>
      </c>
      <c r="H158" s="202">
        <v>0</v>
      </c>
      <c r="I158" s="202">
        <v>0</v>
      </c>
      <c r="J158" s="202">
        <v>0</v>
      </c>
      <c r="K158" s="202">
        <v>0</v>
      </c>
      <c r="L158" s="202">
        <v>0</v>
      </c>
      <c r="M158" s="202">
        <v>0</v>
      </c>
      <c r="N158" s="202">
        <v>0</v>
      </c>
      <c r="O158" s="202">
        <v>0</v>
      </c>
      <c r="P158" s="202">
        <v>0</v>
      </c>
      <c r="Q158" s="202">
        <v>0</v>
      </c>
      <c r="R158" s="202">
        <v>0</v>
      </c>
      <c r="S158" s="202">
        <v>0</v>
      </c>
      <c r="T158" s="202">
        <v>0</v>
      </c>
      <c r="U158" s="202">
        <v>0</v>
      </c>
      <c r="V158" s="202">
        <v>0</v>
      </c>
      <c r="W158" s="202">
        <v>0</v>
      </c>
      <c r="X158" s="202">
        <v>0</v>
      </c>
      <c r="Y158" s="202">
        <v>0</v>
      </c>
      <c r="Z158" s="202">
        <v>0</v>
      </c>
      <c r="AA158" s="202">
        <v>0</v>
      </c>
      <c r="AB158" s="202">
        <v>0</v>
      </c>
      <c r="AC158" s="202">
        <v>0</v>
      </c>
      <c r="AD158" s="202">
        <v>0</v>
      </c>
      <c r="AE158" s="202">
        <v>0</v>
      </c>
      <c r="AF158" s="202">
        <v>0</v>
      </c>
      <c r="AG158" s="202">
        <v>0</v>
      </c>
      <c r="AH158" s="202">
        <v>0</v>
      </c>
      <c r="AI158" s="202">
        <v>0</v>
      </c>
      <c r="AJ158" s="202">
        <v>0</v>
      </c>
      <c r="AK158" s="202">
        <v>0</v>
      </c>
      <c r="AL158" s="202">
        <v>0</v>
      </c>
      <c r="AM158" s="202">
        <v>0</v>
      </c>
      <c r="AN158" s="202">
        <v>0</v>
      </c>
      <c r="AO158" s="202">
        <v>0</v>
      </c>
      <c r="AP158" s="202">
        <v>0</v>
      </c>
      <c r="AQ158" s="202">
        <v>0</v>
      </c>
      <c r="AR158" s="202">
        <v>0</v>
      </c>
      <c r="AS158" s="202">
        <v>1013.16</v>
      </c>
      <c r="AT158" s="202">
        <v>47020250</v>
      </c>
      <c r="AU158" s="208">
        <v>1482.9</v>
      </c>
      <c r="AV158" s="208">
        <v>48471747</v>
      </c>
      <c r="AW158" s="208">
        <v>2116</v>
      </c>
      <c r="AX158" s="208">
        <v>51122414</v>
      </c>
      <c r="AY158" s="183">
        <v>3004.54</v>
      </c>
      <c r="AZ158" s="183">
        <v>79296234</v>
      </c>
      <c r="BA158" s="185"/>
      <c r="BB158" s="192"/>
      <c r="BC158" s="192"/>
      <c r="BD158" s="192"/>
      <c r="BE158" s="155"/>
      <c r="BF158" s="148"/>
      <c r="BG158" s="155"/>
      <c r="BH158" s="148"/>
      <c r="BI158" s="155"/>
      <c r="BJ158" s="98"/>
      <c r="BK158" s="148"/>
      <c r="BL158" s="148"/>
      <c r="BN158" s="148"/>
    </row>
    <row r="159" spans="1:1163">
      <c r="A159" s="126" t="s">
        <v>267</v>
      </c>
      <c r="B159" s="127" t="s">
        <v>67</v>
      </c>
      <c r="C159" s="202">
        <v>0</v>
      </c>
      <c r="D159" s="202">
        <v>0</v>
      </c>
      <c r="E159" s="202">
        <v>0</v>
      </c>
      <c r="F159" s="202">
        <v>0</v>
      </c>
      <c r="G159" s="202">
        <v>0</v>
      </c>
      <c r="H159" s="202">
        <v>0</v>
      </c>
      <c r="I159" s="202">
        <v>0</v>
      </c>
      <c r="J159" s="202">
        <v>0</v>
      </c>
      <c r="K159" s="202">
        <v>0</v>
      </c>
      <c r="L159" s="202">
        <v>0</v>
      </c>
      <c r="M159" s="202">
        <v>0</v>
      </c>
      <c r="N159" s="202">
        <v>0</v>
      </c>
      <c r="O159" s="202">
        <v>0</v>
      </c>
      <c r="P159" s="202">
        <v>0</v>
      </c>
      <c r="Q159" s="202">
        <v>0</v>
      </c>
      <c r="R159" s="202">
        <v>0</v>
      </c>
      <c r="S159" s="202">
        <v>0</v>
      </c>
      <c r="T159" s="202">
        <v>0</v>
      </c>
      <c r="U159" s="202">
        <v>0</v>
      </c>
      <c r="V159" s="202">
        <v>0</v>
      </c>
      <c r="W159" s="202">
        <v>0</v>
      </c>
      <c r="X159" s="202">
        <v>0</v>
      </c>
      <c r="Y159" s="202">
        <v>0</v>
      </c>
      <c r="Z159" s="202">
        <v>0</v>
      </c>
      <c r="AA159" s="202">
        <v>0</v>
      </c>
      <c r="AB159" s="202">
        <v>0</v>
      </c>
      <c r="AC159" s="202">
        <v>0</v>
      </c>
      <c r="AD159" s="202">
        <v>0</v>
      </c>
      <c r="AE159" s="202">
        <v>0</v>
      </c>
      <c r="AF159" s="202">
        <v>0</v>
      </c>
      <c r="AG159" s="202">
        <v>0</v>
      </c>
      <c r="AH159" s="202">
        <v>0</v>
      </c>
      <c r="AI159" s="202">
        <v>0</v>
      </c>
      <c r="AJ159" s="202">
        <v>0</v>
      </c>
      <c r="AK159" s="202">
        <v>0</v>
      </c>
      <c r="AL159" s="202">
        <v>0</v>
      </c>
      <c r="AM159" s="202">
        <v>0</v>
      </c>
      <c r="AN159" s="202">
        <v>0</v>
      </c>
      <c r="AO159" s="202">
        <v>0</v>
      </c>
      <c r="AP159" s="202">
        <v>0</v>
      </c>
      <c r="AQ159" s="202">
        <v>0</v>
      </c>
      <c r="AR159" s="202">
        <v>0</v>
      </c>
      <c r="AS159" s="202">
        <v>1021.84</v>
      </c>
      <c r="AT159" s="202">
        <v>31317780</v>
      </c>
      <c r="AU159" s="208">
        <v>774</v>
      </c>
      <c r="AV159" s="208">
        <v>19958728</v>
      </c>
      <c r="AW159" s="208">
        <v>514.27</v>
      </c>
      <c r="AX159" s="208">
        <v>14166005</v>
      </c>
      <c r="AY159" s="183">
        <v>381</v>
      </c>
      <c r="AZ159" s="183">
        <v>12985078</v>
      </c>
      <c r="BA159" s="183"/>
      <c r="BB159" s="183"/>
      <c r="BC159" s="183"/>
      <c r="BD159" s="183"/>
      <c r="BE159" s="183"/>
      <c r="BF159" s="148"/>
      <c r="BG159" s="155"/>
      <c r="BH159" s="148"/>
      <c r="BI159" s="155"/>
      <c r="BJ159" s="98"/>
      <c r="BK159" s="148"/>
      <c r="BN159" s="148"/>
    </row>
    <row r="160" spans="1:1163">
      <c r="A160" s="129" t="s">
        <v>186</v>
      </c>
      <c r="B160" s="127"/>
      <c r="C160" s="183">
        <f t="shared" ref="C160:R160" si="52">SUM(C157:C159)</f>
        <v>3008</v>
      </c>
      <c r="D160" s="183">
        <f t="shared" si="52"/>
        <v>21968147</v>
      </c>
      <c r="E160" s="183">
        <f t="shared" si="52"/>
        <v>983</v>
      </c>
      <c r="F160" s="183">
        <f t="shared" si="52"/>
        <v>13023142</v>
      </c>
      <c r="G160" s="183">
        <f t="shared" si="52"/>
        <v>609</v>
      </c>
      <c r="H160" s="183">
        <f t="shared" si="52"/>
        <v>7689911</v>
      </c>
      <c r="I160" s="183">
        <f t="shared" si="52"/>
        <v>534</v>
      </c>
      <c r="J160" s="183">
        <f t="shared" si="52"/>
        <v>5314179</v>
      </c>
      <c r="K160" s="183">
        <f t="shared" si="52"/>
        <v>447</v>
      </c>
      <c r="L160" s="183">
        <f t="shared" si="52"/>
        <v>3169424</v>
      </c>
      <c r="M160" s="183">
        <f t="shared" si="52"/>
        <v>520</v>
      </c>
      <c r="N160" s="183">
        <f t="shared" si="52"/>
        <v>6556752</v>
      </c>
      <c r="O160" s="183">
        <f t="shared" si="52"/>
        <v>508</v>
      </c>
      <c r="P160" s="183">
        <f t="shared" si="52"/>
        <v>9629912</v>
      </c>
      <c r="Q160" s="202">
        <f t="shared" si="52"/>
        <v>484</v>
      </c>
      <c r="R160" s="202">
        <f t="shared" si="52"/>
        <v>5564158</v>
      </c>
      <c r="S160" s="202"/>
      <c r="T160" s="202">
        <f>SUM(T157:T159)</f>
        <v>1858290</v>
      </c>
      <c r="U160" s="194"/>
      <c r="V160" s="202">
        <f t="shared" ref="V160:AV160" si="53">SUM(V157:V159)</f>
        <v>4456414</v>
      </c>
      <c r="W160" s="194">
        <f t="shared" si="53"/>
        <v>261</v>
      </c>
      <c r="X160" s="194">
        <f t="shared" si="53"/>
        <v>4472086</v>
      </c>
      <c r="Y160" s="194">
        <f t="shared" si="53"/>
        <v>268</v>
      </c>
      <c r="Z160" s="194">
        <f t="shared" si="53"/>
        <v>4264988</v>
      </c>
      <c r="AA160" s="194">
        <f t="shared" si="53"/>
        <v>288</v>
      </c>
      <c r="AB160" s="208">
        <f t="shared" si="53"/>
        <v>6062266</v>
      </c>
      <c r="AC160" s="194">
        <f t="shared" si="53"/>
        <v>557</v>
      </c>
      <c r="AD160" s="208">
        <f t="shared" si="53"/>
        <v>30281378</v>
      </c>
      <c r="AE160" s="208">
        <f t="shared" si="53"/>
        <v>297</v>
      </c>
      <c r="AF160" s="208">
        <f t="shared" si="53"/>
        <v>10916333</v>
      </c>
      <c r="AG160" s="202">
        <f t="shared" si="53"/>
        <v>657</v>
      </c>
      <c r="AH160" s="202">
        <f t="shared" si="53"/>
        <v>35844989</v>
      </c>
      <c r="AI160" s="202">
        <f t="shared" si="53"/>
        <v>824</v>
      </c>
      <c r="AJ160" s="202">
        <f t="shared" si="53"/>
        <v>56374547</v>
      </c>
      <c r="AK160" s="202">
        <f t="shared" si="53"/>
        <v>942.28099999999995</v>
      </c>
      <c r="AL160" s="202">
        <f t="shared" si="53"/>
        <v>63521086</v>
      </c>
      <c r="AM160" s="202">
        <f t="shared" si="53"/>
        <v>1219.008</v>
      </c>
      <c r="AN160" s="202">
        <f t="shared" si="53"/>
        <v>58771721</v>
      </c>
      <c r="AO160" s="202">
        <f t="shared" si="53"/>
        <v>1269</v>
      </c>
      <c r="AP160" s="202">
        <f t="shared" si="53"/>
        <v>84579343</v>
      </c>
      <c r="AQ160" s="202">
        <f t="shared" si="53"/>
        <v>1010.34484</v>
      </c>
      <c r="AR160" s="202">
        <f t="shared" si="53"/>
        <v>37681101.764114715</v>
      </c>
      <c r="AS160" s="202">
        <f t="shared" si="53"/>
        <v>3599.3900000000003</v>
      </c>
      <c r="AT160" s="202">
        <f t="shared" si="53"/>
        <v>157654812</v>
      </c>
      <c r="AU160" s="208">
        <f t="shared" si="53"/>
        <v>4264.8999999999996</v>
      </c>
      <c r="AV160" s="208">
        <f t="shared" si="53"/>
        <v>146274071</v>
      </c>
      <c r="AW160" s="208"/>
      <c r="AX160" s="208">
        <f>SUM(AX157:AX159)</f>
        <v>118945459</v>
      </c>
      <c r="AY160" s="183"/>
      <c r="AZ160" s="183">
        <f>SUM(AZ157:AZ159)</f>
        <v>145038311</v>
      </c>
      <c r="BA160" s="188"/>
      <c r="BB160" s="183"/>
      <c r="BC160" s="183"/>
      <c r="BD160" s="183"/>
      <c r="BE160" s="155"/>
      <c r="BF160" s="148"/>
      <c r="BG160" s="148"/>
      <c r="BH160" s="148"/>
      <c r="BI160" s="155"/>
      <c r="BJ160" s="98"/>
      <c r="BK160" s="148"/>
      <c r="BM160" s="148"/>
      <c r="BN160" s="148"/>
    </row>
    <row r="161" spans="1:1163">
      <c r="A161" s="126" t="s">
        <v>362</v>
      </c>
      <c r="B161" s="127" t="s">
        <v>67</v>
      </c>
      <c r="C161" s="183">
        <v>4109967</v>
      </c>
      <c r="D161" s="183">
        <v>1838854785</v>
      </c>
      <c r="E161" s="183">
        <v>396534</v>
      </c>
      <c r="F161" s="183">
        <v>303751597</v>
      </c>
      <c r="G161" s="183">
        <v>405946</v>
      </c>
      <c r="H161" s="183">
        <v>306484456</v>
      </c>
      <c r="I161" s="183">
        <v>457785</v>
      </c>
      <c r="J161" s="183">
        <v>332138957</v>
      </c>
      <c r="K161" s="183">
        <v>494007</v>
      </c>
      <c r="L161" s="183">
        <v>288621810</v>
      </c>
      <c r="M161" s="183">
        <v>496630</v>
      </c>
      <c r="N161" s="183">
        <v>320229972</v>
      </c>
      <c r="O161" s="183">
        <v>483207</v>
      </c>
      <c r="P161" s="183">
        <v>379142920</v>
      </c>
      <c r="Q161" s="183">
        <v>402398</v>
      </c>
      <c r="R161" s="183">
        <v>262931472</v>
      </c>
      <c r="S161" s="183">
        <v>416152</v>
      </c>
      <c r="T161" s="183">
        <v>291185395</v>
      </c>
      <c r="U161" s="194">
        <v>337723</v>
      </c>
      <c r="V161" s="194">
        <v>480849980</v>
      </c>
      <c r="W161" s="194">
        <v>384381</v>
      </c>
      <c r="X161" s="194">
        <v>678568855</v>
      </c>
      <c r="Y161" s="194">
        <v>486225</v>
      </c>
      <c r="Z161" s="194">
        <v>543077506</v>
      </c>
      <c r="AA161" s="208">
        <v>521511</v>
      </c>
      <c r="AB161" s="208">
        <v>567874813</v>
      </c>
      <c r="AC161" s="183">
        <v>462786</v>
      </c>
      <c r="AD161" s="183">
        <v>457569201</v>
      </c>
      <c r="AE161" s="208">
        <v>529997</v>
      </c>
      <c r="AF161" s="208">
        <v>437744354</v>
      </c>
      <c r="AG161" s="202">
        <v>677185</v>
      </c>
      <c r="AH161" s="202">
        <v>630129006</v>
      </c>
      <c r="AI161" s="202">
        <v>751788</v>
      </c>
      <c r="AJ161" s="202">
        <v>1094171929</v>
      </c>
      <c r="AK161" s="202">
        <v>764281</v>
      </c>
      <c r="AL161" s="202">
        <v>1033883708</v>
      </c>
      <c r="AM161" s="187">
        <v>873119</v>
      </c>
      <c r="AN161" s="187">
        <v>1136002794</v>
      </c>
      <c r="AO161" s="202">
        <v>952901</v>
      </c>
      <c r="AP161" s="202">
        <v>1039122520</v>
      </c>
      <c r="AQ161" s="202">
        <v>790080</v>
      </c>
      <c r="AR161" s="202">
        <v>1046218365</v>
      </c>
      <c r="AS161" s="202">
        <v>860689</v>
      </c>
      <c r="AT161" s="202">
        <v>1912004771</v>
      </c>
      <c r="AU161" s="208">
        <v>1010418</v>
      </c>
      <c r="AV161" s="208">
        <v>1671766445</v>
      </c>
      <c r="AW161" s="208">
        <v>1234067</v>
      </c>
      <c r="AX161" s="208">
        <v>1841344135</v>
      </c>
      <c r="AY161" s="183">
        <v>1501997</v>
      </c>
      <c r="AZ161" s="183">
        <v>2158863411</v>
      </c>
      <c r="BA161" s="183"/>
      <c r="BB161" s="183"/>
      <c r="BC161" s="155"/>
      <c r="BD161" s="183"/>
      <c r="BE161" s="155"/>
      <c r="BF161" s="148"/>
      <c r="BG161" s="155"/>
      <c r="BH161" s="148"/>
      <c r="BI161" s="155"/>
      <c r="BJ161" s="98"/>
      <c r="BK161" s="148"/>
      <c r="BN161" s="148"/>
    </row>
    <row r="162" spans="1:1163">
      <c r="A162" s="126" t="s">
        <v>264</v>
      </c>
      <c r="B162" s="127" t="s">
        <v>67</v>
      </c>
      <c r="C162" s="183">
        <v>0</v>
      </c>
      <c r="D162" s="183">
        <v>0</v>
      </c>
      <c r="E162" s="183">
        <v>0</v>
      </c>
      <c r="F162" s="183">
        <v>0</v>
      </c>
      <c r="G162" s="202">
        <v>0</v>
      </c>
      <c r="H162" s="202">
        <v>0</v>
      </c>
      <c r="I162" s="202">
        <v>0</v>
      </c>
      <c r="J162" s="202">
        <v>0</v>
      </c>
      <c r="K162" s="183">
        <v>0</v>
      </c>
      <c r="L162" s="183">
        <v>0</v>
      </c>
      <c r="M162" s="183">
        <v>0</v>
      </c>
      <c r="N162" s="183">
        <v>0</v>
      </c>
      <c r="O162" s="183">
        <v>0</v>
      </c>
      <c r="P162" s="183">
        <v>0</v>
      </c>
      <c r="Q162" s="202">
        <v>0</v>
      </c>
      <c r="R162" s="202">
        <v>0</v>
      </c>
      <c r="S162" s="202">
        <v>0</v>
      </c>
      <c r="T162" s="202">
        <v>0</v>
      </c>
      <c r="U162" s="194">
        <v>0</v>
      </c>
      <c r="V162" s="194">
        <v>0</v>
      </c>
      <c r="W162" s="194">
        <v>0</v>
      </c>
      <c r="X162" s="194">
        <v>0</v>
      </c>
      <c r="Y162" s="208"/>
      <c r="Z162" s="208"/>
      <c r="AA162" s="208">
        <v>0</v>
      </c>
      <c r="AB162" s="208">
        <v>0</v>
      </c>
      <c r="AC162" s="202">
        <v>1056</v>
      </c>
      <c r="AD162" s="202">
        <v>2202178</v>
      </c>
      <c r="AE162" s="202">
        <v>0</v>
      </c>
      <c r="AF162" s="202">
        <v>0</v>
      </c>
      <c r="AG162" s="202">
        <v>0</v>
      </c>
      <c r="AH162" s="202">
        <v>0</v>
      </c>
      <c r="AI162" s="202">
        <v>0</v>
      </c>
      <c r="AJ162" s="202">
        <v>0</v>
      </c>
      <c r="AK162" s="202">
        <v>0</v>
      </c>
      <c r="AL162" s="202">
        <v>0</v>
      </c>
      <c r="AM162" s="202">
        <v>0</v>
      </c>
      <c r="AN162" s="202">
        <v>0</v>
      </c>
      <c r="AO162" s="202">
        <v>0</v>
      </c>
      <c r="AP162" s="202">
        <v>0</v>
      </c>
      <c r="AQ162" s="202">
        <v>3800.9760000000001</v>
      </c>
      <c r="AR162" s="202">
        <v>38741570</v>
      </c>
      <c r="AS162" s="202">
        <v>23939</v>
      </c>
      <c r="AT162" s="202">
        <v>339672398</v>
      </c>
      <c r="AU162" s="208">
        <v>35301.370000000003</v>
      </c>
      <c r="AV162" s="208">
        <v>402713927</v>
      </c>
      <c r="AW162" s="202">
        <v>32011.991000000002</v>
      </c>
      <c r="AX162" s="208">
        <v>401212339</v>
      </c>
      <c r="AY162" s="183">
        <v>38213</v>
      </c>
      <c r="AZ162" s="183">
        <v>521380522</v>
      </c>
      <c r="BA162" s="185"/>
      <c r="BB162" s="192"/>
      <c r="BC162" s="155"/>
      <c r="BD162" s="192"/>
      <c r="BE162" s="155"/>
      <c r="BF162" s="148"/>
      <c r="BG162" s="155"/>
      <c r="BH162" s="148"/>
      <c r="BI162" s="155"/>
      <c r="BJ162" s="98"/>
      <c r="BK162" s="148"/>
      <c r="BM162" s="148"/>
      <c r="BN162" s="148"/>
    </row>
    <row r="163" spans="1:1163">
      <c r="A163" s="126" t="s">
        <v>187</v>
      </c>
      <c r="B163" s="127" t="s">
        <v>67</v>
      </c>
      <c r="C163" s="183">
        <v>782698</v>
      </c>
      <c r="D163" s="183">
        <v>70699625</v>
      </c>
      <c r="E163" s="183">
        <v>86565</v>
      </c>
      <c r="F163" s="183">
        <v>18554973</v>
      </c>
      <c r="G163" s="183">
        <v>85894</v>
      </c>
      <c r="H163" s="183">
        <v>17869788</v>
      </c>
      <c r="I163" s="183">
        <v>98187</v>
      </c>
      <c r="J163" s="183">
        <v>19411692</v>
      </c>
      <c r="K163" s="183">
        <v>19399</v>
      </c>
      <c r="L163" s="183">
        <v>2919743</v>
      </c>
      <c r="M163" s="183">
        <v>0</v>
      </c>
      <c r="N163" s="183">
        <v>0</v>
      </c>
      <c r="O163" s="183">
        <v>17877</v>
      </c>
      <c r="P163" s="183">
        <v>3383183</v>
      </c>
      <c r="Q163" s="183">
        <v>66715</v>
      </c>
      <c r="R163" s="183">
        <v>12207125</v>
      </c>
      <c r="S163" s="183">
        <v>20602</v>
      </c>
      <c r="T163" s="183">
        <v>2965739</v>
      </c>
      <c r="U163" s="194">
        <v>0</v>
      </c>
      <c r="V163" s="194">
        <v>0</v>
      </c>
      <c r="W163" s="194">
        <v>17101</v>
      </c>
      <c r="X163" s="194">
        <v>10281141</v>
      </c>
      <c r="Y163" s="194">
        <v>28649</v>
      </c>
      <c r="Z163" s="194">
        <v>14892472</v>
      </c>
      <c r="AA163" s="208">
        <v>2318</v>
      </c>
      <c r="AB163" s="208">
        <v>1368276</v>
      </c>
      <c r="AC163" s="194">
        <v>2892</v>
      </c>
      <c r="AD163" s="194">
        <v>1767117</v>
      </c>
      <c r="AE163" s="202">
        <v>0</v>
      </c>
      <c r="AF163" s="202">
        <v>0</v>
      </c>
      <c r="AG163" s="202">
        <v>0</v>
      </c>
      <c r="AH163" s="202">
        <v>0</v>
      </c>
      <c r="AI163" s="202">
        <v>0</v>
      </c>
      <c r="AJ163" s="202">
        <v>0</v>
      </c>
      <c r="AK163" s="202">
        <v>0</v>
      </c>
      <c r="AL163" s="202">
        <v>0</v>
      </c>
      <c r="AM163" s="202">
        <v>0</v>
      </c>
      <c r="AN163" s="202">
        <v>0</v>
      </c>
      <c r="AO163" s="202">
        <v>0</v>
      </c>
      <c r="AP163" s="202">
        <v>0</v>
      </c>
      <c r="AQ163" s="202">
        <v>0</v>
      </c>
      <c r="AR163" s="202">
        <v>0</v>
      </c>
      <c r="AS163" s="202">
        <v>0</v>
      </c>
      <c r="AT163" s="202">
        <v>0</v>
      </c>
      <c r="AU163" s="202">
        <v>0</v>
      </c>
      <c r="AV163" s="202">
        <v>0</v>
      </c>
      <c r="AW163" s="202">
        <v>0</v>
      </c>
      <c r="AX163" s="208">
        <v>0</v>
      </c>
      <c r="AY163" s="183">
        <v>0</v>
      </c>
      <c r="AZ163" s="183">
        <v>0</v>
      </c>
      <c r="BA163" s="185"/>
      <c r="BB163" s="192"/>
      <c r="BC163" s="192"/>
      <c r="BD163" s="192"/>
      <c r="BE163" s="192"/>
      <c r="BF163" s="192"/>
      <c r="BG163" s="192"/>
      <c r="BH163" s="192"/>
      <c r="BI163" s="185"/>
      <c r="BJ163" s="98"/>
      <c r="BK163" s="148"/>
      <c r="BL163" s="148"/>
      <c r="BM163" s="148"/>
      <c r="BN163" s="148"/>
    </row>
    <row r="164" spans="1:1163">
      <c r="A164" s="126" t="s">
        <v>605</v>
      </c>
      <c r="B164" s="127" t="s">
        <v>93</v>
      </c>
      <c r="C164" s="183">
        <v>1622</v>
      </c>
      <c r="D164" s="183">
        <v>4426647</v>
      </c>
      <c r="E164" s="183">
        <v>328</v>
      </c>
      <c r="F164" s="183">
        <v>1834614</v>
      </c>
      <c r="G164" s="183">
        <v>401</v>
      </c>
      <c r="H164" s="183">
        <v>1254422</v>
      </c>
      <c r="I164" s="183">
        <v>416</v>
      </c>
      <c r="J164" s="183">
        <v>1112023</v>
      </c>
      <c r="K164" s="183">
        <v>449</v>
      </c>
      <c r="L164" s="183">
        <v>1963478</v>
      </c>
      <c r="M164" s="183">
        <v>523</v>
      </c>
      <c r="N164" s="183">
        <v>2693559</v>
      </c>
      <c r="O164" s="183">
        <v>476</v>
      </c>
      <c r="P164" s="183">
        <v>2382702</v>
      </c>
      <c r="Q164" s="183">
        <v>482</v>
      </c>
      <c r="R164" s="183">
        <v>2557435</v>
      </c>
      <c r="S164" s="183">
        <v>450</v>
      </c>
      <c r="T164" s="183">
        <v>2980875</v>
      </c>
      <c r="U164" s="194">
        <v>360</v>
      </c>
      <c r="V164" s="194">
        <v>2118657</v>
      </c>
      <c r="W164" s="194">
        <v>323</v>
      </c>
      <c r="X164" s="194">
        <v>1917445</v>
      </c>
      <c r="Y164" s="194">
        <v>435</v>
      </c>
      <c r="Z164" s="194">
        <v>1185127</v>
      </c>
      <c r="AA164" s="208">
        <v>351</v>
      </c>
      <c r="AB164" s="208">
        <v>1260296</v>
      </c>
      <c r="AC164" s="194">
        <v>539</v>
      </c>
      <c r="AD164" s="194">
        <v>1372039</v>
      </c>
      <c r="AE164" s="202">
        <v>405</v>
      </c>
      <c r="AF164" s="208">
        <v>2035430</v>
      </c>
      <c r="AG164" s="202">
        <v>450</v>
      </c>
      <c r="AH164" s="202">
        <v>2904466</v>
      </c>
      <c r="AI164" s="202">
        <v>528</v>
      </c>
      <c r="AJ164" s="202">
        <v>3065446</v>
      </c>
      <c r="AK164" s="202">
        <v>558.78599999999994</v>
      </c>
      <c r="AL164" s="202">
        <v>2416416</v>
      </c>
      <c r="AM164" s="187">
        <v>429.30700000000002</v>
      </c>
      <c r="AN164" s="187">
        <v>3227915</v>
      </c>
      <c r="AO164" s="202">
        <v>827</v>
      </c>
      <c r="AP164" s="202">
        <v>10096972</v>
      </c>
      <c r="AQ164" s="202">
        <v>815.52119984889157</v>
      </c>
      <c r="AR164" s="202">
        <v>10566068.640663452</v>
      </c>
      <c r="AS164" s="202">
        <v>812.19299999999998</v>
      </c>
      <c r="AT164" s="202">
        <v>28280483</v>
      </c>
      <c r="AU164" s="208">
        <v>827.71299999999997</v>
      </c>
      <c r="AV164" s="208">
        <v>32267391</v>
      </c>
      <c r="AW164" s="202">
        <v>810.452</v>
      </c>
      <c r="AX164" s="208">
        <v>16146791</v>
      </c>
      <c r="AY164" s="183">
        <v>477.05799999999999</v>
      </c>
      <c r="AZ164" s="183">
        <v>4002358</v>
      </c>
      <c r="BA164" s="196"/>
      <c r="BB164" s="194"/>
      <c r="BC164" s="194"/>
      <c r="BD164" s="194"/>
      <c r="BE164" s="194"/>
      <c r="BF164" s="148"/>
      <c r="BG164" s="148"/>
      <c r="BH164" s="148"/>
      <c r="BI164" s="196"/>
      <c r="BJ164" s="98"/>
      <c r="BK164" s="148"/>
      <c r="BL164" s="148"/>
      <c r="BN164" s="148"/>
    </row>
    <row r="165" spans="1:1163">
      <c r="A165" s="126" t="s">
        <v>606</v>
      </c>
      <c r="B165" s="127" t="s">
        <v>93</v>
      </c>
      <c r="C165" s="183">
        <v>626</v>
      </c>
      <c r="D165" s="183">
        <v>3918687</v>
      </c>
      <c r="E165" s="183">
        <v>64</v>
      </c>
      <c r="F165" s="183">
        <v>954184</v>
      </c>
      <c r="G165" s="183">
        <v>65</v>
      </c>
      <c r="H165" s="183">
        <v>868736</v>
      </c>
      <c r="I165" s="183">
        <v>74</v>
      </c>
      <c r="J165" s="183">
        <v>933357</v>
      </c>
      <c r="K165" s="183">
        <v>52</v>
      </c>
      <c r="L165" s="183">
        <v>863905</v>
      </c>
      <c r="M165" s="183">
        <v>66</v>
      </c>
      <c r="N165" s="183">
        <v>1010176</v>
      </c>
      <c r="O165" s="183">
        <v>95</v>
      </c>
      <c r="P165" s="183">
        <v>1405304</v>
      </c>
      <c r="Q165" s="183">
        <v>115</v>
      </c>
      <c r="R165" s="183">
        <v>2459690</v>
      </c>
      <c r="S165" s="183">
        <v>84</v>
      </c>
      <c r="T165" s="183">
        <v>2150013</v>
      </c>
      <c r="U165" s="202">
        <v>73</v>
      </c>
      <c r="V165" s="202">
        <v>1584833</v>
      </c>
      <c r="W165" s="194">
        <v>61</v>
      </c>
      <c r="X165" s="194">
        <v>1275979</v>
      </c>
      <c r="Y165" s="194">
        <v>96</v>
      </c>
      <c r="Z165" s="194">
        <v>1235806</v>
      </c>
      <c r="AA165" s="208">
        <v>82</v>
      </c>
      <c r="AB165" s="208">
        <v>1494173</v>
      </c>
      <c r="AC165" s="183">
        <v>143</v>
      </c>
      <c r="AD165" s="183">
        <v>1249742</v>
      </c>
      <c r="AE165" s="202">
        <v>79</v>
      </c>
      <c r="AF165" s="208">
        <v>1142319</v>
      </c>
      <c r="AG165" s="202">
        <v>113</v>
      </c>
      <c r="AH165" s="202">
        <v>1266118</v>
      </c>
      <c r="AI165" s="202">
        <v>74</v>
      </c>
      <c r="AJ165" s="202">
        <v>1734790</v>
      </c>
      <c r="AK165" s="202">
        <v>119.31399999999999</v>
      </c>
      <c r="AL165" s="202">
        <v>1584578</v>
      </c>
      <c r="AM165" s="187">
        <v>314.654</v>
      </c>
      <c r="AN165" s="187">
        <v>2419386</v>
      </c>
      <c r="AO165" s="202">
        <v>155</v>
      </c>
      <c r="AP165" s="202">
        <v>2852073</v>
      </c>
      <c r="AQ165" s="202">
        <v>90.426869773498154</v>
      </c>
      <c r="AR165" s="202">
        <v>1700644.5099171938</v>
      </c>
      <c r="AS165" s="202">
        <v>170.58199999999999</v>
      </c>
      <c r="AT165" s="202">
        <v>4976316</v>
      </c>
      <c r="AU165" s="208">
        <v>173.685</v>
      </c>
      <c r="AV165" s="208">
        <v>5302472</v>
      </c>
      <c r="AW165" s="202">
        <v>122.00200000000001</v>
      </c>
      <c r="AX165" s="208">
        <v>2945218</v>
      </c>
      <c r="AY165" s="183">
        <v>133.346</v>
      </c>
      <c r="AZ165" s="183">
        <v>4306903</v>
      </c>
      <c r="BA165" s="196"/>
      <c r="BB165" s="194"/>
      <c r="BC165" s="194"/>
      <c r="BD165" s="194"/>
      <c r="BE165" s="194"/>
      <c r="BF165" s="148"/>
      <c r="BG165" s="148"/>
      <c r="BH165" s="148"/>
      <c r="BI165" s="196"/>
      <c r="BJ165" s="98"/>
      <c r="BK165" s="148"/>
      <c r="BL165" s="148"/>
      <c r="BN165" s="148"/>
    </row>
    <row r="166" spans="1:1163">
      <c r="A166" s="126" t="s">
        <v>607</v>
      </c>
      <c r="B166" s="127" t="s">
        <v>93</v>
      </c>
      <c r="C166" s="183">
        <v>32</v>
      </c>
      <c r="D166" s="183">
        <v>51640</v>
      </c>
      <c r="E166" s="183">
        <v>0</v>
      </c>
      <c r="F166" s="183">
        <v>0</v>
      </c>
      <c r="G166" s="183">
        <v>0</v>
      </c>
      <c r="H166" s="183">
        <v>0</v>
      </c>
      <c r="I166" s="183">
        <v>0</v>
      </c>
      <c r="J166" s="183">
        <v>0</v>
      </c>
      <c r="K166" s="183">
        <v>0</v>
      </c>
      <c r="L166" s="183">
        <v>0</v>
      </c>
      <c r="M166" s="183">
        <v>0</v>
      </c>
      <c r="N166" s="183">
        <v>0</v>
      </c>
      <c r="O166" s="183">
        <v>0</v>
      </c>
      <c r="P166" s="183">
        <v>0</v>
      </c>
      <c r="Q166" s="183">
        <v>0</v>
      </c>
      <c r="R166" s="183">
        <v>0</v>
      </c>
      <c r="S166" s="183">
        <v>0</v>
      </c>
      <c r="T166" s="183">
        <v>0</v>
      </c>
      <c r="U166" s="183">
        <v>0</v>
      </c>
      <c r="V166" s="183">
        <v>0</v>
      </c>
      <c r="W166" s="183">
        <v>0</v>
      </c>
      <c r="X166" s="183">
        <v>0</v>
      </c>
      <c r="Y166" s="183">
        <v>0</v>
      </c>
      <c r="Z166" s="183">
        <v>0</v>
      </c>
      <c r="AA166" s="183">
        <v>0</v>
      </c>
      <c r="AB166" s="183">
        <v>0</v>
      </c>
      <c r="AC166" s="183">
        <v>0</v>
      </c>
      <c r="AD166" s="183">
        <v>0</v>
      </c>
      <c r="AE166" s="183">
        <v>0</v>
      </c>
      <c r="AF166" s="183">
        <v>0</v>
      </c>
      <c r="AG166" s="183">
        <v>0</v>
      </c>
      <c r="AH166" s="183">
        <v>0</v>
      </c>
      <c r="AI166" s="183">
        <v>0</v>
      </c>
      <c r="AJ166" s="183">
        <v>0</v>
      </c>
      <c r="AK166" s="183">
        <v>0</v>
      </c>
      <c r="AL166" s="183">
        <v>0</v>
      </c>
      <c r="AM166" s="183">
        <v>0</v>
      </c>
      <c r="AN166" s="183">
        <v>0</v>
      </c>
      <c r="AO166" s="183">
        <v>0</v>
      </c>
      <c r="AP166" s="183">
        <v>0</v>
      </c>
      <c r="AQ166" s="183">
        <v>0</v>
      </c>
      <c r="AR166" s="183">
        <v>0</v>
      </c>
      <c r="AS166" s="183">
        <v>0</v>
      </c>
      <c r="AT166" s="183">
        <v>0</v>
      </c>
      <c r="AU166" s="183">
        <v>0</v>
      </c>
      <c r="AV166" s="183">
        <v>0</v>
      </c>
      <c r="AW166" s="208">
        <v>0</v>
      </c>
      <c r="AX166" s="208">
        <v>0</v>
      </c>
      <c r="AY166" s="183">
        <v>0</v>
      </c>
      <c r="AZ166" s="183">
        <v>0</v>
      </c>
      <c r="BA166" s="127"/>
      <c r="BB166" s="135"/>
      <c r="BC166" s="135"/>
      <c r="BD166" s="135"/>
      <c r="BE166" s="135"/>
      <c r="BF166" s="135"/>
      <c r="BG166" s="135"/>
      <c r="BH166" s="135"/>
      <c r="BI166" s="127"/>
      <c r="BJ166" s="98"/>
      <c r="BK166" s="148"/>
      <c r="BL166" s="148"/>
      <c r="BN166" s="148"/>
    </row>
    <row r="167" spans="1:1163">
      <c r="A167" s="129" t="s">
        <v>608</v>
      </c>
      <c r="B167" s="225"/>
      <c r="C167" s="194"/>
      <c r="D167" s="194">
        <f>SUM(D160:D166)</f>
        <v>1939919531</v>
      </c>
      <c r="E167" s="194"/>
      <c r="F167" s="194">
        <f>SUM(F160:F166)</f>
        <v>338118510</v>
      </c>
      <c r="G167" s="194"/>
      <c r="H167" s="194">
        <f>SUM(H160:H166)</f>
        <v>334167313</v>
      </c>
      <c r="I167" s="194"/>
      <c r="J167" s="194">
        <f>SUM(J160:J166)</f>
        <v>358910208</v>
      </c>
      <c r="K167" s="194"/>
      <c r="L167" s="194">
        <f>SUM(L160:L166)</f>
        <v>297538360</v>
      </c>
      <c r="M167" s="194"/>
      <c r="N167" s="194">
        <f>SUM(N160:N166)</f>
        <v>330490459</v>
      </c>
      <c r="O167" s="194"/>
      <c r="P167" s="194">
        <f>SUM(P160:P166)</f>
        <v>395944021</v>
      </c>
      <c r="Q167" s="194"/>
      <c r="R167" s="194">
        <f>SUM(R160:R166)</f>
        <v>285719880</v>
      </c>
      <c r="S167" s="194"/>
      <c r="T167" s="194">
        <f>SUM(T160:T166)</f>
        <v>301140312</v>
      </c>
      <c r="U167" s="202"/>
      <c r="V167" s="202">
        <f>SUM(V160:V166)</f>
        <v>489009884</v>
      </c>
      <c r="W167" s="202"/>
      <c r="X167" s="194">
        <f>SUM(X160:X166)</f>
        <v>696515506</v>
      </c>
      <c r="Y167" s="202"/>
      <c r="Z167" s="194">
        <f>SUM(Z160:Z166)</f>
        <v>564655899</v>
      </c>
      <c r="AA167" s="202"/>
      <c r="AB167" s="208">
        <f>SUM(AB160:AB166)</f>
        <v>578059824</v>
      </c>
      <c r="AC167" s="183"/>
      <c r="AD167" s="208">
        <f>SUM(AD160:AD166)</f>
        <v>494441655</v>
      </c>
      <c r="AE167" s="208"/>
      <c r="AF167" s="208">
        <f>SUM(AF160:AF166)</f>
        <v>451838436</v>
      </c>
      <c r="AG167" s="202"/>
      <c r="AH167" s="202">
        <f>SUM(AH160:AH166)</f>
        <v>670144579</v>
      </c>
      <c r="AI167" s="202"/>
      <c r="AJ167" s="202">
        <f>SUM(AJ160:AJ166)</f>
        <v>1155346712</v>
      </c>
      <c r="AK167" s="202"/>
      <c r="AL167" s="202">
        <f>SUM(AL160:AL166)</f>
        <v>1101405788</v>
      </c>
      <c r="AM167" s="187"/>
      <c r="AN167" s="187">
        <f>SUM(AN160:AN166)</f>
        <v>1200421816</v>
      </c>
      <c r="AO167" s="202"/>
      <c r="AP167" s="202">
        <f>SUM(AP160:AP166)</f>
        <v>1136650908</v>
      </c>
      <c r="AQ167" s="202"/>
      <c r="AR167" s="202">
        <f>SUM(AR160:AR166)</f>
        <v>1134907749.9146953</v>
      </c>
      <c r="AS167" s="202"/>
      <c r="AT167" s="202">
        <f>SUM(AT160:AT166)</f>
        <v>2442588780</v>
      </c>
      <c r="AU167" s="202"/>
      <c r="AV167" s="208">
        <f>SUM(AV160:AV166)</f>
        <v>2258324306</v>
      </c>
      <c r="AW167" s="183"/>
      <c r="AX167" s="183">
        <f>SUM(AX160:AX166)</f>
        <v>2380593942</v>
      </c>
      <c r="AY167" s="188"/>
      <c r="AZ167" s="183">
        <f>SUM(AZ160:AZ166)</f>
        <v>2833591505</v>
      </c>
      <c r="BA167" s="188"/>
      <c r="BB167" s="183"/>
      <c r="BC167" s="183"/>
      <c r="BD167" s="183"/>
      <c r="BE167" s="155"/>
      <c r="BF167" s="183"/>
      <c r="BG167" s="183"/>
      <c r="BH167" s="148"/>
      <c r="BI167" s="155"/>
      <c r="BJ167" s="98"/>
      <c r="BK167" s="148"/>
      <c r="BN167" s="148"/>
    </row>
    <row r="168" spans="1:1163">
      <c r="A168" s="129"/>
      <c r="B168" s="225"/>
      <c r="C168" s="194"/>
      <c r="D168" s="194"/>
      <c r="E168" s="194"/>
      <c r="F168" s="194"/>
      <c r="G168" s="194"/>
      <c r="H168" s="194"/>
      <c r="I168" s="194"/>
      <c r="J168" s="194"/>
      <c r="K168" s="194"/>
      <c r="L168" s="194"/>
      <c r="M168" s="194"/>
      <c r="N168" s="194"/>
      <c r="O168" s="194"/>
      <c r="P168" s="194"/>
      <c r="Q168" s="194"/>
      <c r="R168" s="194"/>
      <c r="S168" s="194"/>
      <c r="T168" s="194"/>
      <c r="U168" s="202"/>
      <c r="V168" s="202"/>
      <c r="W168" s="202"/>
      <c r="X168" s="194"/>
      <c r="Y168" s="202"/>
      <c r="Z168" s="194"/>
      <c r="AA168" s="202"/>
      <c r="AB168" s="208"/>
      <c r="AC168" s="183"/>
      <c r="AD168" s="208"/>
      <c r="AE168" s="208"/>
      <c r="AF168" s="208"/>
      <c r="AG168" s="202"/>
      <c r="AH168" s="202"/>
      <c r="AI168" s="202"/>
      <c r="AJ168" s="202"/>
      <c r="AK168" s="202"/>
      <c r="AL168" s="202"/>
      <c r="AM168" s="187"/>
      <c r="AN168" s="187"/>
      <c r="AO168" s="202"/>
      <c r="AP168" s="202"/>
      <c r="AQ168" s="202"/>
      <c r="AR168" s="202"/>
      <c r="AS168" s="202"/>
      <c r="AT168" s="202"/>
      <c r="AU168" s="202"/>
      <c r="AV168" s="208"/>
      <c r="AW168" s="166"/>
      <c r="AX168" s="166"/>
      <c r="AY168" s="165"/>
      <c r="AZ168" s="183"/>
      <c r="BA168" s="196"/>
      <c r="BB168" s="166"/>
      <c r="BC168" s="166"/>
      <c r="BD168" s="166"/>
      <c r="BE168" s="166"/>
      <c r="BF168" s="166"/>
      <c r="BG168" s="166"/>
      <c r="BH168" s="166"/>
      <c r="BI168" s="196"/>
      <c r="BJ168" s="98"/>
      <c r="BK168" s="148"/>
      <c r="BN168" s="148"/>
    </row>
    <row r="169" spans="1:1163" s="174" customFormat="1">
      <c r="A169" s="118" t="s">
        <v>188</v>
      </c>
      <c r="B169" s="119"/>
      <c r="C169" s="175"/>
      <c r="D169" s="175">
        <v>3893</v>
      </c>
      <c r="E169" s="175">
        <v>0</v>
      </c>
      <c r="F169" s="175">
        <v>0</v>
      </c>
      <c r="G169" s="175">
        <v>0</v>
      </c>
      <c r="H169" s="175">
        <v>0</v>
      </c>
      <c r="I169" s="175">
        <v>0</v>
      </c>
      <c r="J169" s="175">
        <v>0</v>
      </c>
      <c r="K169" s="175">
        <v>0</v>
      </c>
      <c r="L169" s="175">
        <v>0</v>
      </c>
      <c r="M169" s="175">
        <v>16729</v>
      </c>
      <c r="N169" s="175">
        <v>215936</v>
      </c>
      <c r="O169" s="197">
        <v>0</v>
      </c>
      <c r="P169" s="197">
        <v>0</v>
      </c>
      <c r="Q169" s="197">
        <v>0</v>
      </c>
      <c r="R169" s="197">
        <v>0</v>
      </c>
      <c r="S169" s="197">
        <v>0</v>
      </c>
      <c r="T169" s="197">
        <v>0</v>
      </c>
      <c r="U169" s="197">
        <v>0</v>
      </c>
      <c r="V169" s="197">
        <v>0</v>
      </c>
      <c r="W169" s="197">
        <v>0</v>
      </c>
      <c r="X169" s="197">
        <v>0</v>
      </c>
      <c r="Y169" s="197">
        <v>0</v>
      </c>
      <c r="Z169" s="197">
        <v>0</v>
      </c>
      <c r="AA169" s="197">
        <v>0</v>
      </c>
      <c r="AB169" s="197">
        <v>0</v>
      </c>
      <c r="AC169" s="197">
        <v>0</v>
      </c>
      <c r="AD169" s="197">
        <v>0</v>
      </c>
      <c r="AE169" s="197">
        <v>0</v>
      </c>
      <c r="AF169" s="197">
        <v>0</v>
      </c>
      <c r="AG169" s="197">
        <v>0</v>
      </c>
      <c r="AH169" s="197">
        <v>0</v>
      </c>
      <c r="AI169" s="197">
        <v>0</v>
      </c>
      <c r="AJ169" s="197">
        <v>0</v>
      </c>
      <c r="AK169" s="197">
        <v>0</v>
      </c>
      <c r="AL169" s="197">
        <v>0</v>
      </c>
      <c r="AM169" s="197">
        <v>0</v>
      </c>
      <c r="AN169" s="197">
        <v>0</v>
      </c>
      <c r="AO169" s="197">
        <v>0</v>
      </c>
      <c r="AP169" s="197">
        <v>0</v>
      </c>
      <c r="AQ169" s="197">
        <v>0</v>
      </c>
      <c r="AR169" s="197">
        <v>0</v>
      </c>
      <c r="AS169" s="197">
        <v>0</v>
      </c>
      <c r="AT169" s="197">
        <v>0</v>
      </c>
      <c r="AU169" s="197">
        <v>0</v>
      </c>
      <c r="AV169" s="197">
        <v>0</v>
      </c>
      <c r="AW169" s="175">
        <v>0</v>
      </c>
      <c r="AX169" s="175">
        <v>0</v>
      </c>
      <c r="AY169" s="175">
        <v>0</v>
      </c>
      <c r="AZ169" s="175">
        <v>0</v>
      </c>
      <c r="BA169" s="144"/>
      <c r="BB169" s="175"/>
      <c r="BC169" s="175"/>
      <c r="BD169" s="175"/>
      <c r="BE169" s="144"/>
      <c r="BF169" s="175"/>
      <c r="BG169" s="175"/>
      <c r="BH169" s="175"/>
      <c r="BI169" s="144"/>
      <c r="BJ169" s="98"/>
      <c r="BK169" s="148"/>
      <c r="BL169" s="98"/>
      <c r="BM169" s="98"/>
      <c r="BN169" s="14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c r="CT169" s="98"/>
      <c r="CU169" s="98"/>
      <c r="CV169" s="98"/>
      <c r="CW169" s="98"/>
      <c r="CX169" s="98"/>
      <c r="CY169" s="98"/>
      <c r="CZ169" s="98"/>
      <c r="DA169" s="98"/>
      <c r="DB169" s="98"/>
      <c r="DC169" s="98"/>
      <c r="DD169" s="98"/>
      <c r="DE169" s="98"/>
      <c r="DF169" s="98"/>
      <c r="DG169" s="98"/>
      <c r="DH169" s="98"/>
      <c r="DI169" s="98"/>
      <c r="DJ169" s="98"/>
      <c r="DK169" s="98"/>
      <c r="DL169" s="98"/>
      <c r="DM169" s="98"/>
      <c r="DN169" s="98"/>
      <c r="DO169" s="98"/>
      <c r="DP169" s="98"/>
      <c r="DQ169" s="98"/>
      <c r="DR169" s="98"/>
      <c r="DS169" s="98"/>
      <c r="DT169" s="98"/>
      <c r="DU169" s="98"/>
      <c r="DV169" s="98"/>
      <c r="DW169" s="98"/>
      <c r="DX169" s="98"/>
      <c r="DY169" s="98"/>
      <c r="DZ169" s="98"/>
      <c r="EA169" s="98"/>
      <c r="EB169" s="98"/>
      <c r="EC169" s="98"/>
      <c r="ED169" s="98"/>
      <c r="EE169" s="98"/>
      <c r="EF169" s="98"/>
      <c r="EG169" s="98"/>
      <c r="EH169" s="98"/>
      <c r="EI169" s="98"/>
      <c r="EJ169" s="98"/>
      <c r="EK169" s="98"/>
      <c r="EL169" s="98"/>
      <c r="EM169" s="98"/>
      <c r="EN169" s="98"/>
      <c r="EO169" s="98"/>
      <c r="EP169" s="98"/>
      <c r="EQ169" s="98"/>
      <c r="ER169" s="98"/>
      <c r="ES169" s="98"/>
      <c r="ET169" s="98"/>
      <c r="EU169" s="98"/>
      <c r="EV169" s="98"/>
      <c r="EW169" s="98"/>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c r="IW169" s="98"/>
      <c r="IX169" s="98"/>
      <c r="IY169" s="98"/>
      <c r="IZ169" s="98"/>
      <c r="JA169" s="98"/>
      <c r="JB169" s="98"/>
      <c r="JC169" s="98"/>
      <c r="JD169" s="98"/>
      <c r="JE169" s="98"/>
      <c r="JF169" s="98"/>
      <c r="JG169" s="98"/>
      <c r="JH169" s="98"/>
      <c r="JI169" s="98"/>
      <c r="JJ169" s="98"/>
      <c r="JK169" s="98"/>
      <c r="JL169" s="98"/>
      <c r="JM169" s="98"/>
      <c r="JN169" s="98"/>
      <c r="JO169" s="98"/>
      <c r="JP169" s="98"/>
      <c r="JQ169" s="98"/>
      <c r="JR169" s="98"/>
      <c r="JS169" s="98"/>
      <c r="JT169" s="98"/>
      <c r="JU169" s="98"/>
      <c r="JV169" s="98"/>
      <c r="JW169" s="98"/>
      <c r="JX169" s="98"/>
      <c r="JY169" s="98"/>
      <c r="JZ169" s="98"/>
      <c r="KA169" s="98"/>
      <c r="KB169" s="98"/>
      <c r="KC169" s="98"/>
      <c r="KD169" s="98"/>
      <c r="KE169" s="98"/>
      <c r="KF169" s="98"/>
      <c r="KG169" s="98"/>
      <c r="KH169" s="98"/>
      <c r="KI169" s="98"/>
      <c r="KJ169" s="98"/>
      <c r="KK169" s="98"/>
      <c r="KL169" s="98"/>
      <c r="KM169" s="98"/>
      <c r="KN169" s="98"/>
      <c r="KO169" s="98"/>
      <c r="KP169" s="98"/>
      <c r="KQ169" s="98"/>
      <c r="KR169" s="98"/>
      <c r="KS169" s="98"/>
      <c r="KT169" s="98"/>
      <c r="KU169" s="98"/>
      <c r="KV169" s="98"/>
      <c r="KW169" s="98"/>
      <c r="KX169" s="98"/>
      <c r="KY169" s="98"/>
      <c r="KZ169" s="98"/>
      <c r="LA169" s="98"/>
      <c r="LB169" s="98"/>
      <c r="LC169" s="98"/>
      <c r="LD169" s="98"/>
      <c r="LE169" s="98"/>
      <c r="LF169" s="98"/>
      <c r="LG169" s="98"/>
      <c r="LH169" s="98"/>
      <c r="LI169" s="98"/>
      <c r="LJ169" s="98"/>
      <c r="LK169" s="98"/>
      <c r="LL169" s="98"/>
      <c r="LM169" s="98"/>
      <c r="LN169" s="98"/>
      <c r="LO169" s="98"/>
      <c r="LP169" s="98"/>
      <c r="LQ169" s="98"/>
      <c r="LR169" s="98"/>
      <c r="LS169" s="98"/>
      <c r="LT169" s="98"/>
      <c r="LU169" s="98"/>
      <c r="LV169" s="98"/>
      <c r="LW169" s="98"/>
      <c r="LX169" s="98"/>
      <c r="LY169" s="98"/>
      <c r="LZ169" s="98"/>
      <c r="MA169" s="98"/>
      <c r="MB169" s="98"/>
      <c r="MC169" s="98"/>
      <c r="MD169" s="98"/>
      <c r="ME169" s="98"/>
      <c r="MF169" s="98"/>
      <c r="MG169" s="98"/>
      <c r="MH169" s="98"/>
      <c r="MI169" s="98"/>
      <c r="MJ169" s="98"/>
      <c r="MK169" s="98"/>
      <c r="ML169" s="98"/>
      <c r="MM169" s="98"/>
      <c r="MN169" s="98"/>
      <c r="MO169" s="98"/>
      <c r="MP169" s="98"/>
      <c r="MQ169" s="98"/>
      <c r="MR169" s="98"/>
      <c r="MS169" s="98"/>
      <c r="MT169" s="98"/>
      <c r="MU169" s="98"/>
      <c r="MV169" s="98"/>
      <c r="MW169" s="98"/>
      <c r="MX169" s="98"/>
      <c r="MY169" s="98"/>
      <c r="MZ169" s="98"/>
      <c r="NA169" s="98"/>
      <c r="NB169" s="98"/>
      <c r="NC169" s="98"/>
      <c r="ND169" s="98"/>
      <c r="NE169" s="98"/>
      <c r="NF169" s="98"/>
      <c r="NG169" s="98"/>
      <c r="NH169" s="98"/>
      <c r="NI169" s="98"/>
      <c r="NJ169" s="98"/>
      <c r="NK169" s="98"/>
      <c r="NL169" s="98"/>
      <c r="NM169" s="98"/>
      <c r="NN169" s="98"/>
      <c r="NO169" s="98"/>
      <c r="NP169" s="98"/>
      <c r="NQ169" s="98"/>
      <c r="NR169" s="98"/>
      <c r="NS169" s="98"/>
      <c r="NT169" s="98"/>
      <c r="NU169" s="98"/>
      <c r="NV169" s="98"/>
      <c r="NW169" s="98"/>
      <c r="NX169" s="98"/>
      <c r="NY169" s="98"/>
      <c r="NZ169" s="98"/>
      <c r="OA169" s="98"/>
      <c r="OB169" s="98"/>
      <c r="OC169" s="98"/>
      <c r="OD169" s="98"/>
      <c r="OE169" s="98"/>
      <c r="OF169" s="98"/>
      <c r="OG169" s="98"/>
      <c r="OH169" s="98"/>
      <c r="OI169" s="98"/>
      <c r="OJ169" s="98"/>
      <c r="OK169" s="98"/>
      <c r="OL169" s="98"/>
      <c r="OM169" s="98"/>
      <c r="ON169" s="98"/>
      <c r="OO169" s="98"/>
      <c r="OP169" s="98"/>
      <c r="OQ169" s="98"/>
      <c r="OR169" s="98"/>
      <c r="OS169" s="98"/>
      <c r="OT169" s="98"/>
      <c r="OU169" s="98"/>
      <c r="OV169" s="98"/>
      <c r="OW169" s="98"/>
      <c r="OX169" s="98"/>
      <c r="OY169" s="98"/>
      <c r="OZ169" s="98"/>
      <c r="PA169" s="98"/>
      <c r="PB169" s="98"/>
      <c r="PC169" s="98"/>
      <c r="PD169" s="98"/>
      <c r="PE169" s="98"/>
      <c r="PF169" s="98"/>
      <c r="PG169" s="98"/>
      <c r="PH169" s="98"/>
      <c r="PI169" s="98"/>
      <c r="PJ169" s="98"/>
      <c r="PK169" s="98"/>
      <c r="PL169" s="98"/>
      <c r="PM169" s="98"/>
      <c r="PN169" s="98"/>
      <c r="PO169" s="98"/>
      <c r="PP169" s="98"/>
      <c r="PQ169" s="98"/>
      <c r="PR169" s="98"/>
      <c r="PS169" s="98"/>
      <c r="PT169" s="98"/>
      <c r="PU169" s="98"/>
      <c r="PV169" s="98"/>
      <c r="PW169" s="98"/>
      <c r="PX169" s="98"/>
      <c r="PY169" s="98"/>
      <c r="PZ169" s="98"/>
      <c r="QA169" s="98"/>
      <c r="QB169" s="98"/>
      <c r="QC169" s="98"/>
      <c r="QD169" s="98"/>
      <c r="QE169" s="98"/>
      <c r="QF169" s="98"/>
      <c r="QG169" s="98"/>
      <c r="QH169" s="98"/>
      <c r="QI169" s="98"/>
      <c r="QJ169" s="98"/>
      <c r="QK169" s="98"/>
      <c r="QL169" s="98"/>
      <c r="QM169" s="98"/>
      <c r="QN169" s="98"/>
      <c r="QO169" s="98"/>
      <c r="QP169" s="98"/>
      <c r="QQ169" s="98"/>
      <c r="QR169" s="98"/>
      <c r="QS169" s="98"/>
      <c r="QT169" s="98"/>
      <c r="QU169" s="98"/>
      <c r="QV169" s="98"/>
      <c r="QW169" s="98"/>
      <c r="QX169" s="98"/>
      <c r="QY169" s="98"/>
      <c r="QZ169" s="98"/>
      <c r="RA169" s="98"/>
      <c r="RB169" s="98"/>
      <c r="RC169" s="98"/>
      <c r="RD169" s="98"/>
      <c r="RE169" s="98"/>
      <c r="RF169" s="98"/>
      <c r="RG169" s="98"/>
      <c r="RH169" s="98"/>
      <c r="RI169" s="98"/>
      <c r="RJ169" s="98"/>
      <c r="RK169" s="98"/>
      <c r="RL169" s="98"/>
      <c r="RM169" s="98"/>
      <c r="RN169" s="98"/>
      <c r="RO169" s="98"/>
      <c r="RP169" s="98"/>
      <c r="RQ169" s="98"/>
      <c r="RR169" s="98"/>
      <c r="RS169" s="98"/>
      <c r="RT169" s="98"/>
      <c r="RU169" s="98"/>
      <c r="RV169" s="98"/>
      <c r="RW169" s="98"/>
      <c r="RX169" s="98"/>
      <c r="RY169" s="98"/>
      <c r="RZ169" s="98"/>
      <c r="SA169" s="98"/>
      <c r="SB169" s="98"/>
      <c r="SC169" s="98"/>
      <c r="SD169" s="98"/>
      <c r="SE169" s="98"/>
      <c r="SF169" s="98"/>
      <c r="SG169" s="98"/>
      <c r="SH169" s="98"/>
      <c r="SI169" s="98"/>
      <c r="SJ169" s="98"/>
      <c r="SK169" s="98"/>
      <c r="SL169" s="98"/>
      <c r="SM169" s="98"/>
      <c r="SN169" s="98"/>
      <c r="SO169" s="98"/>
      <c r="SP169" s="98"/>
      <c r="SQ169" s="98"/>
      <c r="SR169" s="98"/>
      <c r="SS169" s="98"/>
      <c r="ST169" s="98"/>
      <c r="SU169" s="98"/>
      <c r="SV169" s="98"/>
      <c r="SW169" s="98"/>
      <c r="SX169" s="98"/>
      <c r="SY169" s="98"/>
      <c r="SZ169" s="98"/>
      <c r="TA169" s="98"/>
      <c r="TB169" s="98"/>
      <c r="TC169" s="98"/>
      <c r="TD169" s="98"/>
      <c r="TE169" s="98"/>
      <c r="TF169" s="98"/>
      <c r="TG169" s="98"/>
      <c r="TH169" s="98"/>
      <c r="TI169" s="98"/>
      <c r="TJ169" s="98"/>
      <c r="TK169" s="98"/>
      <c r="TL169" s="98"/>
      <c r="TM169" s="98"/>
      <c r="TN169" s="98"/>
      <c r="TO169" s="98"/>
      <c r="TP169" s="98"/>
      <c r="TQ169" s="98"/>
      <c r="TR169" s="98"/>
      <c r="TS169" s="98"/>
      <c r="TT169" s="98"/>
      <c r="TU169" s="98"/>
      <c r="TV169" s="98"/>
      <c r="TW169" s="98"/>
      <c r="TX169" s="98"/>
      <c r="TY169" s="98"/>
      <c r="TZ169" s="98"/>
      <c r="UA169" s="98"/>
      <c r="UB169" s="98"/>
      <c r="UC169" s="98"/>
      <c r="UD169" s="98"/>
      <c r="UE169" s="98"/>
      <c r="UF169" s="98"/>
      <c r="UG169" s="98"/>
      <c r="UH169" s="98"/>
      <c r="UI169" s="98"/>
      <c r="UJ169" s="98"/>
      <c r="UK169" s="98"/>
      <c r="UL169" s="98"/>
      <c r="UM169" s="98"/>
      <c r="UN169" s="98"/>
      <c r="UO169" s="98"/>
      <c r="UP169" s="98"/>
      <c r="UQ169" s="98"/>
      <c r="UR169" s="98"/>
      <c r="US169" s="98"/>
      <c r="UT169" s="98"/>
      <c r="UU169" s="98"/>
      <c r="UV169" s="98"/>
      <c r="UW169" s="98"/>
      <c r="UX169" s="98"/>
      <c r="UY169" s="98"/>
      <c r="UZ169" s="98"/>
      <c r="VA169" s="98"/>
      <c r="VB169" s="98"/>
      <c r="VC169" s="98"/>
      <c r="VD169" s="98"/>
      <c r="VE169" s="98"/>
      <c r="VF169" s="98"/>
      <c r="VG169" s="98"/>
      <c r="VH169" s="98"/>
      <c r="VI169" s="98"/>
      <c r="VJ169" s="98"/>
      <c r="VK169" s="98"/>
      <c r="VL169" s="98"/>
      <c r="VM169" s="98"/>
      <c r="VN169" s="98"/>
      <c r="VO169" s="98"/>
      <c r="VP169" s="98"/>
      <c r="VQ169" s="98"/>
      <c r="VR169" s="98"/>
      <c r="VS169" s="98"/>
      <c r="VT169" s="98"/>
      <c r="VU169" s="98"/>
      <c r="VV169" s="98"/>
      <c r="VW169" s="98"/>
      <c r="VX169" s="98"/>
      <c r="VY169" s="98"/>
      <c r="VZ169" s="98"/>
      <c r="WA169" s="98"/>
      <c r="WB169" s="98"/>
      <c r="WC169" s="98"/>
      <c r="WD169" s="98"/>
      <c r="WE169" s="98"/>
      <c r="WF169" s="98"/>
      <c r="WG169" s="98"/>
      <c r="WH169" s="98"/>
      <c r="WI169" s="98"/>
      <c r="WJ169" s="98"/>
      <c r="WK169" s="98"/>
      <c r="WL169" s="98"/>
      <c r="WM169" s="98"/>
      <c r="WN169" s="98"/>
      <c r="WO169" s="98"/>
      <c r="WP169" s="98"/>
      <c r="WQ169" s="98"/>
      <c r="WR169" s="98"/>
      <c r="WS169" s="98"/>
      <c r="WT169" s="98"/>
      <c r="WU169" s="98"/>
      <c r="WV169" s="98"/>
      <c r="WW169" s="98"/>
      <c r="WX169" s="98"/>
      <c r="WY169" s="98"/>
      <c r="WZ169" s="98"/>
      <c r="XA169" s="98"/>
      <c r="XB169" s="98"/>
      <c r="XC169" s="98"/>
      <c r="XD169" s="98"/>
      <c r="XE169" s="98"/>
      <c r="XF169" s="98"/>
      <c r="XG169" s="98"/>
      <c r="XH169" s="98"/>
      <c r="XI169" s="98"/>
      <c r="XJ169" s="98"/>
      <c r="XK169" s="98"/>
      <c r="XL169" s="98"/>
      <c r="XM169" s="98"/>
      <c r="XN169" s="98"/>
      <c r="XO169" s="98"/>
      <c r="XP169" s="98"/>
      <c r="XQ169" s="98"/>
      <c r="XR169" s="98"/>
      <c r="XS169" s="98"/>
      <c r="XT169" s="98"/>
      <c r="XU169" s="98"/>
      <c r="XV169" s="98"/>
      <c r="XW169" s="98"/>
      <c r="XX169" s="98"/>
      <c r="XY169" s="98"/>
      <c r="XZ169" s="98"/>
      <c r="YA169" s="98"/>
      <c r="YB169" s="98"/>
      <c r="YC169" s="98"/>
      <c r="YD169" s="98"/>
      <c r="YE169" s="98"/>
      <c r="YF169" s="98"/>
      <c r="YG169" s="98"/>
      <c r="YH169" s="98"/>
      <c r="YI169" s="98"/>
      <c r="YJ169" s="98"/>
      <c r="YK169" s="98"/>
      <c r="YL169" s="98"/>
      <c r="YM169" s="98"/>
      <c r="YN169" s="98"/>
      <c r="YO169" s="98"/>
      <c r="YP169" s="98"/>
      <c r="YQ169" s="98"/>
      <c r="YR169" s="98"/>
      <c r="YS169" s="98"/>
      <c r="YT169" s="98"/>
      <c r="YU169" s="98"/>
      <c r="YV169" s="98"/>
      <c r="YW169" s="98"/>
      <c r="YX169" s="98"/>
      <c r="YY169" s="98"/>
      <c r="YZ169" s="98"/>
      <c r="ZA169" s="98"/>
      <c r="ZB169" s="98"/>
      <c r="ZC169" s="98"/>
      <c r="ZD169" s="98"/>
      <c r="ZE169" s="98"/>
      <c r="ZF169" s="98"/>
      <c r="ZG169" s="98"/>
      <c r="ZH169" s="98"/>
      <c r="ZI169" s="98"/>
      <c r="ZJ169" s="98"/>
      <c r="ZK169" s="98"/>
      <c r="ZL169" s="98"/>
      <c r="ZM169" s="98"/>
      <c r="ZN169" s="98"/>
      <c r="ZO169" s="98"/>
      <c r="ZP169" s="98"/>
      <c r="ZQ169" s="98"/>
      <c r="ZR169" s="98"/>
      <c r="ZS169" s="98"/>
      <c r="ZT169" s="98"/>
      <c r="ZU169" s="98"/>
      <c r="ZV169" s="98"/>
      <c r="ZW169" s="98"/>
      <c r="ZX169" s="98"/>
      <c r="ZY169" s="98"/>
      <c r="ZZ169" s="98"/>
      <c r="AAA169" s="98"/>
      <c r="AAB169" s="98"/>
      <c r="AAC169" s="98"/>
      <c r="AAD169" s="98"/>
      <c r="AAE169" s="98"/>
      <c r="AAF169" s="98"/>
      <c r="AAG169" s="98"/>
      <c r="AAH169" s="98"/>
      <c r="AAI169" s="98"/>
      <c r="AAJ169" s="98"/>
      <c r="AAK169" s="98"/>
      <c r="AAL169" s="98"/>
      <c r="AAM169" s="98"/>
      <c r="AAN169" s="98"/>
      <c r="AAO169" s="98"/>
      <c r="AAP169" s="98"/>
      <c r="AAQ169" s="98"/>
      <c r="AAR169" s="98"/>
      <c r="AAS169" s="98"/>
      <c r="AAT169" s="98"/>
      <c r="AAU169" s="98"/>
      <c r="AAV169" s="98"/>
      <c r="AAW169" s="98"/>
      <c r="AAX169" s="98"/>
      <c r="AAY169" s="98"/>
      <c r="AAZ169" s="98"/>
      <c r="ABA169" s="98"/>
      <c r="ABB169" s="98"/>
      <c r="ABC169" s="98"/>
      <c r="ABD169" s="98"/>
      <c r="ABE169" s="98"/>
      <c r="ABF169" s="98"/>
      <c r="ABG169" s="98"/>
      <c r="ABH169" s="98"/>
      <c r="ABI169" s="98"/>
      <c r="ABJ169" s="98"/>
      <c r="ABK169" s="98"/>
      <c r="ABL169" s="98"/>
      <c r="ABM169" s="98"/>
      <c r="ABN169" s="98"/>
      <c r="ABO169" s="98"/>
      <c r="ABP169" s="98"/>
      <c r="ABQ169" s="98"/>
      <c r="ABR169" s="98"/>
      <c r="ABS169" s="98"/>
      <c r="ABT169" s="98"/>
      <c r="ABU169" s="98"/>
      <c r="ABV169" s="98"/>
      <c r="ABW169" s="98"/>
      <c r="ABX169" s="98"/>
      <c r="ABY169" s="98"/>
      <c r="ABZ169" s="98"/>
      <c r="ACA169" s="98"/>
      <c r="ACB169" s="98"/>
      <c r="ACC169" s="98"/>
      <c r="ACD169" s="98"/>
      <c r="ACE169" s="98"/>
      <c r="ACF169" s="98"/>
      <c r="ACG169" s="98"/>
      <c r="ACH169" s="98"/>
      <c r="ACI169" s="98"/>
      <c r="ACJ169" s="98"/>
      <c r="ACK169" s="98"/>
      <c r="ACL169" s="98"/>
      <c r="ACM169" s="98"/>
      <c r="ACN169" s="98"/>
      <c r="ACO169" s="98"/>
      <c r="ACP169" s="98"/>
      <c r="ACQ169" s="98"/>
      <c r="ACR169" s="98"/>
      <c r="ACS169" s="98"/>
      <c r="ACT169" s="98"/>
      <c r="ACU169" s="98"/>
      <c r="ACV169" s="98"/>
      <c r="ACW169" s="98"/>
      <c r="ACX169" s="98"/>
      <c r="ACY169" s="98"/>
      <c r="ACZ169" s="98"/>
      <c r="ADA169" s="98"/>
      <c r="ADB169" s="98"/>
      <c r="ADC169" s="98"/>
      <c r="ADD169" s="98"/>
      <c r="ADE169" s="98"/>
      <c r="ADF169" s="98"/>
      <c r="ADG169" s="98"/>
      <c r="ADH169" s="98"/>
      <c r="ADI169" s="98"/>
      <c r="ADJ169" s="98"/>
      <c r="ADK169" s="98"/>
      <c r="ADL169" s="98"/>
      <c r="ADM169" s="98"/>
      <c r="ADN169" s="98"/>
      <c r="ADO169" s="98"/>
      <c r="ADP169" s="98"/>
      <c r="ADQ169" s="98"/>
      <c r="ADR169" s="98"/>
      <c r="ADS169" s="98"/>
      <c r="ADT169" s="98"/>
      <c r="ADU169" s="98"/>
      <c r="ADV169" s="98"/>
      <c r="ADW169" s="98"/>
      <c r="ADX169" s="98"/>
      <c r="ADY169" s="98"/>
      <c r="ADZ169" s="98"/>
      <c r="AEA169" s="98"/>
      <c r="AEB169" s="98"/>
      <c r="AEC169" s="98"/>
      <c r="AED169" s="98"/>
      <c r="AEE169" s="98"/>
      <c r="AEF169" s="98"/>
      <c r="AEG169" s="98"/>
      <c r="AEH169" s="98"/>
      <c r="AEI169" s="98"/>
      <c r="AEJ169" s="98"/>
      <c r="AEK169" s="98"/>
      <c r="AEL169" s="98"/>
      <c r="AEM169" s="98"/>
      <c r="AEN169" s="98"/>
      <c r="AEO169" s="98"/>
      <c r="AEP169" s="98"/>
      <c r="AEQ169" s="98"/>
      <c r="AER169" s="98"/>
      <c r="AES169" s="98"/>
      <c r="AET169" s="98"/>
      <c r="AEU169" s="98"/>
      <c r="AEV169" s="98"/>
      <c r="AEW169" s="98"/>
      <c r="AEX169" s="98"/>
      <c r="AEY169" s="98"/>
      <c r="AEZ169" s="98"/>
      <c r="AFA169" s="98"/>
      <c r="AFB169" s="98"/>
      <c r="AFC169" s="98"/>
      <c r="AFD169" s="98"/>
      <c r="AFE169" s="98"/>
      <c r="AFF169" s="98"/>
      <c r="AFG169" s="98"/>
      <c r="AFH169" s="98"/>
      <c r="AFI169" s="98"/>
      <c r="AFJ169" s="98"/>
      <c r="AFK169" s="98"/>
      <c r="AFL169" s="98"/>
      <c r="AFM169" s="98"/>
      <c r="AFN169" s="98"/>
      <c r="AFO169" s="98"/>
      <c r="AFP169" s="98"/>
      <c r="AFQ169" s="98"/>
      <c r="AFR169" s="98"/>
      <c r="AFS169" s="98"/>
      <c r="AFT169" s="98"/>
      <c r="AFU169" s="98"/>
      <c r="AFV169" s="98"/>
      <c r="AFW169" s="98"/>
      <c r="AFX169" s="98"/>
      <c r="AFY169" s="98"/>
      <c r="AFZ169" s="98"/>
      <c r="AGA169" s="98"/>
      <c r="AGB169" s="98"/>
      <c r="AGC169" s="98"/>
      <c r="AGD169" s="98"/>
      <c r="AGE169" s="98"/>
      <c r="AGF169" s="98"/>
      <c r="AGG169" s="98"/>
      <c r="AGH169" s="98"/>
      <c r="AGI169" s="98"/>
      <c r="AGJ169" s="98"/>
      <c r="AGK169" s="98"/>
      <c r="AGL169" s="98"/>
      <c r="AGM169" s="98"/>
      <c r="AGN169" s="98"/>
      <c r="AGO169" s="98"/>
      <c r="AGP169" s="98"/>
      <c r="AGQ169" s="98"/>
      <c r="AGR169" s="98"/>
      <c r="AGS169" s="98"/>
      <c r="AGT169" s="98"/>
      <c r="AGU169" s="98"/>
      <c r="AGV169" s="98"/>
      <c r="AGW169" s="98"/>
      <c r="AGX169" s="98"/>
      <c r="AGY169" s="98"/>
      <c r="AGZ169" s="98"/>
      <c r="AHA169" s="98"/>
      <c r="AHB169" s="98"/>
      <c r="AHC169" s="98"/>
      <c r="AHD169" s="98"/>
      <c r="AHE169" s="98"/>
      <c r="AHF169" s="98"/>
      <c r="AHG169" s="98"/>
      <c r="AHH169" s="98"/>
      <c r="AHI169" s="98"/>
      <c r="AHJ169" s="98"/>
      <c r="AHK169" s="98"/>
      <c r="AHL169" s="98"/>
      <c r="AHM169" s="98"/>
      <c r="AHN169" s="98"/>
      <c r="AHO169" s="98"/>
      <c r="AHP169" s="98"/>
      <c r="AHQ169" s="98"/>
      <c r="AHR169" s="98"/>
      <c r="AHS169" s="98"/>
      <c r="AHT169" s="98"/>
      <c r="AHU169" s="98"/>
      <c r="AHV169" s="98"/>
      <c r="AHW169" s="98"/>
      <c r="AHX169" s="98"/>
      <c r="AHY169" s="98"/>
      <c r="AHZ169" s="98"/>
      <c r="AIA169" s="98"/>
      <c r="AIB169" s="98"/>
      <c r="AIC169" s="98"/>
      <c r="AID169" s="98"/>
      <c r="AIE169" s="98"/>
      <c r="AIF169" s="98"/>
      <c r="AIG169" s="98"/>
      <c r="AIH169" s="98"/>
      <c r="AII169" s="98"/>
      <c r="AIJ169" s="98"/>
      <c r="AIK169" s="98"/>
      <c r="AIL169" s="98"/>
      <c r="AIM169" s="98"/>
      <c r="AIN169" s="98"/>
      <c r="AIO169" s="98"/>
      <c r="AIP169" s="98"/>
      <c r="AIQ169" s="98"/>
      <c r="AIR169" s="98"/>
      <c r="AIS169" s="98"/>
      <c r="AIT169" s="98"/>
      <c r="AIU169" s="98"/>
      <c r="AIV169" s="98"/>
      <c r="AIW169" s="98"/>
      <c r="AIX169" s="98"/>
      <c r="AIY169" s="98"/>
      <c r="AIZ169" s="98"/>
      <c r="AJA169" s="98"/>
      <c r="AJB169" s="98"/>
      <c r="AJC169" s="98"/>
      <c r="AJD169" s="98"/>
      <c r="AJE169" s="98"/>
      <c r="AJF169" s="98"/>
      <c r="AJG169" s="98"/>
      <c r="AJH169" s="98"/>
      <c r="AJI169" s="98"/>
      <c r="AJJ169" s="98"/>
      <c r="AJK169" s="98"/>
      <c r="AJL169" s="98"/>
      <c r="AJM169" s="98"/>
      <c r="AJN169" s="98"/>
      <c r="AJO169" s="98"/>
      <c r="AJP169" s="98"/>
      <c r="AJQ169" s="98"/>
      <c r="AJR169" s="98"/>
      <c r="AJS169" s="98"/>
      <c r="AJT169" s="98"/>
      <c r="AJU169" s="98"/>
      <c r="AJV169" s="98"/>
      <c r="AJW169" s="98"/>
      <c r="AJX169" s="98"/>
      <c r="AJY169" s="98"/>
      <c r="AJZ169" s="98"/>
      <c r="AKA169" s="98"/>
      <c r="AKB169" s="98"/>
      <c r="AKC169" s="98"/>
      <c r="AKD169" s="98"/>
      <c r="AKE169" s="98"/>
      <c r="AKF169" s="98"/>
      <c r="AKG169" s="98"/>
      <c r="AKH169" s="98"/>
      <c r="AKI169" s="98"/>
      <c r="AKJ169" s="98"/>
      <c r="AKK169" s="98"/>
      <c r="AKL169" s="98"/>
      <c r="AKM169" s="98"/>
      <c r="AKN169" s="98"/>
      <c r="AKO169" s="98"/>
      <c r="AKP169" s="98"/>
      <c r="AKQ169" s="98"/>
      <c r="AKR169" s="98"/>
      <c r="AKS169" s="98"/>
      <c r="AKT169" s="98"/>
      <c r="AKU169" s="98"/>
      <c r="AKV169" s="98"/>
      <c r="AKW169" s="98"/>
      <c r="AKX169" s="98"/>
      <c r="AKY169" s="98"/>
      <c r="AKZ169" s="98"/>
      <c r="ALA169" s="98"/>
      <c r="ALB169" s="98"/>
      <c r="ALC169" s="98"/>
      <c r="ALD169" s="98"/>
      <c r="ALE169" s="98"/>
      <c r="ALF169" s="98"/>
      <c r="ALG169" s="98"/>
      <c r="ALH169" s="98"/>
      <c r="ALI169" s="98"/>
      <c r="ALJ169" s="98"/>
      <c r="ALK169" s="98"/>
      <c r="ALL169" s="98"/>
      <c r="ALM169" s="98"/>
      <c r="ALN169" s="98"/>
      <c r="ALO169" s="98"/>
      <c r="ALP169" s="98"/>
      <c r="ALQ169" s="98"/>
      <c r="ALR169" s="98"/>
      <c r="ALS169" s="98"/>
      <c r="ALT169" s="98"/>
      <c r="ALU169" s="98"/>
      <c r="ALV169" s="98"/>
      <c r="ALW169" s="98"/>
      <c r="ALX169" s="98"/>
      <c r="ALY169" s="98"/>
      <c r="ALZ169" s="98"/>
      <c r="AMA169" s="98"/>
      <c r="AMB169" s="98"/>
      <c r="AMC169" s="98"/>
      <c r="AMD169" s="98"/>
      <c r="AME169" s="98"/>
      <c r="AMF169" s="98"/>
      <c r="AMG169" s="98"/>
      <c r="AMH169" s="98"/>
      <c r="AMI169" s="98"/>
      <c r="AMJ169" s="98"/>
      <c r="AMK169" s="98"/>
      <c r="AML169" s="98"/>
      <c r="AMM169" s="98"/>
      <c r="AMN169" s="98"/>
      <c r="AMO169" s="98"/>
      <c r="AMP169" s="98"/>
      <c r="AMQ169" s="98"/>
      <c r="AMR169" s="98"/>
      <c r="AMS169" s="98"/>
      <c r="AMT169" s="98"/>
      <c r="AMU169" s="98"/>
      <c r="AMV169" s="98"/>
      <c r="AMW169" s="98"/>
      <c r="AMX169" s="98"/>
      <c r="AMY169" s="98"/>
      <c r="AMZ169" s="98"/>
      <c r="ANA169" s="98"/>
      <c r="ANB169" s="98"/>
      <c r="ANC169" s="98"/>
      <c r="AND169" s="98"/>
      <c r="ANE169" s="98"/>
      <c r="ANF169" s="98"/>
      <c r="ANG169" s="98"/>
      <c r="ANH169" s="98"/>
      <c r="ANI169" s="98"/>
      <c r="ANJ169" s="98"/>
      <c r="ANK169" s="98"/>
      <c r="ANL169" s="98"/>
      <c r="ANM169" s="98"/>
      <c r="ANN169" s="98"/>
      <c r="ANO169" s="98"/>
      <c r="ANP169" s="98"/>
      <c r="ANQ169" s="98"/>
      <c r="ANR169" s="98"/>
      <c r="ANS169" s="98"/>
      <c r="ANT169" s="98"/>
      <c r="ANU169" s="98"/>
      <c r="ANV169" s="98"/>
      <c r="ANW169" s="98"/>
      <c r="ANX169" s="98"/>
      <c r="ANY169" s="98"/>
      <c r="ANZ169" s="98"/>
      <c r="AOA169" s="98"/>
      <c r="AOB169" s="98"/>
      <c r="AOC169" s="98"/>
      <c r="AOD169" s="98"/>
      <c r="AOE169" s="98"/>
      <c r="AOF169" s="98"/>
      <c r="AOG169" s="98"/>
      <c r="AOH169" s="98"/>
      <c r="AOI169" s="98"/>
      <c r="AOJ169" s="98"/>
      <c r="AOK169" s="98"/>
      <c r="AOL169" s="98"/>
      <c r="AOM169" s="98"/>
      <c r="AON169" s="98"/>
      <c r="AOO169" s="98"/>
      <c r="AOP169" s="98"/>
      <c r="AOQ169" s="98"/>
      <c r="AOR169" s="98"/>
      <c r="AOS169" s="98"/>
      <c r="AOT169" s="98"/>
      <c r="AOU169" s="98"/>
      <c r="AOV169" s="98"/>
      <c r="AOW169" s="98"/>
      <c r="AOX169" s="98"/>
      <c r="AOY169" s="98"/>
      <c r="AOZ169" s="98"/>
      <c r="APA169" s="98"/>
      <c r="APB169" s="98"/>
      <c r="APC169" s="98"/>
      <c r="APD169" s="98"/>
      <c r="APE169" s="98"/>
      <c r="APF169" s="98"/>
      <c r="APG169" s="98"/>
      <c r="APH169" s="98"/>
      <c r="API169" s="98"/>
      <c r="APJ169" s="98"/>
      <c r="APK169" s="98"/>
      <c r="APL169" s="98"/>
      <c r="APM169" s="98"/>
      <c r="APN169" s="98"/>
      <c r="APO169" s="98"/>
      <c r="APP169" s="98"/>
      <c r="APQ169" s="98"/>
      <c r="APR169" s="98"/>
      <c r="APS169" s="98"/>
      <c r="APT169" s="98"/>
      <c r="APU169" s="98"/>
      <c r="APV169" s="98"/>
      <c r="APW169" s="98"/>
      <c r="APX169" s="98"/>
      <c r="APY169" s="98"/>
      <c r="APZ169" s="98"/>
      <c r="AQA169" s="98"/>
      <c r="AQB169" s="98"/>
      <c r="AQC169" s="98"/>
      <c r="AQD169" s="98"/>
      <c r="AQE169" s="98"/>
      <c r="AQF169" s="98"/>
      <c r="AQG169" s="98"/>
      <c r="AQH169" s="98"/>
      <c r="AQI169" s="98"/>
      <c r="AQJ169" s="98"/>
      <c r="AQK169" s="98"/>
      <c r="AQL169" s="98"/>
      <c r="AQM169" s="98"/>
      <c r="AQN169" s="98"/>
      <c r="AQO169" s="98"/>
      <c r="AQP169" s="98"/>
      <c r="AQQ169" s="98"/>
      <c r="AQR169" s="98"/>
      <c r="AQS169" s="98"/>
      <c r="AQT169" s="98"/>
      <c r="AQU169" s="98"/>
      <c r="AQV169" s="98"/>
      <c r="AQW169" s="98"/>
      <c r="AQX169" s="98"/>
      <c r="AQY169" s="98"/>
      <c r="AQZ169" s="98"/>
      <c r="ARA169" s="98"/>
      <c r="ARB169" s="98"/>
      <c r="ARC169" s="98"/>
      <c r="ARD169" s="98"/>
      <c r="ARE169" s="98"/>
      <c r="ARF169" s="98"/>
      <c r="ARG169" s="98"/>
      <c r="ARH169" s="98"/>
      <c r="ARI169" s="98"/>
      <c r="ARJ169" s="98"/>
      <c r="ARK169" s="98"/>
      <c r="ARL169" s="98"/>
      <c r="ARM169" s="98"/>
      <c r="ARN169" s="98"/>
      <c r="ARO169" s="98"/>
      <c r="ARP169" s="98"/>
      <c r="ARQ169" s="98"/>
      <c r="ARR169" s="98"/>
      <c r="ARS169" s="98"/>
    </row>
    <row r="170" spans="1:1163">
      <c r="A170" s="138"/>
      <c r="B170" s="134"/>
      <c r="C170" s="197"/>
      <c r="D170" s="197"/>
      <c r="E170" s="197"/>
      <c r="F170" s="197"/>
      <c r="G170" s="197"/>
      <c r="H170" s="197"/>
      <c r="I170" s="197"/>
      <c r="J170" s="197"/>
      <c r="K170" s="197"/>
      <c r="L170" s="197"/>
      <c r="M170" s="197"/>
      <c r="N170" s="197"/>
      <c r="O170" s="197"/>
      <c r="P170" s="197"/>
      <c r="Q170" s="197"/>
      <c r="R170" s="197"/>
      <c r="S170" s="197"/>
      <c r="T170" s="197"/>
      <c r="U170" s="120"/>
      <c r="V170" s="120"/>
      <c r="W170" s="201"/>
      <c r="X170" s="201"/>
      <c r="Y170" s="144"/>
      <c r="Z170" s="144"/>
      <c r="AA170" s="201"/>
      <c r="AB170" s="209"/>
      <c r="AC170" s="197"/>
      <c r="AD170" s="197"/>
      <c r="AE170" s="209"/>
      <c r="AF170" s="209"/>
      <c r="AG170" s="209"/>
      <c r="AH170" s="209"/>
      <c r="AI170" s="209"/>
      <c r="AJ170" s="209"/>
      <c r="AK170" s="201"/>
      <c r="AL170" s="201"/>
      <c r="AM170" s="201"/>
      <c r="AN170" s="201"/>
      <c r="AO170" s="201"/>
      <c r="AP170" s="201"/>
      <c r="AQ170" s="177"/>
      <c r="AR170" s="201"/>
      <c r="AS170" s="201"/>
      <c r="AT170" s="201"/>
      <c r="AU170" s="201"/>
      <c r="AV170" s="209"/>
      <c r="AW170" s="173"/>
      <c r="AX170" s="173"/>
      <c r="AY170" s="172"/>
      <c r="AZ170" s="172"/>
      <c r="BA170" s="177"/>
      <c r="BB170" s="173"/>
      <c r="BC170" s="173"/>
      <c r="BD170" s="173"/>
      <c r="BE170" s="173"/>
      <c r="BF170" s="173"/>
      <c r="BG170" s="173"/>
      <c r="BH170" s="173"/>
      <c r="BI170" s="177"/>
      <c r="BJ170" s="98"/>
      <c r="BK170" s="148"/>
      <c r="BN170" s="148"/>
    </row>
    <row r="171" spans="1:1163">
      <c r="A171" s="124" t="s">
        <v>189</v>
      </c>
      <c r="B171" s="161" t="s">
        <v>67</v>
      </c>
      <c r="C171" s="194">
        <v>4052</v>
      </c>
      <c r="D171" s="194">
        <v>62633</v>
      </c>
      <c r="E171" s="194">
        <v>0</v>
      </c>
      <c r="F171" s="194">
        <v>0</v>
      </c>
      <c r="G171" s="194">
        <v>0</v>
      </c>
      <c r="H171" s="194">
        <v>0</v>
      </c>
      <c r="I171" s="194">
        <v>0</v>
      </c>
      <c r="J171" s="194">
        <v>0</v>
      </c>
      <c r="K171" s="194">
        <v>0</v>
      </c>
      <c r="L171" s="194">
        <v>0</v>
      </c>
      <c r="M171" s="194">
        <v>0</v>
      </c>
      <c r="N171" s="194">
        <v>0</v>
      </c>
      <c r="O171" s="194">
        <v>9620</v>
      </c>
      <c r="P171" s="194">
        <v>423303</v>
      </c>
      <c r="Q171" s="194">
        <v>1474</v>
      </c>
      <c r="R171" s="194">
        <v>44315</v>
      </c>
      <c r="S171" s="194">
        <v>1236</v>
      </c>
      <c r="T171" s="194">
        <v>53041</v>
      </c>
      <c r="U171" s="194">
        <v>1151</v>
      </c>
      <c r="V171" s="194">
        <v>67245</v>
      </c>
      <c r="W171" s="194">
        <v>1212</v>
      </c>
      <c r="X171" s="194">
        <v>72557</v>
      </c>
      <c r="Y171" s="183">
        <v>861</v>
      </c>
      <c r="Z171" s="183">
        <v>58774</v>
      </c>
      <c r="AA171" s="208">
        <v>403</v>
      </c>
      <c r="AB171" s="208">
        <v>29974</v>
      </c>
      <c r="AC171" s="194">
        <v>918</v>
      </c>
      <c r="AD171" s="194">
        <v>68315</v>
      </c>
      <c r="AE171" s="202">
        <v>1025</v>
      </c>
      <c r="AF171" s="202">
        <v>76189</v>
      </c>
      <c r="AG171" s="202">
        <v>786</v>
      </c>
      <c r="AH171" s="202">
        <v>58531</v>
      </c>
      <c r="AI171" s="202">
        <v>1113</v>
      </c>
      <c r="AJ171" s="202">
        <v>78400</v>
      </c>
      <c r="AK171" s="202">
        <v>0</v>
      </c>
      <c r="AL171" s="202">
        <v>0</v>
      </c>
      <c r="AM171" s="202">
        <v>0</v>
      </c>
      <c r="AN171" s="202">
        <v>0</v>
      </c>
      <c r="AO171" s="202">
        <v>0</v>
      </c>
      <c r="AP171" s="202">
        <v>0</v>
      </c>
      <c r="AQ171" s="202">
        <v>0</v>
      </c>
      <c r="AR171" s="202">
        <v>0</v>
      </c>
      <c r="AS171" s="202">
        <v>0</v>
      </c>
      <c r="AT171" s="202">
        <v>0</v>
      </c>
      <c r="AU171" s="202">
        <v>0</v>
      </c>
      <c r="AV171" s="202">
        <v>0</v>
      </c>
      <c r="AW171" s="192">
        <v>0</v>
      </c>
      <c r="AX171" s="192">
        <v>0</v>
      </c>
      <c r="AY171" s="192">
        <v>0</v>
      </c>
      <c r="AZ171" s="192">
        <v>0</v>
      </c>
      <c r="BA171" s="185"/>
      <c r="BB171" s="192"/>
      <c r="BC171" s="192"/>
      <c r="BD171" s="192"/>
      <c r="BE171" s="185"/>
      <c r="BF171" s="192"/>
      <c r="BG171" s="192"/>
      <c r="BH171" s="192"/>
      <c r="BI171" s="185"/>
      <c r="BJ171" s="98"/>
      <c r="BK171" s="148"/>
      <c r="BM171" s="148"/>
      <c r="BN171" s="148"/>
    </row>
    <row r="172" spans="1:1163">
      <c r="A172" s="131" t="s">
        <v>190</v>
      </c>
      <c r="B172" s="225"/>
      <c r="C172" s="194"/>
      <c r="D172" s="194"/>
      <c r="E172" s="194"/>
      <c r="F172" s="194"/>
      <c r="G172" s="194"/>
      <c r="H172" s="194"/>
      <c r="I172" s="194"/>
      <c r="J172" s="194"/>
      <c r="K172" s="194"/>
      <c r="L172" s="194"/>
      <c r="M172" s="194"/>
      <c r="N172" s="194"/>
      <c r="O172" s="194"/>
      <c r="P172" s="194"/>
      <c r="Q172" s="194"/>
      <c r="R172" s="194"/>
      <c r="S172" s="194"/>
      <c r="T172" s="194"/>
      <c r="U172" s="202"/>
      <c r="V172" s="202"/>
      <c r="W172" s="202"/>
      <c r="X172" s="202"/>
      <c r="Y172" s="194"/>
      <c r="Z172" s="194"/>
      <c r="AA172" s="208"/>
      <c r="AB172" s="208"/>
      <c r="AC172" s="183"/>
      <c r="AD172" s="183"/>
      <c r="AE172" s="202"/>
      <c r="AF172" s="202"/>
      <c r="AG172" s="202"/>
      <c r="AH172" s="202"/>
      <c r="AI172" s="202"/>
      <c r="AJ172" s="202"/>
      <c r="AK172" s="202"/>
      <c r="AL172" s="202"/>
      <c r="AM172" s="202"/>
      <c r="AN172" s="202"/>
      <c r="AO172" s="202"/>
      <c r="AP172" s="202"/>
      <c r="AQ172" s="202"/>
      <c r="AR172" s="202"/>
      <c r="AS172" s="202"/>
      <c r="AT172" s="202"/>
      <c r="AU172" s="202"/>
      <c r="AV172" s="208"/>
      <c r="AW172" s="166"/>
      <c r="AX172" s="166"/>
      <c r="AY172" s="165"/>
      <c r="AZ172" s="165"/>
      <c r="BA172" s="196"/>
      <c r="BB172" s="166"/>
      <c r="BC172" s="166"/>
      <c r="BD172" s="166"/>
      <c r="BE172" s="166"/>
      <c r="BF172" s="166"/>
      <c r="BG172" s="166"/>
      <c r="BH172" s="166"/>
      <c r="BI172" s="196"/>
      <c r="BJ172" s="98"/>
      <c r="BK172" s="148"/>
      <c r="BM172" s="148"/>
      <c r="BN172" s="148"/>
    </row>
    <row r="173" spans="1:1163" s="174" customFormat="1">
      <c r="A173" s="118" t="s">
        <v>191</v>
      </c>
      <c r="B173" s="134"/>
      <c r="C173" s="197"/>
      <c r="D173" s="197"/>
      <c r="E173" s="197"/>
      <c r="F173" s="197"/>
      <c r="G173" s="197"/>
      <c r="H173" s="197"/>
      <c r="I173" s="197"/>
      <c r="J173" s="197"/>
      <c r="K173" s="197"/>
      <c r="L173" s="197"/>
      <c r="M173" s="197"/>
      <c r="N173" s="197"/>
      <c r="O173" s="197"/>
      <c r="P173" s="197"/>
      <c r="Q173" s="197"/>
      <c r="R173" s="197"/>
      <c r="S173" s="197"/>
      <c r="T173" s="197"/>
      <c r="U173" s="144"/>
      <c r="V173" s="144"/>
      <c r="W173" s="201"/>
      <c r="X173" s="201"/>
      <c r="Y173" s="197"/>
      <c r="Z173" s="197"/>
      <c r="AA173" s="209"/>
      <c r="AB173" s="209"/>
      <c r="AC173" s="175"/>
      <c r="AD173" s="175"/>
      <c r="AE173" s="201"/>
      <c r="AF173" s="201"/>
      <c r="AG173" s="201"/>
      <c r="AH173" s="201"/>
      <c r="AI173" s="201"/>
      <c r="AJ173" s="201"/>
      <c r="AK173" s="201"/>
      <c r="AL173" s="201"/>
      <c r="AM173" s="201"/>
      <c r="AN173" s="201"/>
      <c r="AO173" s="201"/>
      <c r="AP173" s="201"/>
      <c r="AQ173" s="201"/>
      <c r="AR173" s="201"/>
      <c r="AS173" s="201"/>
      <c r="AT173" s="201"/>
      <c r="AU173" s="209"/>
      <c r="AV173" s="209"/>
      <c r="AW173" s="173"/>
      <c r="AX173" s="173"/>
      <c r="AY173" s="172"/>
      <c r="AZ173" s="172"/>
      <c r="BA173" s="177"/>
      <c r="BB173" s="173"/>
      <c r="BC173" s="173"/>
      <c r="BD173" s="173"/>
      <c r="BE173" s="173"/>
      <c r="BF173" s="173"/>
      <c r="BG173" s="173"/>
      <c r="BH173" s="173"/>
      <c r="BI173" s="177"/>
      <c r="BJ173" s="98"/>
      <c r="BK173" s="148"/>
      <c r="BL173" s="98"/>
      <c r="BM173" s="98"/>
      <c r="BN173" s="14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c r="CT173" s="98"/>
      <c r="CU173" s="98"/>
      <c r="CV173" s="98"/>
      <c r="CW173" s="98"/>
      <c r="CX173" s="98"/>
      <c r="CY173" s="98"/>
      <c r="CZ173" s="98"/>
      <c r="DA173" s="98"/>
      <c r="DB173" s="98"/>
      <c r="DC173" s="98"/>
      <c r="DD173" s="98"/>
      <c r="DE173" s="98"/>
      <c r="DF173" s="98"/>
      <c r="DG173" s="98"/>
      <c r="DH173" s="98"/>
      <c r="DI173" s="98"/>
      <c r="DJ173" s="98"/>
      <c r="DK173" s="98"/>
      <c r="DL173" s="98"/>
      <c r="DM173" s="98"/>
      <c r="DN173" s="98"/>
      <c r="DO173" s="98"/>
      <c r="DP173" s="98"/>
      <c r="DQ173" s="98"/>
      <c r="DR173" s="98"/>
      <c r="DS173" s="98"/>
      <c r="DT173" s="98"/>
      <c r="DU173" s="98"/>
      <c r="DV173" s="98"/>
      <c r="DW173" s="98"/>
      <c r="DX173" s="98"/>
      <c r="DY173" s="98"/>
      <c r="DZ173" s="98"/>
      <c r="EA173" s="98"/>
      <c r="EB173" s="98"/>
      <c r="EC173" s="98"/>
      <c r="ED173" s="98"/>
      <c r="EE173" s="98"/>
      <c r="EF173" s="98"/>
      <c r="EG173" s="98"/>
      <c r="EH173" s="98"/>
      <c r="EI173" s="98"/>
      <c r="EJ173" s="98"/>
      <c r="EK173" s="98"/>
      <c r="EL173" s="98"/>
      <c r="EM173" s="98"/>
      <c r="EN173" s="98"/>
      <c r="EO173" s="98"/>
      <c r="EP173" s="98"/>
      <c r="EQ173" s="98"/>
      <c r="ER173" s="98"/>
      <c r="ES173" s="98"/>
      <c r="ET173" s="98"/>
      <c r="EU173" s="98"/>
      <c r="EV173" s="98"/>
      <c r="EW173" s="98"/>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c r="IW173" s="98"/>
      <c r="IX173" s="98"/>
      <c r="IY173" s="98"/>
      <c r="IZ173" s="98"/>
      <c r="JA173" s="98"/>
      <c r="JB173" s="98"/>
      <c r="JC173" s="98"/>
      <c r="JD173" s="98"/>
      <c r="JE173" s="98"/>
      <c r="JF173" s="98"/>
      <c r="JG173" s="98"/>
      <c r="JH173" s="98"/>
      <c r="JI173" s="98"/>
      <c r="JJ173" s="98"/>
      <c r="JK173" s="98"/>
      <c r="JL173" s="98"/>
      <c r="JM173" s="98"/>
      <c r="JN173" s="98"/>
      <c r="JO173" s="98"/>
      <c r="JP173" s="98"/>
      <c r="JQ173" s="98"/>
      <c r="JR173" s="98"/>
      <c r="JS173" s="98"/>
      <c r="JT173" s="98"/>
      <c r="JU173" s="98"/>
      <c r="JV173" s="98"/>
      <c r="JW173" s="98"/>
      <c r="JX173" s="98"/>
      <c r="JY173" s="98"/>
      <c r="JZ173" s="98"/>
      <c r="KA173" s="98"/>
      <c r="KB173" s="98"/>
      <c r="KC173" s="98"/>
      <c r="KD173" s="98"/>
      <c r="KE173" s="98"/>
      <c r="KF173" s="98"/>
      <c r="KG173" s="98"/>
      <c r="KH173" s="98"/>
      <c r="KI173" s="98"/>
      <c r="KJ173" s="98"/>
      <c r="KK173" s="98"/>
      <c r="KL173" s="98"/>
      <c r="KM173" s="98"/>
      <c r="KN173" s="98"/>
      <c r="KO173" s="98"/>
      <c r="KP173" s="98"/>
      <c r="KQ173" s="98"/>
      <c r="KR173" s="98"/>
      <c r="KS173" s="98"/>
      <c r="KT173" s="98"/>
      <c r="KU173" s="98"/>
      <c r="KV173" s="98"/>
      <c r="KW173" s="98"/>
      <c r="KX173" s="98"/>
      <c r="KY173" s="98"/>
      <c r="KZ173" s="98"/>
      <c r="LA173" s="98"/>
      <c r="LB173" s="98"/>
      <c r="LC173" s="98"/>
      <c r="LD173" s="98"/>
      <c r="LE173" s="98"/>
      <c r="LF173" s="98"/>
      <c r="LG173" s="98"/>
      <c r="LH173" s="98"/>
      <c r="LI173" s="98"/>
      <c r="LJ173" s="98"/>
      <c r="LK173" s="98"/>
      <c r="LL173" s="98"/>
      <c r="LM173" s="98"/>
      <c r="LN173" s="98"/>
      <c r="LO173" s="98"/>
      <c r="LP173" s="98"/>
      <c r="LQ173" s="98"/>
      <c r="LR173" s="98"/>
      <c r="LS173" s="98"/>
      <c r="LT173" s="98"/>
      <c r="LU173" s="98"/>
      <c r="LV173" s="98"/>
      <c r="LW173" s="98"/>
      <c r="LX173" s="98"/>
      <c r="LY173" s="98"/>
      <c r="LZ173" s="98"/>
      <c r="MA173" s="98"/>
      <c r="MB173" s="98"/>
      <c r="MC173" s="98"/>
      <c r="MD173" s="98"/>
      <c r="ME173" s="98"/>
      <c r="MF173" s="98"/>
      <c r="MG173" s="98"/>
      <c r="MH173" s="98"/>
      <c r="MI173" s="98"/>
      <c r="MJ173" s="98"/>
      <c r="MK173" s="98"/>
      <c r="ML173" s="98"/>
      <c r="MM173" s="98"/>
      <c r="MN173" s="98"/>
      <c r="MO173" s="98"/>
      <c r="MP173" s="98"/>
      <c r="MQ173" s="98"/>
      <c r="MR173" s="98"/>
      <c r="MS173" s="98"/>
      <c r="MT173" s="98"/>
      <c r="MU173" s="98"/>
      <c r="MV173" s="98"/>
      <c r="MW173" s="98"/>
      <c r="MX173" s="98"/>
      <c r="MY173" s="98"/>
      <c r="MZ173" s="98"/>
      <c r="NA173" s="98"/>
      <c r="NB173" s="98"/>
      <c r="NC173" s="98"/>
      <c r="ND173" s="98"/>
      <c r="NE173" s="98"/>
      <c r="NF173" s="98"/>
      <c r="NG173" s="98"/>
      <c r="NH173" s="98"/>
      <c r="NI173" s="98"/>
      <c r="NJ173" s="98"/>
      <c r="NK173" s="98"/>
      <c r="NL173" s="98"/>
      <c r="NM173" s="98"/>
      <c r="NN173" s="98"/>
      <c r="NO173" s="98"/>
      <c r="NP173" s="98"/>
      <c r="NQ173" s="98"/>
      <c r="NR173" s="98"/>
      <c r="NS173" s="98"/>
      <c r="NT173" s="98"/>
      <c r="NU173" s="98"/>
      <c r="NV173" s="98"/>
      <c r="NW173" s="98"/>
      <c r="NX173" s="98"/>
      <c r="NY173" s="98"/>
      <c r="NZ173" s="98"/>
      <c r="OA173" s="98"/>
      <c r="OB173" s="98"/>
      <c r="OC173" s="98"/>
      <c r="OD173" s="98"/>
      <c r="OE173" s="98"/>
      <c r="OF173" s="98"/>
      <c r="OG173" s="98"/>
      <c r="OH173" s="98"/>
      <c r="OI173" s="98"/>
      <c r="OJ173" s="98"/>
      <c r="OK173" s="98"/>
      <c r="OL173" s="98"/>
      <c r="OM173" s="98"/>
      <c r="ON173" s="98"/>
      <c r="OO173" s="98"/>
      <c r="OP173" s="98"/>
      <c r="OQ173" s="98"/>
      <c r="OR173" s="98"/>
      <c r="OS173" s="98"/>
      <c r="OT173" s="98"/>
      <c r="OU173" s="98"/>
      <c r="OV173" s="98"/>
      <c r="OW173" s="98"/>
      <c r="OX173" s="98"/>
      <c r="OY173" s="98"/>
      <c r="OZ173" s="98"/>
      <c r="PA173" s="98"/>
      <c r="PB173" s="98"/>
      <c r="PC173" s="98"/>
      <c r="PD173" s="98"/>
      <c r="PE173" s="98"/>
      <c r="PF173" s="98"/>
      <c r="PG173" s="98"/>
      <c r="PH173" s="98"/>
      <c r="PI173" s="98"/>
      <c r="PJ173" s="98"/>
      <c r="PK173" s="98"/>
      <c r="PL173" s="98"/>
      <c r="PM173" s="98"/>
      <c r="PN173" s="98"/>
      <c r="PO173" s="98"/>
      <c r="PP173" s="98"/>
      <c r="PQ173" s="98"/>
      <c r="PR173" s="98"/>
      <c r="PS173" s="98"/>
      <c r="PT173" s="98"/>
      <c r="PU173" s="98"/>
      <c r="PV173" s="98"/>
      <c r="PW173" s="98"/>
      <c r="PX173" s="98"/>
      <c r="PY173" s="98"/>
      <c r="PZ173" s="98"/>
      <c r="QA173" s="98"/>
      <c r="QB173" s="98"/>
      <c r="QC173" s="98"/>
      <c r="QD173" s="98"/>
      <c r="QE173" s="98"/>
      <c r="QF173" s="98"/>
      <c r="QG173" s="98"/>
      <c r="QH173" s="98"/>
      <c r="QI173" s="98"/>
      <c r="QJ173" s="98"/>
      <c r="QK173" s="98"/>
      <c r="QL173" s="98"/>
      <c r="QM173" s="98"/>
      <c r="QN173" s="98"/>
      <c r="QO173" s="98"/>
      <c r="QP173" s="98"/>
      <c r="QQ173" s="98"/>
      <c r="QR173" s="98"/>
      <c r="QS173" s="98"/>
      <c r="QT173" s="98"/>
      <c r="QU173" s="98"/>
      <c r="QV173" s="98"/>
      <c r="QW173" s="98"/>
      <c r="QX173" s="98"/>
      <c r="QY173" s="98"/>
      <c r="QZ173" s="98"/>
      <c r="RA173" s="98"/>
      <c r="RB173" s="98"/>
      <c r="RC173" s="98"/>
      <c r="RD173" s="98"/>
      <c r="RE173" s="98"/>
      <c r="RF173" s="98"/>
      <c r="RG173" s="98"/>
      <c r="RH173" s="98"/>
      <c r="RI173" s="98"/>
      <c r="RJ173" s="98"/>
      <c r="RK173" s="98"/>
      <c r="RL173" s="98"/>
      <c r="RM173" s="98"/>
      <c r="RN173" s="98"/>
      <c r="RO173" s="98"/>
      <c r="RP173" s="98"/>
      <c r="RQ173" s="98"/>
      <c r="RR173" s="98"/>
      <c r="RS173" s="98"/>
      <c r="RT173" s="98"/>
      <c r="RU173" s="98"/>
      <c r="RV173" s="98"/>
      <c r="RW173" s="98"/>
      <c r="RX173" s="98"/>
      <c r="RY173" s="98"/>
      <c r="RZ173" s="98"/>
      <c r="SA173" s="98"/>
      <c r="SB173" s="98"/>
      <c r="SC173" s="98"/>
      <c r="SD173" s="98"/>
      <c r="SE173" s="98"/>
      <c r="SF173" s="98"/>
      <c r="SG173" s="98"/>
      <c r="SH173" s="98"/>
      <c r="SI173" s="98"/>
      <c r="SJ173" s="98"/>
      <c r="SK173" s="98"/>
      <c r="SL173" s="98"/>
      <c r="SM173" s="98"/>
      <c r="SN173" s="98"/>
      <c r="SO173" s="98"/>
      <c r="SP173" s="98"/>
      <c r="SQ173" s="98"/>
      <c r="SR173" s="98"/>
      <c r="SS173" s="98"/>
      <c r="ST173" s="98"/>
      <c r="SU173" s="98"/>
      <c r="SV173" s="98"/>
      <c r="SW173" s="98"/>
      <c r="SX173" s="98"/>
      <c r="SY173" s="98"/>
      <c r="SZ173" s="98"/>
      <c r="TA173" s="98"/>
      <c r="TB173" s="98"/>
      <c r="TC173" s="98"/>
      <c r="TD173" s="98"/>
      <c r="TE173" s="98"/>
      <c r="TF173" s="98"/>
      <c r="TG173" s="98"/>
      <c r="TH173" s="98"/>
      <c r="TI173" s="98"/>
      <c r="TJ173" s="98"/>
      <c r="TK173" s="98"/>
      <c r="TL173" s="98"/>
      <c r="TM173" s="98"/>
      <c r="TN173" s="98"/>
      <c r="TO173" s="98"/>
      <c r="TP173" s="98"/>
      <c r="TQ173" s="98"/>
      <c r="TR173" s="98"/>
      <c r="TS173" s="98"/>
      <c r="TT173" s="98"/>
      <c r="TU173" s="98"/>
      <c r="TV173" s="98"/>
      <c r="TW173" s="98"/>
      <c r="TX173" s="98"/>
      <c r="TY173" s="98"/>
      <c r="TZ173" s="98"/>
      <c r="UA173" s="98"/>
      <c r="UB173" s="98"/>
      <c r="UC173" s="98"/>
      <c r="UD173" s="98"/>
      <c r="UE173" s="98"/>
      <c r="UF173" s="98"/>
      <c r="UG173" s="98"/>
      <c r="UH173" s="98"/>
      <c r="UI173" s="98"/>
      <c r="UJ173" s="98"/>
      <c r="UK173" s="98"/>
      <c r="UL173" s="98"/>
      <c r="UM173" s="98"/>
      <c r="UN173" s="98"/>
      <c r="UO173" s="98"/>
      <c r="UP173" s="98"/>
      <c r="UQ173" s="98"/>
      <c r="UR173" s="98"/>
      <c r="US173" s="98"/>
      <c r="UT173" s="98"/>
      <c r="UU173" s="98"/>
      <c r="UV173" s="98"/>
      <c r="UW173" s="98"/>
      <c r="UX173" s="98"/>
      <c r="UY173" s="98"/>
      <c r="UZ173" s="98"/>
      <c r="VA173" s="98"/>
      <c r="VB173" s="98"/>
      <c r="VC173" s="98"/>
      <c r="VD173" s="98"/>
      <c r="VE173" s="98"/>
      <c r="VF173" s="98"/>
      <c r="VG173" s="98"/>
      <c r="VH173" s="98"/>
      <c r="VI173" s="98"/>
      <c r="VJ173" s="98"/>
      <c r="VK173" s="98"/>
      <c r="VL173" s="98"/>
      <c r="VM173" s="98"/>
      <c r="VN173" s="98"/>
      <c r="VO173" s="98"/>
      <c r="VP173" s="98"/>
      <c r="VQ173" s="98"/>
      <c r="VR173" s="98"/>
      <c r="VS173" s="98"/>
      <c r="VT173" s="98"/>
      <c r="VU173" s="98"/>
      <c r="VV173" s="98"/>
      <c r="VW173" s="98"/>
      <c r="VX173" s="98"/>
      <c r="VY173" s="98"/>
      <c r="VZ173" s="98"/>
      <c r="WA173" s="98"/>
      <c r="WB173" s="98"/>
      <c r="WC173" s="98"/>
      <c r="WD173" s="98"/>
      <c r="WE173" s="98"/>
      <c r="WF173" s="98"/>
      <c r="WG173" s="98"/>
      <c r="WH173" s="98"/>
      <c r="WI173" s="98"/>
      <c r="WJ173" s="98"/>
      <c r="WK173" s="98"/>
      <c r="WL173" s="98"/>
      <c r="WM173" s="98"/>
      <c r="WN173" s="98"/>
      <c r="WO173" s="98"/>
      <c r="WP173" s="98"/>
      <c r="WQ173" s="98"/>
      <c r="WR173" s="98"/>
      <c r="WS173" s="98"/>
      <c r="WT173" s="98"/>
      <c r="WU173" s="98"/>
      <c r="WV173" s="98"/>
      <c r="WW173" s="98"/>
      <c r="WX173" s="98"/>
      <c r="WY173" s="98"/>
      <c r="WZ173" s="98"/>
      <c r="XA173" s="98"/>
      <c r="XB173" s="98"/>
      <c r="XC173" s="98"/>
      <c r="XD173" s="98"/>
      <c r="XE173" s="98"/>
      <c r="XF173" s="98"/>
      <c r="XG173" s="98"/>
      <c r="XH173" s="98"/>
      <c r="XI173" s="98"/>
      <c r="XJ173" s="98"/>
      <c r="XK173" s="98"/>
      <c r="XL173" s="98"/>
      <c r="XM173" s="98"/>
      <c r="XN173" s="98"/>
      <c r="XO173" s="98"/>
      <c r="XP173" s="98"/>
      <c r="XQ173" s="98"/>
      <c r="XR173" s="98"/>
      <c r="XS173" s="98"/>
      <c r="XT173" s="98"/>
      <c r="XU173" s="98"/>
      <c r="XV173" s="98"/>
      <c r="XW173" s="98"/>
      <c r="XX173" s="98"/>
      <c r="XY173" s="98"/>
      <c r="XZ173" s="98"/>
      <c r="YA173" s="98"/>
      <c r="YB173" s="98"/>
      <c r="YC173" s="98"/>
      <c r="YD173" s="98"/>
      <c r="YE173" s="98"/>
      <c r="YF173" s="98"/>
      <c r="YG173" s="98"/>
      <c r="YH173" s="98"/>
      <c r="YI173" s="98"/>
      <c r="YJ173" s="98"/>
      <c r="YK173" s="98"/>
      <c r="YL173" s="98"/>
      <c r="YM173" s="98"/>
      <c r="YN173" s="98"/>
      <c r="YO173" s="98"/>
      <c r="YP173" s="98"/>
      <c r="YQ173" s="98"/>
      <c r="YR173" s="98"/>
      <c r="YS173" s="98"/>
      <c r="YT173" s="98"/>
      <c r="YU173" s="98"/>
      <c r="YV173" s="98"/>
      <c r="YW173" s="98"/>
      <c r="YX173" s="98"/>
      <c r="YY173" s="98"/>
      <c r="YZ173" s="98"/>
      <c r="ZA173" s="98"/>
      <c r="ZB173" s="98"/>
      <c r="ZC173" s="98"/>
      <c r="ZD173" s="98"/>
      <c r="ZE173" s="98"/>
      <c r="ZF173" s="98"/>
      <c r="ZG173" s="98"/>
      <c r="ZH173" s="98"/>
      <c r="ZI173" s="98"/>
      <c r="ZJ173" s="98"/>
      <c r="ZK173" s="98"/>
      <c r="ZL173" s="98"/>
      <c r="ZM173" s="98"/>
      <c r="ZN173" s="98"/>
      <c r="ZO173" s="98"/>
      <c r="ZP173" s="98"/>
      <c r="ZQ173" s="98"/>
      <c r="ZR173" s="98"/>
      <c r="ZS173" s="98"/>
      <c r="ZT173" s="98"/>
      <c r="ZU173" s="98"/>
      <c r="ZV173" s="98"/>
      <c r="ZW173" s="98"/>
      <c r="ZX173" s="98"/>
      <c r="ZY173" s="98"/>
      <c r="ZZ173" s="98"/>
      <c r="AAA173" s="98"/>
      <c r="AAB173" s="98"/>
      <c r="AAC173" s="98"/>
      <c r="AAD173" s="98"/>
      <c r="AAE173" s="98"/>
      <c r="AAF173" s="98"/>
      <c r="AAG173" s="98"/>
      <c r="AAH173" s="98"/>
      <c r="AAI173" s="98"/>
      <c r="AAJ173" s="98"/>
      <c r="AAK173" s="98"/>
      <c r="AAL173" s="98"/>
      <c r="AAM173" s="98"/>
      <c r="AAN173" s="98"/>
      <c r="AAO173" s="98"/>
      <c r="AAP173" s="98"/>
      <c r="AAQ173" s="98"/>
      <c r="AAR173" s="98"/>
      <c r="AAS173" s="98"/>
      <c r="AAT173" s="98"/>
      <c r="AAU173" s="98"/>
      <c r="AAV173" s="98"/>
      <c r="AAW173" s="98"/>
      <c r="AAX173" s="98"/>
      <c r="AAY173" s="98"/>
      <c r="AAZ173" s="98"/>
      <c r="ABA173" s="98"/>
      <c r="ABB173" s="98"/>
      <c r="ABC173" s="98"/>
      <c r="ABD173" s="98"/>
      <c r="ABE173" s="98"/>
      <c r="ABF173" s="98"/>
      <c r="ABG173" s="98"/>
      <c r="ABH173" s="98"/>
      <c r="ABI173" s="98"/>
      <c r="ABJ173" s="98"/>
      <c r="ABK173" s="98"/>
      <c r="ABL173" s="98"/>
      <c r="ABM173" s="98"/>
      <c r="ABN173" s="98"/>
      <c r="ABO173" s="98"/>
      <c r="ABP173" s="98"/>
      <c r="ABQ173" s="98"/>
      <c r="ABR173" s="98"/>
      <c r="ABS173" s="98"/>
      <c r="ABT173" s="98"/>
      <c r="ABU173" s="98"/>
      <c r="ABV173" s="98"/>
      <c r="ABW173" s="98"/>
      <c r="ABX173" s="98"/>
      <c r="ABY173" s="98"/>
      <c r="ABZ173" s="98"/>
      <c r="ACA173" s="98"/>
      <c r="ACB173" s="98"/>
      <c r="ACC173" s="98"/>
      <c r="ACD173" s="98"/>
      <c r="ACE173" s="98"/>
      <c r="ACF173" s="98"/>
      <c r="ACG173" s="98"/>
      <c r="ACH173" s="98"/>
      <c r="ACI173" s="98"/>
      <c r="ACJ173" s="98"/>
      <c r="ACK173" s="98"/>
      <c r="ACL173" s="98"/>
      <c r="ACM173" s="98"/>
      <c r="ACN173" s="98"/>
      <c r="ACO173" s="98"/>
      <c r="ACP173" s="98"/>
      <c r="ACQ173" s="98"/>
      <c r="ACR173" s="98"/>
      <c r="ACS173" s="98"/>
      <c r="ACT173" s="98"/>
      <c r="ACU173" s="98"/>
      <c r="ACV173" s="98"/>
      <c r="ACW173" s="98"/>
      <c r="ACX173" s="98"/>
      <c r="ACY173" s="98"/>
      <c r="ACZ173" s="98"/>
      <c r="ADA173" s="98"/>
      <c r="ADB173" s="98"/>
      <c r="ADC173" s="98"/>
      <c r="ADD173" s="98"/>
      <c r="ADE173" s="98"/>
      <c r="ADF173" s="98"/>
      <c r="ADG173" s="98"/>
      <c r="ADH173" s="98"/>
      <c r="ADI173" s="98"/>
      <c r="ADJ173" s="98"/>
      <c r="ADK173" s="98"/>
      <c r="ADL173" s="98"/>
      <c r="ADM173" s="98"/>
      <c r="ADN173" s="98"/>
      <c r="ADO173" s="98"/>
      <c r="ADP173" s="98"/>
      <c r="ADQ173" s="98"/>
      <c r="ADR173" s="98"/>
      <c r="ADS173" s="98"/>
      <c r="ADT173" s="98"/>
      <c r="ADU173" s="98"/>
      <c r="ADV173" s="98"/>
      <c r="ADW173" s="98"/>
      <c r="ADX173" s="98"/>
      <c r="ADY173" s="98"/>
      <c r="ADZ173" s="98"/>
      <c r="AEA173" s="98"/>
      <c r="AEB173" s="98"/>
      <c r="AEC173" s="98"/>
      <c r="AED173" s="98"/>
      <c r="AEE173" s="98"/>
      <c r="AEF173" s="98"/>
      <c r="AEG173" s="98"/>
      <c r="AEH173" s="98"/>
      <c r="AEI173" s="98"/>
      <c r="AEJ173" s="98"/>
      <c r="AEK173" s="98"/>
      <c r="AEL173" s="98"/>
      <c r="AEM173" s="98"/>
      <c r="AEN173" s="98"/>
      <c r="AEO173" s="98"/>
      <c r="AEP173" s="98"/>
      <c r="AEQ173" s="98"/>
      <c r="AER173" s="98"/>
      <c r="AES173" s="98"/>
      <c r="AET173" s="98"/>
      <c r="AEU173" s="98"/>
      <c r="AEV173" s="98"/>
      <c r="AEW173" s="98"/>
      <c r="AEX173" s="98"/>
      <c r="AEY173" s="98"/>
      <c r="AEZ173" s="98"/>
      <c r="AFA173" s="98"/>
      <c r="AFB173" s="98"/>
      <c r="AFC173" s="98"/>
      <c r="AFD173" s="98"/>
      <c r="AFE173" s="98"/>
      <c r="AFF173" s="98"/>
      <c r="AFG173" s="98"/>
      <c r="AFH173" s="98"/>
      <c r="AFI173" s="98"/>
      <c r="AFJ173" s="98"/>
      <c r="AFK173" s="98"/>
      <c r="AFL173" s="98"/>
      <c r="AFM173" s="98"/>
      <c r="AFN173" s="98"/>
      <c r="AFO173" s="98"/>
      <c r="AFP173" s="98"/>
      <c r="AFQ173" s="98"/>
      <c r="AFR173" s="98"/>
      <c r="AFS173" s="98"/>
      <c r="AFT173" s="98"/>
      <c r="AFU173" s="98"/>
      <c r="AFV173" s="98"/>
      <c r="AFW173" s="98"/>
      <c r="AFX173" s="98"/>
      <c r="AFY173" s="98"/>
      <c r="AFZ173" s="98"/>
      <c r="AGA173" s="98"/>
      <c r="AGB173" s="98"/>
      <c r="AGC173" s="98"/>
      <c r="AGD173" s="98"/>
      <c r="AGE173" s="98"/>
      <c r="AGF173" s="98"/>
      <c r="AGG173" s="98"/>
      <c r="AGH173" s="98"/>
      <c r="AGI173" s="98"/>
      <c r="AGJ173" s="98"/>
      <c r="AGK173" s="98"/>
      <c r="AGL173" s="98"/>
      <c r="AGM173" s="98"/>
      <c r="AGN173" s="98"/>
      <c r="AGO173" s="98"/>
      <c r="AGP173" s="98"/>
      <c r="AGQ173" s="98"/>
      <c r="AGR173" s="98"/>
      <c r="AGS173" s="98"/>
      <c r="AGT173" s="98"/>
      <c r="AGU173" s="98"/>
      <c r="AGV173" s="98"/>
      <c r="AGW173" s="98"/>
      <c r="AGX173" s="98"/>
      <c r="AGY173" s="98"/>
      <c r="AGZ173" s="98"/>
      <c r="AHA173" s="98"/>
      <c r="AHB173" s="98"/>
      <c r="AHC173" s="98"/>
      <c r="AHD173" s="98"/>
      <c r="AHE173" s="98"/>
      <c r="AHF173" s="98"/>
      <c r="AHG173" s="98"/>
      <c r="AHH173" s="98"/>
      <c r="AHI173" s="98"/>
      <c r="AHJ173" s="98"/>
      <c r="AHK173" s="98"/>
      <c r="AHL173" s="98"/>
      <c r="AHM173" s="98"/>
      <c r="AHN173" s="98"/>
      <c r="AHO173" s="98"/>
      <c r="AHP173" s="98"/>
      <c r="AHQ173" s="98"/>
      <c r="AHR173" s="98"/>
      <c r="AHS173" s="98"/>
      <c r="AHT173" s="98"/>
      <c r="AHU173" s="98"/>
      <c r="AHV173" s="98"/>
      <c r="AHW173" s="98"/>
      <c r="AHX173" s="98"/>
      <c r="AHY173" s="98"/>
      <c r="AHZ173" s="98"/>
      <c r="AIA173" s="98"/>
      <c r="AIB173" s="98"/>
      <c r="AIC173" s="98"/>
      <c r="AID173" s="98"/>
      <c r="AIE173" s="98"/>
      <c r="AIF173" s="98"/>
      <c r="AIG173" s="98"/>
      <c r="AIH173" s="98"/>
      <c r="AII173" s="98"/>
      <c r="AIJ173" s="98"/>
      <c r="AIK173" s="98"/>
      <c r="AIL173" s="98"/>
      <c r="AIM173" s="98"/>
      <c r="AIN173" s="98"/>
      <c r="AIO173" s="98"/>
      <c r="AIP173" s="98"/>
      <c r="AIQ173" s="98"/>
      <c r="AIR173" s="98"/>
      <c r="AIS173" s="98"/>
      <c r="AIT173" s="98"/>
      <c r="AIU173" s="98"/>
      <c r="AIV173" s="98"/>
      <c r="AIW173" s="98"/>
      <c r="AIX173" s="98"/>
      <c r="AIY173" s="98"/>
      <c r="AIZ173" s="98"/>
      <c r="AJA173" s="98"/>
      <c r="AJB173" s="98"/>
      <c r="AJC173" s="98"/>
      <c r="AJD173" s="98"/>
      <c r="AJE173" s="98"/>
      <c r="AJF173" s="98"/>
      <c r="AJG173" s="98"/>
      <c r="AJH173" s="98"/>
      <c r="AJI173" s="98"/>
      <c r="AJJ173" s="98"/>
      <c r="AJK173" s="98"/>
      <c r="AJL173" s="98"/>
      <c r="AJM173" s="98"/>
      <c r="AJN173" s="98"/>
      <c r="AJO173" s="98"/>
      <c r="AJP173" s="98"/>
      <c r="AJQ173" s="98"/>
      <c r="AJR173" s="98"/>
      <c r="AJS173" s="98"/>
      <c r="AJT173" s="98"/>
      <c r="AJU173" s="98"/>
      <c r="AJV173" s="98"/>
      <c r="AJW173" s="98"/>
      <c r="AJX173" s="98"/>
      <c r="AJY173" s="98"/>
      <c r="AJZ173" s="98"/>
      <c r="AKA173" s="98"/>
      <c r="AKB173" s="98"/>
      <c r="AKC173" s="98"/>
      <c r="AKD173" s="98"/>
      <c r="AKE173" s="98"/>
      <c r="AKF173" s="98"/>
      <c r="AKG173" s="98"/>
      <c r="AKH173" s="98"/>
      <c r="AKI173" s="98"/>
      <c r="AKJ173" s="98"/>
      <c r="AKK173" s="98"/>
      <c r="AKL173" s="98"/>
      <c r="AKM173" s="98"/>
      <c r="AKN173" s="98"/>
      <c r="AKO173" s="98"/>
      <c r="AKP173" s="98"/>
      <c r="AKQ173" s="98"/>
      <c r="AKR173" s="98"/>
      <c r="AKS173" s="98"/>
      <c r="AKT173" s="98"/>
      <c r="AKU173" s="98"/>
      <c r="AKV173" s="98"/>
      <c r="AKW173" s="98"/>
      <c r="AKX173" s="98"/>
      <c r="AKY173" s="98"/>
      <c r="AKZ173" s="98"/>
      <c r="ALA173" s="98"/>
      <c r="ALB173" s="98"/>
      <c r="ALC173" s="98"/>
      <c r="ALD173" s="98"/>
      <c r="ALE173" s="98"/>
      <c r="ALF173" s="98"/>
      <c r="ALG173" s="98"/>
      <c r="ALH173" s="98"/>
      <c r="ALI173" s="98"/>
      <c r="ALJ173" s="98"/>
      <c r="ALK173" s="98"/>
      <c r="ALL173" s="98"/>
      <c r="ALM173" s="98"/>
      <c r="ALN173" s="98"/>
      <c r="ALO173" s="98"/>
      <c r="ALP173" s="98"/>
      <c r="ALQ173" s="98"/>
      <c r="ALR173" s="98"/>
      <c r="ALS173" s="98"/>
      <c r="ALT173" s="98"/>
      <c r="ALU173" s="98"/>
      <c r="ALV173" s="98"/>
      <c r="ALW173" s="98"/>
      <c r="ALX173" s="98"/>
      <c r="ALY173" s="98"/>
      <c r="ALZ173" s="98"/>
      <c r="AMA173" s="98"/>
      <c r="AMB173" s="98"/>
      <c r="AMC173" s="98"/>
      <c r="AMD173" s="98"/>
      <c r="AME173" s="98"/>
      <c r="AMF173" s="98"/>
      <c r="AMG173" s="98"/>
      <c r="AMH173" s="98"/>
      <c r="AMI173" s="98"/>
      <c r="AMJ173" s="98"/>
      <c r="AMK173" s="98"/>
      <c r="AML173" s="98"/>
      <c r="AMM173" s="98"/>
      <c r="AMN173" s="98"/>
      <c r="AMO173" s="98"/>
      <c r="AMP173" s="98"/>
      <c r="AMQ173" s="98"/>
      <c r="AMR173" s="98"/>
      <c r="AMS173" s="98"/>
      <c r="AMT173" s="98"/>
      <c r="AMU173" s="98"/>
      <c r="AMV173" s="98"/>
      <c r="AMW173" s="98"/>
      <c r="AMX173" s="98"/>
      <c r="AMY173" s="98"/>
      <c r="AMZ173" s="98"/>
      <c r="ANA173" s="98"/>
      <c r="ANB173" s="98"/>
      <c r="ANC173" s="98"/>
      <c r="AND173" s="98"/>
      <c r="ANE173" s="98"/>
      <c r="ANF173" s="98"/>
      <c r="ANG173" s="98"/>
      <c r="ANH173" s="98"/>
      <c r="ANI173" s="98"/>
      <c r="ANJ173" s="98"/>
      <c r="ANK173" s="98"/>
      <c r="ANL173" s="98"/>
      <c r="ANM173" s="98"/>
      <c r="ANN173" s="98"/>
      <c r="ANO173" s="98"/>
      <c r="ANP173" s="98"/>
      <c r="ANQ173" s="98"/>
      <c r="ANR173" s="98"/>
      <c r="ANS173" s="98"/>
      <c r="ANT173" s="98"/>
      <c r="ANU173" s="98"/>
      <c r="ANV173" s="98"/>
      <c r="ANW173" s="98"/>
      <c r="ANX173" s="98"/>
      <c r="ANY173" s="98"/>
      <c r="ANZ173" s="98"/>
      <c r="AOA173" s="98"/>
      <c r="AOB173" s="98"/>
      <c r="AOC173" s="98"/>
      <c r="AOD173" s="98"/>
      <c r="AOE173" s="98"/>
      <c r="AOF173" s="98"/>
      <c r="AOG173" s="98"/>
      <c r="AOH173" s="98"/>
      <c r="AOI173" s="98"/>
      <c r="AOJ173" s="98"/>
      <c r="AOK173" s="98"/>
      <c r="AOL173" s="98"/>
      <c r="AOM173" s="98"/>
      <c r="AON173" s="98"/>
      <c r="AOO173" s="98"/>
      <c r="AOP173" s="98"/>
      <c r="AOQ173" s="98"/>
      <c r="AOR173" s="98"/>
      <c r="AOS173" s="98"/>
      <c r="AOT173" s="98"/>
      <c r="AOU173" s="98"/>
      <c r="AOV173" s="98"/>
      <c r="AOW173" s="98"/>
      <c r="AOX173" s="98"/>
      <c r="AOY173" s="98"/>
      <c r="AOZ173" s="98"/>
      <c r="APA173" s="98"/>
      <c r="APB173" s="98"/>
      <c r="APC173" s="98"/>
      <c r="APD173" s="98"/>
      <c r="APE173" s="98"/>
      <c r="APF173" s="98"/>
      <c r="APG173" s="98"/>
      <c r="APH173" s="98"/>
      <c r="API173" s="98"/>
      <c r="APJ173" s="98"/>
      <c r="APK173" s="98"/>
      <c r="APL173" s="98"/>
      <c r="APM173" s="98"/>
      <c r="APN173" s="98"/>
      <c r="APO173" s="98"/>
      <c r="APP173" s="98"/>
      <c r="APQ173" s="98"/>
      <c r="APR173" s="98"/>
      <c r="APS173" s="98"/>
      <c r="APT173" s="98"/>
      <c r="APU173" s="98"/>
      <c r="APV173" s="98"/>
      <c r="APW173" s="98"/>
      <c r="APX173" s="98"/>
      <c r="APY173" s="98"/>
      <c r="APZ173" s="98"/>
      <c r="AQA173" s="98"/>
      <c r="AQB173" s="98"/>
      <c r="AQC173" s="98"/>
      <c r="AQD173" s="98"/>
      <c r="AQE173" s="98"/>
      <c r="AQF173" s="98"/>
      <c r="AQG173" s="98"/>
      <c r="AQH173" s="98"/>
      <c r="AQI173" s="98"/>
      <c r="AQJ173" s="98"/>
      <c r="AQK173" s="98"/>
      <c r="AQL173" s="98"/>
      <c r="AQM173" s="98"/>
      <c r="AQN173" s="98"/>
      <c r="AQO173" s="98"/>
      <c r="AQP173" s="98"/>
      <c r="AQQ173" s="98"/>
      <c r="AQR173" s="98"/>
      <c r="AQS173" s="98"/>
      <c r="AQT173" s="98"/>
      <c r="AQU173" s="98"/>
      <c r="AQV173" s="98"/>
      <c r="AQW173" s="98"/>
      <c r="AQX173" s="98"/>
      <c r="AQY173" s="98"/>
      <c r="AQZ173" s="98"/>
      <c r="ARA173" s="98"/>
      <c r="ARB173" s="98"/>
      <c r="ARC173" s="98"/>
      <c r="ARD173" s="98"/>
      <c r="ARE173" s="98"/>
      <c r="ARF173" s="98"/>
      <c r="ARG173" s="98"/>
      <c r="ARH173" s="98"/>
      <c r="ARI173" s="98"/>
      <c r="ARJ173" s="98"/>
      <c r="ARK173" s="98"/>
      <c r="ARL173" s="98"/>
      <c r="ARM173" s="98"/>
      <c r="ARN173" s="98"/>
      <c r="ARO173" s="98"/>
      <c r="ARP173" s="98"/>
      <c r="ARQ173" s="98"/>
      <c r="ARR173" s="98"/>
      <c r="ARS173" s="98"/>
    </row>
    <row r="174" spans="1:1163" s="174" customFormat="1">
      <c r="A174" s="140" t="s">
        <v>62</v>
      </c>
      <c r="B174" s="119" t="s">
        <v>192</v>
      </c>
      <c r="C174" s="175">
        <v>38667</v>
      </c>
      <c r="D174" s="175">
        <v>1150798</v>
      </c>
      <c r="E174" s="175">
        <v>2435</v>
      </c>
      <c r="F174" s="175">
        <v>310780</v>
      </c>
      <c r="G174" s="175">
        <v>2630</v>
      </c>
      <c r="H174" s="175">
        <v>355899</v>
      </c>
      <c r="I174" s="175">
        <f>2750+658</f>
        <v>3408</v>
      </c>
      <c r="J174" s="175">
        <v>518900</v>
      </c>
      <c r="K174" s="175">
        <f>SUM(979+2191)*1.28311707</f>
        <v>4067.4811119000001</v>
      </c>
      <c r="L174" s="175">
        <v>715898</v>
      </c>
      <c r="M174" s="175">
        <f>SUM(872+2062+19271)*1.28311707</f>
        <v>28491.614539350001</v>
      </c>
      <c r="N174" s="175">
        <v>5558723</v>
      </c>
      <c r="O174" s="175">
        <f>209264*1.28311707</f>
        <v>268510.21053648001</v>
      </c>
      <c r="P174" s="175">
        <v>64885784</v>
      </c>
      <c r="Q174" s="175">
        <f>329396*1.28311707</f>
        <v>422653.63038972003</v>
      </c>
      <c r="R174" s="175">
        <v>58584914</v>
      </c>
      <c r="S174" s="175">
        <v>921912</v>
      </c>
      <c r="T174" s="175">
        <v>135427471</v>
      </c>
      <c r="U174" s="197">
        <v>1129983</v>
      </c>
      <c r="V174" s="197">
        <v>146254032</v>
      </c>
      <c r="W174" s="197">
        <v>1353197</v>
      </c>
      <c r="X174" s="197">
        <v>197155951</v>
      </c>
      <c r="Y174" s="197">
        <v>1719444</v>
      </c>
      <c r="Z174" s="197">
        <v>333903937</v>
      </c>
      <c r="AA174" s="209">
        <v>1869768</v>
      </c>
      <c r="AB174" s="209">
        <v>313744896</v>
      </c>
      <c r="AC174" s="175">
        <v>2060353</v>
      </c>
      <c r="AD174" s="175">
        <v>366702321</v>
      </c>
      <c r="AE174" s="201">
        <v>2168549</v>
      </c>
      <c r="AF174" s="201">
        <v>359859020</v>
      </c>
      <c r="AG174" s="201">
        <v>2341459</v>
      </c>
      <c r="AH174" s="201">
        <v>331191631</v>
      </c>
      <c r="AI174" s="201">
        <v>3828078</v>
      </c>
      <c r="AJ174" s="201">
        <v>564909332</v>
      </c>
      <c r="AK174" s="201">
        <v>4965927</v>
      </c>
      <c r="AL174" s="201">
        <v>773723615</v>
      </c>
      <c r="AM174" s="176">
        <v>6436741</v>
      </c>
      <c r="AN174" s="176">
        <v>1103314266</v>
      </c>
      <c r="AO174" s="201">
        <v>6406169</v>
      </c>
      <c r="AP174" s="201">
        <v>887059959</v>
      </c>
      <c r="AQ174" s="201">
        <v>5565129</v>
      </c>
      <c r="AR174" s="201">
        <v>1013297673.5700001</v>
      </c>
      <c r="AS174" s="201">
        <v>6196347</v>
      </c>
      <c r="AT174" s="201">
        <v>1946370988</v>
      </c>
      <c r="AU174" s="209">
        <v>6015068</v>
      </c>
      <c r="AV174" s="209">
        <v>1787908337</v>
      </c>
      <c r="AW174" s="197">
        <v>6878561</v>
      </c>
      <c r="AX174" s="197">
        <v>1928576225</v>
      </c>
      <c r="AY174" s="197">
        <v>6393743</v>
      </c>
      <c r="AZ174" s="197">
        <v>1765463476</v>
      </c>
      <c r="BA174" s="177"/>
      <c r="BB174" s="197"/>
      <c r="BC174" s="197"/>
      <c r="BD174" s="197"/>
      <c r="BE174" s="178"/>
      <c r="BF174" s="197"/>
      <c r="BG174" s="197"/>
      <c r="BH174" s="197"/>
      <c r="BI174" s="178"/>
      <c r="BJ174" s="98"/>
      <c r="BK174" s="148"/>
      <c r="BL174" s="148"/>
      <c r="BM174" s="148"/>
      <c r="BN174" s="14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c r="DF174" s="98"/>
      <c r="DG174" s="98"/>
      <c r="DH174" s="98"/>
      <c r="DI174" s="98"/>
      <c r="DJ174" s="98"/>
      <c r="DK174" s="98"/>
      <c r="DL174" s="98"/>
      <c r="DM174" s="98"/>
      <c r="DN174" s="98"/>
      <c r="DO174" s="98"/>
      <c r="DP174" s="98"/>
      <c r="DQ174" s="98"/>
      <c r="DR174" s="98"/>
      <c r="DS174" s="98"/>
      <c r="DT174" s="98"/>
      <c r="DU174" s="98"/>
      <c r="DV174" s="98"/>
      <c r="DW174" s="98"/>
      <c r="DX174" s="98"/>
      <c r="DY174" s="98"/>
      <c r="DZ174" s="98"/>
      <c r="EA174" s="98"/>
      <c r="EB174" s="98"/>
      <c r="EC174" s="98"/>
      <c r="ED174" s="98"/>
      <c r="EE174" s="98"/>
      <c r="EF174" s="98"/>
      <c r="EG174" s="98"/>
      <c r="EH174" s="98"/>
      <c r="EI174" s="98"/>
      <c r="EJ174" s="98"/>
      <c r="EK174" s="98"/>
      <c r="EL174" s="98"/>
      <c r="EM174" s="98"/>
      <c r="EN174" s="98"/>
      <c r="EO174" s="98"/>
      <c r="EP174" s="98"/>
      <c r="EQ174" s="98"/>
      <c r="ER174" s="98"/>
      <c r="ES174" s="98"/>
      <c r="ET174" s="98"/>
      <c r="EU174" s="98"/>
      <c r="EV174" s="98"/>
      <c r="EW174" s="98"/>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c r="IW174" s="98"/>
      <c r="IX174" s="98"/>
      <c r="IY174" s="98"/>
      <c r="IZ174" s="98"/>
      <c r="JA174" s="98"/>
      <c r="JB174" s="98"/>
      <c r="JC174" s="98"/>
      <c r="JD174" s="98"/>
      <c r="JE174" s="98"/>
      <c r="JF174" s="98"/>
      <c r="JG174" s="98"/>
      <c r="JH174" s="98"/>
      <c r="JI174" s="98"/>
      <c r="JJ174" s="98"/>
      <c r="JK174" s="98"/>
      <c r="JL174" s="98"/>
      <c r="JM174" s="98"/>
      <c r="JN174" s="98"/>
      <c r="JO174" s="98"/>
      <c r="JP174" s="98"/>
      <c r="JQ174" s="98"/>
      <c r="JR174" s="98"/>
      <c r="JS174" s="98"/>
      <c r="JT174" s="98"/>
      <c r="JU174" s="98"/>
      <c r="JV174" s="98"/>
      <c r="JW174" s="98"/>
      <c r="JX174" s="98"/>
      <c r="JY174" s="98"/>
      <c r="JZ174" s="98"/>
      <c r="KA174" s="98"/>
      <c r="KB174" s="98"/>
      <c r="KC174" s="98"/>
      <c r="KD174" s="98"/>
      <c r="KE174" s="98"/>
      <c r="KF174" s="98"/>
      <c r="KG174" s="98"/>
      <c r="KH174" s="98"/>
      <c r="KI174" s="98"/>
      <c r="KJ174" s="98"/>
      <c r="KK174" s="98"/>
      <c r="KL174" s="98"/>
      <c r="KM174" s="98"/>
      <c r="KN174" s="98"/>
      <c r="KO174" s="98"/>
      <c r="KP174" s="98"/>
      <c r="KQ174" s="98"/>
      <c r="KR174" s="98"/>
      <c r="KS174" s="98"/>
      <c r="KT174" s="98"/>
      <c r="KU174" s="98"/>
      <c r="KV174" s="98"/>
      <c r="KW174" s="98"/>
      <c r="KX174" s="98"/>
      <c r="KY174" s="98"/>
      <c r="KZ174" s="98"/>
      <c r="LA174" s="98"/>
      <c r="LB174" s="98"/>
      <c r="LC174" s="98"/>
      <c r="LD174" s="98"/>
      <c r="LE174" s="98"/>
      <c r="LF174" s="98"/>
      <c r="LG174" s="98"/>
      <c r="LH174" s="98"/>
      <c r="LI174" s="98"/>
      <c r="LJ174" s="98"/>
      <c r="LK174" s="98"/>
      <c r="LL174" s="98"/>
      <c r="LM174" s="98"/>
      <c r="LN174" s="98"/>
      <c r="LO174" s="98"/>
      <c r="LP174" s="98"/>
      <c r="LQ174" s="98"/>
      <c r="LR174" s="98"/>
      <c r="LS174" s="98"/>
      <c r="LT174" s="98"/>
      <c r="LU174" s="98"/>
      <c r="LV174" s="98"/>
      <c r="LW174" s="98"/>
      <c r="LX174" s="98"/>
      <c r="LY174" s="98"/>
      <c r="LZ174" s="98"/>
      <c r="MA174" s="98"/>
      <c r="MB174" s="98"/>
      <c r="MC174" s="98"/>
      <c r="MD174" s="98"/>
      <c r="ME174" s="98"/>
      <c r="MF174" s="98"/>
      <c r="MG174" s="98"/>
      <c r="MH174" s="98"/>
      <c r="MI174" s="98"/>
      <c r="MJ174" s="98"/>
      <c r="MK174" s="98"/>
      <c r="ML174" s="98"/>
      <c r="MM174" s="98"/>
      <c r="MN174" s="98"/>
      <c r="MO174" s="98"/>
      <c r="MP174" s="98"/>
      <c r="MQ174" s="98"/>
      <c r="MR174" s="98"/>
      <c r="MS174" s="98"/>
      <c r="MT174" s="98"/>
      <c r="MU174" s="98"/>
      <c r="MV174" s="98"/>
      <c r="MW174" s="98"/>
      <c r="MX174" s="98"/>
      <c r="MY174" s="98"/>
      <c r="MZ174" s="98"/>
      <c r="NA174" s="98"/>
      <c r="NB174" s="98"/>
      <c r="NC174" s="98"/>
      <c r="ND174" s="98"/>
      <c r="NE174" s="98"/>
      <c r="NF174" s="98"/>
      <c r="NG174" s="98"/>
      <c r="NH174" s="98"/>
      <c r="NI174" s="98"/>
      <c r="NJ174" s="98"/>
      <c r="NK174" s="98"/>
      <c r="NL174" s="98"/>
      <c r="NM174" s="98"/>
      <c r="NN174" s="98"/>
      <c r="NO174" s="98"/>
      <c r="NP174" s="98"/>
      <c r="NQ174" s="98"/>
      <c r="NR174" s="98"/>
      <c r="NS174" s="98"/>
      <c r="NT174" s="98"/>
      <c r="NU174" s="98"/>
      <c r="NV174" s="98"/>
      <c r="NW174" s="98"/>
      <c r="NX174" s="98"/>
      <c r="NY174" s="98"/>
      <c r="NZ174" s="98"/>
      <c r="OA174" s="98"/>
      <c r="OB174" s="98"/>
      <c r="OC174" s="98"/>
      <c r="OD174" s="98"/>
      <c r="OE174" s="98"/>
      <c r="OF174" s="98"/>
      <c r="OG174" s="98"/>
      <c r="OH174" s="98"/>
      <c r="OI174" s="98"/>
      <c r="OJ174" s="98"/>
      <c r="OK174" s="98"/>
      <c r="OL174" s="98"/>
      <c r="OM174" s="98"/>
      <c r="ON174" s="98"/>
      <c r="OO174" s="98"/>
      <c r="OP174" s="98"/>
      <c r="OQ174" s="98"/>
      <c r="OR174" s="98"/>
      <c r="OS174" s="98"/>
      <c r="OT174" s="98"/>
      <c r="OU174" s="98"/>
      <c r="OV174" s="98"/>
      <c r="OW174" s="98"/>
      <c r="OX174" s="98"/>
      <c r="OY174" s="98"/>
      <c r="OZ174" s="98"/>
      <c r="PA174" s="98"/>
      <c r="PB174" s="98"/>
      <c r="PC174" s="98"/>
      <c r="PD174" s="98"/>
      <c r="PE174" s="98"/>
      <c r="PF174" s="98"/>
      <c r="PG174" s="98"/>
      <c r="PH174" s="98"/>
      <c r="PI174" s="98"/>
      <c r="PJ174" s="98"/>
      <c r="PK174" s="98"/>
      <c r="PL174" s="98"/>
      <c r="PM174" s="98"/>
      <c r="PN174" s="98"/>
      <c r="PO174" s="98"/>
      <c r="PP174" s="98"/>
      <c r="PQ174" s="98"/>
      <c r="PR174" s="98"/>
      <c r="PS174" s="98"/>
      <c r="PT174" s="98"/>
      <c r="PU174" s="98"/>
      <c r="PV174" s="98"/>
      <c r="PW174" s="98"/>
      <c r="PX174" s="98"/>
      <c r="PY174" s="98"/>
      <c r="PZ174" s="98"/>
      <c r="QA174" s="98"/>
      <c r="QB174" s="98"/>
      <c r="QC174" s="98"/>
      <c r="QD174" s="98"/>
      <c r="QE174" s="98"/>
      <c r="QF174" s="98"/>
      <c r="QG174" s="98"/>
      <c r="QH174" s="98"/>
      <c r="QI174" s="98"/>
      <c r="QJ174" s="98"/>
      <c r="QK174" s="98"/>
      <c r="QL174" s="98"/>
      <c r="QM174" s="98"/>
      <c r="QN174" s="98"/>
      <c r="QO174" s="98"/>
      <c r="QP174" s="98"/>
      <c r="QQ174" s="98"/>
      <c r="QR174" s="98"/>
      <c r="QS174" s="98"/>
      <c r="QT174" s="98"/>
      <c r="QU174" s="98"/>
      <c r="QV174" s="98"/>
      <c r="QW174" s="98"/>
      <c r="QX174" s="98"/>
      <c r="QY174" s="98"/>
      <c r="QZ174" s="98"/>
      <c r="RA174" s="98"/>
      <c r="RB174" s="98"/>
      <c r="RC174" s="98"/>
      <c r="RD174" s="98"/>
      <c r="RE174" s="98"/>
      <c r="RF174" s="98"/>
      <c r="RG174" s="98"/>
      <c r="RH174" s="98"/>
      <c r="RI174" s="98"/>
      <c r="RJ174" s="98"/>
      <c r="RK174" s="98"/>
      <c r="RL174" s="98"/>
      <c r="RM174" s="98"/>
      <c r="RN174" s="98"/>
      <c r="RO174" s="98"/>
      <c r="RP174" s="98"/>
      <c r="RQ174" s="98"/>
      <c r="RR174" s="98"/>
      <c r="RS174" s="98"/>
      <c r="RT174" s="98"/>
      <c r="RU174" s="98"/>
      <c r="RV174" s="98"/>
      <c r="RW174" s="98"/>
      <c r="RX174" s="98"/>
      <c r="RY174" s="98"/>
      <c r="RZ174" s="98"/>
      <c r="SA174" s="98"/>
      <c r="SB174" s="98"/>
      <c r="SC174" s="98"/>
      <c r="SD174" s="98"/>
      <c r="SE174" s="98"/>
      <c r="SF174" s="98"/>
      <c r="SG174" s="98"/>
      <c r="SH174" s="98"/>
      <c r="SI174" s="98"/>
      <c r="SJ174" s="98"/>
      <c r="SK174" s="98"/>
      <c r="SL174" s="98"/>
      <c r="SM174" s="98"/>
      <c r="SN174" s="98"/>
      <c r="SO174" s="98"/>
      <c r="SP174" s="98"/>
      <c r="SQ174" s="98"/>
      <c r="SR174" s="98"/>
      <c r="SS174" s="98"/>
      <c r="ST174" s="98"/>
      <c r="SU174" s="98"/>
      <c r="SV174" s="98"/>
      <c r="SW174" s="98"/>
      <c r="SX174" s="98"/>
      <c r="SY174" s="98"/>
      <c r="SZ174" s="98"/>
      <c r="TA174" s="98"/>
      <c r="TB174" s="98"/>
      <c r="TC174" s="98"/>
      <c r="TD174" s="98"/>
      <c r="TE174" s="98"/>
      <c r="TF174" s="98"/>
      <c r="TG174" s="98"/>
      <c r="TH174" s="98"/>
      <c r="TI174" s="98"/>
      <c r="TJ174" s="98"/>
      <c r="TK174" s="98"/>
      <c r="TL174" s="98"/>
      <c r="TM174" s="98"/>
      <c r="TN174" s="98"/>
      <c r="TO174" s="98"/>
      <c r="TP174" s="98"/>
      <c r="TQ174" s="98"/>
      <c r="TR174" s="98"/>
      <c r="TS174" s="98"/>
      <c r="TT174" s="98"/>
      <c r="TU174" s="98"/>
      <c r="TV174" s="98"/>
      <c r="TW174" s="98"/>
      <c r="TX174" s="98"/>
      <c r="TY174" s="98"/>
      <c r="TZ174" s="98"/>
      <c r="UA174" s="98"/>
      <c r="UB174" s="98"/>
      <c r="UC174" s="98"/>
      <c r="UD174" s="98"/>
      <c r="UE174" s="98"/>
      <c r="UF174" s="98"/>
      <c r="UG174" s="98"/>
      <c r="UH174" s="98"/>
      <c r="UI174" s="98"/>
      <c r="UJ174" s="98"/>
      <c r="UK174" s="98"/>
      <c r="UL174" s="98"/>
      <c r="UM174" s="98"/>
      <c r="UN174" s="98"/>
      <c r="UO174" s="98"/>
      <c r="UP174" s="98"/>
      <c r="UQ174" s="98"/>
      <c r="UR174" s="98"/>
      <c r="US174" s="98"/>
      <c r="UT174" s="98"/>
      <c r="UU174" s="98"/>
      <c r="UV174" s="98"/>
      <c r="UW174" s="98"/>
      <c r="UX174" s="98"/>
      <c r="UY174" s="98"/>
      <c r="UZ174" s="98"/>
      <c r="VA174" s="98"/>
      <c r="VB174" s="98"/>
      <c r="VC174" s="98"/>
      <c r="VD174" s="98"/>
      <c r="VE174" s="98"/>
      <c r="VF174" s="98"/>
      <c r="VG174" s="98"/>
      <c r="VH174" s="98"/>
      <c r="VI174" s="98"/>
      <c r="VJ174" s="98"/>
      <c r="VK174" s="98"/>
      <c r="VL174" s="98"/>
      <c r="VM174" s="98"/>
      <c r="VN174" s="98"/>
      <c r="VO174" s="98"/>
      <c r="VP174" s="98"/>
      <c r="VQ174" s="98"/>
      <c r="VR174" s="98"/>
      <c r="VS174" s="98"/>
      <c r="VT174" s="98"/>
      <c r="VU174" s="98"/>
      <c r="VV174" s="98"/>
      <c r="VW174" s="98"/>
      <c r="VX174" s="98"/>
      <c r="VY174" s="98"/>
      <c r="VZ174" s="98"/>
      <c r="WA174" s="98"/>
      <c r="WB174" s="98"/>
      <c r="WC174" s="98"/>
      <c r="WD174" s="98"/>
      <c r="WE174" s="98"/>
      <c r="WF174" s="98"/>
      <c r="WG174" s="98"/>
      <c r="WH174" s="98"/>
      <c r="WI174" s="98"/>
      <c r="WJ174" s="98"/>
      <c r="WK174" s="98"/>
      <c r="WL174" s="98"/>
      <c r="WM174" s="98"/>
      <c r="WN174" s="98"/>
      <c r="WO174" s="98"/>
      <c r="WP174" s="98"/>
      <c r="WQ174" s="98"/>
      <c r="WR174" s="98"/>
      <c r="WS174" s="98"/>
      <c r="WT174" s="98"/>
      <c r="WU174" s="98"/>
      <c r="WV174" s="98"/>
      <c r="WW174" s="98"/>
      <c r="WX174" s="98"/>
      <c r="WY174" s="98"/>
      <c r="WZ174" s="98"/>
      <c r="XA174" s="98"/>
      <c r="XB174" s="98"/>
      <c r="XC174" s="98"/>
      <c r="XD174" s="98"/>
      <c r="XE174" s="98"/>
      <c r="XF174" s="98"/>
      <c r="XG174" s="98"/>
      <c r="XH174" s="98"/>
      <c r="XI174" s="98"/>
      <c r="XJ174" s="98"/>
      <c r="XK174" s="98"/>
      <c r="XL174" s="98"/>
      <c r="XM174" s="98"/>
      <c r="XN174" s="98"/>
      <c r="XO174" s="98"/>
      <c r="XP174" s="98"/>
      <c r="XQ174" s="98"/>
      <c r="XR174" s="98"/>
      <c r="XS174" s="98"/>
      <c r="XT174" s="98"/>
      <c r="XU174" s="98"/>
      <c r="XV174" s="98"/>
      <c r="XW174" s="98"/>
      <c r="XX174" s="98"/>
      <c r="XY174" s="98"/>
      <c r="XZ174" s="98"/>
      <c r="YA174" s="98"/>
      <c r="YB174" s="98"/>
      <c r="YC174" s="98"/>
      <c r="YD174" s="98"/>
      <c r="YE174" s="98"/>
      <c r="YF174" s="98"/>
      <c r="YG174" s="98"/>
      <c r="YH174" s="98"/>
      <c r="YI174" s="98"/>
      <c r="YJ174" s="98"/>
      <c r="YK174" s="98"/>
      <c r="YL174" s="98"/>
      <c r="YM174" s="98"/>
      <c r="YN174" s="98"/>
      <c r="YO174" s="98"/>
      <c r="YP174" s="98"/>
      <c r="YQ174" s="98"/>
      <c r="YR174" s="98"/>
      <c r="YS174" s="98"/>
      <c r="YT174" s="98"/>
      <c r="YU174" s="98"/>
      <c r="YV174" s="98"/>
      <c r="YW174" s="98"/>
      <c r="YX174" s="98"/>
      <c r="YY174" s="98"/>
      <c r="YZ174" s="98"/>
      <c r="ZA174" s="98"/>
      <c r="ZB174" s="98"/>
      <c r="ZC174" s="98"/>
      <c r="ZD174" s="98"/>
      <c r="ZE174" s="98"/>
      <c r="ZF174" s="98"/>
      <c r="ZG174" s="98"/>
      <c r="ZH174" s="98"/>
      <c r="ZI174" s="98"/>
      <c r="ZJ174" s="98"/>
      <c r="ZK174" s="98"/>
      <c r="ZL174" s="98"/>
      <c r="ZM174" s="98"/>
      <c r="ZN174" s="98"/>
      <c r="ZO174" s="98"/>
      <c r="ZP174" s="98"/>
      <c r="ZQ174" s="98"/>
      <c r="ZR174" s="98"/>
      <c r="ZS174" s="98"/>
      <c r="ZT174" s="98"/>
      <c r="ZU174" s="98"/>
      <c r="ZV174" s="98"/>
      <c r="ZW174" s="98"/>
      <c r="ZX174" s="98"/>
      <c r="ZY174" s="98"/>
      <c r="ZZ174" s="98"/>
      <c r="AAA174" s="98"/>
      <c r="AAB174" s="98"/>
      <c r="AAC174" s="98"/>
      <c r="AAD174" s="98"/>
      <c r="AAE174" s="98"/>
      <c r="AAF174" s="98"/>
      <c r="AAG174" s="98"/>
      <c r="AAH174" s="98"/>
      <c r="AAI174" s="98"/>
      <c r="AAJ174" s="98"/>
      <c r="AAK174" s="98"/>
      <c r="AAL174" s="98"/>
      <c r="AAM174" s="98"/>
      <c r="AAN174" s="98"/>
      <c r="AAO174" s="98"/>
      <c r="AAP174" s="98"/>
      <c r="AAQ174" s="98"/>
      <c r="AAR174" s="98"/>
      <c r="AAS174" s="98"/>
      <c r="AAT174" s="98"/>
      <c r="AAU174" s="98"/>
      <c r="AAV174" s="98"/>
      <c r="AAW174" s="98"/>
      <c r="AAX174" s="98"/>
      <c r="AAY174" s="98"/>
      <c r="AAZ174" s="98"/>
      <c r="ABA174" s="98"/>
      <c r="ABB174" s="98"/>
      <c r="ABC174" s="98"/>
      <c r="ABD174" s="98"/>
      <c r="ABE174" s="98"/>
      <c r="ABF174" s="98"/>
      <c r="ABG174" s="98"/>
      <c r="ABH174" s="98"/>
      <c r="ABI174" s="98"/>
      <c r="ABJ174" s="98"/>
      <c r="ABK174" s="98"/>
      <c r="ABL174" s="98"/>
      <c r="ABM174" s="98"/>
      <c r="ABN174" s="98"/>
      <c r="ABO174" s="98"/>
      <c r="ABP174" s="98"/>
      <c r="ABQ174" s="98"/>
      <c r="ABR174" s="98"/>
      <c r="ABS174" s="98"/>
      <c r="ABT174" s="98"/>
      <c r="ABU174" s="98"/>
      <c r="ABV174" s="98"/>
      <c r="ABW174" s="98"/>
      <c r="ABX174" s="98"/>
      <c r="ABY174" s="98"/>
      <c r="ABZ174" s="98"/>
      <c r="ACA174" s="98"/>
      <c r="ACB174" s="98"/>
      <c r="ACC174" s="98"/>
      <c r="ACD174" s="98"/>
      <c r="ACE174" s="98"/>
      <c r="ACF174" s="98"/>
      <c r="ACG174" s="98"/>
      <c r="ACH174" s="98"/>
      <c r="ACI174" s="98"/>
      <c r="ACJ174" s="98"/>
      <c r="ACK174" s="98"/>
      <c r="ACL174" s="98"/>
      <c r="ACM174" s="98"/>
      <c r="ACN174" s="98"/>
      <c r="ACO174" s="98"/>
      <c r="ACP174" s="98"/>
      <c r="ACQ174" s="98"/>
      <c r="ACR174" s="98"/>
      <c r="ACS174" s="98"/>
      <c r="ACT174" s="98"/>
      <c r="ACU174" s="98"/>
      <c r="ACV174" s="98"/>
      <c r="ACW174" s="98"/>
      <c r="ACX174" s="98"/>
      <c r="ACY174" s="98"/>
      <c r="ACZ174" s="98"/>
      <c r="ADA174" s="98"/>
      <c r="ADB174" s="98"/>
      <c r="ADC174" s="98"/>
      <c r="ADD174" s="98"/>
      <c r="ADE174" s="98"/>
      <c r="ADF174" s="98"/>
      <c r="ADG174" s="98"/>
      <c r="ADH174" s="98"/>
      <c r="ADI174" s="98"/>
      <c r="ADJ174" s="98"/>
      <c r="ADK174" s="98"/>
      <c r="ADL174" s="98"/>
      <c r="ADM174" s="98"/>
      <c r="ADN174" s="98"/>
      <c r="ADO174" s="98"/>
      <c r="ADP174" s="98"/>
      <c r="ADQ174" s="98"/>
      <c r="ADR174" s="98"/>
      <c r="ADS174" s="98"/>
      <c r="ADT174" s="98"/>
      <c r="ADU174" s="98"/>
      <c r="ADV174" s="98"/>
      <c r="ADW174" s="98"/>
      <c r="ADX174" s="98"/>
      <c r="ADY174" s="98"/>
      <c r="ADZ174" s="98"/>
      <c r="AEA174" s="98"/>
      <c r="AEB174" s="98"/>
      <c r="AEC174" s="98"/>
      <c r="AED174" s="98"/>
      <c r="AEE174" s="98"/>
      <c r="AEF174" s="98"/>
      <c r="AEG174" s="98"/>
      <c r="AEH174" s="98"/>
      <c r="AEI174" s="98"/>
      <c r="AEJ174" s="98"/>
      <c r="AEK174" s="98"/>
      <c r="AEL174" s="98"/>
      <c r="AEM174" s="98"/>
      <c r="AEN174" s="98"/>
      <c r="AEO174" s="98"/>
      <c r="AEP174" s="98"/>
      <c r="AEQ174" s="98"/>
      <c r="AER174" s="98"/>
      <c r="AES174" s="98"/>
      <c r="AET174" s="98"/>
      <c r="AEU174" s="98"/>
      <c r="AEV174" s="98"/>
      <c r="AEW174" s="98"/>
      <c r="AEX174" s="98"/>
      <c r="AEY174" s="98"/>
      <c r="AEZ174" s="98"/>
      <c r="AFA174" s="98"/>
      <c r="AFB174" s="98"/>
      <c r="AFC174" s="98"/>
      <c r="AFD174" s="98"/>
      <c r="AFE174" s="98"/>
      <c r="AFF174" s="98"/>
      <c r="AFG174" s="98"/>
      <c r="AFH174" s="98"/>
      <c r="AFI174" s="98"/>
      <c r="AFJ174" s="98"/>
      <c r="AFK174" s="98"/>
      <c r="AFL174" s="98"/>
      <c r="AFM174" s="98"/>
      <c r="AFN174" s="98"/>
      <c r="AFO174" s="98"/>
      <c r="AFP174" s="98"/>
      <c r="AFQ174" s="98"/>
      <c r="AFR174" s="98"/>
      <c r="AFS174" s="98"/>
      <c r="AFT174" s="98"/>
      <c r="AFU174" s="98"/>
      <c r="AFV174" s="98"/>
      <c r="AFW174" s="98"/>
      <c r="AFX174" s="98"/>
      <c r="AFY174" s="98"/>
      <c r="AFZ174" s="98"/>
      <c r="AGA174" s="98"/>
      <c r="AGB174" s="98"/>
      <c r="AGC174" s="98"/>
      <c r="AGD174" s="98"/>
      <c r="AGE174" s="98"/>
      <c r="AGF174" s="98"/>
      <c r="AGG174" s="98"/>
      <c r="AGH174" s="98"/>
      <c r="AGI174" s="98"/>
      <c r="AGJ174" s="98"/>
      <c r="AGK174" s="98"/>
      <c r="AGL174" s="98"/>
      <c r="AGM174" s="98"/>
      <c r="AGN174" s="98"/>
      <c r="AGO174" s="98"/>
      <c r="AGP174" s="98"/>
      <c r="AGQ174" s="98"/>
      <c r="AGR174" s="98"/>
      <c r="AGS174" s="98"/>
      <c r="AGT174" s="98"/>
      <c r="AGU174" s="98"/>
      <c r="AGV174" s="98"/>
      <c r="AGW174" s="98"/>
      <c r="AGX174" s="98"/>
      <c r="AGY174" s="98"/>
      <c r="AGZ174" s="98"/>
      <c r="AHA174" s="98"/>
      <c r="AHB174" s="98"/>
      <c r="AHC174" s="98"/>
      <c r="AHD174" s="98"/>
      <c r="AHE174" s="98"/>
      <c r="AHF174" s="98"/>
      <c r="AHG174" s="98"/>
      <c r="AHH174" s="98"/>
      <c r="AHI174" s="98"/>
      <c r="AHJ174" s="98"/>
      <c r="AHK174" s="98"/>
      <c r="AHL174" s="98"/>
      <c r="AHM174" s="98"/>
      <c r="AHN174" s="98"/>
      <c r="AHO174" s="98"/>
      <c r="AHP174" s="98"/>
      <c r="AHQ174" s="98"/>
      <c r="AHR174" s="98"/>
      <c r="AHS174" s="98"/>
      <c r="AHT174" s="98"/>
      <c r="AHU174" s="98"/>
      <c r="AHV174" s="98"/>
      <c r="AHW174" s="98"/>
      <c r="AHX174" s="98"/>
      <c r="AHY174" s="98"/>
      <c r="AHZ174" s="98"/>
      <c r="AIA174" s="98"/>
      <c r="AIB174" s="98"/>
      <c r="AIC174" s="98"/>
      <c r="AID174" s="98"/>
      <c r="AIE174" s="98"/>
      <c r="AIF174" s="98"/>
      <c r="AIG174" s="98"/>
      <c r="AIH174" s="98"/>
      <c r="AII174" s="98"/>
      <c r="AIJ174" s="98"/>
      <c r="AIK174" s="98"/>
      <c r="AIL174" s="98"/>
      <c r="AIM174" s="98"/>
      <c r="AIN174" s="98"/>
      <c r="AIO174" s="98"/>
      <c r="AIP174" s="98"/>
      <c r="AIQ174" s="98"/>
      <c r="AIR174" s="98"/>
      <c r="AIS174" s="98"/>
      <c r="AIT174" s="98"/>
      <c r="AIU174" s="98"/>
      <c r="AIV174" s="98"/>
      <c r="AIW174" s="98"/>
      <c r="AIX174" s="98"/>
      <c r="AIY174" s="98"/>
      <c r="AIZ174" s="98"/>
      <c r="AJA174" s="98"/>
      <c r="AJB174" s="98"/>
      <c r="AJC174" s="98"/>
      <c r="AJD174" s="98"/>
      <c r="AJE174" s="98"/>
      <c r="AJF174" s="98"/>
      <c r="AJG174" s="98"/>
      <c r="AJH174" s="98"/>
      <c r="AJI174" s="98"/>
      <c r="AJJ174" s="98"/>
      <c r="AJK174" s="98"/>
      <c r="AJL174" s="98"/>
      <c r="AJM174" s="98"/>
      <c r="AJN174" s="98"/>
      <c r="AJO174" s="98"/>
      <c r="AJP174" s="98"/>
      <c r="AJQ174" s="98"/>
      <c r="AJR174" s="98"/>
      <c r="AJS174" s="98"/>
      <c r="AJT174" s="98"/>
      <c r="AJU174" s="98"/>
      <c r="AJV174" s="98"/>
      <c r="AJW174" s="98"/>
      <c r="AJX174" s="98"/>
      <c r="AJY174" s="98"/>
      <c r="AJZ174" s="98"/>
      <c r="AKA174" s="98"/>
      <c r="AKB174" s="98"/>
      <c r="AKC174" s="98"/>
      <c r="AKD174" s="98"/>
      <c r="AKE174" s="98"/>
      <c r="AKF174" s="98"/>
      <c r="AKG174" s="98"/>
      <c r="AKH174" s="98"/>
      <c r="AKI174" s="98"/>
      <c r="AKJ174" s="98"/>
      <c r="AKK174" s="98"/>
      <c r="AKL174" s="98"/>
      <c r="AKM174" s="98"/>
      <c r="AKN174" s="98"/>
      <c r="AKO174" s="98"/>
      <c r="AKP174" s="98"/>
      <c r="AKQ174" s="98"/>
      <c r="AKR174" s="98"/>
      <c r="AKS174" s="98"/>
      <c r="AKT174" s="98"/>
      <c r="AKU174" s="98"/>
      <c r="AKV174" s="98"/>
      <c r="AKW174" s="98"/>
      <c r="AKX174" s="98"/>
      <c r="AKY174" s="98"/>
      <c r="AKZ174" s="98"/>
      <c r="ALA174" s="98"/>
      <c r="ALB174" s="98"/>
      <c r="ALC174" s="98"/>
      <c r="ALD174" s="98"/>
      <c r="ALE174" s="98"/>
      <c r="ALF174" s="98"/>
      <c r="ALG174" s="98"/>
      <c r="ALH174" s="98"/>
      <c r="ALI174" s="98"/>
      <c r="ALJ174" s="98"/>
      <c r="ALK174" s="98"/>
      <c r="ALL174" s="98"/>
      <c r="ALM174" s="98"/>
      <c r="ALN174" s="98"/>
      <c r="ALO174" s="98"/>
      <c r="ALP174" s="98"/>
      <c r="ALQ174" s="98"/>
      <c r="ALR174" s="98"/>
      <c r="ALS174" s="98"/>
      <c r="ALT174" s="98"/>
      <c r="ALU174" s="98"/>
      <c r="ALV174" s="98"/>
      <c r="ALW174" s="98"/>
      <c r="ALX174" s="98"/>
      <c r="ALY174" s="98"/>
      <c r="ALZ174" s="98"/>
      <c r="AMA174" s="98"/>
      <c r="AMB174" s="98"/>
      <c r="AMC174" s="98"/>
      <c r="AMD174" s="98"/>
      <c r="AME174" s="98"/>
      <c r="AMF174" s="98"/>
      <c r="AMG174" s="98"/>
      <c r="AMH174" s="98"/>
      <c r="AMI174" s="98"/>
      <c r="AMJ174" s="98"/>
      <c r="AMK174" s="98"/>
      <c r="AML174" s="98"/>
      <c r="AMM174" s="98"/>
      <c r="AMN174" s="98"/>
      <c r="AMO174" s="98"/>
      <c r="AMP174" s="98"/>
      <c r="AMQ174" s="98"/>
      <c r="AMR174" s="98"/>
      <c r="AMS174" s="98"/>
      <c r="AMT174" s="98"/>
      <c r="AMU174" s="98"/>
      <c r="AMV174" s="98"/>
      <c r="AMW174" s="98"/>
      <c r="AMX174" s="98"/>
      <c r="AMY174" s="98"/>
      <c r="AMZ174" s="98"/>
      <c r="ANA174" s="98"/>
      <c r="ANB174" s="98"/>
      <c r="ANC174" s="98"/>
      <c r="AND174" s="98"/>
      <c r="ANE174" s="98"/>
      <c r="ANF174" s="98"/>
      <c r="ANG174" s="98"/>
      <c r="ANH174" s="98"/>
      <c r="ANI174" s="98"/>
      <c r="ANJ174" s="98"/>
      <c r="ANK174" s="98"/>
      <c r="ANL174" s="98"/>
      <c r="ANM174" s="98"/>
      <c r="ANN174" s="98"/>
      <c r="ANO174" s="98"/>
      <c r="ANP174" s="98"/>
      <c r="ANQ174" s="98"/>
      <c r="ANR174" s="98"/>
      <c r="ANS174" s="98"/>
      <c r="ANT174" s="98"/>
      <c r="ANU174" s="98"/>
      <c r="ANV174" s="98"/>
      <c r="ANW174" s="98"/>
      <c r="ANX174" s="98"/>
      <c r="ANY174" s="98"/>
      <c r="ANZ174" s="98"/>
      <c r="AOA174" s="98"/>
      <c r="AOB174" s="98"/>
      <c r="AOC174" s="98"/>
      <c r="AOD174" s="98"/>
      <c r="AOE174" s="98"/>
      <c r="AOF174" s="98"/>
      <c r="AOG174" s="98"/>
      <c r="AOH174" s="98"/>
      <c r="AOI174" s="98"/>
      <c r="AOJ174" s="98"/>
      <c r="AOK174" s="98"/>
      <c r="AOL174" s="98"/>
      <c r="AOM174" s="98"/>
      <c r="AON174" s="98"/>
      <c r="AOO174" s="98"/>
      <c r="AOP174" s="98"/>
      <c r="AOQ174" s="98"/>
      <c r="AOR174" s="98"/>
      <c r="AOS174" s="98"/>
      <c r="AOT174" s="98"/>
      <c r="AOU174" s="98"/>
      <c r="AOV174" s="98"/>
      <c r="AOW174" s="98"/>
      <c r="AOX174" s="98"/>
      <c r="AOY174" s="98"/>
      <c r="AOZ174" s="98"/>
      <c r="APA174" s="98"/>
      <c r="APB174" s="98"/>
      <c r="APC174" s="98"/>
      <c r="APD174" s="98"/>
      <c r="APE174" s="98"/>
      <c r="APF174" s="98"/>
      <c r="APG174" s="98"/>
      <c r="APH174" s="98"/>
      <c r="API174" s="98"/>
      <c r="APJ174" s="98"/>
      <c r="APK174" s="98"/>
      <c r="APL174" s="98"/>
      <c r="APM174" s="98"/>
      <c r="APN174" s="98"/>
      <c r="APO174" s="98"/>
      <c r="APP174" s="98"/>
      <c r="APQ174" s="98"/>
      <c r="APR174" s="98"/>
      <c r="APS174" s="98"/>
      <c r="APT174" s="98"/>
      <c r="APU174" s="98"/>
      <c r="APV174" s="98"/>
      <c r="APW174" s="98"/>
      <c r="APX174" s="98"/>
      <c r="APY174" s="98"/>
      <c r="APZ174" s="98"/>
      <c r="AQA174" s="98"/>
      <c r="AQB174" s="98"/>
      <c r="AQC174" s="98"/>
      <c r="AQD174" s="98"/>
      <c r="AQE174" s="98"/>
      <c r="AQF174" s="98"/>
      <c r="AQG174" s="98"/>
      <c r="AQH174" s="98"/>
      <c r="AQI174" s="98"/>
      <c r="AQJ174" s="98"/>
      <c r="AQK174" s="98"/>
      <c r="AQL174" s="98"/>
      <c r="AQM174" s="98"/>
      <c r="AQN174" s="98"/>
      <c r="AQO174" s="98"/>
      <c r="AQP174" s="98"/>
      <c r="AQQ174" s="98"/>
      <c r="AQR174" s="98"/>
      <c r="AQS174" s="98"/>
      <c r="AQT174" s="98"/>
      <c r="AQU174" s="98"/>
      <c r="AQV174" s="98"/>
      <c r="AQW174" s="98"/>
      <c r="AQX174" s="98"/>
      <c r="AQY174" s="98"/>
      <c r="AQZ174" s="98"/>
      <c r="ARA174" s="98"/>
      <c r="ARB174" s="98"/>
      <c r="ARC174" s="98"/>
      <c r="ARD174" s="98"/>
      <c r="ARE174" s="98"/>
      <c r="ARF174" s="98"/>
      <c r="ARG174" s="98"/>
      <c r="ARH174" s="98"/>
      <c r="ARI174" s="98"/>
      <c r="ARJ174" s="98"/>
      <c r="ARK174" s="98"/>
      <c r="ARL174" s="98"/>
      <c r="ARM174" s="98"/>
      <c r="ARN174" s="98"/>
      <c r="ARO174" s="98"/>
      <c r="ARP174" s="98"/>
      <c r="ARQ174" s="98"/>
      <c r="ARR174" s="98"/>
      <c r="ARS174" s="98"/>
    </row>
    <row r="175" spans="1:1163" s="174" customFormat="1">
      <c r="A175" s="140" t="s">
        <v>61</v>
      </c>
      <c r="B175" s="119" t="s">
        <v>192</v>
      </c>
      <c r="C175" s="175">
        <v>27285996</v>
      </c>
      <c r="D175" s="175">
        <v>879157349</v>
      </c>
      <c r="E175" s="175">
        <v>624748</v>
      </c>
      <c r="F175" s="175">
        <v>268782192</v>
      </c>
      <c r="G175" s="175">
        <v>1439274</v>
      </c>
      <c r="H175" s="175">
        <v>278612808</v>
      </c>
      <c r="I175" s="175">
        <v>1278000</v>
      </c>
      <c r="J175" s="175">
        <v>258602636</v>
      </c>
      <c r="K175" s="175">
        <v>1260801</v>
      </c>
      <c r="L175" s="175">
        <v>300712136</v>
      </c>
      <c r="M175" s="175">
        <v>1295520</v>
      </c>
      <c r="N175" s="175">
        <v>283635789</v>
      </c>
      <c r="O175" s="175">
        <v>1207875</v>
      </c>
      <c r="P175" s="175">
        <v>318717603</v>
      </c>
      <c r="Q175" s="175">
        <v>1607251</v>
      </c>
      <c r="R175" s="175">
        <v>260582180</v>
      </c>
      <c r="S175" s="175">
        <v>1764084</v>
      </c>
      <c r="T175" s="175">
        <v>314913379</v>
      </c>
      <c r="U175" s="197">
        <v>2056808</v>
      </c>
      <c r="V175" s="197">
        <v>246110792</v>
      </c>
      <c r="W175" s="197">
        <v>2514049</v>
      </c>
      <c r="X175" s="197">
        <v>369850063</v>
      </c>
      <c r="Y175" s="175">
        <v>5200749</v>
      </c>
      <c r="Z175" s="175">
        <v>1023216415</v>
      </c>
      <c r="AA175" s="209">
        <v>5214637</v>
      </c>
      <c r="AB175" s="209">
        <v>901415578</v>
      </c>
      <c r="AC175" s="175">
        <v>5046694</v>
      </c>
      <c r="AD175" s="175">
        <v>917363371</v>
      </c>
      <c r="AE175" s="201">
        <v>4048865</v>
      </c>
      <c r="AF175" s="201">
        <v>709316334</v>
      </c>
      <c r="AG175" s="201">
        <v>8752619</v>
      </c>
      <c r="AH175" s="201">
        <v>1299752620</v>
      </c>
      <c r="AI175" s="201">
        <v>8683505</v>
      </c>
      <c r="AJ175" s="201">
        <v>1384829505</v>
      </c>
      <c r="AK175" s="201">
        <v>11258708</v>
      </c>
      <c r="AL175" s="201">
        <v>1958824698</v>
      </c>
      <c r="AM175" s="176">
        <v>9539869</v>
      </c>
      <c r="AN175" s="176">
        <v>1719801811.3599999</v>
      </c>
      <c r="AO175" s="201">
        <v>10977222</v>
      </c>
      <c r="AP175" s="201">
        <v>1497550122</v>
      </c>
      <c r="AQ175" s="201">
        <v>8490438.5938721336</v>
      </c>
      <c r="AR175" s="201">
        <v>1559291022.8499999</v>
      </c>
      <c r="AS175" s="201">
        <v>13743415</v>
      </c>
      <c r="AT175" s="201">
        <v>4472416146.1800003</v>
      </c>
      <c r="AU175" s="209">
        <v>14061255</v>
      </c>
      <c r="AV175" s="209">
        <v>4246653099</v>
      </c>
      <c r="AW175" s="197">
        <v>15216491</v>
      </c>
      <c r="AX175" s="197">
        <v>4457025360</v>
      </c>
      <c r="AY175" s="197">
        <v>14119334</v>
      </c>
      <c r="AZ175" s="197">
        <v>4034630921</v>
      </c>
      <c r="BA175" s="177"/>
      <c r="BB175" s="197"/>
      <c r="BC175" s="178"/>
      <c r="BD175" s="197"/>
      <c r="BE175" s="178"/>
      <c r="BF175" s="197"/>
      <c r="BG175" s="197"/>
      <c r="BH175" s="197"/>
      <c r="BI175" s="178"/>
      <c r="BJ175" s="98"/>
      <c r="BK175" s="148"/>
      <c r="BL175" s="148"/>
      <c r="BM175" s="98"/>
      <c r="BN175" s="14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98"/>
      <c r="EN175" s="98"/>
      <c r="EO175" s="98"/>
      <c r="EP175" s="98"/>
      <c r="EQ175" s="98"/>
      <c r="ER175" s="98"/>
      <c r="ES175" s="98"/>
      <c r="ET175" s="98"/>
      <c r="EU175" s="98"/>
      <c r="EV175" s="98"/>
      <c r="EW175" s="98"/>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c r="IW175" s="98"/>
      <c r="IX175" s="98"/>
      <c r="IY175" s="98"/>
      <c r="IZ175" s="98"/>
      <c r="JA175" s="98"/>
      <c r="JB175" s="98"/>
      <c r="JC175" s="98"/>
      <c r="JD175" s="98"/>
      <c r="JE175" s="98"/>
      <c r="JF175" s="98"/>
      <c r="JG175" s="98"/>
      <c r="JH175" s="98"/>
      <c r="JI175" s="98"/>
      <c r="JJ175" s="98"/>
      <c r="JK175" s="98"/>
      <c r="JL175" s="98"/>
      <c r="JM175" s="98"/>
      <c r="JN175" s="98"/>
      <c r="JO175" s="98"/>
      <c r="JP175" s="98"/>
      <c r="JQ175" s="98"/>
      <c r="JR175" s="98"/>
      <c r="JS175" s="98"/>
      <c r="JT175" s="98"/>
      <c r="JU175" s="98"/>
      <c r="JV175" s="98"/>
      <c r="JW175" s="98"/>
      <c r="JX175" s="98"/>
      <c r="JY175" s="98"/>
      <c r="JZ175" s="98"/>
      <c r="KA175" s="98"/>
      <c r="KB175" s="98"/>
      <c r="KC175" s="98"/>
      <c r="KD175" s="98"/>
      <c r="KE175" s="98"/>
      <c r="KF175" s="98"/>
      <c r="KG175" s="98"/>
      <c r="KH175" s="98"/>
      <c r="KI175" s="98"/>
      <c r="KJ175" s="98"/>
      <c r="KK175" s="98"/>
      <c r="KL175" s="98"/>
      <c r="KM175" s="98"/>
      <c r="KN175" s="98"/>
      <c r="KO175" s="98"/>
      <c r="KP175" s="98"/>
      <c r="KQ175" s="98"/>
      <c r="KR175" s="98"/>
      <c r="KS175" s="98"/>
      <c r="KT175" s="98"/>
      <c r="KU175" s="98"/>
      <c r="KV175" s="98"/>
      <c r="KW175" s="98"/>
      <c r="KX175" s="98"/>
      <c r="KY175" s="98"/>
      <c r="KZ175" s="98"/>
      <c r="LA175" s="98"/>
      <c r="LB175" s="98"/>
      <c r="LC175" s="98"/>
      <c r="LD175" s="98"/>
      <c r="LE175" s="98"/>
      <c r="LF175" s="98"/>
      <c r="LG175" s="98"/>
      <c r="LH175" s="98"/>
      <c r="LI175" s="98"/>
      <c r="LJ175" s="98"/>
      <c r="LK175" s="98"/>
      <c r="LL175" s="98"/>
      <c r="LM175" s="98"/>
      <c r="LN175" s="98"/>
      <c r="LO175" s="98"/>
      <c r="LP175" s="98"/>
      <c r="LQ175" s="98"/>
      <c r="LR175" s="98"/>
      <c r="LS175" s="98"/>
      <c r="LT175" s="98"/>
      <c r="LU175" s="98"/>
      <c r="LV175" s="98"/>
      <c r="LW175" s="98"/>
      <c r="LX175" s="98"/>
      <c r="LY175" s="98"/>
      <c r="LZ175" s="98"/>
      <c r="MA175" s="98"/>
      <c r="MB175" s="98"/>
      <c r="MC175" s="98"/>
      <c r="MD175" s="98"/>
      <c r="ME175" s="98"/>
      <c r="MF175" s="98"/>
      <c r="MG175" s="98"/>
      <c r="MH175" s="98"/>
      <c r="MI175" s="98"/>
      <c r="MJ175" s="98"/>
      <c r="MK175" s="98"/>
      <c r="ML175" s="98"/>
      <c r="MM175" s="98"/>
      <c r="MN175" s="98"/>
      <c r="MO175" s="98"/>
      <c r="MP175" s="98"/>
      <c r="MQ175" s="98"/>
      <c r="MR175" s="98"/>
      <c r="MS175" s="98"/>
      <c r="MT175" s="98"/>
      <c r="MU175" s="98"/>
      <c r="MV175" s="98"/>
      <c r="MW175" s="98"/>
      <c r="MX175" s="98"/>
      <c r="MY175" s="98"/>
      <c r="MZ175" s="98"/>
      <c r="NA175" s="98"/>
      <c r="NB175" s="98"/>
      <c r="NC175" s="98"/>
      <c r="ND175" s="98"/>
      <c r="NE175" s="98"/>
      <c r="NF175" s="98"/>
      <c r="NG175" s="98"/>
      <c r="NH175" s="98"/>
      <c r="NI175" s="98"/>
      <c r="NJ175" s="98"/>
      <c r="NK175" s="98"/>
      <c r="NL175" s="98"/>
      <c r="NM175" s="98"/>
      <c r="NN175" s="98"/>
      <c r="NO175" s="98"/>
      <c r="NP175" s="98"/>
      <c r="NQ175" s="98"/>
      <c r="NR175" s="98"/>
      <c r="NS175" s="98"/>
      <c r="NT175" s="98"/>
      <c r="NU175" s="98"/>
      <c r="NV175" s="98"/>
      <c r="NW175" s="98"/>
      <c r="NX175" s="98"/>
      <c r="NY175" s="98"/>
      <c r="NZ175" s="98"/>
      <c r="OA175" s="98"/>
      <c r="OB175" s="98"/>
      <c r="OC175" s="98"/>
      <c r="OD175" s="98"/>
      <c r="OE175" s="98"/>
      <c r="OF175" s="98"/>
      <c r="OG175" s="98"/>
      <c r="OH175" s="98"/>
      <c r="OI175" s="98"/>
      <c r="OJ175" s="98"/>
      <c r="OK175" s="98"/>
      <c r="OL175" s="98"/>
      <c r="OM175" s="98"/>
      <c r="ON175" s="98"/>
      <c r="OO175" s="98"/>
      <c r="OP175" s="98"/>
      <c r="OQ175" s="98"/>
      <c r="OR175" s="98"/>
      <c r="OS175" s="98"/>
      <c r="OT175" s="98"/>
      <c r="OU175" s="98"/>
      <c r="OV175" s="98"/>
      <c r="OW175" s="98"/>
      <c r="OX175" s="98"/>
      <c r="OY175" s="98"/>
      <c r="OZ175" s="98"/>
      <c r="PA175" s="98"/>
      <c r="PB175" s="98"/>
      <c r="PC175" s="98"/>
      <c r="PD175" s="98"/>
      <c r="PE175" s="98"/>
      <c r="PF175" s="98"/>
      <c r="PG175" s="98"/>
      <c r="PH175" s="98"/>
      <c r="PI175" s="98"/>
      <c r="PJ175" s="98"/>
      <c r="PK175" s="98"/>
      <c r="PL175" s="98"/>
      <c r="PM175" s="98"/>
      <c r="PN175" s="98"/>
      <c r="PO175" s="98"/>
      <c r="PP175" s="98"/>
      <c r="PQ175" s="98"/>
      <c r="PR175" s="98"/>
      <c r="PS175" s="98"/>
      <c r="PT175" s="98"/>
      <c r="PU175" s="98"/>
      <c r="PV175" s="98"/>
      <c r="PW175" s="98"/>
      <c r="PX175" s="98"/>
      <c r="PY175" s="98"/>
      <c r="PZ175" s="98"/>
      <c r="QA175" s="98"/>
      <c r="QB175" s="98"/>
      <c r="QC175" s="98"/>
      <c r="QD175" s="98"/>
      <c r="QE175" s="98"/>
      <c r="QF175" s="98"/>
      <c r="QG175" s="98"/>
      <c r="QH175" s="98"/>
      <c r="QI175" s="98"/>
      <c r="QJ175" s="98"/>
      <c r="QK175" s="98"/>
      <c r="QL175" s="98"/>
      <c r="QM175" s="98"/>
      <c r="QN175" s="98"/>
      <c r="QO175" s="98"/>
      <c r="QP175" s="98"/>
      <c r="QQ175" s="98"/>
      <c r="QR175" s="98"/>
      <c r="QS175" s="98"/>
      <c r="QT175" s="98"/>
      <c r="QU175" s="98"/>
      <c r="QV175" s="98"/>
      <c r="QW175" s="98"/>
      <c r="QX175" s="98"/>
      <c r="QY175" s="98"/>
      <c r="QZ175" s="98"/>
      <c r="RA175" s="98"/>
      <c r="RB175" s="98"/>
      <c r="RC175" s="98"/>
      <c r="RD175" s="98"/>
      <c r="RE175" s="98"/>
      <c r="RF175" s="98"/>
      <c r="RG175" s="98"/>
      <c r="RH175" s="98"/>
      <c r="RI175" s="98"/>
      <c r="RJ175" s="98"/>
      <c r="RK175" s="98"/>
      <c r="RL175" s="98"/>
      <c r="RM175" s="98"/>
      <c r="RN175" s="98"/>
      <c r="RO175" s="98"/>
      <c r="RP175" s="98"/>
      <c r="RQ175" s="98"/>
      <c r="RR175" s="98"/>
      <c r="RS175" s="98"/>
      <c r="RT175" s="98"/>
      <c r="RU175" s="98"/>
      <c r="RV175" s="98"/>
      <c r="RW175" s="98"/>
      <c r="RX175" s="98"/>
      <c r="RY175" s="98"/>
      <c r="RZ175" s="98"/>
      <c r="SA175" s="98"/>
      <c r="SB175" s="98"/>
      <c r="SC175" s="98"/>
      <c r="SD175" s="98"/>
      <c r="SE175" s="98"/>
      <c r="SF175" s="98"/>
      <c r="SG175" s="98"/>
      <c r="SH175" s="98"/>
      <c r="SI175" s="98"/>
      <c r="SJ175" s="98"/>
      <c r="SK175" s="98"/>
      <c r="SL175" s="98"/>
      <c r="SM175" s="98"/>
      <c r="SN175" s="98"/>
      <c r="SO175" s="98"/>
      <c r="SP175" s="98"/>
      <c r="SQ175" s="98"/>
      <c r="SR175" s="98"/>
      <c r="SS175" s="98"/>
      <c r="ST175" s="98"/>
      <c r="SU175" s="98"/>
      <c r="SV175" s="98"/>
      <c r="SW175" s="98"/>
      <c r="SX175" s="98"/>
      <c r="SY175" s="98"/>
      <c r="SZ175" s="98"/>
      <c r="TA175" s="98"/>
      <c r="TB175" s="98"/>
      <c r="TC175" s="98"/>
      <c r="TD175" s="98"/>
      <c r="TE175" s="98"/>
      <c r="TF175" s="98"/>
      <c r="TG175" s="98"/>
      <c r="TH175" s="98"/>
      <c r="TI175" s="98"/>
      <c r="TJ175" s="98"/>
      <c r="TK175" s="98"/>
      <c r="TL175" s="98"/>
      <c r="TM175" s="98"/>
      <c r="TN175" s="98"/>
      <c r="TO175" s="98"/>
      <c r="TP175" s="98"/>
      <c r="TQ175" s="98"/>
      <c r="TR175" s="98"/>
      <c r="TS175" s="98"/>
      <c r="TT175" s="98"/>
      <c r="TU175" s="98"/>
      <c r="TV175" s="98"/>
      <c r="TW175" s="98"/>
      <c r="TX175" s="98"/>
      <c r="TY175" s="98"/>
      <c r="TZ175" s="98"/>
      <c r="UA175" s="98"/>
      <c r="UB175" s="98"/>
      <c r="UC175" s="98"/>
      <c r="UD175" s="98"/>
      <c r="UE175" s="98"/>
      <c r="UF175" s="98"/>
      <c r="UG175" s="98"/>
      <c r="UH175" s="98"/>
      <c r="UI175" s="98"/>
      <c r="UJ175" s="98"/>
      <c r="UK175" s="98"/>
      <c r="UL175" s="98"/>
      <c r="UM175" s="98"/>
      <c r="UN175" s="98"/>
      <c r="UO175" s="98"/>
      <c r="UP175" s="98"/>
      <c r="UQ175" s="98"/>
      <c r="UR175" s="98"/>
      <c r="US175" s="98"/>
      <c r="UT175" s="98"/>
      <c r="UU175" s="98"/>
      <c r="UV175" s="98"/>
      <c r="UW175" s="98"/>
      <c r="UX175" s="98"/>
      <c r="UY175" s="98"/>
      <c r="UZ175" s="98"/>
      <c r="VA175" s="98"/>
      <c r="VB175" s="98"/>
      <c r="VC175" s="98"/>
      <c r="VD175" s="98"/>
      <c r="VE175" s="98"/>
      <c r="VF175" s="98"/>
      <c r="VG175" s="98"/>
      <c r="VH175" s="98"/>
      <c r="VI175" s="98"/>
      <c r="VJ175" s="98"/>
      <c r="VK175" s="98"/>
      <c r="VL175" s="98"/>
      <c r="VM175" s="98"/>
      <c r="VN175" s="98"/>
      <c r="VO175" s="98"/>
      <c r="VP175" s="98"/>
      <c r="VQ175" s="98"/>
      <c r="VR175" s="98"/>
      <c r="VS175" s="98"/>
      <c r="VT175" s="98"/>
      <c r="VU175" s="98"/>
      <c r="VV175" s="98"/>
      <c r="VW175" s="98"/>
      <c r="VX175" s="98"/>
      <c r="VY175" s="98"/>
      <c r="VZ175" s="98"/>
      <c r="WA175" s="98"/>
      <c r="WB175" s="98"/>
      <c r="WC175" s="98"/>
      <c r="WD175" s="98"/>
      <c r="WE175" s="98"/>
      <c r="WF175" s="98"/>
      <c r="WG175" s="98"/>
      <c r="WH175" s="98"/>
      <c r="WI175" s="98"/>
      <c r="WJ175" s="98"/>
      <c r="WK175" s="98"/>
      <c r="WL175" s="98"/>
      <c r="WM175" s="98"/>
      <c r="WN175" s="98"/>
      <c r="WO175" s="98"/>
      <c r="WP175" s="98"/>
      <c r="WQ175" s="98"/>
      <c r="WR175" s="98"/>
      <c r="WS175" s="98"/>
      <c r="WT175" s="98"/>
      <c r="WU175" s="98"/>
      <c r="WV175" s="98"/>
      <c r="WW175" s="98"/>
      <c r="WX175" s="98"/>
      <c r="WY175" s="98"/>
      <c r="WZ175" s="98"/>
      <c r="XA175" s="98"/>
      <c r="XB175" s="98"/>
      <c r="XC175" s="98"/>
      <c r="XD175" s="98"/>
      <c r="XE175" s="98"/>
      <c r="XF175" s="98"/>
      <c r="XG175" s="98"/>
      <c r="XH175" s="98"/>
      <c r="XI175" s="98"/>
      <c r="XJ175" s="98"/>
      <c r="XK175" s="98"/>
      <c r="XL175" s="98"/>
      <c r="XM175" s="98"/>
      <c r="XN175" s="98"/>
      <c r="XO175" s="98"/>
      <c r="XP175" s="98"/>
      <c r="XQ175" s="98"/>
      <c r="XR175" s="98"/>
      <c r="XS175" s="98"/>
      <c r="XT175" s="98"/>
      <c r="XU175" s="98"/>
      <c r="XV175" s="98"/>
      <c r="XW175" s="98"/>
      <c r="XX175" s="98"/>
      <c r="XY175" s="98"/>
      <c r="XZ175" s="98"/>
      <c r="YA175" s="98"/>
      <c r="YB175" s="98"/>
      <c r="YC175" s="98"/>
      <c r="YD175" s="98"/>
      <c r="YE175" s="98"/>
      <c r="YF175" s="98"/>
      <c r="YG175" s="98"/>
      <c r="YH175" s="98"/>
      <c r="YI175" s="98"/>
      <c r="YJ175" s="98"/>
      <c r="YK175" s="98"/>
      <c r="YL175" s="98"/>
      <c r="YM175" s="98"/>
      <c r="YN175" s="98"/>
      <c r="YO175" s="98"/>
      <c r="YP175" s="98"/>
      <c r="YQ175" s="98"/>
      <c r="YR175" s="98"/>
      <c r="YS175" s="98"/>
      <c r="YT175" s="98"/>
      <c r="YU175" s="98"/>
      <c r="YV175" s="98"/>
      <c r="YW175" s="98"/>
      <c r="YX175" s="98"/>
      <c r="YY175" s="98"/>
      <c r="YZ175" s="98"/>
      <c r="ZA175" s="98"/>
      <c r="ZB175" s="98"/>
      <c r="ZC175" s="98"/>
      <c r="ZD175" s="98"/>
      <c r="ZE175" s="98"/>
      <c r="ZF175" s="98"/>
      <c r="ZG175" s="98"/>
      <c r="ZH175" s="98"/>
      <c r="ZI175" s="98"/>
      <c r="ZJ175" s="98"/>
      <c r="ZK175" s="98"/>
      <c r="ZL175" s="98"/>
      <c r="ZM175" s="98"/>
      <c r="ZN175" s="98"/>
      <c r="ZO175" s="98"/>
      <c r="ZP175" s="98"/>
      <c r="ZQ175" s="98"/>
      <c r="ZR175" s="98"/>
      <c r="ZS175" s="98"/>
      <c r="ZT175" s="98"/>
      <c r="ZU175" s="98"/>
      <c r="ZV175" s="98"/>
      <c r="ZW175" s="98"/>
      <c r="ZX175" s="98"/>
      <c r="ZY175" s="98"/>
      <c r="ZZ175" s="98"/>
      <c r="AAA175" s="98"/>
      <c r="AAB175" s="98"/>
      <c r="AAC175" s="98"/>
      <c r="AAD175" s="98"/>
      <c r="AAE175" s="98"/>
      <c r="AAF175" s="98"/>
      <c r="AAG175" s="98"/>
      <c r="AAH175" s="98"/>
      <c r="AAI175" s="98"/>
      <c r="AAJ175" s="98"/>
      <c r="AAK175" s="98"/>
      <c r="AAL175" s="98"/>
      <c r="AAM175" s="98"/>
      <c r="AAN175" s="98"/>
      <c r="AAO175" s="98"/>
      <c r="AAP175" s="98"/>
      <c r="AAQ175" s="98"/>
      <c r="AAR175" s="98"/>
      <c r="AAS175" s="98"/>
      <c r="AAT175" s="98"/>
      <c r="AAU175" s="98"/>
      <c r="AAV175" s="98"/>
      <c r="AAW175" s="98"/>
      <c r="AAX175" s="98"/>
      <c r="AAY175" s="98"/>
      <c r="AAZ175" s="98"/>
      <c r="ABA175" s="98"/>
      <c r="ABB175" s="98"/>
      <c r="ABC175" s="98"/>
      <c r="ABD175" s="98"/>
      <c r="ABE175" s="98"/>
      <c r="ABF175" s="98"/>
      <c r="ABG175" s="98"/>
      <c r="ABH175" s="98"/>
      <c r="ABI175" s="98"/>
      <c r="ABJ175" s="98"/>
      <c r="ABK175" s="98"/>
      <c r="ABL175" s="98"/>
      <c r="ABM175" s="98"/>
      <c r="ABN175" s="98"/>
      <c r="ABO175" s="98"/>
      <c r="ABP175" s="98"/>
      <c r="ABQ175" s="98"/>
      <c r="ABR175" s="98"/>
      <c r="ABS175" s="98"/>
      <c r="ABT175" s="98"/>
      <c r="ABU175" s="98"/>
      <c r="ABV175" s="98"/>
      <c r="ABW175" s="98"/>
      <c r="ABX175" s="98"/>
      <c r="ABY175" s="98"/>
      <c r="ABZ175" s="98"/>
      <c r="ACA175" s="98"/>
      <c r="ACB175" s="98"/>
      <c r="ACC175" s="98"/>
      <c r="ACD175" s="98"/>
      <c r="ACE175" s="98"/>
      <c r="ACF175" s="98"/>
      <c r="ACG175" s="98"/>
      <c r="ACH175" s="98"/>
      <c r="ACI175" s="98"/>
      <c r="ACJ175" s="98"/>
      <c r="ACK175" s="98"/>
      <c r="ACL175" s="98"/>
      <c r="ACM175" s="98"/>
      <c r="ACN175" s="98"/>
      <c r="ACO175" s="98"/>
      <c r="ACP175" s="98"/>
      <c r="ACQ175" s="98"/>
      <c r="ACR175" s="98"/>
      <c r="ACS175" s="98"/>
      <c r="ACT175" s="98"/>
      <c r="ACU175" s="98"/>
      <c r="ACV175" s="98"/>
      <c r="ACW175" s="98"/>
      <c r="ACX175" s="98"/>
      <c r="ACY175" s="98"/>
      <c r="ACZ175" s="98"/>
      <c r="ADA175" s="98"/>
      <c r="ADB175" s="98"/>
      <c r="ADC175" s="98"/>
      <c r="ADD175" s="98"/>
      <c r="ADE175" s="98"/>
      <c r="ADF175" s="98"/>
      <c r="ADG175" s="98"/>
      <c r="ADH175" s="98"/>
      <c r="ADI175" s="98"/>
      <c r="ADJ175" s="98"/>
      <c r="ADK175" s="98"/>
      <c r="ADL175" s="98"/>
      <c r="ADM175" s="98"/>
      <c r="ADN175" s="98"/>
      <c r="ADO175" s="98"/>
      <c r="ADP175" s="98"/>
      <c r="ADQ175" s="98"/>
      <c r="ADR175" s="98"/>
      <c r="ADS175" s="98"/>
      <c r="ADT175" s="98"/>
      <c r="ADU175" s="98"/>
      <c r="ADV175" s="98"/>
      <c r="ADW175" s="98"/>
      <c r="ADX175" s="98"/>
      <c r="ADY175" s="98"/>
      <c r="ADZ175" s="98"/>
      <c r="AEA175" s="98"/>
      <c r="AEB175" s="98"/>
      <c r="AEC175" s="98"/>
      <c r="AED175" s="98"/>
      <c r="AEE175" s="98"/>
      <c r="AEF175" s="98"/>
      <c r="AEG175" s="98"/>
      <c r="AEH175" s="98"/>
      <c r="AEI175" s="98"/>
      <c r="AEJ175" s="98"/>
      <c r="AEK175" s="98"/>
      <c r="AEL175" s="98"/>
      <c r="AEM175" s="98"/>
      <c r="AEN175" s="98"/>
      <c r="AEO175" s="98"/>
      <c r="AEP175" s="98"/>
      <c r="AEQ175" s="98"/>
      <c r="AER175" s="98"/>
      <c r="AES175" s="98"/>
      <c r="AET175" s="98"/>
      <c r="AEU175" s="98"/>
      <c r="AEV175" s="98"/>
      <c r="AEW175" s="98"/>
      <c r="AEX175" s="98"/>
      <c r="AEY175" s="98"/>
      <c r="AEZ175" s="98"/>
      <c r="AFA175" s="98"/>
      <c r="AFB175" s="98"/>
      <c r="AFC175" s="98"/>
      <c r="AFD175" s="98"/>
      <c r="AFE175" s="98"/>
      <c r="AFF175" s="98"/>
      <c r="AFG175" s="98"/>
      <c r="AFH175" s="98"/>
      <c r="AFI175" s="98"/>
      <c r="AFJ175" s="98"/>
      <c r="AFK175" s="98"/>
      <c r="AFL175" s="98"/>
      <c r="AFM175" s="98"/>
      <c r="AFN175" s="98"/>
      <c r="AFO175" s="98"/>
      <c r="AFP175" s="98"/>
      <c r="AFQ175" s="98"/>
      <c r="AFR175" s="98"/>
      <c r="AFS175" s="98"/>
      <c r="AFT175" s="98"/>
      <c r="AFU175" s="98"/>
      <c r="AFV175" s="98"/>
      <c r="AFW175" s="98"/>
      <c r="AFX175" s="98"/>
      <c r="AFY175" s="98"/>
      <c r="AFZ175" s="98"/>
      <c r="AGA175" s="98"/>
      <c r="AGB175" s="98"/>
      <c r="AGC175" s="98"/>
      <c r="AGD175" s="98"/>
      <c r="AGE175" s="98"/>
      <c r="AGF175" s="98"/>
      <c r="AGG175" s="98"/>
      <c r="AGH175" s="98"/>
      <c r="AGI175" s="98"/>
      <c r="AGJ175" s="98"/>
      <c r="AGK175" s="98"/>
      <c r="AGL175" s="98"/>
      <c r="AGM175" s="98"/>
      <c r="AGN175" s="98"/>
      <c r="AGO175" s="98"/>
      <c r="AGP175" s="98"/>
      <c r="AGQ175" s="98"/>
      <c r="AGR175" s="98"/>
      <c r="AGS175" s="98"/>
      <c r="AGT175" s="98"/>
      <c r="AGU175" s="98"/>
      <c r="AGV175" s="98"/>
      <c r="AGW175" s="98"/>
      <c r="AGX175" s="98"/>
      <c r="AGY175" s="98"/>
      <c r="AGZ175" s="98"/>
      <c r="AHA175" s="98"/>
      <c r="AHB175" s="98"/>
      <c r="AHC175" s="98"/>
      <c r="AHD175" s="98"/>
      <c r="AHE175" s="98"/>
      <c r="AHF175" s="98"/>
      <c r="AHG175" s="98"/>
      <c r="AHH175" s="98"/>
      <c r="AHI175" s="98"/>
      <c r="AHJ175" s="98"/>
      <c r="AHK175" s="98"/>
      <c r="AHL175" s="98"/>
      <c r="AHM175" s="98"/>
      <c r="AHN175" s="98"/>
      <c r="AHO175" s="98"/>
      <c r="AHP175" s="98"/>
      <c r="AHQ175" s="98"/>
      <c r="AHR175" s="98"/>
      <c r="AHS175" s="98"/>
      <c r="AHT175" s="98"/>
      <c r="AHU175" s="98"/>
      <c r="AHV175" s="98"/>
      <c r="AHW175" s="98"/>
      <c r="AHX175" s="98"/>
      <c r="AHY175" s="98"/>
      <c r="AHZ175" s="98"/>
      <c r="AIA175" s="98"/>
      <c r="AIB175" s="98"/>
      <c r="AIC175" s="98"/>
      <c r="AID175" s="98"/>
      <c r="AIE175" s="98"/>
      <c r="AIF175" s="98"/>
      <c r="AIG175" s="98"/>
      <c r="AIH175" s="98"/>
      <c r="AII175" s="98"/>
      <c r="AIJ175" s="98"/>
      <c r="AIK175" s="98"/>
      <c r="AIL175" s="98"/>
      <c r="AIM175" s="98"/>
      <c r="AIN175" s="98"/>
      <c r="AIO175" s="98"/>
      <c r="AIP175" s="98"/>
      <c r="AIQ175" s="98"/>
      <c r="AIR175" s="98"/>
      <c r="AIS175" s="98"/>
      <c r="AIT175" s="98"/>
      <c r="AIU175" s="98"/>
      <c r="AIV175" s="98"/>
      <c r="AIW175" s="98"/>
      <c r="AIX175" s="98"/>
      <c r="AIY175" s="98"/>
      <c r="AIZ175" s="98"/>
      <c r="AJA175" s="98"/>
      <c r="AJB175" s="98"/>
      <c r="AJC175" s="98"/>
      <c r="AJD175" s="98"/>
      <c r="AJE175" s="98"/>
      <c r="AJF175" s="98"/>
      <c r="AJG175" s="98"/>
      <c r="AJH175" s="98"/>
      <c r="AJI175" s="98"/>
      <c r="AJJ175" s="98"/>
      <c r="AJK175" s="98"/>
      <c r="AJL175" s="98"/>
      <c r="AJM175" s="98"/>
      <c r="AJN175" s="98"/>
      <c r="AJO175" s="98"/>
      <c r="AJP175" s="98"/>
      <c r="AJQ175" s="98"/>
      <c r="AJR175" s="98"/>
      <c r="AJS175" s="98"/>
      <c r="AJT175" s="98"/>
      <c r="AJU175" s="98"/>
      <c r="AJV175" s="98"/>
      <c r="AJW175" s="98"/>
      <c r="AJX175" s="98"/>
      <c r="AJY175" s="98"/>
      <c r="AJZ175" s="98"/>
      <c r="AKA175" s="98"/>
      <c r="AKB175" s="98"/>
      <c r="AKC175" s="98"/>
      <c r="AKD175" s="98"/>
      <c r="AKE175" s="98"/>
      <c r="AKF175" s="98"/>
      <c r="AKG175" s="98"/>
      <c r="AKH175" s="98"/>
      <c r="AKI175" s="98"/>
      <c r="AKJ175" s="98"/>
      <c r="AKK175" s="98"/>
      <c r="AKL175" s="98"/>
      <c r="AKM175" s="98"/>
      <c r="AKN175" s="98"/>
      <c r="AKO175" s="98"/>
      <c r="AKP175" s="98"/>
      <c r="AKQ175" s="98"/>
      <c r="AKR175" s="98"/>
      <c r="AKS175" s="98"/>
      <c r="AKT175" s="98"/>
      <c r="AKU175" s="98"/>
      <c r="AKV175" s="98"/>
      <c r="AKW175" s="98"/>
      <c r="AKX175" s="98"/>
      <c r="AKY175" s="98"/>
      <c r="AKZ175" s="98"/>
      <c r="ALA175" s="98"/>
      <c r="ALB175" s="98"/>
      <c r="ALC175" s="98"/>
      <c r="ALD175" s="98"/>
      <c r="ALE175" s="98"/>
      <c r="ALF175" s="98"/>
      <c r="ALG175" s="98"/>
      <c r="ALH175" s="98"/>
      <c r="ALI175" s="98"/>
      <c r="ALJ175" s="98"/>
      <c r="ALK175" s="98"/>
      <c r="ALL175" s="98"/>
      <c r="ALM175" s="98"/>
      <c r="ALN175" s="98"/>
      <c r="ALO175" s="98"/>
      <c r="ALP175" s="98"/>
      <c r="ALQ175" s="98"/>
      <c r="ALR175" s="98"/>
      <c r="ALS175" s="98"/>
      <c r="ALT175" s="98"/>
      <c r="ALU175" s="98"/>
      <c r="ALV175" s="98"/>
      <c r="ALW175" s="98"/>
      <c r="ALX175" s="98"/>
      <c r="ALY175" s="98"/>
      <c r="ALZ175" s="98"/>
      <c r="AMA175" s="98"/>
      <c r="AMB175" s="98"/>
      <c r="AMC175" s="98"/>
      <c r="AMD175" s="98"/>
      <c r="AME175" s="98"/>
      <c r="AMF175" s="98"/>
      <c r="AMG175" s="98"/>
      <c r="AMH175" s="98"/>
      <c r="AMI175" s="98"/>
      <c r="AMJ175" s="98"/>
      <c r="AMK175" s="98"/>
      <c r="AML175" s="98"/>
      <c r="AMM175" s="98"/>
      <c r="AMN175" s="98"/>
      <c r="AMO175" s="98"/>
      <c r="AMP175" s="98"/>
      <c r="AMQ175" s="98"/>
      <c r="AMR175" s="98"/>
      <c r="AMS175" s="98"/>
      <c r="AMT175" s="98"/>
      <c r="AMU175" s="98"/>
      <c r="AMV175" s="98"/>
      <c r="AMW175" s="98"/>
      <c r="AMX175" s="98"/>
      <c r="AMY175" s="98"/>
      <c r="AMZ175" s="98"/>
      <c r="ANA175" s="98"/>
      <c r="ANB175" s="98"/>
      <c r="ANC175" s="98"/>
      <c r="AND175" s="98"/>
      <c r="ANE175" s="98"/>
      <c r="ANF175" s="98"/>
      <c r="ANG175" s="98"/>
      <c r="ANH175" s="98"/>
      <c r="ANI175" s="98"/>
      <c r="ANJ175" s="98"/>
      <c r="ANK175" s="98"/>
      <c r="ANL175" s="98"/>
      <c r="ANM175" s="98"/>
      <c r="ANN175" s="98"/>
      <c r="ANO175" s="98"/>
      <c r="ANP175" s="98"/>
      <c r="ANQ175" s="98"/>
      <c r="ANR175" s="98"/>
      <c r="ANS175" s="98"/>
      <c r="ANT175" s="98"/>
      <c r="ANU175" s="98"/>
      <c r="ANV175" s="98"/>
      <c r="ANW175" s="98"/>
      <c r="ANX175" s="98"/>
      <c r="ANY175" s="98"/>
      <c r="ANZ175" s="98"/>
      <c r="AOA175" s="98"/>
      <c r="AOB175" s="98"/>
      <c r="AOC175" s="98"/>
      <c r="AOD175" s="98"/>
      <c r="AOE175" s="98"/>
      <c r="AOF175" s="98"/>
      <c r="AOG175" s="98"/>
      <c r="AOH175" s="98"/>
      <c r="AOI175" s="98"/>
      <c r="AOJ175" s="98"/>
      <c r="AOK175" s="98"/>
      <c r="AOL175" s="98"/>
      <c r="AOM175" s="98"/>
      <c r="AON175" s="98"/>
      <c r="AOO175" s="98"/>
      <c r="AOP175" s="98"/>
      <c r="AOQ175" s="98"/>
      <c r="AOR175" s="98"/>
      <c r="AOS175" s="98"/>
      <c r="AOT175" s="98"/>
      <c r="AOU175" s="98"/>
      <c r="AOV175" s="98"/>
      <c r="AOW175" s="98"/>
      <c r="AOX175" s="98"/>
      <c r="AOY175" s="98"/>
      <c r="AOZ175" s="98"/>
      <c r="APA175" s="98"/>
      <c r="APB175" s="98"/>
      <c r="APC175" s="98"/>
      <c r="APD175" s="98"/>
      <c r="APE175" s="98"/>
      <c r="APF175" s="98"/>
      <c r="APG175" s="98"/>
      <c r="APH175" s="98"/>
      <c r="API175" s="98"/>
      <c r="APJ175" s="98"/>
      <c r="APK175" s="98"/>
      <c r="APL175" s="98"/>
      <c r="APM175" s="98"/>
      <c r="APN175" s="98"/>
      <c r="APO175" s="98"/>
      <c r="APP175" s="98"/>
      <c r="APQ175" s="98"/>
      <c r="APR175" s="98"/>
      <c r="APS175" s="98"/>
      <c r="APT175" s="98"/>
      <c r="APU175" s="98"/>
      <c r="APV175" s="98"/>
      <c r="APW175" s="98"/>
      <c r="APX175" s="98"/>
      <c r="APY175" s="98"/>
      <c r="APZ175" s="98"/>
      <c r="AQA175" s="98"/>
      <c r="AQB175" s="98"/>
      <c r="AQC175" s="98"/>
      <c r="AQD175" s="98"/>
      <c r="AQE175" s="98"/>
      <c r="AQF175" s="98"/>
      <c r="AQG175" s="98"/>
      <c r="AQH175" s="98"/>
      <c r="AQI175" s="98"/>
      <c r="AQJ175" s="98"/>
      <c r="AQK175" s="98"/>
      <c r="AQL175" s="98"/>
      <c r="AQM175" s="98"/>
      <c r="AQN175" s="98"/>
      <c r="AQO175" s="98"/>
      <c r="AQP175" s="98"/>
      <c r="AQQ175" s="98"/>
      <c r="AQR175" s="98"/>
      <c r="AQS175" s="98"/>
      <c r="AQT175" s="98"/>
      <c r="AQU175" s="98"/>
      <c r="AQV175" s="98"/>
      <c r="AQW175" s="98"/>
      <c r="AQX175" s="98"/>
      <c r="AQY175" s="98"/>
      <c r="AQZ175" s="98"/>
      <c r="ARA175" s="98"/>
      <c r="ARB175" s="98"/>
      <c r="ARC175" s="98"/>
      <c r="ARD175" s="98"/>
      <c r="ARE175" s="98"/>
      <c r="ARF175" s="98"/>
      <c r="ARG175" s="98"/>
      <c r="ARH175" s="98"/>
      <c r="ARI175" s="98"/>
      <c r="ARJ175" s="98"/>
      <c r="ARK175" s="98"/>
      <c r="ARL175" s="98"/>
      <c r="ARM175" s="98"/>
      <c r="ARN175" s="98"/>
      <c r="ARO175" s="98"/>
      <c r="ARP175" s="98"/>
      <c r="ARQ175" s="98"/>
      <c r="ARR175" s="98"/>
      <c r="ARS175" s="98"/>
    </row>
    <row r="176" spans="1:1163" s="174" customFormat="1">
      <c r="A176" s="140" t="s">
        <v>224</v>
      </c>
      <c r="B176" s="119" t="s">
        <v>67</v>
      </c>
      <c r="C176" s="197">
        <v>0</v>
      </c>
      <c r="D176" s="197">
        <v>0</v>
      </c>
      <c r="E176" s="197">
        <v>0</v>
      </c>
      <c r="F176" s="197">
        <v>0</v>
      </c>
      <c r="G176" s="197">
        <v>0</v>
      </c>
      <c r="H176" s="197">
        <v>0</v>
      </c>
      <c r="I176" s="197">
        <v>0</v>
      </c>
      <c r="J176" s="197">
        <v>0</v>
      </c>
      <c r="K176" s="197">
        <v>0</v>
      </c>
      <c r="L176" s="197">
        <v>0</v>
      </c>
      <c r="M176" s="197">
        <v>0</v>
      </c>
      <c r="N176" s="197">
        <v>0</v>
      </c>
      <c r="O176" s="197">
        <v>0</v>
      </c>
      <c r="P176" s="197">
        <v>0</v>
      </c>
      <c r="Q176" s="197">
        <v>0</v>
      </c>
      <c r="R176" s="197">
        <v>0</v>
      </c>
      <c r="S176" s="197">
        <v>0</v>
      </c>
      <c r="T176" s="197">
        <v>0</v>
      </c>
      <c r="U176" s="197">
        <v>0</v>
      </c>
      <c r="V176" s="197">
        <v>0</v>
      </c>
      <c r="W176" s="197">
        <v>724675</v>
      </c>
      <c r="X176" s="197">
        <v>113427505</v>
      </c>
      <c r="Y176" s="197">
        <v>2945027.3076923075</v>
      </c>
      <c r="Z176" s="197">
        <v>508103078</v>
      </c>
      <c r="AA176" s="197">
        <v>3938443.6153846155</v>
      </c>
      <c r="AB176" s="197">
        <v>957953276</v>
      </c>
      <c r="AC176" s="197">
        <v>4570048.634615385</v>
      </c>
      <c r="AD176" s="197">
        <v>966473640</v>
      </c>
      <c r="AE176" s="197">
        <v>5091341.923076923</v>
      </c>
      <c r="AF176" s="197">
        <v>997875786</v>
      </c>
      <c r="AG176" s="197">
        <v>6445317.692307692</v>
      </c>
      <c r="AH176" s="197">
        <v>1431962934</v>
      </c>
      <c r="AI176" s="197">
        <v>7218118.519230769</v>
      </c>
      <c r="AJ176" s="197">
        <v>1827784494</v>
      </c>
      <c r="AK176" s="201">
        <v>7265855</v>
      </c>
      <c r="AL176" s="201">
        <v>1789397826</v>
      </c>
      <c r="AM176" s="176">
        <v>7252140</v>
      </c>
      <c r="AN176" s="176">
        <v>2037600251</v>
      </c>
      <c r="AO176" s="201">
        <v>7460694.230769231</v>
      </c>
      <c r="AP176" s="201">
        <v>2044370517</v>
      </c>
      <c r="AQ176" s="201">
        <v>7449647.192307692</v>
      </c>
      <c r="AR176" s="201">
        <v>1934438941</v>
      </c>
      <c r="AS176" s="201">
        <v>7415618.076923077</v>
      </c>
      <c r="AT176" s="201">
        <v>2986974950</v>
      </c>
      <c r="AU176" s="209">
        <v>7491659.538461538</v>
      </c>
      <c r="AV176" s="209">
        <v>3482872967</v>
      </c>
      <c r="AW176" s="197">
        <v>7372240.615384615</v>
      </c>
      <c r="AX176" s="197">
        <v>2974400068</v>
      </c>
      <c r="AY176" s="197">
        <v>7851384.692307692</v>
      </c>
      <c r="AZ176" s="197">
        <v>2874614163</v>
      </c>
      <c r="BA176" s="178"/>
      <c r="BB176" s="175"/>
      <c r="BC176" s="175"/>
      <c r="BD176" s="175"/>
      <c r="BE176" s="175"/>
      <c r="BF176" s="197"/>
      <c r="BG176" s="197"/>
      <c r="BH176" s="197"/>
      <c r="BI176" s="178"/>
      <c r="BJ176" s="98"/>
      <c r="BK176" s="148"/>
      <c r="BL176" s="98"/>
      <c r="BM176" s="148"/>
      <c r="BN176" s="14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Q176" s="98"/>
      <c r="DR176" s="98"/>
      <c r="DS176" s="98"/>
      <c r="DT176" s="98"/>
      <c r="DU176" s="98"/>
      <c r="DV176" s="98"/>
      <c r="DW176" s="98"/>
      <c r="DX176" s="98"/>
      <c r="DY176" s="98"/>
      <c r="DZ176" s="98"/>
      <c r="EA176" s="98"/>
      <c r="EB176" s="98"/>
      <c r="EC176" s="98"/>
      <c r="ED176" s="98"/>
      <c r="EE176" s="98"/>
      <c r="EF176" s="98"/>
      <c r="EG176" s="98"/>
      <c r="EH176" s="98"/>
      <c r="EI176" s="98"/>
      <c r="EJ176" s="98"/>
      <c r="EK176" s="98"/>
      <c r="EL176" s="98"/>
      <c r="EM176" s="98"/>
      <c r="EN176" s="98"/>
      <c r="EO176" s="98"/>
      <c r="EP176" s="98"/>
      <c r="EQ176" s="98"/>
      <c r="ER176" s="98"/>
      <c r="ES176" s="98"/>
      <c r="ET176" s="98"/>
      <c r="EU176" s="98"/>
      <c r="EV176" s="98"/>
      <c r="EW176" s="98"/>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c r="IW176" s="98"/>
      <c r="IX176" s="98"/>
      <c r="IY176" s="98"/>
      <c r="IZ176" s="98"/>
      <c r="JA176" s="98"/>
      <c r="JB176" s="98"/>
      <c r="JC176" s="98"/>
      <c r="JD176" s="98"/>
      <c r="JE176" s="98"/>
      <c r="JF176" s="98"/>
      <c r="JG176" s="98"/>
      <c r="JH176" s="98"/>
      <c r="JI176" s="98"/>
      <c r="JJ176" s="98"/>
      <c r="JK176" s="98"/>
      <c r="JL176" s="98"/>
      <c r="JM176" s="98"/>
      <c r="JN176" s="98"/>
      <c r="JO176" s="98"/>
      <c r="JP176" s="98"/>
      <c r="JQ176" s="98"/>
      <c r="JR176" s="98"/>
      <c r="JS176" s="98"/>
      <c r="JT176" s="98"/>
      <c r="JU176" s="98"/>
      <c r="JV176" s="98"/>
      <c r="JW176" s="98"/>
      <c r="JX176" s="98"/>
      <c r="JY176" s="98"/>
      <c r="JZ176" s="98"/>
      <c r="KA176" s="98"/>
      <c r="KB176" s="98"/>
      <c r="KC176" s="98"/>
      <c r="KD176" s="98"/>
      <c r="KE176" s="98"/>
      <c r="KF176" s="98"/>
      <c r="KG176" s="98"/>
      <c r="KH176" s="98"/>
      <c r="KI176" s="98"/>
      <c r="KJ176" s="98"/>
      <c r="KK176" s="98"/>
      <c r="KL176" s="98"/>
      <c r="KM176" s="98"/>
      <c r="KN176" s="98"/>
      <c r="KO176" s="98"/>
      <c r="KP176" s="98"/>
      <c r="KQ176" s="98"/>
      <c r="KR176" s="98"/>
      <c r="KS176" s="98"/>
      <c r="KT176" s="98"/>
      <c r="KU176" s="98"/>
      <c r="KV176" s="98"/>
      <c r="KW176" s="98"/>
      <c r="KX176" s="98"/>
      <c r="KY176" s="98"/>
      <c r="KZ176" s="98"/>
      <c r="LA176" s="98"/>
      <c r="LB176" s="98"/>
      <c r="LC176" s="98"/>
      <c r="LD176" s="98"/>
      <c r="LE176" s="98"/>
      <c r="LF176" s="98"/>
      <c r="LG176" s="98"/>
      <c r="LH176" s="98"/>
      <c r="LI176" s="98"/>
      <c r="LJ176" s="98"/>
      <c r="LK176" s="98"/>
      <c r="LL176" s="98"/>
      <c r="LM176" s="98"/>
      <c r="LN176" s="98"/>
      <c r="LO176" s="98"/>
      <c r="LP176" s="98"/>
      <c r="LQ176" s="98"/>
      <c r="LR176" s="98"/>
      <c r="LS176" s="98"/>
      <c r="LT176" s="98"/>
      <c r="LU176" s="98"/>
      <c r="LV176" s="98"/>
      <c r="LW176" s="98"/>
      <c r="LX176" s="98"/>
      <c r="LY176" s="98"/>
      <c r="LZ176" s="98"/>
      <c r="MA176" s="98"/>
      <c r="MB176" s="98"/>
      <c r="MC176" s="98"/>
      <c r="MD176" s="98"/>
      <c r="ME176" s="98"/>
      <c r="MF176" s="98"/>
      <c r="MG176" s="98"/>
      <c r="MH176" s="98"/>
      <c r="MI176" s="98"/>
      <c r="MJ176" s="98"/>
      <c r="MK176" s="98"/>
      <c r="ML176" s="98"/>
      <c r="MM176" s="98"/>
      <c r="MN176" s="98"/>
      <c r="MO176" s="98"/>
      <c r="MP176" s="98"/>
      <c r="MQ176" s="98"/>
      <c r="MR176" s="98"/>
      <c r="MS176" s="98"/>
      <c r="MT176" s="98"/>
      <c r="MU176" s="98"/>
      <c r="MV176" s="98"/>
      <c r="MW176" s="98"/>
      <c r="MX176" s="98"/>
      <c r="MY176" s="98"/>
      <c r="MZ176" s="98"/>
      <c r="NA176" s="98"/>
      <c r="NB176" s="98"/>
      <c r="NC176" s="98"/>
      <c r="ND176" s="98"/>
      <c r="NE176" s="98"/>
      <c r="NF176" s="98"/>
      <c r="NG176" s="98"/>
      <c r="NH176" s="98"/>
      <c r="NI176" s="98"/>
      <c r="NJ176" s="98"/>
      <c r="NK176" s="98"/>
      <c r="NL176" s="98"/>
      <c r="NM176" s="98"/>
      <c r="NN176" s="98"/>
      <c r="NO176" s="98"/>
      <c r="NP176" s="98"/>
      <c r="NQ176" s="98"/>
      <c r="NR176" s="98"/>
      <c r="NS176" s="98"/>
      <c r="NT176" s="98"/>
      <c r="NU176" s="98"/>
      <c r="NV176" s="98"/>
      <c r="NW176" s="98"/>
      <c r="NX176" s="98"/>
      <c r="NY176" s="98"/>
      <c r="NZ176" s="98"/>
      <c r="OA176" s="98"/>
      <c r="OB176" s="98"/>
      <c r="OC176" s="98"/>
      <c r="OD176" s="98"/>
      <c r="OE176" s="98"/>
      <c r="OF176" s="98"/>
      <c r="OG176" s="98"/>
      <c r="OH176" s="98"/>
      <c r="OI176" s="98"/>
      <c r="OJ176" s="98"/>
      <c r="OK176" s="98"/>
      <c r="OL176" s="98"/>
      <c r="OM176" s="98"/>
      <c r="ON176" s="98"/>
      <c r="OO176" s="98"/>
      <c r="OP176" s="98"/>
      <c r="OQ176" s="98"/>
      <c r="OR176" s="98"/>
      <c r="OS176" s="98"/>
      <c r="OT176" s="98"/>
      <c r="OU176" s="98"/>
      <c r="OV176" s="98"/>
      <c r="OW176" s="98"/>
      <c r="OX176" s="98"/>
      <c r="OY176" s="98"/>
      <c r="OZ176" s="98"/>
      <c r="PA176" s="98"/>
      <c r="PB176" s="98"/>
      <c r="PC176" s="98"/>
      <c r="PD176" s="98"/>
      <c r="PE176" s="98"/>
      <c r="PF176" s="98"/>
      <c r="PG176" s="98"/>
      <c r="PH176" s="98"/>
      <c r="PI176" s="98"/>
      <c r="PJ176" s="98"/>
      <c r="PK176" s="98"/>
      <c r="PL176" s="98"/>
      <c r="PM176" s="98"/>
      <c r="PN176" s="98"/>
      <c r="PO176" s="98"/>
      <c r="PP176" s="98"/>
      <c r="PQ176" s="98"/>
      <c r="PR176" s="98"/>
      <c r="PS176" s="98"/>
      <c r="PT176" s="98"/>
      <c r="PU176" s="98"/>
      <c r="PV176" s="98"/>
      <c r="PW176" s="98"/>
      <c r="PX176" s="98"/>
      <c r="PY176" s="98"/>
      <c r="PZ176" s="98"/>
      <c r="QA176" s="98"/>
      <c r="QB176" s="98"/>
      <c r="QC176" s="98"/>
      <c r="QD176" s="98"/>
      <c r="QE176" s="98"/>
      <c r="QF176" s="98"/>
      <c r="QG176" s="98"/>
      <c r="QH176" s="98"/>
      <c r="QI176" s="98"/>
      <c r="QJ176" s="98"/>
      <c r="QK176" s="98"/>
      <c r="QL176" s="98"/>
      <c r="QM176" s="98"/>
      <c r="QN176" s="98"/>
      <c r="QO176" s="98"/>
      <c r="QP176" s="98"/>
      <c r="QQ176" s="98"/>
      <c r="QR176" s="98"/>
      <c r="QS176" s="98"/>
      <c r="QT176" s="98"/>
      <c r="QU176" s="98"/>
      <c r="QV176" s="98"/>
      <c r="QW176" s="98"/>
      <c r="QX176" s="98"/>
      <c r="QY176" s="98"/>
      <c r="QZ176" s="98"/>
      <c r="RA176" s="98"/>
      <c r="RB176" s="98"/>
      <c r="RC176" s="98"/>
      <c r="RD176" s="98"/>
      <c r="RE176" s="98"/>
      <c r="RF176" s="98"/>
      <c r="RG176" s="98"/>
      <c r="RH176" s="98"/>
      <c r="RI176" s="98"/>
      <c r="RJ176" s="98"/>
      <c r="RK176" s="98"/>
      <c r="RL176" s="98"/>
      <c r="RM176" s="98"/>
      <c r="RN176" s="98"/>
      <c r="RO176" s="98"/>
      <c r="RP176" s="98"/>
      <c r="RQ176" s="98"/>
      <c r="RR176" s="98"/>
      <c r="RS176" s="98"/>
      <c r="RT176" s="98"/>
      <c r="RU176" s="98"/>
      <c r="RV176" s="98"/>
      <c r="RW176" s="98"/>
      <c r="RX176" s="98"/>
      <c r="RY176" s="98"/>
      <c r="RZ176" s="98"/>
      <c r="SA176" s="98"/>
      <c r="SB176" s="98"/>
      <c r="SC176" s="98"/>
      <c r="SD176" s="98"/>
      <c r="SE176" s="98"/>
      <c r="SF176" s="98"/>
      <c r="SG176" s="98"/>
      <c r="SH176" s="98"/>
      <c r="SI176" s="98"/>
      <c r="SJ176" s="98"/>
      <c r="SK176" s="98"/>
      <c r="SL176" s="98"/>
      <c r="SM176" s="98"/>
      <c r="SN176" s="98"/>
      <c r="SO176" s="98"/>
      <c r="SP176" s="98"/>
      <c r="SQ176" s="98"/>
      <c r="SR176" s="98"/>
      <c r="SS176" s="98"/>
      <c r="ST176" s="98"/>
      <c r="SU176" s="98"/>
      <c r="SV176" s="98"/>
      <c r="SW176" s="98"/>
      <c r="SX176" s="98"/>
      <c r="SY176" s="98"/>
      <c r="SZ176" s="98"/>
      <c r="TA176" s="98"/>
      <c r="TB176" s="98"/>
      <c r="TC176" s="98"/>
      <c r="TD176" s="98"/>
      <c r="TE176" s="98"/>
      <c r="TF176" s="98"/>
      <c r="TG176" s="98"/>
      <c r="TH176" s="98"/>
      <c r="TI176" s="98"/>
      <c r="TJ176" s="98"/>
      <c r="TK176" s="98"/>
      <c r="TL176" s="98"/>
      <c r="TM176" s="98"/>
      <c r="TN176" s="98"/>
      <c r="TO176" s="98"/>
      <c r="TP176" s="98"/>
      <c r="TQ176" s="98"/>
      <c r="TR176" s="98"/>
      <c r="TS176" s="98"/>
      <c r="TT176" s="98"/>
      <c r="TU176" s="98"/>
      <c r="TV176" s="98"/>
      <c r="TW176" s="98"/>
      <c r="TX176" s="98"/>
      <c r="TY176" s="98"/>
      <c r="TZ176" s="98"/>
      <c r="UA176" s="98"/>
      <c r="UB176" s="98"/>
      <c r="UC176" s="98"/>
      <c r="UD176" s="98"/>
      <c r="UE176" s="98"/>
      <c r="UF176" s="98"/>
      <c r="UG176" s="98"/>
      <c r="UH176" s="98"/>
      <c r="UI176" s="98"/>
      <c r="UJ176" s="98"/>
      <c r="UK176" s="98"/>
      <c r="UL176" s="98"/>
      <c r="UM176" s="98"/>
      <c r="UN176" s="98"/>
      <c r="UO176" s="98"/>
      <c r="UP176" s="98"/>
      <c r="UQ176" s="98"/>
      <c r="UR176" s="98"/>
      <c r="US176" s="98"/>
      <c r="UT176" s="98"/>
      <c r="UU176" s="98"/>
      <c r="UV176" s="98"/>
      <c r="UW176" s="98"/>
      <c r="UX176" s="98"/>
      <c r="UY176" s="98"/>
      <c r="UZ176" s="98"/>
      <c r="VA176" s="98"/>
      <c r="VB176" s="98"/>
      <c r="VC176" s="98"/>
      <c r="VD176" s="98"/>
      <c r="VE176" s="98"/>
      <c r="VF176" s="98"/>
      <c r="VG176" s="98"/>
      <c r="VH176" s="98"/>
      <c r="VI176" s="98"/>
      <c r="VJ176" s="98"/>
      <c r="VK176" s="98"/>
      <c r="VL176" s="98"/>
      <c r="VM176" s="98"/>
      <c r="VN176" s="98"/>
      <c r="VO176" s="98"/>
      <c r="VP176" s="98"/>
      <c r="VQ176" s="98"/>
      <c r="VR176" s="98"/>
      <c r="VS176" s="98"/>
      <c r="VT176" s="98"/>
      <c r="VU176" s="98"/>
      <c r="VV176" s="98"/>
      <c r="VW176" s="98"/>
      <c r="VX176" s="98"/>
      <c r="VY176" s="98"/>
      <c r="VZ176" s="98"/>
      <c r="WA176" s="98"/>
      <c r="WB176" s="98"/>
      <c r="WC176" s="98"/>
      <c r="WD176" s="98"/>
      <c r="WE176" s="98"/>
      <c r="WF176" s="98"/>
      <c r="WG176" s="98"/>
      <c r="WH176" s="98"/>
      <c r="WI176" s="98"/>
      <c r="WJ176" s="98"/>
      <c r="WK176" s="98"/>
      <c r="WL176" s="98"/>
      <c r="WM176" s="98"/>
      <c r="WN176" s="98"/>
      <c r="WO176" s="98"/>
      <c r="WP176" s="98"/>
      <c r="WQ176" s="98"/>
      <c r="WR176" s="98"/>
      <c r="WS176" s="98"/>
      <c r="WT176" s="98"/>
      <c r="WU176" s="98"/>
      <c r="WV176" s="98"/>
      <c r="WW176" s="98"/>
      <c r="WX176" s="98"/>
      <c r="WY176" s="98"/>
      <c r="WZ176" s="98"/>
      <c r="XA176" s="98"/>
      <c r="XB176" s="98"/>
      <c r="XC176" s="98"/>
      <c r="XD176" s="98"/>
      <c r="XE176" s="98"/>
      <c r="XF176" s="98"/>
      <c r="XG176" s="98"/>
      <c r="XH176" s="98"/>
      <c r="XI176" s="98"/>
      <c r="XJ176" s="98"/>
      <c r="XK176" s="98"/>
      <c r="XL176" s="98"/>
      <c r="XM176" s="98"/>
      <c r="XN176" s="98"/>
      <c r="XO176" s="98"/>
      <c r="XP176" s="98"/>
      <c r="XQ176" s="98"/>
      <c r="XR176" s="98"/>
      <c r="XS176" s="98"/>
      <c r="XT176" s="98"/>
      <c r="XU176" s="98"/>
      <c r="XV176" s="98"/>
      <c r="XW176" s="98"/>
      <c r="XX176" s="98"/>
      <c r="XY176" s="98"/>
      <c r="XZ176" s="98"/>
      <c r="YA176" s="98"/>
      <c r="YB176" s="98"/>
      <c r="YC176" s="98"/>
      <c r="YD176" s="98"/>
      <c r="YE176" s="98"/>
      <c r="YF176" s="98"/>
      <c r="YG176" s="98"/>
      <c r="YH176" s="98"/>
      <c r="YI176" s="98"/>
      <c r="YJ176" s="98"/>
      <c r="YK176" s="98"/>
      <c r="YL176" s="98"/>
      <c r="YM176" s="98"/>
      <c r="YN176" s="98"/>
      <c r="YO176" s="98"/>
      <c r="YP176" s="98"/>
      <c r="YQ176" s="98"/>
      <c r="YR176" s="98"/>
      <c r="YS176" s="98"/>
      <c r="YT176" s="98"/>
      <c r="YU176" s="98"/>
      <c r="YV176" s="98"/>
      <c r="YW176" s="98"/>
      <c r="YX176" s="98"/>
      <c r="YY176" s="98"/>
      <c r="YZ176" s="98"/>
      <c r="ZA176" s="98"/>
      <c r="ZB176" s="98"/>
      <c r="ZC176" s="98"/>
      <c r="ZD176" s="98"/>
      <c r="ZE176" s="98"/>
      <c r="ZF176" s="98"/>
      <c r="ZG176" s="98"/>
      <c r="ZH176" s="98"/>
      <c r="ZI176" s="98"/>
      <c r="ZJ176" s="98"/>
      <c r="ZK176" s="98"/>
      <c r="ZL176" s="98"/>
      <c r="ZM176" s="98"/>
      <c r="ZN176" s="98"/>
      <c r="ZO176" s="98"/>
      <c r="ZP176" s="98"/>
      <c r="ZQ176" s="98"/>
      <c r="ZR176" s="98"/>
      <c r="ZS176" s="98"/>
      <c r="ZT176" s="98"/>
      <c r="ZU176" s="98"/>
      <c r="ZV176" s="98"/>
      <c r="ZW176" s="98"/>
      <c r="ZX176" s="98"/>
      <c r="ZY176" s="98"/>
      <c r="ZZ176" s="98"/>
      <c r="AAA176" s="98"/>
      <c r="AAB176" s="98"/>
      <c r="AAC176" s="98"/>
      <c r="AAD176" s="98"/>
      <c r="AAE176" s="98"/>
      <c r="AAF176" s="98"/>
      <c r="AAG176" s="98"/>
      <c r="AAH176" s="98"/>
      <c r="AAI176" s="98"/>
      <c r="AAJ176" s="98"/>
      <c r="AAK176" s="98"/>
      <c r="AAL176" s="98"/>
      <c r="AAM176" s="98"/>
      <c r="AAN176" s="98"/>
      <c r="AAO176" s="98"/>
      <c r="AAP176" s="98"/>
      <c r="AAQ176" s="98"/>
      <c r="AAR176" s="98"/>
      <c r="AAS176" s="98"/>
      <c r="AAT176" s="98"/>
      <c r="AAU176" s="98"/>
      <c r="AAV176" s="98"/>
      <c r="AAW176" s="98"/>
      <c r="AAX176" s="98"/>
      <c r="AAY176" s="98"/>
      <c r="AAZ176" s="98"/>
      <c r="ABA176" s="98"/>
      <c r="ABB176" s="98"/>
      <c r="ABC176" s="98"/>
      <c r="ABD176" s="98"/>
      <c r="ABE176" s="98"/>
      <c r="ABF176" s="98"/>
      <c r="ABG176" s="98"/>
      <c r="ABH176" s="98"/>
      <c r="ABI176" s="98"/>
      <c r="ABJ176" s="98"/>
      <c r="ABK176" s="98"/>
      <c r="ABL176" s="98"/>
      <c r="ABM176" s="98"/>
      <c r="ABN176" s="98"/>
      <c r="ABO176" s="98"/>
      <c r="ABP176" s="98"/>
      <c r="ABQ176" s="98"/>
      <c r="ABR176" s="98"/>
      <c r="ABS176" s="98"/>
      <c r="ABT176" s="98"/>
      <c r="ABU176" s="98"/>
      <c r="ABV176" s="98"/>
      <c r="ABW176" s="98"/>
      <c r="ABX176" s="98"/>
      <c r="ABY176" s="98"/>
      <c r="ABZ176" s="98"/>
      <c r="ACA176" s="98"/>
      <c r="ACB176" s="98"/>
      <c r="ACC176" s="98"/>
      <c r="ACD176" s="98"/>
      <c r="ACE176" s="98"/>
      <c r="ACF176" s="98"/>
      <c r="ACG176" s="98"/>
      <c r="ACH176" s="98"/>
      <c r="ACI176" s="98"/>
      <c r="ACJ176" s="98"/>
      <c r="ACK176" s="98"/>
      <c r="ACL176" s="98"/>
      <c r="ACM176" s="98"/>
      <c r="ACN176" s="98"/>
      <c r="ACO176" s="98"/>
      <c r="ACP176" s="98"/>
      <c r="ACQ176" s="98"/>
      <c r="ACR176" s="98"/>
      <c r="ACS176" s="98"/>
      <c r="ACT176" s="98"/>
      <c r="ACU176" s="98"/>
      <c r="ACV176" s="98"/>
      <c r="ACW176" s="98"/>
      <c r="ACX176" s="98"/>
      <c r="ACY176" s="98"/>
      <c r="ACZ176" s="98"/>
      <c r="ADA176" s="98"/>
      <c r="ADB176" s="98"/>
      <c r="ADC176" s="98"/>
      <c r="ADD176" s="98"/>
      <c r="ADE176" s="98"/>
      <c r="ADF176" s="98"/>
      <c r="ADG176" s="98"/>
      <c r="ADH176" s="98"/>
      <c r="ADI176" s="98"/>
      <c r="ADJ176" s="98"/>
      <c r="ADK176" s="98"/>
      <c r="ADL176" s="98"/>
      <c r="ADM176" s="98"/>
      <c r="ADN176" s="98"/>
      <c r="ADO176" s="98"/>
      <c r="ADP176" s="98"/>
      <c r="ADQ176" s="98"/>
      <c r="ADR176" s="98"/>
      <c r="ADS176" s="98"/>
      <c r="ADT176" s="98"/>
      <c r="ADU176" s="98"/>
      <c r="ADV176" s="98"/>
      <c r="ADW176" s="98"/>
      <c r="ADX176" s="98"/>
      <c r="ADY176" s="98"/>
      <c r="ADZ176" s="98"/>
      <c r="AEA176" s="98"/>
      <c r="AEB176" s="98"/>
      <c r="AEC176" s="98"/>
      <c r="AED176" s="98"/>
      <c r="AEE176" s="98"/>
      <c r="AEF176" s="98"/>
      <c r="AEG176" s="98"/>
      <c r="AEH176" s="98"/>
      <c r="AEI176" s="98"/>
      <c r="AEJ176" s="98"/>
      <c r="AEK176" s="98"/>
      <c r="AEL176" s="98"/>
      <c r="AEM176" s="98"/>
      <c r="AEN176" s="98"/>
      <c r="AEO176" s="98"/>
      <c r="AEP176" s="98"/>
      <c r="AEQ176" s="98"/>
      <c r="AER176" s="98"/>
      <c r="AES176" s="98"/>
      <c r="AET176" s="98"/>
      <c r="AEU176" s="98"/>
      <c r="AEV176" s="98"/>
      <c r="AEW176" s="98"/>
      <c r="AEX176" s="98"/>
      <c r="AEY176" s="98"/>
      <c r="AEZ176" s="98"/>
      <c r="AFA176" s="98"/>
      <c r="AFB176" s="98"/>
      <c r="AFC176" s="98"/>
      <c r="AFD176" s="98"/>
      <c r="AFE176" s="98"/>
      <c r="AFF176" s="98"/>
      <c r="AFG176" s="98"/>
      <c r="AFH176" s="98"/>
      <c r="AFI176" s="98"/>
      <c r="AFJ176" s="98"/>
      <c r="AFK176" s="98"/>
      <c r="AFL176" s="98"/>
      <c r="AFM176" s="98"/>
      <c r="AFN176" s="98"/>
      <c r="AFO176" s="98"/>
      <c r="AFP176" s="98"/>
      <c r="AFQ176" s="98"/>
      <c r="AFR176" s="98"/>
      <c r="AFS176" s="98"/>
      <c r="AFT176" s="98"/>
      <c r="AFU176" s="98"/>
      <c r="AFV176" s="98"/>
      <c r="AFW176" s="98"/>
      <c r="AFX176" s="98"/>
      <c r="AFY176" s="98"/>
      <c r="AFZ176" s="98"/>
      <c r="AGA176" s="98"/>
      <c r="AGB176" s="98"/>
      <c r="AGC176" s="98"/>
      <c r="AGD176" s="98"/>
      <c r="AGE176" s="98"/>
      <c r="AGF176" s="98"/>
      <c r="AGG176" s="98"/>
      <c r="AGH176" s="98"/>
      <c r="AGI176" s="98"/>
      <c r="AGJ176" s="98"/>
      <c r="AGK176" s="98"/>
      <c r="AGL176" s="98"/>
      <c r="AGM176" s="98"/>
      <c r="AGN176" s="98"/>
      <c r="AGO176" s="98"/>
      <c r="AGP176" s="98"/>
      <c r="AGQ176" s="98"/>
      <c r="AGR176" s="98"/>
      <c r="AGS176" s="98"/>
      <c r="AGT176" s="98"/>
      <c r="AGU176" s="98"/>
      <c r="AGV176" s="98"/>
      <c r="AGW176" s="98"/>
      <c r="AGX176" s="98"/>
      <c r="AGY176" s="98"/>
      <c r="AGZ176" s="98"/>
      <c r="AHA176" s="98"/>
      <c r="AHB176" s="98"/>
      <c r="AHC176" s="98"/>
      <c r="AHD176" s="98"/>
      <c r="AHE176" s="98"/>
      <c r="AHF176" s="98"/>
      <c r="AHG176" s="98"/>
      <c r="AHH176" s="98"/>
      <c r="AHI176" s="98"/>
      <c r="AHJ176" s="98"/>
      <c r="AHK176" s="98"/>
      <c r="AHL176" s="98"/>
      <c r="AHM176" s="98"/>
      <c r="AHN176" s="98"/>
      <c r="AHO176" s="98"/>
      <c r="AHP176" s="98"/>
      <c r="AHQ176" s="98"/>
      <c r="AHR176" s="98"/>
      <c r="AHS176" s="98"/>
      <c r="AHT176" s="98"/>
      <c r="AHU176" s="98"/>
      <c r="AHV176" s="98"/>
      <c r="AHW176" s="98"/>
      <c r="AHX176" s="98"/>
      <c r="AHY176" s="98"/>
      <c r="AHZ176" s="98"/>
      <c r="AIA176" s="98"/>
      <c r="AIB176" s="98"/>
      <c r="AIC176" s="98"/>
      <c r="AID176" s="98"/>
      <c r="AIE176" s="98"/>
      <c r="AIF176" s="98"/>
      <c r="AIG176" s="98"/>
      <c r="AIH176" s="98"/>
      <c r="AII176" s="98"/>
      <c r="AIJ176" s="98"/>
      <c r="AIK176" s="98"/>
      <c r="AIL176" s="98"/>
      <c r="AIM176" s="98"/>
      <c r="AIN176" s="98"/>
      <c r="AIO176" s="98"/>
      <c r="AIP176" s="98"/>
      <c r="AIQ176" s="98"/>
      <c r="AIR176" s="98"/>
      <c r="AIS176" s="98"/>
      <c r="AIT176" s="98"/>
      <c r="AIU176" s="98"/>
      <c r="AIV176" s="98"/>
      <c r="AIW176" s="98"/>
      <c r="AIX176" s="98"/>
      <c r="AIY176" s="98"/>
      <c r="AIZ176" s="98"/>
      <c r="AJA176" s="98"/>
      <c r="AJB176" s="98"/>
      <c r="AJC176" s="98"/>
      <c r="AJD176" s="98"/>
      <c r="AJE176" s="98"/>
      <c r="AJF176" s="98"/>
      <c r="AJG176" s="98"/>
      <c r="AJH176" s="98"/>
      <c r="AJI176" s="98"/>
      <c r="AJJ176" s="98"/>
      <c r="AJK176" s="98"/>
      <c r="AJL176" s="98"/>
      <c r="AJM176" s="98"/>
      <c r="AJN176" s="98"/>
      <c r="AJO176" s="98"/>
      <c r="AJP176" s="98"/>
      <c r="AJQ176" s="98"/>
      <c r="AJR176" s="98"/>
      <c r="AJS176" s="98"/>
      <c r="AJT176" s="98"/>
      <c r="AJU176" s="98"/>
      <c r="AJV176" s="98"/>
      <c r="AJW176" s="98"/>
      <c r="AJX176" s="98"/>
      <c r="AJY176" s="98"/>
      <c r="AJZ176" s="98"/>
      <c r="AKA176" s="98"/>
      <c r="AKB176" s="98"/>
      <c r="AKC176" s="98"/>
      <c r="AKD176" s="98"/>
      <c r="AKE176" s="98"/>
      <c r="AKF176" s="98"/>
      <c r="AKG176" s="98"/>
      <c r="AKH176" s="98"/>
      <c r="AKI176" s="98"/>
      <c r="AKJ176" s="98"/>
      <c r="AKK176" s="98"/>
      <c r="AKL176" s="98"/>
      <c r="AKM176" s="98"/>
      <c r="AKN176" s="98"/>
      <c r="AKO176" s="98"/>
      <c r="AKP176" s="98"/>
      <c r="AKQ176" s="98"/>
      <c r="AKR176" s="98"/>
      <c r="AKS176" s="98"/>
      <c r="AKT176" s="98"/>
      <c r="AKU176" s="98"/>
      <c r="AKV176" s="98"/>
      <c r="AKW176" s="98"/>
      <c r="AKX176" s="98"/>
      <c r="AKY176" s="98"/>
      <c r="AKZ176" s="98"/>
      <c r="ALA176" s="98"/>
      <c r="ALB176" s="98"/>
      <c r="ALC176" s="98"/>
      <c r="ALD176" s="98"/>
      <c r="ALE176" s="98"/>
      <c r="ALF176" s="98"/>
      <c r="ALG176" s="98"/>
      <c r="ALH176" s="98"/>
      <c r="ALI176" s="98"/>
      <c r="ALJ176" s="98"/>
      <c r="ALK176" s="98"/>
      <c r="ALL176" s="98"/>
      <c r="ALM176" s="98"/>
      <c r="ALN176" s="98"/>
      <c r="ALO176" s="98"/>
      <c r="ALP176" s="98"/>
      <c r="ALQ176" s="98"/>
      <c r="ALR176" s="98"/>
      <c r="ALS176" s="98"/>
      <c r="ALT176" s="98"/>
      <c r="ALU176" s="98"/>
      <c r="ALV176" s="98"/>
      <c r="ALW176" s="98"/>
      <c r="ALX176" s="98"/>
      <c r="ALY176" s="98"/>
      <c r="ALZ176" s="98"/>
      <c r="AMA176" s="98"/>
      <c r="AMB176" s="98"/>
      <c r="AMC176" s="98"/>
      <c r="AMD176" s="98"/>
      <c r="AME176" s="98"/>
      <c r="AMF176" s="98"/>
      <c r="AMG176" s="98"/>
      <c r="AMH176" s="98"/>
      <c r="AMI176" s="98"/>
      <c r="AMJ176" s="98"/>
      <c r="AMK176" s="98"/>
      <c r="AML176" s="98"/>
      <c r="AMM176" s="98"/>
      <c r="AMN176" s="98"/>
      <c r="AMO176" s="98"/>
      <c r="AMP176" s="98"/>
      <c r="AMQ176" s="98"/>
      <c r="AMR176" s="98"/>
      <c r="AMS176" s="98"/>
      <c r="AMT176" s="98"/>
      <c r="AMU176" s="98"/>
      <c r="AMV176" s="98"/>
      <c r="AMW176" s="98"/>
      <c r="AMX176" s="98"/>
      <c r="AMY176" s="98"/>
      <c r="AMZ176" s="98"/>
      <c r="ANA176" s="98"/>
      <c r="ANB176" s="98"/>
      <c r="ANC176" s="98"/>
      <c r="AND176" s="98"/>
      <c r="ANE176" s="98"/>
      <c r="ANF176" s="98"/>
      <c r="ANG176" s="98"/>
      <c r="ANH176" s="98"/>
      <c r="ANI176" s="98"/>
      <c r="ANJ176" s="98"/>
      <c r="ANK176" s="98"/>
      <c r="ANL176" s="98"/>
      <c r="ANM176" s="98"/>
      <c r="ANN176" s="98"/>
      <c r="ANO176" s="98"/>
      <c r="ANP176" s="98"/>
      <c r="ANQ176" s="98"/>
      <c r="ANR176" s="98"/>
      <c r="ANS176" s="98"/>
      <c r="ANT176" s="98"/>
      <c r="ANU176" s="98"/>
      <c r="ANV176" s="98"/>
      <c r="ANW176" s="98"/>
      <c r="ANX176" s="98"/>
      <c r="ANY176" s="98"/>
      <c r="ANZ176" s="98"/>
      <c r="AOA176" s="98"/>
      <c r="AOB176" s="98"/>
      <c r="AOC176" s="98"/>
      <c r="AOD176" s="98"/>
      <c r="AOE176" s="98"/>
      <c r="AOF176" s="98"/>
      <c r="AOG176" s="98"/>
      <c r="AOH176" s="98"/>
      <c r="AOI176" s="98"/>
      <c r="AOJ176" s="98"/>
      <c r="AOK176" s="98"/>
      <c r="AOL176" s="98"/>
      <c r="AOM176" s="98"/>
      <c r="AON176" s="98"/>
      <c r="AOO176" s="98"/>
      <c r="AOP176" s="98"/>
      <c r="AOQ176" s="98"/>
      <c r="AOR176" s="98"/>
      <c r="AOS176" s="98"/>
      <c r="AOT176" s="98"/>
      <c r="AOU176" s="98"/>
      <c r="AOV176" s="98"/>
      <c r="AOW176" s="98"/>
      <c r="AOX176" s="98"/>
      <c r="AOY176" s="98"/>
      <c r="AOZ176" s="98"/>
      <c r="APA176" s="98"/>
      <c r="APB176" s="98"/>
      <c r="APC176" s="98"/>
      <c r="APD176" s="98"/>
      <c r="APE176" s="98"/>
      <c r="APF176" s="98"/>
      <c r="APG176" s="98"/>
      <c r="APH176" s="98"/>
      <c r="API176" s="98"/>
      <c r="APJ176" s="98"/>
      <c r="APK176" s="98"/>
      <c r="APL176" s="98"/>
      <c r="APM176" s="98"/>
      <c r="APN176" s="98"/>
      <c r="APO176" s="98"/>
      <c r="APP176" s="98"/>
      <c r="APQ176" s="98"/>
      <c r="APR176" s="98"/>
      <c r="APS176" s="98"/>
      <c r="APT176" s="98"/>
      <c r="APU176" s="98"/>
      <c r="APV176" s="98"/>
      <c r="APW176" s="98"/>
      <c r="APX176" s="98"/>
      <c r="APY176" s="98"/>
      <c r="APZ176" s="98"/>
      <c r="AQA176" s="98"/>
      <c r="AQB176" s="98"/>
      <c r="AQC176" s="98"/>
      <c r="AQD176" s="98"/>
      <c r="AQE176" s="98"/>
      <c r="AQF176" s="98"/>
      <c r="AQG176" s="98"/>
      <c r="AQH176" s="98"/>
      <c r="AQI176" s="98"/>
      <c r="AQJ176" s="98"/>
      <c r="AQK176" s="98"/>
      <c r="AQL176" s="98"/>
      <c r="AQM176" s="98"/>
      <c r="AQN176" s="98"/>
      <c r="AQO176" s="98"/>
      <c r="AQP176" s="98"/>
      <c r="AQQ176" s="98"/>
      <c r="AQR176" s="98"/>
      <c r="AQS176" s="98"/>
      <c r="AQT176" s="98"/>
      <c r="AQU176" s="98"/>
      <c r="AQV176" s="98"/>
      <c r="AQW176" s="98"/>
      <c r="AQX176" s="98"/>
      <c r="AQY176" s="98"/>
      <c r="AQZ176" s="98"/>
      <c r="ARA176" s="98"/>
      <c r="ARB176" s="98"/>
      <c r="ARC176" s="98"/>
      <c r="ARD176" s="98"/>
      <c r="ARE176" s="98"/>
      <c r="ARF176" s="98"/>
      <c r="ARG176" s="98"/>
      <c r="ARH176" s="98"/>
      <c r="ARI176" s="98"/>
      <c r="ARJ176" s="98"/>
      <c r="ARK176" s="98"/>
      <c r="ARL176" s="98"/>
      <c r="ARM176" s="98"/>
      <c r="ARN176" s="98"/>
      <c r="ARO176" s="98"/>
      <c r="ARP176" s="98"/>
      <c r="ARQ176" s="98"/>
      <c r="ARR176" s="98"/>
      <c r="ARS176" s="98"/>
    </row>
    <row r="177" spans="1:1163" s="174" customFormat="1">
      <c r="A177" s="140" t="s">
        <v>262</v>
      </c>
      <c r="B177" s="119" t="s">
        <v>67</v>
      </c>
      <c r="C177" s="197">
        <v>0</v>
      </c>
      <c r="D177" s="197">
        <v>0</v>
      </c>
      <c r="E177" s="197">
        <v>0</v>
      </c>
      <c r="F177" s="197">
        <v>0</v>
      </c>
      <c r="G177" s="197">
        <v>0</v>
      </c>
      <c r="H177" s="197">
        <v>0</v>
      </c>
      <c r="I177" s="197">
        <v>0</v>
      </c>
      <c r="J177" s="197">
        <v>0</v>
      </c>
      <c r="K177" s="201">
        <v>0</v>
      </c>
      <c r="L177" s="201">
        <v>0</v>
      </c>
      <c r="M177" s="201">
        <v>0</v>
      </c>
      <c r="N177" s="201">
        <v>0</v>
      </c>
      <c r="O177" s="201">
        <v>0</v>
      </c>
      <c r="P177" s="201">
        <v>0</v>
      </c>
      <c r="Q177" s="201">
        <v>0</v>
      </c>
      <c r="R177" s="201">
        <v>0</v>
      </c>
      <c r="S177" s="201">
        <v>0</v>
      </c>
      <c r="T177" s="201">
        <v>0</v>
      </c>
      <c r="U177" s="201">
        <v>0</v>
      </c>
      <c r="V177" s="201">
        <v>0</v>
      </c>
      <c r="W177" s="201">
        <v>0</v>
      </c>
      <c r="X177" s="201">
        <v>0</v>
      </c>
      <c r="Y177" s="201">
        <v>0</v>
      </c>
      <c r="Z177" s="201">
        <v>0</v>
      </c>
      <c r="AA177" s="201">
        <v>0</v>
      </c>
      <c r="AB177" s="201">
        <v>0</v>
      </c>
      <c r="AC177" s="201">
        <v>0</v>
      </c>
      <c r="AD177" s="201">
        <v>0</v>
      </c>
      <c r="AE177" s="201">
        <v>0</v>
      </c>
      <c r="AF177" s="201">
        <v>0</v>
      </c>
      <c r="AG177" s="201">
        <v>0</v>
      </c>
      <c r="AH177" s="201">
        <v>0</v>
      </c>
      <c r="AI177" s="201">
        <v>19423</v>
      </c>
      <c r="AJ177" s="201">
        <v>4729257</v>
      </c>
      <c r="AK177" s="201">
        <v>158962</v>
      </c>
      <c r="AL177" s="201">
        <v>37441182</v>
      </c>
      <c r="AM177" s="176">
        <v>320425</v>
      </c>
      <c r="AN177" s="176">
        <v>93168890</v>
      </c>
      <c r="AO177" s="201">
        <v>384535</v>
      </c>
      <c r="AP177" s="201">
        <v>86631007</v>
      </c>
      <c r="AQ177" s="201">
        <v>390075</v>
      </c>
      <c r="AR177" s="201">
        <v>116548575</v>
      </c>
      <c r="AS177" s="201">
        <v>450571</v>
      </c>
      <c r="AT177" s="201">
        <v>225367267.99999997</v>
      </c>
      <c r="AU177" s="209">
        <v>475246</v>
      </c>
      <c r="AV177" s="209">
        <v>217539558</v>
      </c>
      <c r="AW177" s="197">
        <v>458153</v>
      </c>
      <c r="AX177" s="197">
        <v>197559482</v>
      </c>
      <c r="AY177" s="197">
        <v>425199</v>
      </c>
      <c r="AZ177" s="197">
        <v>182825510</v>
      </c>
      <c r="BA177" s="177"/>
      <c r="BB177" s="197"/>
      <c r="BC177" s="197"/>
      <c r="BD177" s="197"/>
      <c r="BE177" s="197"/>
      <c r="BF177" s="197"/>
      <c r="BG177" s="197"/>
      <c r="BH177" s="197"/>
      <c r="BI177" s="178"/>
      <c r="BJ177" s="98"/>
      <c r="BK177" s="148"/>
      <c r="BL177" s="148"/>
      <c r="BM177" s="148"/>
      <c r="BN177" s="14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c r="CT177" s="98"/>
      <c r="CU177" s="98"/>
      <c r="CV177" s="98"/>
      <c r="CW177" s="98"/>
      <c r="CX177" s="98"/>
      <c r="CY177" s="98"/>
      <c r="CZ177" s="98"/>
      <c r="DA177" s="98"/>
      <c r="DB177" s="98"/>
      <c r="DC177" s="98"/>
      <c r="DD177" s="98"/>
      <c r="DE177" s="98"/>
      <c r="DF177" s="98"/>
      <c r="DG177" s="98"/>
      <c r="DH177" s="98"/>
      <c r="DI177" s="98"/>
      <c r="DJ177" s="98"/>
      <c r="DK177" s="98"/>
      <c r="DL177" s="98"/>
      <c r="DM177" s="98"/>
      <c r="DN177" s="98"/>
      <c r="DO177" s="98"/>
      <c r="DP177" s="98"/>
      <c r="DQ177" s="98"/>
      <c r="DR177" s="98"/>
      <c r="DS177" s="98"/>
      <c r="DT177" s="98"/>
      <c r="DU177" s="98"/>
      <c r="DV177" s="98"/>
      <c r="DW177" s="98"/>
      <c r="DX177" s="98"/>
      <c r="DY177" s="98"/>
      <c r="DZ177" s="98"/>
      <c r="EA177" s="98"/>
      <c r="EB177" s="98"/>
      <c r="EC177" s="98"/>
      <c r="ED177" s="98"/>
      <c r="EE177" s="98"/>
      <c r="EF177" s="98"/>
      <c r="EG177" s="98"/>
      <c r="EH177" s="98"/>
      <c r="EI177" s="98"/>
      <c r="EJ177" s="98"/>
      <c r="EK177" s="98"/>
      <c r="EL177" s="98"/>
      <c r="EM177" s="98"/>
      <c r="EN177" s="98"/>
      <c r="EO177" s="98"/>
      <c r="EP177" s="98"/>
      <c r="EQ177" s="98"/>
      <c r="ER177" s="98"/>
      <c r="ES177" s="98"/>
      <c r="ET177" s="98"/>
      <c r="EU177" s="98"/>
      <c r="EV177" s="98"/>
      <c r="EW177" s="98"/>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c r="IW177" s="98"/>
      <c r="IX177" s="98"/>
      <c r="IY177" s="98"/>
      <c r="IZ177" s="98"/>
      <c r="JA177" s="98"/>
      <c r="JB177" s="98"/>
      <c r="JC177" s="98"/>
      <c r="JD177" s="98"/>
      <c r="JE177" s="98"/>
      <c r="JF177" s="98"/>
      <c r="JG177" s="98"/>
      <c r="JH177" s="98"/>
      <c r="JI177" s="98"/>
      <c r="JJ177" s="98"/>
      <c r="JK177" s="98"/>
      <c r="JL177" s="98"/>
      <c r="JM177" s="98"/>
      <c r="JN177" s="98"/>
      <c r="JO177" s="98"/>
      <c r="JP177" s="98"/>
      <c r="JQ177" s="98"/>
      <c r="JR177" s="98"/>
      <c r="JS177" s="98"/>
      <c r="JT177" s="98"/>
      <c r="JU177" s="98"/>
      <c r="JV177" s="98"/>
      <c r="JW177" s="98"/>
      <c r="JX177" s="98"/>
      <c r="JY177" s="98"/>
      <c r="JZ177" s="98"/>
      <c r="KA177" s="98"/>
      <c r="KB177" s="98"/>
      <c r="KC177" s="98"/>
      <c r="KD177" s="98"/>
      <c r="KE177" s="98"/>
      <c r="KF177" s="98"/>
      <c r="KG177" s="98"/>
      <c r="KH177" s="98"/>
      <c r="KI177" s="98"/>
      <c r="KJ177" s="98"/>
      <c r="KK177" s="98"/>
      <c r="KL177" s="98"/>
      <c r="KM177" s="98"/>
      <c r="KN177" s="98"/>
      <c r="KO177" s="98"/>
      <c r="KP177" s="98"/>
      <c r="KQ177" s="98"/>
      <c r="KR177" s="98"/>
      <c r="KS177" s="98"/>
      <c r="KT177" s="98"/>
      <c r="KU177" s="98"/>
      <c r="KV177" s="98"/>
      <c r="KW177" s="98"/>
      <c r="KX177" s="98"/>
      <c r="KY177" s="98"/>
      <c r="KZ177" s="98"/>
      <c r="LA177" s="98"/>
      <c r="LB177" s="98"/>
      <c r="LC177" s="98"/>
      <c r="LD177" s="98"/>
      <c r="LE177" s="98"/>
      <c r="LF177" s="98"/>
      <c r="LG177" s="98"/>
      <c r="LH177" s="98"/>
      <c r="LI177" s="98"/>
      <c r="LJ177" s="98"/>
      <c r="LK177" s="98"/>
      <c r="LL177" s="98"/>
      <c r="LM177" s="98"/>
      <c r="LN177" s="98"/>
      <c r="LO177" s="98"/>
      <c r="LP177" s="98"/>
      <c r="LQ177" s="98"/>
      <c r="LR177" s="98"/>
      <c r="LS177" s="98"/>
      <c r="LT177" s="98"/>
      <c r="LU177" s="98"/>
      <c r="LV177" s="98"/>
      <c r="LW177" s="98"/>
      <c r="LX177" s="98"/>
      <c r="LY177" s="98"/>
      <c r="LZ177" s="98"/>
      <c r="MA177" s="98"/>
      <c r="MB177" s="98"/>
      <c r="MC177" s="98"/>
      <c r="MD177" s="98"/>
      <c r="ME177" s="98"/>
      <c r="MF177" s="98"/>
      <c r="MG177" s="98"/>
      <c r="MH177" s="98"/>
      <c r="MI177" s="98"/>
      <c r="MJ177" s="98"/>
      <c r="MK177" s="98"/>
      <c r="ML177" s="98"/>
      <c r="MM177" s="98"/>
      <c r="MN177" s="98"/>
      <c r="MO177" s="98"/>
      <c r="MP177" s="98"/>
      <c r="MQ177" s="98"/>
      <c r="MR177" s="98"/>
      <c r="MS177" s="98"/>
      <c r="MT177" s="98"/>
      <c r="MU177" s="98"/>
      <c r="MV177" s="98"/>
      <c r="MW177" s="98"/>
      <c r="MX177" s="98"/>
      <c r="MY177" s="98"/>
      <c r="MZ177" s="98"/>
      <c r="NA177" s="98"/>
      <c r="NB177" s="98"/>
      <c r="NC177" s="98"/>
      <c r="ND177" s="98"/>
      <c r="NE177" s="98"/>
      <c r="NF177" s="98"/>
      <c r="NG177" s="98"/>
      <c r="NH177" s="98"/>
      <c r="NI177" s="98"/>
      <c r="NJ177" s="98"/>
      <c r="NK177" s="98"/>
      <c r="NL177" s="98"/>
      <c r="NM177" s="98"/>
      <c r="NN177" s="98"/>
      <c r="NO177" s="98"/>
      <c r="NP177" s="98"/>
      <c r="NQ177" s="98"/>
      <c r="NR177" s="98"/>
      <c r="NS177" s="98"/>
      <c r="NT177" s="98"/>
      <c r="NU177" s="98"/>
      <c r="NV177" s="98"/>
      <c r="NW177" s="98"/>
      <c r="NX177" s="98"/>
      <c r="NY177" s="98"/>
      <c r="NZ177" s="98"/>
      <c r="OA177" s="98"/>
      <c r="OB177" s="98"/>
      <c r="OC177" s="98"/>
      <c r="OD177" s="98"/>
      <c r="OE177" s="98"/>
      <c r="OF177" s="98"/>
      <c r="OG177" s="98"/>
      <c r="OH177" s="98"/>
      <c r="OI177" s="98"/>
      <c r="OJ177" s="98"/>
      <c r="OK177" s="98"/>
      <c r="OL177" s="98"/>
      <c r="OM177" s="98"/>
      <c r="ON177" s="98"/>
      <c r="OO177" s="98"/>
      <c r="OP177" s="98"/>
      <c r="OQ177" s="98"/>
      <c r="OR177" s="98"/>
      <c r="OS177" s="98"/>
      <c r="OT177" s="98"/>
      <c r="OU177" s="98"/>
      <c r="OV177" s="98"/>
      <c r="OW177" s="98"/>
      <c r="OX177" s="98"/>
      <c r="OY177" s="98"/>
      <c r="OZ177" s="98"/>
      <c r="PA177" s="98"/>
      <c r="PB177" s="98"/>
      <c r="PC177" s="98"/>
      <c r="PD177" s="98"/>
      <c r="PE177" s="98"/>
      <c r="PF177" s="98"/>
      <c r="PG177" s="98"/>
      <c r="PH177" s="98"/>
      <c r="PI177" s="98"/>
      <c r="PJ177" s="98"/>
      <c r="PK177" s="98"/>
      <c r="PL177" s="98"/>
      <c r="PM177" s="98"/>
      <c r="PN177" s="98"/>
      <c r="PO177" s="98"/>
      <c r="PP177" s="98"/>
      <c r="PQ177" s="98"/>
      <c r="PR177" s="98"/>
      <c r="PS177" s="98"/>
      <c r="PT177" s="98"/>
      <c r="PU177" s="98"/>
      <c r="PV177" s="98"/>
      <c r="PW177" s="98"/>
      <c r="PX177" s="98"/>
      <c r="PY177" s="98"/>
      <c r="PZ177" s="98"/>
      <c r="QA177" s="98"/>
      <c r="QB177" s="98"/>
      <c r="QC177" s="98"/>
      <c r="QD177" s="98"/>
      <c r="QE177" s="98"/>
      <c r="QF177" s="98"/>
      <c r="QG177" s="98"/>
      <c r="QH177" s="98"/>
      <c r="QI177" s="98"/>
      <c r="QJ177" s="98"/>
      <c r="QK177" s="98"/>
      <c r="QL177" s="98"/>
      <c r="QM177" s="98"/>
      <c r="QN177" s="98"/>
      <c r="QO177" s="98"/>
      <c r="QP177" s="98"/>
      <c r="QQ177" s="98"/>
      <c r="QR177" s="98"/>
      <c r="QS177" s="98"/>
      <c r="QT177" s="98"/>
      <c r="QU177" s="98"/>
      <c r="QV177" s="98"/>
      <c r="QW177" s="98"/>
      <c r="QX177" s="98"/>
      <c r="QY177" s="98"/>
      <c r="QZ177" s="98"/>
      <c r="RA177" s="98"/>
      <c r="RB177" s="98"/>
      <c r="RC177" s="98"/>
      <c r="RD177" s="98"/>
      <c r="RE177" s="98"/>
      <c r="RF177" s="98"/>
      <c r="RG177" s="98"/>
      <c r="RH177" s="98"/>
      <c r="RI177" s="98"/>
      <c r="RJ177" s="98"/>
      <c r="RK177" s="98"/>
      <c r="RL177" s="98"/>
      <c r="RM177" s="98"/>
      <c r="RN177" s="98"/>
      <c r="RO177" s="98"/>
      <c r="RP177" s="98"/>
      <c r="RQ177" s="98"/>
      <c r="RR177" s="98"/>
      <c r="RS177" s="98"/>
      <c r="RT177" s="98"/>
      <c r="RU177" s="98"/>
      <c r="RV177" s="98"/>
      <c r="RW177" s="98"/>
      <c r="RX177" s="98"/>
      <c r="RY177" s="98"/>
      <c r="RZ177" s="98"/>
      <c r="SA177" s="98"/>
      <c r="SB177" s="98"/>
      <c r="SC177" s="98"/>
      <c r="SD177" s="98"/>
      <c r="SE177" s="98"/>
      <c r="SF177" s="98"/>
      <c r="SG177" s="98"/>
      <c r="SH177" s="98"/>
      <c r="SI177" s="98"/>
      <c r="SJ177" s="98"/>
      <c r="SK177" s="98"/>
      <c r="SL177" s="98"/>
      <c r="SM177" s="98"/>
      <c r="SN177" s="98"/>
      <c r="SO177" s="98"/>
      <c r="SP177" s="98"/>
      <c r="SQ177" s="98"/>
      <c r="SR177" s="98"/>
      <c r="SS177" s="98"/>
      <c r="ST177" s="98"/>
      <c r="SU177" s="98"/>
      <c r="SV177" s="98"/>
      <c r="SW177" s="98"/>
      <c r="SX177" s="98"/>
      <c r="SY177" s="98"/>
      <c r="SZ177" s="98"/>
      <c r="TA177" s="98"/>
      <c r="TB177" s="98"/>
      <c r="TC177" s="98"/>
      <c r="TD177" s="98"/>
      <c r="TE177" s="98"/>
      <c r="TF177" s="98"/>
      <c r="TG177" s="98"/>
      <c r="TH177" s="98"/>
      <c r="TI177" s="98"/>
      <c r="TJ177" s="98"/>
      <c r="TK177" s="98"/>
      <c r="TL177" s="98"/>
      <c r="TM177" s="98"/>
      <c r="TN177" s="98"/>
      <c r="TO177" s="98"/>
      <c r="TP177" s="98"/>
      <c r="TQ177" s="98"/>
      <c r="TR177" s="98"/>
      <c r="TS177" s="98"/>
      <c r="TT177" s="98"/>
      <c r="TU177" s="98"/>
      <c r="TV177" s="98"/>
      <c r="TW177" s="98"/>
      <c r="TX177" s="98"/>
      <c r="TY177" s="98"/>
      <c r="TZ177" s="98"/>
      <c r="UA177" s="98"/>
      <c r="UB177" s="98"/>
      <c r="UC177" s="98"/>
      <c r="UD177" s="98"/>
      <c r="UE177" s="98"/>
      <c r="UF177" s="98"/>
      <c r="UG177" s="98"/>
      <c r="UH177" s="98"/>
      <c r="UI177" s="98"/>
      <c r="UJ177" s="98"/>
      <c r="UK177" s="98"/>
      <c r="UL177" s="98"/>
      <c r="UM177" s="98"/>
      <c r="UN177" s="98"/>
      <c r="UO177" s="98"/>
      <c r="UP177" s="98"/>
      <c r="UQ177" s="98"/>
      <c r="UR177" s="98"/>
      <c r="US177" s="98"/>
      <c r="UT177" s="98"/>
      <c r="UU177" s="98"/>
      <c r="UV177" s="98"/>
      <c r="UW177" s="98"/>
      <c r="UX177" s="98"/>
      <c r="UY177" s="98"/>
      <c r="UZ177" s="98"/>
      <c r="VA177" s="98"/>
      <c r="VB177" s="98"/>
      <c r="VC177" s="98"/>
      <c r="VD177" s="98"/>
      <c r="VE177" s="98"/>
      <c r="VF177" s="98"/>
      <c r="VG177" s="98"/>
      <c r="VH177" s="98"/>
      <c r="VI177" s="98"/>
      <c r="VJ177" s="98"/>
      <c r="VK177" s="98"/>
      <c r="VL177" s="98"/>
      <c r="VM177" s="98"/>
      <c r="VN177" s="98"/>
      <c r="VO177" s="98"/>
      <c r="VP177" s="98"/>
      <c r="VQ177" s="98"/>
      <c r="VR177" s="98"/>
      <c r="VS177" s="98"/>
      <c r="VT177" s="98"/>
      <c r="VU177" s="98"/>
      <c r="VV177" s="98"/>
      <c r="VW177" s="98"/>
      <c r="VX177" s="98"/>
      <c r="VY177" s="98"/>
      <c r="VZ177" s="98"/>
      <c r="WA177" s="98"/>
      <c r="WB177" s="98"/>
      <c r="WC177" s="98"/>
      <c r="WD177" s="98"/>
      <c r="WE177" s="98"/>
      <c r="WF177" s="98"/>
      <c r="WG177" s="98"/>
      <c r="WH177" s="98"/>
      <c r="WI177" s="98"/>
      <c r="WJ177" s="98"/>
      <c r="WK177" s="98"/>
      <c r="WL177" s="98"/>
      <c r="WM177" s="98"/>
      <c r="WN177" s="98"/>
      <c r="WO177" s="98"/>
      <c r="WP177" s="98"/>
      <c r="WQ177" s="98"/>
      <c r="WR177" s="98"/>
      <c r="WS177" s="98"/>
      <c r="WT177" s="98"/>
      <c r="WU177" s="98"/>
      <c r="WV177" s="98"/>
      <c r="WW177" s="98"/>
      <c r="WX177" s="98"/>
      <c r="WY177" s="98"/>
      <c r="WZ177" s="98"/>
      <c r="XA177" s="98"/>
      <c r="XB177" s="98"/>
      <c r="XC177" s="98"/>
      <c r="XD177" s="98"/>
      <c r="XE177" s="98"/>
      <c r="XF177" s="98"/>
      <c r="XG177" s="98"/>
      <c r="XH177" s="98"/>
      <c r="XI177" s="98"/>
      <c r="XJ177" s="98"/>
      <c r="XK177" s="98"/>
      <c r="XL177" s="98"/>
      <c r="XM177" s="98"/>
      <c r="XN177" s="98"/>
      <c r="XO177" s="98"/>
      <c r="XP177" s="98"/>
      <c r="XQ177" s="98"/>
      <c r="XR177" s="98"/>
      <c r="XS177" s="98"/>
      <c r="XT177" s="98"/>
      <c r="XU177" s="98"/>
      <c r="XV177" s="98"/>
      <c r="XW177" s="98"/>
      <c r="XX177" s="98"/>
      <c r="XY177" s="98"/>
      <c r="XZ177" s="98"/>
      <c r="YA177" s="98"/>
      <c r="YB177" s="98"/>
      <c r="YC177" s="98"/>
      <c r="YD177" s="98"/>
      <c r="YE177" s="98"/>
      <c r="YF177" s="98"/>
      <c r="YG177" s="98"/>
      <c r="YH177" s="98"/>
      <c r="YI177" s="98"/>
      <c r="YJ177" s="98"/>
      <c r="YK177" s="98"/>
      <c r="YL177" s="98"/>
      <c r="YM177" s="98"/>
      <c r="YN177" s="98"/>
      <c r="YO177" s="98"/>
      <c r="YP177" s="98"/>
      <c r="YQ177" s="98"/>
      <c r="YR177" s="98"/>
      <c r="YS177" s="98"/>
      <c r="YT177" s="98"/>
      <c r="YU177" s="98"/>
      <c r="YV177" s="98"/>
      <c r="YW177" s="98"/>
      <c r="YX177" s="98"/>
      <c r="YY177" s="98"/>
      <c r="YZ177" s="98"/>
      <c r="ZA177" s="98"/>
      <c r="ZB177" s="98"/>
      <c r="ZC177" s="98"/>
      <c r="ZD177" s="98"/>
      <c r="ZE177" s="98"/>
      <c r="ZF177" s="98"/>
      <c r="ZG177" s="98"/>
      <c r="ZH177" s="98"/>
      <c r="ZI177" s="98"/>
      <c r="ZJ177" s="98"/>
      <c r="ZK177" s="98"/>
      <c r="ZL177" s="98"/>
      <c r="ZM177" s="98"/>
      <c r="ZN177" s="98"/>
      <c r="ZO177" s="98"/>
      <c r="ZP177" s="98"/>
      <c r="ZQ177" s="98"/>
      <c r="ZR177" s="98"/>
      <c r="ZS177" s="98"/>
      <c r="ZT177" s="98"/>
      <c r="ZU177" s="98"/>
      <c r="ZV177" s="98"/>
      <c r="ZW177" s="98"/>
      <c r="ZX177" s="98"/>
      <c r="ZY177" s="98"/>
      <c r="ZZ177" s="98"/>
      <c r="AAA177" s="98"/>
      <c r="AAB177" s="98"/>
      <c r="AAC177" s="98"/>
      <c r="AAD177" s="98"/>
      <c r="AAE177" s="98"/>
      <c r="AAF177" s="98"/>
      <c r="AAG177" s="98"/>
      <c r="AAH177" s="98"/>
      <c r="AAI177" s="98"/>
      <c r="AAJ177" s="98"/>
      <c r="AAK177" s="98"/>
      <c r="AAL177" s="98"/>
      <c r="AAM177" s="98"/>
      <c r="AAN177" s="98"/>
      <c r="AAO177" s="98"/>
      <c r="AAP177" s="98"/>
      <c r="AAQ177" s="98"/>
      <c r="AAR177" s="98"/>
      <c r="AAS177" s="98"/>
      <c r="AAT177" s="98"/>
      <c r="AAU177" s="98"/>
      <c r="AAV177" s="98"/>
      <c r="AAW177" s="98"/>
      <c r="AAX177" s="98"/>
      <c r="AAY177" s="98"/>
      <c r="AAZ177" s="98"/>
      <c r="ABA177" s="98"/>
      <c r="ABB177" s="98"/>
      <c r="ABC177" s="98"/>
      <c r="ABD177" s="98"/>
      <c r="ABE177" s="98"/>
      <c r="ABF177" s="98"/>
      <c r="ABG177" s="98"/>
      <c r="ABH177" s="98"/>
      <c r="ABI177" s="98"/>
      <c r="ABJ177" s="98"/>
      <c r="ABK177" s="98"/>
      <c r="ABL177" s="98"/>
      <c r="ABM177" s="98"/>
      <c r="ABN177" s="98"/>
      <c r="ABO177" s="98"/>
      <c r="ABP177" s="98"/>
      <c r="ABQ177" s="98"/>
      <c r="ABR177" s="98"/>
      <c r="ABS177" s="98"/>
      <c r="ABT177" s="98"/>
      <c r="ABU177" s="98"/>
      <c r="ABV177" s="98"/>
      <c r="ABW177" s="98"/>
      <c r="ABX177" s="98"/>
      <c r="ABY177" s="98"/>
      <c r="ABZ177" s="98"/>
      <c r="ACA177" s="98"/>
      <c r="ACB177" s="98"/>
      <c r="ACC177" s="98"/>
      <c r="ACD177" s="98"/>
      <c r="ACE177" s="98"/>
      <c r="ACF177" s="98"/>
      <c r="ACG177" s="98"/>
      <c r="ACH177" s="98"/>
      <c r="ACI177" s="98"/>
      <c r="ACJ177" s="98"/>
      <c r="ACK177" s="98"/>
      <c r="ACL177" s="98"/>
      <c r="ACM177" s="98"/>
      <c r="ACN177" s="98"/>
      <c r="ACO177" s="98"/>
      <c r="ACP177" s="98"/>
      <c r="ACQ177" s="98"/>
      <c r="ACR177" s="98"/>
      <c r="ACS177" s="98"/>
      <c r="ACT177" s="98"/>
      <c r="ACU177" s="98"/>
      <c r="ACV177" s="98"/>
      <c r="ACW177" s="98"/>
      <c r="ACX177" s="98"/>
      <c r="ACY177" s="98"/>
      <c r="ACZ177" s="98"/>
      <c r="ADA177" s="98"/>
      <c r="ADB177" s="98"/>
      <c r="ADC177" s="98"/>
      <c r="ADD177" s="98"/>
      <c r="ADE177" s="98"/>
      <c r="ADF177" s="98"/>
      <c r="ADG177" s="98"/>
      <c r="ADH177" s="98"/>
      <c r="ADI177" s="98"/>
      <c r="ADJ177" s="98"/>
      <c r="ADK177" s="98"/>
      <c r="ADL177" s="98"/>
      <c r="ADM177" s="98"/>
      <c r="ADN177" s="98"/>
      <c r="ADO177" s="98"/>
      <c r="ADP177" s="98"/>
      <c r="ADQ177" s="98"/>
      <c r="ADR177" s="98"/>
      <c r="ADS177" s="98"/>
      <c r="ADT177" s="98"/>
      <c r="ADU177" s="98"/>
      <c r="ADV177" s="98"/>
      <c r="ADW177" s="98"/>
      <c r="ADX177" s="98"/>
      <c r="ADY177" s="98"/>
      <c r="ADZ177" s="98"/>
      <c r="AEA177" s="98"/>
      <c r="AEB177" s="98"/>
      <c r="AEC177" s="98"/>
      <c r="AED177" s="98"/>
      <c r="AEE177" s="98"/>
      <c r="AEF177" s="98"/>
      <c r="AEG177" s="98"/>
      <c r="AEH177" s="98"/>
      <c r="AEI177" s="98"/>
      <c r="AEJ177" s="98"/>
      <c r="AEK177" s="98"/>
      <c r="AEL177" s="98"/>
      <c r="AEM177" s="98"/>
      <c r="AEN177" s="98"/>
      <c r="AEO177" s="98"/>
      <c r="AEP177" s="98"/>
      <c r="AEQ177" s="98"/>
      <c r="AER177" s="98"/>
      <c r="AES177" s="98"/>
      <c r="AET177" s="98"/>
      <c r="AEU177" s="98"/>
      <c r="AEV177" s="98"/>
      <c r="AEW177" s="98"/>
      <c r="AEX177" s="98"/>
      <c r="AEY177" s="98"/>
      <c r="AEZ177" s="98"/>
      <c r="AFA177" s="98"/>
      <c r="AFB177" s="98"/>
      <c r="AFC177" s="98"/>
      <c r="AFD177" s="98"/>
      <c r="AFE177" s="98"/>
      <c r="AFF177" s="98"/>
      <c r="AFG177" s="98"/>
      <c r="AFH177" s="98"/>
      <c r="AFI177" s="98"/>
      <c r="AFJ177" s="98"/>
      <c r="AFK177" s="98"/>
      <c r="AFL177" s="98"/>
      <c r="AFM177" s="98"/>
      <c r="AFN177" s="98"/>
      <c r="AFO177" s="98"/>
      <c r="AFP177" s="98"/>
      <c r="AFQ177" s="98"/>
      <c r="AFR177" s="98"/>
      <c r="AFS177" s="98"/>
      <c r="AFT177" s="98"/>
      <c r="AFU177" s="98"/>
      <c r="AFV177" s="98"/>
      <c r="AFW177" s="98"/>
      <c r="AFX177" s="98"/>
      <c r="AFY177" s="98"/>
      <c r="AFZ177" s="98"/>
      <c r="AGA177" s="98"/>
      <c r="AGB177" s="98"/>
      <c r="AGC177" s="98"/>
      <c r="AGD177" s="98"/>
      <c r="AGE177" s="98"/>
      <c r="AGF177" s="98"/>
      <c r="AGG177" s="98"/>
      <c r="AGH177" s="98"/>
      <c r="AGI177" s="98"/>
      <c r="AGJ177" s="98"/>
      <c r="AGK177" s="98"/>
      <c r="AGL177" s="98"/>
      <c r="AGM177" s="98"/>
      <c r="AGN177" s="98"/>
      <c r="AGO177" s="98"/>
      <c r="AGP177" s="98"/>
      <c r="AGQ177" s="98"/>
      <c r="AGR177" s="98"/>
      <c r="AGS177" s="98"/>
      <c r="AGT177" s="98"/>
      <c r="AGU177" s="98"/>
      <c r="AGV177" s="98"/>
      <c r="AGW177" s="98"/>
      <c r="AGX177" s="98"/>
      <c r="AGY177" s="98"/>
      <c r="AGZ177" s="98"/>
      <c r="AHA177" s="98"/>
      <c r="AHB177" s="98"/>
      <c r="AHC177" s="98"/>
      <c r="AHD177" s="98"/>
      <c r="AHE177" s="98"/>
      <c r="AHF177" s="98"/>
      <c r="AHG177" s="98"/>
      <c r="AHH177" s="98"/>
      <c r="AHI177" s="98"/>
      <c r="AHJ177" s="98"/>
      <c r="AHK177" s="98"/>
      <c r="AHL177" s="98"/>
      <c r="AHM177" s="98"/>
      <c r="AHN177" s="98"/>
      <c r="AHO177" s="98"/>
      <c r="AHP177" s="98"/>
      <c r="AHQ177" s="98"/>
      <c r="AHR177" s="98"/>
      <c r="AHS177" s="98"/>
      <c r="AHT177" s="98"/>
      <c r="AHU177" s="98"/>
      <c r="AHV177" s="98"/>
      <c r="AHW177" s="98"/>
      <c r="AHX177" s="98"/>
      <c r="AHY177" s="98"/>
      <c r="AHZ177" s="98"/>
      <c r="AIA177" s="98"/>
      <c r="AIB177" s="98"/>
      <c r="AIC177" s="98"/>
      <c r="AID177" s="98"/>
      <c r="AIE177" s="98"/>
      <c r="AIF177" s="98"/>
      <c r="AIG177" s="98"/>
      <c r="AIH177" s="98"/>
      <c r="AII177" s="98"/>
      <c r="AIJ177" s="98"/>
      <c r="AIK177" s="98"/>
      <c r="AIL177" s="98"/>
      <c r="AIM177" s="98"/>
      <c r="AIN177" s="98"/>
      <c r="AIO177" s="98"/>
      <c r="AIP177" s="98"/>
      <c r="AIQ177" s="98"/>
      <c r="AIR177" s="98"/>
      <c r="AIS177" s="98"/>
      <c r="AIT177" s="98"/>
      <c r="AIU177" s="98"/>
      <c r="AIV177" s="98"/>
      <c r="AIW177" s="98"/>
      <c r="AIX177" s="98"/>
      <c r="AIY177" s="98"/>
      <c r="AIZ177" s="98"/>
      <c r="AJA177" s="98"/>
      <c r="AJB177" s="98"/>
      <c r="AJC177" s="98"/>
      <c r="AJD177" s="98"/>
      <c r="AJE177" s="98"/>
      <c r="AJF177" s="98"/>
      <c r="AJG177" s="98"/>
      <c r="AJH177" s="98"/>
      <c r="AJI177" s="98"/>
      <c r="AJJ177" s="98"/>
      <c r="AJK177" s="98"/>
      <c r="AJL177" s="98"/>
      <c r="AJM177" s="98"/>
      <c r="AJN177" s="98"/>
      <c r="AJO177" s="98"/>
      <c r="AJP177" s="98"/>
      <c r="AJQ177" s="98"/>
      <c r="AJR177" s="98"/>
      <c r="AJS177" s="98"/>
      <c r="AJT177" s="98"/>
      <c r="AJU177" s="98"/>
      <c r="AJV177" s="98"/>
      <c r="AJW177" s="98"/>
      <c r="AJX177" s="98"/>
      <c r="AJY177" s="98"/>
      <c r="AJZ177" s="98"/>
      <c r="AKA177" s="98"/>
      <c r="AKB177" s="98"/>
      <c r="AKC177" s="98"/>
      <c r="AKD177" s="98"/>
      <c r="AKE177" s="98"/>
      <c r="AKF177" s="98"/>
      <c r="AKG177" s="98"/>
      <c r="AKH177" s="98"/>
      <c r="AKI177" s="98"/>
      <c r="AKJ177" s="98"/>
      <c r="AKK177" s="98"/>
      <c r="AKL177" s="98"/>
      <c r="AKM177" s="98"/>
      <c r="AKN177" s="98"/>
      <c r="AKO177" s="98"/>
      <c r="AKP177" s="98"/>
      <c r="AKQ177" s="98"/>
      <c r="AKR177" s="98"/>
      <c r="AKS177" s="98"/>
      <c r="AKT177" s="98"/>
      <c r="AKU177" s="98"/>
      <c r="AKV177" s="98"/>
      <c r="AKW177" s="98"/>
      <c r="AKX177" s="98"/>
      <c r="AKY177" s="98"/>
      <c r="AKZ177" s="98"/>
      <c r="ALA177" s="98"/>
      <c r="ALB177" s="98"/>
      <c r="ALC177" s="98"/>
      <c r="ALD177" s="98"/>
      <c r="ALE177" s="98"/>
      <c r="ALF177" s="98"/>
      <c r="ALG177" s="98"/>
      <c r="ALH177" s="98"/>
      <c r="ALI177" s="98"/>
      <c r="ALJ177" s="98"/>
      <c r="ALK177" s="98"/>
      <c r="ALL177" s="98"/>
      <c r="ALM177" s="98"/>
      <c r="ALN177" s="98"/>
      <c r="ALO177" s="98"/>
      <c r="ALP177" s="98"/>
      <c r="ALQ177" s="98"/>
      <c r="ALR177" s="98"/>
      <c r="ALS177" s="98"/>
      <c r="ALT177" s="98"/>
      <c r="ALU177" s="98"/>
      <c r="ALV177" s="98"/>
      <c r="ALW177" s="98"/>
      <c r="ALX177" s="98"/>
      <c r="ALY177" s="98"/>
      <c r="ALZ177" s="98"/>
      <c r="AMA177" s="98"/>
      <c r="AMB177" s="98"/>
      <c r="AMC177" s="98"/>
      <c r="AMD177" s="98"/>
      <c r="AME177" s="98"/>
      <c r="AMF177" s="98"/>
      <c r="AMG177" s="98"/>
      <c r="AMH177" s="98"/>
      <c r="AMI177" s="98"/>
      <c r="AMJ177" s="98"/>
      <c r="AMK177" s="98"/>
      <c r="AML177" s="98"/>
      <c r="AMM177" s="98"/>
      <c r="AMN177" s="98"/>
      <c r="AMO177" s="98"/>
      <c r="AMP177" s="98"/>
      <c r="AMQ177" s="98"/>
      <c r="AMR177" s="98"/>
      <c r="AMS177" s="98"/>
      <c r="AMT177" s="98"/>
      <c r="AMU177" s="98"/>
      <c r="AMV177" s="98"/>
      <c r="AMW177" s="98"/>
      <c r="AMX177" s="98"/>
      <c r="AMY177" s="98"/>
      <c r="AMZ177" s="98"/>
      <c r="ANA177" s="98"/>
      <c r="ANB177" s="98"/>
      <c r="ANC177" s="98"/>
      <c r="AND177" s="98"/>
      <c r="ANE177" s="98"/>
      <c r="ANF177" s="98"/>
      <c r="ANG177" s="98"/>
      <c r="ANH177" s="98"/>
      <c r="ANI177" s="98"/>
      <c r="ANJ177" s="98"/>
      <c r="ANK177" s="98"/>
      <c r="ANL177" s="98"/>
      <c r="ANM177" s="98"/>
      <c r="ANN177" s="98"/>
      <c r="ANO177" s="98"/>
      <c r="ANP177" s="98"/>
      <c r="ANQ177" s="98"/>
      <c r="ANR177" s="98"/>
      <c r="ANS177" s="98"/>
      <c r="ANT177" s="98"/>
      <c r="ANU177" s="98"/>
      <c r="ANV177" s="98"/>
      <c r="ANW177" s="98"/>
      <c r="ANX177" s="98"/>
      <c r="ANY177" s="98"/>
      <c r="ANZ177" s="98"/>
      <c r="AOA177" s="98"/>
      <c r="AOB177" s="98"/>
      <c r="AOC177" s="98"/>
      <c r="AOD177" s="98"/>
      <c r="AOE177" s="98"/>
      <c r="AOF177" s="98"/>
      <c r="AOG177" s="98"/>
      <c r="AOH177" s="98"/>
      <c r="AOI177" s="98"/>
      <c r="AOJ177" s="98"/>
      <c r="AOK177" s="98"/>
      <c r="AOL177" s="98"/>
      <c r="AOM177" s="98"/>
      <c r="AON177" s="98"/>
      <c r="AOO177" s="98"/>
      <c r="AOP177" s="98"/>
      <c r="AOQ177" s="98"/>
      <c r="AOR177" s="98"/>
      <c r="AOS177" s="98"/>
      <c r="AOT177" s="98"/>
      <c r="AOU177" s="98"/>
      <c r="AOV177" s="98"/>
      <c r="AOW177" s="98"/>
      <c r="AOX177" s="98"/>
      <c r="AOY177" s="98"/>
      <c r="AOZ177" s="98"/>
      <c r="APA177" s="98"/>
      <c r="APB177" s="98"/>
      <c r="APC177" s="98"/>
      <c r="APD177" s="98"/>
      <c r="APE177" s="98"/>
      <c r="APF177" s="98"/>
      <c r="APG177" s="98"/>
      <c r="APH177" s="98"/>
      <c r="API177" s="98"/>
      <c r="APJ177" s="98"/>
      <c r="APK177" s="98"/>
      <c r="APL177" s="98"/>
      <c r="APM177" s="98"/>
      <c r="APN177" s="98"/>
      <c r="APO177" s="98"/>
      <c r="APP177" s="98"/>
      <c r="APQ177" s="98"/>
      <c r="APR177" s="98"/>
      <c r="APS177" s="98"/>
      <c r="APT177" s="98"/>
      <c r="APU177" s="98"/>
      <c r="APV177" s="98"/>
      <c r="APW177" s="98"/>
      <c r="APX177" s="98"/>
      <c r="APY177" s="98"/>
      <c r="APZ177" s="98"/>
      <c r="AQA177" s="98"/>
      <c r="AQB177" s="98"/>
      <c r="AQC177" s="98"/>
      <c r="AQD177" s="98"/>
      <c r="AQE177" s="98"/>
      <c r="AQF177" s="98"/>
      <c r="AQG177" s="98"/>
      <c r="AQH177" s="98"/>
      <c r="AQI177" s="98"/>
      <c r="AQJ177" s="98"/>
      <c r="AQK177" s="98"/>
      <c r="AQL177" s="98"/>
      <c r="AQM177" s="98"/>
      <c r="AQN177" s="98"/>
      <c r="AQO177" s="98"/>
      <c r="AQP177" s="98"/>
      <c r="AQQ177" s="98"/>
      <c r="AQR177" s="98"/>
      <c r="AQS177" s="98"/>
      <c r="AQT177" s="98"/>
      <c r="AQU177" s="98"/>
      <c r="AQV177" s="98"/>
      <c r="AQW177" s="98"/>
      <c r="AQX177" s="98"/>
      <c r="AQY177" s="98"/>
      <c r="AQZ177" s="98"/>
      <c r="ARA177" s="98"/>
      <c r="ARB177" s="98"/>
      <c r="ARC177" s="98"/>
      <c r="ARD177" s="98"/>
      <c r="ARE177" s="98"/>
      <c r="ARF177" s="98"/>
      <c r="ARG177" s="98"/>
      <c r="ARH177" s="98"/>
      <c r="ARI177" s="98"/>
      <c r="ARJ177" s="98"/>
      <c r="ARK177" s="98"/>
      <c r="ARL177" s="98"/>
      <c r="ARM177" s="98"/>
      <c r="ARN177" s="98"/>
      <c r="ARO177" s="98"/>
      <c r="ARP177" s="98"/>
      <c r="ARQ177" s="98"/>
      <c r="ARR177" s="98"/>
      <c r="ARS177" s="98"/>
    </row>
    <row r="178" spans="1:1163" s="174" customFormat="1">
      <c r="A178" s="140" t="s">
        <v>263</v>
      </c>
      <c r="B178" s="119" t="s">
        <v>67</v>
      </c>
      <c r="C178" s="197">
        <v>0</v>
      </c>
      <c r="D178" s="197">
        <v>0</v>
      </c>
      <c r="E178" s="197">
        <v>0</v>
      </c>
      <c r="F178" s="197">
        <v>0</v>
      </c>
      <c r="G178" s="197">
        <v>0</v>
      </c>
      <c r="H178" s="197">
        <v>0</v>
      </c>
      <c r="I178" s="197">
        <v>0</v>
      </c>
      <c r="J178" s="197">
        <v>0</v>
      </c>
      <c r="K178" s="201">
        <v>0</v>
      </c>
      <c r="L178" s="201">
        <v>0</v>
      </c>
      <c r="M178" s="201">
        <v>0</v>
      </c>
      <c r="N178" s="201">
        <v>0</v>
      </c>
      <c r="O178" s="201">
        <v>0</v>
      </c>
      <c r="P178" s="201">
        <v>0</v>
      </c>
      <c r="Q178" s="201">
        <v>0</v>
      </c>
      <c r="R178" s="201">
        <v>0</v>
      </c>
      <c r="S178" s="201">
        <v>0</v>
      </c>
      <c r="T178" s="201">
        <v>0</v>
      </c>
      <c r="U178" s="201">
        <v>0</v>
      </c>
      <c r="V178" s="201">
        <v>0</v>
      </c>
      <c r="W178" s="201">
        <v>0</v>
      </c>
      <c r="X178" s="201">
        <v>0</v>
      </c>
      <c r="Y178" s="201">
        <v>0</v>
      </c>
      <c r="Z178" s="201">
        <v>0</v>
      </c>
      <c r="AA178" s="201">
        <v>0</v>
      </c>
      <c r="AB178" s="201">
        <v>0</v>
      </c>
      <c r="AC178" s="201">
        <v>0</v>
      </c>
      <c r="AD178" s="201">
        <v>0</v>
      </c>
      <c r="AE178" s="201">
        <v>0</v>
      </c>
      <c r="AF178" s="201">
        <v>0</v>
      </c>
      <c r="AG178" s="201">
        <v>0</v>
      </c>
      <c r="AH178" s="201">
        <v>0</v>
      </c>
      <c r="AI178" s="201">
        <v>14139</v>
      </c>
      <c r="AJ178" s="201">
        <v>3442453</v>
      </c>
      <c r="AK178" s="201">
        <v>150835</v>
      </c>
      <c r="AL178" s="201">
        <v>36929761</v>
      </c>
      <c r="AM178" s="176">
        <v>253817</v>
      </c>
      <c r="AN178" s="176">
        <v>73825137</v>
      </c>
      <c r="AO178" s="201">
        <v>263815</v>
      </c>
      <c r="AP178" s="201">
        <v>55870605</v>
      </c>
      <c r="AQ178" s="201">
        <v>260443</v>
      </c>
      <c r="AR178" s="201">
        <v>81771642.760000005</v>
      </c>
      <c r="AS178" s="201">
        <v>364533</v>
      </c>
      <c r="AT178" s="201">
        <v>183355542</v>
      </c>
      <c r="AU178" s="209">
        <v>385834</v>
      </c>
      <c r="AV178" s="209">
        <v>185081893</v>
      </c>
      <c r="AW178" s="197">
        <v>357413</v>
      </c>
      <c r="AX178" s="197">
        <v>165884336</v>
      </c>
      <c r="AY178" s="197">
        <v>319970</v>
      </c>
      <c r="AZ178" s="197">
        <v>142721362</v>
      </c>
      <c r="BA178" s="177"/>
      <c r="BB178" s="197"/>
      <c r="BC178" s="197"/>
      <c r="BD178" s="197"/>
      <c r="BE178" s="197"/>
      <c r="BF178" s="197"/>
      <c r="BG178" s="197"/>
      <c r="BH178" s="197"/>
      <c r="BI178" s="178"/>
      <c r="BJ178" s="98"/>
      <c r="BK178" s="148"/>
      <c r="BL178" s="98"/>
      <c r="BM178" s="98"/>
      <c r="BN178" s="14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c r="CT178" s="98"/>
      <c r="CU178" s="98"/>
      <c r="CV178" s="98"/>
      <c r="CW178" s="98"/>
      <c r="CX178" s="98"/>
      <c r="CY178" s="98"/>
      <c r="CZ178" s="98"/>
      <c r="DA178" s="98"/>
      <c r="DB178" s="98"/>
      <c r="DC178" s="98"/>
      <c r="DD178" s="98"/>
      <c r="DE178" s="98"/>
      <c r="DF178" s="98"/>
      <c r="DG178" s="98"/>
      <c r="DH178" s="98"/>
      <c r="DI178" s="98"/>
      <c r="DJ178" s="98"/>
      <c r="DK178" s="98"/>
      <c r="DL178" s="98"/>
      <c r="DM178" s="98"/>
      <c r="DN178" s="98"/>
      <c r="DO178" s="98"/>
      <c r="DP178" s="98"/>
      <c r="DQ178" s="98"/>
      <c r="DR178" s="98"/>
      <c r="DS178" s="98"/>
      <c r="DT178" s="98"/>
      <c r="DU178" s="98"/>
      <c r="DV178" s="98"/>
      <c r="DW178" s="98"/>
      <c r="DX178" s="98"/>
      <c r="DY178" s="98"/>
      <c r="DZ178" s="98"/>
      <c r="EA178" s="98"/>
      <c r="EB178" s="98"/>
      <c r="EC178" s="98"/>
      <c r="ED178" s="98"/>
      <c r="EE178" s="98"/>
      <c r="EF178" s="98"/>
      <c r="EG178" s="98"/>
      <c r="EH178" s="98"/>
      <c r="EI178" s="98"/>
      <c r="EJ178" s="98"/>
      <c r="EK178" s="98"/>
      <c r="EL178" s="98"/>
      <c r="EM178" s="98"/>
      <c r="EN178" s="98"/>
      <c r="EO178" s="98"/>
      <c r="EP178" s="98"/>
      <c r="EQ178" s="98"/>
      <c r="ER178" s="98"/>
      <c r="ES178" s="98"/>
      <c r="ET178" s="98"/>
      <c r="EU178" s="98"/>
      <c r="EV178" s="98"/>
      <c r="EW178" s="98"/>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c r="IW178" s="98"/>
      <c r="IX178" s="98"/>
      <c r="IY178" s="98"/>
      <c r="IZ178" s="98"/>
      <c r="JA178" s="98"/>
      <c r="JB178" s="98"/>
      <c r="JC178" s="98"/>
      <c r="JD178" s="98"/>
      <c r="JE178" s="98"/>
      <c r="JF178" s="98"/>
      <c r="JG178" s="98"/>
      <c r="JH178" s="98"/>
      <c r="JI178" s="98"/>
      <c r="JJ178" s="98"/>
      <c r="JK178" s="98"/>
      <c r="JL178" s="98"/>
      <c r="JM178" s="98"/>
      <c r="JN178" s="98"/>
      <c r="JO178" s="98"/>
      <c r="JP178" s="98"/>
      <c r="JQ178" s="98"/>
      <c r="JR178" s="98"/>
      <c r="JS178" s="98"/>
      <c r="JT178" s="98"/>
      <c r="JU178" s="98"/>
      <c r="JV178" s="98"/>
      <c r="JW178" s="98"/>
      <c r="JX178" s="98"/>
      <c r="JY178" s="98"/>
      <c r="JZ178" s="98"/>
      <c r="KA178" s="98"/>
      <c r="KB178" s="98"/>
      <c r="KC178" s="98"/>
      <c r="KD178" s="98"/>
      <c r="KE178" s="98"/>
      <c r="KF178" s="98"/>
      <c r="KG178" s="98"/>
      <c r="KH178" s="98"/>
      <c r="KI178" s="98"/>
      <c r="KJ178" s="98"/>
      <c r="KK178" s="98"/>
      <c r="KL178" s="98"/>
      <c r="KM178" s="98"/>
      <c r="KN178" s="98"/>
      <c r="KO178" s="98"/>
      <c r="KP178" s="98"/>
      <c r="KQ178" s="98"/>
      <c r="KR178" s="98"/>
      <c r="KS178" s="98"/>
      <c r="KT178" s="98"/>
      <c r="KU178" s="98"/>
      <c r="KV178" s="98"/>
      <c r="KW178" s="98"/>
      <c r="KX178" s="98"/>
      <c r="KY178" s="98"/>
      <c r="KZ178" s="98"/>
      <c r="LA178" s="98"/>
      <c r="LB178" s="98"/>
      <c r="LC178" s="98"/>
      <c r="LD178" s="98"/>
      <c r="LE178" s="98"/>
      <c r="LF178" s="98"/>
      <c r="LG178" s="98"/>
      <c r="LH178" s="98"/>
      <c r="LI178" s="98"/>
      <c r="LJ178" s="98"/>
      <c r="LK178" s="98"/>
      <c r="LL178" s="98"/>
      <c r="LM178" s="98"/>
      <c r="LN178" s="98"/>
      <c r="LO178" s="98"/>
      <c r="LP178" s="98"/>
      <c r="LQ178" s="98"/>
      <c r="LR178" s="98"/>
      <c r="LS178" s="98"/>
      <c r="LT178" s="98"/>
      <c r="LU178" s="98"/>
      <c r="LV178" s="98"/>
      <c r="LW178" s="98"/>
      <c r="LX178" s="98"/>
      <c r="LY178" s="98"/>
      <c r="LZ178" s="98"/>
      <c r="MA178" s="98"/>
      <c r="MB178" s="98"/>
      <c r="MC178" s="98"/>
      <c r="MD178" s="98"/>
      <c r="ME178" s="98"/>
      <c r="MF178" s="98"/>
      <c r="MG178" s="98"/>
      <c r="MH178" s="98"/>
      <c r="MI178" s="98"/>
      <c r="MJ178" s="98"/>
      <c r="MK178" s="98"/>
      <c r="ML178" s="98"/>
      <c r="MM178" s="98"/>
      <c r="MN178" s="98"/>
      <c r="MO178" s="98"/>
      <c r="MP178" s="98"/>
      <c r="MQ178" s="98"/>
      <c r="MR178" s="98"/>
      <c r="MS178" s="98"/>
      <c r="MT178" s="98"/>
      <c r="MU178" s="98"/>
      <c r="MV178" s="98"/>
      <c r="MW178" s="98"/>
      <c r="MX178" s="98"/>
      <c r="MY178" s="98"/>
      <c r="MZ178" s="98"/>
      <c r="NA178" s="98"/>
      <c r="NB178" s="98"/>
      <c r="NC178" s="98"/>
      <c r="ND178" s="98"/>
      <c r="NE178" s="98"/>
      <c r="NF178" s="98"/>
      <c r="NG178" s="98"/>
      <c r="NH178" s="98"/>
      <c r="NI178" s="98"/>
      <c r="NJ178" s="98"/>
      <c r="NK178" s="98"/>
      <c r="NL178" s="98"/>
      <c r="NM178" s="98"/>
      <c r="NN178" s="98"/>
      <c r="NO178" s="98"/>
      <c r="NP178" s="98"/>
      <c r="NQ178" s="98"/>
      <c r="NR178" s="98"/>
      <c r="NS178" s="98"/>
      <c r="NT178" s="98"/>
      <c r="NU178" s="98"/>
      <c r="NV178" s="98"/>
      <c r="NW178" s="98"/>
      <c r="NX178" s="98"/>
      <c r="NY178" s="98"/>
      <c r="NZ178" s="98"/>
      <c r="OA178" s="98"/>
      <c r="OB178" s="98"/>
      <c r="OC178" s="98"/>
      <c r="OD178" s="98"/>
      <c r="OE178" s="98"/>
      <c r="OF178" s="98"/>
      <c r="OG178" s="98"/>
      <c r="OH178" s="98"/>
      <c r="OI178" s="98"/>
      <c r="OJ178" s="98"/>
      <c r="OK178" s="98"/>
      <c r="OL178" s="98"/>
      <c r="OM178" s="98"/>
      <c r="ON178" s="98"/>
      <c r="OO178" s="98"/>
      <c r="OP178" s="98"/>
      <c r="OQ178" s="98"/>
      <c r="OR178" s="98"/>
      <c r="OS178" s="98"/>
      <c r="OT178" s="98"/>
      <c r="OU178" s="98"/>
      <c r="OV178" s="98"/>
      <c r="OW178" s="98"/>
      <c r="OX178" s="98"/>
      <c r="OY178" s="98"/>
      <c r="OZ178" s="98"/>
      <c r="PA178" s="98"/>
      <c r="PB178" s="98"/>
      <c r="PC178" s="98"/>
      <c r="PD178" s="98"/>
      <c r="PE178" s="98"/>
      <c r="PF178" s="98"/>
      <c r="PG178" s="98"/>
      <c r="PH178" s="98"/>
      <c r="PI178" s="98"/>
      <c r="PJ178" s="98"/>
      <c r="PK178" s="98"/>
      <c r="PL178" s="98"/>
      <c r="PM178" s="98"/>
      <c r="PN178" s="98"/>
      <c r="PO178" s="98"/>
      <c r="PP178" s="98"/>
      <c r="PQ178" s="98"/>
      <c r="PR178" s="98"/>
      <c r="PS178" s="98"/>
      <c r="PT178" s="98"/>
      <c r="PU178" s="98"/>
      <c r="PV178" s="98"/>
      <c r="PW178" s="98"/>
      <c r="PX178" s="98"/>
      <c r="PY178" s="98"/>
      <c r="PZ178" s="98"/>
      <c r="QA178" s="98"/>
      <c r="QB178" s="98"/>
      <c r="QC178" s="98"/>
      <c r="QD178" s="98"/>
      <c r="QE178" s="98"/>
      <c r="QF178" s="98"/>
      <c r="QG178" s="98"/>
      <c r="QH178" s="98"/>
      <c r="QI178" s="98"/>
      <c r="QJ178" s="98"/>
      <c r="QK178" s="98"/>
      <c r="QL178" s="98"/>
      <c r="QM178" s="98"/>
      <c r="QN178" s="98"/>
      <c r="QO178" s="98"/>
      <c r="QP178" s="98"/>
      <c r="QQ178" s="98"/>
      <c r="QR178" s="98"/>
      <c r="QS178" s="98"/>
      <c r="QT178" s="98"/>
      <c r="QU178" s="98"/>
      <c r="QV178" s="98"/>
      <c r="QW178" s="98"/>
      <c r="QX178" s="98"/>
      <c r="QY178" s="98"/>
      <c r="QZ178" s="98"/>
      <c r="RA178" s="98"/>
      <c r="RB178" s="98"/>
      <c r="RC178" s="98"/>
      <c r="RD178" s="98"/>
      <c r="RE178" s="98"/>
      <c r="RF178" s="98"/>
      <c r="RG178" s="98"/>
      <c r="RH178" s="98"/>
      <c r="RI178" s="98"/>
      <c r="RJ178" s="98"/>
      <c r="RK178" s="98"/>
      <c r="RL178" s="98"/>
      <c r="RM178" s="98"/>
      <c r="RN178" s="98"/>
      <c r="RO178" s="98"/>
      <c r="RP178" s="98"/>
      <c r="RQ178" s="98"/>
      <c r="RR178" s="98"/>
      <c r="RS178" s="98"/>
      <c r="RT178" s="98"/>
      <c r="RU178" s="98"/>
      <c r="RV178" s="98"/>
      <c r="RW178" s="98"/>
      <c r="RX178" s="98"/>
      <c r="RY178" s="98"/>
      <c r="RZ178" s="98"/>
      <c r="SA178" s="98"/>
      <c r="SB178" s="98"/>
      <c r="SC178" s="98"/>
      <c r="SD178" s="98"/>
      <c r="SE178" s="98"/>
      <c r="SF178" s="98"/>
      <c r="SG178" s="98"/>
      <c r="SH178" s="98"/>
      <c r="SI178" s="98"/>
      <c r="SJ178" s="98"/>
      <c r="SK178" s="98"/>
      <c r="SL178" s="98"/>
      <c r="SM178" s="98"/>
      <c r="SN178" s="98"/>
      <c r="SO178" s="98"/>
      <c r="SP178" s="98"/>
      <c r="SQ178" s="98"/>
      <c r="SR178" s="98"/>
      <c r="SS178" s="98"/>
      <c r="ST178" s="98"/>
      <c r="SU178" s="98"/>
      <c r="SV178" s="98"/>
      <c r="SW178" s="98"/>
      <c r="SX178" s="98"/>
      <c r="SY178" s="98"/>
      <c r="SZ178" s="98"/>
      <c r="TA178" s="98"/>
      <c r="TB178" s="98"/>
      <c r="TC178" s="98"/>
      <c r="TD178" s="98"/>
      <c r="TE178" s="98"/>
      <c r="TF178" s="98"/>
      <c r="TG178" s="98"/>
      <c r="TH178" s="98"/>
      <c r="TI178" s="98"/>
      <c r="TJ178" s="98"/>
      <c r="TK178" s="98"/>
      <c r="TL178" s="98"/>
      <c r="TM178" s="98"/>
      <c r="TN178" s="98"/>
      <c r="TO178" s="98"/>
      <c r="TP178" s="98"/>
      <c r="TQ178" s="98"/>
      <c r="TR178" s="98"/>
      <c r="TS178" s="98"/>
      <c r="TT178" s="98"/>
      <c r="TU178" s="98"/>
      <c r="TV178" s="98"/>
      <c r="TW178" s="98"/>
      <c r="TX178" s="98"/>
      <c r="TY178" s="98"/>
      <c r="TZ178" s="98"/>
      <c r="UA178" s="98"/>
      <c r="UB178" s="98"/>
      <c r="UC178" s="98"/>
      <c r="UD178" s="98"/>
      <c r="UE178" s="98"/>
      <c r="UF178" s="98"/>
      <c r="UG178" s="98"/>
      <c r="UH178" s="98"/>
      <c r="UI178" s="98"/>
      <c r="UJ178" s="98"/>
      <c r="UK178" s="98"/>
      <c r="UL178" s="98"/>
      <c r="UM178" s="98"/>
      <c r="UN178" s="98"/>
      <c r="UO178" s="98"/>
      <c r="UP178" s="98"/>
      <c r="UQ178" s="98"/>
      <c r="UR178" s="98"/>
      <c r="US178" s="98"/>
      <c r="UT178" s="98"/>
      <c r="UU178" s="98"/>
      <c r="UV178" s="98"/>
      <c r="UW178" s="98"/>
      <c r="UX178" s="98"/>
      <c r="UY178" s="98"/>
      <c r="UZ178" s="98"/>
      <c r="VA178" s="98"/>
      <c r="VB178" s="98"/>
      <c r="VC178" s="98"/>
      <c r="VD178" s="98"/>
      <c r="VE178" s="98"/>
      <c r="VF178" s="98"/>
      <c r="VG178" s="98"/>
      <c r="VH178" s="98"/>
      <c r="VI178" s="98"/>
      <c r="VJ178" s="98"/>
      <c r="VK178" s="98"/>
      <c r="VL178" s="98"/>
      <c r="VM178" s="98"/>
      <c r="VN178" s="98"/>
      <c r="VO178" s="98"/>
      <c r="VP178" s="98"/>
      <c r="VQ178" s="98"/>
      <c r="VR178" s="98"/>
      <c r="VS178" s="98"/>
      <c r="VT178" s="98"/>
      <c r="VU178" s="98"/>
      <c r="VV178" s="98"/>
      <c r="VW178" s="98"/>
      <c r="VX178" s="98"/>
      <c r="VY178" s="98"/>
      <c r="VZ178" s="98"/>
      <c r="WA178" s="98"/>
      <c r="WB178" s="98"/>
      <c r="WC178" s="98"/>
      <c r="WD178" s="98"/>
      <c r="WE178" s="98"/>
      <c r="WF178" s="98"/>
      <c r="WG178" s="98"/>
      <c r="WH178" s="98"/>
      <c r="WI178" s="98"/>
      <c r="WJ178" s="98"/>
      <c r="WK178" s="98"/>
      <c r="WL178" s="98"/>
      <c r="WM178" s="98"/>
      <c r="WN178" s="98"/>
      <c r="WO178" s="98"/>
      <c r="WP178" s="98"/>
      <c r="WQ178" s="98"/>
      <c r="WR178" s="98"/>
      <c r="WS178" s="98"/>
      <c r="WT178" s="98"/>
      <c r="WU178" s="98"/>
      <c r="WV178" s="98"/>
      <c r="WW178" s="98"/>
      <c r="WX178" s="98"/>
      <c r="WY178" s="98"/>
      <c r="WZ178" s="98"/>
      <c r="XA178" s="98"/>
      <c r="XB178" s="98"/>
      <c r="XC178" s="98"/>
      <c r="XD178" s="98"/>
      <c r="XE178" s="98"/>
      <c r="XF178" s="98"/>
      <c r="XG178" s="98"/>
      <c r="XH178" s="98"/>
      <c r="XI178" s="98"/>
      <c r="XJ178" s="98"/>
      <c r="XK178" s="98"/>
      <c r="XL178" s="98"/>
      <c r="XM178" s="98"/>
      <c r="XN178" s="98"/>
      <c r="XO178" s="98"/>
      <c r="XP178" s="98"/>
      <c r="XQ178" s="98"/>
      <c r="XR178" s="98"/>
      <c r="XS178" s="98"/>
      <c r="XT178" s="98"/>
      <c r="XU178" s="98"/>
      <c r="XV178" s="98"/>
      <c r="XW178" s="98"/>
      <c r="XX178" s="98"/>
      <c r="XY178" s="98"/>
      <c r="XZ178" s="98"/>
      <c r="YA178" s="98"/>
      <c r="YB178" s="98"/>
      <c r="YC178" s="98"/>
      <c r="YD178" s="98"/>
      <c r="YE178" s="98"/>
      <c r="YF178" s="98"/>
      <c r="YG178" s="98"/>
      <c r="YH178" s="98"/>
      <c r="YI178" s="98"/>
      <c r="YJ178" s="98"/>
      <c r="YK178" s="98"/>
      <c r="YL178" s="98"/>
      <c r="YM178" s="98"/>
      <c r="YN178" s="98"/>
      <c r="YO178" s="98"/>
      <c r="YP178" s="98"/>
      <c r="YQ178" s="98"/>
      <c r="YR178" s="98"/>
      <c r="YS178" s="98"/>
      <c r="YT178" s="98"/>
      <c r="YU178" s="98"/>
      <c r="YV178" s="98"/>
      <c r="YW178" s="98"/>
      <c r="YX178" s="98"/>
      <c r="YY178" s="98"/>
      <c r="YZ178" s="98"/>
      <c r="ZA178" s="98"/>
      <c r="ZB178" s="98"/>
      <c r="ZC178" s="98"/>
      <c r="ZD178" s="98"/>
      <c r="ZE178" s="98"/>
      <c r="ZF178" s="98"/>
      <c r="ZG178" s="98"/>
      <c r="ZH178" s="98"/>
      <c r="ZI178" s="98"/>
      <c r="ZJ178" s="98"/>
      <c r="ZK178" s="98"/>
      <c r="ZL178" s="98"/>
      <c r="ZM178" s="98"/>
      <c r="ZN178" s="98"/>
      <c r="ZO178" s="98"/>
      <c r="ZP178" s="98"/>
      <c r="ZQ178" s="98"/>
      <c r="ZR178" s="98"/>
      <c r="ZS178" s="98"/>
      <c r="ZT178" s="98"/>
      <c r="ZU178" s="98"/>
      <c r="ZV178" s="98"/>
      <c r="ZW178" s="98"/>
      <c r="ZX178" s="98"/>
      <c r="ZY178" s="98"/>
      <c r="ZZ178" s="98"/>
      <c r="AAA178" s="98"/>
      <c r="AAB178" s="98"/>
      <c r="AAC178" s="98"/>
      <c r="AAD178" s="98"/>
      <c r="AAE178" s="98"/>
      <c r="AAF178" s="98"/>
      <c r="AAG178" s="98"/>
      <c r="AAH178" s="98"/>
      <c r="AAI178" s="98"/>
      <c r="AAJ178" s="98"/>
      <c r="AAK178" s="98"/>
      <c r="AAL178" s="98"/>
      <c r="AAM178" s="98"/>
      <c r="AAN178" s="98"/>
      <c r="AAO178" s="98"/>
      <c r="AAP178" s="98"/>
      <c r="AAQ178" s="98"/>
      <c r="AAR178" s="98"/>
      <c r="AAS178" s="98"/>
      <c r="AAT178" s="98"/>
      <c r="AAU178" s="98"/>
      <c r="AAV178" s="98"/>
      <c r="AAW178" s="98"/>
      <c r="AAX178" s="98"/>
      <c r="AAY178" s="98"/>
      <c r="AAZ178" s="98"/>
      <c r="ABA178" s="98"/>
      <c r="ABB178" s="98"/>
      <c r="ABC178" s="98"/>
      <c r="ABD178" s="98"/>
      <c r="ABE178" s="98"/>
      <c r="ABF178" s="98"/>
      <c r="ABG178" s="98"/>
      <c r="ABH178" s="98"/>
      <c r="ABI178" s="98"/>
      <c r="ABJ178" s="98"/>
      <c r="ABK178" s="98"/>
      <c r="ABL178" s="98"/>
      <c r="ABM178" s="98"/>
      <c r="ABN178" s="98"/>
      <c r="ABO178" s="98"/>
      <c r="ABP178" s="98"/>
      <c r="ABQ178" s="98"/>
      <c r="ABR178" s="98"/>
      <c r="ABS178" s="98"/>
      <c r="ABT178" s="98"/>
      <c r="ABU178" s="98"/>
      <c r="ABV178" s="98"/>
      <c r="ABW178" s="98"/>
      <c r="ABX178" s="98"/>
      <c r="ABY178" s="98"/>
      <c r="ABZ178" s="98"/>
      <c r="ACA178" s="98"/>
      <c r="ACB178" s="98"/>
      <c r="ACC178" s="98"/>
      <c r="ACD178" s="98"/>
      <c r="ACE178" s="98"/>
      <c r="ACF178" s="98"/>
      <c r="ACG178" s="98"/>
      <c r="ACH178" s="98"/>
      <c r="ACI178" s="98"/>
      <c r="ACJ178" s="98"/>
      <c r="ACK178" s="98"/>
      <c r="ACL178" s="98"/>
      <c r="ACM178" s="98"/>
      <c r="ACN178" s="98"/>
      <c r="ACO178" s="98"/>
      <c r="ACP178" s="98"/>
      <c r="ACQ178" s="98"/>
      <c r="ACR178" s="98"/>
      <c r="ACS178" s="98"/>
      <c r="ACT178" s="98"/>
      <c r="ACU178" s="98"/>
      <c r="ACV178" s="98"/>
      <c r="ACW178" s="98"/>
      <c r="ACX178" s="98"/>
      <c r="ACY178" s="98"/>
      <c r="ACZ178" s="98"/>
      <c r="ADA178" s="98"/>
      <c r="ADB178" s="98"/>
      <c r="ADC178" s="98"/>
      <c r="ADD178" s="98"/>
      <c r="ADE178" s="98"/>
      <c r="ADF178" s="98"/>
      <c r="ADG178" s="98"/>
      <c r="ADH178" s="98"/>
      <c r="ADI178" s="98"/>
      <c r="ADJ178" s="98"/>
      <c r="ADK178" s="98"/>
      <c r="ADL178" s="98"/>
      <c r="ADM178" s="98"/>
      <c r="ADN178" s="98"/>
      <c r="ADO178" s="98"/>
      <c r="ADP178" s="98"/>
      <c r="ADQ178" s="98"/>
      <c r="ADR178" s="98"/>
      <c r="ADS178" s="98"/>
      <c r="ADT178" s="98"/>
      <c r="ADU178" s="98"/>
      <c r="ADV178" s="98"/>
      <c r="ADW178" s="98"/>
      <c r="ADX178" s="98"/>
      <c r="ADY178" s="98"/>
      <c r="ADZ178" s="98"/>
      <c r="AEA178" s="98"/>
      <c r="AEB178" s="98"/>
      <c r="AEC178" s="98"/>
      <c r="AED178" s="98"/>
      <c r="AEE178" s="98"/>
      <c r="AEF178" s="98"/>
      <c r="AEG178" s="98"/>
      <c r="AEH178" s="98"/>
      <c r="AEI178" s="98"/>
      <c r="AEJ178" s="98"/>
      <c r="AEK178" s="98"/>
      <c r="AEL178" s="98"/>
      <c r="AEM178" s="98"/>
      <c r="AEN178" s="98"/>
      <c r="AEO178" s="98"/>
      <c r="AEP178" s="98"/>
      <c r="AEQ178" s="98"/>
      <c r="AER178" s="98"/>
      <c r="AES178" s="98"/>
      <c r="AET178" s="98"/>
      <c r="AEU178" s="98"/>
      <c r="AEV178" s="98"/>
      <c r="AEW178" s="98"/>
      <c r="AEX178" s="98"/>
      <c r="AEY178" s="98"/>
      <c r="AEZ178" s="98"/>
      <c r="AFA178" s="98"/>
      <c r="AFB178" s="98"/>
      <c r="AFC178" s="98"/>
      <c r="AFD178" s="98"/>
      <c r="AFE178" s="98"/>
      <c r="AFF178" s="98"/>
      <c r="AFG178" s="98"/>
      <c r="AFH178" s="98"/>
      <c r="AFI178" s="98"/>
      <c r="AFJ178" s="98"/>
      <c r="AFK178" s="98"/>
      <c r="AFL178" s="98"/>
      <c r="AFM178" s="98"/>
      <c r="AFN178" s="98"/>
      <c r="AFO178" s="98"/>
      <c r="AFP178" s="98"/>
      <c r="AFQ178" s="98"/>
      <c r="AFR178" s="98"/>
      <c r="AFS178" s="98"/>
      <c r="AFT178" s="98"/>
      <c r="AFU178" s="98"/>
      <c r="AFV178" s="98"/>
      <c r="AFW178" s="98"/>
      <c r="AFX178" s="98"/>
      <c r="AFY178" s="98"/>
      <c r="AFZ178" s="98"/>
      <c r="AGA178" s="98"/>
      <c r="AGB178" s="98"/>
      <c r="AGC178" s="98"/>
      <c r="AGD178" s="98"/>
      <c r="AGE178" s="98"/>
      <c r="AGF178" s="98"/>
      <c r="AGG178" s="98"/>
      <c r="AGH178" s="98"/>
      <c r="AGI178" s="98"/>
      <c r="AGJ178" s="98"/>
      <c r="AGK178" s="98"/>
      <c r="AGL178" s="98"/>
      <c r="AGM178" s="98"/>
      <c r="AGN178" s="98"/>
      <c r="AGO178" s="98"/>
      <c r="AGP178" s="98"/>
      <c r="AGQ178" s="98"/>
      <c r="AGR178" s="98"/>
      <c r="AGS178" s="98"/>
      <c r="AGT178" s="98"/>
      <c r="AGU178" s="98"/>
      <c r="AGV178" s="98"/>
      <c r="AGW178" s="98"/>
      <c r="AGX178" s="98"/>
      <c r="AGY178" s="98"/>
      <c r="AGZ178" s="98"/>
      <c r="AHA178" s="98"/>
      <c r="AHB178" s="98"/>
      <c r="AHC178" s="98"/>
      <c r="AHD178" s="98"/>
      <c r="AHE178" s="98"/>
      <c r="AHF178" s="98"/>
      <c r="AHG178" s="98"/>
      <c r="AHH178" s="98"/>
      <c r="AHI178" s="98"/>
      <c r="AHJ178" s="98"/>
      <c r="AHK178" s="98"/>
      <c r="AHL178" s="98"/>
      <c r="AHM178" s="98"/>
      <c r="AHN178" s="98"/>
      <c r="AHO178" s="98"/>
      <c r="AHP178" s="98"/>
      <c r="AHQ178" s="98"/>
      <c r="AHR178" s="98"/>
      <c r="AHS178" s="98"/>
      <c r="AHT178" s="98"/>
      <c r="AHU178" s="98"/>
      <c r="AHV178" s="98"/>
      <c r="AHW178" s="98"/>
      <c r="AHX178" s="98"/>
      <c r="AHY178" s="98"/>
      <c r="AHZ178" s="98"/>
      <c r="AIA178" s="98"/>
      <c r="AIB178" s="98"/>
      <c r="AIC178" s="98"/>
      <c r="AID178" s="98"/>
      <c r="AIE178" s="98"/>
      <c r="AIF178" s="98"/>
      <c r="AIG178" s="98"/>
      <c r="AIH178" s="98"/>
      <c r="AII178" s="98"/>
      <c r="AIJ178" s="98"/>
      <c r="AIK178" s="98"/>
      <c r="AIL178" s="98"/>
      <c r="AIM178" s="98"/>
      <c r="AIN178" s="98"/>
      <c r="AIO178" s="98"/>
      <c r="AIP178" s="98"/>
      <c r="AIQ178" s="98"/>
      <c r="AIR178" s="98"/>
      <c r="AIS178" s="98"/>
      <c r="AIT178" s="98"/>
      <c r="AIU178" s="98"/>
      <c r="AIV178" s="98"/>
      <c r="AIW178" s="98"/>
      <c r="AIX178" s="98"/>
      <c r="AIY178" s="98"/>
      <c r="AIZ178" s="98"/>
      <c r="AJA178" s="98"/>
      <c r="AJB178" s="98"/>
      <c r="AJC178" s="98"/>
      <c r="AJD178" s="98"/>
      <c r="AJE178" s="98"/>
      <c r="AJF178" s="98"/>
      <c r="AJG178" s="98"/>
      <c r="AJH178" s="98"/>
      <c r="AJI178" s="98"/>
      <c r="AJJ178" s="98"/>
      <c r="AJK178" s="98"/>
      <c r="AJL178" s="98"/>
      <c r="AJM178" s="98"/>
      <c r="AJN178" s="98"/>
      <c r="AJO178" s="98"/>
      <c r="AJP178" s="98"/>
      <c r="AJQ178" s="98"/>
      <c r="AJR178" s="98"/>
      <c r="AJS178" s="98"/>
      <c r="AJT178" s="98"/>
      <c r="AJU178" s="98"/>
      <c r="AJV178" s="98"/>
      <c r="AJW178" s="98"/>
      <c r="AJX178" s="98"/>
      <c r="AJY178" s="98"/>
      <c r="AJZ178" s="98"/>
      <c r="AKA178" s="98"/>
      <c r="AKB178" s="98"/>
      <c r="AKC178" s="98"/>
      <c r="AKD178" s="98"/>
      <c r="AKE178" s="98"/>
      <c r="AKF178" s="98"/>
      <c r="AKG178" s="98"/>
      <c r="AKH178" s="98"/>
      <c r="AKI178" s="98"/>
      <c r="AKJ178" s="98"/>
      <c r="AKK178" s="98"/>
      <c r="AKL178" s="98"/>
      <c r="AKM178" s="98"/>
      <c r="AKN178" s="98"/>
      <c r="AKO178" s="98"/>
      <c r="AKP178" s="98"/>
      <c r="AKQ178" s="98"/>
      <c r="AKR178" s="98"/>
      <c r="AKS178" s="98"/>
      <c r="AKT178" s="98"/>
      <c r="AKU178" s="98"/>
      <c r="AKV178" s="98"/>
      <c r="AKW178" s="98"/>
      <c r="AKX178" s="98"/>
      <c r="AKY178" s="98"/>
      <c r="AKZ178" s="98"/>
      <c r="ALA178" s="98"/>
      <c r="ALB178" s="98"/>
      <c r="ALC178" s="98"/>
      <c r="ALD178" s="98"/>
      <c r="ALE178" s="98"/>
      <c r="ALF178" s="98"/>
      <c r="ALG178" s="98"/>
      <c r="ALH178" s="98"/>
      <c r="ALI178" s="98"/>
      <c r="ALJ178" s="98"/>
      <c r="ALK178" s="98"/>
      <c r="ALL178" s="98"/>
      <c r="ALM178" s="98"/>
      <c r="ALN178" s="98"/>
      <c r="ALO178" s="98"/>
      <c r="ALP178" s="98"/>
      <c r="ALQ178" s="98"/>
      <c r="ALR178" s="98"/>
      <c r="ALS178" s="98"/>
      <c r="ALT178" s="98"/>
      <c r="ALU178" s="98"/>
      <c r="ALV178" s="98"/>
      <c r="ALW178" s="98"/>
      <c r="ALX178" s="98"/>
      <c r="ALY178" s="98"/>
      <c r="ALZ178" s="98"/>
      <c r="AMA178" s="98"/>
      <c r="AMB178" s="98"/>
      <c r="AMC178" s="98"/>
      <c r="AMD178" s="98"/>
      <c r="AME178" s="98"/>
      <c r="AMF178" s="98"/>
      <c r="AMG178" s="98"/>
      <c r="AMH178" s="98"/>
      <c r="AMI178" s="98"/>
      <c r="AMJ178" s="98"/>
      <c r="AMK178" s="98"/>
      <c r="AML178" s="98"/>
      <c r="AMM178" s="98"/>
      <c r="AMN178" s="98"/>
      <c r="AMO178" s="98"/>
      <c r="AMP178" s="98"/>
      <c r="AMQ178" s="98"/>
      <c r="AMR178" s="98"/>
      <c r="AMS178" s="98"/>
      <c r="AMT178" s="98"/>
      <c r="AMU178" s="98"/>
      <c r="AMV178" s="98"/>
      <c r="AMW178" s="98"/>
      <c r="AMX178" s="98"/>
      <c r="AMY178" s="98"/>
      <c r="AMZ178" s="98"/>
      <c r="ANA178" s="98"/>
      <c r="ANB178" s="98"/>
      <c r="ANC178" s="98"/>
      <c r="AND178" s="98"/>
      <c r="ANE178" s="98"/>
      <c r="ANF178" s="98"/>
      <c r="ANG178" s="98"/>
      <c r="ANH178" s="98"/>
      <c r="ANI178" s="98"/>
      <c r="ANJ178" s="98"/>
      <c r="ANK178" s="98"/>
      <c r="ANL178" s="98"/>
      <c r="ANM178" s="98"/>
      <c r="ANN178" s="98"/>
      <c r="ANO178" s="98"/>
      <c r="ANP178" s="98"/>
      <c r="ANQ178" s="98"/>
      <c r="ANR178" s="98"/>
      <c r="ANS178" s="98"/>
      <c r="ANT178" s="98"/>
      <c r="ANU178" s="98"/>
      <c r="ANV178" s="98"/>
      <c r="ANW178" s="98"/>
      <c r="ANX178" s="98"/>
      <c r="ANY178" s="98"/>
      <c r="ANZ178" s="98"/>
      <c r="AOA178" s="98"/>
      <c r="AOB178" s="98"/>
      <c r="AOC178" s="98"/>
      <c r="AOD178" s="98"/>
      <c r="AOE178" s="98"/>
      <c r="AOF178" s="98"/>
      <c r="AOG178" s="98"/>
      <c r="AOH178" s="98"/>
      <c r="AOI178" s="98"/>
      <c r="AOJ178" s="98"/>
      <c r="AOK178" s="98"/>
      <c r="AOL178" s="98"/>
      <c r="AOM178" s="98"/>
      <c r="AON178" s="98"/>
      <c r="AOO178" s="98"/>
      <c r="AOP178" s="98"/>
      <c r="AOQ178" s="98"/>
      <c r="AOR178" s="98"/>
      <c r="AOS178" s="98"/>
      <c r="AOT178" s="98"/>
      <c r="AOU178" s="98"/>
      <c r="AOV178" s="98"/>
      <c r="AOW178" s="98"/>
      <c r="AOX178" s="98"/>
      <c r="AOY178" s="98"/>
      <c r="AOZ178" s="98"/>
      <c r="APA178" s="98"/>
      <c r="APB178" s="98"/>
      <c r="APC178" s="98"/>
      <c r="APD178" s="98"/>
      <c r="APE178" s="98"/>
      <c r="APF178" s="98"/>
      <c r="APG178" s="98"/>
      <c r="APH178" s="98"/>
      <c r="API178" s="98"/>
      <c r="APJ178" s="98"/>
      <c r="APK178" s="98"/>
      <c r="APL178" s="98"/>
      <c r="APM178" s="98"/>
      <c r="APN178" s="98"/>
      <c r="APO178" s="98"/>
      <c r="APP178" s="98"/>
      <c r="APQ178" s="98"/>
      <c r="APR178" s="98"/>
      <c r="APS178" s="98"/>
      <c r="APT178" s="98"/>
      <c r="APU178" s="98"/>
      <c r="APV178" s="98"/>
      <c r="APW178" s="98"/>
      <c r="APX178" s="98"/>
      <c r="APY178" s="98"/>
      <c r="APZ178" s="98"/>
      <c r="AQA178" s="98"/>
      <c r="AQB178" s="98"/>
      <c r="AQC178" s="98"/>
      <c r="AQD178" s="98"/>
      <c r="AQE178" s="98"/>
      <c r="AQF178" s="98"/>
      <c r="AQG178" s="98"/>
      <c r="AQH178" s="98"/>
      <c r="AQI178" s="98"/>
      <c r="AQJ178" s="98"/>
      <c r="AQK178" s="98"/>
      <c r="AQL178" s="98"/>
      <c r="AQM178" s="98"/>
      <c r="AQN178" s="98"/>
      <c r="AQO178" s="98"/>
      <c r="AQP178" s="98"/>
      <c r="AQQ178" s="98"/>
      <c r="AQR178" s="98"/>
      <c r="AQS178" s="98"/>
      <c r="AQT178" s="98"/>
      <c r="AQU178" s="98"/>
      <c r="AQV178" s="98"/>
      <c r="AQW178" s="98"/>
      <c r="AQX178" s="98"/>
      <c r="AQY178" s="98"/>
      <c r="AQZ178" s="98"/>
      <c r="ARA178" s="98"/>
      <c r="ARB178" s="98"/>
      <c r="ARC178" s="98"/>
      <c r="ARD178" s="98"/>
      <c r="ARE178" s="98"/>
      <c r="ARF178" s="98"/>
      <c r="ARG178" s="98"/>
      <c r="ARH178" s="98"/>
      <c r="ARI178" s="98"/>
      <c r="ARJ178" s="98"/>
      <c r="ARK178" s="98"/>
      <c r="ARL178" s="98"/>
      <c r="ARM178" s="98"/>
      <c r="ARN178" s="98"/>
      <c r="ARO178" s="98"/>
      <c r="ARP178" s="98"/>
      <c r="ARQ178" s="98"/>
      <c r="ARR178" s="98"/>
      <c r="ARS178" s="98"/>
    </row>
    <row r="179" spans="1:1163" s="174" customFormat="1" ht="17.25">
      <c r="A179" s="140" t="s">
        <v>72</v>
      </c>
      <c r="B179" s="1087" t="s">
        <v>273</v>
      </c>
      <c r="C179" s="207">
        <v>7324642</v>
      </c>
      <c r="D179" s="207">
        <v>104169646</v>
      </c>
      <c r="E179" s="207">
        <v>859688</v>
      </c>
      <c r="F179" s="207">
        <v>25494035</v>
      </c>
      <c r="G179" s="207">
        <v>831929</v>
      </c>
      <c r="H179" s="207">
        <v>28927638</v>
      </c>
      <c r="I179" s="207">
        <v>881154</v>
      </c>
      <c r="J179" s="207">
        <v>36018694</v>
      </c>
      <c r="K179" s="207">
        <v>1052738</v>
      </c>
      <c r="L179" s="207">
        <v>54528779</v>
      </c>
      <c r="M179" s="207">
        <v>1332156</v>
      </c>
      <c r="N179" s="207">
        <v>99538071</v>
      </c>
      <c r="O179" s="207">
        <v>2226409</v>
      </c>
      <c r="P179" s="207">
        <v>229954622</v>
      </c>
      <c r="Q179" s="207">
        <v>2974410</v>
      </c>
      <c r="R179" s="207">
        <v>264200592</v>
      </c>
      <c r="S179" s="207">
        <v>3453947</v>
      </c>
      <c r="T179" s="207">
        <v>325888999</v>
      </c>
      <c r="U179" s="201">
        <v>3653278</v>
      </c>
      <c r="V179" s="201">
        <v>301429132</v>
      </c>
      <c r="W179" s="197">
        <v>3742658</v>
      </c>
      <c r="X179" s="197">
        <v>321733867</v>
      </c>
      <c r="Y179" s="175">
        <v>3698843</v>
      </c>
      <c r="Z179" s="175">
        <v>366425052</v>
      </c>
      <c r="AA179" s="209">
        <v>3738455</v>
      </c>
      <c r="AB179" s="209">
        <v>372203226</v>
      </c>
      <c r="AC179" s="175">
        <v>3776068</v>
      </c>
      <c r="AD179" s="175">
        <v>368955578</v>
      </c>
      <c r="AE179" s="209">
        <v>4210825</v>
      </c>
      <c r="AF179" s="209">
        <v>422956897</v>
      </c>
      <c r="AG179" s="201">
        <v>4915310</v>
      </c>
      <c r="AH179" s="201">
        <v>441964508</v>
      </c>
      <c r="AI179" s="201">
        <v>5827413</v>
      </c>
      <c r="AJ179" s="201">
        <v>421922592</v>
      </c>
      <c r="AK179" s="201">
        <v>6624510</v>
      </c>
      <c r="AL179" s="201">
        <v>494681365</v>
      </c>
      <c r="AM179" s="176">
        <v>7331730</v>
      </c>
      <c r="AN179" s="176">
        <v>571510515.80999994</v>
      </c>
      <c r="AO179" s="201">
        <v>6328179</v>
      </c>
      <c r="AP179" s="201">
        <v>527964048</v>
      </c>
      <c r="AQ179" s="201">
        <v>6600274.6600000001</v>
      </c>
      <c r="AR179" s="201">
        <v>569333370.60000002</v>
      </c>
      <c r="AS179" s="201">
        <v>6929520</v>
      </c>
      <c r="AT179" s="201">
        <v>607642506.55303144</v>
      </c>
      <c r="AU179" s="209">
        <v>7741021</v>
      </c>
      <c r="AV179" s="209">
        <v>646370704.71992362</v>
      </c>
      <c r="AW179" s="197">
        <v>7851893</v>
      </c>
      <c r="AX179" s="197">
        <v>659905719</v>
      </c>
      <c r="AY179" s="197">
        <v>8112617</v>
      </c>
      <c r="AZ179" s="197">
        <v>690454885</v>
      </c>
      <c r="BA179" s="177"/>
      <c r="BB179" s="197"/>
      <c r="BC179" s="178"/>
      <c r="BD179" s="197"/>
      <c r="BE179" s="178"/>
      <c r="BF179" s="197"/>
      <c r="BG179" s="197"/>
      <c r="BH179" s="197"/>
      <c r="BI179" s="178"/>
      <c r="BJ179" s="98"/>
      <c r="BK179" s="148"/>
      <c r="BL179" s="148"/>
      <c r="BM179" s="98"/>
      <c r="BN179" s="148"/>
      <c r="BO179" s="98"/>
      <c r="BP179" s="98"/>
      <c r="BQ179" s="11"/>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c r="CT179" s="98"/>
      <c r="CU179" s="98"/>
      <c r="CV179" s="98"/>
      <c r="CW179" s="98"/>
      <c r="CX179" s="98"/>
      <c r="CY179" s="98"/>
      <c r="CZ179" s="98"/>
      <c r="DA179" s="98"/>
      <c r="DB179" s="98"/>
      <c r="DC179" s="98"/>
      <c r="DD179" s="98"/>
      <c r="DE179" s="98"/>
      <c r="DF179" s="98"/>
      <c r="DG179" s="98"/>
      <c r="DH179" s="98"/>
      <c r="DI179" s="98"/>
      <c r="DJ179" s="98"/>
      <c r="DK179" s="98"/>
      <c r="DL179" s="98"/>
      <c r="DM179" s="98"/>
      <c r="DN179" s="98"/>
      <c r="DO179" s="98"/>
      <c r="DP179" s="98"/>
      <c r="DQ179" s="98"/>
      <c r="DR179" s="98"/>
      <c r="DS179" s="98"/>
      <c r="DT179" s="98"/>
      <c r="DU179" s="98"/>
      <c r="DV179" s="98"/>
      <c r="DW179" s="98"/>
      <c r="DX179" s="98"/>
      <c r="DY179" s="98"/>
      <c r="DZ179" s="98"/>
      <c r="EA179" s="98"/>
      <c r="EB179" s="98"/>
      <c r="EC179" s="98"/>
      <c r="ED179" s="98"/>
      <c r="EE179" s="98"/>
      <c r="EF179" s="98"/>
      <c r="EG179" s="98"/>
      <c r="EH179" s="98"/>
      <c r="EI179" s="98"/>
      <c r="EJ179" s="98"/>
      <c r="EK179" s="98"/>
      <c r="EL179" s="98"/>
      <c r="EM179" s="98"/>
      <c r="EN179" s="98"/>
      <c r="EO179" s="98"/>
      <c r="EP179" s="98"/>
      <c r="EQ179" s="98"/>
      <c r="ER179" s="98"/>
      <c r="ES179" s="98"/>
      <c r="ET179" s="98"/>
      <c r="EU179" s="98"/>
      <c r="EV179" s="98"/>
      <c r="EW179" s="98"/>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c r="IW179" s="98"/>
      <c r="IX179" s="98"/>
      <c r="IY179" s="98"/>
      <c r="IZ179" s="98"/>
      <c r="JA179" s="98"/>
      <c r="JB179" s="98"/>
      <c r="JC179" s="98"/>
      <c r="JD179" s="98"/>
      <c r="JE179" s="98"/>
      <c r="JF179" s="98"/>
      <c r="JG179" s="98"/>
      <c r="JH179" s="98"/>
      <c r="JI179" s="98"/>
      <c r="JJ179" s="98"/>
      <c r="JK179" s="98"/>
      <c r="JL179" s="98"/>
      <c r="JM179" s="98"/>
      <c r="JN179" s="98"/>
      <c r="JO179" s="98"/>
      <c r="JP179" s="98"/>
      <c r="JQ179" s="98"/>
      <c r="JR179" s="98"/>
      <c r="JS179" s="98"/>
      <c r="JT179" s="98"/>
      <c r="JU179" s="98"/>
      <c r="JV179" s="98"/>
      <c r="JW179" s="98"/>
      <c r="JX179" s="98"/>
      <c r="JY179" s="98"/>
      <c r="JZ179" s="98"/>
      <c r="KA179" s="98"/>
      <c r="KB179" s="98"/>
      <c r="KC179" s="98"/>
      <c r="KD179" s="98"/>
      <c r="KE179" s="98"/>
      <c r="KF179" s="98"/>
      <c r="KG179" s="98"/>
      <c r="KH179" s="98"/>
      <c r="KI179" s="98"/>
      <c r="KJ179" s="98"/>
      <c r="KK179" s="98"/>
      <c r="KL179" s="98"/>
      <c r="KM179" s="98"/>
      <c r="KN179" s="98"/>
      <c r="KO179" s="98"/>
      <c r="KP179" s="98"/>
      <c r="KQ179" s="98"/>
      <c r="KR179" s="98"/>
      <c r="KS179" s="98"/>
      <c r="KT179" s="98"/>
      <c r="KU179" s="98"/>
      <c r="KV179" s="98"/>
      <c r="KW179" s="98"/>
      <c r="KX179" s="98"/>
      <c r="KY179" s="98"/>
      <c r="KZ179" s="98"/>
      <c r="LA179" s="98"/>
      <c r="LB179" s="98"/>
      <c r="LC179" s="98"/>
      <c r="LD179" s="98"/>
      <c r="LE179" s="98"/>
      <c r="LF179" s="98"/>
      <c r="LG179" s="98"/>
      <c r="LH179" s="98"/>
      <c r="LI179" s="98"/>
      <c r="LJ179" s="98"/>
      <c r="LK179" s="98"/>
      <c r="LL179" s="98"/>
      <c r="LM179" s="98"/>
      <c r="LN179" s="98"/>
      <c r="LO179" s="98"/>
      <c r="LP179" s="98"/>
      <c r="LQ179" s="98"/>
      <c r="LR179" s="98"/>
      <c r="LS179" s="98"/>
      <c r="LT179" s="98"/>
      <c r="LU179" s="98"/>
      <c r="LV179" s="98"/>
      <c r="LW179" s="98"/>
      <c r="LX179" s="98"/>
      <c r="LY179" s="98"/>
      <c r="LZ179" s="98"/>
      <c r="MA179" s="98"/>
      <c r="MB179" s="98"/>
      <c r="MC179" s="98"/>
      <c r="MD179" s="98"/>
      <c r="ME179" s="98"/>
      <c r="MF179" s="98"/>
      <c r="MG179" s="98"/>
      <c r="MH179" s="98"/>
      <c r="MI179" s="98"/>
      <c r="MJ179" s="98"/>
      <c r="MK179" s="98"/>
      <c r="ML179" s="98"/>
      <c r="MM179" s="98"/>
      <c r="MN179" s="98"/>
      <c r="MO179" s="98"/>
      <c r="MP179" s="98"/>
      <c r="MQ179" s="98"/>
      <c r="MR179" s="98"/>
      <c r="MS179" s="98"/>
      <c r="MT179" s="98"/>
      <c r="MU179" s="98"/>
      <c r="MV179" s="98"/>
      <c r="MW179" s="98"/>
      <c r="MX179" s="98"/>
      <c r="MY179" s="98"/>
      <c r="MZ179" s="98"/>
      <c r="NA179" s="98"/>
      <c r="NB179" s="98"/>
      <c r="NC179" s="98"/>
      <c r="ND179" s="98"/>
      <c r="NE179" s="98"/>
      <c r="NF179" s="98"/>
      <c r="NG179" s="98"/>
      <c r="NH179" s="98"/>
      <c r="NI179" s="98"/>
      <c r="NJ179" s="98"/>
      <c r="NK179" s="98"/>
      <c r="NL179" s="98"/>
      <c r="NM179" s="98"/>
      <c r="NN179" s="98"/>
      <c r="NO179" s="98"/>
      <c r="NP179" s="98"/>
      <c r="NQ179" s="98"/>
      <c r="NR179" s="98"/>
      <c r="NS179" s="98"/>
      <c r="NT179" s="98"/>
      <c r="NU179" s="98"/>
      <c r="NV179" s="98"/>
      <c r="NW179" s="98"/>
      <c r="NX179" s="98"/>
      <c r="NY179" s="98"/>
      <c r="NZ179" s="98"/>
      <c r="OA179" s="98"/>
      <c r="OB179" s="98"/>
      <c r="OC179" s="98"/>
      <c r="OD179" s="98"/>
      <c r="OE179" s="98"/>
      <c r="OF179" s="98"/>
      <c r="OG179" s="98"/>
      <c r="OH179" s="98"/>
      <c r="OI179" s="98"/>
      <c r="OJ179" s="98"/>
      <c r="OK179" s="98"/>
      <c r="OL179" s="98"/>
      <c r="OM179" s="98"/>
      <c r="ON179" s="98"/>
      <c r="OO179" s="98"/>
      <c r="OP179" s="98"/>
      <c r="OQ179" s="98"/>
      <c r="OR179" s="98"/>
      <c r="OS179" s="98"/>
      <c r="OT179" s="98"/>
      <c r="OU179" s="98"/>
      <c r="OV179" s="98"/>
      <c r="OW179" s="98"/>
      <c r="OX179" s="98"/>
      <c r="OY179" s="98"/>
      <c r="OZ179" s="98"/>
      <c r="PA179" s="98"/>
      <c r="PB179" s="98"/>
      <c r="PC179" s="98"/>
      <c r="PD179" s="98"/>
      <c r="PE179" s="98"/>
      <c r="PF179" s="98"/>
      <c r="PG179" s="98"/>
      <c r="PH179" s="98"/>
      <c r="PI179" s="98"/>
      <c r="PJ179" s="98"/>
      <c r="PK179" s="98"/>
      <c r="PL179" s="98"/>
      <c r="PM179" s="98"/>
      <c r="PN179" s="98"/>
      <c r="PO179" s="98"/>
      <c r="PP179" s="98"/>
      <c r="PQ179" s="98"/>
      <c r="PR179" s="98"/>
      <c r="PS179" s="98"/>
      <c r="PT179" s="98"/>
      <c r="PU179" s="98"/>
      <c r="PV179" s="98"/>
      <c r="PW179" s="98"/>
      <c r="PX179" s="98"/>
      <c r="PY179" s="98"/>
      <c r="PZ179" s="98"/>
      <c r="QA179" s="98"/>
      <c r="QB179" s="98"/>
      <c r="QC179" s="98"/>
      <c r="QD179" s="98"/>
      <c r="QE179" s="98"/>
      <c r="QF179" s="98"/>
      <c r="QG179" s="98"/>
      <c r="QH179" s="98"/>
      <c r="QI179" s="98"/>
      <c r="QJ179" s="98"/>
      <c r="QK179" s="98"/>
      <c r="QL179" s="98"/>
      <c r="QM179" s="98"/>
      <c r="QN179" s="98"/>
      <c r="QO179" s="98"/>
      <c r="QP179" s="98"/>
      <c r="QQ179" s="98"/>
      <c r="QR179" s="98"/>
      <c r="QS179" s="98"/>
      <c r="QT179" s="98"/>
      <c r="QU179" s="98"/>
      <c r="QV179" s="98"/>
      <c r="QW179" s="98"/>
      <c r="QX179" s="98"/>
      <c r="QY179" s="98"/>
      <c r="QZ179" s="98"/>
      <c r="RA179" s="98"/>
      <c r="RB179" s="98"/>
      <c r="RC179" s="98"/>
      <c r="RD179" s="98"/>
      <c r="RE179" s="98"/>
      <c r="RF179" s="98"/>
      <c r="RG179" s="98"/>
      <c r="RH179" s="98"/>
      <c r="RI179" s="98"/>
      <c r="RJ179" s="98"/>
      <c r="RK179" s="98"/>
      <c r="RL179" s="98"/>
      <c r="RM179" s="98"/>
      <c r="RN179" s="98"/>
      <c r="RO179" s="98"/>
      <c r="RP179" s="98"/>
      <c r="RQ179" s="98"/>
      <c r="RR179" s="98"/>
      <c r="RS179" s="98"/>
      <c r="RT179" s="98"/>
      <c r="RU179" s="98"/>
      <c r="RV179" s="98"/>
      <c r="RW179" s="98"/>
      <c r="RX179" s="98"/>
      <c r="RY179" s="98"/>
      <c r="RZ179" s="98"/>
      <c r="SA179" s="98"/>
      <c r="SB179" s="98"/>
      <c r="SC179" s="98"/>
      <c r="SD179" s="98"/>
      <c r="SE179" s="98"/>
      <c r="SF179" s="98"/>
      <c r="SG179" s="98"/>
      <c r="SH179" s="98"/>
      <c r="SI179" s="98"/>
      <c r="SJ179" s="98"/>
      <c r="SK179" s="98"/>
      <c r="SL179" s="98"/>
      <c r="SM179" s="98"/>
      <c r="SN179" s="98"/>
      <c r="SO179" s="98"/>
      <c r="SP179" s="98"/>
      <c r="SQ179" s="98"/>
      <c r="SR179" s="98"/>
      <c r="SS179" s="98"/>
      <c r="ST179" s="98"/>
      <c r="SU179" s="98"/>
      <c r="SV179" s="98"/>
      <c r="SW179" s="98"/>
      <c r="SX179" s="98"/>
      <c r="SY179" s="98"/>
      <c r="SZ179" s="98"/>
      <c r="TA179" s="98"/>
      <c r="TB179" s="98"/>
      <c r="TC179" s="98"/>
      <c r="TD179" s="98"/>
      <c r="TE179" s="98"/>
      <c r="TF179" s="98"/>
      <c r="TG179" s="98"/>
      <c r="TH179" s="98"/>
      <c r="TI179" s="98"/>
      <c r="TJ179" s="98"/>
      <c r="TK179" s="98"/>
      <c r="TL179" s="98"/>
      <c r="TM179" s="98"/>
      <c r="TN179" s="98"/>
      <c r="TO179" s="98"/>
      <c r="TP179" s="98"/>
      <c r="TQ179" s="98"/>
      <c r="TR179" s="98"/>
      <c r="TS179" s="98"/>
      <c r="TT179" s="98"/>
      <c r="TU179" s="98"/>
      <c r="TV179" s="98"/>
      <c r="TW179" s="98"/>
      <c r="TX179" s="98"/>
      <c r="TY179" s="98"/>
      <c r="TZ179" s="98"/>
      <c r="UA179" s="98"/>
      <c r="UB179" s="98"/>
      <c r="UC179" s="98"/>
      <c r="UD179" s="98"/>
      <c r="UE179" s="98"/>
      <c r="UF179" s="98"/>
      <c r="UG179" s="98"/>
      <c r="UH179" s="98"/>
      <c r="UI179" s="98"/>
      <c r="UJ179" s="98"/>
      <c r="UK179" s="98"/>
      <c r="UL179" s="98"/>
      <c r="UM179" s="98"/>
      <c r="UN179" s="98"/>
      <c r="UO179" s="98"/>
      <c r="UP179" s="98"/>
      <c r="UQ179" s="98"/>
      <c r="UR179" s="98"/>
      <c r="US179" s="98"/>
      <c r="UT179" s="98"/>
      <c r="UU179" s="98"/>
      <c r="UV179" s="98"/>
      <c r="UW179" s="98"/>
      <c r="UX179" s="98"/>
      <c r="UY179" s="98"/>
      <c r="UZ179" s="98"/>
      <c r="VA179" s="98"/>
      <c r="VB179" s="98"/>
      <c r="VC179" s="98"/>
      <c r="VD179" s="98"/>
      <c r="VE179" s="98"/>
      <c r="VF179" s="98"/>
      <c r="VG179" s="98"/>
      <c r="VH179" s="98"/>
      <c r="VI179" s="98"/>
      <c r="VJ179" s="98"/>
      <c r="VK179" s="98"/>
      <c r="VL179" s="98"/>
      <c r="VM179" s="98"/>
      <c r="VN179" s="98"/>
      <c r="VO179" s="98"/>
      <c r="VP179" s="98"/>
      <c r="VQ179" s="98"/>
      <c r="VR179" s="98"/>
      <c r="VS179" s="98"/>
      <c r="VT179" s="98"/>
      <c r="VU179" s="98"/>
      <c r="VV179" s="98"/>
      <c r="VW179" s="98"/>
      <c r="VX179" s="98"/>
      <c r="VY179" s="98"/>
      <c r="VZ179" s="98"/>
      <c r="WA179" s="98"/>
      <c r="WB179" s="98"/>
      <c r="WC179" s="98"/>
      <c r="WD179" s="98"/>
      <c r="WE179" s="98"/>
      <c r="WF179" s="98"/>
      <c r="WG179" s="98"/>
      <c r="WH179" s="98"/>
      <c r="WI179" s="98"/>
      <c r="WJ179" s="98"/>
      <c r="WK179" s="98"/>
      <c r="WL179" s="98"/>
      <c r="WM179" s="98"/>
      <c r="WN179" s="98"/>
      <c r="WO179" s="98"/>
      <c r="WP179" s="98"/>
      <c r="WQ179" s="98"/>
      <c r="WR179" s="98"/>
      <c r="WS179" s="98"/>
      <c r="WT179" s="98"/>
      <c r="WU179" s="98"/>
      <c r="WV179" s="98"/>
      <c r="WW179" s="98"/>
      <c r="WX179" s="98"/>
      <c r="WY179" s="98"/>
      <c r="WZ179" s="98"/>
      <c r="XA179" s="98"/>
      <c r="XB179" s="98"/>
      <c r="XC179" s="98"/>
      <c r="XD179" s="98"/>
      <c r="XE179" s="98"/>
      <c r="XF179" s="98"/>
      <c r="XG179" s="98"/>
      <c r="XH179" s="98"/>
      <c r="XI179" s="98"/>
      <c r="XJ179" s="98"/>
      <c r="XK179" s="98"/>
      <c r="XL179" s="98"/>
      <c r="XM179" s="98"/>
      <c r="XN179" s="98"/>
      <c r="XO179" s="98"/>
      <c r="XP179" s="98"/>
      <c r="XQ179" s="98"/>
      <c r="XR179" s="98"/>
      <c r="XS179" s="98"/>
      <c r="XT179" s="98"/>
      <c r="XU179" s="98"/>
      <c r="XV179" s="98"/>
      <c r="XW179" s="98"/>
      <c r="XX179" s="98"/>
      <c r="XY179" s="98"/>
      <c r="XZ179" s="98"/>
      <c r="YA179" s="98"/>
      <c r="YB179" s="98"/>
      <c r="YC179" s="98"/>
      <c r="YD179" s="98"/>
      <c r="YE179" s="98"/>
      <c r="YF179" s="98"/>
      <c r="YG179" s="98"/>
      <c r="YH179" s="98"/>
      <c r="YI179" s="98"/>
      <c r="YJ179" s="98"/>
      <c r="YK179" s="98"/>
      <c r="YL179" s="98"/>
      <c r="YM179" s="98"/>
      <c r="YN179" s="98"/>
      <c r="YO179" s="98"/>
      <c r="YP179" s="98"/>
      <c r="YQ179" s="98"/>
      <c r="YR179" s="98"/>
      <c r="YS179" s="98"/>
      <c r="YT179" s="98"/>
      <c r="YU179" s="98"/>
      <c r="YV179" s="98"/>
      <c r="YW179" s="98"/>
      <c r="YX179" s="98"/>
      <c r="YY179" s="98"/>
      <c r="YZ179" s="98"/>
      <c r="ZA179" s="98"/>
      <c r="ZB179" s="98"/>
      <c r="ZC179" s="98"/>
      <c r="ZD179" s="98"/>
      <c r="ZE179" s="98"/>
      <c r="ZF179" s="98"/>
      <c r="ZG179" s="98"/>
      <c r="ZH179" s="98"/>
      <c r="ZI179" s="98"/>
      <c r="ZJ179" s="98"/>
      <c r="ZK179" s="98"/>
      <c r="ZL179" s="98"/>
      <c r="ZM179" s="98"/>
      <c r="ZN179" s="98"/>
      <c r="ZO179" s="98"/>
      <c r="ZP179" s="98"/>
      <c r="ZQ179" s="98"/>
      <c r="ZR179" s="98"/>
      <c r="ZS179" s="98"/>
      <c r="ZT179" s="98"/>
      <c r="ZU179" s="98"/>
      <c r="ZV179" s="98"/>
      <c r="ZW179" s="98"/>
      <c r="ZX179" s="98"/>
      <c r="ZY179" s="98"/>
      <c r="ZZ179" s="98"/>
      <c r="AAA179" s="98"/>
      <c r="AAB179" s="98"/>
      <c r="AAC179" s="98"/>
      <c r="AAD179" s="98"/>
      <c r="AAE179" s="98"/>
      <c r="AAF179" s="98"/>
      <c r="AAG179" s="98"/>
      <c r="AAH179" s="98"/>
      <c r="AAI179" s="98"/>
      <c r="AAJ179" s="98"/>
      <c r="AAK179" s="98"/>
      <c r="AAL179" s="98"/>
      <c r="AAM179" s="98"/>
      <c r="AAN179" s="98"/>
      <c r="AAO179" s="98"/>
      <c r="AAP179" s="98"/>
      <c r="AAQ179" s="98"/>
      <c r="AAR179" s="98"/>
      <c r="AAS179" s="98"/>
      <c r="AAT179" s="98"/>
      <c r="AAU179" s="98"/>
      <c r="AAV179" s="98"/>
      <c r="AAW179" s="98"/>
      <c r="AAX179" s="98"/>
      <c r="AAY179" s="98"/>
      <c r="AAZ179" s="98"/>
      <c r="ABA179" s="98"/>
      <c r="ABB179" s="98"/>
      <c r="ABC179" s="98"/>
      <c r="ABD179" s="98"/>
      <c r="ABE179" s="98"/>
      <c r="ABF179" s="98"/>
      <c r="ABG179" s="98"/>
      <c r="ABH179" s="98"/>
      <c r="ABI179" s="98"/>
      <c r="ABJ179" s="98"/>
      <c r="ABK179" s="98"/>
      <c r="ABL179" s="98"/>
      <c r="ABM179" s="98"/>
      <c r="ABN179" s="98"/>
      <c r="ABO179" s="98"/>
      <c r="ABP179" s="98"/>
      <c r="ABQ179" s="98"/>
      <c r="ABR179" s="98"/>
      <c r="ABS179" s="98"/>
      <c r="ABT179" s="98"/>
      <c r="ABU179" s="98"/>
      <c r="ABV179" s="98"/>
      <c r="ABW179" s="98"/>
      <c r="ABX179" s="98"/>
      <c r="ABY179" s="98"/>
      <c r="ABZ179" s="98"/>
      <c r="ACA179" s="98"/>
      <c r="ACB179" s="98"/>
      <c r="ACC179" s="98"/>
      <c r="ACD179" s="98"/>
      <c r="ACE179" s="98"/>
      <c r="ACF179" s="98"/>
      <c r="ACG179" s="98"/>
      <c r="ACH179" s="98"/>
      <c r="ACI179" s="98"/>
      <c r="ACJ179" s="98"/>
      <c r="ACK179" s="98"/>
      <c r="ACL179" s="98"/>
      <c r="ACM179" s="98"/>
      <c r="ACN179" s="98"/>
      <c r="ACO179" s="98"/>
      <c r="ACP179" s="98"/>
      <c r="ACQ179" s="98"/>
      <c r="ACR179" s="98"/>
      <c r="ACS179" s="98"/>
      <c r="ACT179" s="98"/>
      <c r="ACU179" s="98"/>
      <c r="ACV179" s="98"/>
      <c r="ACW179" s="98"/>
      <c r="ACX179" s="98"/>
      <c r="ACY179" s="98"/>
      <c r="ACZ179" s="98"/>
      <c r="ADA179" s="98"/>
      <c r="ADB179" s="98"/>
      <c r="ADC179" s="98"/>
      <c r="ADD179" s="98"/>
      <c r="ADE179" s="98"/>
      <c r="ADF179" s="98"/>
      <c r="ADG179" s="98"/>
      <c r="ADH179" s="98"/>
      <c r="ADI179" s="98"/>
      <c r="ADJ179" s="98"/>
      <c r="ADK179" s="98"/>
      <c r="ADL179" s="98"/>
      <c r="ADM179" s="98"/>
      <c r="ADN179" s="98"/>
      <c r="ADO179" s="98"/>
      <c r="ADP179" s="98"/>
      <c r="ADQ179" s="98"/>
      <c r="ADR179" s="98"/>
      <c r="ADS179" s="98"/>
      <c r="ADT179" s="98"/>
      <c r="ADU179" s="98"/>
      <c r="ADV179" s="98"/>
      <c r="ADW179" s="98"/>
      <c r="ADX179" s="98"/>
      <c r="ADY179" s="98"/>
      <c r="ADZ179" s="98"/>
      <c r="AEA179" s="98"/>
      <c r="AEB179" s="98"/>
      <c r="AEC179" s="98"/>
      <c r="AED179" s="98"/>
      <c r="AEE179" s="98"/>
      <c r="AEF179" s="98"/>
      <c r="AEG179" s="98"/>
      <c r="AEH179" s="98"/>
      <c r="AEI179" s="98"/>
      <c r="AEJ179" s="98"/>
      <c r="AEK179" s="98"/>
      <c r="AEL179" s="98"/>
      <c r="AEM179" s="98"/>
      <c r="AEN179" s="98"/>
      <c r="AEO179" s="98"/>
      <c r="AEP179" s="98"/>
      <c r="AEQ179" s="98"/>
      <c r="AER179" s="98"/>
      <c r="AES179" s="98"/>
      <c r="AET179" s="98"/>
      <c r="AEU179" s="98"/>
      <c r="AEV179" s="98"/>
      <c r="AEW179" s="98"/>
      <c r="AEX179" s="98"/>
      <c r="AEY179" s="98"/>
      <c r="AEZ179" s="98"/>
      <c r="AFA179" s="98"/>
      <c r="AFB179" s="98"/>
      <c r="AFC179" s="98"/>
      <c r="AFD179" s="98"/>
      <c r="AFE179" s="98"/>
      <c r="AFF179" s="98"/>
      <c r="AFG179" s="98"/>
      <c r="AFH179" s="98"/>
      <c r="AFI179" s="98"/>
      <c r="AFJ179" s="98"/>
      <c r="AFK179" s="98"/>
      <c r="AFL179" s="98"/>
      <c r="AFM179" s="98"/>
      <c r="AFN179" s="98"/>
      <c r="AFO179" s="98"/>
      <c r="AFP179" s="98"/>
      <c r="AFQ179" s="98"/>
      <c r="AFR179" s="98"/>
      <c r="AFS179" s="98"/>
      <c r="AFT179" s="98"/>
      <c r="AFU179" s="98"/>
      <c r="AFV179" s="98"/>
      <c r="AFW179" s="98"/>
      <c r="AFX179" s="98"/>
      <c r="AFY179" s="98"/>
      <c r="AFZ179" s="98"/>
      <c r="AGA179" s="98"/>
      <c r="AGB179" s="98"/>
      <c r="AGC179" s="98"/>
      <c r="AGD179" s="98"/>
      <c r="AGE179" s="98"/>
      <c r="AGF179" s="98"/>
      <c r="AGG179" s="98"/>
      <c r="AGH179" s="98"/>
      <c r="AGI179" s="98"/>
      <c r="AGJ179" s="98"/>
      <c r="AGK179" s="98"/>
      <c r="AGL179" s="98"/>
      <c r="AGM179" s="98"/>
      <c r="AGN179" s="98"/>
      <c r="AGO179" s="98"/>
      <c r="AGP179" s="98"/>
      <c r="AGQ179" s="98"/>
      <c r="AGR179" s="98"/>
      <c r="AGS179" s="98"/>
      <c r="AGT179" s="98"/>
      <c r="AGU179" s="98"/>
      <c r="AGV179" s="98"/>
      <c r="AGW179" s="98"/>
      <c r="AGX179" s="98"/>
      <c r="AGY179" s="98"/>
      <c r="AGZ179" s="98"/>
      <c r="AHA179" s="98"/>
      <c r="AHB179" s="98"/>
      <c r="AHC179" s="98"/>
      <c r="AHD179" s="98"/>
      <c r="AHE179" s="98"/>
      <c r="AHF179" s="98"/>
      <c r="AHG179" s="98"/>
      <c r="AHH179" s="98"/>
      <c r="AHI179" s="98"/>
      <c r="AHJ179" s="98"/>
      <c r="AHK179" s="98"/>
      <c r="AHL179" s="98"/>
      <c r="AHM179" s="98"/>
      <c r="AHN179" s="98"/>
      <c r="AHO179" s="98"/>
      <c r="AHP179" s="98"/>
      <c r="AHQ179" s="98"/>
      <c r="AHR179" s="98"/>
      <c r="AHS179" s="98"/>
      <c r="AHT179" s="98"/>
      <c r="AHU179" s="98"/>
      <c r="AHV179" s="98"/>
      <c r="AHW179" s="98"/>
      <c r="AHX179" s="98"/>
      <c r="AHY179" s="98"/>
      <c r="AHZ179" s="98"/>
      <c r="AIA179" s="98"/>
      <c r="AIB179" s="98"/>
      <c r="AIC179" s="98"/>
      <c r="AID179" s="98"/>
      <c r="AIE179" s="98"/>
      <c r="AIF179" s="98"/>
      <c r="AIG179" s="98"/>
      <c r="AIH179" s="98"/>
      <c r="AII179" s="98"/>
      <c r="AIJ179" s="98"/>
      <c r="AIK179" s="98"/>
      <c r="AIL179" s="98"/>
      <c r="AIM179" s="98"/>
      <c r="AIN179" s="98"/>
      <c r="AIO179" s="98"/>
      <c r="AIP179" s="98"/>
      <c r="AIQ179" s="98"/>
      <c r="AIR179" s="98"/>
      <c r="AIS179" s="98"/>
      <c r="AIT179" s="98"/>
      <c r="AIU179" s="98"/>
      <c r="AIV179" s="98"/>
      <c r="AIW179" s="98"/>
      <c r="AIX179" s="98"/>
      <c r="AIY179" s="98"/>
      <c r="AIZ179" s="98"/>
      <c r="AJA179" s="98"/>
      <c r="AJB179" s="98"/>
      <c r="AJC179" s="98"/>
      <c r="AJD179" s="98"/>
      <c r="AJE179" s="98"/>
      <c r="AJF179" s="98"/>
      <c r="AJG179" s="98"/>
      <c r="AJH179" s="98"/>
      <c r="AJI179" s="98"/>
      <c r="AJJ179" s="98"/>
      <c r="AJK179" s="98"/>
      <c r="AJL179" s="98"/>
      <c r="AJM179" s="98"/>
      <c r="AJN179" s="98"/>
      <c r="AJO179" s="98"/>
      <c r="AJP179" s="98"/>
      <c r="AJQ179" s="98"/>
      <c r="AJR179" s="98"/>
      <c r="AJS179" s="98"/>
      <c r="AJT179" s="98"/>
      <c r="AJU179" s="98"/>
      <c r="AJV179" s="98"/>
      <c r="AJW179" s="98"/>
      <c r="AJX179" s="98"/>
      <c r="AJY179" s="98"/>
      <c r="AJZ179" s="98"/>
      <c r="AKA179" s="98"/>
      <c r="AKB179" s="98"/>
      <c r="AKC179" s="98"/>
      <c r="AKD179" s="98"/>
      <c r="AKE179" s="98"/>
      <c r="AKF179" s="98"/>
      <c r="AKG179" s="98"/>
      <c r="AKH179" s="98"/>
      <c r="AKI179" s="98"/>
      <c r="AKJ179" s="98"/>
      <c r="AKK179" s="98"/>
      <c r="AKL179" s="98"/>
      <c r="AKM179" s="98"/>
      <c r="AKN179" s="98"/>
      <c r="AKO179" s="98"/>
      <c r="AKP179" s="98"/>
      <c r="AKQ179" s="98"/>
      <c r="AKR179" s="98"/>
      <c r="AKS179" s="98"/>
      <c r="AKT179" s="98"/>
      <c r="AKU179" s="98"/>
      <c r="AKV179" s="98"/>
      <c r="AKW179" s="98"/>
      <c r="AKX179" s="98"/>
      <c r="AKY179" s="98"/>
      <c r="AKZ179" s="98"/>
      <c r="ALA179" s="98"/>
      <c r="ALB179" s="98"/>
      <c r="ALC179" s="98"/>
      <c r="ALD179" s="98"/>
      <c r="ALE179" s="98"/>
      <c r="ALF179" s="98"/>
      <c r="ALG179" s="98"/>
      <c r="ALH179" s="98"/>
      <c r="ALI179" s="98"/>
      <c r="ALJ179" s="98"/>
      <c r="ALK179" s="98"/>
      <c r="ALL179" s="98"/>
      <c r="ALM179" s="98"/>
      <c r="ALN179" s="98"/>
      <c r="ALO179" s="98"/>
      <c r="ALP179" s="98"/>
      <c r="ALQ179" s="98"/>
      <c r="ALR179" s="98"/>
      <c r="ALS179" s="98"/>
      <c r="ALT179" s="98"/>
      <c r="ALU179" s="98"/>
      <c r="ALV179" s="98"/>
      <c r="ALW179" s="98"/>
      <c r="ALX179" s="98"/>
      <c r="ALY179" s="98"/>
      <c r="ALZ179" s="98"/>
      <c r="AMA179" s="98"/>
      <c r="AMB179" s="98"/>
      <c r="AMC179" s="98"/>
      <c r="AMD179" s="98"/>
      <c r="AME179" s="98"/>
      <c r="AMF179" s="98"/>
      <c r="AMG179" s="98"/>
      <c r="AMH179" s="98"/>
      <c r="AMI179" s="98"/>
      <c r="AMJ179" s="98"/>
      <c r="AMK179" s="98"/>
      <c r="AML179" s="98"/>
      <c r="AMM179" s="98"/>
      <c r="AMN179" s="98"/>
      <c r="AMO179" s="98"/>
      <c r="AMP179" s="98"/>
      <c r="AMQ179" s="98"/>
      <c r="AMR179" s="98"/>
      <c r="AMS179" s="98"/>
      <c r="AMT179" s="98"/>
      <c r="AMU179" s="98"/>
      <c r="AMV179" s="98"/>
      <c r="AMW179" s="98"/>
      <c r="AMX179" s="98"/>
      <c r="AMY179" s="98"/>
      <c r="AMZ179" s="98"/>
      <c r="ANA179" s="98"/>
      <c r="ANB179" s="98"/>
      <c r="ANC179" s="98"/>
      <c r="AND179" s="98"/>
      <c r="ANE179" s="98"/>
      <c r="ANF179" s="98"/>
      <c r="ANG179" s="98"/>
      <c r="ANH179" s="98"/>
      <c r="ANI179" s="98"/>
      <c r="ANJ179" s="98"/>
      <c r="ANK179" s="98"/>
      <c r="ANL179" s="98"/>
      <c r="ANM179" s="98"/>
      <c r="ANN179" s="98"/>
      <c r="ANO179" s="98"/>
      <c r="ANP179" s="98"/>
      <c r="ANQ179" s="98"/>
      <c r="ANR179" s="98"/>
      <c r="ANS179" s="98"/>
      <c r="ANT179" s="98"/>
      <c r="ANU179" s="98"/>
      <c r="ANV179" s="98"/>
      <c r="ANW179" s="98"/>
      <c r="ANX179" s="98"/>
      <c r="ANY179" s="98"/>
      <c r="ANZ179" s="98"/>
      <c r="AOA179" s="98"/>
      <c r="AOB179" s="98"/>
      <c r="AOC179" s="98"/>
      <c r="AOD179" s="98"/>
      <c r="AOE179" s="98"/>
      <c r="AOF179" s="98"/>
      <c r="AOG179" s="98"/>
      <c r="AOH179" s="98"/>
      <c r="AOI179" s="98"/>
      <c r="AOJ179" s="98"/>
      <c r="AOK179" s="98"/>
      <c r="AOL179" s="98"/>
      <c r="AOM179" s="98"/>
      <c r="AON179" s="98"/>
      <c r="AOO179" s="98"/>
      <c r="AOP179" s="98"/>
      <c r="AOQ179" s="98"/>
      <c r="AOR179" s="98"/>
      <c r="AOS179" s="98"/>
      <c r="AOT179" s="98"/>
      <c r="AOU179" s="98"/>
      <c r="AOV179" s="98"/>
      <c r="AOW179" s="98"/>
      <c r="AOX179" s="98"/>
      <c r="AOY179" s="98"/>
      <c r="AOZ179" s="98"/>
      <c r="APA179" s="98"/>
      <c r="APB179" s="98"/>
      <c r="APC179" s="98"/>
      <c r="APD179" s="98"/>
      <c r="APE179" s="98"/>
      <c r="APF179" s="98"/>
      <c r="APG179" s="98"/>
      <c r="APH179" s="98"/>
      <c r="API179" s="98"/>
      <c r="APJ179" s="98"/>
      <c r="APK179" s="98"/>
      <c r="APL179" s="98"/>
      <c r="APM179" s="98"/>
      <c r="APN179" s="98"/>
      <c r="APO179" s="98"/>
      <c r="APP179" s="98"/>
      <c r="APQ179" s="98"/>
      <c r="APR179" s="98"/>
      <c r="APS179" s="98"/>
      <c r="APT179" s="98"/>
      <c r="APU179" s="98"/>
      <c r="APV179" s="98"/>
      <c r="APW179" s="98"/>
      <c r="APX179" s="98"/>
      <c r="APY179" s="98"/>
      <c r="APZ179" s="98"/>
      <c r="AQA179" s="98"/>
      <c r="AQB179" s="98"/>
      <c r="AQC179" s="98"/>
      <c r="AQD179" s="98"/>
      <c r="AQE179" s="98"/>
      <c r="AQF179" s="98"/>
      <c r="AQG179" s="98"/>
      <c r="AQH179" s="98"/>
      <c r="AQI179" s="98"/>
      <c r="AQJ179" s="98"/>
      <c r="AQK179" s="98"/>
      <c r="AQL179" s="98"/>
      <c r="AQM179" s="98"/>
      <c r="AQN179" s="98"/>
      <c r="AQO179" s="98"/>
      <c r="AQP179" s="98"/>
      <c r="AQQ179" s="98"/>
      <c r="AQR179" s="98"/>
      <c r="AQS179" s="98"/>
      <c r="AQT179" s="98"/>
      <c r="AQU179" s="98"/>
      <c r="AQV179" s="98"/>
      <c r="AQW179" s="98"/>
      <c r="AQX179" s="98"/>
      <c r="AQY179" s="98"/>
      <c r="AQZ179" s="98"/>
      <c r="ARA179" s="98"/>
      <c r="ARB179" s="98"/>
      <c r="ARC179" s="98"/>
      <c r="ARD179" s="98"/>
      <c r="ARE179" s="98"/>
      <c r="ARF179" s="98"/>
      <c r="ARG179" s="98"/>
      <c r="ARH179" s="98"/>
      <c r="ARI179" s="98"/>
      <c r="ARJ179" s="98"/>
      <c r="ARK179" s="98"/>
      <c r="ARL179" s="98"/>
      <c r="ARM179" s="98"/>
      <c r="ARN179" s="98"/>
      <c r="ARO179" s="98"/>
      <c r="ARP179" s="98"/>
      <c r="ARQ179" s="98"/>
      <c r="ARR179" s="98"/>
      <c r="ARS179" s="98"/>
    </row>
    <row r="180" spans="1:1163" s="174" customFormat="1">
      <c r="A180" s="138" t="s">
        <v>193</v>
      </c>
      <c r="B180" s="134"/>
      <c r="C180" s="197"/>
      <c r="D180" s="197">
        <f>SUM(D174:D179)</f>
        <v>984477793</v>
      </c>
      <c r="E180" s="197"/>
      <c r="F180" s="197">
        <f>SUM(F174:F179)</f>
        <v>294587007</v>
      </c>
      <c r="G180" s="197"/>
      <c r="H180" s="197">
        <f>SUM(H174:H179)</f>
        <v>307896345</v>
      </c>
      <c r="I180" s="197"/>
      <c r="J180" s="197">
        <f>SUM(J174:J179)</f>
        <v>295140230</v>
      </c>
      <c r="K180" s="197"/>
      <c r="L180" s="197">
        <f>SUM(L174:L179)</f>
        <v>355956813</v>
      </c>
      <c r="M180" s="197"/>
      <c r="N180" s="197">
        <f>SUM(N174:N179)</f>
        <v>388732583</v>
      </c>
      <c r="O180" s="197"/>
      <c r="P180" s="197">
        <f>SUM(P174:P179)</f>
        <v>613558009</v>
      </c>
      <c r="Q180" s="197"/>
      <c r="R180" s="197">
        <f>SUM(R174:R179)</f>
        <v>583367686</v>
      </c>
      <c r="S180" s="197"/>
      <c r="T180" s="197">
        <f>SUM(T174:T179)</f>
        <v>776229849</v>
      </c>
      <c r="U180" s="144"/>
      <c r="V180" s="175">
        <f>SUM(V174:V179)</f>
        <v>693793956</v>
      </c>
      <c r="W180" s="201"/>
      <c r="X180" s="197">
        <f>SUM(X174:X179)</f>
        <v>1002167386</v>
      </c>
      <c r="Y180" s="175"/>
      <c r="Z180" s="175">
        <f>SUM(Z174:Z179)</f>
        <v>2231648482</v>
      </c>
      <c r="AA180" s="201"/>
      <c r="AB180" s="209">
        <f>SUM(AB174:AB179)</f>
        <v>2545316976</v>
      </c>
      <c r="AC180" s="175"/>
      <c r="AD180" s="175">
        <f>SUM(AD174:AD179)</f>
        <v>2619494910</v>
      </c>
      <c r="AE180" s="201"/>
      <c r="AF180" s="201">
        <f>SUM(AF174:AF179)</f>
        <v>2490008037</v>
      </c>
      <c r="AG180" s="201"/>
      <c r="AH180" s="201">
        <f>SUM(AH174:AH179)</f>
        <v>3504871693</v>
      </c>
      <c r="AI180" s="201"/>
      <c r="AJ180" s="201">
        <f>SUM(AJ174:AJ179)</f>
        <v>4207617633</v>
      </c>
      <c r="AK180" s="201"/>
      <c r="AL180" s="201">
        <f>SUM(AL174:AL179)</f>
        <v>5090998447</v>
      </c>
      <c r="AM180" s="176"/>
      <c r="AN180" s="176">
        <v>5157093468.5500002</v>
      </c>
      <c r="AO180" s="201"/>
      <c r="AP180" s="201">
        <v>4457200121</v>
      </c>
      <c r="AQ180" s="201"/>
      <c r="AR180" s="201">
        <f>SUM(AR174:AR179)</f>
        <v>5274681225.7800007</v>
      </c>
      <c r="AS180" s="201"/>
      <c r="AT180" s="201">
        <f>SUM(AT174:AT179)</f>
        <v>10422127400.733032</v>
      </c>
      <c r="AU180" s="201"/>
      <c r="AV180" s="209">
        <f>SUM(AV174:AV179)</f>
        <v>10566426558.719923</v>
      </c>
      <c r="AW180" s="197"/>
      <c r="AX180" s="197">
        <v>10419342179</v>
      </c>
      <c r="AY180" s="197"/>
      <c r="AZ180" s="197">
        <f>SUM(AZ174:AZ179)</f>
        <v>9690710317</v>
      </c>
      <c r="BA180" s="180"/>
      <c r="BB180" s="197"/>
      <c r="BC180" s="197"/>
      <c r="BD180" s="197"/>
      <c r="BE180" s="178"/>
      <c r="BF180" s="197"/>
      <c r="BG180" s="197"/>
      <c r="BH180" s="197"/>
      <c r="BI180" s="178"/>
      <c r="BJ180" s="98"/>
      <c r="BK180" s="148"/>
      <c r="BL180" s="148"/>
      <c r="BM180" s="98"/>
      <c r="BN180" s="14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c r="CT180" s="98"/>
      <c r="CU180" s="98"/>
      <c r="CV180" s="98"/>
      <c r="CW180" s="98"/>
      <c r="CX180" s="98"/>
      <c r="CY180" s="98"/>
      <c r="CZ180" s="98"/>
      <c r="DA180" s="98"/>
      <c r="DB180" s="98"/>
      <c r="DC180" s="98"/>
      <c r="DD180" s="98"/>
      <c r="DE180" s="98"/>
      <c r="DF180" s="98"/>
      <c r="DG180" s="98"/>
      <c r="DH180" s="98"/>
      <c r="DI180" s="98"/>
      <c r="DJ180" s="98"/>
      <c r="DK180" s="98"/>
      <c r="DL180" s="98"/>
      <c r="DM180" s="98"/>
      <c r="DN180" s="98"/>
      <c r="DO180" s="98"/>
      <c r="DP180" s="98"/>
      <c r="DQ180" s="98"/>
      <c r="DR180" s="98"/>
      <c r="DS180" s="98"/>
      <c r="DT180" s="98"/>
      <c r="DU180" s="98"/>
      <c r="DV180" s="98"/>
      <c r="DW180" s="98"/>
      <c r="DX180" s="98"/>
      <c r="DY180" s="98"/>
      <c r="DZ180" s="98"/>
      <c r="EA180" s="98"/>
      <c r="EB180" s="98"/>
      <c r="EC180" s="98"/>
      <c r="ED180" s="98"/>
      <c r="EE180" s="98"/>
      <c r="EF180" s="98"/>
      <c r="EG180" s="98"/>
      <c r="EH180" s="98"/>
      <c r="EI180" s="98"/>
      <c r="EJ180" s="98"/>
      <c r="EK180" s="98"/>
      <c r="EL180" s="98"/>
      <c r="EM180" s="98"/>
      <c r="EN180" s="98"/>
      <c r="EO180" s="98"/>
      <c r="EP180" s="98"/>
      <c r="EQ180" s="98"/>
      <c r="ER180" s="98"/>
      <c r="ES180" s="98"/>
      <c r="ET180" s="98"/>
      <c r="EU180" s="98"/>
      <c r="EV180" s="98"/>
      <c r="EW180" s="98"/>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c r="IW180" s="98"/>
      <c r="IX180" s="98"/>
      <c r="IY180" s="98"/>
      <c r="IZ180" s="98"/>
      <c r="JA180" s="98"/>
      <c r="JB180" s="98"/>
      <c r="JC180" s="98"/>
      <c r="JD180" s="98"/>
      <c r="JE180" s="98"/>
      <c r="JF180" s="98"/>
      <c r="JG180" s="98"/>
      <c r="JH180" s="98"/>
      <c r="JI180" s="98"/>
      <c r="JJ180" s="98"/>
      <c r="JK180" s="98"/>
      <c r="JL180" s="98"/>
      <c r="JM180" s="98"/>
      <c r="JN180" s="98"/>
      <c r="JO180" s="98"/>
      <c r="JP180" s="98"/>
      <c r="JQ180" s="98"/>
      <c r="JR180" s="98"/>
      <c r="JS180" s="98"/>
      <c r="JT180" s="98"/>
      <c r="JU180" s="98"/>
      <c r="JV180" s="98"/>
      <c r="JW180" s="98"/>
      <c r="JX180" s="98"/>
      <c r="JY180" s="98"/>
      <c r="JZ180" s="98"/>
      <c r="KA180" s="98"/>
      <c r="KB180" s="98"/>
      <c r="KC180" s="98"/>
      <c r="KD180" s="98"/>
      <c r="KE180" s="98"/>
      <c r="KF180" s="98"/>
      <c r="KG180" s="98"/>
      <c r="KH180" s="98"/>
      <c r="KI180" s="98"/>
      <c r="KJ180" s="98"/>
      <c r="KK180" s="98"/>
      <c r="KL180" s="98"/>
      <c r="KM180" s="98"/>
      <c r="KN180" s="98"/>
      <c r="KO180" s="98"/>
      <c r="KP180" s="98"/>
      <c r="KQ180" s="98"/>
      <c r="KR180" s="98"/>
      <c r="KS180" s="98"/>
      <c r="KT180" s="98"/>
      <c r="KU180" s="98"/>
      <c r="KV180" s="98"/>
      <c r="KW180" s="98"/>
      <c r="KX180" s="98"/>
      <c r="KY180" s="98"/>
      <c r="KZ180" s="98"/>
      <c r="LA180" s="98"/>
      <c r="LB180" s="98"/>
      <c r="LC180" s="98"/>
      <c r="LD180" s="98"/>
      <c r="LE180" s="98"/>
      <c r="LF180" s="98"/>
      <c r="LG180" s="98"/>
      <c r="LH180" s="98"/>
      <c r="LI180" s="98"/>
      <c r="LJ180" s="98"/>
      <c r="LK180" s="98"/>
      <c r="LL180" s="98"/>
      <c r="LM180" s="98"/>
      <c r="LN180" s="98"/>
      <c r="LO180" s="98"/>
      <c r="LP180" s="98"/>
      <c r="LQ180" s="98"/>
      <c r="LR180" s="98"/>
      <c r="LS180" s="98"/>
      <c r="LT180" s="98"/>
      <c r="LU180" s="98"/>
      <c r="LV180" s="98"/>
      <c r="LW180" s="98"/>
      <c r="LX180" s="98"/>
      <c r="LY180" s="98"/>
      <c r="LZ180" s="98"/>
      <c r="MA180" s="98"/>
      <c r="MB180" s="98"/>
      <c r="MC180" s="98"/>
      <c r="MD180" s="98"/>
      <c r="ME180" s="98"/>
      <c r="MF180" s="98"/>
      <c r="MG180" s="98"/>
      <c r="MH180" s="98"/>
      <c r="MI180" s="98"/>
      <c r="MJ180" s="98"/>
      <c r="MK180" s="98"/>
      <c r="ML180" s="98"/>
      <c r="MM180" s="98"/>
      <c r="MN180" s="98"/>
      <c r="MO180" s="98"/>
      <c r="MP180" s="98"/>
      <c r="MQ180" s="98"/>
      <c r="MR180" s="98"/>
      <c r="MS180" s="98"/>
      <c r="MT180" s="98"/>
      <c r="MU180" s="98"/>
      <c r="MV180" s="98"/>
      <c r="MW180" s="98"/>
      <c r="MX180" s="98"/>
      <c r="MY180" s="98"/>
      <c r="MZ180" s="98"/>
      <c r="NA180" s="98"/>
      <c r="NB180" s="98"/>
      <c r="NC180" s="98"/>
      <c r="ND180" s="98"/>
      <c r="NE180" s="98"/>
      <c r="NF180" s="98"/>
      <c r="NG180" s="98"/>
      <c r="NH180" s="98"/>
      <c r="NI180" s="98"/>
      <c r="NJ180" s="98"/>
      <c r="NK180" s="98"/>
      <c r="NL180" s="98"/>
      <c r="NM180" s="98"/>
      <c r="NN180" s="98"/>
      <c r="NO180" s="98"/>
      <c r="NP180" s="98"/>
      <c r="NQ180" s="98"/>
      <c r="NR180" s="98"/>
      <c r="NS180" s="98"/>
      <c r="NT180" s="98"/>
      <c r="NU180" s="98"/>
      <c r="NV180" s="98"/>
      <c r="NW180" s="98"/>
      <c r="NX180" s="98"/>
      <c r="NY180" s="98"/>
      <c r="NZ180" s="98"/>
      <c r="OA180" s="98"/>
      <c r="OB180" s="98"/>
      <c r="OC180" s="98"/>
      <c r="OD180" s="98"/>
      <c r="OE180" s="98"/>
      <c r="OF180" s="98"/>
      <c r="OG180" s="98"/>
      <c r="OH180" s="98"/>
      <c r="OI180" s="98"/>
      <c r="OJ180" s="98"/>
      <c r="OK180" s="98"/>
      <c r="OL180" s="98"/>
      <c r="OM180" s="98"/>
      <c r="ON180" s="98"/>
      <c r="OO180" s="98"/>
      <c r="OP180" s="98"/>
      <c r="OQ180" s="98"/>
      <c r="OR180" s="98"/>
      <c r="OS180" s="98"/>
      <c r="OT180" s="98"/>
      <c r="OU180" s="98"/>
      <c r="OV180" s="98"/>
      <c r="OW180" s="98"/>
      <c r="OX180" s="98"/>
      <c r="OY180" s="98"/>
      <c r="OZ180" s="98"/>
      <c r="PA180" s="98"/>
      <c r="PB180" s="98"/>
      <c r="PC180" s="98"/>
      <c r="PD180" s="98"/>
      <c r="PE180" s="98"/>
      <c r="PF180" s="98"/>
      <c r="PG180" s="98"/>
      <c r="PH180" s="98"/>
      <c r="PI180" s="98"/>
      <c r="PJ180" s="98"/>
      <c r="PK180" s="98"/>
      <c r="PL180" s="98"/>
      <c r="PM180" s="98"/>
      <c r="PN180" s="98"/>
      <c r="PO180" s="98"/>
      <c r="PP180" s="98"/>
      <c r="PQ180" s="98"/>
      <c r="PR180" s="98"/>
      <c r="PS180" s="98"/>
      <c r="PT180" s="98"/>
      <c r="PU180" s="98"/>
      <c r="PV180" s="98"/>
      <c r="PW180" s="98"/>
      <c r="PX180" s="98"/>
      <c r="PY180" s="98"/>
      <c r="PZ180" s="98"/>
      <c r="QA180" s="98"/>
      <c r="QB180" s="98"/>
      <c r="QC180" s="98"/>
      <c r="QD180" s="98"/>
      <c r="QE180" s="98"/>
      <c r="QF180" s="98"/>
      <c r="QG180" s="98"/>
      <c r="QH180" s="98"/>
      <c r="QI180" s="98"/>
      <c r="QJ180" s="98"/>
      <c r="QK180" s="98"/>
      <c r="QL180" s="98"/>
      <c r="QM180" s="98"/>
      <c r="QN180" s="98"/>
      <c r="QO180" s="98"/>
      <c r="QP180" s="98"/>
      <c r="QQ180" s="98"/>
      <c r="QR180" s="98"/>
      <c r="QS180" s="98"/>
      <c r="QT180" s="98"/>
      <c r="QU180" s="98"/>
      <c r="QV180" s="98"/>
      <c r="QW180" s="98"/>
      <c r="QX180" s="98"/>
      <c r="QY180" s="98"/>
      <c r="QZ180" s="98"/>
      <c r="RA180" s="98"/>
      <c r="RB180" s="98"/>
      <c r="RC180" s="98"/>
      <c r="RD180" s="98"/>
      <c r="RE180" s="98"/>
      <c r="RF180" s="98"/>
      <c r="RG180" s="98"/>
      <c r="RH180" s="98"/>
      <c r="RI180" s="98"/>
      <c r="RJ180" s="98"/>
      <c r="RK180" s="98"/>
      <c r="RL180" s="98"/>
      <c r="RM180" s="98"/>
      <c r="RN180" s="98"/>
      <c r="RO180" s="98"/>
      <c r="RP180" s="98"/>
      <c r="RQ180" s="98"/>
      <c r="RR180" s="98"/>
      <c r="RS180" s="98"/>
      <c r="RT180" s="98"/>
      <c r="RU180" s="98"/>
      <c r="RV180" s="98"/>
      <c r="RW180" s="98"/>
      <c r="RX180" s="98"/>
      <c r="RY180" s="98"/>
      <c r="RZ180" s="98"/>
      <c r="SA180" s="98"/>
      <c r="SB180" s="98"/>
      <c r="SC180" s="98"/>
      <c r="SD180" s="98"/>
      <c r="SE180" s="98"/>
      <c r="SF180" s="98"/>
      <c r="SG180" s="98"/>
      <c r="SH180" s="98"/>
      <c r="SI180" s="98"/>
      <c r="SJ180" s="98"/>
      <c r="SK180" s="98"/>
      <c r="SL180" s="98"/>
      <c r="SM180" s="98"/>
      <c r="SN180" s="98"/>
      <c r="SO180" s="98"/>
      <c r="SP180" s="98"/>
      <c r="SQ180" s="98"/>
      <c r="SR180" s="98"/>
      <c r="SS180" s="98"/>
      <c r="ST180" s="98"/>
      <c r="SU180" s="98"/>
      <c r="SV180" s="98"/>
      <c r="SW180" s="98"/>
      <c r="SX180" s="98"/>
      <c r="SY180" s="98"/>
      <c r="SZ180" s="98"/>
      <c r="TA180" s="98"/>
      <c r="TB180" s="98"/>
      <c r="TC180" s="98"/>
      <c r="TD180" s="98"/>
      <c r="TE180" s="98"/>
      <c r="TF180" s="98"/>
      <c r="TG180" s="98"/>
      <c r="TH180" s="98"/>
      <c r="TI180" s="98"/>
      <c r="TJ180" s="98"/>
      <c r="TK180" s="98"/>
      <c r="TL180" s="98"/>
      <c r="TM180" s="98"/>
      <c r="TN180" s="98"/>
      <c r="TO180" s="98"/>
      <c r="TP180" s="98"/>
      <c r="TQ180" s="98"/>
      <c r="TR180" s="98"/>
      <c r="TS180" s="98"/>
      <c r="TT180" s="98"/>
      <c r="TU180" s="98"/>
      <c r="TV180" s="98"/>
      <c r="TW180" s="98"/>
      <c r="TX180" s="98"/>
      <c r="TY180" s="98"/>
      <c r="TZ180" s="98"/>
      <c r="UA180" s="98"/>
      <c r="UB180" s="98"/>
      <c r="UC180" s="98"/>
      <c r="UD180" s="98"/>
      <c r="UE180" s="98"/>
      <c r="UF180" s="98"/>
      <c r="UG180" s="98"/>
      <c r="UH180" s="98"/>
      <c r="UI180" s="98"/>
      <c r="UJ180" s="98"/>
      <c r="UK180" s="98"/>
      <c r="UL180" s="98"/>
      <c r="UM180" s="98"/>
      <c r="UN180" s="98"/>
      <c r="UO180" s="98"/>
      <c r="UP180" s="98"/>
      <c r="UQ180" s="98"/>
      <c r="UR180" s="98"/>
      <c r="US180" s="98"/>
      <c r="UT180" s="98"/>
      <c r="UU180" s="98"/>
      <c r="UV180" s="98"/>
      <c r="UW180" s="98"/>
      <c r="UX180" s="98"/>
      <c r="UY180" s="98"/>
      <c r="UZ180" s="98"/>
      <c r="VA180" s="98"/>
      <c r="VB180" s="98"/>
      <c r="VC180" s="98"/>
      <c r="VD180" s="98"/>
      <c r="VE180" s="98"/>
      <c r="VF180" s="98"/>
      <c r="VG180" s="98"/>
      <c r="VH180" s="98"/>
      <c r="VI180" s="98"/>
      <c r="VJ180" s="98"/>
      <c r="VK180" s="98"/>
      <c r="VL180" s="98"/>
      <c r="VM180" s="98"/>
      <c r="VN180" s="98"/>
      <c r="VO180" s="98"/>
      <c r="VP180" s="98"/>
      <c r="VQ180" s="98"/>
      <c r="VR180" s="98"/>
      <c r="VS180" s="98"/>
      <c r="VT180" s="98"/>
      <c r="VU180" s="98"/>
      <c r="VV180" s="98"/>
      <c r="VW180" s="98"/>
      <c r="VX180" s="98"/>
      <c r="VY180" s="98"/>
      <c r="VZ180" s="98"/>
      <c r="WA180" s="98"/>
      <c r="WB180" s="98"/>
      <c r="WC180" s="98"/>
      <c r="WD180" s="98"/>
      <c r="WE180" s="98"/>
      <c r="WF180" s="98"/>
      <c r="WG180" s="98"/>
      <c r="WH180" s="98"/>
      <c r="WI180" s="98"/>
      <c r="WJ180" s="98"/>
      <c r="WK180" s="98"/>
      <c r="WL180" s="98"/>
      <c r="WM180" s="98"/>
      <c r="WN180" s="98"/>
      <c r="WO180" s="98"/>
      <c r="WP180" s="98"/>
      <c r="WQ180" s="98"/>
      <c r="WR180" s="98"/>
      <c r="WS180" s="98"/>
      <c r="WT180" s="98"/>
      <c r="WU180" s="98"/>
      <c r="WV180" s="98"/>
      <c r="WW180" s="98"/>
      <c r="WX180" s="98"/>
      <c r="WY180" s="98"/>
      <c r="WZ180" s="98"/>
      <c r="XA180" s="98"/>
      <c r="XB180" s="98"/>
      <c r="XC180" s="98"/>
      <c r="XD180" s="98"/>
      <c r="XE180" s="98"/>
      <c r="XF180" s="98"/>
      <c r="XG180" s="98"/>
      <c r="XH180" s="98"/>
      <c r="XI180" s="98"/>
      <c r="XJ180" s="98"/>
      <c r="XK180" s="98"/>
      <c r="XL180" s="98"/>
      <c r="XM180" s="98"/>
      <c r="XN180" s="98"/>
      <c r="XO180" s="98"/>
      <c r="XP180" s="98"/>
      <c r="XQ180" s="98"/>
      <c r="XR180" s="98"/>
      <c r="XS180" s="98"/>
      <c r="XT180" s="98"/>
      <c r="XU180" s="98"/>
      <c r="XV180" s="98"/>
      <c r="XW180" s="98"/>
      <c r="XX180" s="98"/>
      <c r="XY180" s="98"/>
      <c r="XZ180" s="98"/>
      <c r="YA180" s="98"/>
      <c r="YB180" s="98"/>
      <c r="YC180" s="98"/>
      <c r="YD180" s="98"/>
      <c r="YE180" s="98"/>
      <c r="YF180" s="98"/>
      <c r="YG180" s="98"/>
      <c r="YH180" s="98"/>
      <c r="YI180" s="98"/>
      <c r="YJ180" s="98"/>
      <c r="YK180" s="98"/>
      <c r="YL180" s="98"/>
      <c r="YM180" s="98"/>
      <c r="YN180" s="98"/>
      <c r="YO180" s="98"/>
      <c r="YP180" s="98"/>
      <c r="YQ180" s="98"/>
      <c r="YR180" s="98"/>
      <c r="YS180" s="98"/>
      <c r="YT180" s="98"/>
      <c r="YU180" s="98"/>
      <c r="YV180" s="98"/>
      <c r="YW180" s="98"/>
      <c r="YX180" s="98"/>
      <c r="YY180" s="98"/>
      <c r="YZ180" s="98"/>
      <c r="ZA180" s="98"/>
      <c r="ZB180" s="98"/>
      <c r="ZC180" s="98"/>
      <c r="ZD180" s="98"/>
      <c r="ZE180" s="98"/>
      <c r="ZF180" s="98"/>
      <c r="ZG180" s="98"/>
      <c r="ZH180" s="98"/>
      <c r="ZI180" s="98"/>
      <c r="ZJ180" s="98"/>
      <c r="ZK180" s="98"/>
      <c r="ZL180" s="98"/>
      <c r="ZM180" s="98"/>
      <c r="ZN180" s="98"/>
      <c r="ZO180" s="98"/>
      <c r="ZP180" s="98"/>
      <c r="ZQ180" s="98"/>
      <c r="ZR180" s="98"/>
      <c r="ZS180" s="98"/>
      <c r="ZT180" s="98"/>
      <c r="ZU180" s="98"/>
      <c r="ZV180" s="98"/>
      <c r="ZW180" s="98"/>
      <c r="ZX180" s="98"/>
      <c r="ZY180" s="98"/>
      <c r="ZZ180" s="98"/>
      <c r="AAA180" s="98"/>
      <c r="AAB180" s="98"/>
      <c r="AAC180" s="98"/>
      <c r="AAD180" s="98"/>
      <c r="AAE180" s="98"/>
      <c r="AAF180" s="98"/>
      <c r="AAG180" s="98"/>
      <c r="AAH180" s="98"/>
      <c r="AAI180" s="98"/>
      <c r="AAJ180" s="98"/>
      <c r="AAK180" s="98"/>
      <c r="AAL180" s="98"/>
      <c r="AAM180" s="98"/>
      <c r="AAN180" s="98"/>
      <c r="AAO180" s="98"/>
      <c r="AAP180" s="98"/>
      <c r="AAQ180" s="98"/>
      <c r="AAR180" s="98"/>
      <c r="AAS180" s="98"/>
      <c r="AAT180" s="98"/>
      <c r="AAU180" s="98"/>
      <c r="AAV180" s="98"/>
      <c r="AAW180" s="98"/>
      <c r="AAX180" s="98"/>
      <c r="AAY180" s="98"/>
      <c r="AAZ180" s="98"/>
      <c r="ABA180" s="98"/>
      <c r="ABB180" s="98"/>
      <c r="ABC180" s="98"/>
      <c r="ABD180" s="98"/>
      <c r="ABE180" s="98"/>
      <c r="ABF180" s="98"/>
      <c r="ABG180" s="98"/>
      <c r="ABH180" s="98"/>
      <c r="ABI180" s="98"/>
      <c r="ABJ180" s="98"/>
      <c r="ABK180" s="98"/>
      <c r="ABL180" s="98"/>
      <c r="ABM180" s="98"/>
      <c r="ABN180" s="98"/>
      <c r="ABO180" s="98"/>
      <c r="ABP180" s="98"/>
      <c r="ABQ180" s="98"/>
      <c r="ABR180" s="98"/>
      <c r="ABS180" s="98"/>
      <c r="ABT180" s="98"/>
      <c r="ABU180" s="98"/>
      <c r="ABV180" s="98"/>
      <c r="ABW180" s="98"/>
      <c r="ABX180" s="98"/>
      <c r="ABY180" s="98"/>
      <c r="ABZ180" s="98"/>
      <c r="ACA180" s="98"/>
      <c r="ACB180" s="98"/>
      <c r="ACC180" s="98"/>
      <c r="ACD180" s="98"/>
      <c r="ACE180" s="98"/>
      <c r="ACF180" s="98"/>
      <c r="ACG180" s="98"/>
      <c r="ACH180" s="98"/>
      <c r="ACI180" s="98"/>
      <c r="ACJ180" s="98"/>
      <c r="ACK180" s="98"/>
      <c r="ACL180" s="98"/>
      <c r="ACM180" s="98"/>
      <c r="ACN180" s="98"/>
      <c r="ACO180" s="98"/>
      <c r="ACP180" s="98"/>
      <c r="ACQ180" s="98"/>
      <c r="ACR180" s="98"/>
      <c r="ACS180" s="98"/>
      <c r="ACT180" s="98"/>
      <c r="ACU180" s="98"/>
      <c r="ACV180" s="98"/>
      <c r="ACW180" s="98"/>
      <c r="ACX180" s="98"/>
      <c r="ACY180" s="98"/>
      <c r="ACZ180" s="98"/>
      <c r="ADA180" s="98"/>
      <c r="ADB180" s="98"/>
      <c r="ADC180" s="98"/>
      <c r="ADD180" s="98"/>
      <c r="ADE180" s="98"/>
      <c r="ADF180" s="98"/>
      <c r="ADG180" s="98"/>
      <c r="ADH180" s="98"/>
      <c r="ADI180" s="98"/>
      <c r="ADJ180" s="98"/>
      <c r="ADK180" s="98"/>
      <c r="ADL180" s="98"/>
      <c r="ADM180" s="98"/>
      <c r="ADN180" s="98"/>
      <c r="ADO180" s="98"/>
      <c r="ADP180" s="98"/>
      <c r="ADQ180" s="98"/>
      <c r="ADR180" s="98"/>
      <c r="ADS180" s="98"/>
      <c r="ADT180" s="98"/>
      <c r="ADU180" s="98"/>
      <c r="ADV180" s="98"/>
      <c r="ADW180" s="98"/>
      <c r="ADX180" s="98"/>
      <c r="ADY180" s="98"/>
      <c r="ADZ180" s="98"/>
      <c r="AEA180" s="98"/>
      <c r="AEB180" s="98"/>
      <c r="AEC180" s="98"/>
      <c r="AED180" s="98"/>
      <c r="AEE180" s="98"/>
      <c r="AEF180" s="98"/>
      <c r="AEG180" s="98"/>
      <c r="AEH180" s="98"/>
      <c r="AEI180" s="98"/>
      <c r="AEJ180" s="98"/>
      <c r="AEK180" s="98"/>
      <c r="AEL180" s="98"/>
      <c r="AEM180" s="98"/>
      <c r="AEN180" s="98"/>
      <c r="AEO180" s="98"/>
      <c r="AEP180" s="98"/>
      <c r="AEQ180" s="98"/>
      <c r="AER180" s="98"/>
      <c r="AES180" s="98"/>
      <c r="AET180" s="98"/>
      <c r="AEU180" s="98"/>
      <c r="AEV180" s="98"/>
      <c r="AEW180" s="98"/>
      <c r="AEX180" s="98"/>
      <c r="AEY180" s="98"/>
      <c r="AEZ180" s="98"/>
      <c r="AFA180" s="98"/>
      <c r="AFB180" s="98"/>
      <c r="AFC180" s="98"/>
      <c r="AFD180" s="98"/>
      <c r="AFE180" s="98"/>
      <c r="AFF180" s="98"/>
      <c r="AFG180" s="98"/>
      <c r="AFH180" s="98"/>
      <c r="AFI180" s="98"/>
      <c r="AFJ180" s="98"/>
      <c r="AFK180" s="98"/>
      <c r="AFL180" s="98"/>
      <c r="AFM180" s="98"/>
      <c r="AFN180" s="98"/>
      <c r="AFO180" s="98"/>
      <c r="AFP180" s="98"/>
      <c r="AFQ180" s="98"/>
      <c r="AFR180" s="98"/>
      <c r="AFS180" s="98"/>
      <c r="AFT180" s="98"/>
      <c r="AFU180" s="98"/>
      <c r="AFV180" s="98"/>
      <c r="AFW180" s="98"/>
      <c r="AFX180" s="98"/>
      <c r="AFY180" s="98"/>
      <c r="AFZ180" s="98"/>
      <c r="AGA180" s="98"/>
      <c r="AGB180" s="98"/>
      <c r="AGC180" s="98"/>
      <c r="AGD180" s="98"/>
      <c r="AGE180" s="98"/>
      <c r="AGF180" s="98"/>
      <c r="AGG180" s="98"/>
      <c r="AGH180" s="98"/>
      <c r="AGI180" s="98"/>
      <c r="AGJ180" s="98"/>
      <c r="AGK180" s="98"/>
      <c r="AGL180" s="98"/>
      <c r="AGM180" s="98"/>
      <c r="AGN180" s="98"/>
      <c r="AGO180" s="98"/>
      <c r="AGP180" s="98"/>
      <c r="AGQ180" s="98"/>
      <c r="AGR180" s="98"/>
      <c r="AGS180" s="98"/>
      <c r="AGT180" s="98"/>
      <c r="AGU180" s="98"/>
      <c r="AGV180" s="98"/>
      <c r="AGW180" s="98"/>
      <c r="AGX180" s="98"/>
      <c r="AGY180" s="98"/>
      <c r="AGZ180" s="98"/>
      <c r="AHA180" s="98"/>
      <c r="AHB180" s="98"/>
      <c r="AHC180" s="98"/>
      <c r="AHD180" s="98"/>
      <c r="AHE180" s="98"/>
      <c r="AHF180" s="98"/>
      <c r="AHG180" s="98"/>
      <c r="AHH180" s="98"/>
      <c r="AHI180" s="98"/>
      <c r="AHJ180" s="98"/>
      <c r="AHK180" s="98"/>
      <c r="AHL180" s="98"/>
      <c r="AHM180" s="98"/>
      <c r="AHN180" s="98"/>
      <c r="AHO180" s="98"/>
      <c r="AHP180" s="98"/>
      <c r="AHQ180" s="98"/>
      <c r="AHR180" s="98"/>
      <c r="AHS180" s="98"/>
      <c r="AHT180" s="98"/>
      <c r="AHU180" s="98"/>
      <c r="AHV180" s="98"/>
      <c r="AHW180" s="98"/>
      <c r="AHX180" s="98"/>
      <c r="AHY180" s="98"/>
      <c r="AHZ180" s="98"/>
      <c r="AIA180" s="98"/>
      <c r="AIB180" s="98"/>
      <c r="AIC180" s="98"/>
      <c r="AID180" s="98"/>
      <c r="AIE180" s="98"/>
      <c r="AIF180" s="98"/>
      <c r="AIG180" s="98"/>
      <c r="AIH180" s="98"/>
      <c r="AII180" s="98"/>
      <c r="AIJ180" s="98"/>
      <c r="AIK180" s="98"/>
      <c r="AIL180" s="98"/>
      <c r="AIM180" s="98"/>
      <c r="AIN180" s="98"/>
      <c r="AIO180" s="98"/>
      <c r="AIP180" s="98"/>
      <c r="AIQ180" s="98"/>
      <c r="AIR180" s="98"/>
      <c r="AIS180" s="98"/>
      <c r="AIT180" s="98"/>
      <c r="AIU180" s="98"/>
      <c r="AIV180" s="98"/>
      <c r="AIW180" s="98"/>
      <c r="AIX180" s="98"/>
      <c r="AIY180" s="98"/>
      <c r="AIZ180" s="98"/>
      <c r="AJA180" s="98"/>
      <c r="AJB180" s="98"/>
      <c r="AJC180" s="98"/>
      <c r="AJD180" s="98"/>
      <c r="AJE180" s="98"/>
      <c r="AJF180" s="98"/>
      <c r="AJG180" s="98"/>
      <c r="AJH180" s="98"/>
      <c r="AJI180" s="98"/>
      <c r="AJJ180" s="98"/>
      <c r="AJK180" s="98"/>
      <c r="AJL180" s="98"/>
      <c r="AJM180" s="98"/>
      <c r="AJN180" s="98"/>
      <c r="AJO180" s="98"/>
      <c r="AJP180" s="98"/>
      <c r="AJQ180" s="98"/>
      <c r="AJR180" s="98"/>
      <c r="AJS180" s="98"/>
      <c r="AJT180" s="98"/>
      <c r="AJU180" s="98"/>
      <c r="AJV180" s="98"/>
      <c r="AJW180" s="98"/>
      <c r="AJX180" s="98"/>
      <c r="AJY180" s="98"/>
      <c r="AJZ180" s="98"/>
      <c r="AKA180" s="98"/>
      <c r="AKB180" s="98"/>
      <c r="AKC180" s="98"/>
      <c r="AKD180" s="98"/>
      <c r="AKE180" s="98"/>
      <c r="AKF180" s="98"/>
      <c r="AKG180" s="98"/>
      <c r="AKH180" s="98"/>
      <c r="AKI180" s="98"/>
      <c r="AKJ180" s="98"/>
      <c r="AKK180" s="98"/>
      <c r="AKL180" s="98"/>
      <c r="AKM180" s="98"/>
      <c r="AKN180" s="98"/>
      <c r="AKO180" s="98"/>
      <c r="AKP180" s="98"/>
      <c r="AKQ180" s="98"/>
      <c r="AKR180" s="98"/>
      <c r="AKS180" s="98"/>
      <c r="AKT180" s="98"/>
      <c r="AKU180" s="98"/>
      <c r="AKV180" s="98"/>
      <c r="AKW180" s="98"/>
      <c r="AKX180" s="98"/>
      <c r="AKY180" s="98"/>
      <c r="AKZ180" s="98"/>
      <c r="ALA180" s="98"/>
      <c r="ALB180" s="98"/>
      <c r="ALC180" s="98"/>
      <c r="ALD180" s="98"/>
      <c r="ALE180" s="98"/>
      <c r="ALF180" s="98"/>
      <c r="ALG180" s="98"/>
      <c r="ALH180" s="98"/>
      <c r="ALI180" s="98"/>
      <c r="ALJ180" s="98"/>
      <c r="ALK180" s="98"/>
      <c r="ALL180" s="98"/>
      <c r="ALM180" s="98"/>
      <c r="ALN180" s="98"/>
      <c r="ALO180" s="98"/>
      <c r="ALP180" s="98"/>
      <c r="ALQ180" s="98"/>
      <c r="ALR180" s="98"/>
      <c r="ALS180" s="98"/>
      <c r="ALT180" s="98"/>
      <c r="ALU180" s="98"/>
      <c r="ALV180" s="98"/>
      <c r="ALW180" s="98"/>
      <c r="ALX180" s="98"/>
      <c r="ALY180" s="98"/>
      <c r="ALZ180" s="98"/>
      <c r="AMA180" s="98"/>
      <c r="AMB180" s="98"/>
      <c r="AMC180" s="98"/>
      <c r="AMD180" s="98"/>
      <c r="AME180" s="98"/>
      <c r="AMF180" s="98"/>
      <c r="AMG180" s="98"/>
      <c r="AMH180" s="98"/>
      <c r="AMI180" s="98"/>
      <c r="AMJ180" s="98"/>
      <c r="AMK180" s="98"/>
      <c r="AML180" s="98"/>
      <c r="AMM180" s="98"/>
      <c r="AMN180" s="98"/>
      <c r="AMO180" s="98"/>
      <c r="AMP180" s="98"/>
      <c r="AMQ180" s="98"/>
      <c r="AMR180" s="98"/>
      <c r="AMS180" s="98"/>
      <c r="AMT180" s="98"/>
      <c r="AMU180" s="98"/>
      <c r="AMV180" s="98"/>
      <c r="AMW180" s="98"/>
      <c r="AMX180" s="98"/>
      <c r="AMY180" s="98"/>
      <c r="AMZ180" s="98"/>
      <c r="ANA180" s="98"/>
      <c r="ANB180" s="98"/>
      <c r="ANC180" s="98"/>
      <c r="AND180" s="98"/>
      <c r="ANE180" s="98"/>
      <c r="ANF180" s="98"/>
      <c r="ANG180" s="98"/>
      <c r="ANH180" s="98"/>
      <c r="ANI180" s="98"/>
      <c r="ANJ180" s="98"/>
      <c r="ANK180" s="98"/>
      <c r="ANL180" s="98"/>
      <c r="ANM180" s="98"/>
      <c r="ANN180" s="98"/>
      <c r="ANO180" s="98"/>
      <c r="ANP180" s="98"/>
      <c r="ANQ180" s="98"/>
      <c r="ANR180" s="98"/>
      <c r="ANS180" s="98"/>
      <c r="ANT180" s="98"/>
      <c r="ANU180" s="98"/>
      <c r="ANV180" s="98"/>
      <c r="ANW180" s="98"/>
      <c r="ANX180" s="98"/>
      <c r="ANY180" s="98"/>
      <c r="ANZ180" s="98"/>
      <c r="AOA180" s="98"/>
      <c r="AOB180" s="98"/>
      <c r="AOC180" s="98"/>
      <c r="AOD180" s="98"/>
      <c r="AOE180" s="98"/>
      <c r="AOF180" s="98"/>
      <c r="AOG180" s="98"/>
      <c r="AOH180" s="98"/>
      <c r="AOI180" s="98"/>
      <c r="AOJ180" s="98"/>
      <c r="AOK180" s="98"/>
      <c r="AOL180" s="98"/>
      <c r="AOM180" s="98"/>
      <c r="AON180" s="98"/>
      <c r="AOO180" s="98"/>
      <c r="AOP180" s="98"/>
      <c r="AOQ180" s="98"/>
      <c r="AOR180" s="98"/>
      <c r="AOS180" s="98"/>
      <c r="AOT180" s="98"/>
      <c r="AOU180" s="98"/>
      <c r="AOV180" s="98"/>
      <c r="AOW180" s="98"/>
      <c r="AOX180" s="98"/>
      <c r="AOY180" s="98"/>
      <c r="AOZ180" s="98"/>
      <c r="APA180" s="98"/>
      <c r="APB180" s="98"/>
      <c r="APC180" s="98"/>
      <c r="APD180" s="98"/>
      <c r="APE180" s="98"/>
      <c r="APF180" s="98"/>
      <c r="APG180" s="98"/>
      <c r="APH180" s="98"/>
      <c r="API180" s="98"/>
      <c r="APJ180" s="98"/>
      <c r="APK180" s="98"/>
      <c r="APL180" s="98"/>
      <c r="APM180" s="98"/>
      <c r="APN180" s="98"/>
      <c r="APO180" s="98"/>
      <c r="APP180" s="98"/>
      <c r="APQ180" s="98"/>
      <c r="APR180" s="98"/>
      <c r="APS180" s="98"/>
      <c r="APT180" s="98"/>
      <c r="APU180" s="98"/>
      <c r="APV180" s="98"/>
      <c r="APW180" s="98"/>
      <c r="APX180" s="98"/>
      <c r="APY180" s="98"/>
      <c r="APZ180" s="98"/>
      <c r="AQA180" s="98"/>
      <c r="AQB180" s="98"/>
      <c r="AQC180" s="98"/>
      <c r="AQD180" s="98"/>
      <c r="AQE180" s="98"/>
      <c r="AQF180" s="98"/>
      <c r="AQG180" s="98"/>
      <c r="AQH180" s="98"/>
      <c r="AQI180" s="98"/>
      <c r="AQJ180" s="98"/>
      <c r="AQK180" s="98"/>
      <c r="AQL180" s="98"/>
      <c r="AQM180" s="98"/>
      <c r="AQN180" s="98"/>
      <c r="AQO180" s="98"/>
      <c r="AQP180" s="98"/>
      <c r="AQQ180" s="98"/>
      <c r="AQR180" s="98"/>
      <c r="AQS180" s="98"/>
      <c r="AQT180" s="98"/>
      <c r="AQU180" s="98"/>
      <c r="AQV180" s="98"/>
      <c r="AQW180" s="98"/>
      <c r="AQX180" s="98"/>
      <c r="AQY180" s="98"/>
      <c r="AQZ180" s="98"/>
      <c r="ARA180" s="98"/>
      <c r="ARB180" s="98"/>
      <c r="ARC180" s="98"/>
      <c r="ARD180" s="98"/>
      <c r="ARE180" s="98"/>
      <c r="ARF180" s="98"/>
      <c r="ARG180" s="98"/>
      <c r="ARH180" s="98"/>
      <c r="ARI180" s="98"/>
      <c r="ARJ180" s="98"/>
      <c r="ARK180" s="98"/>
      <c r="ARL180" s="98"/>
      <c r="ARM180" s="98"/>
      <c r="ARN180" s="98"/>
      <c r="ARO180" s="98"/>
      <c r="ARP180" s="98"/>
      <c r="ARQ180" s="98"/>
      <c r="ARR180" s="98"/>
      <c r="ARS180" s="98"/>
    </row>
    <row r="181" spans="1:1163">
      <c r="A181" s="138"/>
      <c r="B181" s="134"/>
      <c r="C181" s="197"/>
      <c r="D181" s="197"/>
      <c r="E181" s="197"/>
      <c r="F181" s="197"/>
      <c r="G181" s="197"/>
      <c r="H181" s="197"/>
      <c r="I181" s="197"/>
      <c r="J181" s="197"/>
      <c r="K181" s="197"/>
      <c r="L181" s="197"/>
      <c r="M181" s="197"/>
      <c r="N181" s="197"/>
      <c r="O181" s="197"/>
      <c r="P181" s="197"/>
      <c r="Q181" s="197"/>
      <c r="R181" s="197"/>
      <c r="S181" s="197"/>
      <c r="T181" s="197"/>
      <c r="U181" s="144"/>
      <c r="V181" s="175"/>
      <c r="W181" s="201"/>
      <c r="X181" s="197"/>
      <c r="Y181" s="175"/>
      <c r="Z181" s="175"/>
      <c r="AA181" s="201"/>
      <c r="AB181" s="209"/>
      <c r="AC181" s="175"/>
      <c r="AD181" s="175"/>
      <c r="AE181" s="201"/>
      <c r="AF181" s="201"/>
      <c r="AG181" s="201"/>
      <c r="AH181" s="201"/>
      <c r="AI181" s="201"/>
      <c r="AJ181" s="201"/>
      <c r="AK181" s="201"/>
      <c r="AL181" s="201"/>
      <c r="AM181" s="176"/>
      <c r="AN181" s="176"/>
      <c r="AO181" s="201"/>
      <c r="AP181" s="201"/>
      <c r="AQ181" s="201"/>
      <c r="AR181" s="201"/>
      <c r="AS181" s="201"/>
      <c r="AT181" s="201"/>
      <c r="AU181" s="201"/>
      <c r="AV181" s="209"/>
      <c r="AW181" s="173"/>
      <c r="AX181" s="173"/>
      <c r="AY181" s="172"/>
      <c r="AZ181" s="173"/>
      <c r="BA181" s="177"/>
      <c r="BB181" s="173"/>
      <c r="BC181" s="173"/>
      <c r="BD181" s="173"/>
      <c r="BE181" s="173"/>
      <c r="BF181" s="173"/>
      <c r="BG181" s="173"/>
      <c r="BH181" s="173"/>
      <c r="BI181" s="177"/>
      <c r="BJ181" s="98"/>
      <c r="BK181" s="148"/>
      <c r="BM181" s="148"/>
      <c r="BN181" s="148"/>
      <c r="BQ181" s="11"/>
      <c r="BR181" s="11"/>
      <c r="BS181" s="11"/>
      <c r="BT181" s="11"/>
      <c r="BU181" s="11"/>
      <c r="BV181" s="11"/>
    </row>
    <row r="182" spans="1:1163">
      <c r="A182" s="124" t="s">
        <v>194</v>
      </c>
      <c r="B182" s="127" t="s">
        <v>67</v>
      </c>
      <c r="C182" s="194">
        <v>12047</v>
      </c>
      <c r="D182" s="194">
        <v>145421</v>
      </c>
      <c r="E182" s="183">
        <v>0</v>
      </c>
      <c r="F182" s="183">
        <v>0</v>
      </c>
      <c r="G182" s="183">
        <v>0</v>
      </c>
      <c r="H182" s="183">
        <v>0</v>
      </c>
      <c r="I182" s="183">
        <v>0</v>
      </c>
      <c r="J182" s="183">
        <v>0</v>
      </c>
      <c r="K182" s="183">
        <v>0</v>
      </c>
      <c r="L182" s="183">
        <v>0</v>
      </c>
      <c r="M182" s="183">
        <v>0</v>
      </c>
      <c r="N182" s="183">
        <v>0</v>
      </c>
      <c r="O182" s="183">
        <v>0</v>
      </c>
      <c r="P182" s="183">
        <v>0</v>
      </c>
      <c r="Q182" s="183">
        <v>0</v>
      </c>
      <c r="R182" s="183">
        <v>0</v>
      </c>
      <c r="S182" s="183">
        <v>0</v>
      </c>
      <c r="T182" s="183">
        <v>0</v>
      </c>
      <c r="U182" s="183">
        <v>0</v>
      </c>
      <c r="V182" s="183">
        <v>0</v>
      </c>
      <c r="W182" s="183">
        <v>0</v>
      </c>
      <c r="X182" s="183">
        <v>0</v>
      </c>
      <c r="Y182" s="183">
        <v>0</v>
      </c>
      <c r="Z182" s="183">
        <v>0</v>
      </c>
      <c r="AA182" s="183">
        <v>0</v>
      </c>
      <c r="AB182" s="183">
        <v>0</v>
      </c>
      <c r="AC182" s="183">
        <v>0</v>
      </c>
      <c r="AD182" s="183">
        <v>0</v>
      </c>
      <c r="AE182" s="183">
        <v>0</v>
      </c>
      <c r="AF182" s="183">
        <v>0</v>
      </c>
      <c r="AG182" s="183">
        <v>0</v>
      </c>
      <c r="AH182" s="183">
        <v>0</v>
      </c>
      <c r="AI182" s="183">
        <v>0</v>
      </c>
      <c r="AJ182" s="183">
        <v>0</v>
      </c>
      <c r="AK182" s="183">
        <v>0</v>
      </c>
      <c r="AL182" s="183">
        <v>0</v>
      </c>
      <c r="AM182" s="183">
        <v>0</v>
      </c>
      <c r="AN182" s="183">
        <v>0</v>
      </c>
      <c r="AO182" s="183">
        <v>0</v>
      </c>
      <c r="AP182" s="183">
        <v>0</v>
      </c>
      <c r="AQ182" s="183">
        <v>0</v>
      </c>
      <c r="AR182" s="183">
        <v>0</v>
      </c>
      <c r="AS182" s="183">
        <v>0</v>
      </c>
      <c r="AT182" s="183">
        <v>0</v>
      </c>
      <c r="AU182" s="183">
        <v>0</v>
      </c>
      <c r="AV182" s="183">
        <v>0</v>
      </c>
      <c r="AW182" s="194">
        <v>0</v>
      </c>
      <c r="AX182" s="194">
        <v>0</v>
      </c>
      <c r="AY182" s="194">
        <v>0</v>
      </c>
      <c r="AZ182" s="194">
        <v>0</v>
      </c>
      <c r="BA182" s="196"/>
      <c r="BB182" s="194"/>
      <c r="BC182" s="194"/>
      <c r="BD182" s="194"/>
      <c r="BE182" s="194"/>
      <c r="BF182" s="194"/>
      <c r="BG182" s="194"/>
      <c r="BH182" s="194"/>
      <c r="BI182" s="196"/>
      <c r="BJ182" s="98"/>
      <c r="BK182" s="148"/>
      <c r="BM182" s="148"/>
      <c r="BN182" s="148"/>
      <c r="BQ182" s="11"/>
    </row>
    <row r="183" spans="1:1163">
      <c r="A183" s="1072"/>
      <c r="B183" s="127"/>
      <c r="C183" s="183"/>
      <c r="D183" s="183"/>
      <c r="E183" s="183"/>
      <c r="F183" s="183"/>
      <c r="G183" s="183"/>
      <c r="H183" s="183"/>
      <c r="I183" s="183"/>
      <c r="J183" s="183"/>
      <c r="K183" s="183"/>
      <c r="L183" s="183"/>
      <c r="M183" s="183"/>
      <c r="N183" s="183"/>
      <c r="O183" s="183"/>
      <c r="P183" s="183"/>
      <c r="Q183" s="183"/>
      <c r="R183" s="183"/>
      <c r="S183" s="183"/>
      <c r="T183" s="183"/>
      <c r="U183" s="184"/>
      <c r="V183" s="184"/>
      <c r="W183" s="202"/>
      <c r="X183" s="202"/>
      <c r="Y183" s="183"/>
      <c r="Z183" s="183"/>
      <c r="AA183" s="202"/>
      <c r="AB183" s="202"/>
      <c r="AC183" s="183"/>
      <c r="AD183" s="183"/>
      <c r="AE183" s="202"/>
      <c r="AF183" s="202"/>
      <c r="AG183" s="202"/>
      <c r="AH183" s="202"/>
      <c r="AI183" s="202"/>
      <c r="AJ183" s="202"/>
      <c r="AK183" s="202"/>
      <c r="AL183" s="202"/>
      <c r="AM183" s="202"/>
      <c r="AN183" s="202"/>
      <c r="AO183" s="202"/>
      <c r="AP183" s="202"/>
      <c r="AQ183" s="202"/>
      <c r="AR183" s="202"/>
      <c r="AS183" s="202"/>
      <c r="AT183" s="202"/>
      <c r="AU183" s="208"/>
      <c r="AV183" s="208"/>
      <c r="AW183" s="166"/>
      <c r="AX183" s="166"/>
      <c r="AY183" s="165"/>
      <c r="AZ183" s="165"/>
      <c r="BA183" s="196"/>
      <c r="BB183" s="166"/>
      <c r="BC183" s="166"/>
      <c r="BD183" s="166"/>
      <c r="BE183" s="166"/>
      <c r="BF183" s="166"/>
      <c r="BG183" s="166"/>
      <c r="BH183" s="166"/>
      <c r="BI183" s="196"/>
      <c r="BJ183" s="98"/>
      <c r="BK183" s="148"/>
      <c r="BM183" s="148"/>
      <c r="BN183" s="148"/>
      <c r="BQ183" s="11"/>
    </row>
    <row r="184" spans="1:1163" s="174" customFormat="1">
      <c r="A184" s="118" t="s">
        <v>195</v>
      </c>
      <c r="B184" s="119"/>
      <c r="C184" s="175"/>
      <c r="D184" s="175"/>
      <c r="E184" s="175"/>
      <c r="F184" s="175"/>
      <c r="G184" s="175"/>
      <c r="H184" s="175"/>
      <c r="I184" s="175"/>
      <c r="J184" s="175"/>
      <c r="K184" s="175"/>
      <c r="L184" s="175"/>
      <c r="M184" s="175"/>
      <c r="N184" s="175"/>
      <c r="O184" s="175"/>
      <c r="P184" s="175"/>
      <c r="Q184" s="175"/>
      <c r="R184" s="175"/>
      <c r="S184" s="175"/>
      <c r="T184" s="175"/>
      <c r="U184" s="144"/>
      <c r="V184" s="144"/>
      <c r="W184" s="201"/>
      <c r="X184" s="201"/>
      <c r="Y184" s="175"/>
      <c r="Z184" s="175"/>
      <c r="AA184" s="201"/>
      <c r="AB184" s="201"/>
      <c r="AC184" s="175"/>
      <c r="AD184" s="175"/>
      <c r="AE184" s="201"/>
      <c r="AF184" s="201"/>
      <c r="AG184" s="201"/>
      <c r="AH184" s="201"/>
      <c r="AI184" s="201"/>
      <c r="AJ184" s="201"/>
      <c r="AK184" s="201"/>
      <c r="AL184" s="201"/>
      <c r="AM184" s="201"/>
      <c r="AN184" s="201"/>
      <c r="AO184" s="201"/>
      <c r="AP184" s="201"/>
      <c r="AQ184" s="201"/>
      <c r="AR184" s="201"/>
      <c r="AS184" s="201"/>
      <c r="AT184" s="201"/>
      <c r="AU184" s="209"/>
      <c r="AV184" s="209"/>
      <c r="AW184" s="173"/>
      <c r="AX184" s="173"/>
      <c r="AY184" s="172"/>
      <c r="AZ184" s="172"/>
      <c r="BA184" s="177"/>
      <c r="BB184" s="173"/>
      <c r="BC184" s="173"/>
      <c r="BD184" s="173"/>
      <c r="BE184" s="173"/>
      <c r="BF184" s="173"/>
      <c r="BG184" s="173"/>
      <c r="BH184" s="173"/>
      <c r="BI184" s="177"/>
      <c r="BJ184" s="98"/>
      <c r="BK184" s="148"/>
      <c r="BL184" s="148"/>
      <c r="BM184" s="148"/>
      <c r="BN184" s="148"/>
      <c r="BO184" s="98"/>
      <c r="BP184" s="98"/>
      <c r="BQ184" s="11"/>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c r="CT184" s="98"/>
      <c r="CU184" s="98"/>
      <c r="CV184" s="98"/>
      <c r="CW184" s="98"/>
      <c r="CX184" s="98"/>
      <c r="CY184" s="98"/>
      <c r="CZ184" s="98"/>
      <c r="DA184" s="98"/>
      <c r="DB184" s="98"/>
      <c r="DC184" s="98"/>
      <c r="DD184" s="98"/>
      <c r="DE184" s="98"/>
      <c r="DF184" s="98"/>
      <c r="DG184" s="98"/>
      <c r="DH184" s="98"/>
      <c r="DI184" s="98"/>
      <c r="DJ184" s="98"/>
      <c r="DK184" s="98"/>
      <c r="DL184" s="98"/>
      <c r="DM184" s="98"/>
      <c r="DN184" s="98"/>
      <c r="DO184" s="98"/>
      <c r="DP184" s="98"/>
      <c r="DQ184" s="98"/>
      <c r="DR184" s="98"/>
      <c r="DS184" s="98"/>
      <c r="DT184" s="98"/>
      <c r="DU184" s="98"/>
      <c r="DV184" s="98"/>
      <c r="DW184" s="98"/>
      <c r="DX184" s="98"/>
      <c r="DY184" s="98"/>
      <c r="DZ184" s="98"/>
      <c r="EA184" s="98"/>
      <c r="EB184" s="98"/>
      <c r="EC184" s="98"/>
      <c r="ED184" s="98"/>
      <c r="EE184" s="98"/>
      <c r="EF184" s="98"/>
      <c r="EG184" s="98"/>
      <c r="EH184" s="98"/>
      <c r="EI184" s="98"/>
      <c r="EJ184" s="98"/>
      <c r="EK184" s="98"/>
      <c r="EL184" s="98"/>
      <c r="EM184" s="98"/>
      <c r="EN184" s="98"/>
      <c r="EO184" s="98"/>
      <c r="EP184" s="98"/>
      <c r="EQ184" s="98"/>
      <c r="ER184" s="98"/>
      <c r="ES184" s="98"/>
      <c r="ET184" s="98"/>
      <c r="EU184" s="98"/>
      <c r="EV184" s="98"/>
      <c r="EW184" s="98"/>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c r="IW184" s="98"/>
      <c r="IX184" s="98"/>
      <c r="IY184" s="98"/>
      <c r="IZ184" s="98"/>
      <c r="JA184" s="98"/>
      <c r="JB184" s="98"/>
      <c r="JC184" s="98"/>
      <c r="JD184" s="98"/>
      <c r="JE184" s="98"/>
      <c r="JF184" s="98"/>
      <c r="JG184" s="98"/>
      <c r="JH184" s="98"/>
      <c r="JI184" s="98"/>
      <c r="JJ184" s="98"/>
      <c r="JK184" s="98"/>
      <c r="JL184" s="98"/>
      <c r="JM184" s="98"/>
      <c r="JN184" s="98"/>
      <c r="JO184" s="98"/>
      <c r="JP184" s="98"/>
      <c r="JQ184" s="98"/>
      <c r="JR184" s="98"/>
      <c r="JS184" s="98"/>
      <c r="JT184" s="98"/>
      <c r="JU184" s="98"/>
      <c r="JV184" s="98"/>
      <c r="JW184" s="98"/>
      <c r="JX184" s="98"/>
      <c r="JY184" s="98"/>
      <c r="JZ184" s="98"/>
      <c r="KA184" s="98"/>
      <c r="KB184" s="98"/>
      <c r="KC184" s="98"/>
      <c r="KD184" s="98"/>
      <c r="KE184" s="98"/>
      <c r="KF184" s="98"/>
      <c r="KG184" s="98"/>
      <c r="KH184" s="98"/>
      <c r="KI184" s="98"/>
      <c r="KJ184" s="98"/>
      <c r="KK184" s="98"/>
      <c r="KL184" s="98"/>
      <c r="KM184" s="98"/>
      <c r="KN184" s="98"/>
      <c r="KO184" s="98"/>
      <c r="KP184" s="98"/>
      <c r="KQ184" s="98"/>
      <c r="KR184" s="98"/>
      <c r="KS184" s="98"/>
      <c r="KT184" s="98"/>
      <c r="KU184" s="98"/>
      <c r="KV184" s="98"/>
      <c r="KW184" s="98"/>
      <c r="KX184" s="98"/>
      <c r="KY184" s="98"/>
      <c r="KZ184" s="98"/>
      <c r="LA184" s="98"/>
      <c r="LB184" s="98"/>
      <c r="LC184" s="98"/>
      <c r="LD184" s="98"/>
      <c r="LE184" s="98"/>
      <c r="LF184" s="98"/>
      <c r="LG184" s="98"/>
      <c r="LH184" s="98"/>
      <c r="LI184" s="98"/>
      <c r="LJ184" s="98"/>
      <c r="LK184" s="98"/>
      <c r="LL184" s="98"/>
      <c r="LM184" s="98"/>
      <c r="LN184" s="98"/>
      <c r="LO184" s="98"/>
      <c r="LP184" s="98"/>
      <c r="LQ184" s="98"/>
      <c r="LR184" s="98"/>
      <c r="LS184" s="98"/>
      <c r="LT184" s="98"/>
      <c r="LU184" s="98"/>
      <c r="LV184" s="98"/>
      <c r="LW184" s="98"/>
      <c r="LX184" s="98"/>
      <c r="LY184" s="98"/>
      <c r="LZ184" s="98"/>
      <c r="MA184" s="98"/>
      <c r="MB184" s="98"/>
      <c r="MC184" s="98"/>
      <c r="MD184" s="98"/>
      <c r="ME184" s="98"/>
      <c r="MF184" s="98"/>
      <c r="MG184" s="98"/>
      <c r="MH184" s="98"/>
      <c r="MI184" s="98"/>
      <c r="MJ184" s="98"/>
      <c r="MK184" s="98"/>
      <c r="ML184" s="98"/>
      <c r="MM184" s="98"/>
      <c r="MN184" s="98"/>
      <c r="MO184" s="98"/>
      <c r="MP184" s="98"/>
      <c r="MQ184" s="98"/>
      <c r="MR184" s="98"/>
      <c r="MS184" s="98"/>
      <c r="MT184" s="98"/>
      <c r="MU184" s="98"/>
      <c r="MV184" s="98"/>
      <c r="MW184" s="98"/>
      <c r="MX184" s="98"/>
      <c r="MY184" s="98"/>
      <c r="MZ184" s="98"/>
      <c r="NA184" s="98"/>
      <c r="NB184" s="98"/>
      <c r="NC184" s="98"/>
      <c r="ND184" s="98"/>
      <c r="NE184" s="98"/>
      <c r="NF184" s="98"/>
      <c r="NG184" s="98"/>
      <c r="NH184" s="98"/>
      <c r="NI184" s="98"/>
      <c r="NJ184" s="98"/>
      <c r="NK184" s="98"/>
      <c r="NL184" s="98"/>
      <c r="NM184" s="98"/>
      <c r="NN184" s="98"/>
      <c r="NO184" s="98"/>
      <c r="NP184" s="98"/>
      <c r="NQ184" s="98"/>
      <c r="NR184" s="98"/>
      <c r="NS184" s="98"/>
      <c r="NT184" s="98"/>
      <c r="NU184" s="98"/>
      <c r="NV184" s="98"/>
      <c r="NW184" s="98"/>
      <c r="NX184" s="98"/>
      <c r="NY184" s="98"/>
      <c r="NZ184" s="98"/>
      <c r="OA184" s="98"/>
      <c r="OB184" s="98"/>
      <c r="OC184" s="98"/>
      <c r="OD184" s="98"/>
      <c r="OE184" s="98"/>
      <c r="OF184" s="98"/>
      <c r="OG184" s="98"/>
      <c r="OH184" s="98"/>
      <c r="OI184" s="98"/>
      <c r="OJ184" s="98"/>
      <c r="OK184" s="98"/>
      <c r="OL184" s="98"/>
      <c r="OM184" s="98"/>
      <c r="ON184" s="98"/>
      <c r="OO184" s="98"/>
      <c r="OP184" s="98"/>
      <c r="OQ184" s="98"/>
      <c r="OR184" s="98"/>
      <c r="OS184" s="98"/>
      <c r="OT184" s="98"/>
      <c r="OU184" s="98"/>
      <c r="OV184" s="98"/>
      <c r="OW184" s="98"/>
      <c r="OX184" s="98"/>
      <c r="OY184" s="98"/>
      <c r="OZ184" s="98"/>
      <c r="PA184" s="98"/>
      <c r="PB184" s="98"/>
      <c r="PC184" s="98"/>
      <c r="PD184" s="98"/>
      <c r="PE184" s="98"/>
      <c r="PF184" s="98"/>
      <c r="PG184" s="98"/>
      <c r="PH184" s="98"/>
      <c r="PI184" s="98"/>
      <c r="PJ184" s="98"/>
      <c r="PK184" s="98"/>
      <c r="PL184" s="98"/>
      <c r="PM184" s="98"/>
      <c r="PN184" s="98"/>
      <c r="PO184" s="98"/>
      <c r="PP184" s="98"/>
      <c r="PQ184" s="98"/>
      <c r="PR184" s="98"/>
      <c r="PS184" s="98"/>
      <c r="PT184" s="98"/>
      <c r="PU184" s="98"/>
      <c r="PV184" s="98"/>
      <c r="PW184" s="98"/>
      <c r="PX184" s="98"/>
      <c r="PY184" s="98"/>
      <c r="PZ184" s="98"/>
      <c r="QA184" s="98"/>
      <c r="QB184" s="98"/>
      <c r="QC184" s="98"/>
      <c r="QD184" s="98"/>
      <c r="QE184" s="98"/>
      <c r="QF184" s="98"/>
      <c r="QG184" s="98"/>
      <c r="QH184" s="98"/>
      <c r="QI184" s="98"/>
      <c r="QJ184" s="98"/>
      <c r="QK184" s="98"/>
      <c r="QL184" s="98"/>
      <c r="QM184" s="98"/>
      <c r="QN184" s="98"/>
      <c r="QO184" s="98"/>
      <c r="QP184" s="98"/>
      <c r="QQ184" s="98"/>
      <c r="QR184" s="98"/>
      <c r="QS184" s="98"/>
      <c r="QT184" s="98"/>
      <c r="QU184" s="98"/>
      <c r="QV184" s="98"/>
      <c r="QW184" s="98"/>
      <c r="QX184" s="98"/>
      <c r="QY184" s="98"/>
      <c r="QZ184" s="98"/>
      <c r="RA184" s="98"/>
      <c r="RB184" s="98"/>
      <c r="RC184" s="98"/>
      <c r="RD184" s="98"/>
      <c r="RE184" s="98"/>
      <c r="RF184" s="98"/>
      <c r="RG184" s="98"/>
      <c r="RH184" s="98"/>
      <c r="RI184" s="98"/>
      <c r="RJ184" s="98"/>
      <c r="RK184" s="98"/>
      <c r="RL184" s="98"/>
      <c r="RM184" s="98"/>
      <c r="RN184" s="98"/>
      <c r="RO184" s="98"/>
      <c r="RP184" s="98"/>
      <c r="RQ184" s="98"/>
      <c r="RR184" s="98"/>
      <c r="RS184" s="98"/>
      <c r="RT184" s="98"/>
      <c r="RU184" s="98"/>
      <c r="RV184" s="98"/>
      <c r="RW184" s="98"/>
      <c r="RX184" s="98"/>
      <c r="RY184" s="98"/>
      <c r="RZ184" s="98"/>
      <c r="SA184" s="98"/>
      <c r="SB184" s="98"/>
      <c r="SC184" s="98"/>
      <c r="SD184" s="98"/>
      <c r="SE184" s="98"/>
      <c r="SF184" s="98"/>
      <c r="SG184" s="98"/>
      <c r="SH184" s="98"/>
      <c r="SI184" s="98"/>
      <c r="SJ184" s="98"/>
      <c r="SK184" s="98"/>
      <c r="SL184" s="98"/>
      <c r="SM184" s="98"/>
      <c r="SN184" s="98"/>
      <c r="SO184" s="98"/>
      <c r="SP184" s="98"/>
      <c r="SQ184" s="98"/>
      <c r="SR184" s="98"/>
      <c r="SS184" s="98"/>
      <c r="ST184" s="98"/>
      <c r="SU184" s="98"/>
      <c r="SV184" s="98"/>
      <c r="SW184" s="98"/>
      <c r="SX184" s="98"/>
      <c r="SY184" s="98"/>
      <c r="SZ184" s="98"/>
      <c r="TA184" s="98"/>
      <c r="TB184" s="98"/>
      <c r="TC184" s="98"/>
      <c r="TD184" s="98"/>
      <c r="TE184" s="98"/>
      <c r="TF184" s="98"/>
      <c r="TG184" s="98"/>
      <c r="TH184" s="98"/>
      <c r="TI184" s="98"/>
      <c r="TJ184" s="98"/>
      <c r="TK184" s="98"/>
      <c r="TL184" s="98"/>
      <c r="TM184" s="98"/>
      <c r="TN184" s="98"/>
      <c r="TO184" s="98"/>
      <c r="TP184" s="98"/>
      <c r="TQ184" s="98"/>
      <c r="TR184" s="98"/>
      <c r="TS184" s="98"/>
      <c r="TT184" s="98"/>
      <c r="TU184" s="98"/>
      <c r="TV184" s="98"/>
      <c r="TW184" s="98"/>
      <c r="TX184" s="98"/>
      <c r="TY184" s="98"/>
      <c r="TZ184" s="98"/>
      <c r="UA184" s="98"/>
      <c r="UB184" s="98"/>
      <c r="UC184" s="98"/>
      <c r="UD184" s="98"/>
      <c r="UE184" s="98"/>
      <c r="UF184" s="98"/>
      <c r="UG184" s="98"/>
      <c r="UH184" s="98"/>
      <c r="UI184" s="98"/>
      <c r="UJ184" s="98"/>
      <c r="UK184" s="98"/>
      <c r="UL184" s="98"/>
      <c r="UM184" s="98"/>
      <c r="UN184" s="98"/>
      <c r="UO184" s="98"/>
      <c r="UP184" s="98"/>
      <c r="UQ184" s="98"/>
      <c r="UR184" s="98"/>
      <c r="US184" s="98"/>
      <c r="UT184" s="98"/>
      <c r="UU184" s="98"/>
      <c r="UV184" s="98"/>
      <c r="UW184" s="98"/>
      <c r="UX184" s="98"/>
      <c r="UY184" s="98"/>
      <c r="UZ184" s="98"/>
      <c r="VA184" s="98"/>
      <c r="VB184" s="98"/>
      <c r="VC184" s="98"/>
      <c r="VD184" s="98"/>
      <c r="VE184" s="98"/>
      <c r="VF184" s="98"/>
      <c r="VG184" s="98"/>
      <c r="VH184" s="98"/>
      <c r="VI184" s="98"/>
      <c r="VJ184" s="98"/>
      <c r="VK184" s="98"/>
      <c r="VL184" s="98"/>
      <c r="VM184" s="98"/>
      <c r="VN184" s="98"/>
      <c r="VO184" s="98"/>
      <c r="VP184" s="98"/>
      <c r="VQ184" s="98"/>
      <c r="VR184" s="98"/>
      <c r="VS184" s="98"/>
      <c r="VT184" s="98"/>
      <c r="VU184" s="98"/>
      <c r="VV184" s="98"/>
      <c r="VW184" s="98"/>
      <c r="VX184" s="98"/>
      <c r="VY184" s="98"/>
      <c r="VZ184" s="98"/>
      <c r="WA184" s="98"/>
      <c r="WB184" s="98"/>
      <c r="WC184" s="98"/>
      <c r="WD184" s="98"/>
      <c r="WE184" s="98"/>
      <c r="WF184" s="98"/>
      <c r="WG184" s="98"/>
      <c r="WH184" s="98"/>
      <c r="WI184" s="98"/>
      <c r="WJ184" s="98"/>
      <c r="WK184" s="98"/>
      <c r="WL184" s="98"/>
      <c r="WM184" s="98"/>
      <c r="WN184" s="98"/>
      <c r="WO184" s="98"/>
      <c r="WP184" s="98"/>
      <c r="WQ184" s="98"/>
      <c r="WR184" s="98"/>
      <c r="WS184" s="98"/>
      <c r="WT184" s="98"/>
      <c r="WU184" s="98"/>
      <c r="WV184" s="98"/>
      <c r="WW184" s="98"/>
      <c r="WX184" s="98"/>
      <c r="WY184" s="98"/>
      <c r="WZ184" s="98"/>
      <c r="XA184" s="98"/>
      <c r="XB184" s="98"/>
      <c r="XC184" s="98"/>
      <c r="XD184" s="98"/>
      <c r="XE184" s="98"/>
      <c r="XF184" s="98"/>
      <c r="XG184" s="98"/>
      <c r="XH184" s="98"/>
      <c r="XI184" s="98"/>
      <c r="XJ184" s="98"/>
      <c r="XK184" s="98"/>
      <c r="XL184" s="98"/>
      <c r="XM184" s="98"/>
      <c r="XN184" s="98"/>
      <c r="XO184" s="98"/>
      <c r="XP184" s="98"/>
      <c r="XQ184" s="98"/>
      <c r="XR184" s="98"/>
      <c r="XS184" s="98"/>
      <c r="XT184" s="98"/>
      <c r="XU184" s="98"/>
      <c r="XV184" s="98"/>
      <c r="XW184" s="98"/>
      <c r="XX184" s="98"/>
      <c r="XY184" s="98"/>
      <c r="XZ184" s="98"/>
      <c r="YA184" s="98"/>
      <c r="YB184" s="98"/>
      <c r="YC184" s="98"/>
      <c r="YD184" s="98"/>
      <c r="YE184" s="98"/>
      <c r="YF184" s="98"/>
      <c r="YG184" s="98"/>
      <c r="YH184" s="98"/>
      <c r="YI184" s="98"/>
      <c r="YJ184" s="98"/>
      <c r="YK184" s="98"/>
      <c r="YL184" s="98"/>
      <c r="YM184" s="98"/>
      <c r="YN184" s="98"/>
      <c r="YO184" s="98"/>
      <c r="YP184" s="98"/>
      <c r="YQ184" s="98"/>
      <c r="YR184" s="98"/>
      <c r="YS184" s="98"/>
      <c r="YT184" s="98"/>
      <c r="YU184" s="98"/>
      <c r="YV184" s="98"/>
      <c r="YW184" s="98"/>
      <c r="YX184" s="98"/>
      <c r="YY184" s="98"/>
      <c r="YZ184" s="98"/>
      <c r="ZA184" s="98"/>
      <c r="ZB184" s="98"/>
      <c r="ZC184" s="98"/>
      <c r="ZD184" s="98"/>
      <c r="ZE184" s="98"/>
      <c r="ZF184" s="98"/>
      <c r="ZG184" s="98"/>
      <c r="ZH184" s="98"/>
      <c r="ZI184" s="98"/>
      <c r="ZJ184" s="98"/>
      <c r="ZK184" s="98"/>
      <c r="ZL184" s="98"/>
      <c r="ZM184" s="98"/>
      <c r="ZN184" s="98"/>
      <c r="ZO184" s="98"/>
      <c r="ZP184" s="98"/>
      <c r="ZQ184" s="98"/>
      <c r="ZR184" s="98"/>
      <c r="ZS184" s="98"/>
      <c r="ZT184" s="98"/>
      <c r="ZU184" s="98"/>
      <c r="ZV184" s="98"/>
      <c r="ZW184" s="98"/>
      <c r="ZX184" s="98"/>
      <c r="ZY184" s="98"/>
      <c r="ZZ184" s="98"/>
      <c r="AAA184" s="98"/>
      <c r="AAB184" s="98"/>
      <c r="AAC184" s="98"/>
      <c r="AAD184" s="98"/>
      <c r="AAE184" s="98"/>
      <c r="AAF184" s="98"/>
      <c r="AAG184" s="98"/>
      <c r="AAH184" s="98"/>
      <c r="AAI184" s="98"/>
      <c r="AAJ184" s="98"/>
      <c r="AAK184" s="98"/>
      <c r="AAL184" s="98"/>
      <c r="AAM184" s="98"/>
      <c r="AAN184" s="98"/>
      <c r="AAO184" s="98"/>
      <c r="AAP184" s="98"/>
      <c r="AAQ184" s="98"/>
      <c r="AAR184" s="98"/>
      <c r="AAS184" s="98"/>
      <c r="AAT184" s="98"/>
      <c r="AAU184" s="98"/>
      <c r="AAV184" s="98"/>
      <c r="AAW184" s="98"/>
      <c r="AAX184" s="98"/>
      <c r="AAY184" s="98"/>
      <c r="AAZ184" s="98"/>
      <c r="ABA184" s="98"/>
      <c r="ABB184" s="98"/>
      <c r="ABC184" s="98"/>
      <c r="ABD184" s="98"/>
      <c r="ABE184" s="98"/>
      <c r="ABF184" s="98"/>
      <c r="ABG184" s="98"/>
      <c r="ABH184" s="98"/>
      <c r="ABI184" s="98"/>
      <c r="ABJ184" s="98"/>
      <c r="ABK184" s="98"/>
      <c r="ABL184" s="98"/>
      <c r="ABM184" s="98"/>
      <c r="ABN184" s="98"/>
      <c r="ABO184" s="98"/>
      <c r="ABP184" s="98"/>
      <c r="ABQ184" s="98"/>
      <c r="ABR184" s="98"/>
      <c r="ABS184" s="98"/>
      <c r="ABT184" s="98"/>
      <c r="ABU184" s="98"/>
      <c r="ABV184" s="98"/>
      <c r="ABW184" s="98"/>
      <c r="ABX184" s="98"/>
      <c r="ABY184" s="98"/>
      <c r="ABZ184" s="98"/>
      <c r="ACA184" s="98"/>
      <c r="ACB184" s="98"/>
      <c r="ACC184" s="98"/>
      <c r="ACD184" s="98"/>
      <c r="ACE184" s="98"/>
      <c r="ACF184" s="98"/>
      <c r="ACG184" s="98"/>
      <c r="ACH184" s="98"/>
      <c r="ACI184" s="98"/>
      <c r="ACJ184" s="98"/>
      <c r="ACK184" s="98"/>
      <c r="ACL184" s="98"/>
      <c r="ACM184" s="98"/>
      <c r="ACN184" s="98"/>
      <c r="ACO184" s="98"/>
      <c r="ACP184" s="98"/>
      <c r="ACQ184" s="98"/>
      <c r="ACR184" s="98"/>
      <c r="ACS184" s="98"/>
      <c r="ACT184" s="98"/>
      <c r="ACU184" s="98"/>
      <c r="ACV184" s="98"/>
      <c r="ACW184" s="98"/>
      <c r="ACX184" s="98"/>
      <c r="ACY184" s="98"/>
      <c r="ACZ184" s="98"/>
      <c r="ADA184" s="98"/>
      <c r="ADB184" s="98"/>
      <c r="ADC184" s="98"/>
      <c r="ADD184" s="98"/>
      <c r="ADE184" s="98"/>
      <c r="ADF184" s="98"/>
      <c r="ADG184" s="98"/>
      <c r="ADH184" s="98"/>
      <c r="ADI184" s="98"/>
      <c r="ADJ184" s="98"/>
      <c r="ADK184" s="98"/>
      <c r="ADL184" s="98"/>
      <c r="ADM184" s="98"/>
      <c r="ADN184" s="98"/>
      <c r="ADO184" s="98"/>
      <c r="ADP184" s="98"/>
      <c r="ADQ184" s="98"/>
      <c r="ADR184" s="98"/>
      <c r="ADS184" s="98"/>
      <c r="ADT184" s="98"/>
      <c r="ADU184" s="98"/>
      <c r="ADV184" s="98"/>
      <c r="ADW184" s="98"/>
      <c r="ADX184" s="98"/>
      <c r="ADY184" s="98"/>
      <c r="ADZ184" s="98"/>
      <c r="AEA184" s="98"/>
      <c r="AEB184" s="98"/>
      <c r="AEC184" s="98"/>
      <c r="AED184" s="98"/>
      <c r="AEE184" s="98"/>
      <c r="AEF184" s="98"/>
      <c r="AEG184" s="98"/>
      <c r="AEH184" s="98"/>
      <c r="AEI184" s="98"/>
      <c r="AEJ184" s="98"/>
      <c r="AEK184" s="98"/>
      <c r="AEL184" s="98"/>
      <c r="AEM184" s="98"/>
      <c r="AEN184" s="98"/>
      <c r="AEO184" s="98"/>
      <c r="AEP184" s="98"/>
      <c r="AEQ184" s="98"/>
      <c r="AER184" s="98"/>
      <c r="AES184" s="98"/>
      <c r="AET184" s="98"/>
      <c r="AEU184" s="98"/>
      <c r="AEV184" s="98"/>
      <c r="AEW184" s="98"/>
      <c r="AEX184" s="98"/>
      <c r="AEY184" s="98"/>
      <c r="AEZ184" s="98"/>
      <c r="AFA184" s="98"/>
      <c r="AFB184" s="98"/>
      <c r="AFC184" s="98"/>
      <c r="AFD184" s="98"/>
      <c r="AFE184" s="98"/>
      <c r="AFF184" s="98"/>
      <c r="AFG184" s="98"/>
      <c r="AFH184" s="98"/>
      <c r="AFI184" s="98"/>
      <c r="AFJ184" s="98"/>
      <c r="AFK184" s="98"/>
      <c r="AFL184" s="98"/>
      <c r="AFM184" s="98"/>
      <c r="AFN184" s="98"/>
      <c r="AFO184" s="98"/>
      <c r="AFP184" s="98"/>
      <c r="AFQ184" s="98"/>
      <c r="AFR184" s="98"/>
      <c r="AFS184" s="98"/>
      <c r="AFT184" s="98"/>
      <c r="AFU184" s="98"/>
      <c r="AFV184" s="98"/>
      <c r="AFW184" s="98"/>
      <c r="AFX184" s="98"/>
      <c r="AFY184" s="98"/>
      <c r="AFZ184" s="98"/>
      <c r="AGA184" s="98"/>
      <c r="AGB184" s="98"/>
      <c r="AGC184" s="98"/>
      <c r="AGD184" s="98"/>
      <c r="AGE184" s="98"/>
      <c r="AGF184" s="98"/>
      <c r="AGG184" s="98"/>
      <c r="AGH184" s="98"/>
      <c r="AGI184" s="98"/>
      <c r="AGJ184" s="98"/>
      <c r="AGK184" s="98"/>
      <c r="AGL184" s="98"/>
      <c r="AGM184" s="98"/>
      <c r="AGN184" s="98"/>
      <c r="AGO184" s="98"/>
      <c r="AGP184" s="98"/>
      <c r="AGQ184" s="98"/>
      <c r="AGR184" s="98"/>
      <c r="AGS184" s="98"/>
      <c r="AGT184" s="98"/>
      <c r="AGU184" s="98"/>
      <c r="AGV184" s="98"/>
      <c r="AGW184" s="98"/>
      <c r="AGX184" s="98"/>
      <c r="AGY184" s="98"/>
      <c r="AGZ184" s="98"/>
      <c r="AHA184" s="98"/>
      <c r="AHB184" s="98"/>
      <c r="AHC184" s="98"/>
      <c r="AHD184" s="98"/>
      <c r="AHE184" s="98"/>
      <c r="AHF184" s="98"/>
      <c r="AHG184" s="98"/>
      <c r="AHH184" s="98"/>
      <c r="AHI184" s="98"/>
      <c r="AHJ184" s="98"/>
      <c r="AHK184" s="98"/>
      <c r="AHL184" s="98"/>
      <c r="AHM184" s="98"/>
      <c r="AHN184" s="98"/>
      <c r="AHO184" s="98"/>
      <c r="AHP184" s="98"/>
      <c r="AHQ184" s="98"/>
      <c r="AHR184" s="98"/>
      <c r="AHS184" s="98"/>
      <c r="AHT184" s="98"/>
      <c r="AHU184" s="98"/>
      <c r="AHV184" s="98"/>
      <c r="AHW184" s="98"/>
      <c r="AHX184" s="98"/>
      <c r="AHY184" s="98"/>
      <c r="AHZ184" s="98"/>
      <c r="AIA184" s="98"/>
      <c r="AIB184" s="98"/>
      <c r="AIC184" s="98"/>
      <c r="AID184" s="98"/>
      <c r="AIE184" s="98"/>
      <c r="AIF184" s="98"/>
      <c r="AIG184" s="98"/>
      <c r="AIH184" s="98"/>
      <c r="AII184" s="98"/>
      <c r="AIJ184" s="98"/>
      <c r="AIK184" s="98"/>
      <c r="AIL184" s="98"/>
      <c r="AIM184" s="98"/>
      <c r="AIN184" s="98"/>
      <c r="AIO184" s="98"/>
      <c r="AIP184" s="98"/>
      <c r="AIQ184" s="98"/>
      <c r="AIR184" s="98"/>
      <c r="AIS184" s="98"/>
      <c r="AIT184" s="98"/>
      <c r="AIU184" s="98"/>
      <c r="AIV184" s="98"/>
      <c r="AIW184" s="98"/>
      <c r="AIX184" s="98"/>
      <c r="AIY184" s="98"/>
      <c r="AIZ184" s="98"/>
      <c r="AJA184" s="98"/>
      <c r="AJB184" s="98"/>
      <c r="AJC184" s="98"/>
      <c r="AJD184" s="98"/>
      <c r="AJE184" s="98"/>
      <c r="AJF184" s="98"/>
      <c r="AJG184" s="98"/>
      <c r="AJH184" s="98"/>
      <c r="AJI184" s="98"/>
      <c r="AJJ184" s="98"/>
      <c r="AJK184" s="98"/>
      <c r="AJL184" s="98"/>
      <c r="AJM184" s="98"/>
      <c r="AJN184" s="98"/>
      <c r="AJO184" s="98"/>
      <c r="AJP184" s="98"/>
      <c r="AJQ184" s="98"/>
      <c r="AJR184" s="98"/>
      <c r="AJS184" s="98"/>
      <c r="AJT184" s="98"/>
      <c r="AJU184" s="98"/>
      <c r="AJV184" s="98"/>
      <c r="AJW184" s="98"/>
      <c r="AJX184" s="98"/>
      <c r="AJY184" s="98"/>
      <c r="AJZ184" s="98"/>
      <c r="AKA184" s="98"/>
      <c r="AKB184" s="98"/>
      <c r="AKC184" s="98"/>
      <c r="AKD184" s="98"/>
      <c r="AKE184" s="98"/>
      <c r="AKF184" s="98"/>
      <c r="AKG184" s="98"/>
      <c r="AKH184" s="98"/>
      <c r="AKI184" s="98"/>
      <c r="AKJ184" s="98"/>
      <c r="AKK184" s="98"/>
      <c r="AKL184" s="98"/>
      <c r="AKM184" s="98"/>
      <c r="AKN184" s="98"/>
      <c r="AKO184" s="98"/>
      <c r="AKP184" s="98"/>
      <c r="AKQ184" s="98"/>
      <c r="AKR184" s="98"/>
      <c r="AKS184" s="98"/>
      <c r="AKT184" s="98"/>
      <c r="AKU184" s="98"/>
      <c r="AKV184" s="98"/>
      <c r="AKW184" s="98"/>
      <c r="AKX184" s="98"/>
      <c r="AKY184" s="98"/>
      <c r="AKZ184" s="98"/>
      <c r="ALA184" s="98"/>
      <c r="ALB184" s="98"/>
      <c r="ALC184" s="98"/>
      <c r="ALD184" s="98"/>
      <c r="ALE184" s="98"/>
      <c r="ALF184" s="98"/>
      <c r="ALG184" s="98"/>
      <c r="ALH184" s="98"/>
      <c r="ALI184" s="98"/>
      <c r="ALJ184" s="98"/>
      <c r="ALK184" s="98"/>
      <c r="ALL184" s="98"/>
      <c r="ALM184" s="98"/>
      <c r="ALN184" s="98"/>
      <c r="ALO184" s="98"/>
      <c r="ALP184" s="98"/>
      <c r="ALQ184" s="98"/>
      <c r="ALR184" s="98"/>
      <c r="ALS184" s="98"/>
      <c r="ALT184" s="98"/>
      <c r="ALU184" s="98"/>
      <c r="ALV184" s="98"/>
      <c r="ALW184" s="98"/>
      <c r="ALX184" s="98"/>
      <c r="ALY184" s="98"/>
      <c r="ALZ184" s="98"/>
      <c r="AMA184" s="98"/>
      <c r="AMB184" s="98"/>
      <c r="AMC184" s="98"/>
      <c r="AMD184" s="98"/>
      <c r="AME184" s="98"/>
      <c r="AMF184" s="98"/>
      <c r="AMG184" s="98"/>
      <c r="AMH184" s="98"/>
      <c r="AMI184" s="98"/>
      <c r="AMJ184" s="98"/>
      <c r="AMK184" s="98"/>
      <c r="AML184" s="98"/>
      <c r="AMM184" s="98"/>
      <c r="AMN184" s="98"/>
      <c r="AMO184" s="98"/>
      <c r="AMP184" s="98"/>
      <c r="AMQ184" s="98"/>
      <c r="AMR184" s="98"/>
      <c r="AMS184" s="98"/>
      <c r="AMT184" s="98"/>
      <c r="AMU184" s="98"/>
      <c r="AMV184" s="98"/>
      <c r="AMW184" s="98"/>
      <c r="AMX184" s="98"/>
      <c r="AMY184" s="98"/>
      <c r="AMZ184" s="98"/>
      <c r="ANA184" s="98"/>
      <c r="ANB184" s="98"/>
      <c r="ANC184" s="98"/>
      <c r="AND184" s="98"/>
      <c r="ANE184" s="98"/>
      <c r="ANF184" s="98"/>
      <c r="ANG184" s="98"/>
      <c r="ANH184" s="98"/>
      <c r="ANI184" s="98"/>
      <c r="ANJ184" s="98"/>
      <c r="ANK184" s="98"/>
      <c r="ANL184" s="98"/>
      <c r="ANM184" s="98"/>
      <c r="ANN184" s="98"/>
      <c r="ANO184" s="98"/>
      <c r="ANP184" s="98"/>
      <c r="ANQ184" s="98"/>
      <c r="ANR184" s="98"/>
      <c r="ANS184" s="98"/>
      <c r="ANT184" s="98"/>
      <c r="ANU184" s="98"/>
      <c r="ANV184" s="98"/>
      <c r="ANW184" s="98"/>
      <c r="ANX184" s="98"/>
      <c r="ANY184" s="98"/>
      <c r="ANZ184" s="98"/>
      <c r="AOA184" s="98"/>
      <c r="AOB184" s="98"/>
      <c r="AOC184" s="98"/>
      <c r="AOD184" s="98"/>
      <c r="AOE184" s="98"/>
      <c r="AOF184" s="98"/>
      <c r="AOG184" s="98"/>
      <c r="AOH184" s="98"/>
      <c r="AOI184" s="98"/>
      <c r="AOJ184" s="98"/>
      <c r="AOK184" s="98"/>
      <c r="AOL184" s="98"/>
      <c r="AOM184" s="98"/>
      <c r="AON184" s="98"/>
      <c r="AOO184" s="98"/>
      <c r="AOP184" s="98"/>
      <c r="AOQ184" s="98"/>
      <c r="AOR184" s="98"/>
      <c r="AOS184" s="98"/>
      <c r="AOT184" s="98"/>
      <c r="AOU184" s="98"/>
      <c r="AOV184" s="98"/>
      <c r="AOW184" s="98"/>
      <c r="AOX184" s="98"/>
      <c r="AOY184" s="98"/>
      <c r="AOZ184" s="98"/>
      <c r="APA184" s="98"/>
      <c r="APB184" s="98"/>
      <c r="APC184" s="98"/>
      <c r="APD184" s="98"/>
      <c r="APE184" s="98"/>
      <c r="APF184" s="98"/>
      <c r="APG184" s="98"/>
      <c r="APH184" s="98"/>
      <c r="API184" s="98"/>
      <c r="APJ184" s="98"/>
      <c r="APK184" s="98"/>
      <c r="APL184" s="98"/>
      <c r="APM184" s="98"/>
      <c r="APN184" s="98"/>
      <c r="APO184" s="98"/>
      <c r="APP184" s="98"/>
      <c r="APQ184" s="98"/>
      <c r="APR184" s="98"/>
      <c r="APS184" s="98"/>
      <c r="APT184" s="98"/>
      <c r="APU184" s="98"/>
      <c r="APV184" s="98"/>
      <c r="APW184" s="98"/>
      <c r="APX184" s="98"/>
      <c r="APY184" s="98"/>
      <c r="APZ184" s="98"/>
      <c r="AQA184" s="98"/>
      <c r="AQB184" s="98"/>
      <c r="AQC184" s="98"/>
      <c r="AQD184" s="98"/>
      <c r="AQE184" s="98"/>
      <c r="AQF184" s="98"/>
      <c r="AQG184" s="98"/>
      <c r="AQH184" s="98"/>
      <c r="AQI184" s="98"/>
      <c r="AQJ184" s="98"/>
      <c r="AQK184" s="98"/>
      <c r="AQL184" s="98"/>
      <c r="AQM184" s="98"/>
      <c r="AQN184" s="98"/>
      <c r="AQO184" s="98"/>
      <c r="AQP184" s="98"/>
      <c r="AQQ184" s="98"/>
      <c r="AQR184" s="98"/>
      <c r="AQS184" s="98"/>
      <c r="AQT184" s="98"/>
      <c r="AQU184" s="98"/>
      <c r="AQV184" s="98"/>
      <c r="AQW184" s="98"/>
      <c r="AQX184" s="98"/>
      <c r="AQY184" s="98"/>
      <c r="AQZ184" s="98"/>
      <c r="ARA184" s="98"/>
      <c r="ARB184" s="98"/>
      <c r="ARC184" s="98"/>
      <c r="ARD184" s="98"/>
      <c r="ARE184" s="98"/>
      <c r="ARF184" s="98"/>
      <c r="ARG184" s="98"/>
      <c r="ARH184" s="98"/>
      <c r="ARI184" s="98"/>
      <c r="ARJ184" s="98"/>
      <c r="ARK184" s="98"/>
      <c r="ARL184" s="98"/>
      <c r="ARM184" s="98"/>
      <c r="ARN184" s="98"/>
      <c r="ARO184" s="98"/>
      <c r="ARP184" s="98"/>
      <c r="ARQ184" s="98"/>
      <c r="ARR184" s="98"/>
      <c r="ARS184" s="98"/>
    </row>
    <row r="185" spans="1:1163" s="174" customFormat="1">
      <c r="A185" s="140" t="s">
        <v>196</v>
      </c>
      <c r="B185" s="119" t="s">
        <v>67</v>
      </c>
      <c r="C185" s="175">
        <f>13930+455</f>
        <v>14385</v>
      </c>
      <c r="D185" s="175">
        <f>274345+5956</f>
        <v>280301</v>
      </c>
      <c r="E185" s="175">
        <v>53</v>
      </c>
      <c r="F185" s="175">
        <v>897</v>
      </c>
      <c r="G185" s="175">
        <v>839</v>
      </c>
      <c r="H185" s="175">
        <v>14281</v>
      </c>
      <c r="I185" s="175">
        <v>0</v>
      </c>
      <c r="J185" s="175">
        <v>0</v>
      </c>
      <c r="K185" s="175">
        <v>0</v>
      </c>
      <c r="L185" s="175">
        <v>0</v>
      </c>
      <c r="M185" s="175">
        <v>0</v>
      </c>
      <c r="N185" s="175">
        <v>0</v>
      </c>
      <c r="O185" s="175">
        <v>0</v>
      </c>
      <c r="P185" s="175">
        <v>0</v>
      </c>
      <c r="Q185" s="175">
        <v>0</v>
      </c>
      <c r="R185" s="175">
        <v>0</v>
      </c>
      <c r="S185" s="175">
        <v>0</v>
      </c>
      <c r="T185" s="175">
        <v>0</v>
      </c>
      <c r="U185" s="175">
        <v>0</v>
      </c>
      <c r="V185" s="175">
        <v>0</v>
      </c>
      <c r="W185" s="175">
        <v>0</v>
      </c>
      <c r="X185" s="175">
        <v>0</v>
      </c>
      <c r="Y185" s="175">
        <v>0</v>
      </c>
      <c r="Z185" s="175">
        <v>0</v>
      </c>
      <c r="AA185" s="175">
        <v>0</v>
      </c>
      <c r="AB185" s="175">
        <v>0</v>
      </c>
      <c r="AC185" s="175">
        <v>0</v>
      </c>
      <c r="AD185" s="175">
        <v>0</v>
      </c>
      <c r="AE185" s="175">
        <v>0</v>
      </c>
      <c r="AF185" s="175">
        <v>0</v>
      </c>
      <c r="AG185" s="175">
        <v>0</v>
      </c>
      <c r="AH185" s="175">
        <v>0</v>
      </c>
      <c r="AI185" s="175">
        <v>0</v>
      </c>
      <c r="AJ185" s="175">
        <v>0</v>
      </c>
      <c r="AK185" s="175">
        <v>0</v>
      </c>
      <c r="AL185" s="175">
        <v>0</v>
      </c>
      <c r="AM185" s="175">
        <v>0</v>
      </c>
      <c r="AN185" s="175">
        <v>0</v>
      </c>
      <c r="AO185" s="175">
        <v>0</v>
      </c>
      <c r="AP185" s="175">
        <v>0</v>
      </c>
      <c r="AQ185" s="175">
        <v>0</v>
      </c>
      <c r="AR185" s="175">
        <v>0</v>
      </c>
      <c r="AS185" s="175">
        <v>0</v>
      </c>
      <c r="AT185" s="175">
        <v>0</v>
      </c>
      <c r="AU185" s="175">
        <v>0</v>
      </c>
      <c r="AV185" s="175">
        <v>0</v>
      </c>
      <c r="AW185" s="175">
        <v>0</v>
      </c>
      <c r="AX185" s="175">
        <v>0</v>
      </c>
      <c r="AY185" s="175">
        <v>0</v>
      </c>
      <c r="AZ185" s="175">
        <v>0</v>
      </c>
      <c r="BA185" s="144"/>
      <c r="BB185" s="175"/>
      <c r="BC185" s="175"/>
      <c r="BD185" s="175"/>
      <c r="BE185" s="175"/>
      <c r="BF185" s="175"/>
      <c r="BG185" s="175"/>
      <c r="BH185" s="175"/>
      <c r="BI185" s="144"/>
      <c r="BJ185" s="98"/>
      <c r="BK185" s="148"/>
      <c r="BL185" s="148"/>
      <c r="BM185" s="148"/>
      <c r="BN185" s="148"/>
      <c r="BO185" s="98"/>
      <c r="BP185" s="98"/>
      <c r="BQ185" s="11"/>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c r="CT185" s="98"/>
      <c r="CU185" s="98"/>
      <c r="CV185" s="98"/>
      <c r="CW185" s="98"/>
      <c r="CX185" s="98"/>
      <c r="CY185" s="98"/>
      <c r="CZ185" s="98"/>
      <c r="DA185" s="98"/>
      <c r="DB185" s="98"/>
      <c r="DC185" s="98"/>
      <c r="DD185" s="98"/>
      <c r="DE185" s="98"/>
      <c r="DF185" s="98"/>
      <c r="DG185" s="98"/>
      <c r="DH185" s="98"/>
      <c r="DI185" s="98"/>
      <c r="DJ185" s="98"/>
      <c r="DK185" s="98"/>
      <c r="DL185" s="98"/>
      <c r="DM185" s="98"/>
      <c r="DN185" s="98"/>
      <c r="DO185" s="98"/>
      <c r="DP185" s="98"/>
      <c r="DQ185" s="98"/>
      <c r="DR185" s="98"/>
      <c r="DS185" s="98"/>
      <c r="DT185" s="98"/>
      <c r="DU185" s="98"/>
      <c r="DV185" s="98"/>
      <c r="DW185" s="98"/>
      <c r="DX185" s="98"/>
      <c r="DY185" s="98"/>
      <c r="DZ185" s="98"/>
      <c r="EA185" s="98"/>
      <c r="EB185" s="98"/>
      <c r="EC185" s="98"/>
      <c r="ED185" s="98"/>
      <c r="EE185" s="98"/>
      <c r="EF185" s="98"/>
      <c r="EG185" s="98"/>
      <c r="EH185" s="98"/>
      <c r="EI185" s="98"/>
      <c r="EJ185" s="98"/>
      <c r="EK185" s="98"/>
      <c r="EL185" s="98"/>
      <c r="EM185" s="98"/>
      <c r="EN185" s="98"/>
      <c r="EO185" s="98"/>
      <c r="EP185" s="98"/>
      <c r="EQ185" s="98"/>
      <c r="ER185" s="98"/>
      <c r="ES185" s="98"/>
      <c r="ET185" s="98"/>
      <c r="EU185" s="98"/>
      <c r="EV185" s="98"/>
      <c r="EW185" s="98"/>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c r="IW185" s="98"/>
      <c r="IX185" s="98"/>
      <c r="IY185" s="98"/>
      <c r="IZ185" s="98"/>
      <c r="JA185" s="98"/>
      <c r="JB185" s="98"/>
      <c r="JC185" s="98"/>
      <c r="JD185" s="98"/>
      <c r="JE185" s="98"/>
      <c r="JF185" s="98"/>
      <c r="JG185" s="98"/>
      <c r="JH185" s="98"/>
      <c r="JI185" s="98"/>
      <c r="JJ185" s="98"/>
      <c r="JK185" s="98"/>
      <c r="JL185" s="98"/>
      <c r="JM185" s="98"/>
      <c r="JN185" s="98"/>
      <c r="JO185" s="98"/>
      <c r="JP185" s="98"/>
      <c r="JQ185" s="98"/>
      <c r="JR185" s="98"/>
      <c r="JS185" s="98"/>
      <c r="JT185" s="98"/>
      <c r="JU185" s="98"/>
      <c r="JV185" s="98"/>
      <c r="JW185" s="98"/>
      <c r="JX185" s="98"/>
      <c r="JY185" s="98"/>
      <c r="JZ185" s="98"/>
      <c r="KA185" s="98"/>
      <c r="KB185" s="98"/>
      <c r="KC185" s="98"/>
      <c r="KD185" s="98"/>
      <c r="KE185" s="98"/>
      <c r="KF185" s="98"/>
      <c r="KG185" s="98"/>
      <c r="KH185" s="98"/>
      <c r="KI185" s="98"/>
      <c r="KJ185" s="98"/>
      <c r="KK185" s="98"/>
      <c r="KL185" s="98"/>
      <c r="KM185" s="98"/>
      <c r="KN185" s="98"/>
      <c r="KO185" s="98"/>
      <c r="KP185" s="98"/>
      <c r="KQ185" s="98"/>
      <c r="KR185" s="98"/>
      <c r="KS185" s="98"/>
      <c r="KT185" s="98"/>
      <c r="KU185" s="98"/>
      <c r="KV185" s="98"/>
      <c r="KW185" s="98"/>
      <c r="KX185" s="98"/>
      <c r="KY185" s="98"/>
      <c r="KZ185" s="98"/>
      <c r="LA185" s="98"/>
      <c r="LB185" s="98"/>
      <c r="LC185" s="98"/>
      <c r="LD185" s="98"/>
      <c r="LE185" s="98"/>
      <c r="LF185" s="98"/>
      <c r="LG185" s="98"/>
      <c r="LH185" s="98"/>
      <c r="LI185" s="98"/>
      <c r="LJ185" s="98"/>
      <c r="LK185" s="98"/>
      <c r="LL185" s="98"/>
      <c r="LM185" s="98"/>
      <c r="LN185" s="98"/>
      <c r="LO185" s="98"/>
      <c r="LP185" s="98"/>
      <c r="LQ185" s="98"/>
      <c r="LR185" s="98"/>
      <c r="LS185" s="98"/>
      <c r="LT185" s="98"/>
      <c r="LU185" s="98"/>
      <c r="LV185" s="98"/>
      <c r="LW185" s="98"/>
      <c r="LX185" s="98"/>
      <c r="LY185" s="98"/>
      <c r="LZ185" s="98"/>
      <c r="MA185" s="98"/>
      <c r="MB185" s="98"/>
      <c r="MC185" s="98"/>
      <c r="MD185" s="98"/>
      <c r="ME185" s="98"/>
      <c r="MF185" s="98"/>
      <c r="MG185" s="98"/>
      <c r="MH185" s="98"/>
      <c r="MI185" s="98"/>
      <c r="MJ185" s="98"/>
      <c r="MK185" s="98"/>
      <c r="ML185" s="98"/>
      <c r="MM185" s="98"/>
      <c r="MN185" s="98"/>
      <c r="MO185" s="98"/>
      <c r="MP185" s="98"/>
      <c r="MQ185" s="98"/>
      <c r="MR185" s="98"/>
      <c r="MS185" s="98"/>
      <c r="MT185" s="98"/>
      <c r="MU185" s="98"/>
      <c r="MV185" s="98"/>
      <c r="MW185" s="98"/>
      <c r="MX185" s="98"/>
      <c r="MY185" s="98"/>
      <c r="MZ185" s="98"/>
      <c r="NA185" s="98"/>
      <c r="NB185" s="98"/>
      <c r="NC185" s="98"/>
      <c r="ND185" s="98"/>
      <c r="NE185" s="98"/>
      <c r="NF185" s="98"/>
      <c r="NG185" s="98"/>
      <c r="NH185" s="98"/>
      <c r="NI185" s="98"/>
      <c r="NJ185" s="98"/>
      <c r="NK185" s="98"/>
      <c r="NL185" s="98"/>
      <c r="NM185" s="98"/>
      <c r="NN185" s="98"/>
      <c r="NO185" s="98"/>
      <c r="NP185" s="98"/>
      <c r="NQ185" s="98"/>
      <c r="NR185" s="98"/>
      <c r="NS185" s="98"/>
      <c r="NT185" s="98"/>
      <c r="NU185" s="98"/>
      <c r="NV185" s="98"/>
      <c r="NW185" s="98"/>
      <c r="NX185" s="98"/>
      <c r="NY185" s="98"/>
      <c r="NZ185" s="98"/>
      <c r="OA185" s="98"/>
      <c r="OB185" s="98"/>
      <c r="OC185" s="98"/>
      <c r="OD185" s="98"/>
      <c r="OE185" s="98"/>
      <c r="OF185" s="98"/>
      <c r="OG185" s="98"/>
      <c r="OH185" s="98"/>
      <c r="OI185" s="98"/>
      <c r="OJ185" s="98"/>
      <c r="OK185" s="98"/>
      <c r="OL185" s="98"/>
      <c r="OM185" s="98"/>
      <c r="ON185" s="98"/>
      <c r="OO185" s="98"/>
      <c r="OP185" s="98"/>
      <c r="OQ185" s="98"/>
      <c r="OR185" s="98"/>
      <c r="OS185" s="98"/>
      <c r="OT185" s="98"/>
      <c r="OU185" s="98"/>
      <c r="OV185" s="98"/>
      <c r="OW185" s="98"/>
      <c r="OX185" s="98"/>
      <c r="OY185" s="98"/>
      <c r="OZ185" s="98"/>
      <c r="PA185" s="98"/>
      <c r="PB185" s="98"/>
      <c r="PC185" s="98"/>
      <c r="PD185" s="98"/>
      <c r="PE185" s="98"/>
      <c r="PF185" s="98"/>
      <c r="PG185" s="98"/>
      <c r="PH185" s="98"/>
      <c r="PI185" s="98"/>
      <c r="PJ185" s="98"/>
      <c r="PK185" s="98"/>
      <c r="PL185" s="98"/>
      <c r="PM185" s="98"/>
      <c r="PN185" s="98"/>
      <c r="PO185" s="98"/>
      <c r="PP185" s="98"/>
      <c r="PQ185" s="98"/>
      <c r="PR185" s="98"/>
      <c r="PS185" s="98"/>
      <c r="PT185" s="98"/>
      <c r="PU185" s="98"/>
      <c r="PV185" s="98"/>
      <c r="PW185" s="98"/>
      <c r="PX185" s="98"/>
      <c r="PY185" s="98"/>
      <c r="PZ185" s="98"/>
      <c r="QA185" s="98"/>
      <c r="QB185" s="98"/>
      <c r="QC185" s="98"/>
      <c r="QD185" s="98"/>
      <c r="QE185" s="98"/>
      <c r="QF185" s="98"/>
      <c r="QG185" s="98"/>
      <c r="QH185" s="98"/>
      <c r="QI185" s="98"/>
      <c r="QJ185" s="98"/>
      <c r="QK185" s="98"/>
      <c r="QL185" s="98"/>
      <c r="QM185" s="98"/>
      <c r="QN185" s="98"/>
      <c r="QO185" s="98"/>
      <c r="QP185" s="98"/>
      <c r="QQ185" s="98"/>
      <c r="QR185" s="98"/>
      <c r="QS185" s="98"/>
      <c r="QT185" s="98"/>
      <c r="QU185" s="98"/>
      <c r="QV185" s="98"/>
      <c r="QW185" s="98"/>
      <c r="QX185" s="98"/>
      <c r="QY185" s="98"/>
      <c r="QZ185" s="98"/>
      <c r="RA185" s="98"/>
      <c r="RB185" s="98"/>
      <c r="RC185" s="98"/>
      <c r="RD185" s="98"/>
      <c r="RE185" s="98"/>
      <c r="RF185" s="98"/>
      <c r="RG185" s="98"/>
      <c r="RH185" s="98"/>
      <c r="RI185" s="98"/>
      <c r="RJ185" s="98"/>
      <c r="RK185" s="98"/>
      <c r="RL185" s="98"/>
      <c r="RM185" s="98"/>
      <c r="RN185" s="98"/>
      <c r="RO185" s="98"/>
      <c r="RP185" s="98"/>
      <c r="RQ185" s="98"/>
      <c r="RR185" s="98"/>
      <c r="RS185" s="98"/>
      <c r="RT185" s="98"/>
      <c r="RU185" s="98"/>
      <c r="RV185" s="98"/>
      <c r="RW185" s="98"/>
      <c r="RX185" s="98"/>
      <c r="RY185" s="98"/>
      <c r="RZ185" s="98"/>
      <c r="SA185" s="98"/>
      <c r="SB185" s="98"/>
      <c r="SC185" s="98"/>
      <c r="SD185" s="98"/>
      <c r="SE185" s="98"/>
      <c r="SF185" s="98"/>
      <c r="SG185" s="98"/>
      <c r="SH185" s="98"/>
      <c r="SI185" s="98"/>
      <c r="SJ185" s="98"/>
      <c r="SK185" s="98"/>
      <c r="SL185" s="98"/>
      <c r="SM185" s="98"/>
      <c r="SN185" s="98"/>
      <c r="SO185" s="98"/>
      <c r="SP185" s="98"/>
      <c r="SQ185" s="98"/>
      <c r="SR185" s="98"/>
      <c r="SS185" s="98"/>
      <c r="ST185" s="98"/>
      <c r="SU185" s="98"/>
      <c r="SV185" s="98"/>
      <c r="SW185" s="98"/>
      <c r="SX185" s="98"/>
      <c r="SY185" s="98"/>
      <c r="SZ185" s="98"/>
      <c r="TA185" s="98"/>
      <c r="TB185" s="98"/>
      <c r="TC185" s="98"/>
      <c r="TD185" s="98"/>
      <c r="TE185" s="98"/>
      <c r="TF185" s="98"/>
      <c r="TG185" s="98"/>
      <c r="TH185" s="98"/>
      <c r="TI185" s="98"/>
      <c r="TJ185" s="98"/>
      <c r="TK185" s="98"/>
      <c r="TL185" s="98"/>
      <c r="TM185" s="98"/>
      <c r="TN185" s="98"/>
      <c r="TO185" s="98"/>
      <c r="TP185" s="98"/>
      <c r="TQ185" s="98"/>
      <c r="TR185" s="98"/>
      <c r="TS185" s="98"/>
      <c r="TT185" s="98"/>
      <c r="TU185" s="98"/>
      <c r="TV185" s="98"/>
      <c r="TW185" s="98"/>
      <c r="TX185" s="98"/>
      <c r="TY185" s="98"/>
      <c r="TZ185" s="98"/>
      <c r="UA185" s="98"/>
      <c r="UB185" s="98"/>
      <c r="UC185" s="98"/>
      <c r="UD185" s="98"/>
      <c r="UE185" s="98"/>
      <c r="UF185" s="98"/>
      <c r="UG185" s="98"/>
      <c r="UH185" s="98"/>
      <c r="UI185" s="98"/>
      <c r="UJ185" s="98"/>
      <c r="UK185" s="98"/>
      <c r="UL185" s="98"/>
      <c r="UM185" s="98"/>
      <c r="UN185" s="98"/>
      <c r="UO185" s="98"/>
      <c r="UP185" s="98"/>
      <c r="UQ185" s="98"/>
      <c r="UR185" s="98"/>
      <c r="US185" s="98"/>
      <c r="UT185" s="98"/>
      <c r="UU185" s="98"/>
      <c r="UV185" s="98"/>
      <c r="UW185" s="98"/>
      <c r="UX185" s="98"/>
      <c r="UY185" s="98"/>
      <c r="UZ185" s="98"/>
      <c r="VA185" s="98"/>
      <c r="VB185" s="98"/>
      <c r="VC185" s="98"/>
      <c r="VD185" s="98"/>
      <c r="VE185" s="98"/>
      <c r="VF185" s="98"/>
      <c r="VG185" s="98"/>
      <c r="VH185" s="98"/>
      <c r="VI185" s="98"/>
      <c r="VJ185" s="98"/>
      <c r="VK185" s="98"/>
      <c r="VL185" s="98"/>
      <c r="VM185" s="98"/>
      <c r="VN185" s="98"/>
      <c r="VO185" s="98"/>
      <c r="VP185" s="98"/>
      <c r="VQ185" s="98"/>
      <c r="VR185" s="98"/>
      <c r="VS185" s="98"/>
      <c r="VT185" s="98"/>
      <c r="VU185" s="98"/>
      <c r="VV185" s="98"/>
      <c r="VW185" s="98"/>
      <c r="VX185" s="98"/>
      <c r="VY185" s="98"/>
      <c r="VZ185" s="98"/>
      <c r="WA185" s="98"/>
      <c r="WB185" s="98"/>
      <c r="WC185" s="98"/>
      <c r="WD185" s="98"/>
      <c r="WE185" s="98"/>
      <c r="WF185" s="98"/>
      <c r="WG185" s="98"/>
      <c r="WH185" s="98"/>
      <c r="WI185" s="98"/>
      <c r="WJ185" s="98"/>
      <c r="WK185" s="98"/>
      <c r="WL185" s="98"/>
      <c r="WM185" s="98"/>
      <c r="WN185" s="98"/>
      <c r="WO185" s="98"/>
      <c r="WP185" s="98"/>
      <c r="WQ185" s="98"/>
      <c r="WR185" s="98"/>
      <c r="WS185" s="98"/>
      <c r="WT185" s="98"/>
      <c r="WU185" s="98"/>
      <c r="WV185" s="98"/>
      <c r="WW185" s="98"/>
      <c r="WX185" s="98"/>
      <c r="WY185" s="98"/>
      <c r="WZ185" s="98"/>
      <c r="XA185" s="98"/>
      <c r="XB185" s="98"/>
      <c r="XC185" s="98"/>
      <c r="XD185" s="98"/>
      <c r="XE185" s="98"/>
      <c r="XF185" s="98"/>
      <c r="XG185" s="98"/>
      <c r="XH185" s="98"/>
      <c r="XI185" s="98"/>
      <c r="XJ185" s="98"/>
      <c r="XK185" s="98"/>
      <c r="XL185" s="98"/>
      <c r="XM185" s="98"/>
      <c r="XN185" s="98"/>
      <c r="XO185" s="98"/>
      <c r="XP185" s="98"/>
      <c r="XQ185" s="98"/>
      <c r="XR185" s="98"/>
      <c r="XS185" s="98"/>
      <c r="XT185" s="98"/>
      <c r="XU185" s="98"/>
      <c r="XV185" s="98"/>
      <c r="XW185" s="98"/>
      <c r="XX185" s="98"/>
      <c r="XY185" s="98"/>
      <c r="XZ185" s="98"/>
      <c r="YA185" s="98"/>
      <c r="YB185" s="98"/>
      <c r="YC185" s="98"/>
      <c r="YD185" s="98"/>
      <c r="YE185" s="98"/>
      <c r="YF185" s="98"/>
      <c r="YG185" s="98"/>
      <c r="YH185" s="98"/>
      <c r="YI185" s="98"/>
      <c r="YJ185" s="98"/>
      <c r="YK185" s="98"/>
      <c r="YL185" s="98"/>
      <c r="YM185" s="98"/>
      <c r="YN185" s="98"/>
      <c r="YO185" s="98"/>
      <c r="YP185" s="98"/>
      <c r="YQ185" s="98"/>
      <c r="YR185" s="98"/>
      <c r="YS185" s="98"/>
      <c r="YT185" s="98"/>
      <c r="YU185" s="98"/>
      <c r="YV185" s="98"/>
      <c r="YW185" s="98"/>
      <c r="YX185" s="98"/>
      <c r="YY185" s="98"/>
      <c r="YZ185" s="98"/>
      <c r="ZA185" s="98"/>
      <c r="ZB185" s="98"/>
      <c r="ZC185" s="98"/>
      <c r="ZD185" s="98"/>
      <c r="ZE185" s="98"/>
      <c r="ZF185" s="98"/>
      <c r="ZG185" s="98"/>
      <c r="ZH185" s="98"/>
      <c r="ZI185" s="98"/>
      <c r="ZJ185" s="98"/>
      <c r="ZK185" s="98"/>
      <c r="ZL185" s="98"/>
      <c r="ZM185" s="98"/>
      <c r="ZN185" s="98"/>
      <c r="ZO185" s="98"/>
      <c r="ZP185" s="98"/>
      <c r="ZQ185" s="98"/>
      <c r="ZR185" s="98"/>
      <c r="ZS185" s="98"/>
      <c r="ZT185" s="98"/>
      <c r="ZU185" s="98"/>
      <c r="ZV185" s="98"/>
      <c r="ZW185" s="98"/>
      <c r="ZX185" s="98"/>
      <c r="ZY185" s="98"/>
      <c r="ZZ185" s="98"/>
      <c r="AAA185" s="98"/>
      <c r="AAB185" s="98"/>
      <c r="AAC185" s="98"/>
      <c r="AAD185" s="98"/>
      <c r="AAE185" s="98"/>
      <c r="AAF185" s="98"/>
      <c r="AAG185" s="98"/>
      <c r="AAH185" s="98"/>
      <c r="AAI185" s="98"/>
      <c r="AAJ185" s="98"/>
      <c r="AAK185" s="98"/>
      <c r="AAL185" s="98"/>
      <c r="AAM185" s="98"/>
      <c r="AAN185" s="98"/>
      <c r="AAO185" s="98"/>
      <c r="AAP185" s="98"/>
      <c r="AAQ185" s="98"/>
      <c r="AAR185" s="98"/>
      <c r="AAS185" s="98"/>
      <c r="AAT185" s="98"/>
      <c r="AAU185" s="98"/>
      <c r="AAV185" s="98"/>
      <c r="AAW185" s="98"/>
      <c r="AAX185" s="98"/>
      <c r="AAY185" s="98"/>
      <c r="AAZ185" s="98"/>
      <c r="ABA185" s="98"/>
      <c r="ABB185" s="98"/>
      <c r="ABC185" s="98"/>
      <c r="ABD185" s="98"/>
      <c r="ABE185" s="98"/>
      <c r="ABF185" s="98"/>
      <c r="ABG185" s="98"/>
      <c r="ABH185" s="98"/>
      <c r="ABI185" s="98"/>
      <c r="ABJ185" s="98"/>
      <c r="ABK185" s="98"/>
      <c r="ABL185" s="98"/>
      <c r="ABM185" s="98"/>
      <c r="ABN185" s="98"/>
      <c r="ABO185" s="98"/>
      <c r="ABP185" s="98"/>
      <c r="ABQ185" s="98"/>
      <c r="ABR185" s="98"/>
      <c r="ABS185" s="98"/>
      <c r="ABT185" s="98"/>
      <c r="ABU185" s="98"/>
      <c r="ABV185" s="98"/>
      <c r="ABW185" s="98"/>
      <c r="ABX185" s="98"/>
      <c r="ABY185" s="98"/>
      <c r="ABZ185" s="98"/>
      <c r="ACA185" s="98"/>
      <c r="ACB185" s="98"/>
      <c r="ACC185" s="98"/>
      <c r="ACD185" s="98"/>
      <c r="ACE185" s="98"/>
      <c r="ACF185" s="98"/>
      <c r="ACG185" s="98"/>
      <c r="ACH185" s="98"/>
      <c r="ACI185" s="98"/>
      <c r="ACJ185" s="98"/>
      <c r="ACK185" s="98"/>
      <c r="ACL185" s="98"/>
      <c r="ACM185" s="98"/>
      <c r="ACN185" s="98"/>
      <c r="ACO185" s="98"/>
      <c r="ACP185" s="98"/>
      <c r="ACQ185" s="98"/>
      <c r="ACR185" s="98"/>
      <c r="ACS185" s="98"/>
      <c r="ACT185" s="98"/>
      <c r="ACU185" s="98"/>
      <c r="ACV185" s="98"/>
      <c r="ACW185" s="98"/>
      <c r="ACX185" s="98"/>
      <c r="ACY185" s="98"/>
      <c r="ACZ185" s="98"/>
      <c r="ADA185" s="98"/>
      <c r="ADB185" s="98"/>
      <c r="ADC185" s="98"/>
      <c r="ADD185" s="98"/>
      <c r="ADE185" s="98"/>
      <c r="ADF185" s="98"/>
      <c r="ADG185" s="98"/>
      <c r="ADH185" s="98"/>
      <c r="ADI185" s="98"/>
      <c r="ADJ185" s="98"/>
      <c r="ADK185" s="98"/>
      <c r="ADL185" s="98"/>
      <c r="ADM185" s="98"/>
      <c r="ADN185" s="98"/>
      <c r="ADO185" s="98"/>
      <c r="ADP185" s="98"/>
      <c r="ADQ185" s="98"/>
      <c r="ADR185" s="98"/>
      <c r="ADS185" s="98"/>
      <c r="ADT185" s="98"/>
      <c r="ADU185" s="98"/>
      <c r="ADV185" s="98"/>
      <c r="ADW185" s="98"/>
      <c r="ADX185" s="98"/>
      <c r="ADY185" s="98"/>
      <c r="ADZ185" s="98"/>
      <c r="AEA185" s="98"/>
      <c r="AEB185" s="98"/>
      <c r="AEC185" s="98"/>
      <c r="AED185" s="98"/>
      <c r="AEE185" s="98"/>
      <c r="AEF185" s="98"/>
      <c r="AEG185" s="98"/>
      <c r="AEH185" s="98"/>
      <c r="AEI185" s="98"/>
      <c r="AEJ185" s="98"/>
      <c r="AEK185" s="98"/>
      <c r="AEL185" s="98"/>
      <c r="AEM185" s="98"/>
      <c r="AEN185" s="98"/>
      <c r="AEO185" s="98"/>
      <c r="AEP185" s="98"/>
      <c r="AEQ185" s="98"/>
      <c r="AER185" s="98"/>
      <c r="AES185" s="98"/>
      <c r="AET185" s="98"/>
      <c r="AEU185" s="98"/>
      <c r="AEV185" s="98"/>
      <c r="AEW185" s="98"/>
      <c r="AEX185" s="98"/>
      <c r="AEY185" s="98"/>
      <c r="AEZ185" s="98"/>
      <c r="AFA185" s="98"/>
      <c r="AFB185" s="98"/>
      <c r="AFC185" s="98"/>
      <c r="AFD185" s="98"/>
      <c r="AFE185" s="98"/>
      <c r="AFF185" s="98"/>
      <c r="AFG185" s="98"/>
      <c r="AFH185" s="98"/>
      <c r="AFI185" s="98"/>
      <c r="AFJ185" s="98"/>
      <c r="AFK185" s="98"/>
      <c r="AFL185" s="98"/>
      <c r="AFM185" s="98"/>
      <c r="AFN185" s="98"/>
      <c r="AFO185" s="98"/>
      <c r="AFP185" s="98"/>
      <c r="AFQ185" s="98"/>
      <c r="AFR185" s="98"/>
      <c r="AFS185" s="98"/>
      <c r="AFT185" s="98"/>
      <c r="AFU185" s="98"/>
      <c r="AFV185" s="98"/>
      <c r="AFW185" s="98"/>
      <c r="AFX185" s="98"/>
      <c r="AFY185" s="98"/>
      <c r="AFZ185" s="98"/>
      <c r="AGA185" s="98"/>
      <c r="AGB185" s="98"/>
      <c r="AGC185" s="98"/>
      <c r="AGD185" s="98"/>
      <c r="AGE185" s="98"/>
      <c r="AGF185" s="98"/>
      <c r="AGG185" s="98"/>
      <c r="AGH185" s="98"/>
      <c r="AGI185" s="98"/>
      <c r="AGJ185" s="98"/>
      <c r="AGK185" s="98"/>
      <c r="AGL185" s="98"/>
      <c r="AGM185" s="98"/>
      <c r="AGN185" s="98"/>
      <c r="AGO185" s="98"/>
      <c r="AGP185" s="98"/>
      <c r="AGQ185" s="98"/>
      <c r="AGR185" s="98"/>
      <c r="AGS185" s="98"/>
      <c r="AGT185" s="98"/>
      <c r="AGU185" s="98"/>
      <c r="AGV185" s="98"/>
      <c r="AGW185" s="98"/>
      <c r="AGX185" s="98"/>
      <c r="AGY185" s="98"/>
      <c r="AGZ185" s="98"/>
      <c r="AHA185" s="98"/>
      <c r="AHB185" s="98"/>
      <c r="AHC185" s="98"/>
      <c r="AHD185" s="98"/>
      <c r="AHE185" s="98"/>
      <c r="AHF185" s="98"/>
      <c r="AHG185" s="98"/>
      <c r="AHH185" s="98"/>
      <c r="AHI185" s="98"/>
      <c r="AHJ185" s="98"/>
      <c r="AHK185" s="98"/>
      <c r="AHL185" s="98"/>
      <c r="AHM185" s="98"/>
      <c r="AHN185" s="98"/>
      <c r="AHO185" s="98"/>
      <c r="AHP185" s="98"/>
      <c r="AHQ185" s="98"/>
      <c r="AHR185" s="98"/>
      <c r="AHS185" s="98"/>
      <c r="AHT185" s="98"/>
      <c r="AHU185" s="98"/>
      <c r="AHV185" s="98"/>
      <c r="AHW185" s="98"/>
      <c r="AHX185" s="98"/>
      <c r="AHY185" s="98"/>
      <c r="AHZ185" s="98"/>
      <c r="AIA185" s="98"/>
      <c r="AIB185" s="98"/>
      <c r="AIC185" s="98"/>
      <c r="AID185" s="98"/>
      <c r="AIE185" s="98"/>
      <c r="AIF185" s="98"/>
      <c r="AIG185" s="98"/>
      <c r="AIH185" s="98"/>
      <c r="AII185" s="98"/>
      <c r="AIJ185" s="98"/>
      <c r="AIK185" s="98"/>
      <c r="AIL185" s="98"/>
      <c r="AIM185" s="98"/>
      <c r="AIN185" s="98"/>
      <c r="AIO185" s="98"/>
      <c r="AIP185" s="98"/>
      <c r="AIQ185" s="98"/>
      <c r="AIR185" s="98"/>
      <c r="AIS185" s="98"/>
      <c r="AIT185" s="98"/>
      <c r="AIU185" s="98"/>
      <c r="AIV185" s="98"/>
      <c r="AIW185" s="98"/>
      <c r="AIX185" s="98"/>
      <c r="AIY185" s="98"/>
      <c r="AIZ185" s="98"/>
      <c r="AJA185" s="98"/>
      <c r="AJB185" s="98"/>
      <c r="AJC185" s="98"/>
      <c r="AJD185" s="98"/>
      <c r="AJE185" s="98"/>
      <c r="AJF185" s="98"/>
      <c r="AJG185" s="98"/>
      <c r="AJH185" s="98"/>
      <c r="AJI185" s="98"/>
      <c r="AJJ185" s="98"/>
      <c r="AJK185" s="98"/>
      <c r="AJL185" s="98"/>
      <c r="AJM185" s="98"/>
      <c r="AJN185" s="98"/>
      <c r="AJO185" s="98"/>
      <c r="AJP185" s="98"/>
      <c r="AJQ185" s="98"/>
      <c r="AJR185" s="98"/>
      <c r="AJS185" s="98"/>
      <c r="AJT185" s="98"/>
      <c r="AJU185" s="98"/>
      <c r="AJV185" s="98"/>
      <c r="AJW185" s="98"/>
      <c r="AJX185" s="98"/>
      <c r="AJY185" s="98"/>
      <c r="AJZ185" s="98"/>
      <c r="AKA185" s="98"/>
      <c r="AKB185" s="98"/>
      <c r="AKC185" s="98"/>
      <c r="AKD185" s="98"/>
      <c r="AKE185" s="98"/>
      <c r="AKF185" s="98"/>
      <c r="AKG185" s="98"/>
      <c r="AKH185" s="98"/>
      <c r="AKI185" s="98"/>
      <c r="AKJ185" s="98"/>
      <c r="AKK185" s="98"/>
      <c r="AKL185" s="98"/>
      <c r="AKM185" s="98"/>
      <c r="AKN185" s="98"/>
      <c r="AKO185" s="98"/>
      <c r="AKP185" s="98"/>
      <c r="AKQ185" s="98"/>
      <c r="AKR185" s="98"/>
      <c r="AKS185" s="98"/>
      <c r="AKT185" s="98"/>
      <c r="AKU185" s="98"/>
      <c r="AKV185" s="98"/>
      <c r="AKW185" s="98"/>
      <c r="AKX185" s="98"/>
      <c r="AKY185" s="98"/>
      <c r="AKZ185" s="98"/>
      <c r="ALA185" s="98"/>
      <c r="ALB185" s="98"/>
      <c r="ALC185" s="98"/>
      <c r="ALD185" s="98"/>
      <c r="ALE185" s="98"/>
      <c r="ALF185" s="98"/>
      <c r="ALG185" s="98"/>
      <c r="ALH185" s="98"/>
      <c r="ALI185" s="98"/>
      <c r="ALJ185" s="98"/>
      <c r="ALK185" s="98"/>
      <c r="ALL185" s="98"/>
      <c r="ALM185" s="98"/>
      <c r="ALN185" s="98"/>
      <c r="ALO185" s="98"/>
      <c r="ALP185" s="98"/>
      <c r="ALQ185" s="98"/>
      <c r="ALR185" s="98"/>
      <c r="ALS185" s="98"/>
      <c r="ALT185" s="98"/>
      <c r="ALU185" s="98"/>
      <c r="ALV185" s="98"/>
      <c r="ALW185" s="98"/>
      <c r="ALX185" s="98"/>
      <c r="ALY185" s="98"/>
      <c r="ALZ185" s="98"/>
      <c r="AMA185" s="98"/>
      <c r="AMB185" s="98"/>
      <c r="AMC185" s="98"/>
      <c r="AMD185" s="98"/>
      <c r="AME185" s="98"/>
      <c r="AMF185" s="98"/>
      <c r="AMG185" s="98"/>
      <c r="AMH185" s="98"/>
      <c r="AMI185" s="98"/>
      <c r="AMJ185" s="98"/>
      <c r="AMK185" s="98"/>
      <c r="AML185" s="98"/>
      <c r="AMM185" s="98"/>
      <c r="AMN185" s="98"/>
      <c r="AMO185" s="98"/>
      <c r="AMP185" s="98"/>
      <c r="AMQ185" s="98"/>
      <c r="AMR185" s="98"/>
      <c r="AMS185" s="98"/>
      <c r="AMT185" s="98"/>
      <c r="AMU185" s="98"/>
      <c r="AMV185" s="98"/>
      <c r="AMW185" s="98"/>
      <c r="AMX185" s="98"/>
      <c r="AMY185" s="98"/>
      <c r="AMZ185" s="98"/>
      <c r="ANA185" s="98"/>
      <c r="ANB185" s="98"/>
      <c r="ANC185" s="98"/>
      <c r="AND185" s="98"/>
      <c r="ANE185" s="98"/>
      <c r="ANF185" s="98"/>
      <c r="ANG185" s="98"/>
      <c r="ANH185" s="98"/>
      <c r="ANI185" s="98"/>
      <c r="ANJ185" s="98"/>
      <c r="ANK185" s="98"/>
      <c r="ANL185" s="98"/>
      <c r="ANM185" s="98"/>
      <c r="ANN185" s="98"/>
      <c r="ANO185" s="98"/>
      <c r="ANP185" s="98"/>
      <c r="ANQ185" s="98"/>
      <c r="ANR185" s="98"/>
      <c r="ANS185" s="98"/>
      <c r="ANT185" s="98"/>
      <c r="ANU185" s="98"/>
      <c r="ANV185" s="98"/>
      <c r="ANW185" s="98"/>
      <c r="ANX185" s="98"/>
      <c r="ANY185" s="98"/>
      <c r="ANZ185" s="98"/>
      <c r="AOA185" s="98"/>
      <c r="AOB185" s="98"/>
      <c r="AOC185" s="98"/>
      <c r="AOD185" s="98"/>
      <c r="AOE185" s="98"/>
      <c r="AOF185" s="98"/>
      <c r="AOG185" s="98"/>
      <c r="AOH185" s="98"/>
      <c r="AOI185" s="98"/>
      <c r="AOJ185" s="98"/>
      <c r="AOK185" s="98"/>
      <c r="AOL185" s="98"/>
      <c r="AOM185" s="98"/>
      <c r="AON185" s="98"/>
      <c r="AOO185" s="98"/>
      <c r="AOP185" s="98"/>
      <c r="AOQ185" s="98"/>
      <c r="AOR185" s="98"/>
      <c r="AOS185" s="98"/>
      <c r="AOT185" s="98"/>
      <c r="AOU185" s="98"/>
      <c r="AOV185" s="98"/>
      <c r="AOW185" s="98"/>
      <c r="AOX185" s="98"/>
      <c r="AOY185" s="98"/>
      <c r="AOZ185" s="98"/>
      <c r="APA185" s="98"/>
      <c r="APB185" s="98"/>
      <c r="APC185" s="98"/>
      <c r="APD185" s="98"/>
      <c r="APE185" s="98"/>
      <c r="APF185" s="98"/>
      <c r="APG185" s="98"/>
      <c r="APH185" s="98"/>
      <c r="API185" s="98"/>
      <c r="APJ185" s="98"/>
      <c r="APK185" s="98"/>
      <c r="APL185" s="98"/>
      <c r="APM185" s="98"/>
      <c r="APN185" s="98"/>
      <c r="APO185" s="98"/>
      <c r="APP185" s="98"/>
      <c r="APQ185" s="98"/>
      <c r="APR185" s="98"/>
      <c r="APS185" s="98"/>
      <c r="APT185" s="98"/>
      <c r="APU185" s="98"/>
      <c r="APV185" s="98"/>
      <c r="APW185" s="98"/>
      <c r="APX185" s="98"/>
      <c r="APY185" s="98"/>
      <c r="APZ185" s="98"/>
      <c r="AQA185" s="98"/>
      <c r="AQB185" s="98"/>
      <c r="AQC185" s="98"/>
      <c r="AQD185" s="98"/>
      <c r="AQE185" s="98"/>
      <c r="AQF185" s="98"/>
      <c r="AQG185" s="98"/>
      <c r="AQH185" s="98"/>
      <c r="AQI185" s="98"/>
      <c r="AQJ185" s="98"/>
      <c r="AQK185" s="98"/>
      <c r="AQL185" s="98"/>
      <c r="AQM185" s="98"/>
      <c r="AQN185" s="98"/>
      <c r="AQO185" s="98"/>
      <c r="AQP185" s="98"/>
      <c r="AQQ185" s="98"/>
      <c r="AQR185" s="98"/>
      <c r="AQS185" s="98"/>
      <c r="AQT185" s="98"/>
      <c r="AQU185" s="98"/>
      <c r="AQV185" s="98"/>
      <c r="AQW185" s="98"/>
      <c r="AQX185" s="98"/>
      <c r="AQY185" s="98"/>
      <c r="AQZ185" s="98"/>
      <c r="ARA185" s="98"/>
      <c r="ARB185" s="98"/>
      <c r="ARC185" s="98"/>
      <c r="ARD185" s="98"/>
      <c r="ARE185" s="98"/>
      <c r="ARF185" s="98"/>
      <c r="ARG185" s="98"/>
      <c r="ARH185" s="98"/>
      <c r="ARI185" s="98"/>
      <c r="ARJ185" s="98"/>
      <c r="ARK185" s="98"/>
      <c r="ARL185" s="98"/>
      <c r="ARM185" s="98"/>
      <c r="ARN185" s="98"/>
      <c r="ARO185" s="98"/>
      <c r="ARP185" s="98"/>
      <c r="ARQ185" s="98"/>
      <c r="ARR185" s="98"/>
      <c r="ARS185" s="98"/>
    </row>
    <row r="186" spans="1:1163" s="174" customFormat="1">
      <c r="A186" s="140" t="s">
        <v>261</v>
      </c>
      <c r="B186" s="119" t="s">
        <v>67</v>
      </c>
      <c r="C186" s="175">
        <v>0</v>
      </c>
      <c r="D186" s="175">
        <v>0</v>
      </c>
      <c r="E186" s="175">
        <v>0</v>
      </c>
      <c r="F186" s="175">
        <v>0</v>
      </c>
      <c r="G186" s="175">
        <v>0</v>
      </c>
      <c r="H186" s="175">
        <v>0</v>
      </c>
      <c r="I186" s="175">
        <v>0</v>
      </c>
      <c r="J186" s="175">
        <v>0</v>
      </c>
      <c r="K186" s="175">
        <v>0</v>
      </c>
      <c r="L186" s="175">
        <v>0</v>
      </c>
      <c r="M186" s="175">
        <v>0</v>
      </c>
      <c r="N186" s="175">
        <v>0</v>
      </c>
      <c r="O186" s="175">
        <v>0</v>
      </c>
      <c r="P186" s="175">
        <v>0</v>
      </c>
      <c r="Q186" s="175">
        <v>0</v>
      </c>
      <c r="R186" s="175">
        <v>0</v>
      </c>
      <c r="S186" s="175">
        <v>0</v>
      </c>
      <c r="T186" s="175">
        <v>0</v>
      </c>
      <c r="U186" s="175">
        <v>0</v>
      </c>
      <c r="V186" s="175">
        <v>0</v>
      </c>
      <c r="W186" s="175">
        <v>0</v>
      </c>
      <c r="X186" s="175">
        <v>0</v>
      </c>
      <c r="Y186" s="175">
        <v>5757</v>
      </c>
      <c r="Z186" s="175">
        <v>110531</v>
      </c>
      <c r="AA186" s="209">
        <v>0</v>
      </c>
      <c r="AB186" s="209">
        <v>0</v>
      </c>
      <c r="AC186" s="201">
        <v>0</v>
      </c>
      <c r="AD186" s="201">
        <v>0</v>
      </c>
      <c r="AE186" s="201">
        <v>0</v>
      </c>
      <c r="AF186" s="201">
        <v>0</v>
      </c>
      <c r="AG186" s="201">
        <v>0</v>
      </c>
      <c r="AH186" s="201">
        <v>0</v>
      </c>
      <c r="AI186" s="201">
        <v>0</v>
      </c>
      <c r="AJ186" s="201">
        <v>0</v>
      </c>
      <c r="AK186" s="201">
        <v>6000</v>
      </c>
      <c r="AL186" s="201">
        <v>164250</v>
      </c>
      <c r="AM186" s="176">
        <v>5340</v>
      </c>
      <c r="AN186" s="176">
        <v>1014600</v>
      </c>
      <c r="AO186" s="201">
        <v>1570</v>
      </c>
      <c r="AP186" s="201">
        <v>298300</v>
      </c>
      <c r="AQ186" s="201">
        <v>331</v>
      </c>
      <c r="AR186" s="201">
        <v>62890</v>
      </c>
      <c r="AS186" s="201">
        <v>1438</v>
      </c>
      <c r="AT186" s="201">
        <v>685189</v>
      </c>
      <c r="AU186" s="209">
        <v>1939</v>
      </c>
      <c r="AV186" s="209">
        <v>380812</v>
      </c>
      <c r="AW186" s="175">
        <v>2282</v>
      </c>
      <c r="AX186" s="175">
        <v>577289</v>
      </c>
      <c r="AY186" s="175">
        <v>1254</v>
      </c>
      <c r="AZ186" s="175">
        <v>540521</v>
      </c>
      <c r="BA186" s="178"/>
      <c r="BB186" s="175"/>
      <c r="BC186" s="175"/>
      <c r="BD186" s="175"/>
      <c r="BE186" s="175"/>
      <c r="BF186" s="175"/>
      <c r="BG186" s="175"/>
      <c r="BH186" s="175"/>
      <c r="BI186" s="178"/>
      <c r="BJ186" s="98"/>
      <c r="BK186" s="148"/>
      <c r="BL186" s="148"/>
      <c r="BM186" s="148"/>
      <c r="BN186" s="148"/>
      <c r="BO186" s="98"/>
      <c r="BP186" s="98"/>
      <c r="BQ186" s="11"/>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c r="CT186" s="98"/>
      <c r="CU186" s="98"/>
      <c r="CV186" s="98"/>
      <c r="CW186" s="98"/>
      <c r="CX186" s="98"/>
      <c r="CY186" s="98"/>
      <c r="CZ186" s="98"/>
      <c r="DA186" s="98"/>
      <c r="DB186" s="98"/>
      <c r="DC186" s="98"/>
      <c r="DD186" s="98"/>
      <c r="DE186" s="98"/>
      <c r="DF186" s="98"/>
      <c r="DG186" s="98"/>
      <c r="DH186" s="98"/>
      <c r="DI186" s="98"/>
      <c r="DJ186" s="98"/>
      <c r="DK186" s="98"/>
      <c r="DL186" s="98"/>
      <c r="DM186" s="98"/>
      <c r="DN186" s="98"/>
      <c r="DO186" s="98"/>
      <c r="DP186" s="98"/>
      <c r="DQ186" s="98"/>
      <c r="DR186" s="98"/>
      <c r="DS186" s="98"/>
      <c r="DT186" s="98"/>
      <c r="DU186" s="98"/>
      <c r="DV186" s="98"/>
      <c r="DW186" s="98"/>
      <c r="DX186" s="98"/>
      <c r="DY186" s="98"/>
      <c r="DZ186" s="98"/>
      <c r="EA186" s="98"/>
      <c r="EB186" s="98"/>
      <c r="EC186" s="98"/>
      <c r="ED186" s="98"/>
      <c r="EE186" s="98"/>
      <c r="EF186" s="98"/>
      <c r="EG186" s="98"/>
      <c r="EH186" s="98"/>
      <c r="EI186" s="98"/>
      <c r="EJ186" s="98"/>
      <c r="EK186" s="98"/>
      <c r="EL186" s="98"/>
      <c r="EM186" s="98"/>
      <c r="EN186" s="98"/>
      <c r="EO186" s="98"/>
      <c r="EP186" s="98"/>
      <c r="EQ186" s="98"/>
      <c r="ER186" s="98"/>
      <c r="ES186" s="98"/>
      <c r="ET186" s="98"/>
      <c r="EU186" s="98"/>
      <c r="EV186" s="98"/>
      <c r="EW186" s="98"/>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c r="IW186" s="98"/>
      <c r="IX186" s="98"/>
      <c r="IY186" s="98"/>
      <c r="IZ186" s="98"/>
      <c r="JA186" s="98"/>
      <c r="JB186" s="98"/>
      <c r="JC186" s="98"/>
      <c r="JD186" s="98"/>
      <c r="JE186" s="98"/>
      <c r="JF186" s="98"/>
      <c r="JG186" s="98"/>
      <c r="JH186" s="98"/>
      <c r="JI186" s="98"/>
      <c r="JJ186" s="98"/>
      <c r="JK186" s="98"/>
      <c r="JL186" s="98"/>
      <c r="JM186" s="98"/>
      <c r="JN186" s="98"/>
      <c r="JO186" s="98"/>
      <c r="JP186" s="98"/>
      <c r="JQ186" s="98"/>
      <c r="JR186" s="98"/>
      <c r="JS186" s="98"/>
      <c r="JT186" s="98"/>
      <c r="JU186" s="98"/>
      <c r="JV186" s="98"/>
      <c r="JW186" s="98"/>
      <c r="JX186" s="98"/>
      <c r="JY186" s="98"/>
      <c r="JZ186" s="98"/>
      <c r="KA186" s="98"/>
      <c r="KB186" s="98"/>
      <c r="KC186" s="98"/>
      <c r="KD186" s="98"/>
      <c r="KE186" s="98"/>
      <c r="KF186" s="98"/>
      <c r="KG186" s="98"/>
      <c r="KH186" s="98"/>
      <c r="KI186" s="98"/>
      <c r="KJ186" s="98"/>
      <c r="KK186" s="98"/>
      <c r="KL186" s="98"/>
      <c r="KM186" s="98"/>
      <c r="KN186" s="98"/>
      <c r="KO186" s="98"/>
      <c r="KP186" s="98"/>
      <c r="KQ186" s="98"/>
      <c r="KR186" s="98"/>
      <c r="KS186" s="98"/>
      <c r="KT186" s="98"/>
      <c r="KU186" s="98"/>
      <c r="KV186" s="98"/>
      <c r="KW186" s="98"/>
      <c r="KX186" s="98"/>
      <c r="KY186" s="98"/>
      <c r="KZ186" s="98"/>
      <c r="LA186" s="98"/>
      <c r="LB186" s="98"/>
      <c r="LC186" s="98"/>
      <c r="LD186" s="98"/>
      <c r="LE186" s="98"/>
      <c r="LF186" s="98"/>
      <c r="LG186" s="98"/>
      <c r="LH186" s="98"/>
      <c r="LI186" s="98"/>
      <c r="LJ186" s="98"/>
      <c r="LK186" s="98"/>
      <c r="LL186" s="98"/>
      <c r="LM186" s="98"/>
      <c r="LN186" s="98"/>
      <c r="LO186" s="98"/>
      <c r="LP186" s="98"/>
      <c r="LQ186" s="98"/>
      <c r="LR186" s="98"/>
      <c r="LS186" s="98"/>
      <c r="LT186" s="98"/>
      <c r="LU186" s="98"/>
      <c r="LV186" s="98"/>
      <c r="LW186" s="98"/>
      <c r="LX186" s="98"/>
      <c r="LY186" s="98"/>
      <c r="LZ186" s="98"/>
      <c r="MA186" s="98"/>
      <c r="MB186" s="98"/>
      <c r="MC186" s="98"/>
      <c r="MD186" s="98"/>
      <c r="ME186" s="98"/>
      <c r="MF186" s="98"/>
      <c r="MG186" s="98"/>
      <c r="MH186" s="98"/>
      <c r="MI186" s="98"/>
      <c r="MJ186" s="98"/>
      <c r="MK186" s="98"/>
      <c r="ML186" s="98"/>
      <c r="MM186" s="98"/>
      <c r="MN186" s="98"/>
      <c r="MO186" s="98"/>
      <c r="MP186" s="98"/>
      <c r="MQ186" s="98"/>
      <c r="MR186" s="98"/>
      <c r="MS186" s="98"/>
      <c r="MT186" s="98"/>
      <c r="MU186" s="98"/>
      <c r="MV186" s="98"/>
      <c r="MW186" s="98"/>
      <c r="MX186" s="98"/>
      <c r="MY186" s="98"/>
      <c r="MZ186" s="98"/>
      <c r="NA186" s="98"/>
      <c r="NB186" s="98"/>
      <c r="NC186" s="98"/>
      <c r="ND186" s="98"/>
      <c r="NE186" s="98"/>
      <c r="NF186" s="98"/>
      <c r="NG186" s="98"/>
      <c r="NH186" s="98"/>
      <c r="NI186" s="98"/>
      <c r="NJ186" s="98"/>
      <c r="NK186" s="98"/>
      <c r="NL186" s="98"/>
      <c r="NM186" s="98"/>
      <c r="NN186" s="98"/>
      <c r="NO186" s="98"/>
      <c r="NP186" s="98"/>
      <c r="NQ186" s="98"/>
      <c r="NR186" s="98"/>
      <c r="NS186" s="98"/>
      <c r="NT186" s="98"/>
      <c r="NU186" s="98"/>
      <c r="NV186" s="98"/>
      <c r="NW186" s="98"/>
      <c r="NX186" s="98"/>
      <c r="NY186" s="98"/>
      <c r="NZ186" s="98"/>
      <c r="OA186" s="98"/>
      <c r="OB186" s="98"/>
      <c r="OC186" s="98"/>
      <c r="OD186" s="98"/>
      <c r="OE186" s="98"/>
      <c r="OF186" s="98"/>
      <c r="OG186" s="98"/>
      <c r="OH186" s="98"/>
      <c r="OI186" s="98"/>
      <c r="OJ186" s="98"/>
      <c r="OK186" s="98"/>
      <c r="OL186" s="98"/>
      <c r="OM186" s="98"/>
      <c r="ON186" s="98"/>
      <c r="OO186" s="98"/>
      <c r="OP186" s="98"/>
      <c r="OQ186" s="98"/>
      <c r="OR186" s="98"/>
      <c r="OS186" s="98"/>
      <c r="OT186" s="98"/>
      <c r="OU186" s="98"/>
      <c r="OV186" s="98"/>
      <c r="OW186" s="98"/>
      <c r="OX186" s="98"/>
      <c r="OY186" s="98"/>
      <c r="OZ186" s="98"/>
      <c r="PA186" s="98"/>
      <c r="PB186" s="98"/>
      <c r="PC186" s="98"/>
      <c r="PD186" s="98"/>
      <c r="PE186" s="98"/>
      <c r="PF186" s="98"/>
      <c r="PG186" s="98"/>
      <c r="PH186" s="98"/>
      <c r="PI186" s="98"/>
      <c r="PJ186" s="98"/>
      <c r="PK186" s="98"/>
      <c r="PL186" s="98"/>
      <c r="PM186" s="98"/>
      <c r="PN186" s="98"/>
      <c r="PO186" s="98"/>
      <c r="PP186" s="98"/>
      <c r="PQ186" s="98"/>
      <c r="PR186" s="98"/>
      <c r="PS186" s="98"/>
      <c r="PT186" s="98"/>
      <c r="PU186" s="98"/>
      <c r="PV186" s="98"/>
      <c r="PW186" s="98"/>
      <c r="PX186" s="98"/>
      <c r="PY186" s="98"/>
      <c r="PZ186" s="98"/>
      <c r="QA186" s="98"/>
      <c r="QB186" s="98"/>
      <c r="QC186" s="98"/>
      <c r="QD186" s="98"/>
      <c r="QE186" s="98"/>
      <c r="QF186" s="98"/>
      <c r="QG186" s="98"/>
      <c r="QH186" s="98"/>
      <c r="QI186" s="98"/>
      <c r="QJ186" s="98"/>
      <c r="QK186" s="98"/>
      <c r="QL186" s="98"/>
      <c r="QM186" s="98"/>
      <c r="QN186" s="98"/>
      <c r="QO186" s="98"/>
      <c r="QP186" s="98"/>
      <c r="QQ186" s="98"/>
      <c r="QR186" s="98"/>
      <c r="QS186" s="98"/>
      <c r="QT186" s="98"/>
      <c r="QU186" s="98"/>
      <c r="QV186" s="98"/>
      <c r="QW186" s="98"/>
      <c r="QX186" s="98"/>
      <c r="QY186" s="98"/>
      <c r="QZ186" s="98"/>
      <c r="RA186" s="98"/>
      <c r="RB186" s="98"/>
      <c r="RC186" s="98"/>
      <c r="RD186" s="98"/>
      <c r="RE186" s="98"/>
      <c r="RF186" s="98"/>
      <c r="RG186" s="98"/>
      <c r="RH186" s="98"/>
      <c r="RI186" s="98"/>
      <c r="RJ186" s="98"/>
      <c r="RK186" s="98"/>
      <c r="RL186" s="98"/>
      <c r="RM186" s="98"/>
      <c r="RN186" s="98"/>
      <c r="RO186" s="98"/>
      <c r="RP186" s="98"/>
      <c r="RQ186" s="98"/>
      <c r="RR186" s="98"/>
      <c r="RS186" s="98"/>
      <c r="RT186" s="98"/>
      <c r="RU186" s="98"/>
      <c r="RV186" s="98"/>
      <c r="RW186" s="98"/>
      <c r="RX186" s="98"/>
      <c r="RY186" s="98"/>
      <c r="RZ186" s="98"/>
      <c r="SA186" s="98"/>
      <c r="SB186" s="98"/>
      <c r="SC186" s="98"/>
      <c r="SD186" s="98"/>
      <c r="SE186" s="98"/>
      <c r="SF186" s="98"/>
      <c r="SG186" s="98"/>
      <c r="SH186" s="98"/>
      <c r="SI186" s="98"/>
      <c r="SJ186" s="98"/>
      <c r="SK186" s="98"/>
      <c r="SL186" s="98"/>
      <c r="SM186" s="98"/>
      <c r="SN186" s="98"/>
      <c r="SO186" s="98"/>
      <c r="SP186" s="98"/>
      <c r="SQ186" s="98"/>
      <c r="SR186" s="98"/>
      <c r="SS186" s="98"/>
      <c r="ST186" s="98"/>
      <c r="SU186" s="98"/>
      <c r="SV186" s="98"/>
      <c r="SW186" s="98"/>
      <c r="SX186" s="98"/>
      <c r="SY186" s="98"/>
      <c r="SZ186" s="98"/>
      <c r="TA186" s="98"/>
      <c r="TB186" s="98"/>
      <c r="TC186" s="98"/>
      <c r="TD186" s="98"/>
      <c r="TE186" s="98"/>
      <c r="TF186" s="98"/>
      <c r="TG186" s="98"/>
      <c r="TH186" s="98"/>
      <c r="TI186" s="98"/>
      <c r="TJ186" s="98"/>
      <c r="TK186" s="98"/>
      <c r="TL186" s="98"/>
      <c r="TM186" s="98"/>
      <c r="TN186" s="98"/>
      <c r="TO186" s="98"/>
      <c r="TP186" s="98"/>
      <c r="TQ186" s="98"/>
      <c r="TR186" s="98"/>
      <c r="TS186" s="98"/>
      <c r="TT186" s="98"/>
      <c r="TU186" s="98"/>
      <c r="TV186" s="98"/>
      <c r="TW186" s="98"/>
      <c r="TX186" s="98"/>
      <c r="TY186" s="98"/>
      <c r="TZ186" s="98"/>
      <c r="UA186" s="98"/>
      <c r="UB186" s="98"/>
      <c r="UC186" s="98"/>
      <c r="UD186" s="98"/>
      <c r="UE186" s="98"/>
      <c r="UF186" s="98"/>
      <c r="UG186" s="98"/>
      <c r="UH186" s="98"/>
      <c r="UI186" s="98"/>
      <c r="UJ186" s="98"/>
      <c r="UK186" s="98"/>
      <c r="UL186" s="98"/>
      <c r="UM186" s="98"/>
      <c r="UN186" s="98"/>
      <c r="UO186" s="98"/>
      <c r="UP186" s="98"/>
      <c r="UQ186" s="98"/>
      <c r="UR186" s="98"/>
      <c r="US186" s="98"/>
      <c r="UT186" s="98"/>
      <c r="UU186" s="98"/>
      <c r="UV186" s="98"/>
      <c r="UW186" s="98"/>
      <c r="UX186" s="98"/>
      <c r="UY186" s="98"/>
      <c r="UZ186" s="98"/>
      <c r="VA186" s="98"/>
      <c r="VB186" s="98"/>
      <c r="VC186" s="98"/>
      <c r="VD186" s="98"/>
      <c r="VE186" s="98"/>
      <c r="VF186" s="98"/>
      <c r="VG186" s="98"/>
      <c r="VH186" s="98"/>
      <c r="VI186" s="98"/>
      <c r="VJ186" s="98"/>
      <c r="VK186" s="98"/>
      <c r="VL186" s="98"/>
      <c r="VM186" s="98"/>
      <c r="VN186" s="98"/>
      <c r="VO186" s="98"/>
      <c r="VP186" s="98"/>
      <c r="VQ186" s="98"/>
      <c r="VR186" s="98"/>
      <c r="VS186" s="98"/>
      <c r="VT186" s="98"/>
      <c r="VU186" s="98"/>
      <c r="VV186" s="98"/>
      <c r="VW186" s="98"/>
      <c r="VX186" s="98"/>
      <c r="VY186" s="98"/>
      <c r="VZ186" s="98"/>
      <c r="WA186" s="98"/>
      <c r="WB186" s="98"/>
      <c r="WC186" s="98"/>
      <c r="WD186" s="98"/>
      <c r="WE186" s="98"/>
      <c r="WF186" s="98"/>
      <c r="WG186" s="98"/>
      <c r="WH186" s="98"/>
      <c r="WI186" s="98"/>
      <c r="WJ186" s="98"/>
      <c r="WK186" s="98"/>
      <c r="WL186" s="98"/>
      <c r="WM186" s="98"/>
      <c r="WN186" s="98"/>
      <c r="WO186" s="98"/>
      <c r="WP186" s="98"/>
      <c r="WQ186" s="98"/>
      <c r="WR186" s="98"/>
      <c r="WS186" s="98"/>
      <c r="WT186" s="98"/>
      <c r="WU186" s="98"/>
      <c r="WV186" s="98"/>
      <c r="WW186" s="98"/>
      <c r="WX186" s="98"/>
      <c r="WY186" s="98"/>
      <c r="WZ186" s="98"/>
      <c r="XA186" s="98"/>
      <c r="XB186" s="98"/>
      <c r="XC186" s="98"/>
      <c r="XD186" s="98"/>
      <c r="XE186" s="98"/>
      <c r="XF186" s="98"/>
      <c r="XG186" s="98"/>
      <c r="XH186" s="98"/>
      <c r="XI186" s="98"/>
      <c r="XJ186" s="98"/>
      <c r="XK186" s="98"/>
      <c r="XL186" s="98"/>
      <c r="XM186" s="98"/>
      <c r="XN186" s="98"/>
      <c r="XO186" s="98"/>
      <c r="XP186" s="98"/>
      <c r="XQ186" s="98"/>
      <c r="XR186" s="98"/>
      <c r="XS186" s="98"/>
      <c r="XT186" s="98"/>
      <c r="XU186" s="98"/>
      <c r="XV186" s="98"/>
      <c r="XW186" s="98"/>
      <c r="XX186" s="98"/>
      <c r="XY186" s="98"/>
      <c r="XZ186" s="98"/>
      <c r="YA186" s="98"/>
      <c r="YB186" s="98"/>
      <c r="YC186" s="98"/>
      <c r="YD186" s="98"/>
      <c r="YE186" s="98"/>
      <c r="YF186" s="98"/>
      <c r="YG186" s="98"/>
      <c r="YH186" s="98"/>
      <c r="YI186" s="98"/>
      <c r="YJ186" s="98"/>
      <c r="YK186" s="98"/>
      <c r="YL186" s="98"/>
      <c r="YM186" s="98"/>
      <c r="YN186" s="98"/>
      <c r="YO186" s="98"/>
      <c r="YP186" s="98"/>
      <c r="YQ186" s="98"/>
      <c r="YR186" s="98"/>
      <c r="YS186" s="98"/>
      <c r="YT186" s="98"/>
      <c r="YU186" s="98"/>
      <c r="YV186" s="98"/>
      <c r="YW186" s="98"/>
      <c r="YX186" s="98"/>
      <c r="YY186" s="98"/>
      <c r="YZ186" s="98"/>
      <c r="ZA186" s="98"/>
      <c r="ZB186" s="98"/>
      <c r="ZC186" s="98"/>
      <c r="ZD186" s="98"/>
      <c r="ZE186" s="98"/>
      <c r="ZF186" s="98"/>
      <c r="ZG186" s="98"/>
      <c r="ZH186" s="98"/>
      <c r="ZI186" s="98"/>
      <c r="ZJ186" s="98"/>
      <c r="ZK186" s="98"/>
      <c r="ZL186" s="98"/>
      <c r="ZM186" s="98"/>
      <c r="ZN186" s="98"/>
      <c r="ZO186" s="98"/>
      <c r="ZP186" s="98"/>
      <c r="ZQ186" s="98"/>
      <c r="ZR186" s="98"/>
      <c r="ZS186" s="98"/>
      <c r="ZT186" s="98"/>
      <c r="ZU186" s="98"/>
      <c r="ZV186" s="98"/>
      <c r="ZW186" s="98"/>
      <c r="ZX186" s="98"/>
      <c r="ZY186" s="98"/>
      <c r="ZZ186" s="98"/>
      <c r="AAA186" s="98"/>
      <c r="AAB186" s="98"/>
      <c r="AAC186" s="98"/>
      <c r="AAD186" s="98"/>
      <c r="AAE186" s="98"/>
      <c r="AAF186" s="98"/>
      <c r="AAG186" s="98"/>
      <c r="AAH186" s="98"/>
      <c r="AAI186" s="98"/>
      <c r="AAJ186" s="98"/>
      <c r="AAK186" s="98"/>
      <c r="AAL186" s="98"/>
      <c r="AAM186" s="98"/>
      <c r="AAN186" s="98"/>
      <c r="AAO186" s="98"/>
      <c r="AAP186" s="98"/>
      <c r="AAQ186" s="98"/>
      <c r="AAR186" s="98"/>
      <c r="AAS186" s="98"/>
      <c r="AAT186" s="98"/>
      <c r="AAU186" s="98"/>
      <c r="AAV186" s="98"/>
      <c r="AAW186" s="98"/>
      <c r="AAX186" s="98"/>
      <c r="AAY186" s="98"/>
      <c r="AAZ186" s="98"/>
      <c r="ABA186" s="98"/>
      <c r="ABB186" s="98"/>
      <c r="ABC186" s="98"/>
      <c r="ABD186" s="98"/>
      <c r="ABE186" s="98"/>
      <c r="ABF186" s="98"/>
      <c r="ABG186" s="98"/>
      <c r="ABH186" s="98"/>
      <c r="ABI186" s="98"/>
      <c r="ABJ186" s="98"/>
      <c r="ABK186" s="98"/>
      <c r="ABL186" s="98"/>
      <c r="ABM186" s="98"/>
      <c r="ABN186" s="98"/>
      <c r="ABO186" s="98"/>
      <c r="ABP186" s="98"/>
      <c r="ABQ186" s="98"/>
      <c r="ABR186" s="98"/>
      <c r="ABS186" s="98"/>
      <c r="ABT186" s="98"/>
      <c r="ABU186" s="98"/>
      <c r="ABV186" s="98"/>
      <c r="ABW186" s="98"/>
      <c r="ABX186" s="98"/>
      <c r="ABY186" s="98"/>
      <c r="ABZ186" s="98"/>
      <c r="ACA186" s="98"/>
      <c r="ACB186" s="98"/>
      <c r="ACC186" s="98"/>
      <c r="ACD186" s="98"/>
      <c r="ACE186" s="98"/>
      <c r="ACF186" s="98"/>
      <c r="ACG186" s="98"/>
      <c r="ACH186" s="98"/>
      <c r="ACI186" s="98"/>
      <c r="ACJ186" s="98"/>
      <c r="ACK186" s="98"/>
      <c r="ACL186" s="98"/>
      <c r="ACM186" s="98"/>
      <c r="ACN186" s="98"/>
      <c r="ACO186" s="98"/>
      <c r="ACP186" s="98"/>
      <c r="ACQ186" s="98"/>
      <c r="ACR186" s="98"/>
      <c r="ACS186" s="98"/>
      <c r="ACT186" s="98"/>
      <c r="ACU186" s="98"/>
      <c r="ACV186" s="98"/>
      <c r="ACW186" s="98"/>
      <c r="ACX186" s="98"/>
      <c r="ACY186" s="98"/>
      <c r="ACZ186" s="98"/>
      <c r="ADA186" s="98"/>
      <c r="ADB186" s="98"/>
      <c r="ADC186" s="98"/>
      <c r="ADD186" s="98"/>
      <c r="ADE186" s="98"/>
      <c r="ADF186" s="98"/>
      <c r="ADG186" s="98"/>
      <c r="ADH186" s="98"/>
      <c r="ADI186" s="98"/>
      <c r="ADJ186" s="98"/>
      <c r="ADK186" s="98"/>
      <c r="ADL186" s="98"/>
      <c r="ADM186" s="98"/>
      <c r="ADN186" s="98"/>
      <c r="ADO186" s="98"/>
      <c r="ADP186" s="98"/>
      <c r="ADQ186" s="98"/>
      <c r="ADR186" s="98"/>
      <c r="ADS186" s="98"/>
      <c r="ADT186" s="98"/>
      <c r="ADU186" s="98"/>
      <c r="ADV186" s="98"/>
      <c r="ADW186" s="98"/>
      <c r="ADX186" s="98"/>
      <c r="ADY186" s="98"/>
      <c r="ADZ186" s="98"/>
      <c r="AEA186" s="98"/>
      <c r="AEB186" s="98"/>
      <c r="AEC186" s="98"/>
      <c r="AED186" s="98"/>
      <c r="AEE186" s="98"/>
      <c r="AEF186" s="98"/>
      <c r="AEG186" s="98"/>
      <c r="AEH186" s="98"/>
      <c r="AEI186" s="98"/>
      <c r="AEJ186" s="98"/>
      <c r="AEK186" s="98"/>
      <c r="AEL186" s="98"/>
      <c r="AEM186" s="98"/>
      <c r="AEN186" s="98"/>
      <c r="AEO186" s="98"/>
      <c r="AEP186" s="98"/>
      <c r="AEQ186" s="98"/>
      <c r="AER186" s="98"/>
      <c r="AES186" s="98"/>
      <c r="AET186" s="98"/>
      <c r="AEU186" s="98"/>
      <c r="AEV186" s="98"/>
      <c r="AEW186" s="98"/>
      <c r="AEX186" s="98"/>
      <c r="AEY186" s="98"/>
      <c r="AEZ186" s="98"/>
      <c r="AFA186" s="98"/>
      <c r="AFB186" s="98"/>
      <c r="AFC186" s="98"/>
      <c r="AFD186" s="98"/>
      <c r="AFE186" s="98"/>
      <c r="AFF186" s="98"/>
      <c r="AFG186" s="98"/>
      <c r="AFH186" s="98"/>
      <c r="AFI186" s="98"/>
      <c r="AFJ186" s="98"/>
      <c r="AFK186" s="98"/>
      <c r="AFL186" s="98"/>
      <c r="AFM186" s="98"/>
      <c r="AFN186" s="98"/>
      <c r="AFO186" s="98"/>
      <c r="AFP186" s="98"/>
      <c r="AFQ186" s="98"/>
      <c r="AFR186" s="98"/>
      <c r="AFS186" s="98"/>
      <c r="AFT186" s="98"/>
      <c r="AFU186" s="98"/>
      <c r="AFV186" s="98"/>
      <c r="AFW186" s="98"/>
      <c r="AFX186" s="98"/>
      <c r="AFY186" s="98"/>
      <c r="AFZ186" s="98"/>
      <c r="AGA186" s="98"/>
      <c r="AGB186" s="98"/>
      <c r="AGC186" s="98"/>
      <c r="AGD186" s="98"/>
      <c r="AGE186" s="98"/>
      <c r="AGF186" s="98"/>
      <c r="AGG186" s="98"/>
      <c r="AGH186" s="98"/>
      <c r="AGI186" s="98"/>
      <c r="AGJ186" s="98"/>
      <c r="AGK186" s="98"/>
      <c r="AGL186" s="98"/>
      <c r="AGM186" s="98"/>
      <c r="AGN186" s="98"/>
      <c r="AGO186" s="98"/>
      <c r="AGP186" s="98"/>
      <c r="AGQ186" s="98"/>
      <c r="AGR186" s="98"/>
      <c r="AGS186" s="98"/>
      <c r="AGT186" s="98"/>
      <c r="AGU186" s="98"/>
      <c r="AGV186" s="98"/>
      <c r="AGW186" s="98"/>
      <c r="AGX186" s="98"/>
      <c r="AGY186" s="98"/>
      <c r="AGZ186" s="98"/>
      <c r="AHA186" s="98"/>
      <c r="AHB186" s="98"/>
      <c r="AHC186" s="98"/>
      <c r="AHD186" s="98"/>
      <c r="AHE186" s="98"/>
      <c r="AHF186" s="98"/>
      <c r="AHG186" s="98"/>
      <c r="AHH186" s="98"/>
      <c r="AHI186" s="98"/>
      <c r="AHJ186" s="98"/>
      <c r="AHK186" s="98"/>
      <c r="AHL186" s="98"/>
      <c r="AHM186" s="98"/>
      <c r="AHN186" s="98"/>
      <c r="AHO186" s="98"/>
      <c r="AHP186" s="98"/>
      <c r="AHQ186" s="98"/>
      <c r="AHR186" s="98"/>
      <c r="AHS186" s="98"/>
      <c r="AHT186" s="98"/>
      <c r="AHU186" s="98"/>
      <c r="AHV186" s="98"/>
      <c r="AHW186" s="98"/>
      <c r="AHX186" s="98"/>
      <c r="AHY186" s="98"/>
      <c r="AHZ186" s="98"/>
      <c r="AIA186" s="98"/>
      <c r="AIB186" s="98"/>
      <c r="AIC186" s="98"/>
      <c r="AID186" s="98"/>
      <c r="AIE186" s="98"/>
      <c r="AIF186" s="98"/>
      <c r="AIG186" s="98"/>
      <c r="AIH186" s="98"/>
      <c r="AII186" s="98"/>
      <c r="AIJ186" s="98"/>
      <c r="AIK186" s="98"/>
      <c r="AIL186" s="98"/>
      <c r="AIM186" s="98"/>
      <c r="AIN186" s="98"/>
      <c r="AIO186" s="98"/>
      <c r="AIP186" s="98"/>
      <c r="AIQ186" s="98"/>
      <c r="AIR186" s="98"/>
      <c r="AIS186" s="98"/>
      <c r="AIT186" s="98"/>
      <c r="AIU186" s="98"/>
      <c r="AIV186" s="98"/>
      <c r="AIW186" s="98"/>
      <c r="AIX186" s="98"/>
      <c r="AIY186" s="98"/>
      <c r="AIZ186" s="98"/>
      <c r="AJA186" s="98"/>
      <c r="AJB186" s="98"/>
      <c r="AJC186" s="98"/>
      <c r="AJD186" s="98"/>
      <c r="AJE186" s="98"/>
      <c r="AJF186" s="98"/>
      <c r="AJG186" s="98"/>
      <c r="AJH186" s="98"/>
      <c r="AJI186" s="98"/>
      <c r="AJJ186" s="98"/>
      <c r="AJK186" s="98"/>
      <c r="AJL186" s="98"/>
      <c r="AJM186" s="98"/>
      <c r="AJN186" s="98"/>
      <c r="AJO186" s="98"/>
      <c r="AJP186" s="98"/>
      <c r="AJQ186" s="98"/>
      <c r="AJR186" s="98"/>
      <c r="AJS186" s="98"/>
      <c r="AJT186" s="98"/>
      <c r="AJU186" s="98"/>
      <c r="AJV186" s="98"/>
      <c r="AJW186" s="98"/>
      <c r="AJX186" s="98"/>
      <c r="AJY186" s="98"/>
      <c r="AJZ186" s="98"/>
      <c r="AKA186" s="98"/>
      <c r="AKB186" s="98"/>
      <c r="AKC186" s="98"/>
      <c r="AKD186" s="98"/>
      <c r="AKE186" s="98"/>
      <c r="AKF186" s="98"/>
      <c r="AKG186" s="98"/>
      <c r="AKH186" s="98"/>
      <c r="AKI186" s="98"/>
      <c r="AKJ186" s="98"/>
      <c r="AKK186" s="98"/>
      <c r="AKL186" s="98"/>
      <c r="AKM186" s="98"/>
      <c r="AKN186" s="98"/>
      <c r="AKO186" s="98"/>
      <c r="AKP186" s="98"/>
      <c r="AKQ186" s="98"/>
      <c r="AKR186" s="98"/>
      <c r="AKS186" s="98"/>
      <c r="AKT186" s="98"/>
      <c r="AKU186" s="98"/>
      <c r="AKV186" s="98"/>
      <c r="AKW186" s="98"/>
      <c r="AKX186" s="98"/>
      <c r="AKY186" s="98"/>
      <c r="AKZ186" s="98"/>
      <c r="ALA186" s="98"/>
      <c r="ALB186" s="98"/>
      <c r="ALC186" s="98"/>
      <c r="ALD186" s="98"/>
      <c r="ALE186" s="98"/>
      <c r="ALF186" s="98"/>
      <c r="ALG186" s="98"/>
      <c r="ALH186" s="98"/>
      <c r="ALI186" s="98"/>
      <c r="ALJ186" s="98"/>
      <c r="ALK186" s="98"/>
      <c r="ALL186" s="98"/>
      <c r="ALM186" s="98"/>
      <c r="ALN186" s="98"/>
      <c r="ALO186" s="98"/>
      <c r="ALP186" s="98"/>
      <c r="ALQ186" s="98"/>
      <c r="ALR186" s="98"/>
      <c r="ALS186" s="98"/>
      <c r="ALT186" s="98"/>
      <c r="ALU186" s="98"/>
      <c r="ALV186" s="98"/>
      <c r="ALW186" s="98"/>
      <c r="ALX186" s="98"/>
      <c r="ALY186" s="98"/>
      <c r="ALZ186" s="98"/>
      <c r="AMA186" s="98"/>
      <c r="AMB186" s="98"/>
      <c r="AMC186" s="98"/>
      <c r="AMD186" s="98"/>
      <c r="AME186" s="98"/>
      <c r="AMF186" s="98"/>
      <c r="AMG186" s="98"/>
      <c r="AMH186" s="98"/>
      <c r="AMI186" s="98"/>
      <c r="AMJ186" s="98"/>
      <c r="AMK186" s="98"/>
      <c r="AML186" s="98"/>
      <c r="AMM186" s="98"/>
      <c r="AMN186" s="98"/>
      <c r="AMO186" s="98"/>
      <c r="AMP186" s="98"/>
      <c r="AMQ186" s="98"/>
      <c r="AMR186" s="98"/>
      <c r="AMS186" s="98"/>
      <c r="AMT186" s="98"/>
      <c r="AMU186" s="98"/>
      <c r="AMV186" s="98"/>
      <c r="AMW186" s="98"/>
      <c r="AMX186" s="98"/>
      <c r="AMY186" s="98"/>
      <c r="AMZ186" s="98"/>
      <c r="ANA186" s="98"/>
      <c r="ANB186" s="98"/>
      <c r="ANC186" s="98"/>
      <c r="AND186" s="98"/>
      <c r="ANE186" s="98"/>
      <c r="ANF186" s="98"/>
      <c r="ANG186" s="98"/>
      <c r="ANH186" s="98"/>
      <c r="ANI186" s="98"/>
      <c r="ANJ186" s="98"/>
      <c r="ANK186" s="98"/>
      <c r="ANL186" s="98"/>
      <c r="ANM186" s="98"/>
      <c r="ANN186" s="98"/>
      <c r="ANO186" s="98"/>
      <c r="ANP186" s="98"/>
      <c r="ANQ186" s="98"/>
      <c r="ANR186" s="98"/>
      <c r="ANS186" s="98"/>
      <c r="ANT186" s="98"/>
      <c r="ANU186" s="98"/>
      <c r="ANV186" s="98"/>
      <c r="ANW186" s="98"/>
      <c r="ANX186" s="98"/>
      <c r="ANY186" s="98"/>
      <c r="ANZ186" s="98"/>
      <c r="AOA186" s="98"/>
      <c r="AOB186" s="98"/>
      <c r="AOC186" s="98"/>
      <c r="AOD186" s="98"/>
      <c r="AOE186" s="98"/>
      <c r="AOF186" s="98"/>
      <c r="AOG186" s="98"/>
      <c r="AOH186" s="98"/>
      <c r="AOI186" s="98"/>
      <c r="AOJ186" s="98"/>
      <c r="AOK186" s="98"/>
      <c r="AOL186" s="98"/>
      <c r="AOM186" s="98"/>
      <c r="AON186" s="98"/>
      <c r="AOO186" s="98"/>
      <c r="AOP186" s="98"/>
      <c r="AOQ186" s="98"/>
      <c r="AOR186" s="98"/>
      <c r="AOS186" s="98"/>
      <c r="AOT186" s="98"/>
      <c r="AOU186" s="98"/>
      <c r="AOV186" s="98"/>
      <c r="AOW186" s="98"/>
      <c r="AOX186" s="98"/>
      <c r="AOY186" s="98"/>
      <c r="AOZ186" s="98"/>
      <c r="APA186" s="98"/>
      <c r="APB186" s="98"/>
      <c r="APC186" s="98"/>
      <c r="APD186" s="98"/>
      <c r="APE186" s="98"/>
      <c r="APF186" s="98"/>
      <c r="APG186" s="98"/>
      <c r="APH186" s="98"/>
      <c r="API186" s="98"/>
      <c r="APJ186" s="98"/>
      <c r="APK186" s="98"/>
      <c r="APL186" s="98"/>
      <c r="APM186" s="98"/>
      <c r="APN186" s="98"/>
      <c r="APO186" s="98"/>
      <c r="APP186" s="98"/>
      <c r="APQ186" s="98"/>
      <c r="APR186" s="98"/>
      <c r="APS186" s="98"/>
      <c r="APT186" s="98"/>
      <c r="APU186" s="98"/>
      <c r="APV186" s="98"/>
      <c r="APW186" s="98"/>
      <c r="APX186" s="98"/>
      <c r="APY186" s="98"/>
      <c r="APZ186" s="98"/>
      <c r="AQA186" s="98"/>
      <c r="AQB186" s="98"/>
      <c r="AQC186" s="98"/>
      <c r="AQD186" s="98"/>
      <c r="AQE186" s="98"/>
      <c r="AQF186" s="98"/>
      <c r="AQG186" s="98"/>
      <c r="AQH186" s="98"/>
      <c r="AQI186" s="98"/>
      <c r="AQJ186" s="98"/>
      <c r="AQK186" s="98"/>
      <c r="AQL186" s="98"/>
      <c r="AQM186" s="98"/>
      <c r="AQN186" s="98"/>
      <c r="AQO186" s="98"/>
      <c r="AQP186" s="98"/>
      <c r="AQQ186" s="98"/>
      <c r="AQR186" s="98"/>
      <c r="AQS186" s="98"/>
      <c r="AQT186" s="98"/>
      <c r="AQU186" s="98"/>
      <c r="AQV186" s="98"/>
      <c r="AQW186" s="98"/>
      <c r="AQX186" s="98"/>
      <c r="AQY186" s="98"/>
      <c r="AQZ186" s="98"/>
      <c r="ARA186" s="98"/>
      <c r="ARB186" s="98"/>
      <c r="ARC186" s="98"/>
      <c r="ARD186" s="98"/>
      <c r="ARE186" s="98"/>
      <c r="ARF186" s="98"/>
      <c r="ARG186" s="98"/>
      <c r="ARH186" s="98"/>
      <c r="ARI186" s="98"/>
      <c r="ARJ186" s="98"/>
      <c r="ARK186" s="98"/>
      <c r="ARL186" s="98"/>
      <c r="ARM186" s="98"/>
      <c r="ARN186" s="98"/>
      <c r="ARO186" s="98"/>
      <c r="ARP186" s="98"/>
      <c r="ARQ186" s="98"/>
      <c r="ARR186" s="98"/>
      <c r="ARS186" s="98"/>
    </row>
    <row r="187" spans="1:1163" s="174" customFormat="1">
      <c r="A187" s="138" t="s">
        <v>197</v>
      </c>
      <c r="B187" s="119"/>
      <c r="C187" s="175">
        <f t="shared" ref="C187:AV187" si="54">SUM(C185:C186)</f>
        <v>14385</v>
      </c>
      <c r="D187" s="175">
        <f t="shared" si="54"/>
        <v>280301</v>
      </c>
      <c r="E187" s="167">
        <f t="shared" si="54"/>
        <v>53</v>
      </c>
      <c r="F187" s="175">
        <f t="shared" si="54"/>
        <v>897</v>
      </c>
      <c r="G187" s="167">
        <f t="shared" si="54"/>
        <v>839</v>
      </c>
      <c r="H187" s="175">
        <f t="shared" si="54"/>
        <v>14281</v>
      </c>
      <c r="I187" s="175">
        <f t="shared" si="54"/>
        <v>0</v>
      </c>
      <c r="J187" s="175">
        <f t="shared" si="54"/>
        <v>0</v>
      </c>
      <c r="K187" s="175">
        <f t="shared" si="54"/>
        <v>0</v>
      </c>
      <c r="L187" s="175">
        <f t="shared" si="54"/>
        <v>0</v>
      </c>
      <c r="M187" s="175">
        <f t="shared" si="54"/>
        <v>0</v>
      </c>
      <c r="N187" s="175">
        <f t="shared" si="54"/>
        <v>0</v>
      </c>
      <c r="O187" s="175">
        <f t="shared" si="54"/>
        <v>0</v>
      </c>
      <c r="P187" s="175">
        <f t="shared" si="54"/>
        <v>0</v>
      </c>
      <c r="Q187" s="175">
        <f t="shared" si="54"/>
        <v>0</v>
      </c>
      <c r="R187" s="175">
        <f t="shared" si="54"/>
        <v>0</v>
      </c>
      <c r="S187" s="175">
        <f t="shared" si="54"/>
        <v>0</v>
      </c>
      <c r="T187" s="175">
        <f t="shared" si="54"/>
        <v>0</v>
      </c>
      <c r="U187" s="175">
        <f t="shared" si="54"/>
        <v>0</v>
      </c>
      <c r="V187" s="175">
        <f t="shared" si="54"/>
        <v>0</v>
      </c>
      <c r="W187" s="175">
        <f t="shared" si="54"/>
        <v>0</v>
      </c>
      <c r="X187" s="175">
        <f t="shared" si="54"/>
        <v>0</v>
      </c>
      <c r="Y187" s="167">
        <f t="shared" si="54"/>
        <v>5757</v>
      </c>
      <c r="Z187" s="175">
        <f t="shared" si="54"/>
        <v>110531</v>
      </c>
      <c r="AA187" s="175">
        <f t="shared" si="54"/>
        <v>0</v>
      </c>
      <c r="AB187" s="175">
        <f t="shared" si="54"/>
        <v>0</v>
      </c>
      <c r="AC187" s="175">
        <f t="shared" si="54"/>
        <v>0</v>
      </c>
      <c r="AD187" s="175">
        <f t="shared" si="54"/>
        <v>0</v>
      </c>
      <c r="AE187" s="175">
        <f t="shared" si="54"/>
        <v>0</v>
      </c>
      <c r="AF187" s="175">
        <f t="shared" si="54"/>
        <v>0</v>
      </c>
      <c r="AG187" s="175">
        <f t="shared" si="54"/>
        <v>0</v>
      </c>
      <c r="AH187" s="175">
        <f t="shared" si="54"/>
        <v>0</v>
      </c>
      <c r="AI187" s="175">
        <f t="shared" si="54"/>
        <v>0</v>
      </c>
      <c r="AJ187" s="175">
        <f t="shared" si="54"/>
        <v>0</v>
      </c>
      <c r="AK187" s="167">
        <f t="shared" si="54"/>
        <v>6000</v>
      </c>
      <c r="AL187" s="175">
        <f t="shared" si="54"/>
        <v>164250</v>
      </c>
      <c r="AM187" s="167">
        <f t="shared" si="54"/>
        <v>5340</v>
      </c>
      <c r="AN187" s="175">
        <f t="shared" si="54"/>
        <v>1014600</v>
      </c>
      <c r="AO187" s="167">
        <f t="shared" si="54"/>
        <v>1570</v>
      </c>
      <c r="AP187" s="175">
        <f t="shared" si="54"/>
        <v>298300</v>
      </c>
      <c r="AQ187" s="167">
        <f t="shared" si="54"/>
        <v>331</v>
      </c>
      <c r="AR187" s="175">
        <f t="shared" si="54"/>
        <v>62890</v>
      </c>
      <c r="AS187" s="167">
        <f t="shared" si="54"/>
        <v>1438</v>
      </c>
      <c r="AT187" s="175">
        <f t="shared" si="54"/>
        <v>685189</v>
      </c>
      <c r="AU187" s="167">
        <f t="shared" si="54"/>
        <v>1939</v>
      </c>
      <c r="AV187" s="175">
        <f t="shared" si="54"/>
        <v>380812</v>
      </c>
      <c r="AW187" s="175"/>
      <c r="AX187" s="175">
        <f>SUM(AX185:AX186)</f>
        <v>577289</v>
      </c>
      <c r="AY187" s="175"/>
      <c r="AZ187" s="175">
        <f>SUM(AZ185:AZ186)</f>
        <v>540521</v>
      </c>
      <c r="BA187" s="180"/>
      <c r="BB187" s="175"/>
      <c r="BC187" s="175"/>
      <c r="BD187" s="175"/>
      <c r="BE187" s="175"/>
      <c r="BF187" s="175"/>
      <c r="BG187" s="175"/>
      <c r="BH187" s="175"/>
      <c r="BI187" s="178"/>
      <c r="BJ187" s="98"/>
      <c r="BK187" s="148"/>
      <c r="BL187" s="148"/>
      <c r="BM187" s="148"/>
      <c r="BN187" s="148"/>
      <c r="BO187" s="98"/>
      <c r="BP187" s="98"/>
      <c r="BQ187" s="11"/>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c r="CT187" s="98"/>
      <c r="CU187" s="98"/>
      <c r="CV187" s="98"/>
      <c r="CW187" s="98"/>
      <c r="CX187" s="98"/>
      <c r="CY187" s="98"/>
      <c r="CZ187" s="98"/>
      <c r="DA187" s="98"/>
      <c r="DB187" s="98"/>
      <c r="DC187" s="98"/>
      <c r="DD187" s="98"/>
      <c r="DE187" s="98"/>
      <c r="DF187" s="98"/>
      <c r="DG187" s="98"/>
      <c r="DH187" s="98"/>
      <c r="DI187" s="98"/>
      <c r="DJ187" s="98"/>
      <c r="DK187" s="98"/>
      <c r="DL187" s="98"/>
      <c r="DM187" s="98"/>
      <c r="DN187" s="98"/>
      <c r="DO187" s="98"/>
      <c r="DP187" s="98"/>
      <c r="DQ187" s="98"/>
      <c r="DR187" s="98"/>
      <c r="DS187" s="98"/>
      <c r="DT187" s="98"/>
      <c r="DU187" s="98"/>
      <c r="DV187" s="98"/>
      <c r="DW187" s="98"/>
      <c r="DX187" s="98"/>
      <c r="DY187" s="98"/>
      <c r="DZ187" s="98"/>
      <c r="EA187" s="98"/>
      <c r="EB187" s="98"/>
      <c r="EC187" s="98"/>
      <c r="ED187" s="98"/>
      <c r="EE187" s="98"/>
      <c r="EF187" s="98"/>
      <c r="EG187" s="98"/>
      <c r="EH187" s="98"/>
      <c r="EI187" s="98"/>
      <c r="EJ187" s="98"/>
      <c r="EK187" s="98"/>
      <c r="EL187" s="98"/>
      <c r="EM187" s="98"/>
      <c r="EN187" s="98"/>
      <c r="EO187" s="98"/>
      <c r="EP187" s="98"/>
      <c r="EQ187" s="98"/>
      <c r="ER187" s="98"/>
      <c r="ES187" s="98"/>
      <c r="ET187" s="98"/>
      <c r="EU187" s="98"/>
      <c r="EV187" s="98"/>
      <c r="EW187" s="98"/>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c r="IW187" s="98"/>
      <c r="IX187" s="98"/>
      <c r="IY187" s="98"/>
      <c r="IZ187" s="98"/>
      <c r="JA187" s="98"/>
      <c r="JB187" s="98"/>
      <c r="JC187" s="98"/>
      <c r="JD187" s="98"/>
      <c r="JE187" s="98"/>
      <c r="JF187" s="98"/>
      <c r="JG187" s="98"/>
      <c r="JH187" s="98"/>
      <c r="JI187" s="98"/>
      <c r="JJ187" s="98"/>
      <c r="JK187" s="98"/>
      <c r="JL187" s="98"/>
      <c r="JM187" s="98"/>
      <c r="JN187" s="98"/>
      <c r="JO187" s="98"/>
      <c r="JP187" s="98"/>
      <c r="JQ187" s="98"/>
      <c r="JR187" s="98"/>
      <c r="JS187" s="98"/>
      <c r="JT187" s="98"/>
      <c r="JU187" s="98"/>
      <c r="JV187" s="98"/>
      <c r="JW187" s="98"/>
      <c r="JX187" s="98"/>
      <c r="JY187" s="98"/>
      <c r="JZ187" s="98"/>
      <c r="KA187" s="98"/>
      <c r="KB187" s="98"/>
      <c r="KC187" s="98"/>
      <c r="KD187" s="98"/>
      <c r="KE187" s="98"/>
      <c r="KF187" s="98"/>
      <c r="KG187" s="98"/>
      <c r="KH187" s="98"/>
      <c r="KI187" s="98"/>
      <c r="KJ187" s="98"/>
      <c r="KK187" s="98"/>
      <c r="KL187" s="98"/>
      <c r="KM187" s="98"/>
      <c r="KN187" s="98"/>
      <c r="KO187" s="98"/>
      <c r="KP187" s="98"/>
      <c r="KQ187" s="98"/>
      <c r="KR187" s="98"/>
      <c r="KS187" s="98"/>
      <c r="KT187" s="98"/>
      <c r="KU187" s="98"/>
      <c r="KV187" s="98"/>
      <c r="KW187" s="98"/>
      <c r="KX187" s="98"/>
      <c r="KY187" s="98"/>
      <c r="KZ187" s="98"/>
      <c r="LA187" s="98"/>
      <c r="LB187" s="98"/>
      <c r="LC187" s="98"/>
      <c r="LD187" s="98"/>
      <c r="LE187" s="98"/>
      <c r="LF187" s="98"/>
      <c r="LG187" s="98"/>
      <c r="LH187" s="98"/>
      <c r="LI187" s="98"/>
      <c r="LJ187" s="98"/>
      <c r="LK187" s="98"/>
      <c r="LL187" s="98"/>
      <c r="LM187" s="98"/>
      <c r="LN187" s="98"/>
      <c r="LO187" s="98"/>
      <c r="LP187" s="98"/>
      <c r="LQ187" s="98"/>
      <c r="LR187" s="98"/>
      <c r="LS187" s="98"/>
      <c r="LT187" s="98"/>
      <c r="LU187" s="98"/>
      <c r="LV187" s="98"/>
      <c r="LW187" s="98"/>
      <c r="LX187" s="98"/>
      <c r="LY187" s="98"/>
      <c r="LZ187" s="98"/>
      <c r="MA187" s="98"/>
      <c r="MB187" s="98"/>
      <c r="MC187" s="98"/>
      <c r="MD187" s="98"/>
      <c r="ME187" s="98"/>
      <c r="MF187" s="98"/>
      <c r="MG187" s="98"/>
      <c r="MH187" s="98"/>
      <c r="MI187" s="98"/>
      <c r="MJ187" s="98"/>
      <c r="MK187" s="98"/>
      <c r="ML187" s="98"/>
      <c r="MM187" s="98"/>
      <c r="MN187" s="98"/>
      <c r="MO187" s="98"/>
      <c r="MP187" s="98"/>
      <c r="MQ187" s="98"/>
      <c r="MR187" s="98"/>
      <c r="MS187" s="98"/>
      <c r="MT187" s="98"/>
      <c r="MU187" s="98"/>
      <c r="MV187" s="98"/>
      <c r="MW187" s="98"/>
      <c r="MX187" s="98"/>
      <c r="MY187" s="98"/>
      <c r="MZ187" s="98"/>
      <c r="NA187" s="98"/>
      <c r="NB187" s="98"/>
      <c r="NC187" s="98"/>
      <c r="ND187" s="98"/>
      <c r="NE187" s="98"/>
      <c r="NF187" s="98"/>
      <c r="NG187" s="98"/>
      <c r="NH187" s="98"/>
      <c r="NI187" s="98"/>
      <c r="NJ187" s="98"/>
      <c r="NK187" s="98"/>
      <c r="NL187" s="98"/>
      <c r="NM187" s="98"/>
      <c r="NN187" s="98"/>
      <c r="NO187" s="98"/>
      <c r="NP187" s="98"/>
      <c r="NQ187" s="98"/>
      <c r="NR187" s="98"/>
      <c r="NS187" s="98"/>
      <c r="NT187" s="98"/>
      <c r="NU187" s="98"/>
      <c r="NV187" s="98"/>
      <c r="NW187" s="98"/>
      <c r="NX187" s="98"/>
      <c r="NY187" s="98"/>
      <c r="NZ187" s="98"/>
      <c r="OA187" s="98"/>
      <c r="OB187" s="98"/>
      <c r="OC187" s="98"/>
      <c r="OD187" s="98"/>
      <c r="OE187" s="98"/>
      <c r="OF187" s="98"/>
      <c r="OG187" s="98"/>
      <c r="OH187" s="98"/>
      <c r="OI187" s="98"/>
      <c r="OJ187" s="98"/>
      <c r="OK187" s="98"/>
      <c r="OL187" s="98"/>
      <c r="OM187" s="98"/>
      <c r="ON187" s="98"/>
      <c r="OO187" s="98"/>
      <c r="OP187" s="98"/>
      <c r="OQ187" s="98"/>
      <c r="OR187" s="98"/>
      <c r="OS187" s="98"/>
      <c r="OT187" s="98"/>
      <c r="OU187" s="98"/>
      <c r="OV187" s="98"/>
      <c r="OW187" s="98"/>
      <c r="OX187" s="98"/>
      <c r="OY187" s="98"/>
      <c r="OZ187" s="98"/>
      <c r="PA187" s="98"/>
      <c r="PB187" s="98"/>
      <c r="PC187" s="98"/>
      <c r="PD187" s="98"/>
      <c r="PE187" s="98"/>
      <c r="PF187" s="98"/>
      <c r="PG187" s="98"/>
      <c r="PH187" s="98"/>
      <c r="PI187" s="98"/>
      <c r="PJ187" s="98"/>
      <c r="PK187" s="98"/>
      <c r="PL187" s="98"/>
      <c r="PM187" s="98"/>
      <c r="PN187" s="98"/>
      <c r="PO187" s="98"/>
      <c r="PP187" s="98"/>
      <c r="PQ187" s="98"/>
      <c r="PR187" s="98"/>
      <c r="PS187" s="98"/>
      <c r="PT187" s="98"/>
      <c r="PU187" s="98"/>
      <c r="PV187" s="98"/>
      <c r="PW187" s="98"/>
      <c r="PX187" s="98"/>
      <c r="PY187" s="98"/>
      <c r="PZ187" s="98"/>
      <c r="QA187" s="98"/>
      <c r="QB187" s="98"/>
      <c r="QC187" s="98"/>
      <c r="QD187" s="98"/>
      <c r="QE187" s="98"/>
      <c r="QF187" s="98"/>
      <c r="QG187" s="98"/>
      <c r="QH187" s="98"/>
      <c r="QI187" s="98"/>
      <c r="QJ187" s="98"/>
      <c r="QK187" s="98"/>
      <c r="QL187" s="98"/>
      <c r="QM187" s="98"/>
      <c r="QN187" s="98"/>
      <c r="QO187" s="98"/>
      <c r="QP187" s="98"/>
      <c r="QQ187" s="98"/>
      <c r="QR187" s="98"/>
      <c r="QS187" s="98"/>
      <c r="QT187" s="98"/>
      <c r="QU187" s="98"/>
      <c r="QV187" s="98"/>
      <c r="QW187" s="98"/>
      <c r="QX187" s="98"/>
      <c r="QY187" s="98"/>
      <c r="QZ187" s="98"/>
      <c r="RA187" s="98"/>
      <c r="RB187" s="98"/>
      <c r="RC187" s="98"/>
      <c r="RD187" s="98"/>
      <c r="RE187" s="98"/>
      <c r="RF187" s="98"/>
      <c r="RG187" s="98"/>
      <c r="RH187" s="98"/>
      <c r="RI187" s="98"/>
      <c r="RJ187" s="98"/>
      <c r="RK187" s="98"/>
      <c r="RL187" s="98"/>
      <c r="RM187" s="98"/>
      <c r="RN187" s="98"/>
      <c r="RO187" s="98"/>
      <c r="RP187" s="98"/>
      <c r="RQ187" s="98"/>
      <c r="RR187" s="98"/>
      <c r="RS187" s="98"/>
      <c r="RT187" s="98"/>
      <c r="RU187" s="98"/>
      <c r="RV187" s="98"/>
      <c r="RW187" s="98"/>
      <c r="RX187" s="98"/>
      <c r="RY187" s="98"/>
      <c r="RZ187" s="98"/>
      <c r="SA187" s="98"/>
      <c r="SB187" s="98"/>
      <c r="SC187" s="98"/>
      <c r="SD187" s="98"/>
      <c r="SE187" s="98"/>
      <c r="SF187" s="98"/>
      <c r="SG187" s="98"/>
      <c r="SH187" s="98"/>
      <c r="SI187" s="98"/>
      <c r="SJ187" s="98"/>
      <c r="SK187" s="98"/>
      <c r="SL187" s="98"/>
      <c r="SM187" s="98"/>
      <c r="SN187" s="98"/>
      <c r="SO187" s="98"/>
      <c r="SP187" s="98"/>
      <c r="SQ187" s="98"/>
      <c r="SR187" s="98"/>
      <c r="SS187" s="98"/>
      <c r="ST187" s="98"/>
      <c r="SU187" s="98"/>
      <c r="SV187" s="98"/>
      <c r="SW187" s="98"/>
      <c r="SX187" s="98"/>
      <c r="SY187" s="98"/>
      <c r="SZ187" s="98"/>
      <c r="TA187" s="98"/>
      <c r="TB187" s="98"/>
      <c r="TC187" s="98"/>
      <c r="TD187" s="98"/>
      <c r="TE187" s="98"/>
      <c r="TF187" s="98"/>
      <c r="TG187" s="98"/>
      <c r="TH187" s="98"/>
      <c r="TI187" s="98"/>
      <c r="TJ187" s="98"/>
      <c r="TK187" s="98"/>
      <c r="TL187" s="98"/>
      <c r="TM187" s="98"/>
      <c r="TN187" s="98"/>
      <c r="TO187" s="98"/>
      <c r="TP187" s="98"/>
      <c r="TQ187" s="98"/>
      <c r="TR187" s="98"/>
      <c r="TS187" s="98"/>
      <c r="TT187" s="98"/>
      <c r="TU187" s="98"/>
      <c r="TV187" s="98"/>
      <c r="TW187" s="98"/>
      <c r="TX187" s="98"/>
      <c r="TY187" s="98"/>
      <c r="TZ187" s="98"/>
      <c r="UA187" s="98"/>
      <c r="UB187" s="98"/>
      <c r="UC187" s="98"/>
      <c r="UD187" s="98"/>
      <c r="UE187" s="98"/>
      <c r="UF187" s="98"/>
      <c r="UG187" s="98"/>
      <c r="UH187" s="98"/>
      <c r="UI187" s="98"/>
      <c r="UJ187" s="98"/>
      <c r="UK187" s="98"/>
      <c r="UL187" s="98"/>
      <c r="UM187" s="98"/>
      <c r="UN187" s="98"/>
      <c r="UO187" s="98"/>
      <c r="UP187" s="98"/>
      <c r="UQ187" s="98"/>
      <c r="UR187" s="98"/>
      <c r="US187" s="98"/>
      <c r="UT187" s="98"/>
      <c r="UU187" s="98"/>
      <c r="UV187" s="98"/>
      <c r="UW187" s="98"/>
      <c r="UX187" s="98"/>
      <c r="UY187" s="98"/>
      <c r="UZ187" s="98"/>
      <c r="VA187" s="98"/>
      <c r="VB187" s="98"/>
      <c r="VC187" s="98"/>
      <c r="VD187" s="98"/>
      <c r="VE187" s="98"/>
      <c r="VF187" s="98"/>
      <c r="VG187" s="98"/>
      <c r="VH187" s="98"/>
      <c r="VI187" s="98"/>
      <c r="VJ187" s="98"/>
      <c r="VK187" s="98"/>
      <c r="VL187" s="98"/>
      <c r="VM187" s="98"/>
      <c r="VN187" s="98"/>
      <c r="VO187" s="98"/>
      <c r="VP187" s="98"/>
      <c r="VQ187" s="98"/>
      <c r="VR187" s="98"/>
      <c r="VS187" s="98"/>
      <c r="VT187" s="98"/>
      <c r="VU187" s="98"/>
      <c r="VV187" s="98"/>
      <c r="VW187" s="98"/>
      <c r="VX187" s="98"/>
      <c r="VY187" s="98"/>
      <c r="VZ187" s="98"/>
      <c r="WA187" s="98"/>
      <c r="WB187" s="98"/>
      <c r="WC187" s="98"/>
      <c r="WD187" s="98"/>
      <c r="WE187" s="98"/>
      <c r="WF187" s="98"/>
      <c r="WG187" s="98"/>
      <c r="WH187" s="98"/>
      <c r="WI187" s="98"/>
      <c r="WJ187" s="98"/>
      <c r="WK187" s="98"/>
      <c r="WL187" s="98"/>
      <c r="WM187" s="98"/>
      <c r="WN187" s="98"/>
      <c r="WO187" s="98"/>
      <c r="WP187" s="98"/>
      <c r="WQ187" s="98"/>
      <c r="WR187" s="98"/>
      <c r="WS187" s="98"/>
      <c r="WT187" s="98"/>
      <c r="WU187" s="98"/>
      <c r="WV187" s="98"/>
      <c r="WW187" s="98"/>
      <c r="WX187" s="98"/>
      <c r="WY187" s="98"/>
      <c r="WZ187" s="98"/>
      <c r="XA187" s="98"/>
      <c r="XB187" s="98"/>
      <c r="XC187" s="98"/>
      <c r="XD187" s="98"/>
      <c r="XE187" s="98"/>
      <c r="XF187" s="98"/>
      <c r="XG187" s="98"/>
      <c r="XH187" s="98"/>
      <c r="XI187" s="98"/>
      <c r="XJ187" s="98"/>
      <c r="XK187" s="98"/>
      <c r="XL187" s="98"/>
      <c r="XM187" s="98"/>
      <c r="XN187" s="98"/>
      <c r="XO187" s="98"/>
      <c r="XP187" s="98"/>
      <c r="XQ187" s="98"/>
      <c r="XR187" s="98"/>
      <c r="XS187" s="98"/>
      <c r="XT187" s="98"/>
      <c r="XU187" s="98"/>
      <c r="XV187" s="98"/>
      <c r="XW187" s="98"/>
      <c r="XX187" s="98"/>
      <c r="XY187" s="98"/>
      <c r="XZ187" s="98"/>
      <c r="YA187" s="98"/>
      <c r="YB187" s="98"/>
      <c r="YC187" s="98"/>
      <c r="YD187" s="98"/>
      <c r="YE187" s="98"/>
      <c r="YF187" s="98"/>
      <c r="YG187" s="98"/>
      <c r="YH187" s="98"/>
      <c r="YI187" s="98"/>
      <c r="YJ187" s="98"/>
      <c r="YK187" s="98"/>
      <c r="YL187" s="98"/>
      <c r="YM187" s="98"/>
      <c r="YN187" s="98"/>
      <c r="YO187" s="98"/>
      <c r="YP187" s="98"/>
      <c r="YQ187" s="98"/>
      <c r="YR187" s="98"/>
      <c r="YS187" s="98"/>
      <c r="YT187" s="98"/>
      <c r="YU187" s="98"/>
      <c r="YV187" s="98"/>
      <c r="YW187" s="98"/>
      <c r="YX187" s="98"/>
      <c r="YY187" s="98"/>
      <c r="YZ187" s="98"/>
      <c r="ZA187" s="98"/>
      <c r="ZB187" s="98"/>
      <c r="ZC187" s="98"/>
      <c r="ZD187" s="98"/>
      <c r="ZE187" s="98"/>
      <c r="ZF187" s="98"/>
      <c r="ZG187" s="98"/>
      <c r="ZH187" s="98"/>
      <c r="ZI187" s="98"/>
      <c r="ZJ187" s="98"/>
      <c r="ZK187" s="98"/>
      <c r="ZL187" s="98"/>
      <c r="ZM187" s="98"/>
      <c r="ZN187" s="98"/>
      <c r="ZO187" s="98"/>
      <c r="ZP187" s="98"/>
      <c r="ZQ187" s="98"/>
      <c r="ZR187" s="98"/>
      <c r="ZS187" s="98"/>
      <c r="ZT187" s="98"/>
      <c r="ZU187" s="98"/>
      <c r="ZV187" s="98"/>
      <c r="ZW187" s="98"/>
      <c r="ZX187" s="98"/>
      <c r="ZY187" s="98"/>
      <c r="ZZ187" s="98"/>
      <c r="AAA187" s="98"/>
      <c r="AAB187" s="98"/>
      <c r="AAC187" s="98"/>
      <c r="AAD187" s="98"/>
      <c r="AAE187" s="98"/>
      <c r="AAF187" s="98"/>
      <c r="AAG187" s="98"/>
      <c r="AAH187" s="98"/>
      <c r="AAI187" s="98"/>
      <c r="AAJ187" s="98"/>
      <c r="AAK187" s="98"/>
      <c r="AAL187" s="98"/>
      <c r="AAM187" s="98"/>
      <c r="AAN187" s="98"/>
      <c r="AAO187" s="98"/>
      <c r="AAP187" s="98"/>
      <c r="AAQ187" s="98"/>
      <c r="AAR187" s="98"/>
      <c r="AAS187" s="98"/>
      <c r="AAT187" s="98"/>
      <c r="AAU187" s="98"/>
      <c r="AAV187" s="98"/>
      <c r="AAW187" s="98"/>
      <c r="AAX187" s="98"/>
      <c r="AAY187" s="98"/>
      <c r="AAZ187" s="98"/>
      <c r="ABA187" s="98"/>
      <c r="ABB187" s="98"/>
      <c r="ABC187" s="98"/>
      <c r="ABD187" s="98"/>
      <c r="ABE187" s="98"/>
      <c r="ABF187" s="98"/>
      <c r="ABG187" s="98"/>
      <c r="ABH187" s="98"/>
      <c r="ABI187" s="98"/>
      <c r="ABJ187" s="98"/>
      <c r="ABK187" s="98"/>
      <c r="ABL187" s="98"/>
      <c r="ABM187" s="98"/>
      <c r="ABN187" s="98"/>
      <c r="ABO187" s="98"/>
      <c r="ABP187" s="98"/>
      <c r="ABQ187" s="98"/>
      <c r="ABR187" s="98"/>
      <c r="ABS187" s="98"/>
      <c r="ABT187" s="98"/>
      <c r="ABU187" s="98"/>
      <c r="ABV187" s="98"/>
      <c r="ABW187" s="98"/>
      <c r="ABX187" s="98"/>
      <c r="ABY187" s="98"/>
      <c r="ABZ187" s="98"/>
      <c r="ACA187" s="98"/>
      <c r="ACB187" s="98"/>
      <c r="ACC187" s="98"/>
      <c r="ACD187" s="98"/>
      <c r="ACE187" s="98"/>
      <c r="ACF187" s="98"/>
      <c r="ACG187" s="98"/>
      <c r="ACH187" s="98"/>
      <c r="ACI187" s="98"/>
      <c r="ACJ187" s="98"/>
      <c r="ACK187" s="98"/>
      <c r="ACL187" s="98"/>
      <c r="ACM187" s="98"/>
      <c r="ACN187" s="98"/>
      <c r="ACO187" s="98"/>
      <c r="ACP187" s="98"/>
      <c r="ACQ187" s="98"/>
      <c r="ACR187" s="98"/>
      <c r="ACS187" s="98"/>
      <c r="ACT187" s="98"/>
      <c r="ACU187" s="98"/>
      <c r="ACV187" s="98"/>
      <c r="ACW187" s="98"/>
      <c r="ACX187" s="98"/>
      <c r="ACY187" s="98"/>
      <c r="ACZ187" s="98"/>
      <c r="ADA187" s="98"/>
      <c r="ADB187" s="98"/>
      <c r="ADC187" s="98"/>
      <c r="ADD187" s="98"/>
      <c r="ADE187" s="98"/>
      <c r="ADF187" s="98"/>
      <c r="ADG187" s="98"/>
      <c r="ADH187" s="98"/>
      <c r="ADI187" s="98"/>
      <c r="ADJ187" s="98"/>
      <c r="ADK187" s="98"/>
      <c r="ADL187" s="98"/>
      <c r="ADM187" s="98"/>
      <c r="ADN187" s="98"/>
      <c r="ADO187" s="98"/>
      <c r="ADP187" s="98"/>
      <c r="ADQ187" s="98"/>
      <c r="ADR187" s="98"/>
      <c r="ADS187" s="98"/>
      <c r="ADT187" s="98"/>
      <c r="ADU187" s="98"/>
      <c r="ADV187" s="98"/>
      <c r="ADW187" s="98"/>
      <c r="ADX187" s="98"/>
      <c r="ADY187" s="98"/>
      <c r="ADZ187" s="98"/>
      <c r="AEA187" s="98"/>
      <c r="AEB187" s="98"/>
      <c r="AEC187" s="98"/>
      <c r="AED187" s="98"/>
      <c r="AEE187" s="98"/>
      <c r="AEF187" s="98"/>
      <c r="AEG187" s="98"/>
      <c r="AEH187" s="98"/>
      <c r="AEI187" s="98"/>
      <c r="AEJ187" s="98"/>
      <c r="AEK187" s="98"/>
      <c r="AEL187" s="98"/>
      <c r="AEM187" s="98"/>
      <c r="AEN187" s="98"/>
      <c r="AEO187" s="98"/>
      <c r="AEP187" s="98"/>
      <c r="AEQ187" s="98"/>
      <c r="AER187" s="98"/>
      <c r="AES187" s="98"/>
      <c r="AET187" s="98"/>
      <c r="AEU187" s="98"/>
      <c r="AEV187" s="98"/>
      <c r="AEW187" s="98"/>
      <c r="AEX187" s="98"/>
      <c r="AEY187" s="98"/>
      <c r="AEZ187" s="98"/>
      <c r="AFA187" s="98"/>
      <c r="AFB187" s="98"/>
      <c r="AFC187" s="98"/>
      <c r="AFD187" s="98"/>
      <c r="AFE187" s="98"/>
      <c r="AFF187" s="98"/>
      <c r="AFG187" s="98"/>
      <c r="AFH187" s="98"/>
      <c r="AFI187" s="98"/>
      <c r="AFJ187" s="98"/>
      <c r="AFK187" s="98"/>
      <c r="AFL187" s="98"/>
      <c r="AFM187" s="98"/>
      <c r="AFN187" s="98"/>
      <c r="AFO187" s="98"/>
      <c r="AFP187" s="98"/>
      <c r="AFQ187" s="98"/>
      <c r="AFR187" s="98"/>
      <c r="AFS187" s="98"/>
      <c r="AFT187" s="98"/>
      <c r="AFU187" s="98"/>
      <c r="AFV187" s="98"/>
      <c r="AFW187" s="98"/>
      <c r="AFX187" s="98"/>
      <c r="AFY187" s="98"/>
      <c r="AFZ187" s="98"/>
      <c r="AGA187" s="98"/>
      <c r="AGB187" s="98"/>
      <c r="AGC187" s="98"/>
      <c r="AGD187" s="98"/>
      <c r="AGE187" s="98"/>
      <c r="AGF187" s="98"/>
      <c r="AGG187" s="98"/>
      <c r="AGH187" s="98"/>
      <c r="AGI187" s="98"/>
      <c r="AGJ187" s="98"/>
      <c r="AGK187" s="98"/>
      <c r="AGL187" s="98"/>
      <c r="AGM187" s="98"/>
      <c r="AGN187" s="98"/>
      <c r="AGO187" s="98"/>
      <c r="AGP187" s="98"/>
      <c r="AGQ187" s="98"/>
      <c r="AGR187" s="98"/>
      <c r="AGS187" s="98"/>
      <c r="AGT187" s="98"/>
      <c r="AGU187" s="98"/>
      <c r="AGV187" s="98"/>
      <c r="AGW187" s="98"/>
      <c r="AGX187" s="98"/>
      <c r="AGY187" s="98"/>
      <c r="AGZ187" s="98"/>
      <c r="AHA187" s="98"/>
      <c r="AHB187" s="98"/>
      <c r="AHC187" s="98"/>
      <c r="AHD187" s="98"/>
      <c r="AHE187" s="98"/>
      <c r="AHF187" s="98"/>
      <c r="AHG187" s="98"/>
      <c r="AHH187" s="98"/>
      <c r="AHI187" s="98"/>
      <c r="AHJ187" s="98"/>
      <c r="AHK187" s="98"/>
      <c r="AHL187" s="98"/>
      <c r="AHM187" s="98"/>
      <c r="AHN187" s="98"/>
      <c r="AHO187" s="98"/>
      <c r="AHP187" s="98"/>
      <c r="AHQ187" s="98"/>
      <c r="AHR187" s="98"/>
      <c r="AHS187" s="98"/>
      <c r="AHT187" s="98"/>
      <c r="AHU187" s="98"/>
      <c r="AHV187" s="98"/>
      <c r="AHW187" s="98"/>
      <c r="AHX187" s="98"/>
      <c r="AHY187" s="98"/>
      <c r="AHZ187" s="98"/>
      <c r="AIA187" s="98"/>
      <c r="AIB187" s="98"/>
      <c r="AIC187" s="98"/>
      <c r="AID187" s="98"/>
      <c r="AIE187" s="98"/>
      <c r="AIF187" s="98"/>
      <c r="AIG187" s="98"/>
      <c r="AIH187" s="98"/>
      <c r="AII187" s="98"/>
      <c r="AIJ187" s="98"/>
      <c r="AIK187" s="98"/>
      <c r="AIL187" s="98"/>
      <c r="AIM187" s="98"/>
      <c r="AIN187" s="98"/>
      <c r="AIO187" s="98"/>
      <c r="AIP187" s="98"/>
      <c r="AIQ187" s="98"/>
      <c r="AIR187" s="98"/>
      <c r="AIS187" s="98"/>
      <c r="AIT187" s="98"/>
      <c r="AIU187" s="98"/>
      <c r="AIV187" s="98"/>
      <c r="AIW187" s="98"/>
      <c r="AIX187" s="98"/>
      <c r="AIY187" s="98"/>
      <c r="AIZ187" s="98"/>
      <c r="AJA187" s="98"/>
      <c r="AJB187" s="98"/>
      <c r="AJC187" s="98"/>
      <c r="AJD187" s="98"/>
      <c r="AJE187" s="98"/>
      <c r="AJF187" s="98"/>
      <c r="AJG187" s="98"/>
      <c r="AJH187" s="98"/>
      <c r="AJI187" s="98"/>
      <c r="AJJ187" s="98"/>
      <c r="AJK187" s="98"/>
      <c r="AJL187" s="98"/>
      <c r="AJM187" s="98"/>
      <c r="AJN187" s="98"/>
      <c r="AJO187" s="98"/>
      <c r="AJP187" s="98"/>
      <c r="AJQ187" s="98"/>
      <c r="AJR187" s="98"/>
      <c r="AJS187" s="98"/>
      <c r="AJT187" s="98"/>
      <c r="AJU187" s="98"/>
      <c r="AJV187" s="98"/>
      <c r="AJW187" s="98"/>
      <c r="AJX187" s="98"/>
      <c r="AJY187" s="98"/>
      <c r="AJZ187" s="98"/>
      <c r="AKA187" s="98"/>
      <c r="AKB187" s="98"/>
      <c r="AKC187" s="98"/>
      <c r="AKD187" s="98"/>
      <c r="AKE187" s="98"/>
      <c r="AKF187" s="98"/>
      <c r="AKG187" s="98"/>
      <c r="AKH187" s="98"/>
      <c r="AKI187" s="98"/>
      <c r="AKJ187" s="98"/>
      <c r="AKK187" s="98"/>
      <c r="AKL187" s="98"/>
      <c r="AKM187" s="98"/>
      <c r="AKN187" s="98"/>
      <c r="AKO187" s="98"/>
      <c r="AKP187" s="98"/>
      <c r="AKQ187" s="98"/>
      <c r="AKR187" s="98"/>
      <c r="AKS187" s="98"/>
      <c r="AKT187" s="98"/>
      <c r="AKU187" s="98"/>
      <c r="AKV187" s="98"/>
      <c r="AKW187" s="98"/>
      <c r="AKX187" s="98"/>
      <c r="AKY187" s="98"/>
      <c r="AKZ187" s="98"/>
      <c r="ALA187" s="98"/>
      <c r="ALB187" s="98"/>
      <c r="ALC187" s="98"/>
      <c r="ALD187" s="98"/>
      <c r="ALE187" s="98"/>
      <c r="ALF187" s="98"/>
      <c r="ALG187" s="98"/>
      <c r="ALH187" s="98"/>
      <c r="ALI187" s="98"/>
      <c r="ALJ187" s="98"/>
      <c r="ALK187" s="98"/>
      <c r="ALL187" s="98"/>
      <c r="ALM187" s="98"/>
      <c r="ALN187" s="98"/>
      <c r="ALO187" s="98"/>
      <c r="ALP187" s="98"/>
      <c r="ALQ187" s="98"/>
      <c r="ALR187" s="98"/>
      <c r="ALS187" s="98"/>
      <c r="ALT187" s="98"/>
      <c r="ALU187" s="98"/>
      <c r="ALV187" s="98"/>
      <c r="ALW187" s="98"/>
      <c r="ALX187" s="98"/>
      <c r="ALY187" s="98"/>
      <c r="ALZ187" s="98"/>
      <c r="AMA187" s="98"/>
      <c r="AMB187" s="98"/>
      <c r="AMC187" s="98"/>
      <c r="AMD187" s="98"/>
      <c r="AME187" s="98"/>
      <c r="AMF187" s="98"/>
      <c r="AMG187" s="98"/>
      <c r="AMH187" s="98"/>
      <c r="AMI187" s="98"/>
      <c r="AMJ187" s="98"/>
      <c r="AMK187" s="98"/>
      <c r="AML187" s="98"/>
      <c r="AMM187" s="98"/>
      <c r="AMN187" s="98"/>
      <c r="AMO187" s="98"/>
      <c r="AMP187" s="98"/>
      <c r="AMQ187" s="98"/>
      <c r="AMR187" s="98"/>
      <c r="AMS187" s="98"/>
      <c r="AMT187" s="98"/>
      <c r="AMU187" s="98"/>
      <c r="AMV187" s="98"/>
      <c r="AMW187" s="98"/>
      <c r="AMX187" s="98"/>
      <c r="AMY187" s="98"/>
      <c r="AMZ187" s="98"/>
      <c r="ANA187" s="98"/>
      <c r="ANB187" s="98"/>
      <c r="ANC187" s="98"/>
      <c r="AND187" s="98"/>
      <c r="ANE187" s="98"/>
      <c r="ANF187" s="98"/>
      <c r="ANG187" s="98"/>
      <c r="ANH187" s="98"/>
      <c r="ANI187" s="98"/>
      <c r="ANJ187" s="98"/>
      <c r="ANK187" s="98"/>
      <c r="ANL187" s="98"/>
      <c r="ANM187" s="98"/>
      <c r="ANN187" s="98"/>
      <c r="ANO187" s="98"/>
      <c r="ANP187" s="98"/>
      <c r="ANQ187" s="98"/>
      <c r="ANR187" s="98"/>
      <c r="ANS187" s="98"/>
      <c r="ANT187" s="98"/>
      <c r="ANU187" s="98"/>
      <c r="ANV187" s="98"/>
      <c r="ANW187" s="98"/>
      <c r="ANX187" s="98"/>
      <c r="ANY187" s="98"/>
      <c r="ANZ187" s="98"/>
      <c r="AOA187" s="98"/>
      <c r="AOB187" s="98"/>
      <c r="AOC187" s="98"/>
      <c r="AOD187" s="98"/>
      <c r="AOE187" s="98"/>
      <c r="AOF187" s="98"/>
      <c r="AOG187" s="98"/>
      <c r="AOH187" s="98"/>
      <c r="AOI187" s="98"/>
      <c r="AOJ187" s="98"/>
      <c r="AOK187" s="98"/>
      <c r="AOL187" s="98"/>
      <c r="AOM187" s="98"/>
      <c r="AON187" s="98"/>
      <c r="AOO187" s="98"/>
      <c r="AOP187" s="98"/>
      <c r="AOQ187" s="98"/>
      <c r="AOR187" s="98"/>
      <c r="AOS187" s="98"/>
      <c r="AOT187" s="98"/>
      <c r="AOU187" s="98"/>
      <c r="AOV187" s="98"/>
      <c r="AOW187" s="98"/>
      <c r="AOX187" s="98"/>
      <c r="AOY187" s="98"/>
      <c r="AOZ187" s="98"/>
      <c r="APA187" s="98"/>
      <c r="APB187" s="98"/>
      <c r="APC187" s="98"/>
      <c r="APD187" s="98"/>
      <c r="APE187" s="98"/>
      <c r="APF187" s="98"/>
      <c r="APG187" s="98"/>
      <c r="APH187" s="98"/>
      <c r="API187" s="98"/>
      <c r="APJ187" s="98"/>
      <c r="APK187" s="98"/>
      <c r="APL187" s="98"/>
      <c r="APM187" s="98"/>
      <c r="APN187" s="98"/>
      <c r="APO187" s="98"/>
      <c r="APP187" s="98"/>
      <c r="APQ187" s="98"/>
      <c r="APR187" s="98"/>
      <c r="APS187" s="98"/>
      <c r="APT187" s="98"/>
      <c r="APU187" s="98"/>
      <c r="APV187" s="98"/>
      <c r="APW187" s="98"/>
      <c r="APX187" s="98"/>
      <c r="APY187" s="98"/>
      <c r="APZ187" s="98"/>
      <c r="AQA187" s="98"/>
      <c r="AQB187" s="98"/>
      <c r="AQC187" s="98"/>
      <c r="AQD187" s="98"/>
      <c r="AQE187" s="98"/>
      <c r="AQF187" s="98"/>
      <c r="AQG187" s="98"/>
      <c r="AQH187" s="98"/>
      <c r="AQI187" s="98"/>
      <c r="AQJ187" s="98"/>
      <c r="AQK187" s="98"/>
      <c r="AQL187" s="98"/>
      <c r="AQM187" s="98"/>
      <c r="AQN187" s="98"/>
      <c r="AQO187" s="98"/>
      <c r="AQP187" s="98"/>
      <c r="AQQ187" s="98"/>
      <c r="AQR187" s="98"/>
      <c r="AQS187" s="98"/>
      <c r="AQT187" s="98"/>
      <c r="AQU187" s="98"/>
      <c r="AQV187" s="98"/>
      <c r="AQW187" s="98"/>
      <c r="AQX187" s="98"/>
      <c r="AQY187" s="98"/>
      <c r="AQZ187" s="98"/>
      <c r="ARA187" s="98"/>
      <c r="ARB187" s="98"/>
      <c r="ARC187" s="98"/>
      <c r="ARD187" s="98"/>
      <c r="ARE187" s="98"/>
      <c r="ARF187" s="98"/>
      <c r="ARG187" s="98"/>
      <c r="ARH187" s="98"/>
      <c r="ARI187" s="98"/>
      <c r="ARJ187" s="98"/>
      <c r="ARK187" s="98"/>
      <c r="ARL187" s="98"/>
      <c r="ARM187" s="98"/>
      <c r="ARN187" s="98"/>
      <c r="ARO187" s="98"/>
      <c r="ARP187" s="98"/>
      <c r="ARQ187" s="98"/>
      <c r="ARR187" s="98"/>
      <c r="ARS187" s="98"/>
    </row>
    <row r="188" spans="1:1163">
      <c r="A188" s="138"/>
      <c r="B188" s="119"/>
      <c r="C188" s="175"/>
      <c r="D188" s="175"/>
      <c r="E188" s="167"/>
      <c r="F188" s="175"/>
      <c r="G188" s="167"/>
      <c r="H188" s="175"/>
      <c r="I188" s="167"/>
      <c r="J188" s="175"/>
      <c r="K188" s="167"/>
      <c r="L188" s="175"/>
      <c r="M188" s="167"/>
      <c r="N188" s="175"/>
      <c r="O188" s="167"/>
      <c r="P188" s="175"/>
      <c r="Q188" s="167"/>
      <c r="R188" s="175"/>
      <c r="S188" s="167"/>
      <c r="T188" s="175"/>
      <c r="U188" s="167"/>
      <c r="V188" s="175"/>
      <c r="W188" s="167"/>
      <c r="X188" s="175"/>
      <c r="Y188" s="167"/>
      <c r="Z188" s="175"/>
      <c r="AA188" s="167"/>
      <c r="AB188" s="175"/>
      <c r="AC188" s="167"/>
      <c r="AD188" s="175"/>
      <c r="AE188" s="167"/>
      <c r="AF188" s="175"/>
      <c r="AG188" s="167"/>
      <c r="AH188" s="175"/>
      <c r="AI188" s="167"/>
      <c r="AJ188" s="175"/>
      <c r="AK188" s="167"/>
      <c r="AL188" s="175"/>
      <c r="AM188" s="167"/>
      <c r="AN188" s="175"/>
      <c r="AO188" s="167"/>
      <c r="AP188" s="175"/>
      <c r="AQ188" s="167"/>
      <c r="AR188" s="175"/>
      <c r="AS188" s="167"/>
      <c r="AT188" s="175"/>
      <c r="AU188" s="167"/>
      <c r="AV188" s="175"/>
      <c r="AW188" s="175"/>
      <c r="AX188" s="175"/>
      <c r="AY188" s="677"/>
      <c r="AZ188" s="677"/>
      <c r="BA188" s="167"/>
      <c r="BB188" s="167"/>
      <c r="BC188" s="167"/>
      <c r="BD188" s="167"/>
      <c r="BE188" s="167"/>
      <c r="BF188" s="167"/>
      <c r="BG188" s="167"/>
      <c r="BH188" s="167"/>
      <c r="BI188" s="167"/>
      <c r="BJ188" s="98"/>
      <c r="BK188" s="148"/>
      <c r="BL188" s="148"/>
      <c r="BM188" s="148"/>
      <c r="BN188" s="148"/>
      <c r="BQ188" s="11"/>
    </row>
    <row r="189" spans="1:1163">
      <c r="A189" s="124" t="s">
        <v>198</v>
      </c>
      <c r="B189" s="127" t="s">
        <v>67</v>
      </c>
      <c r="C189" s="183">
        <v>1347984</v>
      </c>
      <c r="D189" s="183">
        <v>16309423</v>
      </c>
      <c r="E189" s="183">
        <v>0</v>
      </c>
      <c r="F189" s="183">
        <v>0</v>
      </c>
      <c r="G189" s="183">
        <v>0</v>
      </c>
      <c r="H189" s="183">
        <v>0</v>
      </c>
      <c r="I189" s="183">
        <v>0</v>
      </c>
      <c r="J189" s="183">
        <v>0</v>
      </c>
      <c r="K189" s="183">
        <v>0</v>
      </c>
      <c r="L189" s="183">
        <v>0</v>
      </c>
      <c r="M189" s="183">
        <v>0</v>
      </c>
      <c r="N189" s="183">
        <v>0</v>
      </c>
      <c r="O189" s="183">
        <v>0</v>
      </c>
      <c r="P189" s="183">
        <v>0</v>
      </c>
      <c r="Q189" s="183">
        <v>0</v>
      </c>
      <c r="R189" s="183">
        <v>0</v>
      </c>
      <c r="S189" s="183">
        <v>0</v>
      </c>
      <c r="T189" s="183">
        <v>0</v>
      </c>
      <c r="U189" s="183">
        <v>0</v>
      </c>
      <c r="V189" s="183">
        <v>0</v>
      </c>
      <c r="W189" s="183">
        <v>0</v>
      </c>
      <c r="X189" s="183">
        <v>0</v>
      </c>
      <c r="Y189" s="183">
        <v>0</v>
      </c>
      <c r="Z189" s="183">
        <v>0</v>
      </c>
      <c r="AA189" s="183">
        <v>0</v>
      </c>
      <c r="AB189" s="183">
        <v>0</v>
      </c>
      <c r="AC189" s="183">
        <v>0</v>
      </c>
      <c r="AD189" s="183">
        <v>0</v>
      </c>
      <c r="AE189" s="183">
        <v>0</v>
      </c>
      <c r="AF189" s="183">
        <v>0</v>
      </c>
      <c r="AG189" s="183">
        <v>0</v>
      </c>
      <c r="AH189" s="183">
        <v>0</v>
      </c>
      <c r="AI189" s="183">
        <v>0</v>
      </c>
      <c r="AJ189" s="183">
        <v>0</v>
      </c>
      <c r="AK189" s="183">
        <v>0</v>
      </c>
      <c r="AL189" s="183">
        <v>0</v>
      </c>
      <c r="AM189" s="183">
        <v>0</v>
      </c>
      <c r="AN189" s="183">
        <v>0</v>
      </c>
      <c r="AO189" s="183">
        <v>0</v>
      </c>
      <c r="AP189" s="183">
        <v>0</v>
      </c>
      <c r="AQ189" s="183">
        <v>0</v>
      </c>
      <c r="AR189" s="183">
        <v>0</v>
      </c>
      <c r="AS189" s="183">
        <v>0</v>
      </c>
      <c r="AT189" s="183">
        <v>0</v>
      </c>
      <c r="AU189" s="183">
        <v>0</v>
      </c>
      <c r="AV189" s="183">
        <v>0</v>
      </c>
      <c r="AW189" s="183">
        <v>0</v>
      </c>
      <c r="AX189" s="183">
        <v>0</v>
      </c>
      <c r="AY189" s="194">
        <v>0</v>
      </c>
      <c r="AZ189" s="194">
        <v>0</v>
      </c>
      <c r="BA189" s="1090"/>
      <c r="BB189" s="194"/>
      <c r="BC189" s="194"/>
      <c r="BD189" s="194"/>
      <c r="BE189" s="1090"/>
      <c r="BF189" s="194"/>
      <c r="BG189" s="194"/>
      <c r="BH189" s="194"/>
      <c r="BI189" s="1090"/>
      <c r="BJ189" s="98"/>
      <c r="BK189" s="148"/>
      <c r="BL189" s="148"/>
      <c r="BM189" s="148"/>
      <c r="BN189" s="148"/>
      <c r="BQ189" s="11"/>
    </row>
    <row r="190" spans="1:1163">
      <c r="A190" s="126"/>
      <c r="B190" s="127"/>
      <c r="C190" s="183"/>
      <c r="D190" s="183"/>
      <c r="E190" s="183"/>
      <c r="F190" s="183"/>
      <c r="G190" s="183"/>
      <c r="H190" s="183"/>
      <c r="I190" s="183"/>
      <c r="J190" s="183"/>
      <c r="K190" s="183"/>
      <c r="L190" s="183"/>
      <c r="M190" s="183"/>
      <c r="N190" s="183"/>
      <c r="O190" s="183"/>
      <c r="P190" s="183"/>
      <c r="Q190" s="183"/>
      <c r="R190" s="183"/>
      <c r="S190" s="183"/>
      <c r="T190" s="183"/>
      <c r="U190" s="184"/>
      <c r="V190" s="184"/>
      <c r="W190" s="202"/>
      <c r="X190" s="202"/>
      <c r="Y190" s="183"/>
      <c r="Z190" s="183"/>
      <c r="AA190" s="208"/>
      <c r="AB190" s="208"/>
      <c r="AC190" s="183"/>
      <c r="AD190" s="183"/>
      <c r="AE190" s="202"/>
      <c r="AF190" s="202"/>
      <c r="AG190" s="202"/>
      <c r="AH190" s="202"/>
      <c r="AI190" s="202"/>
      <c r="AJ190" s="202"/>
      <c r="AK190" s="202"/>
      <c r="AL190" s="202"/>
      <c r="AM190" s="202"/>
      <c r="AN190" s="202"/>
      <c r="AO190" s="202"/>
      <c r="AP190" s="202"/>
      <c r="AQ190" s="202"/>
      <c r="AR190" s="202"/>
      <c r="AS190" s="202"/>
      <c r="AT190" s="202"/>
      <c r="AU190" s="208"/>
      <c r="AV190" s="208"/>
      <c r="AW190" s="166"/>
      <c r="AX190" s="166"/>
      <c r="AY190" s="166"/>
      <c r="AZ190" s="166"/>
      <c r="BA190" s="166"/>
      <c r="BB190" s="166"/>
      <c r="BC190" s="166"/>
      <c r="BD190" s="166"/>
      <c r="BE190" s="166"/>
      <c r="BF190" s="166"/>
      <c r="BG190" s="166"/>
      <c r="BH190" s="166"/>
      <c r="BI190" s="196"/>
      <c r="BJ190" s="98"/>
      <c r="BK190" s="148"/>
      <c r="BL190" s="148"/>
      <c r="BM190" s="148"/>
      <c r="BQ190" s="11"/>
    </row>
    <row r="191" spans="1:1163" s="174" customFormat="1">
      <c r="A191" s="118" t="s">
        <v>199</v>
      </c>
      <c r="B191" s="119" t="s">
        <v>67</v>
      </c>
      <c r="C191" s="175">
        <v>36487053</v>
      </c>
      <c r="D191" s="175">
        <v>204916758</v>
      </c>
      <c r="E191" s="175">
        <v>3680844</v>
      </c>
      <c r="F191" s="175">
        <v>37553115</v>
      </c>
      <c r="G191" s="175">
        <v>3624031</v>
      </c>
      <c r="H191" s="175">
        <v>39074797</v>
      </c>
      <c r="I191" s="175">
        <v>3422159</v>
      </c>
      <c r="J191" s="175">
        <v>47673788</v>
      </c>
      <c r="K191" s="175">
        <v>3868254</v>
      </c>
      <c r="L191" s="175">
        <v>59706681</v>
      </c>
      <c r="M191" s="175">
        <v>4674017</v>
      </c>
      <c r="N191" s="175">
        <v>75252113</v>
      </c>
      <c r="O191" s="175">
        <v>4804185</v>
      </c>
      <c r="P191" s="175">
        <v>95918242</v>
      </c>
      <c r="Q191" s="175">
        <v>4947666</v>
      </c>
      <c r="R191" s="175">
        <v>103554621</v>
      </c>
      <c r="S191" s="175">
        <v>5276501</v>
      </c>
      <c r="T191" s="175">
        <v>105717998</v>
      </c>
      <c r="U191" s="197">
        <v>5849966</v>
      </c>
      <c r="V191" s="197">
        <v>98525973</v>
      </c>
      <c r="W191" s="197">
        <v>5904404</v>
      </c>
      <c r="X191" s="197">
        <v>112376112</v>
      </c>
      <c r="Y191" s="175">
        <v>6123511</v>
      </c>
      <c r="Z191" s="175">
        <v>130774588</v>
      </c>
      <c r="AA191" s="209">
        <v>6827230</v>
      </c>
      <c r="AB191" s="209">
        <v>149355769</v>
      </c>
      <c r="AC191" s="175">
        <v>6671678</v>
      </c>
      <c r="AD191" s="175">
        <v>155392954</v>
      </c>
      <c r="AE191" s="201">
        <v>6489360</v>
      </c>
      <c r="AF191" s="201">
        <v>158649336</v>
      </c>
      <c r="AG191" s="201">
        <v>6860725</v>
      </c>
      <c r="AH191" s="201">
        <v>153488853</v>
      </c>
      <c r="AI191" s="201">
        <v>7290514</v>
      </c>
      <c r="AJ191" s="201">
        <v>155813175</v>
      </c>
      <c r="AK191" s="201">
        <v>7214535.6160000004</v>
      </c>
      <c r="AL191" s="201">
        <v>143609587</v>
      </c>
      <c r="AM191" s="176">
        <v>8115941</v>
      </c>
      <c r="AN191" s="176">
        <v>172120951.07875273</v>
      </c>
      <c r="AO191" s="201">
        <v>8477039</v>
      </c>
      <c r="AP191" s="201">
        <v>210174154</v>
      </c>
      <c r="AQ191" s="201">
        <v>9016439.6600000001</v>
      </c>
      <c r="AR191" s="201">
        <v>212742024</v>
      </c>
      <c r="AS191" s="201">
        <v>7705425.3899999997</v>
      </c>
      <c r="AT191" s="201">
        <v>197315760</v>
      </c>
      <c r="AU191" s="209">
        <v>8576415</v>
      </c>
      <c r="AV191" s="209">
        <v>249240285</v>
      </c>
      <c r="AW191" s="175">
        <v>9171463</v>
      </c>
      <c r="AX191" s="175">
        <v>250526627</v>
      </c>
      <c r="AY191" s="175">
        <v>9752885</v>
      </c>
      <c r="AZ191" s="175">
        <v>197008925</v>
      </c>
      <c r="BA191" s="178"/>
      <c r="BB191" s="175"/>
      <c r="BC191" s="178"/>
      <c r="BD191" s="175"/>
      <c r="BE191" s="178"/>
      <c r="BF191" s="175"/>
      <c r="BG191" s="178"/>
      <c r="BH191" s="175"/>
      <c r="BI191" s="178"/>
      <c r="BJ191" s="98"/>
      <c r="BK191" s="148"/>
      <c r="BL191" s="148"/>
      <c r="BM191" s="148"/>
      <c r="BN191" s="98"/>
      <c r="BO191" s="98"/>
      <c r="BP191" s="98"/>
      <c r="BQ191" s="11"/>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c r="CT191" s="98"/>
      <c r="CU191" s="98"/>
      <c r="CV191" s="98"/>
      <c r="CW191" s="98"/>
      <c r="CX191" s="98"/>
      <c r="CY191" s="98"/>
      <c r="CZ191" s="98"/>
      <c r="DA191" s="98"/>
      <c r="DB191" s="98"/>
      <c r="DC191" s="98"/>
      <c r="DD191" s="98"/>
      <c r="DE191" s="98"/>
      <c r="DF191" s="98"/>
      <c r="DG191" s="98"/>
      <c r="DH191" s="98"/>
      <c r="DI191" s="98"/>
      <c r="DJ191" s="98"/>
      <c r="DK191" s="98"/>
      <c r="DL191" s="98"/>
      <c r="DM191" s="98"/>
      <c r="DN191" s="98"/>
      <c r="DO191" s="98"/>
      <c r="DP191" s="98"/>
      <c r="DQ191" s="98"/>
      <c r="DR191" s="98"/>
      <c r="DS191" s="98"/>
      <c r="DT191" s="98"/>
      <c r="DU191" s="98"/>
      <c r="DV191" s="98"/>
      <c r="DW191" s="98"/>
      <c r="DX191" s="98"/>
      <c r="DY191" s="98"/>
      <c r="DZ191" s="98"/>
      <c r="EA191" s="98"/>
      <c r="EB191" s="98"/>
      <c r="EC191" s="98"/>
      <c r="ED191" s="98"/>
      <c r="EE191" s="98"/>
      <c r="EF191" s="98"/>
      <c r="EG191" s="98"/>
      <c r="EH191" s="98"/>
      <c r="EI191" s="98"/>
      <c r="EJ191" s="98"/>
      <c r="EK191" s="98"/>
      <c r="EL191" s="98"/>
      <c r="EM191" s="98"/>
      <c r="EN191" s="98"/>
      <c r="EO191" s="98"/>
      <c r="EP191" s="98"/>
      <c r="EQ191" s="98"/>
      <c r="ER191" s="98"/>
      <c r="ES191" s="98"/>
      <c r="ET191" s="98"/>
      <c r="EU191" s="98"/>
      <c r="EV191" s="98"/>
      <c r="EW191" s="98"/>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c r="IW191" s="98"/>
      <c r="IX191" s="98"/>
      <c r="IY191" s="98"/>
      <c r="IZ191" s="98"/>
      <c r="JA191" s="98"/>
      <c r="JB191" s="98"/>
      <c r="JC191" s="98"/>
      <c r="JD191" s="98"/>
      <c r="JE191" s="98"/>
      <c r="JF191" s="98"/>
      <c r="JG191" s="98"/>
      <c r="JH191" s="98"/>
      <c r="JI191" s="98"/>
      <c r="JJ191" s="98"/>
      <c r="JK191" s="98"/>
      <c r="JL191" s="98"/>
      <c r="JM191" s="98"/>
      <c r="JN191" s="98"/>
      <c r="JO191" s="98"/>
      <c r="JP191" s="98"/>
      <c r="JQ191" s="98"/>
      <c r="JR191" s="98"/>
      <c r="JS191" s="98"/>
      <c r="JT191" s="98"/>
      <c r="JU191" s="98"/>
      <c r="JV191" s="98"/>
      <c r="JW191" s="98"/>
      <c r="JX191" s="98"/>
      <c r="JY191" s="98"/>
      <c r="JZ191" s="98"/>
      <c r="KA191" s="98"/>
      <c r="KB191" s="98"/>
      <c r="KC191" s="98"/>
      <c r="KD191" s="98"/>
      <c r="KE191" s="98"/>
      <c r="KF191" s="98"/>
      <c r="KG191" s="98"/>
      <c r="KH191" s="98"/>
      <c r="KI191" s="98"/>
      <c r="KJ191" s="98"/>
      <c r="KK191" s="98"/>
      <c r="KL191" s="98"/>
      <c r="KM191" s="98"/>
      <c r="KN191" s="98"/>
      <c r="KO191" s="98"/>
      <c r="KP191" s="98"/>
      <c r="KQ191" s="98"/>
      <c r="KR191" s="98"/>
      <c r="KS191" s="98"/>
      <c r="KT191" s="98"/>
      <c r="KU191" s="98"/>
      <c r="KV191" s="98"/>
      <c r="KW191" s="98"/>
      <c r="KX191" s="98"/>
      <c r="KY191" s="98"/>
      <c r="KZ191" s="98"/>
      <c r="LA191" s="98"/>
      <c r="LB191" s="98"/>
      <c r="LC191" s="98"/>
      <c r="LD191" s="98"/>
      <c r="LE191" s="98"/>
      <c r="LF191" s="98"/>
      <c r="LG191" s="98"/>
      <c r="LH191" s="98"/>
      <c r="LI191" s="98"/>
      <c r="LJ191" s="98"/>
      <c r="LK191" s="98"/>
      <c r="LL191" s="98"/>
      <c r="LM191" s="98"/>
      <c r="LN191" s="98"/>
      <c r="LO191" s="98"/>
      <c r="LP191" s="98"/>
      <c r="LQ191" s="98"/>
      <c r="LR191" s="98"/>
      <c r="LS191" s="98"/>
      <c r="LT191" s="98"/>
      <c r="LU191" s="98"/>
      <c r="LV191" s="98"/>
      <c r="LW191" s="98"/>
      <c r="LX191" s="98"/>
      <c r="LY191" s="98"/>
      <c r="LZ191" s="98"/>
      <c r="MA191" s="98"/>
      <c r="MB191" s="98"/>
      <c r="MC191" s="98"/>
      <c r="MD191" s="98"/>
      <c r="ME191" s="98"/>
      <c r="MF191" s="98"/>
      <c r="MG191" s="98"/>
      <c r="MH191" s="98"/>
      <c r="MI191" s="98"/>
      <c r="MJ191" s="98"/>
      <c r="MK191" s="98"/>
      <c r="ML191" s="98"/>
      <c r="MM191" s="98"/>
      <c r="MN191" s="98"/>
      <c r="MO191" s="98"/>
      <c r="MP191" s="98"/>
      <c r="MQ191" s="98"/>
      <c r="MR191" s="98"/>
      <c r="MS191" s="98"/>
      <c r="MT191" s="98"/>
      <c r="MU191" s="98"/>
      <c r="MV191" s="98"/>
      <c r="MW191" s="98"/>
      <c r="MX191" s="98"/>
      <c r="MY191" s="98"/>
      <c r="MZ191" s="98"/>
      <c r="NA191" s="98"/>
      <c r="NB191" s="98"/>
      <c r="NC191" s="98"/>
      <c r="ND191" s="98"/>
      <c r="NE191" s="98"/>
      <c r="NF191" s="98"/>
      <c r="NG191" s="98"/>
      <c r="NH191" s="98"/>
      <c r="NI191" s="98"/>
      <c r="NJ191" s="98"/>
      <c r="NK191" s="98"/>
      <c r="NL191" s="98"/>
      <c r="NM191" s="98"/>
      <c r="NN191" s="98"/>
      <c r="NO191" s="98"/>
      <c r="NP191" s="98"/>
      <c r="NQ191" s="98"/>
      <c r="NR191" s="98"/>
      <c r="NS191" s="98"/>
      <c r="NT191" s="98"/>
      <c r="NU191" s="98"/>
      <c r="NV191" s="98"/>
      <c r="NW191" s="98"/>
      <c r="NX191" s="98"/>
      <c r="NY191" s="98"/>
      <c r="NZ191" s="98"/>
      <c r="OA191" s="98"/>
      <c r="OB191" s="98"/>
      <c r="OC191" s="98"/>
      <c r="OD191" s="98"/>
      <c r="OE191" s="98"/>
      <c r="OF191" s="98"/>
      <c r="OG191" s="98"/>
      <c r="OH191" s="98"/>
      <c r="OI191" s="98"/>
      <c r="OJ191" s="98"/>
      <c r="OK191" s="98"/>
      <c r="OL191" s="98"/>
      <c r="OM191" s="98"/>
      <c r="ON191" s="98"/>
      <c r="OO191" s="98"/>
      <c r="OP191" s="98"/>
      <c r="OQ191" s="98"/>
      <c r="OR191" s="98"/>
      <c r="OS191" s="98"/>
      <c r="OT191" s="98"/>
      <c r="OU191" s="98"/>
      <c r="OV191" s="98"/>
      <c r="OW191" s="98"/>
      <c r="OX191" s="98"/>
      <c r="OY191" s="98"/>
      <c r="OZ191" s="98"/>
      <c r="PA191" s="98"/>
      <c r="PB191" s="98"/>
      <c r="PC191" s="98"/>
      <c r="PD191" s="98"/>
      <c r="PE191" s="98"/>
      <c r="PF191" s="98"/>
      <c r="PG191" s="98"/>
      <c r="PH191" s="98"/>
      <c r="PI191" s="98"/>
      <c r="PJ191" s="98"/>
      <c r="PK191" s="98"/>
      <c r="PL191" s="98"/>
      <c r="PM191" s="98"/>
      <c r="PN191" s="98"/>
      <c r="PO191" s="98"/>
      <c r="PP191" s="98"/>
      <c r="PQ191" s="98"/>
      <c r="PR191" s="98"/>
      <c r="PS191" s="98"/>
      <c r="PT191" s="98"/>
      <c r="PU191" s="98"/>
      <c r="PV191" s="98"/>
      <c r="PW191" s="98"/>
      <c r="PX191" s="98"/>
      <c r="PY191" s="98"/>
      <c r="PZ191" s="98"/>
      <c r="QA191" s="98"/>
      <c r="QB191" s="98"/>
      <c r="QC191" s="98"/>
      <c r="QD191" s="98"/>
      <c r="QE191" s="98"/>
      <c r="QF191" s="98"/>
      <c r="QG191" s="98"/>
      <c r="QH191" s="98"/>
      <c r="QI191" s="98"/>
      <c r="QJ191" s="98"/>
      <c r="QK191" s="98"/>
      <c r="QL191" s="98"/>
      <c r="QM191" s="98"/>
      <c r="QN191" s="98"/>
      <c r="QO191" s="98"/>
      <c r="QP191" s="98"/>
      <c r="QQ191" s="98"/>
      <c r="QR191" s="98"/>
      <c r="QS191" s="98"/>
      <c r="QT191" s="98"/>
      <c r="QU191" s="98"/>
      <c r="QV191" s="98"/>
      <c r="QW191" s="98"/>
      <c r="QX191" s="98"/>
      <c r="QY191" s="98"/>
      <c r="QZ191" s="98"/>
      <c r="RA191" s="98"/>
      <c r="RB191" s="98"/>
      <c r="RC191" s="98"/>
      <c r="RD191" s="98"/>
      <c r="RE191" s="98"/>
      <c r="RF191" s="98"/>
      <c r="RG191" s="98"/>
      <c r="RH191" s="98"/>
      <c r="RI191" s="98"/>
      <c r="RJ191" s="98"/>
      <c r="RK191" s="98"/>
      <c r="RL191" s="98"/>
      <c r="RM191" s="98"/>
      <c r="RN191" s="98"/>
      <c r="RO191" s="98"/>
      <c r="RP191" s="98"/>
      <c r="RQ191" s="98"/>
      <c r="RR191" s="98"/>
      <c r="RS191" s="98"/>
      <c r="RT191" s="98"/>
      <c r="RU191" s="98"/>
      <c r="RV191" s="98"/>
      <c r="RW191" s="98"/>
      <c r="RX191" s="98"/>
      <c r="RY191" s="98"/>
      <c r="RZ191" s="98"/>
      <c r="SA191" s="98"/>
      <c r="SB191" s="98"/>
      <c r="SC191" s="98"/>
      <c r="SD191" s="98"/>
      <c r="SE191" s="98"/>
      <c r="SF191" s="98"/>
      <c r="SG191" s="98"/>
      <c r="SH191" s="98"/>
      <c r="SI191" s="98"/>
      <c r="SJ191" s="98"/>
      <c r="SK191" s="98"/>
      <c r="SL191" s="98"/>
      <c r="SM191" s="98"/>
      <c r="SN191" s="98"/>
      <c r="SO191" s="98"/>
      <c r="SP191" s="98"/>
      <c r="SQ191" s="98"/>
      <c r="SR191" s="98"/>
      <c r="SS191" s="98"/>
      <c r="ST191" s="98"/>
      <c r="SU191" s="98"/>
      <c r="SV191" s="98"/>
      <c r="SW191" s="98"/>
      <c r="SX191" s="98"/>
      <c r="SY191" s="98"/>
      <c r="SZ191" s="98"/>
      <c r="TA191" s="98"/>
      <c r="TB191" s="98"/>
      <c r="TC191" s="98"/>
      <c r="TD191" s="98"/>
      <c r="TE191" s="98"/>
      <c r="TF191" s="98"/>
      <c r="TG191" s="98"/>
      <c r="TH191" s="98"/>
      <c r="TI191" s="98"/>
      <c r="TJ191" s="98"/>
      <c r="TK191" s="98"/>
      <c r="TL191" s="98"/>
      <c r="TM191" s="98"/>
      <c r="TN191" s="98"/>
      <c r="TO191" s="98"/>
      <c r="TP191" s="98"/>
      <c r="TQ191" s="98"/>
      <c r="TR191" s="98"/>
      <c r="TS191" s="98"/>
      <c r="TT191" s="98"/>
      <c r="TU191" s="98"/>
      <c r="TV191" s="98"/>
      <c r="TW191" s="98"/>
      <c r="TX191" s="98"/>
      <c r="TY191" s="98"/>
      <c r="TZ191" s="98"/>
      <c r="UA191" s="98"/>
      <c r="UB191" s="98"/>
      <c r="UC191" s="98"/>
      <c r="UD191" s="98"/>
      <c r="UE191" s="98"/>
      <c r="UF191" s="98"/>
      <c r="UG191" s="98"/>
      <c r="UH191" s="98"/>
      <c r="UI191" s="98"/>
      <c r="UJ191" s="98"/>
      <c r="UK191" s="98"/>
      <c r="UL191" s="98"/>
      <c r="UM191" s="98"/>
      <c r="UN191" s="98"/>
      <c r="UO191" s="98"/>
      <c r="UP191" s="98"/>
      <c r="UQ191" s="98"/>
      <c r="UR191" s="98"/>
      <c r="US191" s="98"/>
      <c r="UT191" s="98"/>
      <c r="UU191" s="98"/>
      <c r="UV191" s="98"/>
      <c r="UW191" s="98"/>
      <c r="UX191" s="98"/>
      <c r="UY191" s="98"/>
      <c r="UZ191" s="98"/>
      <c r="VA191" s="98"/>
      <c r="VB191" s="98"/>
      <c r="VC191" s="98"/>
      <c r="VD191" s="98"/>
      <c r="VE191" s="98"/>
      <c r="VF191" s="98"/>
      <c r="VG191" s="98"/>
      <c r="VH191" s="98"/>
      <c r="VI191" s="98"/>
      <c r="VJ191" s="98"/>
      <c r="VK191" s="98"/>
      <c r="VL191" s="98"/>
      <c r="VM191" s="98"/>
      <c r="VN191" s="98"/>
      <c r="VO191" s="98"/>
      <c r="VP191" s="98"/>
      <c r="VQ191" s="98"/>
      <c r="VR191" s="98"/>
      <c r="VS191" s="98"/>
      <c r="VT191" s="98"/>
      <c r="VU191" s="98"/>
      <c r="VV191" s="98"/>
      <c r="VW191" s="98"/>
      <c r="VX191" s="98"/>
      <c r="VY191" s="98"/>
      <c r="VZ191" s="98"/>
      <c r="WA191" s="98"/>
      <c r="WB191" s="98"/>
      <c r="WC191" s="98"/>
      <c r="WD191" s="98"/>
      <c r="WE191" s="98"/>
      <c r="WF191" s="98"/>
      <c r="WG191" s="98"/>
      <c r="WH191" s="98"/>
      <c r="WI191" s="98"/>
      <c r="WJ191" s="98"/>
      <c r="WK191" s="98"/>
      <c r="WL191" s="98"/>
      <c r="WM191" s="98"/>
      <c r="WN191" s="98"/>
      <c r="WO191" s="98"/>
      <c r="WP191" s="98"/>
      <c r="WQ191" s="98"/>
      <c r="WR191" s="98"/>
      <c r="WS191" s="98"/>
      <c r="WT191" s="98"/>
      <c r="WU191" s="98"/>
      <c r="WV191" s="98"/>
      <c r="WW191" s="98"/>
      <c r="WX191" s="98"/>
      <c r="WY191" s="98"/>
      <c r="WZ191" s="98"/>
      <c r="XA191" s="98"/>
      <c r="XB191" s="98"/>
      <c r="XC191" s="98"/>
      <c r="XD191" s="98"/>
      <c r="XE191" s="98"/>
      <c r="XF191" s="98"/>
      <c r="XG191" s="98"/>
      <c r="XH191" s="98"/>
      <c r="XI191" s="98"/>
      <c r="XJ191" s="98"/>
      <c r="XK191" s="98"/>
      <c r="XL191" s="98"/>
      <c r="XM191" s="98"/>
      <c r="XN191" s="98"/>
      <c r="XO191" s="98"/>
      <c r="XP191" s="98"/>
      <c r="XQ191" s="98"/>
      <c r="XR191" s="98"/>
      <c r="XS191" s="98"/>
      <c r="XT191" s="98"/>
      <c r="XU191" s="98"/>
      <c r="XV191" s="98"/>
      <c r="XW191" s="98"/>
      <c r="XX191" s="98"/>
      <c r="XY191" s="98"/>
      <c r="XZ191" s="98"/>
      <c r="YA191" s="98"/>
      <c r="YB191" s="98"/>
      <c r="YC191" s="98"/>
      <c r="YD191" s="98"/>
      <c r="YE191" s="98"/>
      <c r="YF191" s="98"/>
      <c r="YG191" s="98"/>
      <c r="YH191" s="98"/>
      <c r="YI191" s="98"/>
      <c r="YJ191" s="98"/>
      <c r="YK191" s="98"/>
      <c r="YL191" s="98"/>
      <c r="YM191" s="98"/>
      <c r="YN191" s="98"/>
      <c r="YO191" s="98"/>
      <c r="YP191" s="98"/>
      <c r="YQ191" s="98"/>
      <c r="YR191" s="98"/>
      <c r="YS191" s="98"/>
      <c r="YT191" s="98"/>
      <c r="YU191" s="98"/>
      <c r="YV191" s="98"/>
      <c r="YW191" s="98"/>
      <c r="YX191" s="98"/>
      <c r="YY191" s="98"/>
      <c r="YZ191" s="98"/>
      <c r="ZA191" s="98"/>
      <c r="ZB191" s="98"/>
      <c r="ZC191" s="98"/>
      <c r="ZD191" s="98"/>
      <c r="ZE191" s="98"/>
      <c r="ZF191" s="98"/>
      <c r="ZG191" s="98"/>
      <c r="ZH191" s="98"/>
      <c r="ZI191" s="98"/>
      <c r="ZJ191" s="98"/>
      <c r="ZK191" s="98"/>
      <c r="ZL191" s="98"/>
      <c r="ZM191" s="98"/>
      <c r="ZN191" s="98"/>
      <c r="ZO191" s="98"/>
      <c r="ZP191" s="98"/>
      <c r="ZQ191" s="98"/>
      <c r="ZR191" s="98"/>
      <c r="ZS191" s="98"/>
      <c r="ZT191" s="98"/>
      <c r="ZU191" s="98"/>
      <c r="ZV191" s="98"/>
      <c r="ZW191" s="98"/>
      <c r="ZX191" s="98"/>
      <c r="ZY191" s="98"/>
      <c r="ZZ191" s="98"/>
      <c r="AAA191" s="98"/>
      <c r="AAB191" s="98"/>
      <c r="AAC191" s="98"/>
      <c r="AAD191" s="98"/>
      <c r="AAE191" s="98"/>
      <c r="AAF191" s="98"/>
      <c r="AAG191" s="98"/>
      <c r="AAH191" s="98"/>
      <c r="AAI191" s="98"/>
      <c r="AAJ191" s="98"/>
      <c r="AAK191" s="98"/>
      <c r="AAL191" s="98"/>
      <c r="AAM191" s="98"/>
      <c r="AAN191" s="98"/>
      <c r="AAO191" s="98"/>
      <c r="AAP191" s="98"/>
      <c r="AAQ191" s="98"/>
      <c r="AAR191" s="98"/>
      <c r="AAS191" s="98"/>
      <c r="AAT191" s="98"/>
      <c r="AAU191" s="98"/>
      <c r="AAV191" s="98"/>
      <c r="AAW191" s="98"/>
      <c r="AAX191" s="98"/>
      <c r="AAY191" s="98"/>
      <c r="AAZ191" s="98"/>
      <c r="ABA191" s="98"/>
      <c r="ABB191" s="98"/>
      <c r="ABC191" s="98"/>
      <c r="ABD191" s="98"/>
      <c r="ABE191" s="98"/>
      <c r="ABF191" s="98"/>
      <c r="ABG191" s="98"/>
      <c r="ABH191" s="98"/>
      <c r="ABI191" s="98"/>
      <c r="ABJ191" s="98"/>
      <c r="ABK191" s="98"/>
      <c r="ABL191" s="98"/>
      <c r="ABM191" s="98"/>
      <c r="ABN191" s="98"/>
      <c r="ABO191" s="98"/>
      <c r="ABP191" s="98"/>
      <c r="ABQ191" s="98"/>
      <c r="ABR191" s="98"/>
      <c r="ABS191" s="98"/>
      <c r="ABT191" s="98"/>
      <c r="ABU191" s="98"/>
      <c r="ABV191" s="98"/>
      <c r="ABW191" s="98"/>
      <c r="ABX191" s="98"/>
      <c r="ABY191" s="98"/>
      <c r="ABZ191" s="98"/>
      <c r="ACA191" s="98"/>
      <c r="ACB191" s="98"/>
      <c r="ACC191" s="98"/>
      <c r="ACD191" s="98"/>
      <c r="ACE191" s="98"/>
      <c r="ACF191" s="98"/>
      <c r="ACG191" s="98"/>
      <c r="ACH191" s="98"/>
      <c r="ACI191" s="98"/>
      <c r="ACJ191" s="98"/>
      <c r="ACK191" s="98"/>
      <c r="ACL191" s="98"/>
      <c r="ACM191" s="98"/>
      <c r="ACN191" s="98"/>
      <c r="ACO191" s="98"/>
      <c r="ACP191" s="98"/>
      <c r="ACQ191" s="98"/>
      <c r="ACR191" s="98"/>
      <c r="ACS191" s="98"/>
      <c r="ACT191" s="98"/>
      <c r="ACU191" s="98"/>
      <c r="ACV191" s="98"/>
      <c r="ACW191" s="98"/>
      <c r="ACX191" s="98"/>
      <c r="ACY191" s="98"/>
      <c r="ACZ191" s="98"/>
      <c r="ADA191" s="98"/>
      <c r="ADB191" s="98"/>
      <c r="ADC191" s="98"/>
      <c r="ADD191" s="98"/>
      <c r="ADE191" s="98"/>
      <c r="ADF191" s="98"/>
      <c r="ADG191" s="98"/>
      <c r="ADH191" s="98"/>
      <c r="ADI191" s="98"/>
      <c r="ADJ191" s="98"/>
      <c r="ADK191" s="98"/>
      <c r="ADL191" s="98"/>
      <c r="ADM191" s="98"/>
      <c r="ADN191" s="98"/>
      <c r="ADO191" s="98"/>
      <c r="ADP191" s="98"/>
      <c r="ADQ191" s="98"/>
      <c r="ADR191" s="98"/>
      <c r="ADS191" s="98"/>
      <c r="ADT191" s="98"/>
      <c r="ADU191" s="98"/>
      <c r="ADV191" s="98"/>
      <c r="ADW191" s="98"/>
      <c r="ADX191" s="98"/>
      <c r="ADY191" s="98"/>
      <c r="ADZ191" s="98"/>
      <c r="AEA191" s="98"/>
      <c r="AEB191" s="98"/>
      <c r="AEC191" s="98"/>
      <c r="AED191" s="98"/>
      <c r="AEE191" s="98"/>
      <c r="AEF191" s="98"/>
      <c r="AEG191" s="98"/>
      <c r="AEH191" s="98"/>
      <c r="AEI191" s="98"/>
      <c r="AEJ191" s="98"/>
      <c r="AEK191" s="98"/>
      <c r="AEL191" s="98"/>
      <c r="AEM191" s="98"/>
      <c r="AEN191" s="98"/>
      <c r="AEO191" s="98"/>
      <c r="AEP191" s="98"/>
      <c r="AEQ191" s="98"/>
      <c r="AER191" s="98"/>
      <c r="AES191" s="98"/>
      <c r="AET191" s="98"/>
      <c r="AEU191" s="98"/>
      <c r="AEV191" s="98"/>
      <c r="AEW191" s="98"/>
      <c r="AEX191" s="98"/>
      <c r="AEY191" s="98"/>
      <c r="AEZ191" s="98"/>
      <c r="AFA191" s="98"/>
      <c r="AFB191" s="98"/>
      <c r="AFC191" s="98"/>
      <c r="AFD191" s="98"/>
      <c r="AFE191" s="98"/>
      <c r="AFF191" s="98"/>
      <c r="AFG191" s="98"/>
      <c r="AFH191" s="98"/>
      <c r="AFI191" s="98"/>
      <c r="AFJ191" s="98"/>
      <c r="AFK191" s="98"/>
      <c r="AFL191" s="98"/>
      <c r="AFM191" s="98"/>
      <c r="AFN191" s="98"/>
      <c r="AFO191" s="98"/>
      <c r="AFP191" s="98"/>
      <c r="AFQ191" s="98"/>
      <c r="AFR191" s="98"/>
      <c r="AFS191" s="98"/>
      <c r="AFT191" s="98"/>
      <c r="AFU191" s="98"/>
      <c r="AFV191" s="98"/>
      <c r="AFW191" s="98"/>
      <c r="AFX191" s="98"/>
      <c r="AFY191" s="98"/>
      <c r="AFZ191" s="98"/>
      <c r="AGA191" s="98"/>
      <c r="AGB191" s="98"/>
      <c r="AGC191" s="98"/>
      <c r="AGD191" s="98"/>
      <c r="AGE191" s="98"/>
      <c r="AGF191" s="98"/>
      <c r="AGG191" s="98"/>
      <c r="AGH191" s="98"/>
      <c r="AGI191" s="98"/>
      <c r="AGJ191" s="98"/>
      <c r="AGK191" s="98"/>
      <c r="AGL191" s="98"/>
      <c r="AGM191" s="98"/>
      <c r="AGN191" s="98"/>
      <c r="AGO191" s="98"/>
      <c r="AGP191" s="98"/>
      <c r="AGQ191" s="98"/>
      <c r="AGR191" s="98"/>
      <c r="AGS191" s="98"/>
      <c r="AGT191" s="98"/>
      <c r="AGU191" s="98"/>
      <c r="AGV191" s="98"/>
      <c r="AGW191" s="98"/>
      <c r="AGX191" s="98"/>
      <c r="AGY191" s="98"/>
      <c r="AGZ191" s="98"/>
      <c r="AHA191" s="98"/>
      <c r="AHB191" s="98"/>
      <c r="AHC191" s="98"/>
      <c r="AHD191" s="98"/>
      <c r="AHE191" s="98"/>
      <c r="AHF191" s="98"/>
      <c r="AHG191" s="98"/>
      <c r="AHH191" s="98"/>
      <c r="AHI191" s="98"/>
      <c r="AHJ191" s="98"/>
      <c r="AHK191" s="98"/>
      <c r="AHL191" s="98"/>
      <c r="AHM191" s="98"/>
      <c r="AHN191" s="98"/>
      <c r="AHO191" s="98"/>
      <c r="AHP191" s="98"/>
      <c r="AHQ191" s="98"/>
      <c r="AHR191" s="98"/>
      <c r="AHS191" s="98"/>
      <c r="AHT191" s="98"/>
      <c r="AHU191" s="98"/>
      <c r="AHV191" s="98"/>
      <c r="AHW191" s="98"/>
      <c r="AHX191" s="98"/>
      <c r="AHY191" s="98"/>
      <c r="AHZ191" s="98"/>
      <c r="AIA191" s="98"/>
      <c r="AIB191" s="98"/>
      <c r="AIC191" s="98"/>
      <c r="AID191" s="98"/>
      <c r="AIE191" s="98"/>
      <c r="AIF191" s="98"/>
      <c r="AIG191" s="98"/>
      <c r="AIH191" s="98"/>
      <c r="AII191" s="98"/>
      <c r="AIJ191" s="98"/>
      <c r="AIK191" s="98"/>
      <c r="AIL191" s="98"/>
      <c r="AIM191" s="98"/>
      <c r="AIN191" s="98"/>
      <c r="AIO191" s="98"/>
      <c r="AIP191" s="98"/>
      <c r="AIQ191" s="98"/>
      <c r="AIR191" s="98"/>
      <c r="AIS191" s="98"/>
      <c r="AIT191" s="98"/>
      <c r="AIU191" s="98"/>
      <c r="AIV191" s="98"/>
      <c r="AIW191" s="98"/>
      <c r="AIX191" s="98"/>
      <c r="AIY191" s="98"/>
      <c r="AIZ191" s="98"/>
      <c r="AJA191" s="98"/>
      <c r="AJB191" s="98"/>
      <c r="AJC191" s="98"/>
      <c r="AJD191" s="98"/>
      <c r="AJE191" s="98"/>
      <c r="AJF191" s="98"/>
      <c r="AJG191" s="98"/>
      <c r="AJH191" s="98"/>
      <c r="AJI191" s="98"/>
      <c r="AJJ191" s="98"/>
      <c r="AJK191" s="98"/>
      <c r="AJL191" s="98"/>
      <c r="AJM191" s="98"/>
      <c r="AJN191" s="98"/>
      <c r="AJO191" s="98"/>
      <c r="AJP191" s="98"/>
      <c r="AJQ191" s="98"/>
      <c r="AJR191" s="98"/>
      <c r="AJS191" s="98"/>
      <c r="AJT191" s="98"/>
      <c r="AJU191" s="98"/>
      <c r="AJV191" s="98"/>
      <c r="AJW191" s="98"/>
      <c r="AJX191" s="98"/>
      <c r="AJY191" s="98"/>
      <c r="AJZ191" s="98"/>
      <c r="AKA191" s="98"/>
      <c r="AKB191" s="98"/>
      <c r="AKC191" s="98"/>
      <c r="AKD191" s="98"/>
      <c r="AKE191" s="98"/>
      <c r="AKF191" s="98"/>
      <c r="AKG191" s="98"/>
      <c r="AKH191" s="98"/>
      <c r="AKI191" s="98"/>
      <c r="AKJ191" s="98"/>
      <c r="AKK191" s="98"/>
      <c r="AKL191" s="98"/>
      <c r="AKM191" s="98"/>
      <c r="AKN191" s="98"/>
      <c r="AKO191" s="98"/>
      <c r="AKP191" s="98"/>
      <c r="AKQ191" s="98"/>
      <c r="AKR191" s="98"/>
      <c r="AKS191" s="98"/>
      <c r="AKT191" s="98"/>
      <c r="AKU191" s="98"/>
      <c r="AKV191" s="98"/>
      <c r="AKW191" s="98"/>
      <c r="AKX191" s="98"/>
      <c r="AKY191" s="98"/>
      <c r="AKZ191" s="98"/>
      <c r="ALA191" s="98"/>
      <c r="ALB191" s="98"/>
      <c r="ALC191" s="98"/>
      <c r="ALD191" s="98"/>
      <c r="ALE191" s="98"/>
      <c r="ALF191" s="98"/>
      <c r="ALG191" s="98"/>
      <c r="ALH191" s="98"/>
      <c r="ALI191" s="98"/>
      <c r="ALJ191" s="98"/>
      <c r="ALK191" s="98"/>
      <c r="ALL191" s="98"/>
      <c r="ALM191" s="98"/>
      <c r="ALN191" s="98"/>
      <c r="ALO191" s="98"/>
      <c r="ALP191" s="98"/>
      <c r="ALQ191" s="98"/>
      <c r="ALR191" s="98"/>
      <c r="ALS191" s="98"/>
      <c r="ALT191" s="98"/>
      <c r="ALU191" s="98"/>
      <c r="ALV191" s="98"/>
      <c r="ALW191" s="98"/>
      <c r="ALX191" s="98"/>
      <c r="ALY191" s="98"/>
      <c r="ALZ191" s="98"/>
      <c r="AMA191" s="98"/>
      <c r="AMB191" s="98"/>
      <c r="AMC191" s="98"/>
      <c r="AMD191" s="98"/>
      <c r="AME191" s="98"/>
      <c r="AMF191" s="98"/>
      <c r="AMG191" s="98"/>
      <c r="AMH191" s="98"/>
      <c r="AMI191" s="98"/>
      <c r="AMJ191" s="98"/>
      <c r="AMK191" s="98"/>
      <c r="AML191" s="98"/>
      <c r="AMM191" s="98"/>
      <c r="AMN191" s="98"/>
      <c r="AMO191" s="98"/>
      <c r="AMP191" s="98"/>
      <c r="AMQ191" s="98"/>
      <c r="AMR191" s="98"/>
      <c r="AMS191" s="98"/>
      <c r="AMT191" s="98"/>
      <c r="AMU191" s="98"/>
      <c r="AMV191" s="98"/>
      <c r="AMW191" s="98"/>
      <c r="AMX191" s="98"/>
      <c r="AMY191" s="98"/>
      <c r="AMZ191" s="98"/>
      <c r="ANA191" s="98"/>
      <c r="ANB191" s="98"/>
      <c r="ANC191" s="98"/>
      <c r="AND191" s="98"/>
      <c r="ANE191" s="98"/>
      <c r="ANF191" s="98"/>
      <c r="ANG191" s="98"/>
      <c r="ANH191" s="98"/>
      <c r="ANI191" s="98"/>
      <c r="ANJ191" s="98"/>
      <c r="ANK191" s="98"/>
      <c r="ANL191" s="98"/>
      <c r="ANM191" s="98"/>
      <c r="ANN191" s="98"/>
      <c r="ANO191" s="98"/>
      <c r="ANP191" s="98"/>
      <c r="ANQ191" s="98"/>
      <c r="ANR191" s="98"/>
      <c r="ANS191" s="98"/>
      <c r="ANT191" s="98"/>
      <c r="ANU191" s="98"/>
      <c r="ANV191" s="98"/>
      <c r="ANW191" s="98"/>
      <c r="ANX191" s="98"/>
      <c r="ANY191" s="98"/>
      <c r="ANZ191" s="98"/>
      <c r="AOA191" s="98"/>
      <c r="AOB191" s="98"/>
      <c r="AOC191" s="98"/>
      <c r="AOD191" s="98"/>
      <c r="AOE191" s="98"/>
      <c r="AOF191" s="98"/>
      <c r="AOG191" s="98"/>
      <c r="AOH191" s="98"/>
      <c r="AOI191" s="98"/>
      <c r="AOJ191" s="98"/>
      <c r="AOK191" s="98"/>
      <c r="AOL191" s="98"/>
      <c r="AOM191" s="98"/>
      <c r="AON191" s="98"/>
      <c r="AOO191" s="98"/>
      <c r="AOP191" s="98"/>
      <c r="AOQ191" s="98"/>
      <c r="AOR191" s="98"/>
      <c r="AOS191" s="98"/>
      <c r="AOT191" s="98"/>
      <c r="AOU191" s="98"/>
      <c r="AOV191" s="98"/>
      <c r="AOW191" s="98"/>
      <c r="AOX191" s="98"/>
      <c r="AOY191" s="98"/>
      <c r="AOZ191" s="98"/>
      <c r="APA191" s="98"/>
      <c r="APB191" s="98"/>
      <c r="APC191" s="98"/>
      <c r="APD191" s="98"/>
      <c r="APE191" s="98"/>
      <c r="APF191" s="98"/>
      <c r="APG191" s="98"/>
      <c r="APH191" s="98"/>
      <c r="API191" s="98"/>
      <c r="APJ191" s="98"/>
      <c r="APK191" s="98"/>
      <c r="APL191" s="98"/>
      <c r="APM191" s="98"/>
      <c r="APN191" s="98"/>
      <c r="APO191" s="98"/>
      <c r="APP191" s="98"/>
      <c r="APQ191" s="98"/>
      <c r="APR191" s="98"/>
      <c r="APS191" s="98"/>
      <c r="APT191" s="98"/>
      <c r="APU191" s="98"/>
      <c r="APV191" s="98"/>
      <c r="APW191" s="98"/>
      <c r="APX191" s="98"/>
      <c r="APY191" s="98"/>
      <c r="APZ191" s="98"/>
      <c r="AQA191" s="98"/>
      <c r="AQB191" s="98"/>
      <c r="AQC191" s="98"/>
      <c r="AQD191" s="98"/>
      <c r="AQE191" s="98"/>
      <c r="AQF191" s="98"/>
      <c r="AQG191" s="98"/>
      <c r="AQH191" s="98"/>
      <c r="AQI191" s="98"/>
      <c r="AQJ191" s="98"/>
      <c r="AQK191" s="98"/>
      <c r="AQL191" s="98"/>
      <c r="AQM191" s="98"/>
      <c r="AQN191" s="98"/>
      <c r="AQO191" s="98"/>
      <c r="AQP191" s="98"/>
      <c r="AQQ191" s="98"/>
      <c r="AQR191" s="98"/>
      <c r="AQS191" s="98"/>
      <c r="AQT191" s="98"/>
      <c r="AQU191" s="98"/>
      <c r="AQV191" s="98"/>
      <c r="AQW191" s="98"/>
      <c r="AQX191" s="98"/>
      <c r="AQY191" s="98"/>
      <c r="AQZ191" s="98"/>
      <c r="ARA191" s="98"/>
      <c r="ARB191" s="98"/>
      <c r="ARC191" s="98"/>
      <c r="ARD191" s="98"/>
      <c r="ARE191" s="98"/>
      <c r="ARF191" s="98"/>
      <c r="ARG191" s="98"/>
      <c r="ARH191" s="98"/>
      <c r="ARI191" s="98"/>
      <c r="ARJ191" s="98"/>
      <c r="ARK191" s="98"/>
      <c r="ARL191" s="98"/>
      <c r="ARM191" s="98"/>
      <c r="ARN191" s="98"/>
      <c r="ARO191" s="98"/>
      <c r="ARP191" s="98"/>
      <c r="ARQ191" s="98"/>
      <c r="ARR191" s="98"/>
      <c r="ARS191" s="98"/>
    </row>
    <row r="192" spans="1:1163">
      <c r="A192" s="118"/>
      <c r="B192" s="119"/>
      <c r="C192" s="175"/>
      <c r="D192" s="175"/>
      <c r="E192" s="175"/>
      <c r="F192" s="175"/>
      <c r="G192" s="175"/>
      <c r="H192" s="175"/>
      <c r="I192" s="175"/>
      <c r="J192" s="175"/>
      <c r="K192" s="175"/>
      <c r="L192" s="175"/>
      <c r="M192" s="175"/>
      <c r="N192" s="175"/>
      <c r="O192" s="175"/>
      <c r="P192" s="175"/>
      <c r="Q192" s="175"/>
      <c r="R192" s="175"/>
      <c r="S192" s="175"/>
      <c r="T192" s="175"/>
      <c r="U192" s="201"/>
      <c r="V192" s="201"/>
      <c r="W192" s="201"/>
      <c r="X192" s="201"/>
      <c r="Y192" s="175"/>
      <c r="Z192" s="175"/>
      <c r="AA192" s="201"/>
      <c r="AB192" s="201"/>
      <c r="AC192" s="175"/>
      <c r="AD192" s="175"/>
      <c r="AE192" s="201"/>
      <c r="AF192" s="201"/>
      <c r="AG192" s="201"/>
      <c r="AH192" s="201"/>
      <c r="AI192" s="201"/>
      <c r="AJ192" s="201"/>
      <c r="AK192" s="201"/>
      <c r="AL192" s="201"/>
      <c r="AM192" s="201"/>
      <c r="AN192" s="201"/>
      <c r="AO192" s="201"/>
      <c r="AP192" s="201"/>
      <c r="AQ192" s="201"/>
      <c r="AR192" s="201"/>
      <c r="AS192" s="201"/>
      <c r="AT192" s="201"/>
      <c r="AU192" s="209"/>
      <c r="AV192" s="209"/>
      <c r="AW192" s="173"/>
      <c r="AX192" s="173"/>
      <c r="AY192" s="172"/>
      <c r="AZ192" s="172"/>
      <c r="BA192" s="177"/>
      <c r="BB192" s="173"/>
      <c r="BC192" s="173"/>
      <c r="BD192" s="173"/>
      <c r="BE192" s="173"/>
      <c r="BF192" s="173"/>
      <c r="BG192" s="173"/>
      <c r="BH192" s="173"/>
      <c r="BI192" s="177"/>
      <c r="BJ192" s="98"/>
      <c r="BK192" s="148"/>
      <c r="BL192" s="148"/>
      <c r="BM192" s="148"/>
      <c r="BQ192" s="11"/>
    </row>
    <row r="193" spans="1:1163">
      <c r="A193" s="124" t="s">
        <v>609</v>
      </c>
      <c r="B193" s="225"/>
      <c r="C193" s="194"/>
      <c r="D193" s="194"/>
      <c r="E193" s="194"/>
      <c r="F193" s="194"/>
      <c r="G193" s="194"/>
      <c r="H193" s="194"/>
      <c r="I193" s="194"/>
      <c r="J193" s="194"/>
      <c r="K193" s="194"/>
      <c r="L193" s="194"/>
      <c r="M193" s="194"/>
      <c r="N193" s="194"/>
      <c r="O193" s="194"/>
      <c r="P193" s="194"/>
      <c r="Q193" s="194"/>
      <c r="R193" s="194"/>
      <c r="S193" s="194"/>
      <c r="T193" s="194"/>
      <c r="U193" s="184"/>
      <c r="V193" s="184"/>
      <c r="W193" s="202"/>
      <c r="X193" s="202"/>
      <c r="Y193" s="183"/>
      <c r="Z193" s="183"/>
      <c r="AA193" s="202"/>
      <c r="AB193" s="202"/>
      <c r="AC193" s="183"/>
      <c r="AD193" s="183"/>
      <c r="AE193" s="202"/>
      <c r="AF193" s="202"/>
      <c r="AG193" s="202"/>
      <c r="AH193" s="202"/>
      <c r="AI193" s="202"/>
      <c r="AJ193" s="202"/>
      <c r="AK193" s="202"/>
      <c r="AL193" s="202"/>
      <c r="AM193" s="202"/>
      <c r="AN193" s="202"/>
      <c r="AO193" s="202"/>
      <c r="AP193" s="202"/>
      <c r="AQ193" s="202"/>
      <c r="AR193" s="202"/>
      <c r="AS193" s="202"/>
      <c r="AT193" s="202"/>
      <c r="AU193" s="202"/>
      <c r="AV193" s="202"/>
      <c r="AW193" s="166"/>
      <c r="AX193" s="166"/>
      <c r="AY193" s="165"/>
      <c r="AZ193" s="165"/>
      <c r="BA193" s="196"/>
      <c r="BB193" s="166"/>
      <c r="BC193" s="166"/>
      <c r="BD193" s="166"/>
      <c r="BE193" s="166"/>
      <c r="BF193" s="166"/>
      <c r="BG193" s="166"/>
      <c r="BH193" s="166"/>
      <c r="BI193" s="196"/>
      <c r="BJ193" s="98"/>
      <c r="BK193" s="148"/>
      <c r="BL193" s="148"/>
      <c r="BM193" s="148"/>
    </row>
    <row r="194" spans="1:1163">
      <c r="A194" s="126" t="s">
        <v>200</v>
      </c>
      <c r="B194" s="127" t="s">
        <v>67</v>
      </c>
      <c r="C194" s="183">
        <v>2077498</v>
      </c>
      <c r="D194" s="183">
        <v>1708076</v>
      </c>
      <c r="E194" s="183">
        <v>129367</v>
      </c>
      <c r="F194" s="183">
        <v>39283</v>
      </c>
      <c r="G194" s="183">
        <v>113239</v>
      </c>
      <c r="H194" s="183">
        <v>56343</v>
      </c>
      <c r="I194" s="194">
        <v>122905</v>
      </c>
      <c r="J194" s="194">
        <v>115768</v>
      </c>
      <c r="K194" s="183">
        <v>0</v>
      </c>
      <c r="L194" s="183">
        <v>0</v>
      </c>
      <c r="M194" s="183">
        <v>0</v>
      </c>
      <c r="N194" s="183">
        <v>0</v>
      </c>
      <c r="O194" s="183">
        <v>0</v>
      </c>
      <c r="P194" s="183">
        <v>0</v>
      </c>
      <c r="Q194" s="183">
        <v>0</v>
      </c>
      <c r="R194" s="183">
        <v>0</v>
      </c>
      <c r="S194" s="183">
        <v>0</v>
      </c>
      <c r="T194" s="183">
        <v>0</v>
      </c>
      <c r="U194" s="183">
        <v>0</v>
      </c>
      <c r="V194" s="183">
        <v>0</v>
      </c>
      <c r="W194" s="183">
        <v>0</v>
      </c>
      <c r="X194" s="183">
        <v>0</v>
      </c>
      <c r="Y194" s="183">
        <v>0</v>
      </c>
      <c r="Z194" s="183">
        <v>0</v>
      </c>
      <c r="AA194" s="183">
        <v>0</v>
      </c>
      <c r="AB194" s="183">
        <v>0</v>
      </c>
      <c r="AC194" s="183">
        <v>0</v>
      </c>
      <c r="AD194" s="183">
        <v>0</v>
      </c>
      <c r="AE194" s="183">
        <v>0</v>
      </c>
      <c r="AF194" s="183">
        <v>0</v>
      </c>
      <c r="AG194" s="183">
        <v>0</v>
      </c>
      <c r="AH194" s="183">
        <v>0</v>
      </c>
      <c r="AI194" s="183">
        <v>0</v>
      </c>
      <c r="AJ194" s="183">
        <v>0</v>
      </c>
      <c r="AK194" s="183">
        <v>0</v>
      </c>
      <c r="AL194" s="183">
        <v>0</v>
      </c>
      <c r="AM194" s="183">
        <v>0</v>
      </c>
      <c r="AN194" s="183">
        <v>0</v>
      </c>
      <c r="AO194" s="183">
        <v>0</v>
      </c>
      <c r="AP194" s="183">
        <v>0</v>
      </c>
      <c r="AQ194" s="183">
        <v>0</v>
      </c>
      <c r="AR194" s="183">
        <v>0</v>
      </c>
      <c r="AS194" s="183">
        <v>0</v>
      </c>
      <c r="AT194" s="183">
        <v>0</v>
      </c>
      <c r="AU194" s="183">
        <v>0</v>
      </c>
      <c r="AV194" s="183">
        <v>0</v>
      </c>
      <c r="AW194" s="194">
        <v>0</v>
      </c>
      <c r="AX194" s="194">
        <v>0</v>
      </c>
      <c r="AY194" s="183">
        <v>0</v>
      </c>
      <c r="AZ194" s="183">
        <v>0</v>
      </c>
      <c r="BA194" s="202"/>
      <c r="BB194" s="183"/>
      <c r="BC194" s="183"/>
      <c r="BD194" s="183"/>
      <c r="BE194" s="183"/>
      <c r="BF194" s="183"/>
      <c r="BG194" s="183"/>
      <c r="BH194" s="183"/>
      <c r="BI194" s="202"/>
      <c r="BJ194" s="98"/>
      <c r="BK194" s="148"/>
      <c r="BL194" s="148"/>
      <c r="BM194" s="148"/>
    </row>
    <row r="195" spans="1:1163">
      <c r="A195" s="126" t="s">
        <v>268</v>
      </c>
      <c r="B195" s="127" t="s">
        <v>67</v>
      </c>
      <c r="C195" s="183">
        <v>0</v>
      </c>
      <c r="D195" s="183">
        <v>0</v>
      </c>
      <c r="E195" s="183">
        <v>0</v>
      </c>
      <c r="F195" s="183">
        <v>0</v>
      </c>
      <c r="G195" s="183">
        <v>0</v>
      </c>
      <c r="H195" s="183">
        <v>0</v>
      </c>
      <c r="I195" s="183">
        <v>0</v>
      </c>
      <c r="J195" s="183">
        <v>0</v>
      </c>
      <c r="K195" s="183">
        <v>0</v>
      </c>
      <c r="L195" s="183">
        <v>0</v>
      </c>
      <c r="M195" s="183">
        <v>0</v>
      </c>
      <c r="N195" s="183">
        <v>0</v>
      </c>
      <c r="O195" s="194">
        <v>0</v>
      </c>
      <c r="P195" s="194">
        <v>0</v>
      </c>
      <c r="Q195" s="194">
        <v>0</v>
      </c>
      <c r="R195" s="194">
        <v>0</v>
      </c>
      <c r="S195" s="194">
        <v>0</v>
      </c>
      <c r="T195" s="194">
        <v>0</v>
      </c>
      <c r="U195" s="194">
        <v>0</v>
      </c>
      <c r="V195" s="194">
        <v>0</v>
      </c>
      <c r="W195" s="194">
        <v>6197</v>
      </c>
      <c r="X195" s="194">
        <v>61967</v>
      </c>
      <c r="Y195" s="183">
        <v>69021</v>
      </c>
      <c r="Z195" s="183">
        <v>703953</v>
      </c>
      <c r="AA195" s="208">
        <v>76612</v>
      </c>
      <c r="AB195" s="208">
        <v>782017</v>
      </c>
      <c r="AC195" s="183">
        <v>66253</v>
      </c>
      <c r="AD195" s="183">
        <v>697757</v>
      </c>
      <c r="AE195" s="202">
        <v>67732</v>
      </c>
      <c r="AF195" s="208">
        <v>687362</v>
      </c>
      <c r="AG195" s="202">
        <v>78552</v>
      </c>
      <c r="AH195" s="202">
        <v>785526</v>
      </c>
      <c r="AI195" s="202">
        <v>84696</v>
      </c>
      <c r="AJ195" s="202">
        <v>846971</v>
      </c>
      <c r="AK195" s="202">
        <v>79048</v>
      </c>
      <c r="AL195" s="202">
        <v>790479</v>
      </c>
      <c r="AM195" s="187">
        <v>84582</v>
      </c>
      <c r="AN195" s="187">
        <v>845819</v>
      </c>
      <c r="AO195" s="202">
        <v>91821</v>
      </c>
      <c r="AP195" s="202">
        <v>918215</v>
      </c>
      <c r="AQ195" s="202">
        <v>92739</v>
      </c>
      <c r="AR195" s="202">
        <v>927387</v>
      </c>
      <c r="AS195" s="202">
        <v>92148.99</v>
      </c>
      <c r="AT195" s="202">
        <v>921493</v>
      </c>
      <c r="AU195" s="208">
        <v>98162</v>
      </c>
      <c r="AV195" s="208">
        <v>981620</v>
      </c>
      <c r="AW195" s="208">
        <v>99232</v>
      </c>
      <c r="AX195" s="208">
        <v>992320</v>
      </c>
      <c r="AY195" s="183">
        <v>96431</v>
      </c>
      <c r="AZ195" s="183">
        <v>964298</v>
      </c>
      <c r="BA195" s="196"/>
      <c r="BB195" s="183"/>
      <c r="BC195" s="183"/>
      <c r="BD195" s="183"/>
      <c r="BE195" s="183"/>
      <c r="BF195" s="148"/>
      <c r="BG195" s="148"/>
      <c r="BH195" s="148"/>
      <c r="BI195" s="196"/>
      <c r="BJ195" s="98"/>
      <c r="BK195" s="148"/>
      <c r="BL195" s="148"/>
      <c r="BM195" s="148"/>
    </row>
    <row r="196" spans="1:1163">
      <c r="A196" s="126" t="s">
        <v>269</v>
      </c>
      <c r="B196" s="127" t="s">
        <v>67</v>
      </c>
      <c r="C196" s="183">
        <v>0</v>
      </c>
      <c r="D196" s="183">
        <v>0</v>
      </c>
      <c r="E196" s="183">
        <v>0</v>
      </c>
      <c r="F196" s="183">
        <v>0</v>
      </c>
      <c r="G196" s="183">
        <v>0</v>
      </c>
      <c r="H196" s="183">
        <v>0</v>
      </c>
      <c r="I196" s="183">
        <v>0</v>
      </c>
      <c r="J196" s="183">
        <v>0</v>
      </c>
      <c r="K196" s="183">
        <v>292003</v>
      </c>
      <c r="L196" s="183">
        <v>458499</v>
      </c>
      <c r="M196" s="183">
        <v>352577</v>
      </c>
      <c r="N196" s="183">
        <v>2251827</v>
      </c>
      <c r="O196" s="183">
        <v>373117</v>
      </c>
      <c r="P196" s="183">
        <v>791067</v>
      </c>
      <c r="Q196" s="183">
        <v>390381</v>
      </c>
      <c r="R196" s="183">
        <v>2308525</v>
      </c>
      <c r="S196" s="183">
        <v>386048</v>
      </c>
      <c r="T196" s="183">
        <v>2653305</v>
      </c>
      <c r="U196" s="194">
        <v>348947</v>
      </c>
      <c r="V196" s="194">
        <v>2682888</v>
      </c>
      <c r="W196" s="194">
        <v>433749</v>
      </c>
      <c r="X196" s="194">
        <v>3632098</v>
      </c>
      <c r="Y196" s="183">
        <v>622557</v>
      </c>
      <c r="Z196" s="183">
        <v>4889760</v>
      </c>
      <c r="AA196" s="208">
        <v>669384</v>
      </c>
      <c r="AB196" s="208">
        <v>6390188</v>
      </c>
      <c r="AC196" s="183">
        <v>519642</v>
      </c>
      <c r="AD196" s="183">
        <v>4973830</v>
      </c>
      <c r="AE196" s="202">
        <v>459797</v>
      </c>
      <c r="AF196" s="208">
        <v>4309802</v>
      </c>
      <c r="AG196" s="202">
        <v>558699</v>
      </c>
      <c r="AH196" s="202">
        <v>4979497</v>
      </c>
      <c r="AI196" s="202">
        <v>525935</v>
      </c>
      <c r="AJ196" s="202">
        <v>4761899</v>
      </c>
      <c r="AK196" s="202">
        <v>642064</v>
      </c>
      <c r="AL196" s="202">
        <v>6251040</v>
      </c>
      <c r="AM196" s="187">
        <v>720155</v>
      </c>
      <c r="AN196" s="187">
        <v>7199961</v>
      </c>
      <c r="AO196" s="202">
        <v>654451</v>
      </c>
      <c r="AP196" s="202">
        <v>6262395</v>
      </c>
      <c r="AQ196" s="202">
        <v>475927.52</v>
      </c>
      <c r="AR196" s="202">
        <v>5716921</v>
      </c>
      <c r="AS196" s="202">
        <v>491046.34</v>
      </c>
      <c r="AT196" s="202">
        <v>6156146</v>
      </c>
      <c r="AU196" s="208">
        <v>509761</v>
      </c>
      <c r="AV196" s="208">
        <v>6403228</v>
      </c>
      <c r="AW196" s="208">
        <v>576223</v>
      </c>
      <c r="AX196" s="208">
        <v>5904603</v>
      </c>
      <c r="AY196" s="183">
        <v>617752</v>
      </c>
      <c r="AZ196" s="183">
        <v>6791890</v>
      </c>
      <c r="BA196" s="183"/>
      <c r="BB196" s="183"/>
      <c r="BC196" s="183"/>
      <c r="BD196" s="183"/>
      <c r="BE196" s="183"/>
      <c r="BF196" s="148"/>
      <c r="BG196" s="155"/>
      <c r="BH196" s="148"/>
      <c r="BI196" s="155"/>
      <c r="BJ196" s="98"/>
      <c r="BK196" s="148"/>
      <c r="BL196" s="148"/>
      <c r="BM196" s="148"/>
    </row>
    <row r="197" spans="1:1163">
      <c r="A197" s="129" t="s">
        <v>610</v>
      </c>
      <c r="B197" s="225"/>
      <c r="C197" s="194"/>
      <c r="D197" s="194">
        <f>SUM(D194:D196)</f>
        <v>1708076</v>
      </c>
      <c r="E197" s="194"/>
      <c r="F197" s="194">
        <f>SUM(F194:F196)</f>
        <v>39283</v>
      </c>
      <c r="G197" s="194"/>
      <c r="H197" s="194">
        <f>SUM(H194:H196)</f>
        <v>56343</v>
      </c>
      <c r="I197" s="194"/>
      <c r="J197" s="194">
        <f>SUM(J194:J196)</f>
        <v>115768</v>
      </c>
      <c r="K197" s="194"/>
      <c r="L197" s="194">
        <f>SUM(L195:L196)</f>
        <v>458499</v>
      </c>
      <c r="M197" s="194"/>
      <c r="N197" s="194">
        <f>SUM(N195:N196)</f>
        <v>2251827</v>
      </c>
      <c r="O197" s="194"/>
      <c r="P197" s="194">
        <f>SUM(P195:P196)</f>
        <v>791067</v>
      </c>
      <c r="Q197" s="194"/>
      <c r="R197" s="194">
        <f>SUM(R195:R196)</f>
        <v>2308525</v>
      </c>
      <c r="S197" s="194"/>
      <c r="T197" s="202">
        <f>SUM(T195:T196)</f>
        <v>2653305</v>
      </c>
      <c r="U197" s="202"/>
      <c r="V197" s="202">
        <f>SUM(V195:V196)</f>
        <v>2682888</v>
      </c>
      <c r="W197" s="202"/>
      <c r="X197" s="194">
        <f>SUM(X194:X196)</f>
        <v>3694065</v>
      </c>
      <c r="Y197" s="183"/>
      <c r="Z197" s="183">
        <f>SUM(Z194:Z196)</f>
        <v>5593713</v>
      </c>
      <c r="AA197" s="202"/>
      <c r="AB197" s="208">
        <f>SUM(AB195:AB196)</f>
        <v>7172205</v>
      </c>
      <c r="AC197" s="194"/>
      <c r="AD197" s="194">
        <f>SUM(AD194:AD196)</f>
        <v>5671587</v>
      </c>
      <c r="AE197" s="208"/>
      <c r="AF197" s="208">
        <f>SUM(AF194:AF196)</f>
        <v>4997164</v>
      </c>
      <c r="AG197" s="202"/>
      <c r="AH197" s="202">
        <f>SUM(AH194:AH196)</f>
        <v>5765023</v>
      </c>
      <c r="AI197" s="202"/>
      <c r="AJ197" s="202">
        <f>SUM(AJ194:AJ196)</f>
        <v>5608870</v>
      </c>
      <c r="AK197" s="202"/>
      <c r="AL197" s="202">
        <v>7041519</v>
      </c>
      <c r="AM197" s="187"/>
      <c r="AN197" s="187">
        <v>8045780</v>
      </c>
      <c r="AO197" s="202"/>
      <c r="AP197" s="202">
        <v>7180610</v>
      </c>
      <c r="AQ197" s="202"/>
      <c r="AR197" s="202">
        <v>6644308</v>
      </c>
      <c r="AS197" s="202"/>
      <c r="AT197" s="202">
        <f>SUM(AT194:AT196)</f>
        <v>7077639</v>
      </c>
      <c r="AU197" s="202"/>
      <c r="AV197" s="208">
        <f>SUM(AV194:AV196)</f>
        <v>7384848</v>
      </c>
      <c r="AW197" s="208"/>
      <c r="AX197" s="208">
        <f>SUM(AX194:AX196)</f>
        <v>6896923</v>
      </c>
      <c r="AY197" s="183"/>
      <c r="AZ197" s="183">
        <f>SUM(AZ194:AZ196)</f>
        <v>7756188</v>
      </c>
      <c r="BA197" s="188"/>
      <c r="BB197" s="183"/>
      <c r="BC197" s="183"/>
      <c r="BD197" s="183"/>
      <c r="BE197" s="183"/>
      <c r="BF197" s="148"/>
      <c r="BG197" s="148"/>
      <c r="BH197" s="148"/>
      <c r="BI197" s="155"/>
      <c r="BJ197" s="98"/>
      <c r="BL197" s="148"/>
    </row>
    <row r="198" spans="1:1163">
      <c r="A198" s="131"/>
      <c r="B198" s="225"/>
      <c r="C198" s="194"/>
      <c r="D198" s="194"/>
      <c r="E198" s="194"/>
      <c r="F198" s="194"/>
      <c r="G198" s="194"/>
      <c r="H198" s="194"/>
      <c r="I198" s="194"/>
      <c r="J198" s="194"/>
      <c r="K198" s="194"/>
      <c r="L198" s="194"/>
      <c r="M198" s="194"/>
      <c r="N198" s="194"/>
      <c r="O198" s="194"/>
      <c r="P198" s="194"/>
      <c r="Q198" s="194"/>
      <c r="R198" s="194"/>
      <c r="S198" s="194"/>
      <c r="T198" s="194"/>
      <c r="U198" s="184"/>
      <c r="V198" s="184"/>
      <c r="W198" s="202"/>
      <c r="X198" s="194"/>
      <c r="Y198" s="194"/>
      <c r="Z198" s="194"/>
      <c r="AA198" s="202"/>
      <c r="AB198" s="208"/>
      <c r="AC198" s="194"/>
      <c r="AD198" s="194"/>
      <c r="AE198" s="208"/>
      <c r="AF198" s="208"/>
      <c r="AG198" s="202"/>
      <c r="AH198" s="202"/>
      <c r="AI198" s="202"/>
      <c r="AJ198" s="202"/>
      <c r="AK198" s="202"/>
      <c r="AL198" s="202"/>
      <c r="AM198" s="202"/>
      <c r="AN198" s="202"/>
      <c r="AO198" s="202"/>
      <c r="AP198" s="202"/>
      <c r="AQ198" s="202"/>
      <c r="AR198" s="202"/>
      <c r="AS198" s="202"/>
      <c r="AT198" s="202"/>
      <c r="AU198" s="202"/>
      <c r="AV198" s="208"/>
      <c r="AW198" s="166"/>
      <c r="AX198" s="166"/>
      <c r="AY198" s="165"/>
      <c r="AZ198" s="165"/>
      <c r="BA198" s="196"/>
      <c r="BB198" s="183"/>
      <c r="BC198" s="183"/>
      <c r="BD198" s="183"/>
      <c r="BE198" s="183"/>
      <c r="BF198" s="183"/>
      <c r="BG198" s="183"/>
      <c r="BH198" s="183"/>
      <c r="BI198" s="196"/>
      <c r="BJ198" s="98"/>
      <c r="BL198" s="148"/>
      <c r="BM198" s="148"/>
    </row>
    <row r="199" spans="1:1163" s="174" customFormat="1">
      <c r="A199" s="118" t="s">
        <v>201</v>
      </c>
      <c r="B199" s="119" t="s">
        <v>93</v>
      </c>
      <c r="C199" s="175">
        <v>433365</v>
      </c>
      <c r="D199" s="175">
        <v>10842404</v>
      </c>
      <c r="E199" s="175">
        <v>2050</v>
      </c>
      <c r="F199" s="175">
        <v>895251</v>
      </c>
      <c r="G199" s="175">
        <v>10627</v>
      </c>
      <c r="H199" s="175">
        <v>3082411</v>
      </c>
      <c r="I199" s="175">
        <v>50307</v>
      </c>
      <c r="J199" s="175">
        <v>10832182</v>
      </c>
      <c r="K199" s="175">
        <v>25596</v>
      </c>
      <c r="L199" s="175">
        <f>9719086+1229362+128779</f>
        <v>11077227</v>
      </c>
      <c r="M199" s="175">
        <v>38433</v>
      </c>
      <c r="N199" s="175">
        <v>11505377</v>
      </c>
      <c r="O199" s="175">
        <v>33610</v>
      </c>
      <c r="P199" s="175">
        <v>8781651</v>
      </c>
      <c r="Q199" s="175">
        <v>24883</v>
      </c>
      <c r="R199" s="175">
        <v>5863597</v>
      </c>
      <c r="S199" s="175">
        <v>11353</v>
      </c>
      <c r="T199" s="175">
        <v>2282605</v>
      </c>
      <c r="U199" s="197">
        <v>20562</v>
      </c>
      <c r="V199" s="197">
        <v>3395589</v>
      </c>
      <c r="W199" s="197">
        <v>41377</v>
      </c>
      <c r="X199" s="197">
        <v>6058576</v>
      </c>
      <c r="Y199" s="197">
        <v>34216</v>
      </c>
      <c r="Z199" s="197">
        <v>5621348</v>
      </c>
      <c r="AA199" s="209">
        <v>39306</v>
      </c>
      <c r="AB199" s="209">
        <v>5956148</v>
      </c>
      <c r="AC199" s="197">
        <v>65929</v>
      </c>
      <c r="AD199" s="197">
        <v>10224887</v>
      </c>
      <c r="AE199" s="201">
        <v>78384</v>
      </c>
      <c r="AF199" s="201">
        <v>14966683</v>
      </c>
      <c r="AG199" s="201">
        <v>58799</v>
      </c>
      <c r="AH199" s="201">
        <v>12447668</v>
      </c>
      <c r="AI199" s="201">
        <v>53430</v>
      </c>
      <c r="AJ199" s="201">
        <v>11710132</v>
      </c>
      <c r="AK199" s="201">
        <v>47816.605000000003</v>
      </c>
      <c r="AL199" s="201">
        <v>8892075.1063857302</v>
      </c>
      <c r="AM199" s="176">
        <v>51252.346264852677</v>
      </c>
      <c r="AN199" s="176">
        <v>9546961.7937958632</v>
      </c>
      <c r="AO199" s="201">
        <v>52858</v>
      </c>
      <c r="AP199" s="201">
        <v>12932735</v>
      </c>
      <c r="AQ199" s="201">
        <v>81852.687015316362</v>
      </c>
      <c r="AR199" s="201">
        <v>18771360.203317329</v>
      </c>
      <c r="AS199" s="201">
        <v>157638.61775363513</v>
      </c>
      <c r="AT199" s="201">
        <v>37362914.579999998</v>
      </c>
      <c r="AU199" s="209">
        <v>122780</v>
      </c>
      <c r="AV199" s="209">
        <v>30716237</v>
      </c>
      <c r="AW199" s="175">
        <v>98895.679884684447</v>
      </c>
      <c r="AX199" s="175">
        <v>24917841</v>
      </c>
      <c r="AY199" s="175">
        <v>68576</v>
      </c>
      <c r="AZ199" s="175">
        <v>16320099</v>
      </c>
      <c r="BA199" s="178"/>
      <c r="BB199" s="175"/>
      <c r="BC199" s="178"/>
      <c r="BD199" s="175"/>
      <c r="BE199" s="178"/>
      <c r="BF199" s="175"/>
      <c r="BG199" s="178"/>
      <c r="BH199" s="175"/>
      <c r="BI199" s="178"/>
      <c r="BJ199" s="98"/>
      <c r="BK199" s="98"/>
      <c r="BL199" s="14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c r="CT199" s="98"/>
      <c r="CU199" s="98"/>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98"/>
      <c r="EM199" s="98"/>
      <c r="EN199" s="98"/>
      <c r="EO199" s="98"/>
      <c r="EP199" s="98"/>
      <c r="EQ199" s="98"/>
      <c r="ER199" s="98"/>
      <c r="ES199" s="98"/>
      <c r="ET199" s="98"/>
      <c r="EU199" s="98"/>
      <c r="EV199" s="98"/>
      <c r="EW199" s="98"/>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c r="IW199" s="98"/>
      <c r="IX199" s="98"/>
      <c r="IY199" s="98"/>
      <c r="IZ199" s="98"/>
      <c r="JA199" s="98"/>
      <c r="JB199" s="98"/>
      <c r="JC199" s="98"/>
      <c r="JD199" s="98"/>
      <c r="JE199" s="98"/>
      <c r="JF199" s="98"/>
      <c r="JG199" s="98"/>
      <c r="JH199" s="98"/>
      <c r="JI199" s="98"/>
      <c r="JJ199" s="98"/>
      <c r="JK199" s="98"/>
      <c r="JL199" s="98"/>
      <c r="JM199" s="98"/>
      <c r="JN199" s="98"/>
      <c r="JO199" s="98"/>
      <c r="JP199" s="98"/>
      <c r="JQ199" s="98"/>
      <c r="JR199" s="98"/>
      <c r="JS199" s="98"/>
      <c r="JT199" s="98"/>
      <c r="JU199" s="98"/>
      <c r="JV199" s="98"/>
      <c r="JW199" s="98"/>
      <c r="JX199" s="98"/>
      <c r="JY199" s="98"/>
      <c r="JZ199" s="98"/>
      <c r="KA199" s="98"/>
      <c r="KB199" s="98"/>
      <c r="KC199" s="98"/>
      <c r="KD199" s="98"/>
      <c r="KE199" s="98"/>
      <c r="KF199" s="98"/>
      <c r="KG199" s="98"/>
      <c r="KH199" s="98"/>
      <c r="KI199" s="98"/>
      <c r="KJ199" s="98"/>
      <c r="KK199" s="98"/>
      <c r="KL199" s="98"/>
      <c r="KM199" s="98"/>
      <c r="KN199" s="98"/>
      <c r="KO199" s="98"/>
      <c r="KP199" s="98"/>
      <c r="KQ199" s="98"/>
      <c r="KR199" s="98"/>
      <c r="KS199" s="98"/>
      <c r="KT199" s="98"/>
      <c r="KU199" s="98"/>
      <c r="KV199" s="98"/>
      <c r="KW199" s="98"/>
      <c r="KX199" s="98"/>
      <c r="KY199" s="98"/>
      <c r="KZ199" s="98"/>
      <c r="LA199" s="98"/>
      <c r="LB199" s="98"/>
      <c r="LC199" s="98"/>
      <c r="LD199" s="98"/>
      <c r="LE199" s="98"/>
      <c r="LF199" s="98"/>
      <c r="LG199" s="98"/>
      <c r="LH199" s="98"/>
      <c r="LI199" s="98"/>
      <c r="LJ199" s="98"/>
      <c r="LK199" s="98"/>
      <c r="LL199" s="98"/>
      <c r="LM199" s="98"/>
      <c r="LN199" s="98"/>
      <c r="LO199" s="98"/>
      <c r="LP199" s="98"/>
      <c r="LQ199" s="98"/>
      <c r="LR199" s="98"/>
      <c r="LS199" s="98"/>
      <c r="LT199" s="98"/>
      <c r="LU199" s="98"/>
      <c r="LV199" s="98"/>
      <c r="LW199" s="98"/>
      <c r="LX199" s="98"/>
      <c r="LY199" s="98"/>
      <c r="LZ199" s="98"/>
      <c r="MA199" s="98"/>
      <c r="MB199" s="98"/>
      <c r="MC199" s="98"/>
      <c r="MD199" s="98"/>
      <c r="ME199" s="98"/>
      <c r="MF199" s="98"/>
      <c r="MG199" s="98"/>
      <c r="MH199" s="98"/>
      <c r="MI199" s="98"/>
      <c r="MJ199" s="98"/>
      <c r="MK199" s="98"/>
      <c r="ML199" s="98"/>
      <c r="MM199" s="98"/>
      <c r="MN199" s="98"/>
      <c r="MO199" s="98"/>
      <c r="MP199" s="98"/>
      <c r="MQ199" s="98"/>
      <c r="MR199" s="98"/>
      <c r="MS199" s="98"/>
      <c r="MT199" s="98"/>
      <c r="MU199" s="98"/>
      <c r="MV199" s="98"/>
      <c r="MW199" s="98"/>
      <c r="MX199" s="98"/>
      <c r="MY199" s="98"/>
      <c r="MZ199" s="98"/>
      <c r="NA199" s="98"/>
      <c r="NB199" s="98"/>
      <c r="NC199" s="98"/>
      <c r="ND199" s="98"/>
      <c r="NE199" s="98"/>
      <c r="NF199" s="98"/>
      <c r="NG199" s="98"/>
      <c r="NH199" s="98"/>
      <c r="NI199" s="98"/>
      <c r="NJ199" s="98"/>
      <c r="NK199" s="98"/>
      <c r="NL199" s="98"/>
      <c r="NM199" s="98"/>
      <c r="NN199" s="98"/>
      <c r="NO199" s="98"/>
      <c r="NP199" s="98"/>
      <c r="NQ199" s="98"/>
      <c r="NR199" s="98"/>
      <c r="NS199" s="98"/>
      <c r="NT199" s="98"/>
      <c r="NU199" s="98"/>
      <c r="NV199" s="98"/>
      <c r="NW199" s="98"/>
      <c r="NX199" s="98"/>
      <c r="NY199" s="98"/>
      <c r="NZ199" s="98"/>
      <c r="OA199" s="98"/>
      <c r="OB199" s="98"/>
      <c r="OC199" s="98"/>
      <c r="OD199" s="98"/>
      <c r="OE199" s="98"/>
      <c r="OF199" s="98"/>
      <c r="OG199" s="98"/>
      <c r="OH199" s="98"/>
      <c r="OI199" s="98"/>
      <c r="OJ199" s="98"/>
      <c r="OK199" s="98"/>
      <c r="OL199" s="98"/>
      <c r="OM199" s="98"/>
      <c r="ON199" s="98"/>
      <c r="OO199" s="98"/>
      <c r="OP199" s="98"/>
      <c r="OQ199" s="98"/>
      <c r="OR199" s="98"/>
      <c r="OS199" s="98"/>
      <c r="OT199" s="98"/>
      <c r="OU199" s="98"/>
      <c r="OV199" s="98"/>
      <c r="OW199" s="98"/>
      <c r="OX199" s="98"/>
      <c r="OY199" s="98"/>
      <c r="OZ199" s="98"/>
      <c r="PA199" s="98"/>
      <c r="PB199" s="98"/>
      <c r="PC199" s="98"/>
      <c r="PD199" s="98"/>
      <c r="PE199" s="98"/>
      <c r="PF199" s="98"/>
      <c r="PG199" s="98"/>
      <c r="PH199" s="98"/>
      <c r="PI199" s="98"/>
      <c r="PJ199" s="98"/>
      <c r="PK199" s="98"/>
      <c r="PL199" s="98"/>
      <c r="PM199" s="98"/>
      <c r="PN199" s="98"/>
      <c r="PO199" s="98"/>
      <c r="PP199" s="98"/>
      <c r="PQ199" s="98"/>
      <c r="PR199" s="98"/>
      <c r="PS199" s="98"/>
      <c r="PT199" s="98"/>
      <c r="PU199" s="98"/>
      <c r="PV199" s="98"/>
      <c r="PW199" s="98"/>
      <c r="PX199" s="98"/>
      <c r="PY199" s="98"/>
      <c r="PZ199" s="98"/>
      <c r="QA199" s="98"/>
      <c r="QB199" s="98"/>
      <c r="QC199" s="98"/>
      <c r="QD199" s="98"/>
      <c r="QE199" s="98"/>
      <c r="QF199" s="98"/>
      <c r="QG199" s="98"/>
      <c r="QH199" s="98"/>
      <c r="QI199" s="98"/>
      <c r="QJ199" s="98"/>
      <c r="QK199" s="98"/>
      <c r="QL199" s="98"/>
      <c r="QM199" s="98"/>
      <c r="QN199" s="98"/>
      <c r="QO199" s="98"/>
      <c r="QP199" s="98"/>
      <c r="QQ199" s="98"/>
      <c r="QR199" s="98"/>
      <c r="QS199" s="98"/>
      <c r="QT199" s="98"/>
      <c r="QU199" s="98"/>
      <c r="QV199" s="98"/>
      <c r="QW199" s="98"/>
      <c r="QX199" s="98"/>
      <c r="QY199" s="98"/>
      <c r="QZ199" s="98"/>
      <c r="RA199" s="98"/>
      <c r="RB199" s="98"/>
      <c r="RC199" s="98"/>
      <c r="RD199" s="98"/>
      <c r="RE199" s="98"/>
      <c r="RF199" s="98"/>
      <c r="RG199" s="98"/>
      <c r="RH199" s="98"/>
      <c r="RI199" s="98"/>
      <c r="RJ199" s="98"/>
      <c r="RK199" s="98"/>
      <c r="RL199" s="98"/>
      <c r="RM199" s="98"/>
      <c r="RN199" s="98"/>
      <c r="RO199" s="98"/>
      <c r="RP199" s="98"/>
      <c r="RQ199" s="98"/>
      <c r="RR199" s="98"/>
      <c r="RS199" s="98"/>
      <c r="RT199" s="98"/>
      <c r="RU199" s="98"/>
      <c r="RV199" s="98"/>
      <c r="RW199" s="98"/>
      <c r="RX199" s="98"/>
      <c r="RY199" s="98"/>
      <c r="RZ199" s="98"/>
      <c r="SA199" s="98"/>
      <c r="SB199" s="98"/>
      <c r="SC199" s="98"/>
      <c r="SD199" s="98"/>
      <c r="SE199" s="98"/>
      <c r="SF199" s="98"/>
      <c r="SG199" s="98"/>
      <c r="SH199" s="98"/>
      <c r="SI199" s="98"/>
      <c r="SJ199" s="98"/>
      <c r="SK199" s="98"/>
      <c r="SL199" s="98"/>
      <c r="SM199" s="98"/>
      <c r="SN199" s="98"/>
      <c r="SO199" s="98"/>
      <c r="SP199" s="98"/>
      <c r="SQ199" s="98"/>
      <c r="SR199" s="98"/>
      <c r="SS199" s="98"/>
      <c r="ST199" s="98"/>
      <c r="SU199" s="98"/>
      <c r="SV199" s="98"/>
      <c r="SW199" s="98"/>
      <c r="SX199" s="98"/>
      <c r="SY199" s="98"/>
      <c r="SZ199" s="98"/>
      <c r="TA199" s="98"/>
      <c r="TB199" s="98"/>
      <c r="TC199" s="98"/>
      <c r="TD199" s="98"/>
      <c r="TE199" s="98"/>
      <c r="TF199" s="98"/>
      <c r="TG199" s="98"/>
      <c r="TH199" s="98"/>
      <c r="TI199" s="98"/>
      <c r="TJ199" s="98"/>
      <c r="TK199" s="98"/>
      <c r="TL199" s="98"/>
      <c r="TM199" s="98"/>
      <c r="TN199" s="98"/>
      <c r="TO199" s="98"/>
      <c r="TP199" s="98"/>
      <c r="TQ199" s="98"/>
      <c r="TR199" s="98"/>
      <c r="TS199" s="98"/>
      <c r="TT199" s="98"/>
      <c r="TU199" s="98"/>
      <c r="TV199" s="98"/>
      <c r="TW199" s="98"/>
      <c r="TX199" s="98"/>
      <c r="TY199" s="98"/>
      <c r="TZ199" s="98"/>
      <c r="UA199" s="98"/>
      <c r="UB199" s="98"/>
      <c r="UC199" s="98"/>
      <c r="UD199" s="98"/>
      <c r="UE199" s="98"/>
      <c r="UF199" s="98"/>
      <c r="UG199" s="98"/>
      <c r="UH199" s="98"/>
      <c r="UI199" s="98"/>
      <c r="UJ199" s="98"/>
      <c r="UK199" s="98"/>
      <c r="UL199" s="98"/>
      <c r="UM199" s="98"/>
      <c r="UN199" s="98"/>
      <c r="UO199" s="98"/>
      <c r="UP199" s="98"/>
      <c r="UQ199" s="98"/>
      <c r="UR199" s="98"/>
      <c r="US199" s="98"/>
      <c r="UT199" s="98"/>
      <c r="UU199" s="98"/>
      <c r="UV199" s="98"/>
      <c r="UW199" s="98"/>
      <c r="UX199" s="98"/>
      <c r="UY199" s="98"/>
      <c r="UZ199" s="98"/>
      <c r="VA199" s="98"/>
      <c r="VB199" s="98"/>
      <c r="VC199" s="98"/>
      <c r="VD199" s="98"/>
      <c r="VE199" s="98"/>
      <c r="VF199" s="98"/>
      <c r="VG199" s="98"/>
      <c r="VH199" s="98"/>
      <c r="VI199" s="98"/>
      <c r="VJ199" s="98"/>
      <c r="VK199" s="98"/>
      <c r="VL199" s="98"/>
      <c r="VM199" s="98"/>
      <c r="VN199" s="98"/>
      <c r="VO199" s="98"/>
      <c r="VP199" s="98"/>
      <c r="VQ199" s="98"/>
      <c r="VR199" s="98"/>
      <c r="VS199" s="98"/>
      <c r="VT199" s="98"/>
      <c r="VU199" s="98"/>
      <c r="VV199" s="98"/>
      <c r="VW199" s="98"/>
      <c r="VX199" s="98"/>
      <c r="VY199" s="98"/>
      <c r="VZ199" s="98"/>
      <c r="WA199" s="98"/>
      <c r="WB199" s="98"/>
      <c r="WC199" s="98"/>
      <c r="WD199" s="98"/>
      <c r="WE199" s="98"/>
      <c r="WF199" s="98"/>
      <c r="WG199" s="98"/>
      <c r="WH199" s="98"/>
      <c r="WI199" s="98"/>
      <c r="WJ199" s="98"/>
      <c r="WK199" s="98"/>
      <c r="WL199" s="98"/>
      <c r="WM199" s="98"/>
      <c r="WN199" s="98"/>
      <c r="WO199" s="98"/>
      <c r="WP199" s="98"/>
      <c r="WQ199" s="98"/>
      <c r="WR199" s="98"/>
      <c r="WS199" s="98"/>
      <c r="WT199" s="98"/>
      <c r="WU199" s="98"/>
      <c r="WV199" s="98"/>
      <c r="WW199" s="98"/>
      <c r="WX199" s="98"/>
      <c r="WY199" s="98"/>
      <c r="WZ199" s="98"/>
      <c r="XA199" s="98"/>
      <c r="XB199" s="98"/>
      <c r="XC199" s="98"/>
      <c r="XD199" s="98"/>
      <c r="XE199" s="98"/>
      <c r="XF199" s="98"/>
      <c r="XG199" s="98"/>
      <c r="XH199" s="98"/>
      <c r="XI199" s="98"/>
      <c r="XJ199" s="98"/>
      <c r="XK199" s="98"/>
      <c r="XL199" s="98"/>
      <c r="XM199" s="98"/>
      <c r="XN199" s="98"/>
      <c r="XO199" s="98"/>
      <c r="XP199" s="98"/>
      <c r="XQ199" s="98"/>
      <c r="XR199" s="98"/>
      <c r="XS199" s="98"/>
      <c r="XT199" s="98"/>
      <c r="XU199" s="98"/>
      <c r="XV199" s="98"/>
      <c r="XW199" s="98"/>
      <c r="XX199" s="98"/>
      <c r="XY199" s="98"/>
      <c r="XZ199" s="98"/>
      <c r="YA199" s="98"/>
      <c r="YB199" s="98"/>
      <c r="YC199" s="98"/>
      <c r="YD199" s="98"/>
      <c r="YE199" s="98"/>
      <c r="YF199" s="98"/>
      <c r="YG199" s="98"/>
      <c r="YH199" s="98"/>
      <c r="YI199" s="98"/>
      <c r="YJ199" s="98"/>
      <c r="YK199" s="98"/>
      <c r="YL199" s="98"/>
      <c r="YM199" s="98"/>
      <c r="YN199" s="98"/>
      <c r="YO199" s="98"/>
      <c r="YP199" s="98"/>
      <c r="YQ199" s="98"/>
      <c r="YR199" s="98"/>
      <c r="YS199" s="98"/>
      <c r="YT199" s="98"/>
      <c r="YU199" s="98"/>
      <c r="YV199" s="98"/>
      <c r="YW199" s="98"/>
      <c r="YX199" s="98"/>
      <c r="YY199" s="98"/>
      <c r="YZ199" s="98"/>
      <c r="ZA199" s="98"/>
      <c r="ZB199" s="98"/>
      <c r="ZC199" s="98"/>
      <c r="ZD199" s="98"/>
      <c r="ZE199" s="98"/>
      <c r="ZF199" s="98"/>
      <c r="ZG199" s="98"/>
      <c r="ZH199" s="98"/>
      <c r="ZI199" s="98"/>
      <c r="ZJ199" s="98"/>
      <c r="ZK199" s="98"/>
      <c r="ZL199" s="98"/>
      <c r="ZM199" s="98"/>
      <c r="ZN199" s="98"/>
      <c r="ZO199" s="98"/>
      <c r="ZP199" s="98"/>
      <c r="ZQ199" s="98"/>
      <c r="ZR199" s="98"/>
      <c r="ZS199" s="98"/>
      <c r="ZT199" s="98"/>
      <c r="ZU199" s="98"/>
      <c r="ZV199" s="98"/>
      <c r="ZW199" s="98"/>
      <c r="ZX199" s="98"/>
      <c r="ZY199" s="98"/>
      <c r="ZZ199" s="98"/>
      <c r="AAA199" s="98"/>
      <c r="AAB199" s="98"/>
      <c r="AAC199" s="98"/>
      <c r="AAD199" s="98"/>
      <c r="AAE199" s="98"/>
      <c r="AAF199" s="98"/>
      <c r="AAG199" s="98"/>
      <c r="AAH199" s="98"/>
      <c r="AAI199" s="98"/>
      <c r="AAJ199" s="98"/>
      <c r="AAK199" s="98"/>
      <c r="AAL199" s="98"/>
      <c r="AAM199" s="98"/>
      <c r="AAN199" s="98"/>
      <c r="AAO199" s="98"/>
      <c r="AAP199" s="98"/>
      <c r="AAQ199" s="98"/>
      <c r="AAR199" s="98"/>
      <c r="AAS199" s="98"/>
      <c r="AAT199" s="98"/>
      <c r="AAU199" s="98"/>
      <c r="AAV199" s="98"/>
      <c r="AAW199" s="98"/>
      <c r="AAX199" s="98"/>
      <c r="AAY199" s="98"/>
      <c r="AAZ199" s="98"/>
      <c r="ABA199" s="98"/>
      <c r="ABB199" s="98"/>
      <c r="ABC199" s="98"/>
      <c r="ABD199" s="98"/>
      <c r="ABE199" s="98"/>
      <c r="ABF199" s="98"/>
      <c r="ABG199" s="98"/>
      <c r="ABH199" s="98"/>
      <c r="ABI199" s="98"/>
      <c r="ABJ199" s="98"/>
      <c r="ABK199" s="98"/>
      <c r="ABL199" s="98"/>
      <c r="ABM199" s="98"/>
      <c r="ABN199" s="98"/>
      <c r="ABO199" s="98"/>
      <c r="ABP199" s="98"/>
      <c r="ABQ199" s="98"/>
      <c r="ABR199" s="98"/>
      <c r="ABS199" s="98"/>
      <c r="ABT199" s="98"/>
      <c r="ABU199" s="98"/>
      <c r="ABV199" s="98"/>
      <c r="ABW199" s="98"/>
      <c r="ABX199" s="98"/>
      <c r="ABY199" s="98"/>
      <c r="ABZ199" s="98"/>
      <c r="ACA199" s="98"/>
      <c r="ACB199" s="98"/>
      <c r="ACC199" s="98"/>
      <c r="ACD199" s="98"/>
      <c r="ACE199" s="98"/>
      <c r="ACF199" s="98"/>
      <c r="ACG199" s="98"/>
      <c r="ACH199" s="98"/>
      <c r="ACI199" s="98"/>
      <c r="ACJ199" s="98"/>
      <c r="ACK199" s="98"/>
      <c r="ACL199" s="98"/>
      <c r="ACM199" s="98"/>
      <c r="ACN199" s="98"/>
      <c r="ACO199" s="98"/>
      <c r="ACP199" s="98"/>
      <c r="ACQ199" s="98"/>
      <c r="ACR199" s="98"/>
      <c r="ACS199" s="98"/>
      <c r="ACT199" s="98"/>
      <c r="ACU199" s="98"/>
      <c r="ACV199" s="98"/>
      <c r="ACW199" s="98"/>
      <c r="ACX199" s="98"/>
      <c r="ACY199" s="98"/>
      <c r="ACZ199" s="98"/>
      <c r="ADA199" s="98"/>
      <c r="ADB199" s="98"/>
      <c r="ADC199" s="98"/>
      <c r="ADD199" s="98"/>
      <c r="ADE199" s="98"/>
      <c r="ADF199" s="98"/>
      <c r="ADG199" s="98"/>
      <c r="ADH199" s="98"/>
      <c r="ADI199" s="98"/>
      <c r="ADJ199" s="98"/>
      <c r="ADK199" s="98"/>
      <c r="ADL199" s="98"/>
      <c r="ADM199" s="98"/>
      <c r="ADN199" s="98"/>
      <c r="ADO199" s="98"/>
      <c r="ADP199" s="98"/>
      <c r="ADQ199" s="98"/>
      <c r="ADR199" s="98"/>
      <c r="ADS199" s="98"/>
      <c r="ADT199" s="98"/>
      <c r="ADU199" s="98"/>
      <c r="ADV199" s="98"/>
      <c r="ADW199" s="98"/>
      <c r="ADX199" s="98"/>
      <c r="ADY199" s="98"/>
      <c r="ADZ199" s="98"/>
      <c r="AEA199" s="98"/>
      <c r="AEB199" s="98"/>
      <c r="AEC199" s="98"/>
      <c r="AED199" s="98"/>
      <c r="AEE199" s="98"/>
      <c r="AEF199" s="98"/>
      <c r="AEG199" s="98"/>
      <c r="AEH199" s="98"/>
      <c r="AEI199" s="98"/>
      <c r="AEJ199" s="98"/>
      <c r="AEK199" s="98"/>
      <c r="AEL199" s="98"/>
      <c r="AEM199" s="98"/>
      <c r="AEN199" s="98"/>
      <c r="AEO199" s="98"/>
      <c r="AEP199" s="98"/>
      <c r="AEQ199" s="98"/>
      <c r="AER199" s="98"/>
      <c r="AES199" s="98"/>
      <c r="AET199" s="98"/>
      <c r="AEU199" s="98"/>
      <c r="AEV199" s="98"/>
      <c r="AEW199" s="98"/>
      <c r="AEX199" s="98"/>
      <c r="AEY199" s="98"/>
      <c r="AEZ199" s="98"/>
      <c r="AFA199" s="98"/>
      <c r="AFB199" s="98"/>
      <c r="AFC199" s="98"/>
      <c r="AFD199" s="98"/>
      <c r="AFE199" s="98"/>
      <c r="AFF199" s="98"/>
      <c r="AFG199" s="98"/>
      <c r="AFH199" s="98"/>
      <c r="AFI199" s="98"/>
      <c r="AFJ199" s="98"/>
      <c r="AFK199" s="98"/>
      <c r="AFL199" s="98"/>
      <c r="AFM199" s="98"/>
      <c r="AFN199" s="98"/>
      <c r="AFO199" s="98"/>
      <c r="AFP199" s="98"/>
      <c r="AFQ199" s="98"/>
      <c r="AFR199" s="98"/>
      <c r="AFS199" s="98"/>
      <c r="AFT199" s="98"/>
      <c r="AFU199" s="98"/>
      <c r="AFV199" s="98"/>
      <c r="AFW199" s="98"/>
      <c r="AFX199" s="98"/>
      <c r="AFY199" s="98"/>
      <c r="AFZ199" s="98"/>
      <c r="AGA199" s="98"/>
      <c r="AGB199" s="98"/>
      <c r="AGC199" s="98"/>
      <c r="AGD199" s="98"/>
      <c r="AGE199" s="98"/>
      <c r="AGF199" s="98"/>
      <c r="AGG199" s="98"/>
      <c r="AGH199" s="98"/>
      <c r="AGI199" s="98"/>
      <c r="AGJ199" s="98"/>
      <c r="AGK199" s="98"/>
      <c r="AGL199" s="98"/>
      <c r="AGM199" s="98"/>
      <c r="AGN199" s="98"/>
      <c r="AGO199" s="98"/>
      <c r="AGP199" s="98"/>
      <c r="AGQ199" s="98"/>
      <c r="AGR199" s="98"/>
      <c r="AGS199" s="98"/>
      <c r="AGT199" s="98"/>
      <c r="AGU199" s="98"/>
      <c r="AGV199" s="98"/>
      <c r="AGW199" s="98"/>
      <c r="AGX199" s="98"/>
      <c r="AGY199" s="98"/>
      <c r="AGZ199" s="98"/>
      <c r="AHA199" s="98"/>
      <c r="AHB199" s="98"/>
      <c r="AHC199" s="98"/>
      <c r="AHD199" s="98"/>
      <c r="AHE199" s="98"/>
      <c r="AHF199" s="98"/>
      <c r="AHG199" s="98"/>
      <c r="AHH199" s="98"/>
      <c r="AHI199" s="98"/>
      <c r="AHJ199" s="98"/>
      <c r="AHK199" s="98"/>
      <c r="AHL199" s="98"/>
      <c r="AHM199" s="98"/>
      <c r="AHN199" s="98"/>
      <c r="AHO199" s="98"/>
      <c r="AHP199" s="98"/>
      <c r="AHQ199" s="98"/>
      <c r="AHR199" s="98"/>
      <c r="AHS199" s="98"/>
      <c r="AHT199" s="98"/>
      <c r="AHU199" s="98"/>
      <c r="AHV199" s="98"/>
      <c r="AHW199" s="98"/>
      <c r="AHX199" s="98"/>
      <c r="AHY199" s="98"/>
      <c r="AHZ199" s="98"/>
      <c r="AIA199" s="98"/>
      <c r="AIB199" s="98"/>
      <c r="AIC199" s="98"/>
      <c r="AID199" s="98"/>
      <c r="AIE199" s="98"/>
      <c r="AIF199" s="98"/>
      <c r="AIG199" s="98"/>
      <c r="AIH199" s="98"/>
      <c r="AII199" s="98"/>
      <c r="AIJ199" s="98"/>
      <c r="AIK199" s="98"/>
      <c r="AIL199" s="98"/>
      <c r="AIM199" s="98"/>
      <c r="AIN199" s="98"/>
      <c r="AIO199" s="98"/>
      <c r="AIP199" s="98"/>
      <c r="AIQ199" s="98"/>
      <c r="AIR199" s="98"/>
      <c r="AIS199" s="98"/>
      <c r="AIT199" s="98"/>
      <c r="AIU199" s="98"/>
      <c r="AIV199" s="98"/>
      <c r="AIW199" s="98"/>
      <c r="AIX199" s="98"/>
      <c r="AIY199" s="98"/>
      <c r="AIZ199" s="98"/>
      <c r="AJA199" s="98"/>
      <c r="AJB199" s="98"/>
      <c r="AJC199" s="98"/>
      <c r="AJD199" s="98"/>
      <c r="AJE199" s="98"/>
      <c r="AJF199" s="98"/>
      <c r="AJG199" s="98"/>
      <c r="AJH199" s="98"/>
      <c r="AJI199" s="98"/>
      <c r="AJJ199" s="98"/>
      <c r="AJK199" s="98"/>
      <c r="AJL199" s="98"/>
      <c r="AJM199" s="98"/>
      <c r="AJN199" s="98"/>
      <c r="AJO199" s="98"/>
      <c r="AJP199" s="98"/>
      <c r="AJQ199" s="98"/>
      <c r="AJR199" s="98"/>
      <c r="AJS199" s="98"/>
      <c r="AJT199" s="98"/>
      <c r="AJU199" s="98"/>
      <c r="AJV199" s="98"/>
      <c r="AJW199" s="98"/>
      <c r="AJX199" s="98"/>
      <c r="AJY199" s="98"/>
      <c r="AJZ199" s="98"/>
      <c r="AKA199" s="98"/>
      <c r="AKB199" s="98"/>
      <c r="AKC199" s="98"/>
      <c r="AKD199" s="98"/>
      <c r="AKE199" s="98"/>
      <c r="AKF199" s="98"/>
      <c r="AKG199" s="98"/>
      <c r="AKH199" s="98"/>
      <c r="AKI199" s="98"/>
      <c r="AKJ199" s="98"/>
      <c r="AKK199" s="98"/>
      <c r="AKL199" s="98"/>
      <c r="AKM199" s="98"/>
      <c r="AKN199" s="98"/>
      <c r="AKO199" s="98"/>
      <c r="AKP199" s="98"/>
      <c r="AKQ199" s="98"/>
      <c r="AKR199" s="98"/>
      <c r="AKS199" s="98"/>
      <c r="AKT199" s="98"/>
      <c r="AKU199" s="98"/>
      <c r="AKV199" s="98"/>
      <c r="AKW199" s="98"/>
      <c r="AKX199" s="98"/>
      <c r="AKY199" s="98"/>
      <c r="AKZ199" s="98"/>
      <c r="ALA199" s="98"/>
      <c r="ALB199" s="98"/>
      <c r="ALC199" s="98"/>
      <c r="ALD199" s="98"/>
      <c r="ALE199" s="98"/>
      <c r="ALF199" s="98"/>
      <c r="ALG199" s="98"/>
      <c r="ALH199" s="98"/>
      <c r="ALI199" s="98"/>
      <c r="ALJ199" s="98"/>
      <c r="ALK199" s="98"/>
      <c r="ALL199" s="98"/>
      <c r="ALM199" s="98"/>
      <c r="ALN199" s="98"/>
      <c r="ALO199" s="98"/>
      <c r="ALP199" s="98"/>
      <c r="ALQ199" s="98"/>
      <c r="ALR199" s="98"/>
      <c r="ALS199" s="98"/>
      <c r="ALT199" s="98"/>
      <c r="ALU199" s="98"/>
      <c r="ALV199" s="98"/>
      <c r="ALW199" s="98"/>
      <c r="ALX199" s="98"/>
      <c r="ALY199" s="98"/>
      <c r="ALZ199" s="98"/>
      <c r="AMA199" s="98"/>
      <c r="AMB199" s="98"/>
      <c r="AMC199" s="98"/>
      <c r="AMD199" s="98"/>
      <c r="AME199" s="98"/>
      <c r="AMF199" s="98"/>
      <c r="AMG199" s="98"/>
      <c r="AMH199" s="98"/>
      <c r="AMI199" s="98"/>
      <c r="AMJ199" s="98"/>
      <c r="AMK199" s="98"/>
      <c r="AML199" s="98"/>
      <c r="AMM199" s="98"/>
      <c r="AMN199" s="98"/>
      <c r="AMO199" s="98"/>
      <c r="AMP199" s="98"/>
      <c r="AMQ199" s="98"/>
      <c r="AMR199" s="98"/>
      <c r="AMS199" s="98"/>
      <c r="AMT199" s="98"/>
      <c r="AMU199" s="98"/>
      <c r="AMV199" s="98"/>
      <c r="AMW199" s="98"/>
      <c r="AMX199" s="98"/>
      <c r="AMY199" s="98"/>
      <c r="AMZ199" s="98"/>
      <c r="ANA199" s="98"/>
      <c r="ANB199" s="98"/>
      <c r="ANC199" s="98"/>
      <c r="AND199" s="98"/>
      <c r="ANE199" s="98"/>
      <c r="ANF199" s="98"/>
      <c r="ANG199" s="98"/>
      <c r="ANH199" s="98"/>
      <c r="ANI199" s="98"/>
      <c r="ANJ199" s="98"/>
      <c r="ANK199" s="98"/>
      <c r="ANL199" s="98"/>
      <c r="ANM199" s="98"/>
      <c r="ANN199" s="98"/>
      <c r="ANO199" s="98"/>
      <c r="ANP199" s="98"/>
      <c r="ANQ199" s="98"/>
      <c r="ANR199" s="98"/>
      <c r="ANS199" s="98"/>
      <c r="ANT199" s="98"/>
      <c r="ANU199" s="98"/>
      <c r="ANV199" s="98"/>
      <c r="ANW199" s="98"/>
      <c r="ANX199" s="98"/>
      <c r="ANY199" s="98"/>
      <c r="ANZ199" s="98"/>
      <c r="AOA199" s="98"/>
      <c r="AOB199" s="98"/>
      <c r="AOC199" s="98"/>
      <c r="AOD199" s="98"/>
      <c r="AOE199" s="98"/>
      <c r="AOF199" s="98"/>
      <c r="AOG199" s="98"/>
      <c r="AOH199" s="98"/>
      <c r="AOI199" s="98"/>
      <c r="AOJ199" s="98"/>
      <c r="AOK199" s="98"/>
      <c r="AOL199" s="98"/>
      <c r="AOM199" s="98"/>
      <c r="AON199" s="98"/>
      <c r="AOO199" s="98"/>
      <c r="AOP199" s="98"/>
      <c r="AOQ199" s="98"/>
      <c r="AOR199" s="98"/>
      <c r="AOS199" s="98"/>
      <c r="AOT199" s="98"/>
      <c r="AOU199" s="98"/>
      <c r="AOV199" s="98"/>
      <c r="AOW199" s="98"/>
      <c r="AOX199" s="98"/>
      <c r="AOY199" s="98"/>
      <c r="AOZ199" s="98"/>
      <c r="APA199" s="98"/>
      <c r="APB199" s="98"/>
      <c r="APC199" s="98"/>
      <c r="APD199" s="98"/>
      <c r="APE199" s="98"/>
      <c r="APF199" s="98"/>
      <c r="APG199" s="98"/>
      <c r="APH199" s="98"/>
      <c r="API199" s="98"/>
      <c r="APJ199" s="98"/>
      <c r="APK199" s="98"/>
      <c r="APL199" s="98"/>
      <c r="APM199" s="98"/>
      <c r="APN199" s="98"/>
      <c r="APO199" s="98"/>
      <c r="APP199" s="98"/>
      <c r="APQ199" s="98"/>
      <c r="APR199" s="98"/>
      <c r="APS199" s="98"/>
      <c r="APT199" s="98"/>
      <c r="APU199" s="98"/>
      <c r="APV199" s="98"/>
      <c r="APW199" s="98"/>
      <c r="APX199" s="98"/>
      <c r="APY199" s="98"/>
      <c r="APZ199" s="98"/>
      <c r="AQA199" s="98"/>
      <c r="AQB199" s="98"/>
      <c r="AQC199" s="98"/>
      <c r="AQD199" s="98"/>
      <c r="AQE199" s="98"/>
      <c r="AQF199" s="98"/>
      <c r="AQG199" s="98"/>
      <c r="AQH199" s="98"/>
      <c r="AQI199" s="98"/>
      <c r="AQJ199" s="98"/>
      <c r="AQK199" s="98"/>
      <c r="AQL199" s="98"/>
      <c r="AQM199" s="98"/>
      <c r="AQN199" s="98"/>
      <c r="AQO199" s="98"/>
      <c r="AQP199" s="98"/>
      <c r="AQQ199" s="98"/>
      <c r="AQR199" s="98"/>
      <c r="AQS199" s="98"/>
      <c r="AQT199" s="98"/>
      <c r="AQU199" s="98"/>
      <c r="AQV199" s="98"/>
      <c r="AQW199" s="98"/>
      <c r="AQX199" s="98"/>
      <c r="AQY199" s="98"/>
      <c r="AQZ199" s="98"/>
      <c r="ARA199" s="98"/>
      <c r="ARB199" s="98"/>
      <c r="ARC199" s="98"/>
      <c r="ARD199" s="98"/>
      <c r="ARE199" s="98"/>
      <c r="ARF199" s="98"/>
      <c r="ARG199" s="98"/>
      <c r="ARH199" s="98"/>
      <c r="ARI199" s="98"/>
      <c r="ARJ199" s="98"/>
      <c r="ARK199" s="98"/>
      <c r="ARL199" s="98"/>
      <c r="ARM199" s="98"/>
      <c r="ARN199" s="98"/>
      <c r="ARO199" s="98"/>
      <c r="ARP199" s="98"/>
      <c r="ARQ199" s="98"/>
      <c r="ARR199" s="98"/>
      <c r="ARS199" s="98"/>
    </row>
    <row r="200" spans="1:1163">
      <c r="A200" s="118"/>
      <c r="B200" s="119"/>
      <c r="C200" s="175"/>
      <c r="D200" s="175"/>
      <c r="E200" s="175"/>
      <c r="F200" s="175"/>
      <c r="G200" s="175"/>
      <c r="H200" s="175"/>
      <c r="I200" s="175"/>
      <c r="J200" s="175"/>
      <c r="K200" s="175"/>
      <c r="L200" s="175"/>
      <c r="M200" s="175"/>
      <c r="N200" s="175"/>
      <c r="O200" s="175"/>
      <c r="P200" s="175"/>
      <c r="Q200" s="175"/>
      <c r="R200" s="175"/>
      <c r="S200" s="175"/>
      <c r="T200" s="175"/>
      <c r="U200" s="197"/>
      <c r="V200" s="197"/>
      <c r="W200" s="197"/>
      <c r="X200" s="197"/>
      <c r="Y200" s="197"/>
      <c r="Z200" s="197"/>
      <c r="AA200" s="209"/>
      <c r="AB200" s="209"/>
      <c r="AC200" s="197"/>
      <c r="AD200" s="197"/>
      <c r="AE200" s="201"/>
      <c r="AF200" s="201"/>
      <c r="AG200" s="201"/>
      <c r="AH200" s="201"/>
      <c r="AI200" s="201"/>
      <c r="AJ200" s="201"/>
      <c r="AK200" s="201"/>
      <c r="AL200" s="201"/>
      <c r="AM200" s="176"/>
      <c r="AN200" s="176"/>
      <c r="AO200" s="201"/>
      <c r="AP200" s="201"/>
      <c r="AQ200" s="201"/>
      <c r="AR200" s="201"/>
      <c r="AS200" s="201"/>
      <c r="AT200" s="201"/>
      <c r="AU200" s="209"/>
      <c r="AV200" s="209"/>
      <c r="AW200" s="173"/>
      <c r="AX200" s="173"/>
      <c r="AY200" s="172"/>
      <c r="AZ200" s="172"/>
      <c r="BA200" s="177"/>
      <c r="BB200" s="173"/>
      <c r="BC200" s="173"/>
      <c r="BD200" s="173"/>
      <c r="BE200" s="173"/>
      <c r="BF200" s="173"/>
      <c r="BG200" s="173"/>
      <c r="BH200" s="173"/>
      <c r="BI200" s="177"/>
      <c r="BJ200" s="98"/>
      <c r="BM200" s="148"/>
    </row>
    <row r="201" spans="1:1163">
      <c r="A201" s="124" t="s">
        <v>202</v>
      </c>
      <c r="B201" s="127" t="s">
        <v>67</v>
      </c>
      <c r="C201" s="183">
        <v>574</v>
      </c>
      <c r="D201" s="183">
        <v>3856</v>
      </c>
      <c r="E201" s="183">
        <v>0</v>
      </c>
      <c r="F201" s="183">
        <v>0</v>
      </c>
      <c r="G201" s="183">
        <v>0</v>
      </c>
      <c r="H201" s="183">
        <v>0</v>
      </c>
      <c r="I201" s="183">
        <v>0</v>
      </c>
      <c r="J201" s="183">
        <v>0</v>
      </c>
      <c r="K201" s="183">
        <v>0</v>
      </c>
      <c r="L201" s="183">
        <v>0</v>
      </c>
      <c r="M201" s="183">
        <v>0</v>
      </c>
      <c r="N201" s="183">
        <v>0</v>
      </c>
      <c r="O201" s="183">
        <v>0</v>
      </c>
      <c r="P201" s="183">
        <v>0</v>
      </c>
      <c r="Q201" s="183">
        <v>0</v>
      </c>
      <c r="R201" s="183">
        <v>0</v>
      </c>
      <c r="S201" s="183">
        <v>0</v>
      </c>
      <c r="T201" s="183">
        <v>0</v>
      </c>
      <c r="U201" s="183">
        <v>0</v>
      </c>
      <c r="V201" s="183">
        <v>0</v>
      </c>
      <c r="W201" s="183">
        <v>0</v>
      </c>
      <c r="X201" s="183">
        <v>0</v>
      </c>
      <c r="Y201" s="183">
        <v>0</v>
      </c>
      <c r="Z201" s="183">
        <v>0</v>
      </c>
      <c r="AA201" s="183">
        <v>0</v>
      </c>
      <c r="AB201" s="183">
        <v>0</v>
      </c>
      <c r="AC201" s="183">
        <v>0</v>
      </c>
      <c r="AD201" s="183">
        <v>0</v>
      </c>
      <c r="AE201" s="183">
        <v>0</v>
      </c>
      <c r="AF201" s="183">
        <v>0</v>
      </c>
      <c r="AG201" s="183">
        <v>0</v>
      </c>
      <c r="AH201" s="183">
        <v>0</v>
      </c>
      <c r="AI201" s="183">
        <v>0</v>
      </c>
      <c r="AJ201" s="183">
        <v>0</v>
      </c>
      <c r="AK201" s="183">
        <v>0</v>
      </c>
      <c r="AL201" s="183">
        <v>0</v>
      </c>
      <c r="AM201" s="183">
        <v>0</v>
      </c>
      <c r="AN201" s="183">
        <v>0</v>
      </c>
      <c r="AO201" s="183">
        <v>0</v>
      </c>
      <c r="AP201" s="183">
        <v>0</v>
      </c>
      <c r="AQ201" s="183">
        <v>0</v>
      </c>
      <c r="AR201" s="183">
        <v>0</v>
      </c>
      <c r="AS201" s="183">
        <v>0</v>
      </c>
      <c r="AT201" s="183">
        <v>0</v>
      </c>
      <c r="AU201" s="183">
        <v>0</v>
      </c>
      <c r="AV201" s="183">
        <v>0</v>
      </c>
      <c r="AW201" s="183">
        <v>0</v>
      </c>
      <c r="AX201" s="183">
        <v>0</v>
      </c>
      <c r="AY201" s="135">
        <v>0</v>
      </c>
      <c r="AZ201" s="135">
        <v>0</v>
      </c>
      <c r="BA201" s="127"/>
      <c r="BB201" s="135"/>
      <c r="BC201" s="135"/>
      <c r="BD201" s="135"/>
      <c r="BE201" s="135"/>
      <c r="BF201" s="135"/>
      <c r="BG201" s="135"/>
      <c r="BH201" s="135"/>
      <c r="BI201" s="127"/>
      <c r="BJ201" s="98"/>
      <c r="BL201" s="148"/>
    </row>
    <row r="202" spans="1:1163">
      <c r="A202" s="124"/>
      <c r="B202" s="127"/>
      <c r="C202" s="183"/>
      <c r="D202" s="183"/>
      <c r="E202" s="183"/>
      <c r="F202" s="183"/>
      <c r="G202" s="183"/>
      <c r="H202" s="183"/>
      <c r="I202" s="183"/>
      <c r="J202" s="183"/>
      <c r="K202" s="183"/>
      <c r="L202" s="183"/>
      <c r="M202" s="183"/>
      <c r="N202" s="183"/>
      <c r="O202" s="183"/>
      <c r="P202" s="183"/>
      <c r="Q202" s="183"/>
      <c r="R202" s="183"/>
      <c r="S202" s="183"/>
      <c r="T202" s="183"/>
      <c r="U202" s="184"/>
      <c r="V202" s="184"/>
      <c r="W202" s="194"/>
      <c r="X202" s="194"/>
      <c r="Y202" s="194"/>
      <c r="Z202" s="194"/>
      <c r="AA202" s="208"/>
      <c r="AB202" s="208"/>
      <c r="AC202" s="194"/>
      <c r="AD202" s="194"/>
      <c r="AE202" s="202"/>
      <c r="AF202" s="202"/>
      <c r="AG202" s="202"/>
      <c r="AH202" s="202"/>
      <c r="AI202" s="202"/>
      <c r="AJ202" s="202"/>
      <c r="AK202" s="202"/>
      <c r="AL202" s="202"/>
      <c r="AM202" s="202"/>
      <c r="AN202" s="202"/>
      <c r="AO202" s="202"/>
      <c r="AP202" s="202"/>
      <c r="AQ202" s="202"/>
      <c r="AR202" s="202"/>
      <c r="AS202" s="202"/>
      <c r="AT202" s="202"/>
      <c r="AU202" s="208"/>
      <c r="AV202" s="208"/>
      <c r="AW202" s="166"/>
      <c r="AX202" s="166"/>
      <c r="AY202" s="165"/>
      <c r="AZ202" s="165"/>
      <c r="BA202" s="196"/>
      <c r="BB202" s="166"/>
      <c r="BC202" s="166"/>
      <c r="BD202" s="166"/>
      <c r="BE202" s="166"/>
      <c r="BF202" s="166"/>
      <c r="BG202" s="166"/>
      <c r="BH202" s="166"/>
      <c r="BI202" s="196"/>
      <c r="BJ202" s="98"/>
      <c r="BM202" s="148"/>
    </row>
    <row r="203" spans="1:1163" s="174" customFormat="1">
      <c r="A203" s="118" t="s">
        <v>203</v>
      </c>
      <c r="B203" s="119" t="s">
        <v>67</v>
      </c>
      <c r="C203" s="175">
        <v>4605</v>
      </c>
      <c r="D203" s="175">
        <v>53102</v>
      </c>
      <c r="E203" s="175">
        <v>260</v>
      </c>
      <c r="F203" s="175">
        <v>3887</v>
      </c>
      <c r="G203" s="175">
        <v>170</v>
      </c>
      <c r="H203" s="175">
        <v>2463</v>
      </c>
      <c r="I203" s="175">
        <v>0</v>
      </c>
      <c r="J203" s="175">
        <v>0</v>
      </c>
      <c r="K203" s="175">
        <v>0</v>
      </c>
      <c r="L203" s="175">
        <v>0</v>
      </c>
      <c r="M203" s="175">
        <v>0</v>
      </c>
      <c r="N203" s="175">
        <v>0</v>
      </c>
      <c r="O203" s="175">
        <v>0</v>
      </c>
      <c r="P203" s="175">
        <v>0</v>
      </c>
      <c r="Q203" s="197">
        <v>0</v>
      </c>
      <c r="R203" s="197">
        <v>0</v>
      </c>
      <c r="S203" s="197">
        <v>0</v>
      </c>
      <c r="T203" s="197">
        <v>0</v>
      </c>
      <c r="U203" s="197">
        <v>0</v>
      </c>
      <c r="V203" s="197">
        <v>0</v>
      </c>
      <c r="W203" s="197">
        <v>1169</v>
      </c>
      <c r="X203" s="197">
        <v>101365</v>
      </c>
      <c r="Y203" s="197">
        <v>1541</v>
      </c>
      <c r="Z203" s="197">
        <v>119489</v>
      </c>
      <c r="AA203" s="209">
        <v>437</v>
      </c>
      <c r="AB203" s="209">
        <v>35834</v>
      </c>
      <c r="AC203" s="175">
        <v>254</v>
      </c>
      <c r="AD203" s="175">
        <v>16832</v>
      </c>
      <c r="AE203" s="201">
        <v>0</v>
      </c>
      <c r="AF203" s="201">
        <v>0</v>
      </c>
      <c r="AG203" s="201">
        <v>0</v>
      </c>
      <c r="AH203" s="201">
        <v>0</v>
      </c>
      <c r="AI203" s="201">
        <v>0</v>
      </c>
      <c r="AJ203" s="201">
        <v>0</v>
      </c>
      <c r="AK203" s="201">
        <v>0</v>
      </c>
      <c r="AL203" s="201">
        <v>0</v>
      </c>
      <c r="AM203" s="201">
        <v>0</v>
      </c>
      <c r="AN203" s="201">
        <v>0</v>
      </c>
      <c r="AO203" s="201">
        <v>5380</v>
      </c>
      <c r="AP203" s="201">
        <v>430353</v>
      </c>
      <c r="AQ203" s="201">
        <v>9292.0630000000001</v>
      </c>
      <c r="AR203" s="201">
        <v>743044.84</v>
      </c>
      <c r="AS203" s="201">
        <v>11407.14</v>
      </c>
      <c r="AT203" s="201">
        <v>2355238</v>
      </c>
      <c r="AU203" s="209">
        <v>14300</v>
      </c>
      <c r="AV203" s="209">
        <v>1908974</v>
      </c>
      <c r="AW203" s="197">
        <v>12693</v>
      </c>
      <c r="AX203" s="197">
        <v>1817362</v>
      </c>
      <c r="AY203" s="181">
        <v>9919</v>
      </c>
      <c r="AZ203" s="181">
        <v>1258601</v>
      </c>
      <c r="BA203" s="181"/>
      <c r="BB203" s="181"/>
      <c r="BC203" s="178"/>
      <c r="BD203" s="181"/>
      <c r="BE203" s="178"/>
      <c r="BF203" s="181"/>
      <c r="BG203" s="178"/>
      <c r="BH203" s="181"/>
      <c r="BI203" s="178"/>
      <c r="BJ203" s="98"/>
      <c r="BK203" s="98"/>
      <c r="BL203" s="148"/>
      <c r="BM203" s="14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c r="CT203" s="98"/>
      <c r="CU203" s="98"/>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98"/>
      <c r="EM203" s="98"/>
      <c r="EN203" s="98"/>
      <c r="EO203" s="98"/>
      <c r="EP203" s="98"/>
      <c r="EQ203" s="98"/>
      <c r="ER203" s="98"/>
      <c r="ES203" s="98"/>
      <c r="ET203" s="98"/>
      <c r="EU203" s="98"/>
      <c r="EV203" s="98"/>
      <c r="EW203" s="98"/>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c r="IW203" s="98"/>
      <c r="IX203" s="98"/>
      <c r="IY203" s="98"/>
      <c r="IZ203" s="98"/>
      <c r="JA203" s="98"/>
      <c r="JB203" s="98"/>
      <c r="JC203" s="98"/>
      <c r="JD203" s="98"/>
      <c r="JE203" s="98"/>
      <c r="JF203" s="98"/>
      <c r="JG203" s="98"/>
      <c r="JH203" s="98"/>
      <c r="JI203" s="98"/>
      <c r="JJ203" s="98"/>
      <c r="JK203" s="98"/>
      <c r="JL203" s="98"/>
      <c r="JM203" s="98"/>
      <c r="JN203" s="98"/>
      <c r="JO203" s="98"/>
      <c r="JP203" s="98"/>
      <c r="JQ203" s="98"/>
      <c r="JR203" s="98"/>
      <c r="JS203" s="98"/>
      <c r="JT203" s="98"/>
      <c r="JU203" s="98"/>
      <c r="JV203" s="98"/>
      <c r="JW203" s="98"/>
      <c r="JX203" s="98"/>
      <c r="JY203" s="98"/>
      <c r="JZ203" s="98"/>
      <c r="KA203" s="98"/>
      <c r="KB203" s="98"/>
      <c r="KC203" s="98"/>
      <c r="KD203" s="98"/>
      <c r="KE203" s="98"/>
      <c r="KF203" s="98"/>
      <c r="KG203" s="98"/>
      <c r="KH203" s="98"/>
      <c r="KI203" s="98"/>
      <c r="KJ203" s="98"/>
      <c r="KK203" s="98"/>
      <c r="KL203" s="98"/>
      <c r="KM203" s="98"/>
      <c r="KN203" s="98"/>
      <c r="KO203" s="98"/>
      <c r="KP203" s="98"/>
      <c r="KQ203" s="98"/>
      <c r="KR203" s="98"/>
      <c r="KS203" s="98"/>
      <c r="KT203" s="98"/>
      <c r="KU203" s="98"/>
      <c r="KV203" s="98"/>
      <c r="KW203" s="98"/>
      <c r="KX203" s="98"/>
      <c r="KY203" s="98"/>
      <c r="KZ203" s="98"/>
      <c r="LA203" s="98"/>
      <c r="LB203" s="98"/>
      <c r="LC203" s="98"/>
      <c r="LD203" s="98"/>
      <c r="LE203" s="98"/>
      <c r="LF203" s="98"/>
      <c r="LG203" s="98"/>
      <c r="LH203" s="98"/>
      <c r="LI203" s="98"/>
      <c r="LJ203" s="98"/>
      <c r="LK203" s="98"/>
      <c r="LL203" s="98"/>
      <c r="LM203" s="98"/>
      <c r="LN203" s="98"/>
      <c r="LO203" s="98"/>
      <c r="LP203" s="98"/>
      <c r="LQ203" s="98"/>
      <c r="LR203" s="98"/>
      <c r="LS203" s="98"/>
      <c r="LT203" s="98"/>
      <c r="LU203" s="98"/>
      <c r="LV203" s="98"/>
      <c r="LW203" s="98"/>
      <c r="LX203" s="98"/>
      <c r="LY203" s="98"/>
      <c r="LZ203" s="98"/>
      <c r="MA203" s="98"/>
      <c r="MB203" s="98"/>
      <c r="MC203" s="98"/>
      <c r="MD203" s="98"/>
      <c r="ME203" s="98"/>
      <c r="MF203" s="98"/>
      <c r="MG203" s="98"/>
      <c r="MH203" s="98"/>
      <c r="MI203" s="98"/>
      <c r="MJ203" s="98"/>
      <c r="MK203" s="98"/>
      <c r="ML203" s="98"/>
      <c r="MM203" s="98"/>
      <c r="MN203" s="98"/>
      <c r="MO203" s="98"/>
      <c r="MP203" s="98"/>
      <c r="MQ203" s="98"/>
      <c r="MR203" s="98"/>
      <c r="MS203" s="98"/>
      <c r="MT203" s="98"/>
      <c r="MU203" s="98"/>
      <c r="MV203" s="98"/>
      <c r="MW203" s="98"/>
      <c r="MX203" s="98"/>
      <c r="MY203" s="98"/>
      <c r="MZ203" s="98"/>
      <c r="NA203" s="98"/>
      <c r="NB203" s="98"/>
      <c r="NC203" s="98"/>
      <c r="ND203" s="98"/>
      <c r="NE203" s="98"/>
      <c r="NF203" s="98"/>
      <c r="NG203" s="98"/>
      <c r="NH203" s="98"/>
      <c r="NI203" s="98"/>
      <c r="NJ203" s="98"/>
      <c r="NK203" s="98"/>
      <c r="NL203" s="98"/>
      <c r="NM203" s="98"/>
      <c r="NN203" s="98"/>
      <c r="NO203" s="98"/>
      <c r="NP203" s="98"/>
      <c r="NQ203" s="98"/>
      <c r="NR203" s="98"/>
      <c r="NS203" s="98"/>
      <c r="NT203" s="98"/>
      <c r="NU203" s="98"/>
      <c r="NV203" s="98"/>
      <c r="NW203" s="98"/>
      <c r="NX203" s="98"/>
      <c r="NY203" s="98"/>
      <c r="NZ203" s="98"/>
      <c r="OA203" s="98"/>
      <c r="OB203" s="98"/>
      <c r="OC203" s="98"/>
      <c r="OD203" s="98"/>
      <c r="OE203" s="98"/>
      <c r="OF203" s="98"/>
      <c r="OG203" s="98"/>
      <c r="OH203" s="98"/>
      <c r="OI203" s="98"/>
      <c r="OJ203" s="98"/>
      <c r="OK203" s="98"/>
      <c r="OL203" s="98"/>
      <c r="OM203" s="98"/>
      <c r="ON203" s="98"/>
      <c r="OO203" s="98"/>
      <c r="OP203" s="98"/>
      <c r="OQ203" s="98"/>
      <c r="OR203" s="98"/>
      <c r="OS203" s="98"/>
      <c r="OT203" s="98"/>
      <c r="OU203" s="98"/>
      <c r="OV203" s="98"/>
      <c r="OW203" s="98"/>
      <c r="OX203" s="98"/>
      <c r="OY203" s="98"/>
      <c r="OZ203" s="98"/>
      <c r="PA203" s="98"/>
      <c r="PB203" s="98"/>
      <c r="PC203" s="98"/>
      <c r="PD203" s="98"/>
      <c r="PE203" s="98"/>
      <c r="PF203" s="98"/>
      <c r="PG203" s="98"/>
      <c r="PH203" s="98"/>
      <c r="PI203" s="98"/>
      <c r="PJ203" s="98"/>
      <c r="PK203" s="98"/>
      <c r="PL203" s="98"/>
      <c r="PM203" s="98"/>
      <c r="PN203" s="98"/>
      <c r="PO203" s="98"/>
      <c r="PP203" s="98"/>
      <c r="PQ203" s="98"/>
      <c r="PR203" s="98"/>
      <c r="PS203" s="98"/>
      <c r="PT203" s="98"/>
      <c r="PU203" s="98"/>
      <c r="PV203" s="98"/>
      <c r="PW203" s="98"/>
      <c r="PX203" s="98"/>
      <c r="PY203" s="98"/>
      <c r="PZ203" s="98"/>
      <c r="QA203" s="98"/>
      <c r="QB203" s="98"/>
      <c r="QC203" s="98"/>
      <c r="QD203" s="98"/>
      <c r="QE203" s="98"/>
      <c r="QF203" s="98"/>
      <c r="QG203" s="98"/>
      <c r="QH203" s="98"/>
      <c r="QI203" s="98"/>
      <c r="QJ203" s="98"/>
      <c r="QK203" s="98"/>
      <c r="QL203" s="98"/>
      <c r="QM203" s="98"/>
      <c r="QN203" s="98"/>
      <c r="QO203" s="98"/>
      <c r="QP203" s="98"/>
      <c r="QQ203" s="98"/>
      <c r="QR203" s="98"/>
      <c r="QS203" s="98"/>
      <c r="QT203" s="98"/>
      <c r="QU203" s="98"/>
      <c r="QV203" s="98"/>
      <c r="QW203" s="98"/>
      <c r="QX203" s="98"/>
      <c r="QY203" s="98"/>
      <c r="QZ203" s="98"/>
      <c r="RA203" s="98"/>
      <c r="RB203" s="98"/>
      <c r="RC203" s="98"/>
      <c r="RD203" s="98"/>
      <c r="RE203" s="98"/>
      <c r="RF203" s="98"/>
      <c r="RG203" s="98"/>
      <c r="RH203" s="98"/>
      <c r="RI203" s="98"/>
      <c r="RJ203" s="98"/>
      <c r="RK203" s="98"/>
      <c r="RL203" s="98"/>
      <c r="RM203" s="98"/>
      <c r="RN203" s="98"/>
      <c r="RO203" s="98"/>
      <c r="RP203" s="98"/>
      <c r="RQ203" s="98"/>
      <c r="RR203" s="98"/>
      <c r="RS203" s="98"/>
      <c r="RT203" s="98"/>
      <c r="RU203" s="98"/>
      <c r="RV203" s="98"/>
      <c r="RW203" s="98"/>
      <c r="RX203" s="98"/>
      <c r="RY203" s="98"/>
      <c r="RZ203" s="98"/>
      <c r="SA203" s="98"/>
      <c r="SB203" s="98"/>
      <c r="SC203" s="98"/>
      <c r="SD203" s="98"/>
      <c r="SE203" s="98"/>
      <c r="SF203" s="98"/>
      <c r="SG203" s="98"/>
      <c r="SH203" s="98"/>
      <c r="SI203" s="98"/>
      <c r="SJ203" s="98"/>
      <c r="SK203" s="98"/>
      <c r="SL203" s="98"/>
      <c r="SM203" s="98"/>
      <c r="SN203" s="98"/>
      <c r="SO203" s="98"/>
      <c r="SP203" s="98"/>
      <c r="SQ203" s="98"/>
      <c r="SR203" s="98"/>
      <c r="SS203" s="98"/>
      <c r="ST203" s="98"/>
      <c r="SU203" s="98"/>
      <c r="SV203" s="98"/>
      <c r="SW203" s="98"/>
      <c r="SX203" s="98"/>
      <c r="SY203" s="98"/>
      <c r="SZ203" s="98"/>
      <c r="TA203" s="98"/>
      <c r="TB203" s="98"/>
      <c r="TC203" s="98"/>
      <c r="TD203" s="98"/>
      <c r="TE203" s="98"/>
      <c r="TF203" s="98"/>
      <c r="TG203" s="98"/>
      <c r="TH203" s="98"/>
      <c r="TI203" s="98"/>
      <c r="TJ203" s="98"/>
      <c r="TK203" s="98"/>
      <c r="TL203" s="98"/>
      <c r="TM203" s="98"/>
      <c r="TN203" s="98"/>
      <c r="TO203" s="98"/>
      <c r="TP203" s="98"/>
      <c r="TQ203" s="98"/>
      <c r="TR203" s="98"/>
      <c r="TS203" s="98"/>
      <c r="TT203" s="98"/>
      <c r="TU203" s="98"/>
      <c r="TV203" s="98"/>
      <c r="TW203" s="98"/>
      <c r="TX203" s="98"/>
      <c r="TY203" s="98"/>
      <c r="TZ203" s="98"/>
      <c r="UA203" s="98"/>
      <c r="UB203" s="98"/>
      <c r="UC203" s="98"/>
      <c r="UD203" s="98"/>
      <c r="UE203" s="98"/>
      <c r="UF203" s="98"/>
      <c r="UG203" s="98"/>
      <c r="UH203" s="98"/>
      <c r="UI203" s="98"/>
      <c r="UJ203" s="98"/>
      <c r="UK203" s="98"/>
      <c r="UL203" s="98"/>
      <c r="UM203" s="98"/>
      <c r="UN203" s="98"/>
      <c r="UO203" s="98"/>
      <c r="UP203" s="98"/>
      <c r="UQ203" s="98"/>
      <c r="UR203" s="98"/>
      <c r="US203" s="98"/>
      <c r="UT203" s="98"/>
      <c r="UU203" s="98"/>
      <c r="UV203" s="98"/>
      <c r="UW203" s="98"/>
      <c r="UX203" s="98"/>
      <c r="UY203" s="98"/>
      <c r="UZ203" s="98"/>
      <c r="VA203" s="98"/>
      <c r="VB203" s="98"/>
      <c r="VC203" s="98"/>
      <c r="VD203" s="98"/>
      <c r="VE203" s="98"/>
      <c r="VF203" s="98"/>
      <c r="VG203" s="98"/>
      <c r="VH203" s="98"/>
      <c r="VI203" s="98"/>
      <c r="VJ203" s="98"/>
      <c r="VK203" s="98"/>
      <c r="VL203" s="98"/>
      <c r="VM203" s="98"/>
      <c r="VN203" s="98"/>
      <c r="VO203" s="98"/>
      <c r="VP203" s="98"/>
      <c r="VQ203" s="98"/>
      <c r="VR203" s="98"/>
      <c r="VS203" s="98"/>
      <c r="VT203" s="98"/>
      <c r="VU203" s="98"/>
      <c r="VV203" s="98"/>
      <c r="VW203" s="98"/>
      <c r="VX203" s="98"/>
      <c r="VY203" s="98"/>
      <c r="VZ203" s="98"/>
      <c r="WA203" s="98"/>
      <c r="WB203" s="98"/>
      <c r="WC203" s="98"/>
      <c r="WD203" s="98"/>
      <c r="WE203" s="98"/>
      <c r="WF203" s="98"/>
      <c r="WG203" s="98"/>
      <c r="WH203" s="98"/>
      <c r="WI203" s="98"/>
      <c r="WJ203" s="98"/>
      <c r="WK203" s="98"/>
      <c r="WL203" s="98"/>
      <c r="WM203" s="98"/>
      <c r="WN203" s="98"/>
      <c r="WO203" s="98"/>
      <c r="WP203" s="98"/>
      <c r="WQ203" s="98"/>
      <c r="WR203" s="98"/>
      <c r="WS203" s="98"/>
      <c r="WT203" s="98"/>
      <c r="WU203" s="98"/>
      <c r="WV203" s="98"/>
      <c r="WW203" s="98"/>
      <c r="WX203" s="98"/>
      <c r="WY203" s="98"/>
      <c r="WZ203" s="98"/>
      <c r="XA203" s="98"/>
      <c r="XB203" s="98"/>
      <c r="XC203" s="98"/>
      <c r="XD203" s="98"/>
      <c r="XE203" s="98"/>
      <c r="XF203" s="98"/>
      <c r="XG203" s="98"/>
      <c r="XH203" s="98"/>
      <c r="XI203" s="98"/>
      <c r="XJ203" s="98"/>
      <c r="XK203" s="98"/>
      <c r="XL203" s="98"/>
      <c r="XM203" s="98"/>
      <c r="XN203" s="98"/>
      <c r="XO203" s="98"/>
      <c r="XP203" s="98"/>
      <c r="XQ203" s="98"/>
      <c r="XR203" s="98"/>
      <c r="XS203" s="98"/>
      <c r="XT203" s="98"/>
      <c r="XU203" s="98"/>
      <c r="XV203" s="98"/>
      <c r="XW203" s="98"/>
      <c r="XX203" s="98"/>
      <c r="XY203" s="98"/>
      <c r="XZ203" s="98"/>
      <c r="YA203" s="98"/>
      <c r="YB203" s="98"/>
      <c r="YC203" s="98"/>
      <c r="YD203" s="98"/>
      <c r="YE203" s="98"/>
      <c r="YF203" s="98"/>
      <c r="YG203" s="98"/>
      <c r="YH203" s="98"/>
      <c r="YI203" s="98"/>
      <c r="YJ203" s="98"/>
      <c r="YK203" s="98"/>
      <c r="YL203" s="98"/>
      <c r="YM203" s="98"/>
      <c r="YN203" s="98"/>
      <c r="YO203" s="98"/>
      <c r="YP203" s="98"/>
      <c r="YQ203" s="98"/>
      <c r="YR203" s="98"/>
      <c r="YS203" s="98"/>
      <c r="YT203" s="98"/>
      <c r="YU203" s="98"/>
      <c r="YV203" s="98"/>
      <c r="YW203" s="98"/>
      <c r="YX203" s="98"/>
      <c r="YY203" s="98"/>
      <c r="YZ203" s="98"/>
      <c r="ZA203" s="98"/>
      <c r="ZB203" s="98"/>
      <c r="ZC203" s="98"/>
      <c r="ZD203" s="98"/>
      <c r="ZE203" s="98"/>
      <c r="ZF203" s="98"/>
      <c r="ZG203" s="98"/>
      <c r="ZH203" s="98"/>
      <c r="ZI203" s="98"/>
      <c r="ZJ203" s="98"/>
      <c r="ZK203" s="98"/>
      <c r="ZL203" s="98"/>
      <c r="ZM203" s="98"/>
      <c r="ZN203" s="98"/>
      <c r="ZO203" s="98"/>
      <c r="ZP203" s="98"/>
      <c r="ZQ203" s="98"/>
      <c r="ZR203" s="98"/>
      <c r="ZS203" s="98"/>
      <c r="ZT203" s="98"/>
      <c r="ZU203" s="98"/>
      <c r="ZV203" s="98"/>
      <c r="ZW203" s="98"/>
      <c r="ZX203" s="98"/>
      <c r="ZY203" s="98"/>
      <c r="ZZ203" s="98"/>
      <c r="AAA203" s="98"/>
      <c r="AAB203" s="98"/>
      <c r="AAC203" s="98"/>
      <c r="AAD203" s="98"/>
      <c r="AAE203" s="98"/>
      <c r="AAF203" s="98"/>
      <c r="AAG203" s="98"/>
      <c r="AAH203" s="98"/>
      <c r="AAI203" s="98"/>
      <c r="AAJ203" s="98"/>
      <c r="AAK203" s="98"/>
      <c r="AAL203" s="98"/>
      <c r="AAM203" s="98"/>
      <c r="AAN203" s="98"/>
      <c r="AAO203" s="98"/>
      <c r="AAP203" s="98"/>
      <c r="AAQ203" s="98"/>
      <c r="AAR203" s="98"/>
      <c r="AAS203" s="98"/>
      <c r="AAT203" s="98"/>
      <c r="AAU203" s="98"/>
      <c r="AAV203" s="98"/>
      <c r="AAW203" s="98"/>
      <c r="AAX203" s="98"/>
      <c r="AAY203" s="98"/>
      <c r="AAZ203" s="98"/>
      <c r="ABA203" s="98"/>
      <c r="ABB203" s="98"/>
      <c r="ABC203" s="98"/>
      <c r="ABD203" s="98"/>
      <c r="ABE203" s="98"/>
      <c r="ABF203" s="98"/>
      <c r="ABG203" s="98"/>
      <c r="ABH203" s="98"/>
      <c r="ABI203" s="98"/>
      <c r="ABJ203" s="98"/>
      <c r="ABK203" s="98"/>
      <c r="ABL203" s="98"/>
      <c r="ABM203" s="98"/>
      <c r="ABN203" s="98"/>
      <c r="ABO203" s="98"/>
      <c r="ABP203" s="98"/>
      <c r="ABQ203" s="98"/>
      <c r="ABR203" s="98"/>
      <c r="ABS203" s="98"/>
      <c r="ABT203" s="98"/>
      <c r="ABU203" s="98"/>
      <c r="ABV203" s="98"/>
      <c r="ABW203" s="98"/>
      <c r="ABX203" s="98"/>
      <c r="ABY203" s="98"/>
      <c r="ABZ203" s="98"/>
      <c r="ACA203" s="98"/>
      <c r="ACB203" s="98"/>
      <c r="ACC203" s="98"/>
      <c r="ACD203" s="98"/>
      <c r="ACE203" s="98"/>
      <c r="ACF203" s="98"/>
      <c r="ACG203" s="98"/>
      <c r="ACH203" s="98"/>
      <c r="ACI203" s="98"/>
      <c r="ACJ203" s="98"/>
      <c r="ACK203" s="98"/>
      <c r="ACL203" s="98"/>
      <c r="ACM203" s="98"/>
      <c r="ACN203" s="98"/>
      <c r="ACO203" s="98"/>
      <c r="ACP203" s="98"/>
      <c r="ACQ203" s="98"/>
      <c r="ACR203" s="98"/>
      <c r="ACS203" s="98"/>
      <c r="ACT203" s="98"/>
      <c r="ACU203" s="98"/>
      <c r="ACV203" s="98"/>
      <c r="ACW203" s="98"/>
      <c r="ACX203" s="98"/>
      <c r="ACY203" s="98"/>
      <c r="ACZ203" s="98"/>
      <c r="ADA203" s="98"/>
      <c r="ADB203" s="98"/>
      <c r="ADC203" s="98"/>
      <c r="ADD203" s="98"/>
      <c r="ADE203" s="98"/>
      <c r="ADF203" s="98"/>
      <c r="ADG203" s="98"/>
      <c r="ADH203" s="98"/>
      <c r="ADI203" s="98"/>
      <c r="ADJ203" s="98"/>
      <c r="ADK203" s="98"/>
      <c r="ADL203" s="98"/>
      <c r="ADM203" s="98"/>
      <c r="ADN203" s="98"/>
      <c r="ADO203" s="98"/>
      <c r="ADP203" s="98"/>
      <c r="ADQ203" s="98"/>
      <c r="ADR203" s="98"/>
      <c r="ADS203" s="98"/>
      <c r="ADT203" s="98"/>
      <c r="ADU203" s="98"/>
      <c r="ADV203" s="98"/>
      <c r="ADW203" s="98"/>
      <c r="ADX203" s="98"/>
      <c r="ADY203" s="98"/>
      <c r="ADZ203" s="98"/>
      <c r="AEA203" s="98"/>
      <c r="AEB203" s="98"/>
      <c r="AEC203" s="98"/>
      <c r="AED203" s="98"/>
      <c r="AEE203" s="98"/>
      <c r="AEF203" s="98"/>
      <c r="AEG203" s="98"/>
      <c r="AEH203" s="98"/>
      <c r="AEI203" s="98"/>
      <c r="AEJ203" s="98"/>
      <c r="AEK203" s="98"/>
      <c r="AEL203" s="98"/>
      <c r="AEM203" s="98"/>
      <c r="AEN203" s="98"/>
      <c r="AEO203" s="98"/>
      <c r="AEP203" s="98"/>
      <c r="AEQ203" s="98"/>
      <c r="AER203" s="98"/>
      <c r="AES203" s="98"/>
      <c r="AET203" s="98"/>
      <c r="AEU203" s="98"/>
      <c r="AEV203" s="98"/>
      <c r="AEW203" s="98"/>
      <c r="AEX203" s="98"/>
      <c r="AEY203" s="98"/>
      <c r="AEZ203" s="98"/>
      <c r="AFA203" s="98"/>
      <c r="AFB203" s="98"/>
      <c r="AFC203" s="98"/>
      <c r="AFD203" s="98"/>
      <c r="AFE203" s="98"/>
      <c r="AFF203" s="98"/>
      <c r="AFG203" s="98"/>
      <c r="AFH203" s="98"/>
      <c r="AFI203" s="98"/>
      <c r="AFJ203" s="98"/>
      <c r="AFK203" s="98"/>
      <c r="AFL203" s="98"/>
      <c r="AFM203" s="98"/>
      <c r="AFN203" s="98"/>
      <c r="AFO203" s="98"/>
      <c r="AFP203" s="98"/>
      <c r="AFQ203" s="98"/>
      <c r="AFR203" s="98"/>
      <c r="AFS203" s="98"/>
      <c r="AFT203" s="98"/>
      <c r="AFU203" s="98"/>
      <c r="AFV203" s="98"/>
      <c r="AFW203" s="98"/>
      <c r="AFX203" s="98"/>
      <c r="AFY203" s="98"/>
      <c r="AFZ203" s="98"/>
      <c r="AGA203" s="98"/>
      <c r="AGB203" s="98"/>
      <c r="AGC203" s="98"/>
      <c r="AGD203" s="98"/>
      <c r="AGE203" s="98"/>
      <c r="AGF203" s="98"/>
      <c r="AGG203" s="98"/>
      <c r="AGH203" s="98"/>
      <c r="AGI203" s="98"/>
      <c r="AGJ203" s="98"/>
      <c r="AGK203" s="98"/>
      <c r="AGL203" s="98"/>
      <c r="AGM203" s="98"/>
      <c r="AGN203" s="98"/>
      <c r="AGO203" s="98"/>
      <c r="AGP203" s="98"/>
      <c r="AGQ203" s="98"/>
      <c r="AGR203" s="98"/>
      <c r="AGS203" s="98"/>
      <c r="AGT203" s="98"/>
      <c r="AGU203" s="98"/>
      <c r="AGV203" s="98"/>
      <c r="AGW203" s="98"/>
      <c r="AGX203" s="98"/>
      <c r="AGY203" s="98"/>
      <c r="AGZ203" s="98"/>
      <c r="AHA203" s="98"/>
      <c r="AHB203" s="98"/>
      <c r="AHC203" s="98"/>
      <c r="AHD203" s="98"/>
      <c r="AHE203" s="98"/>
      <c r="AHF203" s="98"/>
      <c r="AHG203" s="98"/>
      <c r="AHH203" s="98"/>
      <c r="AHI203" s="98"/>
      <c r="AHJ203" s="98"/>
      <c r="AHK203" s="98"/>
      <c r="AHL203" s="98"/>
      <c r="AHM203" s="98"/>
      <c r="AHN203" s="98"/>
      <c r="AHO203" s="98"/>
      <c r="AHP203" s="98"/>
      <c r="AHQ203" s="98"/>
      <c r="AHR203" s="98"/>
      <c r="AHS203" s="98"/>
      <c r="AHT203" s="98"/>
      <c r="AHU203" s="98"/>
      <c r="AHV203" s="98"/>
      <c r="AHW203" s="98"/>
      <c r="AHX203" s="98"/>
      <c r="AHY203" s="98"/>
      <c r="AHZ203" s="98"/>
      <c r="AIA203" s="98"/>
      <c r="AIB203" s="98"/>
      <c r="AIC203" s="98"/>
      <c r="AID203" s="98"/>
      <c r="AIE203" s="98"/>
      <c r="AIF203" s="98"/>
      <c r="AIG203" s="98"/>
      <c r="AIH203" s="98"/>
      <c r="AII203" s="98"/>
      <c r="AIJ203" s="98"/>
      <c r="AIK203" s="98"/>
      <c r="AIL203" s="98"/>
      <c r="AIM203" s="98"/>
      <c r="AIN203" s="98"/>
      <c r="AIO203" s="98"/>
      <c r="AIP203" s="98"/>
      <c r="AIQ203" s="98"/>
      <c r="AIR203" s="98"/>
      <c r="AIS203" s="98"/>
      <c r="AIT203" s="98"/>
      <c r="AIU203" s="98"/>
      <c r="AIV203" s="98"/>
      <c r="AIW203" s="98"/>
      <c r="AIX203" s="98"/>
      <c r="AIY203" s="98"/>
      <c r="AIZ203" s="98"/>
      <c r="AJA203" s="98"/>
      <c r="AJB203" s="98"/>
      <c r="AJC203" s="98"/>
      <c r="AJD203" s="98"/>
      <c r="AJE203" s="98"/>
      <c r="AJF203" s="98"/>
      <c r="AJG203" s="98"/>
      <c r="AJH203" s="98"/>
      <c r="AJI203" s="98"/>
      <c r="AJJ203" s="98"/>
      <c r="AJK203" s="98"/>
      <c r="AJL203" s="98"/>
      <c r="AJM203" s="98"/>
      <c r="AJN203" s="98"/>
      <c r="AJO203" s="98"/>
      <c r="AJP203" s="98"/>
      <c r="AJQ203" s="98"/>
      <c r="AJR203" s="98"/>
      <c r="AJS203" s="98"/>
      <c r="AJT203" s="98"/>
      <c r="AJU203" s="98"/>
      <c r="AJV203" s="98"/>
      <c r="AJW203" s="98"/>
      <c r="AJX203" s="98"/>
      <c r="AJY203" s="98"/>
      <c r="AJZ203" s="98"/>
      <c r="AKA203" s="98"/>
      <c r="AKB203" s="98"/>
      <c r="AKC203" s="98"/>
      <c r="AKD203" s="98"/>
      <c r="AKE203" s="98"/>
      <c r="AKF203" s="98"/>
      <c r="AKG203" s="98"/>
      <c r="AKH203" s="98"/>
      <c r="AKI203" s="98"/>
      <c r="AKJ203" s="98"/>
      <c r="AKK203" s="98"/>
      <c r="AKL203" s="98"/>
      <c r="AKM203" s="98"/>
      <c r="AKN203" s="98"/>
      <c r="AKO203" s="98"/>
      <c r="AKP203" s="98"/>
      <c r="AKQ203" s="98"/>
      <c r="AKR203" s="98"/>
      <c r="AKS203" s="98"/>
      <c r="AKT203" s="98"/>
      <c r="AKU203" s="98"/>
      <c r="AKV203" s="98"/>
      <c r="AKW203" s="98"/>
      <c r="AKX203" s="98"/>
      <c r="AKY203" s="98"/>
      <c r="AKZ203" s="98"/>
      <c r="ALA203" s="98"/>
      <c r="ALB203" s="98"/>
      <c r="ALC203" s="98"/>
      <c r="ALD203" s="98"/>
      <c r="ALE203" s="98"/>
      <c r="ALF203" s="98"/>
      <c r="ALG203" s="98"/>
      <c r="ALH203" s="98"/>
      <c r="ALI203" s="98"/>
      <c r="ALJ203" s="98"/>
      <c r="ALK203" s="98"/>
      <c r="ALL203" s="98"/>
      <c r="ALM203" s="98"/>
      <c r="ALN203" s="98"/>
      <c r="ALO203" s="98"/>
      <c r="ALP203" s="98"/>
      <c r="ALQ203" s="98"/>
      <c r="ALR203" s="98"/>
      <c r="ALS203" s="98"/>
      <c r="ALT203" s="98"/>
      <c r="ALU203" s="98"/>
      <c r="ALV203" s="98"/>
      <c r="ALW203" s="98"/>
      <c r="ALX203" s="98"/>
      <c r="ALY203" s="98"/>
      <c r="ALZ203" s="98"/>
      <c r="AMA203" s="98"/>
      <c r="AMB203" s="98"/>
      <c r="AMC203" s="98"/>
      <c r="AMD203" s="98"/>
      <c r="AME203" s="98"/>
      <c r="AMF203" s="98"/>
      <c r="AMG203" s="98"/>
      <c r="AMH203" s="98"/>
      <c r="AMI203" s="98"/>
      <c r="AMJ203" s="98"/>
      <c r="AMK203" s="98"/>
      <c r="AML203" s="98"/>
      <c r="AMM203" s="98"/>
      <c r="AMN203" s="98"/>
      <c r="AMO203" s="98"/>
      <c r="AMP203" s="98"/>
      <c r="AMQ203" s="98"/>
      <c r="AMR203" s="98"/>
      <c r="AMS203" s="98"/>
      <c r="AMT203" s="98"/>
      <c r="AMU203" s="98"/>
      <c r="AMV203" s="98"/>
      <c r="AMW203" s="98"/>
      <c r="AMX203" s="98"/>
      <c r="AMY203" s="98"/>
      <c r="AMZ203" s="98"/>
      <c r="ANA203" s="98"/>
      <c r="ANB203" s="98"/>
      <c r="ANC203" s="98"/>
      <c r="AND203" s="98"/>
      <c r="ANE203" s="98"/>
      <c r="ANF203" s="98"/>
      <c r="ANG203" s="98"/>
      <c r="ANH203" s="98"/>
      <c r="ANI203" s="98"/>
      <c r="ANJ203" s="98"/>
      <c r="ANK203" s="98"/>
      <c r="ANL203" s="98"/>
      <c r="ANM203" s="98"/>
      <c r="ANN203" s="98"/>
      <c r="ANO203" s="98"/>
      <c r="ANP203" s="98"/>
      <c r="ANQ203" s="98"/>
      <c r="ANR203" s="98"/>
      <c r="ANS203" s="98"/>
      <c r="ANT203" s="98"/>
      <c r="ANU203" s="98"/>
      <c r="ANV203" s="98"/>
      <c r="ANW203" s="98"/>
      <c r="ANX203" s="98"/>
      <c r="ANY203" s="98"/>
      <c r="ANZ203" s="98"/>
      <c r="AOA203" s="98"/>
      <c r="AOB203" s="98"/>
      <c r="AOC203" s="98"/>
      <c r="AOD203" s="98"/>
      <c r="AOE203" s="98"/>
      <c r="AOF203" s="98"/>
      <c r="AOG203" s="98"/>
      <c r="AOH203" s="98"/>
      <c r="AOI203" s="98"/>
      <c r="AOJ203" s="98"/>
      <c r="AOK203" s="98"/>
      <c r="AOL203" s="98"/>
      <c r="AOM203" s="98"/>
      <c r="AON203" s="98"/>
      <c r="AOO203" s="98"/>
      <c r="AOP203" s="98"/>
      <c r="AOQ203" s="98"/>
      <c r="AOR203" s="98"/>
      <c r="AOS203" s="98"/>
      <c r="AOT203" s="98"/>
      <c r="AOU203" s="98"/>
      <c r="AOV203" s="98"/>
      <c r="AOW203" s="98"/>
      <c r="AOX203" s="98"/>
      <c r="AOY203" s="98"/>
      <c r="AOZ203" s="98"/>
      <c r="APA203" s="98"/>
      <c r="APB203" s="98"/>
      <c r="APC203" s="98"/>
      <c r="APD203" s="98"/>
      <c r="APE203" s="98"/>
      <c r="APF203" s="98"/>
      <c r="APG203" s="98"/>
      <c r="APH203" s="98"/>
      <c r="API203" s="98"/>
      <c r="APJ203" s="98"/>
      <c r="APK203" s="98"/>
      <c r="APL203" s="98"/>
      <c r="APM203" s="98"/>
      <c r="APN203" s="98"/>
      <c r="APO203" s="98"/>
      <c r="APP203" s="98"/>
      <c r="APQ203" s="98"/>
      <c r="APR203" s="98"/>
      <c r="APS203" s="98"/>
      <c r="APT203" s="98"/>
      <c r="APU203" s="98"/>
      <c r="APV203" s="98"/>
      <c r="APW203" s="98"/>
      <c r="APX203" s="98"/>
      <c r="APY203" s="98"/>
      <c r="APZ203" s="98"/>
      <c r="AQA203" s="98"/>
      <c r="AQB203" s="98"/>
      <c r="AQC203" s="98"/>
      <c r="AQD203" s="98"/>
      <c r="AQE203" s="98"/>
      <c r="AQF203" s="98"/>
      <c r="AQG203" s="98"/>
      <c r="AQH203" s="98"/>
      <c r="AQI203" s="98"/>
      <c r="AQJ203" s="98"/>
      <c r="AQK203" s="98"/>
      <c r="AQL203" s="98"/>
      <c r="AQM203" s="98"/>
      <c r="AQN203" s="98"/>
      <c r="AQO203" s="98"/>
      <c r="AQP203" s="98"/>
      <c r="AQQ203" s="98"/>
      <c r="AQR203" s="98"/>
      <c r="AQS203" s="98"/>
      <c r="AQT203" s="98"/>
      <c r="AQU203" s="98"/>
      <c r="AQV203" s="98"/>
      <c r="AQW203" s="98"/>
      <c r="AQX203" s="98"/>
      <c r="AQY203" s="98"/>
      <c r="AQZ203" s="98"/>
      <c r="ARA203" s="98"/>
      <c r="ARB203" s="98"/>
      <c r="ARC203" s="98"/>
      <c r="ARD203" s="98"/>
      <c r="ARE203" s="98"/>
      <c r="ARF203" s="98"/>
      <c r="ARG203" s="98"/>
      <c r="ARH203" s="98"/>
      <c r="ARI203" s="98"/>
      <c r="ARJ203" s="98"/>
      <c r="ARK203" s="98"/>
      <c r="ARL203" s="98"/>
      <c r="ARM203" s="98"/>
      <c r="ARN203" s="98"/>
      <c r="ARO203" s="98"/>
      <c r="ARP203" s="98"/>
      <c r="ARQ203" s="98"/>
      <c r="ARR203" s="98"/>
      <c r="ARS203" s="98"/>
    </row>
    <row r="204" spans="1:1163">
      <c r="A204" s="133"/>
      <c r="B204" s="119"/>
      <c r="C204" s="175"/>
      <c r="D204" s="175"/>
      <c r="E204" s="175"/>
      <c r="F204" s="175"/>
      <c r="G204" s="175"/>
      <c r="H204" s="175"/>
      <c r="I204" s="175"/>
      <c r="J204" s="175"/>
      <c r="K204" s="175"/>
      <c r="L204" s="175"/>
      <c r="M204" s="175"/>
      <c r="N204" s="175"/>
      <c r="O204" s="175"/>
      <c r="P204" s="175"/>
      <c r="Q204" s="175"/>
      <c r="R204" s="175"/>
      <c r="S204" s="175"/>
      <c r="T204" s="175"/>
      <c r="U204" s="144"/>
      <c r="V204" s="144"/>
      <c r="W204" s="197"/>
      <c r="X204" s="197"/>
      <c r="Y204" s="197"/>
      <c r="Z204" s="197"/>
      <c r="AA204" s="209"/>
      <c r="AB204" s="209"/>
      <c r="AC204" s="197"/>
      <c r="AD204" s="197"/>
      <c r="AE204" s="201"/>
      <c r="AF204" s="201"/>
      <c r="AG204" s="201"/>
      <c r="AH204" s="201"/>
      <c r="AI204" s="201"/>
      <c r="AJ204" s="201"/>
      <c r="AK204" s="201"/>
      <c r="AL204" s="201"/>
      <c r="AM204" s="201"/>
      <c r="AN204" s="201"/>
      <c r="AO204" s="201"/>
      <c r="AP204" s="201"/>
      <c r="AQ204" s="201"/>
      <c r="AR204" s="201"/>
      <c r="AS204" s="201"/>
      <c r="AT204" s="201"/>
      <c r="AU204" s="209"/>
      <c r="AV204" s="209"/>
      <c r="AW204" s="173"/>
      <c r="AX204" s="173"/>
      <c r="AY204" s="172"/>
      <c r="AZ204" s="172"/>
      <c r="BA204" s="177"/>
      <c r="BB204" s="173"/>
      <c r="BC204" s="173"/>
      <c r="BD204" s="173"/>
      <c r="BE204" s="173"/>
      <c r="BF204" s="173"/>
      <c r="BG204" s="173"/>
      <c r="BH204" s="173"/>
      <c r="BI204" s="177"/>
      <c r="BJ204" s="98"/>
    </row>
    <row r="205" spans="1:1163">
      <c r="A205" s="124" t="s">
        <v>204</v>
      </c>
      <c r="B205" s="127" t="s">
        <v>67</v>
      </c>
      <c r="C205" s="183">
        <v>869126</v>
      </c>
      <c r="D205" s="183">
        <v>22879806</v>
      </c>
      <c r="E205" s="183">
        <v>113211</v>
      </c>
      <c r="F205" s="183">
        <v>2816049</v>
      </c>
      <c r="G205" s="183">
        <v>133996</v>
      </c>
      <c r="H205" s="183">
        <v>6377048</v>
      </c>
      <c r="I205" s="183">
        <v>92182</v>
      </c>
      <c r="J205" s="183">
        <v>5385147</v>
      </c>
      <c r="K205" s="183">
        <v>164859</v>
      </c>
      <c r="L205" s="183">
        <v>9170379</v>
      </c>
      <c r="M205" s="183">
        <v>160976</v>
      </c>
      <c r="N205" s="183">
        <v>1746069</v>
      </c>
      <c r="O205" s="183">
        <v>115031</v>
      </c>
      <c r="P205" s="183">
        <v>1069424</v>
      </c>
      <c r="Q205" s="183">
        <v>161368</v>
      </c>
      <c r="R205" s="183">
        <v>1928741</v>
      </c>
      <c r="S205" s="183">
        <v>189274</v>
      </c>
      <c r="T205" s="183">
        <v>13936216</v>
      </c>
      <c r="U205" s="194">
        <v>182774</v>
      </c>
      <c r="V205" s="194">
        <v>13261526</v>
      </c>
      <c r="W205" s="194">
        <v>196100</v>
      </c>
      <c r="X205" s="194">
        <v>13658214</v>
      </c>
      <c r="Y205" s="183">
        <v>189086</v>
      </c>
      <c r="Z205" s="183">
        <v>14480263</v>
      </c>
      <c r="AA205" s="208">
        <v>165263</v>
      </c>
      <c r="AB205" s="208">
        <v>11568410</v>
      </c>
      <c r="AC205" s="194">
        <v>166574</v>
      </c>
      <c r="AD205" s="194">
        <v>11712450</v>
      </c>
      <c r="AE205" s="202">
        <v>165310</v>
      </c>
      <c r="AF205" s="202">
        <v>12054570</v>
      </c>
      <c r="AG205" s="202">
        <v>107339</v>
      </c>
      <c r="AH205" s="202">
        <v>7846700</v>
      </c>
      <c r="AI205" s="202">
        <v>122989</v>
      </c>
      <c r="AJ205" s="202">
        <v>9643014</v>
      </c>
      <c r="AK205" s="202">
        <v>189507</v>
      </c>
      <c r="AL205" s="202">
        <v>15155833</v>
      </c>
      <c r="AM205" s="187">
        <v>188835</v>
      </c>
      <c r="AN205" s="187">
        <v>14971392</v>
      </c>
      <c r="AO205" s="202">
        <v>176144</v>
      </c>
      <c r="AP205" s="202">
        <v>13984701</v>
      </c>
      <c r="AQ205" s="202">
        <v>174307.6</v>
      </c>
      <c r="AR205" s="202">
        <v>14049274</v>
      </c>
      <c r="AS205" s="202">
        <v>179380.6</v>
      </c>
      <c r="AT205" s="202">
        <v>14467388</v>
      </c>
      <c r="AU205" s="208">
        <v>160867</v>
      </c>
      <c r="AV205" s="208">
        <v>14201162</v>
      </c>
      <c r="AW205" s="208">
        <v>132211</v>
      </c>
      <c r="AX205" s="208">
        <v>11775309</v>
      </c>
      <c r="AY205" s="183">
        <v>142736</v>
      </c>
      <c r="AZ205" s="183">
        <v>13291592</v>
      </c>
      <c r="BA205" s="196"/>
      <c r="BB205" s="183"/>
      <c r="BC205" s="183"/>
      <c r="BD205" s="183"/>
      <c r="BE205" s="183"/>
      <c r="BF205" s="148"/>
      <c r="BG205" s="148"/>
      <c r="BH205" s="148"/>
      <c r="BI205" s="196"/>
      <c r="BJ205" s="98"/>
      <c r="BL205" s="148"/>
    </row>
    <row r="206" spans="1:1163">
      <c r="A206" s="124"/>
      <c r="B206" s="127"/>
      <c r="C206" s="183"/>
      <c r="D206" s="183"/>
      <c r="E206" s="183"/>
      <c r="F206" s="183"/>
      <c r="G206" s="183"/>
      <c r="H206" s="183"/>
      <c r="I206" s="183"/>
      <c r="J206" s="183"/>
      <c r="K206" s="183"/>
      <c r="L206" s="183"/>
      <c r="M206" s="183"/>
      <c r="N206" s="183"/>
      <c r="O206" s="183"/>
      <c r="P206" s="183"/>
      <c r="Q206" s="183"/>
      <c r="R206" s="183"/>
      <c r="S206" s="183"/>
      <c r="T206" s="183"/>
      <c r="U206" s="202"/>
      <c r="V206" s="202"/>
      <c r="W206" s="202"/>
      <c r="X206" s="202"/>
      <c r="Y206" s="183"/>
      <c r="Z206" s="183"/>
      <c r="AA206" s="202"/>
      <c r="AB206" s="202"/>
      <c r="AC206" s="183"/>
      <c r="AD206" s="183"/>
      <c r="AE206" s="202"/>
      <c r="AF206" s="202"/>
      <c r="AG206" s="202"/>
      <c r="AH206" s="202"/>
      <c r="AI206" s="202"/>
      <c r="AJ206" s="202"/>
      <c r="AK206" s="202"/>
      <c r="AL206" s="202"/>
      <c r="AM206" s="202"/>
      <c r="AN206" s="202"/>
      <c r="AO206" s="202"/>
      <c r="AP206" s="202"/>
      <c r="AQ206" s="202"/>
      <c r="AR206" s="202"/>
      <c r="AS206" s="202"/>
      <c r="AT206" s="202"/>
      <c r="AU206" s="208"/>
      <c r="AV206" s="208"/>
      <c r="AW206" s="166"/>
      <c r="AX206" s="166"/>
      <c r="AY206" s="165"/>
      <c r="AZ206" s="165"/>
      <c r="BA206" s="196"/>
      <c r="BB206" s="166"/>
      <c r="BC206" s="166"/>
      <c r="BD206" s="166"/>
      <c r="BE206" s="166"/>
      <c r="BF206" s="166"/>
      <c r="BG206" s="166"/>
      <c r="BH206" s="166"/>
      <c r="BI206" s="196"/>
      <c r="BJ206" s="98"/>
      <c r="BL206" s="148"/>
    </row>
    <row r="207" spans="1:1163" s="174" customFormat="1">
      <c r="A207" s="118" t="s">
        <v>611</v>
      </c>
      <c r="B207" s="134"/>
      <c r="C207" s="197"/>
      <c r="D207" s="197"/>
      <c r="E207" s="197"/>
      <c r="F207" s="197"/>
      <c r="G207" s="197"/>
      <c r="H207" s="197"/>
      <c r="I207" s="197"/>
      <c r="J207" s="197"/>
      <c r="K207" s="197"/>
      <c r="L207" s="197"/>
      <c r="M207" s="197"/>
      <c r="N207" s="197"/>
      <c r="O207" s="197"/>
      <c r="P207" s="197"/>
      <c r="Q207" s="197"/>
      <c r="R207" s="197"/>
      <c r="S207" s="197"/>
      <c r="T207" s="197"/>
      <c r="U207" s="144"/>
      <c r="V207" s="144"/>
      <c r="W207" s="201"/>
      <c r="X207" s="201"/>
      <c r="Y207" s="175"/>
      <c r="Z207" s="175"/>
      <c r="AA207" s="201"/>
      <c r="AB207" s="201"/>
      <c r="AC207" s="175"/>
      <c r="AD207" s="175"/>
      <c r="AE207" s="201"/>
      <c r="AF207" s="201"/>
      <c r="AG207" s="201"/>
      <c r="AH207" s="201"/>
      <c r="AI207" s="201"/>
      <c r="AJ207" s="201"/>
      <c r="AK207" s="201"/>
      <c r="AL207" s="201"/>
      <c r="AM207" s="201"/>
      <c r="AN207" s="201"/>
      <c r="AO207" s="201"/>
      <c r="AP207" s="201"/>
      <c r="AQ207" s="201"/>
      <c r="AR207" s="201"/>
      <c r="AS207" s="201"/>
      <c r="AT207" s="201"/>
      <c r="AU207" s="201"/>
      <c r="AV207" s="201"/>
      <c r="AW207" s="173"/>
      <c r="AX207" s="173"/>
      <c r="AY207" s="175"/>
      <c r="AZ207" s="175"/>
      <c r="BA207" s="177"/>
      <c r="BB207" s="175"/>
      <c r="BC207" s="175"/>
      <c r="BD207" s="175"/>
      <c r="BE207" s="175"/>
      <c r="BF207" s="175"/>
      <c r="BG207" s="175"/>
      <c r="BH207" s="175"/>
      <c r="BI207" s="177"/>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c r="CT207" s="98"/>
      <c r="CU207" s="98"/>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98"/>
      <c r="EP207" s="98"/>
      <c r="EQ207" s="98"/>
      <c r="ER207" s="98"/>
      <c r="ES207" s="98"/>
      <c r="ET207" s="98"/>
      <c r="EU207" s="98"/>
      <c r="EV207" s="98"/>
      <c r="EW207" s="98"/>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c r="IW207" s="98"/>
      <c r="IX207" s="98"/>
      <c r="IY207" s="98"/>
      <c r="IZ207" s="98"/>
      <c r="JA207" s="98"/>
      <c r="JB207" s="98"/>
      <c r="JC207" s="98"/>
      <c r="JD207" s="98"/>
      <c r="JE207" s="98"/>
      <c r="JF207" s="98"/>
      <c r="JG207" s="98"/>
      <c r="JH207" s="98"/>
      <c r="JI207" s="98"/>
      <c r="JJ207" s="98"/>
      <c r="JK207" s="98"/>
      <c r="JL207" s="98"/>
      <c r="JM207" s="98"/>
      <c r="JN207" s="98"/>
      <c r="JO207" s="98"/>
      <c r="JP207" s="98"/>
      <c r="JQ207" s="98"/>
      <c r="JR207" s="98"/>
      <c r="JS207" s="98"/>
      <c r="JT207" s="98"/>
      <c r="JU207" s="98"/>
      <c r="JV207" s="98"/>
      <c r="JW207" s="98"/>
      <c r="JX207" s="98"/>
      <c r="JY207" s="98"/>
      <c r="JZ207" s="98"/>
      <c r="KA207" s="98"/>
      <c r="KB207" s="98"/>
      <c r="KC207" s="98"/>
      <c r="KD207" s="98"/>
      <c r="KE207" s="98"/>
      <c r="KF207" s="98"/>
      <c r="KG207" s="98"/>
      <c r="KH207" s="98"/>
      <c r="KI207" s="98"/>
      <c r="KJ207" s="98"/>
      <c r="KK207" s="98"/>
      <c r="KL207" s="98"/>
      <c r="KM207" s="98"/>
      <c r="KN207" s="98"/>
      <c r="KO207" s="98"/>
      <c r="KP207" s="98"/>
      <c r="KQ207" s="98"/>
      <c r="KR207" s="98"/>
      <c r="KS207" s="98"/>
      <c r="KT207" s="98"/>
      <c r="KU207" s="98"/>
      <c r="KV207" s="98"/>
      <c r="KW207" s="98"/>
      <c r="KX207" s="98"/>
      <c r="KY207" s="98"/>
      <c r="KZ207" s="98"/>
      <c r="LA207" s="98"/>
      <c r="LB207" s="98"/>
      <c r="LC207" s="98"/>
      <c r="LD207" s="98"/>
      <c r="LE207" s="98"/>
      <c r="LF207" s="98"/>
      <c r="LG207" s="98"/>
      <c r="LH207" s="98"/>
      <c r="LI207" s="98"/>
      <c r="LJ207" s="98"/>
      <c r="LK207" s="98"/>
      <c r="LL207" s="98"/>
      <c r="LM207" s="98"/>
      <c r="LN207" s="98"/>
      <c r="LO207" s="98"/>
      <c r="LP207" s="98"/>
      <c r="LQ207" s="98"/>
      <c r="LR207" s="98"/>
      <c r="LS207" s="98"/>
      <c r="LT207" s="98"/>
      <c r="LU207" s="98"/>
      <c r="LV207" s="98"/>
      <c r="LW207" s="98"/>
      <c r="LX207" s="98"/>
      <c r="LY207" s="98"/>
      <c r="LZ207" s="98"/>
      <c r="MA207" s="98"/>
      <c r="MB207" s="98"/>
      <c r="MC207" s="98"/>
      <c r="MD207" s="98"/>
      <c r="ME207" s="98"/>
      <c r="MF207" s="98"/>
      <c r="MG207" s="98"/>
      <c r="MH207" s="98"/>
      <c r="MI207" s="98"/>
      <c r="MJ207" s="98"/>
      <c r="MK207" s="98"/>
      <c r="ML207" s="98"/>
      <c r="MM207" s="98"/>
      <c r="MN207" s="98"/>
      <c r="MO207" s="98"/>
      <c r="MP207" s="98"/>
      <c r="MQ207" s="98"/>
      <c r="MR207" s="98"/>
      <c r="MS207" s="98"/>
      <c r="MT207" s="98"/>
      <c r="MU207" s="98"/>
      <c r="MV207" s="98"/>
      <c r="MW207" s="98"/>
      <c r="MX207" s="98"/>
      <c r="MY207" s="98"/>
      <c r="MZ207" s="98"/>
      <c r="NA207" s="98"/>
      <c r="NB207" s="98"/>
      <c r="NC207" s="98"/>
      <c r="ND207" s="98"/>
      <c r="NE207" s="98"/>
      <c r="NF207" s="98"/>
      <c r="NG207" s="98"/>
      <c r="NH207" s="98"/>
      <c r="NI207" s="98"/>
      <c r="NJ207" s="98"/>
      <c r="NK207" s="98"/>
      <c r="NL207" s="98"/>
      <c r="NM207" s="98"/>
      <c r="NN207" s="98"/>
      <c r="NO207" s="98"/>
      <c r="NP207" s="98"/>
      <c r="NQ207" s="98"/>
      <c r="NR207" s="98"/>
      <c r="NS207" s="98"/>
      <c r="NT207" s="98"/>
      <c r="NU207" s="98"/>
      <c r="NV207" s="98"/>
      <c r="NW207" s="98"/>
      <c r="NX207" s="98"/>
      <c r="NY207" s="98"/>
      <c r="NZ207" s="98"/>
      <c r="OA207" s="98"/>
      <c r="OB207" s="98"/>
      <c r="OC207" s="98"/>
      <c r="OD207" s="98"/>
      <c r="OE207" s="98"/>
      <c r="OF207" s="98"/>
      <c r="OG207" s="98"/>
      <c r="OH207" s="98"/>
      <c r="OI207" s="98"/>
      <c r="OJ207" s="98"/>
      <c r="OK207" s="98"/>
      <c r="OL207" s="98"/>
      <c r="OM207" s="98"/>
      <c r="ON207" s="98"/>
      <c r="OO207" s="98"/>
      <c r="OP207" s="98"/>
      <c r="OQ207" s="98"/>
      <c r="OR207" s="98"/>
      <c r="OS207" s="98"/>
      <c r="OT207" s="98"/>
      <c r="OU207" s="98"/>
      <c r="OV207" s="98"/>
      <c r="OW207" s="98"/>
      <c r="OX207" s="98"/>
      <c r="OY207" s="98"/>
      <c r="OZ207" s="98"/>
      <c r="PA207" s="98"/>
      <c r="PB207" s="98"/>
      <c r="PC207" s="98"/>
      <c r="PD207" s="98"/>
      <c r="PE207" s="98"/>
      <c r="PF207" s="98"/>
      <c r="PG207" s="98"/>
      <c r="PH207" s="98"/>
      <c r="PI207" s="98"/>
      <c r="PJ207" s="98"/>
      <c r="PK207" s="98"/>
      <c r="PL207" s="98"/>
      <c r="PM207" s="98"/>
      <c r="PN207" s="98"/>
      <c r="PO207" s="98"/>
      <c r="PP207" s="98"/>
      <c r="PQ207" s="98"/>
      <c r="PR207" s="98"/>
      <c r="PS207" s="98"/>
      <c r="PT207" s="98"/>
      <c r="PU207" s="98"/>
      <c r="PV207" s="98"/>
      <c r="PW207" s="98"/>
      <c r="PX207" s="98"/>
      <c r="PY207" s="98"/>
      <c r="PZ207" s="98"/>
      <c r="QA207" s="98"/>
      <c r="QB207" s="98"/>
      <c r="QC207" s="98"/>
      <c r="QD207" s="98"/>
      <c r="QE207" s="98"/>
      <c r="QF207" s="98"/>
      <c r="QG207" s="98"/>
      <c r="QH207" s="98"/>
      <c r="QI207" s="98"/>
      <c r="QJ207" s="98"/>
      <c r="QK207" s="98"/>
      <c r="QL207" s="98"/>
      <c r="QM207" s="98"/>
      <c r="QN207" s="98"/>
      <c r="QO207" s="98"/>
      <c r="QP207" s="98"/>
      <c r="QQ207" s="98"/>
      <c r="QR207" s="98"/>
      <c r="QS207" s="98"/>
      <c r="QT207" s="98"/>
      <c r="QU207" s="98"/>
      <c r="QV207" s="98"/>
      <c r="QW207" s="98"/>
      <c r="QX207" s="98"/>
      <c r="QY207" s="98"/>
      <c r="QZ207" s="98"/>
      <c r="RA207" s="98"/>
      <c r="RB207" s="98"/>
      <c r="RC207" s="98"/>
      <c r="RD207" s="98"/>
      <c r="RE207" s="98"/>
      <c r="RF207" s="98"/>
      <c r="RG207" s="98"/>
      <c r="RH207" s="98"/>
      <c r="RI207" s="98"/>
      <c r="RJ207" s="98"/>
      <c r="RK207" s="98"/>
      <c r="RL207" s="98"/>
      <c r="RM207" s="98"/>
      <c r="RN207" s="98"/>
      <c r="RO207" s="98"/>
      <c r="RP207" s="98"/>
      <c r="RQ207" s="98"/>
      <c r="RR207" s="98"/>
      <c r="RS207" s="98"/>
      <c r="RT207" s="98"/>
      <c r="RU207" s="98"/>
      <c r="RV207" s="98"/>
      <c r="RW207" s="98"/>
      <c r="RX207" s="98"/>
      <c r="RY207" s="98"/>
      <c r="RZ207" s="98"/>
      <c r="SA207" s="98"/>
      <c r="SB207" s="98"/>
      <c r="SC207" s="98"/>
      <c r="SD207" s="98"/>
      <c r="SE207" s="98"/>
      <c r="SF207" s="98"/>
      <c r="SG207" s="98"/>
      <c r="SH207" s="98"/>
      <c r="SI207" s="98"/>
      <c r="SJ207" s="98"/>
      <c r="SK207" s="98"/>
      <c r="SL207" s="98"/>
      <c r="SM207" s="98"/>
      <c r="SN207" s="98"/>
      <c r="SO207" s="98"/>
      <c r="SP207" s="98"/>
      <c r="SQ207" s="98"/>
      <c r="SR207" s="98"/>
      <c r="SS207" s="98"/>
      <c r="ST207" s="98"/>
      <c r="SU207" s="98"/>
      <c r="SV207" s="98"/>
      <c r="SW207" s="98"/>
      <c r="SX207" s="98"/>
      <c r="SY207" s="98"/>
      <c r="SZ207" s="98"/>
      <c r="TA207" s="98"/>
      <c r="TB207" s="98"/>
      <c r="TC207" s="98"/>
      <c r="TD207" s="98"/>
      <c r="TE207" s="98"/>
      <c r="TF207" s="98"/>
      <c r="TG207" s="98"/>
      <c r="TH207" s="98"/>
      <c r="TI207" s="98"/>
      <c r="TJ207" s="98"/>
      <c r="TK207" s="98"/>
      <c r="TL207" s="98"/>
      <c r="TM207" s="98"/>
      <c r="TN207" s="98"/>
      <c r="TO207" s="98"/>
      <c r="TP207" s="98"/>
      <c r="TQ207" s="98"/>
      <c r="TR207" s="98"/>
      <c r="TS207" s="98"/>
      <c r="TT207" s="98"/>
      <c r="TU207" s="98"/>
      <c r="TV207" s="98"/>
      <c r="TW207" s="98"/>
      <c r="TX207" s="98"/>
      <c r="TY207" s="98"/>
      <c r="TZ207" s="98"/>
      <c r="UA207" s="98"/>
      <c r="UB207" s="98"/>
      <c r="UC207" s="98"/>
      <c r="UD207" s="98"/>
      <c r="UE207" s="98"/>
      <c r="UF207" s="98"/>
      <c r="UG207" s="98"/>
      <c r="UH207" s="98"/>
      <c r="UI207" s="98"/>
      <c r="UJ207" s="98"/>
      <c r="UK207" s="98"/>
      <c r="UL207" s="98"/>
      <c r="UM207" s="98"/>
      <c r="UN207" s="98"/>
      <c r="UO207" s="98"/>
      <c r="UP207" s="98"/>
      <c r="UQ207" s="98"/>
      <c r="UR207" s="98"/>
      <c r="US207" s="98"/>
      <c r="UT207" s="98"/>
      <c r="UU207" s="98"/>
      <c r="UV207" s="98"/>
      <c r="UW207" s="98"/>
      <c r="UX207" s="98"/>
      <c r="UY207" s="98"/>
      <c r="UZ207" s="98"/>
      <c r="VA207" s="98"/>
      <c r="VB207" s="98"/>
      <c r="VC207" s="98"/>
      <c r="VD207" s="98"/>
      <c r="VE207" s="98"/>
      <c r="VF207" s="98"/>
      <c r="VG207" s="98"/>
      <c r="VH207" s="98"/>
      <c r="VI207" s="98"/>
      <c r="VJ207" s="98"/>
      <c r="VK207" s="98"/>
      <c r="VL207" s="98"/>
      <c r="VM207" s="98"/>
      <c r="VN207" s="98"/>
      <c r="VO207" s="98"/>
      <c r="VP207" s="98"/>
      <c r="VQ207" s="98"/>
      <c r="VR207" s="98"/>
      <c r="VS207" s="98"/>
      <c r="VT207" s="98"/>
      <c r="VU207" s="98"/>
      <c r="VV207" s="98"/>
      <c r="VW207" s="98"/>
      <c r="VX207" s="98"/>
      <c r="VY207" s="98"/>
      <c r="VZ207" s="98"/>
      <c r="WA207" s="98"/>
      <c r="WB207" s="98"/>
      <c r="WC207" s="98"/>
      <c r="WD207" s="98"/>
      <c r="WE207" s="98"/>
      <c r="WF207" s="98"/>
      <c r="WG207" s="98"/>
      <c r="WH207" s="98"/>
      <c r="WI207" s="98"/>
      <c r="WJ207" s="98"/>
      <c r="WK207" s="98"/>
      <c r="WL207" s="98"/>
      <c r="WM207" s="98"/>
      <c r="WN207" s="98"/>
      <c r="WO207" s="98"/>
      <c r="WP207" s="98"/>
      <c r="WQ207" s="98"/>
      <c r="WR207" s="98"/>
      <c r="WS207" s="98"/>
      <c r="WT207" s="98"/>
      <c r="WU207" s="98"/>
      <c r="WV207" s="98"/>
      <c r="WW207" s="98"/>
      <c r="WX207" s="98"/>
      <c r="WY207" s="98"/>
      <c r="WZ207" s="98"/>
      <c r="XA207" s="98"/>
      <c r="XB207" s="98"/>
      <c r="XC207" s="98"/>
      <c r="XD207" s="98"/>
      <c r="XE207" s="98"/>
      <c r="XF207" s="98"/>
      <c r="XG207" s="98"/>
      <c r="XH207" s="98"/>
      <c r="XI207" s="98"/>
      <c r="XJ207" s="98"/>
      <c r="XK207" s="98"/>
      <c r="XL207" s="98"/>
      <c r="XM207" s="98"/>
      <c r="XN207" s="98"/>
      <c r="XO207" s="98"/>
      <c r="XP207" s="98"/>
      <c r="XQ207" s="98"/>
      <c r="XR207" s="98"/>
      <c r="XS207" s="98"/>
      <c r="XT207" s="98"/>
      <c r="XU207" s="98"/>
      <c r="XV207" s="98"/>
      <c r="XW207" s="98"/>
      <c r="XX207" s="98"/>
      <c r="XY207" s="98"/>
      <c r="XZ207" s="98"/>
      <c r="YA207" s="98"/>
      <c r="YB207" s="98"/>
      <c r="YC207" s="98"/>
      <c r="YD207" s="98"/>
      <c r="YE207" s="98"/>
      <c r="YF207" s="98"/>
      <c r="YG207" s="98"/>
      <c r="YH207" s="98"/>
      <c r="YI207" s="98"/>
      <c r="YJ207" s="98"/>
      <c r="YK207" s="98"/>
      <c r="YL207" s="98"/>
      <c r="YM207" s="98"/>
      <c r="YN207" s="98"/>
      <c r="YO207" s="98"/>
      <c r="YP207" s="98"/>
      <c r="YQ207" s="98"/>
      <c r="YR207" s="98"/>
      <c r="YS207" s="98"/>
      <c r="YT207" s="98"/>
      <c r="YU207" s="98"/>
      <c r="YV207" s="98"/>
      <c r="YW207" s="98"/>
      <c r="YX207" s="98"/>
      <c r="YY207" s="98"/>
      <c r="YZ207" s="98"/>
      <c r="ZA207" s="98"/>
      <c r="ZB207" s="98"/>
      <c r="ZC207" s="98"/>
      <c r="ZD207" s="98"/>
      <c r="ZE207" s="98"/>
      <c r="ZF207" s="98"/>
      <c r="ZG207" s="98"/>
      <c r="ZH207" s="98"/>
      <c r="ZI207" s="98"/>
      <c r="ZJ207" s="98"/>
      <c r="ZK207" s="98"/>
      <c r="ZL207" s="98"/>
      <c r="ZM207" s="98"/>
      <c r="ZN207" s="98"/>
      <c r="ZO207" s="98"/>
      <c r="ZP207" s="98"/>
      <c r="ZQ207" s="98"/>
      <c r="ZR207" s="98"/>
      <c r="ZS207" s="98"/>
      <c r="ZT207" s="98"/>
      <c r="ZU207" s="98"/>
      <c r="ZV207" s="98"/>
      <c r="ZW207" s="98"/>
      <c r="ZX207" s="98"/>
      <c r="ZY207" s="98"/>
      <c r="ZZ207" s="98"/>
      <c r="AAA207" s="98"/>
      <c r="AAB207" s="98"/>
      <c r="AAC207" s="98"/>
      <c r="AAD207" s="98"/>
      <c r="AAE207" s="98"/>
      <c r="AAF207" s="98"/>
      <c r="AAG207" s="98"/>
      <c r="AAH207" s="98"/>
      <c r="AAI207" s="98"/>
      <c r="AAJ207" s="98"/>
      <c r="AAK207" s="98"/>
      <c r="AAL207" s="98"/>
      <c r="AAM207" s="98"/>
      <c r="AAN207" s="98"/>
      <c r="AAO207" s="98"/>
      <c r="AAP207" s="98"/>
      <c r="AAQ207" s="98"/>
      <c r="AAR207" s="98"/>
      <c r="AAS207" s="98"/>
      <c r="AAT207" s="98"/>
      <c r="AAU207" s="98"/>
      <c r="AAV207" s="98"/>
      <c r="AAW207" s="98"/>
      <c r="AAX207" s="98"/>
      <c r="AAY207" s="98"/>
      <c r="AAZ207" s="98"/>
      <c r="ABA207" s="98"/>
      <c r="ABB207" s="98"/>
      <c r="ABC207" s="98"/>
      <c r="ABD207" s="98"/>
      <c r="ABE207" s="98"/>
      <c r="ABF207" s="98"/>
      <c r="ABG207" s="98"/>
      <c r="ABH207" s="98"/>
      <c r="ABI207" s="98"/>
      <c r="ABJ207" s="98"/>
      <c r="ABK207" s="98"/>
      <c r="ABL207" s="98"/>
      <c r="ABM207" s="98"/>
      <c r="ABN207" s="98"/>
      <c r="ABO207" s="98"/>
      <c r="ABP207" s="98"/>
      <c r="ABQ207" s="98"/>
      <c r="ABR207" s="98"/>
      <c r="ABS207" s="98"/>
      <c r="ABT207" s="98"/>
      <c r="ABU207" s="98"/>
      <c r="ABV207" s="98"/>
      <c r="ABW207" s="98"/>
      <c r="ABX207" s="98"/>
      <c r="ABY207" s="98"/>
      <c r="ABZ207" s="98"/>
      <c r="ACA207" s="98"/>
      <c r="ACB207" s="98"/>
      <c r="ACC207" s="98"/>
      <c r="ACD207" s="98"/>
      <c r="ACE207" s="98"/>
      <c r="ACF207" s="98"/>
      <c r="ACG207" s="98"/>
      <c r="ACH207" s="98"/>
      <c r="ACI207" s="98"/>
      <c r="ACJ207" s="98"/>
      <c r="ACK207" s="98"/>
      <c r="ACL207" s="98"/>
      <c r="ACM207" s="98"/>
      <c r="ACN207" s="98"/>
      <c r="ACO207" s="98"/>
      <c r="ACP207" s="98"/>
      <c r="ACQ207" s="98"/>
      <c r="ACR207" s="98"/>
      <c r="ACS207" s="98"/>
      <c r="ACT207" s="98"/>
      <c r="ACU207" s="98"/>
      <c r="ACV207" s="98"/>
      <c r="ACW207" s="98"/>
      <c r="ACX207" s="98"/>
      <c r="ACY207" s="98"/>
      <c r="ACZ207" s="98"/>
      <c r="ADA207" s="98"/>
      <c r="ADB207" s="98"/>
      <c r="ADC207" s="98"/>
      <c r="ADD207" s="98"/>
      <c r="ADE207" s="98"/>
      <c r="ADF207" s="98"/>
      <c r="ADG207" s="98"/>
      <c r="ADH207" s="98"/>
      <c r="ADI207" s="98"/>
      <c r="ADJ207" s="98"/>
      <c r="ADK207" s="98"/>
      <c r="ADL207" s="98"/>
      <c r="ADM207" s="98"/>
      <c r="ADN207" s="98"/>
      <c r="ADO207" s="98"/>
      <c r="ADP207" s="98"/>
      <c r="ADQ207" s="98"/>
      <c r="ADR207" s="98"/>
      <c r="ADS207" s="98"/>
      <c r="ADT207" s="98"/>
      <c r="ADU207" s="98"/>
      <c r="ADV207" s="98"/>
      <c r="ADW207" s="98"/>
      <c r="ADX207" s="98"/>
      <c r="ADY207" s="98"/>
      <c r="ADZ207" s="98"/>
      <c r="AEA207" s="98"/>
      <c r="AEB207" s="98"/>
      <c r="AEC207" s="98"/>
      <c r="AED207" s="98"/>
      <c r="AEE207" s="98"/>
      <c r="AEF207" s="98"/>
      <c r="AEG207" s="98"/>
      <c r="AEH207" s="98"/>
      <c r="AEI207" s="98"/>
      <c r="AEJ207" s="98"/>
      <c r="AEK207" s="98"/>
      <c r="AEL207" s="98"/>
      <c r="AEM207" s="98"/>
      <c r="AEN207" s="98"/>
      <c r="AEO207" s="98"/>
      <c r="AEP207" s="98"/>
      <c r="AEQ207" s="98"/>
      <c r="AER207" s="98"/>
      <c r="AES207" s="98"/>
      <c r="AET207" s="98"/>
      <c r="AEU207" s="98"/>
      <c r="AEV207" s="98"/>
      <c r="AEW207" s="98"/>
      <c r="AEX207" s="98"/>
      <c r="AEY207" s="98"/>
      <c r="AEZ207" s="98"/>
      <c r="AFA207" s="98"/>
      <c r="AFB207" s="98"/>
      <c r="AFC207" s="98"/>
      <c r="AFD207" s="98"/>
      <c r="AFE207" s="98"/>
      <c r="AFF207" s="98"/>
      <c r="AFG207" s="98"/>
      <c r="AFH207" s="98"/>
      <c r="AFI207" s="98"/>
      <c r="AFJ207" s="98"/>
      <c r="AFK207" s="98"/>
      <c r="AFL207" s="98"/>
      <c r="AFM207" s="98"/>
      <c r="AFN207" s="98"/>
      <c r="AFO207" s="98"/>
      <c r="AFP207" s="98"/>
      <c r="AFQ207" s="98"/>
      <c r="AFR207" s="98"/>
      <c r="AFS207" s="98"/>
      <c r="AFT207" s="98"/>
      <c r="AFU207" s="98"/>
      <c r="AFV207" s="98"/>
      <c r="AFW207" s="98"/>
      <c r="AFX207" s="98"/>
      <c r="AFY207" s="98"/>
      <c r="AFZ207" s="98"/>
      <c r="AGA207" s="98"/>
      <c r="AGB207" s="98"/>
      <c r="AGC207" s="98"/>
      <c r="AGD207" s="98"/>
      <c r="AGE207" s="98"/>
      <c r="AGF207" s="98"/>
      <c r="AGG207" s="98"/>
      <c r="AGH207" s="98"/>
      <c r="AGI207" s="98"/>
      <c r="AGJ207" s="98"/>
      <c r="AGK207" s="98"/>
      <c r="AGL207" s="98"/>
      <c r="AGM207" s="98"/>
      <c r="AGN207" s="98"/>
      <c r="AGO207" s="98"/>
      <c r="AGP207" s="98"/>
      <c r="AGQ207" s="98"/>
      <c r="AGR207" s="98"/>
      <c r="AGS207" s="98"/>
      <c r="AGT207" s="98"/>
      <c r="AGU207" s="98"/>
      <c r="AGV207" s="98"/>
      <c r="AGW207" s="98"/>
      <c r="AGX207" s="98"/>
      <c r="AGY207" s="98"/>
      <c r="AGZ207" s="98"/>
      <c r="AHA207" s="98"/>
      <c r="AHB207" s="98"/>
      <c r="AHC207" s="98"/>
      <c r="AHD207" s="98"/>
      <c r="AHE207" s="98"/>
      <c r="AHF207" s="98"/>
      <c r="AHG207" s="98"/>
      <c r="AHH207" s="98"/>
      <c r="AHI207" s="98"/>
      <c r="AHJ207" s="98"/>
      <c r="AHK207" s="98"/>
      <c r="AHL207" s="98"/>
      <c r="AHM207" s="98"/>
      <c r="AHN207" s="98"/>
      <c r="AHO207" s="98"/>
      <c r="AHP207" s="98"/>
      <c r="AHQ207" s="98"/>
      <c r="AHR207" s="98"/>
      <c r="AHS207" s="98"/>
      <c r="AHT207" s="98"/>
      <c r="AHU207" s="98"/>
      <c r="AHV207" s="98"/>
      <c r="AHW207" s="98"/>
      <c r="AHX207" s="98"/>
      <c r="AHY207" s="98"/>
      <c r="AHZ207" s="98"/>
      <c r="AIA207" s="98"/>
      <c r="AIB207" s="98"/>
      <c r="AIC207" s="98"/>
      <c r="AID207" s="98"/>
      <c r="AIE207" s="98"/>
      <c r="AIF207" s="98"/>
      <c r="AIG207" s="98"/>
      <c r="AIH207" s="98"/>
      <c r="AII207" s="98"/>
      <c r="AIJ207" s="98"/>
      <c r="AIK207" s="98"/>
      <c r="AIL207" s="98"/>
      <c r="AIM207" s="98"/>
      <c r="AIN207" s="98"/>
      <c r="AIO207" s="98"/>
      <c r="AIP207" s="98"/>
      <c r="AIQ207" s="98"/>
      <c r="AIR207" s="98"/>
      <c r="AIS207" s="98"/>
      <c r="AIT207" s="98"/>
      <c r="AIU207" s="98"/>
      <c r="AIV207" s="98"/>
      <c r="AIW207" s="98"/>
      <c r="AIX207" s="98"/>
      <c r="AIY207" s="98"/>
      <c r="AIZ207" s="98"/>
      <c r="AJA207" s="98"/>
      <c r="AJB207" s="98"/>
      <c r="AJC207" s="98"/>
      <c r="AJD207" s="98"/>
      <c r="AJE207" s="98"/>
      <c r="AJF207" s="98"/>
      <c r="AJG207" s="98"/>
      <c r="AJH207" s="98"/>
      <c r="AJI207" s="98"/>
      <c r="AJJ207" s="98"/>
      <c r="AJK207" s="98"/>
      <c r="AJL207" s="98"/>
      <c r="AJM207" s="98"/>
      <c r="AJN207" s="98"/>
      <c r="AJO207" s="98"/>
      <c r="AJP207" s="98"/>
      <c r="AJQ207" s="98"/>
      <c r="AJR207" s="98"/>
      <c r="AJS207" s="98"/>
      <c r="AJT207" s="98"/>
      <c r="AJU207" s="98"/>
      <c r="AJV207" s="98"/>
      <c r="AJW207" s="98"/>
      <c r="AJX207" s="98"/>
      <c r="AJY207" s="98"/>
      <c r="AJZ207" s="98"/>
      <c r="AKA207" s="98"/>
      <c r="AKB207" s="98"/>
      <c r="AKC207" s="98"/>
      <c r="AKD207" s="98"/>
      <c r="AKE207" s="98"/>
      <c r="AKF207" s="98"/>
      <c r="AKG207" s="98"/>
      <c r="AKH207" s="98"/>
      <c r="AKI207" s="98"/>
      <c r="AKJ207" s="98"/>
      <c r="AKK207" s="98"/>
      <c r="AKL207" s="98"/>
      <c r="AKM207" s="98"/>
      <c r="AKN207" s="98"/>
      <c r="AKO207" s="98"/>
      <c r="AKP207" s="98"/>
      <c r="AKQ207" s="98"/>
      <c r="AKR207" s="98"/>
      <c r="AKS207" s="98"/>
      <c r="AKT207" s="98"/>
      <c r="AKU207" s="98"/>
      <c r="AKV207" s="98"/>
      <c r="AKW207" s="98"/>
      <c r="AKX207" s="98"/>
      <c r="AKY207" s="98"/>
      <c r="AKZ207" s="98"/>
      <c r="ALA207" s="98"/>
      <c r="ALB207" s="98"/>
      <c r="ALC207" s="98"/>
      <c r="ALD207" s="98"/>
      <c r="ALE207" s="98"/>
      <c r="ALF207" s="98"/>
      <c r="ALG207" s="98"/>
      <c r="ALH207" s="98"/>
      <c r="ALI207" s="98"/>
      <c r="ALJ207" s="98"/>
      <c r="ALK207" s="98"/>
      <c r="ALL207" s="98"/>
      <c r="ALM207" s="98"/>
      <c r="ALN207" s="98"/>
      <c r="ALO207" s="98"/>
      <c r="ALP207" s="98"/>
      <c r="ALQ207" s="98"/>
      <c r="ALR207" s="98"/>
      <c r="ALS207" s="98"/>
      <c r="ALT207" s="98"/>
      <c r="ALU207" s="98"/>
      <c r="ALV207" s="98"/>
      <c r="ALW207" s="98"/>
      <c r="ALX207" s="98"/>
      <c r="ALY207" s="98"/>
      <c r="ALZ207" s="98"/>
      <c r="AMA207" s="98"/>
      <c r="AMB207" s="98"/>
      <c r="AMC207" s="98"/>
      <c r="AMD207" s="98"/>
      <c r="AME207" s="98"/>
      <c r="AMF207" s="98"/>
      <c r="AMG207" s="98"/>
      <c r="AMH207" s="98"/>
      <c r="AMI207" s="98"/>
      <c r="AMJ207" s="98"/>
      <c r="AMK207" s="98"/>
      <c r="AML207" s="98"/>
      <c r="AMM207" s="98"/>
      <c r="AMN207" s="98"/>
      <c r="AMO207" s="98"/>
      <c r="AMP207" s="98"/>
      <c r="AMQ207" s="98"/>
      <c r="AMR207" s="98"/>
      <c r="AMS207" s="98"/>
      <c r="AMT207" s="98"/>
      <c r="AMU207" s="98"/>
      <c r="AMV207" s="98"/>
      <c r="AMW207" s="98"/>
      <c r="AMX207" s="98"/>
      <c r="AMY207" s="98"/>
      <c r="AMZ207" s="98"/>
      <c r="ANA207" s="98"/>
      <c r="ANB207" s="98"/>
      <c r="ANC207" s="98"/>
      <c r="AND207" s="98"/>
      <c r="ANE207" s="98"/>
      <c r="ANF207" s="98"/>
      <c r="ANG207" s="98"/>
      <c r="ANH207" s="98"/>
      <c r="ANI207" s="98"/>
      <c r="ANJ207" s="98"/>
      <c r="ANK207" s="98"/>
      <c r="ANL207" s="98"/>
      <c r="ANM207" s="98"/>
      <c r="ANN207" s="98"/>
      <c r="ANO207" s="98"/>
      <c r="ANP207" s="98"/>
      <c r="ANQ207" s="98"/>
      <c r="ANR207" s="98"/>
      <c r="ANS207" s="98"/>
      <c r="ANT207" s="98"/>
      <c r="ANU207" s="98"/>
      <c r="ANV207" s="98"/>
      <c r="ANW207" s="98"/>
      <c r="ANX207" s="98"/>
      <c r="ANY207" s="98"/>
      <c r="ANZ207" s="98"/>
      <c r="AOA207" s="98"/>
      <c r="AOB207" s="98"/>
      <c r="AOC207" s="98"/>
      <c r="AOD207" s="98"/>
      <c r="AOE207" s="98"/>
      <c r="AOF207" s="98"/>
      <c r="AOG207" s="98"/>
      <c r="AOH207" s="98"/>
      <c r="AOI207" s="98"/>
      <c r="AOJ207" s="98"/>
      <c r="AOK207" s="98"/>
      <c r="AOL207" s="98"/>
      <c r="AOM207" s="98"/>
      <c r="AON207" s="98"/>
      <c r="AOO207" s="98"/>
      <c r="AOP207" s="98"/>
      <c r="AOQ207" s="98"/>
      <c r="AOR207" s="98"/>
      <c r="AOS207" s="98"/>
      <c r="AOT207" s="98"/>
      <c r="AOU207" s="98"/>
      <c r="AOV207" s="98"/>
      <c r="AOW207" s="98"/>
      <c r="AOX207" s="98"/>
      <c r="AOY207" s="98"/>
      <c r="AOZ207" s="98"/>
      <c r="APA207" s="98"/>
      <c r="APB207" s="98"/>
      <c r="APC207" s="98"/>
      <c r="APD207" s="98"/>
      <c r="APE207" s="98"/>
      <c r="APF207" s="98"/>
      <c r="APG207" s="98"/>
      <c r="APH207" s="98"/>
      <c r="API207" s="98"/>
      <c r="APJ207" s="98"/>
      <c r="APK207" s="98"/>
      <c r="APL207" s="98"/>
      <c r="APM207" s="98"/>
      <c r="APN207" s="98"/>
      <c r="APO207" s="98"/>
      <c r="APP207" s="98"/>
      <c r="APQ207" s="98"/>
      <c r="APR207" s="98"/>
      <c r="APS207" s="98"/>
      <c r="APT207" s="98"/>
      <c r="APU207" s="98"/>
      <c r="APV207" s="98"/>
      <c r="APW207" s="98"/>
      <c r="APX207" s="98"/>
      <c r="APY207" s="98"/>
      <c r="APZ207" s="98"/>
      <c r="AQA207" s="98"/>
      <c r="AQB207" s="98"/>
      <c r="AQC207" s="98"/>
      <c r="AQD207" s="98"/>
      <c r="AQE207" s="98"/>
      <c r="AQF207" s="98"/>
      <c r="AQG207" s="98"/>
      <c r="AQH207" s="98"/>
      <c r="AQI207" s="98"/>
      <c r="AQJ207" s="98"/>
      <c r="AQK207" s="98"/>
      <c r="AQL207" s="98"/>
      <c r="AQM207" s="98"/>
      <c r="AQN207" s="98"/>
      <c r="AQO207" s="98"/>
      <c r="AQP207" s="98"/>
      <c r="AQQ207" s="98"/>
      <c r="AQR207" s="98"/>
      <c r="AQS207" s="98"/>
      <c r="AQT207" s="98"/>
      <c r="AQU207" s="98"/>
      <c r="AQV207" s="98"/>
      <c r="AQW207" s="98"/>
      <c r="AQX207" s="98"/>
      <c r="AQY207" s="98"/>
      <c r="AQZ207" s="98"/>
      <c r="ARA207" s="98"/>
      <c r="ARB207" s="98"/>
      <c r="ARC207" s="98"/>
      <c r="ARD207" s="98"/>
      <c r="ARE207" s="98"/>
      <c r="ARF207" s="98"/>
      <c r="ARG207" s="98"/>
      <c r="ARH207" s="98"/>
      <c r="ARI207" s="98"/>
      <c r="ARJ207" s="98"/>
      <c r="ARK207" s="98"/>
      <c r="ARL207" s="98"/>
      <c r="ARM207" s="98"/>
      <c r="ARN207" s="98"/>
      <c r="ARO207" s="98"/>
      <c r="ARP207" s="98"/>
      <c r="ARQ207" s="98"/>
      <c r="ARR207" s="98"/>
      <c r="ARS207" s="98"/>
    </row>
    <row r="208" spans="1:1163" s="174" customFormat="1">
      <c r="A208" s="140" t="s">
        <v>205</v>
      </c>
      <c r="B208" s="119" t="s">
        <v>67</v>
      </c>
      <c r="C208" s="175">
        <v>8042</v>
      </c>
      <c r="D208" s="175">
        <v>124123</v>
      </c>
      <c r="E208" s="175">
        <v>0</v>
      </c>
      <c r="F208" s="175">
        <v>0</v>
      </c>
      <c r="G208" s="175">
        <v>0</v>
      </c>
      <c r="H208" s="175">
        <v>0</v>
      </c>
      <c r="I208" s="175">
        <v>0</v>
      </c>
      <c r="J208" s="175">
        <v>0</v>
      </c>
      <c r="K208" s="175">
        <v>0</v>
      </c>
      <c r="L208" s="175">
        <v>0</v>
      </c>
      <c r="M208" s="175">
        <v>0</v>
      </c>
      <c r="N208" s="175">
        <v>0</v>
      </c>
      <c r="O208" s="175">
        <v>0</v>
      </c>
      <c r="P208" s="175">
        <v>0</v>
      </c>
      <c r="Q208" s="175">
        <v>0</v>
      </c>
      <c r="R208" s="175">
        <v>0</v>
      </c>
      <c r="S208" s="175">
        <v>0</v>
      </c>
      <c r="T208" s="175">
        <v>0</v>
      </c>
      <c r="U208" s="175">
        <v>0</v>
      </c>
      <c r="V208" s="175">
        <v>0</v>
      </c>
      <c r="W208" s="175">
        <v>0</v>
      </c>
      <c r="X208" s="175">
        <v>0</v>
      </c>
      <c r="Y208" s="175">
        <v>0</v>
      </c>
      <c r="Z208" s="175">
        <v>0</v>
      </c>
      <c r="AA208" s="175">
        <v>0</v>
      </c>
      <c r="AB208" s="175">
        <v>0</v>
      </c>
      <c r="AC208" s="175">
        <v>0</v>
      </c>
      <c r="AD208" s="175">
        <v>0</v>
      </c>
      <c r="AE208" s="175">
        <v>0</v>
      </c>
      <c r="AF208" s="175">
        <v>0</v>
      </c>
      <c r="AG208" s="175">
        <v>0</v>
      </c>
      <c r="AH208" s="175">
        <v>0</v>
      </c>
      <c r="AI208" s="175">
        <v>0</v>
      </c>
      <c r="AJ208" s="175">
        <v>0</v>
      </c>
      <c r="AK208" s="175">
        <v>0</v>
      </c>
      <c r="AL208" s="175">
        <v>0</v>
      </c>
      <c r="AM208" s="175">
        <v>0</v>
      </c>
      <c r="AN208" s="175">
        <v>0</v>
      </c>
      <c r="AO208" s="175">
        <v>0</v>
      </c>
      <c r="AP208" s="175">
        <v>0</v>
      </c>
      <c r="AQ208" s="175">
        <v>0</v>
      </c>
      <c r="AR208" s="175">
        <v>0</v>
      </c>
      <c r="AS208" s="175">
        <v>0</v>
      </c>
      <c r="AT208" s="175">
        <v>0</v>
      </c>
      <c r="AU208" s="175">
        <v>0</v>
      </c>
      <c r="AV208" s="175">
        <v>0</v>
      </c>
      <c r="AW208" s="175">
        <v>0</v>
      </c>
      <c r="AX208" s="175">
        <v>0</v>
      </c>
      <c r="AY208" s="175">
        <v>0</v>
      </c>
      <c r="AZ208" s="175">
        <v>0</v>
      </c>
      <c r="BA208" s="119"/>
      <c r="BB208" s="175"/>
      <c r="BC208" s="175"/>
      <c r="BD208" s="175"/>
      <c r="BE208" s="175"/>
      <c r="BF208" s="175"/>
      <c r="BG208" s="175"/>
      <c r="BH208" s="175"/>
      <c r="BI208" s="119"/>
      <c r="BJ208" s="98"/>
      <c r="BK208" s="98"/>
      <c r="BL208" s="98"/>
      <c r="BM208" s="14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98"/>
      <c r="EM208" s="98"/>
      <c r="EN208" s="98"/>
      <c r="EO208" s="98"/>
      <c r="EP208" s="98"/>
      <c r="EQ208" s="98"/>
      <c r="ER208" s="98"/>
      <c r="ES208" s="98"/>
      <c r="ET208" s="98"/>
      <c r="EU208" s="98"/>
      <c r="EV208" s="98"/>
      <c r="EW208" s="98"/>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c r="IW208" s="98"/>
      <c r="IX208" s="98"/>
      <c r="IY208" s="98"/>
      <c r="IZ208" s="98"/>
      <c r="JA208" s="98"/>
      <c r="JB208" s="98"/>
      <c r="JC208" s="98"/>
      <c r="JD208" s="98"/>
      <c r="JE208" s="98"/>
      <c r="JF208" s="98"/>
      <c r="JG208" s="98"/>
      <c r="JH208" s="98"/>
      <c r="JI208" s="98"/>
      <c r="JJ208" s="98"/>
      <c r="JK208" s="98"/>
      <c r="JL208" s="98"/>
      <c r="JM208" s="98"/>
      <c r="JN208" s="98"/>
      <c r="JO208" s="98"/>
      <c r="JP208" s="98"/>
      <c r="JQ208" s="98"/>
      <c r="JR208" s="98"/>
      <c r="JS208" s="98"/>
      <c r="JT208" s="98"/>
      <c r="JU208" s="98"/>
      <c r="JV208" s="98"/>
      <c r="JW208" s="98"/>
      <c r="JX208" s="98"/>
      <c r="JY208" s="98"/>
      <c r="JZ208" s="98"/>
      <c r="KA208" s="98"/>
      <c r="KB208" s="98"/>
      <c r="KC208" s="98"/>
      <c r="KD208" s="98"/>
      <c r="KE208" s="98"/>
      <c r="KF208" s="98"/>
      <c r="KG208" s="98"/>
      <c r="KH208" s="98"/>
      <c r="KI208" s="98"/>
      <c r="KJ208" s="98"/>
      <c r="KK208" s="98"/>
      <c r="KL208" s="98"/>
      <c r="KM208" s="98"/>
      <c r="KN208" s="98"/>
      <c r="KO208" s="98"/>
      <c r="KP208" s="98"/>
      <c r="KQ208" s="98"/>
      <c r="KR208" s="98"/>
      <c r="KS208" s="98"/>
      <c r="KT208" s="98"/>
      <c r="KU208" s="98"/>
      <c r="KV208" s="98"/>
      <c r="KW208" s="98"/>
      <c r="KX208" s="98"/>
      <c r="KY208" s="98"/>
      <c r="KZ208" s="98"/>
      <c r="LA208" s="98"/>
      <c r="LB208" s="98"/>
      <c r="LC208" s="98"/>
      <c r="LD208" s="98"/>
      <c r="LE208" s="98"/>
      <c r="LF208" s="98"/>
      <c r="LG208" s="98"/>
      <c r="LH208" s="98"/>
      <c r="LI208" s="98"/>
      <c r="LJ208" s="98"/>
      <c r="LK208" s="98"/>
      <c r="LL208" s="98"/>
      <c r="LM208" s="98"/>
      <c r="LN208" s="98"/>
      <c r="LO208" s="98"/>
      <c r="LP208" s="98"/>
      <c r="LQ208" s="98"/>
      <c r="LR208" s="98"/>
      <c r="LS208" s="98"/>
      <c r="LT208" s="98"/>
      <c r="LU208" s="98"/>
      <c r="LV208" s="98"/>
      <c r="LW208" s="98"/>
      <c r="LX208" s="98"/>
      <c r="LY208" s="98"/>
      <c r="LZ208" s="98"/>
      <c r="MA208" s="98"/>
      <c r="MB208" s="98"/>
      <c r="MC208" s="98"/>
      <c r="MD208" s="98"/>
      <c r="ME208" s="98"/>
      <c r="MF208" s="98"/>
      <c r="MG208" s="98"/>
      <c r="MH208" s="98"/>
      <c r="MI208" s="98"/>
      <c r="MJ208" s="98"/>
      <c r="MK208" s="98"/>
      <c r="ML208" s="98"/>
      <c r="MM208" s="98"/>
      <c r="MN208" s="98"/>
      <c r="MO208" s="98"/>
      <c r="MP208" s="98"/>
      <c r="MQ208" s="98"/>
      <c r="MR208" s="98"/>
      <c r="MS208" s="98"/>
      <c r="MT208" s="98"/>
      <c r="MU208" s="98"/>
      <c r="MV208" s="98"/>
      <c r="MW208" s="98"/>
      <c r="MX208" s="98"/>
      <c r="MY208" s="98"/>
      <c r="MZ208" s="98"/>
      <c r="NA208" s="98"/>
      <c r="NB208" s="98"/>
      <c r="NC208" s="98"/>
      <c r="ND208" s="98"/>
      <c r="NE208" s="98"/>
      <c r="NF208" s="98"/>
      <c r="NG208" s="98"/>
      <c r="NH208" s="98"/>
      <c r="NI208" s="98"/>
      <c r="NJ208" s="98"/>
      <c r="NK208" s="98"/>
      <c r="NL208" s="98"/>
      <c r="NM208" s="98"/>
      <c r="NN208" s="98"/>
      <c r="NO208" s="98"/>
      <c r="NP208" s="98"/>
      <c r="NQ208" s="98"/>
      <c r="NR208" s="98"/>
      <c r="NS208" s="98"/>
      <c r="NT208" s="98"/>
      <c r="NU208" s="98"/>
      <c r="NV208" s="98"/>
      <c r="NW208" s="98"/>
      <c r="NX208" s="98"/>
      <c r="NY208" s="98"/>
      <c r="NZ208" s="98"/>
      <c r="OA208" s="98"/>
      <c r="OB208" s="98"/>
      <c r="OC208" s="98"/>
      <c r="OD208" s="98"/>
      <c r="OE208" s="98"/>
      <c r="OF208" s="98"/>
      <c r="OG208" s="98"/>
      <c r="OH208" s="98"/>
      <c r="OI208" s="98"/>
      <c r="OJ208" s="98"/>
      <c r="OK208" s="98"/>
      <c r="OL208" s="98"/>
      <c r="OM208" s="98"/>
      <c r="ON208" s="98"/>
      <c r="OO208" s="98"/>
      <c r="OP208" s="98"/>
      <c r="OQ208" s="98"/>
      <c r="OR208" s="98"/>
      <c r="OS208" s="98"/>
      <c r="OT208" s="98"/>
      <c r="OU208" s="98"/>
      <c r="OV208" s="98"/>
      <c r="OW208" s="98"/>
      <c r="OX208" s="98"/>
      <c r="OY208" s="98"/>
      <c r="OZ208" s="98"/>
      <c r="PA208" s="98"/>
      <c r="PB208" s="98"/>
      <c r="PC208" s="98"/>
      <c r="PD208" s="98"/>
      <c r="PE208" s="98"/>
      <c r="PF208" s="98"/>
      <c r="PG208" s="98"/>
      <c r="PH208" s="98"/>
      <c r="PI208" s="98"/>
      <c r="PJ208" s="98"/>
      <c r="PK208" s="98"/>
      <c r="PL208" s="98"/>
      <c r="PM208" s="98"/>
      <c r="PN208" s="98"/>
      <c r="PO208" s="98"/>
      <c r="PP208" s="98"/>
      <c r="PQ208" s="98"/>
      <c r="PR208" s="98"/>
      <c r="PS208" s="98"/>
      <c r="PT208" s="98"/>
      <c r="PU208" s="98"/>
      <c r="PV208" s="98"/>
      <c r="PW208" s="98"/>
      <c r="PX208" s="98"/>
      <c r="PY208" s="98"/>
      <c r="PZ208" s="98"/>
      <c r="QA208" s="98"/>
      <c r="QB208" s="98"/>
      <c r="QC208" s="98"/>
      <c r="QD208" s="98"/>
      <c r="QE208" s="98"/>
      <c r="QF208" s="98"/>
      <c r="QG208" s="98"/>
      <c r="QH208" s="98"/>
      <c r="QI208" s="98"/>
      <c r="QJ208" s="98"/>
      <c r="QK208" s="98"/>
      <c r="QL208" s="98"/>
      <c r="QM208" s="98"/>
      <c r="QN208" s="98"/>
      <c r="QO208" s="98"/>
      <c r="QP208" s="98"/>
      <c r="QQ208" s="98"/>
      <c r="QR208" s="98"/>
      <c r="QS208" s="98"/>
      <c r="QT208" s="98"/>
      <c r="QU208" s="98"/>
      <c r="QV208" s="98"/>
      <c r="QW208" s="98"/>
      <c r="QX208" s="98"/>
      <c r="QY208" s="98"/>
      <c r="QZ208" s="98"/>
      <c r="RA208" s="98"/>
      <c r="RB208" s="98"/>
      <c r="RC208" s="98"/>
      <c r="RD208" s="98"/>
      <c r="RE208" s="98"/>
      <c r="RF208" s="98"/>
      <c r="RG208" s="98"/>
      <c r="RH208" s="98"/>
      <c r="RI208" s="98"/>
      <c r="RJ208" s="98"/>
      <c r="RK208" s="98"/>
      <c r="RL208" s="98"/>
      <c r="RM208" s="98"/>
      <c r="RN208" s="98"/>
      <c r="RO208" s="98"/>
      <c r="RP208" s="98"/>
      <c r="RQ208" s="98"/>
      <c r="RR208" s="98"/>
      <c r="RS208" s="98"/>
      <c r="RT208" s="98"/>
      <c r="RU208" s="98"/>
      <c r="RV208" s="98"/>
      <c r="RW208" s="98"/>
      <c r="RX208" s="98"/>
      <c r="RY208" s="98"/>
      <c r="RZ208" s="98"/>
      <c r="SA208" s="98"/>
      <c r="SB208" s="98"/>
      <c r="SC208" s="98"/>
      <c r="SD208" s="98"/>
      <c r="SE208" s="98"/>
      <c r="SF208" s="98"/>
      <c r="SG208" s="98"/>
      <c r="SH208" s="98"/>
      <c r="SI208" s="98"/>
      <c r="SJ208" s="98"/>
      <c r="SK208" s="98"/>
      <c r="SL208" s="98"/>
      <c r="SM208" s="98"/>
      <c r="SN208" s="98"/>
      <c r="SO208" s="98"/>
      <c r="SP208" s="98"/>
      <c r="SQ208" s="98"/>
      <c r="SR208" s="98"/>
      <c r="SS208" s="98"/>
      <c r="ST208" s="98"/>
      <c r="SU208" s="98"/>
      <c r="SV208" s="98"/>
      <c r="SW208" s="98"/>
      <c r="SX208" s="98"/>
      <c r="SY208" s="98"/>
      <c r="SZ208" s="98"/>
      <c r="TA208" s="98"/>
      <c r="TB208" s="98"/>
      <c r="TC208" s="98"/>
      <c r="TD208" s="98"/>
      <c r="TE208" s="98"/>
      <c r="TF208" s="98"/>
      <c r="TG208" s="98"/>
      <c r="TH208" s="98"/>
      <c r="TI208" s="98"/>
      <c r="TJ208" s="98"/>
      <c r="TK208" s="98"/>
      <c r="TL208" s="98"/>
      <c r="TM208" s="98"/>
      <c r="TN208" s="98"/>
      <c r="TO208" s="98"/>
      <c r="TP208" s="98"/>
      <c r="TQ208" s="98"/>
      <c r="TR208" s="98"/>
      <c r="TS208" s="98"/>
      <c r="TT208" s="98"/>
      <c r="TU208" s="98"/>
      <c r="TV208" s="98"/>
      <c r="TW208" s="98"/>
      <c r="TX208" s="98"/>
      <c r="TY208" s="98"/>
      <c r="TZ208" s="98"/>
      <c r="UA208" s="98"/>
      <c r="UB208" s="98"/>
      <c r="UC208" s="98"/>
      <c r="UD208" s="98"/>
      <c r="UE208" s="98"/>
      <c r="UF208" s="98"/>
      <c r="UG208" s="98"/>
      <c r="UH208" s="98"/>
      <c r="UI208" s="98"/>
      <c r="UJ208" s="98"/>
      <c r="UK208" s="98"/>
      <c r="UL208" s="98"/>
      <c r="UM208" s="98"/>
      <c r="UN208" s="98"/>
      <c r="UO208" s="98"/>
      <c r="UP208" s="98"/>
      <c r="UQ208" s="98"/>
      <c r="UR208" s="98"/>
      <c r="US208" s="98"/>
      <c r="UT208" s="98"/>
      <c r="UU208" s="98"/>
      <c r="UV208" s="98"/>
      <c r="UW208" s="98"/>
      <c r="UX208" s="98"/>
      <c r="UY208" s="98"/>
      <c r="UZ208" s="98"/>
      <c r="VA208" s="98"/>
      <c r="VB208" s="98"/>
      <c r="VC208" s="98"/>
      <c r="VD208" s="98"/>
      <c r="VE208" s="98"/>
      <c r="VF208" s="98"/>
      <c r="VG208" s="98"/>
      <c r="VH208" s="98"/>
      <c r="VI208" s="98"/>
      <c r="VJ208" s="98"/>
      <c r="VK208" s="98"/>
      <c r="VL208" s="98"/>
      <c r="VM208" s="98"/>
      <c r="VN208" s="98"/>
      <c r="VO208" s="98"/>
      <c r="VP208" s="98"/>
      <c r="VQ208" s="98"/>
      <c r="VR208" s="98"/>
      <c r="VS208" s="98"/>
      <c r="VT208" s="98"/>
      <c r="VU208" s="98"/>
      <c r="VV208" s="98"/>
      <c r="VW208" s="98"/>
      <c r="VX208" s="98"/>
      <c r="VY208" s="98"/>
      <c r="VZ208" s="98"/>
      <c r="WA208" s="98"/>
      <c r="WB208" s="98"/>
      <c r="WC208" s="98"/>
      <c r="WD208" s="98"/>
      <c r="WE208" s="98"/>
      <c r="WF208" s="98"/>
      <c r="WG208" s="98"/>
      <c r="WH208" s="98"/>
      <c r="WI208" s="98"/>
      <c r="WJ208" s="98"/>
      <c r="WK208" s="98"/>
      <c r="WL208" s="98"/>
      <c r="WM208" s="98"/>
      <c r="WN208" s="98"/>
      <c r="WO208" s="98"/>
      <c r="WP208" s="98"/>
      <c r="WQ208" s="98"/>
      <c r="WR208" s="98"/>
      <c r="WS208" s="98"/>
      <c r="WT208" s="98"/>
      <c r="WU208" s="98"/>
      <c r="WV208" s="98"/>
      <c r="WW208" s="98"/>
      <c r="WX208" s="98"/>
      <c r="WY208" s="98"/>
      <c r="WZ208" s="98"/>
      <c r="XA208" s="98"/>
      <c r="XB208" s="98"/>
      <c r="XC208" s="98"/>
      <c r="XD208" s="98"/>
      <c r="XE208" s="98"/>
      <c r="XF208" s="98"/>
      <c r="XG208" s="98"/>
      <c r="XH208" s="98"/>
      <c r="XI208" s="98"/>
      <c r="XJ208" s="98"/>
      <c r="XK208" s="98"/>
      <c r="XL208" s="98"/>
      <c r="XM208" s="98"/>
      <c r="XN208" s="98"/>
      <c r="XO208" s="98"/>
      <c r="XP208" s="98"/>
      <c r="XQ208" s="98"/>
      <c r="XR208" s="98"/>
      <c r="XS208" s="98"/>
      <c r="XT208" s="98"/>
      <c r="XU208" s="98"/>
      <c r="XV208" s="98"/>
      <c r="XW208" s="98"/>
      <c r="XX208" s="98"/>
      <c r="XY208" s="98"/>
      <c r="XZ208" s="98"/>
      <c r="YA208" s="98"/>
      <c r="YB208" s="98"/>
      <c r="YC208" s="98"/>
      <c r="YD208" s="98"/>
      <c r="YE208" s="98"/>
      <c r="YF208" s="98"/>
      <c r="YG208" s="98"/>
      <c r="YH208" s="98"/>
      <c r="YI208" s="98"/>
      <c r="YJ208" s="98"/>
      <c r="YK208" s="98"/>
      <c r="YL208" s="98"/>
      <c r="YM208" s="98"/>
      <c r="YN208" s="98"/>
      <c r="YO208" s="98"/>
      <c r="YP208" s="98"/>
      <c r="YQ208" s="98"/>
      <c r="YR208" s="98"/>
      <c r="YS208" s="98"/>
      <c r="YT208" s="98"/>
      <c r="YU208" s="98"/>
      <c r="YV208" s="98"/>
      <c r="YW208" s="98"/>
      <c r="YX208" s="98"/>
      <c r="YY208" s="98"/>
      <c r="YZ208" s="98"/>
      <c r="ZA208" s="98"/>
      <c r="ZB208" s="98"/>
      <c r="ZC208" s="98"/>
      <c r="ZD208" s="98"/>
      <c r="ZE208" s="98"/>
      <c r="ZF208" s="98"/>
      <c r="ZG208" s="98"/>
      <c r="ZH208" s="98"/>
      <c r="ZI208" s="98"/>
      <c r="ZJ208" s="98"/>
      <c r="ZK208" s="98"/>
      <c r="ZL208" s="98"/>
      <c r="ZM208" s="98"/>
      <c r="ZN208" s="98"/>
      <c r="ZO208" s="98"/>
      <c r="ZP208" s="98"/>
      <c r="ZQ208" s="98"/>
      <c r="ZR208" s="98"/>
      <c r="ZS208" s="98"/>
      <c r="ZT208" s="98"/>
      <c r="ZU208" s="98"/>
      <c r="ZV208" s="98"/>
      <c r="ZW208" s="98"/>
      <c r="ZX208" s="98"/>
      <c r="ZY208" s="98"/>
      <c r="ZZ208" s="98"/>
      <c r="AAA208" s="98"/>
      <c r="AAB208" s="98"/>
      <c r="AAC208" s="98"/>
      <c r="AAD208" s="98"/>
      <c r="AAE208" s="98"/>
      <c r="AAF208" s="98"/>
      <c r="AAG208" s="98"/>
      <c r="AAH208" s="98"/>
      <c r="AAI208" s="98"/>
      <c r="AAJ208" s="98"/>
      <c r="AAK208" s="98"/>
      <c r="AAL208" s="98"/>
      <c r="AAM208" s="98"/>
      <c r="AAN208" s="98"/>
      <c r="AAO208" s="98"/>
      <c r="AAP208" s="98"/>
      <c r="AAQ208" s="98"/>
      <c r="AAR208" s="98"/>
      <c r="AAS208" s="98"/>
      <c r="AAT208" s="98"/>
      <c r="AAU208" s="98"/>
      <c r="AAV208" s="98"/>
      <c r="AAW208" s="98"/>
      <c r="AAX208" s="98"/>
      <c r="AAY208" s="98"/>
      <c r="AAZ208" s="98"/>
      <c r="ABA208" s="98"/>
      <c r="ABB208" s="98"/>
      <c r="ABC208" s="98"/>
      <c r="ABD208" s="98"/>
      <c r="ABE208" s="98"/>
      <c r="ABF208" s="98"/>
      <c r="ABG208" s="98"/>
      <c r="ABH208" s="98"/>
      <c r="ABI208" s="98"/>
      <c r="ABJ208" s="98"/>
      <c r="ABK208" s="98"/>
      <c r="ABL208" s="98"/>
      <c r="ABM208" s="98"/>
      <c r="ABN208" s="98"/>
      <c r="ABO208" s="98"/>
      <c r="ABP208" s="98"/>
      <c r="ABQ208" s="98"/>
      <c r="ABR208" s="98"/>
      <c r="ABS208" s="98"/>
      <c r="ABT208" s="98"/>
      <c r="ABU208" s="98"/>
      <c r="ABV208" s="98"/>
      <c r="ABW208" s="98"/>
      <c r="ABX208" s="98"/>
      <c r="ABY208" s="98"/>
      <c r="ABZ208" s="98"/>
      <c r="ACA208" s="98"/>
      <c r="ACB208" s="98"/>
      <c r="ACC208" s="98"/>
      <c r="ACD208" s="98"/>
      <c r="ACE208" s="98"/>
      <c r="ACF208" s="98"/>
      <c r="ACG208" s="98"/>
      <c r="ACH208" s="98"/>
      <c r="ACI208" s="98"/>
      <c r="ACJ208" s="98"/>
      <c r="ACK208" s="98"/>
      <c r="ACL208" s="98"/>
      <c r="ACM208" s="98"/>
      <c r="ACN208" s="98"/>
      <c r="ACO208" s="98"/>
      <c r="ACP208" s="98"/>
      <c r="ACQ208" s="98"/>
      <c r="ACR208" s="98"/>
      <c r="ACS208" s="98"/>
      <c r="ACT208" s="98"/>
      <c r="ACU208" s="98"/>
      <c r="ACV208" s="98"/>
      <c r="ACW208" s="98"/>
      <c r="ACX208" s="98"/>
      <c r="ACY208" s="98"/>
      <c r="ACZ208" s="98"/>
      <c r="ADA208" s="98"/>
      <c r="ADB208" s="98"/>
      <c r="ADC208" s="98"/>
      <c r="ADD208" s="98"/>
      <c r="ADE208" s="98"/>
      <c r="ADF208" s="98"/>
      <c r="ADG208" s="98"/>
      <c r="ADH208" s="98"/>
      <c r="ADI208" s="98"/>
      <c r="ADJ208" s="98"/>
      <c r="ADK208" s="98"/>
      <c r="ADL208" s="98"/>
      <c r="ADM208" s="98"/>
      <c r="ADN208" s="98"/>
      <c r="ADO208" s="98"/>
      <c r="ADP208" s="98"/>
      <c r="ADQ208" s="98"/>
      <c r="ADR208" s="98"/>
      <c r="ADS208" s="98"/>
      <c r="ADT208" s="98"/>
      <c r="ADU208" s="98"/>
      <c r="ADV208" s="98"/>
      <c r="ADW208" s="98"/>
      <c r="ADX208" s="98"/>
      <c r="ADY208" s="98"/>
      <c r="ADZ208" s="98"/>
      <c r="AEA208" s="98"/>
      <c r="AEB208" s="98"/>
      <c r="AEC208" s="98"/>
      <c r="AED208" s="98"/>
      <c r="AEE208" s="98"/>
      <c r="AEF208" s="98"/>
      <c r="AEG208" s="98"/>
      <c r="AEH208" s="98"/>
      <c r="AEI208" s="98"/>
      <c r="AEJ208" s="98"/>
      <c r="AEK208" s="98"/>
      <c r="AEL208" s="98"/>
      <c r="AEM208" s="98"/>
      <c r="AEN208" s="98"/>
      <c r="AEO208" s="98"/>
      <c r="AEP208" s="98"/>
      <c r="AEQ208" s="98"/>
      <c r="AER208" s="98"/>
      <c r="AES208" s="98"/>
      <c r="AET208" s="98"/>
      <c r="AEU208" s="98"/>
      <c r="AEV208" s="98"/>
      <c r="AEW208" s="98"/>
      <c r="AEX208" s="98"/>
      <c r="AEY208" s="98"/>
      <c r="AEZ208" s="98"/>
      <c r="AFA208" s="98"/>
      <c r="AFB208" s="98"/>
      <c r="AFC208" s="98"/>
      <c r="AFD208" s="98"/>
      <c r="AFE208" s="98"/>
      <c r="AFF208" s="98"/>
      <c r="AFG208" s="98"/>
      <c r="AFH208" s="98"/>
      <c r="AFI208" s="98"/>
      <c r="AFJ208" s="98"/>
      <c r="AFK208" s="98"/>
      <c r="AFL208" s="98"/>
      <c r="AFM208" s="98"/>
      <c r="AFN208" s="98"/>
      <c r="AFO208" s="98"/>
      <c r="AFP208" s="98"/>
      <c r="AFQ208" s="98"/>
      <c r="AFR208" s="98"/>
      <c r="AFS208" s="98"/>
      <c r="AFT208" s="98"/>
      <c r="AFU208" s="98"/>
      <c r="AFV208" s="98"/>
      <c r="AFW208" s="98"/>
      <c r="AFX208" s="98"/>
      <c r="AFY208" s="98"/>
      <c r="AFZ208" s="98"/>
      <c r="AGA208" s="98"/>
      <c r="AGB208" s="98"/>
      <c r="AGC208" s="98"/>
      <c r="AGD208" s="98"/>
      <c r="AGE208" s="98"/>
      <c r="AGF208" s="98"/>
      <c r="AGG208" s="98"/>
      <c r="AGH208" s="98"/>
      <c r="AGI208" s="98"/>
      <c r="AGJ208" s="98"/>
      <c r="AGK208" s="98"/>
      <c r="AGL208" s="98"/>
      <c r="AGM208" s="98"/>
      <c r="AGN208" s="98"/>
      <c r="AGO208" s="98"/>
      <c r="AGP208" s="98"/>
      <c r="AGQ208" s="98"/>
      <c r="AGR208" s="98"/>
      <c r="AGS208" s="98"/>
      <c r="AGT208" s="98"/>
      <c r="AGU208" s="98"/>
      <c r="AGV208" s="98"/>
      <c r="AGW208" s="98"/>
      <c r="AGX208" s="98"/>
      <c r="AGY208" s="98"/>
      <c r="AGZ208" s="98"/>
      <c r="AHA208" s="98"/>
      <c r="AHB208" s="98"/>
      <c r="AHC208" s="98"/>
      <c r="AHD208" s="98"/>
      <c r="AHE208" s="98"/>
      <c r="AHF208" s="98"/>
      <c r="AHG208" s="98"/>
      <c r="AHH208" s="98"/>
      <c r="AHI208" s="98"/>
      <c r="AHJ208" s="98"/>
      <c r="AHK208" s="98"/>
      <c r="AHL208" s="98"/>
      <c r="AHM208" s="98"/>
      <c r="AHN208" s="98"/>
      <c r="AHO208" s="98"/>
      <c r="AHP208" s="98"/>
      <c r="AHQ208" s="98"/>
      <c r="AHR208" s="98"/>
      <c r="AHS208" s="98"/>
      <c r="AHT208" s="98"/>
      <c r="AHU208" s="98"/>
      <c r="AHV208" s="98"/>
      <c r="AHW208" s="98"/>
      <c r="AHX208" s="98"/>
      <c r="AHY208" s="98"/>
      <c r="AHZ208" s="98"/>
      <c r="AIA208" s="98"/>
      <c r="AIB208" s="98"/>
      <c r="AIC208" s="98"/>
      <c r="AID208" s="98"/>
      <c r="AIE208" s="98"/>
      <c r="AIF208" s="98"/>
      <c r="AIG208" s="98"/>
      <c r="AIH208" s="98"/>
      <c r="AII208" s="98"/>
      <c r="AIJ208" s="98"/>
      <c r="AIK208" s="98"/>
      <c r="AIL208" s="98"/>
      <c r="AIM208" s="98"/>
      <c r="AIN208" s="98"/>
      <c r="AIO208" s="98"/>
      <c r="AIP208" s="98"/>
      <c r="AIQ208" s="98"/>
      <c r="AIR208" s="98"/>
      <c r="AIS208" s="98"/>
      <c r="AIT208" s="98"/>
      <c r="AIU208" s="98"/>
      <c r="AIV208" s="98"/>
      <c r="AIW208" s="98"/>
      <c r="AIX208" s="98"/>
      <c r="AIY208" s="98"/>
      <c r="AIZ208" s="98"/>
      <c r="AJA208" s="98"/>
      <c r="AJB208" s="98"/>
      <c r="AJC208" s="98"/>
      <c r="AJD208" s="98"/>
      <c r="AJE208" s="98"/>
      <c r="AJF208" s="98"/>
      <c r="AJG208" s="98"/>
      <c r="AJH208" s="98"/>
      <c r="AJI208" s="98"/>
      <c r="AJJ208" s="98"/>
      <c r="AJK208" s="98"/>
      <c r="AJL208" s="98"/>
      <c r="AJM208" s="98"/>
      <c r="AJN208" s="98"/>
      <c r="AJO208" s="98"/>
      <c r="AJP208" s="98"/>
      <c r="AJQ208" s="98"/>
      <c r="AJR208" s="98"/>
      <c r="AJS208" s="98"/>
      <c r="AJT208" s="98"/>
      <c r="AJU208" s="98"/>
      <c r="AJV208" s="98"/>
      <c r="AJW208" s="98"/>
      <c r="AJX208" s="98"/>
      <c r="AJY208" s="98"/>
      <c r="AJZ208" s="98"/>
      <c r="AKA208" s="98"/>
      <c r="AKB208" s="98"/>
      <c r="AKC208" s="98"/>
      <c r="AKD208" s="98"/>
      <c r="AKE208" s="98"/>
      <c r="AKF208" s="98"/>
      <c r="AKG208" s="98"/>
      <c r="AKH208" s="98"/>
      <c r="AKI208" s="98"/>
      <c r="AKJ208" s="98"/>
      <c r="AKK208" s="98"/>
      <c r="AKL208" s="98"/>
      <c r="AKM208" s="98"/>
      <c r="AKN208" s="98"/>
      <c r="AKO208" s="98"/>
      <c r="AKP208" s="98"/>
      <c r="AKQ208" s="98"/>
      <c r="AKR208" s="98"/>
      <c r="AKS208" s="98"/>
      <c r="AKT208" s="98"/>
      <c r="AKU208" s="98"/>
      <c r="AKV208" s="98"/>
      <c r="AKW208" s="98"/>
      <c r="AKX208" s="98"/>
      <c r="AKY208" s="98"/>
      <c r="AKZ208" s="98"/>
      <c r="ALA208" s="98"/>
      <c r="ALB208" s="98"/>
      <c r="ALC208" s="98"/>
      <c r="ALD208" s="98"/>
      <c r="ALE208" s="98"/>
      <c r="ALF208" s="98"/>
      <c r="ALG208" s="98"/>
      <c r="ALH208" s="98"/>
      <c r="ALI208" s="98"/>
      <c r="ALJ208" s="98"/>
      <c r="ALK208" s="98"/>
      <c r="ALL208" s="98"/>
      <c r="ALM208" s="98"/>
      <c r="ALN208" s="98"/>
      <c r="ALO208" s="98"/>
      <c r="ALP208" s="98"/>
      <c r="ALQ208" s="98"/>
      <c r="ALR208" s="98"/>
      <c r="ALS208" s="98"/>
      <c r="ALT208" s="98"/>
      <c r="ALU208" s="98"/>
      <c r="ALV208" s="98"/>
      <c r="ALW208" s="98"/>
      <c r="ALX208" s="98"/>
      <c r="ALY208" s="98"/>
      <c r="ALZ208" s="98"/>
      <c r="AMA208" s="98"/>
      <c r="AMB208" s="98"/>
      <c r="AMC208" s="98"/>
      <c r="AMD208" s="98"/>
      <c r="AME208" s="98"/>
      <c r="AMF208" s="98"/>
      <c r="AMG208" s="98"/>
      <c r="AMH208" s="98"/>
      <c r="AMI208" s="98"/>
      <c r="AMJ208" s="98"/>
      <c r="AMK208" s="98"/>
      <c r="AML208" s="98"/>
      <c r="AMM208" s="98"/>
      <c r="AMN208" s="98"/>
      <c r="AMO208" s="98"/>
      <c r="AMP208" s="98"/>
      <c r="AMQ208" s="98"/>
      <c r="AMR208" s="98"/>
      <c r="AMS208" s="98"/>
      <c r="AMT208" s="98"/>
      <c r="AMU208" s="98"/>
      <c r="AMV208" s="98"/>
      <c r="AMW208" s="98"/>
      <c r="AMX208" s="98"/>
      <c r="AMY208" s="98"/>
      <c r="AMZ208" s="98"/>
      <c r="ANA208" s="98"/>
      <c r="ANB208" s="98"/>
      <c r="ANC208" s="98"/>
      <c r="AND208" s="98"/>
      <c r="ANE208" s="98"/>
      <c r="ANF208" s="98"/>
      <c r="ANG208" s="98"/>
      <c r="ANH208" s="98"/>
      <c r="ANI208" s="98"/>
      <c r="ANJ208" s="98"/>
      <c r="ANK208" s="98"/>
      <c r="ANL208" s="98"/>
      <c r="ANM208" s="98"/>
      <c r="ANN208" s="98"/>
      <c r="ANO208" s="98"/>
      <c r="ANP208" s="98"/>
      <c r="ANQ208" s="98"/>
      <c r="ANR208" s="98"/>
      <c r="ANS208" s="98"/>
      <c r="ANT208" s="98"/>
      <c r="ANU208" s="98"/>
      <c r="ANV208" s="98"/>
      <c r="ANW208" s="98"/>
      <c r="ANX208" s="98"/>
      <c r="ANY208" s="98"/>
      <c r="ANZ208" s="98"/>
      <c r="AOA208" s="98"/>
      <c r="AOB208" s="98"/>
      <c r="AOC208" s="98"/>
      <c r="AOD208" s="98"/>
      <c r="AOE208" s="98"/>
      <c r="AOF208" s="98"/>
      <c r="AOG208" s="98"/>
      <c r="AOH208" s="98"/>
      <c r="AOI208" s="98"/>
      <c r="AOJ208" s="98"/>
      <c r="AOK208" s="98"/>
      <c r="AOL208" s="98"/>
      <c r="AOM208" s="98"/>
      <c r="AON208" s="98"/>
      <c r="AOO208" s="98"/>
      <c r="AOP208" s="98"/>
      <c r="AOQ208" s="98"/>
      <c r="AOR208" s="98"/>
      <c r="AOS208" s="98"/>
      <c r="AOT208" s="98"/>
      <c r="AOU208" s="98"/>
      <c r="AOV208" s="98"/>
      <c r="AOW208" s="98"/>
      <c r="AOX208" s="98"/>
      <c r="AOY208" s="98"/>
      <c r="AOZ208" s="98"/>
      <c r="APA208" s="98"/>
      <c r="APB208" s="98"/>
      <c r="APC208" s="98"/>
      <c r="APD208" s="98"/>
      <c r="APE208" s="98"/>
      <c r="APF208" s="98"/>
      <c r="APG208" s="98"/>
      <c r="APH208" s="98"/>
      <c r="API208" s="98"/>
      <c r="APJ208" s="98"/>
      <c r="APK208" s="98"/>
      <c r="APL208" s="98"/>
      <c r="APM208" s="98"/>
      <c r="APN208" s="98"/>
      <c r="APO208" s="98"/>
      <c r="APP208" s="98"/>
      <c r="APQ208" s="98"/>
      <c r="APR208" s="98"/>
      <c r="APS208" s="98"/>
      <c r="APT208" s="98"/>
      <c r="APU208" s="98"/>
      <c r="APV208" s="98"/>
      <c r="APW208" s="98"/>
      <c r="APX208" s="98"/>
      <c r="APY208" s="98"/>
      <c r="APZ208" s="98"/>
      <c r="AQA208" s="98"/>
      <c r="AQB208" s="98"/>
      <c r="AQC208" s="98"/>
      <c r="AQD208" s="98"/>
      <c r="AQE208" s="98"/>
      <c r="AQF208" s="98"/>
      <c r="AQG208" s="98"/>
      <c r="AQH208" s="98"/>
      <c r="AQI208" s="98"/>
      <c r="AQJ208" s="98"/>
      <c r="AQK208" s="98"/>
      <c r="AQL208" s="98"/>
      <c r="AQM208" s="98"/>
      <c r="AQN208" s="98"/>
      <c r="AQO208" s="98"/>
      <c r="AQP208" s="98"/>
      <c r="AQQ208" s="98"/>
      <c r="AQR208" s="98"/>
      <c r="AQS208" s="98"/>
      <c r="AQT208" s="98"/>
      <c r="AQU208" s="98"/>
      <c r="AQV208" s="98"/>
      <c r="AQW208" s="98"/>
      <c r="AQX208" s="98"/>
      <c r="AQY208" s="98"/>
      <c r="AQZ208" s="98"/>
      <c r="ARA208" s="98"/>
      <c r="ARB208" s="98"/>
      <c r="ARC208" s="98"/>
      <c r="ARD208" s="98"/>
      <c r="ARE208" s="98"/>
      <c r="ARF208" s="98"/>
      <c r="ARG208" s="98"/>
      <c r="ARH208" s="98"/>
      <c r="ARI208" s="98"/>
      <c r="ARJ208" s="98"/>
      <c r="ARK208" s="98"/>
      <c r="ARL208" s="98"/>
      <c r="ARM208" s="98"/>
      <c r="ARN208" s="98"/>
      <c r="ARO208" s="98"/>
      <c r="ARP208" s="98"/>
      <c r="ARQ208" s="98"/>
      <c r="ARR208" s="98"/>
      <c r="ARS208" s="98"/>
    </row>
    <row r="209" spans="1:1163" s="174" customFormat="1">
      <c r="A209" s="140" t="s">
        <v>230</v>
      </c>
      <c r="B209" s="119" t="s">
        <v>67</v>
      </c>
      <c r="C209" s="175">
        <v>108</v>
      </c>
      <c r="D209" s="175">
        <v>3627</v>
      </c>
      <c r="E209" s="175">
        <v>0</v>
      </c>
      <c r="F209" s="175">
        <v>0</v>
      </c>
      <c r="G209" s="175">
        <v>0</v>
      </c>
      <c r="H209" s="175">
        <v>0</v>
      </c>
      <c r="I209" s="175">
        <v>0</v>
      </c>
      <c r="J209" s="175">
        <v>0</v>
      </c>
      <c r="K209" s="175">
        <v>2492</v>
      </c>
      <c r="L209" s="175">
        <v>464041</v>
      </c>
      <c r="M209" s="175">
        <v>6668</v>
      </c>
      <c r="N209" s="175">
        <v>1380851</v>
      </c>
      <c r="O209" s="175">
        <v>12009</v>
      </c>
      <c r="P209" s="175">
        <v>1428714</v>
      </c>
      <c r="Q209" s="175">
        <v>8530</v>
      </c>
      <c r="R209" s="175">
        <v>2682232</v>
      </c>
      <c r="S209" s="175">
        <v>16621</v>
      </c>
      <c r="T209" s="175">
        <v>3320514</v>
      </c>
      <c r="U209" s="197">
        <v>27396</v>
      </c>
      <c r="V209" s="197">
        <v>4772858</v>
      </c>
      <c r="W209" s="197">
        <v>39105</v>
      </c>
      <c r="X209" s="197">
        <v>7118550</v>
      </c>
      <c r="Y209" s="175">
        <v>50576</v>
      </c>
      <c r="Z209" s="175">
        <v>7525463</v>
      </c>
      <c r="AA209" s="209">
        <v>43281</v>
      </c>
      <c r="AB209" s="209">
        <v>7619341</v>
      </c>
      <c r="AC209" s="175">
        <v>39980</v>
      </c>
      <c r="AD209" s="175">
        <v>8095473</v>
      </c>
      <c r="AE209" s="201">
        <v>33353</v>
      </c>
      <c r="AF209" s="201">
        <v>8358894</v>
      </c>
      <c r="AG209" s="201">
        <v>61708</v>
      </c>
      <c r="AH209" s="201">
        <v>11246613</v>
      </c>
      <c r="AI209" s="201">
        <v>80135</v>
      </c>
      <c r="AJ209" s="201">
        <v>12019364</v>
      </c>
      <c r="AK209" s="201">
        <v>139287</v>
      </c>
      <c r="AL209" s="201">
        <v>18289945</v>
      </c>
      <c r="AM209" s="176">
        <v>56567</v>
      </c>
      <c r="AN209" s="176">
        <v>10701568</v>
      </c>
      <c r="AO209" s="201">
        <v>42337</v>
      </c>
      <c r="AP209" s="201">
        <v>10243876</v>
      </c>
      <c r="AQ209" s="201">
        <v>54023</v>
      </c>
      <c r="AR209" s="201">
        <v>11453258</v>
      </c>
      <c r="AS209" s="201">
        <v>65504</v>
      </c>
      <c r="AT209" s="201">
        <v>16458150</v>
      </c>
      <c r="AU209" s="209">
        <v>79859</v>
      </c>
      <c r="AV209" s="175" t="s">
        <v>165</v>
      </c>
      <c r="AW209" s="175">
        <v>79085</v>
      </c>
      <c r="AX209" s="175" t="s">
        <v>165</v>
      </c>
      <c r="AY209" s="175">
        <v>124410</v>
      </c>
      <c r="AZ209" s="175" t="s">
        <v>165</v>
      </c>
      <c r="BA209" s="177"/>
      <c r="BB209" s="175"/>
      <c r="BC209" s="175"/>
      <c r="BD209" s="175"/>
      <c r="BE209" s="175"/>
      <c r="BF209" s="175"/>
      <c r="BG209" s="175"/>
      <c r="BH209" s="175"/>
      <c r="BI209" s="177"/>
      <c r="BJ209" s="98"/>
      <c r="BK209" s="98"/>
      <c r="BL209" s="98"/>
      <c r="BM209" s="14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98"/>
      <c r="EM209" s="98"/>
      <c r="EN209" s="98"/>
      <c r="EO209" s="98"/>
      <c r="EP209" s="98"/>
      <c r="EQ209" s="98"/>
      <c r="ER209" s="98"/>
      <c r="ES209" s="98"/>
      <c r="ET209" s="98"/>
      <c r="EU209" s="98"/>
      <c r="EV209" s="98"/>
      <c r="EW209" s="98"/>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c r="IW209" s="98"/>
      <c r="IX209" s="98"/>
      <c r="IY209" s="98"/>
      <c r="IZ209" s="98"/>
      <c r="JA209" s="98"/>
      <c r="JB209" s="98"/>
      <c r="JC209" s="98"/>
      <c r="JD209" s="98"/>
      <c r="JE209" s="98"/>
      <c r="JF209" s="98"/>
      <c r="JG209" s="98"/>
      <c r="JH209" s="98"/>
      <c r="JI209" s="98"/>
      <c r="JJ209" s="98"/>
      <c r="JK209" s="98"/>
      <c r="JL209" s="98"/>
      <c r="JM209" s="98"/>
      <c r="JN209" s="98"/>
      <c r="JO209" s="98"/>
      <c r="JP209" s="98"/>
      <c r="JQ209" s="98"/>
      <c r="JR209" s="98"/>
      <c r="JS209" s="98"/>
      <c r="JT209" s="98"/>
      <c r="JU209" s="98"/>
      <c r="JV209" s="98"/>
      <c r="JW209" s="98"/>
      <c r="JX209" s="98"/>
      <c r="JY209" s="98"/>
      <c r="JZ209" s="98"/>
      <c r="KA209" s="98"/>
      <c r="KB209" s="98"/>
      <c r="KC209" s="98"/>
      <c r="KD209" s="98"/>
      <c r="KE209" s="98"/>
      <c r="KF209" s="98"/>
      <c r="KG209" s="98"/>
      <c r="KH209" s="98"/>
      <c r="KI209" s="98"/>
      <c r="KJ209" s="98"/>
      <c r="KK209" s="98"/>
      <c r="KL209" s="98"/>
      <c r="KM209" s="98"/>
      <c r="KN209" s="98"/>
      <c r="KO209" s="98"/>
      <c r="KP209" s="98"/>
      <c r="KQ209" s="98"/>
      <c r="KR209" s="98"/>
      <c r="KS209" s="98"/>
      <c r="KT209" s="98"/>
      <c r="KU209" s="98"/>
      <c r="KV209" s="98"/>
      <c r="KW209" s="98"/>
      <c r="KX209" s="98"/>
      <c r="KY209" s="98"/>
      <c r="KZ209" s="98"/>
      <c r="LA209" s="98"/>
      <c r="LB209" s="98"/>
      <c r="LC209" s="98"/>
      <c r="LD209" s="98"/>
      <c r="LE209" s="98"/>
      <c r="LF209" s="98"/>
      <c r="LG209" s="98"/>
      <c r="LH209" s="98"/>
      <c r="LI209" s="98"/>
      <c r="LJ209" s="98"/>
      <c r="LK209" s="98"/>
      <c r="LL209" s="98"/>
      <c r="LM209" s="98"/>
      <c r="LN209" s="98"/>
      <c r="LO209" s="98"/>
      <c r="LP209" s="98"/>
      <c r="LQ209" s="98"/>
      <c r="LR209" s="98"/>
      <c r="LS209" s="98"/>
      <c r="LT209" s="98"/>
      <c r="LU209" s="98"/>
      <c r="LV209" s="98"/>
      <c r="LW209" s="98"/>
      <c r="LX209" s="98"/>
      <c r="LY209" s="98"/>
      <c r="LZ209" s="98"/>
      <c r="MA209" s="98"/>
      <c r="MB209" s="98"/>
      <c r="MC209" s="98"/>
      <c r="MD209" s="98"/>
      <c r="ME209" s="98"/>
      <c r="MF209" s="98"/>
      <c r="MG209" s="98"/>
      <c r="MH209" s="98"/>
      <c r="MI209" s="98"/>
      <c r="MJ209" s="98"/>
      <c r="MK209" s="98"/>
      <c r="ML209" s="98"/>
      <c r="MM209" s="98"/>
      <c r="MN209" s="98"/>
      <c r="MO209" s="98"/>
      <c r="MP209" s="98"/>
      <c r="MQ209" s="98"/>
      <c r="MR209" s="98"/>
      <c r="MS209" s="98"/>
      <c r="MT209" s="98"/>
      <c r="MU209" s="98"/>
      <c r="MV209" s="98"/>
      <c r="MW209" s="98"/>
      <c r="MX209" s="98"/>
      <c r="MY209" s="98"/>
      <c r="MZ209" s="98"/>
      <c r="NA209" s="98"/>
      <c r="NB209" s="98"/>
      <c r="NC209" s="98"/>
      <c r="ND209" s="98"/>
      <c r="NE209" s="98"/>
      <c r="NF209" s="98"/>
      <c r="NG209" s="98"/>
      <c r="NH209" s="98"/>
      <c r="NI209" s="98"/>
      <c r="NJ209" s="98"/>
      <c r="NK209" s="98"/>
      <c r="NL209" s="98"/>
      <c r="NM209" s="98"/>
      <c r="NN209" s="98"/>
      <c r="NO209" s="98"/>
      <c r="NP209" s="98"/>
      <c r="NQ209" s="98"/>
      <c r="NR209" s="98"/>
      <c r="NS209" s="98"/>
      <c r="NT209" s="98"/>
      <c r="NU209" s="98"/>
      <c r="NV209" s="98"/>
      <c r="NW209" s="98"/>
      <c r="NX209" s="98"/>
      <c r="NY209" s="98"/>
      <c r="NZ209" s="98"/>
      <c r="OA209" s="98"/>
      <c r="OB209" s="98"/>
      <c r="OC209" s="98"/>
      <c r="OD209" s="98"/>
      <c r="OE209" s="98"/>
      <c r="OF209" s="98"/>
      <c r="OG209" s="98"/>
      <c r="OH209" s="98"/>
      <c r="OI209" s="98"/>
      <c r="OJ209" s="98"/>
      <c r="OK209" s="98"/>
      <c r="OL209" s="98"/>
      <c r="OM209" s="98"/>
      <c r="ON209" s="98"/>
      <c r="OO209" s="98"/>
      <c r="OP209" s="98"/>
      <c r="OQ209" s="98"/>
      <c r="OR209" s="98"/>
      <c r="OS209" s="98"/>
      <c r="OT209" s="98"/>
      <c r="OU209" s="98"/>
      <c r="OV209" s="98"/>
      <c r="OW209" s="98"/>
      <c r="OX209" s="98"/>
      <c r="OY209" s="98"/>
      <c r="OZ209" s="98"/>
      <c r="PA209" s="98"/>
      <c r="PB209" s="98"/>
      <c r="PC209" s="98"/>
      <c r="PD209" s="98"/>
      <c r="PE209" s="98"/>
      <c r="PF209" s="98"/>
      <c r="PG209" s="98"/>
      <c r="PH209" s="98"/>
      <c r="PI209" s="98"/>
      <c r="PJ209" s="98"/>
      <c r="PK209" s="98"/>
      <c r="PL209" s="98"/>
      <c r="PM209" s="98"/>
      <c r="PN209" s="98"/>
      <c r="PO209" s="98"/>
      <c r="PP209" s="98"/>
      <c r="PQ209" s="98"/>
      <c r="PR209" s="98"/>
      <c r="PS209" s="98"/>
      <c r="PT209" s="98"/>
      <c r="PU209" s="98"/>
      <c r="PV209" s="98"/>
      <c r="PW209" s="98"/>
      <c r="PX209" s="98"/>
      <c r="PY209" s="98"/>
      <c r="PZ209" s="98"/>
      <c r="QA209" s="98"/>
      <c r="QB209" s="98"/>
      <c r="QC209" s="98"/>
      <c r="QD209" s="98"/>
      <c r="QE209" s="98"/>
      <c r="QF209" s="98"/>
      <c r="QG209" s="98"/>
      <c r="QH209" s="98"/>
      <c r="QI209" s="98"/>
      <c r="QJ209" s="98"/>
      <c r="QK209" s="98"/>
      <c r="QL209" s="98"/>
      <c r="QM209" s="98"/>
      <c r="QN209" s="98"/>
      <c r="QO209" s="98"/>
      <c r="QP209" s="98"/>
      <c r="QQ209" s="98"/>
      <c r="QR209" s="98"/>
      <c r="QS209" s="98"/>
      <c r="QT209" s="98"/>
      <c r="QU209" s="98"/>
      <c r="QV209" s="98"/>
      <c r="QW209" s="98"/>
      <c r="QX209" s="98"/>
      <c r="QY209" s="98"/>
      <c r="QZ209" s="98"/>
      <c r="RA209" s="98"/>
      <c r="RB209" s="98"/>
      <c r="RC209" s="98"/>
      <c r="RD209" s="98"/>
      <c r="RE209" s="98"/>
      <c r="RF209" s="98"/>
      <c r="RG209" s="98"/>
      <c r="RH209" s="98"/>
      <c r="RI209" s="98"/>
      <c r="RJ209" s="98"/>
      <c r="RK209" s="98"/>
      <c r="RL209" s="98"/>
      <c r="RM209" s="98"/>
      <c r="RN209" s="98"/>
      <c r="RO209" s="98"/>
      <c r="RP209" s="98"/>
      <c r="RQ209" s="98"/>
      <c r="RR209" s="98"/>
      <c r="RS209" s="98"/>
      <c r="RT209" s="98"/>
      <c r="RU209" s="98"/>
      <c r="RV209" s="98"/>
      <c r="RW209" s="98"/>
      <c r="RX209" s="98"/>
      <c r="RY209" s="98"/>
      <c r="RZ209" s="98"/>
      <c r="SA209" s="98"/>
      <c r="SB209" s="98"/>
      <c r="SC209" s="98"/>
      <c r="SD209" s="98"/>
      <c r="SE209" s="98"/>
      <c r="SF209" s="98"/>
      <c r="SG209" s="98"/>
      <c r="SH209" s="98"/>
      <c r="SI209" s="98"/>
      <c r="SJ209" s="98"/>
      <c r="SK209" s="98"/>
      <c r="SL209" s="98"/>
      <c r="SM209" s="98"/>
      <c r="SN209" s="98"/>
      <c r="SO209" s="98"/>
      <c r="SP209" s="98"/>
      <c r="SQ209" s="98"/>
      <c r="SR209" s="98"/>
      <c r="SS209" s="98"/>
      <c r="ST209" s="98"/>
      <c r="SU209" s="98"/>
      <c r="SV209" s="98"/>
      <c r="SW209" s="98"/>
      <c r="SX209" s="98"/>
      <c r="SY209" s="98"/>
      <c r="SZ209" s="98"/>
      <c r="TA209" s="98"/>
      <c r="TB209" s="98"/>
      <c r="TC209" s="98"/>
      <c r="TD209" s="98"/>
      <c r="TE209" s="98"/>
      <c r="TF209" s="98"/>
      <c r="TG209" s="98"/>
      <c r="TH209" s="98"/>
      <c r="TI209" s="98"/>
      <c r="TJ209" s="98"/>
      <c r="TK209" s="98"/>
      <c r="TL209" s="98"/>
      <c r="TM209" s="98"/>
      <c r="TN209" s="98"/>
      <c r="TO209" s="98"/>
      <c r="TP209" s="98"/>
      <c r="TQ209" s="98"/>
      <c r="TR209" s="98"/>
      <c r="TS209" s="98"/>
      <c r="TT209" s="98"/>
      <c r="TU209" s="98"/>
      <c r="TV209" s="98"/>
      <c r="TW209" s="98"/>
      <c r="TX209" s="98"/>
      <c r="TY209" s="98"/>
      <c r="TZ209" s="98"/>
      <c r="UA209" s="98"/>
      <c r="UB209" s="98"/>
      <c r="UC209" s="98"/>
      <c r="UD209" s="98"/>
      <c r="UE209" s="98"/>
      <c r="UF209" s="98"/>
      <c r="UG209" s="98"/>
      <c r="UH209" s="98"/>
      <c r="UI209" s="98"/>
      <c r="UJ209" s="98"/>
      <c r="UK209" s="98"/>
      <c r="UL209" s="98"/>
      <c r="UM209" s="98"/>
      <c r="UN209" s="98"/>
      <c r="UO209" s="98"/>
      <c r="UP209" s="98"/>
      <c r="UQ209" s="98"/>
      <c r="UR209" s="98"/>
      <c r="US209" s="98"/>
      <c r="UT209" s="98"/>
      <c r="UU209" s="98"/>
      <c r="UV209" s="98"/>
      <c r="UW209" s="98"/>
      <c r="UX209" s="98"/>
      <c r="UY209" s="98"/>
      <c r="UZ209" s="98"/>
      <c r="VA209" s="98"/>
      <c r="VB209" s="98"/>
      <c r="VC209" s="98"/>
      <c r="VD209" s="98"/>
      <c r="VE209" s="98"/>
      <c r="VF209" s="98"/>
      <c r="VG209" s="98"/>
      <c r="VH209" s="98"/>
      <c r="VI209" s="98"/>
      <c r="VJ209" s="98"/>
      <c r="VK209" s="98"/>
      <c r="VL209" s="98"/>
      <c r="VM209" s="98"/>
      <c r="VN209" s="98"/>
      <c r="VO209" s="98"/>
      <c r="VP209" s="98"/>
      <c r="VQ209" s="98"/>
      <c r="VR209" s="98"/>
      <c r="VS209" s="98"/>
      <c r="VT209" s="98"/>
      <c r="VU209" s="98"/>
      <c r="VV209" s="98"/>
      <c r="VW209" s="98"/>
      <c r="VX209" s="98"/>
      <c r="VY209" s="98"/>
      <c r="VZ209" s="98"/>
      <c r="WA209" s="98"/>
      <c r="WB209" s="98"/>
      <c r="WC209" s="98"/>
      <c r="WD209" s="98"/>
      <c r="WE209" s="98"/>
      <c r="WF209" s="98"/>
      <c r="WG209" s="98"/>
      <c r="WH209" s="98"/>
      <c r="WI209" s="98"/>
      <c r="WJ209" s="98"/>
      <c r="WK209" s="98"/>
      <c r="WL209" s="98"/>
      <c r="WM209" s="98"/>
      <c r="WN209" s="98"/>
      <c r="WO209" s="98"/>
      <c r="WP209" s="98"/>
      <c r="WQ209" s="98"/>
      <c r="WR209" s="98"/>
      <c r="WS209" s="98"/>
      <c r="WT209" s="98"/>
      <c r="WU209" s="98"/>
      <c r="WV209" s="98"/>
      <c r="WW209" s="98"/>
      <c r="WX209" s="98"/>
      <c r="WY209" s="98"/>
      <c r="WZ209" s="98"/>
      <c r="XA209" s="98"/>
      <c r="XB209" s="98"/>
      <c r="XC209" s="98"/>
      <c r="XD209" s="98"/>
      <c r="XE209" s="98"/>
      <c r="XF209" s="98"/>
      <c r="XG209" s="98"/>
      <c r="XH209" s="98"/>
      <c r="XI209" s="98"/>
      <c r="XJ209" s="98"/>
      <c r="XK209" s="98"/>
      <c r="XL209" s="98"/>
      <c r="XM209" s="98"/>
      <c r="XN209" s="98"/>
      <c r="XO209" s="98"/>
      <c r="XP209" s="98"/>
      <c r="XQ209" s="98"/>
      <c r="XR209" s="98"/>
      <c r="XS209" s="98"/>
      <c r="XT209" s="98"/>
      <c r="XU209" s="98"/>
      <c r="XV209" s="98"/>
      <c r="XW209" s="98"/>
      <c r="XX209" s="98"/>
      <c r="XY209" s="98"/>
      <c r="XZ209" s="98"/>
      <c r="YA209" s="98"/>
      <c r="YB209" s="98"/>
      <c r="YC209" s="98"/>
      <c r="YD209" s="98"/>
      <c r="YE209" s="98"/>
      <c r="YF209" s="98"/>
      <c r="YG209" s="98"/>
      <c r="YH209" s="98"/>
      <c r="YI209" s="98"/>
      <c r="YJ209" s="98"/>
      <c r="YK209" s="98"/>
      <c r="YL209" s="98"/>
      <c r="YM209" s="98"/>
      <c r="YN209" s="98"/>
      <c r="YO209" s="98"/>
      <c r="YP209" s="98"/>
      <c r="YQ209" s="98"/>
      <c r="YR209" s="98"/>
      <c r="YS209" s="98"/>
      <c r="YT209" s="98"/>
      <c r="YU209" s="98"/>
      <c r="YV209" s="98"/>
      <c r="YW209" s="98"/>
      <c r="YX209" s="98"/>
      <c r="YY209" s="98"/>
      <c r="YZ209" s="98"/>
      <c r="ZA209" s="98"/>
      <c r="ZB209" s="98"/>
      <c r="ZC209" s="98"/>
      <c r="ZD209" s="98"/>
      <c r="ZE209" s="98"/>
      <c r="ZF209" s="98"/>
      <c r="ZG209" s="98"/>
      <c r="ZH209" s="98"/>
      <c r="ZI209" s="98"/>
      <c r="ZJ209" s="98"/>
      <c r="ZK209" s="98"/>
      <c r="ZL209" s="98"/>
      <c r="ZM209" s="98"/>
      <c r="ZN209" s="98"/>
      <c r="ZO209" s="98"/>
      <c r="ZP209" s="98"/>
      <c r="ZQ209" s="98"/>
      <c r="ZR209" s="98"/>
      <c r="ZS209" s="98"/>
      <c r="ZT209" s="98"/>
      <c r="ZU209" s="98"/>
      <c r="ZV209" s="98"/>
      <c r="ZW209" s="98"/>
      <c r="ZX209" s="98"/>
      <c r="ZY209" s="98"/>
      <c r="ZZ209" s="98"/>
      <c r="AAA209" s="98"/>
      <c r="AAB209" s="98"/>
      <c r="AAC209" s="98"/>
      <c r="AAD209" s="98"/>
      <c r="AAE209" s="98"/>
      <c r="AAF209" s="98"/>
      <c r="AAG209" s="98"/>
      <c r="AAH209" s="98"/>
      <c r="AAI209" s="98"/>
      <c r="AAJ209" s="98"/>
      <c r="AAK209" s="98"/>
      <c r="AAL209" s="98"/>
      <c r="AAM209" s="98"/>
      <c r="AAN209" s="98"/>
      <c r="AAO209" s="98"/>
      <c r="AAP209" s="98"/>
      <c r="AAQ209" s="98"/>
      <c r="AAR209" s="98"/>
      <c r="AAS209" s="98"/>
      <c r="AAT209" s="98"/>
      <c r="AAU209" s="98"/>
      <c r="AAV209" s="98"/>
      <c r="AAW209" s="98"/>
      <c r="AAX209" s="98"/>
      <c r="AAY209" s="98"/>
      <c r="AAZ209" s="98"/>
      <c r="ABA209" s="98"/>
      <c r="ABB209" s="98"/>
      <c r="ABC209" s="98"/>
      <c r="ABD209" s="98"/>
      <c r="ABE209" s="98"/>
      <c r="ABF209" s="98"/>
      <c r="ABG209" s="98"/>
      <c r="ABH209" s="98"/>
      <c r="ABI209" s="98"/>
      <c r="ABJ209" s="98"/>
      <c r="ABK209" s="98"/>
      <c r="ABL209" s="98"/>
      <c r="ABM209" s="98"/>
      <c r="ABN209" s="98"/>
      <c r="ABO209" s="98"/>
      <c r="ABP209" s="98"/>
      <c r="ABQ209" s="98"/>
      <c r="ABR209" s="98"/>
      <c r="ABS209" s="98"/>
      <c r="ABT209" s="98"/>
      <c r="ABU209" s="98"/>
      <c r="ABV209" s="98"/>
      <c r="ABW209" s="98"/>
      <c r="ABX209" s="98"/>
      <c r="ABY209" s="98"/>
      <c r="ABZ209" s="98"/>
      <c r="ACA209" s="98"/>
      <c r="ACB209" s="98"/>
      <c r="ACC209" s="98"/>
      <c r="ACD209" s="98"/>
      <c r="ACE209" s="98"/>
      <c r="ACF209" s="98"/>
      <c r="ACG209" s="98"/>
      <c r="ACH209" s="98"/>
      <c r="ACI209" s="98"/>
      <c r="ACJ209" s="98"/>
      <c r="ACK209" s="98"/>
      <c r="ACL209" s="98"/>
      <c r="ACM209" s="98"/>
      <c r="ACN209" s="98"/>
      <c r="ACO209" s="98"/>
      <c r="ACP209" s="98"/>
      <c r="ACQ209" s="98"/>
      <c r="ACR209" s="98"/>
      <c r="ACS209" s="98"/>
      <c r="ACT209" s="98"/>
      <c r="ACU209" s="98"/>
      <c r="ACV209" s="98"/>
      <c r="ACW209" s="98"/>
      <c r="ACX209" s="98"/>
      <c r="ACY209" s="98"/>
      <c r="ACZ209" s="98"/>
      <c r="ADA209" s="98"/>
      <c r="ADB209" s="98"/>
      <c r="ADC209" s="98"/>
      <c r="ADD209" s="98"/>
      <c r="ADE209" s="98"/>
      <c r="ADF209" s="98"/>
      <c r="ADG209" s="98"/>
      <c r="ADH209" s="98"/>
      <c r="ADI209" s="98"/>
      <c r="ADJ209" s="98"/>
      <c r="ADK209" s="98"/>
      <c r="ADL209" s="98"/>
      <c r="ADM209" s="98"/>
      <c r="ADN209" s="98"/>
      <c r="ADO209" s="98"/>
      <c r="ADP209" s="98"/>
      <c r="ADQ209" s="98"/>
      <c r="ADR209" s="98"/>
      <c r="ADS209" s="98"/>
      <c r="ADT209" s="98"/>
      <c r="ADU209" s="98"/>
      <c r="ADV209" s="98"/>
      <c r="ADW209" s="98"/>
      <c r="ADX209" s="98"/>
      <c r="ADY209" s="98"/>
      <c r="ADZ209" s="98"/>
      <c r="AEA209" s="98"/>
      <c r="AEB209" s="98"/>
      <c r="AEC209" s="98"/>
      <c r="AED209" s="98"/>
      <c r="AEE209" s="98"/>
      <c r="AEF209" s="98"/>
      <c r="AEG209" s="98"/>
      <c r="AEH209" s="98"/>
      <c r="AEI209" s="98"/>
      <c r="AEJ209" s="98"/>
      <c r="AEK209" s="98"/>
      <c r="AEL209" s="98"/>
      <c r="AEM209" s="98"/>
      <c r="AEN209" s="98"/>
      <c r="AEO209" s="98"/>
      <c r="AEP209" s="98"/>
      <c r="AEQ209" s="98"/>
      <c r="AER209" s="98"/>
      <c r="AES209" s="98"/>
      <c r="AET209" s="98"/>
      <c r="AEU209" s="98"/>
      <c r="AEV209" s="98"/>
      <c r="AEW209" s="98"/>
      <c r="AEX209" s="98"/>
      <c r="AEY209" s="98"/>
      <c r="AEZ209" s="98"/>
      <c r="AFA209" s="98"/>
      <c r="AFB209" s="98"/>
      <c r="AFC209" s="98"/>
      <c r="AFD209" s="98"/>
      <c r="AFE209" s="98"/>
      <c r="AFF209" s="98"/>
      <c r="AFG209" s="98"/>
      <c r="AFH209" s="98"/>
      <c r="AFI209" s="98"/>
      <c r="AFJ209" s="98"/>
      <c r="AFK209" s="98"/>
      <c r="AFL209" s="98"/>
      <c r="AFM209" s="98"/>
      <c r="AFN209" s="98"/>
      <c r="AFO209" s="98"/>
      <c r="AFP209" s="98"/>
      <c r="AFQ209" s="98"/>
      <c r="AFR209" s="98"/>
      <c r="AFS209" s="98"/>
      <c r="AFT209" s="98"/>
      <c r="AFU209" s="98"/>
      <c r="AFV209" s="98"/>
      <c r="AFW209" s="98"/>
      <c r="AFX209" s="98"/>
      <c r="AFY209" s="98"/>
      <c r="AFZ209" s="98"/>
      <c r="AGA209" s="98"/>
      <c r="AGB209" s="98"/>
      <c r="AGC209" s="98"/>
      <c r="AGD209" s="98"/>
      <c r="AGE209" s="98"/>
      <c r="AGF209" s="98"/>
      <c r="AGG209" s="98"/>
      <c r="AGH209" s="98"/>
      <c r="AGI209" s="98"/>
      <c r="AGJ209" s="98"/>
      <c r="AGK209" s="98"/>
      <c r="AGL209" s="98"/>
      <c r="AGM209" s="98"/>
      <c r="AGN209" s="98"/>
      <c r="AGO209" s="98"/>
      <c r="AGP209" s="98"/>
      <c r="AGQ209" s="98"/>
      <c r="AGR209" s="98"/>
      <c r="AGS209" s="98"/>
      <c r="AGT209" s="98"/>
      <c r="AGU209" s="98"/>
      <c r="AGV209" s="98"/>
      <c r="AGW209" s="98"/>
      <c r="AGX209" s="98"/>
      <c r="AGY209" s="98"/>
      <c r="AGZ209" s="98"/>
      <c r="AHA209" s="98"/>
      <c r="AHB209" s="98"/>
      <c r="AHC209" s="98"/>
      <c r="AHD209" s="98"/>
      <c r="AHE209" s="98"/>
      <c r="AHF209" s="98"/>
      <c r="AHG209" s="98"/>
      <c r="AHH209" s="98"/>
      <c r="AHI209" s="98"/>
      <c r="AHJ209" s="98"/>
      <c r="AHK209" s="98"/>
      <c r="AHL209" s="98"/>
      <c r="AHM209" s="98"/>
      <c r="AHN209" s="98"/>
      <c r="AHO209" s="98"/>
      <c r="AHP209" s="98"/>
      <c r="AHQ209" s="98"/>
      <c r="AHR209" s="98"/>
      <c r="AHS209" s="98"/>
      <c r="AHT209" s="98"/>
      <c r="AHU209" s="98"/>
      <c r="AHV209" s="98"/>
      <c r="AHW209" s="98"/>
      <c r="AHX209" s="98"/>
      <c r="AHY209" s="98"/>
      <c r="AHZ209" s="98"/>
      <c r="AIA209" s="98"/>
      <c r="AIB209" s="98"/>
      <c r="AIC209" s="98"/>
      <c r="AID209" s="98"/>
      <c r="AIE209" s="98"/>
      <c r="AIF209" s="98"/>
      <c r="AIG209" s="98"/>
      <c r="AIH209" s="98"/>
      <c r="AII209" s="98"/>
      <c r="AIJ209" s="98"/>
      <c r="AIK209" s="98"/>
      <c r="AIL209" s="98"/>
      <c r="AIM209" s="98"/>
      <c r="AIN209" s="98"/>
      <c r="AIO209" s="98"/>
      <c r="AIP209" s="98"/>
      <c r="AIQ209" s="98"/>
      <c r="AIR209" s="98"/>
      <c r="AIS209" s="98"/>
      <c r="AIT209" s="98"/>
      <c r="AIU209" s="98"/>
      <c r="AIV209" s="98"/>
      <c r="AIW209" s="98"/>
      <c r="AIX209" s="98"/>
      <c r="AIY209" s="98"/>
      <c r="AIZ209" s="98"/>
      <c r="AJA209" s="98"/>
      <c r="AJB209" s="98"/>
      <c r="AJC209" s="98"/>
      <c r="AJD209" s="98"/>
      <c r="AJE209" s="98"/>
      <c r="AJF209" s="98"/>
      <c r="AJG209" s="98"/>
      <c r="AJH209" s="98"/>
      <c r="AJI209" s="98"/>
      <c r="AJJ209" s="98"/>
      <c r="AJK209" s="98"/>
      <c r="AJL209" s="98"/>
      <c r="AJM209" s="98"/>
      <c r="AJN209" s="98"/>
      <c r="AJO209" s="98"/>
      <c r="AJP209" s="98"/>
      <c r="AJQ209" s="98"/>
      <c r="AJR209" s="98"/>
      <c r="AJS209" s="98"/>
      <c r="AJT209" s="98"/>
      <c r="AJU209" s="98"/>
      <c r="AJV209" s="98"/>
      <c r="AJW209" s="98"/>
      <c r="AJX209" s="98"/>
      <c r="AJY209" s="98"/>
      <c r="AJZ209" s="98"/>
      <c r="AKA209" s="98"/>
      <c r="AKB209" s="98"/>
      <c r="AKC209" s="98"/>
      <c r="AKD209" s="98"/>
      <c r="AKE209" s="98"/>
      <c r="AKF209" s="98"/>
      <c r="AKG209" s="98"/>
      <c r="AKH209" s="98"/>
      <c r="AKI209" s="98"/>
      <c r="AKJ209" s="98"/>
      <c r="AKK209" s="98"/>
      <c r="AKL209" s="98"/>
      <c r="AKM209" s="98"/>
      <c r="AKN209" s="98"/>
      <c r="AKO209" s="98"/>
      <c r="AKP209" s="98"/>
      <c r="AKQ209" s="98"/>
      <c r="AKR209" s="98"/>
      <c r="AKS209" s="98"/>
      <c r="AKT209" s="98"/>
      <c r="AKU209" s="98"/>
      <c r="AKV209" s="98"/>
      <c r="AKW209" s="98"/>
      <c r="AKX209" s="98"/>
      <c r="AKY209" s="98"/>
      <c r="AKZ209" s="98"/>
      <c r="ALA209" s="98"/>
      <c r="ALB209" s="98"/>
      <c r="ALC209" s="98"/>
      <c r="ALD209" s="98"/>
      <c r="ALE209" s="98"/>
      <c r="ALF209" s="98"/>
      <c r="ALG209" s="98"/>
      <c r="ALH209" s="98"/>
      <c r="ALI209" s="98"/>
      <c r="ALJ209" s="98"/>
      <c r="ALK209" s="98"/>
      <c r="ALL209" s="98"/>
      <c r="ALM209" s="98"/>
      <c r="ALN209" s="98"/>
      <c r="ALO209" s="98"/>
      <c r="ALP209" s="98"/>
      <c r="ALQ209" s="98"/>
      <c r="ALR209" s="98"/>
      <c r="ALS209" s="98"/>
      <c r="ALT209" s="98"/>
      <c r="ALU209" s="98"/>
      <c r="ALV209" s="98"/>
      <c r="ALW209" s="98"/>
      <c r="ALX209" s="98"/>
      <c r="ALY209" s="98"/>
      <c r="ALZ209" s="98"/>
      <c r="AMA209" s="98"/>
      <c r="AMB209" s="98"/>
      <c r="AMC209" s="98"/>
      <c r="AMD209" s="98"/>
      <c r="AME209" s="98"/>
      <c r="AMF209" s="98"/>
      <c r="AMG209" s="98"/>
      <c r="AMH209" s="98"/>
      <c r="AMI209" s="98"/>
      <c r="AMJ209" s="98"/>
      <c r="AMK209" s="98"/>
      <c r="AML209" s="98"/>
      <c r="AMM209" s="98"/>
      <c r="AMN209" s="98"/>
      <c r="AMO209" s="98"/>
      <c r="AMP209" s="98"/>
      <c r="AMQ209" s="98"/>
      <c r="AMR209" s="98"/>
      <c r="AMS209" s="98"/>
      <c r="AMT209" s="98"/>
      <c r="AMU209" s="98"/>
      <c r="AMV209" s="98"/>
      <c r="AMW209" s="98"/>
      <c r="AMX209" s="98"/>
      <c r="AMY209" s="98"/>
      <c r="AMZ209" s="98"/>
      <c r="ANA209" s="98"/>
      <c r="ANB209" s="98"/>
      <c r="ANC209" s="98"/>
      <c r="AND209" s="98"/>
      <c r="ANE209" s="98"/>
      <c r="ANF209" s="98"/>
      <c r="ANG209" s="98"/>
      <c r="ANH209" s="98"/>
      <c r="ANI209" s="98"/>
      <c r="ANJ209" s="98"/>
      <c r="ANK209" s="98"/>
      <c r="ANL209" s="98"/>
      <c r="ANM209" s="98"/>
      <c r="ANN209" s="98"/>
      <c r="ANO209" s="98"/>
      <c r="ANP209" s="98"/>
      <c r="ANQ209" s="98"/>
      <c r="ANR209" s="98"/>
      <c r="ANS209" s="98"/>
      <c r="ANT209" s="98"/>
      <c r="ANU209" s="98"/>
      <c r="ANV209" s="98"/>
      <c r="ANW209" s="98"/>
      <c r="ANX209" s="98"/>
      <c r="ANY209" s="98"/>
      <c r="ANZ209" s="98"/>
      <c r="AOA209" s="98"/>
      <c r="AOB209" s="98"/>
      <c r="AOC209" s="98"/>
      <c r="AOD209" s="98"/>
      <c r="AOE209" s="98"/>
      <c r="AOF209" s="98"/>
      <c r="AOG209" s="98"/>
      <c r="AOH209" s="98"/>
      <c r="AOI209" s="98"/>
      <c r="AOJ209" s="98"/>
      <c r="AOK209" s="98"/>
      <c r="AOL209" s="98"/>
      <c r="AOM209" s="98"/>
      <c r="AON209" s="98"/>
      <c r="AOO209" s="98"/>
      <c r="AOP209" s="98"/>
      <c r="AOQ209" s="98"/>
      <c r="AOR209" s="98"/>
      <c r="AOS209" s="98"/>
      <c r="AOT209" s="98"/>
      <c r="AOU209" s="98"/>
      <c r="AOV209" s="98"/>
      <c r="AOW209" s="98"/>
      <c r="AOX209" s="98"/>
      <c r="AOY209" s="98"/>
      <c r="AOZ209" s="98"/>
      <c r="APA209" s="98"/>
      <c r="APB209" s="98"/>
      <c r="APC209" s="98"/>
      <c r="APD209" s="98"/>
      <c r="APE209" s="98"/>
      <c r="APF209" s="98"/>
      <c r="APG209" s="98"/>
      <c r="APH209" s="98"/>
      <c r="API209" s="98"/>
      <c r="APJ209" s="98"/>
      <c r="APK209" s="98"/>
      <c r="APL209" s="98"/>
      <c r="APM209" s="98"/>
      <c r="APN209" s="98"/>
      <c r="APO209" s="98"/>
      <c r="APP209" s="98"/>
      <c r="APQ209" s="98"/>
      <c r="APR209" s="98"/>
      <c r="APS209" s="98"/>
      <c r="APT209" s="98"/>
      <c r="APU209" s="98"/>
      <c r="APV209" s="98"/>
      <c r="APW209" s="98"/>
      <c r="APX209" s="98"/>
      <c r="APY209" s="98"/>
      <c r="APZ209" s="98"/>
      <c r="AQA209" s="98"/>
      <c r="AQB209" s="98"/>
      <c r="AQC209" s="98"/>
      <c r="AQD209" s="98"/>
      <c r="AQE209" s="98"/>
      <c r="AQF209" s="98"/>
      <c r="AQG209" s="98"/>
      <c r="AQH209" s="98"/>
      <c r="AQI209" s="98"/>
      <c r="AQJ209" s="98"/>
      <c r="AQK209" s="98"/>
      <c r="AQL209" s="98"/>
      <c r="AQM209" s="98"/>
      <c r="AQN209" s="98"/>
      <c r="AQO209" s="98"/>
      <c r="AQP209" s="98"/>
      <c r="AQQ209" s="98"/>
      <c r="AQR209" s="98"/>
      <c r="AQS209" s="98"/>
      <c r="AQT209" s="98"/>
      <c r="AQU209" s="98"/>
      <c r="AQV209" s="98"/>
      <c r="AQW209" s="98"/>
      <c r="AQX209" s="98"/>
      <c r="AQY209" s="98"/>
      <c r="AQZ209" s="98"/>
      <c r="ARA209" s="98"/>
      <c r="ARB209" s="98"/>
      <c r="ARC209" s="98"/>
      <c r="ARD209" s="98"/>
      <c r="ARE209" s="98"/>
      <c r="ARF209" s="98"/>
      <c r="ARG209" s="98"/>
      <c r="ARH209" s="98"/>
      <c r="ARI209" s="98"/>
      <c r="ARJ209" s="98"/>
      <c r="ARK209" s="98"/>
      <c r="ARL209" s="98"/>
      <c r="ARM209" s="98"/>
      <c r="ARN209" s="98"/>
      <c r="ARO209" s="98"/>
      <c r="ARP209" s="98"/>
      <c r="ARQ209" s="98"/>
      <c r="ARR209" s="98"/>
      <c r="ARS209" s="98"/>
    </row>
    <row r="210" spans="1:1163" s="174" customFormat="1">
      <c r="A210" s="140" t="s">
        <v>231</v>
      </c>
      <c r="B210" s="119" t="s">
        <v>67</v>
      </c>
      <c r="C210" s="175">
        <v>3007</v>
      </c>
      <c r="D210" s="175">
        <v>31954756</v>
      </c>
      <c r="E210" s="175">
        <v>159</v>
      </c>
      <c r="F210" s="175">
        <v>12233115</v>
      </c>
      <c r="G210" s="175">
        <v>298</v>
      </c>
      <c r="H210" s="175">
        <v>13179471</v>
      </c>
      <c r="I210" s="175">
        <v>20</v>
      </c>
      <c r="J210" s="175">
        <v>464754</v>
      </c>
      <c r="K210" s="175">
        <v>272</v>
      </c>
      <c r="L210" s="175">
        <v>6753268</v>
      </c>
      <c r="M210" s="175">
        <v>145</v>
      </c>
      <c r="N210" s="175">
        <v>5224379</v>
      </c>
      <c r="O210" s="175">
        <v>108</v>
      </c>
      <c r="P210" s="175">
        <v>4475112</v>
      </c>
      <c r="Q210" s="175">
        <v>126</v>
      </c>
      <c r="R210" s="175">
        <v>4398606</v>
      </c>
      <c r="S210" s="175">
        <v>111</v>
      </c>
      <c r="T210" s="175">
        <v>4204828</v>
      </c>
      <c r="U210" s="197">
        <v>76</v>
      </c>
      <c r="V210" s="197">
        <v>8069190</v>
      </c>
      <c r="W210" s="197">
        <v>550</v>
      </c>
      <c r="X210" s="197">
        <v>17931656</v>
      </c>
      <c r="Y210" s="175">
        <v>573</v>
      </c>
      <c r="Z210" s="175">
        <v>19216316</v>
      </c>
      <c r="AA210" s="209">
        <v>668</v>
      </c>
      <c r="AB210" s="209">
        <v>18726310</v>
      </c>
      <c r="AC210" s="175">
        <v>925</v>
      </c>
      <c r="AD210" s="175">
        <v>29733847</v>
      </c>
      <c r="AE210" s="201">
        <v>337</v>
      </c>
      <c r="AF210" s="209">
        <v>14616947</v>
      </c>
      <c r="AG210" s="201">
        <v>262</v>
      </c>
      <c r="AH210" s="201">
        <v>22116946</v>
      </c>
      <c r="AI210" s="201">
        <v>365</v>
      </c>
      <c r="AJ210" s="201">
        <v>33617052</v>
      </c>
      <c r="AK210" s="201">
        <v>557</v>
      </c>
      <c r="AL210" s="201">
        <v>35638738</v>
      </c>
      <c r="AM210" s="176">
        <v>299</v>
      </c>
      <c r="AN210" s="176">
        <v>30550308</v>
      </c>
      <c r="AO210" s="201">
        <v>400</v>
      </c>
      <c r="AP210" s="201">
        <v>58503807</v>
      </c>
      <c r="AQ210" s="201">
        <v>405</v>
      </c>
      <c r="AR210" s="201">
        <v>63843890</v>
      </c>
      <c r="AS210" s="201">
        <v>611.28</v>
      </c>
      <c r="AT210" s="201">
        <v>96845674</v>
      </c>
      <c r="AU210" s="209">
        <v>806.22</v>
      </c>
      <c r="AV210" s="175" t="s">
        <v>165</v>
      </c>
      <c r="AW210" s="175">
        <v>984.68</v>
      </c>
      <c r="AX210" s="175" t="s">
        <v>165</v>
      </c>
      <c r="AY210" s="175">
        <v>973.154</v>
      </c>
      <c r="AZ210" s="175" t="s">
        <v>165</v>
      </c>
      <c r="BA210" s="177"/>
      <c r="BB210" s="175"/>
      <c r="BC210" s="178"/>
      <c r="BD210" s="175"/>
      <c r="BE210" s="175"/>
      <c r="BF210" s="175"/>
      <c r="BG210" s="178"/>
      <c r="BH210" s="175"/>
      <c r="BI210" s="177"/>
      <c r="BJ210" s="98"/>
      <c r="BK210" s="98"/>
      <c r="BL210" s="98"/>
      <c r="BM210" s="14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98"/>
      <c r="EP210" s="98"/>
      <c r="EQ210" s="98"/>
      <c r="ER210" s="98"/>
      <c r="ES210" s="98"/>
      <c r="ET210" s="98"/>
      <c r="EU210" s="98"/>
      <c r="EV210" s="98"/>
      <c r="EW210" s="98"/>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c r="IW210" s="98"/>
      <c r="IX210" s="98"/>
      <c r="IY210" s="98"/>
      <c r="IZ210" s="98"/>
      <c r="JA210" s="98"/>
      <c r="JB210" s="98"/>
      <c r="JC210" s="98"/>
      <c r="JD210" s="98"/>
      <c r="JE210" s="98"/>
      <c r="JF210" s="98"/>
      <c r="JG210" s="98"/>
      <c r="JH210" s="98"/>
      <c r="JI210" s="98"/>
      <c r="JJ210" s="98"/>
      <c r="JK210" s="98"/>
      <c r="JL210" s="98"/>
      <c r="JM210" s="98"/>
      <c r="JN210" s="98"/>
      <c r="JO210" s="98"/>
      <c r="JP210" s="98"/>
      <c r="JQ210" s="98"/>
      <c r="JR210" s="98"/>
      <c r="JS210" s="98"/>
      <c r="JT210" s="98"/>
      <c r="JU210" s="98"/>
      <c r="JV210" s="98"/>
      <c r="JW210" s="98"/>
      <c r="JX210" s="98"/>
      <c r="JY210" s="98"/>
      <c r="JZ210" s="98"/>
      <c r="KA210" s="98"/>
      <c r="KB210" s="98"/>
      <c r="KC210" s="98"/>
      <c r="KD210" s="98"/>
      <c r="KE210" s="98"/>
      <c r="KF210" s="98"/>
      <c r="KG210" s="98"/>
      <c r="KH210" s="98"/>
      <c r="KI210" s="98"/>
      <c r="KJ210" s="98"/>
      <c r="KK210" s="98"/>
      <c r="KL210" s="98"/>
      <c r="KM210" s="98"/>
      <c r="KN210" s="98"/>
      <c r="KO210" s="98"/>
      <c r="KP210" s="98"/>
      <c r="KQ210" s="98"/>
      <c r="KR210" s="98"/>
      <c r="KS210" s="98"/>
      <c r="KT210" s="98"/>
      <c r="KU210" s="98"/>
      <c r="KV210" s="98"/>
      <c r="KW210" s="98"/>
      <c r="KX210" s="98"/>
      <c r="KY210" s="98"/>
      <c r="KZ210" s="98"/>
      <c r="LA210" s="98"/>
      <c r="LB210" s="98"/>
      <c r="LC210" s="98"/>
      <c r="LD210" s="98"/>
      <c r="LE210" s="98"/>
      <c r="LF210" s="98"/>
      <c r="LG210" s="98"/>
      <c r="LH210" s="98"/>
      <c r="LI210" s="98"/>
      <c r="LJ210" s="98"/>
      <c r="LK210" s="98"/>
      <c r="LL210" s="98"/>
      <c r="LM210" s="98"/>
      <c r="LN210" s="98"/>
      <c r="LO210" s="98"/>
      <c r="LP210" s="98"/>
      <c r="LQ210" s="98"/>
      <c r="LR210" s="98"/>
      <c r="LS210" s="98"/>
      <c r="LT210" s="98"/>
      <c r="LU210" s="98"/>
      <c r="LV210" s="98"/>
      <c r="LW210" s="98"/>
      <c r="LX210" s="98"/>
      <c r="LY210" s="98"/>
      <c r="LZ210" s="98"/>
      <c r="MA210" s="98"/>
      <c r="MB210" s="98"/>
      <c r="MC210" s="98"/>
      <c r="MD210" s="98"/>
      <c r="ME210" s="98"/>
      <c r="MF210" s="98"/>
      <c r="MG210" s="98"/>
      <c r="MH210" s="98"/>
      <c r="MI210" s="98"/>
      <c r="MJ210" s="98"/>
      <c r="MK210" s="98"/>
      <c r="ML210" s="98"/>
      <c r="MM210" s="98"/>
      <c r="MN210" s="98"/>
      <c r="MO210" s="98"/>
      <c r="MP210" s="98"/>
      <c r="MQ210" s="98"/>
      <c r="MR210" s="98"/>
      <c r="MS210" s="98"/>
      <c r="MT210" s="98"/>
      <c r="MU210" s="98"/>
      <c r="MV210" s="98"/>
      <c r="MW210" s="98"/>
      <c r="MX210" s="98"/>
      <c r="MY210" s="98"/>
      <c r="MZ210" s="98"/>
      <c r="NA210" s="98"/>
      <c r="NB210" s="98"/>
      <c r="NC210" s="98"/>
      <c r="ND210" s="98"/>
      <c r="NE210" s="98"/>
      <c r="NF210" s="98"/>
      <c r="NG210" s="98"/>
      <c r="NH210" s="98"/>
      <c r="NI210" s="98"/>
      <c r="NJ210" s="98"/>
      <c r="NK210" s="98"/>
      <c r="NL210" s="98"/>
      <c r="NM210" s="98"/>
      <c r="NN210" s="98"/>
      <c r="NO210" s="98"/>
      <c r="NP210" s="98"/>
      <c r="NQ210" s="98"/>
      <c r="NR210" s="98"/>
      <c r="NS210" s="98"/>
      <c r="NT210" s="98"/>
      <c r="NU210" s="98"/>
      <c r="NV210" s="98"/>
      <c r="NW210" s="98"/>
      <c r="NX210" s="98"/>
      <c r="NY210" s="98"/>
      <c r="NZ210" s="98"/>
      <c r="OA210" s="98"/>
      <c r="OB210" s="98"/>
      <c r="OC210" s="98"/>
      <c r="OD210" s="98"/>
      <c r="OE210" s="98"/>
      <c r="OF210" s="98"/>
      <c r="OG210" s="98"/>
      <c r="OH210" s="98"/>
      <c r="OI210" s="98"/>
      <c r="OJ210" s="98"/>
      <c r="OK210" s="98"/>
      <c r="OL210" s="98"/>
      <c r="OM210" s="98"/>
      <c r="ON210" s="98"/>
      <c r="OO210" s="98"/>
      <c r="OP210" s="98"/>
      <c r="OQ210" s="98"/>
      <c r="OR210" s="98"/>
      <c r="OS210" s="98"/>
      <c r="OT210" s="98"/>
      <c r="OU210" s="98"/>
      <c r="OV210" s="98"/>
      <c r="OW210" s="98"/>
      <c r="OX210" s="98"/>
      <c r="OY210" s="98"/>
      <c r="OZ210" s="98"/>
      <c r="PA210" s="98"/>
      <c r="PB210" s="98"/>
      <c r="PC210" s="98"/>
      <c r="PD210" s="98"/>
      <c r="PE210" s="98"/>
      <c r="PF210" s="98"/>
      <c r="PG210" s="98"/>
      <c r="PH210" s="98"/>
      <c r="PI210" s="98"/>
      <c r="PJ210" s="98"/>
      <c r="PK210" s="98"/>
      <c r="PL210" s="98"/>
      <c r="PM210" s="98"/>
      <c r="PN210" s="98"/>
      <c r="PO210" s="98"/>
      <c r="PP210" s="98"/>
      <c r="PQ210" s="98"/>
      <c r="PR210" s="98"/>
      <c r="PS210" s="98"/>
      <c r="PT210" s="98"/>
      <c r="PU210" s="98"/>
      <c r="PV210" s="98"/>
      <c r="PW210" s="98"/>
      <c r="PX210" s="98"/>
      <c r="PY210" s="98"/>
      <c r="PZ210" s="98"/>
      <c r="QA210" s="98"/>
      <c r="QB210" s="98"/>
      <c r="QC210" s="98"/>
      <c r="QD210" s="98"/>
      <c r="QE210" s="98"/>
      <c r="QF210" s="98"/>
      <c r="QG210" s="98"/>
      <c r="QH210" s="98"/>
      <c r="QI210" s="98"/>
      <c r="QJ210" s="98"/>
      <c r="QK210" s="98"/>
      <c r="QL210" s="98"/>
      <c r="QM210" s="98"/>
      <c r="QN210" s="98"/>
      <c r="QO210" s="98"/>
      <c r="QP210" s="98"/>
      <c r="QQ210" s="98"/>
      <c r="QR210" s="98"/>
      <c r="QS210" s="98"/>
      <c r="QT210" s="98"/>
      <c r="QU210" s="98"/>
      <c r="QV210" s="98"/>
      <c r="QW210" s="98"/>
      <c r="QX210" s="98"/>
      <c r="QY210" s="98"/>
      <c r="QZ210" s="98"/>
      <c r="RA210" s="98"/>
      <c r="RB210" s="98"/>
      <c r="RC210" s="98"/>
      <c r="RD210" s="98"/>
      <c r="RE210" s="98"/>
      <c r="RF210" s="98"/>
      <c r="RG210" s="98"/>
      <c r="RH210" s="98"/>
      <c r="RI210" s="98"/>
      <c r="RJ210" s="98"/>
      <c r="RK210" s="98"/>
      <c r="RL210" s="98"/>
      <c r="RM210" s="98"/>
      <c r="RN210" s="98"/>
      <c r="RO210" s="98"/>
      <c r="RP210" s="98"/>
      <c r="RQ210" s="98"/>
      <c r="RR210" s="98"/>
      <c r="RS210" s="98"/>
      <c r="RT210" s="98"/>
      <c r="RU210" s="98"/>
      <c r="RV210" s="98"/>
      <c r="RW210" s="98"/>
      <c r="RX210" s="98"/>
      <c r="RY210" s="98"/>
      <c r="RZ210" s="98"/>
      <c r="SA210" s="98"/>
      <c r="SB210" s="98"/>
      <c r="SC210" s="98"/>
      <c r="SD210" s="98"/>
      <c r="SE210" s="98"/>
      <c r="SF210" s="98"/>
      <c r="SG210" s="98"/>
      <c r="SH210" s="98"/>
      <c r="SI210" s="98"/>
      <c r="SJ210" s="98"/>
      <c r="SK210" s="98"/>
      <c r="SL210" s="98"/>
      <c r="SM210" s="98"/>
      <c r="SN210" s="98"/>
      <c r="SO210" s="98"/>
      <c r="SP210" s="98"/>
      <c r="SQ210" s="98"/>
      <c r="SR210" s="98"/>
      <c r="SS210" s="98"/>
      <c r="ST210" s="98"/>
      <c r="SU210" s="98"/>
      <c r="SV210" s="98"/>
      <c r="SW210" s="98"/>
      <c r="SX210" s="98"/>
      <c r="SY210" s="98"/>
      <c r="SZ210" s="98"/>
      <c r="TA210" s="98"/>
      <c r="TB210" s="98"/>
      <c r="TC210" s="98"/>
      <c r="TD210" s="98"/>
      <c r="TE210" s="98"/>
      <c r="TF210" s="98"/>
      <c r="TG210" s="98"/>
      <c r="TH210" s="98"/>
      <c r="TI210" s="98"/>
      <c r="TJ210" s="98"/>
      <c r="TK210" s="98"/>
      <c r="TL210" s="98"/>
      <c r="TM210" s="98"/>
      <c r="TN210" s="98"/>
      <c r="TO210" s="98"/>
      <c r="TP210" s="98"/>
      <c r="TQ210" s="98"/>
      <c r="TR210" s="98"/>
      <c r="TS210" s="98"/>
      <c r="TT210" s="98"/>
      <c r="TU210" s="98"/>
      <c r="TV210" s="98"/>
      <c r="TW210" s="98"/>
      <c r="TX210" s="98"/>
      <c r="TY210" s="98"/>
      <c r="TZ210" s="98"/>
      <c r="UA210" s="98"/>
      <c r="UB210" s="98"/>
      <c r="UC210" s="98"/>
      <c r="UD210" s="98"/>
      <c r="UE210" s="98"/>
      <c r="UF210" s="98"/>
      <c r="UG210" s="98"/>
      <c r="UH210" s="98"/>
      <c r="UI210" s="98"/>
      <c r="UJ210" s="98"/>
      <c r="UK210" s="98"/>
      <c r="UL210" s="98"/>
      <c r="UM210" s="98"/>
      <c r="UN210" s="98"/>
      <c r="UO210" s="98"/>
      <c r="UP210" s="98"/>
      <c r="UQ210" s="98"/>
      <c r="UR210" s="98"/>
      <c r="US210" s="98"/>
      <c r="UT210" s="98"/>
      <c r="UU210" s="98"/>
      <c r="UV210" s="98"/>
      <c r="UW210" s="98"/>
      <c r="UX210" s="98"/>
      <c r="UY210" s="98"/>
      <c r="UZ210" s="98"/>
      <c r="VA210" s="98"/>
      <c r="VB210" s="98"/>
      <c r="VC210" s="98"/>
      <c r="VD210" s="98"/>
      <c r="VE210" s="98"/>
      <c r="VF210" s="98"/>
      <c r="VG210" s="98"/>
      <c r="VH210" s="98"/>
      <c r="VI210" s="98"/>
      <c r="VJ210" s="98"/>
      <c r="VK210" s="98"/>
      <c r="VL210" s="98"/>
      <c r="VM210" s="98"/>
      <c r="VN210" s="98"/>
      <c r="VO210" s="98"/>
      <c r="VP210" s="98"/>
      <c r="VQ210" s="98"/>
      <c r="VR210" s="98"/>
      <c r="VS210" s="98"/>
      <c r="VT210" s="98"/>
      <c r="VU210" s="98"/>
      <c r="VV210" s="98"/>
      <c r="VW210" s="98"/>
      <c r="VX210" s="98"/>
      <c r="VY210" s="98"/>
      <c r="VZ210" s="98"/>
      <c r="WA210" s="98"/>
      <c r="WB210" s="98"/>
      <c r="WC210" s="98"/>
      <c r="WD210" s="98"/>
      <c r="WE210" s="98"/>
      <c r="WF210" s="98"/>
      <c r="WG210" s="98"/>
      <c r="WH210" s="98"/>
      <c r="WI210" s="98"/>
      <c r="WJ210" s="98"/>
      <c r="WK210" s="98"/>
      <c r="WL210" s="98"/>
      <c r="WM210" s="98"/>
      <c r="WN210" s="98"/>
      <c r="WO210" s="98"/>
      <c r="WP210" s="98"/>
      <c r="WQ210" s="98"/>
      <c r="WR210" s="98"/>
      <c r="WS210" s="98"/>
      <c r="WT210" s="98"/>
      <c r="WU210" s="98"/>
      <c r="WV210" s="98"/>
      <c r="WW210" s="98"/>
      <c r="WX210" s="98"/>
      <c r="WY210" s="98"/>
      <c r="WZ210" s="98"/>
      <c r="XA210" s="98"/>
      <c r="XB210" s="98"/>
      <c r="XC210" s="98"/>
      <c r="XD210" s="98"/>
      <c r="XE210" s="98"/>
      <c r="XF210" s="98"/>
      <c r="XG210" s="98"/>
      <c r="XH210" s="98"/>
      <c r="XI210" s="98"/>
      <c r="XJ210" s="98"/>
      <c r="XK210" s="98"/>
      <c r="XL210" s="98"/>
      <c r="XM210" s="98"/>
      <c r="XN210" s="98"/>
      <c r="XO210" s="98"/>
      <c r="XP210" s="98"/>
      <c r="XQ210" s="98"/>
      <c r="XR210" s="98"/>
      <c r="XS210" s="98"/>
      <c r="XT210" s="98"/>
      <c r="XU210" s="98"/>
      <c r="XV210" s="98"/>
      <c r="XW210" s="98"/>
      <c r="XX210" s="98"/>
      <c r="XY210" s="98"/>
      <c r="XZ210" s="98"/>
      <c r="YA210" s="98"/>
      <c r="YB210" s="98"/>
      <c r="YC210" s="98"/>
      <c r="YD210" s="98"/>
      <c r="YE210" s="98"/>
      <c r="YF210" s="98"/>
      <c r="YG210" s="98"/>
      <c r="YH210" s="98"/>
      <c r="YI210" s="98"/>
      <c r="YJ210" s="98"/>
      <c r="YK210" s="98"/>
      <c r="YL210" s="98"/>
      <c r="YM210" s="98"/>
      <c r="YN210" s="98"/>
      <c r="YO210" s="98"/>
      <c r="YP210" s="98"/>
      <c r="YQ210" s="98"/>
      <c r="YR210" s="98"/>
      <c r="YS210" s="98"/>
      <c r="YT210" s="98"/>
      <c r="YU210" s="98"/>
      <c r="YV210" s="98"/>
      <c r="YW210" s="98"/>
      <c r="YX210" s="98"/>
      <c r="YY210" s="98"/>
      <c r="YZ210" s="98"/>
      <c r="ZA210" s="98"/>
      <c r="ZB210" s="98"/>
      <c r="ZC210" s="98"/>
      <c r="ZD210" s="98"/>
      <c r="ZE210" s="98"/>
      <c r="ZF210" s="98"/>
      <c r="ZG210" s="98"/>
      <c r="ZH210" s="98"/>
      <c r="ZI210" s="98"/>
      <c r="ZJ210" s="98"/>
      <c r="ZK210" s="98"/>
      <c r="ZL210" s="98"/>
      <c r="ZM210" s="98"/>
      <c r="ZN210" s="98"/>
      <c r="ZO210" s="98"/>
      <c r="ZP210" s="98"/>
      <c r="ZQ210" s="98"/>
      <c r="ZR210" s="98"/>
      <c r="ZS210" s="98"/>
      <c r="ZT210" s="98"/>
      <c r="ZU210" s="98"/>
      <c r="ZV210" s="98"/>
      <c r="ZW210" s="98"/>
      <c r="ZX210" s="98"/>
      <c r="ZY210" s="98"/>
      <c r="ZZ210" s="98"/>
      <c r="AAA210" s="98"/>
      <c r="AAB210" s="98"/>
      <c r="AAC210" s="98"/>
      <c r="AAD210" s="98"/>
      <c r="AAE210" s="98"/>
      <c r="AAF210" s="98"/>
      <c r="AAG210" s="98"/>
      <c r="AAH210" s="98"/>
      <c r="AAI210" s="98"/>
      <c r="AAJ210" s="98"/>
      <c r="AAK210" s="98"/>
      <c r="AAL210" s="98"/>
      <c r="AAM210" s="98"/>
      <c r="AAN210" s="98"/>
      <c r="AAO210" s="98"/>
      <c r="AAP210" s="98"/>
      <c r="AAQ210" s="98"/>
      <c r="AAR210" s="98"/>
      <c r="AAS210" s="98"/>
      <c r="AAT210" s="98"/>
      <c r="AAU210" s="98"/>
      <c r="AAV210" s="98"/>
      <c r="AAW210" s="98"/>
      <c r="AAX210" s="98"/>
      <c r="AAY210" s="98"/>
      <c r="AAZ210" s="98"/>
      <c r="ABA210" s="98"/>
      <c r="ABB210" s="98"/>
      <c r="ABC210" s="98"/>
      <c r="ABD210" s="98"/>
      <c r="ABE210" s="98"/>
      <c r="ABF210" s="98"/>
      <c r="ABG210" s="98"/>
      <c r="ABH210" s="98"/>
      <c r="ABI210" s="98"/>
      <c r="ABJ210" s="98"/>
      <c r="ABK210" s="98"/>
      <c r="ABL210" s="98"/>
      <c r="ABM210" s="98"/>
      <c r="ABN210" s="98"/>
      <c r="ABO210" s="98"/>
      <c r="ABP210" s="98"/>
      <c r="ABQ210" s="98"/>
      <c r="ABR210" s="98"/>
      <c r="ABS210" s="98"/>
      <c r="ABT210" s="98"/>
      <c r="ABU210" s="98"/>
      <c r="ABV210" s="98"/>
      <c r="ABW210" s="98"/>
      <c r="ABX210" s="98"/>
      <c r="ABY210" s="98"/>
      <c r="ABZ210" s="98"/>
      <c r="ACA210" s="98"/>
      <c r="ACB210" s="98"/>
      <c r="ACC210" s="98"/>
      <c r="ACD210" s="98"/>
      <c r="ACE210" s="98"/>
      <c r="ACF210" s="98"/>
      <c r="ACG210" s="98"/>
      <c r="ACH210" s="98"/>
      <c r="ACI210" s="98"/>
      <c r="ACJ210" s="98"/>
      <c r="ACK210" s="98"/>
      <c r="ACL210" s="98"/>
      <c r="ACM210" s="98"/>
      <c r="ACN210" s="98"/>
      <c r="ACO210" s="98"/>
      <c r="ACP210" s="98"/>
      <c r="ACQ210" s="98"/>
      <c r="ACR210" s="98"/>
      <c r="ACS210" s="98"/>
      <c r="ACT210" s="98"/>
      <c r="ACU210" s="98"/>
      <c r="ACV210" s="98"/>
      <c r="ACW210" s="98"/>
      <c r="ACX210" s="98"/>
      <c r="ACY210" s="98"/>
      <c r="ACZ210" s="98"/>
      <c r="ADA210" s="98"/>
      <c r="ADB210" s="98"/>
      <c r="ADC210" s="98"/>
      <c r="ADD210" s="98"/>
      <c r="ADE210" s="98"/>
      <c r="ADF210" s="98"/>
      <c r="ADG210" s="98"/>
      <c r="ADH210" s="98"/>
      <c r="ADI210" s="98"/>
      <c r="ADJ210" s="98"/>
      <c r="ADK210" s="98"/>
      <c r="ADL210" s="98"/>
      <c r="ADM210" s="98"/>
      <c r="ADN210" s="98"/>
      <c r="ADO210" s="98"/>
      <c r="ADP210" s="98"/>
      <c r="ADQ210" s="98"/>
      <c r="ADR210" s="98"/>
      <c r="ADS210" s="98"/>
      <c r="ADT210" s="98"/>
      <c r="ADU210" s="98"/>
      <c r="ADV210" s="98"/>
      <c r="ADW210" s="98"/>
      <c r="ADX210" s="98"/>
      <c r="ADY210" s="98"/>
      <c r="ADZ210" s="98"/>
      <c r="AEA210" s="98"/>
      <c r="AEB210" s="98"/>
      <c r="AEC210" s="98"/>
      <c r="AED210" s="98"/>
      <c r="AEE210" s="98"/>
      <c r="AEF210" s="98"/>
      <c r="AEG210" s="98"/>
      <c r="AEH210" s="98"/>
      <c r="AEI210" s="98"/>
      <c r="AEJ210" s="98"/>
      <c r="AEK210" s="98"/>
      <c r="AEL210" s="98"/>
      <c r="AEM210" s="98"/>
      <c r="AEN210" s="98"/>
      <c r="AEO210" s="98"/>
      <c r="AEP210" s="98"/>
      <c r="AEQ210" s="98"/>
      <c r="AER210" s="98"/>
      <c r="AES210" s="98"/>
      <c r="AET210" s="98"/>
      <c r="AEU210" s="98"/>
      <c r="AEV210" s="98"/>
      <c r="AEW210" s="98"/>
      <c r="AEX210" s="98"/>
      <c r="AEY210" s="98"/>
      <c r="AEZ210" s="98"/>
      <c r="AFA210" s="98"/>
      <c r="AFB210" s="98"/>
      <c r="AFC210" s="98"/>
      <c r="AFD210" s="98"/>
      <c r="AFE210" s="98"/>
      <c r="AFF210" s="98"/>
      <c r="AFG210" s="98"/>
      <c r="AFH210" s="98"/>
      <c r="AFI210" s="98"/>
      <c r="AFJ210" s="98"/>
      <c r="AFK210" s="98"/>
      <c r="AFL210" s="98"/>
      <c r="AFM210" s="98"/>
      <c r="AFN210" s="98"/>
      <c r="AFO210" s="98"/>
      <c r="AFP210" s="98"/>
      <c r="AFQ210" s="98"/>
      <c r="AFR210" s="98"/>
      <c r="AFS210" s="98"/>
      <c r="AFT210" s="98"/>
      <c r="AFU210" s="98"/>
      <c r="AFV210" s="98"/>
      <c r="AFW210" s="98"/>
      <c r="AFX210" s="98"/>
      <c r="AFY210" s="98"/>
      <c r="AFZ210" s="98"/>
      <c r="AGA210" s="98"/>
      <c r="AGB210" s="98"/>
      <c r="AGC210" s="98"/>
      <c r="AGD210" s="98"/>
      <c r="AGE210" s="98"/>
      <c r="AGF210" s="98"/>
      <c r="AGG210" s="98"/>
      <c r="AGH210" s="98"/>
      <c r="AGI210" s="98"/>
      <c r="AGJ210" s="98"/>
      <c r="AGK210" s="98"/>
      <c r="AGL210" s="98"/>
      <c r="AGM210" s="98"/>
      <c r="AGN210" s="98"/>
      <c r="AGO210" s="98"/>
      <c r="AGP210" s="98"/>
      <c r="AGQ210" s="98"/>
      <c r="AGR210" s="98"/>
      <c r="AGS210" s="98"/>
      <c r="AGT210" s="98"/>
      <c r="AGU210" s="98"/>
      <c r="AGV210" s="98"/>
      <c r="AGW210" s="98"/>
      <c r="AGX210" s="98"/>
      <c r="AGY210" s="98"/>
      <c r="AGZ210" s="98"/>
      <c r="AHA210" s="98"/>
      <c r="AHB210" s="98"/>
      <c r="AHC210" s="98"/>
      <c r="AHD210" s="98"/>
      <c r="AHE210" s="98"/>
      <c r="AHF210" s="98"/>
      <c r="AHG210" s="98"/>
      <c r="AHH210" s="98"/>
      <c r="AHI210" s="98"/>
      <c r="AHJ210" s="98"/>
      <c r="AHK210" s="98"/>
      <c r="AHL210" s="98"/>
      <c r="AHM210" s="98"/>
      <c r="AHN210" s="98"/>
      <c r="AHO210" s="98"/>
      <c r="AHP210" s="98"/>
      <c r="AHQ210" s="98"/>
      <c r="AHR210" s="98"/>
      <c r="AHS210" s="98"/>
      <c r="AHT210" s="98"/>
      <c r="AHU210" s="98"/>
      <c r="AHV210" s="98"/>
      <c r="AHW210" s="98"/>
      <c r="AHX210" s="98"/>
      <c r="AHY210" s="98"/>
      <c r="AHZ210" s="98"/>
      <c r="AIA210" s="98"/>
      <c r="AIB210" s="98"/>
      <c r="AIC210" s="98"/>
      <c r="AID210" s="98"/>
      <c r="AIE210" s="98"/>
      <c r="AIF210" s="98"/>
      <c r="AIG210" s="98"/>
      <c r="AIH210" s="98"/>
      <c r="AII210" s="98"/>
      <c r="AIJ210" s="98"/>
      <c r="AIK210" s="98"/>
      <c r="AIL210" s="98"/>
      <c r="AIM210" s="98"/>
      <c r="AIN210" s="98"/>
      <c r="AIO210" s="98"/>
      <c r="AIP210" s="98"/>
      <c r="AIQ210" s="98"/>
      <c r="AIR210" s="98"/>
      <c r="AIS210" s="98"/>
      <c r="AIT210" s="98"/>
      <c r="AIU210" s="98"/>
      <c r="AIV210" s="98"/>
      <c r="AIW210" s="98"/>
      <c r="AIX210" s="98"/>
      <c r="AIY210" s="98"/>
      <c r="AIZ210" s="98"/>
      <c r="AJA210" s="98"/>
      <c r="AJB210" s="98"/>
      <c r="AJC210" s="98"/>
      <c r="AJD210" s="98"/>
      <c r="AJE210" s="98"/>
      <c r="AJF210" s="98"/>
      <c r="AJG210" s="98"/>
      <c r="AJH210" s="98"/>
      <c r="AJI210" s="98"/>
      <c r="AJJ210" s="98"/>
      <c r="AJK210" s="98"/>
      <c r="AJL210" s="98"/>
      <c r="AJM210" s="98"/>
      <c r="AJN210" s="98"/>
      <c r="AJO210" s="98"/>
      <c r="AJP210" s="98"/>
      <c r="AJQ210" s="98"/>
      <c r="AJR210" s="98"/>
      <c r="AJS210" s="98"/>
      <c r="AJT210" s="98"/>
      <c r="AJU210" s="98"/>
      <c r="AJV210" s="98"/>
      <c r="AJW210" s="98"/>
      <c r="AJX210" s="98"/>
      <c r="AJY210" s="98"/>
      <c r="AJZ210" s="98"/>
      <c r="AKA210" s="98"/>
      <c r="AKB210" s="98"/>
      <c r="AKC210" s="98"/>
      <c r="AKD210" s="98"/>
      <c r="AKE210" s="98"/>
      <c r="AKF210" s="98"/>
      <c r="AKG210" s="98"/>
      <c r="AKH210" s="98"/>
      <c r="AKI210" s="98"/>
      <c r="AKJ210" s="98"/>
      <c r="AKK210" s="98"/>
      <c r="AKL210" s="98"/>
      <c r="AKM210" s="98"/>
      <c r="AKN210" s="98"/>
      <c r="AKO210" s="98"/>
      <c r="AKP210" s="98"/>
      <c r="AKQ210" s="98"/>
      <c r="AKR210" s="98"/>
      <c r="AKS210" s="98"/>
      <c r="AKT210" s="98"/>
      <c r="AKU210" s="98"/>
      <c r="AKV210" s="98"/>
      <c r="AKW210" s="98"/>
      <c r="AKX210" s="98"/>
      <c r="AKY210" s="98"/>
      <c r="AKZ210" s="98"/>
      <c r="ALA210" s="98"/>
      <c r="ALB210" s="98"/>
      <c r="ALC210" s="98"/>
      <c r="ALD210" s="98"/>
      <c r="ALE210" s="98"/>
      <c r="ALF210" s="98"/>
      <c r="ALG210" s="98"/>
      <c r="ALH210" s="98"/>
      <c r="ALI210" s="98"/>
      <c r="ALJ210" s="98"/>
      <c r="ALK210" s="98"/>
      <c r="ALL210" s="98"/>
      <c r="ALM210" s="98"/>
      <c r="ALN210" s="98"/>
      <c r="ALO210" s="98"/>
      <c r="ALP210" s="98"/>
      <c r="ALQ210" s="98"/>
      <c r="ALR210" s="98"/>
      <c r="ALS210" s="98"/>
      <c r="ALT210" s="98"/>
      <c r="ALU210" s="98"/>
      <c r="ALV210" s="98"/>
      <c r="ALW210" s="98"/>
      <c r="ALX210" s="98"/>
      <c r="ALY210" s="98"/>
      <c r="ALZ210" s="98"/>
      <c r="AMA210" s="98"/>
      <c r="AMB210" s="98"/>
      <c r="AMC210" s="98"/>
      <c r="AMD210" s="98"/>
      <c r="AME210" s="98"/>
      <c r="AMF210" s="98"/>
      <c r="AMG210" s="98"/>
      <c r="AMH210" s="98"/>
      <c r="AMI210" s="98"/>
      <c r="AMJ210" s="98"/>
      <c r="AMK210" s="98"/>
      <c r="AML210" s="98"/>
      <c r="AMM210" s="98"/>
      <c r="AMN210" s="98"/>
      <c r="AMO210" s="98"/>
      <c r="AMP210" s="98"/>
      <c r="AMQ210" s="98"/>
      <c r="AMR210" s="98"/>
      <c r="AMS210" s="98"/>
      <c r="AMT210" s="98"/>
      <c r="AMU210" s="98"/>
      <c r="AMV210" s="98"/>
      <c r="AMW210" s="98"/>
      <c r="AMX210" s="98"/>
      <c r="AMY210" s="98"/>
      <c r="AMZ210" s="98"/>
      <c r="ANA210" s="98"/>
      <c r="ANB210" s="98"/>
      <c r="ANC210" s="98"/>
      <c r="AND210" s="98"/>
      <c r="ANE210" s="98"/>
      <c r="ANF210" s="98"/>
      <c r="ANG210" s="98"/>
      <c r="ANH210" s="98"/>
      <c r="ANI210" s="98"/>
      <c r="ANJ210" s="98"/>
      <c r="ANK210" s="98"/>
      <c r="ANL210" s="98"/>
      <c r="ANM210" s="98"/>
      <c r="ANN210" s="98"/>
      <c r="ANO210" s="98"/>
      <c r="ANP210" s="98"/>
      <c r="ANQ210" s="98"/>
      <c r="ANR210" s="98"/>
      <c r="ANS210" s="98"/>
      <c r="ANT210" s="98"/>
      <c r="ANU210" s="98"/>
      <c r="ANV210" s="98"/>
      <c r="ANW210" s="98"/>
      <c r="ANX210" s="98"/>
      <c r="ANY210" s="98"/>
      <c r="ANZ210" s="98"/>
      <c r="AOA210" s="98"/>
      <c r="AOB210" s="98"/>
      <c r="AOC210" s="98"/>
      <c r="AOD210" s="98"/>
      <c r="AOE210" s="98"/>
      <c r="AOF210" s="98"/>
      <c r="AOG210" s="98"/>
      <c r="AOH210" s="98"/>
      <c r="AOI210" s="98"/>
      <c r="AOJ210" s="98"/>
      <c r="AOK210" s="98"/>
      <c r="AOL210" s="98"/>
      <c r="AOM210" s="98"/>
      <c r="AON210" s="98"/>
      <c r="AOO210" s="98"/>
      <c r="AOP210" s="98"/>
      <c r="AOQ210" s="98"/>
      <c r="AOR210" s="98"/>
      <c r="AOS210" s="98"/>
      <c r="AOT210" s="98"/>
      <c r="AOU210" s="98"/>
      <c r="AOV210" s="98"/>
      <c r="AOW210" s="98"/>
      <c r="AOX210" s="98"/>
      <c r="AOY210" s="98"/>
      <c r="AOZ210" s="98"/>
      <c r="APA210" s="98"/>
      <c r="APB210" s="98"/>
      <c r="APC210" s="98"/>
      <c r="APD210" s="98"/>
      <c r="APE210" s="98"/>
      <c r="APF210" s="98"/>
      <c r="APG210" s="98"/>
      <c r="APH210" s="98"/>
      <c r="API210" s="98"/>
      <c r="APJ210" s="98"/>
      <c r="APK210" s="98"/>
      <c r="APL210" s="98"/>
      <c r="APM210" s="98"/>
      <c r="APN210" s="98"/>
      <c r="APO210" s="98"/>
      <c r="APP210" s="98"/>
      <c r="APQ210" s="98"/>
      <c r="APR210" s="98"/>
      <c r="APS210" s="98"/>
      <c r="APT210" s="98"/>
      <c r="APU210" s="98"/>
      <c r="APV210" s="98"/>
      <c r="APW210" s="98"/>
      <c r="APX210" s="98"/>
      <c r="APY210" s="98"/>
      <c r="APZ210" s="98"/>
      <c r="AQA210" s="98"/>
      <c r="AQB210" s="98"/>
      <c r="AQC210" s="98"/>
      <c r="AQD210" s="98"/>
      <c r="AQE210" s="98"/>
      <c r="AQF210" s="98"/>
      <c r="AQG210" s="98"/>
      <c r="AQH210" s="98"/>
      <c r="AQI210" s="98"/>
      <c r="AQJ210" s="98"/>
      <c r="AQK210" s="98"/>
      <c r="AQL210" s="98"/>
      <c r="AQM210" s="98"/>
      <c r="AQN210" s="98"/>
      <c r="AQO210" s="98"/>
      <c r="AQP210" s="98"/>
      <c r="AQQ210" s="98"/>
      <c r="AQR210" s="98"/>
      <c r="AQS210" s="98"/>
      <c r="AQT210" s="98"/>
      <c r="AQU210" s="98"/>
      <c r="AQV210" s="98"/>
      <c r="AQW210" s="98"/>
      <c r="AQX210" s="98"/>
      <c r="AQY210" s="98"/>
      <c r="AQZ210" s="98"/>
      <c r="ARA210" s="98"/>
      <c r="ARB210" s="98"/>
      <c r="ARC210" s="98"/>
      <c r="ARD210" s="98"/>
      <c r="ARE210" s="98"/>
      <c r="ARF210" s="98"/>
      <c r="ARG210" s="98"/>
      <c r="ARH210" s="98"/>
      <c r="ARI210" s="98"/>
      <c r="ARJ210" s="98"/>
      <c r="ARK210" s="98"/>
      <c r="ARL210" s="98"/>
      <c r="ARM210" s="98"/>
      <c r="ARN210" s="98"/>
      <c r="ARO210" s="98"/>
      <c r="ARP210" s="98"/>
      <c r="ARQ210" s="98"/>
      <c r="ARR210" s="98"/>
      <c r="ARS210" s="98"/>
    </row>
    <row r="211" spans="1:1163" s="174" customFormat="1">
      <c r="A211" s="1500" t="s">
        <v>270</v>
      </c>
      <c r="B211" s="119" t="s">
        <v>67</v>
      </c>
      <c r="C211" s="175">
        <v>36564</v>
      </c>
      <c r="D211" s="175">
        <v>60618898</v>
      </c>
      <c r="E211" s="175">
        <v>558</v>
      </c>
      <c r="F211" s="175">
        <v>6721875</v>
      </c>
      <c r="G211" s="175">
        <v>638</v>
      </c>
      <c r="H211" s="175">
        <v>10260637</v>
      </c>
      <c r="I211" s="175">
        <v>720</v>
      </c>
      <c r="J211" s="175">
        <v>6275268</v>
      </c>
      <c r="K211" s="175">
        <v>775</v>
      </c>
      <c r="L211" s="175">
        <v>7621570</v>
      </c>
      <c r="M211" s="175">
        <v>720</v>
      </c>
      <c r="N211" s="175">
        <v>6988222</v>
      </c>
      <c r="O211" s="175">
        <v>458</v>
      </c>
      <c r="P211" s="175">
        <v>5486809</v>
      </c>
      <c r="Q211" s="175">
        <v>742</v>
      </c>
      <c r="R211" s="175">
        <v>4989398</v>
      </c>
      <c r="S211" s="175">
        <v>648</v>
      </c>
      <c r="T211" s="175">
        <v>4485426</v>
      </c>
      <c r="U211" s="197">
        <v>375</v>
      </c>
      <c r="V211" s="197">
        <v>2317099</v>
      </c>
      <c r="W211" s="197">
        <v>351</v>
      </c>
      <c r="X211" s="197">
        <v>2122155</v>
      </c>
      <c r="Y211" s="207">
        <v>212</v>
      </c>
      <c r="Z211" s="207">
        <v>1085179</v>
      </c>
      <c r="AA211" s="209">
        <v>275</v>
      </c>
      <c r="AB211" s="209">
        <v>1268035</v>
      </c>
      <c r="AC211" s="175">
        <v>284</v>
      </c>
      <c r="AD211" s="175">
        <v>1472341</v>
      </c>
      <c r="AE211" s="201">
        <v>73</v>
      </c>
      <c r="AF211" s="209">
        <v>848271</v>
      </c>
      <c r="AG211" s="201">
        <v>209</v>
      </c>
      <c r="AH211" s="201">
        <v>1408719</v>
      </c>
      <c r="AI211" s="201">
        <v>586</v>
      </c>
      <c r="AJ211" s="201">
        <v>4156739</v>
      </c>
      <c r="AK211" s="201">
        <v>400.8</v>
      </c>
      <c r="AL211" s="201">
        <v>2783005</v>
      </c>
      <c r="AM211" s="176">
        <v>523</v>
      </c>
      <c r="AN211" s="176">
        <v>3637931</v>
      </c>
      <c r="AO211" s="201">
        <v>588</v>
      </c>
      <c r="AP211" s="201">
        <v>4894812</v>
      </c>
      <c r="AQ211" s="201">
        <v>465.58</v>
      </c>
      <c r="AR211" s="201">
        <v>3768893</v>
      </c>
      <c r="AS211" s="201">
        <v>712.5</v>
      </c>
      <c r="AT211" s="201">
        <v>6248086</v>
      </c>
      <c r="AU211" s="209">
        <v>976</v>
      </c>
      <c r="AV211" s="209">
        <v>7787068</v>
      </c>
      <c r="AW211" s="175">
        <v>762.7</v>
      </c>
      <c r="AX211" s="175">
        <v>4967874</v>
      </c>
      <c r="AY211" s="175">
        <v>652.99</v>
      </c>
      <c r="AZ211" s="175">
        <v>4184604</v>
      </c>
      <c r="BA211" s="177"/>
      <c r="BB211" s="175"/>
      <c r="BC211" s="178"/>
      <c r="BD211" s="175"/>
      <c r="BE211" s="178"/>
      <c r="BF211" s="175"/>
      <c r="BG211" s="178"/>
      <c r="BH211" s="175"/>
      <c r="BI211" s="177"/>
      <c r="BJ211" s="98"/>
      <c r="BK211" s="98"/>
      <c r="BL211" s="14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98"/>
      <c r="EM211" s="98"/>
      <c r="EN211" s="98"/>
      <c r="EO211" s="98"/>
      <c r="EP211" s="98"/>
      <c r="EQ211" s="98"/>
      <c r="ER211" s="98"/>
      <c r="ES211" s="98"/>
      <c r="ET211" s="98"/>
      <c r="EU211" s="98"/>
      <c r="EV211" s="98"/>
      <c r="EW211" s="98"/>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c r="IW211" s="98"/>
      <c r="IX211" s="98"/>
      <c r="IY211" s="98"/>
      <c r="IZ211" s="98"/>
      <c r="JA211" s="98"/>
      <c r="JB211" s="98"/>
      <c r="JC211" s="98"/>
      <c r="JD211" s="98"/>
      <c r="JE211" s="98"/>
      <c r="JF211" s="98"/>
      <c r="JG211" s="98"/>
      <c r="JH211" s="98"/>
      <c r="JI211" s="98"/>
      <c r="JJ211" s="98"/>
      <c r="JK211" s="98"/>
      <c r="JL211" s="98"/>
      <c r="JM211" s="98"/>
      <c r="JN211" s="98"/>
      <c r="JO211" s="98"/>
      <c r="JP211" s="98"/>
      <c r="JQ211" s="98"/>
      <c r="JR211" s="98"/>
      <c r="JS211" s="98"/>
      <c r="JT211" s="98"/>
      <c r="JU211" s="98"/>
      <c r="JV211" s="98"/>
      <c r="JW211" s="98"/>
      <c r="JX211" s="98"/>
      <c r="JY211" s="98"/>
      <c r="JZ211" s="98"/>
      <c r="KA211" s="98"/>
      <c r="KB211" s="98"/>
      <c r="KC211" s="98"/>
      <c r="KD211" s="98"/>
      <c r="KE211" s="98"/>
      <c r="KF211" s="98"/>
      <c r="KG211" s="98"/>
      <c r="KH211" s="98"/>
      <c r="KI211" s="98"/>
      <c r="KJ211" s="98"/>
      <c r="KK211" s="98"/>
      <c r="KL211" s="98"/>
      <c r="KM211" s="98"/>
      <c r="KN211" s="98"/>
      <c r="KO211" s="98"/>
      <c r="KP211" s="98"/>
      <c r="KQ211" s="98"/>
      <c r="KR211" s="98"/>
      <c r="KS211" s="98"/>
      <c r="KT211" s="98"/>
      <c r="KU211" s="98"/>
      <c r="KV211" s="98"/>
      <c r="KW211" s="98"/>
      <c r="KX211" s="98"/>
      <c r="KY211" s="98"/>
      <c r="KZ211" s="98"/>
      <c r="LA211" s="98"/>
      <c r="LB211" s="98"/>
      <c r="LC211" s="98"/>
      <c r="LD211" s="98"/>
      <c r="LE211" s="98"/>
      <c r="LF211" s="98"/>
      <c r="LG211" s="98"/>
      <c r="LH211" s="98"/>
      <c r="LI211" s="98"/>
      <c r="LJ211" s="98"/>
      <c r="LK211" s="98"/>
      <c r="LL211" s="98"/>
      <c r="LM211" s="98"/>
      <c r="LN211" s="98"/>
      <c r="LO211" s="98"/>
      <c r="LP211" s="98"/>
      <c r="LQ211" s="98"/>
      <c r="LR211" s="98"/>
      <c r="LS211" s="98"/>
      <c r="LT211" s="98"/>
      <c r="LU211" s="98"/>
      <c r="LV211" s="98"/>
      <c r="LW211" s="98"/>
      <c r="LX211" s="98"/>
      <c r="LY211" s="98"/>
      <c r="LZ211" s="98"/>
      <c r="MA211" s="98"/>
      <c r="MB211" s="98"/>
      <c r="MC211" s="98"/>
      <c r="MD211" s="98"/>
      <c r="ME211" s="98"/>
      <c r="MF211" s="98"/>
      <c r="MG211" s="98"/>
      <c r="MH211" s="98"/>
      <c r="MI211" s="98"/>
      <c r="MJ211" s="98"/>
      <c r="MK211" s="98"/>
      <c r="ML211" s="98"/>
      <c r="MM211" s="98"/>
      <c r="MN211" s="98"/>
      <c r="MO211" s="98"/>
      <c r="MP211" s="98"/>
      <c r="MQ211" s="98"/>
      <c r="MR211" s="98"/>
      <c r="MS211" s="98"/>
      <c r="MT211" s="98"/>
      <c r="MU211" s="98"/>
      <c r="MV211" s="98"/>
      <c r="MW211" s="98"/>
      <c r="MX211" s="98"/>
      <c r="MY211" s="98"/>
      <c r="MZ211" s="98"/>
      <c r="NA211" s="98"/>
      <c r="NB211" s="98"/>
      <c r="NC211" s="98"/>
      <c r="ND211" s="98"/>
      <c r="NE211" s="98"/>
      <c r="NF211" s="98"/>
      <c r="NG211" s="98"/>
      <c r="NH211" s="98"/>
      <c r="NI211" s="98"/>
      <c r="NJ211" s="98"/>
      <c r="NK211" s="98"/>
      <c r="NL211" s="98"/>
      <c r="NM211" s="98"/>
      <c r="NN211" s="98"/>
      <c r="NO211" s="98"/>
      <c r="NP211" s="98"/>
      <c r="NQ211" s="98"/>
      <c r="NR211" s="98"/>
      <c r="NS211" s="98"/>
      <c r="NT211" s="98"/>
      <c r="NU211" s="98"/>
      <c r="NV211" s="98"/>
      <c r="NW211" s="98"/>
      <c r="NX211" s="98"/>
      <c r="NY211" s="98"/>
      <c r="NZ211" s="98"/>
      <c r="OA211" s="98"/>
      <c r="OB211" s="98"/>
      <c r="OC211" s="98"/>
      <c r="OD211" s="98"/>
      <c r="OE211" s="98"/>
      <c r="OF211" s="98"/>
      <c r="OG211" s="98"/>
      <c r="OH211" s="98"/>
      <c r="OI211" s="98"/>
      <c r="OJ211" s="98"/>
      <c r="OK211" s="98"/>
      <c r="OL211" s="98"/>
      <c r="OM211" s="98"/>
      <c r="ON211" s="98"/>
      <c r="OO211" s="98"/>
      <c r="OP211" s="98"/>
      <c r="OQ211" s="98"/>
      <c r="OR211" s="98"/>
      <c r="OS211" s="98"/>
      <c r="OT211" s="98"/>
      <c r="OU211" s="98"/>
      <c r="OV211" s="98"/>
      <c r="OW211" s="98"/>
      <c r="OX211" s="98"/>
      <c r="OY211" s="98"/>
      <c r="OZ211" s="98"/>
      <c r="PA211" s="98"/>
      <c r="PB211" s="98"/>
      <c r="PC211" s="98"/>
      <c r="PD211" s="98"/>
      <c r="PE211" s="98"/>
      <c r="PF211" s="98"/>
      <c r="PG211" s="98"/>
      <c r="PH211" s="98"/>
      <c r="PI211" s="98"/>
      <c r="PJ211" s="98"/>
      <c r="PK211" s="98"/>
      <c r="PL211" s="98"/>
      <c r="PM211" s="98"/>
      <c r="PN211" s="98"/>
      <c r="PO211" s="98"/>
      <c r="PP211" s="98"/>
      <c r="PQ211" s="98"/>
      <c r="PR211" s="98"/>
      <c r="PS211" s="98"/>
      <c r="PT211" s="98"/>
      <c r="PU211" s="98"/>
      <c r="PV211" s="98"/>
      <c r="PW211" s="98"/>
      <c r="PX211" s="98"/>
      <c r="PY211" s="98"/>
      <c r="PZ211" s="98"/>
      <c r="QA211" s="98"/>
      <c r="QB211" s="98"/>
      <c r="QC211" s="98"/>
      <c r="QD211" s="98"/>
      <c r="QE211" s="98"/>
      <c r="QF211" s="98"/>
      <c r="QG211" s="98"/>
      <c r="QH211" s="98"/>
      <c r="QI211" s="98"/>
      <c r="QJ211" s="98"/>
      <c r="QK211" s="98"/>
      <c r="QL211" s="98"/>
      <c r="QM211" s="98"/>
      <c r="QN211" s="98"/>
      <c r="QO211" s="98"/>
      <c r="QP211" s="98"/>
      <c r="QQ211" s="98"/>
      <c r="QR211" s="98"/>
      <c r="QS211" s="98"/>
      <c r="QT211" s="98"/>
      <c r="QU211" s="98"/>
      <c r="QV211" s="98"/>
      <c r="QW211" s="98"/>
      <c r="QX211" s="98"/>
      <c r="QY211" s="98"/>
      <c r="QZ211" s="98"/>
      <c r="RA211" s="98"/>
      <c r="RB211" s="98"/>
      <c r="RC211" s="98"/>
      <c r="RD211" s="98"/>
      <c r="RE211" s="98"/>
      <c r="RF211" s="98"/>
      <c r="RG211" s="98"/>
      <c r="RH211" s="98"/>
      <c r="RI211" s="98"/>
      <c r="RJ211" s="98"/>
      <c r="RK211" s="98"/>
      <c r="RL211" s="98"/>
      <c r="RM211" s="98"/>
      <c r="RN211" s="98"/>
      <c r="RO211" s="98"/>
      <c r="RP211" s="98"/>
      <c r="RQ211" s="98"/>
      <c r="RR211" s="98"/>
      <c r="RS211" s="98"/>
      <c r="RT211" s="98"/>
      <c r="RU211" s="98"/>
      <c r="RV211" s="98"/>
      <c r="RW211" s="98"/>
      <c r="RX211" s="98"/>
      <c r="RY211" s="98"/>
      <c r="RZ211" s="98"/>
      <c r="SA211" s="98"/>
      <c r="SB211" s="98"/>
      <c r="SC211" s="98"/>
      <c r="SD211" s="98"/>
      <c r="SE211" s="98"/>
      <c r="SF211" s="98"/>
      <c r="SG211" s="98"/>
      <c r="SH211" s="98"/>
      <c r="SI211" s="98"/>
      <c r="SJ211" s="98"/>
      <c r="SK211" s="98"/>
      <c r="SL211" s="98"/>
      <c r="SM211" s="98"/>
      <c r="SN211" s="98"/>
      <c r="SO211" s="98"/>
      <c r="SP211" s="98"/>
      <c r="SQ211" s="98"/>
      <c r="SR211" s="98"/>
      <c r="SS211" s="98"/>
      <c r="ST211" s="98"/>
      <c r="SU211" s="98"/>
      <c r="SV211" s="98"/>
      <c r="SW211" s="98"/>
      <c r="SX211" s="98"/>
      <c r="SY211" s="98"/>
      <c r="SZ211" s="98"/>
      <c r="TA211" s="98"/>
      <c r="TB211" s="98"/>
      <c r="TC211" s="98"/>
      <c r="TD211" s="98"/>
      <c r="TE211" s="98"/>
      <c r="TF211" s="98"/>
      <c r="TG211" s="98"/>
      <c r="TH211" s="98"/>
      <c r="TI211" s="98"/>
      <c r="TJ211" s="98"/>
      <c r="TK211" s="98"/>
      <c r="TL211" s="98"/>
      <c r="TM211" s="98"/>
      <c r="TN211" s="98"/>
      <c r="TO211" s="98"/>
      <c r="TP211" s="98"/>
      <c r="TQ211" s="98"/>
      <c r="TR211" s="98"/>
      <c r="TS211" s="98"/>
      <c r="TT211" s="98"/>
      <c r="TU211" s="98"/>
      <c r="TV211" s="98"/>
      <c r="TW211" s="98"/>
      <c r="TX211" s="98"/>
      <c r="TY211" s="98"/>
      <c r="TZ211" s="98"/>
      <c r="UA211" s="98"/>
      <c r="UB211" s="98"/>
      <c r="UC211" s="98"/>
      <c r="UD211" s="98"/>
      <c r="UE211" s="98"/>
      <c r="UF211" s="98"/>
      <c r="UG211" s="98"/>
      <c r="UH211" s="98"/>
      <c r="UI211" s="98"/>
      <c r="UJ211" s="98"/>
      <c r="UK211" s="98"/>
      <c r="UL211" s="98"/>
      <c r="UM211" s="98"/>
      <c r="UN211" s="98"/>
      <c r="UO211" s="98"/>
      <c r="UP211" s="98"/>
      <c r="UQ211" s="98"/>
      <c r="UR211" s="98"/>
      <c r="US211" s="98"/>
      <c r="UT211" s="98"/>
      <c r="UU211" s="98"/>
      <c r="UV211" s="98"/>
      <c r="UW211" s="98"/>
      <c r="UX211" s="98"/>
      <c r="UY211" s="98"/>
      <c r="UZ211" s="98"/>
      <c r="VA211" s="98"/>
      <c r="VB211" s="98"/>
      <c r="VC211" s="98"/>
      <c r="VD211" s="98"/>
      <c r="VE211" s="98"/>
      <c r="VF211" s="98"/>
      <c r="VG211" s="98"/>
      <c r="VH211" s="98"/>
      <c r="VI211" s="98"/>
      <c r="VJ211" s="98"/>
      <c r="VK211" s="98"/>
      <c r="VL211" s="98"/>
      <c r="VM211" s="98"/>
      <c r="VN211" s="98"/>
      <c r="VO211" s="98"/>
      <c r="VP211" s="98"/>
      <c r="VQ211" s="98"/>
      <c r="VR211" s="98"/>
      <c r="VS211" s="98"/>
      <c r="VT211" s="98"/>
      <c r="VU211" s="98"/>
      <c r="VV211" s="98"/>
      <c r="VW211" s="98"/>
      <c r="VX211" s="98"/>
      <c r="VY211" s="98"/>
      <c r="VZ211" s="98"/>
      <c r="WA211" s="98"/>
      <c r="WB211" s="98"/>
      <c r="WC211" s="98"/>
      <c r="WD211" s="98"/>
      <c r="WE211" s="98"/>
      <c r="WF211" s="98"/>
      <c r="WG211" s="98"/>
      <c r="WH211" s="98"/>
      <c r="WI211" s="98"/>
      <c r="WJ211" s="98"/>
      <c r="WK211" s="98"/>
      <c r="WL211" s="98"/>
      <c r="WM211" s="98"/>
      <c r="WN211" s="98"/>
      <c r="WO211" s="98"/>
      <c r="WP211" s="98"/>
      <c r="WQ211" s="98"/>
      <c r="WR211" s="98"/>
      <c r="WS211" s="98"/>
      <c r="WT211" s="98"/>
      <c r="WU211" s="98"/>
      <c r="WV211" s="98"/>
      <c r="WW211" s="98"/>
      <c r="WX211" s="98"/>
      <c r="WY211" s="98"/>
      <c r="WZ211" s="98"/>
      <c r="XA211" s="98"/>
      <c r="XB211" s="98"/>
      <c r="XC211" s="98"/>
      <c r="XD211" s="98"/>
      <c r="XE211" s="98"/>
      <c r="XF211" s="98"/>
      <c r="XG211" s="98"/>
      <c r="XH211" s="98"/>
      <c r="XI211" s="98"/>
      <c r="XJ211" s="98"/>
      <c r="XK211" s="98"/>
      <c r="XL211" s="98"/>
      <c r="XM211" s="98"/>
      <c r="XN211" s="98"/>
      <c r="XO211" s="98"/>
      <c r="XP211" s="98"/>
      <c r="XQ211" s="98"/>
      <c r="XR211" s="98"/>
      <c r="XS211" s="98"/>
      <c r="XT211" s="98"/>
      <c r="XU211" s="98"/>
      <c r="XV211" s="98"/>
      <c r="XW211" s="98"/>
      <c r="XX211" s="98"/>
      <c r="XY211" s="98"/>
      <c r="XZ211" s="98"/>
      <c r="YA211" s="98"/>
      <c r="YB211" s="98"/>
      <c r="YC211" s="98"/>
      <c r="YD211" s="98"/>
      <c r="YE211" s="98"/>
      <c r="YF211" s="98"/>
      <c r="YG211" s="98"/>
      <c r="YH211" s="98"/>
      <c r="YI211" s="98"/>
      <c r="YJ211" s="98"/>
      <c r="YK211" s="98"/>
      <c r="YL211" s="98"/>
      <c r="YM211" s="98"/>
      <c r="YN211" s="98"/>
      <c r="YO211" s="98"/>
      <c r="YP211" s="98"/>
      <c r="YQ211" s="98"/>
      <c r="YR211" s="98"/>
      <c r="YS211" s="98"/>
      <c r="YT211" s="98"/>
      <c r="YU211" s="98"/>
      <c r="YV211" s="98"/>
      <c r="YW211" s="98"/>
      <c r="YX211" s="98"/>
      <c r="YY211" s="98"/>
      <c r="YZ211" s="98"/>
      <c r="ZA211" s="98"/>
      <c r="ZB211" s="98"/>
      <c r="ZC211" s="98"/>
      <c r="ZD211" s="98"/>
      <c r="ZE211" s="98"/>
      <c r="ZF211" s="98"/>
      <c r="ZG211" s="98"/>
      <c r="ZH211" s="98"/>
      <c r="ZI211" s="98"/>
      <c r="ZJ211" s="98"/>
      <c r="ZK211" s="98"/>
      <c r="ZL211" s="98"/>
      <c r="ZM211" s="98"/>
      <c r="ZN211" s="98"/>
      <c r="ZO211" s="98"/>
      <c r="ZP211" s="98"/>
      <c r="ZQ211" s="98"/>
      <c r="ZR211" s="98"/>
      <c r="ZS211" s="98"/>
      <c r="ZT211" s="98"/>
      <c r="ZU211" s="98"/>
      <c r="ZV211" s="98"/>
      <c r="ZW211" s="98"/>
      <c r="ZX211" s="98"/>
      <c r="ZY211" s="98"/>
      <c r="ZZ211" s="98"/>
      <c r="AAA211" s="98"/>
      <c r="AAB211" s="98"/>
      <c r="AAC211" s="98"/>
      <c r="AAD211" s="98"/>
      <c r="AAE211" s="98"/>
      <c r="AAF211" s="98"/>
      <c r="AAG211" s="98"/>
      <c r="AAH211" s="98"/>
      <c r="AAI211" s="98"/>
      <c r="AAJ211" s="98"/>
      <c r="AAK211" s="98"/>
      <c r="AAL211" s="98"/>
      <c r="AAM211" s="98"/>
      <c r="AAN211" s="98"/>
      <c r="AAO211" s="98"/>
      <c r="AAP211" s="98"/>
      <c r="AAQ211" s="98"/>
      <c r="AAR211" s="98"/>
      <c r="AAS211" s="98"/>
      <c r="AAT211" s="98"/>
      <c r="AAU211" s="98"/>
      <c r="AAV211" s="98"/>
      <c r="AAW211" s="98"/>
      <c r="AAX211" s="98"/>
      <c r="AAY211" s="98"/>
      <c r="AAZ211" s="98"/>
      <c r="ABA211" s="98"/>
      <c r="ABB211" s="98"/>
      <c r="ABC211" s="98"/>
      <c r="ABD211" s="98"/>
      <c r="ABE211" s="98"/>
      <c r="ABF211" s="98"/>
      <c r="ABG211" s="98"/>
      <c r="ABH211" s="98"/>
      <c r="ABI211" s="98"/>
      <c r="ABJ211" s="98"/>
      <c r="ABK211" s="98"/>
      <c r="ABL211" s="98"/>
      <c r="ABM211" s="98"/>
      <c r="ABN211" s="98"/>
      <c r="ABO211" s="98"/>
      <c r="ABP211" s="98"/>
      <c r="ABQ211" s="98"/>
      <c r="ABR211" s="98"/>
      <c r="ABS211" s="98"/>
      <c r="ABT211" s="98"/>
      <c r="ABU211" s="98"/>
      <c r="ABV211" s="98"/>
      <c r="ABW211" s="98"/>
      <c r="ABX211" s="98"/>
      <c r="ABY211" s="98"/>
      <c r="ABZ211" s="98"/>
      <c r="ACA211" s="98"/>
      <c r="ACB211" s="98"/>
      <c r="ACC211" s="98"/>
      <c r="ACD211" s="98"/>
      <c r="ACE211" s="98"/>
      <c r="ACF211" s="98"/>
      <c r="ACG211" s="98"/>
      <c r="ACH211" s="98"/>
      <c r="ACI211" s="98"/>
      <c r="ACJ211" s="98"/>
      <c r="ACK211" s="98"/>
      <c r="ACL211" s="98"/>
      <c r="ACM211" s="98"/>
      <c r="ACN211" s="98"/>
      <c r="ACO211" s="98"/>
      <c r="ACP211" s="98"/>
      <c r="ACQ211" s="98"/>
      <c r="ACR211" s="98"/>
      <c r="ACS211" s="98"/>
      <c r="ACT211" s="98"/>
      <c r="ACU211" s="98"/>
      <c r="ACV211" s="98"/>
      <c r="ACW211" s="98"/>
      <c r="ACX211" s="98"/>
      <c r="ACY211" s="98"/>
      <c r="ACZ211" s="98"/>
      <c r="ADA211" s="98"/>
      <c r="ADB211" s="98"/>
      <c r="ADC211" s="98"/>
      <c r="ADD211" s="98"/>
      <c r="ADE211" s="98"/>
      <c r="ADF211" s="98"/>
      <c r="ADG211" s="98"/>
      <c r="ADH211" s="98"/>
      <c r="ADI211" s="98"/>
      <c r="ADJ211" s="98"/>
      <c r="ADK211" s="98"/>
      <c r="ADL211" s="98"/>
      <c r="ADM211" s="98"/>
      <c r="ADN211" s="98"/>
      <c r="ADO211" s="98"/>
      <c r="ADP211" s="98"/>
      <c r="ADQ211" s="98"/>
      <c r="ADR211" s="98"/>
      <c r="ADS211" s="98"/>
      <c r="ADT211" s="98"/>
      <c r="ADU211" s="98"/>
      <c r="ADV211" s="98"/>
      <c r="ADW211" s="98"/>
      <c r="ADX211" s="98"/>
      <c r="ADY211" s="98"/>
      <c r="ADZ211" s="98"/>
      <c r="AEA211" s="98"/>
      <c r="AEB211" s="98"/>
      <c r="AEC211" s="98"/>
      <c r="AED211" s="98"/>
      <c r="AEE211" s="98"/>
      <c r="AEF211" s="98"/>
      <c r="AEG211" s="98"/>
      <c r="AEH211" s="98"/>
      <c r="AEI211" s="98"/>
      <c r="AEJ211" s="98"/>
      <c r="AEK211" s="98"/>
      <c r="AEL211" s="98"/>
      <c r="AEM211" s="98"/>
      <c r="AEN211" s="98"/>
      <c r="AEO211" s="98"/>
      <c r="AEP211" s="98"/>
      <c r="AEQ211" s="98"/>
      <c r="AER211" s="98"/>
      <c r="AES211" s="98"/>
      <c r="AET211" s="98"/>
      <c r="AEU211" s="98"/>
      <c r="AEV211" s="98"/>
      <c r="AEW211" s="98"/>
      <c r="AEX211" s="98"/>
      <c r="AEY211" s="98"/>
      <c r="AEZ211" s="98"/>
      <c r="AFA211" s="98"/>
      <c r="AFB211" s="98"/>
      <c r="AFC211" s="98"/>
      <c r="AFD211" s="98"/>
      <c r="AFE211" s="98"/>
      <c r="AFF211" s="98"/>
      <c r="AFG211" s="98"/>
      <c r="AFH211" s="98"/>
      <c r="AFI211" s="98"/>
      <c r="AFJ211" s="98"/>
      <c r="AFK211" s="98"/>
      <c r="AFL211" s="98"/>
      <c r="AFM211" s="98"/>
      <c r="AFN211" s="98"/>
      <c r="AFO211" s="98"/>
      <c r="AFP211" s="98"/>
      <c r="AFQ211" s="98"/>
      <c r="AFR211" s="98"/>
      <c r="AFS211" s="98"/>
      <c r="AFT211" s="98"/>
      <c r="AFU211" s="98"/>
      <c r="AFV211" s="98"/>
      <c r="AFW211" s="98"/>
      <c r="AFX211" s="98"/>
      <c r="AFY211" s="98"/>
      <c r="AFZ211" s="98"/>
      <c r="AGA211" s="98"/>
      <c r="AGB211" s="98"/>
      <c r="AGC211" s="98"/>
      <c r="AGD211" s="98"/>
      <c r="AGE211" s="98"/>
      <c r="AGF211" s="98"/>
      <c r="AGG211" s="98"/>
      <c r="AGH211" s="98"/>
      <c r="AGI211" s="98"/>
      <c r="AGJ211" s="98"/>
      <c r="AGK211" s="98"/>
      <c r="AGL211" s="98"/>
      <c r="AGM211" s="98"/>
      <c r="AGN211" s="98"/>
      <c r="AGO211" s="98"/>
      <c r="AGP211" s="98"/>
      <c r="AGQ211" s="98"/>
      <c r="AGR211" s="98"/>
      <c r="AGS211" s="98"/>
      <c r="AGT211" s="98"/>
      <c r="AGU211" s="98"/>
      <c r="AGV211" s="98"/>
      <c r="AGW211" s="98"/>
      <c r="AGX211" s="98"/>
      <c r="AGY211" s="98"/>
      <c r="AGZ211" s="98"/>
      <c r="AHA211" s="98"/>
      <c r="AHB211" s="98"/>
      <c r="AHC211" s="98"/>
      <c r="AHD211" s="98"/>
      <c r="AHE211" s="98"/>
      <c r="AHF211" s="98"/>
      <c r="AHG211" s="98"/>
      <c r="AHH211" s="98"/>
      <c r="AHI211" s="98"/>
      <c r="AHJ211" s="98"/>
      <c r="AHK211" s="98"/>
      <c r="AHL211" s="98"/>
      <c r="AHM211" s="98"/>
      <c r="AHN211" s="98"/>
      <c r="AHO211" s="98"/>
      <c r="AHP211" s="98"/>
      <c r="AHQ211" s="98"/>
      <c r="AHR211" s="98"/>
      <c r="AHS211" s="98"/>
      <c r="AHT211" s="98"/>
      <c r="AHU211" s="98"/>
      <c r="AHV211" s="98"/>
      <c r="AHW211" s="98"/>
      <c r="AHX211" s="98"/>
      <c r="AHY211" s="98"/>
      <c r="AHZ211" s="98"/>
      <c r="AIA211" s="98"/>
      <c r="AIB211" s="98"/>
      <c r="AIC211" s="98"/>
      <c r="AID211" s="98"/>
      <c r="AIE211" s="98"/>
      <c r="AIF211" s="98"/>
      <c r="AIG211" s="98"/>
      <c r="AIH211" s="98"/>
      <c r="AII211" s="98"/>
      <c r="AIJ211" s="98"/>
      <c r="AIK211" s="98"/>
      <c r="AIL211" s="98"/>
      <c r="AIM211" s="98"/>
      <c r="AIN211" s="98"/>
      <c r="AIO211" s="98"/>
      <c r="AIP211" s="98"/>
      <c r="AIQ211" s="98"/>
      <c r="AIR211" s="98"/>
      <c r="AIS211" s="98"/>
      <c r="AIT211" s="98"/>
      <c r="AIU211" s="98"/>
      <c r="AIV211" s="98"/>
      <c r="AIW211" s="98"/>
      <c r="AIX211" s="98"/>
      <c r="AIY211" s="98"/>
      <c r="AIZ211" s="98"/>
      <c r="AJA211" s="98"/>
      <c r="AJB211" s="98"/>
      <c r="AJC211" s="98"/>
      <c r="AJD211" s="98"/>
      <c r="AJE211" s="98"/>
      <c r="AJF211" s="98"/>
      <c r="AJG211" s="98"/>
      <c r="AJH211" s="98"/>
      <c r="AJI211" s="98"/>
      <c r="AJJ211" s="98"/>
      <c r="AJK211" s="98"/>
      <c r="AJL211" s="98"/>
      <c r="AJM211" s="98"/>
      <c r="AJN211" s="98"/>
      <c r="AJO211" s="98"/>
      <c r="AJP211" s="98"/>
      <c r="AJQ211" s="98"/>
      <c r="AJR211" s="98"/>
      <c r="AJS211" s="98"/>
      <c r="AJT211" s="98"/>
      <c r="AJU211" s="98"/>
      <c r="AJV211" s="98"/>
      <c r="AJW211" s="98"/>
      <c r="AJX211" s="98"/>
      <c r="AJY211" s="98"/>
      <c r="AJZ211" s="98"/>
      <c r="AKA211" s="98"/>
      <c r="AKB211" s="98"/>
      <c r="AKC211" s="98"/>
      <c r="AKD211" s="98"/>
      <c r="AKE211" s="98"/>
      <c r="AKF211" s="98"/>
      <c r="AKG211" s="98"/>
      <c r="AKH211" s="98"/>
      <c r="AKI211" s="98"/>
      <c r="AKJ211" s="98"/>
      <c r="AKK211" s="98"/>
      <c r="AKL211" s="98"/>
      <c r="AKM211" s="98"/>
      <c r="AKN211" s="98"/>
      <c r="AKO211" s="98"/>
      <c r="AKP211" s="98"/>
      <c r="AKQ211" s="98"/>
      <c r="AKR211" s="98"/>
      <c r="AKS211" s="98"/>
      <c r="AKT211" s="98"/>
      <c r="AKU211" s="98"/>
      <c r="AKV211" s="98"/>
      <c r="AKW211" s="98"/>
      <c r="AKX211" s="98"/>
      <c r="AKY211" s="98"/>
      <c r="AKZ211" s="98"/>
      <c r="ALA211" s="98"/>
      <c r="ALB211" s="98"/>
      <c r="ALC211" s="98"/>
      <c r="ALD211" s="98"/>
      <c r="ALE211" s="98"/>
      <c r="ALF211" s="98"/>
      <c r="ALG211" s="98"/>
      <c r="ALH211" s="98"/>
      <c r="ALI211" s="98"/>
      <c r="ALJ211" s="98"/>
      <c r="ALK211" s="98"/>
      <c r="ALL211" s="98"/>
      <c r="ALM211" s="98"/>
      <c r="ALN211" s="98"/>
      <c r="ALO211" s="98"/>
      <c r="ALP211" s="98"/>
      <c r="ALQ211" s="98"/>
      <c r="ALR211" s="98"/>
      <c r="ALS211" s="98"/>
      <c r="ALT211" s="98"/>
      <c r="ALU211" s="98"/>
      <c r="ALV211" s="98"/>
      <c r="ALW211" s="98"/>
      <c r="ALX211" s="98"/>
      <c r="ALY211" s="98"/>
      <c r="ALZ211" s="98"/>
      <c r="AMA211" s="98"/>
      <c r="AMB211" s="98"/>
      <c r="AMC211" s="98"/>
      <c r="AMD211" s="98"/>
      <c r="AME211" s="98"/>
      <c r="AMF211" s="98"/>
      <c r="AMG211" s="98"/>
      <c r="AMH211" s="98"/>
      <c r="AMI211" s="98"/>
      <c r="AMJ211" s="98"/>
      <c r="AMK211" s="98"/>
      <c r="AML211" s="98"/>
      <c r="AMM211" s="98"/>
      <c r="AMN211" s="98"/>
      <c r="AMO211" s="98"/>
      <c r="AMP211" s="98"/>
      <c r="AMQ211" s="98"/>
      <c r="AMR211" s="98"/>
      <c r="AMS211" s="98"/>
      <c r="AMT211" s="98"/>
      <c r="AMU211" s="98"/>
      <c r="AMV211" s="98"/>
      <c r="AMW211" s="98"/>
      <c r="AMX211" s="98"/>
      <c r="AMY211" s="98"/>
      <c r="AMZ211" s="98"/>
      <c r="ANA211" s="98"/>
      <c r="ANB211" s="98"/>
      <c r="ANC211" s="98"/>
      <c r="AND211" s="98"/>
      <c r="ANE211" s="98"/>
      <c r="ANF211" s="98"/>
      <c r="ANG211" s="98"/>
      <c r="ANH211" s="98"/>
      <c r="ANI211" s="98"/>
      <c r="ANJ211" s="98"/>
      <c r="ANK211" s="98"/>
      <c r="ANL211" s="98"/>
      <c r="ANM211" s="98"/>
      <c r="ANN211" s="98"/>
      <c r="ANO211" s="98"/>
      <c r="ANP211" s="98"/>
      <c r="ANQ211" s="98"/>
      <c r="ANR211" s="98"/>
      <c r="ANS211" s="98"/>
      <c r="ANT211" s="98"/>
      <c r="ANU211" s="98"/>
      <c r="ANV211" s="98"/>
      <c r="ANW211" s="98"/>
      <c r="ANX211" s="98"/>
      <c r="ANY211" s="98"/>
      <c r="ANZ211" s="98"/>
      <c r="AOA211" s="98"/>
      <c r="AOB211" s="98"/>
      <c r="AOC211" s="98"/>
      <c r="AOD211" s="98"/>
      <c r="AOE211" s="98"/>
      <c r="AOF211" s="98"/>
      <c r="AOG211" s="98"/>
      <c r="AOH211" s="98"/>
      <c r="AOI211" s="98"/>
      <c r="AOJ211" s="98"/>
      <c r="AOK211" s="98"/>
      <c r="AOL211" s="98"/>
      <c r="AOM211" s="98"/>
      <c r="AON211" s="98"/>
      <c r="AOO211" s="98"/>
      <c r="AOP211" s="98"/>
      <c r="AOQ211" s="98"/>
      <c r="AOR211" s="98"/>
      <c r="AOS211" s="98"/>
      <c r="AOT211" s="98"/>
      <c r="AOU211" s="98"/>
      <c r="AOV211" s="98"/>
      <c r="AOW211" s="98"/>
      <c r="AOX211" s="98"/>
      <c r="AOY211" s="98"/>
      <c r="AOZ211" s="98"/>
      <c r="APA211" s="98"/>
      <c r="APB211" s="98"/>
      <c r="APC211" s="98"/>
      <c r="APD211" s="98"/>
      <c r="APE211" s="98"/>
      <c r="APF211" s="98"/>
      <c r="APG211" s="98"/>
      <c r="APH211" s="98"/>
      <c r="API211" s="98"/>
      <c r="APJ211" s="98"/>
      <c r="APK211" s="98"/>
      <c r="APL211" s="98"/>
      <c r="APM211" s="98"/>
      <c r="APN211" s="98"/>
      <c r="APO211" s="98"/>
      <c r="APP211" s="98"/>
      <c r="APQ211" s="98"/>
      <c r="APR211" s="98"/>
      <c r="APS211" s="98"/>
      <c r="APT211" s="98"/>
      <c r="APU211" s="98"/>
      <c r="APV211" s="98"/>
      <c r="APW211" s="98"/>
      <c r="APX211" s="98"/>
      <c r="APY211" s="98"/>
      <c r="APZ211" s="98"/>
      <c r="AQA211" s="98"/>
      <c r="AQB211" s="98"/>
      <c r="AQC211" s="98"/>
      <c r="AQD211" s="98"/>
      <c r="AQE211" s="98"/>
      <c r="AQF211" s="98"/>
      <c r="AQG211" s="98"/>
      <c r="AQH211" s="98"/>
      <c r="AQI211" s="98"/>
      <c r="AQJ211" s="98"/>
      <c r="AQK211" s="98"/>
      <c r="AQL211" s="98"/>
      <c r="AQM211" s="98"/>
      <c r="AQN211" s="98"/>
      <c r="AQO211" s="98"/>
      <c r="AQP211" s="98"/>
      <c r="AQQ211" s="98"/>
      <c r="AQR211" s="98"/>
      <c r="AQS211" s="98"/>
      <c r="AQT211" s="98"/>
      <c r="AQU211" s="98"/>
      <c r="AQV211" s="98"/>
      <c r="AQW211" s="98"/>
      <c r="AQX211" s="98"/>
      <c r="AQY211" s="98"/>
      <c r="AQZ211" s="98"/>
      <c r="ARA211" s="98"/>
      <c r="ARB211" s="98"/>
      <c r="ARC211" s="98"/>
      <c r="ARD211" s="98"/>
      <c r="ARE211" s="98"/>
      <c r="ARF211" s="98"/>
      <c r="ARG211" s="98"/>
      <c r="ARH211" s="98"/>
      <c r="ARI211" s="98"/>
      <c r="ARJ211" s="98"/>
      <c r="ARK211" s="98"/>
      <c r="ARL211" s="98"/>
      <c r="ARM211" s="98"/>
      <c r="ARN211" s="98"/>
      <c r="ARO211" s="98"/>
      <c r="ARP211" s="98"/>
      <c r="ARQ211" s="98"/>
      <c r="ARR211" s="98"/>
      <c r="ARS211" s="98"/>
    </row>
    <row r="212" spans="1:1163" s="174" customFormat="1">
      <c r="A212" s="138" t="s">
        <v>612</v>
      </c>
      <c r="B212" s="134"/>
      <c r="C212" s="197"/>
      <c r="D212" s="197">
        <f>SUM(D208:D211)</f>
        <v>92701404</v>
      </c>
      <c r="E212" s="197"/>
      <c r="F212" s="197">
        <f>SUM(F208:F211)</f>
        <v>18954990</v>
      </c>
      <c r="G212" s="197"/>
      <c r="H212" s="197">
        <f>SUM(H208:H211)</f>
        <v>23440108</v>
      </c>
      <c r="I212" s="197"/>
      <c r="J212" s="197">
        <f>SUM(J208:J211)</f>
        <v>6740022</v>
      </c>
      <c r="K212" s="197"/>
      <c r="L212" s="197">
        <f>SUM(L208:L211)</f>
        <v>14838879</v>
      </c>
      <c r="M212" s="197"/>
      <c r="N212" s="197">
        <f>SUM(N208:N211)</f>
        <v>13593452</v>
      </c>
      <c r="O212" s="197"/>
      <c r="P212" s="197">
        <f>SUM(P208:P211)</f>
        <v>11390635</v>
      </c>
      <c r="Q212" s="197"/>
      <c r="R212" s="197">
        <f>SUM(R208:R211)</f>
        <v>12070236</v>
      </c>
      <c r="S212" s="197"/>
      <c r="T212" s="197">
        <f>SUM(T208:T211)</f>
        <v>12010768</v>
      </c>
      <c r="U212" s="201"/>
      <c r="V212" s="201">
        <f>SUM(V208:V211)</f>
        <v>15159147</v>
      </c>
      <c r="W212" s="201"/>
      <c r="X212" s="197">
        <f>SUM(X208:X211)</f>
        <v>27172361</v>
      </c>
      <c r="Y212" s="197"/>
      <c r="Z212" s="197">
        <v>27826958</v>
      </c>
      <c r="AA212" s="201"/>
      <c r="AB212" s="209">
        <f>SUM(AB208:AB211)</f>
        <v>27613686</v>
      </c>
      <c r="AC212" s="175"/>
      <c r="AD212" s="175">
        <f>SUM(AD208:AD211)</f>
        <v>39301661</v>
      </c>
      <c r="AE212" s="201"/>
      <c r="AF212" s="201">
        <f>SUM(AF208:AF211)</f>
        <v>23824112</v>
      </c>
      <c r="AG212" s="201"/>
      <c r="AH212" s="201">
        <f>SUM(AH208:AH211)</f>
        <v>34772278</v>
      </c>
      <c r="AI212" s="201"/>
      <c r="AJ212" s="201">
        <f>SUM(AJ208:AJ211)</f>
        <v>49793155</v>
      </c>
      <c r="AK212" s="201"/>
      <c r="AL212" s="201">
        <v>56711688</v>
      </c>
      <c r="AM212" s="176"/>
      <c r="AN212" s="176">
        <v>44889807</v>
      </c>
      <c r="AO212" s="201"/>
      <c r="AP212" s="201">
        <v>73642495</v>
      </c>
      <c r="AQ212" s="201"/>
      <c r="AR212" s="201">
        <f>SUM(AR208:AR211)</f>
        <v>79066041</v>
      </c>
      <c r="AS212" s="201"/>
      <c r="AT212" s="201">
        <f>SUM(AT208:AT211)</f>
        <v>119551910</v>
      </c>
      <c r="AU212" s="201"/>
      <c r="AV212" s="209">
        <v>205733427</v>
      </c>
      <c r="AW212" s="175"/>
      <c r="AX212" s="175">
        <v>222610433</v>
      </c>
      <c r="AY212" s="175"/>
      <c r="AZ212" s="175">
        <v>202174629</v>
      </c>
      <c r="BA212" s="179"/>
      <c r="BB212" s="175"/>
      <c r="BC212" s="175"/>
      <c r="BD212" s="175"/>
      <c r="BE212" s="178"/>
      <c r="BF212" s="175"/>
      <c r="BG212" s="175"/>
      <c r="BH212" s="175"/>
      <c r="BI212" s="178"/>
      <c r="BJ212" s="98"/>
      <c r="BK212" s="98"/>
      <c r="BL212" s="148"/>
      <c r="BM212" s="14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98"/>
      <c r="EM212" s="98"/>
      <c r="EN212" s="98"/>
      <c r="EO212" s="98"/>
      <c r="EP212" s="98"/>
      <c r="EQ212" s="98"/>
      <c r="ER212" s="98"/>
      <c r="ES212" s="98"/>
      <c r="ET212" s="98"/>
      <c r="EU212" s="98"/>
      <c r="EV212" s="98"/>
      <c r="EW212" s="98"/>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c r="IW212" s="98"/>
      <c r="IX212" s="98"/>
      <c r="IY212" s="98"/>
      <c r="IZ212" s="98"/>
      <c r="JA212" s="98"/>
      <c r="JB212" s="98"/>
      <c r="JC212" s="98"/>
      <c r="JD212" s="98"/>
      <c r="JE212" s="98"/>
      <c r="JF212" s="98"/>
      <c r="JG212" s="98"/>
      <c r="JH212" s="98"/>
      <c r="JI212" s="98"/>
      <c r="JJ212" s="98"/>
      <c r="JK212" s="98"/>
      <c r="JL212" s="98"/>
      <c r="JM212" s="98"/>
      <c r="JN212" s="98"/>
      <c r="JO212" s="98"/>
      <c r="JP212" s="98"/>
      <c r="JQ212" s="98"/>
      <c r="JR212" s="98"/>
      <c r="JS212" s="98"/>
      <c r="JT212" s="98"/>
      <c r="JU212" s="98"/>
      <c r="JV212" s="98"/>
      <c r="JW212" s="98"/>
      <c r="JX212" s="98"/>
      <c r="JY212" s="98"/>
      <c r="JZ212" s="98"/>
      <c r="KA212" s="98"/>
      <c r="KB212" s="98"/>
      <c r="KC212" s="98"/>
      <c r="KD212" s="98"/>
      <c r="KE212" s="98"/>
      <c r="KF212" s="98"/>
      <c r="KG212" s="98"/>
      <c r="KH212" s="98"/>
      <c r="KI212" s="98"/>
      <c r="KJ212" s="98"/>
      <c r="KK212" s="98"/>
      <c r="KL212" s="98"/>
      <c r="KM212" s="98"/>
      <c r="KN212" s="98"/>
      <c r="KO212" s="98"/>
      <c r="KP212" s="98"/>
      <c r="KQ212" s="98"/>
      <c r="KR212" s="98"/>
      <c r="KS212" s="98"/>
      <c r="KT212" s="98"/>
      <c r="KU212" s="98"/>
      <c r="KV212" s="98"/>
      <c r="KW212" s="98"/>
      <c r="KX212" s="98"/>
      <c r="KY212" s="98"/>
      <c r="KZ212" s="98"/>
      <c r="LA212" s="98"/>
      <c r="LB212" s="98"/>
      <c r="LC212" s="98"/>
      <c r="LD212" s="98"/>
      <c r="LE212" s="98"/>
      <c r="LF212" s="98"/>
      <c r="LG212" s="98"/>
      <c r="LH212" s="98"/>
      <c r="LI212" s="98"/>
      <c r="LJ212" s="98"/>
      <c r="LK212" s="98"/>
      <c r="LL212" s="98"/>
      <c r="LM212" s="98"/>
      <c r="LN212" s="98"/>
      <c r="LO212" s="98"/>
      <c r="LP212" s="98"/>
      <c r="LQ212" s="98"/>
      <c r="LR212" s="98"/>
      <c r="LS212" s="98"/>
      <c r="LT212" s="98"/>
      <c r="LU212" s="98"/>
      <c r="LV212" s="98"/>
      <c r="LW212" s="98"/>
      <c r="LX212" s="98"/>
      <c r="LY212" s="98"/>
      <c r="LZ212" s="98"/>
      <c r="MA212" s="98"/>
      <c r="MB212" s="98"/>
      <c r="MC212" s="98"/>
      <c r="MD212" s="98"/>
      <c r="ME212" s="98"/>
      <c r="MF212" s="98"/>
      <c r="MG212" s="98"/>
      <c r="MH212" s="98"/>
      <c r="MI212" s="98"/>
      <c r="MJ212" s="98"/>
      <c r="MK212" s="98"/>
      <c r="ML212" s="98"/>
      <c r="MM212" s="98"/>
      <c r="MN212" s="98"/>
      <c r="MO212" s="98"/>
      <c r="MP212" s="98"/>
      <c r="MQ212" s="98"/>
      <c r="MR212" s="98"/>
      <c r="MS212" s="98"/>
      <c r="MT212" s="98"/>
      <c r="MU212" s="98"/>
      <c r="MV212" s="98"/>
      <c r="MW212" s="98"/>
      <c r="MX212" s="98"/>
      <c r="MY212" s="98"/>
      <c r="MZ212" s="98"/>
      <c r="NA212" s="98"/>
      <c r="NB212" s="98"/>
      <c r="NC212" s="98"/>
      <c r="ND212" s="98"/>
      <c r="NE212" s="98"/>
      <c r="NF212" s="98"/>
      <c r="NG212" s="98"/>
      <c r="NH212" s="98"/>
      <c r="NI212" s="98"/>
      <c r="NJ212" s="98"/>
      <c r="NK212" s="98"/>
      <c r="NL212" s="98"/>
      <c r="NM212" s="98"/>
      <c r="NN212" s="98"/>
      <c r="NO212" s="98"/>
      <c r="NP212" s="98"/>
      <c r="NQ212" s="98"/>
      <c r="NR212" s="98"/>
      <c r="NS212" s="98"/>
      <c r="NT212" s="98"/>
      <c r="NU212" s="98"/>
      <c r="NV212" s="98"/>
      <c r="NW212" s="98"/>
      <c r="NX212" s="98"/>
      <c r="NY212" s="98"/>
      <c r="NZ212" s="98"/>
      <c r="OA212" s="98"/>
      <c r="OB212" s="98"/>
      <c r="OC212" s="98"/>
      <c r="OD212" s="98"/>
      <c r="OE212" s="98"/>
      <c r="OF212" s="98"/>
      <c r="OG212" s="98"/>
      <c r="OH212" s="98"/>
      <c r="OI212" s="98"/>
      <c r="OJ212" s="98"/>
      <c r="OK212" s="98"/>
      <c r="OL212" s="98"/>
      <c r="OM212" s="98"/>
      <c r="ON212" s="98"/>
      <c r="OO212" s="98"/>
      <c r="OP212" s="98"/>
      <c r="OQ212" s="98"/>
      <c r="OR212" s="98"/>
      <c r="OS212" s="98"/>
      <c r="OT212" s="98"/>
      <c r="OU212" s="98"/>
      <c r="OV212" s="98"/>
      <c r="OW212" s="98"/>
      <c r="OX212" s="98"/>
      <c r="OY212" s="98"/>
      <c r="OZ212" s="98"/>
      <c r="PA212" s="98"/>
      <c r="PB212" s="98"/>
      <c r="PC212" s="98"/>
      <c r="PD212" s="98"/>
      <c r="PE212" s="98"/>
      <c r="PF212" s="98"/>
      <c r="PG212" s="98"/>
      <c r="PH212" s="98"/>
      <c r="PI212" s="98"/>
      <c r="PJ212" s="98"/>
      <c r="PK212" s="98"/>
      <c r="PL212" s="98"/>
      <c r="PM212" s="98"/>
      <c r="PN212" s="98"/>
      <c r="PO212" s="98"/>
      <c r="PP212" s="98"/>
      <c r="PQ212" s="98"/>
      <c r="PR212" s="98"/>
      <c r="PS212" s="98"/>
      <c r="PT212" s="98"/>
      <c r="PU212" s="98"/>
      <c r="PV212" s="98"/>
      <c r="PW212" s="98"/>
      <c r="PX212" s="98"/>
      <c r="PY212" s="98"/>
      <c r="PZ212" s="98"/>
      <c r="QA212" s="98"/>
      <c r="QB212" s="98"/>
      <c r="QC212" s="98"/>
      <c r="QD212" s="98"/>
      <c r="QE212" s="98"/>
      <c r="QF212" s="98"/>
      <c r="QG212" s="98"/>
      <c r="QH212" s="98"/>
      <c r="QI212" s="98"/>
      <c r="QJ212" s="98"/>
      <c r="QK212" s="98"/>
      <c r="QL212" s="98"/>
      <c r="QM212" s="98"/>
      <c r="QN212" s="98"/>
      <c r="QO212" s="98"/>
      <c r="QP212" s="98"/>
      <c r="QQ212" s="98"/>
      <c r="QR212" s="98"/>
      <c r="QS212" s="98"/>
      <c r="QT212" s="98"/>
      <c r="QU212" s="98"/>
      <c r="QV212" s="98"/>
      <c r="QW212" s="98"/>
      <c r="QX212" s="98"/>
      <c r="QY212" s="98"/>
      <c r="QZ212" s="98"/>
      <c r="RA212" s="98"/>
      <c r="RB212" s="98"/>
      <c r="RC212" s="98"/>
      <c r="RD212" s="98"/>
      <c r="RE212" s="98"/>
      <c r="RF212" s="98"/>
      <c r="RG212" s="98"/>
      <c r="RH212" s="98"/>
      <c r="RI212" s="98"/>
      <c r="RJ212" s="98"/>
      <c r="RK212" s="98"/>
      <c r="RL212" s="98"/>
      <c r="RM212" s="98"/>
      <c r="RN212" s="98"/>
      <c r="RO212" s="98"/>
      <c r="RP212" s="98"/>
      <c r="RQ212" s="98"/>
      <c r="RR212" s="98"/>
      <c r="RS212" s="98"/>
      <c r="RT212" s="98"/>
      <c r="RU212" s="98"/>
      <c r="RV212" s="98"/>
      <c r="RW212" s="98"/>
      <c r="RX212" s="98"/>
      <c r="RY212" s="98"/>
      <c r="RZ212" s="98"/>
      <c r="SA212" s="98"/>
      <c r="SB212" s="98"/>
      <c r="SC212" s="98"/>
      <c r="SD212" s="98"/>
      <c r="SE212" s="98"/>
      <c r="SF212" s="98"/>
      <c r="SG212" s="98"/>
      <c r="SH212" s="98"/>
      <c r="SI212" s="98"/>
      <c r="SJ212" s="98"/>
      <c r="SK212" s="98"/>
      <c r="SL212" s="98"/>
      <c r="SM212" s="98"/>
      <c r="SN212" s="98"/>
      <c r="SO212" s="98"/>
      <c r="SP212" s="98"/>
      <c r="SQ212" s="98"/>
      <c r="SR212" s="98"/>
      <c r="SS212" s="98"/>
      <c r="ST212" s="98"/>
      <c r="SU212" s="98"/>
      <c r="SV212" s="98"/>
      <c r="SW212" s="98"/>
      <c r="SX212" s="98"/>
      <c r="SY212" s="98"/>
      <c r="SZ212" s="98"/>
      <c r="TA212" s="98"/>
      <c r="TB212" s="98"/>
      <c r="TC212" s="98"/>
      <c r="TD212" s="98"/>
      <c r="TE212" s="98"/>
      <c r="TF212" s="98"/>
      <c r="TG212" s="98"/>
      <c r="TH212" s="98"/>
      <c r="TI212" s="98"/>
      <c r="TJ212" s="98"/>
      <c r="TK212" s="98"/>
      <c r="TL212" s="98"/>
      <c r="TM212" s="98"/>
      <c r="TN212" s="98"/>
      <c r="TO212" s="98"/>
      <c r="TP212" s="98"/>
      <c r="TQ212" s="98"/>
      <c r="TR212" s="98"/>
      <c r="TS212" s="98"/>
      <c r="TT212" s="98"/>
      <c r="TU212" s="98"/>
      <c r="TV212" s="98"/>
      <c r="TW212" s="98"/>
      <c r="TX212" s="98"/>
      <c r="TY212" s="98"/>
      <c r="TZ212" s="98"/>
      <c r="UA212" s="98"/>
      <c r="UB212" s="98"/>
      <c r="UC212" s="98"/>
      <c r="UD212" s="98"/>
      <c r="UE212" s="98"/>
      <c r="UF212" s="98"/>
      <c r="UG212" s="98"/>
      <c r="UH212" s="98"/>
      <c r="UI212" s="98"/>
      <c r="UJ212" s="98"/>
      <c r="UK212" s="98"/>
      <c r="UL212" s="98"/>
      <c r="UM212" s="98"/>
      <c r="UN212" s="98"/>
      <c r="UO212" s="98"/>
      <c r="UP212" s="98"/>
      <c r="UQ212" s="98"/>
      <c r="UR212" s="98"/>
      <c r="US212" s="98"/>
      <c r="UT212" s="98"/>
      <c r="UU212" s="98"/>
      <c r="UV212" s="98"/>
      <c r="UW212" s="98"/>
      <c r="UX212" s="98"/>
      <c r="UY212" s="98"/>
      <c r="UZ212" s="98"/>
      <c r="VA212" s="98"/>
      <c r="VB212" s="98"/>
      <c r="VC212" s="98"/>
      <c r="VD212" s="98"/>
      <c r="VE212" s="98"/>
      <c r="VF212" s="98"/>
      <c r="VG212" s="98"/>
      <c r="VH212" s="98"/>
      <c r="VI212" s="98"/>
      <c r="VJ212" s="98"/>
      <c r="VK212" s="98"/>
      <c r="VL212" s="98"/>
      <c r="VM212" s="98"/>
      <c r="VN212" s="98"/>
      <c r="VO212" s="98"/>
      <c r="VP212" s="98"/>
      <c r="VQ212" s="98"/>
      <c r="VR212" s="98"/>
      <c r="VS212" s="98"/>
      <c r="VT212" s="98"/>
      <c r="VU212" s="98"/>
      <c r="VV212" s="98"/>
      <c r="VW212" s="98"/>
      <c r="VX212" s="98"/>
      <c r="VY212" s="98"/>
      <c r="VZ212" s="98"/>
      <c r="WA212" s="98"/>
      <c r="WB212" s="98"/>
      <c r="WC212" s="98"/>
      <c r="WD212" s="98"/>
      <c r="WE212" s="98"/>
      <c r="WF212" s="98"/>
      <c r="WG212" s="98"/>
      <c r="WH212" s="98"/>
      <c r="WI212" s="98"/>
      <c r="WJ212" s="98"/>
      <c r="WK212" s="98"/>
      <c r="WL212" s="98"/>
      <c r="WM212" s="98"/>
      <c r="WN212" s="98"/>
      <c r="WO212" s="98"/>
      <c r="WP212" s="98"/>
      <c r="WQ212" s="98"/>
      <c r="WR212" s="98"/>
      <c r="WS212" s="98"/>
      <c r="WT212" s="98"/>
      <c r="WU212" s="98"/>
      <c r="WV212" s="98"/>
      <c r="WW212" s="98"/>
      <c r="WX212" s="98"/>
      <c r="WY212" s="98"/>
      <c r="WZ212" s="98"/>
      <c r="XA212" s="98"/>
      <c r="XB212" s="98"/>
      <c r="XC212" s="98"/>
      <c r="XD212" s="98"/>
      <c r="XE212" s="98"/>
      <c r="XF212" s="98"/>
      <c r="XG212" s="98"/>
      <c r="XH212" s="98"/>
      <c r="XI212" s="98"/>
      <c r="XJ212" s="98"/>
      <c r="XK212" s="98"/>
      <c r="XL212" s="98"/>
      <c r="XM212" s="98"/>
      <c r="XN212" s="98"/>
      <c r="XO212" s="98"/>
      <c r="XP212" s="98"/>
      <c r="XQ212" s="98"/>
      <c r="XR212" s="98"/>
      <c r="XS212" s="98"/>
      <c r="XT212" s="98"/>
      <c r="XU212" s="98"/>
      <c r="XV212" s="98"/>
      <c r="XW212" s="98"/>
      <c r="XX212" s="98"/>
      <c r="XY212" s="98"/>
      <c r="XZ212" s="98"/>
      <c r="YA212" s="98"/>
      <c r="YB212" s="98"/>
      <c r="YC212" s="98"/>
      <c r="YD212" s="98"/>
      <c r="YE212" s="98"/>
      <c r="YF212" s="98"/>
      <c r="YG212" s="98"/>
      <c r="YH212" s="98"/>
      <c r="YI212" s="98"/>
      <c r="YJ212" s="98"/>
      <c r="YK212" s="98"/>
      <c r="YL212" s="98"/>
      <c r="YM212" s="98"/>
      <c r="YN212" s="98"/>
      <c r="YO212" s="98"/>
      <c r="YP212" s="98"/>
      <c r="YQ212" s="98"/>
      <c r="YR212" s="98"/>
      <c r="YS212" s="98"/>
      <c r="YT212" s="98"/>
      <c r="YU212" s="98"/>
      <c r="YV212" s="98"/>
      <c r="YW212" s="98"/>
      <c r="YX212" s="98"/>
      <c r="YY212" s="98"/>
      <c r="YZ212" s="98"/>
      <c r="ZA212" s="98"/>
      <c r="ZB212" s="98"/>
      <c r="ZC212" s="98"/>
      <c r="ZD212" s="98"/>
      <c r="ZE212" s="98"/>
      <c r="ZF212" s="98"/>
      <c r="ZG212" s="98"/>
      <c r="ZH212" s="98"/>
      <c r="ZI212" s="98"/>
      <c r="ZJ212" s="98"/>
      <c r="ZK212" s="98"/>
      <c r="ZL212" s="98"/>
      <c r="ZM212" s="98"/>
      <c r="ZN212" s="98"/>
      <c r="ZO212" s="98"/>
      <c r="ZP212" s="98"/>
      <c r="ZQ212" s="98"/>
      <c r="ZR212" s="98"/>
      <c r="ZS212" s="98"/>
      <c r="ZT212" s="98"/>
      <c r="ZU212" s="98"/>
      <c r="ZV212" s="98"/>
      <c r="ZW212" s="98"/>
      <c r="ZX212" s="98"/>
      <c r="ZY212" s="98"/>
      <c r="ZZ212" s="98"/>
      <c r="AAA212" s="98"/>
      <c r="AAB212" s="98"/>
      <c r="AAC212" s="98"/>
      <c r="AAD212" s="98"/>
      <c r="AAE212" s="98"/>
      <c r="AAF212" s="98"/>
      <c r="AAG212" s="98"/>
      <c r="AAH212" s="98"/>
      <c r="AAI212" s="98"/>
      <c r="AAJ212" s="98"/>
      <c r="AAK212" s="98"/>
      <c r="AAL212" s="98"/>
      <c r="AAM212" s="98"/>
      <c r="AAN212" s="98"/>
      <c r="AAO212" s="98"/>
      <c r="AAP212" s="98"/>
      <c r="AAQ212" s="98"/>
      <c r="AAR212" s="98"/>
      <c r="AAS212" s="98"/>
      <c r="AAT212" s="98"/>
      <c r="AAU212" s="98"/>
      <c r="AAV212" s="98"/>
      <c r="AAW212" s="98"/>
      <c r="AAX212" s="98"/>
      <c r="AAY212" s="98"/>
      <c r="AAZ212" s="98"/>
      <c r="ABA212" s="98"/>
      <c r="ABB212" s="98"/>
      <c r="ABC212" s="98"/>
      <c r="ABD212" s="98"/>
      <c r="ABE212" s="98"/>
      <c r="ABF212" s="98"/>
      <c r="ABG212" s="98"/>
      <c r="ABH212" s="98"/>
      <c r="ABI212" s="98"/>
      <c r="ABJ212" s="98"/>
      <c r="ABK212" s="98"/>
      <c r="ABL212" s="98"/>
      <c r="ABM212" s="98"/>
      <c r="ABN212" s="98"/>
      <c r="ABO212" s="98"/>
      <c r="ABP212" s="98"/>
      <c r="ABQ212" s="98"/>
      <c r="ABR212" s="98"/>
      <c r="ABS212" s="98"/>
      <c r="ABT212" s="98"/>
      <c r="ABU212" s="98"/>
      <c r="ABV212" s="98"/>
      <c r="ABW212" s="98"/>
      <c r="ABX212" s="98"/>
      <c r="ABY212" s="98"/>
      <c r="ABZ212" s="98"/>
      <c r="ACA212" s="98"/>
      <c r="ACB212" s="98"/>
      <c r="ACC212" s="98"/>
      <c r="ACD212" s="98"/>
      <c r="ACE212" s="98"/>
      <c r="ACF212" s="98"/>
      <c r="ACG212" s="98"/>
      <c r="ACH212" s="98"/>
      <c r="ACI212" s="98"/>
      <c r="ACJ212" s="98"/>
      <c r="ACK212" s="98"/>
      <c r="ACL212" s="98"/>
      <c r="ACM212" s="98"/>
      <c r="ACN212" s="98"/>
      <c r="ACO212" s="98"/>
      <c r="ACP212" s="98"/>
      <c r="ACQ212" s="98"/>
      <c r="ACR212" s="98"/>
      <c r="ACS212" s="98"/>
      <c r="ACT212" s="98"/>
      <c r="ACU212" s="98"/>
      <c r="ACV212" s="98"/>
      <c r="ACW212" s="98"/>
      <c r="ACX212" s="98"/>
      <c r="ACY212" s="98"/>
      <c r="ACZ212" s="98"/>
      <c r="ADA212" s="98"/>
      <c r="ADB212" s="98"/>
      <c r="ADC212" s="98"/>
      <c r="ADD212" s="98"/>
      <c r="ADE212" s="98"/>
      <c r="ADF212" s="98"/>
      <c r="ADG212" s="98"/>
      <c r="ADH212" s="98"/>
      <c r="ADI212" s="98"/>
      <c r="ADJ212" s="98"/>
      <c r="ADK212" s="98"/>
      <c r="ADL212" s="98"/>
      <c r="ADM212" s="98"/>
      <c r="ADN212" s="98"/>
      <c r="ADO212" s="98"/>
      <c r="ADP212" s="98"/>
      <c r="ADQ212" s="98"/>
      <c r="ADR212" s="98"/>
      <c r="ADS212" s="98"/>
      <c r="ADT212" s="98"/>
      <c r="ADU212" s="98"/>
      <c r="ADV212" s="98"/>
      <c r="ADW212" s="98"/>
      <c r="ADX212" s="98"/>
      <c r="ADY212" s="98"/>
      <c r="ADZ212" s="98"/>
      <c r="AEA212" s="98"/>
      <c r="AEB212" s="98"/>
      <c r="AEC212" s="98"/>
      <c r="AED212" s="98"/>
      <c r="AEE212" s="98"/>
      <c r="AEF212" s="98"/>
      <c r="AEG212" s="98"/>
      <c r="AEH212" s="98"/>
      <c r="AEI212" s="98"/>
      <c r="AEJ212" s="98"/>
      <c r="AEK212" s="98"/>
      <c r="AEL212" s="98"/>
      <c r="AEM212" s="98"/>
      <c r="AEN212" s="98"/>
      <c r="AEO212" s="98"/>
      <c r="AEP212" s="98"/>
      <c r="AEQ212" s="98"/>
      <c r="AER212" s="98"/>
      <c r="AES212" s="98"/>
      <c r="AET212" s="98"/>
      <c r="AEU212" s="98"/>
      <c r="AEV212" s="98"/>
      <c r="AEW212" s="98"/>
      <c r="AEX212" s="98"/>
      <c r="AEY212" s="98"/>
      <c r="AEZ212" s="98"/>
      <c r="AFA212" s="98"/>
      <c r="AFB212" s="98"/>
      <c r="AFC212" s="98"/>
      <c r="AFD212" s="98"/>
      <c r="AFE212" s="98"/>
      <c r="AFF212" s="98"/>
      <c r="AFG212" s="98"/>
      <c r="AFH212" s="98"/>
      <c r="AFI212" s="98"/>
      <c r="AFJ212" s="98"/>
      <c r="AFK212" s="98"/>
      <c r="AFL212" s="98"/>
      <c r="AFM212" s="98"/>
      <c r="AFN212" s="98"/>
      <c r="AFO212" s="98"/>
      <c r="AFP212" s="98"/>
      <c r="AFQ212" s="98"/>
      <c r="AFR212" s="98"/>
      <c r="AFS212" s="98"/>
      <c r="AFT212" s="98"/>
      <c r="AFU212" s="98"/>
      <c r="AFV212" s="98"/>
      <c r="AFW212" s="98"/>
      <c r="AFX212" s="98"/>
      <c r="AFY212" s="98"/>
      <c r="AFZ212" s="98"/>
      <c r="AGA212" s="98"/>
      <c r="AGB212" s="98"/>
      <c r="AGC212" s="98"/>
      <c r="AGD212" s="98"/>
      <c r="AGE212" s="98"/>
      <c r="AGF212" s="98"/>
      <c r="AGG212" s="98"/>
      <c r="AGH212" s="98"/>
      <c r="AGI212" s="98"/>
      <c r="AGJ212" s="98"/>
      <c r="AGK212" s="98"/>
      <c r="AGL212" s="98"/>
      <c r="AGM212" s="98"/>
      <c r="AGN212" s="98"/>
      <c r="AGO212" s="98"/>
      <c r="AGP212" s="98"/>
      <c r="AGQ212" s="98"/>
      <c r="AGR212" s="98"/>
      <c r="AGS212" s="98"/>
      <c r="AGT212" s="98"/>
      <c r="AGU212" s="98"/>
      <c r="AGV212" s="98"/>
      <c r="AGW212" s="98"/>
      <c r="AGX212" s="98"/>
      <c r="AGY212" s="98"/>
      <c r="AGZ212" s="98"/>
      <c r="AHA212" s="98"/>
      <c r="AHB212" s="98"/>
      <c r="AHC212" s="98"/>
      <c r="AHD212" s="98"/>
      <c r="AHE212" s="98"/>
      <c r="AHF212" s="98"/>
      <c r="AHG212" s="98"/>
      <c r="AHH212" s="98"/>
      <c r="AHI212" s="98"/>
      <c r="AHJ212" s="98"/>
      <c r="AHK212" s="98"/>
      <c r="AHL212" s="98"/>
      <c r="AHM212" s="98"/>
      <c r="AHN212" s="98"/>
      <c r="AHO212" s="98"/>
      <c r="AHP212" s="98"/>
      <c r="AHQ212" s="98"/>
      <c r="AHR212" s="98"/>
      <c r="AHS212" s="98"/>
      <c r="AHT212" s="98"/>
      <c r="AHU212" s="98"/>
      <c r="AHV212" s="98"/>
      <c r="AHW212" s="98"/>
      <c r="AHX212" s="98"/>
      <c r="AHY212" s="98"/>
      <c r="AHZ212" s="98"/>
      <c r="AIA212" s="98"/>
      <c r="AIB212" s="98"/>
      <c r="AIC212" s="98"/>
      <c r="AID212" s="98"/>
      <c r="AIE212" s="98"/>
      <c r="AIF212" s="98"/>
      <c r="AIG212" s="98"/>
      <c r="AIH212" s="98"/>
      <c r="AII212" s="98"/>
      <c r="AIJ212" s="98"/>
      <c r="AIK212" s="98"/>
      <c r="AIL212" s="98"/>
      <c r="AIM212" s="98"/>
      <c r="AIN212" s="98"/>
      <c r="AIO212" s="98"/>
      <c r="AIP212" s="98"/>
      <c r="AIQ212" s="98"/>
      <c r="AIR212" s="98"/>
      <c r="AIS212" s="98"/>
      <c r="AIT212" s="98"/>
      <c r="AIU212" s="98"/>
      <c r="AIV212" s="98"/>
      <c r="AIW212" s="98"/>
      <c r="AIX212" s="98"/>
      <c r="AIY212" s="98"/>
      <c r="AIZ212" s="98"/>
      <c r="AJA212" s="98"/>
      <c r="AJB212" s="98"/>
      <c r="AJC212" s="98"/>
      <c r="AJD212" s="98"/>
      <c r="AJE212" s="98"/>
      <c r="AJF212" s="98"/>
      <c r="AJG212" s="98"/>
      <c r="AJH212" s="98"/>
      <c r="AJI212" s="98"/>
      <c r="AJJ212" s="98"/>
      <c r="AJK212" s="98"/>
      <c r="AJL212" s="98"/>
      <c r="AJM212" s="98"/>
      <c r="AJN212" s="98"/>
      <c r="AJO212" s="98"/>
      <c r="AJP212" s="98"/>
      <c r="AJQ212" s="98"/>
      <c r="AJR212" s="98"/>
      <c r="AJS212" s="98"/>
      <c r="AJT212" s="98"/>
      <c r="AJU212" s="98"/>
      <c r="AJV212" s="98"/>
      <c r="AJW212" s="98"/>
      <c r="AJX212" s="98"/>
      <c r="AJY212" s="98"/>
      <c r="AJZ212" s="98"/>
      <c r="AKA212" s="98"/>
      <c r="AKB212" s="98"/>
      <c r="AKC212" s="98"/>
      <c r="AKD212" s="98"/>
      <c r="AKE212" s="98"/>
      <c r="AKF212" s="98"/>
      <c r="AKG212" s="98"/>
      <c r="AKH212" s="98"/>
      <c r="AKI212" s="98"/>
      <c r="AKJ212" s="98"/>
      <c r="AKK212" s="98"/>
      <c r="AKL212" s="98"/>
      <c r="AKM212" s="98"/>
      <c r="AKN212" s="98"/>
      <c r="AKO212" s="98"/>
      <c r="AKP212" s="98"/>
      <c r="AKQ212" s="98"/>
      <c r="AKR212" s="98"/>
      <c r="AKS212" s="98"/>
      <c r="AKT212" s="98"/>
      <c r="AKU212" s="98"/>
      <c r="AKV212" s="98"/>
      <c r="AKW212" s="98"/>
      <c r="AKX212" s="98"/>
      <c r="AKY212" s="98"/>
      <c r="AKZ212" s="98"/>
      <c r="ALA212" s="98"/>
      <c r="ALB212" s="98"/>
      <c r="ALC212" s="98"/>
      <c r="ALD212" s="98"/>
      <c r="ALE212" s="98"/>
      <c r="ALF212" s="98"/>
      <c r="ALG212" s="98"/>
      <c r="ALH212" s="98"/>
      <c r="ALI212" s="98"/>
      <c r="ALJ212" s="98"/>
      <c r="ALK212" s="98"/>
      <c r="ALL212" s="98"/>
      <c r="ALM212" s="98"/>
      <c r="ALN212" s="98"/>
      <c r="ALO212" s="98"/>
      <c r="ALP212" s="98"/>
      <c r="ALQ212" s="98"/>
      <c r="ALR212" s="98"/>
      <c r="ALS212" s="98"/>
      <c r="ALT212" s="98"/>
      <c r="ALU212" s="98"/>
      <c r="ALV212" s="98"/>
      <c r="ALW212" s="98"/>
      <c r="ALX212" s="98"/>
      <c r="ALY212" s="98"/>
      <c r="ALZ212" s="98"/>
      <c r="AMA212" s="98"/>
      <c r="AMB212" s="98"/>
      <c r="AMC212" s="98"/>
      <c r="AMD212" s="98"/>
      <c r="AME212" s="98"/>
      <c r="AMF212" s="98"/>
      <c r="AMG212" s="98"/>
      <c r="AMH212" s="98"/>
      <c r="AMI212" s="98"/>
      <c r="AMJ212" s="98"/>
      <c r="AMK212" s="98"/>
      <c r="AML212" s="98"/>
      <c r="AMM212" s="98"/>
      <c r="AMN212" s="98"/>
      <c r="AMO212" s="98"/>
      <c r="AMP212" s="98"/>
      <c r="AMQ212" s="98"/>
      <c r="AMR212" s="98"/>
      <c r="AMS212" s="98"/>
      <c r="AMT212" s="98"/>
      <c r="AMU212" s="98"/>
      <c r="AMV212" s="98"/>
      <c r="AMW212" s="98"/>
      <c r="AMX212" s="98"/>
      <c r="AMY212" s="98"/>
      <c r="AMZ212" s="98"/>
      <c r="ANA212" s="98"/>
      <c r="ANB212" s="98"/>
      <c r="ANC212" s="98"/>
      <c r="AND212" s="98"/>
      <c r="ANE212" s="98"/>
      <c r="ANF212" s="98"/>
      <c r="ANG212" s="98"/>
      <c r="ANH212" s="98"/>
      <c r="ANI212" s="98"/>
      <c r="ANJ212" s="98"/>
      <c r="ANK212" s="98"/>
      <c r="ANL212" s="98"/>
      <c r="ANM212" s="98"/>
      <c r="ANN212" s="98"/>
      <c r="ANO212" s="98"/>
      <c r="ANP212" s="98"/>
      <c r="ANQ212" s="98"/>
      <c r="ANR212" s="98"/>
      <c r="ANS212" s="98"/>
      <c r="ANT212" s="98"/>
      <c r="ANU212" s="98"/>
      <c r="ANV212" s="98"/>
      <c r="ANW212" s="98"/>
      <c r="ANX212" s="98"/>
      <c r="ANY212" s="98"/>
      <c r="ANZ212" s="98"/>
      <c r="AOA212" s="98"/>
      <c r="AOB212" s="98"/>
      <c r="AOC212" s="98"/>
      <c r="AOD212" s="98"/>
      <c r="AOE212" s="98"/>
      <c r="AOF212" s="98"/>
      <c r="AOG212" s="98"/>
      <c r="AOH212" s="98"/>
      <c r="AOI212" s="98"/>
      <c r="AOJ212" s="98"/>
      <c r="AOK212" s="98"/>
      <c r="AOL212" s="98"/>
      <c r="AOM212" s="98"/>
      <c r="AON212" s="98"/>
      <c r="AOO212" s="98"/>
      <c r="AOP212" s="98"/>
      <c r="AOQ212" s="98"/>
      <c r="AOR212" s="98"/>
      <c r="AOS212" s="98"/>
      <c r="AOT212" s="98"/>
      <c r="AOU212" s="98"/>
      <c r="AOV212" s="98"/>
      <c r="AOW212" s="98"/>
      <c r="AOX212" s="98"/>
      <c r="AOY212" s="98"/>
      <c r="AOZ212" s="98"/>
      <c r="APA212" s="98"/>
      <c r="APB212" s="98"/>
      <c r="APC212" s="98"/>
      <c r="APD212" s="98"/>
      <c r="APE212" s="98"/>
      <c r="APF212" s="98"/>
      <c r="APG212" s="98"/>
      <c r="APH212" s="98"/>
      <c r="API212" s="98"/>
      <c r="APJ212" s="98"/>
      <c r="APK212" s="98"/>
      <c r="APL212" s="98"/>
      <c r="APM212" s="98"/>
      <c r="APN212" s="98"/>
      <c r="APO212" s="98"/>
      <c r="APP212" s="98"/>
      <c r="APQ212" s="98"/>
      <c r="APR212" s="98"/>
      <c r="APS212" s="98"/>
      <c r="APT212" s="98"/>
      <c r="APU212" s="98"/>
      <c r="APV212" s="98"/>
      <c r="APW212" s="98"/>
      <c r="APX212" s="98"/>
      <c r="APY212" s="98"/>
      <c r="APZ212" s="98"/>
      <c r="AQA212" s="98"/>
      <c r="AQB212" s="98"/>
      <c r="AQC212" s="98"/>
      <c r="AQD212" s="98"/>
      <c r="AQE212" s="98"/>
      <c r="AQF212" s="98"/>
      <c r="AQG212" s="98"/>
      <c r="AQH212" s="98"/>
      <c r="AQI212" s="98"/>
      <c r="AQJ212" s="98"/>
      <c r="AQK212" s="98"/>
      <c r="AQL212" s="98"/>
      <c r="AQM212" s="98"/>
      <c r="AQN212" s="98"/>
      <c r="AQO212" s="98"/>
      <c r="AQP212" s="98"/>
      <c r="AQQ212" s="98"/>
      <c r="AQR212" s="98"/>
      <c r="AQS212" s="98"/>
      <c r="AQT212" s="98"/>
      <c r="AQU212" s="98"/>
      <c r="AQV212" s="98"/>
      <c r="AQW212" s="98"/>
      <c r="AQX212" s="98"/>
      <c r="AQY212" s="98"/>
      <c r="AQZ212" s="98"/>
      <c r="ARA212" s="98"/>
      <c r="ARB212" s="98"/>
      <c r="ARC212" s="98"/>
      <c r="ARD212" s="98"/>
      <c r="ARE212" s="98"/>
      <c r="ARF212" s="98"/>
      <c r="ARG212" s="98"/>
      <c r="ARH212" s="98"/>
      <c r="ARI212" s="98"/>
      <c r="ARJ212" s="98"/>
      <c r="ARK212" s="98"/>
      <c r="ARL212" s="98"/>
      <c r="ARM212" s="98"/>
      <c r="ARN212" s="98"/>
      <c r="ARO212" s="98"/>
      <c r="ARP212" s="98"/>
      <c r="ARQ212" s="98"/>
      <c r="ARR212" s="98"/>
      <c r="ARS212" s="98"/>
    </row>
    <row r="213" spans="1:1163">
      <c r="A213" s="138"/>
      <c r="B213" s="134"/>
      <c r="C213" s="197"/>
      <c r="D213" s="197"/>
      <c r="E213" s="197"/>
      <c r="F213" s="197"/>
      <c r="G213" s="197"/>
      <c r="H213" s="197"/>
      <c r="I213" s="197"/>
      <c r="J213" s="197"/>
      <c r="K213" s="197"/>
      <c r="L213" s="197"/>
      <c r="M213" s="197"/>
      <c r="N213" s="197"/>
      <c r="O213" s="197"/>
      <c r="P213" s="197"/>
      <c r="Q213" s="197"/>
      <c r="R213" s="197"/>
      <c r="S213" s="197"/>
      <c r="T213" s="197"/>
      <c r="U213" s="201"/>
      <c r="V213" s="201"/>
      <c r="W213" s="201"/>
      <c r="X213" s="197"/>
      <c r="Y213" s="197"/>
      <c r="Z213" s="197"/>
      <c r="AA213" s="201"/>
      <c r="AB213" s="209"/>
      <c r="AC213" s="175"/>
      <c r="AD213" s="175"/>
      <c r="AE213" s="201"/>
      <c r="AF213" s="201"/>
      <c r="AG213" s="201"/>
      <c r="AH213" s="201"/>
      <c r="AI213" s="201"/>
      <c r="AJ213" s="201"/>
      <c r="AK213" s="201"/>
      <c r="AL213" s="201"/>
      <c r="AM213" s="176"/>
      <c r="AN213" s="176"/>
      <c r="AO213" s="201"/>
      <c r="AP213" s="201"/>
      <c r="AQ213" s="201"/>
      <c r="AR213" s="201"/>
      <c r="AS213" s="201"/>
      <c r="AT213" s="201"/>
      <c r="AU213" s="201"/>
      <c r="AV213" s="209"/>
      <c r="AW213" s="173"/>
      <c r="AX213" s="209"/>
      <c r="AY213" s="172"/>
      <c r="AZ213" s="209"/>
      <c r="BA213" s="177"/>
      <c r="BB213" s="139"/>
      <c r="BC213" s="139"/>
      <c r="BD213" s="209"/>
      <c r="BE213" s="139"/>
      <c r="BF213" s="139"/>
      <c r="BG213" s="139"/>
      <c r="BH213" s="209"/>
      <c r="BI213" s="177"/>
      <c r="BJ213" s="98"/>
      <c r="BL213" s="148"/>
      <c r="BM213" s="148"/>
    </row>
    <row r="214" spans="1:1163">
      <c r="A214" s="124" t="s">
        <v>206</v>
      </c>
      <c r="B214" s="225"/>
      <c r="C214" s="194"/>
      <c r="D214" s="194"/>
      <c r="E214" s="194"/>
      <c r="F214" s="194"/>
      <c r="G214" s="194"/>
      <c r="H214" s="194"/>
      <c r="I214" s="194"/>
      <c r="J214" s="194"/>
      <c r="K214" s="194"/>
      <c r="L214" s="194"/>
      <c r="M214" s="194"/>
      <c r="N214" s="194"/>
      <c r="O214" s="194"/>
      <c r="P214" s="194"/>
      <c r="Q214" s="194"/>
      <c r="R214" s="194"/>
      <c r="S214" s="194"/>
      <c r="T214" s="194"/>
      <c r="U214" s="202"/>
      <c r="V214" s="202"/>
      <c r="W214" s="202"/>
      <c r="X214" s="194"/>
      <c r="Y214" s="194"/>
      <c r="Z214" s="194"/>
      <c r="AA214" s="202"/>
      <c r="AB214" s="208"/>
      <c r="AC214" s="183"/>
      <c r="AD214" s="183"/>
      <c r="AE214" s="202"/>
      <c r="AF214" s="202"/>
      <c r="AG214" s="202"/>
      <c r="AH214" s="202"/>
      <c r="AI214" s="202"/>
      <c r="AJ214" s="202"/>
      <c r="AK214" s="202"/>
      <c r="AL214" s="202"/>
      <c r="AM214" s="187"/>
      <c r="AN214" s="187"/>
      <c r="AO214" s="202"/>
      <c r="AP214" s="202"/>
      <c r="AQ214" s="202"/>
      <c r="AR214" s="202"/>
      <c r="AS214" s="202"/>
      <c r="AT214" s="202"/>
      <c r="AU214" s="202"/>
      <c r="AV214" s="208"/>
      <c r="AW214" s="166"/>
      <c r="AX214" s="166"/>
      <c r="AY214" s="165"/>
      <c r="AZ214" s="165"/>
      <c r="BA214" s="196"/>
      <c r="BB214" s="166"/>
      <c r="BC214" s="166"/>
      <c r="BD214" s="166"/>
      <c r="BE214" s="166"/>
      <c r="BF214" s="166"/>
      <c r="BG214" s="166"/>
      <c r="BH214" s="166"/>
      <c r="BI214" s="196"/>
      <c r="BJ214" s="98"/>
      <c r="BL214" s="148"/>
      <c r="BM214" s="148"/>
    </row>
    <row r="215" spans="1:1163">
      <c r="A215" s="126" t="s">
        <v>207</v>
      </c>
      <c r="B215" s="127" t="s">
        <v>67</v>
      </c>
      <c r="C215" s="194">
        <v>172</v>
      </c>
      <c r="D215" s="194">
        <v>144532</v>
      </c>
      <c r="E215" s="183">
        <v>0</v>
      </c>
      <c r="F215" s="183">
        <v>0</v>
      </c>
      <c r="G215" s="183">
        <v>0</v>
      </c>
      <c r="H215" s="183">
        <v>0</v>
      </c>
      <c r="I215" s="183">
        <v>0</v>
      </c>
      <c r="J215" s="183">
        <v>0</v>
      </c>
      <c r="K215" s="183">
        <v>0</v>
      </c>
      <c r="L215" s="183">
        <v>0</v>
      </c>
      <c r="M215" s="183">
        <v>0</v>
      </c>
      <c r="N215" s="183">
        <v>0</v>
      </c>
      <c r="O215" s="183">
        <v>0</v>
      </c>
      <c r="P215" s="183">
        <v>0</v>
      </c>
      <c r="Q215" s="183">
        <v>0</v>
      </c>
      <c r="R215" s="183">
        <v>0</v>
      </c>
      <c r="S215" s="183">
        <v>0</v>
      </c>
      <c r="T215" s="183">
        <v>0</v>
      </c>
      <c r="U215" s="183">
        <v>0</v>
      </c>
      <c r="V215" s="183">
        <v>0</v>
      </c>
      <c r="W215" s="183">
        <v>0</v>
      </c>
      <c r="X215" s="183">
        <v>0</v>
      </c>
      <c r="Y215" s="183">
        <v>0</v>
      </c>
      <c r="Z215" s="183">
        <v>0</v>
      </c>
      <c r="AA215" s="183">
        <v>0</v>
      </c>
      <c r="AB215" s="183">
        <v>0</v>
      </c>
      <c r="AC215" s="183">
        <v>0</v>
      </c>
      <c r="AD215" s="183">
        <v>0</v>
      </c>
      <c r="AE215" s="183">
        <v>0</v>
      </c>
      <c r="AF215" s="183">
        <v>0</v>
      </c>
      <c r="AG215" s="183">
        <v>0</v>
      </c>
      <c r="AH215" s="183">
        <v>0</v>
      </c>
      <c r="AI215" s="183">
        <v>0</v>
      </c>
      <c r="AJ215" s="183">
        <v>0</v>
      </c>
      <c r="AK215" s="183">
        <v>0</v>
      </c>
      <c r="AL215" s="183">
        <v>0</v>
      </c>
      <c r="AM215" s="183">
        <v>0</v>
      </c>
      <c r="AN215" s="183">
        <v>0</v>
      </c>
      <c r="AO215" s="183">
        <v>0</v>
      </c>
      <c r="AP215" s="183">
        <v>0</v>
      </c>
      <c r="AQ215" s="183">
        <v>0</v>
      </c>
      <c r="AR215" s="183">
        <v>0</v>
      </c>
      <c r="AS215" s="183">
        <v>0</v>
      </c>
      <c r="AT215" s="183">
        <v>0</v>
      </c>
      <c r="AU215" s="183">
        <v>0</v>
      </c>
      <c r="AV215" s="183">
        <v>0</v>
      </c>
      <c r="AW215" s="194">
        <v>0</v>
      </c>
      <c r="AX215" s="194">
        <v>0</v>
      </c>
      <c r="AY215" s="135">
        <v>0</v>
      </c>
      <c r="AZ215" s="135">
        <v>0</v>
      </c>
      <c r="BA215" s="135"/>
      <c r="BB215" s="135"/>
      <c r="BC215" s="135"/>
      <c r="BD215" s="135"/>
      <c r="BE215" s="135"/>
      <c r="BF215" s="135"/>
      <c r="BG215" s="135"/>
      <c r="BH215" s="135"/>
      <c r="BI215" s="225"/>
      <c r="BJ215" s="98"/>
      <c r="BL215" s="148"/>
      <c r="BM215" s="148"/>
    </row>
    <row r="216" spans="1:1163">
      <c r="A216" s="126" t="s">
        <v>208</v>
      </c>
      <c r="B216" s="127" t="s">
        <v>67</v>
      </c>
      <c r="C216" s="194">
        <v>310</v>
      </c>
      <c r="D216" s="194">
        <v>125810</v>
      </c>
      <c r="E216" s="183">
        <v>0</v>
      </c>
      <c r="F216" s="183">
        <v>0</v>
      </c>
      <c r="G216" s="183">
        <v>0</v>
      </c>
      <c r="H216" s="183">
        <v>0</v>
      </c>
      <c r="I216" s="183">
        <v>0</v>
      </c>
      <c r="J216" s="183">
        <v>0</v>
      </c>
      <c r="K216" s="183">
        <v>0</v>
      </c>
      <c r="L216" s="183">
        <v>0</v>
      </c>
      <c r="M216" s="183">
        <v>0</v>
      </c>
      <c r="N216" s="183">
        <v>0</v>
      </c>
      <c r="O216" s="183">
        <v>0</v>
      </c>
      <c r="P216" s="183">
        <v>0</v>
      </c>
      <c r="Q216" s="183">
        <v>0</v>
      </c>
      <c r="R216" s="183">
        <v>0</v>
      </c>
      <c r="S216" s="183">
        <v>0</v>
      </c>
      <c r="T216" s="183">
        <v>0</v>
      </c>
      <c r="U216" s="183">
        <v>0</v>
      </c>
      <c r="V216" s="183">
        <v>0</v>
      </c>
      <c r="W216" s="183">
        <v>0</v>
      </c>
      <c r="X216" s="183">
        <v>0</v>
      </c>
      <c r="Y216" s="183">
        <v>0</v>
      </c>
      <c r="Z216" s="183">
        <v>0</v>
      </c>
      <c r="AA216" s="183">
        <v>0</v>
      </c>
      <c r="AB216" s="183">
        <v>0</v>
      </c>
      <c r="AC216" s="183">
        <v>0</v>
      </c>
      <c r="AD216" s="183">
        <v>0</v>
      </c>
      <c r="AE216" s="183">
        <v>0</v>
      </c>
      <c r="AF216" s="183">
        <v>0</v>
      </c>
      <c r="AG216" s="183">
        <v>0</v>
      </c>
      <c r="AH216" s="183">
        <v>0</v>
      </c>
      <c r="AI216" s="183">
        <v>0</v>
      </c>
      <c r="AJ216" s="183">
        <v>0</v>
      </c>
      <c r="AK216" s="183">
        <v>0</v>
      </c>
      <c r="AL216" s="183">
        <v>0</v>
      </c>
      <c r="AM216" s="183">
        <v>0</v>
      </c>
      <c r="AN216" s="183">
        <v>0</v>
      </c>
      <c r="AO216" s="183">
        <v>0</v>
      </c>
      <c r="AP216" s="183">
        <v>0</v>
      </c>
      <c r="AQ216" s="183">
        <v>0</v>
      </c>
      <c r="AR216" s="183">
        <v>0</v>
      </c>
      <c r="AS216" s="183">
        <v>0</v>
      </c>
      <c r="AT216" s="183">
        <v>0</v>
      </c>
      <c r="AU216" s="183">
        <v>0</v>
      </c>
      <c r="AV216" s="183">
        <v>0</v>
      </c>
      <c r="AW216" s="194">
        <v>0</v>
      </c>
      <c r="AX216" s="194">
        <v>0</v>
      </c>
      <c r="AY216" s="135">
        <v>0</v>
      </c>
      <c r="AZ216" s="135">
        <v>0</v>
      </c>
      <c r="BA216" s="135"/>
      <c r="BB216" s="135"/>
      <c r="BC216" s="135"/>
      <c r="BD216" s="135"/>
      <c r="BE216" s="135"/>
      <c r="BF216" s="135"/>
      <c r="BG216" s="135"/>
      <c r="BH216" s="135"/>
      <c r="BI216" s="225"/>
      <c r="BJ216" s="98"/>
      <c r="BL216" s="148"/>
      <c r="BM216" s="148"/>
    </row>
    <row r="217" spans="1:1163">
      <c r="A217" s="129" t="s">
        <v>209</v>
      </c>
      <c r="B217" s="225"/>
      <c r="C217" s="194">
        <f t="shared" ref="C217:AV217" si="55">SUM(C215:C216)</f>
        <v>482</v>
      </c>
      <c r="D217" s="194">
        <f t="shared" si="55"/>
        <v>270342</v>
      </c>
      <c r="E217" s="194">
        <f t="shared" si="55"/>
        <v>0</v>
      </c>
      <c r="F217" s="194">
        <f t="shared" si="55"/>
        <v>0</v>
      </c>
      <c r="G217" s="194">
        <f t="shared" si="55"/>
        <v>0</v>
      </c>
      <c r="H217" s="194">
        <f t="shared" si="55"/>
        <v>0</v>
      </c>
      <c r="I217" s="194">
        <f t="shared" si="55"/>
        <v>0</v>
      </c>
      <c r="J217" s="194">
        <f t="shared" si="55"/>
        <v>0</v>
      </c>
      <c r="K217" s="194">
        <f t="shared" si="55"/>
        <v>0</v>
      </c>
      <c r="L217" s="194">
        <f t="shared" si="55"/>
        <v>0</v>
      </c>
      <c r="M217" s="194">
        <f t="shared" si="55"/>
        <v>0</v>
      </c>
      <c r="N217" s="194">
        <f t="shared" si="55"/>
        <v>0</v>
      </c>
      <c r="O217" s="194">
        <f t="shared" si="55"/>
        <v>0</v>
      </c>
      <c r="P217" s="194">
        <f t="shared" si="55"/>
        <v>0</v>
      </c>
      <c r="Q217" s="194">
        <f t="shared" si="55"/>
        <v>0</v>
      </c>
      <c r="R217" s="194">
        <f t="shared" si="55"/>
        <v>0</v>
      </c>
      <c r="S217" s="194">
        <f t="shared" si="55"/>
        <v>0</v>
      </c>
      <c r="T217" s="194">
        <f t="shared" si="55"/>
        <v>0</v>
      </c>
      <c r="U217" s="194">
        <f t="shared" si="55"/>
        <v>0</v>
      </c>
      <c r="V217" s="194">
        <f t="shared" si="55"/>
        <v>0</v>
      </c>
      <c r="W217" s="194">
        <f t="shared" si="55"/>
        <v>0</v>
      </c>
      <c r="X217" s="194">
        <f t="shared" si="55"/>
        <v>0</v>
      </c>
      <c r="Y217" s="194">
        <f t="shared" si="55"/>
        <v>0</v>
      </c>
      <c r="Z217" s="194">
        <f t="shared" si="55"/>
        <v>0</v>
      </c>
      <c r="AA217" s="194">
        <f t="shared" si="55"/>
        <v>0</v>
      </c>
      <c r="AB217" s="194">
        <f t="shared" si="55"/>
        <v>0</v>
      </c>
      <c r="AC217" s="194">
        <f t="shared" si="55"/>
        <v>0</v>
      </c>
      <c r="AD217" s="194">
        <f t="shared" si="55"/>
        <v>0</v>
      </c>
      <c r="AE217" s="194">
        <f t="shared" si="55"/>
        <v>0</v>
      </c>
      <c r="AF217" s="194">
        <f t="shared" si="55"/>
        <v>0</v>
      </c>
      <c r="AG217" s="194">
        <f t="shared" si="55"/>
        <v>0</v>
      </c>
      <c r="AH217" s="194">
        <f t="shared" si="55"/>
        <v>0</v>
      </c>
      <c r="AI217" s="194">
        <f t="shared" si="55"/>
        <v>0</v>
      </c>
      <c r="AJ217" s="194">
        <f t="shared" si="55"/>
        <v>0</v>
      </c>
      <c r="AK217" s="194">
        <f t="shared" si="55"/>
        <v>0</v>
      </c>
      <c r="AL217" s="194">
        <f t="shared" si="55"/>
        <v>0</v>
      </c>
      <c r="AM217" s="194">
        <f t="shared" si="55"/>
        <v>0</v>
      </c>
      <c r="AN217" s="194">
        <f t="shared" si="55"/>
        <v>0</v>
      </c>
      <c r="AO217" s="194">
        <f t="shared" si="55"/>
        <v>0</v>
      </c>
      <c r="AP217" s="194">
        <f t="shared" si="55"/>
        <v>0</v>
      </c>
      <c r="AQ217" s="194">
        <f t="shared" si="55"/>
        <v>0</v>
      </c>
      <c r="AR217" s="194">
        <f t="shared" si="55"/>
        <v>0</v>
      </c>
      <c r="AS217" s="194">
        <f t="shared" si="55"/>
        <v>0</v>
      </c>
      <c r="AT217" s="194">
        <f t="shared" si="55"/>
        <v>0</v>
      </c>
      <c r="AU217" s="194">
        <f t="shared" si="55"/>
        <v>0</v>
      </c>
      <c r="AV217" s="194">
        <f t="shared" si="55"/>
        <v>0</v>
      </c>
      <c r="AW217" s="194"/>
      <c r="AX217" s="194">
        <v>0</v>
      </c>
      <c r="AY217" s="135"/>
      <c r="AZ217" s="135">
        <v>0</v>
      </c>
      <c r="BA217" s="135"/>
      <c r="BB217" s="135"/>
      <c r="BC217" s="135"/>
      <c r="BD217" s="135"/>
      <c r="BE217" s="135"/>
      <c r="BF217" s="135"/>
      <c r="BG217" s="135"/>
      <c r="BH217" s="135"/>
      <c r="BI217" s="162"/>
      <c r="BJ217" s="98"/>
      <c r="BL217" s="148"/>
      <c r="BM217" s="148"/>
    </row>
    <row r="218" spans="1:1163">
      <c r="A218" s="129"/>
      <c r="B218" s="225"/>
      <c r="C218" s="194"/>
      <c r="D218" s="194"/>
      <c r="E218" s="194"/>
      <c r="F218" s="194"/>
      <c r="G218" s="194"/>
      <c r="H218" s="194"/>
      <c r="I218" s="194"/>
      <c r="J218" s="194"/>
      <c r="K218" s="194"/>
      <c r="L218" s="194"/>
      <c r="M218" s="194"/>
      <c r="N218" s="194"/>
      <c r="O218" s="194"/>
      <c r="P218" s="194"/>
      <c r="Q218" s="194"/>
      <c r="R218" s="194"/>
      <c r="S218" s="194"/>
      <c r="T218" s="194"/>
      <c r="U218" s="123"/>
      <c r="V218" s="123"/>
      <c r="W218" s="202"/>
      <c r="X218" s="194"/>
      <c r="Y218" s="183"/>
      <c r="Z218" s="183"/>
      <c r="AA218" s="202"/>
      <c r="AB218" s="208"/>
      <c r="AC218" s="183"/>
      <c r="AD218" s="183"/>
      <c r="AE218" s="202"/>
      <c r="AF218" s="202"/>
      <c r="AG218" s="202"/>
      <c r="AH218" s="202"/>
      <c r="AI218" s="202"/>
      <c r="AJ218" s="202"/>
      <c r="AK218" s="1501"/>
      <c r="AL218" s="208"/>
      <c r="AM218" s="202"/>
      <c r="AN218" s="202"/>
      <c r="AO218" s="202"/>
      <c r="AP218" s="202"/>
      <c r="AQ218" s="196"/>
      <c r="AR218" s="196"/>
      <c r="AS218" s="202"/>
      <c r="AT218" s="202"/>
      <c r="AU218" s="202"/>
      <c r="AV218" s="208"/>
      <c r="AW218" s="166"/>
      <c r="AX218" s="166"/>
      <c r="AY218" s="135"/>
      <c r="AZ218" s="135"/>
      <c r="BA218" s="135"/>
      <c r="BB218" s="166"/>
      <c r="BC218" s="166"/>
      <c r="BD218" s="166"/>
      <c r="BE218" s="166"/>
      <c r="BF218" s="166"/>
      <c r="BG218" s="166"/>
      <c r="BH218" s="166"/>
      <c r="BI218" s="196"/>
      <c r="BJ218" s="98"/>
      <c r="BL218" s="148"/>
      <c r="BM218" s="148"/>
    </row>
    <row r="219" spans="1:1163" s="174" customFormat="1">
      <c r="A219" s="118" t="s">
        <v>210</v>
      </c>
      <c r="B219" s="132" t="s">
        <v>67</v>
      </c>
      <c r="C219" s="197">
        <v>0</v>
      </c>
      <c r="D219" s="197">
        <v>0</v>
      </c>
      <c r="E219" s="197">
        <v>0</v>
      </c>
      <c r="F219" s="197">
        <v>0</v>
      </c>
      <c r="G219" s="197">
        <v>0</v>
      </c>
      <c r="H219" s="197">
        <v>0</v>
      </c>
      <c r="I219" s="197">
        <v>167</v>
      </c>
      <c r="J219" s="197">
        <v>971300</v>
      </c>
      <c r="K219" s="197">
        <v>0</v>
      </c>
      <c r="L219" s="197">
        <v>0</v>
      </c>
      <c r="M219" s="197">
        <v>0</v>
      </c>
      <c r="N219" s="197">
        <v>0</v>
      </c>
      <c r="O219" s="201">
        <v>0</v>
      </c>
      <c r="P219" s="201">
        <v>0</v>
      </c>
      <c r="Q219" s="201">
        <v>0</v>
      </c>
      <c r="R219" s="201">
        <v>0</v>
      </c>
      <c r="S219" s="201">
        <v>0</v>
      </c>
      <c r="T219" s="201">
        <v>0</v>
      </c>
      <c r="U219" s="201">
        <v>0</v>
      </c>
      <c r="V219" s="201">
        <v>0</v>
      </c>
      <c r="W219" s="201">
        <v>0</v>
      </c>
      <c r="X219" s="201">
        <v>0</v>
      </c>
      <c r="Y219" s="201">
        <v>0</v>
      </c>
      <c r="Z219" s="201">
        <v>0</v>
      </c>
      <c r="AA219" s="201">
        <v>0</v>
      </c>
      <c r="AB219" s="201">
        <v>0</v>
      </c>
      <c r="AC219" s="201">
        <v>0</v>
      </c>
      <c r="AD219" s="201">
        <v>0</v>
      </c>
      <c r="AE219" s="201">
        <v>0</v>
      </c>
      <c r="AF219" s="201">
        <v>0</v>
      </c>
      <c r="AG219" s="201">
        <v>0</v>
      </c>
      <c r="AH219" s="201">
        <v>0</v>
      </c>
      <c r="AI219" s="201">
        <v>0</v>
      </c>
      <c r="AJ219" s="201">
        <v>0</v>
      </c>
      <c r="AK219" s="201">
        <v>0</v>
      </c>
      <c r="AL219" s="201">
        <v>0</v>
      </c>
      <c r="AM219" s="201">
        <v>0</v>
      </c>
      <c r="AN219" s="201">
        <v>0</v>
      </c>
      <c r="AO219" s="201">
        <v>0</v>
      </c>
      <c r="AP219" s="201">
        <v>0</v>
      </c>
      <c r="AQ219" s="201">
        <v>0</v>
      </c>
      <c r="AR219" s="201">
        <v>0</v>
      </c>
      <c r="AS219" s="201">
        <v>2695</v>
      </c>
      <c r="AT219" s="201">
        <v>17493593</v>
      </c>
      <c r="AU219" s="201">
        <v>4450.3985303456411</v>
      </c>
      <c r="AV219" s="209">
        <v>25297369</v>
      </c>
      <c r="AW219" s="204">
        <v>5613.6061761770843</v>
      </c>
      <c r="AX219" s="204">
        <v>30929289</v>
      </c>
      <c r="AY219" s="181">
        <v>693.51170000000002</v>
      </c>
      <c r="AZ219" s="181">
        <v>4665521</v>
      </c>
      <c r="BA219" s="143"/>
      <c r="BB219" s="181"/>
      <c r="BC219" s="181"/>
      <c r="BD219" s="181"/>
      <c r="BE219" s="178"/>
      <c r="BF219" s="181"/>
      <c r="BG219" s="181"/>
      <c r="BH219" s="181"/>
      <c r="BI219" s="143"/>
      <c r="BJ219" s="98"/>
      <c r="BK219" s="98"/>
      <c r="BL219" s="148"/>
      <c r="BM219" s="14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c r="CT219" s="98"/>
      <c r="CU219" s="98"/>
      <c r="CV219" s="98"/>
      <c r="CW219" s="98"/>
      <c r="CX219" s="98"/>
      <c r="CY219" s="98"/>
      <c r="CZ219" s="98"/>
      <c r="DA219" s="98"/>
      <c r="DB219" s="98"/>
      <c r="DC219" s="98"/>
      <c r="DD219" s="98"/>
      <c r="DE219" s="98"/>
      <c r="DF219" s="98"/>
      <c r="DG219" s="98"/>
      <c r="DH219" s="98"/>
      <c r="DI219" s="98"/>
      <c r="DJ219" s="98"/>
      <c r="DK219" s="98"/>
      <c r="DL219" s="98"/>
      <c r="DM219" s="98"/>
      <c r="DN219" s="98"/>
      <c r="DO219" s="98"/>
      <c r="DP219" s="98"/>
      <c r="DQ219" s="98"/>
      <c r="DR219" s="98"/>
      <c r="DS219" s="98"/>
      <c r="DT219" s="98"/>
      <c r="DU219" s="98"/>
      <c r="DV219" s="98"/>
      <c r="DW219" s="98"/>
      <c r="DX219" s="98"/>
      <c r="DY219" s="98"/>
      <c r="DZ219" s="98"/>
      <c r="EA219" s="98"/>
      <c r="EB219" s="98"/>
      <c r="EC219" s="98"/>
      <c r="ED219" s="98"/>
      <c r="EE219" s="98"/>
      <c r="EF219" s="98"/>
      <c r="EG219" s="98"/>
      <c r="EH219" s="98"/>
      <c r="EI219" s="98"/>
      <c r="EJ219" s="98"/>
      <c r="EK219" s="98"/>
      <c r="EL219" s="98"/>
      <c r="EM219" s="98"/>
      <c r="EN219" s="98"/>
      <c r="EO219" s="98"/>
      <c r="EP219" s="98"/>
      <c r="EQ219" s="98"/>
      <c r="ER219" s="98"/>
      <c r="ES219" s="98"/>
      <c r="ET219" s="98"/>
      <c r="EU219" s="98"/>
      <c r="EV219" s="98"/>
      <c r="EW219" s="98"/>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c r="IW219" s="98"/>
      <c r="IX219" s="98"/>
      <c r="IY219" s="98"/>
      <c r="IZ219" s="98"/>
      <c r="JA219" s="98"/>
      <c r="JB219" s="98"/>
      <c r="JC219" s="98"/>
      <c r="JD219" s="98"/>
      <c r="JE219" s="98"/>
      <c r="JF219" s="98"/>
      <c r="JG219" s="98"/>
      <c r="JH219" s="98"/>
      <c r="JI219" s="98"/>
      <c r="JJ219" s="98"/>
      <c r="JK219" s="98"/>
      <c r="JL219" s="98"/>
      <c r="JM219" s="98"/>
      <c r="JN219" s="98"/>
      <c r="JO219" s="98"/>
      <c r="JP219" s="98"/>
      <c r="JQ219" s="98"/>
      <c r="JR219" s="98"/>
      <c r="JS219" s="98"/>
      <c r="JT219" s="98"/>
      <c r="JU219" s="98"/>
      <c r="JV219" s="98"/>
      <c r="JW219" s="98"/>
      <c r="JX219" s="98"/>
      <c r="JY219" s="98"/>
      <c r="JZ219" s="98"/>
      <c r="KA219" s="98"/>
      <c r="KB219" s="98"/>
      <c r="KC219" s="98"/>
      <c r="KD219" s="98"/>
      <c r="KE219" s="98"/>
      <c r="KF219" s="98"/>
      <c r="KG219" s="98"/>
      <c r="KH219" s="98"/>
      <c r="KI219" s="98"/>
      <c r="KJ219" s="98"/>
      <c r="KK219" s="98"/>
      <c r="KL219" s="98"/>
      <c r="KM219" s="98"/>
      <c r="KN219" s="98"/>
      <c r="KO219" s="98"/>
      <c r="KP219" s="98"/>
      <c r="KQ219" s="98"/>
      <c r="KR219" s="98"/>
      <c r="KS219" s="98"/>
      <c r="KT219" s="98"/>
      <c r="KU219" s="98"/>
      <c r="KV219" s="98"/>
      <c r="KW219" s="98"/>
      <c r="KX219" s="98"/>
      <c r="KY219" s="98"/>
      <c r="KZ219" s="98"/>
      <c r="LA219" s="98"/>
      <c r="LB219" s="98"/>
      <c r="LC219" s="98"/>
      <c r="LD219" s="98"/>
      <c r="LE219" s="98"/>
      <c r="LF219" s="98"/>
      <c r="LG219" s="98"/>
      <c r="LH219" s="98"/>
      <c r="LI219" s="98"/>
      <c r="LJ219" s="98"/>
      <c r="LK219" s="98"/>
      <c r="LL219" s="98"/>
      <c r="LM219" s="98"/>
      <c r="LN219" s="98"/>
      <c r="LO219" s="98"/>
      <c r="LP219" s="98"/>
      <c r="LQ219" s="98"/>
      <c r="LR219" s="98"/>
      <c r="LS219" s="98"/>
      <c r="LT219" s="98"/>
      <c r="LU219" s="98"/>
      <c r="LV219" s="98"/>
      <c r="LW219" s="98"/>
      <c r="LX219" s="98"/>
      <c r="LY219" s="98"/>
      <c r="LZ219" s="98"/>
      <c r="MA219" s="98"/>
      <c r="MB219" s="98"/>
      <c r="MC219" s="98"/>
      <c r="MD219" s="98"/>
      <c r="ME219" s="98"/>
      <c r="MF219" s="98"/>
      <c r="MG219" s="98"/>
      <c r="MH219" s="98"/>
      <c r="MI219" s="98"/>
      <c r="MJ219" s="98"/>
      <c r="MK219" s="98"/>
      <c r="ML219" s="98"/>
      <c r="MM219" s="98"/>
      <c r="MN219" s="98"/>
      <c r="MO219" s="98"/>
      <c r="MP219" s="98"/>
      <c r="MQ219" s="98"/>
      <c r="MR219" s="98"/>
      <c r="MS219" s="98"/>
      <c r="MT219" s="98"/>
      <c r="MU219" s="98"/>
      <c r="MV219" s="98"/>
      <c r="MW219" s="98"/>
      <c r="MX219" s="98"/>
      <c r="MY219" s="98"/>
      <c r="MZ219" s="98"/>
      <c r="NA219" s="98"/>
      <c r="NB219" s="98"/>
      <c r="NC219" s="98"/>
      <c r="ND219" s="98"/>
      <c r="NE219" s="98"/>
      <c r="NF219" s="98"/>
      <c r="NG219" s="98"/>
      <c r="NH219" s="98"/>
      <c r="NI219" s="98"/>
      <c r="NJ219" s="98"/>
      <c r="NK219" s="98"/>
      <c r="NL219" s="98"/>
      <c r="NM219" s="98"/>
      <c r="NN219" s="98"/>
      <c r="NO219" s="98"/>
      <c r="NP219" s="98"/>
      <c r="NQ219" s="98"/>
      <c r="NR219" s="98"/>
      <c r="NS219" s="98"/>
      <c r="NT219" s="98"/>
      <c r="NU219" s="98"/>
      <c r="NV219" s="98"/>
      <c r="NW219" s="98"/>
      <c r="NX219" s="98"/>
      <c r="NY219" s="98"/>
      <c r="NZ219" s="98"/>
      <c r="OA219" s="98"/>
      <c r="OB219" s="98"/>
      <c r="OC219" s="98"/>
      <c r="OD219" s="98"/>
      <c r="OE219" s="98"/>
      <c r="OF219" s="98"/>
      <c r="OG219" s="98"/>
      <c r="OH219" s="98"/>
      <c r="OI219" s="98"/>
      <c r="OJ219" s="98"/>
      <c r="OK219" s="98"/>
      <c r="OL219" s="98"/>
      <c r="OM219" s="98"/>
      <c r="ON219" s="98"/>
      <c r="OO219" s="98"/>
      <c r="OP219" s="98"/>
      <c r="OQ219" s="98"/>
      <c r="OR219" s="98"/>
      <c r="OS219" s="98"/>
      <c r="OT219" s="98"/>
      <c r="OU219" s="98"/>
      <c r="OV219" s="98"/>
      <c r="OW219" s="98"/>
      <c r="OX219" s="98"/>
      <c r="OY219" s="98"/>
      <c r="OZ219" s="98"/>
      <c r="PA219" s="98"/>
      <c r="PB219" s="98"/>
      <c r="PC219" s="98"/>
      <c r="PD219" s="98"/>
      <c r="PE219" s="98"/>
      <c r="PF219" s="98"/>
      <c r="PG219" s="98"/>
      <c r="PH219" s="98"/>
      <c r="PI219" s="98"/>
      <c r="PJ219" s="98"/>
      <c r="PK219" s="98"/>
      <c r="PL219" s="98"/>
      <c r="PM219" s="98"/>
      <c r="PN219" s="98"/>
      <c r="PO219" s="98"/>
      <c r="PP219" s="98"/>
      <c r="PQ219" s="98"/>
      <c r="PR219" s="98"/>
      <c r="PS219" s="98"/>
      <c r="PT219" s="98"/>
      <c r="PU219" s="98"/>
      <c r="PV219" s="98"/>
      <c r="PW219" s="98"/>
      <c r="PX219" s="98"/>
      <c r="PY219" s="98"/>
      <c r="PZ219" s="98"/>
      <c r="QA219" s="98"/>
      <c r="QB219" s="98"/>
      <c r="QC219" s="98"/>
      <c r="QD219" s="98"/>
      <c r="QE219" s="98"/>
      <c r="QF219" s="98"/>
      <c r="QG219" s="98"/>
      <c r="QH219" s="98"/>
      <c r="QI219" s="98"/>
      <c r="QJ219" s="98"/>
      <c r="QK219" s="98"/>
      <c r="QL219" s="98"/>
      <c r="QM219" s="98"/>
      <c r="QN219" s="98"/>
      <c r="QO219" s="98"/>
      <c r="QP219" s="98"/>
      <c r="QQ219" s="98"/>
      <c r="QR219" s="98"/>
      <c r="QS219" s="98"/>
      <c r="QT219" s="98"/>
      <c r="QU219" s="98"/>
      <c r="QV219" s="98"/>
      <c r="QW219" s="98"/>
      <c r="QX219" s="98"/>
      <c r="QY219" s="98"/>
      <c r="QZ219" s="98"/>
      <c r="RA219" s="98"/>
      <c r="RB219" s="98"/>
      <c r="RC219" s="98"/>
      <c r="RD219" s="98"/>
      <c r="RE219" s="98"/>
      <c r="RF219" s="98"/>
      <c r="RG219" s="98"/>
      <c r="RH219" s="98"/>
      <c r="RI219" s="98"/>
      <c r="RJ219" s="98"/>
      <c r="RK219" s="98"/>
      <c r="RL219" s="98"/>
      <c r="RM219" s="98"/>
      <c r="RN219" s="98"/>
      <c r="RO219" s="98"/>
      <c r="RP219" s="98"/>
      <c r="RQ219" s="98"/>
      <c r="RR219" s="98"/>
      <c r="RS219" s="98"/>
      <c r="RT219" s="98"/>
      <c r="RU219" s="98"/>
      <c r="RV219" s="98"/>
      <c r="RW219" s="98"/>
      <c r="RX219" s="98"/>
      <c r="RY219" s="98"/>
      <c r="RZ219" s="98"/>
      <c r="SA219" s="98"/>
      <c r="SB219" s="98"/>
      <c r="SC219" s="98"/>
      <c r="SD219" s="98"/>
      <c r="SE219" s="98"/>
      <c r="SF219" s="98"/>
      <c r="SG219" s="98"/>
      <c r="SH219" s="98"/>
      <c r="SI219" s="98"/>
      <c r="SJ219" s="98"/>
      <c r="SK219" s="98"/>
      <c r="SL219" s="98"/>
      <c r="SM219" s="98"/>
      <c r="SN219" s="98"/>
      <c r="SO219" s="98"/>
      <c r="SP219" s="98"/>
      <c r="SQ219" s="98"/>
      <c r="SR219" s="98"/>
      <c r="SS219" s="98"/>
      <c r="ST219" s="98"/>
      <c r="SU219" s="98"/>
      <c r="SV219" s="98"/>
      <c r="SW219" s="98"/>
      <c r="SX219" s="98"/>
      <c r="SY219" s="98"/>
      <c r="SZ219" s="98"/>
      <c r="TA219" s="98"/>
      <c r="TB219" s="98"/>
      <c r="TC219" s="98"/>
      <c r="TD219" s="98"/>
      <c r="TE219" s="98"/>
      <c r="TF219" s="98"/>
      <c r="TG219" s="98"/>
      <c r="TH219" s="98"/>
      <c r="TI219" s="98"/>
      <c r="TJ219" s="98"/>
      <c r="TK219" s="98"/>
      <c r="TL219" s="98"/>
      <c r="TM219" s="98"/>
      <c r="TN219" s="98"/>
      <c r="TO219" s="98"/>
      <c r="TP219" s="98"/>
      <c r="TQ219" s="98"/>
      <c r="TR219" s="98"/>
      <c r="TS219" s="98"/>
      <c r="TT219" s="98"/>
      <c r="TU219" s="98"/>
      <c r="TV219" s="98"/>
      <c r="TW219" s="98"/>
      <c r="TX219" s="98"/>
      <c r="TY219" s="98"/>
      <c r="TZ219" s="98"/>
      <c r="UA219" s="98"/>
      <c r="UB219" s="98"/>
      <c r="UC219" s="98"/>
      <c r="UD219" s="98"/>
      <c r="UE219" s="98"/>
      <c r="UF219" s="98"/>
      <c r="UG219" s="98"/>
      <c r="UH219" s="98"/>
      <c r="UI219" s="98"/>
      <c r="UJ219" s="98"/>
      <c r="UK219" s="98"/>
      <c r="UL219" s="98"/>
      <c r="UM219" s="98"/>
      <c r="UN219" s="98"/>
      <c r="UO219" s="98"/>
      <c r="UP219" s="98"/>
      <c r="UQ219" s="98"/>
      <c r="UR219" s="98"/>
      <c r="US219" s="98"/>
      <c r="UT219" s="98"/>
      <c r="UU219" s="98"/>
      <c r="UV219" s="98"/>
      <c r="UW219" s="98"/>
      <c r="UX219" s="98"/>
      <c r="UY219" s="98"/>
      <c r="UZ219" s="98"/>
      <c r="VA219" s="98"/>
      <c r="VB219" s="98"/>
      <c r="VC219" s="98"/>
      <c r="VD219" s="98"/>
      <c r="VE219" s="98"/>
      <c r="VF219" s="98"/>
      <c r="VG219" s="98"/>
      <c r="VH219" s="98"/>
      <c r="VI219" s="98"/>
      <c r="VJ219" s="98"/>
      <c r="VK219" s="98"/>
      <c r="VL219" s="98"/>
      <c r="VM219" s="98"/>
      <c r="VN219" s="98"/>
      <c r="VO219" s="98"/>
      <c r="VP219" s="98"/>
      <c r="VQ219" s="98"/>
      <c r="VR219" s="98"/>
      <c r="VS219" s="98"/>
      <c r="VT219" s="98"/>
      <c r="VU219" s="98"/>
      <c r="VV219" s="98"/>
      <c r="VW219" s="98"/>
      <c r="VX219" s="98"/>
      <c r="VY219" s="98"/>
      <c r="VZ219" s="98"/>
      <c r="WA219" s="98"/>
      <c r="WB219" s="98"/>
      <c r="WC219" s="98"/>
      <c r="WD219" s="98"/>
      <c r="WE219" s="98"/>
      <c r="WF219" s="98"/>
      <c r="WG219" s="98"/>
      <c r="WH219" s="98"/>
      <c r="WI219" s="98"/>
      <c r="WJ219" s="98"/>
      <c r="WK219" s="98"/>
      <c r="WL219" s="98"/>
      <c r="WM219" s="98"/>
      <c r="WN219" s="98"/>
      <c r="WO219" s="98"/>
      <c r="WP219" s="98"/>
      <c r="WQ219" s="98"/>
      <c r="WR219" s="98"/>
      <c r="WS219" s="98"/>
      <c r="WT219" s="98"/>
      <c r="WU219" s="98"/>
      <c r="WV219" s="98"/>
      <c r="WW219" s="98"/>
      <c r="WX219" s="98"/>
      <c r="WY219" s="98"/>
      <c r="WZ219" s="98"/>
      <c r="XA219" s="98"/>
      <c r="XB219" s="98"/>
      <c r="XC219" s="98"/>
      <c r="XD219" s="98"/>
      <c r="XE219" s="98"/>
      <c r="XF219" s="98"/>
      <c r="XG219" s="98"/>
      <c r="XH219" s="98"/>
      <c r="XI219" s="98"/>
      <c r="XJ219" s="98"/>
      <c r="XK219" s="98"/>
      <c r="XL219" s="98"/>
      <c r="XM219" s="98"/>
      <c r="XN219" s="98"/>
      <c r="XO219" s="98"/>
      <c r="XP219" s="98"/>
      <c r="XQ219" s="98"/>
      <c r="XR219" s="98"/>
      <c r="XS219" s="98"/>
      <c r="XT219" s="98"/>
      <c r="XU219" s="98"/>
      <c r="XV219" s="98"/>
      <c r="XW219" s="98"/>
      <c r="XX219" s="98"/>
      <c r="XY219" s="98"/>
      <c r="XZ219" s="98"/>
      <c r="YA219" s="98"/>
      <c r="YB219" s="98"/>
      <c r="YC219" s="98"/>
      <c r="YD219" s="98"/>
      <c r="YE219" s="98"/>
      <c r="YF219" s="98"/>
      <c r="YG219" s="98"/>
      <c r="YH219" s="98"/>
      <c r="YI219" s="98"/>
      <c r="YJ219" s="98"/>
      <c r="YK219" s="98"/>
      <c r="YL219" s="98"/>
      <c r="YM219" s="98"/>
      <c r="YN219" s="98"/>
      <c r="YO219" s="98"/>
      <c r="YP219" s="98"/>
      <c r="YQ219" s="98"/>
      <c r="YR219" s="98"/>
      <c r="YS219" s="98"/>
      <c r="YT219" s="98"/>
      <c r="YU219" s="98"/>
      <c r="YV219" s="98"/>
      <c r="YW219" s="98"/>
      <c r="YX219" s="98"/>
      <c r="YY219" s="98"/>
      <c r="YZ219" s="98"/>
      <c r="ZA219" s="98"/>
      <c r="ZB219" s="98"/>
      <c r="ZC219" s="98"/>
      <c r="ZD219" s="98"/>
      <c r="ZE219" s="98"/>
      <c r="ZF219" s="98"/>
      <c r="ZG219" s="98"/>
      <c r="ZH219" s="98"/>
      <c r="ZI219" s="98"/>
      <c r="ZJ219" s="98"/>
      <c r="ZK219" s="98"/>
      <c r="ZL219" s="98"/>
      <c r="ZM219" s="98"/>
      <c r="ZN219" s="98"/>
      <c r="ZO219" s="98"/>
      <c r="ZP219" s="98"/>
      <c r="ZQ219" s="98"/>
      <c r="ZR219" s="98"/>
      <c r="ZS219" s="98"/>
      <c r="ZT219" s="98"/>
      <c r="ZU219" s="98"/>
      <c r="ZV219" s="98"/>
      <c r="ZW219" s="98"/>
      <c r="ZX219" s="98"/>
      <c r="ZY219" s="98"/>
      <c r="ZZ219" s="98"/>
      <c r="AAA219" s="98"/>
      <c r="AAB219" s="98"/>
      <c r="AAC219" s="98"/>
      <c r="AAD219" s="98"/>
      <c r="AAE219" s="98"/>
      <c r="AAF219" s="98"/>
      <c r="AAG219" s="98"/>
      <c r="AAH219" s="98"/>
      <c r="AAI219" s="98"/>
      <c r="AAJ219" s="98"/>
      <c r="AAK219" s="98"/>
      <c r="AAL219" s="98"/>
      <c r="AAM219" s="98"/>
      <c r="AAN219" s="98"/>
      <c r="AAO219" s="98"/>
      <c r="AAP219" s="98"/>
      <c r="AAQ219" s="98"/>
      <c r="AAR219" s="98"/>
      <c r="AAS219" s="98"/>
      <c r="AAT219" s="98"/>
      <c r="AAU219" s="98"/>
      <c r="AAV219" s="98"/>
      <c r="AAW219" s="98"/>
      <c r="AAX219" s="98"/>
      <c r="AAY219" s="98"/>
      <c r="AAZ219" s="98"/>
      <c r="ABA219" s="98"/>
      <c r="ABB219" s="98"/>
      <c r="ABC219" s="98"/>
      <c r="ABD219" s="98"/>
      <c r="ABE219" s="98"/>
      <c r="ABF219" s="98"/>
      <c r="ABG219" s="98"/>
      <c r="ABH219" s="98"/>
      <c r="ABI219" s="98"/>
      <c r="ABJ219" s="98"/>
      <c r="ABK219" s="98"/>
      <c r="ABL219" s="98"/>
      <c r="ABM219" s="98"/>
      <c r="ABN219" s="98"/>
      <c r="ABO219" s="98"/>
      <c r="ABP219" s="98"/>
      <c r="ABQ219" s="98"/>
      <c r="ABR219" s="98"/>
      <c r="ABS219" s="98"/>
      <c r="ABT219" s="98"/>
      <c r="ABU219" s="98"/>
      <c r="ABV219" s="98"/>
      <c r="ABW219" s="98"/>
      <c r="ABX219" s="98"/>
      <c r="ABY219" s="98"/>
      <c r="ABZ219" s="98"/>
      <c r="ACA219" s="98"/>
      <c r="ACB219" s="98"/>
      <c r="ACC219" s="98"/>
      <c r="ACD219" s="98"/>
      <c r="ACE219" s="98"/>
      <c r="ACF219" s="98"/>
      <c r="ACG219" s="98"/>
      <c r="ACH219" s="98"/>
      <c r="ACI219" s="98"/>
      <c r="ACJ219" s="98"/>
      <c r="ACK219" s="98"/>
      <c r="ACL219" s="98"/>
      <c r="ACM219" s="98"/>
      <c r="ACN219" s="98"/>
      <c r="ACO219" s="98"/>
      <c r="ACP219" s="98"/>
      <c r="ACQ219" s="98"/>
      <c r="ACR219" s="98"/>
      <c r="ACS219" s="98"/>
      <c r="ACT219" s="98"/>
      <c r="ACU219" s="98"/>
      <c r="ACV219" s="98"/>
      <c r="ACW219" s="98"/>
      <c r="ACX219" s="98"/>
      <c r="ACY219" s="98"/>
      <c r="ACZ219" s="98"/>
      <c r="ADA219" s="98"/>
      <c r="ADB219" s="98"/>
      <c r="ADC219" s="98"/>
      <c r="ADD219" s="98"/>
      <c r="ADE219" s="98"/>
      <c r="ADF219" s="98"/>
      <c r="ADG219" s="98"/>
      <c r="ADH219" s="98"/>
      <c r="ADI219" s="98"/>
      <c r="ADJ219" s="98"/>
      <c r="ADK219" s="98"/>
      <c r="ADL219" s="98"/>
      <c r="ADM219" s="98"/>
      <c r="ADN219" s="98"/>
      <c r="ADO219" s="98"/>
      <c r="ADP219" s="98"/>
      <c r="ADQ219" s="98"/>
      <c r="ADR219" s="98"/>
      <c r="ADS219" s="98"/>
      <c r="ADT219" s="98"/>
      <c r="ADU219" s="98"/>
      <c r="ADV219" s="98"/>
      <c r="ADW219" s="98"/>
      <c r="ADX219" s="98"/>
      <c r="ADY219" s="98"/>
      <c r="ADZ219" s="98"/>
      <c r="AEA219" s="98"/>
      <c r="AEB219" s="98"/>
      <c r="AEC219" s="98"/>
      <c r="AED219" s="98"/>
      <c r="AEE219" s="98"/>
      <c r="AEF219" s="98"/>
      <c r="AEG219" s="98"/>
      <c r="AEH219" s="98"/>
      <c r="AEI219" s="98"/>
      <c r="AEJ219" s="98"/>
      <c r="AEK219" s="98"/>
      <c r="AEL219" s="98"/>
      <c r="AEM219" s="98"/>
      <c r="AEN219" s="98"/>
      <c r="AEO219" s="98"/>
      <c r="AEP219" s="98"/>
      <c r="AEQ219" s="98"/>
      <c r="AER219" s="98"/>
      <c r="AES219" s="98"/>
      <c r="AET219" s="98"/>
      <c r="AEU219" s="98"/>
      <c r="AEV219" s="98"/>
      <c r="AEW219" s="98"/>
      <c r="AEX219" s="98"/>
      <c r="AEY219" s="98"/>
      <c r="AEZ219" s="98"/>
      <c r="AFA219" s="98"/>
      <c r="AFB219" s="98"/>
      <c r="AFC219" s="98"/>
      <c r="AFD219" s="98"/>
      <c r="AFE219" s="98"/>
      <c r="AFF219" s="98"/>
      <c r="AFG219" s="98"/>
      <c r="AFH219" s="98"/>
      <c r="AFI219" s="98"/>
      <c r="AFJ219" s="98"/>
      <c r="AFK219" s="98"/>
      <c r="AFL219" s="98"/>
      <c r="AFM219" s="98"/>
      <c r="AFN219" s="98"/>
      <c r="AFO219" s="98"/>
      <c r="AFP219" s="98"/>
      <c r="AFQ219" s="98"/>
      <c r="AFR219" s="98"/>
      <c r="AFS219" s="98"/>
      <c r="AFT219" s="98"/>
      <c r="AFU219" s="98"/>
      <c r="AFV219" s="98"/>
      <c r="AFW219" s="98"/>
      <c r="AFX219" s="98"/>
      <c r="AFY219" s="98"/>
      <c r="AFZ219" s="98"/>
      <c r="AGA219" s="98"/>
      <c r="AGB219" s="98"/>
      <c r="AGC219" s="98"/>
      <c r="AGD219" s="98"/>
      <c r="AGE219" s="98"/>
      <c r="AGF219" s="98"/>
      <c r="AGG219" s="98"/>
      <c r="AGH219" s="98"/>
      <c r="AGI219" s="98"/>
      <c r="AGJ219" s="98"/>
      <c r="AGK219" s="98"/>
      <c r="AGL219" s="98"/>
      <c r="AGM219" s="98"/>
      <c r="AGN219" s="98"/>
      <c r="AGO219" s="98"/>
      <c r="AGP219" s="98"/>
      <c r="AGQ219" s="98"/>
      <c r="AGR219" s="98"/>
      <c r="AGS219" s="98"/>
      <c r="AGT219" s="98"/>
      <c r="AGU219" s="98"/>
      <c r="AGV219" s="98"/>
      <c r="AGW219" s="98"/>
      <c r="AGX219" s="98"/>
      <c r="AGY219" s="98"/>
      <c r="AGZ219" s="98"/>
      <c r="AHA219" s="98"/>
      <c r="AHB219" s="98"/>
      <c r="AHC219" s="98"/>
      <c r="AHD219" s="98"/>
      <c r="AHE219" s="98"/>
      <c r="AHF219" s="98"/>
      <c r="AHG219" s="98"/>
      <c r="AHH219" s="98"/>
      <c r="AHI219" s="98"/>
      <c r="AHJ219" s="98"/>
      <c r="AHK219" s="98"/>
      <c r="AHL219" s="98"/>
      <c r="AHM219" s="98"/>
      <c r="AHN219" s="98"/>
      <c r="AHO219" s="98"/>
      <c r="AHP219" s="98"/>
      <c r="AHQ219" s="98"/>
      <c r="AHR219" s="98"/>
      <c r="AHS219" s="98"/>
      <c r="AHT219" s="98"/>
      <c r="AHU219" s="98"/>
      <c r="AHV219" s="98"/>
      <c r="AHW219" s="98"/>
      <c r="AHX219" s="98"/>
      <c r="AHY219" s="98"/>
      <c r="AHZ219" s="98"/>
      <c r="AIA219" s="98"/>
      <c r="AIB219" s="98"/>
      <c r="AIC219" s="98"/>
      <c r="AID219" s="98"/>
      <c r="AIE219" s="98"/>
      <c r="AIF219" s="98"/>
      <c r="AIG219" s="98"/>
      <c r="AIH219" s="98"/>
      <c r="AII219" s="98"/>
      <c r="AIJ219" s="98"/>
      <c r="AIK219" s="98"/>
      <c r="AIL219" s="98"/>
      <c r="AIM219" s="98"/>
      <c r="AIN219" s="98"/>
      <c r="AIO219" s="98"/>
      <c r="AIP219" s="98"/>
      <c r="AIQ219" s="98"/>
      <c r="AIR219" s="98"/>
      <c r="AIS219" s="98"/>
      <c r="AIT219" s="98"/>
      <c r="AIU219" s="98"/>
      <c r="AIV219" s="98"/>
      <c r="AIW219" s="98"/>
      <c r="AIX219" s="98"/>
      <c r="AIY219" s="98"/>
      <c r="AIZ219" s="98"/>
      <c r="AJA219" s="98"/>
      <c r="AJB219" s="98"/>
      <c r="AJC219" s="98"/>
      <c r="AJD219" s="98"/>
      <c r="AJE219" s="98"/>
      <c r="AJF219" s="98"/>
      <c r="AJG219" s="98"/>
      <c r="AJH219" s="98"/>
      <c r="AJI219" s="98"/>
      <c r="AJJ219" s="98"/>
      <c r="AJK219" s="98"/>
      <c r="AJL219" s="98"/>
      <c r="AJM219" s="98"/>
      <c r="AJN219" s="98"/>
      <c r="AJO219" s="98"/>
      <c r="AJP219" s="98"/>
      <c r="AJQ219" s="98"/>
      <c r="AJR219" s="98"/>
      <c r="AJS219" s="98"/>
      <c r="AJT219" s="98"/>
      <c r="AJU219" s="98"/>
      <c r="AJV219" s="98"/>
      <c r="AJW219" s="98"/>
      <c r="AJX219" s="98"/>
      <c r="AJY219" s="98"/>
      <c r="AJZ219" s="98"/>
      <c r="AKA219" s="98"/>
      <c r="AKB219" s="98"/>
      <c r="AKC219" s="98"/>
      <c r="AKD219" s="98"/>
      <c r="AKE219" s="98"/>
      <c r="AKF219" s="98"/>
      <c r="AKG219" s="98"/>
      <c r="AKH219" s="98"/>
      <c r="AKI219" s="98"/>
      <c r="AKJ219" s="98"/>
      <c r="AKK219" s="98"/>
      <c r="AKL219" s="98"/>
      <c r="AKM219" s="98"/>
      <c r="AKN219" s="98"/>
      <c r="AKO219" s="98"/>
      <c r="AKP219" s="98"/>
      <c r="AKQ219" s="98"/>
      <c r="AKR219" s="98"/>
      <c r="AKS219" s="98"/>
      <c r="AKT219" s="98"/>
      <c r="AKU219" s="98"/>
      <c r="AKV219" s="98"/>
      <c r="AKW219" s="98"/>
      <c r="AKX219" s="98"/>
      <c r="AKY219" s="98"/>
      <c r="AKZ219" s="98"/>
      <c r="ALA219" s="98"/>
      <c r="ALB219" s="98"/>
      <c r="ALC219" s="98"/>
      <c r="ALD219" s="98"/>
      <c r="ALE219" s="98"/>
      <c r="ALF219" s="98"/>
      <c r="ALG219" s="98"/>
      <c r="ALH219" s="98"/>
      <c r="ALI219" s="98"/>
      <c r="ALJ219" s="98"/>
      <c r="ALK219" s="98"/>
      <c r="ALL219" s="98"/>
      <c r="ALM219" s="98"/>
      <c r="ALN219" s="98"/>
      <c r="ALO219" s="98"/>
      <c r="ALP219" s="98"/>
      <c r="ALQ219" s="98"/>
      <c r="ALR219" s="98"/>
      <c r="ALS219" s="98"/>
      <c r="ALT219" s="98"/>
      <c r="ALU219" s="98"/>
      <c r="ALV219" s="98"/>
      <c r="ALW219" s="98"/>
      <c r="ALX219" s="98"/>
      <c r="ALY219" s="98"/>
      <c r="ALZ219" s="98"/>
      <c r="AMA219" s="98"/>
      <c r="AMB219" s="98"/>
      <c r="AMC219" s="98"/>
      <c r="AMD219" s="98"/>
      <c r="AME219" s="98"/>
      <c r="AMF219" s="98"/>
      <c r="AMG219" s="98"/>
      <c r="AMH219" s="98"/>
      <c r="AMI219" s="98"/>
      <c r="AMJ219" s="98"/>
      <c r="AMK219" s="98"/>
      <c r="AML219" s="98"/>
      <c r="AMM219" s="98"/>
      <c r="AMN219" s="98"/>
      <c r="AMO219" s="98"/>
      <c r="AMP219" s="98"/>
      <c r="AMQ219" s="98"/>
      <c r="AMR219" s="98"/>
      <c r="AMS219" s="98"/>
      <c r="AMT219" s="98"/>
      <c r="AMU219" s="98"/>
      <c r="AMV219" s="98"/>
      <c r="AMW219" s="98"/>
      <c r="AMX219" s="98"/>
      <c r="AMY219" s="98"/>
      <c r="AMZ219" s="98"/>
      <c r="ANA219" s="98"/>
      <c r="ANB219" s="98"/>
      <c r="ANC219" s="98"/>
      <c r="AND219" s="98"/>
      <c r="ANE219" s="98"/>
      <c r="ANF219" s="98"/>
      <c r="ANG219" s="98"/>
      <c r="ANH219" s="98"/>
      <c r="ANI219" s="98"/>
      <c r="ANJ219" s="98"/>
      <c r="ANK219" s="98"/>
      <c r="ANL219" s="98"/>
      <c r="ANM219" s="98"/>
      <c r="ANN219" s="98"/>
      <c r="ANO219" s="98"/>
      <c r="ANP219" s="98"/>
      <c r="ANQ219" s="98"/>
      <c r="ANR219" s="98"/>
      <c r="ANS219" s="98"/>
      <c r="ANT219" s="98"/>
      <c r="ANU219" s="98"/>
      <c r="ANV219" s="98"/>
      <c r="ANW219" s="98"/>
      <c r="ANX219" s="98"/>
      <c r="ANY219" s="98"/>
      <c r="ANZ219" s="98"/>
      <c r="AOA219" s="98"/>
      <c r="AOB219" s="98"/>
      <c r="AOC219" s="98"/>
      <c r="AOD219" s="98"/>
      <c r="AOE219" s="98"/>
      <c r="AOF219" s="98"/>
      <c r="AOG219" s="98"/>
      <c r="AOH219" s="98"/>
      <c r="AOI219" s="98"/>
      <c r="AOJ219" s="98"/>
      <c r="AOK219" s="98"/>
      <c r="AOL219" s="98"/>
      <c r="AOM219" s="98"/>
      <c r="AON219" s="98"/>
      <c r="AOO219" s="98"/>
      <c r="AOP219" s="98"/>
      <c r="AOQ219" s="98"/>
      <c r="AOR219" s="98"/>
      <c r="AOS219" s="98"/>
      <c r="AOT219" s="98"/>
      <c r="AOU219" s="98"/>
      <c r="AOV219" s="98"/>
      <c r="AOW219" s="98"/>
      <c r="AOX219" s="98"/>
      <c r="AOY219" s="98"/>
      <c r="AOZ219" s="98"/>
      <c r="APA219" s="98"/>
      <c r="APB219" s="98"/>
      <c r="APC219" s="98"/>
      <c r="APD219" s="98"/>
      <c r="APE219" s="98"/>
      <c r="APF219" s="98"/>
      <c r="APG219" s="98"/>
      <c r="APH219" s="98"/>
      <c r="API219" s="98"/>
      <c r="APJ219" s="98"/>
      <c r="APK219" s="98"/>
      <c r="APL219" s="98"/>
      <c r="APM219" s="98"/>
      <c r="APN219" s="98"/>
      <c r="APO219" s="98"/>
      <c r="APP219" s="98"/>
      <c r="APQ219" s="98"/>
      <c r="APR219" s="98"/>
      <c r="APS219" s="98"/>
      <c r="APT219" s="98"/>
      <c r="APU219" s="98"/>
      <c r="APV219" s="98"/>
      <c r="APW219" s="98"/>
      <c r="APX219" s="98"/>
      <c r="APY219" s="98"/>
      <c r="APZ219" s="98"/>
      <c r="AQA219" s="98"/>
      <c r="AQB219" s="98"/>
      <c r="AQC219" s="98"/>
      <c r="AQD219" s="98"/>
      <c r="AQE219" s="98"/>
      <c r="AQF219" s="98"/>
      <c r="AQG219" s="98"/>
      <c r="AQH219" s="98"/>
      <c r="AQI219" s="98"/>
      <c r="AQJ219" s="98"/>
      <c r="AQK219" s="98"/>
      <c r="AQL219" s="98"/>
      <c r="AQM219" s="98"/>
      <c r="AQN219" s="98"/>
      <c r="AQO219" s="98"/>
      <c r="AQP219" s="98"/>
      <c r="AQQ219" s="98"/>
      <c r="AQR219" s="98"/>
      <c r="AQS219" s="98"/>
      <c r="AQT219" s="98"/>
      <c r="AQU219" s="98"/>
      <c r="AQV219" s="98"/>
      <c r="AQW219" s="98"/>
      <c r="AQX219" s="98"/>
      <c r="AQY219" s="98"/>
      <c r="AQZ219" s="98"/>
      <c r="ARA219" s="98"/>
      <c r="ARB219" s="98"/>
      <c r="ARC219" s="98"/>
      <c r="ARD219" s="98"/>
      <c r="ARE219" s="98"/>
      <c r="ARF219" s="98"/>
      <c r="ARG219" s="98"/>
      <c r="ARH219" s="98"/>
      <c r="ARI219" s="98"/>
      <c r="ARJ219" s="98"/>
      <c r="ARK219" s="98"/>
      <c r="ARL219" s="98"/>
      <c r="ARM219" s="98"/>
      <c r="ARN219" s="98"/>
      <c r="ARO219" s="98"/>
      <c r="ARP219" s="98"/>
      <c r="ARQ219" s="98"/>
      <c r="ARR219" s="98"/>
      <c r="ARS219" s="98"/>
    </row>
    <row r="220" spans="1:1163">
      <c r="A220" s="118"/>
      <c r="B220" s="132"/>
      <c r="C220" s="197"/>
      <c r="D220" s="197"/>
      <c r="E220" s="197"/>
      <c r="F220" s="197"/>
      <c r="G220" s="197"/>
      <c r="H220" s="197"/>
      <c r="I220" s="197"/>
      <c r="J220" s="197"/>
      <c r="K220" s="197"/>
      <c r="L220" s="197"/>
      <c r="M220" s="197"/>
      <c r="N220" s="197"/>
      <c r="O220" s="197"/>
      <c r="P220" s="197"/>
      <c r="Q220" s="197"/>
      <c r="R220" s="197"/>
      <c r="S220" s="197"/>
      <c r="T220" s="197"/>
      <c r="U220" s="120"/>
      <c r="V220" s="120"/>
      <c r="W220" s="201"/>
      <c r="X220" s="197"/>
      <c r="Y220" s="175"/>
      <c r="Z220" s="175"/>
      <c r="AA220" s="201"/>
      <c r="AB220" s="209"/>
      <c r="AC220" s="175"/>
      <c r="AD220" s="175"/>
      <c r="AE220" s="201"/>
      <c r="AF220" s="201"/>
      <c r="AG220" s="201"/>
      <c r="AH220" s="201"/>
      <c r="AI220" s="201"/>
      <c r="AJ220" s="201"/>
      <c r="AK220" s="201"/>
      <c r="AL220" s="201"/>
      <c r="AM220" s="201"/>
      <c r="AN220" s="201"/>
      <c r="AO220" s="201"/>
      <c r="AP220" s="201"/>
      <c r="AQ220" s="201"/>
      <c r="AR220" s="201"/>
      <c r="AS220" s="201"/>
      <c r="AT220" s="201"/>
      <c r="AU220" s="201"/>
      <c r="AV220" s="209"/>
      <c r="AW220" s="181"/>
      <c r="AX220" s="181"/>
      <c r="AY220" s="210"/>
      <c r="AZ220" s="210"/>
      <c r="BA220" s="143"/>
      <c r="BB220" s="181"/>
      <c r="BC220" s="181"/>
      <c r="BD220" s="181"/>
      <c r="BE220" s="181"/>
      <c r="BF220" s="181"/>
      <c r="BG220" s="181"/>
      <c r="BH220" s="181"/>
      <c r="BI220" s="143"/>
      <c r="BJ220" s="98"/>
      <c r="BL220" s="148"/>
      <c r="BM220" s="148"/>
    </row>
    <row r="221" spans="1:1163">
      <c r="A221" s="124" t="s">
        <v>211</v>
      </c>
      <c r="B221" s="161" t="s">
        <v>67</v>
      </c>
      <c r="C221" s="194">
        <v>4640</v>
      </c>
      <c r="D221" s="194">
        <v>48810</v>
      </c>
      <c r="E221" s="194">
        <v>159</v>
      </c>
      <c r="F221" s="194">
        <v>1590</v>
      </c>
      <c r="G221" s="194">
        <v>0</v>
      </c>
      <c r="H221" s="194">
        <v>0</v>
      </c>
      <c r="I221" s="194">
        <v>429</v>
      </c>
      <c r="J221" s="194">
        <v>7040</v>
      </c>
      <c r="K221" s="194">
        <v>56</v>
      </c>
      <c r="L221" s="194">
        <v>840</v>
      </c>
      <c r="M221" s="194">
        <v>423</v>
      </c>
      <c r="N221" s="194">
        <v>7275</v>
      </c>
      <c r="O221" s="194">
        <v>615</v>
      </c>
      <c r="P221" s="194">
        <v>9245</v>
      </c>
      <c r="Q221" s="194">
        <v>657</v>
      </c>
      <c r="R221" s="194">
        <v>13142</v>
      </c>
      <c r="S221" s="194">
        <v>1409</v>
      </c>
      <c r="T221" s="194">
        <v>28226</v>
      </c>
      <c r="U221" s="194">
        <v>1165</v>
      </c>
      <c r="V221" s="194">
        <v>146416</v>
      </c>
      <c r="W221" s="194">
        <v>306</v>
      </c>
      <c r="X221" s="194">
        <v>54268</v>
      </c>
      <c r="Y221" s="194">
        <v>43</v>
      </c>
      <c r="Z221" s="194">
        <v>7691</v>
      </c>
      <c r="AA221" s="208">
        <v>580</v>
      </c>
      <c r="AB221" s="208">
        <v>103018</v>
      </c>
      <c r="AC221" s="194">
        <v>308</v>
      </c>
      <c r="AD221" s="194">
        <v>54754</v>
      </c>
      <c r="AE221" s="208">
        <v>0</v>
      </c>
      <c r="AF221" s="208">
        <v>0</v>
      </c>
      <c r="AG221" s="202">
        <v>0</v>
      </c>
      <c r="AH221" s="202">
        <v>0</v>
      </c>
      <c r="AI221" s="202">
        <v>0</v>
      </c>
      <c r="AJ221" s="202">
        <v>0</v>
      </c>
      <c r="AK221" s="202">
        <v>0</v>
      </c>
      <c r="AL221" s="202">
        <v>0</v>
      </c>
      <c r="AM221" s="202">
        <v>0</v>
      </c>
      <c r="AN221" s="202">
        <v>0</v>
      </c>
      <c r="AO221" s="202">
        <v>0</v>
      </c>
      <c r="AP221" s="202">
        <v>0</v>
      </c>
      <c r="AQ221" s="202">
        <v>0</v>
      </c>
      <c r="AR221" s="202">
        <v>0</v>
      </c>
      <c r="AS221" s="202">
        <v>0</v>
      </c>
      <c r="AT221" s="202">
        <v>0</v>
      </c>
      <c r="AU221" s="202">
        <v>0</v>
      </c>
      <c r="AV221" s="202">
        <v>0</v>
      </c>
      <c r="AW221" s="202">
        <v>0</v>
      </c>
      <c r="AX221" s="202">
        <v>0</v>
      </c>
      <c r="AY221" s="202">
        <v>0</v>
      </c>
      <c r="AZ221" s="202">
        <v>0</v>
      </c>
      <c r="BA221" s="185"/>
      <c r="BB221" s="202"/>
      <c r="BC221" s="195"/>
      <c r="BD221" s="202"/>
      <c r="BE221" s="185"/>
      <c r="BF221" s="202"/>
      <c r="BG221" s="195"/>
      <c r="BH221" s="202"/>
      <c r="BI221" s="185"/>
      <c r="BJ221" s="98"/>
      <c r="BL221" s="148"/>
      <c r="BM221" s="148"/>
    </row>
    <row r="222" spans="1:1163">
      <c r="A222" s="124"/>
      <c r="B222" s="161"/>
      <c r="C222" s="194"/>
      <c r="D222" s="194"/>
      <c r="E222" s="194"/>
      <c r="F222" s="194"/>
      <c r="G222" s="194"/>
      <c r="H222" s="194"/>
      <c r="I222" s="194"/>
      <c r="J222" s="194"/>
      <c r="K222" s="194"/>
      <c r="L222" s="194"/>
      <c r="M222" s="194"/>
      <c r="N222" s="194"/>
      <c r="O222" s="194"/>
      <c r="P222" s="194"/>
      <c r="Q222" s="194"/>
      <c r="R222" s="194"/>
      <c r="S222" s="194"/>
      <c r="T222" s="194"/>
      <c r="U222" s="202"/>
      <c r="V222" s="202"/>
      <c r="W222" s="202"/>
      <c r="X222" s="194"/>
      <c r="Y222" s="194"/>
      <c r="Z222" s="194"/>
      <c r="AA222" s="208"/>
      <c r="AB222" s="208"/>
      <c r="AC222" s="194"/>
      <c r="AD222" s="194"/>
      <c r="AE222" s="208"/>
      <c r="AF222" s="208"/>
      <c r="AG222" s="202"/>
      <c r="AH222" s="202"/>
      <c r="AI222" s="202"/>
      <c r="AJ222" s="202"/>
      <c r="AK222" s="202"/>
      <c r="AL222" s="202"/>
      <c r="AM222" s="202"/>
      <c r="AN222" s="202"/>
      <c r="AO222" s="202"/>
      <c r="AP222" s="202"/>
      <c r="AQ222" s="202"/>
      <c r="AR222" s="202"/>
      <c r="AS222" s="202"/>
      <c r="AT222" s="202"/>
      <c r="AU222" s="202"/>
      <c r="AV222" s="208"/>
      <c r="AW222" s="192"/>
      <c r="AX222" s="192"/>
      <c r="AY222" s="205"/>
      <c r="AZ222" s="205"/>
      <c r="BA222" s="185"/>
      <c r="BB222" s="192"/>
      <c r="BC222" s="192"/>
      <c r="BD222" s="192"/>
      <c r="BE222" s="192"/>
      <c r="BF222" s="192"/>
      <c r="BG222" s="192"/>
      <c r="BH222" s="192"/>
      <c r="BI222" s="185"/>
      <c r="BJ222" s="98"/>
      <c r="BL222" s="148"/>
      <c r="BM222" s="148"/>
    </row>
    <row r="223" spans="1:1163">
      <c r="A223" s="847" t="s">
        <v>436</v>
      </c>
      <c r="B223" s="848"/>
      <c r="C223" s="849"/>
      <c r="D223" s="850">
        <f>D225-D180</f>
        <v>15634703815</v>
      </c>
      <c r="E223" s="849"/>
      <c r="F223" s="851">
        <f>F225-F180</f>
        <v>2413726118</v>
      </c>
      <c r="G223" s="849"/>
      <c r="H223" s="851">
        <f>H225-H180</f>
        <v>2392080425</v>
      </c>
      <c r="I223" s="849"/>
      <c r="J223" s="851">
        <f>J225-J180</f>
        <v>3046052124</v>
      </c>
      <c r="K223" s="849"/>
      <c r="L223" s="851">
        <f>L225-L180</f>
        <v>3321472019</v>
      </c>
      <c r="M223" s="849"/>
      <c r="N223" s="851">
        <f>N225-N180</f>
        <v>3788892028</v>
      </c>
      <c r="O223" s="849"/>
      <c r="P223" s="851">
        <f>P225-P180</f>
        <v>4619643170</v>
      </c>
      <c r="Q223" s="849"/>
      <c r="R223" s="851">
        <f>R225-R180</f>
        <v>4902057293</v>
      </c>
      <c r="S223" s="849"/>
      <c r="T223" s="851">
        <f>T225-T180</f>
        <v>5559432708.1999998</v>
      </c>
      <c r="U223" s="852"/>
      <c r="V223" s="853">
        <f>V225-V180</f>
        <v>6482434780</v>
      </c>
      <c r="W223" s="852"/>
      <c r="X223" s="851">
        <f>X225-X180</f>
        <v>8588544659.2000008</v>
      </c>
      <c r="Y223" s="849"/>
      <c r="Z223" s="851">
        <f>Z225-Z180</f>
        <v>9745992909</v>
      </c>
      <c r="AA223" s="854"/>
      <c r="AB223" s="855">
        <f>AB225-AB180</f>
        <v>9612062194.3999996</v>
      </c>
      <c r="AC223" s="849"/>
      <c r="AD223" s="851">
        <f>AD225-AD180</f>
        <v>9518375904</v>
      </c>
      <c r="AE223" s="854"/>
      <c r="AF223" s="855">
        <f>AF225-AF180</f>
        <v>9929132572</v>
      </c>
      <c r="AG223" s="852"/>
      <c r="AH223" s="853">
        <f>AH225-AH180</f>
        <v>9808995761</v>
      </c>
      <c r="AI223" s="852"/>
      <c r="AJ223" s="853">
        <f>AJ225-AJ180</f>
        <v>10955749953</v>
      </c>
      <c r="AK223" s="852"/>
      <c r="AL223" s="853">
        <f>AL225-AL180</f>
        <v>11388031775.356386</v>
      </c>
      <c r="AM223" s="852"/>
      <c r="AN223" s="853">
        <f>AN225-AN180</f>
        <v>12262207259.583641</v>
      </c>
      <c r="AO223" s="852"/>
      <c r="AP223" s="853">
        <f>AP225-AP180</f>
        <v>13322248845</v>
      </c>
      <c r="AQ223" s="852"/>
      <c r="AR223" s="853">
        <f>AR225-AR180</f>
        <v>12191852411.666513</v>
      </c>
      <c r="AS223" s="852"/>
      <c r="AT223" s="853">
        <f>AT225-AT180</f>
        <v>15794010503.422035</v>
      </c>
      <c r="AU223" s="852"/>
      <c r="AV223" s="855">
        <f>AV225-AV180</f>
        <v>17327540780.648415</v>
      </c>
      <c r="AW223" s="856"/>
      <c r="AX223" s="857">
        <f>AX225-AX180</f>
        <v>17065415798</v>
      </c>
      <c r="AY223" s="858"/>
      <c r="AZ223" s="857">
        <f>AZ225-AZ180</f>
        <v>16995215413.330002</v>
      </c>
      <c r="BA223" s="859"/>
      <c r="BB223" s="856"/>
      <c r="BC223" s="856"/>
      <c r="BD223" s="856"/>
      <c r="BE223" s="856"/>
      <c r="BF223" s="856"/>
      <c r="BG223" s="856"/>
      <c r="BH223" s="856"/>
      <c r="BI223" s="859"/>
      <c r="BJ223" s="98"/>
      <c r="BL223" s="148"/>
      <c r="BM223" s="148"/>
    </row>
    <row r="224" spans="1:1163">
      <c r="A224" s="847"/>
      <c r="B224" s="848"/>
      <c r="C224" s="849"/>
      <c r="D224" s="849"/>
      <c r="E224" s="849"/>
      <c r="F224" s="849"/>
      <c r="G224" s="849"/>
      <c r="H224" s="849"/>
      <c r="I224" s="849"/>
      <c r="J224" s="849"/>
      <c r="K224" s="849"/>
      <c r="L224" s="849"/>
      <c r="M224" s="849"/>
      <c r="N224" s="849"/>
      <c r="O224" s="849"/>
      <c r="P224" s="849"/>
      <c r="Q224" s="849"/>
      <c r="R224" s="849"/>
      <c r="S224" s="849"/>
      <c r="T224" s="849"/>
      <c r="U224" s="852"/>
      <c r="V224" s="852"/>
      <c r="W224" s="852"/>
      <c r="X224" s="849"/>
      <c r="Y224" s="849"/>
      <c r="Z224" s="849"/>
      <c r="AA224" s="854"/>
      <c r="AB224" s="854"/>
      <c r="AC224" s="849"/>
      <c r="AD224" s="849"/>
      <c r="AE224" s="854"/>
      <c r="AF224" s="854"/>
      <c r="AG224" s="852"/>
      <c r="AH224" s="852"/>
      <c r="AI224" s="852"/>
      <c r="AJ224" s="852"/>
      <c r="AK224" s="852"/>
      <c r="AL224" s="852"/>
      <c r="AM224" s="852"/>
      <c r="AN224" s="852"/>
      <c r="AO224" s="852"/>
      <c r="AP224" s="852"/>
      <c r="AQ224" s="852"/>
      <c r="AR224" s="852"/>
      <c r="AS224" s="852"/>
      <c r="AT224" s="852"/>
      <c r="AU224" s="852"/>
      <c r="AV224" s="854"/>
      <c r="AW224" s="856"/>
      <c r="AX224" s="856"/>
      <c r="AY224" s="858"/>
      <c r="AZ224" s="858"/>
      <c r="BA224" s="859"/>
      <c r="BB224" s="856"/>
      <c r="BC224" s="856"/>
      <c r="BD224" s="856"/>
      <c r="BE224" s="856"/>
      <c r="BF224" s="856"/>
      <c r="BG224" s="856"/>
      <c r="BH224" s="856"/>
      <c r="BI224" s="859"/>
      <c r="BJ224" s="98"/>
      <c r="BL224" s="148"/>
      <c r="BM224" s="148"/>
    </row>
    <row r="225" spans="1:1163" s="174" customFormat="1">
      <c r="A225" s="847" t="s">
        <v>437</v>
      </c>
      <c r="B225" s="860"/>
      <c r="C225" s="850"/>
      <c r="D225" s="850">
        <f>D14+D16+D18+D20+D27+D29+D40+D42+D44+D57+D59+D67+D69+D71+D84+D108+D110+D112+D114+D116+D131+D136+D143+D148+D150+D152+D154+D167+D169+D171+D180+D182+D187+D189+D191+D197+D199+D201+D203+D205+D212+D217+D219+D221</f>
        <v>16619181608</v>
      </c>
      <c r="E225" s="850"/>
      <c r="F225" s="850">
        <v>2708313125</v>
      </c>
      <c r="G225" s="850"/>
      <c r="H225" s="850">
        <v>2699976770</v>
      </c>
      <c r="I225" s="850"/>
      <c r="J225" s="850">
        <v>3341192354</v>
      </c>
      <c r="K225" s="850"/>
      <c r="L225" s="850">
        <v>3677428832</v>
      </c>
      <c r="M225" s="850"/>
      <c r="N225" s="850">
        <v>4177624611</v>
      </c>
      <c r="O225" s="850"/>
      <c r="P225" s="850">
        <v>5233201179</v>
      </c>
      <c r="Q225" s="850"/>
      <c r="R225" s="850">
        <f>R14+R29+R40+R44+R57+R59+R67+R69+R71+R84+R108+R112+R116+R131+R136+R143+R148+R150+R152+R167+R171+R180+R186+R191+R197+R199+R203+R205+R212+R219+R221</f>
        <v>5485424979</v>
      </c>
      <c r="S225" s="850"/>
      <c r="T225" s="850">
        <f>T14+T29+T40+T44+T57+T59+T67+T69+T71+T84+T108+T112+T116+T131+T136+T143+T148+T150+T152+T167+T171+T180+T186+T191+T197+T199+T203+T205+T212+T219+T221</f>
        <v>6335662557.1999998</v>
      </c>
      <c r="U225" s="861"/>
      <c r="V225" s="850">
        <f>V14+V29+V40+V44+V57+V59+V67+V69+V71+V84+V108+V112+V116+V131+V136+V143+V148+V150+V152+V167+V171+V180+V186+V191+V197+V199+V203+V205+V212+V219+V221</f>
        <v>7176228736</v>
      </c>
      <c r="W225" s="862"/>
      <c r="X225" s="850">
        <f>X14+X29+X40+X44+X57+X59+X67+X69+X71+X84+X108+X112+X116+X131+X136+X143+X148+X150+X152+X167+X171+X180+X186+X191+X197+X199+X203+X205+X212+X219+X221</f>
        <v>9590712045.2000008</v>
      </c>
      <c r="Y225" s="863"/>
      <c r="Z225" s="850">
        <f>Z14+Z29+Z40+Z44+Z57+Z59+Z67+Z69+Z71+Z84+Z108+Z112+Z116+Z131+Z136+Z143+Z148+Z150+Z152+Z167+Z171+Z180+Z186+Z191+Z197+Z199+Z203+Z205+Z212+Z219+Z221</f>
        <v>11977641391</v>
      </c>
      <c r="AA225" s="864"/>
      <c r="AB225" s="850">
        <f>AB14+AB29+AB40+AB44+AB57+AB59+AB67+AB69+AB71+AB84+AB108+AB112+AB116+AB131+AB136+AB143+AB148+AB150+AB152+AB167+AB171+AB180+AB186+AB191+AB197+AB199+AB203+AB205+AB212+AB219+AB221</f>
        <v>12157379170.4</v>
      </c>
      <c r="AC225" s="863"/>
      <c r="AD225" s="850">
        <f>AD14+AD29+AD40+AD44+AD57+AD59+AD67+AD69+AD71+AD84+AD108+AD112+AD116+AD131+AD136+AD143+AD148+AD150+AD152+AD167+AD171+AD180+AD186+AD191+AD197+AD199+AD203+AD205+AD212+AD219+AD221</f>
        <v>12137870814</v>
      </c>
      <c r="AE225" s="864"/>
      <c r="AF225" s="850">
        <f>AF14+AF29+AF40+AF44+AF57+AF59+AF67+AF69+AF71+AF84+AF108+AF112+AF116+AF131+AF136+AF143+AF148+AF150+AF152+AF167+AF171+AF180+AF186+AF191+AF197+AF199+AF203+AF205+AF212+AF219+AF221</f>
        <v>12419140609</v>
      </c>
      <c r="AG225" s="864"/>
      <c r="AH225" s="850">
        <f>AH14+AH29+AH40+AH44+AH57+AH59+AH67+AH69+AH71+AH84+AH108+AH112+AH116+AH131+AH136+AH143+AH148+AH150+AH152+AH167+AH171+AH180+AH186+AH191+AH197+AH199+AH203+AH205+AH212+AH219+AH221</f>
        <v>13313867454</v>
      </c>
      <c r="AI225" s="864"/>
      <c r="AJ225" s="850">
        <f>AJ14+AJ29+AJ40+AJ44+AJ57+AJ59+AJ67+AJ69+AJ71+AJ84+AJ108+AJ112+AJ116+AJ131+AJ136+AJ143+AJ148+AJ150+AJ152+AJ167+AJ171+AJ180+AJ186+AJ191+AJ197+AJ199+AJ203+AJ205+AJ212+AJ219+AJ221</f>
        <v>15163367586</v>
      </c>
      <c r="AK225" s="864"/>
      <c r="AL225" s="850">
        <f>AL14+AL29+AL40+AL44+AL57+AL59+AL67+AL69+AL71+AL84+AL108+AL112+AL116+AL131+AL136+AL143+AL148+AL150+AL152+AL167+AL171+AL180+AL186+AL191+AL197+AL199+AL203+AL205+AL212+AL219+AL221</f>
        <v>16479030222.356386</v>
      </c>
      <c r="AM225" s="864"/>
      <c r="AN225" s="850">
        <f>AN14+AN29+AN40+AN44+AN57+AN59+AN67+AN69+AN71+AN84+AN108+AN112+AN116+AN131+AN136+AN143+AN148+AN150+AN152+AN167+AN171+AN180+AN186+AN191+AN197+AN199+AN203+AN205+AN212+AN219+AN221</f>
        <v>17419300728.13364</v>
      </c>
      <c r="AO225" s="864"/>
      <c r="AP225" s="850">
        <f>AP14+AP29+AP40+AP44+AP57+AP59+AP67+AP69+AP71+AP84+AP108+AP112+AP116+AP131+AP136+AP143+AP148+AP150+AP152+AP167+AP171+AP180+AP186+AP191+AP197+AP199+AP203+AP205+AP212+AP219+AP221</f>
        <v>17779448966</v>
      </c>
      <c r="AQ225" s="864"/>
      <c r="AR225" s="850">
        <f>AR14+AR29+AR40+AR44+AR57+AR59+AR67+AR69+AR71+AR84+AR108+AR112+AR116+AR131+AR136+AR143+AR148+AR150+AR152+AR167+AR171+AR180+AR186+AR191+AR197+AR199+AR203+AR205+AR212+AR219+AR221</f>
        <v>17466533637.446514</v>
      </c>
      <c r="AS225" s="864"/>
      <c r="AT225" s="850">
        <f>AT14+AT29+AT40+AT44+AT57+AT59+AT67+AT69+AT71+AT84+AT108+AT112+AT116+AT131+AT136+AT143+AT148+AT150+AT152+AT167+AT171+AT180+AT186+AT191+AT197+AT199+AT203+AT205+AT212+AT219+AT221</f>
        <v>26216137904.155067</v>
      </c>
      <c r="AU225" s="865"/>
      <c r="AV225" s="850">
        <f>AV14+AV29+AV40+AV44+AV57+AV59+AV67+AV69+AV71+AV84+AV108+AV112+AV116+AV131+AV136+AV143+AV148+AV150+AV152+AV167+AV171+AV180+AV186+AV191+AV197+AV199+AV203+AV205+AV212+AV219+AV221</f>
        <v>27893967339.36834</v>
      </c>
      <c r="AW225" s="866"/>
      <c r="AX225" s="866">
        <f>AX14+AX29+AX40+AX44+AX57+AX59+AX67+AX69+AX71+AX84+AX108+AX112+AX116+AX131+AX136+AX143+AX148+AX150+AX152+AX167+AX171+AX180+AX186+AX191+AX197+AX199+AX203+AX205+AX212+AX219+AX221</f>
        <v>27484757977</v>
      </c>
      <c r="AY225" s="867"/>
      <c r="AZ225" s="866">
        <f>AZ14+AZ29+AZ40+AZ44+AZ57+AZ59+AZ67+AZ69+AZ71+AZ84+AZ108+AZ112+AZ116+AZ131+AZ136+AZ143+AZ148+AZ150+AZ152+AZ167+AZ171+AZ180+AZ186+AZ191+AZ197+AZ199+AZ203+AZ205+AZ212+AZ219+AZ221</f>
        <v>26685925730.330002</v>
      </c>
      <c r="BA225" s="865"/>
      <c r="BB225" s="866"/>
      <c r="BC225" s="866"/>
      <c r="BD225" s="866"/>
      <c r="BE225" s="868"/>
      <c r="BF225" s="866"/>
      <c r="BG225" s="866"/>
      <c r="BH225" s="866"/>
      <c r="BI225" s="865"/>
      <c r="BJ225" s="98"/>
      <c r="BK225" s="98"/>
      <c r="BL225" s="148"/>
      <c r="BM225" s="14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c r="CT225" s="98"/>
      <c r="CU225" s="98"/>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98"/>
      <c r="EM225" s="98"/>
      <c r="EN225" s="98"/>
      <c r="EO225" s="98"/>
      <c r="EP225" s="98"/>
      <c r="EQ225" s="98"/>
      <c r="ER225" s="98"/>
      <c r="ES225" s="98"/>
      <c r="ET225" s="98"/>
      <c r="EU225" s="98"/>
      <c r="EV225" s="98"/>
      <c r="EW225" s="98"/>
      <c r="EX225" s="98"/>
      <c r="EY225" s="98"/>
      <c r="EZ225" s="98"/>
      <c r="FA225" s="98"/>
      <c r="FB225" s="98"/>
      <c r="FC225" s="98"/>
      <c r="FD225" s="98"/>
      <c r="FE225" s="98"/>
      <c r="FF225" s="98"/>
      <c r="FG225" s="98"/>
      <c r="FH225" s="98"/>
      <c r="FI225" s="98"/>
      <c r="FJ225" s="98"/>
      <c r="FK225" s="98"/>
      <c r="FL225" s="98"/>
      <c r="FM225" s="98"/>
      <c r="FN225" s="98"/>
      <c r="FO225" s="98"/>
      <c r="FP225" s="98"/>
      <c r="FQ225" s="98"/>
      <c r="FR225" s="98"/>
      <c r="FS225" s="98"/>
      <c r="FT225" s="98"/>
      <c r="FU225" s="98"/>
      <c r="FV225" s="98"/>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c r="IW225" s="98"/>
      <c r="IX225" s="98"/>
      <c r="IY225" s="98"/>
      <c r="IZ225" s="98"/>
      <c r="JA225" s="98"/>
      <c r="JB225" s="98"/>
      <c r="JC225" s="98"/>
      <c r="JD225" s="98"/>
      <c r="JE225" s="98"/>
      <c r="JF225" s="98"/>
      <c r="JG225" s="98"/>
      <c r="JH225" s="98"/>
      <c r="JI225" s="98"/>
      <c r="JJ225" s="98"/>
      <c r="JK225" s="98"/>
      <c r="JL225" s="98"/>
      <c r="JM225" s="98"/>
      <c r="JN225" s="98"/>
      <c r="JO225" s="98"/>
      <c r="JP225" s="98"/>
      <c r="JQ225" s="98"/>
      <c r="JR225" s="98"/>
      <c r="JS225" s="98"/>
      <c r="JT225" s="98"/>
      <c r="JU225" s="98"/>
      <c r="JV225" s="98"/>
      <c r="JW225" s="98"/>
      <c r="JX225" s="98"/>
      <c r="JY225" s="98"/>
      <c r="JZ225" s="98"/>
      <c r="KA225" s="98"/>
      <c r="KB225" s="98"/>
      <c r="KC225" s="98"/>
      <c r="KD225" s="98"/>
      <c r="KE225" s="98"/>
      <c r="KF225" s="98"/>
      <c r="KG225" s="98"/>
      <c r="KH225" s="98"/>
      <c r="KI225" s="98"/>
      <c r="KJ225" s="98"/>
      <c r="KK225" s="98"/>
      <c r="KL225" s="98"/>
      <c r="KM225" s="98"/>
      <c r="KN225" s="98"/>
      <c r="KO225" s="98"/>
      <c r="KP225" s="98"/>
      <c r="KQ225" s="98"/>
      <c r="KR225" s="98"/>
      <c r="KS225" s="98"/>
      <c r="KT225" s="98"/>
      <c r="KU225" s="98"/>
      <c r="KV225" s="98"/>
      <c r="KW225" s="98"/>
      <c r="KX225" s="98"/>
      <c r="KY225" s="98"/>
      <c r="KZ225" s="98"/>
      <c r="LA225" s="98"/>
      <c r="LB225" s="98"/>
      <c r="LC225" s="98"/>
      <c r="LD225" s="98"/>
      <c r="LE225" s="98"/>
      <c r="LF225" s="98"/>
      <c r="LG225" s="98"/>
      <c r="LH225" s="98"/>
      <c r="LI225" s="98"/>
      <c r="LJ225" s="98"/>
      <c r="LK225" s="98"/>
      <c r="LL225" s="98"/>
      <c r="LM225" s="98"/>
      <c r="LN225" s="98"/>
      <c r="LO225" s="98"/>
      <c r="LP225" s="98"/>
      <c r="LQ225" s="98"/>
      <c r="LR225" s="98"/>
      <c r="LS225" s="98"/>
      <c r="LT225" s="98"/>
      <c r="LU225" s="98"/>
      <c r="LV225" s="98"/>
      <c r="LW225" s="98"/>
      <c r="LX225" s="98"/>
      <c r="LY225" s="98"/>
      <c r="LZ225" s="98"/>
      <c r="MA225" s="98"/>
      <c r="MB225" s="98"/>
      <c r="MC225" s="98"/>
      <c r="MD225" s="98"/>
      <c r="ME225" s="98"/>
      <c r="MF225" s="98"/>
      <c r="MG225" s="98"/>
      <c r="MH225" s="98"/>
      <c r="MI225" s="98"/>
      <c r="MJ225" s="98"/>
      <c r="MK225" s="98"/>
      <c r="ML225" s="98"/>
      <c r="MM225" s="98"/>
      <c r="MN225" s="98"/>
      <c r="MO225" s="98"/>
      <c r="MP225" s="98"/>
      <c r="MQ225" s="98"/>
      <c r="MR225" s="98"/>
      <c r="MS225" s="98"/>
      <c r="MT225" s="98"/>
      <c r="MU225" s="98"/>
      <c r="MV225" s="98"/>
      <c r="MW225" s="98"/>
      <c r="MX225" s="98"/>
      <c r="MY225" s="98"/>
      <c r="MZ225" s="98"/>
      <c r="NA225" s="98"/>
      <c r="NB225" s="98"/>
      <c r="NC225" s="98"/>
      <c r="ND225" s="98"/>
      <c r="NE225" s="98"/>
      <c r="NF225" s="98"/>
      <c r="NG225" s="98"/>
      <c r="NH225" s="98"/>
      <c r="NI225" s="98"/>
      <c r="NJ225" s="98"/>
      <c r="NK225" s="98"/>
      <c r="NL225" s="98"/>
      <c r="NM225" s="98"/>
      <c r="NN225" s="98"/>
      <c r="NO225" s="98"/>
      <c r="NP225" s="98"/>
      <c r="NQ225" s="98"/>
      <c r="NR225" s="98"/>
      <c r="NS225" s="98"/>
      <c r="NT225" s="98"/>
      <c r="NU225" s="98"/>
      <c r="NV225" s="98"/>
      <c r="NW225" s="98"/>
      <c r="NX225" s="98"/>
      <c r="NY225" s="98"/>
      <c r="NZ225" s="98"/>
      <c r="OA225" s="98"/>
      <c r="OB225" s="98"/>
      <c r="OC225" s="98"/>
      <c r="OD225" s="98"/>
      <c r="OE225" s="98"/>
      <c r="OF225" s="98"/>
      <c r="OG225" s="98"/>
      <c r="OH225" s="98"/>
      <c r="OI225" s="98"/>
      <c r="OJ225" s="98"/>
      <c r="OK225" s="98"/>
      <c r="OL225" s="98"/>
      <c r="OM225" s="98"/>
      <c r="ON225" s="98"/>
      <c r="OO225" s="98"/>
      <c r="OP225" s="98"/>
      <c r="OQ225" s="98"/>
      <c r="OR225" s="98"/>
      <c r="OS225" s="98"/>
      <c r="OT225" s="98"/>
      <c r="OU225" s="98"/>
      <c r="OV225" s="98"/>
      <c r="OW225" s="98"/>
      <c r="OX225" s="98"/>
      <c r="OY225" s="98"/>
      <c r="OZ225" s="98"/>
      <c r="PA225" s="98"/>
      <c r="PB225" s="98"/>
      <c r="PC225" s="98"/>
      <c r="PD225" s="98"/>
      <c r="PE225" s="98"/>
      <c r="PF225" s="98"/>
      <c r="PG225" s="98"/>
      <c r="PH225" s="98"/>
      <c r="PI225" s="98"/>
      <c r="PJ225" s="98"/>
      <c r="PK225" s="98"/>
      <c r="PL225" s="98"/>
      <c r="PM225" s="98"/>
      <c r="PN225" s="98"/>
      <c r="PO225" s="98"/>
      <c r="PP225" s="98"/>
      <c r="PQ225" s="98"/>
      <c r="PR225" s="98"/>
      <c r="PS225" s="98"/>
      <c r="PT225" s="98"/>
      <c r="PU225" s="98"/>
      <c r="PV225" s="98"/>
      <c r="PW225" s="98"/>
      <c r="PX225" s="98"/>
      <c r="PY225" s="98"/>
      <c r="PZ225" s="98"/>
      <c r="QA225" s="98"/>
      <c r="QB225" s="98"/>
      <c r="QC225" s="98"/>
      <c r="QD225" s="98"/>
      <c r="QE225" s="98"/>
      <c r="QF225" s="98"/>
      <c r="QG225" s="98"/>
      <c r="QH225" s="98"/>
      <c r="QI225" s="98"/>
      <c r="QJ225" s="98"/>
      <c r="QK225" s="98"/>
      <c r="QL225" s="98"/>
      <c r="QM225" s="98"/>
      <c r="QN225" s="98"/>
      <c r="QO225" s="98"/>
      <c r="QP225" s="98"/>
      <c r="QQ225" s="98"/>
      <c r="QR225" s="98"/>
      <c r="QS225" s="98"/>
      <c r="QT225" s="98"/>
      <c r="QU225" s="98"/>
      <c r="QV225" s="98"/>
      <c r="QW225" s="98"/>
      <c r="QX225" s="98"/>
      <c r="QY225" s="98"/>
      <c r="QZ225" s="98"/>
      <c r="RA225" s="98"/>
      <c r="RB225" s="98"/>
      <c r="RC225" s="98"/>
      <c r="RD225" s="98"/>
      <c r="RE225" s="98"/>
      <c r="RF225" s="98"/>
      <c r="RG225" s="98"/>
      <c r="RH225" s="98"/>
      <c r="RI225" s="98"/>
      <c r="RJ225" s="98"/>
      <c r="RK225" s="98"/>
      <c r="RL225" s="98"/>
      <c r="RM225" s="98"/>
      <c r="RN225" s="98"/>
      <c r="RO225" s="98"/>
      <c r="RP225" s="98"/>
      <c r="RQ225" s="98"/>
      <c r="RR225" s="98"/>
      <c r="RS225" s="98"/>
      <c r="RT225" s="98"/>
      <c r="RU225" s="98"/>
      <c r="RV225" s="98"/>
      <c r="RW225" s="98"/>
      <c r="RX225" s="98"/>
      <c r="RY225" s="98"/>
      <c r="RZ225" s="98"/>
      <c r="SA225" s="98"/>
      <c r="SB225" s="98"/>
      <c r="SC225" s="98"/>
      <c r="SD225" s="98"/>
      <c r="SE225" s="98"/>
      <c r="SF225" s="98"/>
      <c r="SG225" s="98"/>
      <c r="SH225" s="98"/>
      <c r="SI225" s="98"/>
      <c r="SJ225" s="98"/>
      <c r="SK225" s="98"/>
      <c r="SL225" s="98"/>
      <c r="SM225" s="98"/>
      <c r="SN225" s="98"/>
      <c r="SO225" s="98"/>
      <c r="SP225" s="98"/>
      <c r="SQ225" s="98"/>
      <c r="SR225" s="98"/>
      <c r="SS225" s="98"/>
      <c r="ST225" s="98"/>
      <c r="SU225" s="98"/>
      <c r="SV225" s="98"/>
      <c r="SW225" s="98"/>
      <c r="SX225" s="98"/>
      <c r="SY225" s="98"/>
      <c r="SZ225" s="98"/>
      <c r="TA225" s="98"/>
      <c r="TB225" s="98"/>
      <c r="TC225" s="98"/>
      <c r="TD225" s="98"/>
      <c r="TE225" s="98"/>
      <c r="TF225" s="98"/>
      <c r="TG225" s="98"/>
      <c r="TH225" s="98"/>
      <c r="TI225" s="98"/>
      <c r="TJ225" s="98"/>
      <c r="TK225" s="98"/>
      <c r="TL225" s="98"/>
      <c r="TM225" s="98"/>
      <c r="TN225" s="98"/>
      <c r="TO225" s="98"/>
      <c r="TP225" s="98"/>
      <c r="TQ225" s="98"/>
      <c r="TR225" s="98"/>
      <c r="TS225" s="98"/>
      <c r="TT225" s="98"/>
      <c r="TU225" s="98"/>
      <c r="TV225" s="98"/>
      <c r="TW225" s="98"/>
      <c r="TX225" s="98"/>
      <c r="TY225" s="98"/>
      <c r="TZ225" s="98"/>
      <c r="UA225" s="98"/>
      <c r="UB225" s="98"/>
      <c r="UC225" s="98"/>
      <c r="UD225" s="98"/>
      <c r="UE225" s="98"/>
      <c r="UF225" s="98"/>
      <c r="UG225" s="98"/>
      <c r="UH225" s="98"/>
      <c r="UI225" s="98"/>
      <c r="UJ225" s="98"/>
      <c r="UK225" s="98"/>
      <c r="UL225" s="98"/>
      <c r="UM225" s="98"/>
      <c r="UN225" s="98"/>
      <c r="UO225" s="98"/>
      <c r="UP225" s="98"/>
      <c r="UQ225" s="98"/>
      <c r="UR225" s="98"/>
      <c r="US225" s="98"/>
      <c r="UT225" s="98"/>
      <c r="UU225" s="98"/>
      <c r="UV225" s="98"/>
      <c r="UW225" s="98"/>
      <c r="UX225" s="98"/>
      <c r="UY225" s="98"/>
      <c r="UZ225" s="98"/>
      <c r="VA225" s="98"/>
      <c r="VB225" s="98"/>
      <c r="VC225" s="98"/>
      <c r="VD225" s="98"/>
      <c r="VE225" s="98"/>
      <c r="VF225" s="98"/>
      <c r="VG225" s="98"/>
      <c r="VH225" s="98"/>
      <c r="VI225" s="98"/>
      <c r="VJ225" s="98"/>
      <c r="VK225" s="98"/>
      <c r="VL225" s="98"/>
      <c r="VM225" s="98"/>
      <c r="VN225" s="98"/>
      <c r="VO225" s="98"/>
      <c r="VP225" s="98"/>
      <c r="VQ225" s="98"/>
      <c r="VR225" s="98"/>
      <c r="VS225" s="98"/>
      <c r="VT225" s="98"/>
      <c r="VU225" s="98"/>
      <c r="VV225" s="98"/>
      <c r="VW225" s="98"/>
      <c r="VX225" s="98"/>
      <c r="VY225" s="98"/>
      <c r="VZ225" s="98"/>
      <c r="WA225" s="98"/>
      <c r="WB225" s="98"/>
      <c r="WC225" s="98"/>
      <c r="WD225" s="98"/>
      <c r="WE225" s="98"/>
      <c r="WF225" s="98"/>
      <c r="WG225" s="98"/>
      <c r="WH225" s="98"/>
      <c r="WI225" s="98"/>
      <c r="WJ225" s="98"/>
      <c r="WK225" s="98"/>
      <c r="WL225" s="98"/>
      <c r="WM225" s="98"/>
      <c r="WN225" s="98"/>
      <c r="WO225" s="98"/>
      <c r="WP225" s="98"/>
      <c r="WQ225" s="98"/>
      <c r="WR225" s="98"/>
      <c r="WS225" s="98"/>
      <c r="WT225" s="98"/>
      <c r="WU225" s="98"/>
      <c r="WV225" s="98"/>
      <c r="WW225" s="98"/>
      <c r="WX225" s="98"/>
      <c r="WY225" s="98"/>
      <c r="WZ225" s="98"/>
      <c r="XA225" s="98"/>
      <c r="XB225" s="98"/>
      <c r="XC225" s="98"/>
      <c r="XD225" s="98"/>
      <c r="XE225" s="98"/>
      <c r="XF225" s="98"/>
      <c r="XG225" s="98"/>
      <c r="XH225" s="98"/>
      <c r="XI225" s="98"/>
      <c r="XJ225" s="98"/>
      <c r="XK225" s="98"/>
      <c r="XL225" s="98"/>
      <c r="XM225" s="98"/>
      <c r="XN225" s="98"/>
      <c r="XO225" s="98"/>
      <c r="XP225" s="98"/>
      <c r="XQ225" s="98"/>
      <c r="XR225" s="98"/>
      <c r="XS225" s="98"/>
      <c r="XT225" s="98"/>
      <c r="XU225" s="98"/>
      <c r="XV225" s="98"/>
      <c r="XW225" s="98"/>
      <c r="XX225" s="98"/>
      <c r="XY225" s="98"/>
      <c r="XZ225" s="98"/>
      <c r="YA225" s="98"/>
      <c r="YB225" s="98"/>
      <c r="YC225" s="98"/>
      <c r="YD225" s="98"/>
      <c r="YE225" s="98"/>
      <c r="YF225" s="98"/>
      <c r="YG225" s="98"/>
      <c r="YH225" s="98"/>
      <c r="YI225" s="98"/>
      <c r="YJ225" s="98"/>
      <c r="YK225" s="98"/>
      <c r="YL225" s="98"/>
      <c r="YM225" s="98"/>
      <c r="YN225" s="98"/>
      <c r="YO225" s="98"/>
      <c r="YP225" s="98"/>
      <c r="YQ225" s="98"/>
      <c r="YR225" s="98"/>
      <c r="YS225" s="98"/>
      <c r="YT225" s="98"/>
      <c r="YU225" s="98"/>
      <c r="YV225" s="98"/>
      <c r="YW225" s="98"/>
      <c r="YX225" s="98"/>
      <c r="YY225" s="98"/>
      <c r="YZ225" s="98"/>
      <c r="ZA225" s="98"/>
      <c r="ZB225" s="98"/>
      <c r="ZC225" s="98"/>
      <c r="ZD225" s="98"/>
      <c r="ZE225" s="98"/>
      <c r="ZF225" s="98"/>
      <c r="ZG225" s="98"/>
      <c r="ZH225" s="98"/>
      <c r="ZI225" s="98"/>
      <c r="ZJ225" s="98"/>
      <c r="ZK225" s="98"/>
      <c r="ZL225" s="98"/>
      <c r="ZM225" s="98"/>
      <c r="ZN225" s="98"/>
      <c r="ZO225" s="98"/>
      <c r="ZP225" s="98"/>
      <c r="ZQ225" s="98"/>
      <c r="ZR225" s="98"/>
      <c r="ZS225" s="98"/>
      <c r="ZT225" s="98"/>
      <c r="ZU225" s="98"/>
      <c r="ZV225" s="98"/>
      <c r="ZW225" s="98"/>
      <c r="ZX225" s="98"/>
      <c r="ZY225" s="98"/>
      <c r="ZZ225" s="98"/>
      <c r="AAA225" s="98"/>
      <c r="AAB225" s="98"/>
      <c r="AAC225" s="98"/>
      <c r="AAD225" s="98"/>
      <c r="AAE225" s="98"/>
      <c r="AAF225" s="98"/>
      <c r="AAG225" s="98"/>
      <c r="AAH225" s="98"/>
      <c r="AAI225" s="98"/>
      <c r="AAJ225" s="98"/>
      <c r="AAK225" s="98"/>
      <c r="AAL225" s="98"/>
      <c r="AAM225" s="98"/>
      <c r="AAN225" s="98"/>
      <c r="AAO225" s="98"/>
      <c r="AAP225" s="98"/>
      <c r="AAQ225" s="98"/>
      <c r="AAR225" s="98"/>
      <c r="AAS225" s="98"/>
      <c r="AAT225" s="98"/>
      <c r="AAU225" s="98"/>
      <c r="AAV225" s="98"/>
      <c r="AAW225" s="98"/>
      <c r="AAX225" s="98"/>
      <c r="AAY225" s="98"/>
      <c r="AAZ225" s="98"/>
      <c r="ABA225" s="98"/>
      <c r="ABB225" s="98"/>
      <c r="ABC225" s="98"/>
      <c r="ABD225" s="98"/>
      <c r="ABE225" s="98"/>
      <c r="ABF225" s="98"/>
      <c r="ABG225" s="98"/>
      <c r="ABH225" s="98"/>
      <c r="ABI225" s="98"/>
      <c r="ABJ225" s="98"/>
      <c r="ABK225" s="98"/>
      <c r="ABL225" s="98"/>
      <c r="ABM225" s="98"/>
      <c r="ABN225" s="98"/>
      <c r="ABO225" s="98"/>
      <c r="ABP225" s="98"/>
      <c r="ABQ225" s="98"/>
      <c r="ABR225" s="98"/>
      <c r="ABS225" s="98"/>
      <c r="ABT225" s="98"/>
      <c r="ABU225" s="98"/>
      <c r="ABV225" s="98"/>
      <c r="ABW225" s="98"/>
      <c r="ABX225" s="98"/>
      <c r="ABY225" s="98"/>
      <c r="ABZ225" s="98"/>
      <c r="ACA225" s="98"/>
      <c r="ACB225" s="98"/>
      <c r="ACC225" s="98"/>
      <c r="ACD225" s="98"/>
      <c r="ACE225" s="98"/>
      <c r="ACF225" s="98"/>
      <c r="ACG225" s="98"/>
      <c r="ACH225" s="98"/>
      <c r="ACI225" s="98"/>
      <c r="ACJ225" s="98"/>
      <c r="ACK225" s="98"/>
      <c r="ACL225" s="98"/>
      <c r="ACM225" s="98"/>
      <c r="ACN225" s="98"/>
      <c r="ACO225" s="98"/>
      <c r="ACP225" s="98"/>
      <c r="ACQ225" s="98"/>
      <c r="ACR225" s="98"/>
      <c r="ACS225" s="98"/>
      <c r="ACT225" s="98"/>
      <c r="ACU225" s="98"/>
      <c r="ACV225" s="98"/>
      <c r="ACW225" s="98"/>
      <c r="ACX225" s="98"/>
      <c r="ACY225" s="98"/>
      <c r="ACZ225" s="98"/>
      <c r="ADA225" s="98"/>
      <c r="ADB225" s="98"/>
      <c r="ADC225" s="98"/>
      <c r="ADD225" s="98"/>
      <c r="ADE225" s="98"/>
      <c r="ADF225" s="98"/>
      <c r="ADG225" s="98"/>
      <c r="ADH225" s="98"/>
      <c r="ADI225" s="98"/>
      <c r="ADJ225" s="98"/>
      <c r="ADK225" s="98"/>
      <c r="ADL225" s="98"/>
      <c r="ADM225" s="98"/>
      <c r="ADN225" s="98"/>
      <c r="ADO225" s="98"/>
      <c r="ADP225" s="98"/>
      <c r="ADQ225" s="98"/>
      <c r="ADR225" s="98"/>
      <c r="ADS225" s="98"/>
      <c r="ADT225" s="98"/>
      <c r="ADU225" s="98"/>
      <c r="ADV225" s="98"/>
      <c r="ADW225" s="98"/>
      <c r="ADX225" s="98"/>
      <c r="ADY225" s="98"/>
      <c r="ADZ225" s="98"/>
      <c r="AEA225" s="98"/>
      <c r="AEB225" s="98"/>
      <c r="AEC225" s="98"/>
      <c r="AED225" s="98"/>
      <c r="AEE225" s="98"/>
      <c r="AEF225" s="98"/>
      <c r="AEG225" s="98"/>
      <c r="AEH225" s="98"/>
      <c r="AEI225" s="98"/>
      <c r="AEJ225" s="98"/>
      <c r="AEK225" s="98"/>
      <c r="AEL225" s="98"/>
      <c r="AEM225" s="98"/>
      <c r="AEN225" s="98"/>
      <c r="AEO225" s="98"/>
      <c r="AEP225" s="98"/>
      <c r="AEQ225" s="98"/>
      <c r="AER225" s="98"/>
      <c r="AES225" s="98"/>
      <c r="AET225" s="98"/>
      <c r="AEU225" s="98"/>
      <c r="AEV225" s="98"/>
      <c r="AEW225" s="98"/>
      <c r="AEX225" s="98"/>
      <c r="AEY225" s="98"/>
      <c r="AEZ225" s="98"/>
      <c r="AFA225" s="98"/>
      <c r="AFB225" s="98"/>
      <c r="AFC225" s="98"/>
      <c r="AFD225" s="98"/>
      <c r="AFE225" s="98"/>
      <c r="AFF225" s="98"/>
      <c r="AFG225" s="98"/>
      <c r="AFH225" s="98"/>
      <c r="AFI225" s="98"/>
      <c r="AFJ225" s="98"/>
      <c r="AFK225" s="98"/>
      <c r="AFL225" s="98"/>
      <c r="AFM225" s="98"/>
      <c r="AFN225" s="98"/>
      <c r="AFO225" s="98"/>
      <c r="AFP225" s="98"/>
      <c r="AFQ225" s="98"/>
      <c r="AFR225" s="98"/>
      <c r="AFS225" s="98"/>
      <c r="AFT225" s="98"/>
      <c r="AFU225" s="98"/>
      <c r="AFV225" s="98"/>
      <c r="AFW225" s="98"/>
      <c r="AFX225" s="98"/>
      <c r="AFY225" s="98"/>
      <c r="AFZ225" s="98"/>
      <c r="AGA225" s="98"/>
      <c r="AGB225" s="98"/>
      <c r="AGC225" s="98"/>
      <c r="AGD225" s="98"/>
      <c r="AGE225" s="98"/>
      <c r="AGF225" s="98"/>
      <c r="AGG225" s="98"/>
      <c r="AGH225" s="98"/>
      <c r="AGI225" s="98"/>
      <c r="AGJ225" s="98"/>
      <c r="AGK225" s="98"/>
      <c r="AGL225" s="98"/>
      <c r="AGM225" s="98"/>
      <c r="AGN225" s="98"/>
      <c r="AGO225" s="98"/>
      <c r="AGP225" s="98"/>
      <c r="AGQ225" s="98"/>
      <c r="AGR225" s="98"/>
      <c r="AGS225" s="98"/>
      <c r="AGT225" s="98"/>
      <c r="AGU225" s="98"/>
      <c r="AGV225" s="98"/>
      <c r="AGW225" s="98"/>
      <c r="AGX225" s="98"/>
      <c r="AGY225" s="98"/>
      <c r="AGZ225" s="98"/>
      <c r="AHA225" s="98"/>
      <c r="AHB225" s="98"/>
      <c r="AHC225" s="98"/>
      <c r="AHD225" s="98"/>
      <c r="AHE225" s="98"/>
      <c r="AHF225" s="98"/>
      <c r="AHG225" s="98"/>
      <c r="AHH225" s="98"/>
      <c r="AHI225" s="98"/>
      <c r="AHJ225" s="98"/>
      <c r="AHK225" s="98"/>
      <c r="AHL225" s="98"/>
      <c r="AHM225" s="98"/>
      <c r="AHN225" s="98"/>
      <c r="AHO225" s="98"/>
      <c r="AHP225" s="98"/>
      <c r="AHQ225" s="98"/>
      <c r="AHR225" s="98"/>
      <c r="AHS225" s="98"/>
      <c r="AHT225" s="98"/>
      <c r="AHU225" s="98"/>
      <c r="AHV225" s="98"/>
      <c r="AHW225" s="98"/>
      <c r="AHX225" s="98"/>
      <c r="AHY225" s="98"/>
      <c r="AHZ225" s="98"/>
      <c r="AIA225" s="98"/>
      <c r="AIB225" s="98"/>
      <c r="AIC225" s="98"/>
      <c r="AID225" s="98"/>
      <c r="AIE225" s="98"/>
      <c r="AIF225" s="98"/>
      <c r="AIG225" s="98"/>
      <c r="AIH225" s="98"/>
      <c r="AII225" s="98"/>
      <c r="AIJ225" s="98"/>
      <c r="AIK225" s="98"/>
      <c r="AIL225" s="98"/>
      <c r="AIM225" s="98"/>
      <c r="AIN225" s="98"/>
      <c r="AIO225" s="98"/>
      <c r="AIP225" s="98"/>
      <c r="AIQ225" s="98"/>
      <c r="AIR225" s="98"/>
      <c r="AIS225" s="98"/>
      <c r="AIT225" s="98"/>
      <c r="AIU225" s="98"/>
      <c r="AIV225" s="98"/>
      <c r="AIW225" s="98"/>
      <c r="AIX225" s="98"/>
      <c r="AIY225" s="98"/>
      <c r="AIZ225" s="98"/>
      <c r="AJA225" s="98"/>
      <c r="AJB225" s="98"/>
      <c r="AJC225" s="98"/>
      <c r="AJD225" s="98"/>
      <c r="AJE225" s="98"/>
      <c r="AJF225" s="98"/>
      <c r="AJG225" s="98"/>
      <c r="AJH225" s="98"/>
      <c r="AJI225" s="98"/>
      <c r="AJJ225" s="98"/>
      <c r="AJK225" s="98"/>
      <c r="AJL225" s="98"/>
      <c r="AJM225" s="98"/>
      <c r="AJN225" s="98"/>
      <c r="AJO225" s="98"/>
      <c r="AJP225" s="98"/>
      <c r="AJQ225" s="98"/>
      <c r="AJR225" s="98"/>
      <c r="AJS225" s="98"/>
      <c r="AJT225" s="98"/>
      <c r="AJU225" s="98"/>
      <c r="AJV225" s="98"/>
      <c r="AJW225" s="98"/>
      <c r="AJX225" s="98"/>
      <c r="AJY225" s="98"/>
      <c r="AJZ225" s="98"/>
      <c r="AKA225" s="98"/>
      <c r="AKB225" s="98"/>
      <c r="AKC225" s="98"/>
      <c r="AKD225" s="98"/>
      <c r="AKE225" s="98"/>
      <c r="AKF225" s="98"/>
      <c r="AKG225" s="98"/>
      <c r="AKH225" s="98"/>
      <c r="AKI225" s="98"/>
      <c r="AKJ225" s="98"/>
      <c r="AKK225" s="98"/>
      <c r="AKL225" s="98"/>
      <c r="AKM225" s="98"/>
      <c r="AKN225" s="98"/>
      <c r="AKO225" s="98"/>
      <c r="AKP225" s="98"/>
      <c r="AKQ225" s="98"/>
      <c r="AKR225" s="98"/>
      <c r="AKS225" s="98"/>
      <c r="AKT225" s="98"/>
      <c r="AKU225" s="98"/>
      <c r="AKV225" s="98"/>
      <c r="AKW225" s="98"/>
      <c r="AKX225" s="98"/>
      <c r="AKY225" s="98"/>
      <c r="AKZ225" s="98"/>
      <c r="ALA225" s="98"/>
      <c r="ALB225" s="98"/>
      <c r="ALC225" s="98"/>
      <c r="ALD225" s="98"/>
      <c r="ALE225" s="98"/>
      <c r="ALF225" s="98"/>
      <c r="ALG225" s="98"/>
      <c r="ALH225" s="98"/>
      <c r="ALI225" s="98"/>
      <c r="ALJ225" s="98"/>
      <c r="ALK225" s="98"/>
      <c r="ALL225" s="98"/>
      <c r="ALM225" s="98"/>
      <c r="ALN225" s="98"/>
      <c r="ALO225" s="98"/>
      <c r="ALP225" s="98"/>
      <c r="ALQ225" s="98"/>
      <c r="ALR225" s="98"/>
      <c r="ALS225" s="98"/>
      <c r="ALT225" s="98"/>
      <c r="ALU225" s="98"/>
      <c r="ALV225" s="98"/>
      <c r="ALW225" s="98"/>
      <c r="ALX225" s="98"/>
      <c r="ALY225" s="98"/>
      <c r="ALZ225" s="98"/>
      <c r="AMA225" s="98"/>
      <c r="AMB225" s="98"/>
      <c r="AMC225" s="98"/>
      <c r="AMD225" s="98"/>
      <c r="AME225" s="98"/>
      <c r="AMF225" s="98"/>
      <c r="AMG225" s="98"/>
      <c r="AMH225" s="98"/>
      <c r="AMI225" s="98"/>
      <c r="AMJ225" s="98"/>
      <c r="AMK225" s="98"/>
      <c r="AML225" s="98"/>
      <c r="AMM225" s="98"/>
      <c r="AMN225" s="98"/>
      <c r="AMO225" s="98"/>
      <c r="AMP225" s="98"/>
      <c r="AMQ225" s="98"/>
      <c r="AMR225" s="98"/>
      <c r="AMS225" s="98"/>
      <c r="AMT225" s="98"/>
      <c r="AMU225" s="98"/>
      <c r="AMV225" s="98"/>
      <c r="AMW225" s="98"/>
      <c r="AMX225" s="98"/>
      <c r="AMY225" s="98"/>
      <c r="AMZ225" s="98"/>
      <c r="ANA225" s="98"/>
      <c r="ANB225" s="98"/>
      <c r="ANC225" s="98"/>
      <c r="AND225" s="98"/>
      <c r="ANE225" s="98"/>
      <c r="ANF225" s="98"/>
      <c r="ANG225" s="98"/>
      <c r="ANH225" s="98"/>
      <c r="ANI225" s="98"/>
      <c r="ANJ225" s="98"/>
      <c r="ANK225" s="98"/>
      <c r="ANL225" s="98"/>
      <c r="ANM225" s="98"/>
      <c r="ANN225" s="98"/>
      <c r="ANO225" s="98"/>
      <c r="ANP225" s="98"/>
      <c r="ANQ225" s="98"/>
      <c r="ANR225" s="98"/>
      <c r="ANS225" s="98"/>
      <c r="ANT225" s="98"/>
      <c r="ANU225" s="98"/>
      <c r="ANV225" s="98"/>
      <c r="ANW225" s="98"/>
      <c r="ANX225" s="98"/>
      <c r="ANY225" s="98"/>
      <c r="ANZ225" s="98"/>
      <c r="AOA225" s="98"/>
      <c r="AOB225" s="98"/>
      <c r="AOC225" s="98"/>
      <c r="AOD225" s="98"/>
      <c r="AOE225" s="98"/>
      <c r="AOF225" s="98"/>
      <c r="AOG225" s="98"/>
      <c r="AOH225" s="98"/>
      <c r="AOI225" s="98"/>
      <c r="AOJ225" s="98"/>
      <c r="AOK225" s="98"/>
      <c r="AOL225" s="98"/>
      <c r="AOM225" s="98"/>
      <c r="AON225" s="98"/>
      <c r="AOO225" s="98"/>
      <c r="AOP225" s="98"/>
      <c r="AOQ225" s="98"/>
      <c r="AOR225" s="98"/>
      <c r="AOS225" s="98"/>
      <c r="AOT225" s="98"/>
      <c r="AOU225" s="98"/>
      <c r="AOV225" s="98"/>
      <c r="AOW225" s="98"/>
      <c r="AOX225" s="98"/>
      <c r="AOY225" s="98"/>
      <c r="AOZ225" s="98"/>
      <c r="APA225" s="98"/>
      <c r="APB225" s="98"/>
      <c r="APC225" s="98"/>
      <c r="APD225" s="98"/>
      <c r="APE225" s="98"/>
      <c r="APF225" s="98"/>
      <c r="APG225" s="98"/>
      <c r="APH225" s="98"/>
      <c r="API225" s="98"/>
      <c r="APJ225" s="98"/>
      <c r="APK225" s="98"/>
      <c r="APL225" s="98"/>
      <c r="APM225" s="98"/>
      <c r="APN225" s="98"/>
      <c r="APO225" s="98"/>
      <c r="APP225" s="98"/>
      <c r="APQ225" s="98"/>
      <c r="APR225" s="98"/>
      <c r="APS225" s="98"/>
      <c r="APT225" s="98"/>
      <c r="APU225" s="98"/>
      <c r="APV225" s="98"/>
      <c r="APW225" s="98"/>
      <c r="APX225" s="98"/>
      <c r="APY225" s="98"/>
      <c r="APZ225" s="98"/>
      <c r="AQA225" s="98"/>
      <c r="AQB225" s="98"/>
      <c r="AQC225" s="98"/>
      <c r="AQD225" s="98"/>
      <c r="AQE225" s="98"/>
      <c r="AQF225" s="98"/>
      <c r="AQG225" s="98"/>
      <c r="AQH225" s="98"/>
      <c r="AQI225" s="98"/>
      <c r="AQJ225" s="98"/>
      <c r="AQK225" s="98"/>
      <c r="AQL225" s="98"/>
      <c r="AQM225" s="98"/>
      <c r="AQN225" s="98"/>
      <c r="AQO225" s="98"/>
      <c r="AQP225" s="98"/>
      <c r="AQQ225" s="98"/>
      <c r="AQR225" s="98"/>
      <c r="AQS225" s="98"/>
      <c r="AQT225" s="98"/>
      <c r="AQU225" s="98"/>
      <c r="AQV225" s="98"/>
      <c r="AQW225" s="98"/>
      <c r="AQX225" s="98"/>
      <c r="AQY225" s="98"/>
      <c r="AQZ225" s="98"/>
      <c r="ARA225" s="98"/>
      <c r="ARB225" s="98"/>
      <c r="ARC225" s="98"/>
      <c r="ARD225" s="98"/>
      <c r="ARE225" s="98"/>
      <c r="ARF225" s="98"/>
      <c r="ARG225" s="98"/>
      <c r="ARH225" s="98"/>
      <c r="ARI225" s="98"/>
      <c r="ARJ225" s="98"/>
      <c r="ARK225" s="98"/>
      <c r="ARL225" s="98"/>
      <c r="ARM225" s="98"/>
      <c r="ARN225" s="98"/>
      <c r="ARO225" s="98"/>
      <c r="ARP225" s="98"/>
      <c r="ARQ225" s="98"/>
      <c r="ARR225" s="98"/>
      <c r="ARS225" s="98"/>
    </row>
    <row r="226" spans="1:1163" s="154" customFormat="1">
      <c r="A226" s="869"/>
      <c r="B226" s="869"/>
      <c r="C226" s="869"/>
      <c r="D226" s="870"/>
      <c r="E226" s="869"/>
      <c r="F226" s="869"/>
      <c r="G226" s="869"/>
      <c r="H226" s="869"/>
      <c r="I226" s="869"/>
      <c r="J226" s="869"/>
      <c r="K226" s="869"/>
      <c r="L226" s="869"/>
      <c r="M226" s="869"/>
      <c r="N226" s="869"/>
      <c r="O226" s="869"/>
      <c r="P226" s="869"/>
      <c r="Q226" s="869"/>
      <c r="R226" s="869"/>
      <c r="S226" s="869"/>
      <c r="T226" s="869"/>
      <c r="U226" s="869"/>
      <c r="V226" s="869"/>
      <c r="W226" s="869"/>
      <c r="X226" s="869"/>
      <c r="Y226" s="869"/>
      <c r="Z226" s="869"/>
      <c r="AA226" s="869"/>
      <c r="AB226" s="869"/>
      <c r="AC226" s="869"/>
      <c r="AD226" s="869"/>
      <c r="AE226" s="869"/>
      <c r="AF226" s="869"/>
      <c r="AG226" s="869"/>
      <c r="AH226" s="869"/>
      <c r="AI226" s="869"/>
      <c r="AJ226" s="869"/>
      <c r="AK226" s="869"/>
      <c r="AL226" s="869"/>
      <c r="AM226" s="869"/>
      <c r="AN226" s="869"/>
      <c r="AO226" s="869"/>
      <c r="AP226" s="869"/>
      <c r="AQ226" s="869"/>
      <c r="AR226" s="869"/>
      <c r="AS226" s="869"/>
      <c r="AT226" s="869"/>
      <c r="AU226" s="869"/>
      <c r="AV226" s="869"/>
      <c r="AW226" s="871"/>
      <c r="AX226" s="870"/>
      <c r="AY226" s="872"/>
      <c r="AZ226" s="873"/>
      <c r="BA226" s="869"/>
      <c r="BB226" s="874"/>
      <c r="BC226" s="874"/>
      <c r="BD226" s="874"/>
      <c r="BE226" s="874"/>
      <c r="BF226" s="874"/>
      <c r="BG226" s="874"/>
      <c r="BH226" s="874"/>
      <c r="BI226" s="869"/>
      <c r="BJ226" s="98"/>
      <c r="BK226" s="98"/>
      <c r="BL226" s="148"/>
      <c r="BM226" s="14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c r="CT226" s="98"/>
      <c r="CU226" s="98"/>
      <c r="CV226" s="98"/>
      <c r="CW226" s="98"/>
      <c r="CX226" s="98"/>
      <c r="CY226" s="98"/>
      <c r="CZ226" s="98"/>
      <c r="DA226" s="98"/>
      <c r="DB226" s="98"/>
      <c r="DC226" s="98"/>
      <c r="DD226" s="98"/>
      <c r="DE226" s="98"/>
      <c r="DF226" s="98"/>
      <c r="DG226" s="98"/>
      <c r="DH226" s="98"/>
      <c r="DI226" s="98"/>
      <c r="DJ226" s="98"/>
      <c r="DK226" s="98"/>
      <c r="DL226" s="98"/>
      <c r="DM226" s="98"/>
      <c r="DN226" s="98"/>
      <c r="DO226" s="98"/>
      <c r="DP226" s="98"/>
      <c r="DQ226" s="98"/>
      <c r="DR226" s="98"/>
      <c r="DS226" s="98"/>
      <c r="DT226" s="98"/>
      <c r="DU226" s="98"/>
      <c r="DV226" s="98"/>
      <c r="DW226" s="98"/>
      <c r="DX226" s="98"/>
      <c r="DY226" s="98"/>
      <c r="DZ226" s="98"/>
      <c r="EA226" s="98"/>
      <c r="EB226" s="98"/>
      <c r="EC226" s="98"/>
      <c r="ED226" s="98"/>
      <c r="EE226" s="98"/>
      <c r="EF226" s="98"/>
      <c r="EG226" s="98"/>
      <c r="EH226" s="98"/>
      <c r="EI226" s="98"/>
      <c r="EJ226" s="98"/>
      <c r="EK226" s="98"/>
      <c r="EL226" s="98"/>
      <c r="EM226" s="98"/>
      <c r="EN226" s="98"/>
      <c r="EO226" s="98"/>
      <c r="EP226" s="98"/>
      <c r="EQ226" s="98"/>
      <c r="ER226" s="98"/>
      <c r="ES226" s="98"/>
      <c r="ET226" s="98"/>
      <c r="EU226" s="98"/>
      <c r="EV226" s="98"/>
      <c r="EW226" s="98"/>
      <c r="EX226" s="98"/>
      <c r="EY226" s="98"/>
      <c r="EZ226" s="98"/>
      <c r="FA226" s="98"/>
      <c r="FB226" s="98"/>
      <c r="FC226" s="98"/>
      <c r="FD226" s="98"/>
      <c r="FE226" s="98"/>
      <c r="FF226" s="98"/>
      <c r="FG226" s="98"/>
      <c r="FH226" s="98"/>
      <c r="FI226" s="98"/>
      <c r="FJ226" s="98"/>
      <c r="FK226" s="98"/>
      <c r="FL226" s="98"/>
      <c r="FM226" s="98"/>
      <c r="FN226" s="98"/>
      <c r="FO226" s="98"/>
      <c r="FP226" s="98"/>
      <c r="FQ226" s="98"/>
      <c r="FR226" s="98"/>
      <c r="FS226" s="98"/>
      <c r="FT226" s="98"/>
      <c r="FU226" s="98"/>
      <c r="FV226" s="98"/>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c r="IW226" s="98"/>
      <c r="IX226" s="98"/>
      <c r="IY226" s="98"/>
      <c r="IZ226" s="98"/>
      <c r="JA226" s="98"/>
      <c r="JB226" s="98"/>
      <c r="JC226" s="98"/>
      <c r="JD226" s="98"/>
      <c r="JE226" s="98"/>
      <c r="JF226" s="98"/>
      <c r="JG226" s="98"/>
      <c r="JH226" s="98"/>
      <c r="JI226" s="98"/>
      <c r="JJ226" s="98"/>
      <c r="JK226" s="98"/>
      <c r="JL226" s="98"/>
      <c r="JM226" s="98"/>
      <c r="JN226" s="98"/>
      <c r="JO226" s="98"/>
      <c r="JP226" s="98"/>
      <c r="JQ226" s="98"/>
      <c r="JR226" s="98"/>
      <c r="JS226" s="98"/>
      <c r="JT226" s="98"/>
      <c r="JU226" s="98"/>
      <c r="JV226" s="98"/>
      <c r="JW226" s="98"/>
      <c r="JX226" s="98"/>
      <c r="JY226" s="98"/>
      <c r="JZ226" s="98"/>
      <c r="KA226" s="98"/>
      <c r="KB226" s="98"/>
      <c r="KC226" s="98"/>
      <c r="KD226" s="98"/>
      <c r="KE226" s="98"/>
      <c r="KF226" s="98"/>
      <c r="KG226" s="98"/>
      <c r="KH226" s="98"/>
      <c r="KI226" s="98"/>
      <c r="KJ226" s="98"/>
      <c r="KK226" s="98"/>
      <c r="KL226" s="98"/>
      <c r="KM226" s="98"/>
      <c r="KN226" s="98"/>
      <c r="KO226" s="98"/>
      <c r="KP226" s="98"/>
      <c r="KQ226" s="98"/>
      <c r="KR226" s="98"/>
      <c r="KS226" s="98"/>
      <c r="KT226" s="98"/>
      <c r="KU226" s="98"/>
      <c r="KV226" s="98"/>
      <c r="KW226" s="98"/>
      <c r="KX226" s="98"/>
      <c r="KY226" s="98"/>
      <c r="KZ226" s="98"/>
      <c r="LA226" s="98"/>
      <c r="LB226" s="98"/>
      <c r="LC226" s="98"/>
      <c r="LD226" s="98"/>
      <c r="LE226" s="98"/>
      <c r="LF226" s="98"/>
      <c r="LG226" s="98"/>
      <c r="LH226" s="98"/>
      <c r="LI226" s="98"/>
      <c r="LJ226" s="98"/>
      <c r="LK226" s="98"/>
      <c r="LL226" s="98"/>
      <c r="LM226" s="98"/>
      <c r="LN226" s="98"/>
      <c r="LO226" s="98"/>
      <c r="LP226" s="98"/>
      <c r="LQ226" s="98"/>
      <c r="LR226" s="98"/>
      <c r="LS226" s="98"/>
      <c r="LT226" s="98"/>
      <c r="LU226" s="98"/>
      <c r="LV226" s="98"/>
      <c r="LW226" s="98"/>
      <c r="LX226" s="98"/>
      <c r="LY226" s="98"/>
      <c r="LZ226" s="98"/>
      <c r="MA226" s="98"/>
      <c r="MB226" s="98"/>
      <c r="MC226" s="98"/>
      <c r="MD226" s="98"/>
      <c r="ME226" s="98"/>
      <c r="MF226" s="98"/>
      <c r="MG226" s="98"/>
      <c r="MH226" s="98"/>
      <c r="MI226" s="98"/>
      <c r="MJ226" s="98"/>
      <c r="MK226" s="98"/>
      <c r="ML226" s="98"/>
      <c r="MM226" s="98"/>
      <c r="MN226" s="98"/>
      <c r="MO226" s="98"/>
      <c r="MP226" s="98"/>
      <c r="MQ226" s="98"/>
      <c r="MR226" s="98"/>
      <c r="MS226" s="98"/>
      <c r="MT226" s="98"/>
      <c r="MU226" s="98"/>
      <c r="MV226" s="98"/>
      <c r="MW226" s="98"/>
      <c r="MX226" s="98"/>
      <c r="MY226" s="98"/>
      <c r="MZ226" s="98"/>
      <c r="NA226" s="98"/>
      <c r="NB226" s="98"/>
      <c r="NC226" s="98"/>
      <c r="ND226" s="98"/>
      <c r="NE226" s="98"/>
      <c r="NF226" s="98"/>
      <c r="NG226" s="98"/>
      <c r="NH226" s="98"/>
      <c r="NI226" s="98"/>
      <c r="NJ226" s="98"/>
      <c r="NK226" s="98"/>
      <c r="NL226" s="98"/>
      <c r="NM226" s="98"/>
      <c r="NN226" s="98"/>
      <c r="NO226" s="98"/>
      <c r="NP226" s="98"/>
      <c r="NQ226" s="98"/>
      <c r="NR226" s="98"/>
      <c r="NS226" s="98"/>
      <c r="NT226" s="98"/>
      <c r="NU226" s="98"/>
      <c r="NV226" s="98"/>
      <c r="NW226" s="98"/>
      <c r="NX226" s="98"/>
      <c r="NY226" s="98"/>
      <c r="NZ226" s="98"/>
      <c r="OA226" s="98"/>
      <c r="OB226" s="98"/>
      <c r="OC226" s="98"/>
      <c r="OD226" s="98"/>
      <c r="OE226" s="98"/>
      <c r="OF226" s="98"/>
      <c r="OG226" s="98"/>
      <c r="OH226" s="98"/>
      <c r="OI226" s="98"/>
      <c r="OJ226" s="98"/>
      <c r="OK226" s="98"/>
      <c r="OL226" s="98"/>
      <c r="OM226" s="98"/>
      <c r="ON226" s="98"/>
      <c r="OO226" s="98"/>
      <c r="OP226" s="98"/>
      <c r="OQ226" s="98"/>
      <c r="OR226" s="98"/>
      <c r="OS226" s="98"/>
      <c r="OT226" s="98"/>
      <c r="OU226" s="98"/>
      <c r="OV226" s="98"/>
      <c r="OW226" s="98"/>
      <c r="OX226" s="98"/>
      <c r="OY226" s="98"/>
      <c r="OZ226" s="98"/>
      <c r="PA226" s="98"/>
      <c r="PB226" s="98"/>
      <c r="PC226" s="98"/>
      <c r="PD226" s="98"/>
      <c r="PE226" s="98"/>
      <c r="PF226" s="98"/>
      <c r="PG226" s="98"/>
      <c r="PH226" s="98"/>
      <c r="PI226" s="98"/>
      <c r="PJ226" s="98"/>
      <c r="PK226" s="98"/>
      <c r="PL226" s="98"/>
      <c r="PM226" s="98"/>
      <c r="PN226" s="98"/>
      <c r="PO226" s="98"/>
      <c r="PP226" s="98"/>
      <c r="PQ226" s="98"/>
      <c r="PR226" s="98"/>
      <c r="PS226" s="98"/>
      <c r="PT226" s="98"/>
      <c r="PU226" s="98"/>
      <c r="PV226" s="98"/>
      <c r="PW226" s="98"/>
      <c r="PX226" s="98"/>
      <c r="PY226" s="98"/>
      <c r="PZ226" s="98"/>
      <c r="QA226" s="98"/>
      <c r="QB226" s="98"/>
      <c r="QC226" s="98"/>
      <c r="QD226" s="98"/>
      <c r="QE226" s="98"/>
      <c r="QF226" s="98"/>
      <c r="QG226" s="98"/>
      <c r="QH226" s="98"/>
      <c r="QI226" s="98"/>
      <c r="QJ226" s="98"/>
      <c r="QK226" s="98"/>
      <c r="QL226" s="98"/>
      <c r="QM226" s="98"/>
      <c r="QN226" s="98"/>
      <c r="QO226" s="98"/>
      <c r="QP226" s="98"/>
      <c r="QQ226" s="98"/>
      <c r="QR226" s="98"/>
      <c r="QS226" s="98"/>
      <c r="QT226" s="98"/>
      <c r="QU226" s="98"/>
      <c r="QV226" s="98"/>
      <c r="QW226" s="98"/>
      <c r="QX226" s="98"/>
      <c r="QY226" s="98"/>
      <c r="QZ226" s="98"/>
      <c r="RA226" s="98"/>
      <c r="RB226" s="98"/>
      <c r="RC226" s="98"/>
      <c r="RD226" s="98"/>
      <c r="RE226" s="98"/>
      <c r="RF226" s="98"/>
      <c r="RG226" s="98"/>
      <c r="RH226" s="98"/>
      <c r="RI226" s="98"/>
      <c r="RJ226" s="98"/>
      <c r="RK226" s="98"/>
      <c r="RL226" s="98"/>
      <c r="RM226" s="98"/>
      <c r="RN226" s="98"/>
      <c r="RO226" s="98"/>
      <c r="RP226" s="98"/>
      <c r="RQ226" s="98"/>
      <c r="RR226" s="98"/>
      <c r="RS226" s="98"/>
      <c r="RT226" s="98"/>
      <c r="RU226" s="98"/>
      <c r="RV226" s="98"/>
      <c r="RW226" s="98"/>
      <c r="RX226" s="98"/>
      <c r="RY226" s="98"/>
      <c r="RZ226" s="98"/>
      <c r="SA226" s="98"/>
      <c r="SB226" s="98"/>
      <c r="SC226" s="98"/>
      <c r="SD226" s="98"/>
      <c r="SE226" s="98"/>
      <c r="SF226" s="98"/>
      <c r="SG226" s="98"/>
      <c r="SH226" s="98"/>
      <c r="SI226" s="98"/>
      <c r="SJ226" s="98"/>
      <c r="SK226" s="98"/>
      <c r="SL226" s="98"/>
      <c r="SM226" s="98"/>
      <c r="SN226" s="98"/>
      <c r="SO226" s="98"/>
      <c r="SP226" s="98"/>
      <c r="SQ226" s="98"/>
      <c r="SR226" s="98"/>
      <c r="SS226" s="98"/>
      <c r="ST226" s="98"/>
      <c r="SU226" s="98"/>
      <c r="SV226" s="98"/>
      <c r="SW226" s="98"/>
      <c r="SX226" s="98"/>
      <c r="SY226" s="98"/>
      <c r="SZ226" s="98"/>
      <c r="TA226" s="98"/>
      <c r="TB226" s="98"/>
      <c r="TC226" s="98"/>
      <c r="TD226" s="98"/>
      <c r="TE226" s="98"/>
      <c r="TF226" s="98"/>
      <c r="TG226" s="98"/>
      <c r="TH226" s="98"/>
      <c r="TI226" s="98"/>
      <c r="TJ226" s="98"/>
      <c r="TK226" s="98"/>
      <c r="TL226" s="98"/>
      <c r="TM226" s="98"/>
      <c r="TN226" s="98"/>
      <c r="TO226" s="98"/>
      <c r="TP226" s="98"/>
      <c r="TQ226" s="98"/>
      <c r="TR226" s="98"/>
      <c r="TS226" s="98"/>
      <c r="TT226" s="98"/>
      <c r="TU226" s="98"/>
      <c r="TV226" s="98"/>
      <c r="TW226" s="98"/>
      <c r="TX226" s="98"/>
      <c r="TY226" s="98"/>
      <c r="TZ226" s="98"/>
      <c r="UA226" s="98"/>
      <c r="UB226" s="98"/>
      <c r="UC226" s="98"/>
      <c r="UD226" s="98"/>
      <c r="UE226" s="98"/>
      <c r="UF226" s="98"/>
      <c r="UG226" s="98"/>
      <c r="UH226" s="98"/>
      <c r="UI226" s="98"/>
      <c r="UJ226" s="98"/>
      <c r="UK226" s="98"/>
      <c r="UL226" s="98"/>
      <c r="UM226" s="98"/>
      <c r="UN226" s="98"/>
      <c r="UO226" s="98"/>
      <c r="UP226" s="98"/>
      <c r="UQ226" s="98"/>
      <c r="UR226" s="98"/>
      <c r="US226" s="98"/>
      <c r="UT226" s="98"/>
      <c r="UU226" s="98"/>
      <c r="UV226" s="98"/>
      <c r="UW226" s="98"/>
      <c r="UX226" s="98"/>
      <c r="UY226" s="98"/>
      <c r="UZ226" s="98"/>
      <c r="VA226" s="98"/>
      <c r="VB226" s="98"/>
      <c r="VC226" s="98"/>
      <c r="VD226" s="98"/>
      <c r="VE226" s="98"/>
      <c r="VF226" s="98"/>
      <c r="VG226" s="98"/>
      <c r="VH226" s="98"/>
      <c r="VI226" s="98"/>
      <c r="VJ226" s="98"/>
      <c r="VK226" s="98"/>
      <c r="VL226" s="98"/>
      <c r="VM226" s="98"/>
      <c r="VN226" s="98"/>
      <c r="VO226" s="98"/>
      <c r="VP226" s="98"/>
      <c r="VQ226" s="98"/>
      <c r="VR226" s="98"/>
      <c r="VS226" s="98"/>
      <c r="VT226" s="98"/>
      <c r="VU226" s="98"/>
      <c r="VV226" s="98"/>
      <c r="VW226" s="98"/>
      <c r="VX226" s="98"/>
      <c r="VY226" s="98"/>
      <c r="VZ226" s="98"/>
      <c r="WA226" s="98"/>
      <c r="WB226" s="98"/>
      <c r="WC226" s="98"/>
      <c r="WD226" s="98"/>
      <c r="WE226" s="98"/>
      <c r="WF226" s="98"/>
      <c r="WG226" s="98"/>
      <c r="WH226" s="98"/>
      <c r="WI226" s="98"/>
      <c r="WJ226" s="98"/>
      <c r="WK226" s="98"/>
      <c r="WL226" s="98"/>
      <c r="WM226" s="98"/>
      <c r="WN226" s="98"/>
      <c r="WO226" s="98"/>
      <c r="WP226" s="98"/>
      <c r="WQ226" s="98"/>
      <c r="WR226" s="98"/>
      <c r="WS226" s="98"/>
      <c r="WT226" s="98"/>
      <c r="WU226" s="98"/>
      <c r="WV226" s="98"/>
      <c r="WW226" s="98"/>
      <c r="WX226" s="98"/>
      <c r="WY226" s="98"/>
      <c r="WZ226" s="98"/>
      <c r="XA226" s="98"/>
      <c r="XB226" s="98"/>
      <c r="XC226" s="98"/>
      <c r="XD226" s="98"/>
      <c r="XE226" s="98"/>
      <c r="XF226" s="98"/>
      <c r="XG226" s="98"/>
      <c r="XH226" s="98"/>
      <c r="XI226" s="98"/>
      <c r="XJ226" s="98"/>
      <c r="XK226" s="98"/>
      <c r="XL226" s="98"/>
      <c r="XM226" s="98"/>
      <c r="XN226" s="98"/>
      <c r="XO226" s="98"/>
      <c r="XP226" s="98"/>
      <c r="XQ226" s="98"/>
      <c r="XR226" s="98"/>
      <c r="XS226" s="98"/>
      <c r="XT226" s="98"/>
      <c r="XU226" s="98"/>
      <c r="XV226" s="98"/>
      <c r="XW226" s="98"/>
      <c r="XX226" s="98"/>
      <c r="XY226" s="98"/>
      <c r="XZ226" s="98"/>
      <c r="YA226" s="98"/>
      <c r="YB226" s="98"/>
      <c r="YC226" s="98"/>
      <c r="YD226" s="98"/>
      <c r="YE226" s="98"/>
      <c r="YF226" s="98"/>
      <c r="YG226" s="98"/>
      <c r="YH226" s="98"/>
      <c r="YI226" s="98"/>
      <c r="YJ226" s="98"/>
      <c r="YK226" s="98"/>
      <c r="YL226" s="98"/>
      <c r="YM226" s="98"/>
      <c r="YN226" s="98"/>
      <c r="YO226" s="98"/>
      <c r="YP226" s="98"/>
      <c r="YQ226" s="98"/>
      <c r="YR226" s="98"/>
      <c r="YS226" s="98"/>
      <c r="YT226" s="98"/>
      <c r="YU226" s="98"/>
      <c r="YV226" s="98"/>
      <c r="YW226" s="98"/>
      <c r="YX226" s="98"/>
      <c r="YY226" s="98"/>
      <c r="YZ226" s="98"/>
      <c r="ZA226" s="98"/>
      <c r="ZB226" s="98"/>
      <c r="ZC226" s="98"/>
      <c r="ZD226" s="98"/>
      <c r="ZE226" s="98"/>
      <c r="ZF226" s="98"/>
      <c r="ZG226" s="98"/>
      <c r="ZH226" s="98"/>
      <c r="ZI226" s="98"/>
      <c r="ZJ226" s="98"/>
      <c r="ZK226" s="98"/>
      <c r="ZL226" s="98"/>
      <c r="ZM226" s="98"/>
      <c r="ZN226" s="98"/>
      <c r="ZO226" s="98"/>
      <c r="ZP226" s="98"/>
      <c r="ZQ226" s="98"/>
      <c r="ZR226" s="98"/>
      <c r="ZS226" s="98"/>
      <c r="ZT226" s="98"/>
      <c r="ZU226" s="98"/>
      <c r="ZV226" s="98"/>
      <c r="ZW226" s="98"/>
      <c r="ZX226" s="98"/>
      <c r="ZY226" s="98"/>
      <c r="ZZ226" s="98"/>
      <c r="AAA226" s="98"/>
      <c r="AAB226" s="98"/>
      <c r="AAC226" s="98"/>
      <c r="AAD226" s="98"/>
      <c r="AAE226" s="98"/>
      <c r="AAF226" s="98"/>
      <c r="AAG226" s="98"/>
      <c r="AAH226" s="98"/>
      <c r="AAI226" s="98"/>
      <c r="AAJ226" s="98"/>
      <c r="AAK226" s="98"/>
      <c r="AAL226" s="98"/>
      <c r="AAM226" s="98"/>
      <c r="AAN226" s="98"/>
      <c r="AAO226" s="98"/>
      <c r="AAP226" s="98"/>
      <c r="AAQ226" s="98"/>
      <c r="AAR226" s="98"/>
      <c r="AAS226" s="98"/>
      <c r="AAT226" s="98"/>
      <c r="AAU226" s="98"/>
      <c r="AAV226" s="98"/>
      <c r="AAW226" s="98"/>
      <c r="AAX226" s="98"/>
      <c r="AAY226" s="98"/>
      <c r="AAZ226" s="98"/>
      <c r="ABA226" s="98"/>
      <c r="ABB226" s="98"/>
      <c r="ABC226" s="98"/>
      <c r="ABD226" s="98"/>
      <c r="ABE226" s="98"/>
      <c r="ABF226" s="98"/>
      <c r="ABG226" s="98"/>
      <c r="ABH226" s="98"/>
      <c r="ABI226" s="98"/>
      <c r="ABJ226" s="98"/>
      <c r="ABK226" s="98"/>
      <c r="ABL226" s="98"/>
      <c r="ABM226" s="98"/>
      <c r="ABN226" s="98"/>
      <c r="ABO226" s="98"/>
      <c r="ABP226" s="98"/>
      <c r="ABQ226" s="98"/>
      <c r="ABR226" s="98"/>
      <c r="ABS226" s="98"/>
      <c r="ABT226" s="98"/>
      <c r="ABU226" s="98"/>
      <c r="ABV226" s="98"/>
      <c r="ABW226" s="98"/>
      <c r="ABX226" s="98"/>
      <c r="ABY226" s="98"/>
      <c r="ABZ226" s="98"/>
      <c r="ACA226" s="98"/>
      <c r="ACB226" s="98"/>
      <c r="ACC226" s="98"/>
      <c r="ACD226" s="98"/>
      <c r="ACE226" s="98"/>
      <c r="ACF226" s="98"/>
      <c r="ACG226" s="98"/>
      <c r="ACH226" s="98"/>
      <c r="ACI226" s="98"/>
      <c r="ACJ226" s="98"/>
      <c r="ACK226" s="98"/>
      <c r="ACL226" s="98"/>
      <c r="ACM226" s="98"/>
      <c r="ACN226" s="98"/>
      <c r="ACO226" s="98"/>
      <c r="ACP226" s="98"/>
      <c r="ACQ226" s="98"/>
      <c r="ACR226" s="98"/>
      <c r="ACS226" s="98"/>
      <c r="ACT226" s="98"/>
      <c r="ACU226" s="98"/>
      <c r="ACV226" s="98"/>
      <c r="ACW226" s="98"/>
      <c r="ACX226" s="98"/>
      <c r="ACY226" s="98"/>
      <c r="ACZ226" s="98"/>
      <c r="ADA226" s="98"/>
      <c r="ADB226" s="98"/>
      <c r="ADC226" s="98"/>
      <c r="ADD226" s="98"/>
      <c r="ADE226" s="98"/>
      <c r="ADF226" s="98"/>
      <c r="ADG226" s="98"/>
      <c r="ADH226" s="98"/>
      <c r="ADI226" s="98"/>
      <c r="ADJ226" s="98"/>
      <c r="ADK226" s="98"/>
      <c r="ADL226" s="98"/>
      <c r="ADM226" s="98"/>
      <c r="ADN226" s="98"/>
      <c r="ADO226" s="98"/>
      <c r="ADP226" s="98"/>
      <c r="ADQ226" s="98"/>
      <c r="ADR226" s="98"/>
      <c r="ADS226" s="98"/>
      <c r="ADT226" s="98"/>
      <c r="ADU226" s="98"/>
      <c r="ADV226" s="98"/>
      <c r="ADW226" s="98"/>
      <c r="ADX226" s="98"/>
      <c r="ADY226" s="98"/>
      <c r="ADZ226" s="98"/>
      <c r="AEA226" s="98"/>
      <c r="AEB226" s="98"/>
      <c r="AEC226" s="98"/>
      <c r="AED226" s="98"/>
      <c r="AEE226" s="98"/>
      <c r="AEF226" s="98"/>
      <c r="AEG226" s="98"/>
      <c r="AEH226" s="98"/>
      <c r="AEI226" s="98"/>
      <c r="AEJ226" s="98"/>
      <c r="AEK226" s="98"/>
      <c r="AEL226" s="98"/>
      <c r="AEM226" s="98"/>
      <c r="AEN226" s="98"/>
      <c r="AEO226" s="98"/>
      <c r="AEP226" s="98"/>
      <c r="AEQ226" s="98"/>
      <c r="AER226" s="98"/>
      <c r="AES226" s="98"/>
      <c r="AET226" s="98"/>
      <c r="AEU226" s="98"/>
      <c r="AEV226" s="98"/>
      <c r="AEW226" s="98"/>
      <c r="AEX226" s="98"/>
      <c r="AEY226" s="98"/>
      <c r="AEZ226" s="98"/>
      <c r="AFA226" s="98"/>
      <c r="AFB226" s="98"/>
      <c r="AFC226" s="98"/>
      <c r="AFD226" s="98"/>
      <c r="AFE226" s="98"/>
      <c r="AFF226" s="98"/>
      <c r="AFG226" s="98"/>
      <c r="AFH226" s="98"/>
      <c r="AFI226" s="98"/>
      <c r="AFJ226" s="98"/>
      <c r="AFK226" s="98"/>
      <c r="AFL226" s="98"/>
      <c r="AFM226" s="98"/>
      <c r="AFN226" s="98"/>
      <c r="AFO226" s="98"/>
      <c r="AFP226" s="98"/>
      <c r="AFQ226" s="98"/>
      <c r="AFR226" s="98"/>
      <c r="AFS226" s="98"/>
      <c r="AFT226" s="98"/>
      <c r="AFU226" s="98"/>
      <c r="AFV226" s="98"/>
      <c r="AFW226" s="98"/>
      <c r="AFX226" s="98"/>
      <c r="AFY226" s="98"/>
      <c r="AFZ226" s="98"/>
      <c r="AGA226" s="98"/>
      <c r="AGB226" s="98"/>
      <c r="AGC226" s="98"/>
      <c r="AGD226" s="98"/>
      <c r="AGE226" s="98"/>
      <c r="AGF226" s="98"/>
      <c r="AGG226" s="98"/>
      <c r="AGH226" s="98"/>
      <c r="AGI226" s="98"/>
      <c r="AGJ226" s="98"/>
      <c r="AGK226" s="98"/>
      <c r="AGL226" s="98"/>
      <c r="AGM226" s="98"/>
      <c r="AGN226" s="98"/>
      <c r="AGO226" s="98"/>
      <c r="AGP226" s="98"/>
      <c r="AGQ226" s="98"/>
      <c r="AGR226" s="98"/>
      <c r="AGS226" s="98"/>
      <c r="AGT226" s="98"/>
      <c r="AGU226" s="98"/>
      <c r="AGV226" s="98"/>
      <c r="AGW226" s="98"/>
      <c r="AGX226" s="98"/>
      <c r="AGY226" s="98"/>
      <c r="AGZ226" s="98"/>
      <c r="AHA226" s="98"/>
      <c r="AHB226" s="98"/>
      <c r="AHC226" s="98"/>
      <c r="AHD226" s="98"/>
      <c r="AHE226" s="98"/>
      <c r="AHF226" s="98"/>
      <c r="AHG226" s="98"/>
      <c r="AHH226" s="98"/>
      <c r="AHI226" s="98"/>
      <c r="AHJ226" s="98"/>
      <c r="AHK226" s="98"/>
      <c r="AHL226" s="98"/>
      <c r="AHM226" s="98"/>
      <c r="AHN226" s="98"/>
      <c r="AHO226" s="98"/>
      <c r="AHP226" s="98"/>
      <c r="AHQ226" s="98"/>
      <c r="AHR226" s="98"/>
      <c r="AHS226" s="98"/>
      <c r="AHT226" s="98"/>
      <c r="AHU226" s="98"/>
      <c r="AHV226" s="98"/>
      <c r="AHW226" s="98"/>
      <c r="AHX226" s="98"/>
      <c r="AHY226" s="98"/>
      <c r="AHZ226" s="98"/>
      <c r="AIA226" s="98"/>
      <c r="AIB226" s="98"/>
      <c r="AIC226" s="98"/>
      <c r="AID226" s="98"/>
      <c r="AIE226" s="98"/>
      <c r="AIF226" s="98"/>
      <c r="AIG226" s="98"/>
      <c r="AIH226" s="98"/>
      <c r="AII226" s="98"/>
      <c r="AIJ226" s="98"/>
      <c r="AIK226" s="98"/>
      <c r="AIL226" s="98"/>
      <c r="AIM226" s="98"/>
      <c r="AIN226" s="98"/>
      <c r="AIO226" s="98"/>
      <c r="AIP226" s="98"/>
      <c r="AIQ226" s="98"/>
      <c r="AIR226" s="98"/>
      <c r="AIS226" s="98"/>
      <c r="AIT226" s="98"/>
      <c r="AIU226" s="98"/>
      <c r="AIV226" s="98"/>
      <c r="AIW226" s="98"/>
      <c r="AIX226" s="98"/>
      <c r="AIY226" s="98"/>
      <c r="AIZ226" s="98"/>
      <c r="AJA226" s="98"/>
      <c r="AJB226" s="98"/>
      <c r="AJC226" s="98"/>
      <c r="AJD226" s="98"/>
      <c r="AJE226" s="98"/>
      <c r="AJF226" s="98"/>
      <c r="AJG226" s="98"/>
      <c r="AJH226" s="98"/>
      <c r="AJI226" s="98"/>
      <c r="AJJ226" s="98"/>
      <c r="AJK226" s="98"/>
      <c r="AJL226" s="98"/>
      <c r="AJM226" s="98"/>
      <c r="AJN226" s="98"/>
      <c r="AJO226" s="98"/>
      <c r="AJP226" s="98"/>
      <c r="AJQ226" s="98"/>
      <c r="AJR226" s="98"/>
      <c r="AJS226" s="98"/>
      <c r="AJT226" s="98"/>
      <c r="AJU226" s="98"/>
      <c r="AJV226" s="98"/>
      <c r="AJW226" s="98"/>
      <c r="AJX226" s="98"/>
      <c r="AJY226" s="98"/>
      <c r="AJZ226" s="98"/>
      <c r="AKA226" s="98"/>
      <c r="AKB226" s="98"/>
      <c r="AKC226" s="98"/>
      <c r="AKD226" s="98"/>
      <c r="AKE226" s="98"/>
      <c r="AKF226" s="98"/>
      <c r="AKG226" s="98"/>
      <c r="AKH226" s="98"/>
      <c r="AKI226" s="98"/>
      <c r="AKJ226" s="98"/>
      <c r="AKK226" s="98"/>
      <c r="AKL226" s="98"/>
      <c r="AKM226" s="98"/>
      <c r="AKN226" s="98"/>
      <c r="AKO226" s="98"/>
      <c r="AKP226" s="98"/>
      <c r="AKQ226" s="98"/>
      <c r="AKR226" s="98"/>
      <c r="AKS226" s="98"/>
      <c r="AKT226" s="98"/>
      <c r="AKU226" s="98"/>
      <c r="AKV226" s="98"/>
      <c r="AKW226" s="98"/>
      <c r="AKX226" s="98"/>
      <c r="AKY226" s="98"/>
      <c r="AKZ226" s="98"/>
      <c r="ALA226" s="98"/>
      <c r="ALB226" s="98"/>
      <c r="ALC226" s="98"/>
      <c r="ALD226" s="98"/>
      <c r="ALE226" s="98"/>
      <c r="ALF226" s="98"/>
      <c r="ALG226" s="98"/>
      <c r="ALH226" s="98"/>
      <c r="ALI226" s="98"/>
      <c r="ALJ226" s="98"/>
      <c r="ALK226" s="98"/>
      <c r="ALL226" s="98"/>
      <c r="ALM226" s="98"/>
      <c r="ALN226" s="98"/>
      <c r="ALO226" s="98"/>
      <c r="ALP226" s="98"/>
      <c r="ALQ226" s="98"/>
      <c r="ALR226" s="98"/>
      <c r="ALS226" s="98"/>
      <c r="ALT226" s="98"/>
      <c r="ALU226" s="98"/>
      <c r="ALV226" s="98"/>
      <c r="ALW226" s="98"/>
      <c r="ALX226" s="98"/>
      <c r="ALY226" s="98"/>
      <c r="ALZ226" s="98"/>
      <c r="AMA226" s="98"/>
      <c r="AMB226" s="98"/>
      <c r="AMC226" s="98"/>
      <c r="AMD226" s="98"/>
      <c r="AME226" s="98"/>
      <c r="AMF226" s="98"/>
      <c r="AMG226" s="98"/>
      <c r="AMH226" s="98"/>
      <c r="AMI226" s="98"/>
      <c r="AMJ226" s="98"/>
      <c r="AMK226" s="98"/>
      <c r="AML226" s="98"/>
      <c r="AMM226" s="98"/>
      <c r="AMN226" s="98"/>
      <c r="AMO226" s="98"/>
      <c r="AMP226" s="98"/>
      <c r="AMQ226" s="98"/>
      <c r="AMR226" s="98"/>
      <c r="AMS226" s="98"/>
      <c r="AMT226" s="98"/>
      <c r="AMU226" s="98"/>
      <c r="AMV226" s="98"/>
      <c r="AMW226" s="98"/>
      <c r="AMX226" s="98"/>
      <c r="AMY226" s="98"/>
      <c r="AMZ226" s="98"/>
      <c r="ANA226" s="98"/>
      <c r="ANB226" s="98"/>
      <c r="ANC226" s="98"/>
      <c r="AND226" s="98"/>
      <c r="ANE226" s="98"/>
      <c r="ANF226" s="98"/>
      <c r="ANG226" s="98"/>
      <c r="ANH226" s="98"/>
      <c r="ANI226" s="98"/>
      <c r="ANJ226" s="98"/>
      <c r="ANK226" s="98"/>
      <c r="ANL226" s="98"/>
      <c r="ANM226" s="98"/>
      <c r="ANN226" s="98"/>
      <c r="ANO226" s="98"/>
      <c r="ANP226" s="98"/>
      <c r="ANQ226" s="98"/>
      <c r="ANR226" s="98"/>
      <c r="ANS226" s="98"/>
      <c r="ANT226" s="98"/>
      <c r="ANU226" s="98"/>
      <c r="ANV226" s="98"/>
      <c r="ANW226" s="98"/>
      <c r="ANX226" s="98"/>
      <c r="ANY226" s="98"/>
      <c r="ANZ226" s="98"/>
      <c r="AOA226" s="98"/>
      <c r="AOB226" s="98"/>
      <c r="AOC226" s="98"/>
      <c r="AOD226" s="98"/>
      <c r="AOE226" s="98"/>
      <c r="AOF226" s="98"/>
      <c r="AOG226" s="98"/>
      <c r="AOH226" s="98"/>
      <c r="AOI226" s="98"/>
      <c r="AOJ226" s="98"/>
      <c r="AOK226" s="98"/>
      <c r="AOL226" s="98"/>
      <c r="AOM226" s="98"/>
      <c r="AON226" s="98"/>
      <c r="AOO226" s="98"/>
      <c r="AOP226" s="98"/>
      <c r="AOQ226" s="98"/>
      <c r="AOR226" s="98"/>
      <c r="AOS226" s="98"/>
      <c r="AOT226" s="98"/>
      <c r="AOU226" s="98"/>
      <c r="AOV226" s="98"/>
      <c r="AOW226" s="98"/>
      <c r="AOX226" s="98"/>
      <c r="AOY226" s="98"/>
      <c r="AOZ226" s="98"/>
      <c r="APA226" s="98"/>
      <c r="APB226" s="98"/>
      <c r="APC226" s="98"/>
      <c r="APD226" s="98"/>
      <c r="APE226" s="98"/>
      <c r="APF226" s="98"/>
      <c r="APG226" s="98"/>
      <c r="APH226" s="98"/>
      <c r="API226" s="98"/>
      <c r="APJ226" s="98"/>
      <c r="APK226" s="98"/>
      <c r="APL226" s="98"/>
      <c r="APM226" s="98"/>
      <c r="APN226" s="98"/>
      <c r="APO226" s="98"/>
      <c r="APP226" s="98"/>
      <c r="APQ226" s="98"/>
      <c r="APR226" s="98"/>
      <c r="APS226" s="98"/>
      <c r="APT226" s="98"/>
      <c r="APU226" s="98"/>
      <c r="APV226" s="98"/>
      <c r="APW226" s="98"/>
      <c r="APX226" s="98"/>
      <c r="APY226" s="98"/>
      <c r="APZ226" s="98"/>
      <c r="AQA226" s="98"/>
      <c r="AQB226" s="98"/>
      <c r="AQC226" s="98"/>
      <c r="AQD226" s="98"/>
      <c r="AQE226" s="98"/>
      <c r="AQF226" s="98"/>
      <c r="AQG226" s="98"/>
      <c r="AQH226" s="98"/>
      <c r="AQI226" s="98"/>
      <c r="AQJ226" s="98"/>
      <c r="AQK226" s="98"/>
      <c r="AQL226" s="98"/>
      <c r="AQM226" s="98"/>
      <c r="AQN226" s="98"/>
      <c r="AQO226" s="98"/>
      <c r="AQP226" s="98"/>
      <c r="AQQ226" s="98"/>
      <c r="AQR226" s="98"/>
      <c r="AQS226" s="98"/>
      <c r="AQT226" s="98"/>
      <c r="AQU226" s="98"/>
      <c r="AQV226" s="98"/>
      <c r="AQW226" s="98"/>
      <c r="AQX226" s="98"/>
      <c r="AQY226" s="98"/>
      <c r="AQZ226" s="98"/>
      <c r="ARA226" s="98"/>
      <c r="ARB226" s="98"/>
      <c r="ARC226" s="98"/>
      <c r="ARD226" s="98"/>
      <c r="ARE226" s="98"/>
      <c r="ARF226" s="98"/>
      <c r="ARG226" s="98"/>
      <c r="ARH226" s="98"/>
      <c r="ARI226" s="98"/>
      <c r="ARJ226" s="98"/>
      <c r="ARK226" s="98"/>
      <c r="ARL226" s="98"/>
      <c r="ARM226" s="98"/>
      <c r="ARN226" s="98"/>
      <c r="ARO226" s="98"/>
      <c r="ARP226" s="98"/>
      <c r="ARQ226" s="98"/>
      <c r="ARR226" s="98"/>
      <c r="ARS226" s="98"/>
    </row>
    <row r="227" spans="1:1163" s="154" customFormat="1">
      <c r="A227" s="254"/>
      <c r="AW227" s="152"/>
      <c r="AX227" s="152"/>
      <c r="AY227" s="153"/>
      <c r="AZ227" s="211"/>
      <c r="BB227" s="77"/>
      <c r="BC227" s="77"/>
      <c r="BJ227" s="98"/>
      <c r="BK227" s="98"/>
      <c r="BL227" s="148"/>
      <c r="BM227" s="14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c r="EO227" s="98"/>
      <c r="EP227" s="98"/>
      <c r="EQ227" s="98"/>
      <c r="ER227" s="98"/>
      <c r="ES227" s="98"/>
      <c r="ET227" s="98"/>
      <c r="EU227" s="98"/>
      <c r="EV227" s="98"/>
      <c r="EW227" s="98"/>
      <c r="EX227" s="98"/>
      <c r="EY227" s="98"/>
      <c r="EZ227" s="98"/>
      <c r="FA227" s="98"/>
      <c r="FB227" s="98"/>
      <c r="FC227" s="98"/>
      <c r="FD227" s="98"/>
      <c r="FE227" s="98"/>
      <c r="FF227" s="98"/>
      <c r="FG227" s="98"/>
      <c r="FH227" s="98"/>
      <c r="FI227" s="98"/>
      <c r="FJ227" s="98"/>
      <c r="FK227" s="98"/>
      <c r="FL227" s="98"/>
      <c r="FM227" s="98"/>
      <c r="FN227" s="98"/>
      <c r="FO227" s="98"/>
      <c r="FP227" s="98"/>
      <c r="FQ227" s="98"/>
      <c r="FR227" s="98"/>
      <c r="FS227" s="98"/>
      <c r="FT227" s="98"/>
      <c r="FU227" s="98"/>
      <c r="FV227" s="98"/>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c r="IW227" s="98"/>
      <c r="IX227" s="98"/>
      <c r="IY227" s="98"/>
      <c r="IZ227" s="98"/>
      <c r="JA227" s="98"/>
      <c r="JB227" s="98"/>
      <c r="JC227" s="98"/>
      <c r="JD227" s="98"/>
      <c r="JE227" s="98"/>
      <c r="JF227" s="98"/>
      <c r="JG227" s="98"/>
      <c r="JH227" s="98"/>
      <c r="JI227" s="98"/>
      <c r="JJ227" s="98"/>
      <c r="JK227" s="98"/>
      <c r="JL227" s="98"/>
      <c r="JM227" s="98"/>
      <c r="JN227" s="98"/>
      <c r="JO227" s="98"/>
      <c r="JP227" s="98"/>
      <c r="JQ227" s="98"/>
      <c r="JR227" s="98"/>
      <c r="JS227" s="98"/>
      <c r="JT227" s="98"/>
      <c r="JU227" s="98"/>
      <c r="JV227" s="98"/>
      <c r="JW227" s="98"/>
      <c r="JX227" s="98"/>
      <c r="JY227" s="98"/>
      <c r="JZ227" s="98"/>
      <c r="KA227" s="98"/>
      <c r="KB227" s="98"/>
      <c r="KC227" s="98"/>
      <c r="KD227" s="98"/>
      <c r="KE227" s="98"/>
      <c r="KF227" s="98"/>
      <c r="KG227" s="98"/>
      <c r="KH227" s="98"/>
      <c r="KI227" s="98"/>
      <c r="KJ227" s="98"/>
      <c r="KK227" s="98"/>
      <c r="KL227" s="98"/>
      <c r="KM227" s="98"/>
      <c r="KN227" s="98"/>
      <c r="KO227" s="98"/>
      <c r="KP227" s="98"/>
      <c r="KQ227" s="98"/>
      <c r="KR227" s="98"/>
      <c r="KS227" s="98"/>
      <c r="KT227" s="98"/>
      <c r="KU227" s="98"/>
      <c r="KV227" s="98"/>
      <c r="KW227" s="98"/>
      <c r="KX227" s="98"/>
      <c r="KY227" s="98"/>
      <c r="KZ227" s="98"/>
      <c r="LA227" s="98"/>
      <c r="LB227" s="98"/>
      <c r="LC227" s="98"/>
      <c r="LD227" s="98"/>
      <c r="LE227" s="98"/>
      <c r="LF227" s="98"/>
      <c r="LG227" s="98"/>
      <c r="LH227" s="98"/>
      <c r="LI227" s="98"/>
      <c r="LJ227" s="98"/>
      <c r="LK227" s="98"/>
      <c r="LL227" s="98"/>
      <c r="LM227" s="98"/>
      <c r="LN227" s="98"/>
      <c r="LO227" s="98"/>
      <c r="LP227" s="98"/>
      <c r="LQ227" s="98"/>
      <c r="LR227" s="98"/>
      <c r="LS227" s="98"/>
      <c r="LT227" s="98"/>
      <c r="LU227" s="98"/>
      <c r="LV227" s="98"/>
      <c r="LW227" s="98"/>
      <c r="LX227" s="98"/>
      <c r="LY227" s="98"/>
      <c r="LZ227" s="98"/>
      <c r="MA227" s="98"/>
      <c r="MB227" s="98"/>
      <c r="MC227" s="98"/>
      <c r="MD227" s="98"/>
      <c r="ME227" s="98"/>
      <c r="MF227" s="98"/>
      <c r="MG227" s="98"/>
      <c r="MH227" s="98"/>
      <c r="MI227" s="98"/>
      <c r="MJ227" s="98"/>
      <c r="MK227" s="98"/>
      <c r="ML227" s="98"/>
      <c r="MM227" s="98"/>
      <c r="MN227" s="98"/>
      <c r="MO227" s="98"/>
      <c r="MP227" s="98"/>
      <c r="MQ227" s="98"/>
      <c r="MR227" s="98"/>
      <c r="MS227" s="98"/>
      <c r="MT227" s="98"/>
      <c r="MU227" s="98"/>
      <c r="MV227" s="98"/>
      <c r="MW227" s="98"/>
      <c r="MX227" s="98"/>
      <c r="MY227" s="98"/>
      <c r="MZ227" s="98"/>
      <c r="NA227" s="98"/>
      <c r="NB227" s="98"/>
      <c r="NC227" s="98"/>
      <c r="ND227" s="98"/>
      <c r="NE227" s="98"/>
      <c r="NF227" s="98"/>
      <c r="NG227" s="98"/>
      <c r="NH227" s="98"/>
      <c r="NI227" s="98"/>
      <c r="NJ227" s="98"/>
      <c r="NK227" s="98"/>
      <c r="NL227" s="98"/>
      <c r="NM227" s="98"/>
      <c r="NN227" s="98"/>
      <c r="NO227" s="98"/>
      <c r="NP227" s="98"/>
      <c r="NQ227" s="98"/>
      <c r="NR227" s="98"/>
      <c r="NS227" s="98"/>
      <c r="NT227" s="98"/>
      <c r="NU227" s="98"/>
      <c r="NV227" s="98"/>
      <c r="NW227" s="98"/>
      <c r="NX227" s="98"/>
      <c r="NY227" s="98"/>
      <c r="NZ227" s="98"/>
      <c r="OA227" s="98"/>
      <c r="OB227" s="98"/>
      <c r="OC227" s="98"/>
      <c r="OD227" s="98"/>
      <c r="OE227" s="98"/>
      <c r="OF227" s="98"/>
      <c r="OG227" s="98"/>
      <c r="OH227" s="98"/>
      <c r="OI227" s="98"/>
      <c r="OJ227" s="98"/>
      <c r="OK227" s="98"/>
      <c r="OL227" s="98"/>
      <c r="OM227" s="98"/>
      <c r="ON227" s="98"/>
      <c r="OO227" s="98"/>
      <c r="OP227" s="98"/>
      <c r="OQ227" s="98"/>
      <c r="OR227" s="98"/>
      <c r="OS227" s="98"/>
      <c r="OT227" s="98"/>
      <c r="OU227" s="98"/>
      <c r="OV227" s="98"/>
      <c r="OW227" s="98"/>
      <c r="OX227" s="98"/>
      <c r="OY227" s="98"/>
      <c r="OZ227" s="98"/>
      <c r="PA227" s="98"/>
      <c r="PB227" s="98"/>
      <c r="PC227" s="98"/>
      <c r="PD227" s="98"/>
      <c r="PE227" s="98"/>
      <c r="PF227" s="98"/>
      <c r="PG227" s="98"/>
      <c r="PH227" s="98"/>
      <c r="PI227" s="98"/>
      <c r="PJ227" s="98"/>
      <c r="PK227" s="98"/>
      <c r="PL227" s="98"/>
      <c r="PM227" s="98"/>
      <c r="PN227" s="98"/>
      <c r="PO227" s="98"/>
      <c r="PP227" s="98"/>
      <c r="PQ227" s="98"/>
      <c r="PR227" s="98"/>
      <c r="PS227" s="98"/>
      <c r="PT227" s="98"/>
      <c r="PU227" s="98"/>
      <c r="PV227" s="98"/>
      <c r="PW227" s="98"/>
      <c r="PX227" s="98"/>
      <c r="PY227" s="98"/>
      <c r="PZ227" s="98"/>
      <c r="QA227" s="98"/>
      <c r="QB227" s="98"/>
      <c r="QC227" s="98"/>
      <c r="QD227" s="98"/>
      <c r="QE227" s="98"/>
      <c r="QF227" s="98"/>
      <c r="QG227" s="98"/>
      <c r="QH227" s="98"/>
      <c r="QI227" s="98"/>
      <c r="QJ227" s="98"/>
      <c r="QK227" s="98"/>
      <c r="QL227" s="98"/>
      <c r="QM227" s="98"/>
      <c r="QN227" s="98"/>
      <c r="QO227" s="98"/>
      <c r="QP227" s="98"/>
      <c r="QQ227" s="98"/>
      <c r="QR227" s="98"/>
      <c r="QS227" s="98"/>
      <c r="QT227" s="98"/>
      <c r="QU227" s="98"/>
      <c r="QV227" s="98"/>
      <c r="QW227" s="98"/>
      <c r="QX227" s="98"/>
      <c r="QY227" s="98"/>
      <c r="QZ227" s="98"/>
      <c r="RA227" s="98"/>
      <c r="RB227" s="98"/>
      <c r="RC227" s="98"/>
      <c r="RD227" s="98"/>
      <c r="RE227" s="98"/>
      <c r="RF227" s="98"/>
      <c r="RG227" s="98"/>
      <c r="RH227" s="98"/>
      <c r="RI227" s="98"/>
      <c r="RJ227" s="98"/>
      <c r="RK227" s="98"/>
      <c r="RL227" s="98"/>
      <c r="RM227" s="98"/>
      <c r="RN227" s="98"/>
      <c r="RO227" s="98"/>
      <c r="RP227" s="98"/>
      <c r="RQ227" s="98"/>
      <c r="RR227" s="98"/>
      <c r="RS227" s="98"/>
      <c r="RT227" s="98"/>
      <c r="RU227" s="98"/>
      <c r="RV227" s="98"/>
      <c r="RW227" s="98"/>
      <c r="RX227" s="98"/>
      <c r="RY227" s="98"/>
      <c r="RZ227" s="98"/>
      <c r="SA227" s="98"/>
      <c r="SB227" s="98"/>
      <c r="SC227" s="98"/>
      <c r="SD227" s="98"/>
      <c r="SE227" s="98"/>
      <c r="SF227" s="98"/>
      <c r="SG227" s="98"/>
      <c r="SH227" s="98"/>
      <c r="SI227" s="98"/>
      <c r="SJ227" s="98"/>
      <c r="SK227" s="98"/>
      <c r="SL227" s="98"/>
      <c r="SM227" s="98"/>
      <c r="SN227" s="98"/>
      <c r="SO227" s="98"/>
      <c r="SP227" s="98"/>
      <c r="SQ227" s="98"/>
      <c r="SR227" s="98"/>
      <c r="SS227" s="98"/>
      <c r="ST227" s="98"/>
      <c r="SU227" s="98"/>
      <c r="SV227" s="98"/>
      <c r="SW227" s="98"/>
      <c r="SX227" s="98"/>
      <c r="SY227" s="98"/>
      <c r="SZ227" s="98"/>
      <c r="TA227" s="98"/>
      <c r="TB227" s="98"/>
      <c r="TC227" s="98"/>
      <c r="TD227" s="98"/>
      <c r="TE227" s="98"/>
      <c r="TF227" s="98"/>
      <c r="TG227" s="98"/>
      <c r="TH227" s="98"/>
      <c r="TI227" s="98"/>
      <c r="TJ227" s="98"/>
      <c r="TK227" s="98"/>
      <c r="TL227" s="98"/>
      <c r="TM227" s="98"/>
      <c r="TN227" s="98"/>
      <c r="TO227" s="98"/>
      <c r="TP227" s="98"/>
      <c r="TQ227" s="98"/>
      <c r="TR227" s="98"/>
      <c r="TS227" s="98"/>
      <c r="TT227" s="98"/>
      <c r="TU227" s="98"/>
      <c r="TV227" s="98"/>
      <c r="TW227" s="98"/>
      <c r="TX227" s="98"/>
      <c r="TY227" s="98"/>
      <c r="TZ227" s="98"/>
      <c r="UA227" s="98"/>
      <c r="UB227" s="98"/>
      <c r="UC227" s="98"/>
      <c r="UD227" s="98"/>
      <c r="UE227" s="98"/>
      <c r="UF227" s="98"/>
      <c r="UG227" s="98"/>
      <c r="UH227" s="98"/>
      <c r="UI227" s="98"/>
      <c r="UJ227" s="98"/>
      <c r="UK227" s="98"/>
      <c r="UL227" s="98"/>
      <c r="UM227" s="98"/>
      <c r="UN227" s="98"/>
      <c r="UO227" s="98"/>
      <c r="UP227" s="98"/>
      <c r="UQ227" s="98"/>
      <c r="UR227" s="98"/>
      <c r="US227" s="98"/>
      <c r="UT227" s="98"/>
      <c r="UU227" s="98"/>
      <c r="UV227" s="98"/>
      <c r="UW227" s="98"/>
      <c r="UX227" s="98"/>
      <c r="UY227" s="98"/>
      <c r="UZ227" s="98"/>
      <c r="VA227" s="98"/>
      <c r="VB227" s="98"/>
      <c r="VC227" s="98"/>
      <c r="VD227" s="98"/>
      <c r="VE227" s="98"/>
      <c r="VF227" s="98"/>
      <c r="VG227" s="98"/>
      <c r="VH227" s="98"/>
      <c r="VI227" s="98"/>
      <c r="VJ227" s="98"/>
      <c r="VK227" s="98"/>
      <c r="VL227" s="98"/>
      <c r="VM227" s="98"/>
      <c r="VN227" s="98"/>
      <c r="VO227" s="98"/>
      <c r="VP227" s="98"/>
      <c r="VQ227" s="98"/>
      <c r="VR227" s="98"/>
      <c r="VS227" s="98"/>
      <c r="VT227" s="98"/>
      <c r="VU227" s="98"/>
      <c r="VV227" s="98"/>
      <c r="VW227" s="98"/>
      <c r="VX227" s="98"/>
      <c r="VY227" s="98"/>
      <c r="VZ227" s="98"/>
      <c r="WA227" s="98"/>
      <c r="WB227" s="98"/>
      <c r="WC227" s="98"/>
      <c r="WD227" s="98"/>
      <c r="WE227" s="98"/>
      <c r="WF227" s="98"/>
      <c r="WG227" s="98"/>
      <c r="WH227" s="98"/>
      <c r="WI227" s="98"/>
      <c r="WJ227" s="98"/>
      <c r="WK227" s="98"/>
      <c r="WL227" s="98"/>
      <c r="WM227" s="98"/>
      <c r="WN227" s="98"/>
      <c r="WO227" s="98"/>
      <c r="WP227" s="98"/>
      <c r="WQ227" s="98"/>
      <c r="WR227" s="98"/>
      <c r="WS227" s="98"/>
      <c r="WT227" s="98"/>
      <c r="WU227" s="98"/>
      <c r="WV227" s="98"/>
      <c r="WW227" s="98"/>
      <c r="WX227" s="98"/>
      <c r="WY227" s="98"/>
      <c r="WZ227" s="98"/>
      <c r="XA227" s="98"/>
      <c r="XB227" s="98"/>
      <c r="XC227" s="98"/>
      <c r="XD227" s="98"/>
      <c r="XE227" s="98"/>
      <c r="XF227" s="98"/>
      <c r="XG227" s="98"/>
      <c r="XH227" s="98"/>
      <c r="XI227" s="98"/>
      <c r="XJ227" s="98"/>
      <c r="XK227" s="98"/>
      <c r="XL227" s="98"/>
      <c r="XM227" s="98"/>
      <c r="XN227" s="98"/>
      <c r="XO227" s="98"/>
      <c r="XP227" s="98"/>
      <c r="XQ227" s="98"/>
      <c r="XR227" s="98"/>
      <c r="XS227" s="98"/>
      <c r="XT227" s="98"/>
      <c r="XU227" s="98"/>
      <c r="XV227" s="98"/>
      <c r="XW227" s="98"/>
      <c r="XX227" s="98"/>
      <c r="XY227" s="98"/>
      <c r="XZ227" s="98"/>
      <c r="YA227" s="98"/>
      <c r="YB227" s="98"/>
      <c r="YC227" s="98"/>
      <c r="YD227" s="98"/>
      <c r="YE227" s="98"/>
      <c r="YF227" s="98"/>
      <c r="YG227" s="98"/>
      <c r="YH227" s="98"/>
      <c r="YI227" s="98"/>
      <c r="YJ227" s="98"/>
      <c r="YK227" s="98"/>
      <c r="YL227" s="98"/>
      <c r="YM227" s="98"/>
      <c r="YN227" s="98"/>
      <c r="YO227" s="98"/>
      <c r="YP227" s="98"/>
      <c r="YQ227" s="98"/>
      <c r="YR227" s="98"/>
      <c r="YS227" s="98"/>
      <c r="YT227" s="98"/>
      <c r="YU227" s="98"/>
      <c r="YV227" s="98"/>
      <c r="YW227" s="98"/>
      <c r="YX227" s="98"/>
      <c r="YY227" s="98"/>
      <c r="YZ227" s="98"/>
      <c r="ZA227" s="98"/>
      <c r="ZB227" s="98"/>
      <c r="ZC227" s="98"/>
      <c r="ZD227" s="98"/>
      <c r="ZE227" s="98"/>
      <c r="ZF227" s="98"/>
      <c r="ZG227" s="98"/>
      <c r="ZH227" s="98"/>
      <c r="ZI227" s="98"/>
      <c r="ZJ227" s="98"/>
      <c r="ZK227" s="98"/>
      <c r="ZL227" s="98"/>
      <c r="ZM227" s="98"/>
      <c r="ZN227" s="98"/>
      <c r="ZO227" s="98"/>
      <c r="ZP227" s="98"/>
      <c r="ZQ227" s="98"/>
      <c r="ZR227" s="98"/>
      <c r="ZS227" s="98"/>
      <c r="ZT227" s="98"/>
      <c r="ZU227" s="98"/>
      <c r="ZV227" s="98"/>
      <c r="ZW227" s="98"/>
      <c r="ZX227" s="98"/>
      <c r="ZY227" s="98"/>
      <c r="ZZ227" s="98"/>
      <c r="AAA227" s="98"/>
      <c r="AAB227" s="98"/>
      <c r="AAC227" s="98"/>
      <c r="AAD227" s="98"/>
      <c r="AAE227" s="98"/>
      <c r="AAF227" s="98"/>
      <c r="AAG227" s="98"/>
      <c r="AAH227" s="98"/>
      <c r="AAI227" s="98"/>
      <c r="AAJ227" s="98"/>
      <c r="AAK227" s="98"/>
      <c r="AAL227" s="98"/>
      <c r="AAM227" s="98"/>
      <c r="AAN227" s="98"/>
      <c r="AAO227" s="98"/>
      <c r="AAP227" s="98"/>
      <c r="AAQ227" s="98"/>
      <c r="AAR227" s="98"/>
      <c r="AAS227" s="98"/>
      <c r="AAT227" s="98"/>
      <c r="AAU227" s="98"/>
      <c r="AAV227" s="98"/>
      <c r="AAW227" s="98"/>
      <c r="AAX227" s="98"/>
      <c r="AAY227" s="98"/>
      <c r="AAZ227" s="98"/>
      <c r="ABA227" s="98"/>
      <c r="ABB227" s="98"/>
      <c r="ABC227" s="98"/>
      <c r="ABD227" s="98"/>
      <c r="ABE227" s="98"/>
      <c r="ABF227" s="98"/>
      <c r="ABG227" s="98"/>
      <c r="ABH227" s="98"/>
      <c r="ABI227" s="98"/>
      <c r="ABJ227" s="98"/>
      <c r="ABK227" s="98"/>
      <c r="ABL227" s="98"/>
      <c r="ABM227" s="98"/>
      <c r="ABN227" s="98"/>
      <c r="ABO227" s="98"/>
      <c r="ABP227" s="98"/>
      <c r="ABQ227" s="98"/>
      <c r="ABR227" s="98"/>
      <c r="ABS227" s="98"/>
      <c r="ABT227" s="98"/>
      <c r="ABU227" s="98"/>
      <c r="ABV227" s="98"/>
      <c r="ABW227" s="98"/>
      <c r="ABX227" s="98"/>
      <c r="ABY227" s="98"/>
      <c r="ABZ227" s="98"/>
      <c r="ACA227" s="98"/>
      <c r="ACB227" s="98"/>
      <c r="ACC227" s="98"/>
      <c r="ACD227" s="98"/>
      <c r="ACE227" s="98"/>
      <c r="ACF227" s="98"/>
      <c r="ACG227" s="98"/>
      <c r="ACH227" s="98"/>
      <c r="ACI227" s="98"/>
      <c r="ACJ227" s="98"/>
      <c r="ACK227" s="98"/>
      <c r="ACL227" s="98"/>
      <c r="ACM227" s="98"/>
      <c r="ACN227" s="98"/>
      <c r="ACO227" s="98"/>
      <c r="ACP227" s="98"/>
      <c r="ACQ227" s="98"/>
      <c r="ACR227" s="98"/>
      <c r="ACS227" s="98"/>
      <c r="ACT227" s="98"/>
      <c r="ACU227" s="98"/>
      <c r="ACV227" s="98"/>
      <c r="ACW227" s="98"/>
      <c r="ACX227" s="98"/>
      <c r="ACY227" s="98"/>
      <c r="ACZ227" s="98"/>
      <c r="ADA227" s="98"/>
      <c r="ADB227" s="98"/>
      <c r="ADC227" s="98"/>
      <c r="ADD227" s="98"/>
      <c r="ADE227" s="98"/>
      <c r="ADF227" s="98"/>
      <c r="ADG227" s="98"/>
      <c r="ADH227" s="98"/>
      <c r="ADI227" s="98"/>
      <c r="ADJ227" s="98"/>
      <c r="ADK227" s="98"/>
      <c r="ADL227" s="98"/>
      <c r="ADM227" s="98"/>
      <c r="ADN227" s="98"/>
      <c r="ADO227" s="98"/>
      <c r="ADP227" s="98"/>
      <c r="ADQ227" s="98"/>
      <c r="ADR227" s="98"/>
      <c r="ADS227" s="98"/>
      <c r="ADT227" s="98"/>
      <c r="ADU227" s="98"/>
      <c r="ADV227" s="98"/>
      <c r="ADW227" s="98"/>
      <c r="ADX227" s="98"/>
      <c r="ADY227" s="98"/>
      <c r="ADZ227" s="98"/>
      <c r="AEA227" s="98"/>
      <c r="AEB227" s="98"/>
      <c r="AEC227" s="98"/>
      <c r="AED227" s="98"/>
      <c r="AEE227" s="98"/>
      <c r="AEF227" s="98"/>
      <c r="AEG227" s="98"/>
      <c r="AEH227" s="98"/>
      <c r="AEI227" s="98"/>
      <c r="AEJ227" s="98"/>
      <c r="AEK227" s="98"/>
      <c r="AEL227" s="98"/>
      <c r="AEM227" s="98"/>
      <c r="AEN227" s="98"/>
      <c r="AEO227" s="98"/>
      <c r="AEP227" s="98"/>
      <c r="AEQ227" s="98"/>
      <c r="AER227" s="98"/>
      <c r="AES227" s="98"/>
      <c r="AET227" s="98"/>
      <c r="AEU227" s="98"/>
      <c r="AEV227" s="98"/>
      <c r="AEW227" s="98"/>
      <c r="AEX227" s="98"/>
      <c r="AEY227" s="98"/>
      <c r="AEZ227" s="98"/>
      <c r="AFA227" s="98"/>
      <c r="AFB227" s="98"/>
      <c r="AFC227" s="98"/>
      <c r="AFD227" s="98"/>
      <c r="AFE227" s="98"/>
      <c r="AFF227" s="98"/>
      <c r="AFG227" s="98"/>
      <c r="AFH227" s="98"/>
      <c r="AFI227" s="98"/>
      <c r="AFJ227" s="98"/>
      <c r="AFK227" s="98"/>
      <c r="AFL227" s="98"/>
      <c r="AFM227" s="98"/>
      <c r="AFN227" s="98"/>
      <c r="AFO227" s="98"/>
      <c r="AFP227" s="98"/>
      <c r="AFQ227" s="98"/>
      <c r="AFR227" s="98"/>
      <c r="AFS227" s="98"/>
      <c r="AFT227" s="98"/>
      <c r="AFU227" s="98"/>
      <c r="AFV227" s="98"/>
      <c r="AFW227" s="98"/>
      <c r="AFX227" s="98"/>
      <c r="AFY227" s="98"/>
      <c r="AFZ227" s="98"/>
      <c r="AGA227" s="98"/>
      <c r="AGB227" s="98"/>
      <c r="AGC227" s="98"/>
      <c r="AGD227" s="98"/>
      <c r="AGE227" s="98"/>
      <c r="AGF227" s="98"/>
      <c r="AGG227" s="98"/>
      <c r="AGH227" s="98"/>
      <c r="AGI227" s="98"/>
      <c r="AGJ227" s="98"/>
      <c r="AGK227" s="98"/>
      <c r="AGL227" s="98"/>
      <c r="AGM227" s="98"/>
      <c r="AGN227" s="98"/>
      <c r="AGO227" s="98"/>
      <c r="AGP227" s="98"/>
      <c r="AGQ227" s="98"/>
      <c r="AGR227" s="98"/>
      <c r="AGS227" s="98"/>
      <c r="AGT227" s="98"/>
      <c r="AGU227" s="98"/>
      <c r="AGV227" s="98"/>
      <c r="AGW227" s="98"/>
      <c r="AGX227" s="98"/>
      <c r="AGY227" s="98"/>
      <c r="AGZ227" s="98"/>
      <c r="AHA227" s="98"/>
      <c r="AHB227" s="98"/>
      <c r="AHC227" s="98"/>
      <c r="AHD227" s="98"/>
      <c r="AHE227" s="98"/>
      <c r="AHF227" s="98"/>
      <c r="AHG227" s="98"/>
      <c r="AHH227" s="98"/>
      <c r="AHI227" s="98"/>
      <c r="AHJ227" s="98"/>
      <c r="AHK227" s="98"/>
      <c r="AHL227" s="98"/>
      <c r="AHM227" s="98"/>
      <c r="AHN227" s="98"/>
      <c r="AHO227" s="98"/>
      <c r="AHP227" s="98"/>
      <c r="AHQ227" s="98"/>
      <c r="AHR227" s="98"/>
      <c r="AHS227" s="98"/>
      <c r="AHT227" s="98"/>
      <c r="AHU227" s="98"/>
      <c r="AHV227" s="98"/>
      <c r="AHW227" s="98"/>
      <c r="AHX227" s="98"/>
      <c r="AHY227" s="98"/>
      <c r="AHZ227" s="98"/>
      <c r="AIA227" s="98"/>
      <c r="AIB227" s="98"/>
      <c r="AIC227" s="98"/>
      <c r="AID227" s="98"/>
      <c r="AIE227" s="98"/>
      <c r="AIF227" s="98"/>
      <c r="AIG227" s="98"/>
      <c r="AIH227" s="98"/>
      <c r="AII227" s="98"/>
      <c r="AIJ227" s="98"/>
      <c r="AIK227" s="98"/>
      <c r="AIL227" s="98"/>
      <c r="AIM227" s="98"/>
      <c r="AIN227" s="98"/>
      <c r="AIO227" s="98"/>
      <c r="AIP227" s="98"/>
      <c r="AIQ227" s="98"/>
      <c r="AIR227" s="98"/>
      <c r="AIS227" s="98"/>
      <c r="AIT227" s="98"/>
      <c r="AIU227" s="98"/>
      <c r="AIV227" s="98"/>
      <c r="AIW227" s="98"/>
      <c r="AIX227" s="98"/>
      <c r="AIY227" s="98"/>
      <c r="AIZ227" s="98"/>
      <c r="AJA227" s="98"/>
      <c r="AJB227" s="98"/>
      <c r="AJC227" s="98"/>
      <c r="AJD227" s="98"/>
      <c r="AJE227" s="98"/>
      <c r="AJF227" s="98"/>
      <c r="AJG227" s="98"/>
      <c r="AJH227" s="98"/>
      <c r="AJI227" s="98"/>
      <c r="AJJ227" s="98"/>
      <c r="AJK227" s="98"/>
      <c r="AJL227" s="98"/>
      <c r="AJM227" s="98"/>
      <c r="AJN227" s="98"/>
      <c r="AJO227" s="98"/>
      <c r="AJP227" s="98"/>
      <c r="AJQ227" s="98"/>
      <c r="AJR227" s="98"/>
      <c r="AJS227" s="98"/>
      <c r="AJT227" s="98"/>
      <c r="AJU227" s="98"/>
      <c r="AJV227" s="98"/>
      <c r="AJW227" s="98"/>
      <c r="AJX227" s="98"/>
      <c r="AJY227" s="98"/>
      <c r="AJZ227" s="98"/>
      <c r="AKA227" s="98"/>
      <c r="AKB227" s="98"/>
      <c r="AKC227" s="98"/>
      <c r="AKD227" s="98"/>
      <c r="AKE227" s="98"/>
      <c r="AKF227" s="98"/>
      <c r="AKG227" s="98"/>
      <c r="AKH227" s="98"/>
      <c r="AKI227" s="98"/>
      <c r="AKJ227" s="98"/>
      <c r="AKK227" s="98"/>
      <c r="AKL227" s="98"/>
      <c r="AKM227" s="98"/>
      <c r="AKN227" s="98"/>
      <c r="AKO227" s="98"/>
      <c r="AKP227" s="98"/>
      <c r="AKQ227" s="98"/>
      <c r="AKR227" s="98"/>
      <c r="AKS227" s="98"/>
      <c r="AKT227" s="98"/>
      <c r="AKU227" s="98"/>
      <c r="AKV227" s="98"/>
      <c r="AKW227" s="98"/>
      <c r="AKX227" s="98"/>
      <c r="AKY227" s="98"/>
      <c r="AKZ227" s="98"/>
      <c r="ALA227" s="98"/>
      <c r="ALB227" s="98"/>
      <c r="ALC227" s="98"/>
      <c r="ALD227" s="98"/>
      <c r="ALE227" s="98"/>
      <c r="ALF227" s="98"/>
      <c r="ALG227" s="98"/>
      <c r="ALH227" s="98"/>
      <c r="ALI227" s="98"/>
      <c r="ALJ227" s="98"/>
      <c r="ALK227" s="98"/>
      <c r="ALL227" s="98"/>
      <c r="ALM227" s="98"/>
      <c r="ALN227" s="98"/>
      <c r="ALO227" s="98"/>
      <c r="ALP227" s="98"/>
      <c r="ALQ227" s="98"/>
      <c r="ALR227" s="98"/>
      <c r="ALS227" s="98"/>
      <c r="ALT227" s="98"/>
      <c r="ALU227" s="98"/>
      <c r="ALV227" s="98"/>
      <c r="ALW227" s="98"/>
      <c r="ALX227" s="98"/>
      <c r="ALY227" s="98"/>
      <c r="ALZ227" s="98"/>
      <c r="AMA227" s="98"/>
      <c r="AMB227" s="98"/>
      <c r="AMC227" s="98"/>
      <c r="AMD227" s="98"/>
      <c r="AME227" s="98"/>
      <c r="AMF227" s="98"/>
      <c r="AMG227" s="98"/>
      <c r="AMH227" s="98"/>
      <c r="AMI227" s="98"/>
      <c r="AMJ227" s="98"/>
      <c r="AMK227" s="98"/>
      <c r="AML227" s="98"/>
      <c r="AMM227" s="98"/>
      <c r="AMN227" s="98"/>
      <c r="AMO227" s="98"/>
      <c r="AMP227" s="98"/>
      <c r="AMQ227" s="98"/>
      <c r="AMR227" s="98"/>
      <c r="AMS227" s="98"/>
      <c r="AMT227" s="98"/>
      <c r="AMU227" s="98"/>
      <c r="AMV227" s="98"/>
      <c r="AMW227" s="98"/>
      <c r="AMX227" s="98"/>
      <c r="AMY227" s="98"/>
      <c r="AMZ227" s="98"/>
      <c r="ANA227" s="98"/>
      <c r="ANB227" s="98"/>
      <c r="ANC227" s="98"/>
      <c r="AND227" s="98"/>
      <c r="ANE227" s="98"/>
      <c r="ANF227" s="98"/>
      <c r="ANG227" s="98"/>
      <c r="ANH227" s="98"/>
      <c r="ANI227" s="98"/>
      <c r="ANJ227" s="98"/>
      <c r="ANK227" s="98"/>
      <c r="ANL227" s="98"/>
      <c r="ANM227" s="98"/>
      <c r="ANN227" s="98"/>
      <c r="ANO227" s="98"/>
      <c r="ANP227" s="98"/>
      <c r="ANQ227" s="98"/>
      <c r="ANR227" s="98"/>
      <c r="ANS227" s="98"/>
      <c r="ANT227" s="98"/>
      <c r="ANU227" s="98"/>
      <c r="ANV227" s="98"/>
      <c r="ANW227" s="98"/>
      <c r="ANX227" s="98"/>
      <c r="ANY227" s="98"/>
      <c r="ANZ227" s="98"/>
      <c r="AOA227" s="98"/>
      <c r="AOB227" s="98"/>
      <c r="AOC227" s="98"/>
      <c r="AOD227" s="98"/>
      <c r="AOE227" s="98"/>
      <c r="AOF227" s="98"/>
      <c r="AOG227" s="98"/>
      <c r="AOH227" s="98"/>
      <c r="AOI227" s="98"/>
      <c r="AOJ227" s="98"/>
      <c r="AOK227" s="98"/>
      <c r="AOL227" s="98"/>
      <c r="AOM227" s="98"/>
      <c r="AON227" s="98"/>
      <c r="AOO227" s="98"/>
      <c r="AOP227" s="98"/>
      <c r="AOQ227" s="98"/>
      <c r="AOR227" s="98"/>
      <c r="AOS227" s="98"/>
      <c r="AOT227" s="98"/>
      <c r="AOU227" s="98"/>
      <c r="AOV227" s="98"/>
      <c r="AOW227" s="98"/>
      <c r="AOX227" s="98"/>
      <c r="AOY227" s="98"/>
      <c r="AOZ227" s="98"/>
      <c r="APA227" s="98"/>
      <c r="APB227" s="98"/>
      <c r="APC227" s="98"/>
      <c r="APD227" s="98"/>
      <c r="APE227" s="98"/>
      <c r="APF227" s="98"/>
      <c r="APG227" s="98"/>
      <c r="APH227" s="98"/>
      <c r="API227" s="98"/>
      <c r="APJ227" s="98"/>
      <c r="APK227" s="98"/>
      <c r="APL227" s="98"/>
      <c r="APM227" s="98"/>
      <c r="APN227" s="98"/>
      <c r="APO227" s="98"/>
      <c r="APP227" s="98"/>
      <c r="APQ227" s="98"/>
      <c r="APR227" s="98"/>
      <c r="APS227" s="98"/>
      <c r="APT227" s="98"/>
      <c r="APU227" s="98"/>
      <c r="APV227" s="98"/>
      <c r="APW227" s="98"/>
      <c r="APX227" s="98"/>
      <c r="APY227" s="98"/>
      <c r="APZ227" s="98"/>
      <c r="AQA227" s="98"/>
      <c r="AQB227" s="98"/>
      <c r="AQC227" s="98"/>
      <c r="AQD227" s="98"/>
      <c r="AQE227" s="98"/>
      <c r="AQF227" s="98"/>
      <c r="AQG227" s="98"/>
      <c r="AQH227" s="98"/>
      <c r="AQI227" s="98"/>
      <c r="AQJ227" s="98"/>
      <c r="AQK227" s="98"/>
      <c r="AQL227" s="98"/>
      <c r="AQM227" s="98"/>
      <c r="AQN227" s="98"/>
      <c r="AQO227" s="98"/>
      <c r="AQP227" s="98"/>
      <c r="AQQ227" s="98"/>
      <c r="AQR227" s="98"/>
      <c r="AQS227" s="98"/>
      <c r="AQT227" s="98"/>
      <c r="AQU227" s="98"/>
      <c r="AQV227" s="98"/>
      <c r="AQW227" s="98"/>
      <c r="AQX227" s="98"/>
      <c r="AQY227" s="98"/>
      <c r="AQZ227" s="98"/>
      <c r="ARA227" s="98"/>
      <c r="ARB227" s="98"/>
      <c r="ARC227" s="98"/>
      <c r="ARD227" s="98"/>
      <c r="ARE227" s="98"/>
      <c r="ARF227" s="98"/>
      <c r="ARG227" s="98"/>
      <c r="ARH227" s="98"/>
      <c r="ARI227" s="98"/>
      <c r="ARJ227" s="98"/>
      <c r="ARK227" s="98"/>
      <c r="ARL227" s="98"/>
      <c r="ARM227" s="98"/>
      <c r="ARN227" s="98"/>
      <c r="ARO227" s="98"/>
      <c r="ARP227" s="98"/>
      <c r="ARQ227" s="98"/>
      <c r="ARR227" s="98"/>
      <c r="ARS227" s="98"/>
    </row>
    <row r="228" spans="1:1163">
      <c r="A228" s="254" t="s">
        <v>440</v>
      </c>
      <c r="B228" s="98"/>
      <c r="C228" s="157"/>
      <c r="D228" s="157"/>
      <c r="E228" s="98"/>
      <c r="F228" s="98"/>
      <c r="G228" s="98"/>
      <c r="H228" s="98"/>
      <c r="I228" s="98"/>
      <c r="J228" s="98"/>
      <c r="K228" s="98"/>
      <c r="L228" s="98"/>
      <c r="M228" s="159"/>
      <c r="N228" s="159"/>
      <c r="O228" s="98"/>
      <c r="P228" s="98"/>
      <c r="Q228" s="159"/>
      <c r="R228" s="159"/>
      <c r="S228" s="98"/>
      <c r="T228" s="98"/>
      <c r="U228" s="98"/>
      <c r="V228" s="98"/>
      <c r="W228" s="127"/>
      <c r="X228" s="127"/>
      <c r="Y228" s="127"/>
      <c r="Z228" s="127"/>
      <c r="AA228" s="212"/>
      <c r="AB228" s="212"/>
      <c r="AC228" s="127"/>
      <c r="AD228" s="127"/>
      <c r="AE228" s="183"/>
      <c r="AF228" s="183"/>
      <c r="AG228" s="212"/>
      <c r="AH228" s="212"/>
      <c r="AI228" s="127"/>
      <c r="AJ228" s="127"/>
      <c r="AK228" s="127"/>
      <c r="AL228" s="127"/>
      <c r="AM228" s="225"/>
      <c r="AN228" s="225"/>
      <c r="AO228" s="184"/>
      <c r="AP228" s="184"/>
      <c r="AQ228" s="98"/>
      <c r="AR228" s="98"/>
      <c r="AS228" s="98"/>
      <c r="AT228" s="98"/>
      <c r="AU228" s="225"/>
      <c r="AV228" s="225"/>
      <c r="AW228" s="194"/>
      <c r="AX228" s="194"/>
      <c r="AY228" s="213"/>
      <c r="AZ228" s="213"/>
      <c r="BA228" s="225"/>
      <c r="BB228" s="125"/>
      <c r="BC228" s="125"/>
      <c r="BD228" s="125"/>
      <c r="BE228" s="125"/>
      <c r="BF228" s="125"/>
      <c r="BG228" s="125"/>
      <c r="BH228" s="125"/>
      <c r="BI228" s="225"/>
      <c r="BJ228" s="98"/>
      <c r="BL228" s="148"/>
      <c r="BM228" s="148"/>
    </row>
    <row r="229" spans="1:1163">
      <c r="D229" s="214"/>
      <c r="F229" s="214"/>
      <c r="G229" s="148"/>
      <c r="H229" s="214"/>
      <c r="I229" s="98"/>
      <c r="J229" s="214"/>
      <c r="K229" s="98"/>
      <c r="L229" s="214"/>
      <c r="M229" s="159"/>
      <c r="N229" s="214"/>
      <c r="P229" s="214"/>
      <c r="R229" s="214"/>
      <c r="T229" s="214"/>
      <c r="V229" s="214"/>
      <c r="W229" s="127"/>
      <c r="X229" s="214"/>
      <c r="Y229" s="127"/>
      <c r="Z229" s="214"/>
      <c r="AA229" s="225"/>
      <c r="AB229" s="214"/>
      <c r="AC229" s="127"/>
      <c r="AD229" s="214"/>
      <c r="AE229" s="194"/>
      <c r="AF229" s="214"/>
      <c r="AG229" s="225"/>
      <c r="AH229" s="214"/>
      <c r="AI229" s="127"/>
      <c r="AJ229" s="214"/>
      <c r="AK229" s="127"/>
      <c r="AL229" s="214"/>
      <c r="AM229" s="225"/>
      <c r="AN229" s="214"/>
      <c r="AO229" s="184"/>
      <c r="AP229" s="214"/>
      <c r="AQ229" s="98"/>
      <c r="AR229" s="214"/>
      <c r="AT229" s="214"/>
      <c r="AU229" s="251"/>
      <c r="AV229" s="214"/>
      <c r="AW229" s="214"/>
      <c r="AX229" s="214"/>
      <c r="AY229" s="215"/>
      <c r="AZ229" s="214"/>
      <c r="BA229" s="251"/>
      <c r="BB229" s="216"/>
      <c r="BC229" s="216"/>
      <c r="BD229" s="214"/>
      <c r="BE229" s="216"/>
      <c r="BF229" s="216"/>
      <c r="BG229" s="216"/>
      <c r="BH229" s="214"/>
      <c r="BI229" s="251"/>
      <c r="BJ229" s="98"/>
      <c r="BL229" s="148"/>
      <c r="BM229" s="148"/>
    </row>
    <row r="230" spans="1:1163">
      <c r="G230" s="98"/>
      <c r="H230" s="98"/>
      <c r="I230" s="98"/>
      <c r="J230" s="98"/>
      <c r="K230" s="98"/>
      <c r="L230" s="98"/>
      <c r="M230" s="159"/>
      <c r="N230" s="159"/>
      <c r="O230" s="98"/>
      <c r="P230" s="98"/>
      <c r="Q230" s="98"/>
      <c r="R230" s="98"/>
      <c r="S230" s="98"/>
      <c r="T230" s="98"/>
      <c r="U230" s="98"/>
      <c r="V230" s="98"/>
      <c r="W230" s="127"/>
      <c r="X230" s="127"/>
      <c r="Y230" s="225"/>
      <c r="Z230" s="225"/>
      <c r="AA230" s="127"/>
      <c r="AB230" s="127"/>
      <c r="AC230" s="127"/>
      <c r="AD230" s="127"/>
      <c r="AE230" s="183"/>
      <c r="AF230" s="183"/>
      <c r="AG230" s="127"/>
      <c r="AH230" s="127"/>
      <c r="AI230" s="225"/>
      <c r="AJ230" s="225"/>
      <c r="AK230" s="225"/>
      <c r="AL230" s="225"/>
      <c r="AM230" s="127"/>
      <c r="AN230" s="127"/>
      <c r="AO230" s="184"/>
      <c r="AP230" s="184"/>
      <c r="AU230" s="251"/>
      <c r="AV230" s="251"/>
      <c r="AW230" s="214"/>
      <c r="AX230" s="214"/>
      <c r="AY230" s="215"/>
      <c r="AZ230" s="215"/>
      <c r="BA230" s="251"/>
      <c r="BB230" s="251"/>
      <c r="BC230" s="251"/>
      <c r="BD230" s="251"/>
      <c r="BE230" s="251"/>
      <c r="BF230" s="251"/>
      <c r="BG230" s="251"/>
      <c r="BH230" s="251"/>
      <c r="BI230" s="251"/>
      <c r="BJ230" s="98"/>
      <c r="BL230" s="148"/>
      <c r="BM230" s="148"/>
    </row>
    <row r="231" spans="1:1163">
      <c r="D231" s="252"/>
      <c r="F231" s="252"/>
      <c r="G231" s="98"/>
      <c r="H231" s="252"/>
      <c r="I231" s="98"/>
      <c r="J231" s="252"/>
      <c r="K231" s="98"/>
      <c r="L231" s="252"/>
      <c r="M231" s="159"/>
      <c r="N231" s="252"/>
      <c r="O231" s="98"/>
      <c r="P231" s="252"/>
      <c r="Q231" s="98"/>
      <c r="R231" s="252"/>
      <c r="S231" s="98"/>
      <c r="T231" s="252"/>
      <c r="U231" s="98"/>
      <c r="V231" s="252"/>
      <c r="W231" s="127"/>
      <c r="X231" s="252"/>
      <c r="Y231" s="225"/>
      <c r="Z231" s="252"/>
      <c r="AA231" s="127"/>
      <c r="AB231" s="252"/>
      <c r="AC231" s="98"/>
      <c r="AD231" s="252"/>
      <c r="AE231" s="159"/>
      <c r="AF231" s="252"/>
      <c r="AG231" s="127"/>
      <c r="AH231" s="252"/>
      <c r="AI231" s="225"/>
      <c r="AJ231" s="252"/>
      <c r="AK231" s="225"/>
      <c r="AL231" s="252"/>
      <c r="AM231" s="127"/>
      <c r="AN231" s="252"/>
      <c r="AO231" s="217"/>
      <c r="AP231" s="252"/>
      <c r="AR231" s="252"/>
      <c r="AT231" s="252"/>
      <c r="AU231" s="251"/>
      <c r="AV231" s="252"/>
      <c r="AW231" s="214"/>
      <c r="AX231" s="252"/>
      <c r="AY231" s="215"/>
      <c r="AZ231" s="252"/>
      <c r="BA231" s="251"/>
      <c r="BB231" s="251"/>
      <c r="BC231" s="251"/>
      <c r="BD231" s="252"/>
      <c r="BE231" s="251"/>
      <c r="BF231" s="251"/>
      <c r="BG231" s="251"/>
      <c r="BH231" s="252"/>
      <c r="BI231" s="251"/>
      <c r="BJ231" s="98"/>
      <c r="BL231" s="148"/>
      <c r="BM231" s="148"/>
    </row>
    <row r="232" spans="1:1163">
      <c r="G232" s="98"/>
      <c r="H232" s="98"/>
      <c r="I232" s="98"/>
      <c r="J232" s="98"/>
      <c r="K232" s="98"/>
      <c r="L232" s="98"/>
      <c r="M232" s="159"/>
      <c r="N232" s="159"/>
      <c r="O232" s="98"/>
      <c r="P232" s="98"/>
      <c r="Q232" s="98"/>
      <c r="R232" s="98"/>
      <c r="S232" s="98"/>
      <c r="T232" s="98"/>
      <c r="U232" s="98"/>
      <c r="V232" s="98"/>
      <c r="W232" s="127"/>
      <c r="X232" s="127"/>
      <c r="Y232" s="127"/>
      <c r="Z232" s="127"/>
      <c r="AA232" s="127"/>
      <c r="AB232" s="127"/>
      <c r="AC232" s="127"/>
      <c r="AD232" s="127"/>
      <c r="AE232" s="194"/>
      <c r="AF232" s="194"/>
      <c r="AG232" s="127"/>
      <c r="AH232" s="127"/>
      <c r="AI232" s="127"/>
      <c r="AJ232" s="127"/>
      <c r="AK232" s="127"/>
      <c r="AL232" s="127"/>
      <c r="AM232" s="127"/>
      <c r="AN232" s="127"/>
      <c r="AO232" s="202"/>
      <c r="AP232" s="202"/>
      <c r="AU232" s="251"/>
      <c r="AV232" s="251"/>
      <c r="AW232" s="214"/>
      <c r="AX232" s="214"/>
      <c r="AY232" s="215"/>
      <c r="AZ232" s="215"/>
      <c r="BA232" s="251"/>
      <c r="BB232" s="251"/>
      <c r="BC232" s="251"/>
      <c r="BD232" s="251"/>
      <c r="BE232" s="251"/>
      <c r="BF232" s="251"/>
      <c r="BG232" s="251"/>
      <c r="BH232" s="251"/>
      <c r="BI232" s="251"/>
      <c r="BJ232" s="98"/>
      <c r="BL232" s="148"/>
      <c r="BM232" s="148"/>
    </row>
    <row r="233" spans="1:1163">
      <c r="A233" s="98"/>
      <c r="B233" s="98"/>
      <c r="C233" s="157"/>
      <c r="D233" s="157"/>
      <c r="E233" s="98"/>
      <c r="F233" s="98"/>
      <c r="M233" s="152"/>
      <c r="N233" s="152"/>
      <c r="U233" s="98"/>
      <c r="V233" s="98"/>
      <c r="W233" s="225"/>
      <c r="X233" s="127"/>
      <c r="Y233" s="127"/>
      <c r="Z233" s="127"/>
      <c r="AA233" s="127"/>
      <c r="AB233" s="127"/>
      <c r="AC233" s="127"/>
      <c r="AD233" s="127"/>
      <c r="AE233" s="194"/>
      <c r="AF233" s="194"/>
      <c r="AG233" s="127"/>
      <c r="AH233" s="127"/>
      <c r="AI233" s="127"/>
      <c r="AJ233" s="127"/>
      <c r="AK233" s="127"/>
      <c r="AL233" s="127"/>
      <c r="AM233" s="127"/>
      <c r="AN233" s="127"/>
      <c r="AO233" s="184"/>
      <c r="AP233" s="184"/>
      <c r="AU233" s="251"/>
      <c r="AV233" s="251"/>
      <c r="AW233" s="214"/>
      <c r="AX233" s="214"/>
      <c r="AY233" s="215"/>
      <c r="AZ233" s="215"/>
      <c r="BA233" s="251"/>
      <c r="BB233" s="251"/>
      <c r="BC233" s="251"/>
      <c r="BD233" s="251"/>
      <c r="BE233" s="251"/>
      <c r="BF233" s="251"/>
      <c r="BG233" s="251"/>
      <c r="BH233" s="251"/>
      <c r="BI233" s="251"/>
      <c r="BJ233" s="98"/>
      <c r="BL233" s="148"/>
      <c r="BM233" s="148"/>
    </row>
    <row r="234" spans="1:1163">
      <c r="A234" s="386"/>
      <c r="B234" s="98"/>
      <c r="C234" s="157"/>
      <c r="D234" s="157"/>
      <c r="E234" s="98"/>
      <c r="F234" s="98"/>
      <c r="U234" s="98"/>
      <c r="V234" s="98"/>
      <c r="W234" s="127"/>
      <c r="X234" s="225"/>
      <c r="Y234" s="127"/>
      <c r="Z234" s="127"/>
      <c r="AA234" s="127"/>
      <c r="AB234" s="127"/>
      <c r="AC234" s="225"/>
      <c r="AD234" s="225"/>
      <c r="AE234" s="183"/>
      <c r="AF234" s="183"/>
      <c r="AG234" s="127"/>
      <c r="AH234" s="127"/>
      <c r="AI234" s="127"/>
      <c r="AJ234" s="127"/>
      <c r="AK234" s="127"/>
      <c r="AL234" s="127"/>
      <c r="AM234" s="127"/>
      <c r="AN234" s="127"/>
      <c r="AO234" s="184"/>
      <c r="AP234" s="184"/>
      <c r="AU234" s="251"/>
      <c r="AV234" s="251"/>
      <c r="AW234" s="214"/>
      <c r="AX234" s="214"/>
      <c r="AY234" s="215"/>
      <c r="AZ234" s="215"/>
      <c r="BA234" s="251"/>
      <c r="BB234" s="251"/>
      <c r="BC234" s="251"/>
      <c r="BD234" s="251"/>
      <c r="BE234" s="251"/>
      <c r="BF234" s="251"/>
      <c r="BG234" s="251"/>
      <c r="BH234" s="251"/>
      <c r="BI234" s="251"/>
      <c r="BJ234" s="98"/>
      <c r="BL234" s="148"/>
      <c r="BM234" s="148"/>
    </row>
    <row r="235" spans="1:1163">
      <c r="A235" s="98"/>
      <c r="B235" s="98"/>
      <c r="C235" s="157"/>
      <c r="D235" s="157"/>
      <c r="E235" s="98"/>
      <c r="F235" s="98"/>
      <c r="W235" s="127"/>
      <c r="X235" s="127"/>
      <c r="Y235" s="127"/>
      <c r="Z235" s="127"/>
      <c r="AA235" s="98"/>
      <c r="AB235" s="98"/>
      <c r="AC235" s="225"/>
      <c r="AD235" s="225"/>
      <c r="AE235" s="183"/>
      <c r="AF235" s="183"/>
      <c r="AG235" s="127"/>
      <c r="AH235" s="127"/>
      <c r="AI235" s="127"/>
      <c r="AJ235" s="127"/>
      <c r="AK235" s="127"/>
      <c r="AL235" s="127"/>
      <c r="AM235" s="127"/>
      <c r="AN235" s="127"/>
      <c r="AO235" s="184"/>
      <c r="AP235" s="184"/>
      <c r="AW235" s="152"/>
      <c r="AX235" s="152"/>
      <c r="BJ235" s="98"/>
      <c r="BL235" s="148"/>
      <c r="BM235" s="148"/>
    </row>
    <row r="236" spans="1:1163">
      <c r="A236" s="98"/>
      <c r="B236" s="98"/>
      <c r="C236" s="157"/>
      <c r="D236" s="157"/>
      <c r="E236" s="98"/>
      <c r="F236" s="98"/>
      <c r="W236" s="225"/>
      <c r="X236" s="127"/>
      <c r="Y236" s="127"/>
      <c r="Z236" s="127"/>
      <c r="AA236" s="225"/>
      <c r="AB236" s="225"/>
      <c r="AC236" s="127"/>
      <c r="AD236" s="127"/>
      <c r="AE236" s="183"/>
      <c r="AF236" s="183"/>
      <c r="AG236" s="225"/>
      <c r="AH236" s="225"/>
      <c r="AI236" s="127"/>
      <c r="AJ236" s="127"/>
      <c r="AK236" s="127"/>
      <c r="AL236" s="127"/>
      <c r="AM236" s="225"/>
      <c r="AN236" s="225"/>
      <c r="AO236" s="184"/>
      <c r="AP236" s="184"/>
      <c r="AW236" s="152"/>
      <c r="AX236" s="152"/>
      <c r="BJ236" s="98"/>
      <c r="BL236" s="148"/>
      <c r="BM236" s="148"/>
    </row>
    <row r="237" spans="1:1163">
      <c r="A237" s="98"/>
      <c r="W237" s="127"/>
      <c r="X237" s="225"/>
      <c r="Y237" s="225"/>
      <c r="Z237" s="225"/>
      <c r="AA237" s="127"/>
      <c r="AB237" s="127"/>
      <c r="AC237" s="127"/>
      <c r="AD237" s="127"/>
      <c r="AE237" s="183"/>
      <c r="AF237" s="183"/>
      <c r="AG237" s="127"/>
      <c r="AH237" s="127"/>
      <c r="AI237" s="225"/>
      <c r="AJ237" s="225"/>
      <c r="AK237" s="225"/>
      <c r="AL237" s="225"/>
      <c r="AM237" s="127"/>
      <c r="AN237" s="127"/>
      <c r="AO237" s="184"/>
      <c r="AP237" s="184"/>
      <c r="AW237" s="152"/>
      <c r="AX237" s="152"/>
      <c r="BJ237" s="98"/>
      <c r="BL237" s="148"/>
      <c r="BM237" s="148"/>
    </row>
    <row r="238" spans="1:1163">
      <c r="W238" s="127"/>
      <c r="X238" s="127"/>
      <c r="Y238" s="127"/>
      <c r="Z238" s="127"/>
      <c r="AA238" s="225"/>
      <c r="AB238" s="225"/>
      <c r="AC238" s="127"/>
      <c r="AD238" s="127"/>
      <c r="AE238" s="183"/>
      <c r="AF238" s="183"/>
      <c r="AG238" s="225"/>
      <c r="AH238" s="225"/>
      <c r="AI238" s="127"/>
      <c r="AJ238" s="127"/>
      <c r="AK238" s="127"/>
      <c r="AL238" s="127"/>
      <c r="AM238" s="127"/>
      <c r="AN238" s="127"/>
      <c r="AO238" s="202"/>
      <c r="AP238" s="202"/>
      <c r="AW238" s="152"/>
      <c r="AX238" s="152"/>
      <c r="BJ238" s="98"/>
      <c r="BL238" s="148"/>
      <c r="BM238" s="148"/>
    </row>
    <row r="239" spans="1:1163">
      <c r="A239" s="98"/>
      <c r="W239" s="127"/>
      <c r="X239" s="127"/>
      <c r="Y239" s="127"/>
      <c r="Z239" s="127"/>
      <c r="AA239" s="225"/>
      <c r="AB239" s="225"/>
      <c r="AC239" s="127"/>
      <c r="AD239" s="127"/>
      <c r="AE239" s="194"/>
      <c r="AF239" s="194"/>
      <c r="AG239" s="225"/>
      <c r="AH239" s="225"/>
      <c r="AI239" s="127"/>
      <c r="AJ239" s="127"/>
      <c r="AK239" s="127"/>
      <c r="AL239" s="127"/>
      <c r="AM239" s="225"/>
      <c r="AN239" s="225"/>
      <c r="AO239" s="184"/>
      <c r="AP239" s="184"/>
      <c r="BJ239" s="98"/>
      <c r="BL239" s="148"/>
      <c r="BM239" s="148"/>
    </row>
    <row r="240" spans="1:1163">
      <c r="W240" s="127"/>
      <c r="X240" s="127"/>
      <c r="Y240" s="127"/>
      <c r="Z240" s="127"/>
      <c r="AA240" s="127"/>
      <c r="AB240" s="127"/>
      <c r="AC240" s="127"/>
      <c r="AD240" s="127"/>
      <c r="AE240" s="183"/>
      <c r="AF240" s="183"/>
      <c r="AG240" s="127"/>
      <c r="AH240" s="127"/>
      <c r="AI240" s="127"/>
      <c r="AJ240" s="127"/>
      <c r="AK240" s="127"/>
      <c r="AL240" s="127"/>
      <c r="AM240" s="225"/>
      <c r="AN240" s="225"/>
      <c r="AO240" s="148"/>
      <c r="AP240" s="148"/>
      <c r="BJ240" s="98"/>
      <c r="BL240" s="148"/>
      <c r="BM240" s="148"/>
    </row>
    <row r="241" spans="23:65">
      <c r="W241" s="127"/>
      <c r="X241" s="127"/>
      <c r="Y241" s="225"/>
      <c r="Z241" s="225"/>
      <c r="AA241" s="127"/>
      <c r="AB241" s="127"/>
      <c r="AC241" s="225"/>
      <c r="AD241" s="225"/>
      <c r="AE241" s="183"/>
      <c r="AF241" s="183"/>
      <c r="AG241" s="127"/>
      <c r="AH241" s="127"/>
      <c r="AI241" s="225"/>
      <c r="AJ241" s="225"/>
      <c r="AK241" s="225"/>
      <c r="AL241" s="225"/>
      <c r="AM241" s="161"/>
      <c r="AN241" s="161"/>
      <c r="AO241" s="202"/>
      <c r="AP241" s="202"/>
      <c r="BJ241" s="98"/>
      <c r="BL241" s="148"/>
      <c r="BM241" s="148"/>
    </row>
    <row r="242" spans="23:65">
      <c r="W242" s="127"/>
      <c r="X242" s="127"/>
      <c r="Y242" s="225"/>
      <c r="Z242" s="225"/>
      <c r="AA242" s="127"/>
      <c r="AB242" s="127"/>
      <c r="AC242" s="127"/>
      <c r="AD242" s="127"/>
      <c r="AE242" s="183"/>
      <c r="AF242" s="183"/>
      <c r="AG242" s="127"/>
      <c r="AH242" s="127"/>
      <c r="AI242" s="225"/>
      <c r="AJ242" s="225"/>
      <c r="AK242" s="225"/>
      <c r="AL242" s="225"/>
      <c r="AM242" s="161"/>
      <c r="AN242" s="161"/>
      <c r="AO242" s="202"/>
      <c r="AP242" s="202"/>
      <c r="BJ242" s="98"/>
      <c r="BL242" s="148"/>
      <c r="BM242" s="148"/>
    </row>
    <row r="243" spans="23:65">
      <c r="W243" s="225"/>
      <c r="X243" s="127"/>
      <c r="Y243" s="161"/>
      <c r="Z243" s="161"/>
      <c r="AA243" s="127"/>
      <c r="AB243" s="127"/>
      <c r="AC243" s="127"/>
      <c r="AD243" s="127"/>
      <c r="AE243" s="194"/>
      <c r="AF243" s="194"/>
      <c r="AG243" s="127"/>
      <c r="AH243" s="127"/>
      <c r="AI243" s="161"/>
      <c r="AJ243" s="161"/>
      <c r="AK243" s="161"/>
      <c r="AL243" s="161"/>
      <c r="AM243" s="225"/>
      <c r="AN243" s="225"/>
      <c r="AO243" s="184"/>
      <c r="AP243" s="184"/>
      <c r="BJ243" s="98"/>
      <c r="BL243" s="148"/>
      <c r="BM243" s="148"/>
    </row>
    <row r="244" spans="23:65">
      <c r="W244" s="127"/>
      <c r="X244" s="225"/>
      <c r="Y244" s="161"/>
      <c r="Z244" s="161"/>
      <c r="AA244" s="127"/>
      <c r="AB244" s="127"/>
      <c r="AC244" s="127"/>
      <c r="AD244" s="127"/>
      <c r="AE244" s="194"/>
      <c r="AF244" s="194"/>
      <c r="AG244" s="127"/>
      <c r="AH244" s="127"/>
      <c r="AI244" s="161"/>
      <c r="AJ244" s="161"/>
      <c r="AK244" s="161"/>
      <c r="AL244" s="161"/>
      <c r="AM244" s="98"/>
      <c r="AN244" s="98"/>
      <c r="AO244" s="184"/>
      <c r="AP244" s="184"/>
      <c r="BJ244" s="98"/>
      <c r="BL244" s="148"/>
      <c r="BM244" s="148"/>
    </row>
    <row r="245" spans="23:65">
      <c r="W245" s="127"/>
      <c r="X245" s="127"/>
      <c r="Y245" s="161"/>
      <c r="Z245" s="161"/>
      <c r="AA245" s="127"/>
      <c r="AB245" s="127"/>
      <c r="AC245" s="225"/>
      <c r="AD245" s="225"/>
      <c r="AE245" s="194"/>
      <c r="AF245" s="194"/>
      <c r="AG245" s="127"/>
      <c r="AH245" s="127"/>
      <c r="AI245" s="225"/>
      <c r="AJ245" s="225"/>
      <c r="AK245" s="225"/>
      <c r="AL245" s="225"/>
      <c r="AM245" s="98"/>
      <c r="AN245" s="98"/>
      <c r="AO245" s="184"/>
      <c r="AP245" s="184"/>
      <c r="BJ245" s="98"/>
      <c r="BL245" s="148"/>
      <c r="BM245" s="148"/>
    </row>
    <row r="246" spans="23:65">
      <c r="W246" s="127"/>
      <c r="X246" s="127"/>
      <c r="Y246" s="161"/>
      <c r="Z246" s="161"/>
      <c r="AA246" s="225"/>
      <c r="AB246" s="225"/>
      <c r="AC246" s="225"/>
      <c r="AD246" s="225"/>
      <c r="AE246" s="194"/>
      <c r="AF246" s="194"/>
      <c r="AG246" s="225"/>
      <c r="AH246" s="225"/>
      <c r="AI246" s="98"/>
      <c r="AJ246" s="98"/>
      <c r="AK246" s="225"/>
      <c r="AL246" s="225"/>
      <c r="AM246" s="98"/>
      <c r="AN246" s="98"/>
      <c r="AO246" s="184"/>
      <c r="AP246" s="184"/>
      <c r="BJ246" s="98"/>
      <c r="BL246" s="148"/>
      <c r="BM246" s="148"/>
    </row>
    <row r="247" spans="23:65">
      <c r="W247" s="225"/>
      <c r="X247" s="127"/>
      <c r="Y247" s="225"/>
      <c r="Z247" s="225"/>
      <c r="AA247" s="127"/>
      <c r="AB247" s="127"/>
      <c r="AC247" s="161"/>
      <c r="AD247" s="161"/>
      <c r="AE247" s="194"/>
      <c r="AF247" s="194"/>
      <c r="AG247" s="127"/>
      <c r="AH247" s="127"/>
      <c r="AI247" s="98"/>
      <c r="AJ247" s="98"/>
      <c r="AK247" s="225"/>
      <c r="AL247" s="225"/>
      <c r="AM247" s="98"/>
      <c r="AN247" s="98"/>
      <c r="AO247" s="184"/>
      <c r="AP247" s="184"/>
      <c r="BJ247" s="98"/>
      <c r="BL247" s="148"/>
      <c r="BM247" s="148"/>
    </row>
    <row r="248" spans="23:65">
      <c r="W248" s="225"/>
      <c r="X248" s="225"/>
      <c r="Y248" s="98"/>
      <c r="Z248" s="98"/>
      <c r="AA248" s="127"/>
      <c r="AB248" s="127"/>
      <c r="AC248" s="161"/>
      <c r="AD248" s="161"/>
      <c r="AE248" s="159"/>
      <c r="AF248" s="159"/>
      <c r="AG248" s="127"/>
      <c r="AH248" s="127"/>
      <c r="AI248" s="98"/>
      <c r="AJ248" s="98"/>
      <c r="AK248" s="225"/>
      <c r="AL248" s="225"/>
      <c r="AM248" s="98"/>
      <c r="AN248" s="98"/>
      <c r="AO248" s="184"/>
      <c r="AP248" s="184"/>
      <c r="BJ248" s="98"/>
      <c r="BL248" s="148"/>
      <c r="BM248" s="148"/>
    </row>
    <row r="249" spans="23:65">
      <c r="W249" s="161"/>
      <c r="X249" s="225"/>
      <c r="Y249" s="98"/>
      <c r="Z249" s="98"/>
      <c r="AA249" s="127"/>
      <c r="AB249" s="127"/>
      <c r="AC249" s="161"/>
      <c r="AD249" s="161"/>
      <c r="AE249" s="159"/>
      <c r="AF249" s="159"/>
      <c r="AG249" s="127"/>
      <c r="AH249" s="127"/>
      <c r="AI249" s="98"/>
      <c r="AJ249" s="98"/>
      <c r="AK249" s="225"/>
      <c r="AL249" s="225"/>
      <c r="AM249" s="98"/>
      <c r="AN249" s="98"/>
      <c r="AO249" s="202"/>
      <c r="AP249" s="202"/>
      <c r="BJ249" s="98"/>
      <c r="BL249" s="148"/>
      <c r="BM249" s="148"/>
    </row>
    <row r="250" spans="23:65">
      <c r="W250" s="161"/>
      <c r="X250" s="161"/>
      <c r="Y250" s="98"/>
      <c r="Z250" s="98"/>
      <c r="AA250" s="225"/>
      <c r="AB250" s="225"/>
      <c r="AC250" s="161"/>
      <c r="AD250" s="161"/>
      <c r="AE250" s="159"/>
      <c r="AF250" s="159"/>
      <c r="AG250" s="225"/>
      <c r="AH250" s="225"/>
      <c r="AI250" s="98"/>
      <c r="AJ250" s="98"/>
      <c r="AK250" s="225"/>
      <c r="AL250" s="225"/>
      <c r="AM250" s="98"/>
      <c r="AN250" s="98"/>
      <c r="AO250" s="184"/>
      <c r="AP250" s="184"/>
      <c r="BJ250" s="98"/>
      <c r="BL250" s="148"/>
      <c r="BM250" s="148"/>
    </row>
    <row r="251" spans="23:65">
      <c r="W251" s="161"/>
      <c r="X251" s="161"/>
      <c r="Y251" s="98"/>
      <c r="Z251" s="98"/>
      <c r="AA251" s="225"/>
      <c r="AB251" s="225"/>
      <c r="AC251" s="225"/>
      <c r="AD251" s="225"/>
      <c r="AE251" s="159"/>
      <c r="AF251" s="159"/>
      <c r="AG251" s="225"/>
      <c r="AH251" s="225"/>
      <c r="AI251" s="98"/>
      <c r="AJ251" s="98"/>
      <c r="AK251" s="225"/>
      <c r="AL251" s="225"/>
      <c r="AM251" s="98"/>
      <c r="AN251" s="98"/>
      <c r="AO251" s="184"/>
      <c r="AP251" s="184"/>
      <c r="BJ251" s="98"/>
      <c r="BL251" s="148"/>
      <c r="BM251" s="148"/>
    </row>
    <row r="252" spans="23:65">
      <c r="W252" s="161"/>
      <c r="X252" s="161"/>
      <c r="Y252" s="98"/>
      <c r="Z252" s="98"/>
      <c r="AA252" s="161"/>
      <c r="AB252" s="161"/>
      <c r="AC252" s="98"/>
      <c r="AD252" s="98"/>
      <c r="AE252" s="159"/>
      <c r="AF252" s="159"/>
      <c r="AG252" s="161"/>
      <c r="AH252" s="161"/>
      <c r="AI252" s="98"/>
      <c r="AJ252" s="98"/>
      <c r="AK252" s="225"/>
      <c r="AL252" s="225"/>
      <c r="AM252" s="98"/>
      <c r="AN252" s="98"/>
      <c r="AO252" s="184"/>
      <c r="AP252" s="184"/>
      <c r="BJ252" s="98"/>
      <c r="BL252" s="148"/>
      <c r="BM252" s="148"/>
    </row>
    <row r="253" spans="23:65">
      <c r="W253" s="225"/>
      <c r="X253" s="161"/>
      <c r="Y253" s="98"/>
      <c r="Z253" s="98"/>
      <c r="AA253" s="161"/>
      <c r="AB253" s="161"/>
      <c r="AC253" s="98"/>
      <c r="AD253" s="98"/>
      <c r="AE253" s="159"/>
      <c r="AF253" s="159"/>
      <c r="AG253" s="161"/>
      <c r="AH253" s="161"/>
      <c r="AI253" s="98"/>
      <c r="AJ253" s="98"/>
      <c r="AK253" s="225"/>
      <c r="AL253" s="225"/>
      <c r="AM253" s="98"/>
      <c r="AN253" s="98"/>
      <c r="AO253" s="202"/>
      <c r="AP253" s="202"/>
      <c r="BJ253" s="98"/>
      <c r="BL253" s="148"/>
      <c r="BM253" s="148"/>
    </row>
    <row r="254" spans="23:65">
      <c r="W254" s="98"/>
      <c r="X254" s="225"/>
      <c r="Y254" s="98"/>
      <c r="Z254" s="98"/>
      <c r="AA254" s="161"/>
      <c r="AB254" s="161"/>
      <c r="AC254" s="98"/>
      <c r="AD254" s="98"/>
      <c r="AE254" s="159"/>
      <c r="AF254" s="159"/>
      <c r="AG254" s="225"/>
      <c r="AH254" s="225"/>
      <c r="AI254" s="98"/>
      <c r="AJ254" s="98"/>
      <c r="AK254" s="225"/>
      <c r="AL254" s="225"/>
      <c r="AM254" s="98"/>
      <c r="AN254" s="98"/>
      <c r="AO254" s="202"/>
      <c r="AP254" s="202"/>
      <c r="BJ254" s="98"/>
      <c r="BL254" s="148"/>
      <c r="BM254" s="148"/>
    </row>
    <row r="255" spans="23:65">
      <c r="W255" s="98"/>
      <c r="X255" s="98"/>
      <c r="Y255" s="98"/>
      <c r="Z255" s="98"/>
      <c r="AA255" s="161"/>
      <c r="AB255" s="161"/>
      <c r="AC255" s="98"/>
      <c r="AD255" s="98"/>
      <c r="AE255" s="159"/>
      <c r="AF255" s="159"/>
      <c r="AG255" s="98"/>
      <c r="AH255" s="98"/>
      <c r="AI255" s="98"/>
      <c r="AJ255" s="98"/>
      <c r="AK255" s="225"/>
      <c r="AL255" s="225"/>
      <c r="AM255" s="98"/>
      <c r="AN255" s="98"/>
      <c r="AO255" s="123"/>
      <c r="AP255" s="123"/>
      <c r="BJ255" s="98"/>
      <c r="BL255" s="148"/>
      <c r="BM255" s="148"/>
    </row>
    <row r="256" spans="23:65">
      <c r="W256" s="98"/>
      <c r="X256" s="98"/>
      <c r="Y256" s="98"/>
      <c r="Z256" s="98"/>
      <c r="AA256" s="225"/>
      <c r="AB256" s="225"/>
      <c r="AC256" s="98"/>
      <c r="AD256" s="98"/>
      <c r="AE256" s="159"/>
      <c r="AF256" s="159"/>
      <c r="AG256" s="98"/>
      <c r="AH256" s="98"/>
      <c r="AI256" s="98"/>
      <c r="AJ256" s="98"/>
      <c r="AK256" s="225"/>
      <c r="AL256" s="225"/>
      <c r="AM256" s="98"/>
      <c r="AN256" s="98"/>
      <c r="AO256" s="123"/>
      <c r="AP256" s="123"/>
      <c r="BJ256" s="98"/>
      <c r="BL256" s="148"/>
      <c r="BM256" s="148"/>
    </row>
    <row r="257" spans="23:65">
      <c r="W257" s="98"/>
      <c r="X257" s="98"/>
      <c r="Y257" s="98"/>
      <c r="Z257" s="98"/>
      <c r="AA257" s="98"/>
      <c r="AB257" s="98"/>
      <c r="AC257" s="98"/>
      <c r="AD257" s="98"/>
      <c r="AE257" s="159"/>
      <c r="AF257" s="159"/>
      <c r="AG257" s="98"/>
      <c r="AH257" s="98"/>
      <c r="AI257" s="98"/>
      <c r="AJ257" s="98"/>
      <c r="AK257" s="225"/>
      <c r="AL257" s="225"/>
      <c r="AM257" s="98"/>
      <c r="AN257" s="98"/>
      <c r="AO257" s="202"/>
      <c r="AP257" s="202"/>
      <c r="BJ257" s="98"/>
      <c r="BL257" s="148"/>
      <c r="BM257" s="148"/>
    </row>
    <row r="258" spans="23:65">
      <c r="W258" s="98"/>
      <c r="X258" s="98"/>
      <c r="Y258" s="98"/>
      <c r="Z258" s="98"/>
      <c r="AA258" s="98"/>
      <c r="AB258" s="98"/>
      <c r="AC258" s="98"/>
      <c r="AD258" s="98"/>
      <c r="AE258" s="159"/>
      <c r="AF258" s="159"/>
      <c r="AG258" s="98"/>
      <c r="AH258" s="98"/>
      <c r="AI258" s="98"/>
      <c r="AJ258" s="98"/>
      <c r="AK258" s="225"/>
      <c r="AL258" s="225"/>
      <c r="AM258" s="98"/>
      <c r="AN258" s="98"/>
      <c r="AO258" s="148"/>
      <c r="AP258" s="148"/>
      <c r="BJ258" s="98"/>
      <c r="BL258" s="148"/>
      <c r="BM258" s="148"/>
    </row>
    <row r="259" spans="23:65">
      <c r="W259" s="98"/>
      <c r="X259" s="98"/>
      <c r="Y259" s="98"/>
      <c r="Z259" s="98"/>
      <c r="AA259" s="98"/>
      <c r="AB259" s="98"/>
      <c r="AC259" s="98"/>
      <c r="AD259" s="98"/>
      <c r="AE259" s="159"/>
      <c r="AF259" s="159"/>
      <c r="AG259" s="98"/>
      <c r="AH259" s="98"/>
      <c r="AI259" s="98"/>
      <c r="AJ259" s="98"/>
      <c r="AK259" s="225"/>
      <c r="AL259" s="225"/>
      <c r="AM259" s="98"/>
      <c r="AN259" s="98"/>
      <c r="AO259" s="148"/>
      <c r="AP259" s="148"/>
      <c r="BJ259" s="98"/>
      <c r="BL259" s="148"/>
      <c r="BM259" s="148"/>
    </row>
    <row r="260" spans="23:65">
      <c r="W260" s="98"/>
      <c r="X260" s="98"/>
      <c r="Y260" s="98"/>
      <c r="Z260" s="98"/>
      <c r="AA260" s="98"/>
      <c r="AB260" s="98"/>
      <c r="AC260" s="98"/>
      <c r="AD260" s="98"/>
      <c r="AE260" s="159"/>
      <c r="AF260" s="159"/>
      <c r="AG260" s="98"/>
      <c r="AH260" s="98"/>
      <c r="AI260" s="98"/>
      <c r="AJ260" s="98"/>
      <c r="AK260" s="225"/>
      <c r="AM260" s="98"/>
      <c r="AN260" s="98"/>
      <c r="AO260" s="148"/>
      <c r="AP260" s="148"/>
      <c r="BJ260" s="98"/>
      <c r="BL260" s="148"/>
      <c r="BM260" s="148"/>
    </row>
    <row r="261" spans="23:65">
      <c r="W261" s="98"/>
      <c r="X261" s="98"/>
      <c r="Y261" s="98"/>
      <c r="Z261" s="98"/>
      <c r="AA261" s="98"/>
      <c r="AB261" s="98"/>
      <c r="AC261" s="98"/>
      <c r="AD261" s="98"/>
      <c r="AE261" s="159"/>
      <c r="AF261" s="159"/>
      <c r="AG261" s="98"/>
      <c r="AH261" s="98"/>
      <c r="AI261" s="98"/>
      <c r="AJ261" s="98"/>
      <c r="AK261" s="225"/>
      <c r="AM261" s="98"/>
      <c r="AN261" s="98"/>
      <c r="AO261" s="148"/>
      <c r="AP261" s="148"/>
      <c r="BJ261" s="98"/>
      <c r="BL261" s="148"/>
      <c r="BM261" s="148"/>
    </row>
    <row r="262" spans="23:65">
      <c r="W262" s="98"/>
      <c r="X262" s="98"/>
      <c r="Y262" s="98"/>
      <c r="Z262" s="98"/>
      <c r="AA262" s="98"/>
      <c r="AB262" s="98"/>
      <c r="AC262" s="98"/>
      <c r="AD262" s="98"/>
      <c r="AE262" s="159"/>
      <c r="AF262" s="159"/>
      <c r="AG262" s="98"/>
      <c r="AH262" s="98"/>
      <c r="AI262" s="98"/>
      <c r="AJ262" s="98"/>
      <c r="AK262" s="225"/>
      <c r="AM262" s="98"/>
      <c r="AN262" s="98"/>
      <c r="AO262" s="148"/>
      <c r="AP262" s="148"/>
      <c r="BJ262" s="98"/>
      <c r="BL262" s="148"/>
    </row>
    <row r="263" spans="23:65">
      <c r="W263" s="98"/>
      <c r="X263" s="98"/>
      <c r="Y263" s="98"/>
      <c r="Z263" s="98"/>
      <c r="AA263" s="98"/>
      <c r="AB263" s="98"/>
      <c r="AC263" s="98"/>
      <c r="AD263" s="98"/>
      <c r="AE263" s="159"/>
      <c r="AF263" s="159"/>
      <c r="AG263" s="98"/>
      <c r="AH263" s="98"/>
      <c r="AI263" s="98"/>
      <c r="AJ263" s="98"/>
      <c r="AK263" s="225"/>
      <c r="AM263" s="98"/>
      <c r="AN263" s="98"/>
      <c r="AO263" s="148"/>
      <c r="AP263" s="148"/>
      <c r="BJ263" s="98"/>
      <c r="BL263" s="148"/>
    </row>
    <row r="264" spans="23:65">
      <c r="W264" s="98"/>
      <c r="X264" s="98"/>
      <c r="Y264" s="98"/>
      <c r="Z264" s="98"/>
      <c r="AA264" s="98"/>
      <c r="AB264" s="98"/>
      <c r="AC264" s="98"/>
      <c r="AD264" s="98"/>
      <c r="AE264" s="159"/>
      <c r="AF264" s="159"/>
      <c r="AG264" s="98"/>
      <c r="AH264" s="98"/>
      <c r="AI264" s="98"/>
      <c r="AJ264" s="98"/>
      <c r="AK264" s="225"/>
      <c r="AM264" s="98"/>
      <c r="AN264" s="98"/>
      <c r="AO264" s="148"/>
      <c r="AP264" s="148"/>
      <c r="BJ264" s="98"/>
      <c r="BL264" s="148"/>
    </row>
    <row r="265" spans="23:65">
      <c r="W265" s="98"/>
      <c r="X265" s="98"/>
      <c r="Y265" s="98"/>
      <c r="Z265" s="98"/>
      <c r="AA265" s="98"/>
      <c r="AB265" s="98"/>
      <c r="AC265" s="98"/>
      <c r="AD265" s="98"/>
      <c r="AE265" s="159"/>
      <c r="AF265" s="159"/>
      <c r="AG265" s="98"/>
      <c r="AH265" s="98"/>
      <c r="AI265" s="98"/>
      <c r="AJ265" s="98"/>
      <c r="AK265" s="225"/>
      <c r="AM265" s="98"/>
      <c r="AN265" s="98"/>
      <c r="AO265" s="148"/>
      <c r="AP265" s="148"/>
      <c r="BJ265" s="98"/>
    </row>
    <row r="266" spans="23:65">
      <c r="W266" s="98"/>
      <c r="X266" s="98"/>
      <c r="Y266" s="98"/>
      <c r="Z266" s="98"/>
      <c r="AA266" s="98"/>
      <c r="AB266" s="98"/>
      <c r="AC266" s="98"/>
      <c r="AD266" s="98"/>
      <c r="AE266" s="159"/>
      <c r="AF266" s="159"/>
      <c r="AG266" s="98"/>
      <c r="AH266" s="98"/>
      <c r="AI266" s="98"/>
      <c r="AJ266" s="98"/>
      <c r="AK266" s="225"/>
      <c r="AM266" s="98"/>
      <c r="AN266" s="98"/>
      <c r="AO266" s="148"/>
      <c r="AP266" s="148"/>
      <c r="BJ266" s="98"/>
    </row>
    <row r="267" spans="23:65">
      <c r="W267" s="98"/>
      <c r="X267" s="98"/>
      <c r="Y267" s="98"/>
      <c r="Z267" s="98"/>
      <c r="AA267" s="98"/>
      <c r="AB267" s="98"/>
      <c r="AC267" s="98"/>
      <c r="AD267" s="98"/>
      <c r="AE267" s="159"/>
      <c r="AF267" s="159"/>
      <c r="AG267" s="98"/>
      <c r="AH267" s="98"/>
      <c r="AI267" s="98"/>
      <c r="AJ267" s="98"/>
      <c r="AK267" s="225"/>
      <c r="AM267" s="98"/>
      <c r="AN267" s="98"/>
      <c r="AO267" s="148"/>
      <c r="AP267" s="148"/>
      <c r="BJ267" s="98"/>
    </row>
    <row r="268" spans="23:65">
      <c r="W268" s="98"/>
      <c r="X268" s="98"/>
      <c r="Y268" s="98"/>
      <c r="Z268" s="98"/>
      <c r="AA268" s="98"/>
      <c r="AB268" s="98"/>
      <c r="AC268" s="98"/>
      <c r="AD268" s="98"/>
      <c r="AE268" s="159"/>
      <c r="AF268" s="159"/>
      <c r="AG268" s="98"/>
      <c r="AH268" s="98"/>
      <c r="AI268" s="98"/>
      <c r="AJ268" s="98"/>
      <c r="AK268" s="225"/>
      <c r="AM268" s="98"/>
      <c r="AN268" s="98"/>
      <c r="AO268" s="148"/>
      <c r="AP268" s="148"/>
      <c r="BJ268" s="98"/>
    </row>
    <row r="269" spans="23:65">
      <c r="W269" s="98"/>
      <c r="X269" s="98"/>
      <c r="Y269" s="98"/>
      <c r="Z269" s="98"/>
      <c r="AA269" s="98"/>
      <c r="AB269" s="98"/>
      <c r="AC269" s="98"/>
      <c r="AD269" s="98"/>
      <c r="AE269" s="159"/>
      <c r="AF269" s="159"/>
      <c r="AG269" s="98"/>
      <c r="AH269" s="98"/>
      <c r="AI269" s="98"/>
      <c r="AJ269" s="98"/>
      <c r="AK269" s="225"/>
      <c r="AM269" s="98"/>
      <c r="AN269" s="98"/>
      <c r="AO269" s="148"/>
      <c r="AP269" s="148"/>
      <c r="BJ269" s="98"/>
    </row>
    <row r="270" spans="23:65">
      <c r="W270" s="98"/>
      <c r="X270" s="98"/>
      <c r="Y270" s="98"/>
      <c r="Z270" s="98"/>
      <c r="AA270" s="98"/>
      <c r="AB270" s="98"/>
      <c r="AC270" s="98"/>
      <c r="AD270" s="98"/>
      <c r="AE270" s="159"/>
      <c r="AF270" s="159"/>
      <c r="AG270" s="98"/>
      <c r="AH270" s="98"/>
      <c r="AI270" s="98"/>
      <c r="AJ270" s="98"/>
      <c r="AK270" s="225"/>
      <c r="AO270" s="148"/>
      <c r="AP270" s="148"/>
      <c r="BJ270" s="98"/>
    </row>
    <row r="271" spans="23:65">
      <c r="W271" s="98"/>
      <c r="X271" s="98"/>
      <c r="Y271" s="98"/>
      <c r="Z271" s="98"/>
      <c r="AA271" s="98"/>
      <c r="AB271" s="98"/>
      <c r="AC271" s="98"/>
      <c r="AD271" s="98"/>
      <c r="AE271" s="159"/>
      <c r="AF271" s="159"/>
      <c r="AG271" s="98"/>
      <c r="AH271" s="98"/>
      <c r="AI271" s="98"/>
      <c r="AJ271" s="98"/>
      <c r="AK271" s="225"/>
      <c r="AO271" s="148"/>
      <c r="AP271" s="148"/>
      <c r="BJ271" s="98"/>
    </row>
    <row r="272" spans="23:65">
      <c r="W272" s="98"/>
      <c r="X272" s="98"/>
      <c r="Y272" s="98"/>
      <c r="Z272" s="98"/>
      <c r="AA272" s="98"/>
      <c r="AB272" s="98"/>
      <c r="AC272" s="98"/>
      <c r="AD272" s="98"/>
      <c r="AE272" s="159"/>
      <c r="AF272" s="159"/>
      <c r="AG272" s="98"/>
      <c r="AH272" s="98"/>
      <c r="AI272" s="98"/>
      <c r="AJ272" s="98"/>
      <c r="AK272" s="225"/>
      <c r="AO272" s="148"/>
      <c r="AP272" s="148"/>
      <c r="BJ272" s="98"/>
    </row>
    <row r="273" spans="23:62">
      <c r="W273" s="98"/>
      <c r="X273" s="98"/>
      <c r="Y273" s="98"/>
      <c r="Z273" s="98"/>
      <c r="AA273" s="98"/>
      <c r="AB273" s="98"/>
      <c r="AC273" s="98"/>
      <c r="AD273" s="98"/>
      <c r="AE273" s="159"/>
      <c r="AF273" s="159"/>
      <c r="AG273" s="98"/>
      <c r="AH273" s="98"/>
      <c r="AI273" s="98"/>
      <c r="AJ273" s="98"/>
      <c r="AK273" s="225"/>
      <c r="AO273" s="148"/>
      <c r="AP273" s="148"/>
      <c r="BJ273" s="98"/>
    </row>
    <row r="274" spans="23:62">
      <c r="W274" s="98"/>
      <c r="X274" s="98"/>
      <c r="Y274" s="98"/>
      <c r="Z274" s="98"/>
      <c r="AA274" s="98"/>
      <c r="AB274" s="98"/>
      <c r="AC274" s="98"/>
      <c r="AD274" s="98"/>
      <c r="AE274" s="159"/>
      <c r="AF274" s="159"/>
      <c r="AG274" s="98"/>
      <c r="AH274" s="98"/>
      <c r="AI274" s="98"/>
      <c r="AJ274" s="98"/>
      <c r="AK274" s="225"/>
      <c r="AO274" s="148"/>
      <c r="AP274" s="148"/>
      <c r="BJ274" s="98"/>
    </row>
    <row r="275" spans="23:62">
      <c r="W275" s="98"/>
      <c r="X275" s="98"/>
      <c r="Y275" s="98"/>
      <c r="Z275" s="98"/>
      <c r="AA275" s="98"/>
      <c r="AB275" s="98"/>
      <c r="AC275" s="98"/>
      <c r="AD275" s="98"/>
      <c r="AE275" s="159"/>
      <c r="AF275" s="159"/>
      <c r="AG275" s="98"/>
      <c r="AH275" s="98"/>
      <c r="AI275" s="98"/>
      <c r="AJ275" s="98"/>
      <c r="AK275" s="225"/>
      <c r="BJ275" s="98"/>
    </row>
    <row r="276" spans="23:62">
      <c r="AI276" s="98"/>
      <c r="AJ276" s="98"/>
      <c r="BJ276" s="98"/>
    </row>
    <row r="277" spans="23:62">
      <c r="AI277" s="98"/>
      <c r="AJ277" s="98"/>
      <c r="BJ277" s="98"/>
    </row>
    <row r="278" spans="23:62">
      <c r="AI278" s="98"/>
      <c r="AJ278" s="98"/>
      <c r="BJ278" s="98"/>
    </row>
    <row r="279" spans="23:62">
      <c r="AI279" s="98"/>
      <c r="AJ279" s="98"/>
      <c r="BJ279" s="98"/>
    </row>
    <row r="280" spans="23:62">
      <c r="AI280" s="98"/>
      <c r="AJ280" s="98"/>
      <c r="BJ280" s="98"/>
    </row>
    <row r="281" spans="23:62">
      <c r="BJ281" s="98"/>
    </row>
    <row r="282" spans="23:62">
      <c r="BJ282" s="98"/>
    </row>
    <row r="283" spans="23:62">
      <c r="BJ283" s="98"/>
    </row>
    <row r="284" spans="23:62">
      <c r="BJ284" s="98"/>
    </row>
    <row r="285" spans="23:62">
      <c r="BJ285" s="98"/>
    </row>
    <row r="286" spans="23:62">
      <c r="BJ286" s="98"/>
    </row>
    <row r="287" spans="23:62">
      <c r="BJ287" s="98"/>
    </row>
    <row r="288" spans="23:62">
      <c r="BJ288" s="98"/>
    </row>
    <row r="289" spans="62:62">
      <c r="BJ289" s="98"/>
    </row>
    <row r="290" spans="62:62">
      <c r="BJ290" s="98"/>
    </row>
    <row r="291" spans="62:62">
      <c r="BJ291" s="98"/>
    </row>
    <row r="292" spans="62:62">
      <c r="BJ292" s="98"/>
    </row>
    <row r="293" spans="62:62">
      <c r="BJ293" s="98"/>
    </row>
    <row r="294" spans="62:62">
      <c r="BJ294" s="98"/>
    </row>
    <row r="295" spans="62:62">
      <c r="BJ295" s="98"/>
    </row>
    <row r="296" spans="62:62">
      <c r="BJ296" s="98"/>
    </row>
    <row r="297" spans="62:62">
      <c r="BJ297" s="98"/>
    </row>
    <row r="298" spans="62:62">
      <c r="BJ298" s="98"/>
    </row>
    <row r="299" spans="62:62">
      <c r="BJ299" s="98"/>
    </row>
    <row r="300" spans="62:62">
      <c r="BJ300" s="98"/>
    </row>
    <row r="301" spans="62:62">
      <c r="BJ301" s="98"/>
    </row>
    <row r="302" spans="62:62">
      <c r="BJ302" s="98"/>
    </row>
    <row r="303" spans="62:62">
      <c r="BJ303" s="98"/>
    </row>
    <row r="304" spans="62:62">
      <c r="BJ304" s="98"/>
    </row>
    <row r="305" spans="62:62">
      <c r="BJ305" s="98"/>
    </row>
    <row r="306" spans="62:62">
      <c r="BJ306" s="98"/>
    </row>
    <row r="307" spans="62:62">
      <c r="BJ307" s="98"/>
    </row>
    <row r="308" spans="62:62">
      <c r="BJ308" s="98"/>
    </row>
    <row r="309" spans="62:62">
      <c r="BJ309" s="98"/>
    </row>
    <row r="310" spans="62:62">
      <c r="BJ310" s="98"/>
    </row>
    <row r="311" spans="62:62">
      <c r="BJ311" s="98"/>
    </row>
    <row r="312" spans="62:62">
      <c r="BJ312" s="98"/>
    </row>
    <row r="313" spans="62:62">
      <c r="BJ313" s="98"/>
    </row>
    <row r="314" spans="62:62">
      <c r="BJ314" s="98"/>
    </row>
    <row r="315" spans="62:62">
      <c r="BJ315" s="98"/>
    </row>
    <row r="316" spans="62:62">
      <c r="BJ316" s="98"/>
    </row>
    <row r="317" spans="62:62">
      <c r="BJ317" s="98"/>
    </row>
    <row r="318" spans="62:62">
      <c r="BJ318" s="98"/>
    </row>
    <row r="319" spans="62:62">
      <c r="BJ319" s="98"/>
    </row>
    <row r="320" spans="62:62">
      <c r="BJ320" s="98"/>
    </row>
    <row r="321" spans="62:62">
      <c r="BJ321" s="98"/>
    </row>
    <row r="322" spans="62:62">
      <c r="BJ322" s="98"/>
    </row>
    <row r="323" spans="62:62">
      <c r="BJ323" s="98"/>
    </row>
    <row r="324" spans="62:62">
      <c r="BJ324" s="98"/>
    </row>
    <row r="325" spans="62:62">
      <c r="BJ325" s="98"/>
    </row>
    <row r="326" spans="62:62">
      <c r="BJ326" s="98"/>
    </row>
    <row r="327" spans="62:62">
      <c r="BJ327" s="98"/>
    </row>
    <row r="328" spans="62:62">
      <c r="BJ328" s="98"/>
    </row>
    <row r="329" spans="62:62">
      <c r="BJ329" s="98"/>
    </row>
    <row r="330" spans="62:62">
      <c r="BJ330" s="98"/>
    </row>
    <row r="331" spans="62:62">
      <c r="BJ331" s="98"/>
    </row>
    <row r="332" spans="62:62">
      <c r="BJ332" s="98"/>
    </row>
    <row r="333" spans="62:62">
      <c r="BJ333" s="98"/>
    </row>
    <row r="334" spans="62:62">
      <c r="BJ334" s="98"/>
    </row>
    <row r="335" spans="62:62">
      <c r="BJ335" s="98"/>
    </row>
    <row r="336" spans="62:62">
      <c r="BJ336" s="98"/>
    </row>
    <row r="337" spans="62:62">
      <c r="BJ337" s="98"/>
    </row>
    <row r="338" spans="62:62">
      <c r="BJ338" s="98"/>
    </row>
    <row r="339" spans="62:62">
      <c r="BJ339" s="98"/>
    </row>
    <row r="340" spans="62:62">
      <c r="BJ340" s="98"/>
    </row>
    <row r="341" spans="62:62">
      <c r="BJ341" s="98"/>
    </row>
    <row r="342" spans="62:62">
      <c r="BJ342" s="98"/>
    </row>
    <row r="343" spans="62:62">
      <c r="BJ343" s="98"/>
    </row>
    <row r="344" spans="62:62">
      <c r="BJ344" s="98"/>
    </row>
    <row r="345" spans="62:62">
      <c r="BJ345" s="98"/>
    </row>
    <row r="346" spans="62:62">
      <c r="BJ346" s="98"/>
    </row>
    <row r="347" spans="62:62">
      <c r="BJ347" s="98"/>
    </row>
    <row r="348" spans="62:62">
      <c r="BJ348" s="98"/>
    </row>
    <row r="349" spans="62:62">
      <c r="BJ349" s="98"/>
    </row>
    <row r="350" spans="62:62">
      <c r="BJ350" s="98"/>
    </row>
    <row r="351" spans="62:62">
      <c r="BJ351" s="98"/>
    </row>
    <row r="352" spans="62:62">
      <c r="BJ352" s="98"/>
    </row>
    <row r="353" spans="62:62">
      <c r="BJ353" s="98"/>
    </row>
    <row r="354" spans="62:62">
      <c r="BJ354" s="98"/>
    </row>
    <row r="355" spans="62:62">
      <c r="BJ355" s="98"/>
    </row>
    <row r="356" spans="62:62">
      <c r="BJ356" s="98"/>
    </row>
    <row r="357" spans="62:62">
      <c r="BJ357" s="98"/>
    </row>
    <row r="358" spans="62:62">
      <c r="BJ358" s="98"/>
    </row>
    <row r="359" spans="62:62">
      <c r="BJ359" s="98"/>
    </row>
    <row r="360" spans="62:62">
      <c r="BJ360" s="98"/>
    </row>
    <row r="361" spans="62:62">
      <c r="BJ361" s="98"/>
    </row>
    <row r="362" spans="62:62">
      <c r="BJ362" s="98"/>
    </row>
    <row r="363" spans="62:62">
      <c r="BJ363" s="98"/>
    </row>
    <row r="364" spans="62:62">
      <c r="BJ364" s="98"/>
    </row>
    <row r="365" spans="62:62">
      <c r="BJ365" s="98"/>
    </row>
    <row r="366" spans="62:62">
      <c r="BJ366" s="98"/>
    </row>
    <row r="367" spans="62:62">
      <c r="BJ367" s="98"/>
    </row>
    <row r="368" spans="62:62">
      <c r="BJ368" s="98"/>
    </row>
    <row r="369" spans="62:62">
      <c r="BJ369" s="98"/>
    </row>
    <row r="370" spans="62:62">
      <c r="BJ370" s="98"/>
    </row>
    <row r="371" spans="62:62">
      <c r="BJ371" s="98"/>
    </row>
    <row r="372" spans="62:62">
      <c r="BJ372" s="98"/>
    </row>
    <row r="373" spans="62:62">
      <c r="BJ373" s="98"/>
    </row>
    <row r="374" spans="62:62">
      <c r="BJ374" s="98"/>
    </row>
    <row r="375" spans="62:62">
      <c r="BJ375" s="98"/>
    </row>
    <row r="376" spans="62:62">
      <c r="BJ376" s="98"/>
    </row>
    <row r="377" spans="62:62">
      <c r="BJ377" s="98"/>
    </row>
    <row r="378" spans="62:62">
      <c r="BJ378" s="98"/>
    </row>
    <row r="379" spans="62:62">
      <c r="BJ379" s="98"/>
    </row>
    <row r="380" spans="62:62">
      <c r="BJ380" s="98"/>
    </row>
    <row r="381" spans="62:62">
      <c r="BJ381" s="98"/>
    </row>
    <row r="382" spans="62:62">
      <c r="BJ382" s="98"/>
    </row>
    <row r="383" spans="62:62">
      <c r="BJ383" s="98"/>
    </row>
    <row r="384" spans="62:62">
      <c r="BJ384" s="98"/>
    </row>
    <row r="385" spans="62:62">
      <c r="BJ385" s="98"/>
    </row>
    <row r="386" spans="62:62">
      <c r="BJ386" s="98"/>
    </row>
    <row r="387" spans="62:62">
      <c r="BJ387" s="98"/>
    </row>
    <row r="388" spans="62:62">
      <c r="BJ388" s="98"/>
    </row>
    <row r="389" spans="62:62">
      <c r="BJ389" s="98"/>
    </row>
    <row r="390" spans="62:62">
      <c r="BJ390" s="98"/>
    </row>
    <row r="391" spans="62:62">
      <c r="BJ391" s="98"/>
    </row>
    <row r="392" spans="62:62">
      <c r="BJ392" s="98"/>
    </row>
    <row r="393" spans="62:62">
      <c r="BJ393" s="98"/>
    </row>
    <row r="394" spans="62:62">
      <c r="BJ394" s="98"/>
    </row>
    <row r="395" spans="62:62">
      <c r="BJ395" s="98"/>
    </row>
    <row r="396" spans="62:62">
      <c r="BJ396" s="98"/>
    </row>
    <row r="397" spans="62:62">
      <c r="BJ397" s="98"/>
    </row>
    <row r="398" spans="62:62">
      <c r="BJ398" s="98"/>
    </row>
    <row r="399" spans="62:62">
      <c r="BJ399" s="98"/>
    </row>
    <row r="400" spans="62:62">
      <c r="BJ400" s="98"/>
    </row>
    <row r="401" spans="62:62">
      <c r="BJ401" s="98"/>
    </row>
    <row r="402" spans="62:62">
      <c r="BJ402" s="98"/>
    </row>
    <row r="403" spans="62:62">
      <c r="BJ403" s="98"/>
    </row>
    <row r="404" spans="62:62">
      <c r="BJ404" s="98"/>
    </row>
    <row r="405" spans="62:62">
      <c r="BJ405" s="98"/>
    </row>
    <row r="406" spans="62:62">
      <c r="BJ406" s="98"/>
    </row>
    <row r="407" spans="62:62">
      <c r="BJ407" s="98"/>
    </row>
    <row r="408" spans="62:62">
      <c r="BJ408" s="98"/>
    </row>
    <row r="409" spans="62:62">
      <c r="BJ409" s="98"/>
    </row>
    <row r="410" spans="62:62">
      <c r="BJ410" s="98"/>
    </row>
    <row r="411" spans="62:62">
      <c r="BJ411" s="98"/>
    </row>
    <row r="412" spans="62:62">
      <c r="BJ412" s="98"/>
    </row>
    <row r="413" spans="62:62">
      <c r="BJ413" s="98"/>
    </row>
    <row r="414" spans="62:62">
      <c r="BJ414" s="98"/>
    </row>
    <row r="415" spans="62:62">
      <c r="BJ415" s="98"/>
    </row>
    <row r="416" spans="62:62">
      <c r="BJ416" s="98"/>
    </row>
    <row r="417" spans="62:62">
      <c r="BJ417" s="98"/>
    </row>
    <row r="418" spans="62:62">
      <c r="BJ418" s="98"/>
    </row>
    <row r="419" spans="62:62">
      <c r="BJ419" s="98"/>
    </row>
    <row r="420" spans="62:62">
      <c r="BJ420" s="98"/>
    </row>
    <row r="421" spans="62:62">
      <c r="BJ421" s="98"/>
    </row>
    <row r="422" spans="62:62">
      <c r="BJ422" s="98"/>
    </row>
    <row r="423" spans="62:62">
      <c r="BJ423" s="98"/>
    </row>
    <row r="424" spans="62:62">
      <c r="BJ424" s="98"/>
    </row>
    <row r="425" spans="62:62">
      <c r="BJ425" s="98"/>
    </row>
    <row r="426" spans="62:62">
      <c r="BJ426" s="98"/>
    </row>
    <row r="427" spans="62:62">
      <c r="BJ427" s="98"/>
    </row>
    <row r="428" spans="62:62">
      <c r="BJ428" s="98"/>
    </row>
    <row r="429" spans="62:62">
      <c r="BJ429" s="98"/>
    </row>
    <row r="430" spans="62:62">
      <c r="BJ430" s="98"/>
    </row>
    <row r="431" spans="62:62">
      <c r="BJ431" s="98"/>
    </row>
    <row r="432" spans="62:62">
      <c r="BJ432" s="98"/>
    </row>
    <row r="433" spans="62:62">
      <c r="BJ433" s="98"/>
    </row>
    <row r="434" spans="62:62">
      <c r="BJ434" s="98"/>
    </row>
    <row r="435" spans="62:62">
      <c r="BJ435" s="98"/>
    </row>
    <row r="436" spans="62:62">
      <c r="BJ436" s="98"/>
    </row>
    <row r="437" spans="62:62">
      <c r="BJ437" s="98"/>
    </row>
    <row r="438" spans="62:62">
      <c r="BJ438" s="98"/>
    </row>
    <row r="439" spans="62:62">
      <c r="BJ439" s="98"/>
    </row>
    <row r="440" spans="62:62">
      <c r="BJ440" s="98"/>
    </row>
    <row r="441" spans="62:62">
      <c r="BJ441" s="98"/>
    </row>
    <row r="442" spans="62:62">
      <c r="BJ442" s="98"/>
    </row>
    <row r="443" spans="62:62">
      <c r="BJ443" s="98"/>
    </row>
    <row r="444" spans="62:62">
      <c r="BJ444" s="98"/>
    </row>
    <row r="445" spans="62:62">
      <c r="BJ445" s="98"/>
    </row>
    <row r="446" spans="62:62">
      <c r="BJ446" s="98"/>
    </row>
    <row r="447" spans="62:62">
      <c r="BJ447" s="98"/>
    </row>
    <row r="448" spans="62:62">
      <c r="BJ448" s="98"/>
    </row>
    <row r="449" spans="62:62">
      <c r="BJ449" s="98"/>
    </row>
    <row r="450" spans="62:62">
      <c r="BJ450" s="98"/>
    </row>
    <row r="451" spans="62:62">
      <c r="BJ451" s="98"/>
    </row>
    <row r="452" spans="62:62">
      <c r="BJ452" s="98"/>
    </row>
    <row r="453" spans="62:62">
      <c r="BJ453" s="98"/>
    </row>
    <row r="454" spans="62:62">
      <c r="BJ454" s="98"/>
    </row>
    <row r="455" spans="62:62">
      <c r="BJ455" s="98"/>
    </row>
    <row r="456" spans="62:62">
      <c r="BJ456" s="98"/>
    </row>
    <row r="457" spans="62:62">
      <c r="BJ457" s="98"/>
    </row>
    <row r="458" spans="62:62">
      <c r="BJ458" s="98"/>
    </row>
    <row r="459" spans="62:62">
      <c r="BJ459" s="98"/>
    </row>
    <row r="460" spans="62:62">
      <c r="BJ460" s="98"/>
    </row>
    <row r="461" spans="62:62">
      <c r="BJ461" s="98"/>
    </row>
    <row r="462" spans="62:62">
      <c r="BJ462" s="98"/>
    </row>
    <row r="463" spans="62:62">
      <c r="BJ463" s="98"/>
    </row>
    <row r="464" spans="62:62">
      <c r="BJ464" s="98"/>
    </row>
    <row r="465" spans="62:62">
      <c r="BJ465" s="98"/>
    </row>
    <row r="466" spans="62:62">
      <c r="BJ466" s="98"/>
    </row>
    <row r="467" spans="62:62">
      <c r="BJ467" s="98"/>
    </row>
    <row r="468" spans="62:62">
      <c r="BJ468" s="98"/>
    </row>
    <row r="469" spans="62:62">
      <c r="BJ469" s="98"/>
    </row>
    <row r="470" spans="62:62">
      <c r="BJ470" s="98"/>
    </row>
    <row r="471" spans="62:62">
      <c r="BJ471" s="98"/>
    </row>
    <row r="472" spans="62:62">
      <c r="BJ472" s="98"/>
    </row>
    <row r="473" spans="62:62">
      <c r="BJ473" s="98"/>
    </row>
    <row r="474" spans="62:62">
      <c r="BJ474" s="98"/>
    </row>
    <row r="475" spans="62:62">
      <c r="BJ475" s="98"/>
    </row>
    <row r="476" spans="62:62">
      <c r="BJ476" s="98"/>
    </row>
    <row r="477" spans="62:62">
      <c r="BJ477" s="98"/>
    </row>
    <row r="478" spans="62:62">
      <c r="BJ478" s="98"/>
    </row>
    <row r="479" spans="62:62">
      <c r="BJ479" s="98"/>
    </row>
    <row r="480" spans="62:62">
      <c r="BJ480" s="98"/>
    </row>
    <row r="481" spans="62:62">
      <c r="BJ481" s="98"/>
    </row>
    <row r="482" spans="62:62">
      <c r="BJ482" s="98"/>
    </row>
    <row r="483" spans="62:62">
      <c r="BJ483" s="98"/>
    </row>
    <row r="484" spans="62:62">
      <c r="BJ484" s="98"/>
    </row>
    <row r="485" spans="62:62">
      <c r="BJ485" s="98"/>
    </row>
    <row r="486" spans="62:62">
      <c r="BJ486" s="98"/>
    </row>
    <row r="487" spans="62:62">
      <c r="BJ487" s="98"/>
    </row>
    <row r="488" spans="62:62">
      <c r="BJ488" s="98"/>
    </row>
    <row r="489" spans="62:62">
      <c r="BJ489" s="98"/>
    </row>
    <row r="490" spans="62:62">
      <c r="BJ490" s="98"/>
    </row>
    <row r="491" spans="62:62">
      <c r="BJ491" s="98"/>
    </row>
    <row r="492" spans="62:62">
      <c r="BJ492" s="98"/>
    </row>
    <row r="493" spans="62:62">
      <c r="BJ493" s="98"/>
    </row>
    <row r="494" spans="62:62">
      <c r="BJ494" s="98"/>
    </row>
    <row r="495" spans="62:62">
      <c r="BJ495" s="98"/>
    </row>
    <row r="496" spans="62:62">
      <c r="BJ496" s="98"/>
    </row>
    <row r="497" spans="62:62">
      <c r="BJ497" s="98"/>
    </row>
    <row r="498" spans="62:62">
      <c r="BJ498" s="98"/>
    </row>
    <row r="499" spans="62:62">
      <c r="BJ499" s="98"/>
    </row>
    <row r="500" spans="62:62">
      <c r="BJ500" s="98"/>
    </row>
    <row r="501" spans="62:62">
      <c r="BJ501" s="98"/>
    </row>
    <row r="502" spans="62:62">
      <c r="BJ502" s="98"/>
    </row>
    <row r="503" spans="62:62">
      <c r="BJ503" s="98"/>
    </row>
    <row r="504" spans="62:62">
      <c r="BJ504" s="98"/>
    </row>
    <row r="505" spans="62:62">
      <c r="BJ505" s="98"/>
    </row>
    <row r="506" spans="62:62">
      <c r="BJ506" s="98"/>
    </row>
    <row r="507" spans="62:62">
      <c r="BJ507" s="98"/>
    </row>
    <row r="508" spans="62:62">
      <c r="BJ508" s="98"/>
    </row>
    <row r="509" spans="62:62">
      <c r="BJ509" s="98"/>
    </row>
    <row r="510" spans="62:62">
      <c r="BJ510" s="98"/>
    </row>
    <row r="511" spans="62:62">
      <c r="BJ511" s="98"/>
    </row>
    <row r="512" spans="62:62">
      <c r="BJ512" s="98"/>
    </row>
    <row r="513" spans="62:62">
      <c r="BJ513" s="98"/>
    </row>
    <row r="514" spans="62:62">
      <c r="BJ514" s="98"/>
    </row>
    <row r="515" spans="62:62">
      <c r="BJ515" s="98"/>
    </row>
    <row r="516" spans="62:62">
      <c r="BJ516" s="98"/>
    </row>
    <row r="517" spans="62:62">
      <c r="BJ517" s="98"/>
    </row>
    <row r="518" spans="62:62">
      <c r="BJ518" s="98"/>
    </row>
    <row r="519" spans="62:62">
      <c r="BJ519" s="98"/>
    </row>
    <row r="520" spans="62:62">
      <c r="BJ520" s="98"/>
    </row>
    <row r="521" spans="62:62">
      <c r="BJ521" s="98"/>
    </row>
    <row r="522" spans="62:62">
      <c r="BJ522" s="98"/>
    </row>
    <row r="523" spans="62:62">
      <c r="BJ523" s="98"/>
    </row>
    <row r="524" spans="62:62">
      <c r="BJ524" s="98"/>
    </row>
    <row r="525" spans="62:62">
      <c r="BJ525" s="98"/>
    </row>
    <row r="526" spans="62:62">
      <c r="BJ526" s="98"/>
    </row>
    <row r="527" spans="62:62">
      <c r="BJ527" s="98"/>
    </row>
    <row r="528" spans="62:62">
      <c r="BJ528" s="98"/>
    </row>
    <row r="529" spans="62:62">
      <c r="BJ529" s="98"/>
    </row>
    <row r="530" spans="62:62">
      <c r="BJ530" s="98"/>
    </row>
    <row r="531" spans="62:62">
      <c r="BJ531" s="98"/>
    </row>
    <row r="532" spans="62:62">
      <c r="BJ532" s="98"/>
    </row>
    <row r="533" spans="62:62">
      <c r="BJ533" s="98"/>
    </row>
    <row r="534" spans="62:62">
      <c r="BJ534" s="98"/>
    </row>
    <row r="535" spans="62:62">
      <c r="BJ535" s="98"/>
    </row>
    <row r="536" spans="62:62">
      <c r="BJ536" s="98"/>
    </row>
    <row r="537" spans="62:62">
      <c r="BJ537" s="98"/>
    </row>
    <row r="538" spans="62:62">
      <c r="BJ538" s="98"/>
    </row>
    <row r="539" spans="62:62">
      <c r="BJ539" s="98"/>
    </row>
    <row r="540" spans="62:62">
      <c r="BJ540" s="98"/>
    </row>
    <row r="541" spans="62:62">
      <c r="BJ541" s="98"/>
    </row>
    <row r="542" spans="62:62">
      <c r="BJ542" s="98"/>
    </row>
    <row r="543" spans="62:62">
      <c r="BJ543" s="98"/>
    </row>
    <row r="544" spans="62:62">
      <c r="BJ544" s="98"/>
    </row>
    <row r="545" spans="62:62">
      <c r="BJ545" s="98"/>
    </row>
    <row r="546" spans="62:62">
      <c r="BJ546" s="98"/>
    </row>
    <row r="547" spans="62:62">
      <c r="BJ547" s="98"/>
    </row>
    <row r="548" spans="62:62">
      <c r="BJ548" s="98"/>
    </row>
    <row r="549" spans="62:62">
      <c r="BJ549" s="98"/>
    </row>
    <row r="550" spans="62:62">
      <c r="BJ550" s="98"/>
    </row>
    <row r="551" spans="62:62">
      <c r="BJ551" s="98"/>
    </row>
    <row r="552" spans="62:62">
      <c r="BJ552" s="98"/>
    </row>
    <row r="553" spans="62:62">
      <c r="BJ553" s="98"/>
    </row>
    <row r="554" spans="62:62">
      <c r="BJ554" s="98"/>
    </row>
    <row r="555" spans="62:62">
      <c r="BJ555" s="98"/>
    </row>
    <row r="556" spans="62:62">
      <c r="BJ556" s="98"/>
    </row>
    <row r="557" spans="62:62">
      <c r="BJ557" s="98"/>
    </row>
    <row r="558" spans="62:62">
      <c r="BJ558" s="98"/>
    </row>
    <row r="559" spans="62:62">
      <c r="BJ559" s="98"/>
    </row>
    <row r="560" spans="62:62">
      <c r="BJ560" s="98"/>
    </row>
    <row r="561" spans="62:62">
      <c r="BJ561" s="98"/>
    </row>
    <row r="562" spans="62:62">
      <c r="BJ562" s="98"/>
    </row>
    <row r="563" spans="62:62">
      <c r="BJ563" s="98"/>
    </row>
    <row r="564" spans="62:62">
      <c r="BJ564" s="98"/>
    </row>
    <row r="565" spans="62:62">
      <c r="BJ565" s="98"/>
    </row>
    <row r="566" spans="62:62">
      <c r="BJ566" s="98"/>
    </row>
    <row r="567" spans="62:62">
      <c r="BJ567" s="98"/>
    </row>
    <row r="568" spans="62:62">
      <c r="BJ568" s="98"/>
    </row>
    <row r="569" spans="62:62">
      <c r="BJ569" s="98"/>
    </row>
    <row r="570" spans="62:62">
      <c r="BJ570" s="98"/>
    </row>
    <row r="571" spans="62:62">
      <c r="BJ571" s="98"/>
    </row>
    <row r="572" spans="62:62">
      <c r="BJ572" s="98"/>
    </row>
    <row r="573" spans="62:62">
      <c r="BJ573" s="98"/>
    </row>
    <row r="574" spans="62:62">
      <c r="BJ574" s="98"/>
    </row>
    <row r="575" spans="62:62">
      <c r="BJ575" s="98"/>
    </row>
    <row r="576" spans="62:62">
      <c r="BJ576" s="98"/>
    </row>
    <row r="577" spans="62:62">
      <c r="BJ577" s="98"/>
    </row>
    <row r="578" spans="62:62">
      <c r="BJ578" s="98"/>
    </row>
    <row r="579" spans="62:62">
      <c r="BJ579" s="98"/>
    </row>
    <row r="580" spans="62:62">
      <c r="BJ580" s="98"/>
    </row>
    <row r="581" spans="62:62">
      <c r="BJ581" s="98"/>
    </row>
    <row r="582" spans="62:62">
      <c r="BJ582" s="98"/>
    </row>
    <row r="583" spans="62:62">
      <c r="BJ583" s="98"/>
    </row>
    <row r="584" spans="62:62">
      <c r="BJ584" s="98"/>
    </row>
    <row r="585" spans="62:62">
      <c r="BJ585" s="98"/>
    </row>
    <row r="586" spans="62:62">
      <c r="BJ586" s="98"/>
    </row>
    <row r="587" spans="62:62">
      <c r="BJ587" s="98"/>
    </row>
    <row r="588" spans="62:62">
      <c r="BJ588" s="98"/>
    </row>
    <row r="589" spans="62:62">
      <c r="BJ589" s="98"/>
    </row>
    <row r="590" spans="62:62">
      <c r="BJ590" s="98"/>
    </row>
    <row r="591" spans="62:62">
      <c r="BJ591" s="98"/>
    </row>
    <row r="592" spans="62:62">
      <c r="BJ592" s="98"/>
    </row>
    <row r="593" spans="62:62">
      <c r="BJ593" s="98"/>
    </row>
    <row r="594" spans="62:62">
      <c r="BJ594" s="98"/>
    </row>
    <row r="595" spans="62:62">
      <c r="BJ595" s="98"/>
    </row>
    <row r="596" spans="62:62">
      <c r="BJ596" s="98"/>
    </row>
    <row r="597" spans="62:62">
      <c r="BJ597" s="98"/>
    </row>
    <row r="598" spans="62:62">
      <c r="BJ598" s="98"/>
    </row>
    <row r="599" spans="62:62">
      <c r="BJ599" s="98"/>
    </row>
    <row r="600" spans="62:62">
      <c r="BJ600" s="98"/>
    </row>
    <row r="601" spans="62:62">
      <c r="BJ601" s="98"/>
    </row>
    <row r="602" spans="62:62">
      <c r="BJ602" s="98"/>
    </row>
    <row r="603" spans="62:62">
      <c r="BJ603" s="98"/>
    </row>
    <row r="604" spans="62:62">
      <c r="BJ604" s="98"/>
    </row>
    <row r="605" spans="62:62">
      <c r="BJ605" s="98"/>
    </row>
    <row r="606" spans="62:62">
      <c r="BJ606" s="98"/>
    </row>
    <row r="607" spans="62:62">
      <c r="BJ607" s="98"/>
    </row>
    <row r="608" spans="62:62">
      <c r="BJ608" s="98"/>
    </row>
    <row r="609" spans="62:62">
      <c r="BJ609" s="98"/>
    </row>
    <row r="610" spans="62:62">
      <c r="BJ610" s="98"/>
    </row>
    <row r="611" spans="62:62">
      <c r="BJ611" s="98"/>
    </row>
    <row r="612" spans="62:62">
      <c r="BJ612" s="98"/>
    </row>
    <row r="613" spans="62:62">
      <c r="BJ613" s="98"/>
    </row>
    <row r="614" spans="62:62">
      <c r="BJ614" s="98"/>
    </row>
    <row r="615" spans="62:62">
      <c r="BJ615" s="98"/>
    </row>
    <row r="616" spans="62:62">
      <c r="BJ616" s="98"/>
    </row>
    <row r="617" spans="62:62">
      <c r="BJ617" s="98"/>
    </row>
    <row r="618" spans="62:62">
      <c r="BJ618" s="98"/>
    </row>
    <row r="619" spans="62:62">
      <c r="BJ619" s="98"/>
    </row>
    <row r="620" spans="62:62">
      <c r="BJ620" s="98"/>
    </row>
    <row r="621" spans="62:62">
      <c r="BJ621" s="98"/>
    </row>
    <row r="622" spans="62:62">
      <c r="BJ622" s="98"/>
    </row>
    <row r="623" spans="62:62">
      <c r="BJ623" s="98"/>
    </row>
    <row r="624" spans="62:62">
      <c r="BJ624" s="98"/>
    </row>
    <row r="625" spans="62:62">
      <c r="BJ625" s="98"/>
    </row>
    <row r="626" spans="62:62">
      <c r="BJ626" s="98"/>
    </row>
    <row r="627" spans="62:62">
      <c r="BJ627" s="98"/>
    </row>
    <row r="628" spans="62:62">
      <c r="BJ628" s="98"/>
    </row>
    <row r="629" spans="62:62">
      <c r="BJ629" s="98"/>
    </row>
    <row r="630" spans="62:62">
      <c r="BJ630" s="98"/>
    </row>
    <row r="631" spans="62:62">
      <c r="BJ631" s="98"/>
    </row>
    <row r="632" spans="62:62">
      <c r="BJ632" s="98"/>
    </row>
    <row r="633" spans="62:62">
      <c r="BJ633" s="98"/>
    </row>
    <row r="634" spans="62:62">
      <c r="BJ634" s="98"/>
    </row>
    <row r="635" spans="62:62">
      <c r="BJ635" s="98"/>
    </row>
    <row r="636" spans="62:62">
      <c r="BJ636" s="98"/>
    </row>
    <row r="637" spans="62:62">
      <c r="BJ637" s="98"/>
    </row>
    <row r="638" spans="62:62">
      <c r="BJ638" s="98"/>
    </row>
    <row r="639" spans="62:62">
      <c r="BJ639" s="98"/>
    </row>
    <row r="640" spans="62:62">
      <c r="BJ640" s="98"/>
    </row>
    <row r="641" spans="62:62">
      <c r="BJ641" s="98"/>
    </row>
    <row r="642" spans="62:62">
      <c r="BJ642" s="98"/>
    </row>
    <row r="643" spans="62:62">
      <c r="BJ643" s="98"/>
    </row>
    <row r="644" spans="62:62">
      <c r="BJ644" s="98"/>
    </row>
    <row r="645" spans="62:62">
      <c r="BJ645" s="98"/>
    </row>
    <row r="646" spans="62:62">
      <c r="BJ646" s="98"/>
    </row>
    <row r="647" spans="62:62">
      <c r="BJ647" s="98"/>
    </row>
    <row r="648" spans="62:62">
      <c r="BJ648" s="98"/>
    </row>
    <row r="649" spans="62:62">
      <c r="BJ649" s="98"/>
    </row>
    <row r="650" spans="62:62">
      <c r="BJ650" s="98"/>
    </row>
    <row r="651" spans="62:62">
      <c r="BJ651" s="98"/>
    </row>
    <row r="652" spans="62:62">
      <c r="BJ652" s="98"/>
    </row>
    <row r="653" spans="62:62">
      <c r="BJ653" s="98"/>
    </row>
    <row r="654" spans="62:62">
      <c r="BJ654" s="98"/>
    </row>
    <row r="655" spans="62:62">
      <c r="BJ655" s="98"/>
    </row>
    <row r="656" spans="62:62">
      <c r="BJ656" s="98"/>
    </row>
    <row r="657" spans="62:62">
      <c r="BJ657" s="98"/>
    </row>
    <row r="658" spans="62:62">
      <c r="BJ658" s="98"/>
    </row>
    <row r="659" spans="62:62">
      <c r="BJ659" s="98"/>
    </row>
    <row r="660" spans="62:62">
      <c r="BJ660" s="98"/>
    </row>
    <row r="661" spans="62:62">
      <c r="BJ661" s="98"/>
    </row>
    <row r="662" spans="62:62">
      <c r="BJ662" s="98"/>
    </row>
    <row r="663" spans="62:62">
      <c r="BJ663" s="98"/>
    </row>
    <row r="664" spans="62:62">
      <c r="BJ664" s="98"/>
    </row>
    <row r="665" spans="62:62">
      <c r="BJ665" s="98"/>
    </row>
    <row r="666" spans="62:62">
      <c r="BJ666" s="98"/>
    </row>
    <row r="667" spans="62:62">
      <c r="BJ667" s="98"/>
    </row>
    <row r="668" spans="62:62">
      <c r="BJ668" s="98"/>
    </row>
    <row r="669" spans="62:62">
      <c r="BJ669" s="98"/>
    </row>
    <row r="670" spans="62:62">
      <c r="BJ670" s="98"/>
    </row>
    <row r="671" spans="62:62">
      <c r="BJ671" s="98"/>
    </row>
    <row r="672" spans="62:62">
      <c r="BJ672" s="98"/>
    </row>
    <row r="673" spans="62:62">
      <c r="BJ673" s="98"/>
    </row>
    <row r="674" spans="62:62">
      <c r="BJ674" s="98"/>
    </row>
    <row r="675" spans="62:62">
      <c r="BJ675" s="98"/>
    </row>
    <row r="676" spans="62:62">
      <c r="BJ676" s="98"/>
    </row>
    <row r="677" spans="62:62">
      <c r="BJ677" s="98"/>
    </row>
    <row r="678" spans="62:62">
      <c r="BJ678" s="98"/>
    </row>
    <row r="679" spans="62:62">
      <c r="BJ679" s="98"/>
    </row>
    <row r="680" spans="62:62">
      <c r="BJ680" s="98"/>
    </row>
    <row r="681" spans="62:62">
      <c r="BJ681" s="98"/>
    </row>
    <row r="682" spans="62:62">
      <c r="BJ682" s="98"/>
    </row>
    <row r="683" spans="62:62">
      <c r="BJ683" s="98"/>
    </row>
    <row r="684" spans="62:62">
      <c r="BJ684" s="98"/>
    </row>
    <row r="685" spans="62:62">
      <c r="BJ685" s="98"/>
    </row>
    <row r="686" spans="62:62">
      <c r="BJ686" s="98"/>
    </row>
    <row r="687" spans="62:62">
      <c r="BJ687" s="98"/>
    </row>
    <row r="688" spans="62:62">
      <c r="BJ688" s="98"/>
    </row>
    <row r="689" spans="62:62">
      <c r="BJ689" s="98"/>
    </row>
    <row r="690" spans="62:62">
      <c r="BJ690" s="98"/>
    </row>
    <row r="691" spans="62:62">
      <c r="BJ691" s="98"/>
    </row>
    <row r="692" spans="62:62">
      <c r="BJ692" s="98"/>
    </row>
    <row r="693" spans="62:62">
      <c r="BJ693" s="98"/>
    </row>
    <row r="694" spans="62:62">
      <c r="BJ694" s="98"/>
    </row>
    <row r="695" spans="62:62">
      <c r="BJ695" s="98"/>
    </row>
    <row r="696" spans="62:62">
      <c r="BJ696" s="98"/>
    </row>
    <row r="697" spans="62:62">
      <c r="BJ697" s="98"/>
    </row>
    <row r="698" spans="62:62">
      <c r="BJ698" s="98"/>
    </row>
    <row r="699" spans="62:62">
      <c r="BJ699" s="98"/>
    </row>
    <row r="700" spans="62:62">
      <c r="BJ700" s="98"/>
    </row>
    <row r="701" spans="62:62">
      <c r="BJ701" s="98"/>
    </row>
    <row r="702" spans="62:62">
      <c r="BJ702" s="98"/>
    </row>
    <row r="703" spans="62:62">
      <c r="BJ703" s="98"/>
    </row>
    <row r="704" spans="62:62">
      <c r="BJ704" s="98"/>
    </row>
    <row r="705" spans="62:62">
      <c r="BJ705" s="98"/>
    </row>
    <row r="706" spans="62:62">
      <c r="BJ706" s="98"/>
    </row>
    <row r="707" spans="62:62">
      <c r="BJ707" s="98"/>
    </row>
    <row r="708" spans="62:62">
      <c r="BJ708" s="98"/>
    </row>
    <row r="709" spans="62:62">
      <c r="BJ709" s="98"/>
    </row>
    <row r="710" spans="62:62">
      <c r="BJ710" s="98"/>
    </row>
    <row r="711" spans="62:62">
      <c r="BJ711" s="98"/>
    </row>
    <row r="712" spans="62:62">
      <c r="BJ712" s="98"/>
    </row>
    <row r="713" spans="62:62">
      <c r="BJ713" s="98"/>
    </row>
    <row r="714" spans="62:62">
      <c r="BJ714" s="98"/>
    </row>
    <row r="715" spans="62:62">
      <c r="BJ715" s="98"/>
    </row>
    <row r="716" spans="62:62">
      <c r="BJ716" s="98"/>
    </row>
    <row r="717" spans="62:62">
      <c r="BJ717" s="98"/>
    </row>
    <row r="718" spans="62:62">
      <c r="BJ718" s="98"/>
    </row>
    <row r="719" spans="62:62">
      <c r="BJ719" s="98"/>
    </row>
    <row r="720" spans="62:62">
      <c r="BJ720" s="98"/>
    </row>
    <row r="721" spans="62:62">
      <c r="BJ721" s="98"/>
    </row>
    <row r="722" spans="62:62">
      <c r="BJ722" s="98"/>
    </row>
    <row r="723" spans="62:62">
      <c r="BJ723" s="98"/>
    </row>
    <row r="724" spans="62:62">
      <c r="BJ724" s="98"/>
    </row>
    <row r="725" spans="62:62">
      <c r="BJ725" s="98"/>
    </row>
    <row r="726" spans="62:62">
      <c r="BJ726" s="98"/>
    </row>
    <row r="727" spans="62:62">
      <c r="BJ727" s="98"/>
    </row>
    <row r="728" spans="62:62">
      <c r="BJ728" s="98"/>
    </row>
    <row r="729" spans="62:62">
      <c r="BJ729" s="98"/>
    </row>
    <row r="730" spans="62:62">
      <c r="BJ730" s="98"/>
    </row>
    <row r="731" spans="62:62">
      <c r="BJ731" s="98"/>
    </row>
    <row r="732" spans="62:62">
      <c r="BJ732" s="98"/>
    </row>
    <row r="733" spans="62:62">
      <c r="BJ733" s="98"/>
    </row>
    <row r="734" spans="62:62">
      <c r="BJ734" s="98"/>
    </row>
    <row r="735" spans="62:62">
      <c r="BJ735" s="98"/>
    </row>
    <row r="736" spans="62:62">
      <c r="BJ736" s="98"/>
    </row>
    <row r="737" spans="62:62">
      <c r="BJ737" s="98"/>
    </row>
    <row r="738" spans="62:62">
      <c r="BJ738" s="98"/>
    </row>
    <row r="739" spans="62:62">
      <c r="BJ739" s="98"/>
    </row>
    <row r="740" spans="62:62">
      <c r="BJ740" s="98"/>
    </row>
    <row r="741" spans="62:62">
      <c r="BJ741" s="98"/>
    </row>
    <row r="742" spans="62:62">
      <c r="BJ742" s="98"/>
    </row>
    <row r="743" spans="62:62">
      <c r="BJ743" s="98"/>
    </row>
    <row r="744" spans="62:62">
      <c r="BJ744" s="98"/>
    </row>
    <row r="745" spans="62:62">
      <c r="BJ745" s="98"/>
    </row>
    <row r="746" spans="62:62">
      <c r="BJ746" s="98"/>
    </row>
    <row r="747" spans="62:62">
      <c r="BJ747" s="98"/>
    </row>
    <row r="748" spans="62:62">
      <c r="BJ748" s="98"/>
    </row>
    <row r="749" spans="62:62">
      <c r="BJ749" s="98"/>
    </row>
    <row r="750" spans="62:62">
      <c r="BJ750" s="98"/>
    </row>
    <row r="751" spans="62:62">
      <c r="BJ751" s="98"/>
    </row>
    <row r="752" spans="62:62">
      <c r="BJ752" s="98"/>
    </row>
    <row r="753" spans="62:62">
      <c r="BJ753" s="98"/>
    </row>
    <row r="754" spans="62:62">
      <c r="BJ754" s="98"/>
    </row>
    <row r="755" spans="62:62">
      <c r="BJ755" s="98"/>
    </row>
    <row r="756" spans="62:62">
      <c r="BJ756" s="98"/>
    </row>
    <row r="757" spans="62:62">
      <c r="BJ757" s="98"/>
    </row>
    <row r="758" spans="62:62">
      <c r="BJ758" s="98"/>
    </row>
    <row r="759" spans="62:62">
      <c r="BJ759" s="98"/>
    </row>
    <row r="760" spans="62:62">
      <c r="BJ760" s="98"/>
    </row>
    <row r="761" spans="62:62">
      <c r="BJ761" s="98"/>
    </row>
    <row r="762" spans="62:62">
      <c r="BJ762" s="98"/>
    </row>
    <row r="763" spans="62:62">
      <c r="BJ763" s="98"/>
    </row>
    <row r="764" spans="62:62">
      <c r="BJ764" s="98"/>
    </row>
    <row r="765" spans="62:62">
      <c r="BJ765" s="98"/>
    </row>
    <row r="766" spans="62:62">
      <c r="BJ766" s="98"/>
    </row>
    <row r="767" spans="62:62">
      <c r="BJ767" s="98"/>
    </row>
    <row r="768" spans="62:62">
      <c r="BJ768" s="98"/>
    </row>
    <row r="769" spans="62:62">
      <c r="BJ769" s="98"/>
    </row>
    <row r="770" spans="62:62">
      <c r="BJ770" s="98"/>
    </row>
    <row r="771" spans="62:62">
      <c r="BJ771" s="98"/>
    </row>
    <row r="772" spans="62:62">
      <c r="BJ772" s="98"/>
    </row>
    <row r="773" spans="62:62">
      <c r="BJ773" s="98"/>
    </row>
    <row r="774" spans="62:62">
      <c r="BJ774" s="98"/>
    </row>
    <row r="775" spans="62:62">
      <c r="BJ775" s="98"/>
    </row>
    <row r="776" spans="62:62">
      <c r="BJ776" s="98"/>
    </row>
    <row r="777" spans="62:62">
      <c r="BJ777" s="98"/>
    </row>
    <row r="778" spans="62:62">
      <c r="BJ778" s="98"/>
    </row>
    <row r="779" spans="62:62">
      <c r="BJ779" s="98"/>
    </row>
    <row r="780" spans="62:62">
      <c r="BJ780" s="98"/>
    </row>
    <row r="781" spans="62:62">
      <c r="BJ781" s="98"/>
    </row>
    <row r="782" spans="62:62">
      <c r="BJ782" s="98"/>
    </row>
    <row r="783" spans="62:62">
      <c r="BJ783" s="98"/>
    </row>
    <row r="784" spans="62:62">
      <c r="BJ784" s="98"/>
    </row>
    <row r="785" spans="62:62">
      <c r="BJ785" s="98"/>
    </row>
    <row r="786" spans="62:62">
      <c r="BJ786" s="98"/>
    </row>
    <row r="787" spans="62:62">
      <c r="BJ787" s="98"/>
    </row>
    <row r="788" spans="62:62">
      <c r="BJ788" s="98"/>
    </row>
    <row r="789" spans="62:62">
      <c r="BJ789" s="98"/>
    </row>
    <row r="790" spans="62:62">
      <c r="BJ790" s="98"/>
    </row>
    <row r="791" spans="62:62">
      <c r="BJ791" s="98"/>
    </row>
    <row r="792" spans="62:62">
      <c r="BJ792" s="98"/>
    </row>
    <row r="793" spans="62:62">
      <c r="BJ793" s="98"/>
    </row>
    <row r="794" spans="62:62">
      <c r="BJ794" s="98"/>
    </row>
    <row r="795" spans="62:62">
      <c r="BJ795" s="98"/>
    </row>
    <row r="796" spans="62:62">
      <c r="BJ796" s="98"/>
    </row>
    <row r="797" spans="62:62">
      <c r="BJ797" s="98"/>
    </row>
    <row r="798" spans="62:62">
      <c r="BJ798" s="98"/>
    </row>
    <row r="799" spans="62:62">
      <c r="BJ799" s="98"/>
    </row>
    <row r="800" spans="62:62">
      <c r="BJ800" s="98"/>
    </row>
    <row r="801" spans="62:62">
      <c r="BJ801" s="98"/>
    </row>
    <row r="802" spans="62:62">
      <c r="BJ802" s="98"/>
    </row>
    <row r="803" spans="62:62">
      <c r="BJ803" s="98"/>
    </row>
    <row r="804" spans="62:62">
      <c r="BJ804" s="98"/>
    </row>
    <row r="805" spans="62:62">
      <c r="BJ805" s="98"/>
    </row>
    <row r="806" spans="62:62">
      <c r="BJ806" s="98"/>
    </row>
    <row r="807" spans="62:62">
      <c r="BJ807" s="98"/>
    </row>
    <row r="808" spans="62:62">
      <c r="BJ808" s="98"/>
    </row>
    <row r="809" spans="62:62">
      <c r="BJ809" s="98"/>
    </row>
    <row r="810" spans="62:62">
      <c r="BJ810" s="98"/>
    </row>
    <row r="811" spans="62:62">
      <c r="BJ811" s="98"/>
    </row>
    <row r="812" spans="62:62">
      <c r="BJ812" s="98"/>
    </row>
    <row r="813" spans="62:62">
      <c r="BJ813" s="98"/>
    </row>
    <row r="814" spans="62:62">
      <c r="BJ814" s="98"/>
    </row>
    <row r="815" spans="62:62">
      <c r="BJ815" s="98"/>
    </row>
    <row r="816" spans="62:62">
      <c r="BJ816" s="98"/>
    </row>
    <row r="817" spans="62:62">
      <c r="BJ817" s="98"/>
    </row>
    <row r="818" spans="62:62">
      <c r="BJ818" s="98"/>
    </row>
    <row r="819" spans="62:62">
      <c r="BJ819" s="98"/>
    </row>
    <row r="820" spans="62:62">
      <c r="BJ820" s="98"/>
    </row>
    <row r="821" spans="62:62">
      <c r="BJ821" s="98"/>
    </row>
    <row r="822" spans="62:62">
      <c r="BJ822" s="98"/>
    </row>
    <row r="823" spans="62:62">
      <c r="BJ823" s="98"/>
    </row>
    <row r="824" spans="62:62">
      <c r="BJ824" s="98"/>
    </row>
    <row r="825" spans="62:62">
      <c r="BJ825" s="98"/>
    </row>
    <row r="826" spans="62:62">
      <c r="BJ826" s="98"/>
    </row>
    <row r="827" spans="62:62">
      <c r="BJ827" s="98"/>
    </row>
    <row r="828" spans="62:62">
      <c r="BJ828" s="98"/>
    </row>
    <row r="829" spans="62:62">
      <c r="BJ829" s="98"/>
    </row>
    <row r="830" spans="62:62">
      <c r="BJ830" s="98"/>
    </row>
    <row r="831" spans="62:62">
      <c r="BJ831" s="98"/>
    </row>
    <row r="832" spans="62:62">
      <c r="BJ832" s="98"/>
    </row>
    <row r="833" spans="62:62">
      <c r="BJ833" s="98"/>
    </row>
    <row r="834" spans="62:62">
      <c r="BJ834" s="98"/>
    </row>
  </sheetData>
  <mergeCells count="26">
    <mergeCell ref="BB7:BD7"/>
    <mergeCell ref="BF7:BH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L32:FH32">
    <cfRule type="cellIs" dxfId="2" priority="1"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B130"/>
  <sheetViews>
    <sheetView showGridLines="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5"/>
  <cols>
    <col min="1" max="1" width="40.7109375" style="76" customWidth="1"/>
    <col min="2" max="2" width="8.42578125" style="112" customWidth="1"/>
    <col min="3" max="3" width="13.28515625" style="218" customWidth="1"/>
    <col min="4" max="4" width="17.5703125" style="218" customWidth="1"/>
    <col min="5" max="5" width="13.85546875" style="76" customWidth="1"/>
    <col min="6" max="6" width="15.7109375" style="76" customWidth="1"/>
    <col min="7" max="7" width="13.85546875" style="76" customWidth="1"/>
    <col min="8" max="8" width="15.7109375" style="76" customWidth="1"/>
    <col min="9" max="9" width="13.42578125" style="76" customWidth="1"/>
    <col min="10" max="10" width="16.42578125" style="76" customWidth="1"/>
    <col min="11" max="11" width="13.42578125" style="76" customWidth="1"/>
    <col min="12" max="12" width="15.28515625" style="76" customWidth="1"/>
    <col min="13" max="13" width="13.42578125" style="76" customWidth="1"/>
    <col min="14" max="14" width="15.28515625" style="76" customWidth="1"/>
    <col min="15" max="15" width="13.42578125" style="76" customWidth="1"/>
    <col min="16" max="16" width="15.28515625" style="76" customWidth="1"/>
    <col min="17" max="17" width="13.42578125" style="76" customWidth="1"/>
    <col min="18" max="18" width="15.85546875" style="76" customWidth="1"/>
    <col min="19" max="19" width="13.42578125" style="76" customWidth="1"/>
    <col min="20" max="20" width="15.28515625" style="76" customWidth="1"/>
    <col min="21" max="21" width="13.42578125" style="76" bestFit="1" customWidth="1"/>
    <col min="22" max="22" width="17" style="76" bestFit="1" customWidth="1"/>
    <col min="23" max="23" width="13.42578125" style="76" bestFit="1" customWidth="1"/>
    <col min="24" max="24" width="17" style="76" bestFit="1" customWidth="1"/>
    <col min="25" max="25" width="13.28515625" style="76" customWidth="1"/>
    <col min="26" max="26" width="17.5703125" style="76" bestFit="1" customWidth="1"/>
    <col min="27" max="29" width="17.5703125" style="154" customWidth="1"/>
    <col min="30" max="30" width="20.42578125" style="154" customWidth="1"/>
    <col min="31" max="42" width="17.5703125" style="268" customWidth="1"/>
    <col min="43" max="44" width="21" style="154" customWidth="1"/>
    <col min="45" max="45" width="6.140625" style="154" customWidth="1"/>
    <col min="46" max="46" width="24.85546875" style="154" customWidth="1"/>
    <col min="47" max="47" width="13.28515625" style="154" customWidth="1"/>
    <col min="48" max="48" width="19.140625" style="154" bestFit="1" customWidth="1"/>
    <col min="49" max="51" width="9.140625" style="154"/>
    <col min="52" max="52" width="12.28515625" style="154" bestFit="1" customWidth="1"/>
    <col min="53" max="54" width="10.85546875" style="154" bestFit="1" customWidth="1"/>
    <col min="55" max="16384" width="9.140625" style="76"/>
  </cols>
  <sheetData>
    <row r="1" spans="1:49" s="98" customFormat="1">
      <c r="A1" s="76"/>
      <c r="B1" s="112"/>
      <c r="C1" s="218"/>
      <c r="D1" s="218"/>
      <c r="E1" s="76"/>
      <c r="F1" s="76"/>
      <c r="G1" s="76"/>
      <c r="H1" s="76"/>
      <c r="I1" s="76"/>
      <c r="J1" s="76"/>
      <c r="K1" s="76"/>
      <c r="L1" s="76"/>
      <c r="M1" s="76"/>
      <c r="N1" s="76"/>
      <c r="O1" s="76"/>
      <c r="P1" s="76"/>
      <c r="Q1" s="76"/>
      <c r="R1" s="76"/>
      <c r="S1" s="76"/>
      <c r="T1" s="76"/>
      <c r="U1" s="76"/>
      <c r="V1" s="76"/>
      <c r="W1" s="76"/>
      <c r="X1" s="76"/>
      <c r="Y1" s="76"/>
      <c r="Z1" s="76"/>
      <c r="AA1" s="154"/>
      <c r="AB1" s="154"/>
      <c r="AC1" s="154"/>
      <c r="AD1" s="154"/>
      <c r="AE1" s="268"/>
      <c r="AF1" s="268"/>
      <c r="AG1" s="268"/>
      <c r="AH1" s="268"/>
      <c r="AI1" s="268"/>
      <c r="AJ1" s="268"/>
      <c r="AK1" s="268"/>
      <c r="AL1" s="268"/>
      <c r="AM1" s="268"/>
      <c r="AN1" s="268"/>
      <c r="AO1" s="268"/>
      <c r="AP1" s="268"/>
      <c r="AQ1" s="154"/>
      <c r="AR1" s="154"/>
    </row>
    <row r="2" spans="1:49" s="98" customFormat="1">
      <c r="A2" s="76"/>
      <c r="B2" s="112"/>
      <c r="C2" s="218"/>
      <c r="D2" s="218"/>
      <c r="E2" s="76"/>
      <c r="F2" s="76"/>
      <c r="G2" s="76"/>
      <c r="H2" s="76"/>
      <c r="I2" s="76"/>
      <c r="J2" s="76"/>
      <c r="K2" s="76"/>
      <c r="L2" s="76"/>
      <c r="M2" s="76"/>
      <c r="N2" s="76"/>
      <c r="O2" s="76"/>
      <c r="P2" s="76"/>
      <c r="Q2" s="76"/>
      <c r="R2" s="76"/>
      <c r="S2" s="76"/>
      <c r="T2" s="76"/>
      <c r="U2" s="76"/>
      <c r="V2" s="76"/>
      <c r="W2" s="76"/>
      <c r="X2" s="76"/>
      <c r="Y2" s="76"/>
      <c r="Z2" s="76"/>
      <c r="AA2" s="154"/>
      <c r="AB2" s="154"/>
      <c r="AC2" s="154"/>
      <c r="AD2" s="154"/>
      <c r="AE2" s="268"/>
      <c r="AF2" s="268"/>
      <c r="AG2" s="268"/>
      <c r="AH2" s="1573"/>
      <c r="AI2" s="1573"/>
      <c r="AJ2"/>
      <c r="AK2"/>
      <c r="AL2"/>
      <c r="AM2" s="72"/>
      <c r="AN2" s="72"/>
      <c r="AO2" s="72"/>
      <c r="AP2" s="72"/>
      <c r="AQ2" s="154"/>
      <c r="AR2" s="154"/>
    </row>
    <row r="3" spans="1:49" s="98" customFormat="1">
      <c r="A3" s="76"/>
      <c r="B3" s="112"/>
      <c r="C3" s="218"/>
      <c r="D3" s="218"/>
      <c r="E3" s="76"/>
      <c r="F3" s="76"/>
      <c r="G3" s="76"/>
      <c r="H3" s="76"/>
      <c r="I3" s="76"/>
      <c r="J3" s="76"/>
      <c r="K3" s="76"/>
      <c r="L3" s="76"/>
      <c r="M3" s="76"/>
      <c r="N3" s="76"/>
      <c r="O3" s="76"/>
      <c r="P3" s="76"/>
      <c r="Q3" s="76"/>
      <c r="R3" s="76"/>
      <c r="S3" s="76"/>
      <c r="T3" s="76"/>
      <c r="U3" s="76"/>
      <c r="V3" s="76"/>
      <c r="W3" s="76"/>
      <c r="X3" s="76"/>
      <c r="Y3" s="76"/>
      <c r="Z3" s="76"/>
      <c r="AA3" s="154"/>
      <c r="AB3" s="154"/>
      <c r="AC3" s="154"/>
      <c r="AD3" s="154"/>
      <c r="AE3" s="268"/>
      <c r="AF3" s="268"/>
      <c r="AG3" s="268"/>
      <c r="AH3" s="4"/>
      <c r="AI3" s="4"/>
      <c r="AJ3"/>
      <c r="AK3"/>
      <c r="AL3"/>
      <c r="AM3" s="72"/>
      <c r="AN3" s="72"/>
      <c r="AO3" s="72"/>
      <c r="AP3" s="72"/>
      <c r="AQ3" s="154"/>
      <c r="AR3" s="154"/>
    </row>
    <row r="4" spans="1:49" s="98" customFormat="1">
      <c r="A4" s="76"/>
      <c r="B4" s="112"/>
      <c r="C4" s="218"/>
      <c r="D4" s="218"/>
      <c r="E4" s="76"/>
      <c r="F4" s="76"/>
      <c r="G4" s="76"/>
      <c r="H4" s="76"/>
      <c r="I4" s="76"/>
      <c r="J4" s="76"/>
      <c r="K4" s="76"/>
      <c r="L4" s="76"/>
      <c r="M4" s="76"/>
      <c r="N4" s="76"/>
      <c r="O4" s="76"/>
      <c r="P4" s="76"/>
      <c r="Q4" s="76"/>
      <c r="R4" s="76"/>
      <c r="S4" s="76"/>
      <c r="T4" s="76"/>
      <c r="U4" s="154"/>
      <c r="V4" s="76"/>
      <c r="W4" s="76"/>
      <c r="X4" s="76"/>
      <c r="Y4" s="76"/>
      <c r="Z4" s="76"/>
      <c r="AA4" s="154"/>
      <c r="AB4" s="154"/>
      <c r="AC4" s="154"/>
      <c r="AD4" s="154"/>
      <c r="AE4" s="268"/>
      <c r="AF4" s="268"/>
      <c r="AG4" s="268"/>
      <c r="AH4" s="4"/>
      <c r="AI4" s="4"/>
      <c r="AJ4"/>
      <c r="AK4"/>
      <c r="AL4"/>
      <c r="AM4" s="4"/>
      <c r="AN4" s="4"/>
      <c r="AO4" s="4"/>
      <c r="AP4" s="4"/>
      <c r="AQ4" s="154"/>
      <c r="AR4" s="154"/>
    </row>
    <row r="5" spans="1:49" s="98" customFormat="1">
      <c r="A5" s="114" t="s">
        <v>422</v>
      </c>
      <c r="B5" s="115"/>
      <c r="C5" s="115"/>
      <c r="D5" s="115"/>
      <c r="U5" s="154"/>
      <c r="AE5" s="72"/>
      <c r="AF5" s="72"/>
      <c r="AG5" s="72"/>
      <c r="AH5" s="72"/>
      <c r="AI5" s="72"/>
      <c r="AJ5"/>
      <c r="AK5"/>
      <c r="AL5"/>
      <c r="AM5" s="1573"/>
      <c r="AN5" s="1573"/>
      <c r="AO5" s="1573"/>
      <c r="AP5" s="1573"/>
      <c r="AQ5" s="154"/>
      <c r="AR5" s="154"/>
    </row>
    <row r="6" spans="1:49" s="946" customFormat="1">
      <c r="B6" s="1537"/>
      <c r="C6" s="1537"/>
      <c r="D6" s="1537"/>
      <c r="AJ6"/>
      <c r="AK6"/>
      <c r="AL6"/>
      <c r="AM6" s="1669"/>
      <c r="AN6" s="1669"/>
      <c r="AO6" s="1669"/>
      <c r="AP6" s="1669"/>
      <c r="AQ6" s="911"/>
      <c r="AR6" s="911"/>
    </row>
    <row r="7" spans="1:49" s="98" customFormat="1">
      <c r="A7" s="116"/>
      <c r="B7" s="117"/>
      <c r="C7" s="1942">
        <v>2004</v>
      </c>
      <c r="D7" s="1942"/>
      <c r="E7" s="1942">
        <v>2005</v>
      </c>
      <c r="F7" s="1942"/>
      <c r="G7" s="1942">
        <v>2006</v>
      </c>
      <c r="H7" s="1942"/>
      <c r="I7" s="1942">
        <v>2007</v>
      </c>
      <c r="J7" s="1942"/>
      <c r="K7" s="1942">
        <v>2008</v>
      </c>
      <c r="L7" s="1942"/>
      <c r="M7" s="1942">
        <v>2009</v>
      </c>
      <c r="N7" s="1942"/>
      <c r="O7" s="1942">
        <v>2010</v>
      </c>
      <c r="P7" s="1942"/>
      <c r="Q7" s="1942">
        <v>2011</v>
      </c>
      <c r="R7" s="1942"/>
      <c r="S7" s="1942">
        <v>2012</v>
      </c>
      <c r="T7" s="1942"/>
      <c r="U7" s="1942">
        <v>2013</v>
      </c>
      <c r="V7" s="1942"/>
      <c r="W7" s="1942">
        <v>2014</v>
      </c>
      <c r="X7" s="1942"/>
      <c r="Y7" s="1942">
        <v>2015</v>
      </c>
      <c r="Z7" s="1942"/>
      <c r="AA7" s="1942">
        <v>2016</v>
      </c>
      <c r="AB7" s="1942"/>
      <c r="AC7" s="1942">
        <v>2017</v>
      </c>
      <c r="AD7" s="1942"/>
      <c r="AE7" s="1943">
        <v>2018</v>
      </c>
      <c r="AF7" s="1943"/>
      <c r="AG7" s="1943">
        <v>2019</v>
      </c>
      <c r="AH7" s="1943"/>
      <c r="AI7" s="1943">
        <v>2020</v>
      </c>
      <c r="AJ7" s="1943"/>
      <c r="AK7" s="1943">
        <v>2021</v>
      </c>
      <c r="AL7" s="1943"/>
      <c r="AM7" s="1943">
        <v>2022</v>
      </c>
      <c r="AN7" s="1943"/>
      <c r="AO7" s="1943">
        <v>2023</v>
      </c>
      <c r="AP7" s="1943"/>
      <c r="AQ7" s="1942" t="s">
        <v>69</v>
      </c>
      <c r="AR7" s="1942"/>
    </row>
    <row r="8" spans="1:49" s="98" customFormat="1">
      <c r="A8" s="116" t="s">
        <v>88</v>
      </c>
      <c r="B8" s="117" t="s">
        <v>89</v>
      </c>
      <c r="C8" s="663" t="str">
        <f>CONCATENATE(C7, " Quantity")</f>
        <v>2004 Quantity</v>
      </c>
      <c r="D8" s="663" t="str">
        <f>CONCATENATE(C7, " Value $")</f>
        <v>2004 Value $</v>
      </c>
      <c r="E8" s="663" t="str">
        <f t="shared" ref="E8" si="0">CONCATENATE(E7, " Quantity")</f>
        <v>2005 Quantity</v>
      </c>
      <c r="F8" s="663" t="str">
        <f t="shared" ref="F8" si="1">CONCATENATE(E7, " Value $")</f>
        <v>2005 Value $</v>
      </c>
      <c r="G8" s="663" t="str">
        <f t="shared" ref="G8" si="2">CONCATENATE(G7, " Quantity")</f>
        <v>2006 Quantity</v>
      </c>
      <c r="H8" s="663" t="str">
        <f t="shared" ref="H8" si="3">CONCATENATE(G7, " Value $")</f>
        <v>2006 Value $</v>
      </c>
      <c r="I8" s="663" t="str">
        <f t="shared" ref="I8" si="4">CONCATENATE(I7, " Quantity")</f>
        <v>2007 Quantity</v>
      </c>
      <c r="J8" s="663" t="str">
        <f t="shared" ref="J8" si="5">CONCATENATE(I7, " Value $")</f>
        <v>2007 Value $</v>
      </c>
      <c r="K8" s="663" t="str">
        <f t="shared" ref="K8" si="6">CONCATENATE(K7, " Quantity")</f>
        <v>2008 Quantity</v>
      </c>
      <c r="L8" s="663" t="str">
        <f t="shared" ref="L8" si="7">CONCATENATE(K7, " Value $")</f>
        <v>2008 Value $</v>
      </c>
      <c r="M8" s="663" t="str">
        <f t="shared" ref="M8" si="8">CONCATENATE(M7, " Quantity")</f>
        <v>2009 Quantity</v>
      </c>
      <c r="N8" s="663" t="str">
        <f t="shared" ref="N8" si="9">CONCATENATE(M7, " Value $")</f>
        <v>2009 Value $</v>
      </c>
      <c r="O8" s="663" t="str">
        <f t="shared" ref="O8" si="10">CONCATENATE(O7, " Quantity")</f>
        <v>2010 Quantity</v>
      </c>
      <c r="P8" s="663" t="str">
        <f t="shared" ref="P8" si="11">CONCATENATE(O7, " Value $")</f>
        <v>2010 Value $</v>
      </c>
      <c r="Q8" s="663" t="str">
        <f t="shared" ref="Q8" si="12">CONCATENATE(Q7, " Quantity")</f>
        <v>2011 Quantity</v>
      </c>
      <c r="R8" s="663" t="str">
        <f t="shared" ref="R8" si="13">CONCATENATE(Q7, " Value $")</f>
        <v>2011 Value $</v>
      </c>
      <c r="S8" s="663" t="str">
        <f t="shared" ref="S8" si="14">CONCATENATE(S7, " Quantity")</f>
        <v>2012 Quantity</v>
      </c>
      <c r="T8" s="663" t="str">
        <f t="shared" ref="T8" si="15">CONCATENATE(S7, " Value $")</f>
        <v>2012 Value $</v>
      </c>
      <c r="U8" s="663" t="str">
        <f t="shared" ref="U8" si="16">CONCATENATE(U7, " Quantity")</f>
        <v>2013 Quantity</v>
      </c>
      <c r="V8" s="663" t="str">
        <f t="shared" ref="V8" si="17">CONCATENATE(U7, " Value $")</f>
        <v>2013 Value $</v>
      </c>
      <c r="W8" s="663" t="str">
        <f t="shared" ref="W8" si="18">CONCATENATE(W7, " Quantity")</f>
        <v>2014 Quantity</v>
      </c>
      <c r="X8" s="663" t="str">
        <f t="shared" ref="X8" si="19">CONCATENATE(W7, " Value $")</f>
        <v>2014 Value $</v>
      </c>
      <c r="Y8" s="663" t="str">
        <f t="shared" ref="Y8" si="20">CONCATENATE(Y7, " Quantity")</f>
        <v>2015 Quantity</v>
      </c>
      <c r="Z8" s="663" t="str">
        <f t="shared" ref="Z8" si="21">CONCATENATE(Y7, " Value $")</f>
        <v>2015 Value $</v>
      </c>
      <c r="AA8" s="663" t="str">
        <f t="shared" ref="AA8" si="22">CONCATENATE(AA7, " Quantity")</f>
        <v>2016 Quantity</v>
      </c>
      <c r="AB8" s="663" t="str">
        <f t="shared" ref="AB8" si="23">CONCATENATE(AA7, " Value $")</f>
        <v>2016 Value $</v>
      </c>
      <c r="AC8" s="663" t="str">
        <f t="shared" ref="AC8" si="24">CONCATENATE(AC7, " Quantity")</f>
        <v>2017 Quantity</v>
      </c>
      <c r="AD8" s="663" t="str">
        <f t="shared" ref="AD8" si="25">CONCATENATE(AC7, " Value $")</f>
        <v>2017 Value $</v>
      </c>
      <c r="AE8" s="1574" t="str">
        <f t="shared" ref="AE8" si="26">CONCATENATE(AE7, " Quantity")</f>
        <v>2018 Quantity</v>
      </c>
      <c r="AF8" s="1574" t="str">
        <f t="shared" ref="AF8" si="27">CONCATENATE(AE7, " Value $")</f>
        <v>2018 Value $</v>
      </c>
      <c r="AG8" s="1574" t="str">
        <f t="shared" ref="AG8:AM8" si="28">CONCATENATE(AG7, " Quantity")</f>
        <v>2019 Quantity</v>
      </c>
      <c r="AH8" s="1574" t="str">
        <f t="shared" ref="AH8:AJ8" si="29">CONCATENATE(AG7, " Value $")</f>
        <v>2019 Value $</v>
      </c>
      <c r="AI8" s="1574" t="str">
        <f t="shared" si="28"/>
        <v>2020 Quantity</v>
      </c>
      <c r="AJ8" s="1574" t="str">
        <f t="shared" si="29"/>
        <v>2020 Value $</v>
      </c>
      <c r="AK8" s="1574" t="str">
        <f t="shared" si="28"/>
        <v>2021 Quantity</v>
      </c>
      <c r="AL8" s="1574" t="str">
        <f t="shared" ref="AL8" si="30">CONCATENATE(AK7, " Value $")</f>
        <v>2021 Value $</v>
      </c>
      <c r="AM8" s="1668" t="str">
        <f t="shared" si="28"/>
        <v>2022 Quantity</v>
      </c>
      <c r="AN8" s="1668" t="str">
        <f t="shared" ref="AN8" si="31">CONCATENATE(AM7, " Value $")</f>
        <v>2022 Value $</v>
      </c>
      <c r="AO8" s="1742" t="str">
        <f>CONCATENATE(AO7, " Quantity")</f>
        <v>2023 Quantity</v>
      </c>
      <c r="AP8" s="1742" t="str">
        <f t="shared" ref="AP8" si="32">CONCATENATE(AO7, " Value $")</f>
        <v>2023 Value $</v>
      </c>
      <c r="AQ8" s="1741" t="s">
        <v>417</v>
      </c>
      <c r="AR8" s="1741" t="s">
        <v>416</v>
      </c>
    </row>
    <row r="9" spans="1:49" s="98" customFormat="1" ht="15" hidden="1" customHeight="1">
      <c r="A9" s="116"/>
      <c r="B9" s="117"/>
      <c r="C9" s="671">
        <f>IF(RIGHT(C8,8)="Quantity",1,0)</f>
        <v>1</v>
      </c>
      <c r="D9" s="671">
        <f t="shared" ref="D9:AE9" si="33">IF(RIGHT(D8,8)="Quantity",1,0)</f>
        <v>0</v>
      </c>
      <c r="E9" s="671">
        <f t="shared" si="33"/>
        <v>1</v>
      </c>
      <c r="F9" s="671">
        <f t="shared" si="33"/>
        <v>0</v>
      </c>
      <c r="G9" s="671">
        <f t="shared" si="33"/>
        <v>1</v>
      </c>
      <c r="H9" s="671">
        <f t="shared" si="33"/>
        <v>0</v>
      </c>
      <c r="I9" s="671">
        <f t="shared" si="33"/>
        <v>1</v>
      </c>
      <c r="J9" s="671">
        <f t="shared" si="33"/>
        <v>0</v>
      </c>
      <c r="K9" s="671">
        <f t="shared" si="33"/>
        <v>1</v>
      </c>
      <c r="L9" s="671">
        <f t="shared" si="33"/>
        <v>0</v>
      </c>
      <c r="M9" s="671">
        <f t="shared" si="33"/>
        <v>1</v>
      </c>
      <c r="N9" s="671">
        <f t="shared" si="33"/>
        <v>0</v>
      </c>
      <c r="O9" s="671">
        <f t="shared" si="33"/>
        <v>1</v>
      </c>
      <c r="P9" s="671">
        <f t="shared" si="33"/>
        <v>0</v>
      </c>
      <c r="Q9" s="671">
        <f t="shared" si="33"/>
        <v>1</v>
      </c>
      <c r="R9" s="671">
        <f t="shared" si="33"/>
        <v>0</v>
      </c>
      <c r="S9" s="671">
        <f t="shared" si="33"/>
        <v>1</v>
      </c>
      <c r="T9" s="671">
        <f t="shared" si="33"/>
        <v>0</v>
      </c>
      <c r="U9" s="671">
        <f t="shared" si="33"/>
        <v>1</v>
      </c>
      <c r="V9" s="671">
        <f t="shared" si="33"/>
        <v>0</v>
      </c>
      <c r="W9" s="671">
        <f t="shared" si="33"/>
        <v>1</v>
      </c>
      <c r="X9" s="671">
        <f t="shared" si="33"/>
        <v>0</v>
      </c>
      <c r="Y9" s="671">
        <f t="shared" si="33"/>
        <v>1</v>
      </c>
      <c r="Z9" s="671">
        <f t="shared" si="33"/>
        <v>0</v>
      </c>
      <c r="AA9" s="671">
        <f t="shared" si="33"/>
        <v>1</v>
      </c>
      <c r="AB9" s="671">
        <f t="shared" si="33"/>
        <v>0</v>
      </c>
      <c r="AC9" s="671">
        <f t="shared" si="33"/>
        <v>1</v>
      </c>
      <c r="AD9" s="671">
        <f>IF(RIGHT(AD8,8)="Quantity",1,0)</f>
        <v>0</v>
      </c>
      <c r="AE9" s="1575">
        <f t="shared" si="33"/>
        <v>1</v>
      </c>
      <c r="AF9" s="1575">
        <f>IF(RIGHT(AF8,8)="Quantity",1,0)</f>
        <v>0</v>
      </c>
      <c r="AG9" s="1575">
        <f t="shared" ref="AG9:AM9" si="34">IF(RIGHT(AG8,8)="Quantity",1,0)</f>
        <v>1</v>
      </c>
      <c r="AH9" s="1575">
        <f>IF(RIGHT(AH8,8)="Quantity",1,0)</f>
        <v>0</v>
      </c>
      <c r="AI9" s="1575">
        <f t="shared" si="34"/>
        <v>1</v>
      </c>
      <c r="AJ9" s="1575">
        <f>IF(RIGHT(AJ8,8)="Quantity",1,0)</f>
        <v>0</v>
      </c>
      <c r="AK9" s="1575">
        <f t="shared" si="34"/>
        <v>1</v>
      </c>
      <c r="AL9" s="1575">
        <f>IF(RIGHT(AL8,8)="Quantity",1,0)</f>
        <v>0</v>
      </c>
      <c r="AM9" s="1575">
        <f t="shared" si="34"/>
        <v>1</v>
      </c>
      <c r="AN9" s="1575">
        <f>IF(RIGHT(AN8,8)="Quantity",1,0)</f>
        <v>0</v>
      </c>
      <c r="AO9" s="1575"/>
      <c r="AP9" s="1575"/>
      <c r="AQ9" s="168"/>
      <c r="AR9" s="168"/>
    </row>
    <row r="10" spans="1:49" s="946" customFormat="1">
      <c r="A10" s="1670"/>
      <c r="B10" s="1670"/>
      <c r="C10" s="1671"/>
      <c r="D10" s="1671"/>
      <c r="E10" s="1671"/>
      <c r="F10" s="1671"/>
      <c r="G10" s="1671"/>
      <c r="H10" s="1671"/>
      <c r="I10" s="1671"/>
      <c r="J10" s="1671"/>
      <c r="K10" s="1671"/>
      <c r="L10" s="1671"/>
      <c r="M10" s="1671"/>
      <c r="N10" s="1671"/>
      <c r="O10" s="1671"/>
      <c r="P10" s="1671"/>
      <c r="Q10" s="1671"/>
      <c r="R10" s="1671"/>
      <c r="S10" s="1671"/>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1671"/>
      <c r="AO10" s="1671"/>
      <c r="AP10" s="1671"/>
      <c r="AQ10" s="1671"/>
      <c r="AR10" s="1671"/>
      <c r="AS10" s="1672"/>
      <c r="AT10" s="1673"/>
      <c r="AU10" s="1673"/>
      <c r="AV10" s="1673"/>
      <c r="AW10" s="1673"/>
    </row>
    <row r="11" spans="1:49" s="98" customFormat="1">
      <c r="A11" s="118" t="s">
        <v>287</v>
      </c>
      <c r="B11" s="120"/>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1576"/>
      <c r="AF11" s="1576"/>
      <c r="AG11" s="1576"/>
      <c r="AH11" s="1576"/>
      <c r="AI11" s="1576"/>
      <c r="AJ11" s="1576"/>
      <c r="AK11" s="1576"/>
      <c r="AL11" s="1576"/>
      <c r="AM11" s="1576"/>
      <c r="AN11" s="1576"/>
      <c r="AO11" s="1576"/>
      <c r="AP11" s="1576"/>
      <c r="AQ11" s="676"/>
      <c r="AR11" s="676"/>
      <c r="AS11" s="159"/>
      <c r="AT11" s="711"/>
      <c r="AU11" s="113"/>
      <c r="AV11" s="113"/>
      <c r="AW11" s="113"/>
    </row>
    <row r="12" spans="1:49" s="98" customFormat="1">
      <c r="A12" s="140" t="s">
        <v>0</v>
      </c>
      <c r="B12" s="120" t="s">
        <v>67</v>
      </c>
      <c r="C12" s="197">
        <f>SUMIF('Alumina and Bauxite - Q&amp;V'!$H8:$H250,'Q&amp;V CY 2004 to Now'!C7,'Alumina and Bauxite - Q&amp;V'!$B8:$B250)*1000000</f>
        <v>10988386</v>
      </c>
      <c r="D12" s="197">
        <f>SUMIF('Alumina and Bauxite - Q&amp;V'!$H8:$H250,'Q&amp;V CY 2004 to Now'!C7,'Alumina and Bauxite - Q&amp;V'!$C8:$C250)*1000000</f>
        <v>3178952432.7800002</v>
      </c>
      <c r="E12" s="197">
        <f>SUMIF('Alumina and Bauxite - Q&amp;V'!$H8:$H250,'Q&amp;V CY 2004 to Now'!E7,'Alumina and Bauxite - Q&amp;V'!$B8:$B250)*1000000</f>
        <v>11352183</v>
      </c>
      <c r="F12" s="197">
        <f>SUMIF('Alumina and Bauxite - Q&amp;V'!$H8:$H250,'Q&amp;V CY 2004 to Now'!E7,'Alumina and Bauxite - Q&amp;V'!$C8:$C250)*1000000</f>
        <v>3594857487.9999995</v>
      </c>
      <c r="G12" s="197">
        <f>SUMIF('Alumina and Bauxite - Q&amp;V'!$H8:$H250,'Q&amp;V CY 2004 to Now'!G7,'Alumina and Bauxite - Q&amp;V'!$B8:$B250)*1000000</f>
        <v>11821747.75</v>
      </c>
      <c r="H12" s="197">
        <f>SUMIF('Alumina and Bauxite - Q&amp;V'!$H8:$H250,'Q&amp;V CY 2004 to Now'!G7,'Alumina and Bauxite - Q&amp;V'!$C8:$C250)*1000000</f>
        <v>4921721511.4200001</v>
      </c>
      <c r="I12" s="197">
        <f>SUMIF('Alumina and Bauxite - Q&amp;V'!$H8:$H250,'Q&amp;V CY 2004 to Now'!I7,'Alumina and Bauxite - Q&amp;V'!$B8:$B250)*1000000</f>
        <v>12193625.759000001</v>
      </c>
      <c r="J12" s="197">
        <f>SUMIF('Alumina and Bauxite - Q&amp;V'!$H8:$H250,'Q&amp;V CY 2004 to Now'!I7,'Alumina and Bauxite - Q&amp;V'!$C8:$C250)*1000000</f>
        <v>5048349872.8499994</v>
      </c>
      <c r="K12" s="197">
        <f>SUMIF('Alumina and Bauxite - Q&amp;V'!$H8:$H250,'Q&amp;V CY 2004 to Now'!K7,'Alumina and Bauxite - Q&amp;V'!$B8:$B250)*1000000</f>
        <v>12245763.095999999</v>
      </c>
      <c r="L12" s="197">
        <f>SUMIF('Alumina and Bauxite - Q&amp;V'!$H8:$H250,'Q&amp;V CY 2004 to Now'!K7,'Alumina and Bauxite - Q&amp;V'!$C8:$C250)*1000000</f>
        <v>4759510952.3999996</v>
      </c>
      <c r="M12" s="197">
        <f>SUMIF('Alumina and Bauxite - Q&amp;V'!$H8:$H250,'Q&amp;V CY 2004 to Now'!M7,'Alumina and Bauxite - Q&amp;V'!$B8:$B250)*1000000</f>
        <v>12421970</v>
      </c>
      <c r="N12" s="197">
        <f>SUMIF('Alumina and Bauxite - Q&amp;V'!$H8:$H250,'Q&amp;V CY 2004 to Now'!M7,'Alumina and Bauxite - Q&amp;V'!$C8:$C250)*1000000</f>
        <v>3800773509.1799998</v>
      </c>
      <c r="O12" s="197">
        <f>SUMIF('Alumina and Bauxite - Q&amp;V'!$H8:$H250,'Q&amp;V CY 2004 to Now'!O7,'Alumina and Bauxite - Q&amp;V'!$B8:$B250)*1000000</f>
        <v>12563285</v>
      </c>
      <c r="P12" s="197">
        <f>SUMIF('Alumina and Bauxite - Q&amp;V'!$H8:$H250,'Q&amp;V CY 2004 to Now'!O7,'Alumina and Bauxite - Q&amp;V'!$C8:$C250)*1000000</f>
        <v>3959414750.8300004</v>
      </c>
      <c r="Q12" s="197">
        <f>SUMIF('Alumina and Bauxite - Q&amp;V'!$H8:$H250,'Q&amp;V CY 2004 to Now'!Q7,'Alumina and Bauxite - Q&amp;V'!$B8:$B250)*1000000</f>
        <v>12291484</v>
      </c>
      <c r="R12" s="197">
        <f>SUMIF('Alumina and Bauxite - Q&amp;V'!$H8:$H250,'Q&amp;V CY 2004 to Now'!Q7,'Alumina and Bauxite - Q&amp;V'!$C8:$C250)*1000000</f>
        <v>4189465678.9399996</v>
      </c>
      <c r="S12" s="197">
        <f>SUMIF('Alumina and Bauxite - Q&amp;V'!$H8:$H250,'Q&amp;V CY 2004 to Now'!S7,'Alumina and Bauxite - Q&amp;V'!$B8:$B250)*1000000</f>
        <v>12811549.390000001</v>
      </c>
      <c r="T12" s="197">
        <f>SUMIF('Alumina and Bauxite - Q&amp;V'!$H8:$H250,'Q&amp;V CY 2004 to Now'!S7,'Alumina and Bauxite - Q&amp;V'!$C8:$C250)*1000000</f>
        <v>3831147472.8899999</v>
      </c>
      <c r="U12" s="197">
        <f>SUMIF('Alumina and Bauxite - Q&amp;V'!$H8:$H250,'Q&amp;V CY 2004 to Now'!U7,'Alumina and Bauxite - Q&amp;V'!$B8:$B250)*1000000</f>
        <v>13625703.529999999</v>
      </c>
      <c r="V12" s="197">
        <f>SUMIF('Alumina and Bauxite - Q&amp;V'!$H8:$H250,'Q&amp;V CY 2004 to Now'!U7,'Alumina and Bauxite - Q&amp;V'!$C8:$C250)*1000000</f>
        <v>4147050892.9999995</v>
      </c>
      <c r="W12" s="197">
        <f>SUMIF('Alumina and Bauxite - Q&amp;V'!$H8:$H250,'Q&amp;V CY 2004 to Now'!W7,'Alumina and Bauxite - Q&amp;V'!$B8:$B250)*1000000</f>
        <v>13876846.26</v>
      </c>
      <c r="X12" s="197">
        <f>SUMIF('Alumina and Bauxite - Q&amp;V'!$H8:$H250,'Q&amp;V CY 2004 to Now'!W7,'Alumina and Bauxite - Q&amp;V'!$C8:$C250)*1000000</f>
        <v>4561739159</v>
      </c>
      <c r="Y12" s="197">
        <v>13778494</v>
      </c>
      <c r="Z12" s="197">
        <v>5290382612</v>
      </c>
      <c r="AA12" s="197">
        <f>SUMIF('Alumina and Bauxite - Q&amp;V'!$H8:$H250,'Q&amp;V CY 2004 to Now'!AA7,'Alumina and Bauxite - Q&amp;V'!$B8:$B250)*1000000</f>
        <v>13829773.889999999</v>
      </c>
      <c r="AB12" s="709">
        <f>SUMIF('Alumina and Bauxite - Q&amp;V'!$H8:$H250,'Q&amp;V CY 2004 to Now'!AA7,'Alumina and Bauxite - Q&amp;V'!$C8:$C250)*1000000</f>
        <v>4580248644</v>
      </c>
      <c r="AC12" s="709">
        <f>SUMIF('Alumina and Bauxite - Q&amp;V'!$H8:$H250,'Q&amp;V CY 2004 to Now'!AC7,'Alumina and Bauxite - Q&amp;V'!$B8:$B250)*1000000</f>
        <v>13847004.060000001</v>
      </c>
      <c r="AD12" s="709">
        <f>SUMIF('Alumina and Bauxite - Q&amp;V'!$H8:$H250,'Q&amp;V CY 2004 to Now'!AC7,'Alumina and Bauxite - Q&amp;V'!$C8:$C250)*1000000</f>
        <v>5839516020</v>
      </c>
      <c r="AE12" s="1577">
        <f>SUMIF('Alumina and Bauxite - Q&amp;V'!$H8:$H250,'Q&amp;V CY 2004 to Now'!AE7,'Alumina and Bauxite - Q&amp;V'!$B8:$B250)*1000000</f>
        <v>13498431.119999999</v>
      </c>
      <c r="AF12" s="1577">
        <f>SUMIF('Alumina and Bauxite - Q&amp;V'!$H8:$H250,'Q&amp;V CY 2004 to Now'!AE7,'Alumina and Bauxite - Q&amp;V'!$C8:$C250)*1000000</f>
        <v>7868937610.999999</v>
      </c>
      <c r="AG12" s="1577">
        <f>SUMIF('Alumina and Bauxite - Q&amp;V'!$H8:$H250,'Q&amp;V CY 2004 to Now'!AG7,'Alumina and Bauxite - Q&amp;V'!$B8:$B250)*1000000</f>
        <v>14019717.422999999</v>
      </c>
      <c r="AH12" s="1577">
        <f>SUMIF('Alumina and Bauxite - Q&amp;V'!$H8:$H250,'Q&amp;V CY 2004 to Now'!AG7,'Alumina and Bauxite - Q&amp;V'!$C8:$C250)*1000000</f>
        <v>7291304693</v>
      </c>
      <c r="AI12" s="1577">
        <f>SUMIF('Alumina and Bauxite - Q&amp;V'!$H8:$H250,'Q&amp;V CY 2004 to Now'!AI7,'Alumina and Bauxite - Q&amp;V'!$B8:$B250)*1000000</f>
        <v>14242609.689999998</v>
      </c>
      <c r="AJ12" s="1577">
        <f>SUMIF('Alumina and Bauxite - Q&amp;V'!$H8:$H250,'Q&amp;V CY 2004 to Now'!AI7,'Alumina and Bauxite - Q&amp;V'!$C8:$C250)*1000000</f>
        <v>5788299191.999999</v>
      </c>
      <c r="AK12" s="1577">
        <f>SUMIF('Alumina and Bauxite - Q&amp;V'!$H8:$H250,'Q&amp;V CY 2004 to Now'!AK7,'Alumina and Bauxite - Q&amp;V'!$B8:$B250)*1000000</f>
        <v>14193521.710000001</v>
      </c>
      <c r="AL12" s="1577">
        <f>SUMIF('Alumina and Bauxite - Q&amp;V'!$H8:$H250,'Q&amp;V CY 2004 to Now'!AK7,'Alumina and Bauxite - Q&amp;V'!$C8:$C250)*1000000</f>
        <v>5890745194</v>
      </c>
      <c r="AM12" s="1577">
        <f>SUMIF('Alumina and Bauxite - Q&amp;V'!$H8:$H250,'Q&amp;V CY 2004 to Now'!AM7,'Alumina and Bauxite - Q&amp;V'!$B8:$B250)*1000000</f>
        <v>13462240.954</v>
      </c>
      <c r="AN12" s="1577">
        <f>SUMIF('Alumina and Bauxite - Q&amp;V'!$H8:$H250,'Q&amp;V CY 2004 to Now'!AM7,'Alumina and Bauxite - Q&amp;V'!$C8:$C250)*1000000</f>
        <v>6860912206.999999</v>
      </c>
      <c r="AO12" s="1577">
        <f>SUMIF('Alumina and Bauxite - Q&amp;V'!$H8:$H250,'Q&amp;V CY 2004 to Now'!AO7,'Alumina and Bauxite - Q&amp;V'!$B8:$B250)*1000000</f>
        <v>12762861.729999999</v>
      </c>
      <c r="AP12" s="1577">
        <f>SUMIF('Alumina and Bauxite - Q&amp;V'!$H8:$H250,'Q&amp;V CY 2004 to Now'!AO7,'Alumina and Bauxite - Q&amp;V'!$C8:$C250)*1000000</f>
        <v>6581464855</v>
      </c>
      <c r="AQ12" s="197">
        <f ca="1">SUMIF($C$9:AP$10,1,$C12:AP12)</f>
        <v>247064336.632</v>
      </c>
      <c r="AR12" s="197">
        <f ca="1">SUMIF($C$9:AP$10,0,$C12:AP12)</f>
        <v>95403329894.289993</v>
      </c>
      <c r="AS12" s="159"/>
      <c r="AT12" s="900"/>
      <c r="AU12" s="113"/>
      <c r="AV12" s="113"/>
      <c r="AW12" s="113"/>
    </row>
    <row r="13" spans="1:49" s="98" customFormat="1">
      <c r="A13" s="140" t="s">
        <v>352</v>
      </c>
      <c r="B13" s="120" t="s">
        <v>67</v>
      </c>
      <c r="C13" s="197">
        <f>SUMIF('Alumina and Bauxite - Q&amp;V'!$H8:$H250,'Q&amp;V CY 2004 to Now'!C7,'Alumina and Bauxite - Q&amp;V'!$D8:$D250)*1000000</f>
        <v>0</v>
      </c>
      <c r="D13" s="197">
        <f>SUMIF('Alumina and Bauxite - Q&amp;V'!$H8:$H250,'Q&amp;V CY 2004 to Now'!C7,'Alumina and Bauxite - Q&amp;V'!$E8:$E250)*1000000</f>
        <v>0</v>
      </c>
      <c r="E13" s="197">
        <f>SUMIF('Alumina and Bauxite - Q&amp;V'!$H8:$H250,'Q&amp;V CY 2004 to Now'!E7,'Alumina and Bauxite - Q&amp;V'!$D8:$D250)*1000000</f>
        <v>0</v>
      </c>
      <c r="F13" s="197">
        <f>SUMIF('Alumina and Bauxite - Q&amp;V'!$H8:$H250,'Q&amp;V CY 2004 to Now'!E7,'Alumina and Bauxite - Q&amp;V'!$E8:$E250)*1000000</f>
        <v>0</v>
      </c>
      <c r="G13" s="197">
        <f>SUMIF('Alumina and Bauxite - Q&amp;V'!$H8:$H250,'Q&amp;V CY 2004 to Now'!G7,'Alumina and Bauxite - Q&amp;V'!$D8:$D250)*1000000</f>
        <v>0</v>
      </c>
      <c r="H13" s="197">
        <f>SUMIF('Alumina and Bauxite - Q&amp;V'!$H8:$H250,'Q&amp;V CY 2004 to Now'!G7,'Alumina and Bauxite - Q&amp;V'!$E8:$E250)*1000000</f>
        <v>0</v>
      </c>
      <c r="I13" s="197">
        <f>SUMIF('Alumina and Bauxite - Q&amp;V'!$H8:$H250,'Q&amp;V CY 2004 to Now'!I7,'Alumina and Bauxite - Q&amp;V'!$D8:$D250)*1000000</f>
        <v>0</v>
      </c>
      <c r="J13" s="197">
        <f>SUMIF('Alumina and Bauxite - Q&amp;V'!$H8:$H250,'Q&amp;V CY 2004 to Now'!I7,'Alumina and Bauxite - Q&amp;V'!$E8:$E250)*1000000</f>
        <v>0</v>
      </c>
      <c r="K13" s="197">
        <f>SUMIF('Alumina and Bauxite - Q&amp;V'!$H8:$H250,'Q&amp;V CY 2004 to Now'!K7,'Alumina and Bauxite - Q&amp;V'!$D8:$D250)*1000000</f>
        <v>0</v>
      </c>
      <c r="L13" s="197">
        <f>SUMIF('Alumina and Bauxite - Q&amp;V'!$H8:$H250,'Q&amp;V CY 2004 to Now'!K7,'Alumina and Bauxite - Q&amp;V'!$E8:$E250)*1000000</f>
        <v>0</v>
      </c>
      <c r="M13" s="197">
        <f>SUMIF('Alumina and Bauxite - Q&amp;V'!$H8:$H250,'Q&amp;V CY 2004 to Now'!M7,'Alumina and Bauxite - Q&amp;V'!$D8:$D250)*1000000</f>
        <v>0</v>
      </c>
      <c r="N13" s="197">
        <f>SUMIF('Alumina and Bauxite - Q&amp;V'!$H8:$H250,'Q&amp;V CY 2004 to Now'!M7,'Alumina and Bauxite - Q&amp;V'!$E8:$E250)*1000000</f>
        <v>0</v>
      </c>
      <c r="O13" s="197">
        <f>SUMIF('Alumina and Bauxite - Q&amp;V'!$H8:$H250,'Q&amp;V CY 2004 to Now'!O7,'Alumina and Bauxite - Q&amp;V'!$D8:$D250)*1000000</f>
        <v>0</v>
      </c>
      <c r="P13" s="197">
        <f>SUMIF('Alumina and Bauxite - Q&amp;V'!$H8:$H250,'Q&amp;V CY 2004 to Now'!O7,'Alumina and Bauxite - Q&amp;V'!$E8:$E250)*1000000</f>
        <v>0</v>
      </c>
      <c r="Q13" s="197">
        <f>SUMIF('Alumina and Bauxite - Q&amp;V'!$H8:$H250,'Q&amp;V CY 2004 to Now'!Q7,'Alumina and Bauxite - Q&amp;V'!$D8:$D250)*1000000</f>
        <v>0</v>
      </c>
      <c r="R13" s="197">
        <f>SUMIF('Alumina and Bauxite - Q&amp;V'!$H8:$H250,'Q&amp;V CY 2004 to Now'!Q7,'Alumina and Bauxite - Q&amp;V'!$E8:$E250)*1000000</f>
        <v>0</v>
      </c>
      <c r="S13" s="197">
        <f>SUMIF('Alumina and Bauxite - Q&amp;V'!$H8:$H250,'Q&amp;V CY 2004 to Now'!S7,'Alumina and Bauxite - Q&amp;V'!$D8:$D250)*1000000</f>
        <v>0</v>
      </c>
      <c r="T13" s="197">
        <f>SUMIF('Alumina and Bauxite - Q&amp;V'!$H8:$H250,'Q&amp;V CY 2004 to Now'!S7,'Alumina and Bauxite - Q&amp;V'!$E8:$E250)*1000000</f>
        <v>0</v>
      </c>
      <c r="U13" s="197">
        <f>SUMIF('Alumina and Bauxite - Q&amp;V'!$H8:$H250,'Q&amp;V CY 2004 to Now'!U7,'Alumina and Bauxite - Q&amp;V'!$D8:$D250)*1000000</f>
        <v>0</v>
      </c>
      <c r="V13" s="197">
        <f>SUMIF('Alumina and Bauxite - Q&amp;V'!$H8:$H250,'Q&amp;V CY 2004 to Now'!U7,'Alumina and Bauxite - Q&amp;V'!$E8:$E250)*1000000</f>
        <v>0</v>
      </c>
      <c r="W13" s="197">
        <f>SUMIF('Alumina and Bauxite - Q&amp;V'!$H8:$H250,'Q&amp;V CY 2004 to Now'!W7,'Alumina and Bauxite - Q&amp;V'!$D8:$D250)*1000000</f>
        <v>0</v>
      </c>
      <c r="X13" s="197">
        <f>SUMIF('Alumina and Bauxite - Q&amp;V'!$H8:$H250,'Q&amp;V CY 2004 to Now'!W7,'Alumina and Bauxite - Q&amp;V'!$E8:$E250)*1000000</f>
        <v>0</v>
      </c>
      <c r="Y13" s="197">
        <f>SUMIF('Alumina and Bauxite - Q&amp;V'!$H8:$H250,'Q&amp;V CY 2004 to Now'!Y7,'Alumina and Bauxite - Q&amp;V'!$D8:$D250)*1000000</f>
        <v>0</v>
      </c>
      <c r="Z13" s="197">
        <f>SUMIF('Alumina and Bauxite - Q&amp;V'!$H8:$H250,'Q&amp;V CY 2004 to Now'!Y7,'Alumina and Bauxite - Q&amp;V'!$E8:$E250)*1000000</f>
        <v>0</v>
      </c>
      <c r="AA13" s="197">
        <f>SUMIF('Alumina and Bauxite - Q&amp;V'!$H8:$H250,'Q&amp;V CY 2004 to Now'!AA7,'Alumina and Bauxite - Q&amp;V'!$D8:$D250)*1000000</f>
        <v>92315</v>
      </c>
      <c r="AB13" s="197">
        <f>SUMIF('Alumina and Bauxite - Q&amp;V'!$H8:$H250,'Q&amp;V CY 2004 to Now'!AA7,'Alumina and Bauxite - Q&amp;V'!$E8:$E250)*1000000</f>
        <v>3947034.9999999995</v>
      </c>
      <c r="AC13" s="197">
        <f>SUMIF('Alumina and Bauxite - Q&amp;V'!$H8:$H250,'Q&amp;V CY 2004 to Now'!AC7,'Alumina and Bauxite - Q&amp;V'!$D8:$D250)*1000000</f>
        <v>824002.3899999999</v>
      </c>
      <c r="AD13" s="197">
        <f>SUMIF('Alumina and Bauxite - Q&amp;V'!$H8:$H250,'Q&amp;V CY 2004 to Now'!AC7,'Alumina and Bauxite - Q&amp;V'!$E8:$E250)*1000000</f>
        <v>38833832</v>
      </c>
      <c r="AE13" s="1578">
        <f>SUMIF('Alumina and Bauxite - Q&amp;V'!$H8:$H250,'Q&amp;V CY 2004 to Now'!AE7,'Alumina and Bauxite - Q&amp;V'!$D8:$D250)*1000000</f>
        <v>1480962.6799999997</v>
      </c>
      <c r="AF13" s="1579">
        <f>SUMIF('Alumina and Bauxite - Q&amp;V'!$H8:$H250,'Q&amp;V CY 2004 to Now'!AE7,'Alumina and Bauxite - Q&amp;V'!$E8:$E250)*1000000</f>
        <v>55917261.999999993</v>
      </c>
      <c r="AG13" s="1578">
        <f>SUMIF('Alumina and Bauxite - Q&amp;V'!$H8:$H250,'Q&amp;V CY 2004 to Now'!AG7,'Alumina and Bauxite - Q&amp;V'!$D8:$D250)*1000000</f>
        <v>1866166.03</v>
      </c>
      <c r="AH13" s="1578">
        <f>SUMIF('Alumina and Bauxite - Q&amp;V'!$H8:$H250,'Q&amp;V CY 2004 to Now'!AG7,'Alumina and Bauxite - Q&amp;V'!$E8:$E250)*1000000</f>
        <v>69905999.000000015</v>
      </c>
      <c r="AI13" s="1578">
        <f>SUMIF('Alumina and Bauxite - Q&amp;V'!$H8:$H250,'Q&amp;V CY 2004 to Now'!AI7,'Alumina and Bauxite - Q&amp;V'!$D8:$D250)*1000000</f>
        <v>1955861.3</v>
      </c>
      <c r="AJ13" s="1578">
        <f>SUMIF('Alumina and Bauxite - Q&amp;V'!$H8:$H250,'Q&amp;V CY 2004 to Now'!AI7,'Alumina and Bauxite - Q&amp;V'!$E8:$E250)*1000000</f>
        <v>67441130</v>
      </c>
      <c r="AK13" s="1578">
        <f>SUMIF('Alumina and Bauxite - Q&amp;V'!$H8:$H250,'Q&amp;V CY 2004 to Now'!AK7,'Alumina and Bauxite - Q&amp;V'!$D8:$D250)*1000000</f>
        <v>1071050.49</v>
      </c>
      <c r="AL13" s="1578">
        <f>SUMIF('Alumina and Bauxite - Q&amp;V'!$H8:$H250,'Q&amp;V CY 2004 to Now'!AK7,'Alumina and Bauxite - Q&amp;V'!$E8:$E250)*1000000</f>
        <v>33914753</v>
      </c>
      <c r="AM13" s="1578">
        <f>SUMIF('Alumina and Bauxite - Q&amp;V'!$H8:$H250,'Q&amp;V CY 2004 to Now'!AM7,'Alumina and Bauxite - Q&amp;V'!$D8:$D250)*1000000</f>
        <v>0</v>
      </c>
      <c r="AN13" s="1578">
        <f>SUMIF('Alumina and Bauxite - Q&amp;V'!$H8:$H250,'Q&amp;V CY 2004 to Now'!AM7,'Alumina and Bauxite - Q&amp;V'!$E8:$E250)*1000000</f>
        <v>0</v>
      </c>
      <c r="AO13" s="1578">
        <f>SUMIF('Alumina and Bauxite - Q&amp;V'!$H8:$H250,'Q&amp;V CY 2004 to Now'!AO7,'Alumina and Bauxite - Q&amp;V'!$D8:$D250)*1000000</f>
        <v>0</v>
      </c>
      <c r="AP13" s="1578">
        <f>SUMIF('Alumina and Bauxite - Q&amp;V'!$H8:$H250,'Q&amp;V CY 2004 to Now'!AO7,'Alumina and Bauxite - Q&amp;V'!$E8:$E250)*1000000</f>
        <v>0</v>
      </c>
      <c r="AQ13" s="197">
        <f ca="1">SUMIF($C$9:AP$10,1,$C13:AP13)</f>
        <v>7290357.8899999997</v>
      </c>
      <c r="AR13" s="197">
        <f ca="1">SUMIF($C$9:AP$10,0,$C13:AP13)</f>
        <v>269960011</v>
      </c>
      <c r="AS13" s="159"/>
      <c r="AT13" s="900"/>
      <c r="AU13" s="113"/>
      <c r="AV13" s="113"/>
      <c r="AW13" s="113"/>
    </row>
    <row r="14" spans="1:49" s="98" customFormat="1">
      <c r="A14" s="138" t="s">
        <v>418</v>
      </c>
      <c r="B14" s="120"/>
      <c r="C14" s="709"/>
      <c r="D14" s="709">
        <f t="shared" ref="D14:AH14" si="35">SUM(D12:D13)</f>
        <v>3178952432.7800002</v>
      </c>
      <c r="E14" s="709"/>
      <c r="F14" s="709">
        <f t="shared" si="35"/>
        <v>3594857487.9999995</v>
      </c>
      <c r="G14" s="709"/>
      <c r="H14" s="709">
        <f t="shared" si="35"/>
        <v>4921721511.4200001</v>
      </c>
      <c r="I14" s="709"/>
      <c r="J14" s="709">
        <f t="shared" si="35"/>
        <v>5048349872.8499994</v>
      </c>
      <c r="K14" s="709"/>
      <c r="L14" s="709">
        <f t="shared" si="35"/>
        <v>4759510952.3999996</v>
      </c>
      <c r="M14" s="709"/>
      <c r="N14" s="709">
        <f t="shared" si="35"/>
        <v>3800773509.1799998</v>
      </c>
      <c r="O14" s="709"/>
      <c r="P14" s="709">
        <f t="shared" si="35"/>
        <v>3959414750.8300004</v>
      </c>
      <c r="Q14" s="709"/>
      <c r="R14" s="709">
        <f t="shared" si="35"/>
        <v>4189465678.9399996</v>
      </c>
      <c r="S14" s="709"/>
      <c r="T14" s="709">
        <f t="shared" si="35"/>
        <v>3831147472.8899999</v>
      </c>
      <c r="U14" s="709"/>
      <c r="V14" s="709">
        <f t="shared" si="35"/>
        <v>4147050892.9999995</v>
      </c>
      <c r="W14" s="709"/>
      <c r="X14" s="709">
        <f t="shared" si="35"/>
        <v>4561739159</v>
      </c>
      <c r="Y14" s="709"/>
      <c r="Z14" s="709">
        <f t="shared" si="35"/>
        <v>5290382612</v>
      </c>
      <c r="AA14" s="709"/>
      <c r="AB14" s="709">
        <f t="shared" si="35"/>
        <v>4584195679</v>
      </c>
      <c r="AC14" s="709"/>
      <c r="AD14" s="709">
        <f t="shared" si="35"/>
        <v>5878349852</v>
      </c>
      <c r="AE14" s="1577"/>
      <c r="AF14" s="1577">
        <f t="shared" si="35"/>
        <v>7924854872.999999</v>
      </c>
      <c r="AG14" s="1577"/>
      <c r="AH14" s="1577">
        <f t="shared" si="35"/>
        <v>7361210692</v>
      </c>
      <c r="AI14" s="1577"/>
      <c r="AJ14" s="1577">
        <f t="shared" ref="AJ14:AN14" si="36">SUM(AJ12:AJ13)</f>
        <v>5855740321.999999</v>
      </c>
      <c r="AK14" s="1577"/>
      <c r="AL14" s="1577">
        <f t="shared" si="36"/>
        <v>5924659947</v>
      </c>
      <c r="AM14" s="1577"/>
      <c r="AN14" s="1577">
        <f t="shared" si="36"/>
        <v>6860912206.999999</v>
      </c>
      <c r="AO14" s="1577"/>
      <c r="AP14" s="1577">
        <f t="shared" ref="AP14" si="37">SUM(AP12:AP13)</f>
        <v>6581464855</v>
      </c>
      <c r="AQ14" s="709"/>
      <c r="AR14" s="197">
        <f ca="1">SUMIF($C$9:AP$10,0,$C14:AP14)</f>
        <v>95673289905.289993</v>
      </c>
      <c r="AS14" s="159"/>
      <c r="AT14" s="711"/>
      <c r="AU14" s="113"/>
      <c r="AV14" s="113"/>
      <c r="AW14" s="113"/>
    </row>
    <row r="15" spans="1:49" s="98" customFormat="1">
      <c r="A15" s="121"/>
      <c r="B15" s="270"/>
      <c r="C15" s="710"/>
      <c r="D15" s="710"/>
      <c r="E15" s="194"/>
      <c r="F15" s="194"/>
      <c r="G15" s="194"/>
      <c r="H15" s="194"/>
      <c r="I15" s="710"/>
      <c r="J15" s="710"/>
      <c r="K15" s="194"/>
      <c r="L15" s="194"/>
      <c r="M15" s="194"/>
      <c r="N15" s="194"/>
      <c r="O15" s="194"/>
      <c r="P15" s="194"/>
      <c r="Q15" s="194"/>
      <c r="R15" s="194"/>
      <c r="S15" s="194"/>
      <c r="T15" s="194"/>
      <c r="U15" s="194"/>
      <c r="V15" s="194"/>
      <c r="W15" s="194"/>
      <c r="X15" s="194"/>
      <c r="Y15" s="194"/>
      <c r="Z15" s="194"/>
      <c r="AA15" s="194"/>
      <c r="AB15" s="712"/>
      <c r="AC15" s="712"/>
      <c r="AD15" s="712"/>
      <c r="AE15" s="1580"/>
      <c r="AF15" s="1580"/>
      <c r="AG15" s="1580"/>
      <c r="AH15" s="1580"/>
      <c r="AI15" s="1580"/>
      <c r="AJ15" s="1580"/>
      <c r="AK15" s="1580"/>
      <c r="AL15" s="1580"/>
      <c r="AM15" s="1580"/>
      <c r="AN15" s="1580"/>
      <c r="AO15" s="1580"/>
      <c r="AP15" s="1580"/>
      <c r="AQ15" s="194"/>
      <c r="AR15" s="194"/>
      <c r="AS15" s="713"/>
      <c r="AT15" s="711"/>
      <c r="AU15" s="113"/>
      <c r="AV15" s="113"/>
      <c r="AW15" s="113"/>
    </row>
    <row r="16" spans="1:49" s="98" customFormat="1">
      <c r="A16" s="124" t="s">
        <v>493</v>
      </c>
      <c r="B16" s="161"/>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712"/>
      <c r="AC16" s="712"/>
      <c r="AD16" s="712"/>
      <c r="AE16" s="1580"/>
      <c r="AF16" s="1580"/>
      <c r="AG16" s="1580"/>
      <c r="AH16" s="1580"/>
      <c r="AI16" s="1580"/>
      <c r="AJ16" s="1580"/>
      <c r="AK16" s="1580"/>
      <c r="AL16" s="1580"/>
      <c r="AM16" s="1580"/>
      <c r="AN16" s="1580"/>
      <c r="AO16" s="1580"/>
      <c r="AP16" s="1580"/>
      <c r="AQ16" s="194"/>
      <c r="AR16" s="194"/>
      <c r="AS16" s="713"/>
      <c r="AT16" s="711"/>
      <c r="AU16" s="113"/>
      <c r="AV16" s="113"/>
      <c r="AW16" s="113"/>
    </row>
    <row r="17" spans="1:54" s="98" customFormat="1">
      <c r="A17" s="126" t="s">
        <v>213</v>
      </c>
      <c r="B17" s="123" t="s">
        <v>67</v>
      </c>
      <c r="C17" s="194">
        <f>SUMIF('Copper-Lead-Zinc - Q&amp;V'!$H8:$H250,'Q&amp;V CY 2004 to Now'!C7,'Copper-Lead-Zinc - Q&amp;V'!$B8:$B250)*1000</f>
        <v>42260.094000000005</v>
      </c>
      <c r="D17" s="194">
        <f>SUMIF('Copper-Lead-Zinc - Q&amp;V'!$H8:$H250,'Q&amp;V CY 2004 to Now'!C7,'Copper-Lead-Zinc - Q&amp;V'!$C8:$C250)*1000000</f>
        <v>168134375.94999999</v>
      </c>
      <c r="E17" s="194">
        <f>SUMIF('Copper-Lead-Zinc - Q&amp;V'!$H8:$H250,'Q&amp;V CY 2004 to Now'!E7,'Copper-Lead-Zinc - Q&amp;V'!$B8:$B250)*1000</f>
        <v>85220.481</v>
      </c>
      <c r="F17" s="194">
        <f>SUMIF('Copper-Lead-Zinc - Q&amp;V'!$H8:$H250,'Q&amp;V CY 2004 to Now'!E7,'Copper-Lead-Zinc - Q&amp;V'!$C8:$C250)*1000000</f>
        <v>471208395.87999994</v>
      </c>
      <c r="G17" s="194">
        <f>SUMIF('Copper-Lead-Zinc - Q&amp;V'!$H8:$H250,'Q&amp;V CY 2004 to Now'!G7,'Copper-Lead-Zinc - Q&amp;V'!$B8:$B250)*1000</f>
        <v>99242.47099999999</v>
      </c>
      <c r="H17" s="194">
        <f>SUMIF('Copper-Lead-Zinc - Q&amp;V'!$H8:$H250,'Q&amp;V CY 2004 to Now'!G7,'Copper-Lead-Zinc - Q&amp;V'!$C8:$C250)*1000000</f>
        <v>865000194.02999985</v>
      </c>
      <c r="I17" s="194">
        <f>SUMIF('Copper-Lead-Zinc - Q&amp;V'!$H8:$H250,'Q&amp;V CY 2004 to Now'!I7,'Copper-Lead-Zinc - Q&amp;V'!$B8:$B250)*1000</f>
        <v>105404.98599999999</v>
      </c>
      <c r="J17" s="194">
        <f>SUMIF('Copper-Lead-Zinc - Q&amp;V'!$H8:$H250,'Q&amp;V CY 2004 to Now'!I7,'Copper-Lead-Zinc - Q&amp;V'!$C8:$C250)*1000000</f>
        <v>885582785.29999995</v>
      </c>
      <c r="K17" s="194">
        <f>SUMIF('Copper-Lead-Zinc - Q&amp;V'!$H8:$H250,'Q&amp;V CY 2004 to Now'!K7,'Copper-Lead-Zinc - Q&amp;V'!$B8:$B250)*1000</f>
        <v>119055.948</v>
      </c>
      <c r="L17" s="194">
        <f>SUMIF('Copper-Lead-Zinc - Q&amp;V'!$H8:$H250,'Q&amp;V CY 2004 to Now'!K7,'Copper-Lead-Zinc - Q&amp;V'!$C8:$C250)*1000000</f>
        <v>832515153.68000007</v>
      </c>
      <c r="M17" s="194">
        <f>SUMIF('Copper-Lead-Zinc - Q&amp;V'!$H8:$H250,'Q&amp;V CY 2004 to Now'!M7,'Copper-Lead-Zinc - Q&amp;V'!$B8:$B250)*1000</f>
        <v>151496.43399999998</v>
      </c>
      <c r="N17" s="194">
        <f>SUMIF('Copper-Lead-Zinc - Q&amp;V'!$H8:$H250,'Q&amp;V CY 2004 to Now'!M7,'Copper-Lead-Zinc - Q&amp;V'!$C8:$C250)*1000000</f>
        <v>933123284.94000006</v>
      </c>
      <c r="O17" s="194">
        <f>SUMIF('Copper-Lead-Zinc - Q&amp;V'!$H8:$H250,'Q&amp;V CY 2004 to Now'!O7,'Copper-Lead-Zinc - Q&amp;V'!$B8:$B250)*1000</f>
        <v>155650.68099999998</v>
      </c>
      <c r="P17" s="194">
        <f>SUMIF('Copper-Lead-Zinc - Q&amp;V'!$H8:$H250,'Q&amp;V CY 2004 to Now'!O7,'Copper-Lead-Zinc - Q&amp;V'!$C8:$C250)*1000000</f>
        <v>1302148086.0799999</v>
      </c>
      <c r="Q17" s="194">
        <f>SUMIF('Copper-Lead-Zinc - Q&amp;V'!$H8:$H250,'Q&amp;V CY 2004 to Now'!Q7,'Copper-Lead-Zinc - Q&amp;V'!$B8:$B250)*1000</f>
        <v>144958.04783199998</v>
      </c>
      <c r="R17" s="194">
        <f>SUMIF('Copper-Lead-Zinc - Q&amp;V'!$H8:$H250,'Q&amp;V CY 2004 to Now'!Q7,'Copper-Lead-Zinc - Q&amp;V'!$C8:$C250)*1000000</f>
        <v>1195223608.26</v>
      </c>
      <c r="S17" s="194">
        <f>SUMIF('Copper-Lead-Zinc - Q&amp;V'!$H8:$H250,'Q&amp;V CY 2004 to Now'!S7,'Copper-Lead-Zinc - Q&amp;V'!$B8:$B250)*1000</f>
        <v>185750.019937</v>
      </c>
      <c r="T17" s="194">
        <f>SUMIF('Copper-Lead-Zinc - Q&amp;V'!$H8:$H250,'Q&amp;V CY 2004 to Now'!S7,'Copper-Lead-Zinc - Q&amp;V'!$C8:$C250)*1000000</f>
        <v>1370450102.3600001</v>
      </c>
      <c r="U17" s="194">
        <f>SUMIF('Copper-Lead-Zinc - Q&amp;V'!$H8:$H250,'Q&amp;V CY 2004 to Now'!U7,'Copper-Lead-Zinc - Q&amp;V'!$B8:$B250)*1000</f>
        <v>216056.61499999999</v>
      </c>
      <c r="V17" s="194">
        <f>SUMIF('Copper-Lead-Zinc - Q&amp;V'!$H8:$H250,'Q&amp;V CY 2004 to Now'!U7,'Copper-Lead-Zinc - Q&amp;V'!$C8:$C250)*1000000</f>
        <v>1492764432.9999998</v>
      </c>
      <c r="W17" s="194">
        <f>SUMIF('Copper-Lead-Zinc - Q&amp;V'!$H8:$H250,'Q&amp;V CY 2004 to Now'!W7,'Copper-Lead-Zinc - Q&amp;V'!$B8:$B250)*1000</f>
        <v>197080.71799999999</v>
      </c>
      <c r="X17" s="194">
        <f>SUMIF('Copper-Lead-Zinc - Q&amp;V'!$H8:$H250,'Q&amp;V CY 2004 to Now'!W7,'Copper-Lead-Zinc - Q&amp;V'!$C8:$C250)*1000000</f>
        <v>1401605650.9999998</v>
      </c>
      <c r="Y17" s="194">
        <f>SUMIF('Copper-Lead-Zinc - Q&amp;V'!$H8:$H250,'Q&amp;V CY 2004 to Now'!Y7,'Copper-Lead-Zinc - Q&amp;V'!$B8:$B250)*1000</f>
        <v>189414.35100000002</v>
      </c>
      <c r="Z17" s="194">
        <f>SUMIF('Copper-Lead-Zinc - Q&amp;V'!$H8:$H250,'Q&amp;V CY 2004 to Now'!Y7,'Copper-Lead-Zinc - Q&amp;V'!$C8:$C250)*1000000</f>
        <v>1244427187</v>
      </c>
      <c r="AA17" s="194">
        <f>SUMIF('Copper-Lead-Zinc - Q&amp;V'!$H8:$H250,'Q&amp;V CY 2004 to Now'!AA7,'Copper-Lead-Zinc - Q&amp;V'!$B8:$B250)*1000</f>
        <v>181536.03300000002</v>
      </c>
      <c r="AB17" s="712">
        <f>SUMIF('Copper-Lead-Zinc - Q&amp;V'!$H8:$H250,'Q&amp;V CY 2004 to Now'!AA7,'Copper-Lead-Zinc - Q&amp;V'!$C8:$C250)*1000000</f>
        <v>1188452887.9999998</v>
      </c>
      <c r="AC17" s="712">
        <f>SUMIF('Copper-Lead-Zinc - Q&amp;V'!$H8:$H250,'Q&amp;V CY 2004 to Now'!AC7,'Copper-Lead-Zinc - Q&amp;V'!$B8:$B250)*1000</f>
        <v>160276.40700000001</v>
      </c>
      <c r="AD17" s="712">
        <f>SUMIF('Copper-Lead-Zinc - Q&amp;V'!$H8:$H250,'Q&amp;V CY 2004 to Now'!AC7,'Copper-Lead-Zinc - Q&amp;V'!$C8:$C250)*1000000</f>
        <v>1244437386</v>
      </c>
      <c r="AE17" s="1580">
        <f>SUMIF('Copper-Lead-Zinc - Q&amp;V'!$H8:$H250,'Q&amp;V CY 2004 to Now'!AE7,'Copper-Lead-Zinc - Q&amp;V'!$B8:$B250)*1000</f>
        <v>165920.576</v>
      </c>
      <c r="AF17" s="1580">
        <f>SUMIF('Copper-Lead-Zinc - Q&amp;V'!$H8:$H250,'Q&amp;V CY 2004 to Now'!AE7,'Copper-Lead-Zinc - Q&amp;V'!$C8:$C250)*1000000</f>
        <v>1349693643</v>
      </c>
      <c r="AG17" s="1580">
        <f>SUMIF('Copper-Lead-Zinc - Q&amp;V'!$H8:$H250,'Q&amp;V CY 2004 to Now'!AG7,'Copper-Lead-Zinc - Q&amp;V'!$B8:$B250)*1000</f>
        <v>172114.37</v>
      </c>
      <c r="AH17" s="1580">
        <f>SUMIF('Copper-Lead-Zinc - Q&amp;V'!$H8:$H250,'Q&amp;V CY 2004 to Now'!AG7,'Copper-Lead-Zinc - Q&amp;V'!$C8:$C250)*1000000</f>
        <v>1415099730</v>
      </c>
      <c r="AI17" s="1580">
        <f>SUMIF('Copper-Lead-Zinc - Q&amp;V'!$H8:$H250,'Q&amp;V CY 2004 to Now'!AI7,'Copper-Lead-Zinc - Q&amp;V'!$B8:$B250)*1000</f>
        <v>147235.82699999999</v>
      </c>
      <c r="AJ17" s="1580">
        <f>SUMIF('Copper-Lead-Zinc - Q&amp;V'!$H8:$H250,'Q&amp;V CY 2004 to Now'!AI7,'Copper-Lead-Zinc - Q&amp;V'!$C8:$C250)*1000000</f>
        <v>1294538494</v>
      </c>
      <c r="AK17" s="1580">
        <f>SUMIF('Copper-Lead-Zinc - Q&amp;V'!$H8:$H250,'Q&amp;V CY 2004 to Now'!AK7,'Copper-Lead-Zinc - Q&amp;V'!$B8:$B250)*1000</f>
        <v>148743.04399999999</v>
      </c>
      <c r="AL17" s="1580">
        <f>SUMIF('Copper-Lead-Zinc - Q&amp;V'!$H8:$H250,'Q&amp;V CY 2004 to Now'!AK7,'Copper-Lead-Zinc - Q&amp;V'!$C8:$C250)*1000000</f>
        <v>1827938921</v>
      </c>
      <c r="AM17" s="1580">
        <f>SUMIF('Copper-Lead-Zinc - Q&amp;V'!$H8:$H250,'Q&amp;V CY 2004 to Now'!AM7,'Copper-Lead-Zinc - Q&amp;V'!$B8:$B250)*1000</f>
        <v>143649.04300000001</v>
      </c>
      <c r="AN17" s="1580">
        <f>SUMIF('Copper-Lead-Zinc - Q&amp;V'!$H8:$H250,'Q&amp;V CY 2004 to Now'!AM7,'Copper-Lead-Zinc - Q&amp;V'!$C8:$C250)*1000000</f>
        <v>1698756885</v>
      </c>
      <c r="AO17" s="1580">
        <f>SUMIF('Copper-Lead-Zinc - Q&amp;V'!$H8:$H250,'Q&amp;V CY 2004 to Now'!AO7,'Copper-Lead-Zinc - Q&amp;V'!$B8:$B250)*1000</f>
        <v>103640.789</v>
      </c>
      <c r="AP17" s="1580">
        <f>SUMIF('Copper-Lead-Zinc - Q&amp;V'!$H8:$H250,'Q&amp;V CY 2004 to Now'!AO7,'Copper-Lead-Zinc - Q&amp;V'!$C8:$C250)*1000000</f>
        <v>1206278425.9999998</v>
      </c>
      <c r="AQ17" s="194">
        <f ca="1">SUMIF($C$9:AP$10,1,$C17:AP17)</f>
        <v>2811066.1467690007</v>
      </c>
      <c r="AR17" s="194">
        <f ca="1">SUMIF($C$9:AP$10,0,$C17:AP17)</f>
        <v>22181101204.480003</v>
      </c>
      <c r="AS17" s="159"/>
      <c r="AT17" s="711"/>
      <c r="AU17" s="113"/>
      <c r="AV17" s="113"/>
      <c r="AW17" s="113"/>
    </row>
    <row r="18" spans="1:54" s="98" customFormat="1">
      <c r="A18" s="126" t="s">
        <v>214</v>
      </c>
      <c r="B18" s="123" t="s">
        <v>67</v>
      </c>
      <c r="C18" s="194">
        <f>SUMIF('Copper-Lead-Zinc - Q&amp;V'!$H8:$H250,'Q&amp;V CY 2004 to Now'!C7,'Copper-Lead-Zinc - Q&amp;V'!$D8:$D250)*1000</f>
        <v>1174.7399999999998</v>
      </c>
      <c r="D18" s="194">
        <f>SUMIF('Copper-Lead-Zinc - Q&amp;V'!$H8:$H250,'Q&amp;V CY 2004 to Now'!C7,'Copper-Lead-Zinc - Q&amp;V'!$E8:$E250)*1000000</f>
        <v>1544615.84</v>
      </c>
      <c r="E18" s="194">
        <f>SUMIF('Copper-Lead-Zinc - Q&amp;V'!$H8:$H250,'Q&amp;V CY 2004 to Now'!E7,'Copper-Lead-Zinc - Q&amp;V'!$D8:$D250)*1000</f>
        <v>28595.314999999999</v>
      </c>
      <c r="F18" s="194">
        <f>SUMIF('Copper-Lead-Zinc - Q&amp;V'!$H8:$H250,'Q&amp;V CY 2004 to Now'!E7,'Copper-Lead-Zinc - Q&amp;V'!$E8:$E250)*1000000</f>
        <v>39773083.839999996</v>
      </c>
      <c r="G18" s="194">
        <f>SUMIF('Copper-Lead-Zinc - Q&amp;V'!$H8:$H250,'Q&amp;V CY 2004 to Now'!G7,'Copper-Lead-Zinc - Q&amp;V'!$D8:$D250)*1000</f>
        <v>70953.488999999987</v>
      </c>
      <c r="H18" s="194">
        <f>SUMIF('Copper-Lead-Zinc - Q&amp;V'!$H8:$H250,'Q&amp;V CY 2004 to Now'!G7,'Copper-Lead-Zinc - Q&amp;V'!$E8:$E250)*1000000</f>
        <v>127854540.53</v>
      </c>
      <c r="I18" s="194">
        <f>SUMIF('Copper-Lead-Zinc - Q&amp;V'!$H8:$H250,'Q&amp;V CY 2004 to Now'!I7,'Copper-Lead-Zinc - Q&amp;V'!$D8:$D250)*1000</f>
        <v>37091.524999999994</v>
      </c>
      <c r="J18" s="194">
        <f>SUMIF('Copper-Lead-Zinc - Q&amp;V'!$H8:$H250,'Q&amp;V CY 2004 to Now'!I7,'Copper-Lead-Zinc - Q&amp;V'!$E8:$E250)*1000000</f>
        <v>96781479.340000004</v>
      </c>
      <c r="K18" s="194">
        <f>SUMIF('Copper-Lead-Zinc - Q&amp;V'!$H8:$H250,'Q&amp;V CY 2004 to Now'!K7,'Copper-Lead-Zinc - Q&amp;V'!$D8:$D250)*1000</f>
        <v>18538.827999999998</v>
      </c>
      <c r="L18" s="194">
        <f>SUMIF('Copper-Lead-Zinc - Q&amp;V'!$H8:$H250,'Q&amp;V CY 2004 to Now'!K7,'Copper-Lead-Zinc - Q&amp;V'!$E8:$E250)*1000000</f>
        <v>28815419.949999999</v>
      </c>
      <c r="M18" s="194">
        <f>SUMIF('Copper-Lead-Zinc - Q&amp;V'!$H8:$H250,'Q&amp;V CY 2004 to Now'!M7,'Copper-Lead-Zinc - Q&amp;V'!$D8:$D250)*1000</f>
        <v>22755.433000000005</v>
      </c>
      <c r="N18" s="194">
        <f>SUMIF('Copper-Lead-Zinc - Q&amp;V'!$H8:$H250,'Q&amp;V CY 2004 to Now'!M7,'Copper-Lead-Zinc - Q&amp;V'!$E8:$E250)*1000000</f>
        <v>48874789.219999999</v>
      </c>
      <c r="O18" s="194">
        <f>SUMIF('Copper-Lead-Zinc - Q&amp;V'!$H8:$H250,'Q&amp;V CY 2004 to Now'!O7,'Copper-Lead-Zinc - Q&amp;V'!$D8:$D250)*1000</f>
        <v>52922.928999999996</v>
      </c>
      <c r="P18" s="194">
        <f>SUMIF('Copper-Lead-Zinc - Q&amp;V'!$H8:$H250,'Q&amp;V CY 2004 to Now'!O7,'Copper-Lead-Zinc - Q&amp;V'!$E8:$E250)*1000000</f>
        <v>126644762.31999999</v>
      </c>
      <c r="Q18" s="194">
        <f>SUMIF('Copper-Lead-Zinc - Q&amp;V'!$H8:$H250,'Q&amp;V CY 2004 to Now'!Q7,'Copper-Lead-Zinc - Q&amp;V'!$D8:$D250)*1000</f>
        <v>8342.9220000000005</v>
      </c>
      <c r="R18" s="194">
        <f>SUMIF('Copper-Lead-Zinc - Q&amp;V'!$H8:$H250,'Q&amp;V CY 2004 to Now'!Q7,'Copper-Lead-Zinc - Q&amp;V'!$E8:$E250)*1000000</f>
        <v>19576467.120000001</v>
      </c>
      <c r="S18" s="194">
        <f>SUMIF('Copper-Lead-Zinc - Q&amp;V'!$H8:$H250,'Q&amp;V CY 2004 to Now'!S7,'Copper-Lead-Zinc - Q&amp;V'!$D8:$D250)*1000</f>
        <v>8135.2939999999999</v>
      </c>
      <c r="T18" s="194">
        <f>SUMIF('Copper-Lead-Zinc - Q&amp;V'!$H8:$H250,'Q&amp;V CY 2004 to Now'!S7,'Copper-Lead-Zinc - Q&amp;V'!$E8:$E250)*1000000</f>
        <v>16534423.209999999</v>
      </c>
      <c r="U18" s="194">
        <f>SUMIF('Copper-Lead-Zinc - Q&amp;V'!$H8:$H250,'Q&amp;V CY 2004 to Now'!U7,'Copper-Lead-Zinc - Q&amp;V'!$D8:$D250)*1000</f>
        <v>52261.51</v>
      </c>
      <c r="V18" s="194">
        <f>SUMIF('Copper-Lead-Zinc - Q&amp;V'!$H8:$H250,'Q&amp;V CY 2004 to Now'!U7,'Copper-Lead-Zinc - Q&amp;V'!$E8:$E250)*1000000</f>
        <v>116056679</v>
      </c>
      <c r="W18" s="194">
        <f>SUMIF('Copper-Lead-Zinc - Q&amp;V'!$H8:$H250,'Q&amp;V CY 2004 to Now'!W7,'Copper-Lead-Zinc - Q&amp;V'!$D8:$D250)*1000</f>
        <v>80888.5</v>
      </c>
      <c r="X18" s="194">
        <f>SUMIF('Copper-Lead-Zinc - Q&amp;V'!$H8:$H250,'Q&amp;V CY 2004 to Now'!W7,'Copper-Lead-Zinc - Q&amp;V'!$E8:$E250)*1000000</f>
        <v>184890067</v>
      </c>
      <c r="Y18" s="194">
        <f>SUMIF('Copper-Lead-Zinc - Q&amp;V'!$H8:$H250,'Q&amp;V CY 2004 to Now'!Y7,'Copper-Lead-Zinc - Q&amp;V'!$D8:$D250)*1000</f>
        <v>20259.03</v>
      </c>
      <c r="Z18" s="194">
        <f>SUMIF('Copper-Lead-Zinc - Q&amp;V'!$H8:$H250,'Q&amp;V CY 2004 to Now'!Y7,'Copper-Lead-Zinc - Q&amp;V'!$E8:$E250)*1000000</f>
        <v>48685219</v>
      </c>
      <c r="AA18" s="194">
        <f>SUMIF('Copper-Lead-Zinc - Q&amp;V'!$H8:$H250,'Q&amp;V CY 2004 to Now'!AA7,'Copper-Lead-Zinc - Q&amp;V'!$D8:$D250)*1000</f>
        <v>4760.91</v>
      </c>
      <c r="AB18" s="712">
        <f>SUMIF('Copper-Lead-Zinc - Q&amp;V'!$H8:$H250,'Q&amp;V CY 2004 to Now'!AA7,'Copper-Lead-Zinc - Q&amp;V'!$E8:$E250)*1000000</f>
        <v>12782990</v>
      </c>
      <c r="AC18" s="712">
        <f>SUMIF('Copper-Lead-Zinc - Q&amp;V'!$H8:$H250,'Q&amp;V CY 2004 to Now'!AC7,'Copper-Lead-Zinc - Q&amp;V'!$D8:$D250)*1000</f>
        <v>5901.08</v>
      </c>
      <c r="AD18" s="712">
        <f>SUMIF('Copper-Lead-Zinc - Q&amp;V'!$H8:$H250,'Q&amp;V CY 2004 to Now'!AC7,'Copper-Lead-Zinc - Q&amp;V'!$E8:$E250)*1000000</f>
        <v>18548734</v>
      </c>
      <c r="AE18" s="1580">
        <f>SUMIF('Copper-Lead-Zinc - Q&amp;V'!$H8:$H250,'Q&amp;V CY 2004 to Now'!AE7,'Copper-Lead-Zinc - Q&amp;V'!$D8:$D250)*1000</f>
        <v>6091.0000000000009</v>
      </c>
      <c r="AF18" s="1580">
        <f>SUMIF('Copper-Lead-Zinc - Q&amp;V'!$H8:$H250,'Q&amp;V CY 2004 to Now'!AE7,'Copper-Lead-Zinc - Q&amp;V'!$E8:$E250)*1000000</f>
        <v>17155192</v>
      </c>
      <c r="AG18" s="1580">
        <f>SUMIF('Copper-Lead-Zinc - Q&amp;V'!$H8:$H250,'Q&amp;V CY 2004 to Now'!AG7,'Copper-Lead-Zinc - Q&amp;V'!$D8:$D250)*1000</f>
        <v>2916.8</v>
      </c>
      <c r="AH18" s="1580">
        <f>SUMIF('Copper-Lead-Zinc - Q&amp;V'!$H8:$H250,'Q&amp;V CY 2004 to Now'!AG7,'Copper-Lead-Zinc - Q&amp;V'!$E8:$E250)*1000000</f>
        <v>8350650.9999999991</v>
      </c>
      <c r="AI18" s="1580">
        <f>SUMIF('Copper-Lead-Zinc - Q&amp;V'!$H8:$H250,'Q&amp;V CY 2004 to Now'!AI7,'Copper-Lead-Zinc - Q&amp;V'!$D8:$D250)*1000</f>
        <v>1374.5150000000001</v>
      </c>
      <c r="AJ18" s="1580">
        <f>SUMIF('Copper-Lead-Zinc - Q&amp;V'!$H8:$H250,'Q&amp;V CY 2004 to Now'!AI7,'Copper-Lead-Zinc - Q&amp;V'!$E8:$E250)*1000000</f>
        <v>3321639</v>
      </c>
      <c r="AK18" s="1580">
        <f>SUMIF('Copper-Lead-Zinc - Q&amp;V'!$H8:$H250,'Q&amp;V CY 2004 to Now'!AK7,'Copper-Lead-Zinc - Q&amp;V'!$D8:$D250)*1000</f>
        <v>1265.635</v>
      </c>
      <c r="AL18" s="1580">
        <f>SUMIF('Copper-Lead-Zinc - Q&amp;V'!$H8:$H250,'Q&amp;V CY 2004 to Now'!AK7,'Copper-Lead-Zinc - Q&amp;V'!$E8:$E250)*1000000</f>
        <v>3968739</v>
      </c>
      <c r="AM18" s="1580">
        <f>SUMIF('Copper-Lead-Zinc - Q&amp;V'!$H8:$H250,'Q&amp;V CY 2004 to Now'!AM7,'Copper-Lead-Zinc - Q&amp;V'!$D8:$D250)*1000</f>
        <v>0</v>
      </c>
      <c r="AN18" s="1580">
        <f>SUMIF('Copper-Lead-Zinc - Q&amp;V'!$H8:$H250,'Q&amp;V CY 2004 to Now'!AM7,'Copper-Lead-Zinc - Q&amp;V'!$E8:$E250)*1000000</f>
        <v>0</v>
      </c>
      <c r="AO18" s="1580">
        <f>SUMIF('Copper-Lead-Zinc - Q&amp;V'!$H8:$H250,'Q&amp;V CY 2004 to Now'!AO7,'Copper-Lead-Zinc - Q&amp;V'!$D8:$D250)*1000</f>
        <v>37955.645000000004</v>
      </c>
      <c r="AP18" s="1580">
        <f>SUMIF('Copper-Lead-Zinc - Q&amp;V'!$H8:$H250,'Q&amp;V CY 2004 to Now'!AO7,'Copper-Lead-Zinc - Q&amp;V'!$E8:$E250)*1000000</f>
        <v>122956831.99999999</v>
      </c>
      <c r="AQ18" s="194">
        <f ca="1">SUMIF($C$9:AP$10,1,$C18:AP18)</f>
        <v>424229.45500000002</v>
      </c>
      <c r="AR18" s="194">
        <f ca="1">SUMIF($C$9:AP$10,0,$C18:AP18)</f>
        <v>920159491.37</v>
      </c>
      <c r="AS18" s="159"/>
      <c r="AT18" s="711"/>
      <c r="AU18" s="113"/>
      <c r="AV18" s="113"/>
      <c r="AW18" s="113"/>
    </row>
    <row r="19" spans="1:54" s="98" customFormat="1">
      <c r="A19" s="126" t="s">
        <v>215</v>
      </c>
      <c r="B19" s="123" t="s">
        <v>67</v>
      </c>
      <c r="C19" s="194">
        <f>SUMIF('Copper-Lead-Zinc - Q&amp;V'!$H8:$H250,'Q&amp;V CY 2004 to Now'!C7,'Copper-Lead-Zinc - Q&amp;V'!$F8:$F250)*1000</f>
        <v>51783.87</v>
      </c>
      <c r="D19" s="194">
        <f>SUMIF('Copper-Lead-Zinc - Q&amp;V'!$H8:$H250,'Q&amp;V CY 2004 to Now'!C7,'Copper-Lead-Zinc - Q&amp;V'!$G8:$G250)*1000000</f>
        <v>71168342.370000005</v>
      </c>
      <c r="E19" s="194">
        <f>SUMIF('Copper-Lead-Zinc - Q&amp;V'!$H8:$H250,'Q&amp;V CY 2004 to Now'!E7,'Copper-Lead-Zinc - Q&amp;V'!$F8:$F250)*1000</f>
        <v>59104.380000000005</v>
      </c>
      <c r="F19" s="194">
        <f>SUMIF('Copper-Lead-Zinc - Q&amp;V'!$H8:$H250,'Q&amp;V CY 2004 to Now'!E7,'Copper-Lead-Zinc - Q&amp;V'!$G8:$G250)*1000000</f>
        <v>126895319.62</v>
      </c>
      <c r="G19" s="194">
        <f>SUMIF('Copper-Lead-Zinc - Q&amp;V'!$H8:$H250,'Q&amp;V CY 2004 to Now'!G7,'Copper-Lead-Zinc - Q&amp;V'!$F8:$F250)*1000</f>
        <v>109063.391</v>
      </c>
      <c r="H19" s="194">
        <f>SUMIF('Copper-Lead-Zinc - Q&amp;V'!$H8:$H250,'Q&amp;V CY 2004 to Now'!G7,'Copper-Lead-Zinc - Q&amp;V'!$G8:$G250)*1000000</f>
        <v>491080469.87</v>
      </c>
      <c r="I19" s="194">
        <f>SUMIF('Copper-Lead-Zinc - Q&amp;V'!$H8:$H250,'Q&amp;V CY 2004 to Now'!I7,'Copper-Lead-Zinc - Q&amp;V'!$F8:$F250)*1000</f>
        <v>173337.80000000002</v>
      </c>
      <c r="J19" s="194">
        <f>SUMIF('Copper-Lead-Zinc - Q&amp;V'!$H8:$H250,'Q&amp;V CY 2004 to Now'!I7,'Copper-Lead-Zinc - Q&amp;V'!$G8:$G250)*1000000</f>
        <v>482884677.58000004</v>
      </c>
      <c r="K19" s="194">
        <f>SUMIF('Copper-Lead-Zinc - Q&amp;V'!$H8:$H250,'Q&amp;V CY 2004 to Now'!K7,'Copper-Lead-Zinc - Q&amp;V'!$F8:$F250)*1000</f>
        <v>189811.95299999998</v>
      </c>
      <c r="L19" s="194">
        <f>SUMIF('Copper-Lead-Zinc - Q&amp;V'!$H8:$H250,'Q&amp;V CY 2004 to Now'!K7,'Copper-Lead-Zinc - Q&amp;V'!$G8:$G250)*1000000</f>
        <v>293492480.21000004</v>
      </c>
      <c r="M19" s="194">
        <f>SUMIF('Copper-Lead-Zinc - Q&amp;V'!$H8:$H250,'Q&amp;V CY 2004 to Now'!M7,'Copper-Lead-Zinc - Q&amp;V'!$F8:$F250)*1000</f>
        <v>99811.695999999982</v>
      </c>
      <c r="N19" s="194">
        <f>SUMIF('Copper-Lead-Zinc - Q&amp;V'!$H8:$H250,'Q&amp;V CY 2004 to Now'!M7,'Copper-Lead-Zinc - Q&amp;V'!$G8:$G250)*1000000</f>
        <v>215924510.84</v>
      </c>
      <c r="O19" s="194">
        <f>SUMIF('Copper-Lead-Zinc - Q&amp;V'!$H8:$H250,'Q&amp;V CY 2004 to Now'!O7,'Copper-Lead-Zinc - Q&amp;V'!$F8:$F250)*1000</f>
        <v>81515.22</v>
      </c>
      <c r="P19" s="194">
        <f>SUMIF('Copper-Lead-Zinc - Q&amp;V'!$H8:$H250,'Q&amp;V CY 2004 to Now'!O7,'Copper-Lead-Zinc - Q&amp;V'!$G8:$G250)*1000000</f>
        <v>191884134.72000003</v>
      </c>
      <c r="Q19" s="194">
        <f>SUMIF('Copper-Lead-Zinc - Q&amp;V'!$H8:$H250,'Q&amp;V CY 2004 to Now'!Q7,'Copper-Lead-Zinc - Q&amp;V'!$F8:$F250)*1000</f>
        <v>74400.736999999994</v>
      </c>
      <c r="R19" s="194">
        <f>SUMIF('Copper-Lead-Zinc - Q&amp;V'!$H8:$H250,'Q&amp;V CY 2004 to Now'!Q7,'Copper-Lead-Zinc - Q&amp;V'!$G8:$G250)*1000000</f>
        <v>153041130.46000001</v>
      </c>
      <c r="S19" s="194">
        <f>SUMIF('Copper-Lead-Zinc - Q&amp;V'!$H8:$H250,'Q&amp;V CY 2004 to Now'!S7,'Copper-Lead-Zinc - Q&amp;V'!$F8:$F250)*1000</f>
        <v>57112.677000000003</v>
      </c>
      <c r="T19" s="194">
        <f>SUMIF('Copper-Lead-Zinc - Q&amp;V'!$H8:$H250,'Q&amp;V CY 2004 to Now'!S7,'Copper-Lead-Zinc - Q&amp;V'!$G8:$G250)*1000000</f>
        <v>107302473.5</v>
      </c>
      <c r="U19" s="194">
        <f>SUMIF('Copper-Lead-Zinc - Q&amp;V'!$H8:$H250,'Q&amp;V CY 2004 to Now'!U7,'Copper-Lead-Zinc - Q&amp;V'!$F8:$F250)*1000</f>
        <v>47985.600000000006</v>
      </c>
      <c r="V19" s="194">
        <f>SUMIF('Copper-Lead-Zinc - Q&amp;V'!$H8:$H250,'Q&amp;V CY 2004 to Now'!U7,'Copper-Lead-Zinc - Q&amp;V'!$G8:$G250)*1000000</f>
        <v>96281335</v>
      </c>
      <c r="W19" s="194">
        <f>SUMIF('Copper-Lead-Zinc - Q&amp;V'!$H8:$H250,'Q&amp;V CY 2004 to Now'!W7,'Copper-Lead-Zinc - Q&amp;V'!$F8:$F250)*1000</f>
        <v>72763.53</v>
      </c>
      <c r="X19" s="194">
        <f>SUMIF('Copper-Lead-Zinc - Q&amp;V'!$H8:$H250,'Q&amp;V CY 2004 to Now'!W7,'Copper-Lead-Zinc - Q&amp;V'!$G8:$G250)*1000000</f>
        <v>173001879</v>
      </c>
      <c r="Y19" s="194">
        <f>SUMIF('Copper-Lead-Zinc - Q&amp;V'!$H8:$H250,'Q&amp;V CY 2004 to Now'!Y7,'Copper-Lead-Zinc - Q&amp;V'!$F8:$F250)*1000</f>
        <v>77178.319999999992</v>
      </c>
      <c r="Z19" s="194">
        <f>SUMIF('Copper-Lead-Zinc - Q&amp;V'!$H8:$H250,'Q&amp;V CY 2004 to Now'!Y7,'Copper-Lead-Zinc - Q&amp;V'!$G8:$G250)*1000000</f>
        <v>185219379</v>
      </c>
      <c r="AA19" s="194">
        <f>SUMIF('Copper-Lead-Zinc - Q&amp;V'!$H8:$H250,'Q&amp;V CY 2004 to Now'!AA7,'Copper-Lead-Zinc - Q&amp;V'!$F8:$F250)*1000</f>
        <v>94963.54</v>
      </c>
      <c r="AB19" s="712">
        <f>SUMIF('Copper-Lead-Zinc - Q&amp;V'!$H8:$H250,'Q&amp;V CY 2004 to Now'!AA7,'Copper-Lead-Zinc - Q&amp;V'!$G8:$G250)*1000000</f>
        <v>204523975.99999997</v>
      </c>
      <c r="AC19" s="712">
        <f>SUMIF('Copper-Lead-Zinc - Q&amp;V'!$H8:$H250,'Q&amp;V CY 2004 to Now'!AC7,'Copper-Lead-Zinc - Q&amp;V'!$F8:$F250)*1000</f>
        <v>71788.228000000003</v>
      </c>
      <c r="AD19" s="712">
        <f>SUMIF('Copper-Lead-Zinc - Q&amp;V'!$H8:$H250,'Q&amp;V CY 2004 to Now'!AC7,'Copper-Lead-Zinc - Q&amp;V'!$G8:$G250)*1000000</f>
        <v>292122964.99999994</v>
      </c>
      <c r="AE19" s="1580">
        <f>SUMIF('Copper-Lead-Zinc - Q&amp;V'!$H8:$H250,'Q&amp;V CY 2004 to Now'!AE7,'Copper-Lead-Zinc - Q&amp;V'!$F8:$F250)*1000</f>
        <v>68823.993000000002</v>
      </c>
      <c r="AF19" s="1580">
        <f>SUMIF('Copper-Lead-Zinc - Q&amp;V'!$H8:$H250,'Q&amp;V CY 2004 to Now'!AE7,'Copper-Lead-Zinc - Q&amp;V'!$G8:$G250)*1000000</f>
        <v>256932685</v>
      </c>
      <c r="AG19" s="1580">
        <f>SUMIF('Copper-Lead-Zinc - Q&amp;V'!$H8:$H250,'Q&amp;V CY 2004 to Now'!AG7,'Copper-Lead-Zinc - Q&amp;V'!$F8:$F250)*1000</f>
        <v>77819.27</v>
      </c>
      <c r="AH19" s="1580">
        <f>SUMIF('Copper-Lead-Zinc - Q&amp;V'!$H8:$H250,'Q&amp;V CY 2004 to Now'!AG7,'Copper-Lead-Zinc - Q&amp;V'!$G8:$G250)*1000000</f>
        <v>262556072.99999997</v>
      </c>
      <c r="AI19" s="1580">
        <f>SUMIF('Copper-Lead-Zinc - Q&amp;V'!$H8:$H250,'Q&amp;V CY 2004 to Now'!AI7,'Copper-Lead-Zinc - Q&amp;V'!$F8:$F250)*1000</f>
        <v>62050.920000000006</v>
      </c>
      <c r="AJ19" s="1580">
        <f>SUMIF('Copper-Lead-Zinc - Q&amp;V'!$H8:$H250,'Q&amp;V CY 2004 to Now'!AI7,'Copper-Lead-Zinc - Q&amp;V'!$G8:$G250)*1000000</f>
        <v>204010912</v>
      </c>
      <c r="AK19" s="1580">
        <f>SUMIF('Copper-Lead-Zinc - Q&amp;V'!$H8:$H250,'Q&amp;V CY 2004 to Now'!AK7,'Copper-Lead-Zinc - Q&amp;V'!$F8:$F250)*1000</f>
        <v>69051.431000000011</v>
      </c>
      <c r="AL19" s="1580">
        <f>SUMIF('Copper-Lead-Zinc - Q&amp;V'!$H8:$H250,'Q&amp;V CY 2004 to Now'!AK7,'Copper-Lead-Zinc - Q&amp;V'!$G8:$G250)*1000000</f>
        <v>285996232.99999994</v>
      </c>
      <c r="AM19" s="1580">
        <f>SUMIF('Copper-Lead-Zinc - Q&amp;V'!$H8:$H250,'Q&amp;V CY 2004 to Now'!AM7,'Copper-Lead-Zinc - Q&amp;V'!$F8:$F250)*1000</f>
        <v>70478.444999999992</v>
      </c>
      <c r="AN19" s="1580">
        <f>SUMIF('Copper-Lead-Zinc - Q&amp;V'!$H8:$H250,'Q&amp;V CY 2004 to Now'!AM7,'Copper-Lead-Zinc - Q&amp;V'!$G8:$G250)*1000000</f>
        <v>336064136</v>
      </c>
      <c r="AO19" s="1580">
        <f>SUMIF('Copper-Lead-Zinc - Q&amp;V'!$H8:$H250,'Q&amp;V CY 2004 to Now'!AO7,'Copper-Lead-Zinc - Q&amp;V'!$F8:$F250)*1000</f>
        <v>50522.046999999999</v>
      </c>
      <c r="AP19" s="1580">
        <f>SUMIF('Copper-Lead-Zinc - Q&amp;V'!$H8:$H250,'Q&amp;V CY 2004 to Now'!AO7,'Copper-Lead-Zinc - Q&amp;V'!$G8:$G250)*1000000</f>
        <v>192214639</v>
      </c>
      <c r="AQ19" s="194">
        <f ca="1">SUMIF($C$9:AP$10,1,$C19:AP19)</f>
        <v>1608845.0009999999</v>
      </c>
      <c r="AR19" s="194">
        <f ca="1">SUMIF($C$9:AP$10,0,$C19:AP19)</f>
        <v>4430383112.1700001</v>
      </c>
      <c r="AS19" s="159"/>
      <c r="AT19" s="711"/>
      <c r="AU19" s="113"/>
      <c r="AV19" s="113"/>
      <c r="AW19" s="113"/>
      <c r="AZ19" s="202"/>
      <c r="BA19" s="202"/>
      <c r="BB19" s="202"/>
    </row>
    <row r="20" spans="1:54" s="98" customFormat="1">
      <c r="A20" s="129" t="s">
        <v>494</v>
      </c>
      <c r="B20" s="123"/>
      <c r="C20" s="194"/>
      <c r="D20" s="194">
        <f>SUM(D17:D19)</f>
        <v>240847334.16</v>
      </c>
      <c r="E20" s="194"/>
      <c r="F20" s="194">
        <f>SUM(F17:F19)</f>
        <v>637876799.33999991</v>
      </c>
      <c r="G20" s="194"/>
      <c r="H20" s="194">
        <f>SUM(H17:H19)</f>
        <v>1483935204.4299998</v>
      </c>
      <c r="I20" s="194"/>
      <c r="J20" s="194">
        <f>SUM(J17:J19)</f>
        <v>1465248942.22</v>
      </c>
      <c r="K20" s="194"/>
      <c r="L20" s="194">
        <f>SUM(L17:L19)</f>
        <v>1154823053.8400002</v>
      </c>
      <c r="M20" s="194"/>
      <c r="N20" s="194">
        <f>SUM(N17:N19)</f>
        <v>1197922585</v>
      </c>
      <c r="O20" s="194"/>
      <c r="P20" s="194">
        <f>SUM(P17:P19)</f>
        <v>1620676983.1199999</v>
      </c>
      <c r="Q20" s="194"/>
      <c r="R20" s="194">
        <f>SUM(R17:R19)</f>
        <v>1367841205.8399999</v>
      </c>
      <c r="S20" s="194"/>
      <c r="T20" s="194">
        <f>SUM(T17:T19)</f>
        <v>1494286999.0700002</v>
      </c>
      <c r="U20" s="194"/>
      <c r="V20" s="194">
        <f>SUM(V17:V19)</f>
        <v>1705102446.9999998</v>
      </c>
      <c r="W20" s="194"/>
      <c r="X20" s="194">
        <f>SUM(X17:X19)</f>
        <v>1759497596.9999998</v>
      </c>
      <c r="Y20" s="194"/>
      <c r="Z20" s="194">
        <f>SUM(Z17:Z19)</f>
        <v>1478331785</v>
      </c>
      <c r="AA20" s="194"/>
      <c r="AB20" s="712">
        <f>SUM(AB17:AB19)</f>
        <v>1405759853.9999998</v>
      </c>
      <c r="AC20" s="712"/>
      <c r="AD20" s="712">
        <f>SUM(AD17:AD19)</f>
        <v>1555109085</v>
      </c>
      <c r="AE20" s="1580"/>
      <c r="AF20" s="1580">
        <f>SUM(AF17:AF19)</f>
        <v>1623781520</v>
      </c>
      <c r="AG20" s="1580"/>
      <c r="AH20" s="1580">
        <f>SUM(AH17:AH19)</f>
        <v>1686006454</v>
      </c>
      <c r="AI20" s="1580"/>
      <c r="AJ20" s="1580">
        <f>SUM(AJ17:AJ19)</f>
        <v>1501871045</v>
      </c>
      <c r="AK20" s="1580"/>
      <c r="AL20" s="1580">
        <f>SUM(AL17:AL19)</f>
        <v>2117903893</v>
      </c>
      <c r="AM20" s="1580"/>
      <c r="AN20" s="1580">
        <f>SUM(AN17:AN19)</f>
        <v>2034821021</v>
      </c>
      <c r="AO20" s="1580"/>
      <c r="AP20" s="1580">
        <f>SUM(AP17:AP19)</f>
        <v>1521449896.9999998</v>
      </c>
      <c r="AQ20" s="194"/>
      <c r="AR20" s="194">
        <f ca="1">SUMIF($C$9:AP$10,0,$C20:AP20)</f>
        <v>27531643808.019997</v>
      </c>
      <c r="AS20" s="713"/>
      <c r="AT20" s="711"/>
      <c r="AU20" s="113"/>
      <c r="AV20" s="113"/>
      <c r="AW20" s="113"/>
      <c r="AZ20" s="202"/>
      <c r="BA20" s="202"/>
      <c r="BB20" s="202"/>
    </row>
    <row r="21" spans="1:54" s="98" customFormat="1">
      <c r="A21" s="124"/>
      <c r="B21" s="161"/>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712"/>
      <c r="AC21" s="712"/>
      <c r="AD21" s="712"/>
      <c r="AE21" s="1580"/>
      <c r="AF21" s="1580"/>
      <c r="AG21" s="1580"/>
      <c r="AH21" s="1580"/>
      <c r="AI21" s="1580"/>
      <c r="AJ21" s="1580"/>
      <c r="AK21" s="1580"/>
      <c r="AL21" s="1580"/>
      <c r="AM21" s="712"/>
      <c r="AN21" s="712"/>
      <c r="AO21" s="712"/>
      <c r="AP21" s="712"/>
      <c r="AQ21" s="194"/>
      <c r="AR21" s="194"/>
      <c r="AS21" s="713"/>
      <c r="AT21" s="711"/>
      <c r="AU21" s="113"/>
      <c r="AV21" s="113"/>
      <c r="AW21" s="113"/>
      <c r="AZ21" s="183"/>
      <c r="BA21" s="183"/>
      <c r="BB21" s="183"/>
    </row>
    <row r="22" spans="1:54" s="98" customFormat="1">
      <c r="A22" s="118" t="s">
        <v>111</v>
      </c>
      <c r="B22" s="223" t="s">
        <v>67</v>
      </c>
      <c r="C22" s="175">
        <v>102085.4</v>
      </c>
      <c r="D22" s="175">
        <v>38956692</v>
      </c>
      <c r="E22" s="197">
        <v>90259.48</v>
      </c>
      <c r="F22" s="197">
        <v>36482458</v>
      </c>
      <c r="G22" s="197">
        <v>101288</v>
      </c>
      <c r="H22" s="197">
        <v>44417038.469999999</v>
      </c>
      <c r="I22" s="175">
        <v>110729</v>
      </c>
      <c r="J22" s="175">
        <v>71319703.840000004</v>
      </c>
      <c r="K22" s="197">
        <v>87635.33</v>
      </c>
      <c r="L22" s="197" t="s">
        <v>439</v>
      </c>
      <c r="M22" s="197">
        <v>74898.460000000006</v>
      </c>
      <c r="N22" s="197" t="s">
        <v>439</v>
      </c>
      <c r="O22" s="197">
        <v>59033.54</v>
      </c>
      <c r="P22" s="197" t="s">
        <v>439</v>
      </c>
      <c r="Q22" s="197">
        <v>81925.06</v>
      </c>
      <c r="R22" s="197" t="s">
        <v>439</v>
      </c>
      <c r="S22" s="197">
        <v>164219.49</v>
      </c>
      <c r="T22" s="197" t="s">
        <v>439</v>
      </c>
      <c r="U22" s="197">
        <v>137702.02000000002</v>
      </c>
      <c r="V22" s="197" t="s">
        <v>439</v>
      </c>
      <c r="W22" s="197">
        <v>10519.14</v>
      </c>
      <c r="X22" s="197" t="s">
        <v>439</v>
      </c>
      <c r="Y22" s="709">
        <v>0</v>
      </c>
      <c r="Z22" s="709">
        <v>0</v>
      </c>
      <c r="AA22" s="709">
        <v>0</v>
      </c>
      <c r="AB22" s="709">
        <v>0</v>
      </c>
      <c r="AC22" s="709">
        <v>0</v>
      </c>
      <c r="AD22" s="709">
        <v>0</v>
      </c>
      <c r="AE22" s="1577">
        <v>0</v>
      </c>
      <c r="AF22" s="1577">
        <v>0</v>
      </c>
      <c r="AG22" s="1577">
        <v>0</v>
      </c>
      <c r="AH22" s="1577">
        <v>0</v>
      </c>
      <c r="AI22" s="1577">
        <v>0</v>
      </c>
      <c r="AJ22" s="1577">
        <v>0</v>
      </c>
      <c r="AK22" s="1577">
        <v>0</v>
      </c>
      <c r="AL22" s="1577">
        <v>0</v>
      </c>
      <c r="AM22" s="709">
        <v>0</v>
      </c>
      <c r="AN22" s="709">
        <v>0</v>
      </c>
      <c r="AO22" s="709">
        <v>0</v>
      </c>
      <c r="AP22" s="709">
        <v>0</v>
      </c>
      <c r="AQ22" s="197">
        <f ca="1">SUMIF($C$9:AP$10,1,$C22:AP22)</f>
        <v>1020294.92</v>
      </c>
      <c r="AR22" s="197">
        <f ca="1">SUMIF($C$9:AP$10,0,$C22:AP22)</f>
        <v>191175892.31</v>
      </c>
      <c r="AS22" s="713"/>
      <c r="AT22" s="711"/>
      <c r="AU22" s="113"/>
      <c r="AV22" s="113"/>
      <c r="AW22" s="113"/>
      <c r="AZ22" s="202"/>
      <c r="BA22" s="202"/>
      <c r="BB22" s="202"/>
    </row>
    <row r="23" spans="1:54" s="98" customFormat="1">
      <c r="A23" s="118"/>
      <c r="B23" s="144"/>
      <c r="C23" s="175"/>
      <c r="D23" s="175"/>
      <c r="E23" s="197"/>
      <c r="F23" s="197"/>
      <c r="G23" s="197"/>
      <c r="H23" s="197"/>
      <c r="I23" s="175"/>
      <c r="J23" s="175"/>
      <c r="K23" s="197"/>
      <c r="L23" s="197"/>
      <c r="M23" s="197"/>
      <c r="N23" s="197"/>
      <c r="O23" s="197"/>
      <c r="P23" s="197"/>
      <c r="Q23" s="197"/>
      <c r="R23" s="197"/>
      <c r="S23" s="197"/>
      <c r="T23" s="197"/>
      <c r="U23" s="197"/>
      <c r="V23" s="197"/>
      <c r="W23" s="197"/>
      <c r="X23" s="197"/>
      <c r="Y23" s="197"/>
      <c r="Z23" s="197"/>
      <c r="AA23" s="197"/>
      <c r="AB23" s="709"/>
      <c r="AC23" s="709"/>
      <c r="AD23" s="709"/>
      <c r="AE23" s="1577"/>
      <c r="AF23" s="1577"/>
      <c r="AG23" s="1577"/>
      <c r="AH23" s="1577"/>
      <c r="AI23" s="1577"/>
      <c r="AJ23" s="1577"/>
      <c r="AK23" s="1577"/>
      <c r="AL23" s="1577"/>
      <c r="AM23" s="709"/>
      <c r="AN23" s="709"/>
      <c r="AO23" s="709"/>
      <c r="AP23" s="709"/>
      <c r="AQ23" s="197"/>
      <c r="AR23" s="197"/>
      <c r="AS23" s="713"/>
      <c r="AT23" s="711"/>
      <c r="AU23" s="113"/>
      <c r="AV23" s="113"/>
      <c r="AW23" s="113"/>
      <c r="AZ23" s="202"/>
      <c r="BA23" s="202"/>
      <c r="BB23" s="202"/>
    </row>
    <row r="24" spans="1:54" s="98" customFormat="1">
      <c r="A24" s="124" t="s">
        <v>112</v>
      </c>
      <c r="B24" s="271" t="s">
        <v>67</v>
      </c>
      <c r="C24" s="708">
        <v>90190.98</v>
      </c>
      <c r="D24" s="194">
        <v>1999715</v>
      </c>
      <c r="E24" s="194" t="s">
        <v>165</v>
      </c>
      <c r="F24" s="194">
        <v>1421038</v>
      </c>
      <c r="G24" s="194" t="s">
        <v>165</v>
      </c>
      <c r="H24" s="194">
        <v>1843547</v>
      </c>
      <c r="I24" s="183" t="s">
        <v>165</v>
      </c>
      <c r="J24" s="183">
        <v>1787130</v>
      </c>
      <c r="K24" s="194">
        <v>63696.81</v>
      </c>
      <c r="L24" s="194">
        <v>1225758</v>
      </c>
      <c r="M24" s="194">
        <v>57846.130000000005</v>
      </c>
      <c r="N24" s="194">
        <v>1089071</v>
      </c>
      <c r="O24" s="194">
        <v>67833.58</v>
      </c>
      <c r="P24" s="194">
        <v>1255153</v>
      </c>
      <c r="Q24" s="194">
        <v>63335.62</v>
      </c>
      <c r="R24" s="194">
        <v>1444176.96</v>
      </c>
      <c r="S24" s="194">
        <v>61290.51</v>
      </c>
      <c r="T24" s="194">
        <v>1446577.4</v>
      </c>
      <c r="U24" s="194">
        <v>13463.23</v>
      </c>
      <c r="V24" s="194">
        <v>641478</v>
      </c>
      <c r="W24" s="194">
        <v>14667.4</v>
      </c>
      <c r="X24" s="194">
        <v>875823</v>
      </c>
      <c r="Y24" s="194">
        <v>21009.03</v>
      </c>
      <c r="Z24" s="194">
        <v>1089867</v>
      </c>
      <c r="AA24" s="714">
        <v>17373.75</v>
      </c>
      <c r="AB24" s="715">
        <v>1031538</v>
      </c>
      <c r="AC24" s="716">
        <v>21135.11</v>
      </c>
      <c r="AD24" s="716">
        <v>1460815</v>
      </c>
      <c r="AE24" s="1581">
        <v>18898.59</v>
      </c>
      <c r="AF24" s="1581">
        <v>1425918</v>
      </c>
      <c r="AG24" s="1581">
        <v>19616.55</v>
      </c>
      <c r="AH24" s="1581">
        <v>1944713</v>
      </c>
      <c r="AI24" s="1581">
        <v>20461.116999999998</v>
      </c>
      <c r="AJ24" s="1581">
        <v>2289802</v>
      </c>
      <c r="AK24" s="716">
        <v>25356.175999999999</v>
      </c>
      <c r="AL24" s="716">
        <v>2405376</v>
      </c>
      <c r="AM24" s="716">
        <v>27855.845000000001</v>
      </c>
      <c r="AN24" s="716">
        <v>3127660</v>
      </c>
      <c r="AO24" s="716">
        <v>21585.137999999999</v>
      </c>
      <c r="AP24" s="716">
        <v>2413659</v>
      </c>
      <c r="AQ24" s="194">
        <f ca="1">SUMIF($C$9:AP$10,1,$C24:AP24)</f>
        <v>604030.42799999996</v>
      </c>
      <c r="AR24" s="194">
        <f ca="1">SUMIF($C$9:AP$10,0,$C24:AP24)</f>
        <v>29805156.359999999</v>
      </c>
      <c r="AS24" s="159"/>
      <c r="AT24" s="711"/>
      <c r="AU24" s="113"/>
      <c r="AV24" s="113"/>
      <c r="AW24" s="113"/>
      <c r="AZ24" s="202"/>
      <c r="BA24" s="202"/>
      <c r="BB24" s="202"/>
    </row>
    <row r="25" spans="1:54" s="98" customFormat="1">
      <c r="A25" s="131"/>
      <c r="B25" s="161"/>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712"/>
      <c r="AC25" s="712"/>
      <c r="AD25" s="712"/>
      <c r="AE25" s="1580"/>
      <c r="AF25" s="1580"/>
      <c r="AG25" s="1580"/>
      <c r="AH25" s="1580"/>
      <c r="AI25" s="1580"/>
      <c r="AJ25" s="1580"/>
      <c r="AK25" s="712"/>
      <c r="AL25" s="712"/>
      <c r="AM25" s="712"/>
      <c r="AN25" s="712"/>
      <c r="AO25" s="712"/>
      <c r="AP25" s="712"/>
      <c r="AQ25" s="194"/>
      <c r="AR25" s="194"/>
      <c r="AS25" s="713"/>
      <c r="AT25" s="711"/>
      <c r="AU25" s="113"/>
      <c r="AV25" s="113"/>
      <c r="AW25" s="113"/>
      <c r="AZ25" s="202"/>
      <c r="BA25" s="202"/>
      <c r="BB25" s="202"/>
    </row>
    <row r="26" spans="1:54" s="98" customFormat="1">
      <c r="A26" s="118" t="s">
        <v>124</v>
      </c>
      <c r="B26" s="120" t="s">
        <v>67</v>
      </c>
      <c r="C26" s="197">
        <f ca="1">SUMIF('Other Minerals - Q&amp;V'!$N$8:$N$250,'Q&amp;V CY 2004 to Now'!C$7,'Other Minerals - Q&amp;V'!$D$8:$D$244)*1000000</f>
        <v>6301445</v>
      </c>
      <c r="D26" s="197">
        <f ca="1">SUMIF('Other Minerals - Q&amp;V'!$N$8:$N$250,'Q&amp;V CY 2004 to Now'!C$7,'Other Minerals - Q&amp;V'!$E$8:$E$244)*1000000</f>
        <v>281457719</v>
      </c>
      <c r="E26" s="197">
        <f ca="1">SUMIF('Other Minerals - Q&amp;V'!$N8:$N250,'Q&amp;V CY 2004 to Now'!E7,'Other Minerals - Q&amp;V'!$D8:$D244)*1000000</f>
        <v>6334484</v>
      </c>
      <c r="F26" s="197">
        <f ca="1">SUMIF('Other Minerals - Q&amp;V'!$N8:$N250,'Q&amp;V CY 2004 to Now'!E7,'Other Minerals - Q&amp;V'!$E8:$E244)*1000000</f>
        <v>280186535</v>
      </c>
      <c r="G26" s="197">
        <f ca="1">SUMIF('Other Minerals - Q&amp;V'!$N8:$N250,'Q&amp;V CY 2004 to Now'!G7,'Other Minerals - Q&amp;V'!$D8:$D244)*1000000</f>
        <v>6611423</v>
      </c>
      <c r="H26" s="197">
        <f ca="1">SUMIF('Other Minerals - Q&amp;V'!$N8:$N250,'Q&amp;V CY 2004 to Now'!G7,'Other Minerals - Q&amp;V'!$E8:$E244)*1000000</f>
        <v>289726141</v>
      </c>
      <c r="I26" s="197">
        <f ca="1">SUMIF('Other Minerals - Q&amp;V'!$N8:$N250,'Q&amp;V CY 2004 to Now'!I7,'Other Minerals - Q&amp;V'!$D8:$D244)*1000000</f>
        <v>5810092</v>
      </c>
      <c r="J26" s="197">
        <f ca="1">SUMIF('Other Minerals - Q&amp;V'!$N8:$N250,'Q&amp;V CY 2004 to Now'!I7,'Other Minerals - Q&amp;V'!$E8:$E244)*1000000</f>
        <v>263961627.00000003</v>
      </c>
      <c r="K26" s="197">
        <f ca="1">SUMIF('Other Minerals - Q&amp;V'!$N8:$N250,'Q&amp;V CY 2004 to Now'!K7,'Other Minerals - Q&amp;V'!$D8:$D244)*1000000</f>
        <v>6731266</v>
      </c>
      <c r="L26" s="197">
        <f ca="1">SUMIF('Other Minerals - Q&amp;V'!$N8:$N250,'Q&amp;V CY 2004 to Now'!K7,'Other Minerals - Q&amp;V'!$E8:$E244)*1000000</f>
        <v>305499633</v>
      </c>
      <c r="M26" s="197">
        <f ca="1">SUMIF('Other Minerals - Q&amp;V'!$N8:$N250,'Q&amp;V CY 2004 to Now'!M7,'Other Minerals - Q&amp;V'!$D8:$D244)*1000000</f>
        <v>6558857</v>
      </c>
      <c r="N26" s="197">
        <f ca="1">SUMIF('Other Minerals - Q&amp;V'!$N8:$N250,'Q&amp;V CY 2004 to Now'!M7,'Other Minerals - Q&amp;V'!$E8:$E244)*1000000</f>
        <v>308156873.99999994</v>
      </c>
      <c r="O26" s="197">
        <f ca="1">SUMIF('Other Minerals - Q&amp;V'!$N8:$N250,'Q&amp;V CY 2004 to Now'!O7,'Other Minerals - Q&amp;V'!$D8:$D244)*1000000</f>
        <v>6998521</v>
      </c>
      <c r="P26" s="197">
        <f ca="1">SUMIF('Other Minerals - Q&amp;V'!$N8:$N250,'Q&amp;V CY 2004 to Now'!O7,'Other Minerals - Q&amp;V'!$E8:$E244)*1000000</f>
        <v>318268201</v>
      </c>
      <c r="Q26" s="197">
        <f ca="1">SUMIF('Other Minerals - Q&amp;V'!$N8:$N250,'Q&amp;V CY 2004 to Now'!Q7,'Other Minerals - Q&amp;V'!$D8:$D244)*1000000</f>
        <v>6981907</v>
      </c>
      <c r="R26" s="197">
        <f ca="1">SUMIF('Other Minerals - Q&amp;V'!$N8:$N250,'Q&amp;V CY 2004 to Now'!Q7,'Other Minerals - Q&amp;V'!$E8:$E244)*1000000</f>
        <v>283495535</v>
      </c>
      <c r="S26" s="197">
        <f ca="1">SUMIF('Other Minerals - Q&amp;V'!$N8:$N250,'Q&amp;V CY 2004 to Now'!S7,'Other Minerals - Q&amp;V'!$D8:$D244)*1000000</f>
        <v>7458256</v>
      </c>
      <c r="T26" s="197">
        <f ca="1">SUMIF('Other Minerals - Q&amp;V'!$N8:$N250,'Q&amp;V CY 2004 to Now'!S7,'Other Minerals - Q&amp;V'!$E8:$E244)*1000000</f>
        <v>315086290</v>
      </c>
      <c r="U26" s="197">
        <f ca="1">SUMIF('Other Minerals - Q&amp;V'!$N8:$N250,'Q&amp;V CY 2004 to Now'!U7,'Other Minerals - Q&amp;V'!$D8:$D244)*1000000</f>
        <v>7110277.4699999988</v>
      </c>
      <c r="V26" s="197">
        <f ca="1">SUMIF('Other Minerals - Q&amp;V'!$N8:$N250,'Q&amp;V CY 2004 to Now'!U7,'Other Minerals - Q&amp;V'!$E8:$E244)*1000000</f>
        <v>297127291</v>
      </c>
      <c r="W26" s="197">
        <f ca="1">SUMIF('Other Minerals - Q&amp;V'!$N8:$N250,'Q&amp;V CY 2004 to Now'!W7,'Other Minerals - Q&amp;V'!$D8:$D244)*1000000</f>
        <v>6238729.6999999993</v>
      </c>
      <c r="X26" s="197">
        <f ca="1">SUMIF('Other Minerals - Q&amp;V'!$N8:$N250,'Q&amp;V CY 2004 to Now'!W7,'Other Minerals - Q&amp;V'!$E8:$E244)*1000000</f>
        <v>267527802.99999994</v>
      </c>
      <c r="Y26" s="197">
        <v>6945779</v>
      </c>
      <c r="Z26" s="197">
        <v>341452392</v>
      </c>
      <c r="AA26" s="197">
        <f ca="1">SUMIF('Other Minerals - Q&amp;V'!$N8:$N250,'Q&amp;V CY 2004 to Now'!AA7,'Other Minerals - Q&amp;V'!$D8:$D244)*1000000</f>
        <v>6738517.4010000005</v>
      </c>
      <c r="AB26" s="709">
        <f ca="1">SUMIF('Other Minerals - Q&amp;V'!$N8:$N250,'Q&amp;V CY 2004 to Now'!AA7,'Other Minerals - Q&amp;V'!$E8:$E244)*1000000</f>
        <v>329402521</v>
      </c>
      <c r="AC26" s="709">
        <f ca="1">SUMIF('Other Minerals - Q&amp;V'!$N8:$N250,'Q&amp;V CY 2004 to Now'!AC7,'Other Minerals - Q&amp;V'!$D8:$D244)*1000000</f>
        <v>6814665.1800000006</v>
      </c>
      <c r="AD26" s="709">
        <f ca="1">SUMIF('Other Minerals - Q&amp;V'!$N8:$N250,'Q&amp;V CY 2004 to Now'!AC7,'Other Minerals - Q&amp;V'!$E8:$E244)*1000000</f>
        <v>338945632</v>
      </c>
      <c r="AE26" s="1577">
        <f ca="1">SUMIF('Other Minerals - Q&amp;V'!$N8:$N250,'Q&amp;V CY 2004 to Now'!AE7,'Other Minerals - Q&amp;V'!$D8:$D244)*1000000</f>
        <v>6465666.2699999986</v>
      </c>
      <c r="AF26" s="1577">
        <f ca="1">SUMIF('Other Minerals - Q&amp;V'!$N8:$N250,'Q&amp;V CY 2004 to Now'!AE7,'Other Minerals - Q&amp;V'!$E8:$E244)*1000000</f>
        <v>327376363.99999994</v>
      </c>
      <c r="AG26" s="1577">
        <f ca="1">SUMIF('Other Minerals - Q&amp;V'!$N8:$N250,'Q&amp;V CY 2004 to Now'!AG7,'Other Minerals - Q&amp;V'!$D8:$D244)*1000000</f>
        <v>6239250.9469999997</v>
      </c>
      <c r="AH26" s="1577">
        <f ca="1">SUMIF('Other Minerals - Q&amp;V'!$N8:$N250,'Q&amp;V CY 2004 to Now'!AG7,'Other Minerals - Q&amp;V'!$E8:$E244)*1000000</f>
        <v>323369284</v>
      </c>
      <c r="AI26" s="1577">
        <f ca="1">SUMIF('Other Minerals - Q&amp;V'!$N8:$N250,'Q&amp;V CY 2004 to Now'!AI7,'Other Minerals - Q&amp;V'!$D8:$D244)*1000000</f>
        <v>5619507.2599999998</v>
      </c>
      <c r="AJ26" s="1577">
        <f ca="1">SUMIF('Other Minerals - Q&amp;V'!$N8:$N250,'Q&amp;V CY 2004 to Now'!AI7,'Other Minerals - Q&amp;V'!$E8:$E244)*1000000</f>
        <v>309397638.99999994</v>
      </c>
      <c r="AK26" s="709">
        <f ca="1">SUMIF('Other Minerals - Q&amp;V'!$N8:$N250,'Q&amp;V CY 2004 to Now'!AK7,'Other Minerals - Q&amp;V'!$D8:$D244)*1000000</f>
        <v>5273179.959999999</v>
      </c>
      <c r="AL26" s="709">
        <f ca="1">SUMIF('Other Minerals - Q&amp;V'!$N8:$N250,'Q&amp;V CY 2004 to Now'!AK7,'Other Minerals - Q&amp;V'!$E8:$E244)*1000000</f>
        <v>318066262</v>
      </c>
      <c r="AM26" s="709">
        <f ca="1">SUMIF('Other Minerals - Q&amp;V'!$N8:$N250,'Q&amp;V CY 2004 to Now'!AM7,'Other Minerals - Q&amp;V'!$D8:$D244)*1000000</f>
        <v>4789361.46</v>
      </c>
      <c r="AN26" s="709">
        <f ca="1">SUMIF('Other Minerals - Q&amp;V'!$N8:$N250,'Q&amp;V CY 2004 to Now'!AM7,'Other Minerals - Q&amp;V'!$E8:$E244)*1000000</f>
        <v>313923338</v>
      </c>
      <c r="AO26" s="709">
        <f ca="1">SUMIF('Other Minerals - Q&amp;V'!$N8:$N250,'Q&amp;V CY 2004 to Now'!AO7,'Other Minerals - Q&amp;V'!$D8:$D244)*1000000</f>
        <v>5260182.3899999997</v>
      </c>
      <c r="AP26" s="709">
        <f ca="1">SUMIF('Other Minerals - Q&amp;V'!$N8:$N250,'Q&amp;V CY 2004 to Now'!AO7,'Other Minerals - Q&amp;V'!$E8:$E244)*1000000</f>
        <v>456172675.99999994</v>
      </c>
      <c r="AQ26" s="197">
        <f ca="1">SUMIF($C$9:AP$10,1,$C26:AP26)</f>
        <v>122021185.648</v>
      </c>
      <c r="AR26" s="197">
        <f ca="1">SUMIF($C$9:AP$10,0,$C26:AP26)</f>
        <v>5812427081</v>
      </c>
      <c r="AS26" s="159"/>
      <c r="AT26" s="711"/>
      <c r="AU26" s="113"/>
      <c r="AV26" s="113"/>
      <c r="AW26" s="113"/>
      <c r="AZ26" s="202"/>
      <c r="BA26" s="202"/>
      <c r="BB26" s="202"/>
    </row>
    <row r="27" spans="1:54" s="98" customFormat="1">
      <c r="A27" s="118"/>
      <c r="B27" s="120"/>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709"/>
      <c r="AC27" s="709"/>
      <c r="AD27" s="709"/>
      <c r="AE27" s="1577"/>
      <c r="AF27" s="1577"/>
      <c r="AG27" s="1577"/>
      <c r="AH27" s="1577"/>
      <c r="AI27" s="1577"/>
      <c r="AJ27" s="1577"/>
      <c r="AK27" s="709"/>
      <c r="AL27" s="709"/>
      <c r="AM27" s="709"/>
      <c r="AN27" s="709"/>
      <c r="AO27" s="709"/>
      <c r="AP27" s="709"/>
      <c r="AQ27" s="197"/>
      <c r="AR27" s="197"/>
      <c r="AS27" s="159"/>
      <c r="AT27" s="711"/>
      <c r="AU27" s="113"/>
      <c r="AV27" s="113"/>
      <c r="AW27" s="113"/>
      <c r="AZ27" s="202"/>
      <c r="BA27" s="202"/>
      <c r="BB27" s="202"/>
    </row>
    <row r="28" spans="1:54" s="98" customFormat="1">
      <c r="A28" s="124" t="s">
        <v>507</v>
      </c>
      <c r="B28" s="127" t="s">
        <v>67</v>
      </c>
      <c r="C28" s="194">
        <f>SUMIF('Other Minerals - Q&amp;V'!$N$8:$N$250,'Q&amp;V CY 2004 to Now'!C$7,'Other Minerals - Q&amp;V'!$J$8:$J$252)*1000</f>
        <v>4396.8679999999995</v>
      </c>
      <c r="D28" s="183">
        <f>SUMIF('Other Minerals - Q&amp;V'!$N$8:$N$250,'Q&amp;V CY 2004 to Now'!C$7,'Other Minerals - Q&amp;V'!$K$8:$K$252)*1000000</f>
        <v>261187543</v>
      </c>
      <c r="E28" s="183">
        <f>SUMIF('Other Minerals - Q&amp;V'!$N$8:$N$250,'Q&amp;V CY 2004 to Now'!E$7,'Other Minerals - Q&amp;V'!$J$8:$J$252)*1000</f>
        <v>4567.4600000000009</v>
      </c>
      <c r="F28" s="183">
        <f>SUMIF('Other Minerals - Q&amp;V'!$N$8:$N$250,'Q&amp;V CY 2004 to Now'!E$7,'Other Minerals - Q&amp;V'!$K$8:$K$252)*1000000</f>
        <v>166932800</v>
      </c>
      <c r="G28" s="183">
        <f>SUMIF('Other Minerals - Q&amp;V'!$N$8:$N$250,'Q&amp;V CY 2004 to Now'!G$7,'Other Minerals - Q&amp;V'!$J$8:$J$252)*1000</f>
        <v>5128.8249999999998</v>
      </c>
      <c r="H28" s="183">
        <f>SUMIF('Other Minerals - Q&amp;V'!$N$8:$N$250,'Q&amp;V CY 2004 to Now'!G$7,'Other Minerals - Q&amp;V'!$K$8:$K$252)*1000000</f>
        <v>220425176</v>
      </c>
      <c r="I28" s="183">
        <f>SUMIF('Other Minerals - Q&amp;V'!$N$8:$N$250,'Q&amp;V CY 2004 to Now'!I$7,'Other Minerals - Q&amp;V'!$J$8:$J$252)*1000</f>
        <v>4730.3459999999995</v>
      </c>
      <c r="J28" s="183">
        <f>SUMIF('Other Minerals - Q&amp;V'!$N$8:$N$250,'Q&amp;V CY 2004 to Now'!I$7,'Other Minerals - Q&amp;V'!$K$8:$K$252)*1000000</f>
        <v>348990785</v>
      </c>
      <c r="K28" s="183">
        <f>SUMIF('Other Minerals - Q&amp;V'!$N$8:$N$250,'Q&amp;V CY 2004 to Now'!K$7,'Other Minerals - Q&amp;V'!$J$8:$J$252)*1000</f>
        <v>4784.6750000000002</v>
      </c>
      <c r="L28" s="183">
        <f>SUMIF('Other Minerals - Q&amp;V'!$N$8:$N$250,'Q&amp;V CY 2004 to Now'!K$7,'Other Minerals - Q&amp;V'!$K$8:$K$252)*1000000</f>
        <v>377659792.00000006</v>
      </c>
      <c r="M28" s="183">
        <f>SUMIF('Other Minerals - Q&amp;V'!$N$8:$N$250,'Q&amp;V CY 2004 to Now'!M$7,'Other Minerals - Q&amp;V'!$J$8:$J$252)*1000</f>
        <v>4670.387999999999</v>
      </c>
      <c r="N28" s="183">
        <f>SUMIF('Other Minerals - Q&amp;V'!$N$8:$N$250,'Q&amp;V CY 2004 to Now'!M$7,'Other Minerals - Q&amp;V'!$K$8:$K$252)*1000000</f>
        <v>183872077</v>
      </c>
      <c r="O28" s="183">
        <f>SUMIF('Other Minerals - Q&amp;V'!$N$8:$N$250,'Q&amp;V CY 2004 to Now'!O$7,'Other Minerals - Q&amp;V'!$J$8:$J$252)*1000</f>
        <v>3943.0120000000006</v>
      </c>
      <c r="P28" s="183">
        <f>SUMIF('Other Minerals - Q&amp;V'!$N$8:$N$250,'Q&amp;V CY 2004 to Now'!O$7,'Other Minerals - Q&amp;V'!$K$8:$K$252)*1000000</f>
        <v>173787236</v>
      </c>
      <c r="Q28" s="183">
        <f>SUMIF('Other Minerals - Q&amp;V'!$N$8:$N$250,'Q&amp;V CY 2004 to Now'!Q$7,'Other Minerals - Q&amp;V'!$J$8:$J$252)*1000</f>
        <v>3880</v>
      </c>
      <c r="R28" s="183">
        <f>SUMIF('Other Minerals - Q&amp;V'!$N$8:$N$250,'Q&amp;V CY 2004 to Now'!Q$7,'Other Minerals - Q&amp;V'!$K$8:$K$252)*1000000</f>
        <v>127995275.99999999</v>
      </c>
      <c r="S28" s="183">
        <f>SUMIF('Other Minerals - Q&amp;V'!$N$8:$N$250,'Q&amp;V CY 2004 to Now'!S$7,'Other Minerals - Q&amp;V'!$J$8:$J$252)*1000</f>
        <v>5910</v>
      </c>
      <c r="T28" s="183">
        <f>SUMIF('Other Minerals - Q&amp;V'!$N$8:$N$250,'Q&amp;V CY 2004 to Now'!S$7,'Other Minerals - Q&amp;V'!$K$8:$K$252)*1000000</f>
        <v>155449318</v>
      </c>
      <c r="U28" s="183">
        <f>SUMIF('Other Minerals - Q&amp;V'!$N$8:$N$250,'Q&amp;V CY 2004 to Now'!U$7,'Other Minerals - Q&amp;V'!$J$8:$J$252)*1000</f>
        <v>6404.8789999999999</v>
      </c>
      <c r="V28" s="183">
        <f>SUMIF('Other Minerals - Q&amp;V'!$N$8:$N$250,'Q&amp;V CY 2004 to Now'!U$7,'Other Minerals - Q&amp;V'!$K$8:$K$252)*1000000</f>
        <v>171749883</v>
      </c>
      <c r="W28" s="183">
        <f>SUMIF('Other Minerals - Q&amp;V'!$N$8:$N$250,'Q&amp;V CY 2004 to Now'!W$7,'Other Minerals - Q&amp;V'!$J$8:$J$252)*1000</f>
        <v>6201.2560000000003</v>
      </c>
      <c r="X28" s="183">
        <f>SUMIF('Other Minerals - Q&amp;V'!$N$8:$N$250,'Q&amp;V CY 2004 to Now'!W$7,'Other Minerals - Q&amp;V'!$K$8:$K$252)*1000000</f>
        <v>197576142</v>
      </c>
      <c r="Y28" s="183">
        <f>SUMIF('Other Minerals - Q&amp;V'!$N$8:$N$250,'Q&amp;V CY 2004 to Now'!Y$7,'Other Minerals - Q&amp;V'!$J$8:$J$252)*1000</f>
        <v>5720.6819999999998</v>
      </c>
      <c r="Z28" s="183">
        <f>SUMIF('Other Minerals - Q&amp;V'!$N$8:$N$250,'Q&amp;V CY 2004 to Now'!Y$7,'Other Minerals - Q&amp;V'!$K$8:$K$252)*1000000</f>
        <v>199471951</v>
      </c>
      <c r="AA28" s="183">
        <f>SUMIF('Other Minerals - Q&amp;V'!$N$8:$N$250,'Q&amp;V CY 2004 to Now'!AA$7,'Other Minerals - Q&amp;V'!$J$8:$J$252)*1000</f>
        <v>5139.7489999999998</v>
      </c>
      <c r="AB28" s="715">
        <f>SUMIF('Other Minerals - Q&amp;V'!$N$8:$N$250,'Q&amp;V CY 2004 to Now'!AA$7,'Other Minerals - Q&amp;V'!$K$8:$K$252)*1000000</f>
        <v>169378671</v>
      </c>
      <c r="AC28" s="715">
        <f>SUMIF('Other Minerals - Q&amp;V'!$N$8:$N$250,'Q&amp;V CY 2004 to Now'!AC$7,'Other Minerals - Q&amp;V'!$J$8:$J$252)*1000</f>
        <v>5033.8279999999995</v>
      </c>
      <c r="AD28" s="715">
        <f>SUMIF('Other Minerals - Q&amp;V'!$N$8:$N$250,'Q&amp;V CY 2004 to Now'!AC$7,'Other Minerals - Q&amp;V'!$K$8:$K$252)*1000000</f>
        <v>382689369</v>
      </c>
      <c r="AE28" s="1353">
        <f>SUMIF('Other Minerals - Q&amp;V'!$N$8:$N$250,'Q&amp;V CY 2004 to Now'!AE$7,'Other Minerals - Q&amp;V'!$J$8:$J$252)*1000</f>
        <v>4878.0980000000009</v>
      </c>
      <c r="AF28" s="1353">
        <f>SUMIF('Other Minerals - Q&amp;V'!$N$8:$N$250,'Q&amp;V CY 2004 to Now'!AE$7,'Other Minerals - Q&amp;V'!$K$8:$K$252)*1000000</f>
        <v>503216707.99999994</v>
      </c>
      <c r="AG28" s="1353">
        <f>SUMIF('Other Minerals - Q&amp;V'!$N$8:$N$250,'Q&amp;V CY 2004 to Now'!AG$7,'Other Minerals - Q&amp;V'!$J$8:$J$252)*1000</f>
        <v>5745.7169999999996</v>
      </c>
      <c r="AH28" s="1353">
        <f>SUMIF('Other Minerals - Q&amp;V'!$N$8:$N$250,'Q&amp;V CY 2004 to Now'!AG$7,'Other Minerals - Q&amp;V'!$K$8:$K$252)*1000000</f>
        <v>261048068.99999994</v>
      </c>
      <c r="AI28" s="1353">
        <f>SUMIF('Other Minerals - Q&amp;V'!$N$8:$N$250,'Q&amp;V CY 2004 to Now'!AI$7,'Other Minerals - Q&amp;V'!$J$8:$J$252)*1000</f>
        <v>5631.1479999999992</v>
      </c>
      <c r="AJ28" s="1353">
        <f>SUMIF('Other Minerals - Q&amp;V'!$N$8:$N$250,'Q&amp;V CY 2004 to Now'!AI$7,'Other Minerals - Q&amp;V'!$K$8:$K$252)*1000000</f>
        <v>281159671</v>
      </c>
      <c r="AK28" s="715">
        <f>SUMIF('Other Minerals - Q&amp;V'!$N$8:$N$250,'Q&amp;V CY 2004 to Now'!AK$7,'Other Minerals - Q&amp;V'!$J$8:$J$252)*1000</f>
        <v>5232.1669999999995</v>
      </c>
      <c r="AL28" s="715">
        <f>SUMIF('Other Minerals - Q&amp;V'!$N$8:$N$250,'Q&amp;V CY 2004 to Now'!AK$7,'Other Minerals - Q&amp;V'!$K$8:$K$252)*1000000</f>
        <v>388679774.99999994</v>
      </c>
      <c r="AM28" s="715">
        <f>SUMIF('Other Minerals - Q&amp;V'!$N$8:$N$250,'Q&amp;V CY 2004 to Now'!AM$7,'Other Minerals - Q&amp;V'!$J$8:$J$252)*1000</f>
        <v>5793.3550000000005</v>
      </c>
      <c r="AN28" s="715">
        <f>SUMIF('Other Minerals - Q&amp;V'!$N$8:$N$250,'Q&amp;V CY 2004 to Now'!AM$7,'Other Minerals - Q&amp;V'!$K$8:$K$252)*1000000</f>
        <v>519136590.99999994</v>
      </c>
      <c r="AO28" s="715">
        <f>SUMIF('Other Minerals - Q&amp;V'!$N$8:$N$250,'Q&amp;V CY 2004 to Now'!AO$7,'Other Minerals - Q&amp;V'!$J$8:$J$252)*1000</f>
        <v>5222.0609999999997</v>
      </c>
      <c r="AP28" s="715">
        <f>SUMIF('Other Minerals - Q&amp;V'!$N$8:$N$250,'Q&amp;V CY 2004 to Now'!AO$7,'Other Minerals - Q&amp;V'!$K$8:$K$252)*1000000</f>
        <v>258312381.99999997</v>
      </c>
      <c r="AQ28" s="720">
        <f ca="1">SUMIF($C$9:AP$10,1,$C28:AP28)</f>
        <v>97792.452999999994</v>
      </c>
      <c r="AR28" s="194">
        <f ca="1">SUMIF($C$9:AP$10,0,$C28:AP28)</f>
        <v>5090406833</v>
      </c>
      <c r="AS28" s="159"/>
      <c r="AT28" s="713"/>
      <c r="AU28" s="113"/>
      <c r="AV28" s="113"/>
      <c r="AW28" s="113"/>
      <c r="BA28" s="277"/>
      <c r="BB28" s="277"/>
    </row>
    <row r="29" spans="1:54" s="98" customFormat="1">
      <c r="A29" s="124"/>
      <c r="B29" s="127"/>
      <c r="C29" s="183"/>
      <c r="D29" s="183"/>
      <c r="E29" s="194"/>
      <c r="F29" s="194"/>
      <c r="G29" s="194"/>
      <c r="H29" s="194"/>
      <c r="I29" s="183"/>
      <c r="J29" s="183"/>
      <c r="K29" s="194"/>
      <c r="L29" s="194"/>
      <c r="M29" s="194"/>
      <c r="N29" s="194"/>
      <c r="O29" s="194"/>
      <c r="P29" s="194"/>
      <c r="Q29" s="194"/>
      <c r="R29" s="194"/>
      <c r="S29" s="194"/>
      <c r="T29" s="194"/>
      <c r="U29" s="194"/>
      <c r="V29" s="194"/>
      <c r="W29" s="194"/>
      <c r="X29" s="194"/>
      <c r="Y29" s="194"/>
      <c r="Z29" s="194"/>
      <c r="AA29" s="194"/>
      <c r="AB29" s="712"/>
      <c r="AC29" s="712"/>
      <c r="AD29" s="712"/>
      <c r="AE29" s="1580"/>
      <c r="AF29" s="1580"/>
      <c r="AG29" s="1580"/>
      <c r="AH29" s="1580"/>
      <c r="AI29" s="1580"/>
      <c r="AJ29" s="1580"/>
      <c r="AK29" s="712"/>
      <c r="AL29" s="712"/>
      <c r="AM29" s="712"/>
      <c r="AN29" s="712"/>
      <c r="AO29" s="712"/>
      <c r="AP29" s="712"/>
      <c r="AQ29" s="194"/>
      <c r="AR29" s="194"/>
      <c r="AS29" s="713"/>
      <c r="AT29" s="711"/>
      <c r="AU29" s="113"/>
      <c r="AV29" s="113"/>
      <c r="AW29" s="113"/>
      <c r="AZ29" s="202"/>
      <c r="BA29" s="202"/>
      <c r="BB29" s="202"/>
    </row>
    <row r="30" spans="1:54" s="98" customFormat="1">
      <c r="A30" s="118" t="s">
        <v>125</v>
      </c>
      <c r="B30" s="132"/>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709"/>
      <c r="AC30" s="709"/>
      <c r="AD30" s="709"/>
      <c r="AE30" s="1577"/>
      <c r="AF30" s="1577"/>
      <c r="AG30" s="1577"/>
      <c r="AH30" s="1577"/>
      <c r="AI30" s="1577"/>
      <c r="AJ30" s="1577"/>
      <c r="AK30" s="709"/>
      <c r="AL30" s="709"/>
      <c r="AM30" s="709"/>
      <c r="AN30" s="709"/>
      <c r="AO30" s="709"/>
      <c r="AP30" s="709"/>
      <c r="AQ30" s="197"/>
      <c r="AR30" s="197"/>
      <c r="AS30" s="713"/>
      <c r="AT30" s="711"/>
      <c r="AU30" s="113"/>
      <c r="AV30" s="113"/>
      <c r="AW30" s="113"/>
      <c r="AZ30" s="202"/>
      <c r="BA30" s="202"/>
      <c r="BB30" s="202"/>
    </row>
    <row r="31" spans="1:54" s="98" customFormat="1">
      <c r="A31" s="140" t="s">
        <v>216</v>
      </c>
      <c r="B31" s="223" t="s">
        <v>67</v>
      </c>
      <c r="C31" s="175">
        <v>438919.92</v>
      </c>
      <c r="D31" s="175">
        <v>3721753</v>
      </c>
      <c r="E31" s="197">
        <v>847864.56</v>
      </c>
      <c r="F31" s="197">
        <v>11198184</v>
      </c>
      <c r="G31" s="197">
        <v>1343612</v>
      </c>
      <c r="H31" s="197">
        <v>34323278</v>
      </c>
      <c r="I31" s="175">
        <v>1526310.94</v>
      </c>
      <c r="J31" s="175">
        <v>38398371</v>
      </c>
      <c r="K31" s="197">
        <v>2619510.9500000002</v>
      </c>
      <c r="L31" s="197">
        <v>65067523</v>
      </c>
      <c r="M31" s="197">
        <v>3067021.98</v>
      </c>
      <c r="N31" s="197">
        <v>82023027.300000012</v>
      </c>
      <c r="O31" s="197">
        <v>2367976.85</v>
      </c>
      <c r="P31" s="197">
        <v>57783933.350000001</v>
      </c>
      <c r="Q31" s="197">
        <v>2662483.5300000003</v>
      </c>
      <c r="R31" s="197">
        <v>61840425.085480474</v>
      </c>
      <c r="S31" s="197">
        <v>3996233.29</v>
      </c>
      <c r="T31" s="197">
        <v>128795715.78</v>
      </c>
      <c r="U31" s="197">
        <v>5527501.5200000014</v>
      </c>
      <c r="V31" s="197">
        <v>193222493.1379045</v>
      </c>
      <c r="W31" s="197">
        <v>4424394.8750000009</v>
      </c>
      <c r="X31" s="197">
        <v>155247936.1086098</v>
      </c>
      <c r="Y31" s="197">
        <v>1760644.7900000003</v>
      </c>
      <c r="Z31" s="197">
        <v>61630727.443872824</v>
      </c>
      <c r="AA31" s="718">
        <v>1080618.1740000001</v>
      </c>
      <c r="AB31" s="719">
        <v>35437613.085250005</v>
      </c>
      <c r="AC31" s="722">
        <v>1406421.9459999998</v>
      </c>
      <c r="AD31" s="722">
        <v>46870249.748304099</v>
      </c>
      <c r="AE31" s="1582">
        <v>1592560.6640000001</v>
      </c>
      <c r="AF31" s="1582">
        <v>50101908.401595332</v>
      </c>
      <c r="AG31" s="1582">
        <v>2378855</v>
      </c>
      <c r="AH31" s="1582">
        <v>73798099.035583675</v>
      </c>
      <c r="AI31" s="1582">
        <v>3498948.2439999995</v>
      </c>
      <c r="AJ31" s="1582">
        <v>86269067.118034661</v>
      </c>
      <c r="AK31" s="722">
        <v>2510162.5699999998</v>
      </c>
      <c r="AL31" s="722">
        <v>73341172.403082013</v>
      </c>
      <c r="AM31" s="722">
        <v>2465322.7949999999</v>
      </c>
      <c r="AN31" s="722">
        <v>73847523.706279874</v>
      </c>
      <c r="AO31" s="722">
        <v>3888524.669999999</v>
      </c>
      <c r="AP31" s="722">
        <v>143567078.32451004</v>
      </c>
      <c r="AQ31" s="197">
        <f ca="1">SUMIF($C$9:AP$10,1,$C31:AP31)</f>
        <v>45515364.597999997</v>
      </c>
      <c r="AR31" s="197">
        <f ca="1">SUMIF($C$9:AP$10,0,$C31:AP31)</f>
        <v>1332919000.7039971</v>
      </c>
      <c r="AS31" s="159"/>
      <c r="AT31" s="711"/>
      <c r="AU31" s="113"/>
      <c r="AV31" s="113"/>
      <c r="AW31" s="113"/>
      <c r="AZ31" s="202"/>
      <c r="BA31" s="202"/>
      <c r="BB31" s="202"/>
    </row>
    <row r="32" spans="1:54" s="98" customFormat="1">
      <c r="A32" s="140" t="s">
        <v>217</v>
      </c>
      <c r="B32" s="223" t="s">
        <v>67</v>
      </c>
      <c r="C32" s="175">
        <v>204635.72</v>
      </c>
      <c r="D32" s="175">
        <v>850481</v>
      </c>
      <c r="E32" s="197">
        <v>125718.55</v>
      </c>
      <c r="F32" s="197">
        <v>897176</v>
      </c>
      <c r="G32" s="197">
        <v>134269</v>
      </c>
      <c r="H32" s="197">
        <v>865579</v>
      </c>
      <c r="I32" s="175">
        <v>202620.14</v>
      </c>
      <c r="J32" s="175">
        <v>1499391.5</v>
      </c>
      <c r="K32" s="197">
        <v>145591.63999999998</v>
      </c>
      <c r="L32" s="197">
        <v>1321716.5</v>
      </c>
      <c r="M32" s="197">
        <v>188799.99</v>
      </c>
      <c r="N32" s="197">
        <v>1612635.5</v>
      </c>
      <c r="O32" s="197">
        <v>124505.59</v>
      </c>
      <c r="P32" s="197">
        <v>1021717.1</v>
      </c>
      <c r="Q32" s="197">
        <v>265338.94</v>
      </c>
      <c r="R32" s="197">
        <v>2360577.75</v>
      </c>
      <c r="S32" s="197">
        <v>448457.62000000005</v>
      </c>
      <c r="T32" s="197">
        <v>3317758.3</v>
      </c>
      <c r="U32" s="197">
        <v>393890.821</v>
      </c>
      <c r="V32" s="197">
        <v>3143046.1581358267</v>
      </c>
      <c r="W32" s="197">
        <v>222590.42999999996</v>
      </c>
      <c r="X32" s="197">
        <v>1427564.6991291926</v>
      </c>
      <c r="Y32" s="197">
        <v>159021.70999999996</v>
      </c>
      <c r="Z32" s="197">
        <v>1027390.2474311654</v>
      </c>
      <c r="AA32" s="718">
        <v>223961.78</v>
      </c>
      <c r="AB32" s="719">
        <v>1559054.8839840621</v>
      </c>
      <c r="AC32" s="722">
        <v>349224.78999999992</v>
      </c>
      <c r="AD32" s="722">
        <v>2463915.9711690433</v>
      </c>
      <c r="AE32" s="1582">
        <v>185831.80000000002</v>
      </c>
      <c r="AF32" s="1582">
        <v>2133893.6080478565</v>
      </c>
      <c r="AG32" s="1582">
        <v>202338.76999999996</v>
      </c>
      <c r="AH32" s="1582">
        <v>2867300.8017564085</v>
      </c>
      <c r="AI32" s="1582">
        <v>168340.99999999997</v>
      </c>
      <c r="AJ32" s="1582">
        <v>2063704.8133779177</v>
      </c>
      <c r="AK32" s="722">
        <v>334776.58600000001</v>
      </c>
      <c r="AL32" s="722">
        <v>2451140.8465159601</v>
      </c>
      <c r="AM32" s="722">
        <v>361045.51799999998</v>
      </c>
      <c r="AN32" s="722">
        <v>5254050.3506710334</v>
      </c>
      <c r="AO32" s="722">
        <v>295792.39999999967</v>
      </c>
      <c r="AP32" s="722">
        <v>2516743.0746334274</v>
      </c>
      <c r="AQ32" s="197">
        <f ca="1">SUMIF($C$9:AP$10,1,$C32:AP32)</f>
        <v>4440960.3949999996</v>
      </c>
      <c r="AR32" s="197">
        <f ca="1">SUMIF($C$9:AP$10,0,$C32:AP32)</f>
        <v>38138095.030218467</v>
      </c>
      <c r="AS32" s="159"/>
      <c r="AT32" s="711"/>
      <c r="AU32" s="113"/>
      <c r="AV32" s="113"/>
      <c r="AW32" s="113"/>
      <c r="AZ32" s="11"/>
      <c r="BA32" s="11"/>
      <c r="BB32" s="11"/>
    </row>
    <row r="33" spans="1:54" s="98" customFormat="1">
      <c r="A33" s="140" t="s">
        <v>218</v>
      </c>
      <c r="B33" s="223" t="s">
        <v>67</v>
      </c>
      <c r="C33" s="175">
        <v>329811.94</v>
      </c>
      <c r="D33" s="175">
        <v>1839366</v>
      </c>
      <c r="E33" s="197">
        <v>433744.37</v>
      </c>
      <c r="F33" s="197">
        <v>3558885</v>
      </c>
      <c r="G33" s="197">
        <v>525548</v>
      </c>
      <c r="H33" s="197">
        <v>4940420</v>
      </c>
      <c r="I33" s="175">
        <v>785965.24</v>
      </c>
      <c r="J33" s="175">
        <v>12530094</v>
      </c>
      <c r="K33" s="197">
        <v>1229299.4500000002</v>
      </c>
      <c r="L33" s="197">
        <v>19925191</v>
      </c>
      <c r="M33" s="197">
        <v>1136843.9099999999</v>
      </c>
      <c r="N33" s="197">
        <v>16099075</v>
      </c>
      <c r="O33" s="197">
        <v>449223.78</v>
      </c>
      <c r="P33" s="197">
        <v>7668172</v>
      </c>
      <c r="Q33" s="197">
        <v>303452.32</v>
      </c>
      <c r="R33" s="197">
        <v>2917833.25</v>
      </c>
      <c r="S33" s="197">
        <v>1019203.45</v>
      </c>
      <c r="T33" s="197">
        <v>22663022.960000001</v>
      </c>
      <c r="U33" s="197">
        <v>1224288.79</v>
      </c>
      <c r="V33" s="197">
        <v>19854062.227167632</v>
      </c>
      <c r="W33" s="197">
        <v>1503035.88</v>
      </c>
      <c r="X33" s="197">
        <v>40567868.965893194</v>
      </c>
      <c r="Y33" s="197">
        <v>831443.5399999998</v>
      </c>
      <c r="Z33" s="197">
        <v>18980936.590697806</v>
      </c>
      <c r="AA33" s="718">
        <v>281622.37</v>
      </c>
      <c r="AB33" s="719">
        <v>2686293.6999312122</v>
      </c>
      <c r="AC33" s="722">
        <v>673836.08000000019</v>
      </c>
      <c r="AD33" s="722">
        <v>10057323.480784893</v>
      </c>
      <c r="AE33" s="1582">
        <v>380617.07</v>
      </c>
      <c r="AF33" s="1582">
        <v>5396237.6638776669</v>
      </c>
      <c r="AG33" s="1582">
        <v>530922.23999999999</v>
      </c>
      <c r="AH33" s="1582">
        <v>8859059.7484897338</v>
      </c>
      <c r="AI33" s="1582">
        <v>369422.84499999997</v>
      </c>
      <c r="AJ33" s="1582">
        <v>5464775.7645661123</v>
      </c>
      <c r="AK33" s="722">
        <v>1063836.03</v>
      </c>
      <c r="AL33" s="722">
        <v>24175739.700140655</v>
      </c>
      <c r="AM33" s="722">
        <v>945138.48599999992</v>
      </c>
      <c r="AN33" s="722">
        <v>14899440.690612493</v>
      </c>
      <c r="AO33" s="722">
        <v>1740677.3050000002</v>
      </c>
      <c r="AP33" s="722">
        <v>37751785.346957147</v>
      </c>
      <c r="AQ33" s="197">
        <f ca="1">SUMIF($C$9:AP$10,1,$C33:AP33)</f>
        <v>14017255.790999999</v>
      </c>
      <c r="AR33" s="197">
        <f ca="1">SUMIF($C$9:AP$10,0,$C33:AP33)</f>
        <v>243083797.74216142</v>
      </c>
      <c r="AS33" s="159"/>
      <c r="AT33" s="711"/>
      <c r="AU33" s="113"/>
      <c r="AV33" s="113"/>
      <c r="AW33" s="113"/>
      <c r="AZ33" s="11"/>
      <c r="BA33" s="11"/>
      <c r="BB33" s="11"/>
    </row>
    <row r="34" spans="1:54" s="98" customFormat="1">
      <c r="A34" s="140" t="s">
        <v>219</v>
      </c>
      <c r="B34" s="223" t="s">
        <v>67</v>
      </c>
      <c r="C34" s="175">
        <v>2627705.5</v>
      </c>
      <c r="D34" s="175">
        <v>13231776.119999999</v>
      </c>
      <c r="E34" s="197">
        <v>3135474.1</v>
      </c>
      <c r="F34" s="197">
        <v>17517077.399999999</v>
      </c>
      <c r="G34" s="197">
        <v>3932959</v>
      </c>
      <c r="H34" s="197">
        <v>24019139</v>
      </c>
      <c r="I34" s="175">
        <v>4103626.72</v>
      </c>
      <c r="J34" s="175">
        <v>21867179.049999997</v>
      </c>
      <c r="K34" s="197">
        <v>3362306.3699999987</v>
      </c>
      <c r="L34" s="197">
        <v>25160242.099999998</v>
      </c>
      <c r="M34" s="197">
        <v>3872160.2800000003</v>
      </c>
      <c r="N34" s="197">
        <v>29499489.211281963</v>
      </c>
      <c r="O34" s="197">
        <v>3818957.6699999985</v>
      </c>
      <c r="P34" s="197">
        <v>29911942.450000003</v>
      </c>
      <c r="Q34" s="197">
        <v>5731340.4500000011</v>
      </c>
      <c r="R34" s="197">
        <v>45345204.100000001</v>
      </c>
      <c r="S34" s="197">
        <v>5889916.6280000014</v>
      </c>
      <c r="T34" s="197">
        <v>58176758.129999988</v>
      </c>
      <c r="U34" s="197">
        <v>6122052.9139999989</v>
      </c>
      <c r="V34" s="197">
        <v>70658809.262125134</v>
      </c>
      <c r="W34" s="197">
        <v>7319221.5520000001</v>
      </c>
      <c r="X34" s="197">
        <v>60563191.86682912</v>
      </c>
      <c r="Y34" s="197">
        <v>4908492.6119999997</v>
      </c>
      <c r="Z34" s="197">
        <v>47387315.39346265</v>
      </c>
      <c r="AA34" s="718">
        <v>2534115.838</v>
      </c>
      <c r="AB34" s="719">
        <v>26060988.999468166</v>
      </c>
      <c r="AC34" s="722">
        <v>2956031.5040000002</v>
      </c>
      <c r="AD34" s="722">
        <v>25950841.993039571</v>
      </c>
      <c r="AE34" s="1582">
        <v>3665674.1749999993</v>
      </c>
      <c r="AF34" s="1582">
        <v>29130554.796358045</v>
      </c>
      <c r="AG34" s="1582">
        <v>2200848.1899999981</v>
      </c>
      <c r="AH34" s="1582">
        <v>30129212.178078566</v>
      </c>
      <c r="AI34" s="1582">
        <v>2540215.5229999996</v>
      </c>
      <c r="AJ34" s="1582">
        <v>29538004.964658175</v>
      </c>
      <c r="AK34" s="722">
        <v>3782179.8689999995</v>
      </c>
      <c r="AL34" s="722">
        <v>42135716.676261894</v>
      </c>
      <c r="AM34" s="722">
        <v>4085430.0150000006</v>
      </c>
      <c r="AN34" s="722">
        <v>39347552.570674762</v>
      </c>
      <c r="AO34" s="722">
        <v>3505408.5869999989</v>
      </c>
      <c r="AP34" s="722">
        <v>38410187.88195961</v>
      </c>
      <c r="AQ34" s="197">
        <f ca="1">SUMIF($C$9:AP$10,1,$C34:AP34)</f>
        <v>76588708.909999982</v>
      </c>
      <c r="AR34" s="197">
        <f ca="1">SUMIF($C$9:AP$10,0,$C34:AP34)</f>
        <v>665630996.26223791</v>
      </c>
      <c r="AS34" s="159"/>
      <c r="AT34" s="711"/>
      <c r="AU34" s="113"/>
      <c r="AV34" s="113"/>
      <c r="AW34" s="113"/>
      <c r="AZ34" s="11"/>
      <c r="BA34" s="11"/>
      <c r="BB34" s="11"/>
    </row>
    <row r="35" spans="1:54" s="98" customFormat="1">
      <c r="A35" s="140" t="s">
        <v>32</v>
      </c>
      <c r="B35" s="119" t="s">
        <v>67</v>
      </c>
      <c r="C35" s="175" t="s">
        <v>165</v>
      </c>
      <c r="D35" s="175">
        <v>521019</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c r="Z35" s="197">
        <v>0</v>
      </c>
      <c r="AA35" s="197">
        <v>0</v>
      </c>
      <c r="AB35" s="197">
        <v>0</v>
      </c>
      <c r="AC35" s="197">
        <v>0</v>
      </c>
      <c r="AD35" s="197">
        <v>0</v>
      </c>
      <c r="AE35" s="1578">
        <v>0</v>
      </c>
      <c r="AF35" s="1578">
        <v>0</v>
      </c>
      <c r="AG35" s="1578">
        <v>0</v>
      </c>
      <c r="AH35" s="1578">
        <v>0</v>
      </c>
      <c r="AI35" s="1578">
        <v>0</v>
      </c>
      <c r="AJ35" s="1578">
        <v>0</v>
      </c>
      <c r="AK35" s="722">
        <v>0</v>
      </c>
      <c r="AL35" s="722">
        <v>0</v>
      </c>
      <c r="AM35" s="722">
        <v>0</v>
      </c>
      <c r="AN35" s="722">
        <v>0</v>
      </c>
      <c r="AO35" s="722">
        <v>0</v>
      </c>
      <c r="AP35" s="722">
        <v>0</v>
      </c>
      <c r="AQ35" s="197">
        <f ca="1">SUMIF($C$9:AP$10,1,$C35:AP35)</f>
        <v>0</v>
      </c>
      <c r="AR35" s="197">
        <f ca="1">SUMIF($C$9:AP$10,0,$C35:AP35)</f>
        <v>521019</v>
      </c>
      <c r="AS35" s="159"/>
      <c r="AT35" s="711"/>
      <c r="AU35" s="113"/>
      <c r="AV35" s="113"/>
      <c r="AW35" s="113"/>
      <c r="AZ35" s="11"/>
      <c r="BA35" s="11"/>
      <c r="BB35" s="11"/>
    </row>
    <row r="36" spans="1:54" s="98" customFormat="1">
      <c r="A36" s="138" t="s">
        <v>127</v>
      </c>
      <c r="B36" s="132"/>
      <c r="C36" s="197"/>
      <c r="D36" s="197">
        <f>SUM(D31:D35)</f>
        <v>20164395.119999997</v>
      </c>
      <c r="E36" s="197"/>
      <c r="F36" s="197">
        <f>SUM(F31:F35)</f>
        <v>33171322.399999999</v>
      </c>
      <c r="G36" s="197"/>
      <c r="H36" s="197">
        <f>SUM(H31:H35)</f>
        <v>64148416</v>
      </c>
      <c r="I36" s="175"/>
      <c r="J36" s="175">
        <f>SUM(J31:J35)</f>
        <v>74295035.549999997</v>
      </c>
      <c r="K36" s="197"/>
      <c r="L36" s="197">
        <f>SUM(L31:L35)</f>
        <v>111474672.59999999</v>
      </c>
      <c r="M36" s="197"/>
      <c r="N36" s="197">
        <f>SUM(N31:N35)</f>
        <v>129234227.01128197</v>
      </c>
      <c r="O36" s="197"/>
      <c r="P36" s="197">
        <f>SUM(P31:P35)</f>
        <v>96385764.900000006</v>
      </c>
      <c r="Q36" s="197"/>
      <c r="R36" s="197">
        <f>SUM(R31:R35)</f>
        <v>112464040.18548048</v>
      </c>
      <c r="S36" s="197"/>
      <c r="T36" s="197">
        <f>SUM(T31:T35)</f>
        <v>212953255.16999999</v>
      </c>
      <c r="U36" s="197"/>
      <c r="V36" s="197">
        <f>SUM(V31:V35)</f>
        <v>286878410.7853331</v>
      </c>
      <c r="W36" s="197"/>
      <c r="X36" s="197">
        <f>SUM(X31:X35)</f>
        <v>257806561.6404613</v>
      </c>
      <c r="Y36" s="197"/>
      <c r="Z36" s="197">
        <f>SUM(Z31:Z35)</f>
        <v>129026369.67546445</v>
      </c>
      <c r="AA36" s="718"/>
      <c r="AB36" s="719">
        <f>SUM(AB31:AB35)</f>
        <v>65743950.668633446</v>
      </c>
      <c r="AC36" s="722"/>
      <c r="AD36" s="722">
        <f>SUM(AD31:AD35)</f>
        <v>85342331.193297595</v>
      </c>
      <c r="AE36" s="1582"/>
      <c r="AF36" s="1582">
        <f>SUM(AF31:AF35)</f>
        <v>86762594.469878897</v>
      </c>
      <c r="AG36" s="1582"/>
      <c r="AH36" s="1582">
        <f>SUM(AH31:AH35)</f>
        <v>115653671.76390839</v>
      </c>
      <c r="AI36" s="1582"/>
      <c r="AJ36" s="1582">
        <f>SUM(AJ31:AJ35)</f>
        <v>123335552.66063686</v>
      </c>
      <c r="AK36" s="722"/>
      <c r="AL36" s="722">
        <f>SUM(AL31:AL35)</f>
        <v>142103769.62600052</v>
      </c>
      <c r="AM36" s="722"/>
      <c r="AN36" s="722">
        <f>SUM(AN31:AN35)</f>
        <v>133348567.31823817</v>
      </c>
      <c r="AO36" s="722"/>
      <c r="AP36" s="722">
        <f>SUM(AP31:AP35)</f>
        <v>222245794.62806022</v>
      </c>
      <c r="AQ36" s="197"/>
      <c r="AR36" s="197">
        <f ca="1">SUMIF($C$9:AP$10,0,$C36:AP36)</f>
        <v>2280292908.738615</v>
      </c>
      <c r="AS36" s="713"/>
      <c r="AT36" s="711"/>
      <c r="AU36" s="113"/>
      <c r="AV36" s="113"/>
      <c r="AW36" s="113"/>
      <c r="AZ36" s="11"/>
      <c r="BA36" s="11"/>
      <c r="BB36" s="11"/>
    </row>
    <row r="37" spans="1:54" s="98" customFormat="1">
      <c r="A37" s="138"/>
      <c r="B37" s="132"/>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709"/>
      <c r="AC37" s="709"/>
      <c r="AD37" s="709"/>
      <c r="AE37" s="1577"/>
      <c r="AF37" s="1577"/>
      <c r="AG37" s="1577"/>
      <c r="AH37" s="1577"/>
      <c r="AI37" s="1577"/>
      <c r="AJ37" s="1577"/>
      <c r="AK37" s="709"/>
      <c r="AL37" s="709"/>
      <c r="AM37" s="709"/>
      <c r="AN37" s="709"/>
      <c r="AO37" s="709"/>
      <c r="AP37" s="709"/>
      <c r="AQ37" s="197"/>
      <c r="AR37" s="197"/>
      <c r="AS37" s="713"/>
      <c r="AT37" s="711"/>
      <c r="AU37" s="113"/>
      <c r="AV37" s="113"/>
      <c r="AW37" s="113"/>
      <c r="AZ37" s="11"/>
      <c r="BA37" s="11"/>
      <c r="BB37" s="11"/>
    </row>
    <row r="38" spans="1:54" s="98" customFormat="1">
      <c r="A38" s="124" t="s">
        <v>128</v>
      </c>
      <c r="B38" s="123" t="s">
        <v>129</v>
      </c>
      <c r="C38" s="194">
        <f ca="1">SUMIF('Other Minerals - Q&amp;V'!$N17:$N259,'Q&amp;V CY 2004 to Now'!C$7,'Other Minerals - Q&amp;V'!$H17:$H253)*1000000</f>
        <v>24225123</v>
      </c>
      <c r="D38" s="194">
        <f ca="1">SUMIF('Other Minerals - Q&amp;V'!$N17:$N259,'Q&amp;V CY 2004 to Now'!C$7,'Other Minerals - Q&amp;V'!$I17:$I253)*1000000</f>
        <v>420744555</v>
      </c>
      <c r="E38" s="194">
        <f ca="1">SUMIF('Other Minerals - Q&amp;V'!$N17:$N259,'Q&amp;V CY 2004 to Now'!E$7,'Other Minerals - Q&amp;V'!$H17:$H253)*1000000</f>
        <v>34306878.999999993</v>
      </c>
      <c r="F38" s="194">
        <f ca="1">SUMIF('Other Minerals - Q&amp;V'!$N17:$N259,'Q&amp;V CY 2004 to Now'!E$7,'Other Minerals - Q&amp;V'!$I17:$I253)*1000000</f>
        <v>740148613</v>
      </c>
      <c r="G38" s="194">
        <f ca="1">SUMIF('Other Minerals - Q&amp;V'!$N17:$N259,'Q&amp;V CY 2004 to Now'!G$7,'Other Minerals - Q&amp;V'!$H17:$H253)*1000000</f>
        <v>17070388</v>
      </c>
      <c r="H38" s="194">
        <f ca="1">SUMIF('Other Minerals - Q&amp;V'!$N17:$N259,'Q&amp;V CY 2004 to Now'!G$7,'Other Minerals - Q&amp;V'!$I17:$I253)*1000000</f>
        <v>462457560.99999994</v>
      </c>
      <c r="I38" s="194">
        <f ca="1">SUMIF('Other Minerals - Q&amp;V'!$N17:$N259,'Q&amp;V CY 2004 to Now'!I$7,'Other Minerals - Q&amp;V'!$H17:$H253)*1000000</f>
        <v>23536777</v>
      </c>
      <c r="J38" s="194">
        <f ca="1">SUMIF('Other Minerals - Q&amp;V'!$N17:$N259,'Q&amp;V CY 2004 to Now'!I$7,'Other Minerals - Q&amp;V'!$I17:$I253)*1000000</f>
        <v>560730419.00000012</v>
      </c>
      <c r="K38" s="194">
        <f ca="1">SUMIF('Other Minerals - Q&amp;V'!$N17:$N259,'Q&amp;V CY 2004 to Now'!K$7,'Other Minerals - Q&amp;V'!$H17:$H253)*1000000</f>
        <v>35240545</v>
      </c>
      <c r="L38" s="194">
        <f ca="1">SUMIF('Other Minerals - Q&amp;V'!$N17:$N259,'Q&amp;V CY 2004 to Now'!K$7,'Other Minerals - Q&amp;V'!$I17:$I253)*1000000</f>
        <v>502741709</v>
      </c>
      <c r="M38" s="194">
        <f ca="1">SUMIF('Other Minerals - Q&amp;V'!$N17:$N259,'Q&amp;V CY 2004 to Now'!M$7,'Other Minerals - Q&amp;V'!$H17:$H253)*1000000</f>
        <v>11899603</v>
      </c>
      <c r="N38" s="194">
        <f ca="1">SUMIF('Other Minerals - Q&amp;V'!$N17:$N259,'Q&amp;V CY 2004 to Now'!M$7,'Other Minerals - Q&amp;V'!$I17:$I253)*1000000</f>
        <v>231502138</v>
      </c>
      <c r="O38" s="194">
        <f ca="1">SUMIF('Other Minerals - Q&amp;V'!$N17:$N259,'Q&amp;V CY 2004 to Now'!O$7,'Other Minerals - Q&amp;V'!$H17:$H253)*1000000</f>
        <v>14416656</v>
      </c>
      <c r="P38" s="194">
        <f ca="1">SUMIF('Other Minerals - Q&amp;V'!$N17:$N259,'Q&amp;V CY 2004 to Now'!O$7,'Other Minerals - Q&amp;V'!$I17:$I253)*1000000</f>
        <v>345543720.99999994</v>
      </c>
      <c r="Q38" s="194">
        <f ca="1">SUMIF('Other Minerals - Q&amp;V'!$N17:$N259,'Q&amp;V CY 2004 to Now'!Q$7,'Other Minerals - Q&amp;V'!$H17:$H253)*1000000</f>
        <v>7634725</v>
      </c>
      <c r="R38" s="194">
        <f ca="1">SUMIF('Other Minerals - Q&amp;V'!$N17:$N259,'Q&amp;V CY 2004 to Now'!Q$7,'Other Minerals - Q&amp;V'!$I17:$I253)*1000000</f>
        <v>291177856</v>
      </c>
      <c r="S38" s="194">
        <f ca="1">SUMIF('Other Minerals - Q&amp;V'!$N17:$N259,'Q&amp;V CY 2004 to Now'!S$7,'Other Minerals - Q&amp;V'!$H17:$H253)*1000000</f>
        <v>9878125</v>
      </c>
      <c r="T38" s="194">
        <f ca="1">SUMIF('Other Minerals - Q&amp;V'!$N17:$N259,'Q&amp;V CY 2004 to Now'!S$7,'Other Minerals - Q&amp;V'!$I17:$I253)*1000000</f>
        <v>350402676.00000006</v>
      </c>
      <c r="U38" s="194">
        <f ca="1">SUMIF('Other Minerals - Q&amp;V'!$N17:$N259,'Q&amp;V CY 2004 to Now'!U$7,'Other Minerals - Q&amp;V'!$H17:$H253)*1000000</f>
        <v>10694365.27</v>
      </c>
      <c r="V38" s="194">
        <f ca="1">SUMIF('Other Minerals - Q&amp;V'!$N17:$N259,'Q&amp;V CY 2004 to Now'!U$7,'Other Minerals - Q&amp;V'!$I17:$I253)*1000000</f>
        <v>389650511</v>
      </c>
      <c r="W38" s="194">
        <v>10629381.779999999</v>
      </c>
      <c r="X38" s="194">
        <v>370620755</v>
      </c>
      <c r="Y38" s="194">
        <v>12643318</v>
      </c>
      <c r="Z38" s="194">
        <f ca="1">SUMIF('Other Minerals - Q&amp;V'!$N17:$N259,'Q&amp;V CY 2004 to Now'!Y$7,'Other Minerals - Q&amp;V'!$I17:$I253)*1000000</f>
        <v>350487381</v>
      </c>
      <c r="AA38" s="194">
        <f ca="1">SUMIF('Other Minerals - Q&amp;V'!$N17:$N259,'Q&amp;V CY 2004 to Now'!AA$7,'Other Minerals - Q&amp;V'!$H17:$H253)*1000000</f>
        <v>9996252.0300000012</v>
      </c>
      <c r="AB38" s="712">
        <f ca="1">SUMIF('Other Minerals - Q&amp;V'!$N17:$N259,'Q&amp;V CY 2004 to Now'!AA$7,'Other Minerals - Q&amp;V'!$I17:$I253)*1000000</f>
        <v>277059195</v>
      </c>
      <c r="AC38" s="194">
        <f ca="1">SUMIF('Other Minerals - Q&amp;V'!$N17:$N259,'Q&amp;V CY 2004 to Now'!AC$7,'Other Minerals - Q&amp;V'!$H17:$H253)*1000000</f>
        <v>15477909.889999999</v>
      </c>
      <c r="AD38" s="712">
        <f ca="1">SUMIF('Other Minerals - Q&amp;V'!$N17:$N259,'Q&amp;V CY 2004 to Now'!AC$7,'Other Minerals - Q&amp;V'!$I17:$I253)*1000000</f>
        <v>267062677</v>
      </c>
      <c r="AE38" s="720">
        <f ca="1">SUMIF('Other Minerals - Q&amp;V'!$N17:$N259,'Q&amp;V CY 2004 to Now'!AE$7,'Other Minerals - Q&amp;V'!$H17:$H253)*1000000</f>
        <v>15977354.379999999</v>
      </c>
      <c r="AF38" s="1580">
        <f ca="1">SUMIF('Other Minerals - Q&amp;V'!$N17:$N259,'Q&amp;V CY 2004 to Now'!AE$7,'Other Minerals - Q&amp;V'!$I17:$I253)*1000000</f>
        <v>258785251.99999997</v>
      </c>
      <c r="AG38" s="1580">
        <f ca="1">SUMIF('Other Minerals - Q&amp;V'!$N17:$N259,'Q&amp;V CY 2004 to Now'!AG$7,'Other Minerals - Q&amp;V'!$H17:$H253)*1000000</f>
        <v>15763761.609999999</v>
      </c>
      <c r="AH38" s="1580">
        <f ca="1">SUMIF('Other Minerals - Q&amp;V'!$N17:$N259,'Q&amp;V CY 2004 to Now'!AG$7,'Other Minerals - Q&amp;V'!$I17:$I253)*1000000</f>
        <v>304278103</v>
      </c>
      <c r="AI38" s="1580">
        <f ca="1">SUMIF('Other Minerals - Q&amp;V'!$N17:$N259,'Q&amp;V CY 2004 to Now'!AI$7,'Other Minerals - Q&amp;V'!$H17:$H253)*1000000</f>
        <v>13911341.17</v>
      </c>
      <c r="AJ38" s="1580">
        <f ca="1">SUMIF('Other Minerals - Q&amp;V'!$N17:$N259,'Q&amp;V CY 2004 to Now'!AI$7,'Other Minerals - Q&amp;V'!$I17:$I253)*1000000</f>
        <v>190381171</v>
      </c>
      <c r="AK38" s="1580">
        <f ca="1">SUMIF('Other Minerals - Q&amp;V'!$N17:$N259,'Q&amp;V CY 2004 to Now'!AK$7,'Other Minerals - Q&amp;V'!$H17:$H253)*1000000</f>
        <v>67411.819999999992</v>
      </c>
      <c r="AL38" s="1580">
        <f ca="1">SUMIF('Other Minerals - Q&amp;V'!$N17:$N259,'Q&amp;V CY 2004 to Now'!AK$7,'Other Minerals - Q&amp;V'!$I17:$I253)*1000000</f>
        <v>2122740</v>
      </c>
      <c r="AM38" s="712">
        <f ca="1">SUMIF('Other Minerals - Q&amp;V'!$N17:$N259,'Q&amp;V CY 2004 to Now'!AM$7,'Other Minerals - Q&amp;V'!$H17:$H253)*1000000</f>
        <v>0</v>
      </c>
      <c r="AN38" s="712">
        <f ca="1">SUMIF('Other Minerals - Q&amp;V'!$N17:$N259,'Q&amp;V CY 2004 to Now'!AM$7,'Other Minerals - Q&amp;V'!$I17:$I253)*1000000</f>
        <v>0</v>
      </c>
      <c r="AO38" s="712">
        <f ca="1">SUMIF('Other Minerals - Q&amp;V'!$N17:$N259,'Q&amp;V CY 2004 to Now'!AO$7,'Other Minerals - Q&amp;V'!$H17:$H253)*1000000</f>
        <v>0</v>
      </c>
      <c r="AP38" s="712">
        <f ca="1">SUMIF('Other Minerals - Q&amp;V'!$N17:$N259,'Q&amp;V CY 2004 to Now'!AO$7,'Other Minerals - Q&amp;V'!$I17:$I253)*1000000</f>
        <v>0</v>
      </c>
      <c r="AQ38" s="194">
        <f ca="1">SUMIF($C$9:AP$10,1,$C38:AP38)</f>
        <v>283369916.94999999</v>
      </c>
      <c r="AR38" s="194">
        <f ca="1">SUMIF($C$9:AP$10,0,$C38:AP38)</f>
        <v>6315897033</v>
      </c>
      <c r="AS38" s="159"/>
      <c r="AT38" s="711"/>
      <c r="AU38" s="113"/>
      <c r="AV38" s="113"/>
      <c r="AW38" s="113"/>
      <c r="AZ38" s="11"/>
      <c r="BA38" s="11"/>
      <c r="BB38" s="11"/>
    </row>
    <row r="39" spans="1:54" s="98" customFormat="1">
      <c r="A39" s="131"/>
      <c r="B39" s="161"/>
      <c r="C39" s="194"/>
      <c r="D39" s="194"/>
      <c r="E39" s="194"/>
      <c r="F39" s="194"/>
      <c r="G39" s="194"/>
      <c r="H39" s="194"/>
      <c r="I39" s="183"/>
      <c r="J39" s="183"/>
      <c r="K39" s="194"/>
      <c r="L39" s="194"/>
      <c r="M39" s="194"/>
      <c r="N39" s="194"/>
      <c r="O39" s="194"/>
      <c r="P39" s="194"/>
      <c r="Q39" s="194"/>
      <c r="R39" s="194"/>
      <c r="S39" s="194"/>
      <c r="T39" s="194"/>
      <c r="U39" s="194"/>
      <c r="V39" s="194"/>
      <c r="W39" s="194"/>
      <c r="X39" s="194"/>
      <c r="Y39" s="194"/>
      <c r="Z39" s="194"/>
      <c r="AA39" s="194"/>
      <c r="AB39" s="712"/>
      <c r="AC39" s="712"/>
      <c r="AD39" s="712"/>
      <c r="AE39" s="1580"/>
      <c r="AF39" s="1580"/>
      <c r="AG39" s="1580"/>
      <c r="AH39" s="1580"/>
      <c r="AI39" s="1580"/>
      <c r="AJ39" s="1580"/>
      <c r="AK39" s="1580"/>
      <c r="AL39" s="1580"/>
      <c r="AM39" s="712"/>
      <c r="AN39" s="712"/>
      <c r="AO39" s="712"/>
      <c r="AP39" s="712"/>
      <c r="AQ39" s="194"/>
      <c r="AR39" s="194"/>
      <c r="AS39" s="713"/>
      <c r="AT39" s="711"/>
      <c r="AU39" s="113"/>
      <c r="AV39" s="113"/>
      <c r="AW39" s="113"/>
      <c r="AZ39" s="11"/>
      <c r="BA39" s="11"/>
      <c r="BB39" s="11"/>
    </row>
    <row r="40" spans="1:54" s="98" customFormat="1">
      <c r="A40" s="118" t="s">
        <v>131</v>
      </c>
      <c r="B40" s="1081" t="s">
        <v>67</v>
      </c>
      <c r="C40" s="197">
        <v>8669.94</v>
      </c>
      <c r="D40" s="197">
        <v>1793961</v>
      </c>
      <c r="E40" s="197">
        <v>6192.2939999999999</v>
      </c>
      <c r="F40" s="197">
        <v>1319717</v>
      </c>
      <c r="G40" s="197">
        <v>1932</v>
      </c>
      <c r="H40" s="197">
        <v>324543</v>
      </c>
      <c r="I40" s="175">
        <v>522.17999999999995</v>
      </c>
      <c r="J40" s="175">
        <v>140804</v>
      </c>
      <c r="K40" s="197">
        <v>1468.1200000000001</v>
      </c>
      <c r="L40" s="197">
        <v>312173</v>
      </c>
      <c r="M40" s="197">
        <v>5980.43</v>
      </c>
      <c r="N40" s="197">
        <v>333130</v>
      </c>
      <c r="O40" s="197">
        <v>5161.84</v>
      </c>
      <c r="P40" s="197">
        <v>728675</v>
      </c>
      <c r="Q40" s="197">
        <v>11281.03</v>
      </c>
      <c r="R40" s="197">
        <v>1074311.3999999999</v>
      </c>
      <c r="S40" s="197">
        <v>3497.88</v>
      </c>
      <c r="T40" s="197">
        <v>1513547</v>
      </c>
      <c r="U40" s="197">
        <v>4894.9399999999996</v>
      </c>
      <c r="V40" s="197">
        <v>1121013</v>
      </c>
      <c r="W40" s="197">
        <v>5931.1920000000009</v>
      </c>
      <c r="X40" s="197">
        <v>2813350.6658633249</v>
      </c>
      <c r="Y40" s="197">
        <v>5371.692</v>
      </c>
      <c r="Z40" s="197">
        <v>2299106.2127028769</v>
      </c>
      <c r="AA40" s="718">
        <v>4699.7999999999993</v>
      </c>
      <c r="AB40" s="719">
        <v>2026110.0224842213</v>
      </c>
      <c r="AC40" s="719">
        <v>5557.35</v>
      </c>
      <c r="AD40" s="719">
        <v>2311461.1762276404</v>
      </c>
      <c r="AE40" s="1583">
        <v>9372.1200000000008</v>
      </c>
      <c r="AF40" s="1583">
        <v>2652747.2359774797</v>
      </c>
      <c r="AG40" s="1583">
        <v>6395.3250000000007</v>
      </c>
      <c r="AH40" s="1583">
        <v>2190256.0341956574</v>
      </c>
      <c r="AI40" s="1583">
        <v>11533.182000000001</v>
      </c>
      <c r="AJ40" s="1583">
        <v>2642269.1784343659</v>
      </c>
      <c r="AK40" s="719">
        <v>7689.3540000000003</v>
      </c>
      <c r="AL40" s="719">
        <v>2774981</v>
      </c>
      <c r="AM40" s="719">
        <v>6721.5659999999998</v>
      </c>
      <c r="AN40" s="719">
        <v>2644628.953093145</v>
      </c>
      <c r="AO40" s="719">
        <v>4479.4179999999997</v>
      </c>
      <c r="AP40" s="719">
        <v>2922618.8</v>
      </c>
      <c r="AQ40" s="197">
        <f ca="1">SUMIF($C$9:AP$10,1,$C40:AP40)</f>
        <v>112872.23500000002</v>
      </c>
      <c r="AR40" s="197">
        <f ca="1">SUMIF($C$9:AP$10,0,$C40:AP40)</f>
        <v>31016784.878978711</v>
      </c>
      <c r="AS40" s="159"/>
      <c r="AT40" s="711"/>
      <c r="AU40" s="113"/>
      <c r="AV40" s="113"/>
      <c r="AW40" s="113"/>
      <c r="AZ40" s="11"/>
      <c r="BA40" s="11"/>
      <c r="BB40" s="11"/>
    </row>
    <row r="41" spans="1:54" s="98" customFormat="1">
      <c r="A41" s="138"/>
      <c r="B41" s="132"/>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082"/>
      <c r="AB41" s="1083"/>
      <c r="AC41" s="1083"/>
      <c r="AD41" s="1083"/>
      <c r="AE41" s="1348"/>
      <c r="AF41" s="1348"/>
      <c r="AG41" s="1348"/>
      <c r="AH41" s="1348"/>
      <c r="AI41" s="1348"/>
      <c r="AJ41" s="1348"/>
      <c r="AK41" s="1083"/>
      <c r="AL41" s="1083"/>
      <c r="AM41" s="1083"/>
      <c r="AN41" s="1083"/>
      <c r="AO41" s="1083"/>
      <c r="AP41" s="1083"/>
      <c r="AQ41" s="197"/>
      <c r="AR41" s="197"/>
      <c r="AS41" s="713"/>
      <c r="AT41" s="711"/>
      <c r="AU41" s="113"/>
      <c r="AV41" s="113"/>
      <c r="AW41" s="113"/>
      <c r="AZ41" s="11"/>
      <c r="BA41" s="11"/>
      <c r="BB41" s="11"/>
    </row>
    <row r="42" spans="1:54" s="98" customFormat="1">
      <c r="A42" s="124" t="s">
        <v>508</v>
      </c>
      <c r="B42" s="127" t="s">
        <v>93</v>
      </c>
      <c r="C42" s="183">
        <v>370275.9</v>
      </c>
      <c r="D42" s="183">
        <v>257986</v>
      </c>
      <c r="E42" s="194">
        <v>274497.34399999998</v>
      </c>
      <c r="F42" s="194">
        <v>227582</v>
      </c>
      <c r="G42" s="194">
        <v>321678</v>
      </c>
      <c r="H42" s="194">
        <v>267986</v>
      </c>
      <c r="I42" s="183">
        <v>263683.34000000003</v>
      </c>
      <c r="J42" s="183">
        <v>206222</v>
      </c>
      <c r="K42" s="194">
        <v>3007059.02</v>
      </c>
      <c r="L42" s="194">
        <v>402977.18</v>
      </c>
      <c r="M42" s="194">
        <v>387998.06</v>
      </c>
      <c r="N42" s="194">
        <v>317449</v>
      </c>
      <c r="O42" s="194">
        <v>508983.76</v>
      </c>
      <c r="P42" s="194">
        <v>364163</v>
      </c>
      <c r="Q42" s="194">
        <v>147262.32999999999</v>
      </c>
      <c r="R42" s="194">
        <v>133026</v>
      </c>
      <c r="S42" s="194">
        <v>274927.67199999996</v>
      </c>
      <c r="T42" s="194">
        <v>344291.28</v>
      </c>
      <c r="U42" s="194">
        <v>360320.48200000002</v>
      </c>
      <c r="V42" s="194">
        <v>464280</v>
      </c>
      <c r="W42" s="194">
        <v>664220.70200000005</v>
      </c>
      <c r="X42" s="194">
        <v>1346627</v>
      </c>
      <c r="Y42" s="194">
        <v>289145.21600000001</v>
      </c>
      <c r="Z42" s="194">
        <v>719571</v>
      </c>
      <c r="AA42" s="714">
        <v>185105.2764</v>
      </c>
      <c r="AB42" s="715">
        <v>391906</v>
      </c>
      <c r="AC42" s="715">
        <v>292294.93440000003</v>
      </c>
      <c r="AD42" s="715">
        <v>538643</v>
      </c>
      <c r="AE42" s="1353">
        <v>238438.598</v>
      </c>
      <c r="AF42" s="1353">
        <v>263357</v>
      </c>
      <c r="AG42" s="1353">
        <v>186702.95300000001</v>
      </c>
      <c r="AH42" s="1353">
        <v>442783</v>
      </c>
      <c r="AI42" s="1353">
        <v>179431.53000000003</v>
      </c>
      <c r="AJ42" s="1353">
        <v>352608</v>
      </c>
      <c r="AK42" s="715">
        <v>638936.56999999995</v>
      </c>
      <c r="AL42" s="715">
        <v>802349</v>
      </c>
      <c r="AM42" s="715">
        <v>525519.66</v>
      </c>
      <c r="AN42" s="715">
        <v>977379</v>
      </c>
      <c r="AO42" s="715">
        <v>371816.30800000002</v>
      </c>
      <c r="AP42" s="715">
        <v>1012850</v>
      </c>
      <c r="AQ42" s="194">
        <f ca="1">SUMIF($C$9:AP$10,1,$C42:AP42)</f>
        <v>9116481.3477999996</v>
      </c>
      <c r="AR42" s="194">
        <f ca="1">SUMIF($C$9:AP$10,0,$C42:AP42)</f>
        <v>8821185.4600000009</v>
      </c>
      <c r="AS42" s="159"/>
      <c r="AT42" s="711"/>
      <c r="AU42" s="113"/>
      <c r="AV42" s="113"/>
      <c r="AW42" s="113"/>
      <c r="AZ42" s="11"/>
      <c r="BA42" s="11"/>
      <c r="BB42" s="11"/>
    </row>
    <row r="43" spans="1:54" s="98" customFormat="1">
      <c r="A43" s="131"/>
      <c r="B43" s="161"/>
      <c r="C43" s="194"/>
      <c r="D43" s="194"/>
      <c r="E43" s="194"/>
      <c r="F43" s="194"/>
      <c r="G43" s="194"/>
      <c r="H43" s="194"/>
      <c r="I43" s="183"/>
      <c r="J43" s="183"/>
      <c r="K43" s="194"/>
      <c r="L43" s="194"/>
      <c r="M43" s="194"/>
      <c r="N43" s="194"/>
      <c r="O43" s="194"/>
      <c r="P43" s="194"/>
      <c r="Q43" s="194"/>
      <c r="R43" s="194"/>
      <c r="S43" s="194"/>
      <c r="T43" s="194"/>
      <c r="U43" s="194"/>
      <c r="V43" s="194"/>
      <c r="W43" s="194"/>
      <c r="X43" s="194"/>
      <c r="Y43" s="194"/>
      <c r="Z43" s="194"/>
      <c r="AA43" s="194"/>
      <c r="AB43" s="712"/>
      <c r="AC43" s="712"/>
      <c r="AD43" s="712"/>
      <c r="AE43" s="1580"/>
      <c r="AF43" s="1580"/>
      <c r="AG43" s="1580"/>
      <c r="AH43" s="1580"/>
      <c r="AI43" s="1580"/>
      <c r="AJ43" s="1580"/>
      <c r="AK43" s="712"/>
      <c r="AL43" s="712"/>
      <c r="AM43" s="712"/>
      <c r="AN43" s="712"/>
      <c r="AO43" s="712"/>
      <c r="AP43" s="712"/>
      <c r="AQ43" s="194"/>
      <c r="AR43" s="194"/>
      <c r="AS43" s="713"/>
      <c r="AT43" s="711"/>
      <c r="AU43" s="113"/>
      <c r="AV43" s="113"/>
      <c r="AW43" s="113"/>
      <c r="AZ43" s="11"/>
      <c r="BA43" s="11"/>
      <c r="BB43" s="11"/>
    </row>
    <row r="44" spans="1:54" s="98" customFormat="1">
      <c r="A44" s="118" t="s">
        <v>162</v>
      </c>
      <c r="B44" s="120" t="s">
        <v>93</v>
      </c>
      <c r="C44" s="197">
        <v>178958.9</v>
      </c>
      <c r="D44" s="197">
        <v>3199913329</v>
      </c>
      <c r="E44" s="197">
        <f>SUMIF('Gold - Q&amp;V'!$D8:$D250,'Q&amp;V CY 2004 to Now'!E7,'Gold - Q&amp;V'!$B8:$B250)*1000</f>
        <v>167285.32349000001</v>
      </c>
      <c r="F44" s="197">
        <f>SUMIF('Gold - Q&amp;V'!$D8:$D250,'Q&amp;V CY 2004 to Now'!E7,'Gold - Q&amp;V'!$C8:$C250)*1000000</f>
        <v>3144134798</v>
      </c>
      <c r="G44" s="197">
        <f>SUMIF('Gold - Q&amp;V'!$D8:$D250,'Q&amp;V CY 2004 to Now'!G7,'Gold - Q&amp;V'!$B8:$B250)*1000</f>
        <v>162969.09348999997</v>
      </c>
      <c r="H44" s="197">
        <f>SUMIF('Gold - Q&amp;V'!$D8:$D250,'Q&amp;V CY 2004 to Now'!G7,'Gold - Q&amp;V'!$C8:$C250)*1000000</f>
        <v>4208332570.0000005</v>
      </c>
      <c r="I44" s="197">
        <f>SUMIF('Gold - Q&amp;V'!$D8:$D250,'Q&amp;V CY 2004 to Now'!I7,'Gold - Q&amp;V'!$B8:$B250)*1000</f>
        <v>151448.83905999997</v>
      </c>
      <c r="J44" s="197">
        <f>SUMIF('Gold - Q&amp;V'!$D8:$D250,'Q&amp;V CY 2004 to Now'!I7,'Gold - Q&amp;V'!$C8:$C250)*1000000</f>
        <v>4039057729</v>
      </c>
      <c r="K44" s="197">
        <f>SUMIF('Gold - Q&amp;V'!$D8:$D250,'Q&amp;V CY 2004 to Now'!K7,'Gold - Q&amp;V'!$B8:$B250)*1000</f>
        <v>132074.25353000002</v>
      </c>
      <c r="L44" s="197">
        <f>SUMIF('Gold - Q&amp;V'!$D8:$D250,'Q&amp;V CY 2004 to Now'!K7,'Gold - Q&amp;V'!$C8:$C250)*1000000</f>
        <v>4399513068</v>
      </c>
      <c r="M44" s="197">
        <f>SUMIF('Gold - Q&amp;V'!$D8:$D250,'Q&amp;V CY 2004 to Now'!M7,'Gold - Q&amp;V'!$B8:$B250)*1000</f>
        <v>146427.91006000002</v>
      </c>
      <c r="N44" s="197">
        <f>SUMIF('Gold - Q&amp;V'!$D8:$D250,'Q&amp;V CY 2004 to Now'!M7,'Gold - Q&amp;V'!$C8:$C250)*1000000</f>
        <v>5814421613</v>
      </c>
      <c r="O44" s="197">
        <f>SUMIF('Gold - Q&amp;V'!$D8:$D250,'Q&amp;V CY 2004 to Now'!O7,'Gold - Q&amp;V'!$B8:$B250)*1000</f>
        <v>182899.55302999998</v>
      </c>
      <c r="P44" s="197">
        <f>SUMIF('Gold - Q&amp;V'!$D8:$D250,'Q&amp;V CY 2004 to Now'!O7,'Gold - Q&amp;V'!$C8:$C250)*1000000</f>
        <v>7849131459</v>
      </c>
      <c r="Q44" s="197">
        <f>SUMIF('Gold - Q&amp;V'!$D8:$D250,'Q&amp;V CY 2004 to Now'!Q7,'Gold - Q&amp;V'!$B8:$B250)*1000</f>
        <v>179608.17457</v>
      </c>
      <c r="R44" s="197">
        <f>SUMIF('Gold - Q&amp;V'!$D8:$D250,'Q&amp;V CY 2004 to Now'!Q7,'Gold - Q&amp;V'!$C8:$C250)*1000000</f>
        <v>8793892579</v>
      </c>
      <c r="S44" s="197">
        <f>SUMIF('Gold - Q&amp;V'!$D8:$D250,'Q&amp;V CY 2004 to Now'!S7,'Gold - Q&amp;V'!$B8:$B250)*1000</f>
        <v>181286.63516000001</v>
      </c>
      <c r="T44" s="197">
        <f>SUMIF('Gold - Q&amp;V'!$D8:$D250,'Q&amp;V CY 2004 to Now'!S7,'Gold - Q&amp;V'!$C8:$C250)*1000000</f>
        <v>9380306472</v>
      </c>
      <c r="U44" s="197">
        <f>SUMIF('Gold - Q&amp;V'!$D8:$D250,'Q&amp;V CY 2004 to Now'!U7,'Gold - Q&amp;V'!$B8:$B250)*1000</f>
        <v>187461.83645020105</v>
      </c>
      <c r="V44" s="197">
        <f>SUMIF('Gold - Q&amp;V'!$D8:$D250,'Q&amp;V CY 2004 to Now'!U7,'Gold - Q&amp;V'!$C8:$C250)*1000000</f>
        <v>8743033222.9999981</v>
      </c>
      <c r="W44" s="197">
        <f>SUMIF('Gold - Q&amp;V'!$D8:$D250,'Q&amp;V CY 2004 to Now'!W7,'Gold - Q&amp;V'!$B8:$B250)*1000</f>
        <v>194615.77561329442</v>
      </c>
      <c r="X44" s="197">
        <f>SUMIF('Gold - Q&amp;V'!$D8:$D250,'Q&amp;V CY 2004 to Now'!W7,'Gold - Q&amp;V'!$C8:$C250)*1000000</f>
        <v>8780646553.9999981</v>
      </c>
      <c r="Y44" s="197">
        <f>SUMIF('Gold - Q&amp;V'!$D8:$D250,'Q&amp;V CY 2004 to Now'!Y7,'Gold - Q&amp;V'!$B8:$B250)*1000</f>
        <v>194471.44014692839</v>
      </c>
      <c r="Z44" s="197">
        <f>SUMIF('Gold - Q&amp;V'!$D8:$D250,'Q&amp;V CY 2004 to Now'!Y7,'Gold - Q&amp;V'!$C8:$C250)*1000000</f>
        <v>9627651376.9999981</v>
      </c>
      <c r="AA44" s="197">
        <f>SUMIF('Gold - Q&amp;V'!$D8:$D250,'Q&amp;V CY 2004 to Now'!AA7,'Gold - Q&amp;V'!$B8:$B250)*1000</f>
        <v>197072.33863062316</v>
      </c>
      <c r="AB44" s="709">
        <f>SUMIF('Gold - Q&amp;V'!$D8:$D250,'Q&amp;V CY 2004 to Now'!AA7,'Gold - Q&amp;V'!$C8:$C250)*1000000</f>
        <v>10629362480</v>
      </c>
      <c r="AC44" s="709">
        <f>SUMIF('Gold - Q&amp;V'!$D8:$D250,'Q&amp;V CY 2004 to Now'!AC7,'Gold - Q&amp;V'!$B8:$B250)*1000</f>
        <v>210991.82809083629</v>
      </c>
      <c r="AD44" s="709">
        <f>SUMIF('Gold - Q&amp;V'!$D8:$D250,'Q&amp;V CY 2004 to Now'!AC7,'Gold - Q&amp;V'!$C8:$C250)*1000000</f>
        <v>11126621227</v>
      </c>
      <c r="AE44" s="1577">
        <f>SUMIF('Gold - Q&amp;V'!$D8:$D250,'Q&amp;V CY 2004 to Now'!AE7,'Gold - Q&amp;V'!$B8:$B250)*1000</f>
        <v>211095.98533001117</v>
      </c>
      <c r="AF44" s="1577">
        <f>SUMIF('Gold - Q&amp;V'!$D8:$D250,'Q&amp;V CY 2004 to Now'!AE7,'Gold - Q&amp;V'!$C8:$C250)*1000000</f>
        <v>11515697427.999998</v>
      </c>
      <c r="AG44" s="1577">
        <f>SUMIF('Gold - Q&amp;V'!$D8:$D250,'Q&amp;V CY 2004 to Now'!AG7,'Gold - Q&amp;V'!$B8:$B250)*1000</f>
        <v>213876.97104706595</v>
      </c>
      <c r="AH44" s="1577">
        <f>SUMIF('Gold - Q&amp;V'!$D8:$D250,'Q&amp;V CY 2004 to Now'!AG7,'Gold - Q&amp;V'!$C8:$C250)*1000000</f>
        <v>13810689890</v>
      </c>
      <c r="AI44" s="1577">
        <f>SUMIF('Gold - Q&amp;V'!$D8:$D250,'Q&amp;V CY 2004 to Now'!AI7,'Gold - Q&amp;V'!$B8:$B250)*1000</f>
        <v>209726.45486184585</v>
      </c>
      <c r="AJ44" s="1577">
        <f>SUMIF('Gold - Q&amp;V'!$D8:$D250,'Q&amp;V CY 2004 to Now'!AI7,'Gold - Q&amp;V'!$C8:$C250)*1000000</f>
        <v>17270493809</v>
      </c>
      <c r="AK44" s="709">
        <f>SUMIF('Gold - Q&amp;V'!$D8:$D250,'Q&amp;V CY 2004 to Now'!AK7,'Gold - Q&amp;V'!$B8:$B250)*1000</f>
        <v>207376.80836642938</v>
      </c>
      <c r="AL44" s="709">
        <f>SUMIF('Gold - Q&amp;V'!$D8:$D250,'Q&amp;V CY 2004 to Now'!AK7,'Gold - Q&amp;V'!$C8:$C250)*1000000</f>
        <v>15981479809.999996</v>
      </c>
      <c r="AM44" s="709">
        <f>SUMIF('Gold - Q&amp;V'!$D8:$D250,'Q&amp;V CY 2004 to Now'!AM7,'Gold - Q&amp;V'!$B8:$B250)*1000</f>
        <v>214541.88674208306</v>
      </c>
      <c r="AN44" s="709">
        <f>SUMIF('Gold - Q&amp;V'!$D8:$D250,'Q&amp;V CY 2004 to Now'!AM7,'Gold - Q&amp;V'!$C8:$C250)*1000000</f>
        <v>17875612414</v>
      </c>
      <c r="AO44" s="709">
        <f>SUMIF('Gold - Q&amp;V'!$D8:$D250,'Q&amp;V CY 2004 to Now'!AO7,'Gold - Q&amp;V'!$B8:$B250)*1000</f>
        <v>211216.41634369656</v>
      </c>
      <c r="AP44" s="709">
        <f>SUMIF('Gold - Q&amp;V'!$D8:$D250,'Q&amp;V CY 2004 to Now'!AO7,'Gold - Q&amp;V'!$C8:$C250)*1000000</f>
        <v>19890974642</v>
      </c>
      <c r="AQ44" s="197">
        <f ca="1">SUMIF($C$9:AP$10,1,$C44:AP44)</f>
        <v>3524190.0076693189</v>
      </c>
      <c r="AR44" s="197">
        <f ca="1">SUMIF($C$9:AP$10,0,$C44:AP44)</f>
        <v>176189991829</v>
      </c>
      <c r="AS44" s="159"/>
      <c r="AT44" s="711"/>
      <c r="AU44" s="113"/>
      <c r="AV44" s="113"/>
      <c r="AW44" s="113"/>
      <c r="AZ44" s="11"/>
      <c r="BA44" s="11"/>
      <c r="BB44" s="11"/>
    </row>
    <row r="45" spans="1:54" s="98" customFormat="1">
      <c r="A45" s="133"/>
      <c r="B45" s="119"/>
      <c r="C45" s="175"/>
      <c r="D45" s="175"/>
      <c r="E45" s="197"/>
      <c r="F45" s="197"/>
      <c r="G45" s="197"/>
      <c r="H45" s="197"/>
      <c r="I45" s="175"/>
      <c r="J45" s="175"/>
      <c r="K45" s="197"/>
      <c r="L45" s="197"/>
      <c r="M45" s="197"/>
      <c r="N45" s="197"/>
      <c r="O45" s="197"/>
      <c r="P45" s="197"/>
      <c r="Q45" s="197"/>
      <c r="R45" s="197"/>
      <c r="S45" s="197"/>
      <c r="T45" s="197"/>
      <c r="U45" s="197"/>
      <c r="V45" s="197"/>
      <c r="W45" s="197"/>
      <c r="X45" s="197"/>
      <c r="Y45" s="1084"/>
      <c r="Z45" s="1084"/>
      <c r="AA45" s="1084"/>
      <c r="AB45" s="1085"/>
      <c r="AC45" s="1085"/>
      <c r="AD45" s="1085"/>
      <c r="AE45" s="1349"/>
      <c r="AF45" s="1349"/>
      <c r="AG45" s="1349"/>
      <c r="AH45" s="1349"/>
      <c r="AI45" s="1349"/>
      <c r="AJ45" s="1349"/>
      <c r="AK45" s="1674"/>
      <c r="AL45" s="1674"/>
      <c r="AM45" s="1674"/>
      <c r="AN45" s="1674"/>
      <c r="AO45" s="1674"/>
      <c r="AP45" s="1674"/>
      <c r="AQ45" s="197"/>
      <c r="AR45" s="197"/>
      <c r="AS45" s="713"/>
      <c r="AT45" s="711"/>
      <c r="AU45" s="113"/>
      <c r="AV45" s="113"/>
      <c r="AW45" s="113"/>
      <c r="AZ45" s="11"/>
      <c r="BA45" s="11"/>
      <c r="BB45" s="11"/>
    </row>
    <row r="46" spans="1:54" s="98" customFormat="1">
      <c r="A46" s="124" t="s">
        <v>164</v>
      </c>
      <c r="B46" s="184" t="s">
        <v>67</v>
      </c>
      <c r="C46" s="183">
        <v>1578043</v>
      </c>
      <c r="D46" s="183">
        <v>26207706.609999999</v>
      </c>
      <c r="E46" s="194">
        <v>1406082</v>
      </c>
      <c r="F46" s="194">
        <v>23112327.91</v>
      </c>
      <c r="G46" s="194">
        <v>1548611</v>
      </c>
      <c r="H46" s="194">
        <v>28127147.52</v>
      </c>
      <c r="I46" s="183">
        <v>1281736</v>
      </c>
      <c r="J46" s="183">
        <v>20753890.079999998</v>
      </c>
      <c r="K46" s="194">
        <v>914370</v>
      </c>
      <c r="L46" s="194">
        <v>15420741</v>
      </c>
      <c r="M46" s="194">
        <v>784374</v>
      </c>
      <c r="N46" s="194">
        <v>17122457</v>
      </c>
      <c r="O46" s="194">
        <v>891282</v>
      </c>
      <c r="P46" s="194">
        <v>17145292</v>
      </c>
      <c r="Q46" s="194">
        <v>357356</v>
      </c>
      <c r="R46" s="194">
        <v>5674505</v>
      </c>
      <c r="S46" s="194">
        <v>245829</v>
      </c>
      <c r="T46" s="194">
        <v>3850828</v>
      </c>
      <c r="U46" s="194">
        <v>1635755.3099999998</v>
      </c>
      <c r="V46" s="194">
        <v>31723360.504294485</v>
      </c>
      <c r="W46" s="194">
        <v>627753.75999999989</v>
      </c>
      <c r="X46" s="194">
        <v>12684340.936495107</v>
      </c>
      <c r="Y46" s="194">
        <v>579166.68599999987</v>
      </c>
      <c r="Z46" s="194">
        <v>13462618.806845283</v>
      </c>
      <c r="AA46" s="714">
        <v>489864.67499999981</v>
      </c>
      <c r="AB46" s="715">
        <v>12930513.279020583</v>
      </c>
      <c r="AC46" s="715">
        <v>683217.70700000017</v>
      </c>
      <c r="AD46" s="715">
        <v>17721481.75746718</v>
      </c>
      <c r="AE46" s="1353">
        <v>855350.88000000024</v>
      </c>
      <c r="AF46" s="1353">
        <v>21810577.406521793</v>
      </c>
      <c r="AG46" s="1353">
        <v>1070831.45</v>
      </c>
      <c r="AH46" s="1353">
        <v>26024308.277875733</v>
      </c>
      <c r="AI46" s="1353">
        <v>510295.75000000012</v>
      </c>
      <c r="AJ46" s="1353">
        <v>11849022.946307547</v>
      </c>
      <c r="AK46" s="715">
        <v>1013893.525</v>
      </c>
      <c r="AL46" s="715">
        <v>22787509.552097738</v>
      </c>
      <c r="AM46" s="715">
        <v>1439376.7299999997</v>
      </c>
      <c r="AN46" s="715">
        <v>35387905.471428931</v>
      </c>
      <c r="AO46" s="715">
        <v>1563476.8900000006</v>
      </c>
      <c r="AP46" s="715">
        <v>43628452</v>
      </c>
      <c r="AQ46" s="194">
        <f ca="1">SUMIF($C$9:AP$10,1,$C46:AP46)</f>
        <v>17913189.473000001</v>
      </c>
      <c r="AR46" s="194">
        <f ca="1">SUMIF($C$9:AP$10,0,$C46:AP46)</f>
        <v>363796534.05835438</v>
      </c>
      <c r="AS46" s="159"/>
      <c r="AT46" s="711"/>
      <c r="AU46" s="113"/>
      <c r="AV46" s="113"/>
      <c r="AW46" s="113"/>
      <c r="AZ46" s="11"/>
      <c r="BA46" s="11"/>
      <c r="BB46" s="11"/>
    </row>
    <row r="47" spans="1:54" s="98" customFormat="1">
      <c r="A47" s="124"/>
      <c r="B47" s="127"/>
      <c r="C47" s="183"/>
      <c r="D47" s="183"/>
      <c r="E47" s="194"/>
      <c r="F47" s="194"/>
      <c r="G47" s="194"/>
      <c r="H47" s="194"/>
      <c r="I47" s="183"/>
      <c r="J47" s="183"/>
      <c r="K47" s="194"/>
      <c r="L47" s="194"/>
      <c r="M47" s="194"/>
      <c r="N47" s="194"/>
      <c r="O47" s="194"/>
      <c r="P47" s="194"/>
      <c r="Q47" s="194"/>
      <c r="R47" s="194"/>
      <c r="S47" s="194"/>
      <c r="T47" s="194"/>
      <c r="U47" s="194"/>
      <c r="V47" s="194"/>
      <c r="W47" s="194"/>
      <c r="X47" s="194"/>
      <c r="Y47" s="194"/>
      <c r="Z47" s="194"/>
      <c r="AA47" s="194"/>
      <c r="AB47" s="712"/>
      <c r="AC47" s="712"/>
      <c r="AD47" s="712"/>
      <c r="AE47" s="1580"/>
      <c r="AF47" s="1580"/>
      <c r="AG47" s="1580"/>
      <c r="AH47" s="1580"/>
      <c r="AI47" s="1580"/>
      <c r="AJ47" s="1580"/>
      <c r="AK47" s="712"/>
      <c r="AL47" s="712"/>
      <c r="AM47" s="712"/>
      <c r="AN47" s="712"/>
      <c r="AO47" s="712"/>
      <c r="AP47" s="712"/>
      <c r="AQ47" s="194"/>
      <c r="AR47" s="194"/>
      <c r="AS47" s="713"/>
      <c r="AT47" s="711"/>
      <c r="AU47" s="113"/>
      <c r="AV47" s="113"/>
      <c r="AW47" s="113"/>
      <c r="AZ47" s="11"/>
      <c r="BA47" s="11"/>
      <c r="BB47" s="11"/>
    </row>
    <row r="48" spans="1:54" s="98" customFormat="1">
      <c r="A48" s="118" t="s">
        <v>176</v>
      </c>
      <c r="B48" s="120" t="s">
        <v>67</v>
      </c>
      <c r="C48" s="197">
        <f>SUMIF('Iron Ore - Q&amp;V'!$D8:$D250,'Q&amp;V CY 2004 to Now'!C7,'Iron Ore - Q&amp;V'!$B8:$B250)*1000000</f>
        <v>213531629.07000002</v>
      </c>
      <c r="D48" s="197">
        <f>SUMIF('Iron Ore - Q&amp;V'!$D8:$D250,'Q&amp;V CY 2004 to Now'!C7,'Iron Ore - Q&amp;V'!$C8:$C250)*1000000</f>
        <v>6192976319.1399994</v>
      </c>
      <c r="E48" s="197">
        <f>SUMIF('Iron Ore - Q&amp;V'!$D8:$D250,'Q&amp;V CY 2004 to Now'!E7,'Iron Ore - Q&amp;V'!$B8:$B250)*1000000</f>
        <v>240501673.69000003</v>
      </c>
      <c r="F48" s="197">
        <f>SUMIF('Iron Ore - Q&amp;V'!$D8:$D250,'Q&amp;V CY 2004 to Now'!E7,'Iron Ore - Q&amp;V'!$C8:$C250)*1000000</f>
        <v>11308717944.99</v>
      </c>
      <c r="G48" s="197">
        <f>SUMIF('Iron Ore - Q&amp;V'!$D8:$D250,'Q&amp;V CY 2004 to Now'!G7,'Iron Ore - Q&amp;V'!$B8:$B250)*1000000</f>
        <v>250325766.36199999</v>
      </c>
      <c r="H48" s="197">
        <f>SUMIF('Iron Ore - Q&amp;V'!$D8:$D250,'Q&amp;V CY 2004 to Now'!G7,'Iron Ore - Q&amp;V'!$C8:$C250)*1000000</f>
        <v>14780092745.67</v>
      </c>
      <c r="I48" s="197">
        <f>SUMIF('Iron Ore - Q&amp;V'!$D8:$D250,'Q&amp;V CY 2004 to Now'!I7,'Iron Ore - Q&amp;V'!$B8:$B250)*1000000</f>
        <v>264449152.05099994</v>
      </c>
      <c r="J48" s="197">
        <f>SUMIF('Iron Ore - Q&amp;V'!$D8:$D250,'Q&amp;V CY 2004 to Now'!I7,'Iron Ore - Q&amp;V'!$C8:$C250)*1000000</f>
        <v>16135903953.440001</v>
      </c>
      <c r="K48" s="197">
        <f>SUMIF('Iron Ore - Q&amp;V'!$D8:$D250,'Q&amp;V CY 2004 to Now'!K7,'Iron Ore - Q&amp;V'!$B8:$B250)*1000000</f>
        <v>305884472.68200004</v>
      </c>
      <c r="L48" s="197">
        <f>SUMIF('Iron Ore - Q&amp;V'!$D8:$D250,'Q&amp;V CY 2004 to Now'!K7,'Iron Ore - Q&amp;V'!$C8:$C250)*1000000</f>
        <v>31909855018.219997</v>
      </c>
      <c r="M48" s="197">
        <f>SUMIF('Iron Ore - Q&amp;V'!$D8:$D250,'Q&amp;V CY 2004 to Now'!M7,'Iron Ore - Q&amp;V'!$B8:$B250)*1000000</f>
        <v>356069646.30899996</v>
      </c>
      <c r="N48" s="197">
        <f>SUMIF('Iron Ore - Q&amp;V'!$D8:$D250,'Q&amp;V CY 2004 to Now'!M7,'Iron Ore - Q&amp;V'!$C8:$C250)*1000000</f>
        <v>28133427135.669998</v>
      </c>
      <c r="O48" s="197">
        <f>SUMIF('Iron Ore - Q&amp;V'!$D8:$D250,'Q&amp;V CY 2004 to Now'!O7,'Iron Ore - Q&amp;V'!$B8:$B250)*1000000</f>
        <v>393851157.06600004</v>
      </c>
      <c r="P48" s="197">
        <f>SUMIF('Iron Ore - Q&amp;V'!$D8:$D250,'Q&amp;V CY 2004 to Now'!O7,'Iron Ore - Q&amp;V'!$C8:$C250)*1000000</f>
        <v>50262149327.229996</v>
      </c>
      <c r="Q48" s="197">
        <f>SUMIF('Iron Ore - Q&amp;V'!$D8:$D250,'Q&amp;V CY 2004 to Now'!Q7,'Iron Ore - Q&amp;V'!$B8:$B250)*1000000</f>
        <v>426672879.69499999</v>
      </c>
      <c r="R48" s="197">
        <f>SUMIF('Iron Ore - Q&amp;V'!$D8:$D250,'Q&amp;V CY 2004 to Now'!Q7,'Iron Ore - Q&amp;V'!$C8:$C250)*1000000</f>
        <v>62863290517.729996</v>
      </c>
      <c r="S48" s="197">
        <f>SUMIF('Iron Ore - Q&amp;V'!$D8:$D250,'Q&amp;V CY 2004 to Now'!S7,'Iron Ore - Q&amp;V'!$B8:$B250)*1000000</f>
        <v>478326216.88999999</v>
      </c>
      <c r="T48" s="197">
        <f>SUMIF('Iron Ore - Q&amp;V'!$D8:$D250,'Q&amp;V CY 2004 to Now'!S7,'Iron Ore - Q&amp;V'!$C8:$C250)*1000000</f>
        <v>52823916640.019997</v>
      </c>
      <c r="U48" s="197">
        <f>SUMIF('Iron Ore - Q&amp;V'!$D8:$D250,'Q&amp;V CY 2004 to Now'!U7,'Iron Ore - Q&amp;V'!$B8:$B250)*1000000</f>
        <v>544937833.37199998</v>
      </c>
      <c r="V48" s="197">
        <f>SUMIF('Iron Ore - Q&amp;V'!$D8:$D250,'Q&amp;V CY 2004 to Now'!U7,'Iron Ore - Q&amp;V'!$C8:$C250)*1000000</f>
        <v>71124725320</v>
      </c>
      <c r="W48" s="197">
        <f>SUMIF('Iron Ore - Q&amp;V'!$D8:$D250,'Q&amp;V CY 2004 to Now'!W7,'Iron Ore - Q&amp;V'!$B8:$B250)*1000000</f>
        <v>686233153.13900006</v>
      </c>
      <c r="X48" s="197">
        <f>SUMIF('Iron Ore - Q&amp;V'!$D8:$D250,'Q&amp;V CY 2004 to Now'!W7,'Iron Ore - Q&amp;V'!$C8:$C250)*1000000</f>
        <v>65059737040</v>
      </c>
      <c r="Y48" s="197">
        <f>SUMIF('Iron Ore - Q&amp;V'!$D8:$D250,'Q&amp;V CY 2004 to Now'!Y7,'Iron Ore - Q&amp;V'!$B8:$B250)*1000000</f>
        <v>742409840.3160001</v>
      </c>
      <c r="Z48" s="197">
        <f>SUMIF('Iron Ore - Q&amp;V'!$D8:$D250,'Q&amp;V CY 2004 to Now'!Y7,'Iron Ore - Q&amp;V'!$C8:$C250)*1000000</f>
        <v>49630774951</v>
      </c>
      <c r="AA48" s="197">
        <f>SUMIF('Iron Ore - Q&amp;V'!$D8:$D250,'Q&amp;V CY 2004 to Now'!AA7,'Iron Ore - Q&amp;V'!$B8:$B250)*1000000</f>
        <v>769277521.005</v>
      </c>
      <c r="AB48" s="709">
        <f>SUMIF('Iron Ore - Q&amp;V'!$D8:$D250,'Q&amp;V CY 2004 to Now'!AA7,'Iron Ore - Q&amp;V'!$C8:$C250)*1000000</f>
        <v>55609172696.999992</v>
      </c>
      <c r="AC48" s="709">
        <f>SUMIF('Iron Ore - Q&amp;V'!$D8:$D250,'Q&amp;V CY 2004 to Now'!AC7,'Iron Ore - Q&amp;V'!$B8:$B250)*1000000</f>
        <v>814120944.74599981</v>
      </c>
      <c r="AD48" s="709">
        <f>SUMIF('Iron Ore - Q&amp;V'!$D8:$D250,'Q&amp;V CY 2004 to Now'!AC7,'Iron Ore - Q&amp;V'!$C8:$C250)*1000000</f>
        <v>63830848204.999985</v>
      </c>
      <c r="AE48" s="1577">
        <f>SUMIF('Iron Ore - Q&amp;V'!$D8:$D250,'Q&amp;V CY 2004 to Now'!AE7,'Iron Ore - Q&amp;V'!$B8:$B250)*1000000</f>
        <v>813577818.96700001</v>
      </c>
      <c r="AF48" s="1577">
        <f>SUMIF('Iron Ore - Q&amp;V'!$D8:$D250,'Q&amp;V CY 2004 to Now'!AE7,'Iron Ore - Q&amp;V'!$C8:$C250)*1000000</f>
        <v>65755563037.999992</v>
      </c>
      <c r="AG48" s="1577">
        <f>SUMIF('Iron Ore - Q&amp;V'!$D8:$D250,'Q&amp;V CY 2004 to Now'!AG7,'Iron Ore - Q&amp;V'!$B8:$B250)*1000000</f>
        <v>811787886.45099986</v>
      </c>
      <c r="AH48" s="1577">
        <f>SUMIF('Iron Ore - Q&amp;V'!$D8:$D250,'Q&amp;V CY 2004 to Now'!AG7,'Iron Ore - Q&amp;V'!$C8:$C250)*1000000</f>
        <v>99729341920</v>
      </c>
      <c r="AI48" s="1577">
        <f>SUMIF('Iron Ore - Q&amp;V'!$D8:$D250,'Q&amp;V CY 2004 to Now'!AI7,'Iron Ore - Q&amp;V'!$B8:$B250)*1000000</f>
        <v>847132426.77499998</v>
      </c>
      <c r="AJ48" s="1577">
        <f>SUMIF('Iron Ore - Q&amp;V'!$D8:$D250,'Q&amp;V CY 2004 to Now'!AI7,'Iron Ore - Q&amp;V'!$C8:$C250)*1000000</f>
        <v>118437941051</v>
      </c>
      <c r="AK48" s="709">
        <f>SUMIF('Iron Ore - Q&amp;V'!$D8:$D250,'Q&amp;V CY 2004 to Now'!AK7,'Iron Ore - Q&amp;V'!$B8:$B250)*1000000</f>
        <v>838291914.62299991</v>
      </c>
      <c r="AL48" s="709">
        <f>SUMIF('Iron Ore - Q&amp;V'!$D8:$D250,'Q&amp;V CY 2004 to Now'!AK7,'Iron Ore - Q&amp;V'!$C8:$C250)*1000000</f>
        <v>157824714034.99997</v>
      </c>
      <c r="AM48" s="709">
        <f>SUMIF('Iron Ore - Q&amp;V'!$D8:$D250,'Q&amp;V CY 2004 to Now'!AM7,'Iron Ore - Q&amp;V'!$B8:$B250)*1000000</f>
        <v>855845373.84100008</v>
      </c>
      <c r="AN48" s="709">
        <f>SUMIF('Iron Ore - Q&amp;V'!$D8:$D250,'Q&amp;V CY 2004 to Now'!AM7,'Iron Ore - Q&amp;V'!$C8:$C250)*1000000</f>
        <v>127522611954</v>
      </c>
      <c r="AO48" s="709">
        <f>SUMIF('Iron Ore - Q&amp;V'!$D8:$D250,'Q&amp;V CY 2004 to Now'!AO7,'Iron Ore - Q&amp;V'!$B8:$B250)*1000000</f>
        <v>859522556.9519999</v>
      </c>
      <c r="AP48" s="709">
        <f>SUMIF('Iron Ore - Q&amp;V'!$D8:$D250,'Q&amp;V CY 2004 to Now'!AO7,'Iron Ore - Q&amp;V'!$C8:$C250)*1000000</f>
        <v>139059529575</v>
      </c>
      <c r="AQ48" s="197">
        <f ca="1">SUMIF($C$9:AP$10,1,$C48:AP48)</f>
        <v>10653227307.049999</v>
      </c>
      <c r="AR48" s="197">
        <f ca="1">SUMIF($C$9:AP$10,0,$C48:AP48)</f>
        <v>1148935759813.1099</v>
      </c>
      <c r="AS48" s="159"/>
      <c r="AT48" s="711"/>
      <c r="AU48" s="113"/>
      <c r="AV48" s="113"/>
      <c r="AW48" s="113"/>
      <c r="BA48" s="11"/>
      <c r="BB48" s="11"/>
    </row>
    <row r="49" spans="1:54" s="98" customFormat="1">
      <c r="A49" s="138"/>
      <c r="B49" s="134"/>
      <c r="C49" s="197"/>
      <c r="D49" s="197"/>
      <c r="E49" s="197"/>
      <c r="F49" s="197"/>
      <c r="G49" s="197"/>
      <c r="H49" s="197"/>
      <c r="I49" s="175"/>
      <c r="J49" s="175"/>
      <c r="K49" s="197"/>
      <c r="L49" s="197"/>
      <c r="M49" s="197"/>
      <c r="N49" s="197"/>
      <c r="O49" s="197"/>
      <c r="P49" s="197"/>
      <c r="Q49" s="197"/>
      <c r="R49" s="197"/>
      <c r="S49" s="197"/>
      <c r="T49" s="197"/>
      <c r="U49" s="197"/>
      <c r="V49" s="197"/>
      <c r="W49" s="197"/>
      <c r="X49" s="197"/>
      <c r="Y49" s="197"/>
      <c r="Z49" s="197"/>
      <c r="AA49" s="197"/>
      <c r="AB49" s="709"/>
      <c r="AC49" s="709"/>
      <c r="AD49" s="709"/>
      <c r="AE49" s="1577"/>
      <c r="AF49" s="1577"/>
      <c r="AG49" s="1577"/>
      <c r="AH49" s="1577"/>
      <c r="AI49" s="1577"/>
      <c r="AJ49" s="1577"/>
      <c r="AK49" s="709"/>
      <c r="AL49" s="709"/>
      <c r="AM49" s="709"/>
      <c r="AN49" s="709"/>
      <c r="AO49" s="709"/>
      <c r="AP49" s="709"/>
      <c r="AQ49" s="197"/>
      <c r="AR49" s="197"/>
      <c r="AS49" s="713"/>
      <c r="AT49" s="711"/>
      <c r="AU49" s="113"/>
      <c r="AV49" s="113"/>
      <c r="AW49" s="113"/>
      <c r="BA49" s="11"/>
      <c r="BB49" s="11"/>
    </row>
    <row r="50" spans="1:54" s="98" customFormat="1">
      <c r="A50" s="124" t="s">
        <v>182</v>
      </c>
      <c r="B50" s="161" t="s">
        <v>67</v>
      </c>
      <c r="C50" s="194">
        <v>4259360</v>
      </c>
      <c r="D50" s="194">
        <v>37974548</v>
      </c>
      <c r="E50" s="194" t="s">
        <v>165</v>
      </c>
      <c r="F50" s="194">
        <v>50236068</v>
      </c>
      <c r="G50" s="194" t="s">
        <v>165</v>
      </c>
      <c r="H50" s="194">
        <v>28682258</v>
      </c>
      <c r="I50" s="183">
        <v>3814743.85</v>
      </c>
      <c r="J50" s="183">
        <v>19304520.800000001</v>
      </c>
      <c r="K50" s="194">
        <v>3833242.0500000007</v>
      </c>
      <c r="L50" s="194">
        <v>17526640.550000001</v>
      </c>
      <c r="M50" s="194">
        <v>3921431.5100000002</v>
      </c>
      <c r="N50" s="194">
        <v>20451346.75</v>
      </c>
      <c r="O50" s="194">
        <v>3855380.6700000004</v>
      </c>
      <c r="P50" s="194">
        <v>22740018.316345755</v>
      </c>
      <c r="Q50" s="194">
        <v>3780429.983</v>
      </c>
      <c r="R50" s="194">
        <v>31618697.399999999</v>
      </c>
      <c r="S50" s="194">
        <v>4457341.1199999992</v>
      </c>
      <c r="T50" s="194">
        <v>37254338.500000007</v>
      </c>
      <c r="U50" s="194">
        <v>4787806.7430000007</v>
      </c>
      <c r="V50" s="194">
        <v>57448367.716598608</v>
      </c>
      <c r="W50" s="194">
        <v>5289294.4999999981</v>
      </c>
      <c r="X50" s="194">
        <v>41813888.573592</v>
      </c>
      <c r="Y50" s="194">
        <v>4880193.4349999977</v>
      </c>
      <c r="Z50" s="194">
        <v>35767795.290663734</v>
      </c>
      <c r="AA50" s="714">
        <v>4431947.2029999997</v>
      </c>
      <c r="AB50" s="715">
        <v>30465449.367285676</v>
      </c>
      <c r="AC50" s="715">
        <v>4090232.8599999989</v>
      </c>
      <c r="AD50" s="715">
        <v>26865144.65615283</v>
      </c>
      <c r="AE50" s="1353">
        <v>3966144.3660000004</v>
      </c>
      <c r="AF50" s="1353">
        <v>28733605.064205237</v>
      </c>
      <c r="AG50" s="1353">
        <v>4404169.3599999994</v>
      </c>
      <c r="AH50" s="1353">
        <v>35055283.552113168</v>
      </c>
      <c r="AI50" s="1353">
        <v>4667690.4309999999</v>
      </c>
      <c r="AJ50" s="1353">
        <v>48211783.676895596</v>
      </c>
      <c r="AK50" s="715">
        <v>5308313.4340000022</v>
      </c>
      <c r="AL50" s="715">
        <v>52955076.157172635</v>
      </c>
      <c r="AM50" s="715">
        <v>5588730.362999998</v>
      </c>
      <c r="AN50" s="715">
        <v>58554038.188103035</v>
      </c>
      <c r="AO50" s="715">
        <v>5604008.504999999</v>
      </c>
      <c r="AP50" s="715">
        <v>57257830.27265653</v>
      </c>
      <c r="AQ50" s="194">
        <f ca="1">SUMIF($C$9:AP$10,1,$C50:AP50)</f>
        <v>75336451.877999991</v>
      </c>
      <c r="AR50" s="194">
        <f ca="1">SUMIF($C$9:AP$10,0,$C50:AP50)</f>
        <v>681658868.5591284</v>
      </c>
      <c r="AS50" s="159"/>
      <c r="AT50" s="711"/>
      <c r="AU50" s="113"/>
      <c r="AV50" s="113"/>
      <c r="AW50" s="113"/>
      <c r="BA50" s="11"/>
      <c r="BB50" s="11"/>
    </row>
    <row r="51" spans="1:54" s="98" customFormat="1">
      <c r="A51" s="131"/>
      <c r="B51" s="225"/>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093"/>
      <c r="AB51" s="1094"/>
      <c r="AC51" s="1094"/>
      <c r="AD51" s="1094"/>
      <c r="AE51" s="1350"/>
      <c r="AF51" s="1350"/>
      <c r="AG51" s="1350"/>
      <c r="AH51" s="1350"/>
      <c r="AI51" s="1350"/>
      <c r="AJ51" s="1350"/>
      <c r="AK51" s="1094"/>
      <c r="AL51" s="1094"/>
      <c r="AM51" s="1094"/>
      <c r="AN51" s="1094"/>
      <c r="AO51" s="1094"/>
      <c r="AP51" s="1094"/>
      <c r="AQ51" s="194"/>
      <c r="AR51" s="194"/>
      <c r="AS51" s="713"/>
      <c r="AT51" s="711"/>
      <c r="AU51" s="113"/>
      <c r="AV51" s="113"/>
      <c r="AW51" s="113"/>
      <c r="BA51" s="11"/>
      <c r="BB51" s="11"/>
    </row>
    <row r="52" spans="1:54" s="98" customFormat="1">
      <c r="A52" s="118" t="s">
        <v>503</v>
      </c>
      <c r="B52" s="134"/>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578"/>
      <c r="AF52" s="1578"/>
      <c r="AG52" s="1578"/>
      <c r="AH52" s="1578"/>
      <c r="AI52" s="1578"/>
      <c r="AJ52" s="1578"/>
      <c r="AK52" s="197"/>
      <c r="AL52" s="197"/>
      <c r="AM52" s="197"/>
      <c r="AN52" s="197"/>
      <c r="AO52" s="197"/>
      <c r="AP52" s="197"/>
      <c r="AQ52" s="197"/>
      <c r="AR52" s="197"/>
      <c r="AS52" s="713"/>
      <c r="AT52" s="713"/>
      <c r="AZ52" s="154"/>
      <c r="BA52" s="154"/>
      <c r="BB52" s="11"/>
    </row>
    <row r="53" spans="1:54" s="98" customFormat="1">
      <c r="A53" s="140" t="s">
        <v>230</v>
      </c>
      <c r="B53" s="119" t="s">
        <v>67</v>
      </c>
      <c r="C53" s="175">
        <f>SUMIF('Lithium - Q&amp;V'!$D$8:$D$252,'Q&amp;V CY 2004 to Now'!C$7,'Lithium - Q&amp;V'!$B$8:$B$252)*1000</f>
        <v>110256</v>
      </c>
      <c r="D53" s="175">
        <f>SUMIF('Lithium - Q&amp;V'!$D$8:$D$252,'Q&amp;V CY 2004 to Now'!C$7,'Lithium - Q&amp;V'!$C$8:$C$252)*1000000</f>
        <v>24199351</v>
      </c>
      <c r="E53" s="197">
        <f>SUMIF('Lithium - Q&amp;V'!$D$8:$D$252,'Q&amp;V CY 2004 to Now'!E$7,'Lithium - Q&amp;V'!$B$8:$B$252)*1000</f>
        <v>173635</v>
      </c>
      <c r="F53" s="197">
        <f>SUMIF('Lithium - Q&amp;V'!$D$8:$D$252,'Q&amp;V CY 2004 to Now'!E$7,'Lithium - Q&amp;V'!$C$8:$C$252)*1000000</f>
        <v>30318278.999999996</v>
      </c>
      <c r="G53" s="197">
        <f>SUMIF('Lithium - Q&amp;V'!$D$8:$D$252,'Q&amp;V CY 2004 to Now'!G$7,'Lithium - Q&amp;V'!$B$8:$B$252)*1000</f>
        <v>222101</v>
      </c>
      <c r="H53" s="197">
        <f>SUMIF('Lithium - Q&amp;V'!$D$8:$D$252,'Q&amp;V CY 2004 to Now'!G$7,'Lithium - Q&amp;V'!$C$8:$C$252)*1000000</f>
        <v>51784586.000000007</v>
      </c>
      <c r="I53" s="175">
        <f>SUMIF('Lithium - Q&amp;V'!$D$8:$D$252,'Q&amp;V CY 2004 to Now'!I$7,'Lithium - Q&amp;V'!$B$8:$B$252)*1000</f>
        <v>245279</v>
      </c>
      <c r="J53" s="175">
        <f>SUMIF('Lithium - Q&amp;V'!$D$8:$D$252,'Q&amp;V CY 2004 to Now'!I$7,'Lithium - Q&amp;V'!$C$8:$C$252)*1000000</f>
        <v>67904725</v>
      </c>
      <c r="K53" s="197">
        <f>SUMIF('Lithium - Q&amp;V'!$D$8:$D$252,'Q&amp;V CY 2004 to Now'!K$7,'Lithium - Q&amp;V'!$B$8:$B$252)*1000</f>
        <v>239528.00000000003</v>
      </c>
      <c r="L53" s="197">
        <f>SUMIF('Lithium - Q&amp;V'!$D$8:$D$252,'Q&amp;V CY 2004 to Now'!K$7,'Lithium - Q&amp;V'!$C$8:$C$252)*1000000</f>
        <v>73337527.329999998</v>
      </c>
      <c r="M53" s="197">
        <f>SUMIF('Lithium - Q&amp;V'!$D$8:$D$252,'Q&amp;V CY 2004 to Now'!M$7,'Lithium - Q&amp;V'!$B$8:$B$252)*1000</f>
        <v>197482.15</v>
      </c>
      <c r="N53" s="197">
        <f>SUMIF('Lithium - Q&amp;V'!$D$8:$D$252,'Q&amp;V CY 2004 to Now'!M$7,'Lithium - Q&amp;V'!$C$8:$C$252)*1000000</f>
        <v>71703547</v>
      </c>
      <c r="O53" s="197">
        <f>SUMIF('Lithium - Q&amp;V'!$D$8:$D$252,'Q&amp;V CY 2004 to Now'!O$7,'Lithium - Q&amp;V'!$B$8:$B$252)*1000</f>
        <v>326864.99999999994</v>
      </c>
      <c r="P53" s="197">
        <f>SUMIF('Lithium - Q&amp;V'!$D$8:$D$252,'Q&amp;V CY 2004 to Now'!O$7,'Lithium - Q&amp;V'!$C$8:$C$252)*1000000</f>
        <v>92182259.810000002</v>
      </c>
      <c r="Q53" s="197">
        <f>SUMIF('Lithium - Q&amp;V'!$D$8:$D$252,'Q&amp;V CY 2004 to Now'!Q$7,'Lithium - Q&amp;V'!$B$8:$B$252)*1000</f>
        <v>401535.85</v>
      </c>
      <c r="R53" s="197">
        <f>SUMIF('Lithium - Q&amp;V'!$D$8:$D$252,'Q&amp;V CY 2004 to Now'!Q$7,'Lithium - Q&amp;V'!$C$8:$C$252)*1000000</f>
        <v>117327288.90000001</v>
      </c>
      <c r="S53" s="197">
        <f>SUMIF('Lithium - Q&amp;V'!$D$8:$D$252,'Q&amp;V CY 2004 to Now'!S$7,'Lithium - Q&amp;V'!$B$8:$B$252)*1000</f>
        <v>500898.55</v>
      </c>
      <c r="T53" s="197">
        <f>SUMIF('Lithium - Q&amp;V'!$D$8:$D$252,'Q&amp;V CY 2004 to Now'!S$7,'Lithium - Q&amp;V'!$C$8:$C$252)*1000000</f>
        <v>162189381.88999999</v>
      </c>
      <c r="U53" s="197">
        <f>SUMIF('Lithium - Q&amp;V'!$D$8:$D$252,'Q&amp;V CY 2004 to Now'!U$7,'Lithium - Q&amp;V'!$B$8:$B$252)*1000</f>
        <v>405119</v>
      </c>
      <c r="V53" s="197">
        <f>SUMIF('Lithium - Q&amp;V'!$D$8:$D$252,'Q&amp;V CY 2004 to Now'!U$7,'Lithium - Q&amp;V'!$C$8:$C$252)*1000000</f>
        <v>169286544</v>
      </c>
      <c r="W53" s="197">
        <f>SUMIF('Lithium - Q&amp;V'!$D$8:$D$252,'Q&amp;V CY 2004 to Now'!W$7,'Lithium - Q&amp;V'!$B$8:$B$252)*1000</f>
        <v>444546</v>
      </c>
      <c r="X53" s="197">
        <f>SUMIF('Lithium - Q&amp;V'!$D$8:$D$252,'Q&amp;V CY 2004 to Now'!W$7,'Lithium - Q&amp;V'!$C$8:$C$252)*1000000</f>
        <v>201517762</v>
      </c>
      <c r="Y53" s="197">
        <f>SUMIF('Lithium - Q&amp;V'!$D$8:$D$252,'Q&amp;V CY 2004 to Now'!Y$7,'Lithium - Q&amp;V'!$B$8:$B$252)*1000</f>
        <v>439514</v>
      </c>
      <c r="Z53" s="197">
        <f>SUMIF('Lithium - Q&amp;V'!$D$8:$D$252,'Q&amp;V CY 2004 to Now'!Y$7,'Lithium - Q&amp;V'!$C$8:$C$252)*1000000</f>
        <v>240178272.00000003</v>
      </c>
      <c r="AA53" s="718">
        <f>SUMIF('Lithium - Q&amp;V'!$D$8:$D$252,'Q&amp;V CY 2004 to Now'!AA$7,'Lithium - Q&amp;V'!$B$8:$B$252)*1000</f>
        <v>522181.00000000006</v>
      </c>
      <c r="AB53" s="718">
        <f>SUMIF('Lithium - Q&amp;V'!$D$8:$D$252,'Q&amp;V CY 2004 to Now'!AA$7,'Lithium - Q&amp;V'!$C$8:$C$252)*1000000</f>
        <v>293859642</v>
      </c>
      <c r="AC53" s="718">
        <f>SUMIF('Lithium - Q&amp;V'!$D$8:$D$252,'Q&amp;V CY 2004 to Now'!AC$7,'Lithium - Q&amp;V'!$B$8:$B$252)*1000</f>
        <v>1706618.61</v>
      </c>
      <c r="AD53" s="718">
        <f>SUMIF('Lithium - Q&amp;V'!$D$8:$D$252,'Q&amp;V CY 2004 to Now'!AC$7,'Lithium - Q&amp;V'!$C$8:$C$252)*1000000</f>
        <v>1198528566.9999998</v>
      </c>
      <c r="AE53" s="718">
        <f>SUMIF('Lithium - Q&amp;V'!$D$8:$D$252,'Q&amp;V CY 2004 to Now'!AE$7,'Lithium - Q&amp;V'!$B$8:$B$252)*1000</f>
        <v>1965912.4324999999</v>
      </c>
      <c r="AF53" s="718">
        <f>SUMIF('Lithium - Q&amp;V'!$D$8:$D$252,'Q&amp;V CY 2004 to Now'!AE$7,'Lithium - Q&amp;V'!$C$8:$C$252)*1000000</f>
        <v>1864999282.9999998</v>
      </c>
      <c r="AG53" s="718">
        <f>SUMIF('Lithium - Q&amp;V'!$D$8:$D$252,'Q&amp;V CY 2004 to Now'!AG$7,'Lithium - Q&amp;V'!$B$8:$B$252)*1000</f>
        <v>1588263.023</v>
      </c>
      <c r="AH53" s="718">
        <f>SUMIF('Lithium - Q&amp;V'!$D$8:$D$252,'Q&amp;V CY 2004 to Now'!AG$7,'Lithium - Q&amp;V'!$C$8:$C$252)*1000000</f>
        <v>1317353541</v>
      </c>
      <c r="AI53" s="1584">
        <f>SUMIF('Lithium - Q&amp;V'!$D$8:$D$252,'Q&amp;V CY 2004 to Now'!AI$7,'Lithium - Q&amp;V'!$B$8:$B$252)*1000</f>
        <v>1477090.0270000002</v>
      </c>
      <c r="AJ53" s="1584">
        <f>SUMIF('Lithium - Q&amp;V'!$D$8:$D$252,'Q&amp;V CY 2004 to Now'!AI$7,'Lithium - Q&amp;V'!$C$8:$C$252)*1000000</f>
        <v>822770815</v>
      </c>
      <c r="AK53" s="718">
        <f>SUMIF('Lithium - Q&amp;V'!$D$8:$D$252,'Q&amp;V CY 2004 to Now'!AK$7,'Lithium - Q&amp;V'!$B$8:$B$252)*1000</f>
        <v>1966744.43</v>
      </c>
      <c r="AL53" s="718">
        <f>SUMIF('Lithium - Q&amp;V'!$D$8:$D$252,'Q&amp;V CY 2004 to Now'!AK$7,'Lithium - Q&amp;V'!$C$8:$C$252)*1000000</f>
        <v>2687782333.9999995</v>
      </c>
      <c r="AM53" s="718">
        <f>SUMIF('Lithium - Q&amp;V'!$D$8:$D$252,'Q&amp;V CY 2004 to Now'!AM$7,'Lithium - Q&amp;V'!$B$8:$B$252)*1000</f>
        <v>2754726.89</v>
      </c>
      <c r="AN53" s="718">
        <f>SUMIF('Lithium - Q&amp;V'!$D$8:$D$252,'Q&amp;V CY 2004 to Now'!AM$7,'Lithium - Q&amp;V'!$C$8:$C$252)*1000000</f>
        <v>17031181733.999998</v>
      </c>
      <c r="AO53" s="718">
        <f>SUMIF('Lithium - Q&amp;V'!$D$8:$D$252,'Q&amp;V CY 2004 to Now'!AO$7,'Lithium - Q&amp;V'!$B$8:$B$252)*1000</f>
        <v>3295040.585</v>
      </c>
      <c r="AP53" s="718">
        <f>SUMIF('Lithium - Q&amp;V'!$D$8:$D$252,'Q&amp;V CY 2004 to Now'!AO$7,'Lithium - Q&amp;V'!$C$8:$C$252)*1000000</f>
        <v>15845152372.563396</v>
      </c>
      <c r="AQ53" s="197">
        <f ca="1">SUMIF($C$9:AP$10,1,$C53:AP53)</f>
        <v>15688295.9625</v>
      </c>
      <c r="AR53" s="197">
        <f ca="1">SUMIF($C$9:AP$10,0,$C53:AP53)</f>
        <v>26518405439.929996</v>
      </c>
      <c r="AS53" s="713"/>
      <c r="AT53" s="713"/>
      <c r="AZ53" s="154"/>
      <c r="BA53" s="154"/>
      <c r="BB53" s="11"/>
    </row>
    <row r="54" spans="1:54" s="98" customFormat="1">
      <c r="A54" s="140" t="s">
        <v>361</v>
      </c>
      <c r="B54" s="119" t="s">
        <v>67</v>
      </c>
      <c r="C54" s="718">
        <v>0</v>
      </c>
      <c r="D54" s="718">
        <v>0</v>
      </c>
      <c r="E54" s="718">
        <v>0</v>
      </c>
      <c r="F54" s="718">
        <v>0</v>
      </c>
      <c r="G54" s="718">
        <v>0</v>
      </c>
      <c r="H54" s="718">
        <v>0</v>
      </c>
      <c r="I54" s="718">
        <v>0</v>
      </c>
      <c r="J54" s="718">
        <v>0</v>
      </c>
      <c r="K54" s="718">
        <v>0</v>
      </c>
      <c r="L54" s="718">
        <v>0</v>
      </c>
      <c r="M54" s="718">
        <v>0</v>
      </c>
      <c r="N54" s="718">
        <v>0</v>
      </c>
      <c r="O54" s="718">
        <v>0</v>
      </c>
      <c r="P54" s="718">
        <v>0</v>
      </c>
      <c r="Q54" s="718">
        <v>0</v>
      </c>
      <c r="R54" s="718">
        <v>0</v>
      </c>
      <c r="S54" s="718">
        <v>0</v>
      </c>
      <c r="T54" s="718">
        <v>0</v>
      </c>
      <c r="U54" s="718">
        <v>0</v>
      </c>
      <c r="V54" s="718">
        <v>0</v>
      </c>
      <c r="W54" s="718">
        <v>0</v>
      </c>
      <c r="X54" s="718">
        <v>0</v>
      </c>
      <c r="Y54" s="718">
        <v>0</v>
      </c>
      <c r="Z54" s="718">
        <v>0</v>
      </c>
      <c r="AA54" s="718">
        <v>0</v>
      </c>
      <c r="AB54" s="718">
        <v>0</v>
      </c>
      <c r="AC54" s="718">
        <v>0</v>
      </c>
      <c r="AD54" s="718">
        <v>0</v>
      </c>
      <c r="AE54" s="718">
        <v>0</v>
      </c>
      <c r="AF54" s="718">
        <v>0</v>
      </c>
      <c r="AG54" s="718">
        <v>0</v>
      </c>
      <c r="AH54" s="718">
        <v>0</v>
      </c>
      <c r="AI54" s="1584">
        <v>0</v>
      </c>
      <c r="AJ54" s="1584">
        <v>0</v>
      </c>
      <c r="AK54" s="718">
        <v>0</v>
      </c>
      <c r="AL54" s="718">
        <v>0</v>
      </c>
      <c r="AM54" s="718">
        <v>0</v>
      </c>
      <c r="AN54" s="718">
        <v>0</v>
      </c>
      <c r="AO54" s="718">
        <v>0</v>
      </c>
      <c r="AP54" s="718">
        <v>0</v>
      </c>
      <c r="AQ54" s="197">
        <f ca="1">SUMIF($C$9:AP$10,1,$C54:AP54)</f>
        <v>0</v>
      </c>
      <c r="AR54" s="197">
        <f ca="1">SUMIF($C$9:AP$10,0,$C54:AP54)</f>
        <v>0</v>
      </c>
      <c r="AS54" s="713"/>
      <c r="AT54" s="713"/>
      <c r="AZ54" s="154"/>
      <c r="BA54" s="154"/>
      <c r="BB54" s="11"/>
    </row>
    <row r="55" spans="1:54" s="98" customFormat="1">
      <c r="A55" s="138" t="s">
        <v>505</v>
      </c>
      <c r="B55" s="134"/>
      <c r="C55" s="175"/>
      <c r="D55" s="197">
        <v>24199351</v>
      </c>
      <c r="E55" s="197"/>
      <c r="F55" s="197">
        <v>30318278.999999996</v>
      </c>
      <c r="G55" s="197"/>
      <c r="H55" s="197">
        <v>51784586.000000007</v>
      </c>
      <c r="I55" s="175"/>
      <c r="J55" s="175">
        <v>67904725</v>
      </c>
      <c r="K55" s="197"/>
      <c r="L55" s="197">
        <v>73337527.329999998</v>
      </c>
      <c r="M55" s="197"/>
      <c r="N55" s="197">
        <v>71703547</v>
      </c>
      <c r="O55" s="197"/>
      <c r="P55" s="197">
        <v>92182259.810000002</v>
      </c>
      <c r="Q55" s="197"/>
      <c r="R55" s="197">
        <v>117327288.90000001</v>
      </c>
      <c r="S55" s="197"/>
      <c r="T55" s="197">
        <v>162189381.88999999</v>
      </c>
      <c r="U55" s="197"/>
      <c r="V55" s="197">
        <v>169286544.41999999</v>
      </c>
      <c r="W55" s="197"/>
      <c r="X55" s="197">
        <v>201517762</v>
      </c>
      <c r="Y55" s="197"/>
      <c r="Z55" s="197">
        <v>240178272.00000003</v>
      </c>
      <c r="AA55" s="718"/>
      <c r="AB55" s="718">
        <v>293859642</v>
      </c>
      <c r="AC55" s="718"/>
      <c r="AD55" s="718">
        <v>1198528566.9999998</v>
      </c>
      <c r="AE55" s="718"/>
      <c r="AF55" s="718">
        <v>1864999282.9999998</v>
      </c>
      <c r="AG55" s="718"/>
      <c r="AH55" s="718">
        <f>AH53+AH54</f>
        <v>1317353541</v>
      </c>
      <c r="AI55" s="1584"/>
      <c r="AJ55" s="1584">
        <f>AJ53+AJ54</f>
        <v>822770815</v>
      </c>
      <c r="AK55" s="718"/>
      <c r="AL55" s="718">
        <f>AL53+AL54</f>
        <v>2687782333.9999995</v>
      </c>
      <c r="AM55" s="718"/>
      <c r="AN55" s="718">
        <f>AN53+AN54</f>
        <v>17031181733.999998</v>
      </c>
      <c r="AO55" s="718"/>
      <c r="AP55" s="718">
        <f>AP53+AP54</f>
        <v>15845152372.563396</v>
      </c>
      <c r="AQ55" s="197"/>
      <c r="AR55" s="197">
        <f ca="1">SUMIF($C$9:AP$10,0,$C55:AP55)</f>
        <v>26518405440.349998</v>
      </c>
      <c r="AS55" s="713"/>
      <c r="AT55" s="711"/>
      <c r="AU55" s="113"/>
      <c r="AV55" s="148"/>
      <c r="AZ55" s="154"/>
      <c r="BA55" s="154"/>
      <c r="BB55" s="11"/>
    </row>
    <row r="56" spans="1:54" s="98" customFormat="1">
      <c r="A56" s="138"/>
      <c r="B56" s="134"/>
      <c r="C56" s="175"/>
      <c r="D56" s="197"/>
      <c r="E56" s="197"/>
      <c r="F56" s="197"/>
      <c r="G56" s="197"/>
      <c r="H56" s="197"/>
      <c r="I56" s="175"/>
      <c r="J56" s="175"/>
      <c r="K56" s="197"/>
      <c r="L56" s="197"/>
      <c r="M56" s="197"/>
      <c r="N56" s="197"/>
      <c r="O56" s="197"/>
      <c r="P56" s="197"/>
      <c r="Q56" s="197"/>
      <c r="R56" s="197"/>
      <c r="S56" s="197"/>
      <c r="T56" s="197"/>
      <c r="U56" s="197"/>
      <c r="V56" s="197"/>
      <c r="W56" s="197"/>
      <c r="X56" s="197"/>
      <c r="Y56" s="197"/>
      <c r="Z56" s="197"/>
      <c r="AA56" s="718"/>
      <c r="AB56" s="718"/>
      <c r="AC56" s="718"/>
      <c r="AD56" s="718"/>
      <c r="AE56" s="1584"/>
      <c r="AF56" s="1584"/>
      <c r="AG56" s="1584"/>
      <c r="AH56" s="1584"/>
      <c r="AI56" s="1584"/>
      <c r="AJ56" s="1584"/>
      <c r="AK56" s="718"/>
      <c r="AL56" s="718"/>
      <c r="AM56" s="718"/>
      <c r="AN56" s="718"/>
      <c r="AO56" s="718"/>
      <c r="AP56" s="718"/>
      <c r="AQ56" s="197"/>
      <c r="AR56" s="197"/>
      <c r="AS56" s="713"/>
      <c r="AT56" s="711"/>
      <c r="AU56" s="113"/>
      <c r="AV56" s="148"/>
      <c r="AZ56" s="154"/>
      <c r="BA56" s="154"/>
      <c r="BB56" s="11"/>
    </row>
    <row r="57" spans="1:54" s="98" customFormat="1">
      <c r="A57" s="124" t="s">
        <v>506</v>
      </c>
      <c r="B57" s="127" t="s">
        <v>67</v>
      </c>
      <c r="C57" s="183">
        <v>275612</v>
      </c>
      <c r="D57" s="183">
        <v>109660229.37</v>
      </c>
      <c r="E57" s="194">
        <v>352402</v>
      </c>
      <c r="F57" s="194">
        <v>129363992.7</v>
      </c>
      <c r="G57" s="194">
        <v>409047</v>
      </c>
      <c r="H57" s="194">
        <v>121674018.04000001</v>
      </c>
      <c r="I57" s="183">
        <v>398980</v>
      </c>
      <c r="J57" s="183">
        <v>190869179.15000001</v>
      </c>
      <c r="K57" s="194">
        <v>341672</v>
      </c>
      <c r="L57" s="194">
        <v>358971004</v>
      </c>
      <c r="M57" s="194">
        <v>630321</v>
      </c>
      <c r="N57" s="194">
        <v>282389057</v>
      </c>
      <c r="O57" s="194">
        <v>744859</v>
      </c>
      <c r="P57" s="194">
        <v>421520073</v>
      </c>
      <c r="Q57" s="194">
        <v>1044534</v>
      </c>
      <c r="R57" s="194" t="s">
        <v>439</v>
      </c>
      <c r="S57" s="194">
        <v>640160</v>
      </c>
      <c r="T57" s="194" t="s">
        <v>439</v>
      </c>
      <c r="U57" s="194">
        <v>718296</v>
      </c>
      <c r="V57" s="194" t="s">
        <v>439</v>
      </c>
      <c r="W57" s="194">
        <v>821197</v>
      </c>
      <c r="X57" s="194">
        <v>432732665</v>
      </c>
      <c r="Y57" s="194">
        <v>543408</v>
      </c>
      <c r="Z57" s="194" t="s">
        <v>439</v>
      </c>
      <c r="AA57" s="714">
        <v>359331.52999999997</v>
      </c>
      <c r="AB57" s="715">
        <v>85265180</v>
      </c>
      <c r="AC57" s="715">
        <v>189450.23999999999</v>
      </c>
      <c r="AD57" s="715" t="s">
        <v>439</v>
      </c>
      <c r="AE57" s="1353">
        <v>554822.48</v>
      </c>
      <c r="AF57" s="1353">
        <v>458734560</v>
      </c>
      <c r="AG57" s="1353">
        <v>559757.24099999992</v>
      </c>
      <c r="AH57" s="1353" t="s">
        <v>439</v>
      </c>
      <c r="AI57" s="1353">
        <v>545644.46</v>
      </c>
      <c r="AJ57" s="720" t="s">
        <v>439</v>
      </c>
      <c r="AK57" s="194">
        <v>523587.13237000006</v>
      </c>
      <c r="AL57" s="194">
        <v>308510923</v>
      </c>
      <c r="AM57" s="194">
        <v>484337.45759999997</v>
      </c>
      <c r="AN57" s="194">
        <v>273614284</v>
      </c>
      <c r="AO57" s="194">
        <v>608468.50029999996</v>
      </c>
      <c r="AP57" s="194">
        <v>298500371</v>
      </c>
      <c r="AQ57" s="194">
        <f ca="1">SUMIF($C$9:AP$10,1,$C57:AP57)</f>
        <v>10137418.540970001</v>
      </c>
      <c r="AR57" s="194" t="s">
        <v>439</v>
      </c>
      <c r="AS57" s="159"/>
      <c r="AT57" s="900"/>
      <c r="AU57" s="113"/>
      <c r="AV57" s="113"/>
      <c r="AW57" s="113"/>
      <c r="BA57" s="11"/>
      <c r="BB57" s="11"/>
    </row>
    <row r="58" spans="1:54" s="98" customFormat="1">
      <c r="A58" s="1095"/>
      <c r="B58" s="1096"/>
      <c r="C58" s="183"/>
      <c r="D58" s="183"/>
      <c r="E58" s="194"/>
      <c r="F58" s="194"/>
      <c r="G58" s="194"/>
      <c r="H58" s="194"/>
      <c r="I58" s="183"/>
      <c r="J58" s="183"/>
      <c r="K58" s="194"/>
      <c r="L58" s="194"/>
      <c r="M58" s="194"/>
      <c r="N58" s="194"/>
      <c r="O58" s="194"/>
      <c r="P58" s="194"/>
      <c r="Q58" s="194"/>
      <c r="R58" s="194"/>
      <c r="S58" s="194"/>
      <c r="T58" s="194"/>
      <c r="U58" s="194"/>
      <c r="V58" s="194"/>
      <c r="W58" s="194"/>
      <c r="X58" s="194"/>
      <c r="Y58" s="194"/>
      <c r="Z58" s="194"/>
      <c r="AA58" s="194"/>
      <c r="AB58" s="712"/>
      <c r="AC58" s="712"/>
      <c r="AD58" s="712"/>
      <c r="AE58" s="1580"/>
      <c r="AF58" s="1580"/>
      <c r="AG58" s="1580"/>
      <c r="AH58" s="1580"/>
      <c r="AI58" s="1580"/>
      <c r="AJ58" s="1580"/>
      <c r="AK58" s="712"/>
      <c r="AL58" s="712"/>
      <c r="AM58" s="712"/>
      <c r="AN58" s="712"/>
      <c r="AO58" s="712"/>
      <c r="AP58" s="712"/>
      <c r="AQ58" s="194"/>
      <c r="AR58" s="194"/>
      <c r="AS58" s="713"/>
      <c r="AT58" s="711"/>
      <c r="AU58" s="113"/>
      <c r="AV58" s="113"/>
      <c r="AW58" s="113"/>
      <c r="BA58" s="11"/>
      <c r="BB58" s="11"/>
    </row>
    <row r="59" spans="1:54" s="98" customFormat="1">
      <c r="A59" s="118" t="s">
        <v>281</v>
      </c>
      <c r="B59" s="132"/>
      <c r="C59" s="197"/>
      <c r="D59" s="197"/>
      <c r="E59" s="197"/>
      <c r="F59" s="197"/>
      <c r="G59" s="197"/>
      <c r="H59" s="197"/>
      <c r="I59" s="197"/>
      <c r="J59" s="197"/>
      <c r="K59" s="197"/>
      <c r="L59" s="197"/>
      <c r="M59" s="197"/>
      <c r="N59" s="197"/>
      <c r="O59" s="197"/>
      <c r="P59" s="197"/>
      <c r="Q59" s="197"/>
      <c r="R59" s="197"/>
      <c r="S59" s="197"/>
      <c r="T59" s="197"/>
      <c r="U59" s="721"/>
      <c r="V59" s="721"/>
      <c r="W59" s="197"/>
      <c r="X59" s="197"/>
      <c r="Y59" s="721"/>
      <c r="Z59" s="721"/>
      <c r="AA59" s="721"/>
      <c r="AB59" s="1086"/>
      <c r="AC59" s="1086"/>
      <c r="AD59" s="1086"/>
      <c r="AE59" s="1577"/>
      <c r="AF59" s="1577"/>
      <c r="AG59" s="1577"/>
      <c r="AH59" s="1577"/>
      <c r="AI59" s="1577"/>
      <c r="AJ59" s="1577"/>
      <c r="AK59" s="709"/>
      <c r="AL59" s="709"/>
      <c r="AM59" s="1577"/>
      <c r="AN59" s="1577"/>
      <c r="AO59" s="1577"/>
      <c r="AP59" s="1577"/>
      <c r="AQ59" s="197"/>
      <c r="AR59" s="197"/>
      <c r="AS59" s="713"/>
      <c r="AT59" s="162"/>
      <c r="AU59" s="136"/>
      <c r="AV59" s="136"/>
      <c r="AW59" s="137"/>
      <c r="AZ59" s="11"/>
      <c r="BA59" s="11"/>
      <c r="BB59" s="11"/>
    </row>
    <row r="60" spans="1:54" s="98" customFormat="1">
      <c r="A60" s="140" t="s">
        <v>220</v>
      </c>
      <c r="B60" s="223" t="s">
        <v>67</v>
      </c>
      <c r="C60" s="175">
        <v>134761.07999999999</v>
      </c>
      <c r="D60" s="175" t="s">
        <v>439</v>
      </c>
      <c r="E60" s="197">
        <v>246128.25</v>
      </c>
      <c r="F60" s="197" t="s">
        <v>439</v>
      </c>
      <c r="G60" s="197">
        <v>278233</v>
      </c>
      <c r="H60" s="197" t="s">
        <v>439</v>
      </c>
      <c r="I60" s="175">
        <v>294006.77</v>
      </c>
      <c r="J60" s="175" t="s">
        <v>439</v>
      </c>
      <c r="K60" s="197">
        <v>298290.28000000003</v>
      </c>
      <c r="L60" s="197" t="s">
        <v>439</v>
      </c>
      <c r="M60" s="197">
        <v>275559.82999999996</v>
      </c>
      <c r="N60" s="197" t="s">
        <v>439</v>
      </c>
      <c r="O60" s="197">
        <v>196839.06999999998</v>
      </c>
      <c r="P60" s="197" t="s">
        <v>439</v>
      </c>
      <c r="Q60" s="197">
        <v>308139.42</v>
      </c>
      <c r="R60" s="197" t="s">
        <v>439</v>
      </c>
      <c r="S60" s="197">
        <v>266224.46000000002</v>
      </c>
      <c r="T60" s="197" t="s">
        <v>439</v>
      </c>
      <c r="U60" s="197">
        <v>395840.81</v>
      </c>
      <c r="V60" s="197" t="s">
        <v>439</v>
      </c>
      <c r="W60" s="197">
        <v>274662</v>
      </c>
      <c r="X60" s="197" t="s">
        <v>439</v>
      </c>
      <c r="Y60" s="197">
        <v>283108</v>
      </c>
      <c r="Z60" s="197" t="s">
        <v>439</v>
      </c>
      <c r="AA60" s="718">
        <v>574659.56999999995</v>
      </c>
      <c r="AB60" s="719" t="s">
        <v>439</v>
      </c>
      <c r="AC60" s="719">
        <v>363572.54000000004</v>
      </c>
      <c r="AD60" s="719" t="s">
        <v>439</v>
      </c>
      <c r="AE60" s="1583">
        <v>360132.95999999996</v>
      </c>
      <c r="AF60" s="1583" t="s">
        <v>439</v>
      </c>
      <c r="AG60" s="1583">
        <v>352977.57999999996</v>
      </c>
      <c r="AH60" s="1583" t="s">
        <v>439</v>
      </c>
      <c r="AI60" s="1583">
        <v>296050.51</v>
      </c>
      <c r="AJ60" s="1583" t="s">
        <v>439</v>
      </c>
      <c r="AK60" s="719">
        <v>321339.88</v>
      </c>
      <c r="AL60" s="719" t="s">
        <v>439</v>
      </c>
      <c r="AM60" s="719">
        <v>387893.54000000004</v>
      </c>
      <c r="AN60" s="719">
        <v>115607042</v>
      </c>
      <c r="AO60" s="719">
        <v>324764.40000000002</v>
      </c>
      <c r="AP60" s="719">
        <v>124284245</v>
      </c>
      <c r="AQ60" s="197">
        <f ca="1">SUMIF($C$9:AL$10,1,$C60:AL60)</f>
        <v>5520526.0099999998</v>
      </c>
      <c r="AR60" s="197" t="s">
        <v>439</v>
      </c>
      <c r="AS60" s="159"/>
      <c r="AT60" s="711"/>
      <c r="AU60" s="113"/>
      <c r="AV60" s="113"/>
      <c r="AW60" s="113"/>
      <c r="AZ60" s="11"/>
      <c r="BA60" s="11"/>
      <c r="BB60" s="11"/>
    </row>
    <row r="61" spans="1:54" s="98" customFormat="1">
      <c r="A61" s="140" t="s">
        <v>221</v>
      </c>
      <c r="B61" s="223" t="s">
        <v>67</v>
      </c>
      <c r="C61" s="175">
        <v>775442.7</v>
      </c>
      <c r="D61" s="175">
        <v>90689749</v>
      </c>
      <c r="E61" s="197">
        <v>666429.46</v>
      </c>
      <c r="F61" s="197">
        <v>74696021</v>
      </c>
      <c r="G61" s="197">
        <v>742079</v>
      </c>
      <c r="H61" s="197">
        <v>84444176</v>
      </c>
      <c r="I61" s="175">
        <v>730873.79</v>
      </c>
      <c r="J61" s="175">
        <v>79800273</v>
      </c>
      <c r="K61" s="197">
        <v>598904.57999999996</v>
      </c>
      <c r="L61" s="197">
        <v>76945319</v>
      </c>
      <c r="M61" s="197">
        <v>463741.5</v>
      </c>
      <c r="N61" s="197">
        <v>63498346</v>
      </c>
      <c r="O61" s="197">
        <v>497715.15999999992</v>
      </c>
      <c r="P61" s="197">
        <v>66691050</v>
      </c>
      <c r="Q61" s="197">
        <v>379284.10000000003</v>
      </c>
      <c r="R61" s="197">
        <v>56851391</v>
      </c>
      <c r="S61" s="197">
        <v>279281.76</v>
      </c>
      <c r="T61" s="197">
        <v>68407301</v>
      </c>
      <c r="U61" s="197">
        <v>199987.75</v>
      </c>
      <c r="V61" s="197">
        <v>49257052</v>
      </c>
      <c r="W61" s="197">
        <v>18999.41</v>
      </c>
      <c r="X61" s="718">
        <v>4280121</v>
      </c>
      <c r="Y61" s="197">
        <v>188332.52</v>
      </c>
      <c r="Z61" s="197">
        <v>42191626</v>
      </c>
      <c r="AA61" s="718">
        <v>167959.25</v>
      </c>
      <c r="AB61" s="719">
        <v>38220228</v>
      </c>
      <c r="AC61" s="719">
        <v>128730.5</v>
      </c>
      <c r="AD61" s="719">
        <v>28973114</v>
      </c>
      <c r="AE61" s="1583">
        <v>185454.44</v>
      </c>
      <c r="AF61" s="1583">
        <v>43377350</v>
      </c>
      <c r="AG61" s="1583">
        <v>264992.89</v>
      </c>
      <c r="AH61" s="1583">
        <v>52311502</v>
      </c>
      <c r="AI61" s="1583">
        <v>332818.62999999995</v>
      </c>
      <c r="AJ61" s="1583">
        <v>77469322</v>
      </c>
      <c r="AK61" s="719">
        <v>268619.61</v>
      </c>
      <c r="AL61" s="719">
        <v>74585080</v>
      </c>
      <c r="AM61" s="719">
        <v>205739.18000000002</v>
      </c>
      <c r="AN61" s="719">
        <v>77079372</v>
      </c>
      <c r="AO61" s="719">
        <v>236283.69999999998</v>
      </c>
      <c r="AP61" s="719">
        <v>95143148</v>
      </c>
      <c r="AQ61" s="197">
        <f ca="1">SUMIF($C$9:AL$10,1,$C61:AL61)</f>
        <v>6889647.0499999998</v>
      </c>
      <c r="AR61" s="197">
        <f ca="1">SUMIF($C$9:AL$10,0,$C61:AL61)</f>
        <v>1072689021</v>
      </c>
      <c r="AS61" s="159"/>
      <c r="AT61" s="711"/>
      <c r="AU61" s="113"/>
      <c r="AV61" s="113"/>
      <c r="AW61" s="113"/>
      <c r="AZ61" s="11"/>
      <c r="BA61" s="11"/>
      <c r="BB61" s="11"/>
    </row>
    <row r="62" spans="1:54" s="98" customFormat="1">
      <c r="A62" s="140" t="s">
        <v>222</v>
      </c>
      <c r="B62" s="223" t="s">
        <v>67</v>
      </c>
      <c r="C62" s="175">
        <v>66342.77</v>
      </c>
      <c r="D62" s="175">
        <v>21474768</v>
      </c>
      <c r="E62" s="197">
        <v>84977.14</v>
      </c>
      <c r="F62" s="197">
        <v>26916075</v>
      </c>
      <c r="G62" s="197">
        <v>53518</v>
      </c>
      <c r="H62" s="197">
        <v>17667803</v>
      </c>
      <c r="I62" s="175">
        <v>73035.039999999994</v>
      </c>
      <c r="J62" s="175">
        <v>23574626</v>
      </c>
      <c r="K62" s="197">
        <v>68698.63</v>
      </c>
      <c r="L62" s="197">
        <v>20864638</v>
      </c>
      <c r="M62" s="197">
        <v>76708.94</v>
      </c>
      <c r="N62" s="197">
        <v>24463466</v>
      </c>
      <c r="O62" s="197">
        <v>33352.699999999997</v>
      </c>
      <c r="P62" s="197">
        <v>15412925</v>
      </c>
      <c r="Q62" s="197">
        <v>24771.879999999997</v>
      </c>
      <c r="R62" s="197">
        <v>14361119</v>
      </c>
      <c r="S62" s="197">
        <v>22026.97</v>
      </c>
      <c r="T62" s="197">
        <v>26194508</v>
      </c>
      <c r="U62" s="197">
        <v>33293.32</v>
      </c>
      <c r="V62" s="197">
        <v>28648054</v>
      </c>
      <c r="W62" s="197">
        <v>22105.33</v>
      </c>
      <c r="X62" s="718">
        <v>17861021</v>
      </c>
      <c r="Y62" s="197">
        <v>21593.22</v>
      </c>
      <c r="Z62" s="197">
        <v>19858929</v>
      </c>
      <c r="AA62" s="718">
        <v>7053.66</v>
      </c>
      <c r="AB62" s="719">
        <v>6175940</v>
      </c>
      <c r="AC62" s="719">
        <v>14882.13</v>
      </c>
      <c r="AD62" s="719">
        <v>13161815</v>
      </c>
      <c r="AE62" s="1583">
        <v>8032.9059999999999</v>
      </c>
      <c r="AF62" s="1583">
        <v>9501004</v>
      </c>
      <c r="AG62" s="1583">
        <v>21137</v>
      </c>
      <c r="AH62" s="1583">
        <v>22517510</v>
      </c>
      <c r="AI62" s="1583">
        <v>25037.457999999999</v>
      </c>
      <c r="AJ62" s="1583">
        <v>27142197</v>
      </c>
      <c r="AK62" s="719">
        <v>18099.073</v>
      </c>
      <c r="AL62" s="719">
        <v>21954167</v>
      </c>
      <c r="AM62" s="719">
        <v>19095.490000000002</v>
      </c>
      <c r="AN62" s="719">
        <v>22186512</v>
      </c>
      <c r="AO62" s="719">
        <v>14431.514606827597</v>
      </c>
      <c r="AP62" s="719">
        <v>23806028</v>
      </c>
      <c r="AQ62" s="197">
        <f ca="1">SUMIF($C$9:AL$10,1,$C62:AL62)</f>
        <v>674666.1669999999</v>
      </c>
      <c r="AR62" s="197">
        <f ca="1">SUMIF($C$9:AL$10,0,$C62:AL62)</f>
        <v>357750565</v>
      </c>
      <c r="AS62" s="159"/>
      <c r="AT62" s="711"/>
      <c r="AU62" s="113"/>
      <c r="AV62" s="113"/>
      <c r="AW62" s="113"/>
      <c r="AZ62" s="11"/>
      <c r="BA62" s="11"/>
      <c r="BB62" s="11"/>
    </row>
    <row r="63" spans="1:54" s="98" customFormat="1">
      <c r="A63" s="140" t="s">
        <v>229</v>
      </c>
      <c r="B63" s="223" t="s">
        <v>67</v>
      </c>
      <c r="C63" s="175">
        <v>113102.34</v>
      </c>
      <c r="D63" s="175">
        <v>70108292</v>
      </c>
      <c r="E63" s="197">
        <v>100452.42</v>
      </c>
      <c r="F63" s="197">
        <v>63786635</v>
      </c>
      <c r="G63" s="197">
        <v>102211</v>
      </c>
      <c r="H63" s="197">
        <v>64390184</v>
      </c>
      <c r="I63" s="197">
        <v>107671.1</v>
      </c>
      <c r="J63" s="197">
        <v>56301148</v>
      </c>
      <c r="K63" s="676" t="s">
        <v>165</v>
      </c>
      <c r="L63" s="676" t="s">
        <v>165</v>
      </c>
      <c r="M63" s="676" t="s">
        <v>165</v>
      </c>
      <c r="N63" s="676" t="s">
        <v>165</v>
      </c>
      <c r="O63" s="676" t="s">
        <v>165</v>
      </c>
      <c r="P63" s="676" t="s">
        <v>165</v>
      </c>
      <c r="Q63" s="676" t="s">
        <v>165</v>
      </c>
      <c r="R63" s="676" t="s">
        <v>165</v>
      </c>
      <c r="S63" s="676" t="s">
        <v>165</v>
      </c>
      <c r="T63" s="676" t="s">
        <v>165</v>
      </c>
      <c r="U63" s="676">
        <v>66220.06</v>
      </c>
      <c r="V63" s="676">
        <v>73860787</v>
      </c>
      <c r="W63" s="197">
        <v>39801.159999999996</v>
      </c>
      <c r="X63" s="718">
        <v>36002163</v>
      </c>
      <c r="Y63" s="197">
        <v>43459.25</v>
      </c>
      <c r="Z63" s="197">
        <v>44030930</v>
      </c>
      <c r="AA63" s="718">
        <v>27312.059999999998</v>
      </c>
      <c r="AB63" s="719">
        <v>26070876</v>
      </c>
      <c r="AC63" s="719">
        <v>17482.63</v>
      </c>
      <c r="AD63" s="719">
        <v>18192000</v>
      </c>
      <c r="AE63" s="1583">
        <v>25631.200000000001</v>
      </c>
      <c r="AF63" s="1583">
        <v>29610518</v>
      </c>
      <c r="AG63" s="1583">
        <v>27164.11</v>
      </c>
      <c r="AH63" s="1583">
        <v>33888372</v>
      </c>
      <c r="AI63" s="1583">
        <v>43342.26</v>
      </c>
      <c r="AJ63" s="1583">
        <v>36891055</v>
      </c>
      <c r="AK63" s="719">
        <v>70048.38</v>
      </c>
      <c r="AL63" s="719">
        <v>75957521</v>
      </c>
      <c r="AM63" s="719">
        <v>68668.460000000006</v>
      </c>
      <c r="AN63" s="719">
        <v>116069445</v>
      </c>
      <c r="AO63" s="719">
        <v>107792.18</v>
      </c>
      <c r="AP63" s="719">
        <v>137046436</v>
      </c>
      <c r="AQ63" s="197">
        <f ca="1">SUMIF($C$9:AL$10,1,$C63:AL63)</f>
        <v>783897.96999999986</v>
      </c>
      <c r="AR63" s="197">
        <f ca="1">SUMIF($C$9:AL$10,0,$C63:AL63)</f>
        <v>629090481</v>
      </c>
      <c r="AS63" s="159"/>
      <c r="AT63" s="711"/>
      <c r="AU63" s="113"/>
      <c r="AV63" s="113"/>
      <c r="AW63" s="113"/>
      <c r="BA63" s="11"/>
      <c r="BB63" s="11"/>
    </row>
    <row r="64" spans="1:54" s="98" customFormat="1">
      <c r="A64" s="140" t="s">
        <v>223</v>
      </c>
      <c r="B64" s="223" t="s">
        <v>67</v>
      </c>
      <c r="C64" s="175">
        <v>440794.78</v>
      </c>
      <c r="D64" s="175">
        <v>273960947</v>
      </c>
      <c r="E64" s="197">
        <v>443896.04</v>
      </c>
      <c r="F64" s="197">
        <v>330381846</v>
      </c>
      <c r="G64" s="197">
        <v>370183</v>
      </c>
      <c r="H64" s="197">
        <v>358819527</v>
      </c>
      <c r="I64" s="175">
        <v>289876.43</v>
      </c>
      <c r="J64" s="175">
        <v>263931467</v>
      </c>
      <c r="K64" s="197">
        <v>356393.16000000003</v>
      </c>
      <c r="L64" s="197">
        <v>309499986.85000002</v>
      </c>
      <c r="M64" s="197">
        <v>253499.78</v>
      </c>
      <c r="N64" s="197">
        <v>214485748</v>
      </c>
      <c r="O64" s="197">
        <v>333469.26</v>
      </c>
      <c r="P64" s="197">
        <v>229840510</v>
      </c>
      <c r="Q64" s="197">
        <v>217297.99</v>
      </c>
      <c r="R64" s="197">
        <v>210012842</v>
      </c>
      <c r="S64" s="197">
        <v>175164.13799999998</v>
      </c>
      <c r="T64" s="197">
        <v>195238759</v>
      </c>
      <c r="U64" s="197">
        <v>231508.22999999998</v>
      </c>
      <c r="V64" s="197">
        <v>155578851</v>
      </c>
      <c r="W64" s="197">
        <v>204344.62899999999</v>
      </c>
      <c r="X64" s="718">
        <v>120388239</v>
      </c>
      <c r="Y64" s="197">
        <v>214878</v>
      </c>
      <c r="Z64" s="197">
        <v>168139059</v>
      </c>
      <c r="AA64" s="718">
        <v>202885.74</v>
      </c>
      <c r="AB64" s="719">
        <v>119932606</v>
      </c>
      <c r="AC64" s="719">
        <v>62317.25</v>
      </c>
      <c r="AD64" s="719">
        <v>80284818</v>
      </c>
      <c r="AE64" s="1583">
        <v>97328.238000000012</v>
      </c>
      <c r="AF64" s="1583">
        <v>165669383</v>
      </c>
      <c r="AG64" s="1583">
        <v>178149.33</v>
      </c>
      <c r="AH64" s="1583">
        <v>295498037</v>
      </c>
      <c r="AI64" s="1583">
        <v>189982.07</v>
      </c>
      <c r="AJ64" s="1583">
        <v>284134136</v>
      </c>
      <c r="AK64" s="719">
        <v>275483.53999999998</v>
      </c>
      <c r="AL64" s="719">
        <v>483901685</v>
      </c>
      <c r="AM64" s="719">
        <v>226694.69500000004</v>
      </c>
      <c r="AN64" s="719">
        <v>581409440</v>
      </c>
      <c r="AO64" s="719">
        <v>172938.72999999998</v>
      </c>
      <c r="AP64" s="719">
        <v>437233961</v>
      </c>
      <c r="AQ64" s="197">
        <f ca="1">SUMIF($C$9:AL$10,1,$C64:AL64)</f>
        <v>4537451.6050000004</v>
      </c>
      <c r="AR64" s="197">
        <f ca="1">SUMIF($C$9:AL$10,0,$C64:AL64)</f>
        <v>4259698446.8499999</v>
      </c>
      <c r="AS64" s="159"/>
      <c r="AT64" s="711"/>
      <c r="AU64" s="113"/>
      <c r="AV64" s="113"/>
      <c r="AW64" s="113"/>
      <c r="BA64" s="11"/>
      <c r="BB64" s="11"/>
    </row>
    <row r="65" spans="1:54" s="98" customFormat="1">
      <c r="A65" s="140" t="s">
        <v>392</v>
      </c>
      <c r="B65" s="223" t="s">
        <v>67</v>
      </c>
      <c r="C65" s="175" t="s">
        <v>343</v>
      </c>
      <c r="D65" s="175" t="s">
        <v>343</v>
      </c>
      <c r="E65" s="197" t="s">
        <v>343</v>
      </c>
      <c r="F65" s="197" t="s">
        <v>343</v>
      </c>
      <c r="G65" s="197" t="s">
        <v>343</v>
      </c>
      <c r="H65" s="197" t="s">
        <v>343</v>
      </c>
      <c r="I65" s="175" t="s">
        <v>343</v>
      </c>
      <c r="J65" s="175" t="s">
        <v>343</v>
      </c>
      <c r="K65" s="197" t="s">
        <v>343</v>
      </c>
      <c r="L65" s="197" t="s">
        <v>343</v>
      </c>
      <c r="M65" s="197" t="s">
        <v>343</v>
      </c>
      <c r="N65" s="197" t="s">
        <v>343</v>
      </c>
      <c r="O65" s="197" t="s">
        <v>343</v>
      </c>
      <c r="P65" s="197" t="s">
        <v>343</v>
      </c>
      <c r="Q65" s="197" t="s">
        <v>343</v>
      </c>
      <c r="R65" s="197" t="s">
        <v>343</v>
      </c>
      <c r="S65" s="197" t="s">
        <v>343</v>
      </c>
      <c r="T65" s="197" t="s">
        <v>343</v>
      </c>
      <c r="U65" s="197" t="s">
        <v>343</v>
      </c>
      <c r="V65" s="197" t="s">
        <v>343</v>
      </c>
      <c r="W65" s="197">
        <v>186800.70303030306</v>
      </c>
      <c r="X65" s="718" t="s">
        <v>439</v>
      </c>
      <c r="Y65" s="197">
        <v>252371.61212121212</v>
      </c>
      <c r="Z65" s="197">
        <v>242596752.36441705</v>
      </c>
      <c r="AA65" s="718">
        <v>286956.36363636371</v>
      </c>
      <c r="AB65" s="719">
        <v>262039072.01084828</v>
      </c>
      <c r="AC65" s="719">
        <v>286455.59369696974</v>
      </c>
      <c r="AD65" s="719">
        <v>271959792.81765264</v>
      </c>
      <c r="AE65" s="1583">
        <v>260029.59175757578</v>
      </c>
      <c r="AF65" s="1583">
        <v>276283983.39685088</v>
      </c>
      <c r="AG65" s="1583">
        <v>216001.87103030307</v>
      </c>
      <c r="AH65" s="1583">
        <v>248320017.10130388</v>
      </c>
      <c r="AI65" s="1583">
        <v>317820.11660606059</v>
      </c>
      <c r="AJ65" s="1583">
        <v>352811053.66042292</v>
      </c>
      <c r="AK65" s="719">
        <v>278260.5230787879</v>
      </c>
      <c r="AL65" s="719">
        <v>401496766.33618987</v>
      </c>
      <c r="AM65" s="719">
        <v>243978.42424242425</v>
      </c>
      <c r="AN65" s="719">
        <v>430720742.39741266</v>
      </c>
      <c r="AO65" s="719">
        <v>254354.40727272732</v>
      </c>
      <c r="AP65" s="719">
        <v>463619024.76135445</v>
      </c>
      <c r="AQ65" s="197">
        <f ca="1">SUMIF($C$9:AL$10,1,$C65:AL65)</f>
        <v>2084696.3749575759</v>
      </c>
      <c r="AR65" s="197" t="s">
        <v>439</v>
      </c>
      <c r="AS65" s="159"/>
      <c r="AT65" s="711"/>
      <c r="AU65" s="113"/>
      <c r="AV65" s="113"/>
      <c r="AW65" s="113"/>
      <c r="BA65" s="11"/>
      <c r="BB65" s="11"/>
    </row>
    <row r="66" spans="1:54" s="98" customFormat="1">
      <c r="A66" s="140" t="s">
        <v>617</v>
      </c>
      <c r="B66" s="223" t="s">
        <v>67</v>
      </c>
      <c r="C66" s="175"/>
      <c r="D66" s="175">
        <f>D67-SUM(D61:D65)</f>
        <v>308677023.21212125</v>
      </c>
      <c r="E66" s="197"/>
      <c r="F66" s="197">
        <f>F67-SUM(F61:F65)</f>
        <v>351013014.63939393</v>
      </c>
      <c r="G66" s="197"/>
      <c r="H66" s="197">
        <f>H67-SUM(H61:H65)</f>
        <v>360941120.36130917</v>
      </c>
      <c r="I66" s="175"/>
      <c r="J66" s="175">
        <f>J67-SUM(J61:J65)</f>
        <v>267448199.60429811</v>
      </c>
      <c r="K66" s="197"/>
      <c r="L66" s="197">
        <f>L67-SUM(L61:L65)</f>
        <v>369826774.14124882</v>
      </c>
      <c r="M66" s="197"/>
      <c r="N66" s="197">
        <f>N67-SUM(N61:N65)</f>
        <v>339383380.86659384</v>
      </c>
      <c r="O66" s="197"/>
      <c r="P66" s="197">
        <f>P67-SUM(P61:P65)</f>
        <v>214526030.44375753</v>
      </c>
      <c r="Q66" s="197"/>
      <c r="R66" s="197">
        <f>R67-SUM(R61:R65)</f>
        <v>310396752.60567033</v>
      </c>
      <c r="S66" s="197"/>
      <c r="T66" s="197">
        <f>T67-SUM(T61:T65)</f>
        <v>680966464.06660604</v>
      </c>
      <c r="U66" s="197"/>
      <c r="V66" s="197">
        <f>V67-SUM(V61:V65)</f>
        <v>73239915</v>
      </c>
      <c r="W66" s="197"/>
      <c r="X66" s="718">
        <v>228227129</v>
      </c>
      <c r="Y66" s="197"/>
      <c r="Z66" s="718">
        <f>Z67-SUM(Z61:Z65)</f>
        <v>69578795.999999881</v>
      </c>
      <c r="AA66" s="197"/>
      <c r="AB66" s="719">
        <f>AB67-SUM(AB61:AB65)</f>
        <v>160025305.99999988</v>
      </c>
      <c r="AC66" s="719"/>
      <c r="AD66" s="719">
        <f>AD67-SUM(AD61:AD65)</f>
        <v>102570199.99999994</v>
      </c>
      <c r="AE66" s="1583"/>
      <c r="AF66" s="1583">
        <v>104403291</v>
      </c>
      <c r="AG66" s="1583"/>
      <c r="AH66" s="1583">
        <v>109169982</v>
      </c>
      <c r="AI66" s="1583"/>
      <c r="AJ66" s="1583">
        <v>107757161.81999993</v>
      </c>
      <c r="AK66" s="719"/>
      <c r="AL66" s="719">
        <v>115691390.00000024</v>
      </c>
      <c r="AM66" s="719"/>
      <c r="AN66" s="719">
        <v>635881.99999976158</v>
      </c>
      <c r="AO66" s="719"/>
      <c r="AP66" s="719">
        <v>449084</v>
      </c>
      <c r="AQ66" s="197"/>
      <c r="AR66" s="197">
        <f ca="1">SUMIF($C$9:AL$10,0,$C66:AL66)</f>
        <v>4273841930.7609987</v>
      </c>
      <c r="AS66" s="713"/>
      <c r="AT66" s="711"/>
      <c r="AU66" s="113"/>
      <c r="AV66" s="113"/>
      <c r="AW66" s="113"/>
      <c r="BA66" s="11"/>
      <c r="BB66" s="11"/>
    </row>
    <row r="67" spans="1:54" s="98" customFormat="1">
      <c r="A67" s="138" t="s">
        <v>284</v>
      </c>
      <c r="B67" s="132"/>
      <c r="C67" s="197"/>
      <c r="D67" s="197">
        <f>SUMIF('Mineral Sands - Q&amp;V'!$D8:$D250,'Q&amp;V CY 2004 to Now'!C7,'Mineral Sands - Q&amp;V'!$C8:$C250)*1000000</f>
        <v>764910779.21212125</v>
      </c>
      <c r="E67" s="197"/>
      <c r="F67" s="197">
        <f>SUMIF('Mineral Sands - Q&amp;V'!$D8:$D250,'Q&amp;V CY 2004 to Now'!E7,'Mineral Sands - Q&amp;V'!$C8:$C250)*1000000</f>
        <v>846793591.63939393</v>
      </c>
      <c r="G67" s="197"/>
      <c r="H67" s="197">
        <f>SUMIF('Mineral Sands - Q&amp;V'!$D8:$D250,'Q&amp;V CY 2004 to Now'!G7,'Mineral Sands - Q&amp;V'!$C8:$C250)*1000000</f>
        <v>886262810.36130917</v>
      </c>
      <c r="I67" s="175"/>
      <c r="J67" s="197">
        <f>SUMIF('Mineral Sands - Q&amp;V'!$D8:$D250,'Q&amp;V CY 2004 to Now'!I7,'Mineral Sands - Q&amp;V'!$C8:$C250)*1000000</f>
        <v>691055713.60429811</v>
      </c>
      <c r="K67" s="197"/>
      <c r="L67" s="197">
        <f>SUMIF('Mineral Sands - Q&amp;V'!$D8:$D250,'Q&amp;V CY 2004 to Now'!K7,'Mineral Sands - Q&amp;V'!$C8:$C250)*1000000</f>
        <v>777136717.99124885</v>
      </c>
      <c r="M67" s="197"/>
      <c r="N67" s="197">
        <f>SUMIF('Mineral Sands - Q&amp;V'!$D8:$D250,'Q&amp;V CY 2004 to Now'!M7,'Mineral Sands - Q&amp;V'!$C8:$C250)*1000000</f>
        <v>641830940.86659384</v>
      </c>
      <c r="O67" s="197"/>
      <c r="P67" s="197">
        <f>SUMIF('Mineral Sands - Q&amp;V'!$D8:$D250,'Q&amp;V CY 2004 to Now'!O7,'Mineral Sands - Q&amp;V'!$C8:$C250)*1000000</f>
        <v>526470515.44375753</v>
      </c>
      <c r="Q67" s="197"/>
      <c r="R67" s="197">
        <f>SUMIF('Mineral Sands - Q&amp;V'!$D8:$D250,'Q&amp;V CY 2004 to Now'!Q7,'Mineral Sands - Q&amp;V'!$C8:$C250)*1000000</f>
        <v>591622104.60567033</v>
      </c>
      <c r="S67" s="197"/>
      <c r="T67" s="197">
        <f>SUMIF('Mineral Sands - Q&amp;V'!$D8:$D250,'Q&amp;V CY 2004 to Now'!S7,'Mineral Sands - Q&amp;V'!$C8:$C250)*1000000</f>
        <v>970807032.06660604</v>
      </c>
      <c r="U67" s="197"/>
      <c r="V67" s="197">
        <f>SUMIF('Mineral Sands - Q&amp;V'!$D8:$D250,'Q&amp;V CY 2004 to Now'!U7,'Mineral Sands - Q&amp;V'!$C8:$C250)*1000000</f>
        <v>380584659</v>
      </c>
      <c r="W67" s="197"/>
      <c r="X67" s="197">
        <f>SUMIF('Mineral Sands - Q&amp;V'!$D8:$D250,'Q&amp;V CY 2004 to Now'!W7,'Mineral Sands - Q&amp;V'!$C8:$C250)*1000000</f>
        <v>406758672.86666662</v>
      </c>
      <c r="Y67" s="197"/>
      <c r="Z67" s="197">
        <f>SUMIF('Mineral Sands - Q&amp;V'!$D8:$D250,'Q&amp;V CY 2004 to Now'!Y7,'Mineral Sands - Q&amp;V'!$C8:$C250)*1000000</f>
        <v>586396092.36441696</v>
      </c>
      <c r="AA67" s="197"/>
      <c r="AB67" s="709">
        <f>SUMIF('Mineral Sands - Q&amp;V'!$D$8:$D$261,$AA$7,'Mineral Sands - Q&amp;V'!$C8:$C261)*1000000</f>
        <v>612464028.01084816</v>
      </c>
      <c r="AC67" s="709"/>
      <c r="AD67" s="709">
        <f>SUMIF('Mineral Sands - Q&amp;V'!$D$8:$D$261,$AC$7,'Mineral Sands - Q&amp;V'!$C8:$C261)*1000000</f>
        <v>515141739.81765258</v>
      </c>
      <c r="AE67" s="1577"/>
      <c r="AF67" s="1577">
        <f>SUMIF('Mineral Sands - Q&amp;V'!$D$8:$D$261,$AE$7,'Mineral Sands - Q&amp;V'!$C8:$C261)*1000000</f>
        <v>628845529.39685094</v>
      </c>
      <c r="AG67" s="1577"/>
      <c r="AH67" s="1577">
        <f>SUMIF('Mineral Sands - Q&amp;V'!$D$8:$D$261,$AG$7,'Mineral Sands - Q&amp;V'!$C8:$C261)*1000000</f>
        <v>761705420.10130382</v>
      </c>
      <c r="AI67" s="1577"/>
      <c r="AJ67" s="1577">
        <f>SUMIF('Mineral Sands - Q&amp;V'!$D$8:$D$261,$AI$7,'Mineral Sands - Q&amp;V'!$C8:$C261)*1000000</f>
        <v>886204925.66042292</v>
      </c>
      <c r="AK67" s="709"/>
      <c r="AL67" s="709">
        <f>SUMIF('Mineral Sands - Q&amp;V'!$D$8:$D$261,$AK$7,'Mineral Sands - Q&amp;V'!$C8:$C261)*1000000</f>
        <v>1173586609.33619</v>
      </c>
      <c r="AM67" s="709"/>
      <c r="AN67" s="709">
        <f>SUMIF('Mineral Sands - Q&amp;V'!$D$8:$D$261,$AM$7,'Mineral Sands - Q&amp;V'!$C8:$C261)*1000000</f>
        <v>1343708435.3974125</v>
      </c>
      <c r="AO67" s="709"/>
      <c r="AP67" s="709">
        <v>1281581926.7613544</v>
      </c>
      <c r="AQ67" s="197"/>
      <c r="AR67" s="197">
        <f ca="1">SUMIF($C$9:AL$10,0,$C67:AL67)</f>
        <v>12648577882.345348</v>
      </c>
      <c r="AS67" s="713"/>
      <c r="AT67" s="711"/>
      <c r="AU67" s="113"/>
      <c r="AV67" s="113"/>
      <c r="AW67" s="113"/>
      <c r="BA67" s="11"/>
      <c r="BB67" s="11"/>
    </row>
    <row r="68" spans="1:54" s="98" customFormat="1">
      <c r="A68" s="138"/>
      <c r="B68" s="132"/>
      <c r="C68" s="197"/>
      <c r="D68" s="197"/>
      <c r="E68" s="197"/>
      <c r="F68" s="197"/>
      <c r="G68" s="197"/>
      <c r="H68" s="197"/>
      <c r="I68" s="197"/>
      <c r="J68" s="197"/>
      <c r="K68" s="197"/>
      <c r="L68" s="197"/>
      <c r="M68" s="197"/>
      <c r="N68" s="197"/>
      <c r="O68" s="197"/>
      <c r="P68" s="197"/>
      <c r="Q68" s="197"/>
      <c r="R68" s="197"/>
      <c r="S68" s="197"/>
      <c r="T68" s="197"/>
      <c r="U68" s="197"/>
      <c r="V68" s="197"/>
      <c r="W68" s="197"/>
      <c r="X68" s="197"/>
      <c r="Y68" s="721"/>
      <c r="Z68" s="721"/>
      <c r="AA68" s="721"/>
      <c r="AB68" s="1086"/>
      <c r="AC68" s="1086"/>
      <c r="AD68" s="1086"/>
      <c r="AE68" s="1577"/>
      <c r="AF68" s="1577"/>
      <c r="AG68" s="1577"/>
      <c r="AH68" s="1577"/>
      <c r="AI68" s="1577"/>
      <c r="AJ68" s="1577"/>
      <c r="AK68" s="1583"/>
      <c r="AL68" s="1583"/>
      <c r="AM68" s="719"/>
      <c r="AN68" s="719"/>
      <c r="AO68" s="719"/>
      <c r="AP68" s="719"/>
      <c r="AQ68" s="197"/>
      <c r="AR68" s="197"/>
      <c r="AS68" s="713"/>
      <c r="AT68" s="711"/>
      <c r="AU68" s="113"/>
      <c r="AV68" s="113"/>
      <c r="AW68" s="113"/>
      <c r="BA68" s="11"/>
      <c r="BB68" s="11"/>
    </row>
    <row r="69" spans="1:54" s="98" customFormat="1">
      <c r="A69" s="124" t="s">
        <v>504</v>
      </c>
      <c r="B69" s="127" t="s">
        <v>67</v>
      </c>
      <c r="C69" s="194">
        <f>SUMIF('Nickel - Q&amp;V'!$D8:$D250,'Q&amp;V CY 2004 to Now'!C7,'Nickel - Q&amp;V'!$B8:$B250)*1000</f>
        <v>174701</v>
      </c>
      <c r="D69" s="183">
        <f>SUMIF('Nickel - Q&amp;V'!$D8:$D250,'Q&amp;V CY 2004 to Now'!C7,'Nickel - Q&amp;V'!$C8:$C250)*1000000</f>
        <v>3270207822</v>
      </c>
      <c r="E69" s="194">
        <f>SUMIF('Nickel - Q&amp;V'!$D8:$D250,'Q&amp;V CY 2004 to Now'!E7,'Nickel - Q&amp;V'!$B8:$B250)*1000</f>
        <v>188362</v>
      </c>
      <c r="F69" s="183">
        <f>SUMIF('Nickel - Q&amp;V'!$D8:$D250,'Q&amp;V CY 2004 to Now'!E7,'Nickel - Q&amp;V'!$C8:$C250)*1000000</f>
        <v>3490738470</v>
      </c>
      <c r="G69" s="194">
        <f>SUMIF('Nickel - Q&amp;V'!$D8:$D250,'Q&amp;V CY 2004 to Now'!G7,'Nickel - Q&amp;V'!$B8:$B250)*1000</f>
        <v>175087</v>
      </c>
      <c r="H69" s="183">
        <f>SUMIF('Nickel - Q&amp;V'!$D8:$D250,'Q&amp;V CY 2004 to Now'!G7,'Nickel - Q&amp;V'!$C8:$C250)*1000000</f>
        <v>5844173432</v>
      </c>
      <c r="I69" s="194">
        <f>SUMIF('Nickel - Q&amp;V'!$D8:$D250,'Q&amp;V CY 2004 to Now'!I7,'Nickel - Q&amp;V'!$B8:$B250)*1000</f>
        <v>162492.00000000003</v>
      </c>
      <c r="J69" s="183">
        <f>SUMIF('Nickel - Q&amp;V'!$D8:$D250,'Q&amp;V CY 2004 to Now'!I7,'Nickel - Q&amp;V'!$C8:$C250)*1000000</f>
        <v>6901856392</v>
      </c>
      <c r="K69" s="194">
        <f>SUMIF('Nickel - Q&amp;V'!$D8:$D250,'Q&amp;V CY 2004 to Now'!K7,'Nickel - Q&amp;V'!$B8:$B250)*1000</f>
        <v>187791</v>
      </c>
      <c r="L69" s="183">
        <f>SUMIF('Nickel - Q&amp;V'!$D8:$D250,'Q&amp;V CY 2004 to Now'!K7,'Nickel - Q&amp;V'!$C8:$C250)*1000000</f>
        <v>4059155738</v>
      </c>
      <c r="M69" s="194">
        <f>SUMIF('Nickel - Q&amp;V'!$D8:$D250,'Q&amp;V CY 2004 to Now'!M7,'Nickel - Q&amp;V'!$B8:$B250)*1000</f>
        <v>171178</v>
      </c>
      <c r="N69" s="183">
        <f>SUMIF('Nickel - Q&amp;V'!$D8:$D250,'Q&amp;V CY 2004 to Now'!M7,'Nickel - Q&amp;V'!$C8:$C250)*1000000</f>
        <v>3352941845</v>
      </c>
      <c r="O69" s="194">
        <f>SUMIF('Nickel - Q&amp;V'!$D8:$D250,'Q&amp;V CY 2004 to Now'!O7,'Nickel - Q&amp;V'!$B8:$B250)*1000</f>
        <v>193259</v>
      </c>
      <c r="P69" s="183">
        <f>SUMIF('Nickel - Q&amp;V'!$D8:$D250,'Q&amp;V CY 2004 to Now'!O7,'Nickel - Q&amp;V'!$C8:$C250)*1000000</f>
        <v>4550334790</v>
      </c>
      <c r="Q69" s="194">
        <f>SUMIF('Nickel - Q&amp;V'!$D8:$D250,'Q&amp;V CY 2004 to Now'!Q7,'Nickel - Q&amp;V'!$B8:$B250)*1000</f>
        <v>185130</v>
      </c>
      <c r="R69" s="183">
        <f>SUMIF('Nickel - Q&amp;V'!$D8:$D250,'Q&amp;V CY 2004 to Now'!Q7,'Nickel - Q&amp;V'!$C8:$C250)*1000000</f>
        <v>3951580226</v>
      </c>
      <c r="S69" s="194">
        <f>SUMIF('Nickel - Q&amp;V'!$D8:$D250,'Q&amp;V CY 2004 to Now'!S7,'Nickel - Q&amp;V'!$B8:$B250)*1000</f>
        <v>230767.1003574091</v>
      </c>
      <c r="T69" s="183">
        <f>SUMIF('Nickel - Q&amp;V'!$D8:$D250,'Q&amp;V CY 2004 to Now'!S7,'Nickel - Q&amp;V'!$C8:$C250)*1000000</f>
        <v>3801194548.54</v>
      </c>
      <c r="U69" s="194">
        <f>SUMIF('Nickel - Q&amp;V'!$D8:$D250,'Q&amp;V CY 2004 to Now'!U7,'Nickel - Q&amp;V'!$B8:$B250)*1000</f>
        <v>270744.364</v>
      </c>
      <c r="V69" s="183">
        <f>SUMIF('Nickel - Q&amp;V'!$D8:$D250,'Q&amp;V CY 2004 to Now'!U7,'Nickel - Q&amp;V'!$C8:$C250)*1000000</f>
        <v>3380559516</v>
      </c>
      <c r="W69" s="194">
        <f>SUMIF('Nickel - Q&amp;V'!$D8:$D250,'Q&amp;V CY 2004 to Now'!W7,'Nickel - Q&amp;V'!$B8:$B250)*1000</f>
        <v>218563.11600000001</v>
      </c>
      <c r="X69" s="183">
        <f>SUMIF('Nickel - Q&amp;V'!$D8:$D250,'Q&amp;V CY 2004 to Now'!W7,'Nickel - Q&amp;V'!$C8:$C250)*1000000</f>
        <v>3582498108</v>
      </c>
      <c r="Y69" s="194">
        <f>SUMIF('Nickel - Q&amp;V'!$D8:$D250,'Q&amp;V CY 2004 to Now'!Y7,'Nickel - Q&amp;V'!$B8:$B250)*1000</f>
        <v>173974.19100000002</v>
      </c>
      <c r="Z69" s="183">
        <f>SUMIF('Nickel - Q&amp;V'!$D8:$D250,'Q&amp;V CY 2004 to Now'!Y7,'Nickel - Q&amp;V'!$C8:$C250)*1000000</f>
        <v>2557214478.9999995</v>
      </c>
      <c r="AA69" s="194">
        <f>SUMIF('Nickel - Q&amp;V'!$D8:$D250,'Q&amp;V CY 2004 to Now'!AA7,'Nickel - Q&amp;V'!$B8:$B250)*1000</f>
        <v>171604.30600000001</v>
      </c>
      <c r="AB69" s="715">
        <f>SUMIF('Nickel - Q&amp;V'!$D8:$D250,'Q&amp;V CY 2004 to Now'!AA7,'Nickel - Q&amp;V'!$C8:$C250)*1000000</f>
        <v>2209843313.0000005</v>
      </c>
      <c r="AC69" s="715">
        <f>SUMIF('Nickel - Q&amp;V'!$D8:$D250,'Q&amp;V CY 2004 to Now'!AC7,'Nickel - Q&amp;V'!$B8:$B250)*1000</f>
        <v>166420.21699999998</v>
      </c>
      <c r="AD69" s="715">
        <f>SUMIF('Nickel - Q&amp;V'!$D8:$D250,'Q&amp;V CY 2004 to Now'!AC7,'Nickel - Q&amp;V'!$C8:$C250)*1000000</f>
        <v>2275843857</v>
      </c>
      <c r="AE69" s="1353">
        <f>SUMIF('Nickel - Q&amp;V'!$D8:$D250,'Q&amp;V CY 2004 to Now'!AE7,'Nickel - Q&amp;V'!$B8:$B250)*1000</f>
        <v>149295.46400000001</v>
      </c>
      <c r="AF69" s="1353">
        <f>SUMIF('Nickel - Q&amp;V'!$D8:$D250,'Q&amp;V CY 2004 to Now'!AE7,'Nickel - Q&amp;V'!$C8:$C250)*1000000</f>
        <v>2609328205</v>
      </c>
      <c r="AG69" s="1353">
        <f>SUMIF('Nickel - Q&amp;V'!$D8:$D250,'Q&amp;V CY 2004 to Now'!AG7,'Nickel - Q&amp;V'!$B8:$B250)*1000</f>
        <v>153624.17200000002</v>
      </c>
      <c r="AH69" s="1353">
        <f>SUMIF('Nickel - Q&amp;V'!$D8:$D250,'Q&amp;V CY 2004 to Now'!AG7,'Nickel - Q&amp;V'!$C8:$C250)*1000000</f>
        <v>3082189428.9999995</v>
      </c>
      <c r="AI69" s="1353">
        <f>SUMIF('Nickel - Q&amp;V'!$D8:$D250,'Q&amp;V CY 2004 to Now'!AI7,'Nickel - Q&amp;V'!$B8:$B250)*1000</f>
        <v>165123.10700000002</v>
      </c>
      <c r="AJ69" s="1353">
        <f>SUMIF('Nickel - Q&amp;V'!$D8:$D250,'Q&amp;V CY 2004 to Now'!AI7,'Nickel - Q&amp;V'!$C8:$C250)*1000000</f>
        <v>3341235021</v>
      </c>
      <c r="AK69" s="1353">
        <f>SUMIF('Nickel - Q&amp;V'!$D8:$D250,'Q&amp;V CY 2004 to Now'!AK7,'Nickel - Q&amp;V'!$B8:$B250)*1000</f>
        <v>150027.856</v>
      </c>
      <c r="AL69" s="1353">
        <f>SUMIF('Nickel - Q&amp;V'!$D8:$D250,'Q&amp;V CY 2004 to Now'!AK7,'Nickel - Q&amp;V'!$C8:$C250)*1000000</f>
        <v>3807359222.6500001</v>
      </c>
      <c r="AM69" s="1353">
        <f>SUMIF('Nickel - Q&amp;V'!$D8:$D250,'Q&amp;V CY 2004 to Now'!AM7,'Nickel - Q&amp;V'!$B8:$B250)*1000</f>
        <v>155270.40677045283</v>
      </c>
      <c r="AN69" s="1353">
        <f>SUMIF('Nickel - Q&amp;V'!$D8:$D250,'Q&amp;V CY 2004 to Now'!AM7,'Nickel - Q&amp;V'!$C8:$C250)*1000000</f>
        <v>5766816218.999999</v>
      </c>
      <c r="AO69" s="1353">
        <f>SUMIF('Nickel - Q&amp;V'!$D8:$D250,'Q&amp;V CY 2004 to Now'!AO7,'Nickel - Q&amp;V'!$B8:$B250)*1000</f>
        <v>149420.76699999999</v>
      </c>
      <c r="AP69" s="1353">
        <f>SUMIF('Nickel - Q&amp;V'!$D8:$D250,'Q&amp;V CY 2004 to Now'!AO7,'Nickel - Q&amp;V'!$C8:$C250)*1000000</f>
        <v>4697415435</v>
      </c>
      <c r="AQ69" s="194">
        <f ca="1">SUMIF($C$9:AP$10,1,$C69:AP69)</f>
        <v>3443414.3001278625</v>
      </c>
      <c r="AR69" s="194">
        <f ca="1">SUMIF($C$9:AP$10,0,$C69:AP69)</f>
        <v>71835070633.190002</v>
      </c>
      <c r="AS69" s="159"/>
      <c r="AT69" s="711"/>
      <c r="AU69" s="113"/>
      <c r="AV69" s="113"/>
      <c r="AW69" s="113"/>
      <c r="BB69" s="277"/>
    </row>
    <row r="70" spans="1:54" s="98" customFormat="1">
      <c r="A70" s="129"/>
      <c r="B70" s="225"/>
      <c r="C70" s="194"/>
      <c r="D70" s="183"/>
      <c r="E70" s="194"/>
      <c r="F70" s="183"/>
      <c r="G70" s="194"/>
      <c r="H70" s="183"/>
      <c r="I70" s="183"/>
      <c r="J70" s="183"/>
      <c r="K70" s="194"/>
      <c r="L70" s="183"/>
      <c r="M70" s="194"/>
      <c r="N70" s="183"/>
      <c r="O70" s="194"/>
      <c r="P70" s="183"/>
      <c r="Q70" s="194"/>
      <c r="R70" s="183"/>
      <c r="S70" s="194"/>
      <c r="T70" s="183"/>
      <c r="U70" s="194"/>
      <c r="V70" s="183"/>
      <c r="W70" s="194"/>
      <c r="X70" s="183"/>
      <c r="Y70" s="194"/>
      <c r="Z70" s="183"/>
      <c r="AA70" s="183"/>
      <c r="AB70" s="715"/>
      <c r="AC70" s="715"/>
      <c r="AD70" s="715"/>
      <c r="AE70" s="1353"/>
      <c r="AF70" s="1353"/>
      <c r="AG70" s="1353"/>
      <c r="AH70" s="1353"/>
      <c r="AI70" s="1353"/>
      <c r="AJ70" s="1353"/>
      <c r="AK70" s="1353"/>
      <c r="AL70" s="1353"/>
      <c r="AM70" s="1353"/>
      <c r="AN70" s="1353"/>
      <c r="AO70" s="1353"/>
      <c r="AP70" s="1353"/>
      <c r="AQ70" s="194"/>
      <c r="AR70" s="194"/>
      <c r="AS70" s="713"/>
      <c r="AT70" s="711"/>
      <c r="AU70" s="113"/>
      <c r="AV70" s="113"/>
      <c r="AW70" s="113"/>
      <c r="BB70" s="277"/>
    </row>
    <row r="71" spans="1:54" s="98" customFormat="1">
      <c r="A71" s="118" t="s">
        <v>191</v>
      </c>
      <c r="B71" s="134"/>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578"/>
      <c r="AF71" s="1578"/>
      <c r="AG71" s="1578"/>
      <c r="AH71" s="1578"/>
      <c r="AI71" s="1578"/>
      <c r="AJ71" s="1578"/>
      <c r="AK71" s="1578"/>
      <c r="AL71" s="1578"/>
      <c r="AM71" s="1578"/>
      <c r="AN71" s="1578"/>
      <c r="AO71" s="1578"/>
      <c r="AP71" s="1578"/>
      <c r="AQ71" s="197"/>
      <c r="AR71" s="197"/>
      <c r="AS71" s="713"/>
      <c r="AT71" s="711"/>
      <c r="AU71" s="113"/>
      <c r="AV71" s="113"/>
      <c r="AW71" s="113"/>
      <c r="BB71" s="11"/>
    </row>
    <row r="72" spans="1:54" s="98" customFormat="1">
      <c r="A72" s="140" t="s">
        <v>62</v>
      </c>
      <c r="B72" s="119" t="s">
        <v>192</v>
      </c>
      <c r="C72" s="197">
        <f>SUMIF('Petroleum - Q&amp;V 1'!$H8:$H250,'Q&amp;V CY 2004 to Now'!C7,'Petroleum - Q&amp;V 1'!$D8:$D250)*1000000</f>
        <v>5483402</v>
      </c>
      <c r="D72" s="197">
        <f>SUMIF('Petroleum - Q&amp;V 1'!$H8:$H250,'Q&amp;V CY 2004 to Now'!C7,'Petroleum - Q&amp;V 1'!$E8:$E250)*1000000</f>
        <v>2022972111</v>
      </c>
      <c r="E72" s="197">
        <f>SUMIF('Petroleum - Q&amp;V 1'!$H8:$H250,'Q&amp;V CY 2004 to Now'!E7,'Petroleum - Q&amp;V 1'!$D8:$D250)*1000000</f>
        <v>5884500</v>
      </c>
      <c r="F72" s="197">
        <f>SUMIF('Petroleum - Q&amp;V 1'!$H8:$H250,'Q&amp;V CY 2004 to Now'!E7,'Petroleum - Q&amp;V 1'!$E8:$E250)*1000000</f>
        <v>2576899599</v>
      </c>
      <c r="G72" s="197">
        <f>SUMIF('Petroleum - Q&amp;V 1'!$H8:$H250,'Q&amp;V CY 2004 to Now'!G7,'Petroleum - Q&amp;V 1'!$D8:$D250)*1000000</f>
        <v>5609151</v>
      </c>
      <c r="H72" s="197">
        <f>SUMIF('Petroleum - Q&amp;V 1'!$H8:$H250,'Q&amp;V CY 2004 to Now'!G7,'Petroleum - Q&amp;V 1'!$E8:$E250)*1000000</f>
        <v>2940186079</v>
      </c>
      <c r="I72" s="197">
        <f>SUMIF('Petroleum - Q&amp;V 1'!$H8:$H250,'Q&amp;V CY 2004 to Now'!I7,'Petroleum - Q&amp;V 1'!$D8:$D250)*1000000</f>
        <v>5855654</v>
      </c>
      <c r="J72" s="197">
        <f>SUMIF('Petroleum - Q&amp;V 1'!$H8:$H250,'Q&amp;V CY 2004 to Now'!I7,'Petroleum - Q&amp;V 1'!$E8:$E250)*1000000</f>
        <v>3236755018</v>
      </c>
      <c r="K72" s="197">
        <f>SUMIF('Petroleum - Q&amp;V 1'!$H8:$H250,'Q&amp;V CY 2004 to Now'!K7,'Petroleum - Q&amp;V 1'!$D8:$D250)*1000000</f>
        <v>5725013.0000000009</v>
      </c>
      <c r="L72" s="197">
        <f>SUMIF('Petroleum - Q&amp;V 1'!$H8:$H250,'Q&amp;V CY 2004 to Now'!K7,'Petroleum - Q&amp;V 1'!$E8:$E250)*1000000</f>
        <v>3512416903.9999995</v>
      </c>
      <c r="M72" s="197">
        <f>SUMIF('Petroleum - Q&amp;V 1'!$H8:$H250,'Q&amp;V CY 2004 to Now'!M7,'Petroleum - Q&amp;V 1'!$D8:$D250)*1000000</f>
        <v>7492544</v>
      </c>
      <c r="N72" s="197">
        <f>SUMIF('Petroleum - Q&amp;V 1'!$H8:$H250,'Q&amp;V CY 2004 to Now'!M7,'Petroleum - Q&amp;V 1'!$E8:$E250)*1000000</f>
        <v>3121956738</v>
      </c>
      <c r="O72" s="197">
        <f>SUMIF('Petroleum - Q&amp;V 1'!$H8:$H250,'Q&amp;V CY 2004 to Now'!O7,'Petroleum - Q&amp;V 1'!$D8:$D250)*1000000</f>
        <v>7215589</v>
      </c>
      <c r="P72" s="197">
        <f>SUMIF('Petroleum - Q&amp;V 1'!$H8:$H250,'Q&amp;V CY 2004 to Now'!O7,'Petroleum - Q&amp;V 1'!$E8:$E250)*1000000</f>
        <v>3705433478</v>
      </c>
      <c r="Q72" s="197">
        <f>SUMIF('Petroleum - Q&amp;V 1'!$H8:$H250,'Q&amp;V CY 2004 to Now'!Q7,'Petroleum - Q&amp;V 1'!$D8:$D250)*1000000</f>
        <v>6282227</v>
      </c>
      <c r="R72" s="197">
        <f>SUMIF('Petroleum - Q&amp;V 1'!$H8:$H250,'Q&amp;V CY 2004 to Now'!Q7,'Petroleum - Q&amp;V 1'!$E8:$E250)*1000000</f>
        <v>4088397526</v>
      </c>
      <c r="S72" s="197">
        <f>SUMIF('Petroleum - Q&amp;V 1'!$H8:$H250,'Q&amp;V CY 2004 to Now'!S7,'Petroleum - Q&amp;V 1'!$D8:$D250)*1000000</f>
        <v>5999510</v>
      </c>
      <c r="T72" s="197">
        <f>SUMIF('Petroleum - Q&amp;V 1'!$H8:$H250,'Q&amp;V CY 2004 to Now'!S7,'Petroleum - Q&amp;V 1'!$E8:$E250)*1000000</f>
        <v>3862301114.9999995</v>
      </c>
      <c r="U72" s="197">
        <f>SUMIF('Petroleum - Q&amp;V 1'!$H8:$H250,'Q&amp;V CY 2004 to Now'!U7,'Petroleum - Q&amp;V 1'!$D8:$D250)*1000000</f>
        <v>5957271</v>
      </c>
      <c r="V72" s="197">
        <f>SUMIF('Petroleum - Q&amp;V 1'!$H8:$H250,'Q&amp;V CY 2004 to Now'!U7,'Petroleum - Q&amp;V 1'!$E8:$E250)*1000000</f>
        <v>4116922037.0000005</v>
      </c>
      <c r="W72" s="197">
        <f>SUMIF('Petroleum - Q&amp;V 1'!$H8:$H250,'Q&amp;V CY 2004 to Now'!W7,'Petroleum - Q&amp;V 1'!$D8:$D250)*1000000</f>
        <v>4916020.9720000001</v>
      </c>
      <c r="X72" s="197">
        <f>SUMIF('Petroleum - Q&amp;V 1'!$H8:$H250,'Q&amp;V CY 2004 to Now'!W7,'Petroleum - Q&amp;V 1'!$E8:$E250)*1000000</f>
        <v>3197191703.1127391</v>
      </c>
      <c r="Y72" s="197">
        <f>SUMIF('Petroleum - Q&amp;V 1'!$H8:$H250,'Q&amp;V CY 2004 to Now'!Y7,'Petroleum - Q&amp;V 1'!$D8:$D250)*1000000</f>
        <v>6630118.2649999997</v>
      </c>
      <c r="Z72" s="197">
        <f>SUMIF('Petroleum - Q&amp;V 1'!$H8:$H250,'Q&amp;V CY 2004 to Now'!Y7,'Petroleum - Q&amp;V 1'!$E8:$E250)*1000000</f>
        <v>2461749279.2567773</v>
      </c>
      <c r="AA72" s="197">
        <f>SUMIF('Petroleum - Q&amp;V 1'!$H8:$H250,'Q&amp;V CY 2004 to Now'!AA7,'Petroleum - Q&amp;V 1'!$D8:$D250)*1000000</f>
        <v>6456941.0225498695</v>
      </c>
      <c r="AB72" s="197">
        <f>SUMIF('Petroleum - Q&amp;V 1'!$H8:$H250,'Q&amp;V CY 2004 to Now'!AA7,'Petroleum - Q&amp;V 1'!$E8:$E250)*1000000</f>
        <v>2155876768.9303102</v>
      </c>
      <c r="AC72" s="197">
        <f>SUMIF('Petroleum - Q&amp;V 1'!$H8:$H250,'Q&amp;V CY 2004 to Now'!AC7,'Petroleum - Q&amp;V 1'!$D8:$D250)*1000000</f>
        <v>6265165.7466368768</v>
      </c>
      <c r="AD72" s="197">
        <f>SUMIF('Petroleum - Q&amp;V 1'!$H8:$H250,'Q&amp;V CY 2004 to Now'!AC7,'Petroleum - Q&amp;V 1'!$E8:$E250)*1000000</f>
        <v>2554525131.7507629</v>
      </c>
      <c r="AE72" s="1578">
        <f>SUMIF('Petroleum - Q&amp;V 1'!$H8:$H250,'Q&amp;V CY 2004 to Now'!AE7,'Petroleum - Q&amp;V 1'!$D8:$D250)*1000000</f>
        <v>8781603.9429353364</v>
      </c>
      <c r="AF72" s="1578">
        <f>SUMIF('Petroleum - Q&amp;V 1'!$H8:$H250,'Q&amp;V CY 2004 to Now'!AE7,'Petroleum - Q&amp;V 1'!$E8:$E250)*1000000</f>
        <v>4741992500.9907799</v>
      </c>
      <c r="AG72" s="1578">
        <f>SUMIF('Petroleum - Q&amp;V 1'!$H8:$H250,'Q&amp;V CY 2004 to Now'!AG7,'Petroleum - Q&amp;V 1'!$D8:$D250)*1000000</f>
        <v>12585088.887795024</v>
      </c>
      <c r="AH72" s="1578">
        <f>SUMIF('Petroleum - Q&amp;V 1'!$H8:$H250,'Q&amp;V CY 2004 to Now'!AG7,'Petroleum - Q&amp;V 1'!$E8:$E250)*1000000</f>
        <v>6778940306.6019497</v>
      </c>
      <c r="AI72" s="1578">
        <f>SUMIF('Petroleum - Q&amp;V 1'!$H8:$H250,'Q&amp;V CY 2004 to Now'!AI7,'Petroleum - Q&amp;V 1'!$D8:$D250)*1000000</f>
        <v>11368146.719501417</v>
      </c>
      <c r="AJ72" s="1578">
        <f>SUMIF('Petroleum - Q&amp;V 1'!$H8:$H250,'Q&amp;V CY 2004 to Now'!AI7,'Petroleum - Q&amp;V 1'!$E8:$E250)*1000000</f>
        <v>3561402284.0852423</v>
      </c>
      <c r="AK72" s="1578">
        <f>SUMIF('Petroleum - Q&amp;V 1'!$H8:$H250,'Q&amp;V CY 2004 to Now'!AK7,'Petroleum - Q&amp;V 1'!$D8:$D250)*1000000</f>
        <v>12207822.654744979</v>
      </c>
      <c r="AL72" s="1578">
        <f>SUMIF('Petroleum - Q&amp;V 1'!$H8:$H250,'Q&amp;V CY 2004 to Now'!AK7,'Petroleum - Q&amp;V 1'!$E8:$E250)*1000000</f>
        <v>6776418366.7921839</v>
      </c>
      <c r="AM72" s="1578">
        <f>SUMIF('Petroleum - Q&amp;V 1'!$H8:$H250,'Q&amp;V CY 2004 to Now'!AM7,'Petroleum - Q&amp;V 1'!$D8:$D250)*1000000</f>
        <v>11120797.422918798</v>
      </c>
      <c r="AN72" s="1578">
        <f>SUMIF('Petroleum - Q&amp;V 1'!$H8:$H250,'Q&amp;V CY 2004 to Now'!AM7,'Petroleum - Q&amp;V 1'!$E8:$E250)*1000000</f>
        <v>9021155473.5518341</v>
      </c>
      <c r="AO72" s="1578">
        <f>SUMIF('Petroleum - Q&amp;V 1'!$H8:$H250,'Q&amp;V CY 2004 to Now'!AO7,'Petroleum - Q&amp;V 1'!$D8:$D250)*1000000</f>
        <v>11243699.362056173</v>
      </c>
      <c r="AP72" s="1578">
        <f>SUMIF('Petroleum - Q&amp;V 1'!$H8:$H250,'Q&amp;V CY 2004 to Now'!AO7,'Petroleum - Q&amp;V 1'!$E8:$E250)*1000000</f>
        <v>7784364338.2544746</v>
      </c>
      <c r="AQ72" s="197">
        <f ca="1">SUMIF($C$9:AP$10,1,$C72:AP72)</f>
        <v>141836566.63408232</v>
      </c>
      <c r="AR72" s="197">
        <f ca="1">SUMIF($C$9:AP$10,0,$C72:AP72)</f>
        <v>74433492420.072571</v>
      </c>
      <c r="AS72" s="713"/>
      <c r="AT72" s="711"/>
      <c r="AU72" s="113"/>
      <c r="AV72" s="113"/>
      <c r="AW72" s="113"/>
      <c r="BB72" s="11"/>
    </row>
    <row r="73" spans="1:54" s="98" customFormat="1">
      <c r="A73" s="140" t="s">
        <v>61</v>
      </c>
      <c r="B73" s="119" t="s">
        <v>192</v>
      </c>
      <c r="C73" s="197">
        <f>SUMIF('Petroleum - Q&amp;V 1'!$H8:$H250,'Q&amp;V CY 2004 to Now'!C7,'Petroleum - Q&amp;V 1'!$B8:$B250)*1000000</f>
        <v>12218847</v>
      </c>
      <c r="D73" s="197">
        <f>SUMIF('Petroleum - Q&amp;V 1'!$H8:$H250,'Q&amp;V CY 2004 to Now'!C7,'Petroleum - Q&amp;V 1'!$C8:$C250)*1000000</f>
        <v>4209310075.0000005</v>
      </c>
      <c r="E73" s="197">
        <f>SUMIF('Petroleum - Q&amp;V 1'!$H8:$H250,'Q&amp;V CY 2004 to Now'!E7,'Petroleum - Q&amp;V 1'!$B8:$B250)*1000000</f>
        <v>13173896.999999998</v>
      </c>
      <c r="F73" s="197">
        <f>SUMIF('Petroleum - Q&amp;V 1'!$H8:$H250,'Q&amp;V CY 2004 to Now'!E7,'Petroleum - Q&amp;V 1'!$C8:$C250)*1000000</f>
        <v>6162270370</v>
      </c>
      <c r="G73" s="197">
        <f>SUMIF('Petroleum - Q&amp;V 1'!$H8:$H250,'Q&amp;V CY 2004 to Now'!G7,'Petroleum - Q&amp;V 1'!$B8:$B250)*1000000</f>
        <v>11953792</v>
      </c>
      <c r="H73" s="197">
        <f>SUMIF('Petroleum - Q&amp;V 1'!$H8:$H250,'Q&amp;V CY 2004 to Now'!G7,'Petroleum - Q&amp;V 1'!$C8:$C250)*1000000</f>
        <v>6602800654</v>
      </c>
      <c r="I73" s="197">
        <f>SUMIF('Petroleum - Q&amp;V 1'!$H8:$H250,'Q&amp;V CY 2004 to Now'!I7,'Petroleum - Q&amp;V 1'!$B8:$B250)*1000000</f>
        <v>13195792</v>
      </c>
      <c r="J73" s="197">
        <f>SUMIF('Petroleum - Q&amp;V 1'!$H8:$H250,'Q&amp;V CY 2004 to Now'!I7,'Petroleum - Q&amp;V 1'!$C8:$C250)*1000000</f>
        <v>7384292250</v>
      </c>
      <c r="K73" s="197">
        <f>SUMIF('Petroleum - Q&amp;V 1'!$H8:$H250,'Q&amp;V CY 2004 to Now'!K7,'Petroleum - Q&amp;V 1'!$B8:$B250)*1000000</f>
        <v>13324422</v>
      </c>
      <c r="L73" s="197">
        <f>SUMIF('Petroleum - Q&amp;V 1'!$H8:$H250,'Q&amp;V CY 2004 to Now'!K7,'Petroleum - Q&amp;V 1'!$C8:$C250)*1000000</f>
        <v>9737620320</v>
      </c>
      <c r="M73" s="197">
        <f>SUMIF('Petroleum - Q&amp;V 1'!$H8:$H250,'Q&amp;V CY 2004 to Now'!M7,'Petroleum - Q&amp;V 1'!$B8:$B250)*1000000</f>
        <v>11246917</v>
      </c>
      <c r="N73" s="197">
        <f>SUMIF('Petroleum - Q&amp;V 1'!$H8:$H250,'Q&amp;V CY 2004 to Now'!M7,'Petroleum - Q&amp;V 1'!$C8:$C250)*1000000</f>
        <v>5505448018.000001</v>
      </c>
      <c r="O73" s="197">
        <f>SUMIF('Petroleum - Q&amp;V 1'!$H8:$H250,'Q&amp;V CY 2004 to Now'!O7,'Petroleum - Q&amp;V 1'!$B8:$B250)*1000000</f>
        <v>14705000</v>
      </c>
      <c r="P73" s="197">
        <f>SUMIF('Petroleum - Q&amp;V 1'!$H8:$H250,'Q&amp;V CY 2004 to Now'!O7,'Petroleum - Q&amp;V 1'!$C8:$C250)*1000000</f>
        <v>8247309631</v>
      </c>
      <c r="Q73" s="197">
        <f>SUMIF('Petroleum - Q&amp;V 1'!$H8:$H250,'Q&amp;V CY 2004 to Now'!Q7,'Petroleum - Q&amp;V 1'!$B8:$B250)*1000000</f>
        <v>12053493</v>
      </c>
      <c r="R73" s="197">
        <f>SUMIF('Petroleum - Q&amp;V 1'!$H8:$H250,'Q&amp;V CY 2004 to Now'!Q7,'Petroleum - Q&amp;V 1'!$C8:$C250)*1000000</f>
        <v>8030943573.999999</v>
      </c>
      <c r="S73" s="197">
        <f>SUMIF('Petroleum - Q&amp;V 1'!$H8:$H250,'Q&amp;V CY 2004 to Now'!S7,'Petroleum - Q&amp;V 1'!$B8:$B250)*1000000</f>
        <v>9991681</v>
      </c>
      <c r="T73" s="197">
        <f>SUMIF('Petroleum - Q&amp;V 1'!$H8:$H250,'Q&amp;V CY 2004 to Now'!S7,'Petroleum - Q&amp;V 1'!$C8:$C250)*1000000</f>
        <v>7099593535.000001</v>
      </c>
      <c r="U73" s="197">
        <f>SUMIF('Petroleum - Q&amp;V 1'!$H8:$H250,'Q&amp;V CY 2004 to Now'!U7,'Petroleum - Q&amp;V 1'!$B8:$B250)*1000000</f>
        <v>6870977</v>
      </c>
      <c r="V73" s="197">
        <f>SUMIF('Petroleum - Q&amp;V 1'!$H8:$H250,'Q&amp;V CY 2004 to Now'!U7,'Petroleum - Q&amp;V 1'!$C8:$C250)*1000000</f>
        <v>5111092673</v>
      </c>
      <c r="W73" s="197">
        <f>SUMIF('Petroleum - Q&amp;V 1'!$H8:$H250,'Q&amp;V CY 2004 to Now'!W7,'Petroleum - Q&amp;V 1'!$B8:$B250)*1000000</f>
        <v>7608303.3370000003</v>
      </c>
      <c r="X73" s="197">
        <f>SUMIF('Petroleum - Q&amp;V 1'!$H8:$H250,'Q&amp;V CY 2004 to Now'!W7,'Petroleum - Q&amp;V 1'!$C8:$C250)*1000000</f>
        <v>5376682614.1111679</v>
      </c>
      <c r="Y73" s="197">
        <f>SUMIF('Petroleum - Q&amp;V 1'!$H8:$H250,'Q&amp;V CY 2004 to Now'!Y7,'Petroleum - Q&amp;V 1'!$B8:$B250)*1000000</f>
        <v>8343417.7189999996</v>
      </c>
      <c r="Z73" s="197">
        <f>SUMIF('Petroleum - Q&amp;V 1'!$H8:$H250,'Q&amp;V CY 2004 to Now'!Y7,'Petroleum - Q&amp;V 1'!$C8:$C250)*1000000</f>
        <v>3775532080.3098979</v>
      </c>
      <c r="AA73" s="197">
        <f>SUMIF('Petroleum - Q&amp;V 1'!$H8:$H250,'Q&amp;V CY 2004 to Now'!AA7,'Petroleum - Q&amp;V 1'!$B8:$B250)*1000000</f>
        <v>5813947.7664729292</v>
      </c>
      <c r="AB73" s="197">
        <f>SUMIF('Petroleum - Q&amp;V 1'!$H8:$H250,'Q&amp;V CY 2004 to Now'!AA7,'Petroleum - Q&amp;V 1'!$C8:$C250)*1000000</f>
        <v>2141190896.7671175</v>
      </c>
      <c r="AC73" s="197">
        <f>SUMIF('Petroleum - Q&amp;V 1'!$H8:$H250,'Q&amp;V CY 2004 to Now'!AC7,'Petroleum - Q&amp;V 1'!$B8:$B250)*1000000</f>
        <v>5280838.499799314</v>
      </c>
      <c r="AD73" s="197">
        <f>SUMIF('Petroleum - Q&amp;V 1'!$H8:$H250,'Q&amp;V CY 2004 to Now'!AC7,'Petroleum - Q&amp;V 1'!$C8:$C250)*1000000</f>
        <v>2195102753.5703077</v>
      </c>
      <c r="AE73" s="1578">
        <f>SUMIF('Petroleum - Q&amp;V 1'!$H8:$H250,'Q&amp;V CY 2004 to Now'!AE7,'Petroleum - Q&amp;V 1'!$B8:$B250)*1000000</f>
        <v>3638135.9035488847</v>
      </c>
      <c r="AF73" s="1578">
        <f>SUMIF('Petroleum - Q&amp;V 1'!$H8:$H250,'Q&amp;V CY 2004 to Now'!AE7,'Petroleum - Q&amp;V 1'!$C8:$C250)*1000000</f>
        <v>2054622997.4472644</v>
      </c>
      <c r="AG73" s="1578">
        <f>SUMIF('Petroleum - Q&amp;V 1'!$H8:$H250,'Q&amp;V CY 2004 to Now'!AG7,'Petroleum - Q&amp;V 1'!$B8:$B250)*1000000</f>
        <v>4449187.4086461682</v>
      </c>
      <c r="AH73" s="1578">
        <f>SUMIF('Petroleum - Q&amp;V 1'!$H8:$H250,'Q&amp;V CY 2004 to Now'!AG7,'Petroleum - Q&amp;V 1'!$C8:$C250)*1000000</f>
        <v>2601347918.1443701</v>
      </c>
      <c r="AI73" s="1578">
        <f>SUMIF('Petroleum - Q&amp;V 1'!$H8:$H250,'Q&amp;V CY 2004 to Now'!AI7,'Petroleum - Q&amp;V 1'!$B8:$B250)*1000000</f>
        <v>4579099.1665921034</v>
      </c>
      <c r="AJ73" s="1578">
        <f>SUMIF('Petroleum - Q&amp;V 1'!$H8:$H250,'Q&amp;V CY 2004 to Now'!AI7,'Petroleum - Q&amp;V 1'!$C8:$C250)*1000000</f>
        <v>1808322618.0084507</v>
      </c>
      <c r="AK73" s="1578">
        <f>SUMIF('Petroleum - Q&amp;V 1'!$H8:$H250,'Q&amp;V CY 2004 to Now'!AK7,'Petroleum - Q&amp;V 1'!$B8:$B250)*1000000</f>
        <v>4536317.7180155693</v>
      </c>
      <c r="AL73" s="1578">
        <f>SUMIF('Petroleum - Q&amp;V 1'!$H8:$H250,'Q&amp;V CY 2004 to Now'!AK7,'Petroleum - Q&amp;V 1'!$C8:$C250)*1000000</f>
        <v>2506014425.0300207</v>
      </c>
      <c r="AM73" s="1578">
        <f>SUMIF('Petroleum - Q&amp;V 1'!$H8:$H250,'Q&amp;V CY 2004 to Now'!AM7,'Petroleum - Q&amp;V 1'!$B8:$B250)*1000000</f>
        <v>4429609.1064187735</v>
      </c>
      <c r="AN73" s="1578">
        <f>SUMIF('Petroleum - Q&amp;V 1'!$H8:$H250,'Q&amp;V CY 2004 to Now'!AM7,'Petroleum - Q&amp;V 1'!$C8:$C250)*1000000</f>
        <v>4062242851.8730474</v>
      </c>
      <c r="AO73" s="1578">
        <f>SUMIF('Petroleum - Q&amp;V 1'!$H8:$H250,'Q&amp;V CY 2004 to Now'!AO7,'Petroleum - Q&amp;V 1'!$B8:$B250)*1000000</f>
        <v>3171967.9410921116</v>
      </c>
      <c r="AP73" s="1578">
        <f>SUMIF('Petroleum - Q&amp;V 1'!$H8:$H250,'Q&amp;V CY 2004 to Now'!AO7,'Petroleum - Q&amp;V 1'!$C8:$C250)*1000000</f>
        <v>2474048547.6072664</v>
      </c>
      <c r="AQ73" s="197">
        <f ca="1">SUMIF($C$9:AP$10,1,$C73:AP73)</f>
        <v>167413674.62549376</v>
      </c>
      <c r="AR73" s="197">
        <f ca="1">SUMIF($C$9:AP$10,0,$C73:AP73)</f>
        <v>94611740255.261642</v>
      </c>
      <c r="AS73" s="713"/>
      <c r="AT73" s="711"/>
      <c r="AU73" s="113"/>
      <c r="AV73" s="113"/>
      <c r="AW73" s="113"/>
      <c r="BB73" s="11"/>
    </row>
    <row r="74" spans="1:54" s="98" customFormat="1">
      <c r="A74" s="140" t="s">
        <v>224</v>
      </c>
      <c r="B74" s="119" t="s">
        <v>67</v>
      </c>
      <c r="C74" s="197">
        <f>SUMIF('Petroleum - Q&amp;V 2'!$L8:$L250,'Q&amp;V CY 2004 to Now'!C7,'Petroleum - Q&amp;V 2'!$C8:$C250)</f>
        <v>9219308.2852303274</v>
      </c>
      <c r="D74" s="197">
        <f>SUMIF('Petroleum - Q&amp;V 2'!$L8:$L250,'Q&amp;V CY 2004 to Now'!C7,'Petroleum - Q&amp;V 2'!$E8:$E250)*1000000</f>
        <v>3150809630</v>
      </c>
      <c r="E74" s="197">
        <f>SUMIF('Petroleum - Q&amp;V 2'!$L8:$L250,'Q&amp;V CY 2004 to Now'!E7,'Petroleum - Q&amp;V 2'!$C8:$C250)</f>
        <v>11600612</v>
      </c>
      <c r="F74" s="197">
        <f>SUMIF('Petroleum - Q&amp;V 2'!$L8:$L250,'Q&amp;V CY 2004 to Now'!E7,'Petroleum - Q&amp;V 2'!$E8:$E250)*1000000</f>
        <v>4446336486.208416</v>
      </c>
      <c r="G74" s="197">
        <f>SUMIF('Petroleum - Q&amp;V 2'!$L8:$L250,'Q&amp;V CY 2004 to Now'!G7,'Petroleum - Q&amp;V 2'!$C8:$C250)</f>
        <v>11958780</v>
      </c>
      <c r="H74" s="197">
        <f>SUMIF('Petroleum - Q&amp;V 2'!$L8:$L250,'Q&amp;V CY 2004 to Now'!G7,'Petroleum - Q&amp;V 2'!$E8:$E250)*1000000</f>
        <v>4550762377.726985</v>
      </c>
      <c r="I74" s="197">
        <f>SUMIF('Petroleum - Q&amp;V 2'!$L8:$L250,'Q&amp;V CY 2004 to Now'!I7,'Petroleum - Q&amp;V 2'!$C8:$C250)</f>
        <v>12375731</v>
      </c>
      <c r="J74" s="197">
        <f>SUMIF('Petroleum - Q&amp;V 2'!$L8:$L250,'Q&amp;V CY 2004 to Now'!I7,'Petroleum - Q&amp;V 2'!$E8:$E250)*1000000</f>
        <v>4448575119.4258499</v>
      </c>
      <c r="K74" s="197">
        <f>SUMIF('Petroleum - Q&amp;V 2'!$L8:$L250,'Q&amp;V CY 2004 to Now'!K7,'Petroleum - Q&amp;V 2'!$C8:$C250)</f>
        <v>12381004</v>
      </c>
      <c r="L74" s="197">
        <f>SUMIF('Petroleum - Q&amp;V 2'!$L8:$L250,'Q&amp;V CY 2004 to Now'!K7,'Petroleum - Q&amp;V 2'!$E8:$E250)*1000000</f>
        <v>8157477515.6968403</v>
      </c>
      <c r="M74" s="197">
        <f>SUMIF('Petroleum - Q&amp;V 2'!$L8:$L250,'Q&amp;V CY 2004 to Now'!M7,'Petroleum - Q&amp;V 2'!$C8:$C250)</f>
        <v>15252516</v>
      </c>
      <c r="N74" s="197">
        <f>SUMIF('Petroleum - Q&amp;V 2'!$L8:$L250,'Q&amp;V CY 2004 to Now'!M7,'Petroleum - Q&amp;V 2'!$E8:$E250)*1000000</f>
        <v>6320744990.7749481</v>
      </c>
      <c r="O74" s="197">
        <f>SUMIF('Petroleum - Q&amp;V 2'!$L8:$L250,'Q&amp;V CY 2004 to Now'!O7,'Petroleum - Q&amp;V 2'!$C8:$C250)</f>
        <v>16527193</v>
      </c>
      <c r="P74" s="197">
        <f>SUMIF('Petroleum - Q&amp;V 2'!$L8:$L250,'Q&amp;V CY 2004 to Now'!O7,'Petroleum - Q&amp;V 2'!$E8:$E250)*1000000</f>
        <v>8754682473.68223</v>
      </c>
      <c r="Q74" s="197">
        <f>SUMIF('Petroleum - Q&amp;V 2'!$L8:$L250,'Q&amp;V CY 2004 to Now'!Q7,'Petroleum - Q&amp;V 2'!$C8:$C250)</f>
        <v>16554099.919233976</v>
      </c>
      <c r="R74" s="197">
        <f>SUMIF('Petroleum - Q&amp;V 2'!$L8:$L250,'Q&amp;V CY 2004 to Now'!Q7,'Petroleum - Q&amp;V 2'!$E8:$E250)*1000000</f>
        <v>8552071284</v>
      </c>
      <c r="S74" s="197">
        <f>SUMIF('Petroleum - Q&amp;V 2'!$L8:$L250,'Q&amp;V CY 2004 to Now'!S7,'Petroleum - Q&amp;V 2'!$C8:$C250)</f>
        <v>18260551</v>
      </c>
      <c r="T74" s="197">
        <f>SUMIF('Petroleum - Q&amp;V 2'!$L8:$L250,'Q&amp;V CY 2004 to Now'!S7,'Petroleum - Q&amp;V 2'!$E8:$E250)*1000000</f>
        <v>11271620675.400679</v>
      </c>
      <c r="U74" s="197">
        <f>SUMIF('Petroleum - Q&amp;V 2'!$L8:$L250,'Q&amp;V CY 2004 to Now'!U7,'Petroleum - Q&amp;V 2'!$C8:$C250)</f>
        <v>19220443</v>
      </c>
      <c r="V74" s="197">
        <f>SUMIF('Petroleum - Q&amp;V 2'!$L8:$L250,'Q&amp;V CY 2004 to Now'!U7,'Petroleum - Q&amp;V 2'!$E8:$E250)*1000000</f>
        <v>13287960818.379126</v>
      </c>
      <c r="W74" s="197">
        <f>SUMIF('Petroleum - Q&amp;V 2'!$L8:$L250,'Q&amp;V CY 2004 to Now'!W7,'Petroleum - Q&amp;V 2'!$C8:$C250)</f>
        <v>20852601</v>
      </c>
      <c r="X74" s="197">
        <f>SUMIF('Petroleum - Q&amp;V 2'!$L8:$L250,'Q&amp;V CY 2004 to Now'!W7,'Petroleum - Q&amp;V 2'!$E8:$E250)*1000000</f>
        <v>15487317250.651384</v>
      </c>
      <c r="Y74" s="197">
        <f>SUMIF('Petroleum - Q&amp;V 2'!$L8:$L250,'Q&amp;V CY 2004 to Now'!Y7,'Petroleum - Q&amp;V 2'!$C8:$C250)</f>
        <v>20385653</v>
      </c>
      <c r="Z74" s="197">
        <f>SUMIF('Petroleum - Q&amp;V 2'!$L8:$L250,'Q&amp;V CY 2004 to Now'!Y7,'Petroleum - Q&amp;V 2'!$E8:$E250)*1000000</f>
        <v>11554349752.904898</v>
      </c>
      <c r="AA74" s="197">
        <f>SUMIF('Petroleum - Q&amp;V 2'!$L8:$L250,'Q&amp;V CY 2004 to Now'!AA7,'Petroleum - Q&amp;V 2'!$C8:$C250)</f>
        <v>23774656.646750003</v>
      </c>
      <c r="AB74" s="197">
        <f>SUMIF('Petroleum - Q&amp;V 2'!$L8:$L250,'Q&amp;V CY 2004 to Now'!AA7,'Petroleum - Q&amp;V 2'!$E8:$E250)*1000000</f>
        <v>10620614121.943232</v>
      </c>
      <c r="AC74" s="197">
        <f>SUMIF('Petroleum - Q&amp;V 2'!$L8:$L250,'Q&amp;V CY 2004 to Now'!AC7,'Petroleum - Q&amp;V 2'!$C8:$C250)</f>
        <v>32729696.569625001</v>
      </c>
      <c r="AD74" s="197">
        <f>SUMIF('Petroleum - Q&amp;V 2'!$L8:$L250,'Q&amp;V CY 2004 to Now'!AC7,'Petroleum - Q&amp;V 2'!$E8:$E250)*1000000</f>
        <v>14989360185.607754</v>
      </c>
      <c r="AE74" s="1578">
        <f>SUMIF('Petroleum - Q&amp;V 2'!$L8:$L250,'Q&amp;V CY 2004 to Now'!AE7,'Petroleum - Q&amp;V 2'!$C8:$C250)</f>
        <v>44542484.37063162</v>
      </c>
      <c r="AF74" s="1578">
        <f>SUMIF('Petroleum - Q&amp;V 2'!$L8:$L250,'Q&amp;V CY 2004 to Now'!AE7,'Petroleum - Q&amp;V 2'!$E8:$E250)*1000000</f>
        <v>27586900679.211456</v>
      </c>
      <c r="AG74" s="1578">
        <f>SUMIF('Petroleum - Q&amp;V 2'!$L8:$L250,'Q&amp;V CY 2004 to Now'!AG7,'Petroleum - Q&amp;V 2'!$C8:$C250)</f>
        <v>44630925.049404502</v>
      </c>
      <c r="AH74" s="1578">
        <f>SUMIF('Petroleum - Q&amp;V 2'!$L8:$L250,'Q&amp;V CY 2004 to Now'!AG7,'Petroleum - Q&amp;V 2'!$E8:$E250)*1000000</f>
        <v>27579623167.230717</v>
      </c>
      <c r="AI74" s="1578">
        <f>SUMIF('Petroleum - Q&amp;V 2'!$L8:$L250,'Q&amp;V CY 2004 to Now'!AI7,'Petroleum - Q&amp;V 2'!$C8:$C250)</f>
        <v>44063943.755874999</v>
      </c>
      <c r="AJ74" s="1578">
        <f>SUMIF('Petroleum - Q&amp;V 2'!$L8:$L250,'Q&amp;V CY 2004 to Now'!AI7,'Petroleum - Q&amp;V 2'!$E8:$E250)*1000000</f>
        <v>19242128119.010323</v>
      </c>
      <c r="AK74" s="1578">
        <f>SUMIF('Petroleum - Q&amp;V 2'!$L8:$L250,'Q&amp;V CY 2004 to Now'!AK7,'Petroleum - Q&amp;V 2'!$C8:$C250)</f>
        <v>45658665.37390922</v>
      </c>
      <c r="AL74" s="1578">
        <f>SUMIF('Petroleum - Q&amp;V 2'!$L8:$L250,'Q&amp;V CY 2004 to Now'!AK7,'Petroleum - Q&amp;V 2'!$E8:$E250)*1000000</f>
        <v>27052422056.361507</v>
      </c>
      <c r="AM74" s="1578">
        <f>SUMIF('Petroleum - Q&amp;V 2'!$L8:$L250,'Q&amp;V CY 2004 to Now'!AM7,'Petroleum - Q&amp;V 2'!$C8:$C250)</f>
        <v>48608467.014604151</v>
      </c>
      <c r="AN74" s="1578">
        <f>SUMIF('Petroleum - Q&amp;V 2'!$L8:$L250,'Q&amp;V CY 2004 to Now'!AM7,'Petroleum - Q&amp;V 2'!$E8:$E250)*1000000</f>
        <v>54511850325.376259</v>
      </c>
      <c r="AO74" s="1578">
        <f>SUMIF('Petroleum - Q&amp;V 2'!$L8:$L250,'Q&amp;V CY 2004 to Now'!AO7,'Petroleum - Q&amp;V 2'!$C8:$C250)</f>
        <v>48028219.391891703</v>
      </c>
      <c r="AP74" s="1578">
        <f>SUMIF('Petroleum - Q&amp;V 2'!$L8:$L250,'Q&amp;V CY 2004 to Now'!AO7,'Petroleum - Q&amp;V 2'!$E8:$E250)*1000000</f>
        <v>42300119314.237854</v>
      </c>
      <c r="AQ74" s="197">
        <f ca="1">SUMIF($C$9:AP$10,1,$C74:AP74)</f>
        <v>468597330.98526382</v>
      </c>
      <c r="AR74" s="197">
        <f ca="1">SUMIF($C$9:AP$10,0,$C74:AP74)</f>
        <v>281565607029.59259</v>
      </c>
      <c r="AS74" s="713"/>
      <c r="AT74" s="711"/>
      <c r="AU74" s="113"/>
      <c r="AV74" s="113"/>
      <c r="AW74" s="113"/>
      <c r="BB74" s="11"/>
    </row>
    <row r="75" spans="1:54" s="98" customFormat="1">
      <c r="A75" s="140" t="s">
        <v>225</v>
      </c>
      <c r="B75" s="119" t="s">
        <v>67</v>
      </c>
      <c r="C75" s="197">
        <f>SUMIF('Petroleum - Q&amp;V 2'!$L8:$L250,'Q&amp;V CY 2004 to Now'!C7,'Petroleum - Q&amp;V 2'!$F8:$F250)</f>
        <v>721688</v>
      </c>
      <c r="D75" s="197">
        <f>SUMIF('Petroleum - Q&amp;V 2'!$L8:$L250,'Q&amp;V CY 2004 to Now'!C7,'Petroleum - Q&amp;V 2'!$H8:$H250)*1000000</f>
        <v>340417957</v>
      </c>
      <c r="E75" s="197">
        <f>SUMIF('Petroleum - Q&amp;V 2'!$L8:$L250,'Q&amp;V CY 2004 to Now'!E7,'Petroleum - Q&amp;V 2'!$F8:$F250)</f>
        <v>870730</v>
      </c>
      <c r="F75" s="197">
        <f>SUMIF('Petroleum - Q&amp;V 2'!$L8:$L250,'Q&amp;V CY 2004 to Now'!E7,'Petroleum - Q&amp;V 2'!$H8:$H250)*1000000</f>
        <v>544222021.35632873</v>
      </c>
      <c r="G75" s="197">
        <f>SUMIF('Petroleum - Q&amp;V 2'!$L8:$L250,'Q&amp;V CY 2004 to Now'!G7,'Petroleum - Q&amp;V 2'!$F8:$F250)</f>
        <v>862231</v>
      </c>
      <c r="H75" s="197">
        <f>SUMIF('Petroleum - Q&amp;V 2'!$L8:$L250,'Q&amp;V CY 2004 to Now'!G7,'Petroleum - Q&amp;V 2'!$H8:$H250)*1000000</f>
        <v>613830073.30998862</v>
      </c>
      <c r="I75" s="197">
        <f>SUMIF('Petroleum - Q&amp;V 2'!$L8:$L250,'Q&amp;V CY 2004 to Now'!I7,'Petroleum - Q&amp;V 2'!$F8:$F250)</f>
        <v>893914</v>
      </c>
      <c r="J75" s="197">
        <f>SUMIF('Petroleum - Q&amp;V 2'!$L8:$L250,'Q&amp;V CY 2004 to Now'!I7,'Petroleum - Q&amp;V 2'!$H8:$H250)*1000000</f>
        <v>686636886.81833994</v>
      </c>
      <c r="K75" s="197">
        <f>SUMIF('Petroleum - Q&amp;V 2'!$L8:$L250,'Q&amp;V CY 2004 to Now'!K7,'Petroleum - Q&amp;V 2'!$F8:$F250)</f>
        <v>764668</v>
      </c>
      <c r="L75" s="197">
        <f>SUMIF('Petroleum - Q&amp;V 2'!$L8:$L250,'Q&amp;V CY 2004 to Now'!K7,'Petroleum - Q&amp;V 2'!$H8:$H250)*1000000</f>
        <v>754340749.19629419</v>
      </c>
      <c r="M75" s="197">
        <f>SUMIF('Petroleum - Q&amp;V 2'!$L8:$L250,'Q&amp;V CY 2004 to Now'!M7,'Petroleum - Q&amp;V 2'!$F8:$F250)</f>
        <v>950524</v>
      </c>
      <c r="N75" s="197">
        <f>SUMIF('Petroleum - Q&amp;V 2'!$L8:$L250,'Q&amp;V CY 2004 to Now'!M7,'Petroleum - Q&amp;V 2'!$H8:$H250)*1000000</f>
        <v>612776966.1391654</v>
      </c>
      <c r="O75" s="197">
        <f>SUMIF('Petroleum - Q&amp;V 2'!$L8:$L250,'Q&amp;V CY 2004 to Now'!O7,'Petroleum - Q&amp;V 2'!$F8:$F250)</f>
        <v>988724</v>
      </c>
      <c r="P75" s="197">
        <f>SUMIF('Petroleum - Q&amp;V 2'!$L8:$L250,'Q&amp;V CY 2004 to Now'!O7,'Petroleum - Q&amp;V 2'!$H8:$H250)*1000000</f>
        <v>763328435.01571763</v>
      </c>
      <c r="Q75" s="197">
        <f>SUMIF('Petroleum - Q&amp;V 2'!$L8:$L250,'Q&amp;V CY 2004 to Now'!Q7,'Petroleum - Q&amp;V 2'!$F8:$F250)</f>
        <v>861480</v>
      </c>
      <c r="R75" s="197">
        <f>SUMIF('Petroleum - Q&amp;V 2'!$L8:$L250,'Q&amp;V CY 2004 to Now'!Q7,'Petroleum - Q&amp;V 2'!$H8:$H250)*1000000</f>
        <v>745879959.94549286</v>
      </c>
      <c r="S75" s="197">
        <f>SUMIF('Petroleum - Q&amp;V 2'!$L8:$L250,'Q&amp;V CY 2004 to Now'!S7,'Petroleum - Q&amp;V 2'!$F8:$F250)</f>
        <v>809878</v>
      </c>
      <c r="T75" s="197">
        <f>SUMIF('Petroleum - Q&amp;V 2'!$L8:$L250,'Q&amp;V CY 2004 to Now'!S7,'Petroleum - Q&amp;V 2'!$H8:$H250)*1000000</f>
        <v>729155763.19075692</v>
      </c>
      <c r="U75" s="197">
        <f>SUMIF('Petroleum - Q&amp;V 2'!$L8:$L250,'Q&amp;V CY 2004 to Now'!U7,'Petroleum - Q&amp;V 2'!$F8:$F250)</f>
        <v>685934</v>
      </c>
      <c r="V75" s="197">
        <f>SUMIF('Petroleum - Q&amp;V 2'!$L8:$L250,'Q&amp;V CY 2004 to Now'!U7,'Petroleum - Q&amp;V 2'!$H8:$H250)*1000000</f>
        <v>600135301.29233539</v>
      </c>
      <c r="W75" s="197">
        <f>SUMIF('Petroleum - Q&amp;V 2'!$L8:$L250,'Q&amp;V CY 2004 to Now'!W7,'Petroleum - Q&amp;V 2'!$F8:$F250)</f>
        <v>357609</v>
      </c>
      <c r="X75" s="197">
        <f>SUMIF('Petroleum - Q&amp;V 2'!$L8:$L250,'Q&amp;V CY 2004 to Now'!W7,'Petroleum - Q&amp;V 2'!$H8:$H250)*1000000</f>
        <v>309007022.95666265</v>
      </c>
      <c r="Y75" s="197">
        <f>SUMIF('Petroleum - Q&amp;V 2'!$L8:$L250,'Q&amp;V CY 2004 to Now'!Y7,'Petroleum - Q&amp;V 2'!$F8:$F250)</f>
        <v>501903</v>
      </c>
      <c r="Z75" s="197">
        <f>SUMIF('Petroleum - Q&amp;V 2'!$L8:$L250,'Q&amp;V CY 2004 to Now'!Y7,'Petroleum - Q&amp;V 2'!$H8:$H250)*1000000</f>
        <v>254108296.40322834</v>
      </c>
      <c r="AA75" s="197">
        <f>SUMIF('Petroleum - Q&amp;V 2'!$L8:$L250,'Q&amp;V CY 2004 to Now'!AA7,'Petroleum - Q&amp;V 2'!$F8:$F250)</f>
        <v>575755</v>
      </c>
      <c r="AB75" s="197">
        <f>SUMIF('Petroleum - Q&amp;V 2'!$L8:$L250,'Q&amp;V CY 2004 to Now'!AA7,'Petroleum - Q&amp;V 2'!$H8:$H250)*1000000</f>
        <v>288140716.02423233</v>
      </c>
      <c r="AC75" s="197">
        <f>SUMIF('Petroleum - Q&amp;V 2'!$L8:$L250,'Q&amp;V CY 2004 to Now'!AC7,'Petroleum - Q&amp;V 2'!$F8:$F250)</f>
        <v>456275</v>
      </c>
      <c r="AD75" s="197">
        <f>SUMIF('Petroleum - Q&amp;V 2'!$L8:$L250,'Q&amp;V CY 2004 to Now'!AC7,'Petroleum - Q&amp;V 2'!$H8:$H250)*1000000</f>
        <v>288498125.77110589</v>
      </c>
      <c r="AE75" s="1578">
        <f>SUMIF('Petroleum - Q&amp;V 2'!$L8:$L250,'Q&amp;V CY 2004 to Now'!AE7,'Petroleum - Q&amp;V 2'!$F8:$F250)</f>
        <v>463110</v>
      </c>
      <c r="AF75" s="1578">
        <f>SUMIF('Petroleum - Q&amp;V 2'!$L8:$L250,'Q&amp;V CY 2004 to Now'!AE7,'Petroleum - Q&amp;V 2'!$H8:$H250)*1000000</f>
        <v>348824394.21846777</v>
      </c>
      <c r="AG75" s="1578">
        <f>SUMIF('Petroleum - Q&amp;V 2'!$L8:$L250,'Q&amp;V CY 2004 to Now'!AG7,'Petroleum - Q&amp;V 2'!$F8:$F250)</f>
        <v>519453.82000000007</v>
      </c>
      <c r="AH75" s="1578">
        <f>SUMIF('Petroleum - Q&amp;V 2'!$L8:$L250,'Q&amp;V CY 2004 to Now'!AG7,'Petroleum - Q&amp;V 2'!$H8:$H250)*1000000</f>
        <v>337360480.56236106</v>
      </c>
      <c r="AI75" s="1578">
        <f>SUMIF('Petroleum - Q&amp;V 2'!$L8:$L250,'Q&amp;V CY 2004 to Now'!AI7,'Petroleum - Q&amp;V 2'!$F8:$F250)</f>
        <v>453184.41000000003</v>
      </c>
      <c r="AJ75" s="1578">
        <f>SUMIF('Petroleum - Q&amp;V 2'!$L8:$L250,'Q&amp;V CY 2004 to Now'!AI7,'Petroleum - Q&amp;V 2'!$H8:$H250)*1000000</f>
        <v>218930626.64962801</v>
      </c>
      <c r="AK75" s="1578">
        <f>SUMIF('Petroleum - Q&amp;V 2'!$L8:$L250,'Q&amp;V CY 2004 to Now'!AK7,'Petroleum - Q&amp;V 2'!$F8:$F250)</f>
        <v>645819.22963855416</v>
      </c>
      <c r="AL75" s="1578">
        <f>SUMIF('Petroleum - Q&amp;V 2'!$L8:$L250,'Q&amp;V CY 2004 to Now'!AK7,'Petroleum - Q&amp;V 2'!$H8:$H250)*1000000</f>
        <v>527812307.46306741</v>
      </c>
      <c r="AM75" s="1578">
        <f>SUMIF('Petroleum - Q&amp;V 2'!$L8:$L250,'Q&amp;V CY 2004 to Now'!AM7,'Petroleum - Q&amp;V 2'!$F8:$F250)</f>
        <v>706846.15355983691</v>
      </c>
      <c r="AN75" s="1578">
        <f>SUMIF('Petroleum - Q&amp;V 2'!$L8:$L250,'Q&amp;V CY 2004 to Now'!AM7,'Petroleum - Q&amp;V 2'!$H8:$H250)*1000000</f>
        <v>739591200.38634777</v>
      </c>
      <c r="AO75" s="1578">
        <f>SUMIF('Petroleum - Q&amp;V 2'!$L8:$L250,'Q&amp;V CY 2004 to Now'!AO7,'Petroleum - Q&amp;V 2'!$F8:$F250)</f>
        <v>672782.72932661325</v>
      </c>
      <c r="AP75" s="1578">
        <f>SUMIF('Petroleum - Q&amp;V 2'!$L8:$L250,'Q&amp;V CY 2004 to Now'!AO7,'Petroleum - Q&amp;V 2'!$H8:$H250)*1000000</f>
        <v>590640391.29540586</v>
      </c>
      <c r="AQ75" s="197">
        <f ca="1">SUMIF($C$9:AP$10,1,$C75:AP75)</f>
        <v>13089726.613198392</v>
      </c>
      <c r="AR75" s="197">
        <f ca="1">SUMIF($C$9:AP$10,0,$C75:AP75)</f>
        <v>9702997283.6995201</v>
      </c>
      <c r="AS75" s="713"/>
      <c r="AT75" s="711"/>
      <c r="AU75" s="113"/>
      <c r="AV75" s="113"/>
      <c r="AW75" s="113"/>
      <c r="BB75" s="11"/>
    </row>
    <row r="76" spans="1:54" s="98" customFormat="1">
      <c r="A76" s="140" t="s">
        <v>500</v>
      </c>
      <c r="B76" s="1087" t="s">
        <v>226</v>
      </c>
      <c r="C76" s="197">
        <f>SUMIF('Petroleum - Q&amp;V 2'!$L8:$L250,'Q&amp;V CY 2004 to Now'!C7,'Petroleum - Q&amp;V 2'!$I8:$I250)</f>
        <v>7713691</v>
      </c>
      <c r="D76" s="197">
        <f>SUMIF('Petroleum - Q&amp;V 2'!$L8:$L250,'Q&amp;V CY 2004 to Now'!C7,'Petroleum - Q&amp;V 2'!$K8:$K250)*1000000</f>
        <v>655458232</v>
      </c>
      <c r="E76" s="197">
        <f>SUMIF('Petroleum - Q&amp;V 2'!$L8:$L250,'Q&amp;V CY 2004 to Now'!E7,'Petroleum - Q&amp;V 2'!$I8:$I250)</f>
        <v>7406249</v>
      </c>
      <c r="F76" s="197">
        <f>SUMIF('Petroleum - Q&amp;V 2'!$L8:$L250,'Q&amp;V CY 2004 to Now'!E7,'Petroleum - Q&amp;V 2'!$K8:$K250)*1000000</f>
        <v>661610646</v>
      </c>
      <c r="G76" s="197">
        <f>SUMIF('Petroleum - Q&amp;V 2'!$L8:$L250,'Q&amp;V CY 2004 to Now'!G7,'Petroleum - Q&amp;V 2'!$I8:$I250)</f>
        <v>8364468</v>
      </c>
      <c r="H76" s="197">
        <f>SUMIF('Petroleum - Q&amp;V 2'!$L8:$L250,'Q&amp;V CY 2004 to Now'!G7,'Petroleum - Q&amp;V 2'!$K8:$K250)*1000000</f>
        <v>816673663.99999988</v>
      </c>
      <c r="I76" s="197">
        <f>SUMIF('Petroleum - Q&amp;V 2'!$L8:$L250,'Q&amp;V CY 2004 to Now'!I7,'Petroleum - Q&amp;V 2'!$I8:$I250)</f>
        <v>9174076</v>
      </c>
      <c r="J76" s="197">
        <f>SUMIF('Petroleum - Q&amp;V 2'!$L8:$L250,'Q&amp;V CY 2004 to Now'!I7,'Petroleum - Q&amp;V 2'!$K8:$K250)*1000000</f>
        <v>1002465839</v>
      </c>
      <c r="K76" s="197">
        <f>SUMIF('Petroleum - Q&amp;V 2'!$L8:$L250,'Q&amp;V CY 2004 to Now'!K7,'Petroleum - Q&amp;V 2'!$I8:$I250)</f>
        <v>8502567</v>
      </c>
      <c r="L76" s="197">
        <f>SUMIF('Petroleum - Q&amp;V 2'!$L8:$L250,'Q&amp;V CY 2004 to Now'!K7,'Petroleum - Q&amp;V 2'!$K8:$K250)*1000000</f>
        <v>1191442427</v>
      </c>
      <c r="M76" s="197">
        <f>SUMIF('Petroleum - Q&amp;V 2'!$L8:$L250,'Q&amp;V CY 2004 to Now'!M7,'Petroleum - Q&amp;V 2'!$I8:$I250)</f>
        <v>9312415</v>
      </c>
      <c r="N76" s="197">
        <f>SUMIF('Petroleum - Q&amp;V 2'!$L8:$L250,'Q&amp;V CY 2004 to Now'!M7,'Petroleum - Q&amp;V 2'!$K8:$K250)*1000000</f>
        <v>1156235342</v>
      </c>
      <c r="O76" s="197">
        <f>SUMIF('Petroleum - Q&amp;V 2'!$L8:$L250,'Q&amp;V CY 2004 to Now'!O7,'Petroleum - Q&amp;V 2'!$I8:$I250)</f>
        <v>9226158</v>
      </c>
      <c r="P76" s="197">
        <f>SUMIF('Petroleum - Q&amp;V 2'!$L8:$L250,'Q&amp;V CY 2004 to Now'!O7,'Petroleum - Q&amp;V 2'!$K8:$K250)*1000000</f>
        <v>1391169679</v>
      </c>
      <c r="Q76" s="197">
        <f>SUMIF('Petroleum - Q&amp;V 2'!$L8:$L250,'Q&amp;V CY 2004 to Now'!Q7,'Petroleum - Q&amp;V 2'!$I8:$I250)</f>
        <v>8869413</v>
      </c>
      <c r="R76" s="197">
        <f>SUMIF('Petroleum - Q&amp;V 2'!$L8:$L250,'Q&amp;V CY 2004 to Now'!Q7,'Petroleum - Q&amp;V 2'!$K8:$K250)*1000000</f>
        <v>1421126106</v>
      </c>
      <c r="S76" s="197">
        <f>SUMIF('Petroleum - Q&amp;V 2'!$L8:$L250,'Q&amp;V CY 2004 to Now'!S7,'Petroleum - Q&amp;V 2'!$I8:$I250)</f>
        <v>9009209</v>
      </c>
      <c r="T76" s="197">
        <f>SUMIF('Petroleum - Q&amp;V 2'!$L8:$L250,'Q&amp;V CY 2004 to Now'!S7,'Petroleum - Q&amp;V 2'!$K8:$K250)*1000000</f>
        <v>1470541897</v>
      </c>
      <c r="U76" s="197">
        <f>SUMIF('Petroleum - Q&amp;V 2'!$L8:$L250,'Q&amp;V CY 2004 to Now'!U7,'Petroleum - Q&amp;V 2'!$I8:$I250)</f>
        <v>9297667</v>
      </c>
      <c r="V76" s="197">
        <f>SUMIF('Petroleum - Q&amp;V 2'!$L8:$L250,'Q&amp;V CY 2004 to Now'!U7,'Petroleum - Q&amp;V 2'!$K8:$K250)*1000000</f>
        <v>1559456330</v>
      </c>
      <c r="W76" s="197">
        <f>SUMIF('Petroleum - Q&amp;V 2'!$L8:$L250,'Q&amp;V CY 2004 to Now'!W7,'Petroleum - Q&amp;V 2'!$I8:$I250)</f>
        <v>9590165.3870000001</v>
      </c>
      <c r="X76" s="197">
        <f>SUMIF('Petroleum - Q&amp;V 2'!$L8:$L250,'Q&amp;V CY 2004 to Now'!W7,'Petroleum - Q&amp;V 2'!$K8:$K250)*1000000</f>
        <v>1779284902.2361887</v>
      </c>
      <c r="Y76" s="197">
        <f>SUMIF('Petroleum - Q&amp;V 2'!$L8:$L250,'Q&amp;V CY 2004 to Now'!Y7,'Petroleum - Q&amp;V 2'!$I8:$I250)</f>
        <v>10016682.171999998</v>
      </c>
      <c r="Z76" s="197">
        <f>SUMIF('Petroleum - Q&amp;V 2'!$L8:$L250,'Q&amp;V CY 2004 to Now'!Y7,'Petroleum - Q&amp;V 2'!$K8:$K250)*1000000</f>
        <v>1861523430.198</v>
      </c>
      <c r="AA76" s="197">
        <f>SUMIF('Petroleum - Q&amp;V 2'!$L8:$L250,'Q&amp;V CY 2004 to Now'!AA7,'Petroleum - Q&amp;V 2'!$I8:$I250)</f>
        <v>10044024.695659999</v>
      </c>
      <c r="AB76" s="197">
        <f>SUMIF('Petroleum - Q&amp;V 2'!$L8:$L250,'Q&amp;V CY 2004 to Now'!AA7,'Petroleum - Q&amp;V 2'!$K8:$K250)*1000000</f>
        <v>1901537817.5870001</v>
      </c>
      <c r="AC76" s="197">
        <f>SUMIF('Petroleum - Q&amp;V 2'!$L8:$L250,'Q&amp;V CY 2004 to Now'!AC7,'Petroleum - Q&amp;V 2'!$I8:$I250)</f>
        <v>10148197.224273</v>
      </c>
      <c r="AD76" s="197">
        <f>SUMIF('Petroleum - Q&amp;V 2'!$L8:$L250,'Q&amp;V CY 2004 to Now'!AC7,'Petroleum - Q&amp;V 2'!$K8:$K250)*1000000</f>
        <v>1796356678.8560002</v>
      </c>
      <c r="AE76" s="1578">
        <f>SUMIF('Petroleum - Q&amp;V 2'!$L8:$L250,'Q&amp;V CY 2004 to Now'!AE7,'Petroleum - Q&amp;V 2'!$I8:$I250)</f>
        <v>10222884.855462998</v>
      </c>
      <c r="AF76" s="1578">
        <f>SUMIF('Petroleum - Q&amp;V 2'!$L8:$L250,'Q&amp;V CY 2004 to Now'!AE7,'Petroleum - Q&amp;V 2'!$K8:$K250)*1000000</f>
        <v>1543112167.0929</v>
      </c>
      <c r="AG76" s="1578">
        <f>SUMIF('Petroleum - Q&amp;V 2'!$L8:$L250,'Q&amp;V CY 2004 to Now'!AG7,'Petroleum - Q&amp;V 2'!$I8:$I250)</f>
        <v>10885167.816430001</v>
      </c>
      <c r="AH76" s="1578">
        <f>SUMIF('Petroleum - Q&amp;V 2'!$L8:$L250,'Q&amp;V CY 2004 to Now'!AG7,'Petroleum - Q&amp;V 2'!$K8:$K250)*1000000</f>
        <v>1448324554.2869999</v>
      </c>
      <c r="AI76" s="1578">
        <f>SUMIF('Petroleum - Q&amp;V 2'!$L8:$L250,'Q&amp;V CY 2004 to Now'!AI7,'Petroleum - Q&amp;V 2'!$I8:$I250)</f>
        <v>10773908.378070001</v>
      </c>
      <c r="AJ76" s="1578">
        <f>SUMIF('Petroleum - Q&amp;V 2'!$L8:$L250,'Q&amp;V CY 2004 to Now'!AI7,'Petroleum - Q&amp;V 2'!$K8:$K250)*1000000</f>
        <v>1472414797.7350001</v>
      </c>
      <c r="AK76" s="1578">
        <f>SUMIF('Petroleum - Q&amp;V 2'!$L8:$L250,'Q&amp;V CY 2004 to Now'!AK7,'Petroleum - Q&amp;V 2'!$I8:$I250)</f>
        <v>9966280.1051700003</v>
      </c>
      <c r="AL76" s="1578">
        <f>SUMIF('Petroleum - Q&amp;V 2'!$L8:$L250,'Q&amp;V CY 2004 to Now'!AK7,'Petroleum - Q&amp;V 2'!$K8:$K250)*1000000</f>
        <v>1943670684.2849998</v>
      </c>
      <c r="AM76" s="1578">
        <f>SUMIF('Petroleum - Q&amp;V 2'!$L8:$L250,'Q&amp;V CY 2004 to Now'!AM7,'Petroleum - Q&amp;V 2'!$I8:$I250)</f>
        <v>10427155.549738221</v>
      </c>
      <c r="AN76" s="1578">
        <f>SUMIF('Petroleum - Q&amp;V 2'!$L8:$L250,'Q&amp;V CY 2004 to Now'!AM7,'Petroleum - Q&amp;V 2'!$K8:$K250)*1000000</f>
        <v>2166265640.0511622</v>
      </c>
      <c r="AO76" s="1578">
        <f>SUMIF('Petroleum - Q&amp;V 2'!$L8:$L250,'Q&amp;V CY 2004 to Now'!AO7,'Petroleum - Q&amp;V 2'!$I8:$I250)</f>
        <v>10327638.965968587</v>
      </c>
      <c r="AP76" s="1578">
        <f>SUMIF('Petroleum - Q&amp;V 2'!$L8:$L250,'Q&amp;V CY 2004 to Now'!AO7,'Petroleum - Q&amp;V 2'!$K8:$K250)*1000000</f>
        <v>2753859242.6016831</v>
      </c>
      <c r="AQ76" s="197">
        <f ca="1">SUMIF($C$9:AP$10,1,$C76:AP76)</f>
        <v>178950379.18380421</v>
      </c>
      <c r="AR76" s="197">
        <f ca="1">SUMIF($C$9:AP$10,0,$C76:AP76)</f>
        <v>27238670834.328251</v>
      </c>
      <c r="AS76" s="713"/>
      <c r="AT76" s="711"/>
      <c r="AU76" s="113"/>
      <c r="AV76" s="113"/>
      <c r="AW76" s="113"/>
      <c r="BB76" s="11"/>
    </row>
    <row r="77" spans="1:54" s="98" customFormat="1">
      <c r="A77" s="138" t="s">
        <v>193</v>
      </c>
      <c r="B77" s="134"/>
      <c r="C77" s="197"/>
      <c r="D77" s="197">
        <f>SUM(D72:D76)</f>
        <v>10378968005</v>
      </c>
      <c r="E77" s="197"/>
      <c r="F77" s="197">
        <f>SUM(F72:F76)</f>
        <v>14391339122.564745</v>
      </c>
      <c r="G77" s="197"/>
      <c r="H77" s="197">
        <f>SUM(H72:H76)</f>
        <v>15524252848.036974</v>
      </c>
      <c r="I77" s="197"/>
      <c r="J77" s="197">
        <f>SUM(J72:J76)</f>
        <v>16758725113.24419</v>
      </c>
      <c r="K77" s="197"/>
      <c r="L77" s="197">
        <f>SUM(L72:L76)</f>
        <v>23353297915.893131</v>
      </c>
      <c r="M77" s="197"/>
      <c r="N77" s="197">
        <f>SUM(N72:N76)</f>
        <v>16717162054.914114</v>
      </c>
      <c r="O77" s="197"/>
      <c r="P77" s="197">
        <f>SUM(P72:P76)</f>
        <v>22861923696.697945</v>
      </c>
      <c r="Q77" s="197"/>
      <c r="R77" s="197">
        <f>SUM(R72:R76)</f>
        <v>22838418449.945492</v>
      </c>
      <c r="S77" s="197"/>
      <c r="T77" s="197">
        <f>SUM(T72:T76)</f>
        <v>24433212985.591438</v>
      </c>
      <c r="U77" s="197"/>
      <c r="V77" s="197">
        <f>SUM(V72:V76)</f>
        <v>24675567159.671463</v>
      </c>
      <c r="W77" s="197"/>
      <c r="X77" s="197">
        <f>SUM(X72:X76)</f>
        <v>26149483493.068138</v>
      </c>
      <c r="Y77" s="197"/>
      <c r="Z77" s="197">
        <f>SUM(Z72:Z76)</f>
        <v>19907262839.0728</v>
      </c>
      <c r="AA77" s="197"/>
      <c r="AB77" s="197">
        <f>SUM(AB72:AB76)</f>
        <v>17107360321.251892</v>
      </c>
      <c r="AC77" s="197"/>
      <c r="AD77" s="197">
        <f>SUM(AD72:AD76)</f>
        <v>21823842875.555931</v>
      </c>
      <c r="AE77" s="1578"/>
      <c r="AF77" s="1578">
        <f>SUM(AF72:AF76)</f>
        <v>36275452738.960869</v>
      </c>
      <c r="AG77" s="1578"/>
      <c r="AH77" s="1578">
        <f>SUM(AH72:AH76)</f>
        <v>38745596426.826401</v>
      </c>
      <c r="AI77" s="87"/>
      <c r="AJ77" s="1585">
        <f>SUM(AJ72:AJ76)</f>
        <v>26303198445.488644</v>
      </c>
      <c r="AK77" s="1578"/>
      <c r="AL77" s="1578">
        <f>SUM(AL72:AL76)</f>
        <v>38806337839.931778</v>
      </c>
      <c r="AM77" s="1578"/>
      <c r="AN77" s="1578">
        <f>SUM(AN72:AN76)</f>
        <v>70501105491.238647</v>
      </c>
      <c r="AO77" s="1578"/>
      <c r="AP77" s="1578">
        <f>SUM(AP72:AP76)</f>
        <v>55903031833.996681</v>
      </c>
      <c r="AQ77" s="197"/>
      <c r="AR77" s="197">
        <f ca="1">SUMIF($C$9:AP$10,0,$C77:AP77)</f>
        <v>487552507822.95453</v>
      </c>
      <c r="AS77" s="713"/>
      <c r="AT77" s="711"/>
      <c r="AU77" s="113"/>
      <c r="AV77" s="113"/>
      <c r="AW77" s="113"/>
      <c r="BB77" s="11"/>
    </row>
    <row r="78" spans="1:54" s="98" customFormat="1">
      <c r="A78" s="141"/>
      <c r="B78" s="119"/>
      <c r="C78" s="175"/>
      <c r="D78" s="175"/>
      <c r="E78" s="197"/>
      <c r="F78" s="197"/>
      <c r="G78" s="197"/>
      <c r="H78" s="197"/>
      <c r="I78" s="175"/>
      <c r="J78" s="175"/>
      <c r="K78" s="197"/>
      <c r="L78" s="197"/>
      <c r="M78" s="197"/>
      <c r="N78" s="197"/>
      <c r="O78" s="197"/>
      <c r="P78" s="197"/>
      <c r="Q78" s="197"/>
      <c r="R78" s="197"/>
      <c r="S78" s="197"/>
      <c r="T78" s="197"/>
      <c r="U78" s="197"/>
      <c r="V78" s="197"/>
      <c r="W78" s="197"/>
      <c r="X78" s="197"/>
      <c r="Y78" s="197"/>
      <c r="Z78" s="197"/>
      <c r="AA78" s="197"/>
      <c r="AB78" s="197"/>
      <c r="AC78" s="197"/>
      <c r="AD78" s="197"/>
      <c r="AE78" s="1578"/>
      <c r="AF78" s="1578"/>
      <c r="AG78" s="1578"/>
      <c r="AH78" s="1578"/>
      <c r="AI78" s="1578"/>
      <c r="AJ78" s="1578"/>
      <c r="AK78" s="1578"/>
      <c r="AL78" s="1578"/>
      <c r="AM78" s="1578"/>
      <c r="AN78" s="1578"/>
      <c r="AO78" s="1578"/>
      <c r="AP78" s="1578"/>
      <c r="AQ78" s="197"/>
      <c r="AR78" s="197"/>
      <c r="AS78" s="713"/>
      <c r="AT78" s="711"/>
      <c r="AU78" s="113"/>
      <c r="AV78" s="113"/>
      <c r="AW78" s="113"/>
      <c r="BB78" s="11"/>
    </row>
    <row r="79" spans="1:54" s="98" customFormat="1">
      <c r="A79" s="124" t="s">
        <v>514</v>
      </c>
      <c r="B79" s="127" t="s">
        <v>93</v>
      </c>
      <c r="C79" s="194">
        <f>SUMIF('Other Minerals - Q&amp;V'!$N$8:$N$250,'Q&amp;V CY 2004 to Now'!C$7,'Other Minerals - Q&amp;V'!$L$8:$L$252)</f>
        <v>1042.01</v>
      </c>
      <c r="D79" s="183">
        <f>SUMIF('Other Minerals - Q&amp;V'!$N$8:$N$250,'Q&amp;V CY 2004 to Now'!C$7,'Other Minerals - Q&amp;V'!$M$8:$M$252)*1000000</f>
        <v>10567779.999999998</v>
      </c>
      <c r="E79" s="194">
        <f>SUMIF('Other Minerals - Q&amp;V'!$N$8:$N$250,'Q&amp;V CY 2004 to Now'!E$7,'Other Minerals - Q&amp;V'!$L$8:$L$252)</f>
        <v>661.21</v>
      </c>
      <c r="F79" s="183">
        <f>SUMIF('Other Minerals - Q&amp;V'!$N$8:$N$250,'Q&amp;V CY 2004 to Now'!E$7,'Other Minerals - Q&amp;V'!$M$8:$M$252)*1000000</f>
        <v>6020111</v>
      </c>
      <c r="G79" s="194">
        <f>SUMIF('Other Minerals - Q&amp;V'!$N$8:$N$250,'Q&amp;V CY 2004 to Now'!G$7,'Other Minerals - Q&amp;V'!$L$8:$L$252)</f>
        <v>959.08</v>
      </c>
      <c r="H79" s="183">
        <f>SUMIF('Other Minerals - Q&amp;V'!$N$8:$N$250,'Q&amp;V CY 2004 to Now'!G$7,'Other Minerals - Q&amp;V'!$M$8:$M$252)*1000000</f>
        <v>12505294</v>
      </c>
      <c r="I79" s="194">
        <f>SUMIF('Other Minerals - Q&amp;V'!$N$8:$N$250,'Q&amp;V CY 2004 to Now'!I$7,'Other Minerals - Q&amp;V'!$L$8:$L$252)</f>
        <v>741.7</v>
      </c>
      <c r="J79" s="183">
        <f>SUMIF('Other Minerals - Q&amp;V'!$N$8:$N$250,'Q&amp;V CY 2004 to Now'!I$7,'Other Minerals - Q&amp;V'!$M$8:$M$252)*1000000</f>
        <v>10162872</v>
      </c>
      <c r="K79" s="194">
        <f>SUMIF('Other Minerals - Q&amp;V'!$N$8:$N$250,'Q&amp;V CY 2004 to Now'!K$7,'Other Minerals - Q&amp;V'!$L$8:$L$252)</f>
        <v>709.75</v>
      </c>
      <c r="L79" s="183">
        <f>SUMIF('Other Minerals - Q&amp;V'!$N$8:$N$250,'Q&amp;V CY 2004 to Now'!K$7,'Other Minerals - Q&amp;V'!$M$8:$M$252)*1000000</f>
        <v>8753701</v>
      </c>
      <c r="M79" s="194">
        <f>SUMIF('Other Minerals - Q&amp;V'!$N$8:$N$250,'Q&amp;V CY 2004 to Now'!M$7,'Other Minerals - Q&amp;V'!$L$8:$L$252)</f>
        <v>1034.05</v>
      </c>
      <c r="N79" s="183">
        <f>SUMIF('Other Minerals - Q&amp;V'!$N$8:$N$250,'Q&amp;V CY 2004 to Now'!M$7,'Other Minerals - Q&amp;V'!$M$8:$M$252)*1000000</f>
        <v>10001145</v>
      </c>
      <c r="O79" s="194">
        <f>SUMIF('Other Minerals - Q&amp;V'!$N$8:$N$250,'Q&amp;V CY 2004 to Now'!O$7,'Other Minerals - Q&amp;V'!$L$8:$L$252)</f>
        <v>781.03</v>
      </c>
      <c r="P79" s="183">
        <f>SUMIF('Other Minerals - Q&amp;V'!$N$8:$N$250,'Q&amp;V CY 2004 to Now'!O$7,'Other Minerals - Q&amp;V'!$M$8:$M$252)*1000000</f>
        <v>8225481</v>
      </c>
      <c r="Q79" s="194">
        <f>SUMIF('Other Minerals - Q&amp;V'!$N$8:$N$250,'Q&amp;V CY 2004 to Now'!Q$7,'Other Minerals - Q&amp;V'!$L$8:$L$252)</f>
        <v>438.60690499999998</v>
      </c>
      <c r="R79" s="183">
        <f>SUMIF('Other Minerals - Q&amp;V'!$N$8:$N$250,'Q&amp;V CY 2004 to Now'!Q$7,'Other Minerals - Q&amp;V'!$M$8:$M$252)*1000000</f>
        <v>10606194</v>
      </c>
      <c r="S79" s="194">
        <f>SUMIF('Other Minerals - Q&amp;V'!$N$8:$N$250,'Q&amp;V CY 2004 to Now'!S$7,'Other Minerals - Q&amp;V'!$L$8:$L$252)</f>
        <v>706.33281504000001</v>
      </c>
      <c r="T79" s="183">
        <f>SUMIF('Other Minerals - Q&amp;V'!$N$8:$N$250,'Q&amp;V CY 2004 to Now'!S$7,'Other Minerals - Q&amp;V'!$M$8:$M$252)*1000000</f>
        <v>15679998.159999998</v>
      </c>
      <c r="U79" s="194">
        <f>SUMIF('Other Minerals - Q&amp;V'!$N$8:$N$250,'Q&amp;V CY 2004 to Now'!U$7,'Other Minerals - Q&amp;V'!$L$8:$L$252)</f>
        <v>786.17116856203211</v>
      </c>
      <c r="V79" s="183">
        <f>SUMIF('Other Minerals - Q&amp;V'!$N$8:$N$250,'Q&amp;V CY 2004 to Now'!U$7,'Other Minerals - Q&amp;V'!$M$8:$M$252)*1000000</f>
        <v>12661192.999999998</v>
      </c>
      <c r="W79" s="194">
        <f>SUMIF('Other Minerals - Q&amp;V'!$N$8:$N$250,'Q&amp;V CY 2004 to Now'!W$7,'Other Minerals - Q&amp;V'!$L$8:$L$252)</f>
        <v>765.50353029796793</v>
      </c>
      <c r="X79" s="183">
        <f>SUMIF('Other Minerals - Q&amp;V'!$N$8:$N$250,'Q&amp;V CY 2004 to Now'!W$7,'Other Minerals - Q&amp;V'!$M$8:$M$252)*1000000</f>
        <v>12210918</v>
      </c>
      <c r="Y79" s="194">
        <f>SUMIF('Other Minerals - Q&amp;V'!$N$8:$N$250,'Q&amp;V CY 2004 to Now'!Y$7,'Other Minerals - Q&amp;V'!$L$8:$L$252)</f>
        <v>533.19446139168008</v>
      </c>
      <c r="Z79" s="183">
        <f>SUMIF('Other Minerals - Q&amp;V'!$N$8:$N$250,'Q&amp;V CY 2004 to Now'!Y$7,'Other Minerals - Q&amp;V'!$M$8:$M$252)*1000000</f>
        <v>14706059.999999998</v>
      </c>
      <c r="AA79" s="194">
        <f>SUMIF('Other Minerals - Q&amp;V'!$N$8:$N$250,'Q&amp;V CY 2004 to Now'!AA$7,'Other Minerals - Q&amp;V'!$L$8:$L$252)</f>
        <v>762.21156941693278</v>
      </c>
      <c r="AB79" s="715">
        <f>SUMIF('Other Minerals - Q&amp;V'!$N$8:$N$250,'Q&amp;V CY 2004 to Now'!AA$7,'Other Minerals - Q&amp;V'!$M$8:$M$252)*1000000</f>
        <v>18245303</v>
      </c>
      <c r="AC79" s="715">
        <f>SUMIF('Other Minerals - Q&amp;V'!$N$8:$N$250,'Q&amp;V CY 2004 to Now'!AC$7,'Other Minerals - Q&amp;V'!$L$8:$L$252)</f>
        <v>765.14979045632174</v>
      </c>
      <c r="AD79" s="715">
        <f>SUMIF('Other Minerals - Q&amp;V'!$N$8:$N$250,'Q&amp;V CY 2004 to Now'!AC$7,'Other Minerals - Q&amp;V'!$M$8:$M$252)*1000000</f>
        <v>25510372</v>
      </c>
      <c r="AE79" s="1353">
        <f>SUMIF('Other Minerals - Q&amp;V'!$N$8:$N$250,'Q&amp;V CY 2004 to Now'!AE$7,'Other Minerals - Q&amp;V'!$L$8:$L$252)</f>
        <v>540.76299481533124</v>
      </c>
      <c r="AF79" s="1353">
        <f>SUMIF('Other Minerals - Q&amp;V'!$N$8:$N$250,'Q&amp;V CY 2004 to Now'!AE$7,'Other Minerals - Q&amp;V'!$M$8:$M$252)*1000000</f>
        <v>23825429</v>
      </c>
      <c r="AG79" s="1353">
        <f>SUMIF('Other Minerals - Q&amp;V'!$N$8:$N$250,'Q&amp;V CY 2004 to Now'!AG$7,'Other Minerals - Q&amp;V'!$L$8:$L$252)</f>
        <v>483.22548177340798</v>
      </c>
      <c r="AH79" s="1353">
        <f>SUMIF('Other Minerals - Q&amp;V'!$N$8:$N$250,'Q&amp;V CY 2004 to Now'!AG$7,'Other Minerals - Q&amp;V'!$M$8:$M$252)*1000000</f>
        <v>32606871</v>
      </c>
      <c r="AI79" s="1353">
        <f>SUMIF('Other Minerals - Q&amp;V'!$N$8:$N$250,'Q&amp;V CY 2004 to Now'!AI$7,'Other Minerals - Q&amp;V'!$L$8:$L$252)</f>
        <v>521.65133908166399</v>
      </c>
      <c r="AJ79" s="1353">
        <f>SUMIF('Other Minerals - Q&amp;V'!$N$8:$N$250,'Q&amp;V CY 2004 to Now'!AI$7,'Other Minerals - Q&amp;V'!$M$8:$M$252)*1000000</f>
        <v>45309975</v>
      </c>
      <c r="AK79" s="1353">
        <f>SUMIF('Other Minerals - Q&amp;V'!$N$8:$N$250,'Q&amp;V CY 2004 to Now'!AK$7,'Other Minerals - Q&amp;V'!$L$8:$L$252)</f>
        <v>470.34802030867206</v>
      </c>
      <c r="AL79" s="1353">
        <f>SUMIF('Other Minerals - Q&amp;V'!$N$8:$N$250,'Q&amp;V CY 2004 to Now'!AK$7,'Other Minerals - Q&amp;V'!$M$8:$M$252)*1000000</f>
        <v>41637119</v>
      </c>
      <c r="AM79" s="715">
        <f>SUMIF('Other Minerals - Q&amp;V'!$N$8:$N$250,'Q&amp;V CY 2004 to Now'!AM$7,'Other Minerals - Q&amp;V'!$L$8:$L$252)</f>
        <v>491.57085563361602</v>
      </c>
      <c r="AN79" s="715">
        <f>SUMIF('Other Minerals - Q&amp;V'!$N$8:$N$250,'Q&amp;V CY 2004 to Now'!AM$7,'Other Minerals - Q&amp;V'!$M$8:$M$252)*1000000</f>
        <v>40002494.999999993</v>
      </c>
      <c r="AO79" s="715">
        <f>SUMIF('Other Minerals - Q&amp;V'!$N$8:$N$250,'Q&amp;V CY 2004 to Now'!AO$7,'Other Minerals - Q&amp;V'!$L$8:$L$252)</f>
        <v>512.10163859976012</v>
      </c>
      <c r="AP79" s="715">
        <f>SUMIF('Other Minerals - Q&amp;V'!$N$8:$N$250,'Q&amp;V CY 2004 to Now'!AO$7,'Other Minerals - Q&amp;V'!$M$8:$M$252)*1000000</f>
        <v>30310525.999999996</v>
      </c>
      <c r="AQ79" s="720">
        <f ca="1">SUMIF($C$9:AP$10,1,$C79:AP79)</f>
        <v>13193.558931777628</v>
      </c>
      <c r="AR79" s="194">
        <f ca="1">SUMIF($C$9:AP$10,0,$C79:AP79)</f>
        <v>359238311.15999997</v>
      </c>
      <c r="AS79" s="713"/>
      <c r="AT79" s="711"/>
      <c r="AU79" s="113"/>
      <c r="AV79" s="113"/>
      <c r="AW79" s="113"/>
      <c r="BB79" s="277"/>
    </row>
    <row r="80" spans="1:54" s="98" customFormat="1">
      <c r="A80" s="131" t="s">
        <v>190</v>
      </c>
      <c r="B80" s="225"/>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720"/>
      <c r="AF80" s="720"/>
      <c r="AG80" s="720"/>
      <c r="AH80" s="720"/>
      <c r="AI80" s="720"/>
      <c r="AJ80" s="720"/>
      <c r="AK80" s="720"/>
      <c r="AL80" s="720"/>
      <c r="AM80" s="194"/>
      <c r="AN80" s="194"/>
      <c r="AO80" s="194"/>
      <c r="AP80" s="194"/>
      <c r="AQ80" s="194"/>
      <c r="AR80" s="194"/>
      <c r="AS80" s="713"/>
      <c r="AT80" s="711"/>
      <c r="AU80" s="113"/>
      <c r="AV80" s="113"/>
      <c r="AW80" s="113"/>
      <c r="BB80" s="277"/>
    </row>
    <row r="81" spans="1:54" s="98" customFormat="1">
      <c r="A81" s="118" t="s">
        <v>511</v>
      </c>
      <c r="B81" s="134"/>
      <c r="C81" s="197">
        <v>0</v>
      </c>
      <c r="D81" s="197">
        <v>0</v>
      </c>
      <c r="E81" s="197">
        <v>0</v>
      </c>
      <c r="F81" s="197">
        <v>0</v>
      </c>
      <c r="G81" s="197">
        <v>0</v>
      </c>
      <c r="H81" s="197">
        <v>0</v>
      </c>
      <c r="I81" s="197">
        <v>0</v>
      </c>
      <c r="J81" s="197">
        <v>0</v>
      </c>
      <c r="K81" s="197">
        <v>0</v>
      </c>
      <c r="L81" s="197">
        <v>0</v>
      </c>
      <c r="M81" s="197">
        <v>0</v>
      </c>
      <c r="N81" s="197">
        <v>0</v>
      </c>
      <c r="O81" s="197">
        <v>0</v>
      </c>
      <c r="P81" s="197">
        <v>0</v>
      </c>
      <c r="Q81" s="197">
        <v>0</v>
      </c>
      <c r="R81" s="197">
        <v>0</v>
      </c>
      <c r="S81" s="197">
        <v>0</v>
      </c>
      <c r="T81" s="197">
        <v>0</v>
      </c>
      <c r="U81" s="197">
        <v>0</v>
      </c>
      <c r="V81" s="197">
        <v>0</v>
      </c>
      <c r="W81" s="197">
        <v>0</v>
      </c>
      <c r="X81" s="197">
        <v>0</v>
      </c>
      <c r="Y81" s="197">
        <v>0</v>
      </c>
      <c r="Z81" s="197">
        <v>0</v>
      </c>
      <c r="AA81" s="197">
        <v>0</v>
      </c>
      <c r="AB81" s="197">
        <v>0</v>
      </c>
      <c r="AC81" s="197">
        <v>0</v>
      </c>
      <c r="AD81" s="197">
        <v>0</v>
      </c>
      <c r="AE81" s="1578">
        <v>0</v>
      </c>
      <c r="AF81" s="1578">
        <v>0</v>
      </c>
      <c r="AG81" s="1578">
        <v>0</v>
      </c>
      <c r="AH81" s="1578">
        <v>0</v>
      </c>
      <c r="AI81" s="1578">
        <v>0</v>
      </c>
      <c r="AJ81" s="1578">
        <v>0</v>
      </c>
      <c r="AK81" s="197">
        <v>0</v>
      </c>
      <c r="AL81" s="197">
        <v>0</v>
      </c>
      <c r="AM81" s="197">
        <v>2418</v>
      </c>
      <c r="AN81" s="197" t="s">
        <v>439</v>
      </c>
      <c r="AO81" s="197">
        <v>5503.46</v>
      </c>
      <c r="AP81" s="197" t="s">
        <v>439</v>
      </c>
      <c r="AQ81" s="197">
        <f ca="1">SUMIF($C$9:AP$10,1,$C81:AP81)</f>
        <v>2418</v>
      </c>
      <c r="AR81" s="197" t="s">
        <v>439</v>
      </c>
      <c r="AS81" s="713"/>
      <c r="AT81" s="711"/>
      <c r="AU81" s="113"/>
      <c r="AV81" s="113"/>
      <c r="AW81" s="113"/>
      <c r="BB81" s="277"/>
    </row>
    <row r="82" spans="1:54" s="98" customFormat="1">
      <c r="A82" s="133"/>
      <c r="B82" s="134"/>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578"/>
      <c r="AF82" s="1578"/>
      <c r="AG82" s="1578"/>
      <c r="AH82" s="1578"/>
      <c r="AI82" s="1578"/>
      <c r="AJ82" s="1578"/>
      <c r="AK82" s="197"/>
      <c r="AL82" s="197"/>
      <c r="AM82" s="197"/>
      <c r="AN82" s="197"/>
      <c r="AO82" s="197"/>
      <c r="AP82" s="197"/>
      <c r="AQ82" s="197"/>
      <c r="AR82" s="197"/>
      <c r="AS82" s="713"/>
      <c r="AT82" s="711"/>
      <c r="AU82" s="113"/>
      <c r="AV82" s="113"/>
      <c r="AW82" s="113"/>
      <c r="BB82" s="277"/>
    </row>
    <row r="83" spans="1:54" s="98" customFormat="1">
      <c r="A83" s="124" t="s">
        <v>394</v>
      </c>
      <c r="B83" s="127" t="s">
        <v>93</v>
      </c>
      <c r="C83" s="183">
        <v>0</v>
      </c>
      <c r="D83" s="183">
        <v>0</v>
      </c>
      <c r="E83" s="183">
        <v>0</v>
      </c>
      <c r="F83" s="183">
        <v>0</v>
      </c>
      <c r="G83" s="183">
        <v>0</v>
      </c>
      <c r="H83" s="183">
        <v>0</v>
      </c>
      <c r="I83" s="183">
        <v>0</v>
      </c>
      <c r="J83" s="183">
        <v>0</v>
      </c>
      <c r="K83" s="183">
        <v>0</v>
      </c>
      <c r="L83" s="183">
        <v>0</v>
      </c>
      <c r="M83" s="183">
        <v>0</v>
      </c>
      <c r="N83" s="183">
        <v>0</v>
      </c>
      <c r="O83" s="183">
        <v>0</v>
      </c>
      <c r="P83" s="183">
        <v>0</v>
      </c>
      <c r="Q83" s="183">
        <v>0</v>
      </c>
      <c r="R83" s="183">
        <v>0</v>
      </c>
      <c r="S83" s="194">
        <v>647334.62399999995</v>
      </c>
      <c r="T83" s="194" t="s">
        <v>439</v>
      </c>
      <c r="U83" s="194">
        <v>3943213.1379999998</v>
      </c>
      <c r="V83" s="194" t="s">
        <v>439</v>
      </c>
      <c r="W83" s="194">
        <v>11027370</v>
      </c>
      <c r="X83" s="194" t="s">
        <v>439</v>
      </c>
      <c r="Y83" s="194">
        <v>16029377</v>
      </c>
      <c r="Z83" s="194" t="s">
        <v>439</v>
      </c>
      <c r="AA83" s="194">
        <v>23274070</v>
      </c>
      <c r="AB83" s="194" t="s">
        <v>439</v>
      </c>
      <c r="AC83" s="194">
        <v>28429810</v>
      </c>
      <c r="AD83" s="194" t="s">
        <v>439</v>
      </c>
      <c r="AE83" s="720">
        <v>29932472</v>
      </c>
      <c r="AF83" s="720">
        <v>362137322</v>
      </c>
      <c r="AG83" s="720">
        <v>25954592</v>
      </c>
      <c r="AH83" s="720" t="s">
        <v>439</v>
      </c>
      <c r="AI83" s="720">
        <v>22984552.859999999</v>
      </c>
      <c r="AJ83" s="720">
        <v>270005603</v>
      </c>
      <c r="AK83" s="194">
        <v>28436737.25</v>
      </c>
      <c r="AL83" s="194">
        <v>568701525</v>
      </c>
      <c r="AM83" s="194">
        <v>30074717</v>
      </c>
      <c r="AN83" s="194">
        <v>800747126</v>
      </c>
      <c r="AO83" s="194">
        <v>28621528</v>
      </c>
      <c r="AP83" s="194" t="s">
        <v>439</v>
      </c>
      <c r="AQ83" s="194">
        <f ca="1">SUMIF($C$9:AP$10,1,$C83:AP83)</f>
        <v>220734245.87199998</v>
      </c>
      <c r="AR83" s="194" t="s">
        <v>439</v>
      </c>
      <c r="AS83" s="713"/>
      <c r="AT83" s="711"/>
      <c r="AU83" s="113"/>
      <c r="AV83" s="113"/>
      <c r="AW83" s="113"/>
      <c r="BB83" s="11"/>
    </row>
    <row r="84" spans="1:54" s="98" customFormat="1">
      <c r="A84" s="1072"/>
      <c r="B84" s="127"/>
      <c r="C84" s="183"/>
      <c r="D84" s="183"/>
      <c r="E84" s="194"/>
      <c r="F84" s="194"/>
      <c r="G84" s="194"/>
      <c r="H84" s="194"/>
      <c r="I84" s="183"/>
      <c r="J84" s="183"/>
      <c r="K84" s="194"/>
      <c r="L84" s="194"/>
      <c r="M84" s="194"/>
      <c r="N84" s="194"/>
      <c r="O84" s="194"/>
      <c r="P84" s="194"/>
      <c r="Q84" s="194"/>
      <c r="R84" s="194"/>
      <c r="S84" s="194"/>
      <c r="T84" s="194"/>
      <c r="U84" s="194"/>
      <c r="V84" s="194"/>
      <c r="W84" s="194"/>
      <c r="X84" s="194"/>
      <c r="Y84" s="194"/>
      <c r="Z84" s="194"/>
      <c r="AA84" s="194"/>
      <c r="AB84" s="194"/>
      <c r="AC84" s="194"/>
      <c r="AD84" s="194"/>
      <c r="AE84" s="720"/>
      <c r="AF84" s="720"/>
      <c r="AG84" s="720"/>
      <c r="AH84" s="720"/>
      <c r="AI84" s="720"/>
      <c r="AJ84" s="720"/>
      <c r="AK84" s="194"/>
      <c r="AL84" s="194"/>
      <c r="AM84" s="194"/>
      <c r="AN84" s="194"/>
      <c r="AO84" s="194"/>
      <c r="AP84" s="194"/>
      <c r="AQ84" s="194"/>
      <c r="AR84" s="194"/>
      <c r="AS84" s="713"/>
      <c r="AT84" s="711"/>
      <c r="AU84" s="113"/>
      <c r="AV84" s="113"/>
      <c r="AW84" s="113"/>
      <c r="BB84" s="11"/>
    </row>
    <row r="85" spans="1:54" s="98" customFormat="1">
      <c r="A85" s="118" t="s">
        <v>199</v>
      </c>
      <c r="B85" s="119" t="s">
        <v>67</v>
      </c>
      <c r="C85" s="175">
        <f ca="1">SUMIF('Other Minerals - Q&amp;V'!$N$8:$N$250,'Q&amp;V CY 2004 to Now'!C$7,'Other Minerals - Q&amp;V'!$F$8:$F$244)*1000000</f>
        <v>10486431.916000001</v>
      </c>
      <c r="D85" s="175">
        <f ca="1">SUMIF('Other Minerals - Q&amp;V'!$N$8:$N$250,'Q&amp;V CY 2004 to Now'!C$7,'Other Minerals - Q&amp;V'!$G$8:$G$244)*1000000</f>
        <v>186629417.10000002</v>
      </c>
      <c r="E85" s="175">
        <f ca="1">SUMIF('Other Minerals - Q&amp;V'!$N$8:$N$250,'Q&amp;V CY 2004 to Now'!E$7,'Other Minerals - Q&amp;V'!$F$8:$F$244)*1000000</f>
        <v>11475206.92</v>
      </c>
      <c r="F85" s="175">
        <f ca="1">SUMIF('Other Minerals - Q&amp;V'!$N$8:$N$250,'Q&amp;V CY 2004 to Now'!E$7,'Other Minerals - Q&amp;V'!$G$8:$G$244)*1000000</f>
        <v>213782655.01000002</v>
      </c>
      <c r="G85" s="175">
        <f ca="1">SUMIF('Other Minerals - Q&amp;V'!$N$8:$N$250,'Q&amp;V CY 2004 to Now'!G$7,'Other Minerals - Q&amp;V'!$F$8:$F$244)*1000000</f>
        <v>10715927.219999999</v>
      </c>
      <c r="H85" s="175">
        <f ca="1">SUMIF('Other Minerals - Q&amp;V'!$N$8:$N$250,'Q&amp;V CY 2004 to Now'!G$7,'Other Minerals - Q&amp;V'!$G$8:$G$244)*1000000</f>
        <v>241642998.10999998</v>
      </c>
      <c r="I85" s="175">
        <f ca="1">SUMIF('Other Minerals - Q&amp;V'!$N$8:$N$250,'Q&amp;V CY 2004 to Now'!I$7,'Other Minerals - Q&amp;V'!$F$8:$F$244)*1000000</f>
        <v>10385685.728999998</v>
      </c>
      <c r="J85" s="175">
        <f ca="1">SUMIF('Other Minerals - Q&amp;V'!$N$8:$N$250,'Q&amp;V CY 2004 to Now'!I$7,'Other Minerals - Q&amp;V'!$G$8:$G$244)*1000000</f>
        <v>229604348.91</v>
      </c>
      <c r="K85" s="175">
        <f ca="1">SUMIF('Other Minerals - Q&amp;V'!$N$8:$N$250,'Q&amp;V CY 2004 to Now'!K$7,'Other Minerals - Q&amp;V'!$F$8:$F$244)*1000000</f>
        <v>11488632.785</v>
      </c>
      <c r="L85" s="175">
        <f ca="1">SUMIF('Other Minerals - Q&amp;V'!$N$8:$N$250,'Q&amp;V CY 2004 to Now'!K$7,'Other Minerals - Q&amp;V'!$G$8:$G$244)*1000000</f>
        <v>290950415.91000003</v>
      </c>
      <c r="M85" s="175">
        <f ca="1">SUMIF('Other Minerals - Q&amp;V'!$N$8:$N$250,'Q&amp;V CY 2004 to Now'!M$7,'Other Minerals - Q&amp;V'!$F$8:$F$244)*1000000</f>
        <v>10063552.932</v>
      </c>
      <c r="N85" s="175">
        <f ca="1">SUMIF('Other Minerals - Q&amp;V'!$N$8:$N$250,'Q&amp;V CY 2004 to Now'!M$7,'Other Minerals - Q&amp;V'!$G$8:$G$244)*1000000</f>
        <v>447592200.68000001</v>
      </c>
      <c r="O85" s="175">
        <f ca="1">SUMIF('Other Minerals - Q&amp;V'!$N$8:$N$250,'Q&amp;V CY 2004 to Now'!O$7,'Other Minerals - Q&amp;V'!$F$8:$F$244)*1000000</f>
        <v>11542636.41</v>
      </c>
      <c r="P85" s="175">
        <f ca="1">SUMIF('Other Minerals - Q&amp;V'!$N$8:$N$250,'Q&amp;V CY 2004 to Now'!O$7,'Other Minerals - Q&amp;V'!$G$8:$G$244)*1000000</f>
        <v>386668816.90000004</v>
      </c>
      <c r="Q85" s="175">
        <f ca="1">SUMIF('Other Minerals - Q&amp;V'!$N$8:$N$250,'Q&amp;V CY 2004 to Now'!Q$7,'Other Minerals - Q&amp;V'!$F$8:$F$244)*1000000</f>
        <v>12252575.100000001</v>
      </c>
      <c r="R85" s="175">
        <f ca="1">SUMIF('Other Minerals - Q&amp;V'!$N$8:$N$250,'Q&amp;V CY 2004 to Now'!Q$7,'Other Minerals - Q&amp;V'!$G$8:$G$244)*1000000</f>
        <v>335770892.65000004</v>
      </c>
      <c r="S85" s="175">
        <f ca="1">SUMIF('Other Minerals - Q&amp;V'!$N$8:$N$250,'Q&amp;V CY 2004 to Now'!S$7,'Other Minerals - Q&amp;V'!$F$8:$F$244)*1000000</f>
        <v>12504826.539999999</v>
      </c>
      <c r="T85" s="175">
        <f ca="1">SUMIF('Other Minerals - Q&amp;V'!$N$8:$N$250,'Q&amp;V CY 2004 to Now'!S$7,'Other Minerals - Q&amp;V'!$G$8:$G$244)*1000000</f>
        <v>364509384.84000003</v>
      </c>
      <c r="U85" s="175">
        <f ca="1">SUMIF('Other Minerals - Q&amp;V'!$N$8:$N$250,'Q&amp;V CY 2004 to Now'!U$7,'Other Minerals - Q&amp;V'!$F$8:$F$244)*1000000</f>
        <v>12900183.612</v>
      </c>
      <c r="V85" s="175">
        <f ca="1">SUMIF('Other Minerals - Q&amp;V'!$N$8:$N$250,'Q&amp;V CY 2004 to Now'!U$7,'Other Minerals - Q&amp;V'!$G$8:$G$244)*1000000</f>
        <v>413606860.07685626</v>
      </c>
      <c r="W85" s="175">
        <v>11027370</v>
      </c>
      <c r="X85" s="175">
        <f ca="1">SUMIF('Other Minerals - Q&amp;V'!$N$8:$N$250,'Q&amp;V CY 2004 to Now'!W$7,'Other Minerals - Q&amp;V'!$G$8:$G$244)*1000000</f>
        <v>407478502.44711345</v>
      </c>
      <c r="Y85" s="175">
        <f ca="1">SUMIF('Other Minerals - Q&amp;V'!$N$8:$N$250,'Q&amp;V CY 2004 to Now'!Y$7,'Other Minerals - Q&amp;V'!$F$8:$F$244)*1000000</f>
        <v>11390053.199999999</v>
      </c>
      <c r="Z85" s="175">
        <f ca="1">SUMIF('Other Minerals - Q&amp;V'!$N$8:$N$250,'Q&amp;V CY 2004 to Now'!Y$7,'Other Minerals - Q&amp;V'!$G$8:$G$244)*1000000</f>
        <v>355146406</v>
      </c>
      <c r="AA85" s="175">
        <f ca="1">SUMIF('Other Minerals - Q&amp;V'!$N$8:$N$250,'Q&amp;V CY 2004 to Now'!AA$7,'Other Minerals - Q&amp;V'!$F$8:$F$244)*1000000</f>
        <v>10410190.17</v>
      </c>
      <c r="AB85" s="175">
        <f ca="1">SUMIF('Other Minerals - Q&amp;V'!$N$8:$N$250,'Q&amp;V CY 2004 to Now'!AA$7,'Other Minerals - Q&amp;V'!$G$8:$G$244)*1000000</f>
        <v>313760224.15223646</v>
      </c>
      <c r="AC85" s="175">
        <f ca="1">SUMIF('Other Minerals - Q&amp;V'!$N$8:$N$250,'Q&amp;V CY 2004 to Now'!AC$7,'Other Minerals - Q&amp;V'!$F$8:$F$244)*1000000</f>
        <v>11674986.52</v>
      </c>
      <c r="AD85" s="175">
        <f ca="1">SUMIF('Other Minerals - Q&amp;V'!$N$8:$N$250,'Q&amp;V CY 2004 to Now'!AC$7,'Other Minerals - Q&amp;V'!$G$8:$G$244)*1000000</f>
        <v>274994032.58566737</v>
      </c>
      <c r="AE85" s="1586">
        <f ca="1">SUMIF('Other Minerals - Q&amp;V'!$N$8:$N$250,'Q&amp;V CY 2004 to Now'!AE$7,'Other Minerals - Q&amp;V'!$F$8:$F$244)*1000000</f>
        <v>12894453.49</v>
      </c>
      <c r="AF85" s="1586">
        <f ca="1">SUMIF('Other Minerals - Q&amp;V'!$N$8:$N$250,'Q&amp;V CY 2004 to Now'!AE$7,'Other Minerals - Q&amp;V'!$G$8:$G$244)*1000000</f>
        <v>303674620.48050356</v>
      </c>
      <c r="AG85" s="1586">
        <f ca="1">SUMIF('Other Minerals - Q&amp;V'!$N$8:$N$250,'Q&amp;V CY 2004 to Now'!AG$7,'Other Minerals - Q&amp;V'!$F$8:$F$244)*1000000</f>
        <v>11473768.202999998</v>
      </c>
      <c r="AH85" s="1586">
        <f ca="1">SUMIF('Other Minerals - Q&amp;V'!$N$8:$N$250,'Q&amp;V CY 2004 to Now'!AG$7,'Other Minerals - Q&amp;V'!$G$8:$G$244)*1000000</f>
        <v>333387857</v>
      </c>
      <c r="AI85" s="1586">
        <f ca="1">SUMIF('Other Minerals - Q&amp;V'!$N$8:$N$250,'Q&amp;V CY 2004 to Now'!AI$7,'Other Minerals - Q&amp;V'!$F$8:$F$244)*1000000</f>
        <v>11542308.713000001</v>
      </c>
      <c r="AJ85" s="1586">
        <f ca="1">SUMIF('Other Minerals - Q&amp;V'!$N$8:$N$250,'Q&amp;V CY 2004 to Now'!AI$7,'Other Minerals - Q&amp;V'!$G$8:$G$244)*1000000</f>
        <v>430686016</v>
      </c>
      <c r="AK85" s="175">
        <f ca="1">SUMIF('Other Minerals - Q&amp;V'!$N$8:$N$250,'Q&amp;V CY 2004 to Now'!AK$7,'Other Minerals - Q&amp;V'!$F$8:$F$244)*1000000</f>
        <v>12214035.234000001</v>
      </c>
      <c r="AL85" s="175">
        <f ca="1">SUMIF('Other Minerals - Q&amp;V'!$N$8:$N$250,'Q&amp;V CY 2004 to Now'!AK$7,'Other Minerals - Q&amp;V'!$G$8:$G$244)*1000000</f>
        <v>599922221.99999988</v>
      </c>
      <c r="AM85" s="175">
        <f ca="1">SUMIF('Other Minerals - Q&amp;V'!$N$8:$N$250,'Q&amp;V CY 2004 to Now'!AM$7,'Other Minerals - Q&amp;V'!$F$8:$F$244)*1000000</f>
        <v>11680983.095999999</v>
      </c>
      <c r="AN85" s="175">
        <f ca="1">SUMIF('Other Minerals - Q&amp;V'!$N$8:$N$250,'Q&amp;V CY 2004 to Now'!AM$7,'Other Minerals - Q&amp;V'!$G$8:$G$244)*1000000</f>
        <v>625501475.99999988</v>
      </c>
      <c r="AO85" s="175">
        <f ca="1">SUMIF('Other Minerals - Q&amp;V'!$N$8:$N$250,'Q&amp;V CY 2004 to Now'!AO$7,'Other Minerals - Q&amp;V'!$F$8:$F$244)*1000000</f>
        <v>11618586.358999997</v>
      </c>
      <c r="AP85" s="175">
        <f ca="1">SUMIF('Other Minerals - Q&amp;V'!$N$8:$N$250,'Q&amp;V CY 2004 to Now'!AO$7,'Other Minerals - Q&amp;V'!$G$8:$G$244)*1000000</f>
        <v>790210114</v>
      </c>
      <c r="AQ85" s="197">
        <f ca="1">SUMIF($C$9:AP$10,1,$C85:AP85)</f>
        <v>218123807.78999999</v>
      </c>
      <c r="AR85" s="197">
        <f ca="1">SUMIF($C$9:AP$10,0,$C85:AP85)</f>
        <v>6755309346.8523769</v>
      </c>
      <c r="AS85" s="159"/>
      <c r="AT85" s="711"/>
      <c r="AU85" s="113"/>
      <c r="AV85" s="113"/>
      <c r="AW85" s="113"/>
      <c r="BB85" s="11"/>
    </row>
    <row r="86" spans="1:54" s="98" customFormat="1">
      <c r="A86" s="118"/>
      <c r="B86" s="119"/>
      <c r="C86" s="175"/>
      <c r="D86" s="175"/>
      <c r="E86" s="197"/>
      <c r="F86" s="197"/>
      <c r="G86" s="197"/>
      <c r="H86" s="197"/>
      <c r="I86" s="175"/>
      <c r="J86" s="175"/>
      <c r="K86" s="197"/>
      <c r="L86" s="197"/>
      <c r="M86" s="197"/>
      <c r="N86" s="197"/>
      <c r="O86" s="197"/>
      <c r="P86" s="197"/>
      <c r="Q86" s="197"/>
      <c r="R86" s="197"/>
      <c r="S86" s="197"/>
      <c r="T86" s="197"/>
      <c r="U86" s="197"/>
      <c r="V86" s="197"/>
      <c r="W86" s="197"/>
      <c r="X86" s="197"/>
      <c r="Y86" s="197"/>
      <c r="Z86" s="197"/>
      <c r="AA86" s="197"/>
      <c r="AB86" s="197"/>
      <c r="AC86" s="197"/>
      <c r="AD86" s="197"/>
      <c r="AE86" s="1578"/>
      <c r="AF86" s="1578"/>
      <c r="AG86" s="1578"/>
      <c r="AH86" s="1578"/>
      <c r="AI86" s="1578"/>
      <c r="AJ86" s="1578"/>
      <c r="AK86" s="197"/>
      <c r="AL86" s="197"/>
      <c r="AM86" s="197"/>
      <c r="AN86" s="197"/>
      <c r="AO86" s="197"/>
      <c r="AP86" s="197"/>
      <c r="AQ86" s="197"/>
      <c r="AR86" s="197"/>
      <c r="AS86" s="713"/>
      <c r="AT86" s="711"/>
      <c r="AU86" s="113"/>
      <c r="AV86" s="113"/>
      <c r="AW86" s="113"/>
      <c r="BB86" s="11"/>
    </row>
    <row r="87" spans="1:54" s="98" customFormat="1">
      <c r="A87" s="124" t="s">
        <v>515</v>
      </c>
      <c r="B87" s="161" t="s">
        <v>67</v>
      </c>
      <c r="C87" s="183">
        <v>701496</v>
      </c>
      <c r="D87" s="194">
        <v>6795566.4699999997</v>
      </c>
      <c r="E87" s="194">
        <v>745740</v>
      </c>
      <c r="F87" s="194">
        <v>7029286.46</v>
      </c>
      <c r="G87" s="194">
        <v>717676</v>
      </c>
      <c r="H87" s="194">
        <v>6380178.0099999998</v>
      </c>
      <c r="I87" s="183">
        <v>667000</v>
      </c>
      <c r="J87" s="183">
        <v>10649062.92</v>
      </c>
      <c r="K87" s="194">
        <v>507785</v>
      </c>
      <c r="L87" s="194">
        <v>7562492</v>
      </c>
      <c r="M87" s="194">
        <v>462314</v>
      </c>
      <c r="N87" s="194">
        <v>10006288</v>
      </c>
      <c r="O87" s="194">
        <v>422611</v>
      </c>
      <c r="P87" s="194">
        <v>12544042</v>
      </c>
      <c r="Q87" s="194">
        <v>477640</v>
      </c>
      <c r="R87" s="194">
        <v>15394140</v>
      </c>
      <c r="S87" s="194">
        <v>459537</v>
      </c>
      <c r="T87" s="194">
        <v>15289183</v>
      </c>
      <c r="U87" s="194">
        <v>438688</v>
      </c>
      <c r="V87" s="194">
        <v>15325432.539999999</v>
      </c>
      <c r="W87" s="194">
        <v>487248</v>
      </c>
      <c r="X87" s="194">
        <v>17353328.100000001</v>
      </c>
      <c r="Y87" s="194">
        <v>550002</v>
      </c>
      <c r="Z87" s="194">
        <v>20550675</v>
      </c>
      <c r="AA87" s="714">
        <v>587126.48300000001</v>
      </c>
      <c r="AB87" s="714">
        <v>14549866</v>
      </c>
      <c r="AC87" s="714">
        <v>883747.11900000006</v>
      </c>
      <c r="AD87" s="714">
        <v>21288628.25</v>
      </c>
      <c r="AE87" s="1587">
        <v>1006493.4319999999</v>
      </c>
      <c r="AF87" s="1587">
        <v>19989688</v>
      </c>
      <c r="AG87" s="1587">
        <v>997590.89100000006</v>
      </c>
      <c r="AH87" s="1587">
        <v>21606680</v>
      </c>
      <c r="AI87" s="1587">
        <v>940522.52200000011</v>
      </c>
      <c r="AJ87" s="1587">
        <v>17054117</v>
      </c>
      <c r="AK87" s="714">
        <v>770342.57900000003</v>
      </c>
      <c r="AL87" s="714">
        <v>17454996</v>
      </c>
      <c r="AM87" s="714">
        <v>1209553.1010000003</v>
      </c>
      <c r="AN87" s="714">
        <v>25390541.30508966</v>
      </c>
      <c r="AO87" s="714">
        <v>1150544.058</v>
      </c>
      <c r="AP87" s="714">
        <v>24587313.790536907</v>
      </c>
      <c r="AQ87" s="194">
        <f ca="1">SUMIF($C$9:AP$10,1,$C87:AP87)</f>
        <v>13033113.127</v>
      </c>
      <c r="AR87" s="194">
        <f ca="1">SUMIF($C$9:AP$10,0,$C87:AP87)</f>
        <v>282214191.05508965</v>
      </c>
      <c r="AS87" s="159"/>
      <c r="AT87" s="711"/>
      <c r="AU87" s="113"/>
      <c r="AV87" s="113"/>
      <c r="AW87" s="113"/>
      <c r="BB87" s="11"/>
    </row>
    <row r="88" spans="1:54" s="98" customFormat="1">
      <c r="A88" s="131"/>
      <c r="B88" s="225"/>
      <c r="C88" s="194"/>
      <c r="D88" s="194"/>
      <c r="E88" s="194"/>
      <c r="F88" s="194"/>
      <c r="G88" s="194"/>
      <c r="H88" s="194"/>
      <c r="I88" s="183"/>
      <c r="J88" s="183"/>
      <c r="K88" s="194"/>
      <c r="L88" s="194"/>
      <c r="M88" s="194"/>
      <c r="N88" s="194"/>
      <c r="O88" s="194"/>
      <c r="P88" s="194"/>
      <c r="Q88" s="194"/>
      <c r="R88" s="194"/>
      <c r="S88" s="194"/>
      <c r="T88" s="194"/>
      <c r="U88" s="194"/>
      <c r="V88" s="194"/>
      <c r="W88" s="194"/>
      <c r="X88" s="194"/>
      <c r="Y88" s="194"/>
      <c r="Z88" s="194"/>
      <c r="AA88" s="194"/>
      <c r="AB88" s="194"/>
      <c r="AC88" s="194"/>
      <c r="AD88" s="194"/>
      <c r="AE88" s="720"/>
      <c r="AF88" s="720"/>
      <c r="AG88" s="720"/>
      <c r="AH88" s="720"/>
      <c r="AI88" s="720"/>
      <c r="AJ88" s="720"/>
      <c r="AK88" s="194"/>
      <c r="AL88" s="194"/>
      <c r="AM88" s="194"/>
      <c r="AN88" s="194"/>
      <c r="AO88" s="194"/>
      <c r="AP88" s="194"/>
      <c r="AQ88" s="194"/>
      <c r="AR88" s="194"/>
      <c r="AS88" s="713"/>
      <c r="AT88" s="711"/>
      <c r="AU88" s="113"/>
      <c r="AV88" s="113"/>
      <c r="AW88" s="113"/>
      <c r="BB88" s="11"/>
    </row>
    <row r="89" spans="1:54" s="98" customFormat="1">
      <c r="A89" s="118" t="s">
        <v>201</v>
      </c>
      <c r="B89" s="119" t="s">
        <v>93</v>
      </c>
      <c r="C89" s="175">
        <f>SUMIF('Other Minerals - Q&amp;V'!$N$8:$N$250,'Q&amp;V CY 2004 to Now'!C$7,'Other Minerals - Q&amp;V'!$B$8:$B$252)*1000</f>
        <v>121539.99999999999</v>
      </c>
      <c r="D89" s="197">
        <f>SUMIF('Other Minerals - Q&amp;V'!$N$8:$N$250,'Q&amp;V CY 2004 to Now'!C$7,'Other Minerals - Q&amp;V'!$C$8:$C$252)*1000000</f>
        <v>24654912.799999997</v>
      </c>
      <c r="E89" s="197">
        <f>SUMIF('Other Minerals - Q&amp;V'!$N$8:$N$250,'Q&amp;V CY 2004 to Now'!E$7,'Other Minerals - Q&amp;V'!$B$8:$B$252)*1000</f>
        <v>127520.00000000001</v>
      </c>
      <c r="F89" s="197">
        <f>SUMIF('Other Minerals - Q&amp;V'!$N$8:$N$250,'Q&amp;V CY 2004 to Now'!E$7,'Other Minerals - Q&amp;V'!$C$8:$C$252)*1000000</f>
        <v>39103266.360000007</v>
      </c>
      <c r="G89" s="197">
        <f>SUMIF('Other Minerals - Q&amp;V'!$N$8:$N$250,'Q&amp;V CY 2004 to Now'!G$7,'Other Minerals - Q&amp;V'!$B$8:$B$252)*1000</f>
        <v>103020.00000000001</v>
      </c>
      <c r="H89" s="197">
        <f>SUMIF('Other Minerals - Q&amp;V'!$N$8:$N$250,'Q&amp;V CY 2004 to Now'!G$7,'Other Minerals - Q&amp;V'!$C$8:$C$252)*1000000</f>
        <v>49870901.419999994</v>
      </c>
      <c r="I89" s="197">
        <f>SUMIF('Other Minerals - Q&amp;V'!$N$8:$N$250,'Q&amp;V CY 2004 to Now'!I$7,'Other Minerals - Q&amp;V'!$B$8:$B$252)*1000</f>
        <v>120330</v>
      </c>
      <c r="J89" s="197">
        <f>SUMIF('Other Minerals - Q&amp;V'!$N$8:$N$250,'Q&amp;V CY 2004 to Now'!I$7,'Other Minerals - Q&amp;V'!$C$8:$C$252)*1000000</f>
        <v>63222478.219999999</v>
      </c>
      <c r="K89" s="197">
        <f>SUMIF('Other Minerals - Q&amp;V'!$N$8:$N$250,'Q&amp;V CY 2004 to Now'!K$7,'Other Minerals - Q&amp;V'!$B$8:$B$252)*1000</f>
        <v>88060</v>
      </c>
      <c r="L89" s="197">
        <f>SUMIF('Other Minerals - Q&amp;V'!$N$8:$N$250,'Q&amp;V CY 2004 to Now'!K$7,'Other Minerals - Q&amp;V'!$C$8:$C$252)*1000000</f>
        <v>51411615.130000003</v>
      </c>
      <c r="M89" s="197">
        <f>SUMIF('Other Minerals - Q&amp;V'!$N$8:$N$250,'Q&amp;V CY 2004 to Now'!M$7,'Other Minerals - Q&amp;V'!$B$8:$B$252)*1000</f>
        <v>124140</v>
      </c>
      <c r="N89" s="197">
        <f>SUMIF('Other Minerals - Q&amp;V'!$N$8:$N$250,'Q&amp;V CY 2004 to Now'!M$7,'Other Minerals - Q&amp;V'!$C$8:$C$252)*1000000</f>
        <v>74044649.460000008</v>
      </c>
      <c r="O89" s="197">
        <f>SUMIF('Other Minerals - Q&amp;V'!$N$8:$N$250,'Q&amp;V CY 2004 to Now'!O$7,'Other Minerals - Q&amp;V'!$B$8:$B$252)*1000</f>
        <v>112990.00000000001</v>
      </c>
      <c r="P89" s="197">
        <f>SUMIF('Other Minerals - Q&amp;V'!$N$8:$N$250,'Q&amp;V CY 2004 to Now'!O$7,'Other Minerals - Q&amp;V'!$C$8:$C$252)*1000000</f>
        <v>80654205.189999998</v>
      </c>
      <c r="Q89" s="197">
        <f>SUMIF('Other Minerals - Q&amp;V'!$N$8:$N$250,'Q&amp;V CY 2004 to Now'!Q$7,'Other Minerals - Q&amp;V'!$B$8:$B$252)*1000</f>
        <v>91470</v>
      </c>
      <c r="R89" s="197">
        <f>SUMIF('Other Minerals - Q&amp;V'!$N$8:$N$250,'Q&amp;V CY 2004 to Now'!Q$7,'Other Minerals - Q&amp;V'!$C$8:$C$252)*1000000</f>
        <v>96223977.849999994</v>
      </c>
      <c r="S89" s="197">
        <f>SUMIF('Other Minerals - Q&amp;V'!$N$8:$N$250,'Q&amp;V CY 2004 to Now'!S$7,'Other Minerals - Q&amp;V'!$B$8:$B$252)*1000</f>
        <v>134670.00000000003</v>
      </c>
      <c r="T89" s="197">
        <f>SUMIF('Other Minerals - Q&amp;V'!$N$8:$N$250,'Q&amp;V CY 2004 to Now'!S$7,'Other Minerals - Q&amp;V'!$C$8:$C$252)*1000000</f>
        <v>120732521.81</v>
      </c>
      <c r="U89" s="197">
        <f>SUMIF('Other Minerals - Q&amp;V'!$N$8:$N$250,'Q&amp;V CY 2004 to Now'!U$7,'Other Minerals - Q&amp;V'!$B$8:$B$252)*1000</f>
        <v>126349.74535751053</v>
      </c>
      <c r="V89" s="197">
        <f>SUMIF('Other Minerals - Q&amp;V'!$N$8:$N$250,'Q&amp;V CY 2004 to Now'!U$7,'Other Minerals - Q&amp;V'!$C$8:$C$252)*1000000</f>
        <v>88375712.999999985</v>
      </c>
      <c r="W89" s="197">
        <f>SUMIF('Other Minerals - Q&amp;V'!$N$8:$N$250,'Q&amp;V CY 2004 to Now'!W$7,'Other Minerals - Q&amp;V'!$B$8:$B$252)*1000</f>
        <v>146421.99262624758</v>
      </c>
      <c r="X89" s="197">
        <f>SUMIF('Other Minerals - Q&amp;V'!$N$8:$N$250,'Q&amp;V CY 2004 to Now'!W$7,'Other Minerals - Q&amp;V'!$C$8:$C$252)*1000000</f>
        <v>94039155.999999985</v>
      </c>
      <c r="Y89" s="197">
        <f>SUMIF('Other Minerals - Q&amp;V'!$N$8:$N$250,'Q&amp;V CY 2004 to Now'!Y$7,'Other Minerals - Q&amp;V'!$B$8:$B$252)*1000</f>
        <v>149895.10942500204</v>
      </c>
      <c r="Z89" s="197">
        <f>SUMIF('Other Minerals - Q&amp;V'!$N$8:$N$250,'Q&amp;V CY 2004 to Now'!Y$7,'Other Minerals - Q&amp;V'!$C$8:$C$252)*1000000</f>
        <v>96075521.999999985</v>
      </c>
      <c r="AA89" s="197">
        <f>SUMIF('Other Minerals - Q&amp;V'!$N$8:$N$250,'Q&amp;V CY 2004 to Now'!AA$7,'Other Minerals - Q&amp;V'!$B$8:$B$252)*1000</f>
        <v>158375.43840952541</v>
      </c>
      <c r="AB89" s="197">
        <f>SUMIF('Other Minerals - Q&amp;V'!$N$8:$N$250,'Q&amp;V CY 2004 to Now'!AA$7,'Other Minerals - Q&amp;V'!$C$8:$C$252)*1000000</f>
        <v>111613163.99999999</v>
      </c>
      <c r="AC89" s="197">
        <f>SUMIF('Other Minerals - Q&amp;V'!$N$8:$N$250,'Q&amp;V CY 2004 to Now'!AC$7,'Other Minerals - Q&amp;V'!$B$8:$B$252)*1000</f>
        <v>138246.38605241809</v>
      </c>
      <c r="AD89" s="197">
        <f>SUMIF('Other Minerals - Q&amp;V'!$N$8:$N$250,'Q&amp;V CY 2004 to Now'!AC$7,'Other Minerals - Q&amp;V'!$C$8:$C$252)*1000000</f>
        <v>92242777.999999985</v>
      </c>
      <c r="AE89" s="1578">
        <f>SUMIF('Other Minerals - Q&amp;V'!$N$8:$N$250,'Q&amp;V CY 2004 to Now'!AE$7,'Other Minerals - Q&amp;V'!$B$8:$B$252)*1000</f>
        <v>143841.84143682092</v>
      </c>
      <c r="AF89" s="1578">
        <f>SUMIF('Other Minerals - Q&amp;V'!$N$8:$N$250,'Q&amp;V CY 2004 to Now'!AE$7,'Other Minerals - Q&amp;V'!$C$8:$C$252)*1000000</f>
        <v>94142442.981089264</v>
      </c>
      <c r="AG89" s="1578">
        <f>SUMIF('Other Minerals - Q&amp;V'!$N$8:$N$250,'Q&amp;V CY 2004 to Now'!AG$7,'Other Minerals - Q&amp;V'!$B$8:$B$252)*1000</f>
        <v>130587.94712707569</v>
      </c>
      <c r="AH89" s="1578">
        <f>SUMIF('Other Minerals - Q&amp;V'!$N$8:$N$250,'Q&amp;V CY 2004 to Now'!AG$7,'Other Minerals - Q&amp;V'!$C$8:$C$252)*1000000</f>
        <v>96195312.999999985</v>
      </c>
      <c r="AI89" s="1578">
        <f>SUMIF('Other Minerals - Q&amp;V'!$N$8:$N$250,'Q&amp;V CY 2004 to Now'!AI$7,'Other Minerals - Q&amp;V'!$B$8:$B$252)*1000</f>
        <v>127418.57493792819</v>
      </c>
      <c r="AJ89" s="1578">
        <f>SUMIF('Other Minerals - Q&amp;V'!$N$8:$N$250,'Q&amp;V CY 2004 to Now'!AI$7,'Other Minerals - Q&amp;V'!$C$8:$C$252)*1000000</f>
        <v>123661814</v>
      </c>
      <c r="AK89" s="197">
        <f>SUMIF('Other Minerals - Q&amp;V'!$N$8:$N$250,'Q&amp;V CY 2004 to Now'!AK$7,'Other Minerals - Q&amp;V'!$B$8:$B$252)*1000</f>
        <v>155384.80416745774</v>
      </c>
      <c r="AL89" s="197">
        <f>SUMIF('Other Minerals - Q&amp;V'!$N$8:$N$250,'Q&amp;V CY 2004 to Now'!AK$7,'Other Minerals - Q&amp;V'!$C$8:$C$252)*1000000</f>
        <v>161068904</v>
      </c>
      <c r="AM89" s="1578">
        <f>SUMIF('Other Minerals - Q&amp;V'!$N$8:$N$250,'Q&amp;V CY 2004 to Now'!AM$7,'Other Minerals - Q&amp;V'!$B$8:$B$252)*1000</f>
        <v>129621.39722336917</v>
      </c>
      <c r="AN89" s="1578">
        <f>SUMIF('Other Minerals - Q&amp;V'!$N$8:$N$250,'Q&amp;V CY 2004 to Now'!AM$7,'Other Minerals - Q&amp;V'!$C$8:$C$252)*1000000</f>
        <v>129977991.99999997</v>
      </c>
      <c r="AO89" s="1578">
        <f>SUMIF('Other Minerals - Q&amp;V'!$N$8:$N$250,'Q&amp;V CY 2004 to Now'!AO$7,'Other Minerals - Q&amp;V'!$B$8:$B$252)*1000</f>
        <v>109609.47477464397</v>
      </c>
      <c r="AP89" s="1578">
        <f>SUMIF('Other Minerals - Q&amp;V'!$N$8:$N$250,'Q&amp;V CY 2004 to Now'!AO$7,'Other Minerals - Q&amp;V'!$C$8:$C$252)*1000000</f>
        <v>121147571</v>
      </c>
      <c r="AQ89" s="197">
        <f ca="1">SUMIF($C$9:AP$10,1,$C89:AP89)</f>
        <v>2429883.2367633553</v>
      </c>
      <c r="AR89" s="197">
        <f ca="1">SUMIF($C$9:AP$10,0,$C89:AP89)</f>
        <v>1687311327.2210894</v>
      </c>
      <c r="AS89" s="159"/>
      <c r="AT89" s="711"/>
      <c r="AU89" s="113"/>
      <c r="AV89" s="113"/>
      <c r="AW89" s="113"/>
      <c r="AZ89" s="154"/>
      <c r="BA89" s="154"/>
      <c r="BB89" s="11"/>
    </row>
    <row r="90" spans="1:54" s="98" customFormat="1">
      <c r="A90" s="118"/>
      <c r="B90" s="119"/>
      <c r="C90" s="175"/>
      <c r="D90" s="175"/>
      <c r="E90" s="197"/>
      <c r="F90" s="197"/>
      <c r="G90" s="197"/>
      <c r="H90" s="197"/>
      <c r="I90" s="175"/>
      <c r="J90" s="175"/>
      <c r="K90" s="197"/>
      <c r="L90" s="197"/>
      <c r="M90" s="197"/>
      <c r="N90" s="197"/>
      <c r="O90" s="197"/>
      <c r="P90" s="197"/>
      <c r="Q90" s="197"/>
      <c r="R90" s="197"/>
      <c r="S90" s="197"/>
      <c r="T90" s="197"/>
      <c r="U90" s="197"/>
      <c r="V90" s="197"/>
      <c r="W90" s="197"/>
      <c r="X90" s="197"/>
      <c r="Y90" s="721"/>
      <c r="Z90" s="721"/>
      <c r="AA90" s="721"/>
      <c r="AB90" s="721"/>
      <c r="AC90" s="721"/>
      <c r="AD90" s="721"/>
      <c r="AE90" s="1578"/>
      <c r="AF90" s="1578"/>
      <c r="AG90" s="1578"/>
      <c r="AH90" s="1578"/>
      <c r="AI90" s="1578"/>
      <c r="AJ90" s="1578"/>
      <c r="AK90" s="1578"/>
      <c r="AL90" s="1578"/>
      <c r="AM90" s="1578"/>
      <c r="AN90" s="1578"/>
      <c r="AO90" s="1578"/>
      <c r="AP90" s="1578"/>
      <c r="AQ90" s="197"/>
      <c r="AR90" s="197"/>
      <c r="AS90" s="713"/>
      <c r="AT90" s="711"/>
      <c r="AU90" s="113"/>
      <c r="AV90" s="113"/>
      <c r="AW90" s="113"/>
      <c r="AZ90" s="154"/>
      <c r="BA90" s="154"/>
      <c r="BB90" s="11"/>
    </row>
    <row r="91" spans="1:54" s="98" customFormat="1">
      <c r="A91" s="124" t="s">
        <v>510</v>
      </c>
      <c r="B91" s="127"/>
      <c r="C91" s="183"/>
      <c r="D91" s="183"/>
      <c r="E91" s="194"/>
      <c r="F91" s="194"/>
      <c r="G91" s="194"/>
      <c r="H91" s="194"/>
      <c r="I91" s="183"/>
      <c r="J91" s="183"/>
      <c r="K91" s="194"/>
      <c r="L91" s="194"/>
      <c r="M91" s="194"/>
      <c r="N91" s="194"/>
      <c r="O91" s="194"/>
      <c r="P91" s="194"/>
      <c r="Q91" s="194"/>
      <c r="R91" s="194"/>
      <c r="S91" s="194"/>
      <c r="T91" s="194"/>
      <c r="U91" s="194"/>
      <c r="V91" s="194"/>
      <c r="W91" s="194"/>
      <c r="X91" s="194"/>
      <c r="Y91" s="1743"/>
      <c r="Z91" s="1743"/>
      <c r="AA91" s="1743"/>
      <c r="AB91" s="1743"/>
      <c r="AC91" s="1743"/>
      <c r="AD91" s="1743"/>
      <c r="AE91" s="720"/>
      <c r="AF91" s="720"/>
      <c r="AG91" s="720"/>
      <c r="AH91" s="720"/>
      <c r="AI91" s="720"/>
      <c r="AJ91" s="720"/>
      <c r="AK91" s="194"/>
      <c r="AL91" s="194"/>
      <c r="AM91" s="194"/>
      <c r="AN91" s="194"/>
      <c r="AO91" s="194"/>
      <c r="AP91" s="194"/>
      <c r="AQ91" s="194"/>
      <c r="AR91" s="194"/>
      <c r="AS91" s="713"/>
      <c r="AT91" s="711"/>
      <c r="AU91" s="113"/>
      <c r="AV91" s="113"/>
      <c r="AW91" s="113"/>
      <c r="BB91" s="277"/>
    </row>
    <row r="92" spans="1:54" s="98" customFormat="1">
      <c r="A92" s="126" t="s">
        <v>628</v>
      </c>
      <c r="B92" s="127" t="s">
        <v>67</v>
      </c>
      <c r="C92" s="183">
        <v>985</v>
      </c>
      <c r="D92" s="183" t="s">
        <v>439</v>
      </c>
      <c r="E92" s="194">
        <v>1043.3599999999999</v>
      </c>
      <c r="F92" s="194" t="s">
        <v>439</v>
      </c>
      <c r="G92" s="194">
        <v>583.63</v>
      </c>
      <c r="H92" s="194" t="s">
        <v>439</v>
      </c>
      <c r="I92" s="183">
        <v>538.29</v>
      </c>
      <c r="J92" s="183" t="s">
        <v>439</v>
      </c>
      <c r="K92" s="194">
        <v>680.11</v>
      </c>
      <c r="L92" s="194" t="s">
        <v>439</v>
      </c>
      <c r="M92" s="194" t="s">
        <v>165</v>
      </c>
      <c r="N92" s="194" t="s">
        <v>439</v>
      </c>
      <c r="O92" s="194" t="s">
        <v>165</v>
      </c>
      <c r="P92" s="194" t="s">
        <v>439</v>
      </c>
      <c r="Q92" s="194" t="s">
        <v>165</v>
      </c>
      <c r="R92" s="194" t="s">
        <v>439</v>
      </c>
      <c r="S92" s="194" t="s">
        <v>165</v>
      </c>
      <c r="T92" s="194" t="s">
        <v>439</v>
      </c>
      <c r="U92" s="1828">
        <v>34.189</v>
      </c>
      <c r="V92" s="194" t="s">
        <v>439</v>
      </c>
      <c r="W92" s="194">
        <v>87</v>
      </c>
      <c r="X92" s="194" t="s">
        <v>439</v>
      </c>
      <c r="Y92" s="194">
        <v>249.834</v>
      </c>
      <c r="Z92" s="194" t="s">
        <v>439</v>
      </c>
      <c r="AA92" s="714">
        <v>37.830999999999996</v>
      </c>
      <c r="AB92" s="714" t="s">
        <v>439</v>
      </c>
      <c r="AC92" s="714">
        <v>74.426000000000002</v>
      </c>
      <c r="AD92" s="714" t="s">
        <v>439</v>
      </c>
      <c r="AE92" s="1587">
        <v>117.38499999999999</v>
      </c>
      <c r="AF92" s="1587" t="s">
        <v>439</v>
      </c>
      <c r="AG92" s="1587">
        <v>256.47500000000002</v>
      </c>
      <c r="AH92" s="1587" t="s">
        <v>439</v>
      </c>
      <c r="AI92" s="1587">
        <v>153.19800000000001</v>
      </c>
      <c r="AJ92" s="1587" t="s">
        <v>439</v>
      </c>
      <c r="AK92" s="714">
        <v>212.73499999999999</v>
      </c>
      <c r="AL92" s="714" t="s">
        <v>439</v>
      </c>
      <c r="AM92" s="714">
        <v>183.69899999999998</v>
      </c>
      <c r="AN92" s="714" t="s">
        <v>439</v>
      </c>
      <c r="AO92" s="714">
        <v>159.41999999999999</v>
      </c>
      <c r="AP92" s="714" t="s">
        <v>640</v>
      </c>
      <c r="AQ92" s="194">
        <f ca="1">SUMIF($C$9:AP$10,1,$C92:AP92)</f>
        <v>5237.1620000000003</v>
      </c>
      <c r="AR92" s="194" t="s">
        <v>590</v>
      </c>
      <c r="AT92" s="713"/>
      <c r="BB92" s="277"/>
    </row>
    <row r="93" spans="1:54" s="98" customFormat="1">
      <c r="A93" s="126" t="s">
        <v>232</v>
      </c>
      <c r="B93" s="127" t="s">
        <v>67</v>
      </c>
      <c r="C93" s="183">
        <v>426</v>
      </c>
      <c r="D93" s="183" t="s">
        <v>439</v>
      </c>
      <c r="E93" s="194">
        <v>426.97</v>
      </c>
      <c r="F93" s="194" t="s">
        <v>439</v>
      </c>
      <c r="G93" s="194">
        <v>426.11</v>
      </c>
      <c r="H93" s="194" t="s">
        <v>439</v>
      </c>
      <c r="I93" s="183">
        <v>148.43</v>
      </c>
      <c r="J93" s="183" t="s">
        <v>439</v>
      </c>
      <c r="K93" s="194">
        <v>169.5</v>
      </c>
      <c r="L93" s="194" t="s">
        <v>439</v>
      </c>
      <c r="M93" s="194" t="s">
        <v>165</v>
      </c>
      <c r="N93" s="194" t="s">
        <v>439</v>
      </c>
      <c r="O93" s="194" t="s">
        <v>165</v>
      </c>
      <c r="P93" s="194" t="s">
        <v>439</v>
      </c>
      <c r="Q93" s="194" t="s">
        <v>165</v>
      </c>
      <c r="R93" s="194" t="s">
        <v>439</v>
      </c>
      <c r="S93" s="194" t="s">
        <v>165</v>
      </c>
      <c r="T93" s="194" t="s">
        <v>439</v>
      </c>
      <c r="U93" s="1828">
        <v>49.499000000000002</v>
      </c>
      <c r="V93" s="194" t="s">
        <v>439</v>
      </c>
      <c r="W93" s="194">
        <v>14</v>
      </c>
      <c r="X93" s="194" t="s">
        <v>439</v>
      </c>
      <c r="Y93" s="194">
        <v>21.766999999999999</v>
      </c>
      <c r="Z93" s="194" t="s">
        <v>439</v>
      </c>
      <c r="AA93" s="714">
        <v>41.28</v>
      </c>
      <c r="AB93" s="714" t="s">
        <v>439</v>
      </c>
      <c r="AC93" s="714">
        <v>21.1</v>
      </c>
      <c r="AD93" s="714" t="s">
        <v>439</v>
      </c>
      <c r="AE93" s="1587">
        <v>82.1</v>
      </c>
      <c r="AF93" s="1587" t="s">
        <v>439</v>
      </c>
      <c r="AG93" s="1587">
        <v>99.343999999999994</v>
      </c>
      <c r="AH93" s="1587" t="s">
        <v>439</v>
      </c>
      <c r="AI93" s="1587">
        <v>112.17400000000001</v>
      </c>
      <c r="AJ93" s="1587" t="s">
        <v>439</v>
      </c>
      <c r="AK93" s="714">
        <v>72.77</v>
      </c>
      <c r="AL93" s="714" t="s">
        <v>439</v>
      </c>
      <c r="AM93" s="714">
        <v>106.28</v>
      </c>
      <c r="AN93" s="714" t="s">
        <v>439</v>
      </c>
      <c r="AO93" s="714">
        <v>113.73</v>
      </c>
      <c r="AP93" s="714" t="s">
        <v>640</v>
      </c>
      <c r="AQ93" s="194">
        <f ca="1">SUMIF($C$9:AP$10,1,$C93:AP93)</f>
        <v>2217.3240000000001</v>
      </c>
      <c r="AR93" s="194" t="s">
        <v>590</v>
      </c>
      <c r="AS93" s="713"/>
      <c r="AT93" s="713"/>
      <c r="BB93" s="277"/>
    </row>
    <row r="94" spans="1:54" s="98" customFormat="1">
      <c r="A94" s="126" t="s">
        <v>509</v>
      </c>
      <c r="B94" s="127"/>
      <c r="C94" s="183"/>
      <c r="D94" s="183">
        <v>173087496</v>
      </c>
      <c r="E94" s="194"/>
      <c r="F94" s="194">
        <v>162339189</v>
      </c>
      <c r="G94" s="194"/>
      <c r="H94" s="194">
        <v>107368540</v>
      </c>
      <c r="I94" s="183"/>
      <c r="J94" s="183">
        <v>102978720</v>
      </c>
      <c r="K94" s="194"/>
      <c r="L94" s="194">
        <v>121552910.67</v>
      </c>
      <c r="M94" s="194"/>
      <c r="N94" s="194">
        <v>21037951</v>
      </c>
      <c r="O94" s="194"/>
      <c r="P94" s="194">
        <v>1129993.1899999976</v>
      </c>
      <c r="Q94" s="194"/>
      <c r="R94" s="194">
        <v>78979432.099999994</v>
      </c>
      <c r="S94" s="194"/>
      <c r="T94" s="194">
        <v>38539491.110000014</v>
      </c>
      <c r="U94" s="194"/>
      <c r="V94" s="194">
        <v>3770475</v>
      </c>
      <c r="W94" s="194"/>
      <c r="X94" s="194">
        <v>5817111</v>
      </c>
      <c r="Y94" s="194"/>
      <c r="Z94" s="194">
        <v>8018001.9999999702</v>
      </c>
      <c r="AA94" s="714"/>
      <c r="AB94" s="714">
        <v>7661524</v>
      </c>
      <c r="AC94" s="714"/>
      <c r="AD94" s="714">
        <v>13610415.000000238</v>
      </c>
      <c r="AE94" s="1587"/>
      <c r="AF94" s="1587">
        <v>28842596.999999762</v>
      </c>
      <c r="AG94" s="1587"/>
      <c r="AH94" s="1587">
        <v>42427543</v>
      </c>
      <c r="AI94" s="1587"/>
      <c r="AJ94" s="1587">
        <v>21584124</v>
      </c>
      <c r="AK94" s="714"/>
      <c r="AL94" s="714">
        <v>36333113</v>
      </c>
      <c r="AM94" s="714"/>
      <c r="AN94" s="714">
        <v>49012090</v>
      </c>
      <c r="AO94" s="714"/>
      <c r="AP94" s="714">
        <v>40749703</v>
      </c>
      <c r="AQ94" s="194"/>
      <c r="AR94" s="194">
        <f ca="1">SUMIF($C$9:AP$10,0,$C94:AP94)</f>
        <v>1024090717.0699999</v>
      </c>
      <c r="AS94" s="713"/>
      <c r="AT94" s="713"/>
      <c r="BB94" s="277"/>
    </row>
    <row r="95" spans="1:54" s="98" customFormat="1">
      <c r="A95" s="126"/>
      <c r="B95" s="127"/>
      <c r="C95" s="183"/>
      <c r="D95" s="183"/>
      <c r="E95" s="194"/>
      <c r="F95" s="194"/>
      <c r="G95" s="194"/>
      <c r="H95" s="194"/>
      <c r="I95" s="183"/>
      <c r="J95" s="183"/>
      <c r="K95" s="194"/>
      <c r="L95" s="194"/>
      <c r="M95" s="194"/>
      <c r="N95" s="194"/>
      <c r="O95" s="194"/>
      <c r="P95" s="194"/>
      <c r="Q95" s="194"/>
      <c r="R95" s="194"/>
      <c r="S95" s="194"/>
      <c r="T95" s="194"/>
      <c r="U95" s="194"/>
      <c r="V95" s="194"/>
      <c r="W95" s="194"/>
      <c r="X95" s="194"/>
      <c r="Y95" s="194"/>
      <c r="Z95" s="194"/>
      <c r="AA95" s="714"/>
      <c r="AB95" s="714"/>
      <c r="AC95" s="714"/>
      <c r="AD95" s="714"/>
      <c r="AE95" s="1587"/>
      <c r="AF95" s="1587"/>
      <c r="AG95" s="1587"/>
      <c r="AH95" s="1587"/>
      <c r="AI95" s="1587"/>
      <c r="AJ95" s="1587"/>
      <c r="AK95" s="1587"/>
      <c r="AL95" s="1587"/>
      <c r="AM95" s="714"/>
      <c r="AN95" s="714"/>
      <c r="AO95" s="714"/>
      <c r="AP95" s="714"/>
      <c r="AQ95" s="194"/>
      <c r="AR95" s="194"/>
      <c r="AS95" s="713"/>
      <c r="AT95" s="713"/>
      <c r="BB95" s="277"/>
    </row>
    <row r="96" spans="1:54" s="98" customFormat="1">
      <c r="A96" s="118" t="s">
        <v>188</v>
      </c>
      <c r="B96" s="119" t="s">
        <v>67</v>
      </c>
      <c r="C96" s="175"/>
      <c r="D96" s="175">
        <v>15290405.57</v>
      </c>
      <c r="E96" s="175"/>
      <c r="F96" s="175">
        <v>13646771.57</v>
      </c>
      <c r="G96" s="197"/>
      <c r="H96" s="197">
        <v>15561388.1</v>
      </c>
      <c r="I96" s="175"/>
      <c r="J96" s="197">
        <v>13647434.57</v>
      </c>
      <c r="K96" s="197"/>
      <c r="L96" s="197">
        <v>76975183</v>
      </c>
      <c r="M96" s="197"/>
      <c r="N96" s="197">
        <v>63335222</v>
      </c>
      <c r="O96" s="197"/>
      <c r="P96" s="197">
        <v>42263274</v>
      </c>
      <c r="Q96" s="197"/>
      <c r="R96" s="197">
        <v>469000214</v>
      </c>
      <c r="S96" s="197"/>
      <c r="T96" s="197">
        <v>380036531</v>
      </c>
      <c r="U96" s="197"/>
      <c r="V96" s="197">
        <v>526591133</v>
      </c>
      <c r="W96" s="197"/>
      <c r="X96" s="197">
        <v>170201553</v>
      </c>
      <c r="Y96" s="197"/>
      <c r="Z96" s="197">
        <v>407070733</v>
      </c>
      <c r="AA96" s="197"/>
      <c r="AB96" s="197">
        <v>214860006</v>
      </c>
      <c r="AC96" s="197"/>
      <c r="AD96" s="722">
        <v>417649622</v>
      </c>
      <c r="AE96" s="1582"/>
      <c r="AF96" s="1582">
        <v>20586326</v>
      </c>
      <c r="AG96" s="1582"/>
      <c r="AH96" s="1582">
        <v>767105757</v>
      </c>
      <c r="AI96" s="1582"/>
      <c r="AJ96" s="1578">
        <v>341322931</v>
      </c>
      <c r="AK96" s="1582"/>
      <c r="AL96" s="1578">
        <v>10856593</v>
      </c>
      <c r="AM96" s="1578"/>
      <c r="AN96" s="1578">
        <v>22791709.930842452</v>
      </c>
      <c r="AO96" s="1578"/>
      <c r="AP96" s="1578">
        <v>434795987</v>
      </c>
      <c r="AQ96" s="197"/>
      <c r="AR96" s="197">
        <f>SUM($C96:AP96)</f>
        <v>4423588774.7408428</v>
      </c>
      <c r="AS96" s="713"/>
      <c r="AT96" s="713"/>
      <c r="AU96" s="148"/>
      <c r="AV96" s="148"/>
      <c r="AW96" s="113"/>
      <c r="AZ96" s="154"/>
      <c r="BA96" s="154"/>
      <c r="BB96" s="11"/>
    </row>
    <row r="97" spans="1:54" s="98" customFormat="1">
      <c r="A97" s="118" t="s">
        <v>656</v>
      </c>
      <c r="B97" s="134"/>
      <c r="C97" s="197"/>
      <c r="D97" s="197"/>
      <c r="E97" s="197"/>
      <c r="F97" s="197"/>
      <c r="G97" s="197"/>
      <c r="H97" s="197"/>
      <c r="I97" s="197"/>
      <c r="J97" s="197"/>
      <c r="K97" s="197"/>
      <c r="L97" s="197"/>
      <c r="M97" s="197"/>
      <c r="N97" s="197"/>
      <c r="O97" s="197"/>
      <c r="P97" s="197"/>
      <c r="Q97" s="197"/>
      <c r="R97" s="197"/>
      <c r="S97" s="197"/>
      <c r="T97" s="197"/>
      <c r="U97" s="197"/>
      <c r="V97" s="197"/>
      <c r="W97" s="197"/>
      <c r="X97" s="197"/>
      <c r="Y97" s="721"/>
      <c r="Z97" s="721"/>
      <c r="AA97" s="721"/>
      <c r="AB97" s="721"/>
      <c r="AC97" s="721"/>
      <c r="AD97" s="721"/>
      <c r="AE97" s="1578"/>
      <c r="AF97" s="1578"/>
      <c r="AG97" s="1578"/>
      <c r="AH97" s="1578"/>
      <c r="AI97" s="1578"/>
      <c r="AJ97" s="1578"/>
      <c r="AK97" s="1578"/>
      <c r="AL97" s="1578"/>
      <c r="AM97" s="1578"/>
      <c r="AN97" s="1578"/>
      <c r="AO97" s="1578"/>
      <c r="AP97" s="1578"/>
      <c r="AQ97" s="197"/>
      <c r="AR97" s="197"/>
      <c r="AS97" s="713"/>
      <c r="AT97" s="159"/>
      <c r="AU97" s="308"/>
      <c r="AW97" s="113"/>
      <c r="AZ97" s="154"/>
      <c r="BA97" s="154"/>
      <c r="BB97" s="11"/>
    </row>
    <row r="98" spans="1:54" s="98" customFormat="1">
      <c r="A98" s="118"/>
      <c r="B98" s="134"/>
      <c r="C98" s="197"/>
      <c r="D98" s="197"/>
      <c r="E98" s="197"/>
      <c r="F98" s="197"/>
      <c r="G98" s="197"/>
      <c r="H98" s="197"/>
      <c r="I98" s="197"/>
      <c r="J98" s="197"/>
      <c r="K98" s="197"/>
      <c r="L98" s="197"/>
      <c r="M98" s="197"/>
      <c r="N98" s="197"/>
      <c r="O98" s="197"/>
      <c r="P98" s="197"/>
      <c r="Q98" s="197"/>
      <c r="R98" s="197"/>
      <c r="S98" s="197"/>
      <c r="T98" s="197"/>
      <c r="U98" s="197"/>
      <c r="V98" s="197"/>
      <c r="W98" s="197"/>
      <c r="X98" s="197"/>
      <c r="Y98" s="721"/>
      <c r="Z98" s="721"/>
      <c r="AA98" s="721"/>
      <c r="AB98" s="721"/>
      <c r="AC98" s="721"/>
      <c r="AD98" s="721"/>
      <c r="AE98" s="1578"/>
      <c r="AF98" s="1578"/>
      <c r="AG98" s="1578"/>
      <c r="AH98" s="1578"/>
      <c r="AI98" s="1578"/>
      <c r="AJ98" s="1578"/>
      <c r="AK98" s="1578"/>
      <c r="AL98" s="1578"/>
      <c r="AM98" s="1578"/>
      <c r="AN98" s="1578"/>
      <c r="AO98" s="1578"/>
      <c r="AP98" s="1578"/>
      <c r="AQ98" s="197"/>
      <c r="AR98" s="197"/>
      <c r="AS98" s="713"/>
      <c r="AT98" s="159"/>
      <c r="AU98" s="308"/>
      <c r="AW98" s="113"/>
      <c r="AZ98" s="154"/>
      <c r="BA98" s="154"/>
      <c r="BB98" s="11"/>
    </row>
    <row r="99" spans="1:54" s="98" customFormat="1">
      <c r="A99" s="875" t="s">
        <v>436</v>
      </c>
      <c r="B99" s="880"/>
      <c r="C99" s="877"/>
      <c r="D99" s="878">
        <f ca="1">D101-D77</f>
        <v>18379777765.96212</v>
      </c>
      <c r="E99" s="877"/>
      <c r="F99" s="878">
        <f ca="1">F101-F77</f>
        <v>24828597111.67939</v>
      </c>
      <c r="G99" s="877"/>
      <c r="H99" s="878">
        <f ca="1">H101-H77</f>
        <v>33750051973.511314</v>
      </c>
      <c r="I99" s="877"/>
      <c r="J99" s="878">
        <f ca="1">J101-J77</f>
        <v>36141132382.004303</v>
      </c>
      <c r="K99" s="877"/>
      <c r="L99" s="878">
        <f ca="1">L101-L77</f>
        <v>49022802489.821259</v>
      </c>
      <c r="M99" s="877"/>
      <c r="N99" s="878">
        <f ca="1">N101-N77</f>
        <v>44531117401.617874</v>
      </c>
      <c r="O99" s="877"/>
      <c r="P99" s="878">
        <f ca="1">P101-P77</f>
        <v>70368064121.930084</v>
      </c>
      <c r="Q99" s="877"/>
      <c r="R99" s="878">
        <f ca="1">R101-R77</f>
        <v>83736071875.561157</v>
      </c>
      <c r="S99" s="877"/>
      <c r="T99" s="878">
        <f ca="1">T101-T77</f>
        <v>74476936777.746582</v>
      </c>
      <c r="U99" s="877"/>
      <c r="V99" s="878">
        <f ca="1">V101-V77</f>
        <v>91947478004.043091</v>
      </c>
      <c r="W99" s="877"/>
      <c r="X99" s="878">
        <f ca="1">X101-X77</f>
        <v>86645293418.230194</v>
      </c>
      <c r="Y99" s="877"/>
      <c r="Z99" s="878">
        <f ca="1">Z101-Z77</f>
        <v>71386274018.350082</v>
      </c>
      <c r="AA99" s="877"/>
      <c r="AB99" s="878">
        <f ca="1">AB101-AB77</f>
        <v>76999042814.500519</v>
      </c>
      <c r="AC99" s="877"/>
      <c r="AD99" s="877">
        <f ca="1">AD101-AD77</f>
        <v>88348675935.436432</v>
      </c>
      <c r="AE99" s="877"/>
      <c r="AF99" s="877">
        <f ca="1">AF101-AF77</f>
        <v>94466029985.035034</v>
      </c>
      <c r="AG99" s="877"/>
      <c r="AH99" s="877">
        <f ca="1">AH101-AH77</f>
        <v>130111833838.72942</v>
      </c>
      <c r="AI99" s="1589"/>
      <c r="AJ99" s="1589">
        <f ca="1">AJ101-AJ77</f>
        <v>150335501088.12271</v>
      </c>
      <c r="AK99" s="1589"/>
      <c r="AL99" s="1589">
        <f ca="1">AL101-AL77</f>
        <v>192194669084.32141</v>
      </c>
      <c r="AM99" s="1589"/>
      <c r="AN99" s="1589">
        <f ca="1">AN101-AN77</f>
        <v>181469801806.56421</v>
      </c>
      <c r="AO99" s="1589"/>
      <c r="AP99" s="1589">
        <f ca="1">AP101-AP77</f>
        <v>191661836551.81601</v>
      </c>
      <c r="AQ99" s="877"/>
      <c r="AR99" s="878">
        <f ca="1">AR101-AR77</f>
        <v>1846704020278.98</v>
      </c>
      <c r="AS99" s="713"/>
      <c r="AT99" s="159"/>
      <c r="AU99" s="308"/>
      <c r="AW99" s="113"/>
      <c r="AZ99" s="154"/>
      <c r="BA99" s="154"/>
      <c r="BB99" s="11"/>
    </row>
    <row r="100" spans="1:54" s="98" customFormat="1">
      <c r="A100" s="875"/>
      <c r="B100" s="880"/>
      <c r="C100" s="877"/>
      <c r="D100" s="877"/>
      <c r="E100" s="877"/>
      <c r="F100" s="877"/>
      <c r="G100" s="877"/>
      <c r="H100" s="877"/>
      <c r="I100" s="877"/>
      <c r="J100" s="877"/>
      <c r="K100" s="877"/>
      <c r="L100" s="877"/>
      <c r="M100" s="877"/>
      <c r="N100" s="877"/>
      <c r="O100" s="877"/>
      <c r="P100" s="877"/>
      <c r="Q100" s="877"/>
      <c r="R100" s="877"/>
      <c r="S100" s="877"/>
      <c r="T100" s="877"/>
      <c r="U100" s="877"/>
      <c r="V100" s="877"/>
      <c r="W100" s="877"/>
      <c r="X100" s="877"/>
      <c r="Y100" s="877"/>
      <c r="Z100" s="877"/>
      <c r="AA100" s="877"/>
      <c r="AB100" s="877"/>
      <c r="AC100" s="877"/>
      <c r="AD100" s="877"/>
      <c r="AE100" s="1588"/>
      <c r="AF100" s="1588"/>
      <c r="AG100" s="1588"/>
      <c r="AH100" s="1588"/>
      <c r="AI100" s="1588"/>
      <c r="AJ100" s="1588"/>
      <c r="AK100" s="1588"/>
      <c r="AL100" s="1588"/>
      <c r="AM100" s="1588"/>
      <c r="AN100" s="1588"/>
      <c r="AO100" s="1588"/>
      <c r="AP100" s="1588"/>
      <c r="AQ100" s="877"/>
      <c r="AR100" s="877"/>
      <c r="AS100" s="713"/>
      <c r="AT100" s="713"/>
      <c r="AW100" s="113"/>
      <c r="AZ100" s="154"/>
      <c r="BA100" s="154"/>
      <c r="BB100" s="11"/>
    </row>
    <row r="101" spans="1:54" s="98" customFormat="1">
      <c r="A101" s="875" t="s">
        <v>437</v>
      </c>
      <c r="B101" s="880"/>
      <c r="C101" s="877"/>
      <c r="D101" s="878">
        <f ca="1">SUM(D96,D55,D89,D87,D85,D77,D50,D48,D67,D46,D44,D42,D40,D38,D36,D26,D24,D22,D20,D14,D83,D79,D94,D69,D28)</f>
        <v>28758745770.96212</v>
      </c>
      <c r="E101" s="878"/>
      <c r="F101" s="878">
        <f ca="1">SUM(F96,F55,F89,F87,F85,F77,F50,F48,F67,F46,F44,F42,F40,F38,F36,F26,F24,F22,F20,F14,F83,F79,F94,F69,F28)</f>
        <v>39219936234.244133</v>
      </c>
      <c r="G101" s="878"/>
      <c r="H101" s="878">
        <f ca="1">SUM(H96,H55,H89,H87,H85,H77,H50,H48,H67,H46,H44,H42,H40,H38,H36,H26,H24,H22,H20,H14,H83,H79,H94,H69,H28)</f>
        <v>49274304821.548286</v>
      </c>
      <c r="I101" s="878"/>
      <c r="J101" s="878">
        <f ca="1">SUM(J96,J55,J89,J87,J85,J77,J50,J48,J67,J46,J44,J42,J40,J38,J36,J26,J24,J22,J20,J14,J83,J79,J94,J69,J28)</f>
        <v>52899857495.248489</v>
      </c>
      <c r="K101" s="878"/>
      <c r="L101" s="878">
        <f ca="1">SUM(L96,L55,L89,L87,L85,L77,L50,L48,L67,L46,L44,L42,L40,L38,L36,L26,L24,L22,L20,L14,L83,L79,L94,L69,L28)</f>
        <v>72376100405.714386</v>
      </c>
      <c r="M101" s="878"/>
      <c r="N101" s="878">
        <f ca="1">SUM(N96,N55,N89,N87,N85,N77,N50,N48,N67,N46,N44,N42,N40,N38,N36,N26,N24,N22,N20,N14,N83,N79,N94,N69,N28)</f>
        <v>61248279456.53199</v>
      </c>
      <c r="O101" s="878"/>
      <c r="P101" s="878">
        <f ca="1">SUM(P96,P55,P89,P87,P85,P77,P50,P48,P67,P46,P44,P42,P40,P38,P36,P26,P24,P22,P20,P14,P83,P79,P94,P69,P28)</f>
        <v>93229987818.628036</v>
      </c>
      <c r="Q101" s="878"/>
      <c r="R101" s="878">
        <f ca="1">SUM(R96,R55,R89,R87,R85,R77,R50,R48,R67,R46,R44,R42,R40,R38,R36,R26,R24,R22,R20,R14,R83,R79,R94,R69,R28)</f>
        <v>106574490325.50665</v>
      </c>
      <c r="S101" s="878"/>
      <c r="T101" s="878">
        <f ca="1">SUM(T96,T55,T89,T87,T85,T77,T50,T48,T67,T46,T44,T42,T40,T38,T36,T26,T24,T22,T20,T14,T83,T79,T94,T69,T28)</f>
        <v>98910149763.338028</v>
      </c>
      <c r="U101" s="878"/>
      <c r="V101" s="878">
        <f ca="1">SUM(V96,V55,V89,V87,V85,V77,V50,V48,V67,V46,V44,V42,V40,V38,V36,V26,V24,V22,V20,V14,V83,V79,V94,V69,V28,V57)</f>
        <v>116623045163.71455</v>
      </c>
      <c r="W101" s="878"/>
      <c r="X101" s="878">
        <f ca="1">SUM(X96,X55,X89,X87,X85,X77,X50,X48,X67,X46,X44,X42,X40,X38,X36,X26,X24,X20,X14,X83,X79,X94,X69,X28,X57)</f>
        <v>112794776911.29832</v>
      </c>
      <c r="Y101" s="878"/>
      <c r="Z101" s="878">
        <f ca="1">SUM(Z96,Z55,Z89,Z87,Z85,Z77,Z50,Z48,Z67,Z46,Z44,Z42,Z40,Z38,Z36,Z26,Z24,Z22,Z20,Z14,Z83,Z79,Z94,Z69,Z28,Z57)</f>
        <v>91293536857.422882</v>
      </c>
      <c r="AA101" s="878"/>
      <c r="AB101" s="878">
        <f ca="1">SUM(AB96,AB55,AB89,AB87,AB85,AB77,AB50,AB48,AB67,AB46,AB44,AB42,AB40,AB38,AB36,AB26,AB24,AB22,AB20,AB14,AB83,AB79,AB94,AB69,AB28,AB57)</f>
        <v>94106403135.752411</v>
      </c>
      <c r="AC101" s="878"/>
      <c r="AD101" s="878">
        <f ca="1">SUM(AD96,AD55,AD89,AD87,AD85,AD77,AD50,AD48,AD67,AD46,AD44,AD42,AD40,AD38,AD36,AD26,AD24,AD22,AD20,AD14,AD83,AD79,AD94,AD69,AD28)</f>
        <v>110172518810.99237</v>
      </c>
      <c r="AE101" s="1589"/>
      <c r="AF101" s="1589">
        <f ca="1">SUM(AF96,AF55,AF89,AF87,AF85,AF77,AF50,AF48,AF67,AF46,AF44,AF42,AF40,AF38,AF36,AF26,AF24,AF22,AF20,AF14,AF83,AF79,AF94,AF69,AF28,AF57)</f>
        <v>130741482723.9959</v>
      </c>
      <c r="AG101" s="1589"/>
      <c r="AH101" s="1589">
        <f ca="1">SUM(AH96,AH55,AH89,AH87,AH85,AH77,AH50,AH48,AH67,AH46,AH44,AH42,AH40,AH38,AH36,AH26,AH24,AH22,AH20,AH14,AH83,AH79,AH94,AH69,AH28,AH57)</f>
        <v>168857430265.55582</v>
      </c>
      <c r="AI101" s="1589"/>
      <c r="AJ101" s="1589">
        <f ca="1">SUM(AJ96,AJ55,AJ89,AJ87,AJ85,AJ77,AJ50,AJ48,AJ67,AJ46,AJ44,AJ42,AJ40,AJ38,AJ36,AJ26,AJ24,AJ22,AJ20,AJ14,AJ83,AJ79,AJ94,AJ69,AJ28)</f>
        <v>176638699533.61136</v>
      </c>
      <c r="AK101" s="1589"/>
      <c r="AL101" s="1589">
        <f ca="1">SUM(AL96,AL55,AL89,AL87,AL85,AL77,AL50,AL48,AL67,AL46,AL44,AL42,AL40,AL38,AL36,AL26,AL24,AL22,AL20,AL14,AL83,AL79,AL94,AL69,AL28,AL57)</f>
        <v>231001006924.2532</v>
      </c>
      <c r="AM101" s="1589"/>
      <c r="AN101" s="1589">
        <f ca="1">SUM(AN96,AN55,AN89,AN87,AN85,AN77,AN50,AN48,AN67,AN46,AN44,AN42,AN40,AN38,AN36,AN26,AN24,AN22,AN20,AN14,AN83,AN79,AN94,AN69,AN28,AN57)</f>
        <v>251970907297.80286</v>
      </c>
      <c r="AO101" s="1589"/>
      <c r="AP101" s="1589">
        <f ca="1">SUM(AP96,AP55,AP89,AP87,AP85,AP77,AP50,AP48,AP67,AP46,AP44,AP42,AP40,AP38,AP36,AP26,AP24,AP22,AP20,AP14,AP83,AP79,AP94,AP69,AP28,AP57)</f>
        <v>247564868385.81268</v>
      </c>
      <c r="AQ101" s="878"/>
      <c r="AR101" s="878">
        <f ca="1">SUM($C101:AP101)</f>
        <v>2334256528101.9346</v>
      </c>
      <c r="AS101" s="713"/>
      <c r="AT101" s="159"/>
      <c r="AV101" s="113"/>
      <c r="AW101" s="113"/>
      <c r="AZ101" s="154"/>
      <c r="BA101" s="154"/>
      <c r="BB101" s="11"/>
    </row>
    <row r="102" spans="1:54" s="98" customFormat="1">
      <c r="A102" s="880"/>
      <c r="B102" s="876"/>
      <c r="C102" s="881"/>
      <c r="D102" s="882"/>
      <c r="E102" s="881"/>
      <c r="F102" s="881" t="s">
        <v>190</v>
      </c>
      <c r="G102" s="881"/>
      <c r="H102" s="881" t="s">
        <v>190</v>
      </c>
      <c r="I102" s="881"/>
      <c r="J102" s="881"/>
      <c r="K102" s="881"/>
      <c r="L102" s="881"/>
      <c r="M102" s="880"/>
      <c r="N102" s="880"/>
      <c r="O102" s="880"/>
      <c r="P102" s="880"/>
      <c r="Q102" s="880"/>
      <c r="R102" s="880" t="s">
        <v>190</v>
      </c>
      <c r="S102" s="880"/>
      <c r="T102" s="880"/>
      <c r="U102" s="880"/>
      <c r="V102" s="880"/>
      <c r="W102" s="880"/>
      <c r="X102" s="880" t="s">
        <v>190</v>
      </c>
      <c r="Y102" s="879"/>
      <c r="Z102" s="879"/>
      <c r="AA102" s="879"/>
      <c r="AB102" s="879"/>
      <c r="AC102" s="879"/>
      <c r="AD102" s="879"/>
      <c r="AE102" s="1590"/>
      <c r="AF102" s="1590"/>
      <c r="AG102" s="1590"/>
      <c r="AH102" s="1590"/>
      <c r="AI102" s="1590"/>
      <c r="AJ102" s="1590"/>
      <c r="AK102" s="1590"/>
      <c r="AL102" s="1590"/>
      <c r="AM102" s="1590"/>
      <c r="AN102" s="1590"/>
      <c r="AO102" s="1590"/>
      <c r="AP102" s="1590"/>
      <c r="AQ102" s="880"/>
      <c r="AR102" s="879"/>
      <c r="AT102" s="1351"/>
      <c r="AU102" s="113"/>
      <c r="AV102" s="113"/>
      <c r="AW102" s="113"/>
      <c r="AZ102" s="154"/>
      <c r="BA102" s="154"/>
      <c r="BB102" s="11"/>
    </row>
    <row r="103" spans="1:54" s="98" customFormat="1">
      <c r="A103" s="225"/>
      <c r="B103" s="161"/>
      <c r="C103" s="161"/>
      <c r="D103" s="272"/>
      <c r="E103" s="225"/>
      <c r="F103" s="225"/>
      <c r="G103" s="225"/>
      <c r="H103" s="225"/>
      <c r="I103" s="161"/>
      <c r="J103" s="161"/>
      <c r="K103" s="225"/>
      <c r="L103" s="225"/>
      <c r="M103" s="225"/>
      <c r="N103" s="225"/>
      <c r="O103" s="225"/>
      <c r="P103" s="225"/>
      <c r="Q103" s="225"/>
      <c r="R103" s="225"/>
      <c r="S103" s="225"/>
      <c r="T103" s="225"/>
      <c r="U103" s="225"/>
      <c r="V103" s="225"/>
      <c r="W103" s="225"/>
      <c r="X103" s="225"/>
      <c r="Y103" s="185"/>
      <c r="Z103" s="185"/>
      <c r="AA103" s="185"/>
      <c r="AB103" s="185"/>
      <c r="AC103" s="185"/>
      <c r="AD103" s="185"/>
      <c r="AE103" s="1591"/>
      <c r="AF103" s="1591"/>
      <c r="AG103" s="1591"/>
      <c r="AH103" s="1591"/>
      <c r="AI103" s="1591"/>
      <c r="AJ103" s="1591"/>
      <c r="AK103" s="1591"/>
      <c r="AL103" s="1591"/>
      <c r="AM103" s="1591"/>
      <c r="AN103" s="1591"/>
      <c r="AO103" s="1591"/>
      <c r="AP103" s="1591"/>
      <c r="AQ103" s="225"/>
      <c r="AR103" s="185"/>
      <c r="AT103" s="113"/>
      <c r="AU103" s="113"/>
      <c r="AV103" s="113"/>
      <c r="AW103" s="113"/>
      <c r="BB103" s="277"/>
    </row>
    <row r="104" spans="1:54">
      <c r="A104" s="254" t="s">
        <v>440</v>
      </c>
      <c r="B104" s="254"/>
      <c r="C104" s="145"/>
      <c r="D104" s="273"/>
      <c r="U104" s="79"/>
      <c r="V104" s="79"/>
      <c r="W104" s="122"/>
      <c r="X104" s="122"/>
      <c r="Y104" s="79"/>
      <c r="Z104" s="202"/>
      <c r="AA104" s="202"/>
      <c r="AB104" s="202"/>
      <c r="AC104" s="202"/>
      <c r="AD104" s="202"/>
      <c r="AE104" s="241"/>
      <c r="AF104" s="241"/>
      <c r="AG104" s="241"/>
      <c r="AH104" s="241"/>
      <c r="AI104" s="241"/>
      <c r="AJ104" s="241"/>
      <c r="AK104" s="241"/>
      <c r="AL104" s="241"/>
      <c r="AM104" s="241"/>
      <c r="AN104" s="241"/>
      <c r="AO104" s="241"/>
      <c r="AP104" s="241"/>
      <c r="AR104" s="225"/>
      <c r="AS104" s="98"/>
      <c r="AT104" s="91"/>
      <c r="AU104" s="113"/>
      <c r="AV104" s="98"/>
      <c r="AW104" s="98"/>
      <c r="BB104" s="11"/>
    </row>
    <row r="105" spans="1:54" s="154" customFormat="1">
      <c r="A105" s="154" t="s">
        <v>441</v>
      </c>
      <c r="B105" s="254"/>
      <c r="C105" s="145"/>
      <c r="D105" s="273"/>
      <c r="U105" s="225"/>
      <c r="V105" s="225"/>
      <c r="W105" s="202"/>
      <c r="X105" s="202"/>
      <c r="Y105" s="225"/>
      <c r="Z105" s="202"/>
      <c r="AA105" s="202"/>
      <c r="AB105" s="202"/>
      <c r="AC105" s="202"/>
      <c r="AD105" s="202"/>
      <c r="AE105" s="241"/>
      <c r="AF105" s="241"/>
      <c r="AG105" s="241"/>
      <c r="AH105" s="241"/>
      <c r="AI105" s="241"/>
      <c r="AJ105" s="241"/>
      <c r="AK105" s="241"/>
      <c r="AL105" s="241"/>
      <c r="AM105" s="241"/>
      <c r="AN105" s="241"/>
      <c r="AO105" s="241"/>
      <c r="AP105" s="241"/>
      <c r="AR105" s="225"/>
      <c r="AS105" s="98"/>
      <c r="AT105" s="91"/>
      <c r="AU105" s="113"/>
      <c r="AV105" s="98"/>
      <c r="AW105" s="98"/>
      <c r="BB105" s="11"/>
    </row>
    <row r="106" spans="1:54">
      <c r="D106" s="274"/>
      <c r="F106" s="146"/>
      <c r="H106" s="146"/>
      <c r="J106" s="146"/>
      <c r="L106" s="146"/>
      <c r="N106" s="146"/>
      <c r="P106" s="146"/>
      <c r="R106" s="146"/>
      <c r="T106" s="146"/>
      <c r="V106" s="146"/>
      <c r="W106" s="130"/>
      <c r="X106" s="146"/>
      <c r="Y106" s="78"/>
      <c r="Z106" s="146"/>
      <c r="AA106" s="155"/>
      <c r="AB106" s="322"/>
      <c r="AC106" s="322"/>
      <c r="AD106" s="906"/>
      <c r="AE106" s="311"/>
      <c r="AF106" s="311"/>
      <c r="AG106" s="311"/>
      <c r="AH106" s="311"/>
      <c r="AI106" s="311"/>
      <c r="AJ106" s="720"/>
      <c r="AK106" s="1592"/>
      <c r="AL106" s="1592"/>
      <c r="AM106" s="1592"/>
      <c r="AN106" s="1592"/>
      <c r="AO106" s="1592"/>
      <c r="AP106" s="1592"/>
      <c r="AR106" s="155"/>
      <c r="AS106" s="155"/>
      <c r="AT106" s="148"/>
      <c r="AU106" s="98"/>
      <c r="AV106" s="148"/>
      <c r="AW106" s="98"/>
      <c r="BB106" s="11"/>
    </row>
    <row r="107" spans="1:54">
      <c r="D107" s="224"/>
      <c r="F107" s="146"/>
      <c r="G107" s="146"/>
      <c r="H107" s="146"/>
      <c r="I107" s="146"/>
      <c r="J107" s="146"/>
      <c r="K107" s="146"/>
      <c r="L107" s="146"/>
      <c r="M107" s="146"/>
      <c r="N107" s="146"/>
      <c r="O107" s="146"/>
      <c r="P107" s="146"/>
      <c r="Q107" s="146"/>
      <c r="R107" s="146"/>
      <c r="S107" s="146"/>
      <c r="T107" s="146"/>
      <c r="U107" s="146"/>
      <c r="V107" s="146"/>
      <c r="W107" s="146"/>
      <c r="X107" s="155"/>
      <c r="Y107" s="146"/>
      <c r="Z107" s="155"/>
      <c r="AA107" s="155"/>
      <c r="AB107" s="155"/>
      <c r="AC107" s="155"/>
      <c r="AD107" s="155"/>
      <c r="AE107" s="1592"/>
      <c r="AF107" s="1592"/>
      <c r="AG107" s="1592"/>
      <c r="AH107" s="1592"/>
      <c r="AI107" s="1592"/>
      <c r="AJ107" s="1593"/>
      <c r="AK107" s="1592"/>
      <c r="AL107" s="1592"/>
      <c r="AM107" s="1592"/>
      <c r="AN107" s="1592"/>
      <c r="AO107" s="1592"/>
      <c r="AP107" s="1592"/>
      <c r="AQ107" s="155"/>
      <c r="AR107" s="155"/>
      <c r="AT107" s="148"/>
      <c r="AU107" s="98"/>
      <c r="AV107" s="148"/>
      <c r="AW107" s="98"/>
      <c r="BB107" s="11"/>
    </row>
    <row r="108" spans="1:54">
      <c r="C108" s="276"/>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156"/>
      <c r="AD108" s="907"/>
      <c r="AE108" s="1594"/>
      <c r="AF108" s="1594"/>
      <c r="AG108" s="1594"/>
      <c r="AH108" s="1594"/>
      <c r="AI108" s="1594"/>
      <c r="AJ108" s="1595"/>
      <c r="AK108" s="1594"/>
      <c r="AL108" s="1594"/>
      <c r="AM108" s="1594"/>
      <c r="AN108" s="1594"/>
      <c r="AO108" s="1594"/>
      <c r="AP108" s="1594"/>
      <c r="AT108" s="148"/>
      <c r="AU108" s="98"/>
      <c r="AV108" s="148"/>
      <c r="AW108" s="98"/>
      <c r="BB108" s="11"/>
    </row>
    <row r="109" spans="1:54">
      <c r="C109" s="276"/>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1594"/>
      <c r="AF109" s="1594"/>
      <c r="AG109" s="1594"/>
      <c r="AH109" s="1594"/>
      <c r="AI109" s="1594"/>
      <c r="AT109" s="148"/>
      <c r="AU109" s="98"/>
      <c r="AV109" s="148"/>
      <c r="AW109" s="98"/>
    </row>
    <row r="110" spans="1:54">
      <c r="G110" s="122"/>
      <c r="H110" s="122"/>
      <c r="AJ110" s="1592"/>
      <c r="AK110" s="1592"/>
      <c r="AL110" s="1592"/>
      <c r="AM110" s="1592"/>
      <c r="AN110" s="1592"/>
      <c r="AO110" s="1592"/>
      <c r="AP110" s="1592"/>
      <c r="AT110" s="148"/>
      <c r="AU110" s="98"/>
      <c r="AV110" s="148"/>
    </row>
    <row r="111" spans="1:54">
      <c r="G111" s="122"/>
      <c r="H111" s="147"/>
      <c r="Z111" s="275"/>
      <c r="AR111" s="155"/>
      <c r="AT111" s="98"/>
      <c r="AU111" s="98"/>
      <c r="AV111" s="155"/>
    </row>
    <row r="112" spans="1:54">
      <c r="G112" s="122"/>
      <c r="H112" s="148"/>
      <c r="U112" s="122"/>
      <c r="V112" s="122"/>
      <c r="Y112" s="122"/>
      <c r="Z112" s="122"/>
      <c r="AA112" s="202"/>
      <c r="AB112" s="202"/>
      <c r="AC112" s="202"/>
      <c r="AD112" s="202"/>
      <c r="AE112" s="241"/>
      <c r="AF112" s="241"/>
      <c r="AG112" s="241"/>
      <c r="AH112" s="241"/>
      <c r="AI112" s="241"/>
      <c r="AJ112" s="241"/>
      <c r="AK112" s="241"/>
      <c r="AL112" s="241"/>
      <c r="AM112" s="241"/>
      <c r="AN112" s="241"/>
      <c r="AO112" s="241"/>
      <c r="AP112" s="241"/>
      <c r="AQ112" s="98"/>
      <c r="AT112" s="98"/>
    </row>
    <row r="113" spans="7:48">
      <c r="G113" s="122"/>
      <c r="H113" s="147"/>
      <c r="U113" s="122"/>
      <c r="V113" s="122"/>
      <c r="Y113" s="122"/>
      <c r="Z113" s="122"/>
      <c r="AA113" s="202"/>
      <c r="AB113" s="202"/>
      <c r="AC113" s="202"/>
      <c r="AD113" s="202"/>
      <c r="AE113" s="241"/>
      <c r="AF113" s="241"/>
      <c r="AG113" s="241"/>
      <c r="AH113" s="241"/>
      <c r="AI113" s="241"/>
      <c r="AJ113" s="241"/>
      <c r="AK113" s="241"/>
      <c r="AL113" s="241"/>
      <c r="AM113" s="241"/>
      <c r="AN113" s="241"/>
      <c r="AO113" s="241"/>
      <c r="AP113" s="241"/>
      <c r="AQ113" s="98"/>
      <c r="AT113" s="155"/>
      <c r="AV113" s="155"/>
    </row>
    <row r="114" spans="7:48">
      <c r="G114" s="122"/>
      <c r="H114" s="147"/>
      <c r="U114" s="79"/>
      <c r="V114" s="79"/>
      <c r="Y114" s="149"/>
      <c r="Z114" s="149"/>
      <c r="AA114" s="185"/>
      <c r="AB114" s="185"/>
      <c r="AC114" s="185"/>
      <c r="AD114" s="185"/>
      <c r="AE114" s="1591"/>
      <c r="AF114" s="1591"/>
      <c r="AG114" s="1591"/>
      <c r="AH114" s="1591"/>
      <c r="AI114" s="1591"/>
      <c r="AJ114" s="1591"/>
      <c r="AK114" s="1591"/>
      <c r="AL114" s="1591"/>
      <c r="AM114" s="1591"/>
      <c r="AN114" s="1591"/>
      <c r="AO114" s="1591"/>
      <c r="AP114" s="1591"/>
      <c r="AQ114" s="98"/>
    </row>
    <row r="115" spans="7:48">
      <c r="G115" s="149"/>
      <c r="H115" s="147"/>
      <c r="AT115" s="155"/>
      <c r="AV115" s="155"/>
    </row>
    <row r="116" spans="7:48">
      <c r="G116" s="79"/>
      <c r="H116" s="79"/>
    </row>
    <row r="117" spans="7:48">
      <c r="G117" s="79"/>
      <c r="H117" s="79"/>
      <c r="W117" s="122"/>
      <c r="X117" s="122"/>
      <c r="AT117" s="155"/>
      <c r="AV117" s="155"/>
    </row>
    <row r="118" spans="7:48">
      <c r="G118" s="79"/>
      <c r="H118" s="79"/>
      <c r="W118" s="122"/>
      <c r="X118" s="122"/>
    </row>
    <row r="119" spans="7:48">
      <c r="G119" s="79"/>
      <c r="H119" s="78"/>
      <c r="W119" s="149"/>
      <c r="X119" s="149"/>
      <c r="AV119" s="155"/>
    </row>
    <row r="120" spans="7:48">
      <c r="G120" s="78"/>
      <c r="H120" s="150"/>
    </row>
    <row r="121" spans="7:48">
      <c r="G121" s="78"/>
      <c r="H121" s="78"/>
      <c r="AV121" s="155"/>
    </row>
    <row r="122" spans="7:48">
      <c r="G122" s="78"/>
      <c r="H122" s="78"/>
    </row>
    <row r="124" spans="7:48">
      <c r="AV124" s="155"/>
    </row>
    <row r="130" spans="6:10">
      <c r="F130" s="122"/>
      <c r="G130" s="128"/>
      <c r="H130" s="122"/>
      <c r="I130" s="122"/>
      <c r="J130" s="122"/>
    </row>
  </sheetData>
  <mergeCells count="21">
    <mergeCell ref="AQ7:AR7"/>
    <mergeCell ref="Y7:Z7"/>
    <mergeCell ref="O7:P7"/>
    <mergeCell ref="E7:F7"/>
    <mergeCell ref="G7:H7"/>
    <mergeCell ref="I7:J7"/>
    <mergeCell ref="K7:L7"/>
    <mergeCell ref="M7:N7"/>
    <mergeCell ref="AA7:AB7"/>
    <mergeCell ref="AC7:AD7"/>
    <mergeCell ref="AE7:AF7"/>
    <mergeCell ref="AG7:AH7"/>
    <mergeCell ref="AI7:AJ7"/>
    <mergeCell ref="AK7:AL7"/>
    <mergeCell ref="AM7:AN7"/>
    <mergeCell ref="AO7:AP7"/>
    <mergeCell ref="C7:D7"/>
    <mergeCell ref="Q7:R7"/>
    <mergeCell ref="S7:T7"/>
    <mergeCell ref="U7:V7"/>
    <mergeCell ref="W7:X7"/>
  </mergeCells>
  <pageMargins left="0.75" right="0.75" top="1" bottom="1" header="0.5" footer="0.5"/>
  <pageSetup paperSize="9" orientation="portrait" r:id="rId1"/>
  <headerFooter alignWithMargins="0"/>
  <ignoredErrors>
    <ignoredError sqref="AL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24"/>
  <sheetViews>
    <sheetView showGridLines="0" workbookViewId="0"/>
  </sheetViews>
  <sheetFormatPr defaultColWidth="9.140625" defaultRowHeight="15"/>
  <cols>
    <col min="1" max="1" width="40.7109375" style="251" customWidth="1"/>
    <col min="2" max="2" width="6.85546875" style="251" bestFit="1" customWidth="1"/>
    <col min="3" max="3" width="19.7109375" style="251" bestFit="1" customWidth="1"/>
    <col min="4" max="4" width="20.42578125" style="251" bestFit="1" customWidth="1"/>
    <col min="5" max="5" width="19.7109375" style="251" bestFit="1" customWidth="1"/>
    <col min="6" max="6" width="20.42578125" style="251" bestFit="1" customWidth="1"/>
    <col min="7" max="7" width="19.7109375" style="251" bestFit="1" customWidth="1"/>
    <col min="8" max="8" width="20.42578125" style="251" bestFit="1" customWidth="1"/>
    <col min="9" max="9" width="19.7109375" style="251" bestFit="1" customWidth="1"/>
    <col min="10" max="10" width="20.42578125" style="251" bestFit="1" customWidth="1"/>
    <col min="11" max="11" width="19.7109375" style="251" bestFit="1" customWidth="1"/>
    <col min="12" max="12" width="20.42578125" style="251" bestFit="1" customWidth="1"/>
    <col min="13" max="13" width="19.7109375" style="251" bestFit="1" customWidth="1"/>
    <col min="14" max="14" width="20.42578125" style="251" bestFit="1" customWidth="1"/>
    <col min="15" max="15" width="19.7109375" style="251" bestFit="1" customWidth="1"/>
    <col min="16" max="16" width="20.42578125" style="251" bestFit="1" customWidth="1"/>
    <col min="17" max="17" width="19.7109375" style="251" bestFit="1" customWidth="1"/>
    <col min="18" max="18" width="20.42578125" style="251" bestFit="1" customWidth="1"/>
    <col min="19" max="19" width="19.7109375" style="214" bestFit="1" customWidth="1"/>
    <col min="20" max="20" width="20.42578125" style="214" bestFit="1" customWidth="1"/>
    <col min="21" max="21" width="19.7109375" style="251" bestFit="1" customWidth="1"/>
    <col min="22" max="22" width="20.42578125" style="251" bestFit="1" customWidth="1"/>
    <col min="23" max="23" width="19.7109375" style="251" bestFit="1" customWidth="1"/>
    <col min="24" max="24" width="20.42578125" style="251" bestFit="1" customWidth="1"/>
    <col min="25" max="25" width="19.7109375" style="251" bestFit="1" customWidth="1"/>
    <col min="26" max="26" width="20.42578125" style="251" bestFit="1" customWidth="1"/>
    <col min="27" max="27" width="19.7109375" style="251" bestFit="1" customWidth="1"/>
    <col min="28" max="28" width="20.42578125" style="251" bestFit="1" customWidth="1"/>
    <col min="29" max="29" width="19.7109375" style="251" bestFit="1" customWidth="1"/>
    <col min="30" max="30" width="20.42578125" style="251" bestFit="1" customWidth="1"/>
    <col min="31" max="31" width="17.7109375" style="242" bestFit="1" customWidth="1"/>
    <col min="32" max="32" width="20.42578125" style="242" bestFit="1" customWidth="1"/>
    <col min="33" max="33" width="19.7109375" style="242" bestFit="1" customWidth="1"/>
    <col min="34" max="34" width="20.42578125" style="242" bestFit="1" customWidth="1"/>
    <col min="35" max="35" width="17.7109375" style="242" bestFit="1" customWidth="1"/>
    <col min="36" max="36" width="20.42578125" style="242" bestFit="1" customWidth="1"/>
    <col min="37" max="37" width="19.7109375" style="242" bestFit="1" customWidth="1"/>
    <col min="38" max="38" width="20.42578125" style="242" bestFit="1" customWidth="1"/>
    <col min="39" max="39" width="19.7109375" style="242" bestFit="1" customWidth="1"/>
    <col min="40" max="40" width="20.42578125" style="242" bestFit="1" customWidth="1"/>
    <col min="41" max="41" width="9.140625" style="242"/>
    <col min="42" max="42" width="11.140625" style="242" bestFit="1" customWidth="1"/>
    <col min="43" max="16384" width="9.140625" style="242"/>
  </cols>
  <sheetData>
    <row r="2" spans="1:42">
      <c r="K2" s="252"/>
    </row>
    <row r="3" spans="1:42">
      <c r="AG3" s="154"/>
    </row>
    <row r="5" spans="1:42">
      <c r="A5" s="307" t="s">
        <v>420</v>
      </c>
      <c r="B5" s="225"/>
      <c r="C5" s="225"/>
      <c r="D5" s="225"/>
      <c r="E5" s="225"/>
      <c r="F5" s="225"/>
      <c r="G5" s="225"/>
      <c r="H5" s="225"/>
      <c r="I5" s="225"/>
      <c r="J5" s="225"/>
      <c r="K5" s="225"/>
      <c r="L5" s="225"/>
      <c r="M5" s="225"/>
      <c r="N5" s="225"/>
      <c r="O5" s="225"/>
      <c r="P5" s="225"/>
      <c r="Q5" s="225"/>
      <c r="R5" s="225"/>
      <c r="S5" s="194"/>
      <c r="T5" s="194"/>
      <c r="U5" s="225"/>
      <c r="V5" s="225"/>
      <c r="W5" s="225"/>
      <c r="X5" s="225"/>
      <c r="Y5" s="225"/>
      <c r="Z5" s="225"/>
      <c r="AA5" s="225"/>
      <c r="AB5" s="225"/>
      <c r="AC5" s="225"/>
      <c r="AD5" s="225"/>
      <c r="AG5" s="254"/>
      <c r="AH5" s="254"/>
      <c r="AI5" s="254"/>
      <c r="AJ5" s="254"/>
    </row>
    <row r="6" spans="1:42">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row>
    <row r="7" spans="1:42">
      <c r="A7" s="246"/>
      <c r="B7" s="246"/>
      <c r="C7" s="1944" t="s">
        <v>290</v>
      </c>
      <c r="D7" s="1944"/>
      <c r="E7" s="1944" t="s">
        <v>291</v>
      </c>
      <c r="F7" s="1944"/>
      <c r="G7" s="1944" t="s">
        <v>292</v>
      </c>
      <c r="H7" s="1944"/>
      <c r="I7" s="1944" t="s">
        <v>293</v>
      </c>
      <c r="J7" s="1944"/>
      <c r="K7" s="1944" t="s">
        <v>294</v>
      </c>
      <c r="L7" s="1944"/>
      <c r="M7" s="1944" t="s">
        <v>295</v>
      </c>
      <c r="N7" s="1944"/>
      <c r="O7" s="1944" t="s">
        <v>296</v>
      </c>
      <c r="P7" s="1944"/>
      <c r="Q7" s="1944" t="s">
        <v>297</v>
      </c>
      <c r="R7" s="1944"/>
      <c r="S7" s="1944" t="s">
        <v>298</v>
      </c>
      <c r="T7" s="1944"/>
      <c r="U7" s="1944" t="s">
        <v>299</v>
      </c>
      <c r="V7" s="1944"/>
      <c r="W7" s="1944" t="s">
        <v>300</v>
      </c>
      <c r="X7" s="1944"/>
      <c r="Y7" s="1944" t="s">
        <v>301</v>
      </c>
      <c r="Z7" s="1944"/>
      <c r="AA7" s="1944" t="s">
        <v>302</v>
      </c>
      <c r="AB7" s="1944"/>
      <c r="AC7" s="1944" t="s">
        <v>303</v>
      </c>
      <c r="AD7" s="1944"/>
      <c r="AE7" s="1944" t="s">
        <v>304</v>
      </c>
      <c r="AF7" s="1944"/>
      <c r="AG7" s="1944" t="s">
        <v>305</v>
      </c>
      <c r="AH7" s="1944"/>
      <c r="AI7" s="1944" t="s">
        <v>306</v>
      </c>
      <c r="AJ7" s="1944"/>
      <c r="AK7" s="1944" t="s">
        <v>307</v>
      </c>
      <c r="AL7" s="1944"/>
      <c r="AM7" s="1944" t="s">
        <v>308</v>
      </c>
      <c r="AN7" s="1944"/>
    </row>
    <row r="8" spans="1:42">
      <c r="A8" s="255" t="s">
        <v>88</v>
      </c>
      <c r="B8" s="1495" t="s">
        <v>89</v>
      </c>
      <c r="C8" s="1494" t="str">
        <f>CONCATENATE(C7, " Quantity")</f>
        <v>1984-85 Quantity</v>
      </c>
      <c r="D8" s="667" t="str">
        <f>CONCATENATE(C7, " Value $")</f>
        <v>1984-85 Value $</v>
      </c>
      <c r="E8" s="1494" t="str">
        <f t="shared" ref="E8" si="0">CONCATENATE(E7, " Quantity")</f>
        <v>1985-86 Quantity</v>
      </c>
      <c r="F8" s="667" t="str">
        <f t="shared" ref="F8" si="1">CONCATENATE(E7, " Value $")</f>
        <v>1985-86 Value $</v>
      </c>
      <c r="G8" s="1494" t="str">
        <f t="shared" ref="G8" si="2">CONCATENATE(G7, " Quantity")</f>
        <v>1986-87 Quantity</v>
      </c>
      <c r="H8" s="667" t="str">
        <f t="shared" ref="H8" si="3">CONCATENATE(G7, " Value $")</f>
        <v>1986-87 Value $</v>
      </c>
      <c r="I8" s="1494" t="str">
        <f t="shared" ref="I8" si="4">CONCATENATE(I7, " Quantity")</f>
        <v>1987-88 Quantity</v>
      </c>
      <c r="J8" s="667" t="str">
        <f t="shared" ref="J8" si="5">CONCATENATE(I7, " Value $")</f>
        <v>1987-88 Value $</v>
      </c>
      <c r="K8" s="1494" t="str">
        <f t="shared" ref="K8" si="6">CONCATENATE(K7, " Quantity")</f>
        <v>1988-89 Quantity</v>
      </c>
      <c r="L8" s="667" t="str">
        <f t="shared" ref="L8" si="7">CONCATENATE(K7, " Value $")</f>
        <v>1988-89 Value $</v>
      </c>
      <c r="M8" s="1494" t="str">
        <f t="shared" ref="M8" si="8">CONCATENATE(M7, " Quantity")</f>
        <v>1989-90 Quantity</v>
      </c>
      <c r="N8" s="667" t="str">
        <f t="shared" ref="N8" si="9">CONCATENATE(M7, " Value $")</f>
        <v>1989-90 Value $</v>
      </c>
      <c r="O8" s="1494" t="str">
        <f t="shared" ref="O8" si="10">CONCATENATE(O7, " Quantity")</f>
        <v>1990-91 Quantity</v>
      </c>
      <c r="P8" s="667" t="str">
        <f t="shared" ref="P8" si="11">CONCATENATE(O7, " Value $")</f>
        <v>1990-91 Value $</v>
      </c>
      <c r="Q8" s="1494" t="str">
        <f t="shared" ref="Q8" si="12">CONCATENATE(Q7, " Quantity")</f>
        <v>1991-92 Quantity</v>
      </c>
      <c r="R8" s="667" t="str">
        <f t="shared" ref="R8" si="13">CONCATENATE(Q7, " Value $")</f>
        <v>1991-92 Value $</v>
      </c>
      <c r="S8" s="1494" t="str">
        <f t="shared" ref="S8" si="14">CONCATENATE(S7, " Quantity")</f>
        <v>1992-93 Quantity</v>
      </c>
      <c r="T8" s="667" t="str">
        <f t="shared" ref="T8" si="15">CONCATENATE(S7, " Value $")</f>
        <v>1992-93 Value $</v>
      </c>
      <c r="U8" s="1494" t="str">
        <f t="shared" ref="U8" si="16">CONCATENATE(U7, " Quantity")</f>
        <v>1993-94 Quantity</v>
      </c>
      <c r="V8" s="667" t="str">
        <f t="shared" ref="V8" si="17">CONCATENATE(U7, " Value $")</f>
        <v>1993-94 Value $</v>
      </c>
      <c r="W8" s="1494" t="str">
        <f t="shared" ref="W8" si="18">CONCATENATE(W7, " Quantity")</f>
        <v>1994-95 Quantity</v>
      </c>
      <c r="X8" s="667" t="str">
        <f t="shared" ref="X8" si="19">CONCATENATE(W7, " Value $")</f>
        <v>1994-95 Value $</v>
      </c>
      <c r="Y8" s="1494" t="str">
        <f t="shared" ref="Y8" si="20">CONCATENATE(Y7, " Quantity")</f>
        <v>1995-96 Quantity</v>
      </c>
      <c r="Z8" s="667" t="str">
        <f t="shared" ref="Z8" si="21">CONCATENATE(Y7, " Value $")</f>
        <v>1995-96 Value $</v>
      </c>
      <c r="AA8" s="1494" t="str">
        <f t="shared" ref="AA8" si="22">CONCATENATE(AA7, " Quantity")</f>
        <v>1996-97 Quantity</v>
      </c>
      <c r="AB8" s="667" t="str">
        <f t="shared" ref="AB8" si="23">CONCATENATE(AA7, " Value $")</f>
        <v>1996-97 Value $</v>
      </c>
      <c r="AC8" s="1494" t="str">
        <f t="shared" ref="AC8" si="24">CONCATENATE(AC7, " Quantity")</f>
        <v>1997-98 Quantity</v>
      </c>
      <c r="AD8" s="667" t="str">
        <f t="shared" ref="AD8" si="25">CONCATENATE(AC7, " Value $")</f>
        <v>1997-98 Value $</v>
      </c>
      <c r="AE8" s="1494" t="str">
        <f t="shared" ref="AE8" si="26">CONCATENATE(AE7, " Quantity")</f>
        <v>1998-99 Quantity</v>
      </c>
      <c r="AF8" s="667" t="str">
        <f t="shared" ref="AF8" si="27">CONCATENATE(AE7, " Value $")</f>
        <v>1998-99 Value $</v>
      </c>
      <c r="AG8" s="1494" t="str">
        <f t="shared" ref="AG8" si="28">CONCATENATE(AG7, " Quantity")</f>
        <v>1999-00 Quantity</v>
      </c>
      <c r="AH8" s="667" t="str">
        <f t="shared" ref="AH8" si="29">CONCATENATE(AG7, " Value $")</f>
        <v>1999-00 Value $</v>
      </c>
      <c r="AI8" s="1494" t="str">
        <f t="shared" ref="AI8" si="30">CONCATENATE(AI7, " Quantity")</f>
        <v>2000-01 Quantity</v>
      </c>
      <c r="AJ8" s="667" t="str">
        <f t="shared" ref="AJ8" si="31">CONCATENATE(AI7, " Value $")</f>
        <v>2000-01 Value $</v>
      </c>
      <c r="AK8" s="1494" t="str">
        <f t="shared" ref="AK8" si="32">CONCATENATE(AK7, " Quantity")</f>
        <v>2001-02 Quantity</v>
      </c>
      <c r="AL8" s="667" t="str">
        <f t="shared" ref="AL8" si="33">CONCATENATE(AK7, " Value $")</f>
        <v>2001-02 Value $</v>
      </c>
      <c r="AM8" s="1494" t="str">
        <f t="shared" ref="AM8" si="34">CONCATENATE(AM7, " Quantity")</f>
        <v>2002-03 Quantity</v>
      </c>
      <c r="AN8" s="667" t="str">
        <f t="shared" ref="AN8" si="35">CONCATENATE(AM7, " Value $")</f>
        <v>2002-03 Value $</v>
      </c>
    </row>
    <row r="9" spans="1:42">
      <c r="A9" s="1495"/>
      <c r="B9" s="1495"/>
      <c r="C9" s="1495"/>
      <c r="D9" s="1495"/>
      <c r="E9" s="1495"/>
      <c r="F9" s="1495"/>
      <c r="G9" s="1495"/>
      <c r="H9" s="1495"/>
      <c r="I9" s="1495"/>
      <c r="J9" s="1495"/>
      <c r="K9" s="1495"/>
      <c r="L9" s="1495"/>
      <c r="M9" s="1495"/>
      <c r="N9" s="667"/>
      <c r="O9" s="1495"/>
      <c r="P9" s="1495"/>
      <c r="Q9" s="1495"/>
      <c r="R9" s="1495"/>
      <c r="S9" s="668"/>
      <c r="T9" s="668"/>
      <c r="U9" s="1495"/>
      <c r="V9" s="1495"/>
      <c r="W9" s="1495"/>
      <c r="X9" s="1495"/>
      <c r="Y9" s="1495"/>
      <c r="Z9" s="1495"/>
      <c r="AA9" s="1495"/>
      <c r="AB9" s="1495"/>
      <c r="AC9" s="1495"/>
      <c r="AD9" s="1495"/>
      <c r="AE9" s="246"/>
      <c r="AF9" s="1504"/>
      <c r="AG9" s="1505"/>
      <c r="AH9" s="1495"/>
      <c r="AI9" s="1505"/>
      <c r="AJ9" s="1495"/>
      <c r="AK9" s="1506"/>
      <c r="AL9" s="253"/>
      <c r="AM9" s="253"/>
      <c r="AN9" s="253"/>
    </row>
    <row r="10" spans="1:42">
      <c r="A10" s="260" t="s">
        <v>287</v>
      </c>
      <c r="B10" s="248"/>
      <c r="C10" s="723"/>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668"/>
      <c r="AB10" s="668"/>
      <c r="AC10" s="668"/>
      <c r="AD10" s="668"/>
      <c r="AE10" s="724"/>
      <c r="AF10" s="725"/>
      <c r="AG10" s="668"/>
      <c r="AH10" s="668"/>
      <c r="AI10" s="668"/>
      <c r="AJ10" s="668"/>
      <c r="AK10" s="726"/>
      <c r="AL10" s="726"/>
      <c r="AM10" s="726"/>
      <c r="AN10" s="726"/>
    </row>
    <row r="11" spans="1:42">
      <c r="A11" s="263" t="s">
        <v>0</v>
      </c>
      <c r="B11" s="248" t="s">
        <v>67</v>
      </c>
      <c r="C11" s="723">
        <v>5326982</v>
      </c>
      <c r="D11" s="723">
        <v>1056839641</v>
      </c>
      <c r="E11" s="723">
        <v>5430555</v>
      </c>
      <c r="F11" s="723">
        <v>1029283528</v>
      </c>
      <c r="G11" s="723">
        <v>5727327</v>
      </c>
      <c r="H11" s="723">
        <v>1090879157</v>
      </c>
      <c r="I11" s="724">
        <v>6063130</v>
      </c>
      <c r="J11" s="724">
        <v>1182997535</v>
      </c>
      <c r="K11" s="724">
        <v>6171962</v>
      </c>
      <c r="L11" s="724">
        <v>1619228331</v>
      </c>
      <c r="M11" s="724">
        <v>6651028</v>
      </c>
      <c r="N11" s="724">
        <v>2335697184</v>
      </c>
      <c r="O11" s="723">
        <v>6800451</v>
      </c>
      <c r="P11" s="723">
        <v>2099125726</v>
      </c>
      <c r="Q11" s="723">
        <v>7129199</v>
      </c>
      <c r="R11" s="723">
        <v>1758150370</v>
      </c>
      <c r="S11" s="723">
        <v>7547856</v>
      </c>
      <c r="T11" s="723">
        <v>1818116459</v>
      </c>
      <c r="U11" s="723">
        <v>7830064</v>
      </c>
      <c r="V11" s="723">
        <v>1784319220</v>
      </c>
      <c r="W11" s="723">
        <v>7906987</v>
      </c>
      <c r="X11" s="723">
        <v>1684604310</v>
      </c>
      <c r="Y11" s="723">
        <v>8232135</v>
      </c>
      <c r="Z11" s="724">
        <v>1918337128</v>
      </c>
      <c r="AA11" s="724">
        <v>8347933</v>
      </c>
      <c r="AB11" s="724">
        <v>1955770170</v>
      </c>
      <c r="AC11" s="724">
        <v>8514673</v>
      </c>
      <c r="AD11" s="724">
        <v>2260538170</v>
      </c>
      <c r="AE11" s="724">
        <v>8864125</v>
      </c>
      <c r="AF11" s="724">
        <v>2367032747.3600001</v>
      </c>
      <c r="AG11" s="724">
        <v>9354252</v>
      </c>
      <c r="AH11" s="724">
        <v>2657894317</v>
      </c>
      <c r="AI11" s="723">
        <v>10479429</v>
      </c>
      <c r="AJ11" s="723">
        <v>3600668963</v>
      </c>
      <c r="AK11" s="723">
        <v>10856507</v>
      </c>
      <c r="AL11" s="723">
        <v>3584378494</v>
      </c>
      <c r="AM11" s="723">
        <v>11132187</v>
      </c>
      <c r="AN11" s="723">
        <v>3204651644</v>
      </c>
      <c r="AP11" s="243"/>
    </row>
    <row r="12" spans="1:42">
      <c r="A12" s="263" t="s">
        <v>92</v>
      </c>
      <c r="B12" s="248" t="s">
        <v>93</v>
      </c>
      <c r="C12" s="724">
        <v>0</v>
      </c>
      <c r="D12" s="724">
        <v>0</v>
      </c>
      <c r="E12" s="724">
        <v>0</v>
      </c>
      <c r="F12" s="724">
        <v>0</v>
      </c>
      <c r="G12" s="724">
        <v>0</v>
      </c>
      <c r="H12" s="724">
        <v>0</v>
      </c>
      <c r="I12" s="724">
        <v>0</v>
      </c>
      <c r="J12" s="724">
        <v>0</v>
      </c>
      <c r="K12" s="724">
        <v>1767</v>
      </c>
      <c r="L12" s="724">
        <v>60641</v>
      </c>
      <c r="M12" s="723">
        <v>42986</v>
      </c>
      <c r="N12" s="723">
        <v>1454998</v>
      </c>
      <c r="O12" s="723">
        <v>8481</v>
      </c>
      <c r="P12" s="723">
        <v>267377</v>
      </c>
      <c r="Q12" s="723">
        <v>0</v>
      </c>
      <c r="R12" s="723">
        <v>0</v>
      </c>
      <c r="S12" s="723">
        <v>0</v>
      </c>
      <c r="T12" s="723">
        <v>0</v>
      </c>
      <c r="U12" s="723">
        <v>0</v>
      </c>
      <c r="V12" s="723">
        <v>0</v>
      </c>
      <c r="W12" s="723">
        <v>0</v>
      </c>
      <c r="X12" s="723">
        <v>0</v>
      </c>
      <c r="Y12" s="723">
        <v>5388</v>
      </c>
      <c r="Z12" s="724">
        <v>2118702</v>
      </c>
      <c r="AA12" s="724">
        <v>26745.768000000004</v>
      </c>
      <c r="AB12" s="724">
        <v>10058746</v>
      </c>
      <c r="AC12" s="724">
        <v>0</v>
      </c>
      <c r="AD12" s="724">
        <v>0</v>
      </c>
      <c r="AE12" s="724">
        <v>0</v>
      </c>
      <c r="AF12" s="724">
        <v>0</v>
      </c>
      <c r="AG12" s="724">
        <v>0</v>
      </c>
      <c r="AH12" s="724">
        <v>0</v>
      </c>
      <c r="AI12" s="724">
        <v>0</v>
      </c>
      <c r="AJ12" s="724">
        <v>0</v>
      </c>
      <c r="AK12" s="723">
        <v>0</v>
      </c>
      <c r="AL12" s="723">
        <v>0</v>
      </c>
      <c r="AM12" s="723">
        <v>0</v>
      </c>
      <c r="AN12" s="723">
        <v>0</v>
      </c>
    </row>
    <row r="13" spans="1:42">
      <c r="A13" s="264" t="s">
        <v>418</v>
      </c>
      <c r="B13" s="248"/>
      <c r="C13" s="723"/>
      <c r="D13" s="723">
        <f>SUM(D11:D12)</f>
        <v>1056839641</v>
      </c>
      <c r="E13" s="723"/>
      <c r="F13" s="723">
        <f>SUM(F11:F12)</f>
        <v>1029283528</v>
      </c>
      <c r="G13" s="723"/>
      <c r="H13" s="723">
        <f>SUM(H11:H12)</f>
        <v>1090879157</v>
      </c>
      <c r="I13" s="723"/>
      <c r="J13" s="723">
        <f>SUM(J11:J12)</f>
        <v>1182997535</v>
      </c>
      <c r="K13" s="723"/>
      <c r="L13" s="723">
        <f>SUM(L11:L12)</f>
        <v>1619288972</v>
      </c>
      <c r="M13" s="723"/>
      <c r="N13" s="723">
        <f>SUM(N11:N12)</f>
        <v>2337152182</v>
      </c>
      <c r="O13" s="723"/>
      <c r="P13" s="723">
        <f>SUM(P11:P12)</f>
        <v>2099393103</v>
      </c>
      <c r="Q13" s="723"/>
      <c r="R13" s="723">
        <v>1758150370</v>
      </c>
      <c r="S13" s="723"/>
      <c r="T13" s="723">
        <v>1818116459</v>
      </c>
      <c r="U13" s="723"/>
      <c r="V13" s="723">
        <v>1784319220</v>
      </c>
      <c r="W13" s="723"/>
      <c r="X13" s="723">
        <v>1684604310</v>
      </c>
      <c r="Y13" s="724"/>
      <c r="Z13" s="723">
        <v>1920455830</v>
      </c>
      <c r="AA13" s="724"/>
      <c r="AB13" s="724">
        <v>1965828915</v>
      </c>
      <c r="AC13" s="724">
        <v>8514673</v>
      </c>
      <c r="AD13" s="724">
        <v>2260538170</v>
      </c>
      <c r="AE13" s="724">
        <v>8864125</v>
      </c>
      <c r="AF13" s="724">
        <v>2367032747.3600001</v>
      </c>
      <c r="AG13" s="724">
        <v>9354252</v>
      </c>
      <c r="AH13" s="724">
        <v>2657894317</v>
      </c>
      <c r="AI13" s="723">
        <v>10479429</v>
      </c>
      <c r="AJ13" s="723">
        <v>3600668963</v>
      </c>
      <c r="AK13" s="723">
        <f>SUM(AK11:AK12)</f>
        <v>10856507</v>
      </c>
      <c r="AL13" s="723">
        <f>SUM(AL11:AL12)</f>
        <v>3584378494</v>
      </c>
      <c r="AM13" s="723">
        <f>SUM(AM11:AM12)</f>
        <v>11132187</v>
      </c>
      <c r="AN13" s="723">
        <f>SUM(AN11:AN12)</f>
        <v>3204651644</v>
      </c>
    </row>
    <row r="14" spans="1:42">
      <c r="A14" s="250"/>
      <c r="B14" s="248"/>
      <c r="C14" s="723"/>
      <c r="D14" s="723"/>
      <c r="E14" s="723"/>
      <c r="F14" s="723"/>
      <c r="G14" s="723"/>
      <c r="H14" s="723"/>
      <c r="I14" s="723"/>
      <c r="J14" s="723"/>
      <c r="K14" s="723"/>
      <c r="L14" s="723"/>
      <c r="M14" s="723"/>
      <c r="N14" s="723"/>
      <c r="O14" s="723"/>
      <c r="P14" s="723"/>
      <c r="Q14" s="723"/>
      <c r="R14" s="723"/>
      <c r="S14" s="723"/>
      <c r="T14" s="723"/>
      <c r="U14" s="723"/>
      <c r="V14" s="723"/>
      <c r="W14" s="723"/>
      <c r="X14" s="723"/>
      <c r="Y14" s="724"/>
      <c r="Z14" s="723"/>
      <c r="AA14" s="724"/>
      <c r="AB14" s="724"/>
      <c r="AC14" s="724"/>
      <c r="AD14" s="724"/>
      <c r="AE14" s="724"/>
      <c r="AF14" s="724"/>
      <c r="AG14" s="724"/>
      <c r="AH14" s="724"/>
      <c r="AI14" s="723"/>
      <c r="AJ14" s="723"/>
      <c r="AK14" s="723"/>
      <c r="AL14" s="723"/>
      <c r="AM14" s="723"/>
      <c r="AN14" s="723"/>
    </row>
    <row r="15" spans="1:42">
      <c r="A15" s="261" t="s">
        <v>103</v>
      </c>
      <c r="B15" s="127" t="s">
        <v>67</v>
      </c>
      <c r="C15" s="214">
        <v>0</v>
      </c>
      <c r="D15" s="214">
        <v>0</v>
      </c>
      <c r="E15" s="214">
        <v>0</v>
      </c>
      <c r="F15" s="214">
        <v>0</v>
      </c>
      <c r="G15" s="214">
        <v>0</v>
      </c>
      <c r="H15" s="214">
        <v>0</v>
      </c>
      <c r="I15" s="214">
        <v>9669</v>
      </c>
      <c r="J15" s="214">
        <v>1160280</v>
      </c>
      <c r="K15" s="214">
        <v>0</v>
      </c>
      <c r="L15" s="214">
        <v>0</v>
      </c>
      <c r="M15" s="214">
        <v>7521</v>
      </c>
      <c r="N15" s="214">
        <v>1006603</v>
      </c>
      <c r="O15" s="727">
        <v>0</v>
      </c>
      <c r="P15" s="727">
        <v>0</v>
      </c>
      <c r="Q15" s="727">
        <v>0</v>
      </c>
      <c r="R15" s="727">
        <v>0</v>
      </c>
      <c r="S15" s="727">
        <v>0</v>
      </c>
      <c r="T15" s="727">
        <v>0</v>
      </c>
      <c r="U15" s="727">
        <v>0</v>
      </c>
      <c r="V15" s="727">
        <v>0</v>
      </c>
      <c r="W15" s="727">
        <v>0</v>
      </c>
      <c r="X15" s="727">
        <v>0</v>
      </c>
      <c r="Y15" s="727">
        <v>0</v>
      </c>
      <c r="Z15" s="727">
        <v>0</v>
      </c>
      <c r="AA15" s="727">
        <v>0</v>
      </c>
      <c r="AB15" s="727">
        <v>0</v>
      </c>
      <c r="AC15" s="727">
        <v>0</v>
      </c>
      <c r="AD15" s="727">
        <v>0</v>
      </c>
      <c r="AE15" s="727">
        <v>0</v>
      </c>
      <c r="AF15" s="727">
        <v>0</v>
      </c>
      <c r="AG15" s="727">
        <v>0</v>
      </c>
      <c r="AH15" s="727">
        <v>0</v>
      </c>
      <c r="AI15" s="727">
        <v>0</v>
      </c>
      <c r="AJ15" s="727">
        <v>0</v>
      </c>
      <c r="AK15" s="183">
        <v>0</v>
      </c>
      <c r="AL15" s="183">
        <v>0</v>
      </c>
      <c r="AM15" s="183">
        <v>0</v>
      </c>
      <c r="AN15" s="183">
        <v>0</v>
      </c>
    </row>
    <row r="16" spans="1:42">
      <c r="A16" s="193"/>
      <c r="B16" s="225"/>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66"/>
      <c r="AH16" s="166"/>
      <c r="AI16" s="166"/>
      <c r="AJ16" s="166"/>
      <c r="AK16" s="183"/>
      <c r="AL16" s="183"/>
      <c r="AM16" s="183"/>
      <c r="AN16" s="183"/>
    </row>
    <row r="17" spans="1:40">
      <c r="A17" s="387" t="s">
        <v>493</v>
      </c>
      <c r="B17" s="244"/>
      <c r="C17" s="728"/>
      <c r="D17" s="728"/>
      <c r="E17" s="728"/>
      <c r="F17" s="728"/>
      <c r="G17" s="728"/>
      <c r="H17" s="728"/>
      <c r="I17" s="728"/>
      <c r="J17" s="728"/>
      <c r="K17" s="728"/>
      <c r="L17" s="728"/>
      <c r="M17" s="728"/>
      <c r="N17" s="728"/>
      <c r="O17" s="728"/>
      <c r="P17" s="728"/>
      <c r="Q17" s="728"/>
      <c r="R17" s="728"/>
      <c r="S17" s="728"/>
      <c r="T17" s="728"/>
      <c r="U17" s="728"/>
      <c r="V17" s="728"/>
      <c r="W17" s="728"/>
      <c r="X17" s="728"/>
      <c r="Y17" s="728"/>
      <c r="Z17" s="728"/>
      <c r="AA17" s="728"/>
      <c r="AB17" s="728"/>
      <c r="AC17" s="724"/>
      <c r="AD17" s="728"/>
      <c r="AE17" s="728"/>
      <c r="AF17" s="728"/>
      <c r="AG17" s="728"/>
      <c r="AH17" s="728"/>
      <c r="AI17" s="729"/>
      <c r="AJ17" s="729"/>
      <c r="AK17" s="729"/>
      <c r="AL17" s="729"/>
      <c r="AM17" s="729"/>
      <c r="AN17" s="729"/>
    </row>
    <row r="18" spans="1:40">
      <c r="A18" s="388" t="s">
        <v>243</v>
      </c>
      <c r="B18" s="245" t="s">
        <v>67</v>
      </c>
      <c r="C18" s="730">
        <f>3424+10381+42</f>
        <v>13847</v>
      </c>
      <c r="D18" s="730">
        <f>3141119+12803570+6748</f>
        <v>15951437</v>
      </c>
      <c r="E18" s="730">
        <f>3484+8788</f>
        <v>12272</v>
      </c>
      <c r="F18" s="730">
        <f>4162432+9700345</f>
        <v>13862777</v>
      </c>
      <c r="G18" s="730">
        <v>3519</v>
      </c>
      <c r="H18" s="730">
        <v>4106685</v>
      </c>
      <c r="I18" s="728">
        <v>2701</v>
      </c>
      <c r="J18" s="728">
        <v>5938229</v>
      </c>
      <c r="K18" s="728">
        <v>13083</v>
      </c>
      <c r="L18" s="728">
        <v>31374188</v>
      </c>
      <c r="M18" s="728">
        <v>14979</v>
      </c>
      <c r="N18" s="728">
        <v>23922443</v>
      </c>
      <c r="O18" s="730">
        <v>11995</v>
      </c>
      <c r="P18" s="730">
        <v>20349205</v>
      </c>
      <c r="Q18" s="730">
        <v>12018.012999999999</v>
      </c>
      <c r="R18" s="730">
        <v>17440805</v>
      </c>
      <c r="S18" s="730">
        <v>22915</v>
      </c>
      <c r="T18" s="730">
        <v>27438799</v>
      </c>
      <c r="U18" s="730">
        <v>32456</v>
      </c>
      <c r="V18" s="730">
        <v>40255726</v>
      </c>
      <c r="W18" s="730">
        <v>29203</v>
      </c>
      <c r="X18" s="730">
        <v>76534777</v>
      </c>
      <c r="Y18" s="730">
        <v>23685</v>
      </c>
      <c r="Z18" s="728">
        <v>65420387</v>
      </c>
      <c r="AA18" s="728">
        <v>27733.521000000001</v>
      </c>
      <c r="AB18" s="728">
        <v>58979700</v>
      </c>
      <c r="AC18" s="728">
        <v>29434</v>
      </c>
      <c r="AD18" s="728">
        <v>61121739</v>
      </c>
      <c r="AE18" s="728">
        <v>24435.789957999998</v>
      </c>
      <c r="AF18" s="728">
        <v>43712910.772800945</v>
      </c>
      <c r="AG18" s="728">
        <v>30731.591499999999</v>
      </c>
      <c r="AH18" s="728">
        <v>64618092</v>
      </c>
      <c r="AI18" s="730">
        <v>42616</v>
      </c>
      <c r="AJ18" s="730">
        <v>111116266</v>
      </c>
      <c r="AK18" s="730">
        <v>53496</v>
      </c>
      <c r="AL18" s="730">
        <v>122573732</v>
      </c>
      <c r="AM18" s="730">
        <v>59447</v>
      </c>
      <c r="AN18" s="730">
        <v>138780268</v>
      </c>
    </row>
    <row r="19" spans="1:40">
      <c r="A19" s="388" t="s">
        <v>214</v>
      </c>
      <c r="B19" s="245" t="s">
        <v>67</v>
      </c>
      <c r="C19" s="730">
        <v>0</v>
      </c>
      <c r="D19" s="730">
        <v>0</v>
      </c>
      <c r="E19" s="730">
        <v>0</v>
      </c>
      <c r="F19" s="730">
        <v>0</v>
      </c>
      <c r="G19" s="730">
        <v>0</v>
      </c>
      <c r="H19" s="730">
        <v>0</v>
      </c>
      <c r="I19" s="730">
        <v>0</v>
      </c>
      <c r="J19" s="730">
        <v>0</v>
      </c>
      <c r="K19" s="728">
        <v>2431</v>
      </c>
      <c r="L19" s="728">
        <v>920073</v>
      </c>
      <c r="M19" s="728">
        <v>13171</v>
      </c>
      <c r="N19" s="728">
        <v>7604934</v>
      </c>
      <c r="O19" s="730">
        <v>12481</v>
      </c>
      <c r="P19" s="730">
        <v>5990776</v>
      </c>
      <c r="Q19" s="730">
        <v>21678</v>
      </c>
      <c r="R19" s="730">
        <v>7297295</v>
      </c>
      <c r="S19" s="730">
        <v>22302</v>
      </c>
      <c r="T19" s="730">
        <v>6649704</v>
      </c>
      <c r="U19" s="730">
        <v>21113</v>
      </c>
      <c r="V19" s="730">
        <v>4981363</v>
      </c>
      <c r="W19" s="730">
        <v>21098</v>
      </c>
      <c r="X19" s="730">
        <v>9204496.3827228192</v>
      </c>
      <c r="Y19" s="730">
        <v>21277</v>
      </c>
      <c r="Z19" s="728">
        <v>12644200</v>
      </c>
      <c r="AA19" s="728">
        <v>13486.043999999998</v>
      </c>
      <c r="AB19" s="728">
        <v>6086206</v>
      </c>
      <c r="AC19" s="728">
        <v>27001</v>
      </c>
      <c r="AD19" s="728">
        <v>10448512</v>
      </c>
      <c r="AE19" s="728">
        <v>51552.917000000001</v>
      </c>
      <c r="AF19" s="728">
        <v>17253219.559999999</v>
      </c>
      <c r="AG19" s="728">
        <v>64465</v>
      </c>
      <c r="AH19" s="728">
        <v>20242917</v>
      </c>
      <c r="AI19" s="730">
        <v>82326</v>
      </c>
      <c r="AJ19" s="730">
        <v>37308780</v>
      </c>
      <c r="AK19" s="730">
        <v>75076</v>
      </c>
      <c r="AL19" s="730">
        <v>36723119</v>
      </c>
      <c r="AM19" s="730">
        <v>70019</v>
      </c>
      <c r="AN19" s="730">
        <v>31850488</v>
      </c>
    </row>
    <row r="20" spans="1:40">
      <c r="A20" s="388" t="s">
        <v>215</v>
      </c>
      <c r="B20" s="245" t="s">
        <v>67</v>
      </c>
      <c r="C20" s="730">
        <v>21677</v>
      </c>
      <c r="D20" s="730">
        <v>10451891</v>
      </c>
      <c r="E20" s="730">
        <v>31822</v>
      </c>
      <c r="F20" s="730">
        <v>20044441</v>
      </c>
      <c r="G20" s="730">
        <v>0</v>
      </c>
      <c r="H20" s="730">
        <v>0</v>
      </c>
      <c r="I20" s="728">
        <v>4059</v>
      </c>
      <c r="J20" s="728">
        <v>2805427</v>
      </c>
      <c r="K20" s="728">
        <v>28799</v>
      </c>
      <c r="L20" s="728">
        <v>26786585</v>
      </c>
      <c r="M20" s="728">
        <v>45878</v>
      </c>
      <c r="N20" s="728">
        <v>59754974</v>
      </c>
      <c r="O20" s="730">
        <v>57331</v>
      </c>
      <c r="P20" s="730">
        <v>76385678</v>
      </c>
      <c r="Q20" s="730">
        <v>142919</v>
      </c>
      <c r="R20" s="730">
        <v>125578837</v>
      </c>
      <c r="S20" s="730">
        <v>127963</v>
      </c>
      <c r="T20" s="730">
        <v>104106685</v>
      </c>
      <c r="U20" s="730">
        <v>136385</v>
      </c>
      <c r="V20" s="730">
        <v>79541654</v>
      </c>
      <c r="W20" s="730">
        <v>132850.11430000002</v>
      </c>
      <c r="X20" s="730">
        <v>95841711</v>
      </c>
      <c r="Y20" s="730">
        <v>113492</v>
      </c>
      <c r="Z20" s="728">
        <v>75322576</v>
      </c>
      <c r="AA20" s="728">
        <v>88368.614000000001</v>
      </c>
      <c r="AB20" s="728">
        <v>75120390</v>
      </c>
      <c r="AC20" s="728">
        <v>123968</v>
      </c>
      <c r="AD20" s="728">
        <v>117107347</v>
      </c>
      <c r="AE20" s="728">
        <v>194899.92499999999</v>
      </c>
      <c r="AF20" s="728">
        <v>170726482.72</v>
      </c>
      <c r="AG20" s="728">
        <v>232584.87</v>
      </c>
      <c r="AH20" s="728">
        <v>251013207</v>
      </c>
      <c r="AI20" s="730">
        <v>236089</v>
      </c>
      <c r="AJ20" s="730">
        <v>280239658</v>
      </c>
      <c r="AK20" s="730">
        <v>223669</v>
      </c>
      <c r="AL20" s="730">
        <v>173815927</v>
      </c>
      <c r="AM20" s="730">
        <v>206451</v>
      </c>
      <c r="AN20" s="730">
        <v>173193024</v>
      </c>
    </row>
    <row r="21" spans="1:40">
      <c r="A21" s="389" t="s">
        <v>494</v>
      </c>
      <c r="B21" s="244"/>
      <c r="C21" s="728"/>
      <c r="D21" s="728">
        <f>SUM(D18:D20)</f>
        <v>26403328</v>
      </c>
      <c r="E21" s="728"/>
      <c r="F21" s="728">
        <f>SUM(F18:F20)</f>
        <v>33907218</v>
      </c>
      <c r="G21" s="728"/>
      <c r="H21" s="728">
        <f>SUM(H18:H20)</f>
        <v>4106685</v>
      </c>
      <c r="I21" s="728"/>
      <c r="J21" s="728">
        <f>SUM(J18:J20)</f>
        <v>8743656</v>
      </c>
      <c r="K21" s="728"/>
      <c r="L21" s="728">
        <v>59080846</v>
      </c>
      <c r="M21" s="728"/>
      <c r="N21" s="728">
        <v>91282351</v>
      </c>
      <c r="O21" s="728"/>
      <c r="P21" s="730">
        <f>SUM(P18:P20)</f>
        <v>102725659</v>
      </c>
      <c r="Q21" s="728"/>
      <c r="R21" s="728">
        <v>150316937</v>
      </c>
      <c r="S21" s="728"/>
      <c r="T21" s="728">
        <v>138195188</v>
      </c>
      <c r="U21" s="728"/>
      <c r="V21" s="730">
        <v>124778743</v>
      </c>
      <c r="W21" s="728"/>
      <c r="X21" s="730">
        <v>181580984</v>
      </c>
      <c r="Y21" s="728"/>
      <c r="Z21" s="730">
        <v>153387163</v>
      </c>
      <c r="AA21" s="728"/>
      <c r="AB21" s="728">
        <v>140186296</v>
      </c>
      <c r="AC21" s="728"/>
      <c r="AD21" s="728">
        <v>188677598</v>
      </c>
      <c r="AE21" s="729"/>
      <c r="AF21" s="728">
        <v>231692613.05280095</v>
      </c>
      <c r="AG21" s="728"/>
      <c r="AH21" s="728">
        <v>335874216</v>
      </c>
      <c r="AI21" s="728"/>
      <c r="AJ21" s="730">
        <f>SUM(AJ18:AJ20)</f>
        <v>428664704</v>
      </c>
      <c r="AK21" s="730"/>
      <c r="AL21" s="730">
        <f>SUM(AL18:AL20)</f>
        <v>333112778</v>
      </c>
      <c r="AM21" s="730"/>
      <c r="AN21" s="730">
        <f>SUM(AN18:AN20)</f>
        <v>343823780</v>
      </c>
    </row>
    <row r="22" spans="1:40">
      <c r="A22" s="250"/>
      <c r="B22" s="246"/>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5"/>
      <c r="AF22" s="725"/>
      <c r="AG22" s="724"/>
      <c r="AH22" s="724"/>
      <c r="AI22" s="724"/>
      <c r="AJ22" s="723"/>
      <c r="AK22" s="723"/>
      <c r="AL22" s="723"/>
      <c r="AM22" s="724"/>
      <c r="AN22" s="724"/>
    </row>
    <row r="23" spans="1:40">
      <c r="A23" s="261" t="s">
        <v>111</v>
      </c>
      <c r="B23" s="127" t="s">
        <v>67</v>
      </c>
      <c r="C23" s="183">
        <v>0</v>
      </c>
      <c r="D23" s="183">
        <v>0</v>
      </c>
      <c r="E23" s="183">
        <v>0</v>
      </c>
      <c r="F23" s="183">
        <v>0</v>
      </c>
      <c r="G23" s="183">
        <v>0</v>
      </c>
      <c r="H23" s="183">
        <v>0</v>
      </c>
      <c r="I23" s="183">
        <v>0</v>
      </c>
      <c r="J23" s="183">
        <v>0</v>
      </c>
      <c r="K23" s="183">
        <v>0</v>
      </c>
      <c r="L23" s="183">
        <v>0</v>
      </c>
      <c r="M23" s="183">
        <v>0</v>
      </c>
      <c r="N23" s="183">
        <v>0</v>
      </c>
      <c r="O23" s="183">
        <v>0</v>
      </c>
      <c r="P23" s="183">
        <v>0</v>
      </c>
      <c r="Q23" s="183">
        <v>0</v>
      </c>
      <c r="R23" s="183">
        <v>0</v>
      </c>
      <c r="S23" s="183">
        <v>0</v>
      </c>
      <c r="T23" s="183">
        <v>0</v>
      </c>
      <c r="U23" s="183">
        <v>0</v>
      </c>
      <c r="V23" s="183">
        <v>0</v>
      </c>
      <c r="W23" s="183">
        <v>0</v>
      </c>
      <c r="X23" s="183">
        <v>0</v>
      </c>
      <c r="Y23" s="183">
        <v>0</v>
      </c>
      <c r="Z23" s="183">
        <v>0</v>
      </c>
      <c r="AA23" s="183"/>
      <c r="AB23" s="183"/>
      <c r="AC23" s="214">
        <v>16115</v>
      </c>
      <c r="AD23" s="214">
        <v>3658408</v>
      </c>
      <c r="AE23" s="194">
        <v>30052.491000000002</v>
      </c>
      <c r="AF23" s="194">
        <v>6528155.9699999997</v>
      </c>
      <c r="AG23" s="194">
        <v>17547</v>
      </c>
      <c r="AH23" s="194">
        <v>3249086</v>
      </c>
      <c r="AI23" s="183">
        <v>33014</v>
      </c>
      <c r="AJ23" s="183">
        <v>6898498</v>
      </c>
      <c r="AK23" s="183">
        <v>5678</v>
      </c>
      <c r="AL23" s="183">
        <v>450582</v>
      </c>
      <c r="AM23" s="183">
        <v>31187</v>
      </c>
      <c r="AN23" s="183">
        <v>6323498</v>
      </c>
    </row>
    <row r="24" spans="1:40">
      <c r="A24" s="126"/>
      <c r="B24" s="225"/>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214"/>
      <c r="AD24" s="214"/>
      <c r="AE24" s="194"/>
      <c r="AF24" s="194"/>
      <c r="AG24" s="720"/>
      <c r="AH24" s="720"/>
      <c r="AI24" s="720"/>
      <c r="AJ24" s="720"/>
      <c r="AK24" s="183"/>
      <c r="AL24" s="183"/>
      <c r="AM24" s="183"/>
      <c r="AN24" s="183"/>
    </row>
    <row r="25" spans="1:40">
      <c r="A25" s="387" t="s">
        <v>112</v>
      </c>
      <c r="B25" s="244"/>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row>
    <row r="26" spans="1:40">
      <c r="A26" s="388" t="s">
        <v>113</v>
      </c>
      <c r="B26" s="245" t="s">
        <v>67</v>
      </c>
      <c r="C26" s="728">
        <v>0</v>
      </c>
      <c r="D26" s="728">
        <v>0</v>
      </c>
      <c r="E26" s="728">
        <v>0</v>
      </c>
      <c r="F26" s="728">
        <v>0</v>
      </c>
      <c r="G26" s="728">
        <v>0</v>
      </c>
      <c r="H26" s="728">
        <v>0</v>
      </c>
      <c r="I26" s="728">
        <v>0</v>
      </c>
      <c r="J26" s="728">
        <v>0</v>
      </c>
      <c r="K26" s="728">
        <v>0</v>
      </c>
      <c r="L26" s="728">
        <v>0</v>
      </c>
      <c r="M26" s="728">
        <v>0</v>
      </c>
      <c r="N26" s="728">
        <v>0</v>
      </c>
      <c r="O26" s="728">
        <v>0</v>
      </c>
      <c r="P26" s="728">
        <v>0</v>
      </c>
      <c r="Q26" s="728">
        <v>0</v>
      </c>
      <c r="R26" s="728">
        <v>0</v>
      </c>
      <c r="S26" s="728">
        <v>0</v>
      </c>
      <c r="T26" s="728">
        <v>0</v>
      </c>
      <c r="U26" s="728">
        <v>0</v>
      </c>
      <c r="V26" s="728">
        <v>0</v>
      </c>
      <c r="W26" s="728">
        <v>0</v>
      </c>
      <c r="X26" s="728">
        <v>0</v>
      </c>
      <c r="Y26" s="728">
        <v>0</v>
      </c>
      <c r="Z26" s="728">
        <v>0</v>
      </c>
      <c r="AA26" s="728">
        <v>0</v>
      </c>
      <c r="AB26" s="728">
        <v>0</v>
      </c>
      <c r="AC26" s="728">
        <v>0</v>
      </c>
      <c r="AD26" s="728">
        <v>0</v>
      </c>
      <c r="AE26" s="728">
        <v>0</v>
      </c>
      <c r="AF26" s="728">
        <v>0</v>
      </c>
      <c r="AG26" s="728">
        <v>0</v>
      </c>
      <c r="AH26" s="728">
        <v>0</v>
      </c>
      <c r="AI26" s="728">
        <v>0</v>
      </c>
      <c r="AJ26" s="728">
        <v>0</v>
      </c>
      <c r="AK26" s="728">
        <v>0</v>
      </c>
      <c r="AL26" s="728">
        <v>0</v>
      </c>
      <c r="AM26" s="728">
        <v>0</v>
      </c>
      <c r="AN26" s="728">
        <v>0</v>
      </c>
    </row>
    <row r="27" spans="1:40">
      <c r="A27" s="388" t="s">
        <v>114</v>
      </c>
      <c r="B27" s="245" t="s">
        <v>67</v>
      </c>
      <c r="C27" s="730">
        <v>0</v>
      </c>
      <c r="D27" s="730">
        <v>0</v>
      </c>
      <c r="E27" s="730">
        <v>41885</v>
      </c>
      <c r="F27" s="730" t="s">
        <v>285</v>
      </c>
      <c r="G27" s="730">
        <v>10458</v>
      </c>
      <c r="H27" s="730">
        <f>G27*150</f>
        <v>1568700</v>
      </c>
      <c r="I27" s="728">
        <v>11387</v>
      </c>
      <c r="J27" s="728">
        <v>2238865</v>
      </c>
      <c r="K27" s="728">
        <v>44065</v>
      </c>
      <c r="L27" s="728">
        <v>3527557</v>
      </c>
      <c r="M27" s="728">
        <v>28137</v>
      </c>
      <c r="N27" s="728">
        <v>3988107</v>
      </c>
      <c r="O27" s="730">
        <v>15403</v>
      </c>
      <c r="P27" s="730">
        <v>3914836</v>
      </c>
      <c r="Q27" s="730">
        <v>19329</v>
      </c>
      <c r="R27" s="730">
        <v>5860557</v>
      </c>
      <c r="S27" s="730">
        <v>20208</v>
      </c>
      <c r="T27" s="730">
        <v>5891735</v>
      </c>
      <c r="U27" s="730">
        <v>20351</v>
      </c>
      <c r="V27" s="728">
        <v>6044132</v>
      </c>
      <c r="W27" s="730">
        <v>18796</v>
      </c>
      <c r="X27" s="728">
        <v>4662524</v>
      </c>
      <c r="Y27" s="730">
        <v>19753</v>
      </c>
      <c r="Z27" s="728">
        <v>4096240</v>
      </c>
      <c r="AA27" s="728">
        <v>20473</v>
      </c>
      <c r="AB27" s="728">
        <v>4073620</v>
      </c>
      <c r="AC27" s="728">
        <v>24023</v>
      </c>
      <c r="AD27" s="728">
        <v>4362859</v>
      </c>
      <c r="AE27" s="728">
        <v>11688</v>
      </c>
      <c r="AF27" s="728">
        <v>1220812</v>
      </c>
      <c r="AG27" s="728">
        <v>11513.36</v>
      </c>
      <c r="AH27" s="728">
        <v>1202424</v>
      </c>
      <c r="AI27" s="730">
        <v>12366</v>
      </c>
      <c r="AJ27" s="730">
        <v>1291319</v>
      </c>
      <c r="AK27" s="728">
        <v>12623</v>
      </c>
      <c r="AL27" s="728">
        <v>1318221</v>
      </c>
      <c r="AM27" s="728">
        <v>11366</v>
      </c>
      <c r="AN27" s="728">
        <v>1186952</v>
      </c>
    </row>
    <row r="28" spans="1:40">
      <c r="A28" s="388" t="s">
        <v>116</v>
      </c>
      <c r="B28" s="245" t="s">
        <v>67</v>
      </c>
      <c r="C28" s="730">
        <v>28155</v>
      </c>
      <c r="D28" s="730">
        <v>70389</v>
      </c>
      <c r="E28" s="730">
        <v>23131</v>
      </c>
      <c r="F28" s="730">
        <v>57828</v>
      </c>
      <c r="G28" s="730">
        <v>23991</v>
      </c>
      <c r="H28" s="730">
        <v>59969</v>
      </c>
      <c r="I28" s="728">
        <v>22679</v>
      </c>
      <c r="J28" s="728">
        <v>56698</v>
      </c>
      <c r="K28" s="728">
        <v>24007</v>
      </c>
      <c r="L28" s="728">
        <v>60020</v>
      </c>
      <c r="M28" s="728">
        <v>21952</v>
      </c>
      <c r="N28" s="728">
        <v>54880</v>
      </c>
      <c r="O28" s="730">
        <v>22994</v>
      </c>
      <c r="P28" s="730">
        <v>137964</v>
      </c>
      <c r="Q28" s="730">
        <v>16741</v>
      </c>
      <c r="R28" s="730">
        <v>170243</v>
      </c>
      <c r="S28" s="730">
        <v>0</v>
      </c>
      <c r="T28" s="730">
        <v>0</v>
      </c>
      <c r="U28" s="730">
        <v>0</v>
      </c>
      <c r="V28" s="730">
        <v>0</v>
      </c>
      <c r="W28" s="730">
        <v>0</v>
      </c>
      <c r="X28" s="730">
        <v>0</v>
      </c>
      <c r="Y28" s="730">
        <v>0</v>
      </c>
      <c r="Z28" s="730">
        <v>0</v>
      </c>
      <c r="AA28" s="730">
        <v>0</v>
      </c>
      <c r="AB28" s="730">
        <v>0</v>
      </c>
      <c r="AC28" s="730">
        <v>0</v>
      </c>
      <c r="AD28" s="730">
        <v>0</v>
      </c>
      <c r="AE28" s="730">
        <v>0</v>
      </c>
      <c r="AF28" s="730">
        <v>0</v>
      </c>
      <c r="AG28" s="730">
        <v>0</v>
      </c>
      <c r="AH28" s="730">
        <v>0</v>
      </c>
      <c r="AI28" s="730">
        <v>0</v>
      </c>
      <c r="AJ28" s="730">
        <v>0</v>
      </c>
      <c r="AK28" s="728">
        <v>0</v>
      </c>
      <c r="AL28" s="728">
        <v>0</v>
      </c>
      <c r="AM28" s="728">
        <v>0</v>
      </c>
      <c r="AN28" s="728">
        <v>0</v>
      </c>
    </row>
    <row r="29" spans="1:40">
      <c r="A29" s="388" t="s">
        <v>117</v>
      </c>
      <c r="B29" s="245" t="s">
        <v>67</v>
      </c>
      <c r="C29" s="730">
        <v>0</v>
      </c>
      <c r="D29" s="730">
        <v>0</v>
      </c>
      <c r="E29" s="730">
        <v>0</v>
      </c>
      <c r="F29" s="730">
        <v>0</v>
      </c>
      <c r="G29" s="730">
        <v>0</v>
      </c>
      <c r="H29" s="730">
        <v>0</v>
      </c>
      <c r="I29" s="730">
        <v>0</v>
      </c>
      <c r="J29" s="730">
        <v>0</v>
      </c>
      <c r="K29" s="728">
        <v>383</v>
      </c>
      <c r="L29" s="728">
        <v>765</v>
      </c>
      <c r="M29" s="730">
        <v>0</v>
      </c>
      <c r="N29" s="730">
        <v>0</v>
      </c>
      <c r="O29" s="730">
        <v>0</v>
      </c>
      <c r="P29" s="730">
        <v>0</v>
      </c>
      <c r="Q29" s="730">
        <v>0</v>
      </c>
      <c r="R29" s="730">
        <v>0</v>
      </c>
      <c r="S29" s="730">
        <v>0</v>
      </c>
      <c r="T29" s="728">
        <v>0</v>
      </c>
      <c r="U29" s="730">
        <v>66483</v>
      </c>
      <c r="V29" s="728">
        <v>797796</v>
      </c>
      <c r="W29" s="730">
        <v>13921</v>
      </c>
      <c r="X29" s="728">
        <v>169475</v>
      </c>
      <c r="Y29" s="730">
        <v>21175</v>
      </c>
      <c r="Z29" s="728">
        <v>259212</v>
      </c>
      <c r="AA29" s="728">
        <v>16689</v>
      </c>
      <c r="AB29" s="728">
        <v>212081</v>
      </c>
      <c r="AC29" s="728">
        <v>36296</v>
      </c>
      <c r="AD29" s="728">
        <v>541990</v>
      </c>
      <c r="AE29" s="728">
        <v>10190</v>
      </c>
      <c r="AF29" s="728">
        <v>101900</v>
      </c>
      <c r="AG29" s="728">
        <v>28478</v>
      </c>
      <c r="AH29" s="728">
        <v>284780</v>
      </c>
      <c r="AI29" s="730">
        <v>11783</v>
      </c>
      <c r="AJ29" s="730">
        <v>117830</v>
      </c>
      <c r="AK29" s="728">
        <v>11751</v>
      </c>
      <c r="AL29" s="728">
        <v>117510</v>
      </c>
      <c r="AM29" s="728">
        <v>19117</v>
      </c>
      <c r="AN29" s="728">
        <v>191170</v>
      </c>
    </row>
    <row r="30" spans="1:40">
      <c r="A30" s="388" t="s">
        <v>118</v>
      </c>
      <c r="B30" s="245" t="s">
        <v>67</v>
      </c>
      <c r="C30" s="730">
        <v>242489</v>
      </c>
      <c r="D30" s="730">
        <v>292136</v>
      </c>
      <c r="E30" s="730">
        <v>242489</v>
      </c>
      <c r="F30" s="730">
        <v>292015</v>
      </c>
      <c r="G30" s="730">
        <v>208895</v>
      </c>
      <c r="H30" s="730">
        <v>252326</v>
      </c>
      <c r="I30" s="728">
        <v>191184</v>
      </c>
      <c r="J30" s="728">
        <v>381127</v>
      </c>
      <c r="K30" s="728">
        <v>171189</v>
      </c>
      <c r="L30" s="728">
        <v>205570</v>
      </c>
      <c r="M30" s="728">
        <v>279538</v>
      </c>
      <c r="N30" s="728">
        <v>511780</v>
      </c>
      <c r="O30" s="730">
        <v>620</v>
      </c>
      <c r="P30" s="730">
        <v>744</v>
      </c>
      <c r="Q30" s="730">
        <v>0</v>
      </c>
      <c r="R30" s="730">
        <v>0</v>
      </c>
      <c r="S30" s="730">
        <v>29927</v>
      </c>
      <c r="T30" s="730">
        <v>35913</v>
      </c>
      <c r="U30" s="730">
        <v>27766</v>
      </c>
      <c r="V30" s="728">
        <v>33320</v>
      </c>
      <c r="W30" s="730">
        <v>31778</v>
      </c>
      <c r="X30" s="728">
        <v>38134</v>
      </c>
      <c r="Y30" s="730">
        <v>127813</v>
      </c>
      <c r="Z30" s="728">
        <v>258976</v>
      </c>
      <c r="AA30" s="728">
        <v>54861</v>
      </c>
      <c r="AB30" s="728">
        <v>65833</v>
      </c>
      <c r="AC30" s="728">
        <v>72975</v>
      </c>
      <c r="AD30" s="728">
        <v>87570</v>
      </c>
      <c r="AE30" s="728">
        <v>74032</v>
      </c>
      <c r="AF30" s="728">
        <v>88838</v>
      </c>
      <c r="AG30" s="728">
        <v>98706</v>
      </c>
      <c r="AH30" s="728">
        <v>118448</v>
      </c>
      <c r="AI30" s="730">
        <v>70320</v>
      </c>
      <c r="AJ30" s="730">
        <v>150614</v>
      </c>
      <c r="AK30" s="728">
        <v>10619</v>
      </c>
      <c r="AL30" s="728">
        <v>76883</v>
      </c>
      <c r="AM30" s="728">
        <v>0</v>
      </c>
      <c r="AN30" s="728">
        <v>0</v>
      </c>
    </row>
    <row r="31" spans="1:40">
      <c r="A31" s="388" t="s">
        <v>120</v>
      </c>
      <c r="B31" s="245" t="s">
        <v>67</v>
      </c>
      <c r="C31" s="730">
        <v>1710</v>
      </c>
      <c r="D31" s="730">
        <v>31505</v>
      </c>
      <c r="E31" s="730">
        <v>4600</v>
      </c>
      <c r="F31" s="730">
        <v>188422</v>
      </c>
      <c r="G31" s="730">
        <v>7460</v>
      </c>
      <c r="H31" s="730">
        <v>241564</v>
      </c>
      <c r="I31" s="728">
        <v>185</v>
      </c>
      <c r="J31" s="728">
        <v>11187</v>
      </c>
      <c r="K31" s="728">
        <v>3706</v>
      </c>
      <c r="L31" s="728">
        <v>186553</v>
      </c>
      <c r="M31" s="728">
        <v>7701</v>
      </c>
      <c r="N31" s="728">
        <v>472291</v>
      </c>
      <c r="O31" s="730">
        <v>0</v>
      </c>
      <c r="P31" s="730">
        <v>0</v>
      </c>
      <c r="Q31" s="730">
        <v>3120</v>
      </c>
      <c r="R31" s="730">
        <v>218131</v>
      </c>
      <c r="S31" s="730">
        <v>2840</v>
      </c>
      <c r="T31" s="730">
        <v>175794</v>
      </c>
      <c r="U31" s="730">
        <v>3563</v>
      </c>
      <c r="V31" s="728">
        <v>243900</v>
      </c>
      <c r="W31" s="730">
        <v>4225</v>
      </c>
      <c r="X31" s="728">
        <v>250392</v>
      </c>
      <c r="Y31" s="730">
        <v>3363</v>
      </c>
      <c r="Z31" s="728">
        <v>173565</v>
      </c>
      <c r="AA31" s="728">
        <v>3307</v>
      </c>
      <c r="AB31" s="728">
        <v>211973</v>
      </c>
      <c r="AC31" s="728">
        <v>280</v>
      </c>
      <c r="AD31" s="728">
        <v>31649</v>
      </c>
      <c r="AE31" s="728">
        <v>1776</v>
      </c>
      <c r="AF31" s="728">
        <v>216398</v>
      </c>
      <c r="AG31" s="728">
        <v>2478</v>
      </c>
      <c r="AH31" s="728">
        <v>206974</v>
      </c>
      <c r="AI31" s="730">
        <v>440</v>
      </c>
      <c r="AJ31" s="730">
        <v>45508</v>
      </c>
      <c r="AK31" s="728">
        <v>400</v>
      </c>
      <c r="AL31" s="728">
        <v>42243</v>
      </c>
      <c r="AM31" s="728">
        <v>1837</v>
      </c>
      <c r="AN31" s="728">
        <v>147239</v>
      </c>
    </row>
    <row r="32" spans="1:40">
      <c r="A32" s="388" t="s">
        <v>121</v>
      </c>
      <c r="B32" s="245" t="s">
        <v>67</v>
      </c>
      <c r="C32" s="730">
        <v>0</v>
      </c>
      <c r="D32" s="730">
        <v>0</v>
      </c>
      <c r="E32" s="730">
        <v>0</v>
      </c>
      <c r="F32" s="730">
        <v>0</v>
      </c>
      <c r="G32" s="730">
        <v>0</v>
      </c>
      <c r="H32" s="730">
        <v>0</v>
      </c>
      <c r="I32" s="730">
        <v>0</v>
      </c>
      <c r="J32" s="730">
        <v>0</v>
      </c>
      <c r="K32" s="730">
        <v>0</v>
      </c>
      <c r="L32" s="730">
        <v>0</v>
      </c>
      <c r="M32" s="730">
        <v>0</v>
      </c>
      <c r="N32" s="730">
        <v>0</v>
      </c>
      <c r="O32" s="730">
        <v>0</v>
      </c>
      <c r="P32" s="730">
        <v>0</v>
      </c>
      <c r="Q32" s="730">
        <v>0</v>
      </c>
      <c r="R32" s="730">
        <v>0</v>
      </c>
      <c r="S32" s="730">
        <v>0</v>
      </c>
      <c r="T32" s="728">
        <v>0</v>
      </c>
      <c r="U32" s="730">
        <v>0</v>
      </c>
      <c r="V32" s="728">
        <v>0</v>
      </c>
      <c r="W32" s="730">
        <v>0</v>
      </c>
      <c r="X32" s="728">
        <v>0</v>
      </c>
      <c r="Y32" s="730">
        <v>0</v>
      </c>
      <c r="Z32" s="728">
        <v>0</v>
      </c>
      <c r="AA32" s="728">
        <v>0</v>
      </c>
      <c r="AB32" s="728">
        <v>0</v>
      </c>
      <c r="AC32" s="728">
        <v>0</v>
      </c>
      <c r="AD32" s="728">
        <v>0</v>
      </c>
      <c r="AE32" s="728">
        <v>0</v>
      </c>
      <c r="AF32" s="728">
        <v>0</v>
      </c>
      <c r="AG32" s="728">
        <v>358.37</v>
      </c>
      <c r="AH32" s="728">
        <v>24970</v>
      </c>
      <c r="AI32" s="730">
        <v>1273</v>
      </c>
      <c r="AJ32" s="730">
        <v>91582</v>
      </c>
      <c r="AK32" s="728">
        <v>1679</v>
      </c>
      <c r="AL32" s="728">
        <v>114216</v>
      </c>
      <c r="AM32" s="728">
        <v>713</v>
      </c>
      <c r="AN32" s="728">
        <v>57919</v>
      </c>
    </row>
    <row r="33" spans="1:40">
      <c r="A33" s="388" t="s">
        <v>122</v>
      </c>
      <c r="B33" s="245" t="s">
        <v>67</v>
      </c>
      <c r="C33" s="730">
        <v>0</v>
      </c>
      <c r="D33" s="730">
        <v>0</v>
      </c>
      <c r="E33" s="730">
        <v>126899</v>
      </c>
      <c r="F33" s="730">
        <v>372318</v>
      </c>
      <c r="G33" s="730">
        <v>72176</v>
      </c>
      <c r="H33" s="730">
        <v>209528</v>
      </c>
      <c r="I33" s="728">
        <v>1697</v>
      </c>
      <c r="J33" s="728">
        <v>20364</v>
      </c>
      <c r="K33" s="728">
        <v>1709</v>
      </c>
      <c r="L33" s="728">
        <v>20503</v>
      </c>
      <c r="M33" s="728">
        <v>32401</v>
      </c>
      <c r="N33" s="728">
        <v>324010</v>
      </c>
      <c r="O33" s="730">
        <v>153611</v>
      </c>
      <c r="P33" s="730">
        <v>1689718</v>
      </c>
      <c r="Q33" s="730">
        <v>22575</v>
      </c>
      <c r="R33" s="730">
        <v>225745</v>
      </c>
      <c r="S33" s="730">
        <v>22984</v>
      </c>
      <c r="T33" s="730">
        <v>249946</v>
      </c>
      <c r="U33" s="730">
        <v>33189</v>
      </c>
      <c r="V33" s="728">
        <v>318018</v>
      </c>
      <c r="W33" s="730">
        <v>61599</v>
      </c>
      <c r="X33" s="728">
        <v>615990</v>
      </c>
      <c r="Y33" s="730">
        <v>10885</v>
      </c>
      <c r="Z33" s="728">
        <v>108850</v>
      </c>
      <c r="AA33" s="728">
        <v>13003</v>
      </c>
      <c r="AB33" s="728">
        <v>130030</v>
      </c>
      <c r="AC33" s="728">
        <v>2360</v>
      </c>
      <c r="AD33" s="728">
        <v>14160</v>
      </c>
      <c r="AE33" s="728">
        <v>0</v>
      </c>
      <c r="AF33" s="728">
        <v>0</v>
      </c>
      <c r="AG33" s="728">
        <v>0</v>
      </c>
      <c r="AH33" s="728">
        <v>0</v>
      </c>
      <c r="AI33" s="728">
        <v>0</v>
      </c>
      <c r="AJ33" s="728">
        <v>0</v>
      </c>
      <c r="AK33" s="728">
        <v>0</v>
      </c>
      <c r="AL33" s="728">
        <v>0</v>
      </c>
      <c r="AM33" s="728">
        <v>0</v>
      </c>
      <c r="AN33" s="728">
        <v>0</v>
      </c>
    </row>
    <row r="34" spans="1:40">
      <c r="A34" s="389" t="s">
        <v>123</v>
      </c>
      <c r="B34" s="244"/>
      <c r="C34" s="728"/>
      <c r="D34" s="728">
        <f>SUM(D27:D33)</f>
        <v>394030</v>
      </c>
      <c r="E34" s="728"/>
      <c r="F34" s="728">
        <f>SUM(F27:F33)</f>
        <v>910583</v>
      </c>
      <c r="G34" s="728"/>
      <c r="H34" s="728">
        <f>SUM(H27:H33)</f>
        <v>2332087</v>
      </c>
      <c r="I34" s="728"/>
      <c r="J34" s="728">
        <f>SUM(J27:J33)</f>
        <v>2708241</v>
      </c>
      <c r="K34" s="728"/>
      <c r="L34" s="728">
        <v>4000968</v>
      </c>
      <c r="M34" s="728"/>
      <c r="N34" s="728">
        <v>5351068</v>
      </c>
      <c r="O34" s="730"/>
      <c r="P34" s="730">
        <f>SUM(P27:P33)</f>
        <v>5743262</v>
      </c>
      <c r="Q34" s="730"/>
      <c r="R34" s="730">
        <v>6474676</v>
      </c>
      <c r="S34" s="728"/>
      <c r="T34" s="728">
        <v>6353388</v>
      </c>
      <c r="U34" s="728"/>
      <c r="V34" s="730">
        <v>7437166</v>
      </c>
      <c r="W34" s="728"/>
      <c r="X34" s="730">
        <v>5736515</v>
      </c>
      <c r="Y34" s="728"/>
      <c r="Z34" s="730">
        <v>4896843</v>
      </c>
      <c r="AA34" s="728"/>
      <c r="AB34" s="728">
        <v>4693537</v>
      </c>
      <c r="AC34" s="728"/>
      <c r="AD34" s="728">
        <v>5038228</v>
      </c>
      <c r="AE34" s="729"/>
      <c r="AF34" s="728">
        <v>1627948</v>
      </c>
      <c r="AG34" s="728"/>
      <c r="AH34" s="728">
        <v>1837596</v>
      </c>
      <c r="AI34" s="728"/>
      <c r="AJ34" s="730">
        <f>SUM(AJ26:AJ33)</f>
        <v>1696853</v>
      </c>
      <c r="AK34" s="728"/>
      <c r="AL34" s="728">
        <f>SUM(AL26:AL33)</f>
        <v>1669073</v>
      </c>
      <c r="AM34" s="728"/>
      <c r="AN34" s="728">
        <v>1583280</v>
      </c>
    </row>
    <row r="35" spans="1:40">
      <c r="A35" s="257"/>
      <c r="B35" s="246"/>
      <c r="C35" s="724"/>
      <c r="D35" s="724"/>
      <c r="E35" s="724"/>
      <c r="F35" s="724"/>
      <c r="G35" s="724"/>
      <c r="H35" s="724"/>
      <c r="I35" s="724"/>
      <c r="J35" s="724"/>
      <c r="K35" s="724"/>
      <c r="L35" s="724"/>
      <c r="M35" s="723"/>
      <c r="N35" s="723"/>
      <c r="O35" s="723"/>
      <c r="P35" s="723"/>
      <c r="Q35" s="724"/>
      <c r="R35" s="724"/>
      <c r="S35" s="724"/>
      <c r="T35" s="724"/>
      <c r="U35" s="724"/>
      <c r="V35" s="723"/>
      <c r="W35" s="724"/>
      <c r="X35" s="723"/>
      <c r="Y35" s="724"/>
      <c r="Z35" s="723"/>
      <c r="AA35" s="724"/>
      <c r="AB35" s="724"/>
      <c r="AC35" s="724"/>
      <c r="AD35" s="724"/>
      <c r="AE35" s="724"/>
      <c r="AF35" s="724"/>
      <c r="AG35" s="724"/>
      <c r="AH35" s="724"/>
      <c r="AI35" s="724"/>
      <c r="AJ35" s="723"/>
      <c r="AK35" s="723"/>
      <c r="AL35" s="723"/>
      <c r="AM35" s="724"/>
      <c r="AN35" s="723"/>
    </row>
    <row r="36" spans="1:40">
      <c r="A36" s="261" t="s">
        <v>124</v>
      </c>
      <c r="B36" s="127" t="s">
        <v>67</v>
      </c>
      <c r="C36" s="183">
        <v>2672619</v>
      </c>
      <c r="D36" s="183">
        <v>109120090</v>
      </c>
      <c r="E36" s="183">
        <v>3765045</v>
      </c>
      <c r="F36" s="183">
        <v>126840815</v>
      </c>
      <c r="G36" s="183">
        <v>3795055</v>
      </c>
      <c r="H36" s="183">
        <v>141742231</v>
      </c>
      <c r="I36" s="214">
        <v>3701942</v>
      </c>
      <c r="J36" s="214">
        <v>150965157</v>
      </c>
      <c r="K36" s="214">
        <v>3800228</v>
      </c>
      <c r="L36" s="214">
        <v>161240819</v>
      </c>
      <c r="M36" s="214">
        <v>4160646</v>
      </c>
      <c r="N36" s="214">
        <v>183698442</v>
      </c>
      <c r="O36" s="727">
        <v>5218176</v>
      </c>
      <c r="P36" s="727">
        <v>232915908</v>
      </c>
      <c r="Q36" s="194">
        <v>5491310</v>
      </c>
      <c r="R36" s="194">
        <v>243540117</v>
      </c>
      <c r="S36" s="183">
        <v>5428055</v>
      </c>
      <c r="T36" s="183">
        <v>244773673</v>
      </c>
      <c r="U36" s="214">
        <v>5152574</v>
      </c>
      <c r="V36" s="214">
        <v>236288139</v>
      </c>
      <c r="W36" s="214">
        <v>5863747</v>
      </c>
      <c r="X36" s="214">
        <v>274745803</v>
      </c>
      <c r="Y36" s="183">
        <v>5897443</v>
      </c>
      <c r="Z36" s="194">
        <v>270359539</v>
      </c>
      <c r="AA36" s="194">
        <v>5556644</v>
      </c>
      <c r="AB36" s="194">
        <v>257303044</v>
      </c>
      <c r="AC36" s="214">
        <v>5708548</v>
      </c>
      <c r="AD36" s="214">
        <v>257282501</v>
      </c>
      <c r="AE36" s="194">
        <v>5796621.7999999998</v>
      </c>
      <c r="AF36" s="194">
        <v>256742210</v>
      </c>
      <c r="AG36" s="194">
        <v>6504505.7000000002</v>
      </c>
      <c r="AH36" s="194">
        <v>271531464</v>
      </c>
      <c r="AI36" s="183">
        <v>6102813</v>
      </c>
      <c r="AJ36" s="183">
        <v>252281765</v>
      </c>
      <c r="AK36" s="183">
        <v>6164194</v>
      </c>
      <c r="AL36" s="183">
        <v>258125908</v>
      </c>
      <c r="AM36" s="183">
        <v>6323197</v>
      </c>
      <c r="AN36" s="183">
        <v>272886748</v>
      </c>
    </row>
    <row r="37" spans="1:40">
      <c r="A37" s="124"/>
      <c r="B37" s="127"/>
      <c r="C37" s="183"/>
      <c r="D37" s="183"/>
      <c r="E37" s="183"/>
      <c r="F37" s="183"/>
      <c r="G37" s="183"/>
      <c r="H37" s="183"/>
      <c r="I37" s="183"/>
      <c r="J37" s="183"/>
      <c r="K37" s="214"/>
      <c r="L37" s="214"/>
      <c r="M37" s="214"/>
      <c r="N37" s="214"/>
      <c r="O37" s="214"/>
      <c r="P37" s="214"/>
      <c r="Q37" s="183"/>
      <c r="R37" s="183"/>
      <c r="S37" s="183"/>
      <c r="T37" s="183"/>
      <c r="U37" s="214"/>
      <c r="V37" s="214"/>
      <c r="W37" s="214"/>
      <c r="X37" s="214"/>
      <c r="Y37" s="214"/>
      <c r="Z37" s="214"/>
      <c r="AA37" s="194"/>
      <c r="AB37" s="194"/>
      <c r="AC37" s="214"/>
      <c r="AD37" s="214"/>
      <c r="AE37" s="194"/>
      <c r="AF37" s="194"/>
      <c r="AG37" s="194"/>
      <c r="AH37" s="194"/>
      <c r="AI37" s="183"/>
      <c r="AJ37" s="183"/>
      <c r="AK37" s="183"/>
      <c r="AL37" s="183"/>
      <c r="AM37" s="183"/>
      <c r="AN37" s="183"/>
    </row>
    <row r="38" spans="1:40">
      <c r="A38" s="387" t="s">
        <v>125</v>
      </c>
      <c r="B38" s="244"/>
      <c r="C38" s="728"/>
      <c r="D38" s="728"/>
      <c r="E38" s="728"/>
      <c r="F38" s="728"/>
      <c r="G38" s="728"/>
      <c r="H38" s="728"/>
      <c r="I38" s="728"/>
      <c r="J38" s="728"/>
      <c r="K38" s="728"/>
      <c r="L38" s="728"/>
      <c r="M38" s="728"/>
      <c r="N38" s="728"/>
      <c r="O38" s="728"/>
      <c r="P38" s="728"/>
      <c r="Q38" s="730"/>
      <c r="R38" s="730"/>
      <c r="S38" s="728"/>
      <c r="T38" s="728"/>
      <c r="U38" s="728"/>
      <c r="V38" s="728"/>
      <c r="W38" s="728"/>
      <c r="X38" s="728"/>
      <c r="Y38" s="728"/>
      <c r="Z38" s="728"/>
      <c r="AA38" s="728"/>
      <c r="AB38" s="728"/>
      <c r="AC38" s="728"/>
      <c r="AD38" s="728"/>
      <c r="AE38" s="728"/>
      <c r="AF38" s="728"/>
      <c r="AG38" s="728"/>
      <c r="AH38" s="728"/>
      <c r="AI38" s="728"/>
      <c r="AJ38" s="728"/>
      <c r="AK38" s="730"/>
      <c r="AL38" s="730"/>
      <c r="AM38" s="730"/>
      <c r="AN38" s="730"/>
    </row>
    <row r="39" spans="1:40">
      <c r="A39" s="388" t="s">
        <v>216</v>
      </c>
      <c r="B39" s="245" t="s">
        <v>67</v>
      </c>
      <c r="C39" s="730">
        <v>160544</v>
      </c>
      <c r="D39" s="730">
        <v>1007069</v>
      </c>
      <c r="E39" s="730">
        <v>117255</v>
      </c>
      <c r="F39" s="730">
        <v>744055</v>
      </c>
      <c r="G39" s="730">
        <v>100816</v>
      </c>
      <c r="H39" s="730">
        <v>581430</v>
      </c>
      <c r="I39" s="728">
        <v>261853</v>
      </c>
      <c r="J39" s="728">
        <v>1314472</v>
      </c>
      <c r="K39" s="728">
        <v>170838</v>
      </c>
      <c r="L39" s="728">
        <v>1134173</v>
      </c>
      <c r="M39" s="728">
        <v>150814</v>
      </c>
      <c r="N39" s="728">
        <v>754854</v>
      </c>
      <c r="O39" s="730">
        <v>102945</v>
      </c>
      <c r="P39" s="730">
        <v>435358</v>
      </c>
      <c r="Q39" s="730">
        <v>121343</v>
      </c>
      <c r="R39" s="730">
        <v>737177</v>
      </c>
      <c r="S39" s="728">
        <v>298943</v>
      </c>
      <c r="T39" s="728">
        <v>1791423</v>
      </c>
      <c r="U39" s="728">
        <v>51434</v>
      </c>
      <c r="V39" s="728">
        <v>226475</v>
      </c>
      <c r="W39" s="728">
        <v>328940</v>
      </c>
      <c r="X39" s="728">
        <v>1876744</v>
      </c>
      <c r="Y39" s="730">
        <v>556743</v>
      </c>
      <c r="Z39" s="728">
        <v>3487810</v>
      </c>
      <c r="AA39" s="728">
        <v>405993</v>
      </c>
      <c r="AB39" s="728">
        <v>2635481</v>
      </c>
      <c r="AC39" s="728">
        <v>311081</v>
      </c>
      <c r="AD39" s="728">
        <v>2244377</v>
      </c>
      <c r="AE39" s="728">
        <v>277486</v>
      </c>
      <c r="AF39" s="728">
        <v>2271690</v>
      </c>
      <c r="AG39" s="728">
        <v>301267.43</v>
      </c>
      <c r="AH39" s="728">
        <v>2248441</v>
      </c>
      <c r="AI39" s="730">
        <v>284164</v>
      </c>
      <c r="AJ39" s="730">
        <v>2776441</v>
      </c>
      <c r="AK39" s="730">
        <v>650749</v>
      </c>
      <c r="AL39" s="730">
        <v>5631178</v>
      </c>
      <c r="AM39" s="730">
        <v>477673</v>
      </c>
      <c r="AN39" s="730">
        <v>4354630</v>
      </c>
    </row>
    <row r="40" spans="1:40">
      <c r="A40" s="388" t="s">
        <v>217</v>
      </c>
      <c r="B40" s="245" t="s">
        <v>67</v>
      </c>
      <c r="C40" s="730">
        <v>58944</v>
      </c>
      <c r="D40" s="730">
        <v>67107</v>
      </c>
      <c r="E40" s="730">
        <v>6379</v>
      </c>
      <c r="F40" s="730">
        <v>16098</v>
      </c>
      <c r="G40" s="730">
        <v>22365</v>
      </c>
      <c r="H40" s="730">
        <v>28965</v>
      </c>
      <c r="I40" s="728">
        <v>5989</v>
      </c>
      <c r="J40" s="728">
        <v>38905</v>
      </c>
      <c r="K40" s="728">
        <v>24643</v>
      </c>
      <c r="L40" s="728">
        <v>114215</v>
      </c>
      <c r="M40" s="728">
        <v>44981</v>
      </c>
      <c r="N40" s="728">
        <v>213086</v>
      </c>
      <c r="O40" s="730">
        <v>30952</v>
      </c>
      <c r="P40" s="730">
        <v>152200</v>
      </c>
      <c r="Q40" s="728">
        <v>120716</v>
      </c>
      <c r="R40" s="728">
        <v>620463</v>
      </c>
      <c r="S40" s="728">
        <v>57740</v>
      </c>
      <c r="T40" s="728">
        <v>283399</v>
      </c>
      <c r="U40" s="728">
        <v>106280</v>
      </c>
      <c r="V40" s="728">
        <v>525788</v>
      </c>
      <c r="W40" s="728">
        <v>145017</v>
      </c>
      <c r="X40" s="728">
        <v>739570</v>
      </c>
      <c r="Y40" s="730">
        <v>177597</v>
      </c>
      <c r="Z40" s="728">
        <v>1019434</v>
      </c>
      <c r="AA40" s="728">
        <v>234063</v>
      </c>
      <c r="AB40" s="728">
        <v>1326354</v>
      </c>
      <c r="AC40" s="728">
        <v>182618</v>
      </c>
      <c r="AD40" s="728">
        <v>1022704</v>
      </c>
      <c r="AE40" s="728">
        <v>254165</v>
      </c>
      <c r="AF40" s="728">
        <v>1668738</v>
      </c>
      <c r="AG40" s="728">
        <v>222579.04</v>
      </c>
      <c r="AH40" s="728">
        <v>1411176.5</v>
      </c>
      <c r="AI40" s="730">
        <v>161947</v>
      </c>
      <c r="AJ40" s="730">
        <v>1059089</v>
      </c>
      <c r="AK40" s="730">
        <v>353191</v>
      </c>
      <c r="AL40" s="730">
        <v>1300475</v>
      </c>
      <c r="AM40" s="730">
        <v>154806</v>
      </c>
      <c r="AN40" s="730">
        <v>1088798</v>
      </c>
    </row>
    <row r="41" spans="1:40">
      <c r="A41" s="388" t="s">
        <v>218</v>
      </c>
      <c r="B41" s="245" t="s">
        <v>67</v>
      </c>
      <c r="C41" s="730">
        <v>46524</v>
      </c>
      <c r="D41" s="730">
        <v>92686</v>
      </c>
      <c r="E41" s="730">
        <v>46524</v>
      </c>
      <c r="F41" s="730">
        <v>92686</v>
      </c>
      <c r="G41" s="730">
        <v>116222</v>
      </c>
      <c r="H41" s="730">
        <v>187560</v>
      </c>
      <c r="I41" s="728">
        <v>90056</v>
      </c>
      <c r="J41" s="728">
        <v>1237914</v>
      </c>
      <c r="K41" s="728">
        <v>180494</v>
      </c>
      <c r="L41" s="728">
        <v>1672350</v>
      </c>
      <c r="M41" s="728">
        <v>108198</v>
      </c>
      <c r="N41" s="728">
        <v>800585</v>
      </c>
      <c r="O41" s="730">
        <v>43135</v>
      </c>
      <c r="P41" s="730">
        <v>454534</v>
      </c>
      <c r="Q41" s="730">
        <v>144617</v>
      </c>
      <c r="R41" s="730">
        <v>538908</v>
      </c>
      <c r="S41" s="728">
        <v>58614</v>
      </c>
      <c r="T41" s="728">
        <v>494327</v>
      </c>
      <c r="U41" s="728">
        <v>144732</v>
      </c>
      <c r="V41" s="728">
        <v>2054589</v>
      </c>
      <c r="W41" s="728">
        <v>47001</v>
      </c>
      <c r="X41" s="728">
        <v>692168</v>
      </c>
      <c r="Y41" s="730">
        <v>261652</v>
      </c>
      <c r="Z41" s="728">
        <v>1711061</v>
      </c>
      <c r="AA41" s="728">
        <v>404438</v>
      </c>
      <c r="AB41" s="728">
        <v>2525448</v>
      </c>
      <c r="AC41" s="728">
        <v>425434</v>
      </c>
      <c r="AD41" s="728">
        <v>2670997</v>
      </c>
      <c r="AE41" s="728">
        <v>310114</v>
      </c>
      <c r="AF41" s="728">
        <v>2090288</v>
      </c>
      <c r="AG41" s="728">
        <v>221596.01</v>
      </c>
      <c r="AH41" s="728">
        <v>1551019</v>
      </c>
      <c r="AI41" s="730">
        <v>251360</v>
      </c>
      <c r="AJ41" s="730">
        <v>2074419</v>
      </c>
      <c r="AK41" s="730">
        <v>249449</v>
      </c>
      <c r="AL41" s="730">
        <v>1625004</v>
      </c>
      <c r="AM41" s="730">
        <v>350834</v>
      </c>
      <c r="AN41" s="730">
        <v>3465632</v>
      </c>
    </row>
    <row r="42" spans="1:40">
      <c r="A42" s="388" t="s">
        <v>219</v>
      </c>
      <c r="B42" s="245" t="s">
        <v>67</v>
      </c>
      <c r="C42" s="730">
        <v>594017</v>
      </c>
      <c r="D42" s="730">
        <v>1007661</v>
      </c>
      <c r="E42" s="730">
        <v>886091</v>
      </c>
      <c r="F42" s="730">
        <v>1660770</v>
      </c>
      <c r="G42" s="730">
        <v>1271826</v>
      </c>
      <c r="H42" s="730">
        <v>3786995</v>
      </c>
      <c r="I42" s="728">
        <v>580514</v>
      </c>
      <c r="J42" s="728">
        <v>1651086</v>
      </c>
      <c r="K42" s="728">
        <v>757976</v>
      </c>
      <c r="L42" s="728">
        <v>2142695</v>
      </c>
      <c r="M42" s="728">
        <v>729863</v>
      </c>
      <c r="N42" s="728">
        <v>2693633</v>
      </c>
      <c r="O42" s="728">
        <v>0</v>
      </c>
      <c r="P42" s="728">
        <v>0</v>
      </c>
      <c r="Q42" s="730">
        <v>1031609</v>
      </c>
      <c r="R42" s="730">
        <v>5752069</v>
      </c>
      <c r="S42" s="728">
        <v>1304088</v>
      </c>
      <c r="T42" s="728">
        <v>6098122</v>
      </c>
      <c r="U42" s="728">
        <v>2434032</v>
      </c>
      <c r="V42" s="728">
        <v>9927160</v>
      </c>
      <c r="W42" s="728">
        <v>1927572</v>
      </c>
      <c r="X42" s="728">
        <v>9090488</v>
      </c>
      <c r="Y42" s="730">
        <v>1353346</v>
      </c>
      <c r="Z42" s="728">
        <v>5968708</v>
      </c>
      <c r="AA42" s="728">
        <v>1623046</v>
      </c>
      <c r="AB42" s="728">
        <v>7594735</v>
      </c>
      <c r="AC42" s="728">
        <v>1788494</v>
      </c>
      <c r="AD42" s="728">
        <v>8426742</v>
      </c>
      <c r="AE42" s="728">
        <v>1934437.5</v>
      </c>
      <c r="AF42" s="728">
        <v>8754554</v>
      </c>
      <c r="AG42" s="728">
        <v>1705099.34</v>
      </c>
      <c r="AH42" s="728">
        <v>7830707.0600000005</v>
      </c>
      <c r="AI42" s="730">
        <v>1174861</v>
      </c>
      <c r="AJ42" s="730">
        <v>5874215</v>
      </c>
      <c r="AK42" s="730">
        <v>1544804</v>
      </c>
      <c r="AL42" s="730">
        <v>6964844</v>
      </c>
      <c r="AM42" s="730">
        <v>1436049</v>
      </c>
      <c r="AN42" s="730">
        <v>7291151</v>
      </c>
    </row>
    <row r="43" spans="1:40">
      <c r="A43" s="388" t="s">
        <v>126</v>
      </c>
      <c r="B43" s="245" t="s">
        <v>67</v>
      </c>
      <c r="C43" s="730">
        <v>0</v>
      </c>
      <c r="D43" s="730">
        <v>0</v>
      </c>
      <c r="E43" s="730">
        <v>0</v>
      </c>
      <c r="F43" s="730">
        <v>0</v>
      </c>
      <c r="G43" s="730">
        <v>20</v>
      </c>
      <c r="H43" s="730">
        <v>40</v>
      </c>
      <c r="I43" s="728">
        <v>0</v>
      </c>
      <c r="J43" s="728">
        <v>0</v>
      </c>
      <c r="K43" s="728">
        <v>0</v>
      </c>
      <c r="L43" s="728">
        <v>0</v>
      </c>
      <c r="M43" s="728">
        <v>0</v>
      </c>
      <c r="N43" s="728">
        <v>0</v>
      </c>
      <c r="O43" s="730">
        <v>548673</v>
      </c>
      <c r="P43" s="730">
        <v>2327258</v>
      </c>
      <c r="Q43" s="728">
        <v>0</v>
      </c>
      <c r="R43" s="728">
        <v>0</v>
      </c>
      <c r="S43" s="728">
        <v>0</v>
      </c>
      <c r="T43" s="728">
        <v>0</v>
      </c>
      <c r="U43" s="728">
        <v>0</v>
      </c>
      <c r="V43" s="728">
        <v>0</v>
      </c>
      <c r="W43" s="728">
        <v>92</v>
      </c>
      <c r="X43" s="728">
        <v>21823</v>
      </c>
      <c r="Y43" s="730">
        <v>0</v>
      </c>
      <c r="Z43" s="728">
        <v>0</v>
      </c>
      <c r="AA43" s="728">
        <v>0</v>
      </c>
      <c r="AB43" s="728">
        <v>0</v>
      </c>
      <c r="AC43" s="728">
        <v>0</v>
      </c>
      <c r="AD43" s="728">
        <v>0</v>
      </c>
      <c r="AE43" s="728">
        <v>0</v>
      </c>
      <c r="AF43" s="728">
        <v>0</v>
      </c>
      <c r="AG43" s="728">
        <v>0</v>
      </c>
      <c r="AH43" s="728">
        <v>0</v>
      </c>
      <c r="AI43" s="730">
        <v>1100</v>
      </c>
      <c r="AJ43" s="730">
        <v>55000</v>
      </c>
      <c r="AK43" s="730">
        <v>300</v>
      </c>
      <c r="AL43" s="730">
        <v>16500</v>
      </c>
      <c r="AM43" s="730">
        <v>568</v>
      </c>
      <c r="AN43" s="730">
        <v>31240</v>
      </c>
    </row>
    <row r="44" spans="1:40">
      <c r="A44" s="389" t="s">
        <v>127</v>
      </c>
      <c r="B44" s="244"/>
      <c r="C44" s="728"/>
      <c r="D44" s="728">
        <f>SUM(D39:D43)</f>
        <v>2174523</v>
      </c>
      <c r="E44" s="728"/>
      <c r="F44" s="728">
        <f>SUM(F39:F43)</f>
        <v>2513609</v>
      </c>
      <c r="G44" s="728"/>
      <c r="H44" s="728">
        <f>SUM(H39:H43)</f>
        <v>4584990</v>
      </c>
      <c r="I44" s="728"/>
      <c r="J44" s="728">
        <f>SUM(J39:J43)</f>
        <v>4242377</v>
      </c>
      <c r="K44" s="728"/>
      <c r="L44" s="728">
        <v>5063433</v>
      </c>
      <c r="M44" s="728"/>
      <c r="N44" s="728">
        <f>SUM(N39:N43)</f>
        <v>4462158</v>
      </c>
      <c r="O44" s="728"/>
      <c r="P44" s="730">
        <f>SUM(P39:P43)</f>
        <v>3369350</v>
      </c>
      <c r="Q44" s="730"/>
      <c r="R44" s="730">
        <v>7648617</v>
      </c>
      <c r="S44" s="728"/>
      <c r="T44" s="730">
        <v>8667271</v>
      </c>
      <c r="U44" s="728"/>
      <c r="V44" s="728">
        <v>12734012</v>
      </c>
      <c r="W44" s="728"/>
      <c r="X44" s="728">
        <v>12420793</v>
      </c>
      <c r="Y44" s="728"/>
      <c r="Z44" s="728">
        <v>12187013</v>
      </c>
      <c r="AA44" s="728"/>
      <c r="AB44" s="728">
        <v>14082018</v>
      </c>
      <c r="AC44" s="728"/>
      <c r="AD44" s="728">
        <v>14364820</v>
      </c>
      <c r="AE44" s="729"/>
      <c r="AF44" s="728">
        <v>14785270</v>
      </c>
      <c r="AG44" s="728"/>
      <c r="AH44" s="728">
        <v>13041343.560000001</v>
      </c>
      <c r="AI44" s="728"/>
      <c r="AJ44" s="730">
        <f>SUM(AJ39:AJ43)</f>
        <v>11839164</v>
      </c>
      <c r="AK44" s="730"/>
      <c r="AL44" s="730">
        <f>SUM(AL39:AL43)</f>
        <v>15538001</v>
      </c>
      <c r="AM44" s="730"/>
      <c r="AN44" s="730">
        <f>SUM(AN39:AN43)</f>
        <v>16231451</v>
      </c>
    </row>
    <row r="45" spans="1:40">
      <c r="A45" s="257"/>
      <c r="B45" s="246"/>
      <c r="C45" s="724"/>
      <c r="D45" s="724"/>
      <c r="E45" s="724"/>
      <c r="F45" s="724"/>
      <c r="G45" s="724"/>
      <c r="H45" s="724"/>
      <c r="I45" s="724"/>
      <c r="J45" s="724"/>
      <c r="K45" s="724"/>
      <c r="L45" s="724"/>
      <c r="M45" s="724"/>
      <c r="N45" s="724"/>
      <c r="O45" s="724"/>
      <c r="P45" s="723"/>
      <c r="Q45" s="723"/>
      <c r="R45" s="723"/>
      <c r="S45" s="724"/>
      <c r="T45" s="723"/>
      <c r="U45" s="724"/>
      <c r="V45" s="723"/>
      <c r="W45" s="724"/>
      <c r="X45" s="723"/>
      <c r="Y45" s="724"/>
      <c r="Z45" s="723"/>
      <c r="AA45" s="724"/>
      <c r="AB45" s="724"/>
      <c r="AC45" s="724"/>
      <c r="AD45" s="724"/>
      <c r="AE45" s="724"/>
      <c r="AF45" s="724"/>
      <c r="AG45" s="724"/>
      <c r="AH45" s="724"/>
      <c r="AI45" s="724"/>
      <c r="AJ45" s="723"/>
      <c r="AK45" s="723"/>
      <c r="AL45" s="723"/>
      <c r="AM45" s="724"/>
      <c r="AN45" s="723"/>
    </row>
    <row r="46" spans="1:40">
      <c r="A46" s="261" t="s">
        <v>128</v>
      </c>
      <c r="B46" s="127" t="s">
        <v>129</v>
      </c>
      <c r="C46" s="183">
        <v>5569285</v>
      </c>
      <c r="D46" s="183">
        <v>45056768</v>
      </c>
      <c r="E46" s="183">
        <v>17472460</v>
      </c>
      <c r="F46" s="183">
        <v>147567905</v>
      </c>
      <c r="G46" s="183">
        <v>32164524</v>
      </c>
      <c r="H46" s="183">
        <v>284094805</v>
      </c>
      <c r="I46" s="214">
        <v>30218355</v>
      </c>
      <c r="J46" s="214">
        <v>248202718</v>
      </c>
      <c r="K46" s="214">
        <v>36470380</v>
      </c>
      <c r="L46" s="214">
        <v>354745556</v>
      </c>
      <c r="M46" s="214">
        <v>33854620</v>
      </c>
      <c r="N46" s="214">
        <v>413583727</v>
      </c>
      <c r="O46" s="727">
        <v>29964155</v>
      </c>
      <c r="P46" s="727">
        <v>435725448</v>
      </c>
      <c r="Q46" s="183">
        <v>47485294</v>
      </c>
      <c r="R46" s="183">
        <v>564768721</v>
      </c>
      <c r="S46" s="214">
        <v>24827163</v>
      </c>
      <c r="T46" s="214">
        <v>519981370</v>
      </c>
      <c r="U46" s="214">
        <v>28864319</v>
      </c>
      <c r="V46" s="214">
        <v>476747331</v>
      </c>
      <c r="W46" s="214">
        <v>23931476</v>
      </c>
      <c r="X46" s="214">
        <v>480031071</v>
      </c>
      <c r="Y46" s="727">
        <v>33522991</v>
      </c>
      <c r="Z46" s="214">
        <v>525213116</v>
      </c>
      <c r="AA46" s="194">
        <v>52521276</v>
      </c>
      <c r="AB46" s="194">
        <v>395793806</v>
      </c>
      <c r="AC46" s="214">
        <v>42483235</v>
      </c>
      <c r="AD46" s="214">
        <v>537870611</v>
      </c>
      <c r="AE46" s="194">
        <v>51230582</v>
      </c>
      <c r="AF46" s="194">
        <v>610435064</v>
      </c>
      <c r="AG46" s="194">
        <v>50984633</v>
      </c>
      <c r="AH46" s="194">
        <v>703669937</v>
      </c>
      <c r="AI46" s="183">
        <v>25419431</v>
      </c>
      <c r="AJ46" s="183">
        <v>614453364</v>
      </c>
      <c r="AK46" s="183">
        <v>25694968</v>
      </c>
      <c r="AL46" s="183">
        <v>489339885</v>
      </c>
      <c r="AM46" s="183">
        <v>38891107</v>
      </c>
      <c r="AN46" s="183">
        <v>773323675</v>
      </c>
    </row>
    <row r="47" spans="1:40">
      <c r="A47" s="124"/>
      <c r="B47" s="127"/>
      <c r="C47" s="183"/>
      <c r="D47" s="183"/>
      <c r="E47" s="183"/>
      <c r="F47" s="183"/>
      <c r="G47" s="183"/>
      <c r="H47" s="183"/>
      <c r="I47" s="214"/>
      <c r="J47" s="214"/>
      <c r="K47" s="183"/>
      <c r="L47" s="183"/>
      <c r="M47" s="214"/>
      <c r="N47" s="214"/>
      <c r="O47" s="727"/>
      <c r="P47" s="727"/>
      <c r="Q47" s="194"/>
      <c r="R47" s="194"/>
      <c r="U47" s="214"/>
      <c r="V47" s="214"/>
      <c r="W47" s="214"/>
      <c r="X47" s="214"/>
      <c r="Y47" s="727"/>
      <c r="Z47" s="214"/>
      <c r="AA47" s="194"/>
      <c r="AB47" s="194"/>
      <c r="AC47" s="214"/>
      <c r="AD47" s="214"/>
      <c r="AE47" s="194"/>
      <c r="AF47" s="194"/>
      <c r="AG47" s="194"/>
      <c r="AH47" s="194"/>
      <c r="AI47" s="183"/>
      <c r="AJ47" s="183"/>
      <c r="AK47" s="183"/>
      <c r="AL47" s="183"/>
      <c r="AM47" s="183"/>
      <c r="AN47" s="183"/>
    </row>
    <row r="48" spans="1:40">
      <c r="A48" s="387" t="s">
        <v>130</v>
      </c>
      <c r="B48" s="245" t="s">
        <v>67</v>
      </c>
      <c r="C48" s="730">
        <v>257</v>
      </c>
      <c r="D48" s="730">
        <v>1029</v>
      </c>
      <c r="E48" s="730">
        <v>1638</v>
      </c>
      <c r="F48" s="730">
        <v>8450</v>
      </c>
      <c r="G48" s="730">
        <v>401</v>
      </c>
      <c r="H48" s="730">
        <v>2006</v>
      </c>
      <c r="I48" s="728">
        <v>124</v>
      </c>
      <c r="J48" s="728">
        <v>682</v>
      </c>
      <c r="K48" s="728">
        <v>0</v>
      </c>
      <c r="L48" s="728">
        <v>0</v>
      </c>
      <c r="M48" s="728">
        <v>0</v>
      </c>
      <c r="N48" s="728">
        <v>0</v>
      </c>
      <c r="O48" s="730">
        <v>22</v>
      </c>
      <c r="P48" s="730">
        <v>160</v>
      </c>
      <c r="Q48" s="728">
        <v>169</v>
      </c>
      <c r="R48" s="728">
        <v>1300</v>
      </c>
      <c r="S48" s="728">
        <v>445</v>
      </c>
      <c r="T48" s="728">
        <v>5171</v>
      </c>
      <c r="U48" s="728">
        <v>0</v>
      </c>
      <c r="V48" s="728">
        <v>0</v>
      </c>
      <c r="W48" s="728">
        <v>9636</v>
      </c>
      <c r="X48" s="728">
        <v>77062</v>
      </c>
      <c r="Y48" s="730">
        <v>0</v>
      </c>
      <c r="Z48" s="728">
        <v>0</v>
      </c>
      <c r="AA48" s="730">
        <v>0</v>
      </c>
      <c r="AB48" s="728">
        <v>0</v>
      </c>
      <c r="AC48" s="730">
        <v>0</v>
      </c>
      <c r="AD48" s="728">
        <v>0</v>
      </c>
      <c r="AE48" s="730">
        <v>0</v>
      </c>
      <c r="AF48" s="728">
        <v>0</v>
      </c>
      <c r="AG48" s="730">
        <v>0</v>
      </c>
      <c r="AH48" s="728">
        <v>0</v>
      </c>
      <c r="AI48" s="730">
        <v>0</v>
      </c>
      <c r="AJ48" s="728">
        <v>0</v>
      </c>
      <c r="AK48" s="730">
        <v>0</v>
      </c>
      <c r="AL48" s="728">
        <v>0</v>
      </c>
      <c r="AM48" s="730">
        <v>0</v>
      </c>
      <c r="AN48" s="728">
        <v>0</v>
      </c>
    </row>
    <row r="49" spans="1:40">
      <c r="A49" s="257"/>
      <c r="B49" s="248"/>
      <c r="C49" s="723"/>
      <c r="D49" s="723"/>
      <c r="E49" s="723"/>
      <c r="F49" s="723"/>
      <c r="G49" s="723"/>
      <c r="H49" s="723"/>
      <c r="I49" s="723"/>
      <c r="J49" s="723"/>
      <c r="K49" s="724"/>
      <c r="L49" s="724"/>
      <c r="M49" s="724"/>
      <c r="N49" s="724"/>
      <c r="O49" s="723"/>
      <c r="P49" s="723"/>
      <c r="Q49" s="723"/>
      <c r="R49" s="723"/>
      <c r="S49" s="724"/>
      <c r="T49" s="724"/>
      <c r="U49" s="724"/>
      <c r="V49" s="724"/>
      <c r="W49" s="724"/>
      <c r="X49" s="724"/>
      <c r="Y49" s="724"/>
      <c r="Z49" s="724"/>
      <c r="AA49" s="724"/>
      <c r="AB49" s="724"/>
      <c r="AC49" s="724"/>
      <c r="AD49" s="724"/>
      <c r="AE49" s="724"/>
      <c r="AF49" s="724"/>
      <c r="AG49" s="724"/>
      <c r="AH49" s="724"/>
      <c r="AI49" s="723"/>
      <c r="AJ49" s="723"/>
      <c r="AK49" s="723"/>
      <c r="AL49" s="723"/>
      <c r="AM49" s="723"/>
      <c r="AN49" s="723"/>
    </row>
    <row r="50" spans="1:40">
      <c r="A50" s="261" t="s">
        <v>131</v>
      </c>
      <c r="B50" s="225"/>
      <c r="C50" s="194"/>
      <c r="D50" s="194"/>
      <c r="E50" s="194"/>
      <c r="F50" s="194"/>
      <c r="G50" s="194"/>
      <c r="H50" s="194"/>
      <c r="I50" s="194"/>
      <c r="J50" s="194"/>
      <c r="K50" s="183"/>
      <c r="L50" s="183"/>
      <c r="M50" s="214"/>
      <c r="N50" s="214"/>
      <c r="O50" s="727"/>
      <c r="P50" s="727"/>
      <c r="Q50" s="183"/>
      <c r="R50" s="183"/>
      <c r="U50" s="214"/>
      <c r="V50" s="214"/>
      <c r="W50" s="214"/>
      <c r="X50" s="214"/>
      <c r="Y50" s="194"/>
      <c r="Z50" s="194"/>
      <c r="AA50" s="194"/>
      <c r="AB50" s="194"/>
      <c r="AC50" s="194"/>
      <c r="AD50" s="194"/>
      <c r="AE50" s="194"/>
      <c r="AF50" s="194"/>
      <c r="AG50" s="194"/>
      <c r="AH50" s="194"/>
      <c r="AI50" s="183"/>
      <c r="AJ50" s="183"/>
      <c r="AK50" s="183"/>
      <c r="AL50" s="183"/>
      <c r="AM50" s="183"/>
      <c r="AN50" s="183"/>
    </row>
    <row r="51" spans="1:40">
      <c r="A51" s="262" t="s">
        <v>133</v>
      </c>
      <c r="B51" s="127" t="s">
        <v>67</v>
      </c>
      <c r="C51" s="194">
        <v>0</v>
      </c>
      <c r="D51" s="194">
        <v>0</v>
      </c>
      <c r="E51" s="183">
        <v>145</v>
      </c>
      <c r="F51" s="183">
        <v>45000</v>
      </c>
      <c r="G51" s="183">
        <v>585</v>
      </c>
      <c r="H51" s="183">
        <v>50000</v>
      </c>
      <c r="I51" s="214">
        <v>0</v>
      </c>
      <c r="J51" s="214">
        <v>0</v>
      </c>
      <c r="K51" s="214">
        <v>0</v>
      </c>
      <c r="L51" s="214">
        <v>0</v>
      </c>
      <c r="M51" s="214">
        <v>1239</v>
      </c>
      <c r="N51" s="214">
        <v>1789485</v>
      </c>
      <c r="O51" s="727">
        <v>249</v>
      </c>
      <c r="P51" s="727">
        <v>76706</v>
      </c>
      <c r="Q51" s="183">
        <v>5687</v>
      </c>
      <c r="R51" s="183">
        <v>1932444</v>
      </c>
      <c r="S51" s="214">
        <v>1486</v>
      </c>
      <c r="T51" s="214">
        <v>443200</v>
      </c>
      <c r="U51" s="214">
        <v>1762</v>
      </c>
      <c r="V51" s="214">
        <v>485121</v>
      </c>
      <c r="W51" s="194">
        <v>571</v>
      </c>
      <c r="X51" s="194">
        <v>171408</v>
      </c>
      <c r="Y51" s="183">
        <v>0</v>
      </c>
      <c r="Z51" s="194">
        <v>0</v>
      </c>
      <c r="AA51" s="194">
        <v>946</v>
      </c>
      <c r="AB51" s="194">
        <v>283695</v>
      </c>
      <c r="AC51" s="194">
        <v>958</v>
      </c>
      <c r="AD51" s="194">
        <v>287457</v>
      </c>
      <c r="AE51" s="194">
        <v>0</v>
      </c>
      <c r="AF51" s="194">
        <v>0</v>
      </c>
      <c r="AG51" s="194">
        <v>0</v>
      </c>
      <c r="AH51" s="194">
        <v>0</v>
      </c>
      <c r="AI51" s="183">
        <v>0</v>
      </c>
      <c r="AJ51" s="183">
        <v>0</v>
      </c>
      <c r="AK51" s="183">
        <v>0</v>
      </c>
      <c r="AL51" s="183">
        <v>0</v>
      </c>
      <c r="AM51" s="183">
        <v>0</v>
      </c>
      <c r="AN51" s="183">
        <v>0</v>
      </c>
    </row>
    <row r="52" spans="1:40">
      <c r="A52" s="262" t="s">
        <v>134</v>
      </c>
      <c r="B52" s="127" t="s">
        <v>67</v>
      </c>
      <c r="C52" s="194">
        <v>0</v>
      </c>
      <c r="D52" s="194">
        <v>0</v>
      </c>
      <c r="E52" s="194">
        <v>0</v>
      </c>
      <c r="F52" s="194">
        <v>0</v>
      </c>
      <c r="G52" s="194">
        <v>0</v>
      </c>
      <c r="H52" s="194">
        <v>0</v>
      </c>
      <c r="I52" s="194">
        <v>0</v>
      </c>
      <c r="J52" s="194">
        <v>0</v>
      </c>
      <c r="K52" s="194">
        <v>0</v>
      </c>
      <c r="L52" s="194">
        <v>0</v>
      </c>
      <c r="M52" s="194">
        <v>0</v>
      </c>
      <c r="N52" s="194">
        <v>0</v>
      </c>
      <c r="O52" s="194">
        <v>0</v>
      </c>
      <c r="P52" s="194">
        <v>0</v>
      </c>
      <c r="Q52" s="194">
        <v>0</v>
      </c>
      <c r="R52" s="194">
        <v>0</v>
      </c>
      <c r="S52" s="194">
        <v>0</v>
      </c>
      <c r="T52" s="194">
        <v>0</v>
      </c>
      <c r="U52" s="194">
        <v>0</v>
      </c>
      <c r="V52" s="194">
        <v>0</v>
      </c>
      <c r="W52" s="194">
        <v>0</v>
      </c>
      <c r="X52" s="194">
        <v>0</v>
      </c>
      <c r="Y52" s="183">
        <v>40</v>
      </c>
      <c r="Z52" s="194">
        <v>12000</v>
      </c>
      <c r="AA52" s="194">
        <v>220</v>
      </c>
      <c r="AB52" s="194">
        <v>11000</v>
      </c>
      <c r="AC52" s="194">
        <v>391</v>
      </c>
      <c r="AD52" s="194">
        <v>80800</v>
      </c>
      <c r="AE52" s="194">
        <v>5177</v>
      </c>
      <c r="AF52" s="194">
        <v>950000</v>
      </c>
      <c r="AG52" s="194">
        <v>2990</v>
      </c>
      <c r="AH52" s="194">
        <v>621780</v>
      </c>
      <c r="AI52" s="183">
        <v>1448</v>
      </c>
      <c r="AJ52" s="183">
        <v>366995</v>
      </c>
      <c r="AK52" s="183">
        <v>802</v>
      </c>
      <c r="AL52" s="183">
        <v>176531</v>
      </c>
      <c r="AM52" s="183">
        <v>769</v>
      </c>
      <c r="AN52" s="183">
        <v>212485</v>
      </c>
    </row>
    <row r="53" spans="1:40">
      <c r="A53" s="262" t="s">
        <v>135</v>
      </c>
      <c r="B53" s="127" t="s">
        <v>67</v>
      </c>
      <c r="C53" s="194">
        <v>0</v>
      </c>
      <c r="D53" s="194">
        <v>0</v>
      </c>
      <c r="E53" s="194">
        <v>0</v>
      </c>
      <c r="F53" s="194">
        <v>0</v>
      </c>
      <c r="G53" s="194">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83">
        <v>25</v>
      </c>
      <c r="Z53" s="194">
        <v>9016</v>
      </c>
      <c r="AA53" s="194">
        <v>0</v>
      </c>
      <c r="AB53" s="194">
        <v>0</v>
      </c>
      <c r="AC53" s="194">
        <v>0</v>
      </c>
      <c r="AD53" s="194">
        <v>0</v>
      </c>
      <c r="AE53" s="194">
        <v>0</v>
      </c>
      <c r="AF53" s="194">
        <v>0</v>
      </c>
      <c r="AG53" s="194">
        <v>0</v>
      </c>
      <c r="AH53" s="194">
        <v>0</v>
      </c>
      <c r="AI53" s="194">
        <v>0</v>
      </c>
      <c r="AJ53" s="194">
        <v>0</v>
      </c>
      <c r="AK53" s="194">
        <v>0</v>
      </c>
      <c r="AL53" s="194">
        <v>0</v>
      </c>
      <c r="AM53" s="183">
        <v>0</v>
      </c>
      <c r="AN53" s="183">
        <v>0</v>
      </c>
    </row>
    <row r="54" spans="1:40">
      <c r="A54" s="262" t="s">
        <v>136</v>
      </c>
      <c r="B54" s="127" t="s">
        <v>67</v>
      </c>
      <c r="C54" s="194">
        <v>0</v>
      </c>
      <c r="D54" s="194">
        <v>0</v>
      </c>
      <c r="E54" s="194">
        <v>0</v>
      </c>
      <c r="F54" s="194">
        <v>0</v>
      </c>
      <c r="G54" s="194">
        <v>0</v>
      </c>
      <c r="H54" s="194">
        <v>0</v>
      </c>
      <c r="I54" s="194">
        <v>0</v>
      </c>
      <c r="J54" s="194">
        <v>0</v>
      </c>
      <c r="K54" s="194">
        <v>0</v>
      </c>
      <c r="L54" s="194">
        <v>0</v>
      </c>
      <c r="M54" s="194">
        <v>0</v>
      </c>
      <c r="N54" s="194">
        <v>0</v>
      </c>
      <c r="O54" s="194">
        <v>0</v>
      </c>
      <c r="P54" s="194">
        <v>0</v>
      </c>
      <c r="Q54" s="194">
        <v>0</v>
      </c>
      <c r="R54" s="194">
        <v>0</v>
      </c>
      <c r="S54" s="194">
        <v>0</v>
      </c>
      <c r="T54" s="194">
        <v>0</v>
      </c>
      <c r="U54" s="194">
        <v>0</v>
      </c>
      <c r="V54" s="194">
        <v>0</v>
      </c>
      <c r="W54" s="194">
        <v>0</v>
      </c>
      <c r="X54" s="194">
        <v>0</v>
      </c>
      <c r="Y54" s="194">
        <v>0</v>
      </c>
      <c r="Z54" s="194">
        <v>0</v>
      </c>
      <c r="AA54" s="194">
        <v>0</v>
      </c>
      <c r="AB54" s="194">
        <v>0</v>
      </c>
      <c r="AC54" s="194">
        <v>0</v>
      </c>
      <c r="AD54" s="194">
        <v>0</v>
      </c>
      <c r="AE54" s="194">
        <v>0</v>
      </c>
      <c r="AF54" s="194">
        <v>0</v>
      </c>
      <c r="AG54" s="194">
        <v>0</v>
      </c>
      <c r="AH54" s="194">
        <v>0</v>
      </c>
      <c r="AI54" s="194">
        <v>0</v>
      </c>
      <c r="AJ54" s="194">
        <v>0</v>
      </c>
      <c r="AK54" s="194">
        <v>0</v>
      </c>
      <c r="AL54" s="194">
        <v>0</v>
      </c>
      <c r="AM54" s="183">
        <v>0</v>
      </c>
      <c r="AN54" s="183">
        <v>0</v>
      </c>
    </row>
    <row r="55" spans="1:40">
      <c r="A55" s="262" t="s">
        <v>137</v>
      </c>
      <c r="B55" s="127" t="s">
        <v>67</v>
      </c>
      <c r="C55" s="194">
        <v>0</v>
      </c>
      <c r="D55" s="194">
        <v>0</v>
      </c>
      <c r="E55" s="194">
        <v>0</v>
      </c>
      <c r="F55" s="194">
        <v>0</v>
      </c>
      <c r="G55" s="194">
        <v>0</v>
      </c>
      <c r="H55" s="194">
        <v>0</v>
      </c>
      <c r="I55" s="194">
        <v>0</v>
      </c>
      <c r="J55" s="194">
        <v>0</v>
      </c>
      <c r="K55" s="194">
        <v>0</v>
      </c>
      <c r="L55" s="194">
        <v>0</v>
      </c>
      <c r="M55" s="194">
        <v>0</v>
      </c>
      <c r="N55" s="194">
        <v>0</v>
      </c>
      <c r="O55" s="194">
        <v>0</v>
      </c>
      <c r="P55" s="194">
        <v>0</v>
      </c>
      <c r="Q55" s="194">
        <v>0</v>
      </c>
      <c r="R55" s="194">
        <v>0</v>
      </c>
      <c r="S55" s="194">
        <v>0</v>
      </c>
      <c r="T55" s="194">
        <v>0</v>
      </c>
      <c r="U55" s="194">
        <v>0</v>
      </c>
      <c r="V55" s="194">
        <v>0</v>
      </c>
      <c r="W55" s="194">
        <v>0</v>
      </c>
      <c r="X55" s="194">
        <v>0</v>
      </c>
      <c r="Y55" s="183">
        <v>0</v>
      </c>
      <c r="Z55" s="194">
        <v>0</v>
      </c>
      <c r="AA55" s="194">
        <v>0</v>
      </c>
      <c r="AB55" s="194">
        <v>0</v>
      </c>
      <c r="AC55" s="194">
        <v>0</v>
      </c>
      <c r="AD55" s="194">
        <v>0</v>
      </c>
      <c r="AE55" s="194">
        <v>984</v>
      </c>
      <c r="AF55" s="194">
        <v>594880</v>
      </c>
      <c r="AG55" s="194">
        <v>0</v>
      </c>
      <c r="AH55" s="194">
        <v>0</v>
      </c>
      <c r="AI55" s="183">
        <v>131.33000000000001</v>
      </c>
      <c r="AJ55" s="183">
        <v>48640</v>
      </c>
      <c r="AK55" s="183">
        <v>267</v>
      </c>
      <c r="AL55" s="183">
        <v>94530</v>
      </c>
      <c r="AM55" s="183">
        <v>619</v>
      </c>
      <c r="AN55" s="183">
        <v>216509</v>
      </c>
    </row>
    <row r="56" spans="1:40">
      <c r="A56" s="262" t="s">
        <v>32</v>
      </c>
      <c r="B56" s="127" t="s">
        <v>67</v>
      </c>
      <c r="C56" s="194">
        <v>0</v>
      </c>
      <c r="D56" s="194">
        <v>0</v>
      </c>
      <c r="E56" s="194">
        <v>0</v>
      </c>
      <c r="F56" s="194">
        <v>0</v>
      </c>
      <c r="G56" s="194">
        <v>0</v>
      </c>
      <c r="H56" s="194">
        <v>0</v>
      </c>
      <c r="I56" s="194">
        <v>0</v>
      </c>
      <c r="J56" s="194">
        <v>0</v>
      </c>
      <c r="K56" s="194">
        <v>0</v>
      </c>
      <c r="L56" s="194">
        <v>0</v>
      </c>
      <c r="M56" s="194">
        <v>0</v>
      </c>
      <c r="N56" s="194">
        <v>0</v>
      </c>
      <c r="O56" s="194">
        <v>0</v>
      </c>
      <c r="P56" s="194">
        <v>0</v>
      </c>
      <c r="Q56" s="194">
        <v>0</v>
      </c>
      <c r="R56" s="194">
        <v>0</v>
      </c>
      <c r="S56" s="194">
        <v>0</v>
      </c>
      <c r="T56" s="194">
        <v>0</v>
      </c>
      <c r="U56" s="194">
        <v>0</v>
      </c>
      <c r="V56" s="194">
        <v>0</v>
      </c>
      <c r="W56" s="194">
        <v>0</v>
      </c>
      <c r="X56" s="194">
        <v>0</v>
      </c>
      <c r="Y56" s="194">
        <v>0</v>
      </c>
      <c r="Z56" s="194">
        <v>0</v>
      </c>
      <c r="AA56" s="194">
        <v>0</v>
      </c>
      <c r="AB56" s="194">
        <v>0</v>
      </c>
      <c r="AC56" s="194">
        <v>0</v>
      </c>
      <c r="AD56" s="194">
        <v>0</v>
      </c>
      <c r="AE56" s="194">
        <v>0</v>
      </c>
      <c r="AF56" s="194">
        <v>0</v>
      </c>
      <c r="AG56" s="194">
        <v>0</v>
      </c>
      <c r="AH56" s="194">
        <v>0</v>
      </c>
      <c r="AI56" s="194">
        <v>0</v>
      </c>
      <c r="AJ56" s="194">
        <v>0</v>
      </c>
      <c r="AK56" s="194">
        <v>435</v>
      </c>
      <c r="AL56" s="194">
        <v>226690</v>
      </c>
      <c r="AM56" s="183">
        <v>100</v>
      </c>
      <c r="AN56" s="183">
        <v>45000</v>
      </c>
    </row>
    <row r="57" spans="1:40">
      <c r="A57" s="262" t="s">
        <v>138</v>
      </c>
      <c r="B57" s="127" t="s">
        <v>67</v>
      </c>
      <c r="C57" s="183">
        <v>2644</v>
      </c>
      <c r="D57" s="183">
        <v>118980</v>
      </c>
      <c r="E57" s="183">
        <v>2233</v>
      </c>
      <c r="F57" s="183">
        <v>100481</v>
      </c>
      <c r="G57" s="183">
        <v>1861</v>
      </c>
      <c r="H57" s="183">
        <v>83755</v>
      </c>
      <c r="I57" s="214">
        <v>294</v>
      </c>
      <c r="J57" s="214">
        <v>13210</v>
      </c>
      <c r="K57" s="214">
        <v>1088</v>
      </c>
      <c r="L57" s="214">
        <v>48977</v>
      </c>
      <c r="M57" s="214">
        <v>994</v>
      </c>
      <c r="N57" s="214">
        <v>43341</v>
      </c>
      <c r="O57" s="727">
        <v>430</v>
      </c>
      <c r="P57" s="727">
        <v>19302</v>
      </c>
      <c r="Q57" s="183">
        <v>295</v>
      </c>
      <c r="R57" s="183">
        <v>13258</v>
      </c>
      <c r="S57" s="214">
        <v>1002</v>
      </c>
      <c r="T57" s="214">
        <v>45047</v>
      </c>
      <c r="U57" s="214">
        <v>995</v>
      </c>
      <c r="V57" s="214">
        <v>44753</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83">
        <v>0</v>
      </c>
      <c r="AN57" s="183">
        <v>0</v>
      </c>
    </row>
    <row r="58" spans="1:40">
      <c r="A58" s="262" t="s">
        <v>139</v>
      </c>
      <c r="B58" s="127" t="s">
        <v>67</v>
      </c>
      <c r="C58" s="194">
        <v>0</v>
      </c>
      <c r="D58" s="194">
        <v>0</v>
      </c>
      <c r="E58" s="214">
        <v>0</v>
      </c>
      <c r="F58" s="214">
        <v>0</v>
      </c>
      <c r="G58" s="214">
        <v>0</v>
      </c>
      <c r="H58" s="214">
        <v>0</v>
      </c>
      <c r="I58" s="214">
        <v>0</v>
      </c>
      <c r="J58" s="214">
        <v>0</v>
      </c>
      <c r="K58" s="214">
        <v>0</v>
      </c>
      <c r="L58" s="214">
        <v>0</v>
      </c>
      <c r="M58" s="214">
        <v>59</v>
      </c>
      <c r="N58" s="214">
        <v>2360</v>
      </c>
      <c r="O58" s="194">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83">
        <v>0</v>
      </c>
      <c r="AN58" s="183">
        <v>0</v>
      </c>
    </row>
    <row r="59" spans="1:40">
      <c r="A59" s="265" t="s">
        <v>141</v>
      </c>
      <c r="B59" s="225"/>
      <c r="C59" s="194"/>
      <c r="D59" s="194">
        <f>SUM(D51:D58)</f>
        <v>118980</v>
      </c>
      <c r="E59" s="194"/>
      <c r="F59" s="194">
        <f>SUM(F51:F58)</f>
        <v>145481</v>
      </c>
      <c r="G59" s="194"/>
      <c r="H59" s="194">
        <f>SUM(H51:H58)</f>
        <v>133755</v>
      </c>
      <c r="I59" s="194"/>
      <c r="J59" s="194">
        <f>SUM(J51:J58)</f>
        <v>13210</v>
      </c>
      <c r="K59" s="214"/>
      <c r="L59" s="214">
        <v>48977</v>
      </c>
      <c r="M59" s="214"/>
      <c r="N59" s="214">
        <f>SUM(N51:N58)</f>
        <v>1835186</v>
      </c>
      <c r="O59" s="214"/>
      <c r="P59" s="727">
        <f>SUM(P51:P57)</f>
        <v>96008</v>
      </c>
      <c r="Q59" s="194"/>
      <c r="R59" s="194">
        <f>SUM(R51:R57)</f>
        <v>1945702</v>
      </c>
      <c r="T59" s="214">
        <f>SUM(T51:T57)</f>
        <v>488247</v>
      </c>
      <c r="U59" s="214"/>
      <c r="V59" s="214">
        <v>529874</v>
      </c>
      <c r="W59" s="194"/>
      <c r="X59" s="194">
        <v>171408</v>
      </c>
      <c r="Y59" s="194"/>
      <c r="Z59" s="194">
        <v>21016</v>
      </c>
      <c r="AA59" s="194"/>
      <c r="AB59" s="194">
        <v>294695</v>
      </c>
      <c r="AC59" s="194"/>
      <c r="AD59" s="194">
        <f>SUM(AD51:AD55)</f>
        <v>368257</v>
      </c>
      <c r="AE59" s="166"/>
      <c r="AF59" s="194">
        <v>1544880</v>
      </c>
      <c r="AG59" s="194"/>
      <c r="AH59" s="194">
        <v>621780</v>
      </c>
      <c r="AI59" s="194"/>
      <c r="AJ59" s="183">
        <f>SUM(AJ51:AJ58)</f>
        <v>415635</v>
      </c>
      <c r="AK59" s="183"/>
      <c r="AL59" s="183">
        <f>SUM(AL51:AL58)</f>
        <v>497751</v>
      </c>
      <c r="AM59" s="194"/>
      <c r="AN59" s="183">
        <f>SUM(AN51:AN58)</f>
        <v>473994</v>
      </c>
    </row>
    <row r="60" spans="1:40">
      <c r="A60" s="129"/>
      <c r="B60" s="225"/>
      <c r="C60" s="194"/>
      <c r="D60" s="194"/>
      <c r="E60" s="194"/>
      <c r="F60" s="194"/>
      <c r="G60" s="194"/>
      <c r="H60" s="194"/>
      <c r="I60" s="194"/>
      <c r="J60" s="194"/>
      <c r="K60" s="183"/>
      <c r="L60" s="183"/>
      <c r="M60" s="214"/>
      <c r="N60" s="214"/>
      <c r="O60" s="214"/>
      <c r="P60" s="214"/>
      <c r="Q60" s="183"/>
      <c r="R60" s="183"/>
      <c r="U60" s="214"/>
      <c r="V60" s="214"/>
      <c r="W60" s="194"/>
      <c r="X60" s="194"/>
      <c r="Y60" s="214"/>
      <c r="Z60" s="214"/>
      <c r="AA60" s="194"/>
      <c r="AB60" s="194"/>
      <c r="AC60" s="214"/>
      <c r="AD60" s="214"/>
      <c r="AE60" s="166"/>
      <c r="AF60" s="166"/>
      <c r="AG60" s="194"/>
      <c r="AH60" s="194"/>
      <c r="AI60" s="194"/>
      <c r="AJ60" s="183"/>
      <c r="AK60" s="183"/>
      <c r="AL60" s="183"/>
      <c r="AM60" s="194"/>
      <c r="AN60" s="183"/>
    </row>
    <row r="61" spans="1:40">
      <c r="A61" s="387" t="s">
        <v>142</v>
      </c>
      <c r="B61" s="244"/>
      <c r="C61" s="728"/>
      <c r="D61" s="728"/>
      <c r="E61" s="728"/>
      <c r="F61" s="728"/>
      <c r="G61" s="728"/>
      <c r="H61" s="728"/>
      <c r="I61" s="728"/>
      <c r="J61" s="728"/>
      <c r="K61" s="730"/>
      <c r="L61" s="730"/>
      <c r="M61" s="728"/>
      <c r="N61" s="728"/>
      <c r="O61" s="728"/>
      <c r="P61" s="728"/>
      <c r="Q61" s="730"/>
      <c r="R61" s="730"/>
      <c r="S61" s="728"/>
      <c r="T61" s="728"/>
      <c r="U61" s="728"/>
      <c r="V61" s="728"/>
      <c r="W61" s="728"/>
      <c r="X61" s="728"/>
      <c r="Y61" s="728"/>
      <c r="Z61" s="728"/>
      <c r="AA61" s="728"/>
      <c r="AB61" s="728"/>
      <c r="AC61" s="728"/>
      <c r="AD61" s="728"/>
      <c r="AE61" s="728"/>
      <c r="AF61" s="728"/>
      <c r="AG61" s="728"/>
      <c r="AH61" s="728"/>
      <c r="AI61" s="728"/>
      <c r="AJ61" s="728"/>
      <c r="AK61" s="728"/>
      <c r="AL61" s="728"/>
      <c r="AM61" s="728"/>
      <c r="AN61" s="728"/>
    </row>
    <row r="62" spans="1:40">
      <c r="A62" s="388" t="s">
        <v>363</v>
      </c>
      <c r="B62" s="245" t="s">
        <v>93</v>
      </c>
      <c r="C62" s="730">
        <v>0</v>
      </c>
      <c r="D62" s="730">
        <v>0</v>
      </c>
      <c r="E62" s="730">
        <v>0</v>
      </c>
      <c r="F62" s="730">
        <v>0</v>
      </c>
      <c r="G62" s="730">
        <v>0</v>
      </c>
      <c r="H62" s="730">
        <v>0</v>
      </c>
      <c r="I62" s="730">
        <v>0</v>
      </c>
      <c r="J62" s="730">
        <v>0</v>
      </c>
      <c r="K62" s="730">
        <v>0</v>
      </c>
      <c r="L62" s="730">
        <v>0</v>
      </c>
      <c r="M62" s="730">
        <v>0</v>
      </c>
      <c r="N62" s="730">
        <v>0</v>
      </c>
      <c r="O62" s="730">
        <v>0</v>
      </c>
      <c r="P62" s="730">
        <v>0</v>
      </c>
      <c r="Q62" s="730">
        <v>0</v>
      </c>
      <c r="R62" s="730">
        <v>0</v>
      </c>
      <c r="S62" s="728">
        <v>28384</v>
      </c>
      <c r="T62" s="728">
        <v>22012</v>
      </c>
      <c r="U62" s="728">
        <v>23236</v>
      </c>
      <c r="V62" s="728">
        <v>16741</v>
      </c>
      <c r="W62" s="728">
        <v>17380</v>
      </c>
      <c r="X62" s="728">
        <v>14812</v>
      </c>
      <c r="Y62" s="730">
        <v>0</v>
      </c>
      <c r="Z62" s="728">
        <v>0</v>
      </c>
      <c r="AA62" s="728">
        <v>5149</v>
      </c>
      <c r="AB62" s="728">
        <v>3089</v>
      </c>
      <c r="AC62" s="728">
        <v>0</v>
      </c>
      <c r="AD62" s="728">
        <v>0</v>
      </c>
      <c r="AE62" s="728">
        <v>0</v>
      </c>
      <c r="AF62" s="728">
        <v>0</v>
      </c>
      <c r="AG62" s="728">
        <v>7186</v>
      </c>
      <c r="AH62" s="728">
        <v>4312</v>
      </c>
      <c r="AI62" s="730">
        <v>0</v>
      </c>
      <c r="AJ62" s="730">
        <v>0</v>
      </c>
      <c r="AK62" s="728" t="s">
        <v>165</v>
      </c>
      <c r="AL62" s="728" t="s">
        <v>165</v>
      </c>
      <c r="AM62" s="728" t="s">
        <v>165</v>
      </c>
      <c r="AN62" s="728" t="s">
        <v>165</v>
      </c>
    </row>
    <row r="63" spans="1:40">
      <c r="A63" s="388" t="s">
        <v>143</v>
      </c>
      <c r="B63" s="245" t="s">
        <v>93</v>
      </c>
      <c r="C63" s="730">
        <v>59586</v>
      </c>
      <c r="D63" s="730">
        <v>90368</v>
      </c>
      <c r="E63" s="730">
        <v>8988</v>
      </c>
      <c r="F63" s="730">
        <v>50716</v>
      </c>
      <c r="G63" s="730">
        <v>51000</v>
      </c>
      <c r="H63" s="730">
        <v>195500</v>
      </c>
      <c r="I63" s="728">
        <v>51000</v>
      </c>
      <c r="J63" s="728">
        <v>195500</v>
      </c>
      <c r="K63" s="728">
        <v>41064</v>
      </c>
      <c r="L63" s="728">
        <v>198426</v>
      </c>
      <c r="M63" s="728">
        <v>14594</v>
      </c>
      <c r="N63" s="728">
        <v>67958</v>
      </c>
      <c r="O63" s="730">
        <v>24617</v>
      </c>
      <c r="P63" s="730">
        <v>131426</v>
      </c>
      <c r="Q63" s="730">
        <v>17659</v>
      </c>
      <c r="R63" s="730">
        <v>127910</v>
      </c>
      <c r="S63" s="728">
        <v>25352</v>
      </c>
      <c r="T63" s="728">
        <v>308045</v>
      </c>
      <c r="U63" s="728">
        <v>0</v>
      </c>
      <c r="V63" s="728">
        <v>0</v>
      </c>
      <c r="W63" s="728">
        <v>0</v>
      </c>
      <c r="X63" s="728">
        <v>0</v>
      </c>
      <c r="Y63" s="728">
        <v>0</v>
      </c>
      <c r="Z63" s="728">
        <v>0</v>
      </c>
      <c r="AA63" s="728">
        <v>0</v>
      </c>
      <c r="AB63" s="728">
        <v>0</v>
      </c>
      <c r="AC63" s="728">
        <v>0</v>
      </c>
      <c r="AD63" s="728">
        <v>0</v>
      </c>
      <c r="AE63" s="728">
        <v>0</v>
      </c>
      <c r="AF63" s="728">
        <v>0</v>
      </c>
      <c r="AG63" s="728">
        <v>0</v>
      </c>
      <c r="AH63" s="728">
        <v>0</v>
      </c>
      <c r="AI63" s="728">
        <v>0</v>
      </c>
      <c r="AJ63" s="728">
        <v>0</v>
      </c>
      <c r="AK63" s="728" t="s">
        <v>165</v>
      </c>
      <c r="AL63" s="728" t="s">
        <v>165</v>
      </c>
      <c r="AM63" s="728" t="s">
        <v>165</v>
      </c>
      <c r="AN63" s="728" t="s">
        <v>165</v>
      </c>
    </row>
    <row r="64" spans="1:40">
      <c r="A64" s="388" t="s">
        <v>144</v>
      </c>
      <c r="B64" s="245" t="s">
        <v>93</v>
      </c>
      <c r="C64" s="730">
        <v>0</v>
      </c>
      <c r="D64" s="730">
        <v>0</v>
      </c>
      <c r="E64" s="730">
        <v>0</v>
      </c>
      <c r="F64" s="730">
        <v>0</v>
      </c>
      <c r="G64" s="730">
        <v>0</v>
      </c>
      <c r="H64" s="730">
        <v>0</v>
      </c>
      <c r="I64" s="730">
        <v>0</v>
      </c>
      <c r="J64" s="730">
        <v>0</v>
      </c>
      <c r="K64" s="730">
        <v>0</v>
      </c>
      <c r="L64" s="730">
        <v>0</v>
      </c>
      <c r="M64" s="730">
        <v>0</v>
      </c>
      <c r="N64" s="730">
        <v>0</v>
      </c>
      <c r="O64" s="730">
        <v>0</v>
      </c>
      <c r="P64" s="730">
        <v>0</v>
      </c>
      <c r="Q64" s="730">
        <v>0</v>
      </c>
      <c r="R64" s="730">
        <v>0</v>
      </c>
      <c r="S64" s="728">
        <v>13000</v>
      </c>
      <c r="T64" s="728">
        <v>9117</v>
      </c>
      <c r="U64" s="728">
        <v>23775</v>
      </c>
      <c r="V64" s="728">
        <v>19020</v>
      </c>
      <c r="W64" s="730">
        <v>0</v>
      </c>
      <c r="X64" s="728">
        <v>0</v>
      </c>
      <c r="Y64" s="730">
        <v>2053</v>
      </c>
      <c r="Z64" s="728">
        <v>20020</v>
      </c>
      <c r="AA64" s="728">
        <v>41360</v>
      </c>
      <c r="AB64" s="728">
        <v>20680</v>
      </c>
      <c r="AC64" s="728">
        <v>8053</v>
      </c>
      <c r="AD64" s="728">
        <v>4027</v>
      </c>
      <c r="AE64" s="728">
        <v>0</v>
      </c>
      <c r="AF64" s="728">
        <v>0</v>
      </c>
      <c r="AG64" s="728">
        <v>0</v>
      </c>
      <c r="AH64" s="728">
        <v>0</v>
      </c>
      <c r="AI64" s="730">
        <v>4344</v>
      </c>
      <c r="AJ64" s="730">
        <v>2172</v>
      </c>
      <c r="AK64" s="728" t="s">
        <v>165</v>
      </c>
      <c r="AL64" s="728" t="s">
        <v>165</v>
      </c>
      <c r="AM64" s="728" t="s">
        <v>165</v>
      </c>
      <c r="AN64" s="728" t="s">
        <v>165</v>
      </c>
    </row>
    <row r="65" spans="1:40">
      <c r="A65" s="388" t="s">
        <v>145</v>
      </c>
      <c r="B65" s="245" t="s">
        <v>93</v>
      </c>
      <c r="C65" s="730">
        <v>0</v>
      </c>
      <c r="D65" s="730">
        <v>0</v>
      </c>
      <c r="E65" s="730">
        <v>0</v>
      </c>
      <c r="F65" s="730">
        <v>0</v>
      </c>
      <c r="G65" s="730">
        <v>0</v>
      </c>
      <c r="H65" s="730">
        <v>0</v>
      </c>
      <c r="I65" s="730">
        <v>0</v>
      </c>
      <c r="J65" s="730">
        <v>0</v>
      </c>
      <c r="K65" s="730">
        <v>0</v>
      </c>
      <c r="L65" s="730">
        <v>0</v>
      </c>
      <c r="M65" s="730">
        <v>0</v>
      </c>
      <c r="N65" s="730">
        <v>0</v>
      </c>
      <c r="O65" s="730">
        <v>0</v>
      </c>
      <c r="P65" s="730">
        <v>0</v>
      </c>
      <c r="Q65" s="730">
        <v>18555</v>
      </c>
      <c r="R65" s="730">
        <v>342249</v>
      </c>
      <c r="S65" s="728">
        <v>27773</v>
      </c>
      <c r="T65" s="728">
        <v>1450587</v>
      </c>
      <c r="U65" s="728">
        <v>178540</v>
      </c>
      <c r="V65" s="728">
        <v>1197961</v>
      </c>
      <c r="W65" s="728">
        <v>236990</v>
      </c>
      <c r="X65" s="728">
        <v>1395607</v>
      </c>
      <c r="Y65" s="730">
        <v>39220</v>
      </c>
      <c r="Z65" s="728">
        <v>47136</v>
      </c>
      <c r="AA65" s="728">
        <v>37000</v>
      </c>
      <c r="AB65" s="728">
        <v>12500</v>
      </c>
      <c r="AC65" s="728">
        <v>21536</v>
      </c>
      <c r="AD65" s="728">
        <v>8936</v>
      </c>
      <c r="AE65" s="728">
        <v>0</v>
      </c>
      <c r="AF65" s="728">
        <v>0</v>
      </c>
      <c r="AG65" s="728">
        <v>178.35</v>
      </c>
      <c r="AH65" s="728">
        <v>4369</v>
      </c>
      <c r="AI65" s="730">
        <v>16171</v>
      </c>
      <c r="AJ65" s="730">
        <v>36315</v>
      </c>
      <c r="AK65" s="728" t="s">
        <v>165</v>
      </c>
      <c r="AL65" s="728" t="s">
        <v>165</v>
      </c>
      <c r="AM65" s="728" t="s">
        <v>165</v>
      </c>
      <c r="AN65" s="728" t="s">
        <v>165</v>
      </c>
    </row>
    <row r="66" spans="1:40">
      <c r="A66" s="388" t="s">
        <v>147</v>
      </c>
      <c r="B66" s="245" t="s">
        <v>93</v>
      </c>
      <c r="C66" s="730">
        <v>0</v>
      </c>
      <c r="D66" s="730">
        <v>0</v>
      </c>
      <c r="E66" s="730">
        <v>0.22500000000000001</v>
      </c>
      <c r="F66" s="730">
        <v>1685</v>
      </c>
      <c r="G66" s="730">
        <f>200/1000</f>
        <v>0.2</v>
      </c>
      <c r="H66" s="730">
        <v>1784</v>
      </c>
      <c r="I66" s="730">
        <v>0</v>
      </c>
      <c r="J66" s="730">
        <v>0</v>
      </c>
      <c r="K66" s="728">
        <f>1930/1000</f>
        <v>1.93</v>
      </c>
      <c r="L66" s="728">
        <v>2200</v>
      </c>
      <c r="M66" s="730">
        <v>550</v>
      </c>
      <c r="N66" s="730">
        <v>2020</v>
      </c>
      <c r="O66" s="730">
        <v>0</v>
      </c>
      <c r="P66" s="730">
        <v>0</v>
      </c>
      <c r="Q66" s="728">
        <v>0</v>
      </c>
      <c r="R66" s="728">
        <v>0</v>
      </c>
      <c r="S66" s="728">
        <v>0</v>
      </c>
      <c r="T66" s="728">
        <v>0</v>
      </c>
      <c r="U66" s="728">
        <v>0</v>
      </c>
      <c r="V66" s="728">
        <v>0</v>
      </c>
      <c r="W66" s="728">
        <v>0</v>
      </c>
      <c r="X66" s="728">
        <v>0</v>
      </c>
      <c r="Y66" s="730">
        <v>0</v>
      </c>
      <c r="Z66" s="728">
        <v>0</v>
      </c>
      <c r="AA66" s="728">
        <v>0</v>
      </c>
      <c r="AB66" s="728">
        <v>0</v>
      </c>
      <c r="AC66" s="728">
        <v>0</v>
      </c>
      <c r="AD66" s="728">
        <v>0</v>
      </c>
      <c r="AE66" s="728">
        <v>0</v>
      </c>
      <c r="AF66" s="728">
        <v>0</v>
      </c>
      <c r="AG66" s="728">
        <v>4</v>
      </c>
      <c r="AH66" s="728">
        <v>10420</v>
      </c>
      <c r="AI66" s="730">
        <v>11.5</v>
      </c>
      <c r="AJ66" s="730">
        <v>20000</v>
      </c>
      <c r="AK66" s="728" t="s">
        <v>165</v>
      </c>
      <c r="AL66" s="728" t="s">
        <v>165</v>
      </c>
      <c r="AM66" s="728" t="s">
        <v>165</v>
      </c>
      <c r="AN66" s="728" t="s">
        <v>165</v>
      </c>
    </row>
    <row r="67" spans="1:40">
      <c r="A67" s="388" t="s">
        <v>135</v>
      </c>
      <c r="B67" s="245" t="s">
        <v>93</v>
      </c>
      <c r="C67" s="730">
        <v>0</v>
      </c>
      <c r="D67" s="730">
        <v>0</v>
      </c>
      <c r="E67" s="730">
        <v>0</v>
      </c>
      <c r="F67" s="730">
        <v>0</v>
      </c>
      <c r="G67" s="730">
        <v>0</v>
      </c>
      <c r="H67" s="730">
        <v>0</v>
      </c>
      <c r="I67" s="730">
        <v>0</v>
      </c>
      <c r="J67" s="730">
        <v>0</v>
      </c>
      <c r="K67" s="730">
        <v>0</v>
      </c>
      <c r="L67" s="730">
        <v>0</v>
      </c>
      <c r="M67" s="730">
        <v>0</v>
      </c>
      <c r="N67" s="730">
        <v>0</v>
      </c>
      <c r="O67" s="730">
        <v>0</v>
      </c>
      <c r="P67" s="730">
        <v>0</v>
      </c>
      <c r="Q67" s="728">
        <v>8844</v>
      </c>
      <c r="R67" s="728">
        <v>7499</v>
      </c>
      <c r="S67" s="728">
        <v>70819</v>
      </c>
      <c r="T67" s="728">
        <v>45116</v>
      </c>
      <c r="U67" s="728">
        <v>0</v>
      </c>
      <c r="V67" s="728">
        <v>0</v>
      </c>
      <c r="W67" s="728">
        <v>0</v>
      </c>
      <c r="X67" s="728">
        <v>0</v>
      </c>
      <c r="Y67" s="730">
        <v>0</v>
      </c>
      <c r="Z67" s="728">
        <v>0</v>
      </c>
      <c r="AA67" s="728">
        <v>38796</v>
      </c>
      <c r="AB67" s="728">
        <v>23798</v>
      </c>
      <c r="AC67" s="728">
        <v>0</v>
      </c>
      <c r="AD67" s="728">
        <v>0</v>
      </c>
      <c r="AE67" s="728">
        <v>0</v>
      </c>
      <c r="AF67" s="728">
        <v>0</v>
      </c>
      <c r="AG67" s="728">
        <v>20748</v>
      </c>
      <c r="AH67" s="728">
        <v>16045</v>
      </c>
      <c r="AI67" s="730">
        <v>14430</v>
      </c>
      <c r="AJ67" s="730">
        <v>8658</v>
      </c>
      <c r="AK67" s="728" t="s">
        <v>165</v>
      </c>
      <c r="AL67" s="728" t="s">
        <v>165</v>
      </c>
      <c r="AM67" s="728" t="s">
        <v>165</v>
      </c>
      <c r="AN67" s="728" t="s">
        <v>165</v>
      </c>
    </row>
    <row r="68" spans="1:40">
      <c r="A68" s="388" t="s">
        <v>150</v>
      </c>
      <c r="B68" s="245" t="s">
        <v>93</v>
      </c>
      <c r="C68" s="730">
        <v>0</v>
      </c>
      <c r="D68" s="730">
        <v>0</v>
      </c>
      <c r="E68" s="730">
        <v>0</v>
      </c>
      <c r="F68" s="730">
        <v>0</v>
      </c>
      <c r="G68" s="730">
        <v>0</v>
      </c>
      <c r="H68" s="730">
        <v>0</v>
      </c>
      <c r="I68" s="730">
        <v>0</v>
      </c>
      <c r="J68" s="730">
        <v>0</v>
      </c>
      <c r="K68" s="730">
        <v>0</v>
      </c>
      <c r="L68" s="730">
        <v>0</v>
      </c>
      <c r="M68" s="730">
        <v>0</v>
      </c>
      <c r="N68" s="730">
        <v>0</v>
      </c>
      <c r="O68" s="730">
        <v>0</v>
      </c>
      <c r="P68" s="730">
        <v>0</v>
      </c>
      <c r="Q68" s="728">
        <v>0</v>
      </c>
      <c r="R68" s="728">
        <v>0</v>
      </c>
      <c r="S68" s="728">
        <v>88</v>
      </c>
      <c r="T68" s="728">
        <v>17138</v>
      </c>
      <c r="U68" s="728">
        <v>285</v>
      </c>
      <c r="V68" s="728">
        <v>977</v>
      </c>
      <c r="W68" s="728">
        <v>5561</v>
      </c>
      <c r="X68" s="728">
        <v>19639</v>
      </c>
      <c r="Y68" s="730">
        <v>0</v>
      </c>
      <c r="Z68" s="728">
        <v>0</v>
      </c>
      <c r="AA68" s="730">
        <v>0</v>
      </c>
      <c r="AB68" s="728">
        <v>0</v>
      </c>
      <c r="AC68" s="730">
        <v>0</v>
      </c>
      <c r="AD68" s="728">
        <v>0</v>
      </c>
      <c r="AE68" s="730">
        <v>0</v>
      </c>
      <c r="AF68" s="728">
        <v>0</v>
      </c>
      <c r="AG68" s="730">
        <v>0</v>
      </c>
      <c r="AH68" s="728">
        <v>0</v>
      </c>
      <c r="AI68" s="730">
        <v>0</v>
      </c>
      <c r="AJ68" s="728">
        <v>0</v>
      </c>
      <c r="AK68" s="728" t="s">
        <v>165</v>
      </c>
      <c r="AL68" s="728" t="s">
        <v>165</v>
      </c>
      <c r="AM68" s="728" t="s">
        <v>165</v>
      </c>
      <c r="AN68" s="728" t="s">
        <v>165</v>
      </c>
    </row>
    <row r="69" spans="1:40">
      <c r="A69" s="388" t="s">
        <v>151</v>
      </c>
      <c r="B69" s="245" t="s">
        <v>93</v>
      </c>
      <c r="C69" s="730">
        <v>0</v>
      </c>
      <c r="D69" s="730">
        <v>0</v>
      </c>
      <c r="E69" s="730">
        <v>21</v>
      </c>
      <c r="F69" s="730">
        <v>14</v>
      </c>
      <c r="G69" s="730">
        <v>0</v>
      </c>
      <c r="H69" s="730">
        <v>0</v>
      </c>
      <c r="I69" s="730">
        <v>0</v>
      </c>
      <c r="J69" s="730">
        <v>0</v>
      </c>
      <c r="K69" s="730">
        <v>0</v>
      </c>
      <c r="L69" s="730">
        <v>0</v>
      </c>
      <c r="M69" s="730">
        <v>0</v>
      </c>
      <c r="N69" s="730">
        <v>0</v>
      </c>
      <c r="O69" s="730">
        <v>0</v>
      </c>
      <c r="P69" s="730">
        <v>0</v>
      </c>
      <c r="Q69" s="730">
        <v>0</v>
      </c>
      <c r="R69" s="730">
        <v>0</v>
      </c>
      <c r="S69" s="730">
        <v>0</v>
      </c>
      <c r="T69" s="730">
        <v>0</v>
      </c>
      <c r="U69" s="730">
        <v>0</v>
      </c>
      <c r="V69" s="730">
        <v>0</v>
      </c>
      <c r="W69" s="730">
        <v>0</v>
      </c>
      <c r="X69" s="730">
        <v>0</v>
      </c>
      <c r="Y69" s="730">
        <v>0</v>
      </c>
      <c r="Z69" s="730">
        <v>0</v>
      </c>
      <c r="AA69" s="730">
        <v>0</v>
      </c>
      <c r="AB69" s="730">
        <v>0</v>
      </c>
      <c r="AC69" s="730">
        <v>0</v>
      </c>
      <c r="AD69" s="730">
        <v>0</v>
      </c>
      <c r="AE69" s="730">
        <v>0</v>
      </c>
      <c r="AF69" s="730">
        <v>0</v>
      </c>
      <c r="AG69" s="730">
        <v>0</v>
      </c>
      <c r="AH69" s="730">
        <v>0</v>
      </c>
      <c r="AI69" s="730">
        <v>0</v>
      </c>
      <c r="AJ69" s="730">
        <v>0</v>
      </c>
      <c r="AK69" s="728" t="s">
        <v>165</v>
      </c>
      <c r="AL69" s="728" t="s">
        <v>165</v>
      </c>
      <c r="AM69" s="728" t="s">
        <v>165</v>
      </c>
      <c r="AN69" s="728" t="s">
        <v>165</v>
      </c>
    </row>
    <row r="70" spans="1:40">
      <c r="A70" s="388" t="s">
        <v>155</v>
      </c>
      <c r="B70" s="245" t="s">
        <v>93</v>
      </c>
      <c r="C70" s="730">
        <v>0</v>
      </c>
      <c r="D70" s="730">
        <v>0</v>
      </c>
      <c r="E70" s="730">
        <v>0</v>
      </c>
      <c r="F70" s="730">
        <v>0</v>
      </c>
      <c r="G70" s="730">
        <v>0</v>
      </c>
      <c r="H70" s="730">
        <v>0</v>
      </c>
      <c r="I70" s="730">
        <v>0</v>
      </c>
      <c r="J70" s="730">
        <v>0</v>
      </c>
      <c r="K70" s="730">
        <v>0</v>
      </c>
      <c r="L70" s="730">
        <v>0</v>
      </c>
      <c r="M70" s="730">
        <v>0</v>
      </c>
      <c r="N70" s="730">
        <v>0</v>
      </c>
      <c r="O70" s="730">
        <v>0</v>
      </c>
      <c r="P70" s="730">
        <v>0</v>
      </c>
      <c r="Q70" s="730">
        <v>0</v>
      </c>
      <c r="R70" s="730">
        <v>0</v>
      </c>
      <c r="S70" s="730">
        <v>0</v>
      </c>
      <c r="T70" s="730">
        <v>0</v>
      </c>
      <c r="U70" s="730">
        <v>0</v>
      </c>
      <c r="V70" s="730">
        <v>0</v>
      </c>
      <c r="W70" s="730">
        <v>0</v>
      </c>
      <c r="X70" s="730">
        <v>0</v>
      </c>
      <c r="Y70" s="730">
        <v>0</v>
      </c>
      <c r="Z70" s="730">
        <v>0</v>
      </c>
      <c r="AA70" s="730">
        <v>0</v>
      </c>
      <c r="AB70" s="730">
        <v>0</v>
      </c>
      <c r="AC70" s="730">
        <v>0</v>
      </c>
      <c r="AD70" s="730">
        <v>0</v>
      </c>
      <c r="AE70" s="730">
        <v>0</v>
      </c>
      <c r="AF70" s="730">
        <v>0</v>
      </c>
      <c r="AG70" s="730">
        <v>0</v>
      </c>
      <c r="AH70" s="730">
        <v>0</v>
      </c>
      <c r="AI70" s="730">
        <v>0</v>
      </c>
      <c r="AJ70" s="730">
        <v>0</v>
      </c>
      <c r="AK70" s="728" t="s">
        <v>165</v>
      </c>
      <c r="AL70" s="728" t="s">
        <v>165</v>
      </c>
      <c r="AM70" s="728" t="s">
        <v>165</v>
      </c>
      <c r="AN70" s="728" t="s">
        <v>165</v>
      </c>
    </row>
    <row r="71" spans="1:40">
      <c r="A71" s="388" t="s">
        <v>156</v>
      </c>
      <c r="B71" s="245" t="s">
        <v>67</v>
      </c>
      <c r="C71" s="730">
        <v>0</v>
      </c>
      <c r="D71" s="730">
        <v>0</v>
      </c>
      <c r="E71" s="730">
        <v>54</v>
      </c>
      <c r="F71" s="730">
        <v>50214</v>
      </c>
      <c r="G71" s="730">
        <v>0</v>
      </c>
      <c r="H71" s="730">
        <v>0</v>
      </c>
      <c r="I71" s="730">
        <v>0</v>
      </c>
      <c r="J71" s="730">
        <v>0</v>
      </c>
      <c r="K71" s="730">
        <v>0</v>
      </c>
      <c r="L71" s="730">
        <v>0</v>
      </c>
      <c r="M71" s="730">
        <v>0</v>
      </c>
      <c r="N71" s="730">
        <v>0</v>
      </c>
      <c r="O71" s="730">
        <v>0</v>
      </c>
      <c r="P71" s="730">
        <v>0</v>
      </c>
      <c r="Q71" s="730">
        <v>0</v>
      </c>
      <c r="R71" s="730">
        <v>0</v>
      </c>
      <c r="S71" s="730">
        <v>0</v>
      </c>
      <c r="T71" s="730">
        <v>0</v>
      </c>
      <c r="U71" s="730">
        <v>0</v>
      </c>
      <c r="V71" s="730">
        <v>0</v>
      </c>
      <c r="W71" s="730">
        <v>0</v>
      </c>
      <c r="X71" s="730">
        <v>0</v>
      </c>
      <c r="Y71" s="730">
        <v>0</v>
      </c>
      <c r="Z71" s="730">
        <v>0</v>
      </c>
      <c r="AA71" s="730">
        <v>0</v>
      </c>
      <c r="AB71" s="730">
        <v>0</v>
      </c>
      <c r="AC71" s="730">
        <v>0</v>
      </c>
      <c r="AD71" s="730">
        <v>0</v>
      </c>
      <c r="AE71" s="730">
        <v>0</v>
      </c>
      <c r="AF71" s="730">
        <v>0</v>
      </c>
      <c r="AG71" s="730">
        <v>0</v>
      </c>
      <c r="AH71" s="730">
        <v>0</v>
      </c>
      <c r="AI71" s="730">
        <v>0</v>
      </c>
      <c r="AJ71" s="730">
        <v>0</v>
      </c>
      <c r="AK71" s="728" t="s">
        <v>165</v>
      </c>
      <c r="AL71" s="728" t="s">
        <v>165</v>
      </c>
      <c r="AM71" s="728" t="s">
        <v>165</v>
      </c>
      <c r="AN71" s="728" t="s">
        <v>165</v>
      </c>
    </row>
    <row r="72" spans="1:40">
      <c r="A72" s="388" t="s">
        <v>157</v>
      </c>
      <c r="B72" s="245" t="s">
        <v>93</v>
      </c>
      <c r="C72" s="730">
        <v>0</v>
      </c>
      <c r="D72" s="730">
        <v>0</v>
      </c>
      <c r="E72" s="730">
        <v>0</v>
      </c>
      <c r="F72" s="730">
        <v>0</v>
      </c>
      <c r="G72" s="730">
        <v>0</v>
      </c>
      <c r="H72" s="730">
        <v>0</v>
      </c>
      <c r="I72" s="730">
        <v>0</v>
      </c>
      <c r="J72" s="730">
        <v>0</v>
      </c>
      <c r="K72" s="730">
        <v>0</v>
      </c>
      <c r="L72" s="730">
        <v>0</v>
      </c>
      <c r="M72" s="730">
        <v>0</v>
      </c>
      <c r="N72" s="730">
        <v>0</v>
      </c>
      <c r="O72" s="730">
        <v>0</v>
      </c>
      <c r="P72" s="730">
        <v>0</v>
      </c>
      <c r="Q72" s="728">
        <v>0</v>
      </c>
      <c r="R72" s="728">
        <v>0</v>
      </c>
      <c r="S72" s="728">
        <v>1960</v>
      </c>
      <c r="T72" s="728">
        <v>7415</v>
      </c>
      <c r="U72" s="728">
        <v>0</v>
      </c>
      <c r="V72" s="728">
        <v>0</v>
      </c>
      <c r="W72" s="728">
        <v>0</v>
      </c>
      <c r="X72" s="728">
        <v>0</v>
      </c>
      <c r="Y72" s="728">
        <v>0</v>
      </c>
      <c r="Z72" s="728">
        <v>0</v>
      </c>
      <c r="AA72" s="728">
        <v>0</v>
      </c>
      <c r="AB72" s="728">
        <v>0</v>
      </c>
      <c r="AC72" s="728">
        <v>0</v>
      </c>
      <c r="AD72" s="728">
        <v>0</v>
      </c>
      <c r="AE72" s="728">
        <v>0</v>
      </c>
      <c r="AF72" s="728">
        <v>0</v>
      </c>
      <c r="AG72" s="728">
        <v>0</v>
      </c>
      <c r="AH72" s="728">
        <v>0</v>
      </c>
      <c r="AI72" s="728">
        <v>0</v>
      </c>
      <c r="AJ72" s="728">
        <v>0</v>
      </c>
      <c r="AK72" s="728" t="s">
        <v>165</v>
      </c>
      <c r="AL72" s="728" t="s">
        <v>165</v>
      </c>
      <c r="AM72" s="728" t="s">
        <v>165</v>
      </c>
      <c r="AN72" s="728" t="s">
        <v>165</v>
      </c>
    </row>
    <row r="73" spans="1:40">
      <c r="A73" s="388" t="s">
        <v>158</v>
      </c>
      <c r="B73" s="245" t="s">
        <v>93</v>
      </c>
      <c r="C73" s="730">
        <v>0</v>
      </c>
      <c r="D73" s="730">
        <v>0</v>
      </c>
      <c r="E73" s="730">
        <v>0</v>
      </c>
      <c r="F73" s="730">
        <v>0</v>
      </c>
      <c r="G73" s="730">
        <v>0</v>
      </c>
      <c r="H73" s="730">
        <v>0</v>
      </c>
      <c r="I73" s="730">
        <v>0</v>
      </c>
      <c r="J73" s="730">
        <v>0</v>
      </c>
      <c r="K73" s="730">
        <v>0</v>
      </c>
      <c r="L73" s="730">
        <v>0</v>
      </c>
      <c r="M73" s="730">
        <v>0</v>
      </c>
      <c r="N73" s="730">
        <v>0</v>
      </c>
      <c r="O73" s="730">
        <v>0</v>
      </c>
      <c r="P73" s="730">
        <v>0</v>
      </c>
      <c r="Q73" s="730">
        <v>0</v>
      </c>
      <c r="R73" s="730">
        <v>0</v>
      </c>
      <c r="S73" s="728">
        <v>1863</v>
      </c>
      <c r="T73" s="728">
        <v>7550</v>
      </c>
      <c r="U73" s="728">
        <v>0</v>
      </c>
      <c r="V73" s="728">
        <v>0</v>
      </c>
      <c r="W73" s="728">
        <v>441</v>
      </c>
      <c r="X73" s="728">
        <v>3996</v>
      </c>
      <c r="Y73" s="730">
        <v>25700</v>
      </c>
      <c r="Z73" s="728">
        <v>33314</v>
      </c>
      <c r="AA73" s="728">
        <v>28730</v>
      </c>
      <c r="AB73" s="728">
        <v>17238</v>
      </c>
      <c r="AC73" s="728">
        <v>0</v>
      </c>
      <c r="AD73" s="728">
        <v>0</v>
      </c>
      <c r="AE73" s="728">
        <v>0</v>
      </c>
      <c r="AF73" s="728">
        <v>0</v>
      </c>
      <c r="AG73" s="728">
        <v>100.09</v>
      </c>
      <c r="AH73" s="728">
        <v>60054</v>
      </c>
      <c r="AI73" s="730">
        <v>111830</v>
      </c>
      <c r="AJ73" s="730">
        <v>67098</v>
      </c>
      <c r="AK73" s="728" t="s">
        <v>165</v>
      </c>
      <c r="AL73" s="728" t="s">
        <v>165</v>
      </c>
      <c r="AM73" s="728" t="s">
        <v>165</v>
      </c>
      <c r="AN73" s="728" t="s">
        <v>165</v>
      </c>
    </row>
    <row r="74" spans="1:40">
      <c r="A74" s="388" t="s">
        <v>159</v>
      </c>
      <c r="B74" s="245" t="s">
        <v>93</v>
      </c>
      <c r="C74" s="730">
        <v>0</v>
      </c>
      <c r="D74" s="730">
        <v>0</v>
      </c>
      <c r="E74" s="730">
        <v>0</v>
      </c>
      <c r="F74" s="730">
        <v>0</v>
      </c>
      <c r="G74" s="730">
        <v>0</v>
      </c>
      <c r="H74" s="730">
        <v>0</v>
      </c>
      <c r="I74" s="730">
        <v>0</v>
      </c>
      <c r="J74" s="730">
        <v>0</v>
      </c>
      <c r="K74" s="728">
        <v>1260</v>
      </c>
      <c r="L74" s="728">
        <v>12600</v>
      </c>
      <c r="M74" s="730">
        <v>0</v>
      </c>
      <c r="N74" s="730">
        <v>0</v>
      </c>
      <c r="O74" s="730">
        <v>0</v>
      </c>
      <c r="P74" s="730">
        <v>0</v>
      </c>
      <c r="Q74" s="730">
        <v>0</v>
      </c>
      <c r="R74" s="730">
        <v>0</v>
      </c>
      <c r="S74" s="730">
        <v>0</v>
      </c>
      <c r="T74" s="730">
        <v>0</v>
      </c>
      <c r="U74" s="730">
        <v>0</v>
      </c>
      <c r="V74" s="730">
        <v>0</v>
      </c>
      <c r="W74" s="730">
        <v>0</v>
      </c>
      <c r="X74" s="730">
        <v>0</v>
      </c>
      <c r="Y74" s="730">
        <v>0</v>
      </c>
      <c r="Z74" s="730">
        <v>0</v>
      </c>
      <c r="AA74" s="730">
        <v>0</v>
      </c>
      <c r="AB74" s="730">
        <v>0</v>
      </c>
      <c r="AC74" s="730">
        <v>0</v>
      </c>
      <c r="AD74" s="730">
        <v>0</v>
      </c>
      <c r="AE74" s="730">
        <v>0</v>
      </c>
      <c r="AF74" s="730">
        <v>0</v>
      </c>
      <c r="AG74" s="730">
        <v>0</v>
      </c>
      <c r="AH74" s="730">
        <v>0</v>
      </c>
      <c r="AI74" s="730">
        <v>0</v>
      </c>
      <c r="AJ74" s="730">
        <v>0</v>
      </c>
      <c r="AK74" s="728" t="s">
        <v>165</v>
      </c>
      <c r="AL74" s="728" t="s">
        <v>165</v>
      </c>
      <c r="AM74" s="728" t="s">
        <v>165</v>
      </c>
      <c r="AN74" s="728" t="s">
        <v>165</v>
      </c>
    </row>
    <row r="75" spans="1:40">
      <c r="A75" s="389" t="s">
        <v>160</v>
      </c>
      <c r="B75" s="244"/>
      <c r="C75" s="728"/>
      <c r="D75" s="728">
        <f>SUM(D62:D74)</f>
        <v>90368</v>
      </c>
      <c r="E75" s="728"/>
      <c r="F75" s="728">
        <f>SUM(F62:F74)</f>
        <v>102629</v>
      </c>
      <c r="G75" s="728"/>
      <c r="H75" s="728">
        <f>SUM(H62:H74)</f>
        <v>197284</v>
      </c>
      <c r="I75" s="728"/>
      <c r="J75" s="728">
        <f>SUM(J62:J74)</f>
        <v>195500</v>
      </c>
      <c r="K75" s="730"/>
      <c r="L75" s="730">
        <f>SUM(L62:L74)</f>
        <v>213226</v>
      </c>
      <c r="M75" s="728"/>
      <c r="N75" s="728">
        <f>SUM(N62:N74)</f>
        <v>69978</v>
      </c>
      <c r="O75" s="728"/>
      <c r="P75" s="730">
        <f>SUM(P63:P63)</f>
        <v>131426</v>
      </c>
      <c r="Q75" s="730"/>
      <c r="R75" s="730">
        <v>477658</v>
      </c>
      <c r="S75" s="728"/>
      <c r="T75" s="730">
        <v>1866980</v>
      </c>
      <c r="U75" s="728"/>
      <c r="V75" s="728">
        <v>1234699</v>
      </c>
      <c r="W75" s="728"/>
      <c r="X75" s="728">
        <v>1434054</v>
      </c>
      <c r="Y75" s="728"/>
      <c r="Z75" s="728">
        <v>100470</v>
      </c>
      <c r="AA75" s="728"/>
      <c r="AB75" s="728">
        <f>SUM(AB62:AB73)</f>
        <v>77305</v>
      </c>
      <c r="AC75" s="729"/>
      <c r="AD75" s="728">
        <v>12963</v>
      </c>
      <c r="AE75" s="728"/>
      <c r="AF75" s="728"/>
      <c r="AG75" s="728"/>
      <c r="AH75" s="728">
        <v>95200</v>
      </c>
      <c r="AI75" s="728"/>
      <c r="AJ75" s="728">
        <v>134243</v>
      </c>
      <c r="AK75" s="728">
        <v>435280</v>
      </c>
      <c r="AL75" s="728">
        <v>403929</v>
      </c>
      <c r="AM75" s="728">
        <v>180298</v>
      </c>
      <c r="AN75" s="728">
        <v>227714</v>
      </c>
    </row>
    <row r="76" spans="1:40">
      <c r="A76" s="257"/>
      <c r="B76" s="246"/>
      <c r="C76" s="724"/>
      <c r="D76" s="724"/>
      <c r="E76" s="724"/>
      <c r="F76" s="724"/>
      <c r="G76" s="724"/>
      <c r="H76" s="724"/>
      <c r="I76" s="724"/>
      <c r="J76" s="724"/>
      <c r="K76" s="723"/>
      <c r="L76" s="723"/>
      <c r="M76" s="723"/>
      <c r="N76" s="723"/>
      <c r="O76" s="723"/>
      <c r="P76" s="723"/>
      <c r="Q76" s="723"/>
      <c r="R76" s="723"/>
      <c r="S76" s="724"/>
      <c r="T76" s="723"/>
      <c r="U76" s="724"/>
      <c r="V76" s="723"/>
      <c r="W76" s="724"/>
      <c r="X76" s="723"/>
      <c r="Y76" s="724"/>
      <c r="Z76" s="723"/>
      <c r="AA76" s="724"/>
      <c r="AB76" s="724"/>
      <c r="AC76" s="725"/>
      <c r="AD76" s="724"/>
      <c r="AE76" s="724"/>
      <c r="AF76" s="724"/>
      <c r="AG76" s="724"/>
      <c r="AH76" s="724"/>
      <c r="AI76" s="724"/>
      <c r="AJ76" s="723"/>
      <c r="AK76" s="723"/>
      <c r="AL76" s="723"/>
      <c r="AM76" s="724"/>
      <c r="AN76" s="723"/>
    </row>
    <row r="77" spans="1:40">
      <c r="A77" s="261" t="s">
        <v>162</v>
      </c>
      <c r="B77" s="127" t="s">
        <v>93</v>
      </c>
      <c r="C77" s="183">
        <v>37425</v>
      </c>
      <c r="D77" s="183">
        <v>508891876</v>
      </c>
      <c r="E77" s="183">
        <v>46287</v>
      </c>
      <c r="F77" s="183">
        <v>710655104</v>
      </c>
      <c r="G77" s="183">
        <v>64911</v>
      </c>
      <c r="H77" s="183">
        <v>1300079190</v>
      </c>
      <c r="I77" s="214">
        <v>90546</v>
      </c>
      <c r="J77" s="214">
        <v>1843770410</v>
      </c>
      <c r="K77" s="214">
        <v>130565</v>
      </c>
      <c r="L77" s="214">
        <v>2072691840</v>
      </c>
      <c r="M77" s="214">
        <v>161789</v>
      </c>
      <c r="N77" s="214">
        <v>2596453778</v>
      </c>
      <c r="O77" s="183">
        <v>181175</v>
      </c>
      <c r="P77" s="183">
        <v>2762816830</v>
      </c>
      <c r="Q77" s="183">
        <v>182042.864</v>
      </c>
      <c r="R77" s="183">
        <v>2689922065.1066504</v>
      </c>
      <c r="S77" s="214">
        <v>179800.1580467186</v>
      </c>
      <c r="T77" s="214">
        <v>2834190199.1441336</v>
      </c>
      <c r="U77" s="214">
        <v>193599</v>
      </c>
      <c r="V77" s="214">
        <v>3415060358</v>
      </c>
      <c r="W77" s="194">
        <v>187848</v>
      </c>
      <c r="X77" s="194">
        <v>3132866624</v>
      </c>
      <c r="Y77" s="183">
        <v>205889</v>
      </c>
      <c r="Z77" s="194">
        <v>3404646735</v>
      </c>
      <c r="AA77" s="194">
        <v>228021.62029211895</v>
      </c>
      <c r="AB77" s="194">
        <v>3409613840.042223</v>
      </c>
      <c r="AC77" s="194">
        <v>239456</v>
      </c>
      <c r="AD77" s="194">
        <v>3468954490</v>
      </c>
      <c r="AE77" s="194">
        <v>219258.32447076053</v>
      </c>
      <c r="AF77" s="194">
        <v>3219516923.8099003</v>
      </c>
      <c r="AG77" s="194">
        <v>204959.06826328571</v>
      </c>
      <c r="AH77" s="194">
        <v>2951257682.7412167</v>
      </c>
      <c r="AI77" s="183">
        <v>201205</v>
      </c>
      <c r="AJ77" s="183">
        <v>3245063559</v>
      </c>
      <c r="AK77" s="183">
        <v>184998</v>
      </c>
      <c r="AL77" s="183">
        <v>3279499524</v>
      </c>
      <c r="AM77" s="183">
        <v>187474</v>
      </c>
      <c r="AN77" s="183">
        <v>3445336712</v>
      </c>
    </row>
    <row r="78" spans="1:40">
      <c r="A78" s="131"/>
      <c r="B78" s="127"/>
      <c r="C78" s="183"/>
      <c r="D78" s="183"/>
      <c r="E78" s="183"/>
      <c r="F78" s="183"/>
      <c r="G78" s="183"/>
      <c r="H78" s="183"/>
      <c r="I78" s="183"/>
      <c r="J78" s="183"/>
      <c r="K78" s="214"/>
      <c r="L78" s="214"/>
      <c r="M78" s="214"/>
      <c r="N78" s="214"/>
      <c r="O78" s="183"/>
      <c r="P78" s="183"/>
      <c r="Q78" s="183"/>
      <c r="R78" s="183"/>
      <c r="S78" s="727"/>
      <c r="T78" s="727"/>
      <c r="U78" s="727"/>
      <c r="V78" s="727"/>
      <c r="W78" s="727"/>
      <c r="X78" s="727"/>
      <c r="Y78" s="727"/>
      <c r="Z78" s="727"/>
      <c r="AA78" s="194"/>
      <c r="AB78" s="194"/>
      <c r="AC78" s="214"/>
      <c r="AD78" s="214"/>
      <c r="AE78" s="194"/>
      <c r="AF78" s="194"/>
      <c r="AG78" s="194"/>
      <c r="AH78" s="194"/>
      <c r="AI78" s="183"/>
      <c r="AJ78" s="183"/>
      <c r="AK78" s="183"/>
      <c r="AL78" s="183"/>
      <c r="AM78" s="183"/>
      <c r="AN78" s="183"/>
    </row>
    <row r="79" spans="1:40">
      <c r="A79" s="387" t="s">
        <v>164</v>
      </c>
      <c r="B79" s="245" t="s">
        <v>67</v>
      </c>
      <c r="C79" s="730">
        <v>545151</v>
      </c>
      <c r="D79" s="730">
        <v>6169189</v>
      </c>
      <c r="E79" s="730">
        <v>348639</v>
      </c>
      <c r="F79" s="730">
        <v>3908872</v>
      </c>
      <c r="G79" s="730">
        <v>233404</v>
      </c>
      <c r="H79" s="730">
        <v>2673698</v>
      </c>
      <c r="I79" s="728">
        <v>99162</v>
      </c>
      <c r="J79" s="728">
        <v>947660</v>
      </c>
      <c r="K79" s="728">
        <v>165967</v>
      </c>
      <c r="L79" s="728">
        <v>1326387</v>
      </c>
      <c r="M79" s="728">
        <v>154809</v>
      </c>
      <c r="N79" s="728">
        <v>995281</v>
      </c>
      <c r="O79" s="730">
        <v>82520</v>
      </c>
      <c r="P79" s="730">
        <v>612778</v>
      </c>
      <c r="Q79" s="730">
        <v>101822</v>
      </c>
      <c r="R79" s="730">
        <v>1041012</v>
      </c>
      <c r="S79" s="728">
        <v>124486</v>
      </c>
      <c r="T79" s="730">
        <v>1100095</v>
      </c>
      <c r="U79" s="728">
        <v>195158</v>
      </c>
      <c r="V79" s="730">
        <v>2071423</v>
      </c>
      <c r="W79" s="728">
        <v>229617</v>
      </c>
      <c r="X79" s="728">
        <v>2658560</v>
      </c>
      <c r="Y79" s="730">
        <v>252910</v>
      </c>
      <c r="Z79" s="728">
        <v>2451768</v>
      </c>
      <c r="AA79" s="728">
        <v>251909</v>
      </c>
      <c r="AB79" s="728">
        <v>2642427</v>
      </c>
      <c r="AC79" s="728">
        <v>834946</v>
      </c>
      <c r="AD79" s="728">
        <v>14337774</v>
      </c>
      <c r="AE79" s="728">
        <v>1261538</v>
      </c>
      <c r="AF79" s="728">
        <v>21767354</v>
      </c>
      <c r="AG79" s="728">
        <v>1336915.93</v>
      </c>
      <c r="AH79" s="728">
        <v>23394311</v>
      </c>
      <c r="AI79" s="730">
        <v>947380</v>
      </c>
      <c r="AJ79" s="730">
        <v>18470170</v>
      </c>
      <c r="AK79" s="730">
        <v>1346341</v>
      </c>
      <c r="AL79" s="730">
        <v>25704569</v>
      </c>
      <c r="AM79" s="730">
        <v>1458625</v>
      </c>
      <c r="AN79" s="730">
        <v>24786306</v>
      </c>
    </row>
    <row r="80" spans="1:40">
      <c r="A80" s="247"/>
      <c r="B80" s="248"/>
      <c r="C80" s="723"/>
      <c r="D80" s="723"/>
      <c r="E80" s="723"/>
      <c r="F80" s="723"/>
      <c r="G80" s="723"/>
      <c r="H80" s="723"/>
      <c r="I80" s="723"/>
      <c r="J80" s="723"/>
      <c r="K80" s="724"/>
      <c r="L80" s="724"/>
      <c r="M80" s="724"/>
      <c r="N80" s="724"/>
      <c r="O80" s="723"/>
      <c r="P80" s="723"/>
      <c r="Q80" s="723"/>
      <c r="R80" s="723"/>
      <c r="S80" s="723"/>
      <c r="T80" s="723"/>
      <c r="U80" s="723"/>
      <c r="V80" s="723"/>
      <c r="W80" s="723"/>
      <c r="X80" s="723"/>
      <c r="Y80" s="723"/>
      <c r="Z80" s="723"/>
      <c r="AA80" s="724"/>
      <c r="AB80" s="724"/>
      <c r="AC80" s="724"/>
      <c r="AD80" s="724"/>
      <c r="AE80" s="724"/>
      <c r="AF80" s="724"/>
      <c r="AG80" s="724"/>
      <c r="AH80" s="724"/>
      <c r="AI80" s="723"/>
      <c r="AJ80" s="723"/>
      <c r="AK80" s="723"/>
      <c r="AL80" s="723"/>
      <c r="AM80" s="723"/>
      <c r="AN80" s="723"/>
    </row>
    <row r="81" spans="1:40">
      <c r="A81" s="261" t="s">
        <v>600</v>
      </c>
      <c r="B81" s="225"/>
      <c r="C81" s="194"/>
      <c r="D81" s="194"/>
      <c r="E81" s="194"/>
      <c r="F81" s="194"/>
      <c r="G81" s="194"/>
      <c r="H81" s="194"/>
      <c r="I81" s="194"/>
      <c r="J81" s="194"/>
      <c r="K81" s="214"/>
      <c r="L81" s="214"/>
      <c r="M81" s="214"/>
      <c r="N81" s="214"/>
      <c r="O81" s="183"/>
      <c r="P81" s="183"/>
      <c r="Q81" s="183"/>
      <c r="R81" s="183"/>
      <c r="S81" s="727"/>
      <c r="T81" s="727"/>
      <c r="U81" s="727"/>
      <c r="V81" s="727"/>
      <c r="W81" s="183"/>
      <c r="X81" s="183"/>
      <c r="Y81" s="183"/>
      <c r="Z81" s="183"/>
      <c r="AA81" s="194"/>
      <c r="AB81" s="194"/>
      <c r="AC81" s="194"/>
      <c r="AD81" s="194"/>
      <c r="AE81" s="194"/>
      <c r="AF81" s="194"/>
      <c r="AG81" s="194"/>
      <c r="AH81" s="194"/>
      <c r="AI81" s="183"/>
      <c r="AJ81" s="183"/>
      <c r="AK81" s="183"/>
      <c r="AL81" s="183"/>
      <c r="AM81" s="183"/>
      <c r="AN81" s="183"/>
    </row>
    <row r="82" spans="1:40">
      <c r="A82" s="262" t="s">
        <v>220</v>
      </c>
      <c r="B82" s="127" t="s">
        <v>67</v>
      </c>
      <c r="C82" s="183">
        <v>4269</v>
      </c>
      <c r="D82" s="183">
        <v>149459</v>
      </c>
      <c r="E82" s="183">
        <v>8166</v>
      </c>
      <c r="F82" s="183">
        <v>285810</v>
      </c>
      <c r="G82" s="183">
        <v>12122</v>
      </c>
      <c r="H82" s="183">
        <v>427334</v>
      </c>
      <c r="I82" s="214">
        <v>17890</v>
      </c>
      <c r="J82" s="214">
        <v>630044</v>
      </c>
      <c r="K82" s="214">
        <v>26069</v>
      </c>
      <c r="L82" s="214">
        <v>977265</v>
      </c>
      <c r="M82" s="214">
        <v>27768</v>
      </c>
      <c r="N82" s="214">
        <v>1152128</v>
      </c>
      <c r="O82" s="727">
        <v>22141</v>
      </c>
      <c r="P82" s="727">
        <v>2071178</v>
      </c>
      <c r="Q82" s="183">
        <v>35993</v>
      </c>
      <c r="R82" s="183">
        <v>3385985</v>
      </c>
      <c r="S82" s="214">
        <v>42517</v>
      </c>
      <c r="T82" s="214">
        <v>4038822</v>
      </c>
      <c r="U82" s="214">
        <v>55962</v>
      </c>
      <c r="V82" s="214">
        <v>5320446</v>
      </c>
      <c r="W82" s="194">
        <v>71070</v>
      </c>
      <c r="X82" s="194">
        <v>6752553</v>
      </c>
      <c r="Y82" s="183">
        <v>83655</v>
      </c>
      <c r="Z82" s="194">
        <v>7948288</v>
      </c>
      <c r="AA82" s="194">
        <v>98456</v>
      </c>
      <c r="AB82" s="194">
        <v>11323354</v>
      </c>
      <c r="AC82" s="194">
        <v>116037</v>
      </c>
      <c r="AD82" s="194">
        <v>13644227</v>
      </c>
      <c r="AE82" s="194">
        <v>88579.665000000008</v>
      </c>
      <c r="AF82" s="194">
        <v>11313352.26</v>
      </c>
      <c r="AG82" s="194">
        <v>103814.68</v>
      </c>
      <c r="AH82" s="194">
        <v>12471320</v>
      </c>
      <c r="AI82" s="183">
        <v>111637</v>
      </c>
      <c r="AJ82" s="183" t="s">
        <v>165</v>
      </c>
      <c r="AK82" s="183">
        <v>102276</v>
      </c>
      <c r="AL82" s="183" t="s">
        <v>165</v>
      </c>
      <c r="AM82" s="183">
        <v>110972</v>
      </c>
      <c r="AN82" s="194" t="s">
        <v>165</v>
      </c>
    </row>
    <row r="83" spans="1:40">
      <c r="A83" s="262" t="s">
        <v>221</v>
      </c>
      <c r="B83" s="127" t="s">
        <v>67</v>
      </c>
      <c r="C83" s="183">
        <v>1187577</v>
      </c>
      <c r="D83" s="183"/>
      <c r="E83" s="183">
        <v>1050131</v>
      </c>
      <c r="F83" s="214"/>
      <c r="G83" s="183">
        <v>1038922</v>
      </c>
      <c r="H83" s="183">
        <v>57843880</v>
      </c>
      <c r="I83" s="214">
        <v>946494</v>
      </c>
      <c r="J83" s="214">
        <v>63934291</v>
      </c>
      <c r="K83" s="214">
        <v>874782</v>
      </c>
      <c r="L83" s="214">
        <v>67183462</v>
      </c>
      <c r="M83" s="214">
        <v>1071845</v>
      </c>
      <c r="N83" s="214">
        <v>89606326</v>
      </c>
      <c r="O83" s="727">
        <v>965930</v>
      </c>
      <c r="P83" s="727">
        <v>85482878</v>
      </c>
      <c r="Q83" s="183">
        <v>974801</v>
      </c>
      <c r="R83" s="183">
        <v>83153556</v>
      </c>
      <c r="S83" s="214">
        <v>990351</v>
      </c>
      <c r="T83" s="214">
        <v>81661030</v>
      </c>
      <c r="U83" s="214">
        <v>1069717</v>
      </c>
      <c r="V83" s="214">
        <v>92318841</v>
      </c>
      <c r="W83" s="194">
        <v>987018</v>
      </c>
      <c r="X83" s="194">
        <v>89648027</v>
      </c>
      <c r="Y83" s="183">
        <v>1101515</v>
      </c>
      <c r="Z83" s="194">
        <v>111179482</v>
      </c>
      <c r="AA83" s="194">
        <v>1100919</v>
      </c>
      <c r="AB83" s="194">
        <v>117284071</v>
      </c>
      <c r="AC83" s="194">
        <v>1313266</v>
      </c>
      <c r="AD83" s="194">
        <v>149137955</v>
      </c>
      <c r="AE83" s="194">
        <v>1319855.76</v>
      </c>
      <c r="AF83" s="194">
        <v>158587045.05000001</v>
      </c>
      <c r="AG83" s="194">
        <v>1161389</v>
      </c>
      <c r="AH83" s="194">
        <v>151655393</v>
      </c>
      <c r="AI83" s="183">
        <v>1088613</v>
      </c>
      <c r="AJ83" s="183">
        <v>168745136</v>
      </c>
      <c r="AK83" s="183">
        <v>801236</v>
      </c>
      <c r="AL83" s="183">
        <v>128753900</v>
      </c>
      <c r="AM83" s="183">
        <v>960367</v>
      </c>
      <c r="AN83" s="183">
        <v>136508821</v>
      </c>
    </row>
    <row r="84" spans="1:40">
      <c r="A84" s="262" t="s">
        <v>166</v>
      </c>
      <c r="B84" s="127" t="s">
        <v>67</v>
      </c>
      <c r="C84" s="183">
        <v>140</v>
      </c>
      <c r="D84" s="183">
        <v>55385867</v>
      </c>
      <c r="E84" s="214">
        <v>0</v>
      </c>
      <c r="F84" s="183">
        <v>59817919</v>
      </c>
      <c r="G84" s="183">
        <v>53</v>
      </c>
      <c r="H84" s="183">
        <v>13250</v>
      </c>
      <c r="I84" s="214">
        <v>0</v>
      </c>
      <c r="J84" s="214">
        <v>0</v>
      </c>
      <c r="K84" s="214">
        <v>0</v>
      </c>
      <c r="L84" s="214">
        <v>0</v>
      </c>
      <c r="M84" s="214">
        <v>0</v>
      </c>
      <c r="N84" s="214">
        <v>0</v>
      </c>
      <c r="O84" s="214">
        <v>0</v>
      </c>
      <c r="P84" s="214">
        <v>0</v>
      </c>
      <c r="Q84" s="214">
        <v>0</v>
      </c>
      <c r="R84" s="214">
        <v>0</v>
      </c>
      <c r="S84" s="214">
        <v>0</v>
      </c>
      <c r="T84" s="214">
        <v>0</v>
      </c>
      <c r="U84" s="214">
        <v>0</v>
      </c>
      <c r="V84" s="214">
        <v>0</v>
      </c>
      <c r="W84" s="214">
        <v>0</v>
      </c>
      <c r="X84" s="214">
        <v>0</v>
      </c>
      <c r="Y84" s="214">
        <v>0</v>
      </c>
      <c r="Z84" s="214">
        <v>0</v>
      </c>
      <c r="AA84" s="214">
        <v>0</v>
      </c>
      <c r="AB84" s="214">
        <v>0</v>
      </c>
      <c r="AC84" s="214">
        <v>0</v>
      </c>
      <c r="AD84" s="214">
        <v>0</v>
      </c>
      <c r="AE84" s="214">
        <v>0</v>
      </c>
      <c r="AF84" s="214">
        <v>0</v>
      </c>
      <c r="AG84" s="214">
        <v>0</v>
      </c>
      <c r="AH84" s="214">
        <v>0</v>
      </c>
      <c r="AI84" s="214">
        <v>0</v>
      </c>
      <c r="AJ84" s="214">
        <v>0</v>
      </c>
      <c r="AK84" s="183">
        <v>0</v>
      </c>
      <c r="AL84" s="183">
        <v>0</v>
      </c>
      <c r="AM84" s="183">
        <v>0</v>
      </c>
      <c r="AN84" s="183">
        <v>0</v>
      </c>
    </row>
    <row r="85" spans="1:40">
      <c r="A85" s="262" t="s">
        <v>271</v>
      </c>
      <c r="B85" s="127" t="s">
        <v>67</v>
      </c>
      <c r="C85" s="183">
        <v>69516</v>
      </c>
      <c r="D85" s="183"/>
      <c r="E85" s="183">
        <v>57818</v>
      </c>
      <c r="F85" s="183"/>
      <c r="G85" s="183">
        <v>61178</v>
      </c>
      <c r="H85" s="183">
        <v>22899652</v>
      </c>
      <c r="I85" s="214">
        <v>195504</v>
      </c>
      <c r="J85" s="214">
        <v>69996495</v>
      </c>
      <c r="K85" s="214">
        <v>227979</v>
      </c>
      <c r="L85" s="214">
        <v>95474088</v>
      </c>
      <c r="M85" s="214">
        <v>284109.11</v>
      </c>
      <c r="N85" s="214">
        <v>131107248</v>
      </c>
      <c r="O85" s="727">
        <v>263408</v>
      </c>
      <c r="P85" s="727">
        <v>131710093</v>
      </c>
      <c r="Q85" s="194">
        <v>305118</v>
      </c>
      <c r="R85" s="194">
        <v>153117864</v>
      </c>
      <c r="S85" s="214">
        <v>361421</v>
      </c>
      <c r="T85" s="214">
        <v>168546726</v>
      </c>
      <c r="U85" s="214">
        <v>332994</v>
      </c>
      <c r="V85" s="214">
        <v>153940432</v>
      </c>
      <c r="W85" s="194">
        <v>396275</v>
      </c>
      <c r="X85" s="194">
        <v>184625545</v>
      </c>
      <c r="Y85" s="183">
        <v>408521</v>
      </c>
      <c r="Z85" s="194">
        <v>199569466</v>
      </c>
      <c r="AA85" s="194">
        <v>413457</v>
      </c>
      <c r="AB85" s="194">
        <v>205199238</v>
      </c>
      <c r="AC85" s="194">
        <v>467258</v>
      </c>
      <c r="AD85" s="194">
        <v>241631970</v>
      </c>
      <c r="AE85" s="194">
        <v>475539</v>
      </c>
      <c r="AF85" s="194">
        <v>275230270.17250901</v>
      </c>
      <c r="AG85" s="194">
        <v>552505</v>
      </c>
      <c r="AH85" s="194">
        <v>324646687.80963999</v>
      </c>
      <c r="AI85" s="183">
        <v>643274</v>
      </c>
      <c r="AJ85" s="183">
        <v>409192213.61184621</v>
      </c>
      <c r="AK85" s="183">
        <v>585913</v>
      </c>
      <c r="AL85" s="183">
        <v>380208228</v>
      </c>
      <c r="AM85" s="183">
        <v>597273.93939393945</v>
      </c>
      <c r="AN85" s="183">
        <v>353782300</v>
      </c>
    </row>
    <row r="86" spans="1:40">
      <c r="A86" s="262" t="s">
        <v>167</v>
      </c>
      <c r="B86" s="127" t="s">
        <v>67</v>
      </c>
      <c r="C86" s="183">
        <v>39</v>
      </c>
      <c r="D86" s="183">
        <v>3618</v>
      </c>
      <c r="E86" s="183">
        <v>249</v>
      </c>
      <c r="F86" s="183">
        <v>29817</v>
      </c>
      <c r="G86" s="183">
        <v>955</v>
      </c>
      <c r="H86" s="183">
        <v>153220</v>
      </c>
      <c r="I86" s="214">
        <v>826</v>
      </c>
      <c r="J86" s="214">
        <v>114799</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0</v>
      </c>
      <c r="AG86" s="194">
        <v>0</v>
      </c>
      <c r="AH86" s="194">
        <v>0</v>
      </c>
      <c r="AI86" s="194">
        <v>0</v>
      </c>
      <c r="AJ86" s="194">
        <v>0</v>
      </c>
      <c r="AK86" s="183">
        <v>0</v>
      </c>
      <c r="AL86" s="183">
        <v>0</v>
      </c>
      <c r="AM86" s="183">
        <v>0</v>
      </c>
      <c r="AN86" s="183">
        <v>0</v>
      </c>
    </row>
    <row r="87" spans="1:40">
      <c r="A87" s="262" t="s">
        <v>222</v>
      </c>
      <c r="B87" s="127" t="s">
        <v>67</v>
      </c>
      <c r="C87" s="183">
        <v>19571</v>
      </c>
      <c r="D87" s="183">
        <v>4583699</v>
      </c>
      <c r="E87" s="183">
        <v>19002</v>
      </c>
      <c r="F87" s="183">
        <v>6219583</v>
      </c>
      <c r="G87" s="183">
        <v>12606</v>
      </c>
      <c r="H87" s="183">
        <v>5140988</v>
      </c>
      <c r="I87" s="214">
        <v>10882</v>
      </c>
      <c r="J87" s="214">
        <v>4581114</v>
      </c>
      <c r="K87" s="214">
        <v>18297</v>
      </c>
      <c r="L87" s="214">
        <v>7781578</v>
      </c>
      <c r="M87" s="214">
        <v>15023</v>
      </c>
      <c r="N87" s="214">
        <v>7902766</v>
      </c>
      <c r="O87" s="727">
        <v>23836</v>
      </c>
      <c r="P87" s="727">
        <v>13259826</v>
      </c>
      <c r="Q87" s="194">
        <v>11782</v>
      </c>
      <c r="R87" s="194">
        <v>6517864</v>
      </c>
      <c r="S87" s="214">
        <v>11215</v>
      </c>
      <c r="T87" s="214">
        <v>4446491</v>
      </c>
      <c r="U87" s="214">
        <v>17438</v>
      </c>
      <c r="V87" s="214">
        <v>6934515</v>
      </c>
      <c r="W87" s="194">
        <v>19243</v>
      </c>
      <c r="X87" s="194">
        <v>7730200</v>
      </c>
      <c r="Y87" s="183">
        <v>21776</v>
      </c>
      <c r="Z87" s="194">
        <v>10556319</v>
      </c>
      <c r="AA87" s="194">
        <v>30723</v>
      </c>
      <c r="AB87" s="194">
        <v>15187711</v>
      </c>
      <c r="AC87" s="194">
        <v>28346</v>
      </c>
      <c r="AD87" s="194">
        <v>10986255</v>
      </c>
      <c r="AE87" s="194">
        <v>17512.75</v>
      </c>
      <c r="AF87" s="194">
        <v>8130864.9000000004</v>
      </c>
      <c r="AG87" s="194">
        <v>39064</v>
      </c>
      <c r="AH87" s="194">
        <v>16378713</v>
      </c>
      <c r="AI87" s="183">
        <v>39814</v>
      </c>
      <c r="AJ87" s="183">
        <v>18052535</v>
      </c>
      <c r="AK87" s="183">
        <v>39768</v>
      </c>
      <c r="AL87" s="183">
        <v>19442862</v>
      </c>
      <c r="AM87" s="183">
        <v>38060</v>
      </c>
      <c r="AN87" s="183">
        <v>15935474</v>
      </c>
    </row>
    <row r="88" spans="1:40">
      <c r="A88" s="262" t="s">
        <v>168</v>
      </c>
      <c r="B88" s="127" t="s">
        <v>67</v>
      </c>
      <c r="C88" s="183"/>
      <c r="D88" s="183"/>
      <c r="E88" s="183"/>
      <c r="F88" s="183"/>
      <c r="G88" s="183"/>
      <c r="H88" s="183"/>
      <c r="I88" s="214"/>
      <c r="J88" s="214"/>
      <c r="K88" s="214"/>
      <c r="L88" s="214"/>
      <c r="M88" s="214"/>
      <c r="N88" s="214"/>
      <c r="O88" s="727"/>
      <c r="P88" s="727"/>
      <c r="Q88" s="194"/>
      <c r="R88" s="194"/>
      <c r="U88" s="214"/>
      <c r="V88" s="214"/>
      <c r="W88" s="194"/>
      <c r="X88" s="194"/>
      <c r="Y88" s="183"/>
      <c r="Z88" s="194"/>
      <c r="AA88" s="194"/>
      <c r="AB88" s="194"/>
      <c r="AC88" s="194"/>
      <c r="AD88" s="194"/>
      <c r="AE88" s="194"/>
      <c r="AF88" s="194"/>
      <c r="AG88" s="194"/>
      <c r="AH88" s="194"/>
      <c r="AI88" s="183"/>
      <c r="AJ88" s="183"/>
      <c r="AK88" s="183"/>
      <c r="AL88" s="183"/>
      <c r="AM88" s="183"/>
      <c r="AN88" s="183"/>
    </row>
    <row r="89" spans="1:40">
      <c r="A89" s="262" t="s">
        <v>169</v>
      </c>
      <c r="B89" s="127" t="s">
        <v>67</v>
      </c>
      <c r="C89" s="183">
        <v>16590</v>
      </c>
      <c r="D89" s="183">
        <v>7512887</v>
      </c>
      <c r="E89" s="183">
        <v>17962</v>
      </c>
      <c r="F89" s="183">
        <v>10384934</v>
      </c>
      <c r="G89" s="183">
        <v>12407</v>
      </c>
      <c r="H89" s="183">
        <v>8417755</v>
      </c>
      <c r="I89" s="214">
        <v>9705</v>
      </c>
      <c r="J89" s="214">
        <v>6960550</v>
      </c>
      <c r="K89" s="214">
        <v>10133</v>
      </c>
      <c r="L89" s="214">
        <v>7445827</v>
      </c>
      <c r="M89" s="214">
        <v>13358</v>
      </c>
      <c r="N89" s="214">
        <v>9731111</v>
      </c>
      <c r="O89" s="727">
        <v>6869</v>
      </c>
      <c r="P89" s="727">
        <v>5113867</v>
      </c>
      <c r="Q89" s="183">
        <v>7372</v>
      </c>
      <c r="R89" s="183">
        <v>2131269</v>
      </c>
      <c r="S89" s="214">
        <v>6211</v>
      </c>
      <c r="T89" s="214">
        <v>1813910</v>
      </c>
      <c r="U89" s="214">
        <v>5848</v>
      </c>
      <c r="V89" s="214">
        <v>1667044</v>
      </c>
      <c r="W89" s="194">
        <v>300</v>
      </c>
      <c r="X89" s="194">
        <v>82525</v>
      </c>
      <c r="Y89" s="194">
        <v>0</v>
      </c>
      <c r="Z89" s="194">
        <v>0</v>
      </c>
      <c r="AA89" s="194">
        <v>0</v>
      </c>
      <c r="AB89" s="194">
        <v>0</v>
      </c>
      <c r="AC89" s="194">
        <v>0</v>
      </c>
      <c r="AD89" s="194">
        <v>0</v>
      </c>
      <c r="AE89" s="194">
        <v>0</v>
      </c>
      <c r="AF89" s="194">
        <v>0</v>
      </c>
      <c r="AG89" s="194">
        <v>0</v>
      </c>
      <c r="AH89" s="194">
        <v>0</v>
      </c>
      <c r="AI89" s="194">
        <v>0</v>
      </c>
      <c r="AJ89" s="194">
        <v>0</v>
      </c>
      <c r="AK89" s="183">
        <v>0</v>
      </c>
      <c r="AL89" s="183">
        <v>0</v>
      </c>
      <c r="AM89" s="183">
        <v>0</v>
      </c>
      <c r="AN89" s="183">
        <v>0</v>
      </c>
    </row>
    <row r="90" spans="1:40">
      <c r="A90" s="262" t="s">
        <v>229</v>
      </c>
      <c r="B90" s="127" t="s">
        <v>67</v>
      </c>
      <c r="C90" s="183">
        <v>73484</v>
      </c>
      <c r="D90" s="183">
        <v>25457848</v>
      </c>
      <c r="E90" s="183">
        <v>71794</v>
      </c>
      <c r="F90" s="183">
        <v>30751960</v>
      </c>
      <c r="G90" s="183">
        <v>82462</v>
      </c>
      <c r="H90" s="183">
        <v>46089968</v>
      </c>
      <c r="I90" s="214">
        <v>85078</v>
      </c>
      <c r="J90" s="214">
        <v>51168571</v>
      </c>
      <c r="K90" s="214">
        <v>100484</v>
      </c>
      <c r="L90" s="214">
        <v>62491492</v>
      </c>
      <c r="M90" s="214">
        <v>82232</v>
      </c>
      <c r="N90" s="214">
        <v>58541710</v>
      </c>
      <c r="O90" s="727">
        <v>65446</v>
      </c>
      <c r="P90" s="727">
        <v>49598010</v>
      </c>
      <c r="Q90" s="183">
        <v>47466</v>
      </c>
      <c r="R90" s="183">
        <v>26878559</v>
      </c>
      <c r="S90" s="214">
        <v>75928</v>
      </c>
      <c r="T90" s="214">
        <v>42135260</v>
      </c>
      <c r="U90" s="214">
        <v>68931</v>
      </c>
      <c r="V90" s="214">
        <v>35757509</v>
      </c>
      <c r="W90" s="194">
        <v>107782</v>
      </c>
      <c r="X90" s="194">
        <v>56131247</v>
      </c>
      <c r="Y90" s="183">
        <v>119140</v>
      </c>
      <c r="Z90" s="194">
        <v>75058683</v>
      </c>
      <c r="AA90" s="194">
        <v>110962</v>
      </c>
      <c r="AB90" s="194">
        <v>77743262</v>
      </c>
      <c r="AC90" s="194">
        <v>104134</v>
      </c>
      <c r="AD90" s="194">
        <v>78581122</v>
      </c>
      <c r="AE90" s="194">
        <v>119708.715</v>
      </c>
      <c r="AF90" s="194">
        <v>90971055.629999995</v>
      </c>
      <c r="AG90" s="194">
        <v>98493</v>
      </c>
      <c r="AH90" s="194">
        <v>72778349</v>
      </c>
      <c r="AI90" s="183">
        <v>127212.62</v>
      </c>
      <c r="AJ90" s="183">
        <v>110036230</v>
      </c>
      <c r="AK90" s="183">
        <v>122610</v>
      </c>
      <c r="AL90" s="183">
        <v>106743027</v>
      </c>
      <c r="AM90" s="183">
        <v>113569</v>
      </c>
      <c r="AN90" s="183">
        <v>82530715</v>
      </c>
    </row>
    <row r="91" spans="1:40">
      <c r="A91" s="262" t="s">
        <v>170</v>
      </c>
      <c r="B91" s="127" t="s">
        <v>67</v>
      </c>
      <c r="C91" s="194">
        <v>0</v>
      </c>
      <c r="D91" s="194">
        <v>0</v>
      </c>
      <c r="E91" s="194">
        <v>0</v>
      </c>
      <c r="F91" s="194">
        <v>0</v>
      </c>
      <c r="G91" s="194">
        <v>0</v>
      </c>
      <c r="H91" s="194">
        <v>0</v>
      </c>
      <c r="I91" s="194">
        <v>0</v>
      </c>
      <c r="J91" s="194">
        <v>0</v>
      </c>
      <c r="K91" s="194">
        <v>0</v>
      </c>
      <c r="L91" s="194">
        <v>0</v>
      </c>
      <c r="M91" s="194">
        <v>0</v>
      </c>
      <c r="N91" s="194">
        <v>0</v>
      </c>
      <c r="O91" s="194">
        <v>0</v>
      </c>
      <c r="P91" s="194">
        <v>0</v>
      </c>
      <c r="Q91" s="194">
        <v>0</v>
      </c>
      <c r="R91" s="194">
        <v>0</v>
      </c>
      <c r="S91" s="194">
        <v>0</v>
      </c>
      <c r="T91" s="194">
        <v>0</v>
      </c>
      <c r="U91" s="194">
        <v>0</v>
      </c>
      <c r="V91" s="194">
        <v>0</v>
      </c>
      <c r="W91" s="194">
        <v>0</v>
      </c>
      <c r="X91" s="194">
        <v>0</v>
      </c>
      <c r="Y91" s="194">
        <v>0</v>
      </c>
      <c r="Z91" s="194">
        <v>0</v>
      </c>
      <c r="AA91" s="194">
        <v>0</v>
      </c>
      <c r="AB91" s="194">
        <v>0</v>
      </c>
      <c r="AC91" s="194">
        <v>0</v>
      </c>
      <c r="AD91" s="194">
        <v>0</v>
      </c>
      <c r="AE91" s="194">
        <v>0</v>
      </c>
      <c r="AF91" s="194">
        <v>0</v>
      </c>
      <c r="AG91" s="194">
        <v>0</v>
      </c>
      <c r="AH91" s="194">
        <v>0</v>
      </c>
      <c r="AI91" s="183">
        <v>191.5</v>
      </c>
      <c r="AJ91" s="183">
        <v>37407</v>
      </c>
      <c r="AK91" s="183">
        <v>2129</v>
      </c>
      <c r="AL91" s="183">
        <v>332509</v>
      </c>
      <c r="AM91" s="183">
        <v>1613</v>
      </c>
      <c r="AN91" s="183">
        <v>242988</v>
      </c>
    </row>
    <row r="92" spans="1:40">
      <c r="A92" s="262" t="s">
        <v>171</v>
      </c>
      <c r="B92" s="127" t="s">
        <v>67</v>
      </c>
      <c r="C92" s="183">
        <v>42</v>
      </c>
      <c r="D92" s="183">
        <v>397547</v>
      </c>
      <c r="E92" s="183">
        <v>25</v>
      </c>
      <c r="F92" s="183">
        <v>345693</v>
      </c>
      <c r="G92" s="183">
        <v>43</v>
      </c>
      <c r="H92" s="183">
        <v>328846</v>
      </c>
      <c r="I92" s="194">
        <v>0</v>
      </c>
      <c r="J92" s="194">
        <v>0</v>
      </c>
      <c r="K92" s="214">
        <v>20</v>
      </c>
      <c r="L92" s="214">
        <v>105840</v>
      </c>
      <c r="M92" s="194">
        <v>0</v>
      </c>
      <c r="N92" s="194">
        <v>0</v>
      </c>
      <c r="O92" s="194">
        <v>0</v>
      </c>
      <c r="P92" s="194">
        <v>0</v>
      </c>
      <c r="Q92" s="194">
        <v>0</v>
      </c>
      <c r="R92" s="194">
        <v>0</v>
      </c>
      <c r="S92" s="194">
        <v>0</v>
      </c>
      <c r="T92" s="194">
        <v>0</v>
      </c>
      <c r="U92" s="194">
        <v>0</v>
      </c>
      <c r="V92" s="194">
        <v>0</v>
      </c>
      <c r="W92" s="194">
        <v>0</v>
      </c>
      <c r="X92" s="194">
        <v>0</v>
      </c>
      <c r="Y92" s="194">
        <v>0</v>
      </c>
      <c r="Z92" s="194">
        <v>0</v>
      </c>
      <c r="AA92" s="194">
        <v>0</v>
      </c>
      <c r="AB92" s="194">
        <v>0</v>
      </c>
      <c r="AC92" s="194">
        <v>0</v>
      </c>
      <c r="AD92" s="194">
        <v>0</v>
      </c>
      <c r="AE92" s="194">
        <v>0</v>
      </c>
      <c r="AF92" s="194">
        <v>0</v>
      </c>
      <c r="AG92" s="194">
        <v>0</v>
      </c>
      <c r="AH92" s="194">
        <v>0</v>
      </c>
      <c r="AI92" s="194">
        <v>0</v>
      </c>
      <c r="AJ92" s="194">
        <v>0</v>
      </c>
      <c r="AK92" s="183">
        <v>0</v>
      </c>
      <c r="AL92" s="183">
        <v>0</v>
      </c>
      <c r="AM92" s="183">
        <v>0</v>
      </c>
      <c r="AN92" s="183">
        <v>0</v>
      </c>
    </row>
    <row r="93" spans="1:40">
      <c r="A93" s="262" t="s">
        <v>223</v>
      </c>
      <c r="B93" s="127" t="s">
        <v>67</v>
      </c>
      <c r="C93" s="183">
        <v>362339</v>
      </c>
      <c r="D93" s="183">
        <v>41279076</v>
      </c>
      <c r="E93" s="183">
        <v>249030</v>
      </c>
      <c r="F93" s="183">
        <v>48356864</v>
      </c>
      <c r="G93" s="183">
        <v>310576</v>
      </c>
      <c r="H93" s="183">
        <v>56297397</v>
      </c>
      <c r="I93" s="214">
        <v>366053</v>
      </c>
      <c r="J93" s="214">
        <v>97148148</v>
      </c>
      <c r="K93" s="214">
        <v>340140</v>
      </c>
      <c r="L93" s="214">
        <v>151609319</v>
      </c>
      <c r="M93" s="214">
        <v>300256</v>
      </c>
      <c r="N93" s="214">
        <v>175190729</v>
      </c>
      <c r="O93" s="727">
        <v>208424</v>
      </c>
      <c r="P93" s="727">
        <v>100801777</v>
      </c>
      <c r="Q93" s="183">
        <v>226930</v>
      </c>
      <c r="R93" s="183">
        <v>61114152</v>
      </c>
      <c r="S93" s="214">
        <v>302463</v>
      </c>
      <c r="T93" s="214">
        <v>49191977</v>
      </c>
      <c r="U93" s="214">
        <v>349134</v>
      </c>
      <c r="V93" s="214">
        <v>63098512</v>
      </c>
      <c r="W93" s="194">
        <v>477052</v>
      </c>
      <c r="X93" s="194">
        <v>129771749</v>
      </c>
      <c r="Y93" s="183">
        <v>410025</v>
      </c>
      <c r="Z93" s="194">
        <v>181210326</v>
      </c>
      <c r="AA93" s="194">
        <v>324087</v>
      </c>
      <c r="AB93" s="194">
        <v>177986602</v>
      </c>
      <c r="AC93" s="194">
        <v>321381</v>
      </c>
      <c r="AD93" s="194">
        <v>169129893</v>
      </c>
      <c r="AE93" s="194">
        <v>284532.83</v>
      </c>
      <c r="AF93" s="194">
        <v>136065790.06999999</v>
      </c>
      <c r="AG93" s="194">
        <v>348109</v>
      </c>
      <c r="AH93" s="194">
        <v>153271253</v>
      </c>
      <c r="AI93" s="183">
        <v>343080</v>
      </c>
      <c r="AJ93" s="183">
        <v>198837333</v>
      </c>
      <c r="AK93" s="183">
        <v>317770</v>
      </c>
      <c r="AL93" s="183">
        <v>218836980</v>
      </c>
      <c r="AM93" s="183">
        <v>411150</v>
      </c>
      <c r="AN93" s="183">
        <v>255814591</v>
      </c>
    </row>
    <row r="94" spans="1:40">
      <c r="A94" s="262" t="s">
        <v>32</v>
      </c>
      <c r="B94" s="127"/>
      <c r="C94" s="183"/>
      <c r="D94" s="183"/>
      <c r="E94" s="183"/>
      <c r="F94" s="183"/>
      <c r="G94" s="183"/>
      <c r="H94" s="183"/>
      <c r="I94" s="214"/>
      <c r="J94" s="214"/>
      <c r="K94" s="214"/>
      <c r="L94" s="214"/>
      <c r="M94" s="214"/>
      <c r="N94" s="214"/>
      <c r="O94" s="727"/>
      <c r="P94" s="727"/>
      <c r="Q94" s="183"/>
      <c r="R94" s="183"/>
      <c r="U94" s="214"/>
      <c r="V94" s="214"/>
      <c r="W94" s="194"/>
      <c r="X94" s="194"/>
      <c r="Y94" s="183"/>
      <c r="Z94" s="194"/>
      <c r="AA94" s="194"/>
      <c r="AB94" s="194"/>
      <c r="AC94" s="194"/>
      <c r="AD94" s="194"/>
      <c r="AE94" s="194"/>
      <c r="AF94" s="194"/>
      <c r="AG94" s="194"/>
      <c r="AH94" s="194"/>
      <c r="AI94" s="183"/>
      <c r="AJ94" s="183"/>
      <c r="AK94" s="183"/>
      <c r="AL94" s="183"/>
      <c r="AM94" s="183"/>
      <c r="AN94" s="183"/>
    </row>
    <row r="95" spans="1:40">
      <c r="A95" s="265" t="s">
        <v>284</v>
      </c>
      <c r="B95" s="225"/>
      <c r="C95" s="194"/>
      <c r="D95" s="194">
        <f>SUM(D82:D93)</f>
        <v>134770001</v>
      </c>
      <c r="E95" s="194"/>
      <c r="F95" s="194">
        <f>SUM(F82:F93)</f>
        <v>156192580</v>
      </c>
      <c r="G95" s="194"/>
      <c r="H95" s="194">
        <f>SUM(H84:H93)</f>
        <v>139341076</v>
      </c>
      <c r="I95" s="194"/>
      <c r="J95" s="194">
        <f>SUM(J82:J93)</f>
        <v>294534012</v>
      </c>
      <c r="K95" s="214"/>
      <c r="L95" s="214">
        <v>393068871</v>
      </c>
      <c r="M95" s="214"/>
      <c r="N95" s="214">
        <v>473232018</v>
      </c>
      <c r="O95" s="214"/>
      <c r="P95" s="727">
        <f>SUM(P82:P93)</f>
        <v>388037629</v>
      </c>
      <c r="Q95" s="183"/>
      <c r="R95" s="183">
        <v>336299249</v>
      </c>
      <c r="T95" s="727">
        <v>351834216</v>
      </c>
      <c r="U95" s="214"/>
      <c r="V95" s="214">
        <v>359037299</v>
      </c>
      <c r="W95" s="194"/>
      <c r="X95" s="194">
        <v>474741846</v>
      </c>
      <c r="Y95" s="194"/>
      <c r="Z95" s="194">
        <v>585522564</v>
      </c>
      <c r="AA95" s="194"/>
      <c r="AB95" s="194">
        <v>604724238</v>
      </c>
      <c r="AC95" s="194"/>
      <c r="AD95" s="194">
        <v>663111422</v>
      </c>
      <c r="AE95" s="166"/>
      <c r="AF95" s="194">
        <v>680298378.08250904</v>
      </c>
      <c r="AG95" s="194"/>
      <c r="AH95" s="194">
        <v>731201715.80963993</v>
      </c>
      <c r="AI95" s="194"/>
      <c r="AJ95" s="183">
        <f>SUM(AJ83:AJ93)</f>
        <v>904900854.61184621</v>
      </c>
      <c r="AK95" s="183"/>
      <c r="AL95" s="183">
        <f>SUM(AL83:AL93)</f>
        <v>854317506</v>
      </c>
      <c r="AM95" s="194"/>
      <c r="AN95" s="183">
        <f>SUM(AN83:AN93)</f>
        <v>844814889</v>
      </c>
    </row>
    <row r="96" spans="1:40">
      <c r="A96" s="129"/>
      <c r="B96" s="225"/>
      <c r="C96" s="194"/>
      <c r="D96" s="194"/>
      <c r="E96" s="194"/>
      <c r="F96" s="194"/>
      <c r="G96" s="194"/>
      <c r="H96" s="194"/>
      <c r="I96" s="194"/>
      <c r="J96" s="194"/>
      <c r="K96" s="183"/>
      <c r="L96" s="183"/>
      <c r="M96" s="214"/>
      <c r="N96" s="214"/>
      <c r="O96" s="214"/>
      <c r="P96" s="214"/>
      <c r="Q96" s="194"/>
      <c r="R96" s="194"/>
      <c r="T96" s="727"/>
      <c r="U96" s="214"/>
      <c r="V96" s="214"/>
      <c r="W96" s="214"/>
      <c r="X96" s="214"/>
      <c r="Y96" s="214"/>
      <c r="Z96" s="214"/>
      <c r="AA96" s="194"/>
      <c r="AB96" s="194"/>
      <c r="AC96" s="214"/>
      <c r="AD96" s="214"/>
      <c r="AE96" s="166"/>
      <c r="AF96" s="166"/>
      <c r="AG96" s="194"/>
      <c r="AH96" s="194"/>
      <c r="AI96" s="194"/>
      <c r="AJ96" s="183"/>
      <c r="AK96" s="183"/>
      <c r="AL96" s="183"/>
      <c r="AM96" s="194"/>
      <c r="AN96" s="183"/>
    </row>
    <row r="97" spans="1:40">
      <c r="A97" s="387" t="s">
        <v>172</v>
      </c>
      <c r="B97" s="244"/>
      <c r="C97" s="728"/>
      <c r="D97" s="728"/>
      <c r="E97" s="728"/>
      <c r="F97" s="728"/>
      <c r="G97" s="728"/>
      <c r="H97" s="728"/>
      <c r="I97" s="728"/>
      <c r="J97" s="728"/>
      <c r="K97" s="728"/>
      <c r="L97" s="728"/>
      <c r="M97" s="728"/>
      <c r="N97" s="728"/>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30"/>
      <c r="AL97" s="730"/>
      <c r="AM97" s="728"/>
      <c r="AN97" s="728"/>
    </row>
    <row r="98" spans="1:40">
      <c r="A98" s="388" t="s">
        <v>173</v>
      </c>
      <c r="B98" s="245" t="s">
        <v>67</v>
      </c>
      <c r="C98" s="730">
        <v>4779</v>
      </c>
      <c r="D98" s="730">
        <v>32017</v>
      </c>
      <c r="E98" s="730">
        <v>10104</v>
      </c>
      <c r="F98" s="730">
        <v>118452</v>
      </c>
      <c r="G98" s="730">
        <v>4405</v>
      </c>
      <c r="H98" s="730">
        <v>68814</v>
      </c>
      <c r="I98" s="728">
        <v>9602</v>
      </c>
      <c r="J98" s="728">
        <v>387558</v>
      </c>
      <c r="K98" s="728">
        <v>18358</v>
      </c>
      <c r="L98" s="728">
        <v>739627</v>
      </c>
      <c r="M98" s="728">
        <v>9692</v>
      </c>
      <c r="N98" s="728">
        <v>437909</v>
      </c>
      <c r="O98" s="730">
        <v>34315</v>
      </c>
      <c r="P98" s="730">
        <v>1346129</v>
      </c>
      <c r="Q98" s="730">
        <v>22793</v>
      </c>
      <c r="R98" s="730">
        <v>1057900</v>
      </c>
      <c r="S98" s="728">
        <v>22311</v>
      </c>
      <c r="T98" s="728">
        <v>858398</v>
      </c>
      <c r="U98" s="728">
        <v>22167</v>
      </c>
      <c r="V98" s="728">
        <v>864560</v>
      </c>
      <c r="W98" s="728">
        <v>52515</v>
      </c>
      <c r="X98" s="728">
        <v>1933436</v>
      </c>
      <c r="Y98" s="730">
        <v>61445</v>
      </c>
      <c r="Z98" s="728">
        <v>2265550</v>
      </c>
      <c r="AA98" s="728">
        <v>63066</v>
      </c>
      <c r="AB98" s="728">
        <v>2725219</v>
      </c>
      <c r="AC98" s="728">
        <v>35742</v>
      </c>
      <c r="AD98" s="728">
        <v>1513545</v>
      </c>
      <c r="AE98" s="728">
        <v>23694</v>
      </c>
      <c r="AF98" s="728">
        <v>907504</v>
      </c>
      <c r="AG98" s="728">
        <v>42997.66</v>
      </c>
      <c r="AH98" s="728">
        <v>1649003</v>
      </c>
      <c r="AI98" s="730">
        <v>56245</v>
      </c>
      <c r="AJ98" s="730">
        <v>2520890</v>
      </c>
      <c r="AK98" s="730">
        <v>36027</v>
      </c>
      <c r="AL98" s="730">
        <v>1685053</v>
      </c>
      <c r="AM98" s="728">
        <v>43144</v>
      </c>
      <c r="AN98" s="728">
        <v>2169260</v>
      </c>
    </row>
    <row r="99" spans="1:40">
      <c r="A99" s="388" t="s">
        <v>174</v>
      </c>
      <c r="B99" s="245" t="s">
        <v>67</v>
      </c>
      <c r="C99" s="728">
        <v>0</v>
      </c>
      <c r="D99" s="728">
        <v>0</v>
      </c>
      <c r="E99" s="728">
        <v>0</v>
      </c>
      <c r="F99" s="728">
        <v>0</v>
      </c>
      <c r="G99" s="728">
        <v>0</v>
      </c>
      <c r="H99" s="728">
        <v>0</v>
      </c>
      <c r="I99" s="728">
        <v>0</v>
      </c>
      <c r="J99" s="728">
        <v>0</v>
      </c>
      <c r="K99" s="728">
        <v>3513</v>
      </c>
      <c r="L99" s="728">
        <v>916814</v>
      </c>
      <c r="M99" s="728">
        <v>0</v>
      </c>
      <c r="N99" s="728">
        <v>0</v>
      </c>
      <c r="O99" s="730">
        <v>2280</v>
      </c>
      <c r="P99" s="730">
        <v>113597</v>
      </c>
      <c r="Q99" s="730">
        <v>164</v>
      </c>
      <c r="R99" s="730">
        <v>6483</v>
      </c>
      <c r="S99" s="728">
        <v>0</v>
      </c>
      <c r="T99" s="728">
        <v>0</v>
      </c>
      <c r="U99" s="728">
        <v>0</v>
      </c>
      <c r="V99" s="728">
        <v>0</v>
      </c>
      <c r="W99" s="728">
        <v>0</v>
      </c>
      <c r="X99" s="728">
        <v>0</v>
      </c>
      <c r="Y99" s="728">
        <v>0</v>
      </c>
      <c r="Z99" s="728">
        <v>0</v>
      </c>
      <c r="AA99" s="728">
        <v>0</v>
      </c>
      <c r="AB99" s="728">
        <v>0</v>
      </c>
      <c r="AC99" s="728">
        <v>0</v>
      </c>
      <c r="AD99" s="728">
        <v>0</v>
      </c>
      <c r="AE99" s="728">
        <v>0</v>
      </c>
      <c r="AF99" s="728">
        <v>0</v>
      </c>
      <c r="AG99" s="728">
        <v>0</v>
      </c>
      <c r="AH99" s="728">
        <v>0</v>
      </c>
      <c r="AI99" s="728">
        <v>0</v>
      </c>
      <c r="AJ99" s="728">
        <v>0</v>
      </c>
      <c r="AK99" s="730">
        <v>0</v>
      </c>
      <c r="AL99" s="730">
        <v>0</v>
      </c>
      <c r="AM99" s="728">
        <v>0</v>
      </c>
      <c r="AN99" s="728">
        <v>0</v>
      </c>
    </row>
    <row r="100" spans="1:40">
      <c r="A100" s="264" t="s">
        <v>175</v>
      </c>
      <c r="B100" s="248"/>
      <c r="C100" s="723"/>
      <c r="D100" s="723">
        <f>SUM(D98:D99)</f>
        <v>32017</v>
      </c>
      <c r="E100" s="723"/>
      <c r="F100" s="723">
        <f>SUM(F98:F99)</f>
        <v>118452</v>
      </c>
      <c r="G100" s="723"/>
      <c r="H100" s="723">
        <f>SUM(H98:H99)</f>
        <v>68814</v>
      </c>
      <c r="I100" s="723"/>
      <c r="J100" s="723">
        <f>SUM(J98:J99)</f>
        <v>387558</v>
      </c>
      <c r="K100" s="724"/>
      <c r="L100" s="724">
        <v>1656441</v>
      </c>
      <c r="M100" s="724"/>
      <c r="N100" s="724">
        <v>437909</v>
      </c>
      <c r="O100" s="724"/>
      <c r="P100" s="723">
        <f>SUM(P98:P99)</f>
        <v>1459726</v>
      </c>
      <c r="Q100" s="723"/>
      <c r="R100" s="723">
        <v>1064383</v>
      </c>
      <c r="S100" s="724"/>
      <c r="T100" s="724">
        <f>SUM(T98:T99)</f>
        <v>858398</v>
      </c>
      <c r="U100" s="724"/>
      <c r="V100" s="724">
        <f>SUM(V98:V99)</f>
        <v>864560</v>
      </c>
      <c r="W100" s="724"/>
      <c r="X100" s="724">
        <f>SUM(X98:X99)</f>
        <v>1933436</v>
      </c>
      <c r="Y100" s="724"/>
      <c r="Z100" s="724">
        <f>SUM(Z98:Z99)</f>
        <v>2265550</v>
      </c>
      <c r="AA100" s="724"/>
      <c r="AB100" s="724">
        <f>SUM(AB98:AB99)</f>
        <v>2725219</v>
      </c>
      <c r="AC100" s="724"/>
      <c r="AD100" s="724">
        <f>SUM(AD98:AD99)</f>
        <v>1513545</v>
      </c>
      <c r="AE100" s="724"/>
      <c r="AF100" s="724">
        <f>SUM(AF98:AF99)</f>
        <v>907504</v>
      </c>
      <c r="AG100" s="724"/>
      <c r="AH100" s="724">
        <f>SUM(AH98:AH99)</f>
        <v>1649003</v>
      </c>
      <c r="AI100" s="724"/>
      <c r="AJ100" s="724">
        <f>SUM(AJ98:AJ99)</f>
        <v>2520890</v>
      </c>
      <c r="AK100" s="723"/>
      <c r="AL100" s="723">
        <f>SUM(AL98:AL99)</f>
        <v>1685053</v>
      </c>
      <c r="AM100" s="724"/>
      <c r="AN100" s="724">
        <f>SUM(AN98:AN99)</f>
        <v>2169260</v>
      </c>
    </row>
    <row r="101" spans="1:40">
      <c r="A101" s="669"/>
      <c r="B101" s="248"/>
      <c r="C101" s="723"/>
      <c r="D101" s="723"/>
      <c r="E101" s="723"/>
      <c r="F101" s="723"/>
      <c r="G101" s="723"/>
      <c r="H101" s="723"/>
      <c r="I101" s="723"/>
      <c r="J101" s="723"/>
      <c r="K101" s="724"/>
      <c r="L101" s="724"/>
      <c r="M101" s="724"/>
      <c r="N101" s="724"/>
      <c r="O101" s="724"/>
      <c r="P101" s="724"/>
      <c r="Q101" s="723"/>
      <c r="R101" s="723"/>
      <c r="S101" s="724"/>
      <c r="T101" s="724"/>
      <c r="U101" s="724"/>
      <c r="V101" s="724"/>
      <c r="W101" s="724"/>
      <c r="X101" s="724"/>
      <c r="Y101" s="724"/>
      <c r="Z101" s="724"/>
      <c r="AA101" s="724"/>
      <c r="AB101" s="724"/>
      <c r="AC101" s="724"/>
      <c r="AD101" s="724"/>
      <c r="AE101" s="724"/>
      <c r="AF101" s="724"/>
      <c r="AG101" s="724"/>
      <c r="AH101" s="724"/>
      <c r="AI101" s="723"/>
      <c r="AJ101" s="723"/>
      <c r="AK101" s="723"/>
      <c r="AL101" s="723"/>
      <c r="AM101" s="723"/>
      <c r="AN101" s="723"/>
    </row>
    <row r="102" spans="1:40">
      <c r="A102" s="261" t="s">
        <v>176</v>
      </c>
      <c r="B102" s="225"/>
      <c r="C102" s="194"/>
      <c r="D102" s="194"/>
      <c r="E102" s="194"/>
      <c r="F102" s="194"/>
      <c r="G102" s="194"/>
      <c r="H102" s="194"/>
      <c r="I102" s="194"/>
      <c r="J102" s="194"/>
      <c r="K102" s="214"/>
      <c r="L102" s="214"/>
      <c r="M102" s="214"/>
      <c r="N102" s="214"/>
      <c r="O102" s="214"/>
      <c r="P102" s="214"/>
      <c r="Q102" s="183"/>
      <c r="R102" s="183"/>
      <c r="U102" s="214"/>
      <c r="V102" s="214"/>
      <c r="W102" s="194"/>
      <c r="X102" s="194"/>
      <c r="Y102" s="194"/>
      <c r="Z102" s="194"/>
      <c r="AA102" s="194"/>
      <c r="AB102" s="194"/>
      <c r="AC102" s="194"/>
      <c r="AD102" s="194"/>
      <c r="AE102" s="194"/>
      <c r="AF102" s="194"/>
      <c r="AG102" s="194"/>
      <c r="AH102" s="194"/>
      <c r="AI102" s="194"/>
      <c r="AJ102" s="194"/>
      <c r="AK102" s="183"/>
      <c r="AL102" s="183"/>
      <c r="AM102" s="183"/>
      <c r="AN102" s="183"/>
    </row>
    <row r="103" spans="1:40">
      <c r="A103" s="262" t="s">
        <v>177</v>
      </c>
      <c r="B103" s="127" t="s">
        <v>67</v>
      </c>
      <c r="C103" s="183">
        <v>5751054</v>
      </c>
      <c r="D103" s="183">
        <v>92668925</v>
      </c>
      <c r="E103" s="183">
        <v>6650394</v>
      </c>
      <c r="F103" s="183">
        <v>115988759</v>
      </c>
      <c r="G103" s="183">
        <v>5902633</v>
      </c>
      <c r="H103" s="183">
        <v>113339893</v>
      </c>
      <c r="I103" s="214">
        <v>5447458</v>
      </c>
      <c r="J103" s="214">
        <v>101593363</v>
      </c>
      <c r="K103" s="214">
        <v>4914588</v>
      </c>
      <c r="L103" s="214">
        <v>78446430</v>
      </c>
      <c r="M103" s="214">
        <v>5255037</v>
      </c>
      <c r="N103" s="214">
        <v>103517251</v>
      </c>
      <c r="O103" s="727">
        <v>4368036</v>
      </c>
      <c r="P103" s="727">
        <v>113955037</v>
      </c>
      <c r="Q103" s="183">
        <v>5797570</v>
      </c>
      <c r="R103" s="183">
        <v>157663947</v>
      </c>
      <c r="S103" s="727">
        <v>5037380</v>
      </c>
      <c r="T103" s="727">
        <v>144446749</v>
      </c>
      <c r="U103" s="214">
        <v>6049806</v>
      </c>
      <c r="V103" s="214">
        <v>156792953</v>
      </c>
      <c r="W103" s="214">
        <v>6628986</v>
      </c>
      <c r="X103" s="214">
        <v>152208376</v>
      </c>
      <c r="Y103" s="183">
        <v>6328119</v>
      </c>
      <c r="Z103" s="194">
        <v>149565656</v>
      </c>
      <c r="AA103" s="194">
        <v>5938893</v>
      </c>
      <c r="AB103" s="194">
        <v>139776550</v>
      </c>
      <c r="AC103" s="194">
        <v>7738897</v>
      </c>
      <c r="AD103" s="194">
        <v>206647943</v>
      </c>
      <c r="AE103" s="194">
        <v>7144618</v>
      </c>
      <c r="AF103" s="194">
        <v>207872396</v>
      </c>
      <c r="AG103" s="194">
        <v>6037470</v>
      </c>
      <c r="AH103" s="194">
        <v>154209360</v>
      </c>
      <c r="AI103" s="183">
        <v>6646444</v>
      </c>
      <c r="AJ103" s="183">
        <v>207408487</v>
      </c>
      <c r="AK103" s="183">
        <v>6660230</v>
      </c>
      <c r="AL103" s="183">
        <v>214483003</v>
      </c>
      <c r="AM103" s="183">
        <v>7739409</v>
      </c>
      <c r="AN103" s="183">
        <v>200420603</v>
      </c>
    </row>
    <row r="104" spans="1:40">
      <c r="A104" s="262" t="s">
        <v>178</v>
      </c>
      <c r="B104" s="127" t="s">
        <v>67</v>
      </c>
      <c r="C104" s="183">
        <v>83524061</v>
      </c>
      <c r="D104" s="183">
        <v>1737428851</v>
      </c>
      <c r="E104" s="183">
        <v>78863020</v>
      </c>
      <c r="F104" s="183">
        <v>1849678084</v>
      </c>
      <c r="G104" s="183">
        <v>71995023</v>
      </c>
      <c r="H104" s="183">
        <v>1562495836</v>
      </c>
      <c r="I104" s="214">
        <v>89189441</v>
      </c>
      <c r="J104" s="214">
        <v>1754075785</v>
      </c>
      <c r="K104" s="214">
        <v>95502782</v>
      </c>
      <c r="L104" s="214">
        <v>1712003160</v>
      </c>
      <c r="M104" s="214">
        <v>101017156</v>
      </c>
      <c r="N104" s="214">
        <v>2142510771</v>
      </c>
      <c r="O104" s="727">
        <v>103304766</v>
      </c>
      <c r="P104" s="727">
        <v>2534731534</v>
      </c>
      <c r="Q104" s="183">
        <v>105845490</v>
      </c>
      <c r="R104" s="183">
        <v>2795606350</v>
      </c>
      <c r="S104" s="727">
        <v>106692763</v>
      </c>
      <c r="T104" s="727">
        <v>2846693812</v>
      </c>
      <c r="U104" s="214">
        <v>113640430</v>
      </c>
      <c r="V104" s="214">
        <v>2708362762</v>
      </c>
      <c r="W104" s="194">
        <v>126498792</v>
      </c>
      <c r="X104" s="194">
        <v>2642098607</v>
      </c>
      <c r="Y104" s="183">
        <v>126571650</v>
      </c>
      <c r="Z104" s="194">
        <v>2774492764</v>
      </c>
      <c r="AA104" s="194">
        <v>135349473</v>
      </c>
      <c r="AB104" s="194">
        <v>3019871477</v>
      </c>
      <c r="AC104" s="194">
        <v>142003028</v>
      </c>
      <c r="AD104" s="194">
        <v>3724124135</v>
      </c>
      <c r="AE104" s="194">
        <v>133882496</v>
      </c>
      <c r="AF104" s="194">
        <v>3690655347</v>
      </c>
      <c r="AG104" s="194">
        <v>145120868</v>
      </c>
      <c r="AH104" s="194">
        <v>3567914626</v>
      </c>
      <c r="AI104" s="183">
        <v>155123446</v>
      </c>
      <c r="AJ104" s="183">
        <v>4705296377</v>
      </c>
      <c r="AK104" s="183">
        <v>157973734</v>
      </c>
      <c r="AL104" s="183">
        <v>4993130854</v>
      </c>
      <c r="AM104" s="183">
        <v>180778095</v>
      </c>
      <c r="AN104" s="183">
        <v>5004850990</v>
      </c>
    </row>
    <row r="105" spans="1:40">
      <c r="A105" s="262" t="s">
        <v>179</v>
      </c>
      <c r="B105" s="127" t="s">
        <v>67</v>
      </c>
      <c r="C105" s="183">
        <v>21433</v>
      </c>
      <c r="D105" s="183">
        <v>422109</v>
      </c>
      <c r="E105" s="183">
        <v>0</v>
      </c>
      <c r="F105" s="183">
        <v>0</v>
      </c>
      <c r="G105" s="183">
        <v>128659</v>
      </c>
      <c r="H105" s="183">
        <v>2975568</v>
      </c>
      <c r="I105" s="214">
        <v>540803</v>
      </c>
      <c r="J105" s="214">
        <v>11502886</v>
      </c>
      <c r="K105" s="194">
        <v>0</v>
      </c>
      <c r="L105" s="194">
        <v>0</v>
      </c>
      <c r="M105" s="194">
        <v>0</v>
      </c>
      <c r="N105" s="194">
        <v>0</v>
      </c>
      <c r="O105" s="194">
        <v>0</v>
      </c>
      <c r="P105" s="194">
        <v>0</v>
      </c>
      <c r="Q105" s="194">
        <v>0</v>
      </c>
      <c r="R105" s="194">
        <v>0</v>
      </c>
      <c r="S105" s="194">
        <v>0</v>
      </c>
      <c r="T105" s="194">
        <v>0</v>
      </c>
      <c r="U105" s="194">
        <v>0</v>
      </c>
      <c r="V105" s="194">
        <v>0</v>
      </c>
      <c r="W105" s="194">
        <v>0</v>
      </c>
      <c r="X105" s="194">
        <v>0</v>
      </c>
      <c r="Y105" s="194">
        <v>0</v>
      </c>
      <c r="Z105" s="194">
        <v>0</v>
      </c>
      <c r="AA105" s="194">
        <v>0</v>
      </c>
      <c r="AB105" s="194">
        <v>0</v>
      </c>
      <c r="AC105" s="194">
        <v>0</v>
      </c>
      <c r="AD105" s="194">
        <v>0</v>
      </c>
      <c r="AE105" s="194">
        <v>0</v>
      </c>
      <c r="AF105" s="194">
        <v>0</v>
      </c>
      <c r="AG105" s="194">
        <v>0</v>
      </c>
      <c r="AH105" s="194">
        <v>0</v>
      </c>
      <c r="AI105" s="194">
        <v>0</v>
      </c>
      <c r="AJ105" s="194">
        <v>0</v>
      </c>
      <c r="AK105" s="183">
        <v>0</v>
      </c>
      <c r="AL105" s="183">
        <v>0</v>
      </c>
      <c r="AM105" s="183">
        <v>0</v>
      </c>
      <c r="AN105" s="183">
        <v>0</v>
      </c>
    </row>
    <row r="106" spans="1:40">
      <c r="A106" s="265" t="s">
        <v>181</v>
      </c>
      <c r="B106" s="225"/>
      <c r="C106" s="194">
        <f t="shared" ref="C106:J106" si="36">SUM(C103:C105)</f>
        <v>89296548</v>
      </c>
      <c r="D106" s="194">
        <f t="shared" si="36"/>
        <v>1830519885</v>
      </c>
      <c r="E106" s="194">
        <f t="shared" si="36"/>
        <v>85513414</v>
      </c>
      <c r="F106" s="194">
        <f t="shared" si="36"/>
        <v>1965666843</v>
      </c>
      <c r="G106" s="194">
        <f t="shared" si="36"/>
        <v>78026315</v>
      </c>
      <c r="H106" s="194">
        <f t="shared" si="36"/>
        <v>1678811297</v>
      </c>
      <c r="I106" s="194">
        <f t="shared" si="36"/>
        <v>95177702</v>
      </c>
      <c r="J106" s="194">
        <f t="shared" si="36"/>
        <v>1867172034</v>
      </c>
      <c r="K106" s="214">
        <v>100417370</v>
      </c>
      <c r="L106" s="214">
        <v>1790449590</v>
      </c>
      <c r="M106" s="214">
        <v>106272193</v>
      </c>
      <c r="N106" s="214">
        <v>2246028022</v>
      </c>
      <c r="O106" s="727">
        <f>O104+O103</f>
        <v>107672802</v>
      </c>
      <c r="P106" s="727">
        <f>SUM(P103:P104)</f>
        <v>2648686571</v>
      </c>
      <c r="Q106" s="183">
        <v>111643060</v>
      </c>
      <c r="R106" s="183">
        <v>2953270297</v>
      </c>
      <c r="S106" s="214">
        <v>111730143</v>
      </c>
      <c r="T106" s="214">
        <v>2991140561</v>
      </c>
      <c r="U106" s="214">
        <v>119690236</v>
      </c>
      <c r="V106" s="214">
        <v>2865155715</v>
      </c>
      <c r="W106" s="194">
        <v>133127777.61</v>
      </c>
      <c r="X106" s="194">
        <v>2794306983</v>
      </c>
      <c r="Y106" s="194">
        <v>132899769</v>
      </c>
      <c r="Z106" s="194">
        <v>2924058420</v>
      </c>
      <c r="AA106" s="194">
        <v>141288366</v>
      </c>
      <c r="AB106" s="194">
        <v>3159648027</v>
      </c>
      <c r="AC106" s="194">
        <v>149741925</v>
      </c>
      <c r="AD106" s="194">
        <v>3930772078</v>
      </c>
      <c r="AE106" s="194">
        <v>141027114</v>
      </c>
      <c r="AF106" s="194">
        <v>3898527743</v>
      </c>
      <c r="AG106" s="194">
        <v>151158338</v>
      </c>
      <c r="AH106" s="194">
        <v>3722123986</v>
      </c>
      <c r="AI106" s="183">
        <v>161769890</v>
      </c>
      <c r="AJ106" s="183">
        <f>SUM(AJ103:AJ105)</f>
        <v>4912704864</v>
      </c>
      <c r="AK106" s="183">
        <f>SUM(AK103:AK105)</f>
        <v>164633964</v>
      </c>
      <c r="AL106" s="183">
        <f>SUM(AL103:AL105)</f>
        <v>5207613857</v>
      </c>
      <c r="AM106" s="183">
        <f>SUM(AM103:AM105)</f>
        <v>188517504</v>
      </c>
      <c r="AN106" s="183">
        <f>SUM(AN103:AN105)</f>
        <v>5205271593</v>
      </c>
    </row>
    <row r="107" spans="1:40">
      <c r="A107" s="129"/>
      <c r="B107" s="225"/>
      <c r="C107" s="194"/>
      <c r="D107" s="194"/>
      <c r="E107" s="194"/>
      <c r="F107" s="194"/>
      <c r="G107" s="194"/>
      <c r="H107" s="194"/>
      <c r="I107" s="194"/>
      <c r="J107" s="194"/>
      <c r="K107" s="183"/>
      <c r="L107" s="183"/>
      <c r="M107" s="214"/>
      <c r="N107" s="214"/>
      <c r="O107" s="214"/>
      <c r="P107" s="214"/>
      <c r="Q107" s="183"/>
      <c r="R107" s="183"/>
      <c r="U107" s="214"/>
      <c r="V107" s="214"/>
      <c r="W107" s="194"/>
      <c r="X107" s="194"/>
      <c r="Y107" s="214"/>
      <c r="Z107" s="214"/>
      <c r="AA107" s="194"/>
      <c r="AB107" s="194"/>
      <c r="AC107" s="214"/>
      <c r="AD107" s="214"/>
      <c r="AE107" s="166"/>
      <c r="AF107" s="166"/>
      <c r="AG107" s="194"/>
      <c r="AH107" s="194"/>
      <c r="AI107" s="183"/>
      <c r="AJ107" s="183"/>
      <c r="AK107" s="183"/>
      <c r="AL107" s="183"/>
      <c r="AM107" s="183"/>
      <c r="AN107" s="183"/>
    </row>
    <row r="108" spans="1:40">
      <c r="A108" s="387" t="s">
        <v>182</v>
      </c>
      <c r="B108" s="244"/>
      <c r="C108" s="728"/>
      <c r="D108" s="728"/>
      <c r="E108" s="728"/>
      <c r="F108" s="728"/>
      <c r="G108" s="728"/>
      <c r="H108" s="728"/>
      <c r="I108" s="728"/>
      <c r="J108" s="728"/>
      <c r="K108" s="728"/>
      <c r="L108" s="728"/>
      <c r="M108" s="728"/>
      <c r="N108" s="728"/>
      <c r="O108" s="728"/>
      <c r="P108" s="728"/>
      <c r="Q108" s="730"/>
      <c r="R108" s="730"/>
      <c r="S108" s="728"/>
      <c r="T108" s="728"/>
      <c r="U108" s="728"/>
      <c r="V108" s="728"/>
      <c r="W108" s="728"/>
      <c r="X108" s="728"/>
      <c r="Y108" s="728"/>
      <c r="Z108" s="728"/>
      <c r="AA108" s="728"/>
      <c r="AB108" s="728"/>
      <c r="AC108" s="728"/>
      <c r="AD108" s="728"/>
      <c r="AE108" s="728"/>
      <c r="AF108" s="728"/>
      <c r="AG108" s="728"/>
      <c r="AH108" s="728"/>
      <c r="AI108" s="730"/>
      <c r="AJ108" s="730"/>
      <c r="AK108" s="730"/>
      <c r="AL108" s="730"/>
      <c r="AM108" s="730"/>
      <c r="AN108" s="730"/>
    </row>
    <row r="109" spans="1:40">
      <c r="A109" s="388" t="s">
        <v>442</v>
      </c>
      <c r="B109" s="245" t="s">
        <v>67</v>
      </c>
      <c r="C109" s="730">
        <v>300</v>
      </c>
      <c r="D109" s="730">
        <v>2100</v>
      </c>
      <c r="E109" s="730">
        <v>330</v>
      </c>
      <c r="F109" s="730">
        <v>2310</v>
      </c>
      <c r="G109" s="730">
        <v>243</v>
      </c>
      <c r="H109" s="730">
        <v>3162</v>
      </c>
      <c r="I109" s="728">
        <v>130</v>
      </c>
      <c r="J109" s="728">
        <v>2060</v>
      </c>
      <c r="K109" s="728">
        <v>360</v>
      </c>
      <c r="L109" s="728">
        <v>7200</v>
      </c>
      <c r="M109" s="728">
        <v>333</v>
      </c>
      <c r="N109" s="728">
        <v>6660</v>
      </c>
      <c r="O109" s="730">
        <v>0</v>
      </c>
      <c r="P109" s="730">
        <v>0</v>
      </c>
      <c r="Q109" s="728">
        <v>280</v>
      </c>
      <c r="R109" s="728">
        <v>1120</v>
      </c>
      <c r="S109" s="728">
        <v>0</v>
      </c>
      <c r="T109" s="730">
        <v>0</v>
      </c>
      <c r="U109" s="728">
        <v>2500</v>
      </c>
      <c r="V109" s="728">
        <v>25000</v>
      </c>
      <c r="W109" s="728">
        <v>3950</v>
      </c>
      <c r="X109" s="728">
        <v>39500</v>
      </c>
      <c r="Y109" s="730">
        <v>7342</v>
      </c>
      <c r="Z109" s="728">
        <v>62040</v>
      </c>
      <c r="AA109" s="728">
        <v>4387</v>
      </c>
      <c r="AB109" s="728">
        <v>126045</v>
      </c>
      <c r="AC109" s="728">
        <v>3624</v>
      </c>
      <c r="AD109" s="728">
        <v>86372</v>
      </c>
      <c r="AE109" s="728">
        <v>3086</v>
      </c>
      <c r="AF109" s="728">
        <v>67892</v>
      </c>
      <c r="AG109" s="728">
        <v>2932</v>
      </c>
      <c r="AH109" s="728">
        <v>64504</v>
      </c>
      <c r="AI109" s="730">
        <v>9103</v>
      </c>
      <c r="AJ109" s="730">
        <v>146074</v>
      </c>
      <c r="AK109" s="730">
        <v>17080</v>
      </c>
      <c r="AL109" s="730">
        <v>315846</v>
      </c>
      <c r="AM109" s="730">
        <v>8870</v>
      </c>
      <c r="AN109" s="730">
        <v>89697</v>
      </c>
    </row>
    <row r="110" spans="1:40">
      <c r="A110" s="388" t="s">
        <v>443</v>
      </c>
      <c r="B110" s="245" t="s">
        <v>67</v>
      </c>
      <c r="C110" s="730">
        <v>209618</v>
      </c>
      <c r="D110" s="730">
        <v>1187327</v>
      </c>
      <c r="E110" s="730">
        <v>206289</v>
      </c>
      <c r="F110" s="730">
        <v>1088735</v>
      </c>
      <c r="G110" s="730">
        <v>194895</v>
      </c>
      <c r="H110" s="730">
        <v>1251642</v>
      </c>
      <c r="I110" s="728">
        <v>1433143</v>
      </c>
      <c r="J110" s="728">
        <v>6560914</v>
      </c>
      <c r="K110" s="728">
        <v>1739324</v>
      </c>
      <c r="L110" s="728">
        <v>8325470</v>
      </c>
      <c r="M110" s="728">
        <v>1698820</v>
      </c>
      <c r="N110" s="728">
        <v>7868870</v>
      </c>
      <c r="O110" s="730">
        <v>1738427</v>
      </c>
      <c r="P110" s="730">
        <v>9853611</v>
      </c>
      <c r="Q110" s="728">
        <v>2053239</v>
      </c>
      <c r="R110" s="728">
        <v>12143544</v>
      </c>
      <c r="S110" s="728">
        <v>2103555</v>
      </c>
      <c r="T110" s="730">
        <v>13587083</v>
      </c>
      <c r="U110" s="728">
        <v>2147271</v>
      </c>
      <c r="V110" s="728">
        <v>14764597</v>
      </c>
      <c r="W110" s="728">
        <v>2195221</v>
      </c>
      <c r="X110" s="728">
        <v>14653307</v>
      </c>
      <c r="Y110" s="730">
        <v>2612334</v>
      </c>
      <c r="Z110" s="728">
        <v>17508415</v>
      </c>
      <c r="AA110" s="728">
        <v>2353431</v>
      </c>
      <c r="AB110" s="728">
        <v>15744780</v>
      </c>
      <c r="AC110" s="728">
        <v>2579643</v>
      </c>
      <c r="AD110" s="728">
        <v>11791428</v>
      </c>
      <c r="AE110" s="728">
        <v>3046105</v>
      </c>
      <c r="AF110" s="728">
        <v>13867322</v>
      </c>
      <c r="AG110" s="728">
        <v>3007559.02</v>
      </c>
      <c r="AH110" s="728">
        <v>14523824.26</v>
      </c>
      <c r="AI110" s="730">
        <v>3825671</v>
      </c>
      <c r="AJ110" s="730">
        <v>15740387</v>
      </c>
      <c r="AK110" s="730">
        <v>3195825</v>
      </c>
      <c r="AL110" s="730">
        <v>15079931</v>
      </c>
      <c r="AM110" s="730">
        <v>4884233</v>
      </c>
      <c r="AN110" s="730">
        <v>19421112</v>
      </c>
    </row>
    <row r="111" spans="1:40">
      <c r="A111" s="389" t="s">
        <v>183</v>
      </c>
      <c r="B111" s="244"/>
      <c r="C111" s="728"/>
      <c r="D111" s="728">
        <f>SUM(D109:D110)</f>
        <v>1189427</v>
      </c>
      <c r="E111" s="728"/>
      <c r="F111" s="728">
        <f>SUM(F109:F110)</f>
        <v>1091045</v>
      </c>
      <c r="G111" s="728"/>
      <c r="H111" s="728">
        <f>SUM(H109:H110)</f>
        <v>1254804</v>
      </c>
      <c r="I111" s="728"/>
      <c r="J111" s="728">
        <f>SUM(J109:J110)</f>
        <v>6562974</v>
      </c>
      <c r="K111" s="728"/>
      <c r="L111" s="728">
        <v>8332670</v>
      </c>
      <c r="M111" s="728"/>
      <c r="N111" s="728">
        <v>7875530</v>
      </c>
      <c r="O111" s="728"/>
      <c r="P111" s="730">
        <f>SUM(P109:P110)</f>
        <v>9853611</v>
      </c>
      <c r="Q111" s="728"/>
      <c r="R111" s="728">
        <v>12144664</v>
      </c>
      <c r="S111" s="728"/>
      <c r="T111" s="728">
        <v>13587083</v>
      </c>
      <c r="U111" s="728"/>
      <c r="V111" s="728">
        <v>14789597</v>
      </c>
      <c r="W111" s="728"/>
      <c r="X111" s="728">
        <v>14692807</v>
      </c>
      <c r="Y111" s="728"/>
      <c r="Z111" s="728">
        <v>17570455</v>
      </c>
      <c r="AA111" s="728"/>
      <c r="AB111" s="728">
        <v>15870825</v>
      </c>
      <c r="AC111" s="728"/>
      <c r="AD111" s="728">
        <v>11877800</v>
      </c>
      <c r="AE111" s="729"/>
      <c r="AF111" s="728">
        <v>13935214</v>
      </c>
      <c r="AG111" s="728"/>
      <c r="AH111" s="728">
        <v>14588328.26</v>
      </c>
      <c r="AI111" s="728"/>
      <c r="AJ111" s="730">
        <f>SUM(AJ109:AJ110)</f>
        <v>15886461</v>
      </c>
      <c r="AK111" s="730"/>
      <c r="AL111" s="730">
        <f>SUM(AL109:AL110)</f>
        <v>15395777</v>
      </c>
      <c r="AM111" s="730"/>
      <c r="AN111" s="730">
        <f>SUM(AN109:AN110)</f>
        <v>19510809</v>
      </c>
    </row>
    <row r="112" spans="1:40">
      <c r="A112" s="257"/>
      <c r="B112" s="246"/>
      <c r="C112" s="724"/>
      <c r="D112" s="724"/>
      <c r="E112" s="724"/>
      <c r="F112" s="724"/>
      <c r="G112" s="724"/>
      <c r="H112" s="724"/>
      <c r="I112" s="723"/>
      <c r="J112" s="723"/>
      <c r="K112" s="724"/>
      <c r="L112" s="724"/>
      <c r="M112" s="724"/>
      <c r="N112" s="724"/>
      <c r="O112" s="724"/>
      <c r="P112" s="723"/>
      <c r="Q112" s="723"/>
      <c r="R112" s="723"/>
      <c r="S112" s="723"/>
      <c r="T112" s="723"/>
      <c r="U112" s="723"/>
      <c r="V112" s="723"/>
      <c r="W112" s="723"/>
      <c r="X112" s="723"/>
      <c r="Y112" s="723"/>
      <c r="Z112" s="723"/>
      <c r="AA112" s="724"/>
      <c r="AB112" s="724"/>
      <c r="AC112" s="724"/>
      <c r="AD112" s="724"/>
      <c r="AE112" s="724"/>
      <c r="AF112" s="724"/>
      <c r="AG112" s="724"/>
      <c r="AH112" s="724"/>
      <c r="AI112" s="724"/>
      <c r="AJ112" s="723"/>
      <c r="AK112" s="723"/>
      <c r="AL112" s="723"/>
      <c r="AM112" s="724"/>
      <c r="AN112" s="723"/>
    </row>
    <row r="113" spans="1:40">
      <c r="A113" s="261" t="s">
        <v>184</v>
      </c>
      <c r="B113" s="127" t="s">
        <v>67</v>
      </c>
      <c r="C113" s="194">
        <v>16729</v>
      </c>
      <c r="D113" s="194">
        <v>215936</v>
      </c>
      <c r="E113" s="214">
        <v>0</v>
      </c>
      <c r="F113" s="214">
        <v>0</v>
      </c>
      <c r="G113" s="214">
        <v>0</v>
      </c>
      <c r="H113" s="214">
        <v>0</v>
      </c>
      <c r="I113" s="214">
        <v>0</v>
      </c>
      <c r="J113" s="214">
        <v>0</v>
      </c>
      <c r="K113" s="214">
        <v>0</v>
      </c>
      <c r="L113" s="214">
        <v>0</v>
      </c>
      <c r="M113" s="214">
        <v>0</v>
      </c>
      <c r="N113" s="214">
        <v>0</v>
      </c>
      <c r="O113" s="214">
        <v>0</v>
      </c>
      <c r="P113" s="214">
        <v>0</v>
      </c>
      <c r="Q113" s="214">
        <v>0</v>
      </c>
      <c r="R113" s="214">
        <v>0</v>
      </c>
      <c r="S113" s="214">
        <v>0</v>
      </c>
      <c r="T113" s="214">
        <v>0</v>
      </c>
      <c r="U113" s="214">
        <v>0</v>
      </c>
      <c r="V113" s="214">
        <v>0</v>
      </c>
      <c r="W113" s="214">
        <v>0</v>
      </c>
      <c r="X113" s="214">
        <v>0</v>
      </c>
      <c r="Y113" s="214">
        <v>0</v>
      </c>
      <c r="Z113" s="214">
        <v>0</v>
      </c>
      <c r="AA113" s="214">
        <v>0</v>
      </c>
      <c r="AB113" s="214">
        <v>0</v>
      </c>
      <c r="AC113" s="214">
        <v>0</v>
      </c>
      <c r="AD113" s="214">
        <v>0</v>
      </c>
      <c r="AE113" s="214">
        <v>0</v>
      </c>
      <c r="AF113" s="214">
        <v>0</v>
      </c>
      <c r="AG113" s="214">
        <v>0</v>
      </c>
      <c r="AH113" s="214">
        <v>0</v>
      </c>
      <c r="AI113" s="214">
        <v>0</v>
      </c>
      <c r="AJ113" s="214">
        <v>0</v>
      </c>
      <c r="AK113" s="214">
        <v>0</v>
      </c>
      <c r="AL113" s="214">
        <v>0</v>
      </c>
      <c r="AM113" s="214">
        <v>0</v>
      </c>
      <c r="AN113" s="214">
        <v>0</v>
      </c>
    </row>
    <row r="114" spans="1:40">
      <c r="A114" s="131"/>
      <c r="B114" s="225"/>
      <c r="C114" s="194"/>
      <c r="D114" s="194"/>
      <c r="E114" s="194"/>
      <c r="F114" s="194"/>
      <c r="G114" s="194"/>
      <c r="H114" s="194"/>
      <c r="I114" s="183"/>
      <c r="J114" s="183"/>
      <c r="K114" s="194"/>
      <c r="L114" s="194"/>
      <c r="M114" s="194"/>
      <c r="N114" s="194"/>
      <c r="O114" s="214"/>
      <c r="P114" s="727"/>
      <c r="Q114" s="183"/>
      <c r="R114" s="183"/>
      <c r="S114" s="727"/>
      <c r="T114" s="727"/>
      <c r="U114" s="727"/>
      <c r="V114" s="727"/>
      <c r="W114" s="183"/>
      <c r="X114" s="183"/>
      <c r="Y114" s="183"/>
      <c r="Z114" s="183"/>
      <c r="AA114" s="194"/>
      <c r="AB114" s="194"/>
      <c r="AC114" s="194"/>
      <c r="AD114" s="194"/>
      <c r="AE114" s="194"/>
      <c r="AF114" s="194"/>
      <c r="AG114" s="194"/>
      <c r="AH114" s="194"/>
      <c r="AI114" s="194"/>
      <c r="AJ114" s="183"/>
      <c r="AK114" s="183"/>
      <c r="AL114" s="183"/>
      <c r="AM114" s="194"/>
      <c r="AN114" s="183"/>
    </row>
    <row r="115" spans="1:40">
      <c r="A115" s="260" t="s">
        <v>603</v>
      </c>
      <c r="B115" s="248" t="s">
        <v>67</v>
      </c>
      <c r="C115" s="724">
        <v>0</v>
      </c>
      <c r="D115" s="724">
        <v>0</v>
      </c>
      <c r="E115" s="724">
        <v>0</v>
      </c>
      <c r="F115" s="724">
        <v>0</v>
      </c>
      <c r="G115" s="724">
        <v>0</v>
      </c>
      <c r="H115" s="724">
        <v>0</v>
      </c>
      <c r="I115" s="724">
        <v>0</v>
      </c>
      <c r="J115" s="724">
        <v>0</v>
      </c>
      <c r="K115" s="724">
        <v>0</v>
      </c>
      <c r="L115" s="724">
        <v>0</v>
      </c>
      <c r="M115" s="724">
        <v>273000</v>
      </c>
      <c r="N115" s="724">
        <v>1200000</v>
      </c>
      <c r="O115" s="723">
        <v>160322</v>
      </c>
      <c r="P115" s="723">
        <v>25585813</v>
      </c>
      <c r="Q115" s="723">
        <v>395303</v>
      </c>
      <c r="R115" s="723">
        <v>71855982</v>
      </c>
      <c r="S115" s="723">
        <v>251532</v>
      </c>
      <c r="T115" s="723">
        <v>46887348</v>
      </c>
      <c r="U115" s="724">
        <v>315786</v>
      </c>
      <c r="V115" s="724">
        <v>42010988</v>
      </c>
      <c r="W115" s="724">
        <v>71912</v>
      </c>
      <c r="X115" s="724">
        <v>8842461</v>
      </c>
      <c r="Y115" s="723">
        <v>347038</v>
      </c>
      <c r="Z115" s="724">
        <v>41335413</v>
      </c>
      <c r="AA115" s="724">
        <v>324113</v>
      </c>
      <c r="AB115" s="724">
        <v>37619254</v>
      </c>
      <c r="AC115" s="724">
        <v>86297</v>
      </c>
      <c r="AD115" s="724">
        <v>9394938</v>
      </c>
      <c r="AE115" s="724">
        <v>27414.14</v>
      </c>
      <c r="AF115" s="724">
        <v>3415875.39</v>
      </c>
      <c r="AG115" s="724">
        <v>212382</v>
      </c>
      <c r="AH115" s="724">
        <v>25684859</v>
      </c>
      <c r="AI115" s="723">
        <v>401358</v>
      </c>
      <c r="AJ115" s="723">
        <v>58501917</v>
      </c>
      <c r="AK115" s="723">
        <v>474267</v>
      </c>
      <c r="AL115" s="723">
        <v>68616729</v>
      </c>
      <c r="AM115" s="723">
        <v>619651</v>
      </c>
      <c r="AN115" s="723">
        <v>75377357</v>
      </c>
    </row>
    <row r="116" spans="1:40">
      <c r="A116" s="247"/>
      <c r="B116" s="248"/>
      <c r="C116" s="723"/>
      <c r="D116" s="723"/>
      <c r="E116" s="723"/>
      <c r="F116" s="723"/>
      <c r="G116" s="723"/>
      <c r="H116" s="723"/>
      <c r="I116" s="723"/>
      <c r="J116" s="723"/>
      <c r="K116" s="724"/>
      <c r="L116" s="724"/>
      <c r="M116" s="724"/>
      <c r="N116" s="724"/>
      <c r="O116" s="723"/>
      <c r="P116" s="723"/>
      <c r="Q116" s="724"/>
      <c r="R116" s="724"/>
      <c r="S116" s="723"/>
      <c r="T116" s="723"/>
      <c r="U116" s="723"/>
      <c r="V116" s="723"/>
      <c r="W116" s="723"/>
      <c r="X116" s="723"/>
      <c r="Y116" s="723"/>
      <c r="Z116" s="723"/>
      <c r="AA116" s="724"/>
      <c r="AB116" s="724"/>
      <c r="AC116" s="724"/>
      <c r="AD116" s="724"/>
      <c r="AE116" s="724"/>
      <c r="AF116" s="724"/>
      <c r="AG116" s="724"/>
      <c r="AH116" s="724"/>
      <c r="AI116" s="723"/>
      <c r="AJ116" s="723"/>
      <c r="AK116" s="723"/>
      <c r="AL116" s="723"/>
      <c r="AM116" s="723"/>
      <c r="AN116" s="723"/>
    </row>
    <row r="117" spans="1:40">
      <c r="A117" s="261" t="s">
        <v>604</v>
      </c>
      <c r="B117" s="127"/>
      <c r="C117" s="183"/>
      <c r="D117" s="183"/>
      <c r="E117" s="183"/>
      <c r="F117" s="183"/>
      <c r="G117" s="183"/>
      <c r="H117" s="183"/>
      <c r="I117" s="194"/>
      <c r="J117" s="194"/>
      <c r="K117" s="183"/>
      <c r="L117" s="183"/>
      <c r="M117" s="194"/>
      <c r="N117" s="194"/>
      <c r="O117" s="183"/>
      <c r="P117" s="183"/>
      <c r="Q117" s="194"/>
      <c r="R117" s="194"/>
      <c r="S117" s="183"/>
      <c r="T117" s="183"/>
      <c r="U117" s="183"/>
      <c r="V117" s="183"/>
      <c r="W117" s="183"/>
      <c r="X117" s="183"/>
      <c r="Y117" s="183"/>
      <c r="Z117" s="183"/>
      <c r="AA117" s="194"/>
      <c r="AB117" s="194"/>
      <c r="AC117" s="194"/>
      <c r="AD117" s="194"/>
      <c r="AE117" s="194"/>
      <c r="AF117" s="194"/>
      <c r="AG117" s="194"/>
      <c r="AH117" s="194"/>
      <c r="AI117" s="183"/>
      <c r="AJ117" s="183"/>
      <c r="AK117" s="183"/>
      <c r="AL117" s="183"/>
      <c r="AM117" s="183"/>
      <c r="AN117" s="183"/>
    </row>
    <row r="118" spans="1:40">
      <c r="A118" s="262" t="s">
        <v>265</v>
      </c>
      <c r="B118" s="127" t="s">
        <v>67</v>
      </c>
      <c r="C118" s="183">
        <v>449</v>
      </c>
      <c r="D118" s="183">
        <v>5937452</v>
      </c>
      <c r="E118" s="183">
        <v>515</v>
      </c>
      <c r="F118" s="183">
        <v>9230525</v>
      </c>
      <c r="G118" s="183">
        <v>463</v>
      </c>
      <c r="H118" s="183">
        <v>4012332</v>
      </c>
      <c r="I118" s="194">
        <v>325</v>
      </c>
      <c r="J118" s="194">
        <v>3521185</v>
      </c>
      <c r="K118" s="194">
        <v>266</v>
      </c>
      <c r="L118" s="194">
        <v>3681889</v>
      </c>
      <c r="M118" s="194">
        <v>268</v>
      </c>
      <c r="N118" s="194">
        <v>4600916</v>
      </c>
      <c r="O118" s="183">
        <v>222</v>
      </c>
      <c r="P118" s="183">
        <v>3697617</v>
      </c>
      <c r="Q118" s="183">
        <v>633.995</v>
      </c>
      <c r="R118" s="183">
        <v>28808544</v>
      </c>
      <c r="S118" s="183">
        <v>287.41000000000003</v>
      </c>
      <c r="T118" s="183">
        <v>12109563</v>
      </c>
      <c r="U118" s="194">
        <v>370</v>
      </c>
      <c r="V118" s="194">
        <v>19954659</v>
      </c>
      <c r="W118" s="194">
        <v>786</v>
      </c>
      <c r="X118" s="194">
        <v>48072829</v>
      </c>
      <c r="Y118" s="183">
        <v>870</v>
      </c>
      <c r="Z118" s="194">
        <v>66688908</v>
      </c>
      <c r="AA118" s="194">
        <v>878.00099999999998</v>
      </c>
      <c r="AB118" s="194">
        <v>50853771</v>
      </c>
      <c r="AC118" s="194">
        <v>1499</v>
      </c>
      <c r="AD118" s="194">
        <v>81778705</v>
      </c>
      <c r="AE118" s="194">
        <v>1092.2338400000001</v>
      </c>
      <c r="AF118" s="194">
        <v>55266893.764114715</v>
      </c>
      <c r="AG118" s="194">
        <v>994.42200000000003</v>
      </c>
      <c r="AH118" s="194">
        <v>49064798</v>
      </c>
      <c r="AI118" s="183">
        <v>1947</v>
      </c>
      <c r="AJ118" s="183">
        <v>94627283</v>
      </c>
      <c r="AK118" s="183">
        <v>1898</v>
      </c>
      <c r="AL118" s="183">
        <v>56866445</v>
      </c>
      <c r="AM118" s="183">
        <v>2035</v>
      </c>
      <c r="AN118" s="183">
        <v>54471438</v>
      </c>
    </row>
    <row r="119" spans="1:40">
      <c r="A119" s="262" t="s">
        <v>266</v>
      </c>
      <c r="B119" s="127" t="s">
        <v>67</v>
      </c>
      <c r="C119" s="194">
        <v>0</v>
      </c>
      <c r="D119" s="194">
        <v>0</v>
      </c>
      <c r="E119" s="194">
        <v>0</v>
      </c>
      <c r="F119" s="194">
        <v>0</v>
      </c>
      <c r="G119" s="194">
        <v>0</v>
      </c>
      <c r="H119" s="194">
        <v>0</v>
      </c>
      <c r="I119" s="194">
        <v>0</v>
      </c>
      <c r="J119" s="194">
        <v>0</v>
      </c>
      <c r="K119" s="194">
        <v>0</v>
      </c>
      <c r="L119" s="194">
        <v>0</v>
      </c>
      <c r="M119" s="194">
        <v>0</v>
      </c>
      <c r="N119" s="194">
        <v>0</v>
      </c>
      <c r="O119" s="194">
        <v>0</v>
      </c>
      <c r="P119" s="194">
        <v>0</v>
      </c>
      <c r="Q119" s="194">
        <v>0</v>
      </c>
      <c r="R119" s="194">
        <v>0</v>
      </c>
      <c r="S119" s="194">
        <v>0</v>
      </c>
      <c r="T119" s="194">
        <v>0</v>
      </c>
      <c r="U119" s="194">
        <v>0</v>
      </c>
      <c r="V119" s="194">
        <v>0</v>
      </c>
      <c r="W119" s="194">
        <v>0</v>
      </c>
      <c r="X119" s="194">
        <v>0</v>
      </c>
      <c r="Y119" s="194">
        <v>0</v>
      </c>
      <c r="Z119" s="194">
        <v>0</v>
      </c>
      <c r="AA119" s="194">
        <v>0</v>
      </c>
      <c r="AB119" s="194">
        <v>0</v>
      </c>
      <c r="AC119" s="194">
        <v>0</v>
      </c>
      <c r="AD119" s="194">
        <v>0</v>
      </c>
      <c r="AE119" s="194">
        <v>0</v>
      </c>
      <c r="AF119" s="194">
        <v>0</v>
      </c>
      <c r="AG119" s="194">
        <v>340.32</v>
      </c>
      <c r="AH119" s="194">
        <v>14101071</v>
      </c>
      <c r="AI119" s="183">
        <v>1321.72</v>
      </c>
      <c r="AJ119" s="183">
        <v>54656716</v>
      </c>
      <c r="AK119" s="183">
        <v>1985</v>
      </c>
      <c r="AL119" s="183">
        <v>54828789</v>
      </c>
      <c r="AM119" s="183">
        <v>2390</v>
      </c>
      <c r="AN119" s="183">
        <v>55784670</v>
      </c>
    </row>
    <row r="120" spans="1:40">
      <c r="A120" s="262" t="s">
        <v>267</v>
      </c>
      <c r="B120" s="127" t="s">
        <v>67</v>
      </c>
      <c r="C120" s="194">
        <v>0</v>
      </c>
      <c r="D120" s="194">
        <v>0</v>
      </c>
      <c r="E120" s="194">
        <v>0</v>
      </c>
      <c r="F120" s="194">
        <v>0</v>
      </c>
      <c r="G120" s="194">
        <v>0</v>
      </c>
      <c r="H120" s="194">
        <v>0</v>
      </c>
      <c r="I120" s="194">
        <v>0</v>
      </c>
      <c r="J120" s="194">
        <v>0</v>
      </c>
      <c r="K120" s="194">
        <v>0</v>
      </c>
      <c r="L120" s="194">
        <v>0</v>
      </c>
      <c r="M120" s="194">
        <v>0</v>
      </c>
      <c r="N120" s="194">
        <v>0</v>
      </c>
      <c r="O120" s="194">
        <v>0</v>
      </c>
      <c r="P120" s="194">
        <v>0</v>
      </c>
      <c r="Q120" s="194">
        <v>0</v>
      </c>
      <c r="R120" s="194">
        <v>0</v>
      </c>
      <c r="S120" s="194">
        <v>0</v>
      </c>
      <c r="T120" s="194">
        <v>0</v>
      </c>
      <c r="U120" s="194">
        <v>0</v>
      </c>
      <c r="V120" s="194">
        <v>0</v>
      </c>
      <c r="W120" s="194">
        <v>0</v>
      </c>
      <c r="X120" s="194">
        <v>0</v>
      </c>
      <c r="Y120" s="194">
        <v>0</v>
      </c>
      <c r="Z120" s="194">
        <v>0</v>
      </c>
      <c r="AA120" s="194">
        <v>0</v>
      </c>
      <c r="AB120" s="194">
        <v>0</v>
      </c>
      <c r="AC120" s="194">
        <v>0</v>
      </c>
      <c r="AD120" s="194">
        <v>0</v>
      </c>
      <c r="AE120" s="194">
        <v>0</v>
      </c>
      <c r="AF120" s="194">
        <v>0</v>
      </c>
      <c r="AG120" s="194">
        <v>732</v>
      </c>
      <c r="AH120" s="194">
        <v>23090295</v>
      </c>
      <c r="AI120" s="183">
        <v>920.85</v>
      </c>
      <c r="AJ120" s="183">
        <v>25096601</v>
      </c>
      <c r="AK120" s="183">
        <v>549</v>
      </c>
      <c r="AL120" s="183">
        <v>15668639</v>
      </c>
      <c r="AM120" s="183">
        <v>495.15</v>
      </c>
      <c r="AN120" s="183">
        <v>13926085</v>
      </c>
    </row>
    <row r="121" spans="1:40">
      <c r="A121" s="265" t="s">
        <v>186</v>
      </c>
      <c r="B121" s="127"/>
      <c r="C121" s="183">
        <f t="shared" ref="C121:J121" si="37">SUM(C118:C120)</f>
        <v>449</v>
      </c>
      <c r="D121" s="183">
        <f t="shared" si="37"/>
        <v>5937452</v>
      </c>
      <c r="E121" s="194">
        <f t="shared" si="37"/>
        <v>515</v>
      </c>
      <c r="F121" s="194">
        <f t="shared" si="37"/>
        <v>9230525</v>
      </c>
      <c r="G121" s="194">
        <f t="shared" si="37"/>
        <v>463</v>
      </c>
      <c r="H121" s="194">
        <f t="shared" si="37"/>
        <v>4012332</v>
      </c>
      <c r="I121" s="183">
        <f t="shared" si="37"/>
        <v>325</v>
      </c>
      <c r="J121" s="183">
        <f t="shared" si="37"/>
        <v>3521185</v>
      </c>
      <c r="K121" s="194">
        <v>266</v>
      </c>
      <c r="L121" s="194">
        <v>3681889</v>
      </c>
      <c r="M121" s="194">
        <v>268</v>
      </c>
      <c r="N121" s="194">
        <v>4600916</v>
      </c>
      <c r="O121" s="183">
        <v>222</v>
      </c>
      <c r="P121" s="183">
        <v>3697617</v>
      </c>
      <c r="Q121" s="183">
        <v>633.995</v>
      </c>
      <c r="R121" s="183">
        <v>28808544</v>
      </c>
      <c r="S121" s="183">
        <v>287.41000000000003</v>
      </c>
      <c r="T121" s="183">
        <v>12109563</v>
      </c>
      <c r="U121" s="194">
        <v>370</v>
      </c>
      <c r="V121" s="194">
        <v>19954659</v>
      </c>
      <c r="W121" s="194">
        <v>786</v>
      </c>
      <c r="X121" s="194">
        <v>48072829</v>
      </c>
      <c r="Y121" s="183">
        <v>870</v>
      </c>
      <c r="Z121" s="194">
        <v>66688908</v>
      </c>
      <c r="AA121" s="194">
        <v>878.00099999999998</v>
      </c>
      <c r="AB121" s="194">
        <v>50853771</v>
      </c>
      <c r="AC121" s="194">
        <v>1499</v>
      </c>
      <c r="AD121" s="194">
        <v>81778705</v>
      </c>
      <c r="AE121" s="194">
        <v>1092.2338400000001</v>
      </c>
      <c r="AF121" s="194">
        <v>55266893.764114715</v>
      </c>
      <c r="AG121" s="194"/>
      <c r="AH121" s="194">
        <v>86256164</v>
      </c>
      <c r="AI121" s="183"/>
      <c r="AJ121" s="183">
        <f>SUM(AJ118:AJ120)</f>
        <v>174380600</v>
      </c>
      <c r="AK121" s="183"/>
      <c r="AL121" s="183">
        <f>SUM(AL118:AL120)</f>
        <v>127363873</v>
      </c>
      <c r="AM121" s="183"/>
      <c r="AN121" s="183">
        <f>SUM(AN118:AN120)</f>
        <v>124182193</v>
      </c>
    </row>
    <row r="122" spans="1:40">
      <c r="A122" s="262" t="s">
        <v>362</v>
      </c>
      <c r="B122" s="127" t="s">
        <v>67</v>
      </c>
      <c r="C122" s="183">
        <v>486491</v>
      </c>
      <c r="D122" s="183">
        <v>363306720</v>
      </c>
      <c r="E122" s="183">
        <v>455155</v>
      </c>
      <c r="F122" s="183">
        <v>313472129</v>
      </c>
      <c r="G122" s="183">
        <v>406321</v>
      </c>
      <c r="H122" s="183">
        <v>264726489</v>
      </c>
      <c r="I122" s="194">
        <v>388964</v>
      </c>
      <c r="J122" s="194">
        <v>391749276</v>
      </c>
      <c r="K122" s="194">
        <v>353850</v>
      </c>
      <c r="L122" s="194">
        <v>633839033</v>
      </c>
      <c r="M122" s="194">
        <v>446453</v>
      </c>
      <c r="N122" s="194">
        <v>565370341</v>
      </c>
      <c r="O122" s="183">
        <v>510320</v>
      </c>
      <c r="P122" s="183">
        <v>591302981</v>
      </c>
      <c r="Q122" s="183">
        <v>475305</v>
      </c>
      <c r="R122" s="183">
        <v>485907939</v>
      </c>
      <c r="S122" s="183">
        <f>521030</f>
        <v>521030</v>
      </c>
      <c r="T122" s="183">
        <f>470435536</f>
        <v>470435536</v>
      </c>
      <c r="U122" s="194">
        <v>563025</v>
      </c>
      <c r="V122" s="194">
        <v>458620550</v>
      </c>
      <c r="W122" s="194">
        <v>729442</v>
      </c>
      <c r="X122" s="194">
        <v>897118281</v>
      </c>
      <c r="Y122" s="183">
        <v>761919</v>
      </c>
      <c r="Z122" s="194">
        <v>1097301395</v>
      </c>
      <c r="AA122" s="194">
        <v>776490</v>
      </c>
      <c r="AB122" s="194">
        <v>1051111897</v>
      </c>
      <c r="AC122" s="194">
        <v>942470</v>
      </c>
      <c r="AD122" s="194">
        <v>1146639375</v>
      </c>
      <c r="AE122" s="194">
        <v>835160.1</v>
      </c>
      <c r="AF122" s="194">
        <v>872398146.45216513</v>
      </c>
      <c r="AG122" s="194">
        <v>871262</v>
      </c>
      <c r="AH122" s="194">
        <v>1613510211</v>
      </c>
      <c r="AI122" s="183">
        <v>899618.48</v>
      </c>
      <c r="AJ122" s="183">
        <v>1857503896</v>
      </c>
      <c r="AK122" s="183">
        <v>1110357</v>
      </c>
      <c r="AL122" s="183">
        <v>1619104901</v>
      </c>
      <c r="AM122" s="183">
        <v>1355882</v>
      </c>
      <c r="AN122" s="183">
        <v>1997056701</v>
      </c>
    </row>
    <row r="123" spans="1:40">
      <c r="A123" s="262" t="s">
        <v>444</v>
      </c>
      <c r="B123" s="127" t="s">
        <v>67</v>
      </c>
      <c r="C123" s="183">
        <v>0</v>
      </c>
      <c r="D123" s="183">
        <v>0</v>
      </c>
      <c r="E123" s="194">
        <v>0</v>
      </c>
      <c r="F123" s="194">
        <v>0</v>
      </c>
      <c r="G123" s="194">
        <v>0</v>
      </c>
      <c r="H123" s="194">
        <v>0</v>
      </c>
      <c r="I123" s="194">
        <v>0</v>
      </c>
      <c r="J123" s="194">
        <v>0</v>
      </c>
      <c r="K123" s="194">
        <v>0</v>
      </c>
      <c r="L123" s="194">
        <v>0</v>
      </c>
      <c r="M123" s="183">
        <v>0</v>
      </c>
      <c r="N123" s="183">
        <v>0</v>
      </c>
      <c r="O123" s="183">
        <v>0</v>
      </c>
      <c r="P123" s="183">
        <v>0</v>
      </c>
      <c r="Q123" s="194">
        <v>0</v>
      </c>
      <c r="R123" s="194">
        <v>0</v>
      </c>
      <c r="S123" s="194">
        <v>0</v>
      </c>
      <c r="T123" s="194">
        <v>0</v>
      </c>
      <c r="U123" s="194">
        <v>0</v>
      </c>
      <c r="V123" s="194">
        <v>0</v>
      </c>
      <c r="W123" s="194">
        <v>0</v>
      </c>
      <c r="X123" s="194">
        <v>0</v>
      </c>
      <c r="Y123" s="194">
        <v>0</v>
      </c>
      <c r="Z123" s="194">
        <v>0</v>
      </c>
      <c r="AA123" s="194">
        <v>0</v>
      </c>
      <c r="AB123" s="194">
        <v>0</v>
      </c>
      <c r="AC123" s="194">
        <v>0</v>
      </c>
      <c r="AD123" s="194">
        <v>0</v>
      </c>
      <c r="AE123" s="194">
        <v>519</v>
      </c>
      <c r="AF123" s="194">
        <v>4220297</v>
      </c>
      <c r="AG123" s="194">
        <v>14199.976000000001</v>
      </c>
      <c r="AH123" s="194">
        <v>192774850</v>
      </c>
      <c r="AI123" s="183">
        <v>27969.37</v>
      </c>
      <c r="AJ123" s="183">
        <v>381234256</v>
      </c>
      <c r="AK123" s="183">
        <v>35522</v>
      </c>
      <c r="AL123" s="183">
        <v>382964497</v>
      </c>
      <c r="AM123" s="183">
        <v>37915</v>
      </c>
      <c r="AN123" s="183">
        <v>485414557</v>
      </c>
    </row>
    <row r="124" spans="1:40">
      <c r="A124" s="262" t="s">
        <v>187</v>
      </c>
      <c r="B124" s="127" t="s">
        <v>67</v>
      </c>
      <c r="C124" s="183">
        <v>0</v>
      </c>
      <c r="D124" s="183">
        <v>0</v>
      </c>
      <c r="E124" s="183">
        <v>45937</v>
      </c>
      <c r="F124" s="183">
        <v>8490324</v>
      </c>
      <c r="G124" s="183">
        <v>59257</v>
      </c>
      <c r="H124" s="183">
        <v>10065723</v>
      </c>
      <c r="I124" s="194">
        <v>0</v>
      </c>
      <c r="J124" s="194">
        <v>0</v>
      </c>
      <c r="K124" s="194">
        <v>0</v>
      </c>
      <c r="L124" s="194">
        <v>0</v>
      </c>
      <c r="M124" s="194">
        <v>37084</v>
      </c>
      <c r="N124" s="194">
        <v>20598342</v>
      </c>
      <c r="O124" s="183">
        <v>8666</v>
      </c>
      <c r="P124" s="183">
        <v>4575271</v>
      </c>
      <c r="Q124" s="194">
        <v>5210</v>
      </c>
      <c r="R124" s="194">
        <v>3135393</v>
      </c>
      <c r="S124" s="194">
        <v>0</v>
      </c>
      <c r="T124" s="194">
        <v>0</v>
      </c>
      <c r="U124" s="194">
        <v>0</v>
      </c>
      <c r="V124" s="194">
        <v>0</v>
      </c>
      <c r="W124" s="194">
        <v>0</v>
      </c>
      <c r="X124" s="194">
        <v>0</v>
      </c>
      <c r="Y124" s="194">
        <v>0</v>
      </c>
      <c r="Z124" s="194">
        <v>0</v>
      </c>
      <c r="AA124" s="194">
        <v>0</v>
      </c>
      <c r="AB124" s="194">
        <v>0</v>
      </c>
      <c r="AC124" s="194">
        <v>0</v>
      </c>
      <c r="AD124" s="194">
        <v>0</v>
      </c>
      <c r="AE124" s="194">
        <v>0</v>
      </c>
      <c r="AF124" s="194">
        <v>0</v>
      </c>
      <c r="AG124" s="194">
        <v>0</v>
      </c>
      <c r="AH124" s="194">
        <v>0</v>
      </c>
      <c r="AI124" s="194">
        <v>0</v>
      </c>
      <c r="AJ124" s="194">
        <v>0</v>
      </c>
      <c r="AK124" s="183">
        <v>0</v>
      </c>
      <c r="AL124" s="183">
        <v>0</v>
      </c>
      <c r="AM124" s="183">
        <v>0</v>
      </c>
      <c r="AN124" s="183">
        <v>0</v>
      </c>
    </row>
    <row r="125" spans="1:40">
      <c r="A125" s="262" t="s">
        <v>605</v>
      </c>
      <c r="B125" s="127" t="s">
        <v>93</v>
      </c>
      <c r="C125" s="183">
        <v>461</v>
      </c>
      <c r="D125" s="183">
        <v>2491786</v>
      </c>
      <c r="E125" s="183">
        <v>421</v>
      </c>
      <c r="F125" s="183">
        <v>2050352</v>
      </c>
      <c r="G125" s="183">
        <v>490</v>
      </c>
      <c r="H125" s="183">
        <v>3218062</v>
      </c>
      <c r="I125" s="194">
        <v>454</v>
      </c>
      <c r="J125" s="194">
        <v>2842171</v>
      </c>
      <c r="K125" s="194">
        <v>280</v>
      </c>
      <c r="L125" s="194">
        <v>1622806</v>
      </c>
      <c r="M125" s="194">
        <v>431</v>
      </c>
      <c r="N125" s="194">
        <v>1631497</v>
      </c>
      <c r="O125" s="183">
        <v>350</v>
      </c>
      <c r="P125" s="183">
        <v>1229183</v>
      </c>
      <c r="Q125" s="194">
        <v>554.50900000000001</v>
      </c>
      <c r="R125" s="194">
        <v>1386855</v>
      </c>
      <c r="S125" s="194">
        <v>422.01299999999998</v>
      </c>
      <c r="T125" s="183">
        <v>1626008</v>
      </c>
      <c r="U125" s="194">
        <v>373</v>
      </c>
      <c r="V125" s="194">
        <v>2576698</v>
      </c>
      <c r="W125" s="194">
        <v>514</v>
      </c>
      <c r="X125" s="194">
        <v>3100988</v>
      </c>
      <c r="Y125" s="183">
        <v>558</v>
      </c>
      <c r="Z125" s="194">
        <v>2703172</v>
      </c>
      <c r="AA125" s="194">
        <v>433.21499999999997</v>
      </c>
      <c r="AB125" s="194">
        <v>2238476</v>
      </c>
      <c r="AC125" s="194">
        <v>668</v>
      </c>
      <c r="AD125" s="194">
        <v>6785327</v>
      </c>
      <c r="AE125" s="194">
        <v>791.89519984889159</v>
      </c>
      <c r="AF125" s="194">
        <v>9233229.6406634524</v>
      </c>
      <c r="AG125" s="194">
        <v>790.93299999999999</v>
      </c>
      <c r="AH125" s="194">
        <v>17154394</v>
      </c>
      <c r="AI125" s="183">
        <v>862.87700000000007</v>
      </c>
      <c r="AJ125" s="183">
        <v>39173885</v>
      </c>
      <c r="AK125" s="183">
        <v>828</v>
      </c>
      <c r="AL125" s="183">
        <v>20072174</v>
      </c>
      <c r="AM125" s="183">
        <v>517</v>
      </c>
      <c r="AN125" s="183">
        <v>7468326</v>
      </c>
    </row>
    <row r="126" spans="1:40">
      <c r="A126" s="262" t="s">
        <v>606</v>
      </c>
      <c r="B126" s="127" t="s">
        <v>93</v>
      </c>
      <c r="C126" s="183">
        <v>81</v>
      </c>
      <c r="D126" s="183">
        <v>1225011</v>
      </c>
      <c r="E126" s="183">
        <v>94</v>
      </c>
      <c r="F126" s="183">
        <v>1498493</v>
      </c>
      <c r="G126" s="183">
        <v>105</v>
      </c>
      <c r="H126" s="183">
        <v>2645121</v>
      </c>
      <c r="I126" s="194">
        <v>82</v>
      </c>
      <c r="J126" s="194">
        <v>1936029</v>
      </c>
      <c r="K126" s="194">
        <v>70</v>
      </c>
      <c r="L126" s="194">
        <v>1504088</v>
      </c>
      <c r="M126" s="194">
        <v>66</v>
      </c>
      <c r="N126" s="194">
        <v>1049022</v>
      </c>
      <c r="O126" s="183">
        <v>89</v>
      </c>
      <c r="P126" s="183">
        <v>1268587</v>
      </c>
      <c r="Q126" s="183">
        <v>125.637</v>
      </c>
      <c r="R126" s="183">
        <v>1646045</v>
      </c>
      <c r="S126" s="194">
        <v>112.181</v>
      </c>
      <c r="T126" s="183">
        <v>1246898</v>
      </c>
      <c r="U126" s="194">
        <v>64</v>
      </c>
      <c r="V126" s="194">
        <v>987882</v>
      </c>
      <c r="W126" s="194">
        <v>121</v>
      </c>
      <c r="X126" s="194">
        <v>1412150</v>
      </c>
      <c r="Y126" s="183">
        <v>87</v>
      </c>
      <c r="Z126" s="194">
        <v>1995309</v>
      </c>
      <c r="AA126" s="194">
        <v>254.56</v>
      </c>
      <c r="AB126" s="194">
        <v>1582314</v>
      </c>
      <c r="AC126" s="194">
        <v>212</v>
      </c>
      <c r="AD126" s="194">
        <v>3105879</v>
      </c>
      <c r="AE126" s="194">
        <v>101.83586977349816</v>
      </c>
      <c r="AF126" s="194">
        <v>1838766.5099171938</v>
      </c>
      <c r="AG126" s="194">
        <v>115.55800000000001</v>
      </c>
      <c r="AH126" s="194">
        <v>2581065</v>
      </c>
      <c r="AI126" s="183">
        <v>188.16800000000001</v>
      </c>
      <c r="AJ126" s="183">
        <v>6062098</v>
      </c>
      <c r="AK126" s="183">
        <v>144</v>
      </c>
      <c r="AL126" s="183">
        <v>3949956</v>
      </c>
      <c r="AM126" s="183">
        <v>152</v>
      </c>
      <c r="AN126" s="183">
        <v>4337857</v>
      </c>
    </row>
    <row r="127" spans="1:40">
      <c r="A127" s="265" t="s">
        <v>608</v>
      </c>
      <c r="B127" s="225"/>
      <c r="C127" s="194"/>
      <c r="D127" s="194">
        <f>SUM(D121:D126)</f>
        <v>372960969</v>
      </c>
      <c r="E127" s="194"/>
      <c r="F127" s="194">
        <f>SUM(F121:F126)</f>
        <v>334741823</v>
      </c>
      <c r="G127" s="194"/>
      <c r="H127" s="194">
        <f>SUM(H121:H126)</f>
        <v>284667727</v>
      </c>
      <c r="I127" s="194"/>
      <c r="J127" s="194">
        <f>SUM(J121:J126)</f>
        <v>400048661</v>
      </c>
      <c r="K127" s="194"/>
      <c r="L127" s="194">
        <f>SUM(L121:L126)</f>
        <v>640647816</v>
      </c>
      <c r="M127" s="194"/>
      <c r="N127" s="194">
        <f>SUM(N121:N126)</f>
        <v>593250118</v>
      </c>
      <c r="O127" s="194"/>
      <c r="P127" s="183">
        <f>SUM(P121:P126)</f>
        <v>602073639</v>
      </c>
      <c r="Q127" s="183"/>
      <c r="R127" s="183">
        <f>521349718-464942</f>
        <v>520884776</v>
      </c>
      <c r="S127" s="183"/>
      <c r="T127" s="183">
        <f>487155241-1737236</f>
        <v>485418005</v>
      </c>
      <c r="U127" s="194"/>
      <c r="V127" s="194">
        <v>482139789</v>
      </c>
      <c r="W127" s="194"/>
      <c r="X127" s="194">
        <v>949704248</v>
      </c>
      <c r="Y127" s="194"/>
      <c r="Z127" s="194">
        <v>1168688784</v>
      </c>
      <c r="AA127" s="194"/>
      <c r="AB127" s="194">
        <v>1105786458</v>
      </c>
      <c r="AC127" s="194"/>
      <c r="AD127" s="194">
        <v>1238309287</v>
      </c>
      <c r="AE127" s="166"/>
      <c r="AF127" s="194">
        <v>942957333.36686051</v>
      </c>
      <c r="AG127" s="194"/>
      <c r="AH127" s="194">
        <v>1912276684</v>
      </c>
      <c r="AI127" s="194"/>
      <c r="AJ127" s="183">
        <f>SUM(AJ121:AJ126)</f>
        <v>2458354735</v>
      </c>
      <c r="AK127" s="183"/>
      <c r="AL127" s="183">
        <f>SUM(AL121:AL126)</f>
        <v>2153455401</v>
      </c>
      <c r="AM127" s="183"/>
      <c r="AN127" s="183">
        <f>SUM(AN121:AN126)</f>
        <v>2618459634</v>
      </c>
    </row>
    <row r="128" spans="1:40">
      <c r="A128" s="129"/>
      <c r="B128" s="225"/>
      <c r="C128" s="194"/>
      <c r="D128" s="194"/>
      <c r="E128" s="194"/>
      <c r="F128" s="194"/>
      <c r="G128" s="194"/>
      <c r="H128" s="194"/>
      <c r="I128" s="194"/>
      <c r="J128" s="194"/>
      <c r="K128" s="194"/>
      <c r="L128" s="194"/>
      <c r="M128" s="183"/>
      <c r="N128" s="183"/>
      <c r="O128" s="194"/>
      <c r="P128" s="183"/>
      <c r="Q128" s="194"/>
      <c r="R128" s="194"/>
      <c r="S128" s="183"/>
      <c r="T128" s="183"/>
      <c r="U128" s="183"/>
      <c r="V128" s="183"/>
      <c r="W128" s="183"/>
      <c r="X128" s="183"/>
      <c r="Y128" s="194"/>
      <c r="Z128" s="194"/>
      <c r="AA128" s="194"/>
      <c r="AB128" s="194"/>
      <c r="AC128" s="194"/>
      <c r="AD128" s="194"/>
      <c r="AE128" s="166"/>
      <c r="AF128" s="194"/>
      <c r="AG128" s="194"/>
      <c r="AH128" s="194"/>
      <c r="AI128" s="194"/>
      <c r="AJ128" s="183"/>
      <c r="AK128" s="183"/>
      <c r="AL128" s="183"/>
      <c r="AM128" s="194"/>
      <c r="AN128" s="183"/>
    </row>
    <row r="129" spans="1:40">
      <c r="A129" s="260" t="s">
        <v>189</v>
      </c>
      <c r="B129" s="256" t="s">
        <v>67</v>
      </c>
      <c r="C129" s="724">
        <v>0</v>
      </c>
      <c r="D129" s="724">
        <v>0</v>
      </c>
      <c r="E129" s="724">
        <v>10238</v>
      </c>
      <c r="F129" s="724">
        <v>441894</v>
      </c>
      <c r="G129" s="724">
        <v>1641</v>
      </c>
      <c r="H129" s="724">
        <v>51669</v>
      </c>
      <c r="I129" s="724">
        <v>879</v>
      </c>
      <c r="J129" s="724">
        <v>52794</v>
      </c>
      <c r="K129" s="724">
        <v>1338</v>
      </c>
      <c r="L129" s="724">
        <v>78504</v>
      </c>
      <c r="M129" s="723">
        <v>1111</v>
      </c>
      <c r="N129" s="723">
        <v>68546</v>
      </c>
      <c r="O129" s="723">
        <v>376</v>
      </c>
      <c r="P129" s="723">
        <v>28000</v>
      </c>
      <c r="Q129" s="724">
        <v>762</v>
      </c>
      <c r="R129" s="724">
        <v>56685</v>
      </c>
      <c r="S129" s="724">
        <v>1134</v>
      </c>
      <c r="T129" s="724">
        <v>84432</v>
      </c>
      <c r="U129" s="724">
        <v>813</v>
      </c>
      <c r="V129" s="724">
        <v>60380</v>
      </c>
      <c r="W129" s="724">
        <v>960</v>
      </c>
      <c r="X129" s="724">
        <v>66992</v>
      </c>
      <c r="Y129" s="723">
        <v>547</v>
      </c>
      <c r="Z129" s="724">
        <v>40748</v>
      </c>
      <c r="AA129" s="724">
        <v>0</v>
      </c>
      <c r="AB129" s="724">
        <v>0</v>
      </c>
      <c r="AC129" s="724">
        <v>0</v>
      </c>
      <c r="AD129" s="724">
        <v>0</v>
      </c>
      <c r="AE129" s="724">
        <v>0</v>
      </c>
      <c r="AF129" s="724">
        <v>0</v>
      </c>
      <c r="AG129" s="724">
        <v>0</v>
      </c>
      <c r="AH129" s="724">
        <v>0</v>
      </c>
      <c r="AI129" s="724">
        <v>0</v>
      </c>
      <c r="AJ129" s="724">
        <v>0</v>
      </c>
      <c r="AK129" s="723">
        <v>0</v>
      </c>
      <c r="AL129" s="723">
        <v>0</v>
      </c>
      <c r="AM129" s="723">
        <v>0</v>
      </c>
      <c r="AN129" s="723">
        <v>0</v>
      </c>
    </row>
    <row r="130" spans="1:40">
      <c r="A130" s="257" t="s">
        <v>190</v>
      </c>
      <c r="B130" s="246"/>
      <c r="C130" s="724"/>
      <c r="D130" s="724"/>
      <c r="E130" s="724"/>
      <c r="F130" s="724"/>
      <c r="G130" s="724"/>
      <c r="H130" s="724"/>
      <c r="I130" s="724"/>
      <c r="J130" s="724"/>
      <c r="K130" s="724"/>
      <c r="L130" s="724"/>
      <c r="M130" s="724"/>
      <c r="N130" s="724"/>
      <c r="O130" s="723"/>
      <c r="P130" s="723"/>
      <c r="Q130" s="723"/>
      <c r="R130" s="723"/>
      <c r="S130" s="724"/>
      <c r="T130" s="724"/>
      <c r="U130" s="724"/>
      <c r="V130" s="724"/>
      <c r="W130" s="724"/>
      <c r="X130" s="724"/>
      <c r="Y130" s="724"/>
      <c r="Z130" s="724"/>
      <c r="AA130" s="724"/>
      <c r="AB130" s="724"/>
      <c r="AC130" s="724"/>
      <c r="AD130" s="724"/>
      <c r="AE130" s="724"/>
      <c r="AF130" s="724"/>
      <c r="AG130" s="724"/>
      <c r="AH130" s="724"/>
      <c r="AI130" s="724"/>
      <c r="AJ130" s="723"/>
      <c r="AK130" s="723"/>
      <c r="AL130" s="723"/>
      <c r="AM130" s="723"/>
      <c r="AN130" s="723"/>
    </row>
    <row r="131" spans="1:40">
      <c r="A131" s="261" t="s">
        <v>191</v>
      </c>
      <c r="B131" s="225"/>
      <c r="C131" s="194"/>
      <c r="D131" s="194"/>
      <c r="E131" s="194"/>
      <c r="F131" s="194"/>
      <c r="G131" s="194"/>
      <c r="H131" s="194"/>
      <c r="I131" s="183"/>
      <c r="J131" s="183"/>
      <c r="K131" s="194"/>
      <c r="L131" s="194"/>
      <c r="M131" s="194"/>
      <c r="N131" s="194"/>
      <c r="O131" s="183"/>
      <c r="P131" s="183"/>
      <c r="Q131" s="183"/>
      <c r="R131" s="183"/>
      <c r="S131" s="194"/>
      <c r="T131" s="194"/>
      <c r="U131" s="194"/>
      <c r="V131" s="194"/>
      <c r="W131" s="194"/>
      <c r="X131" s="194"/>
      <c r="Y131" s="194"/>
      <c r="Z131" s="194"/>
      <c r="AA131" s="194"/>
      <c r="AB131" s="194"/>
      <c r="AC131" s="194"/>
      <c r="AD131" s="194"/>
      <c r="AE131" s="194"/>
      <c r="AF131" s="194"/>
      <c r="AG131" s="194"/>
      <c r="AH131" s="194"/>
      <c r="AI131" s="183"/>
      <c r="AJ131" s="183"/>
      <c r="AK131" s="183"/>
      <c r="AL131" s="183"/>
      <c r="AM131" s="183"/>
      <c r="AN131" s="183"/>
    </row>
    <row r="132" spans="1:40">
      <c r="A132" s="262" t="s">
        <v>62</v>
      </c>
      <c r="B132" s="127" t="s">
        <v>192</v>
      </c>
      <c r="C132" s="183">
        <f>94861/0.733</f>
        <v>129414.73396998637</v>
      </c>
      <c r="D132" s="183" t="s">
        <v>285</v>
      </c>
      <c r="E132" s="183">
        <v>381287</v>
      </c>
      <c r="F132" s="183" t="s">
        <v>286</v>
      </c>
      <c r="G132" s="183">
        <v>512434</v>
      </c>
      <c r="H132" s="183">
        <v>76464584</v>
      </c>
      <c r="I132" s="194">
        <v>1140514</v>
      </c>
      <c r="J132" s="194">
        <v>169911500</v>
      </c>
      <c r="K132" s="194">
        <v>1154116</v>
      </c>
      <c r="L132" s="194">
        <v>141799395</v>
      </c>
      <c r="M132" s="194">
        <v>1601163</v>
      </c>
      <c r="N132" s="194">
        <v>235653383</v>
      </c>
      <c r="O132" s="183">
        <v>1867892</v>
      </c>
      <c r="P132" s="183">
        <v>370948987</v>
      </c>
      <c r="Q132" s="183">
        <v>1996708</v>
      </c>
      <c r="R132" s="183">
        <v>338981745</v>
      </c>
      <c r="S132" s="194">
        <v>1995401</v>
      </c>
      <c r="T132" s="194">
        <v>363038053</v>
      </c>
      <c r="U132" s="194">
        <v>2350031</v>
      </c>
      <c r="V132" s="194">
        <v>348711923</v>
      </c>
      <c r="W132" s="194">
        <v>2634932</v>
      </c>
      <c r="X132" s="194">
        <v>398338386</v>
      </c>
      <c r="Y132" s="183">
        <v>4648827</v>
      </c>
      <c r="Z132" s="194">
        <v>685743146</v>
      </c>
      <c r="AA132" s="194">
        <v>5734946</v>
      </c>
      <c r="AB132" s="194">
        <v>943153536</v>
      </c>
      <c r="AC132" s="194">
        <v>6758554</v>
      </c>
      <c r="AD132" s="194">
        <v>1065843094</v>
      </c>
      <c r="AE132" s="194">
        <v>5554129</v>
      </c>
      <c r="AF132" s="194">
        <v>743906225.27999997</v>
      </c>
      <c r="AG132" s="194">
        <v>6347648</v>
      </c>
      <c r="AH132" s="194">
        <v>1583938449</v>
      </c>
      <c r="AI132" s="183">
        <v>5809460</v>
      </c>
      <c r="AJ132" s="183">
        <v>1984526940</v>
      </c>
      <c r="AK132" s="183">
        <v>6326003</v>
      </c>
      <c r="AL132" s="183">
        <v>1680033506</v>
      </c>
      <c r="AM132" s="183">
        <v>6934156</v>
      </c>
      <c r="AN132" s="183">
        <v>2046370293</v>
      </c>
    </row>
    <row r="133" spans="1:40">
      <c r="A133" s="262" t="s">
        <v>61</v>
      </c>
      <c r="B133" s="127" t="s">
        <v>192</v>
      </c>
      <c r="C133" s="183">
        <v>1216456</v>
      </c>
      <c r="D133" s="183">
        <v>284790518</v>
      </c>
      <c r="E133" s="183">
        <v>1430180</v>
      </c>
      <c r="F133" s="183">
        <v>311924009</v>
      </c>
      <c r="G133" s="183">
        <v>1574655</v>
      </c>
      <c r="H133" s="183">
        <v>262843620</v>
      </c>
      <c r="I133" s="194">
        <v>1932597</v>
      </c>
      <c r="J133" s="194">
        <v>304355749</v>
      </c>
      <c r="K133" s="194">
        <v>2198943</v>
      </c>
      <c r="L133" s="194">
        <v>269860578</v>
      </c>
      <c r="M133" s="183">
        <v>3962739</v>
      </c>
      <c r="N133" s="183">
        <v>601471936</v>
      </c>
      <c r="O133" s="183">
        <v>5136529</v>
      </c>
      <c r="P133" s="183">
        <v>1054061459</v>
      </c>
      <c r="Q133" s="183">
        <v>5432496</v>
      </c>
      <c r="R133" s="183">
        <v>941287650</v>
      </c>
      <c r="S133" s="194">
        <v>4538080</v>
      </c>
      <c r="T133" s="194">
        <v>855690950</v>
      </c>
      <c r="U133" s="194">
        <v>5327567</v>
      </c>
      <c r="V133" s="194">
        <v>815332844</v>
      </c>
      <c r="W133" s="194">
        <v>9901184</v>
      </c>
      <c r="X133" s="194">
        <v>1559650770</v>
      </c>
      <c r="Y133" s="183">
        <v>9646943</v>
      </c>
      <c r="Z133" s="194">
        <v>1535670541</v>
      </c>
      <c r="AA133" s="194">
        <v>10465951</v>
      </c>
      <c r="AB133" s="194">
        <v>1915933489</v>
      </c>
      <c r="AC133" s="194">
        <v>9852490</v>
      </c>
      <c r="AD133" s="194">
        <v>1567158552</v>
      </c>
      <c r="AE133" s="194">
        <v>9162535.7458721325</v>
      </c>
      <c r="AF133" s="194">
        <v>1189643507.9398711</v>
      </c>
      <c r="AG133" s="194">
        <v>12054819</v>
      </c>
      <c r="AH133" s="194">
        <v>3144766638</v>
      </c>
      <c r="AI133" s="183">
        <v>13957274</v>
      </c>
      <c r="AJ133" s="183">
        <v>4792052082.1799994</v>
      </c>
      <c r="AK133" s="183">
        <v>15087852</v>
      </c>
      <c r="AL133" s="183">
        <v>4198780711</v>
      </c>
      <c r="AM133" s="183">
        <v>14004299</v>
      </c>
      <c r="AN133" s="183">
        <v>4258124798</v>
      </c>
    </row>
    <row r="134" spans="1:40">
      <c r="A134" s="262" t="s">
        <v>224</v>
      </c>
      <c r="B134" s="127" t="s">
        <v>67</v>
      </c>
      <c r="C134" s="194">
        <v>0</v>
      </c>
      <c r="D134" s="194">
        <v>0</v>
      </c>
      <c r="E134" s="194">
        <v>0</v>
      </c>
      <c r="F134" s="194">
        <v>0</v>
      </c>
      <c r="G134" s="194">
        <v>0</v>
      </c>
      <c r="H134" s="194">
        <v>0</v>
      </c>
      <c r="I134" s="194">
        <v>0</v>
      </c>
      <c r="J134" s="194">
        <v>0</v>
      </c>
      <c r="K134" s="194">
        <v>0</v>
      </c>
      <c r="L134" s="194">
        <v>0</v>
      </c>
      <c r="M134" s="183">
        <v>2003220.7692307692</v>
      </c>
      <c r="N134" s="183">
        <v>336091222</v>
      </c>
      <c r="O134" s="183">
        <v>3556359.2115384615</v>
      </c>
      <c r="P134" s="183">
        <v>836400762</v>
      </c>
      <c r="Q134" s="183">
        <v>4225019.230769231</v>
      </c>
      <c r="R134" s="183">
        <v>846334383</v>
      </c>
      <c r="S134" s="194">
        <v>4893574.192307692</v>
      </c>
      <c r="T134" s="183">
        <v>1025056102</v>
      </c>
      <c r="U134" s="194">
        <v>5699265.75</v>
      </c>
      <c r="V134" s="194">
        <v>1015679244</v>
      </c>
      <c r="W134" s="194">
        <v>6848223.557692308</v>
      </c>
      <c r="X134" s="194">
        <v>1262512586</v>
      </c>
      <c r="Y134" s="183">
        <v>7303621.384615385</v>
      </c>
      <c r="Z134" s="194">
        <v>1350915501</v>
      </c>
      <c r="AA134" s="194">
        <v>7124972.653846154</v>
      </c>
      <c r="AB134" s="194">
        <v>1528770813</v>
      </c>
      <c r="AC134" s="194">
        <v>7298921.730769231</v>
      </c>
      <c r="AD134" s="194">
        <v>1591935107</v>
      </c>
      <c r="AE134" s="194">
        <v>7536486.865384615</v>
      </c>
      <c r="AF134" s="194">
        <v>1434419363</v>
      </c>
      <c r="AG134" s="194">
        <v>7569482.692307692</v>
      </c>
      <c r="AH134" s="194">
        <v>1971060425</v>
      </c>
      <c r="AI134" s="183">
        <v>8260389.230769231</v>
      </c>
      <c r="AJ134" s="183">
        <v>2695528134</v>
      </c>
      <c r="AK134" s="183">
        <v>7424657.653846154</v>
      </c>
      <c r="AL134" s="183">
        <v>2970606165</v>
      </c>
      <c r="AM134" s="183">
        <v>7765873.730769231</v>
      </c>
      <c r="AN134" s="183">
        <v>3130828043</v>
      </c>
    </row>
    <row r="135" spans="1:40">
      <c r="A135" s="262" t="s">
        <v>262</v>
      </c>
      <c r="B135" s="127" t="s">
        <v>67</v>
      </c>
      <c r="C135" s="194">
        <v>0</v>
      </c>
      <c r="D135" s="194">
        <v>0</v>
      </c>
      <c r="E135" s="194">
        <v>0</v>
      </c>
      <c r="F135" s="194">
        <v>0</v>
      </c>
      <c r="G135" s="194">
        <v>0</v>
      </c>
      <c r="H135" s="194">
        <v>0</v>
      </c>
      <c r="I135" s="194">
        <v>0</v>
      </c>
      <c r="J135" s="194">
        <v>0</v>
      </c>
      <c r="K135" s="194">
        <v>0</v>
      </c>
      <c r="L135" s="194">
        <v>0</v>
      </c>
      <c r="M135" s="194">
        <v>0</v>
      </c>
      <c r="N135" s="194">
        <v>0</v>
      </c>
      <c r="O135" s="194">
        <v>0</v>
      </c>
      <c r="P135" s="194">
        <v>0</v>
      </c>
      <c r="Q135" s="194">
        <v>0</v>
      </c>
      <c r="R135" s="194">
        <v>0</v>
      </c>
      <c r="S135" s="194">
        <v>0</v>
      </c>
      <c r="T135" s="194">
        <v>0</v>
      </c>
      <c r="U135" s="194">
        <v>0</v>
      </c>
      <c r="V135" s="194">
        <v>0</v>
      </c>
      <c r="W135" s="194">
        <v>0</v>
      </c>
      <c r="X135" s="194">
        <v>0</v>
      </c>
      <c r="Y135" s="183">
        <v>100241</v>
      </c>
      <c r="Z135" s="194">
        <v>22708772</v>
      </c>
      <c r="AA135" s="194">
        <v>209685</v>
      </c>
      <c r="AB135" s="194">
        <v>59668659</v>
      </c>
      <c r="AC135" s="194">
        <v>376089</v>
      </c>
      <c r="AD135" s="194">
        <v>90469095</v>
      </c>
      <c r="AE135" s="194">
        <v>388694</v>
      </c>
      <c r="AF135" s="194">
        <v>90621537</v>
      </c>
      <c r="AG135" s="194">
        <v>443576</v>
      </c>
      <c r="AH135" s="194">
        <v>190900705</v>
      </c>
      <c r="AI135" s="183">
        <v>428900</v>
      </c>
      <c r="AJ135" s="183">
        <v>221968789.00000003</v>
      </c>
      <c r="AK135" s="183">
        <v>482203</v>
      </c>
      <c r="AL135" s="183">
        <v>193711852</v>
      </c>
      <c r="AM135" s="183">
        <v>460467</v>
      </c>
      <c r="AN135" s="183">
        <v>221468636</v>
      </c>
    </row>
    <row r="136" spans="1:40">
      <c r="A136" s="262" t="s">
        <v>263</v>
      </c>
      <c r="B136" s="127" t="s">
        <v>67</v>
      </c>
      <c r="C136" s="194">
        <v>0</v>
      </c>
      <c r="D136" s="194">
        <v>0</v>
      </c>
      <c r="E136" s="194">
        <v>0</v>
      </c>
      <c r="F136" s="194">
        <v>0</v>
      </c>
      <c r="G136" s="194">
        <v>0</v>
      </c>
      <c r="H136" s="194">
        <v>0</v>
      </c>
      <c r="I136" s="194">
        <v>0</v>
      </c>
      <c r="J136" s="194">
        <v>0</v>
      </c>
      <c r="K136" s="194">
        <v>0</v>
      </c>
      <c r="L136" s="194">
        <v>0</v>
      </c>
      <c r="M136" s="194">
        <v>0</v>
      </c>
      <c r="N136" s="194">
        <v>0</v>
      </c>
      <c r="O136" s="194">
        <v>0</v>
      </c>
      <c r="P136" s="194">
        <v>0</v>
      </c>
      <c r="Q136" s="194">
        <v>0</v>
      </c>
      <c r="R136" s="194">
        <v>0</v>
      </c>
      <c r="S136" s="194">
        <v>0</v>
      </c>
      <c r="T136" s="194">
        <v>0</v>
      </c>
      <c r="U136" s="194">
        <v>0</v>
      </c>
      <c r="V136" s="194">
        <v>0</v>
      </c>
      <c r="W136" s="194">
        <v>0</v>
      </c>
      <c r="X136" s="194">
        <v>0</v>
      </c>
      <c r="Y136" s="183">
        <v>87016</v>
      </c>
      <c r="Z136" s="194">
        <v>19732974</v>
      </c>
      <c r="AA136" s="194">
        <v>185737</v>
      </c>
      <c r="AB136" s="194">
        <v>55658974</v>
      </c>
      <c r="AC136" s="194">
        <v>263259</v>
      </c>
      <c r="AD136" s="194">
        <v>61264851</v>
      </c>
      <c r="AE136" s="194">
        <v>259207</v>
      </c>
      <c r="AF136" s="194">
        <v>57626638.760000005</v>
      </c>
      <c r="AG136" s="194">
        <v>334573</v>
      </c>
      <c r="AH136" s="194">
        <v>145937645</v>
      </c>
      <c r="AI136" s="183">
        <v>367672</v>
      </c>
      <c r="AJ136" s="183">
        <v>187540575</v>
      </c>
      <c r="AK136" s="183">
        <v>374319</v>
      </c>
      <c r="AL136" s="183">
        <v>167866073</v>
      </c>
      <c r="AM136" s="183">
        <v>346596</v>
      </c>
      <c r="AN136" s="183">
        <v>172394567</v>
      </c>
    </row>
    <row r="137" spans="1:40" ht="17.25">
      <c r="A137" s="262" t="s">
        <v>72</v>
      </c>
      <c r="B137" s="212" t="s">
        <v>273</v>
      </c>
      <c r="C137" s="1089">
        <v>1759631</v>
      </c>
      <c r="D137" s="1089">
        <v>165844011</v>
      </c>
      <c r="E137" s="1089">
        <v>2756065</v>
      </c>
      <c r="F137" s="1089">
        <v>291608694</v>
      </c>
      <c r="G137" s="1089">
        <v>3199165</v>
      </c>
      <c r="H137" s="1089">
        <v>277989304</v>
      </c>
      <c r="I137" s="194">
        <v>3629175</v>
      </c>
      <c r="J137" s="194">
        <v>320504994</v>
      </c>
      <c r="K137" s="194">
        <v>3642292</v>
      </c>
      <c r="L137" s="194">
        <v>284641291</v>
      </c>
      <c r="M137" s="183">
        <v>3847731</v>
      </c>
      <c r="N137" s="183">
        <v>256846939</v>
      </c>
      <c r="O137" s="183">
        <v>3613720</v>
      </c>
      <c r="P137" s="183">
        <v>379228944</v>
      </c>
      <c r="Q137" s="183">
        <v>3768848</v>
      </c>
      <c r="R137" s="183">
        <v>349257426</v>
      </c>
      <c r="S137" s="183">
        <v>3960289</v>
      </c>
      <c r="T137" s="183">
        <v>407019305</v>
      </c>
      <c r="U137" s="194">
        <v>4456991</v>
      </c>
      <c r="V137" s="194">
        <v>413371442</v>
      </c>
      <c r="W137" s="194">
        <v>5366201</v>
      </c>
      <c r="X137" s="194">
        <v>445714284</v>
      </c>
      <c r="Y137" s="183">
        <v>6309564</v>
      </c>
      <c r="Z137" s="194">
        <v>454763779</v>
      </c>
      <c r="AA137" s="194">
        <v>6892911</v>
      </c>
      <c r="AB137" s="194">
        <v>534648055</v>
      </c>
      <c r="AC137" s="194">
        <v>6881954</v>
      </c>
      <c r="AD137" s="194">
        <v>557469068</v>
      </c>
      <c r="AE137" s="194">
        <v>6439698.5700000003</v>
      </c>
      <c r="AF137" s="194">
        <v>549830768.50999999</v>
      </c>
      <c r="AG137" s="194">
        <v>6546243.8900000006</v>
      </c>
      <c r="AH137" s="194">
        <v>578766829</v>
      </c>
      <c r="AI137" s="183">
        <v>7625011</v>
      </c>
      <c r="AJ137" s="183">
        <v>630363197.27295518</v>
      </c>
      <c r="AK137" s="183">
        <v>7533986</v>
      </c>
      <c r="AL137" s="183">
        <v>643277079</v>
      </c>
      <c r="AM137" s="183">
        <v>8120105</v>
      </c>
      <c r="AN137" s="183">
        <v>661920544</v>
      </c>
    </row>
    <row r="138" spans="1:40">
      <c r="A138" s="265" t="s">
        <v>193</v>
      </c>
      <c r="B138" s="225"/>
      <c r="C138" s="194"/>
      <c r="D138" s="194">
        <f>SUM(D132:D137)</f>
        <v>450634529</v>
      </c>
      <c r="E138" s="194"/>
      <c r="F138" s="194">
        <f>SUM(F132:F137)</f>
        <v>603532703</v>
      </c>
      <c r="G138" s="194"/>
      <c r="H138" s="194">
        <f>SUM(H132:H137)</f>
        <v>617297508</v>
      </c>
      <c r="I138" s="183"/>
      <c r="J138" s="183">
        <f>SUM(J132:J137)</f>
        <v>794772243</v>
      </c>
      <c r="K138" s="194"/>
      <c r="L138" s="194">
        <v>696301264</v>
      </c>
      <c r="M138" s="183"/>
      <c r="N138" s="183">
        <v>1530063480</v>
      </c>
      <c r="O138" s="194"/>
      <c r="P138" s="183">
        <f>SUM(P132:P137)</f>
        <v>2640640152</v>
      </c>
      <c r="Q138" s="183"/>
      <c r="R138" s="183">
        <v>2475861204</v>
      </c>
      <c r="S138" s="194"/>
      <c r="T138" s="194">
        <v>2650804410</v>
      </c>
      <c r="U138" s="194"/>
      <c r="V138" s="194">
        <v>2593095453</v>
      </c>
      <c r="W138" s="194"/>
      <c r="X138" s="194">
        <v>3666216026</v>
      </c>
      <c r="Y138" s="194"/>
      <c r="Z138" s="194">
        <v>4069534713</v>
      </c>
      <c r="AA138" s="194"/>
      <c r="AB138" s="194">
        <v>5037833526</v>
      </c>
      <c r="AC138" s="194"/>
      <c r="AD138" s="194">
        <v>4934139769</v>
      </c>
      <c r="AE138" s="166"/>
      <c r="AF138" s="194">
        <v>4066048040.489871</v>
      </c>
      <c r="AG138" s="194"/>
      <c r="AH138" s="194">
        <v>7615370691</v>
      </c>
      <c r="AI138" s="194"/>
      <c r="AJ138" s="183">
        <f>SUM(AJ132:AJ137)</f>
        <v>10511979717.452955</v>
      </c>
      <c r="AK138" s="183"/>
      <c r="AL138" s="183">
        <f>SUM(AL132:AL137)</f>
        <v>9854275386</v>
      </c>
      <c r="AM138" s="183"/>
      <c r="AN138" s="183">
        <f>SUM(AN132:AN137)</f>
        <v>10491106881</v>
      </c>
    </row>
    <row r="139" spans="1:40">
      <c r="A139" s="1072"/>
      <c r="B139" s="127"/>
      <c r="C139" s="183"/>
      <c r="D139" s="183"/>
      <c r="E139" s="183"/>
      <c r="F139" s="183"/>
      <c r="G139" s="183"/>
      <c r="H139" s="183"/>
      <c r="I139" s="183"/>
      <c r="J139" s="183"/>
      <c r="K139" s="194"/>
      <c r="L139" s="194"/>
      <c r="M139" s="183"/>
      <c r="N139" s="183"/>
      <c r="O139" s="194"/>
      <c r="P139" s="194"/>
      <c r="Q139" s="183"/>
      <c r="R139" s="183"/>
      <c r="S139" s="194"/>
      <c r="T139" s="194"/>
      <c r="U139" s="194"/>
      <c r="V139" s="194"/>
      <c r="W139" s="194"/>
      <c r="X139" s="194"/>
      <c r="Y139" s="194"/>
      <c r="Z139" s="194"/>
      <c r="AA139" s="194"/>
      <c r="AB139" s="194"/>
      <c r="AC139" s="194"/>
      <c r="AD139" s="194"/>
      <c r="AE139" s="194"/>
      <c r="AF139" s="194"/>
      <c r="AG139" s="194"/>
      <c r="AH139" s="194"/>
      <c r="AI139" s="183"/>
      <c r="AJ139" s="183"/>
      <c r="AK139" s="183"/>
      <c r="AL139" s="183"/>
      <c r="AM139" s="183"/>
      <c r="AN139" s="183"/>
    </row>
    <row r="140" spans="1:40">
      <c r="A140" s="260" t="s">
        <v>195</v>
      </c>
      <c r="B140" s="248"/>
      <c r="C140" s="723"/>
      <c r="D140" s="723"/>
      <c r="E140" s="723"/>
      <c r="F140" s="723"/>
      <c r="G140" s="723"/>
      <c r="H140" s="723"/>
      <c r="I140" s="723"/>
      <c r="J140" s="723"/>
      <c r="K140" s="724"/>
      <c r="L140" s="724"/>
      <c r="M140" s="723"/>
      <c r="N140" s="723"/>
      <c r="O140" s="724"/>
      <c r="P140" s="724"/>
      <c r="Q140" s="723"/>
      <c r="R140" s="723"/>
      <c r="S140" s="724"/>
      <c r="T140" s="724"/>
      <c r="U140" s="724"/>
      <c r="V140" s="724"/>
      <c r="W140" s="724"/>
      <c r="X140" s="724"/>
      <c r="Y140" s="724"/>
      <c r="Z140" s="724"/>
      <c r="AA140" s="724"/>
      <c r="AB140" s="724"/>
      <c r="AC140" s="724"/>
      <c r="AD140" s="724"/>
      <c r="AE140" s="724"/>
      <c r="AF140" s="724"/>
      <c r="AG140" s="724"/>
      <c r="AH140" s="724"/>
      <c r="AI140" s="723"/>
      <c r="AJ140" s="723"/>
      <c r="AK140" s="723"/>
      <c r="AL140" s="723"/>
      <c r="AM140" s="723"/>
      <c r="AN140" s="723"/>
    </row>
    <row r="141" spans="1:40">
      <c r="A141" s="263" t="s">
        <v>196</v>
      </c>
      <c r="B141" s="248" t="s">
        <v>67</v>
      </c>
      <c r="C141" s="723">
        <v>0</v>
      </c>
      <c r="D141" s="723">
        <v>0</v>
      </c>
      <c r="E141" s="723">
        <v>0</v>
      </c>
      <c r="F141" s="723">
        <v>0</v>
      </c>
      <c r="G141" s="723">
        <v>0</v>
      </c>
      <c r="H141" s="723">
        <v>0</v>
      </c>
      <c r="I141" s="723">
        <v>0</v>
      </c>
      <c r="J141" s="723">
        <v>0</v>
      </c>
      <c r="K141" s="723">
        <v>0</v>
      </c>
      <c r="L141" s="723">
        <v>0</v>
      </c>
      <c r="M141" s="723">
        <v>0</v>
      </c>
      <c r="N141" s="723">
        <v>0</v>
      </c>
      <c r="O141" s="723">
        <v>0</v>
      </c>
      <c r="P141" s="723">
        <v>0</v>
      </c>
      <c r="Q141" s="723">
        <v>0</v>
      </c>
      <c r="R141" s="723">
        <v>0</v>
      </c>
      <c r="S141" s="723">
        <v>0</v>
      </c>
      <c r="T141" s="723">
        <v>0</v>
      </c>
      <c r="U141" s="723">
        <v>0</v>
      </c>
      <c r="V141" s="723">
        <v>0</v>
      </c>
      <c r="W141" s="723">
        <v>0</v>
      </c>
      <c r="X141" s="723">
        <v>0</v>
      </c>
      <c r="Y141" s="723">
        <v>0</v>
      </c>
      <c r="Z141" s="723">
        <v>0</v>
      </c>
      <c r="AA141" s="723">
        <v>0</v>
      </c>
      <c r="AB141" s="723">
        <v>0</v>
      </c>
      <c r="AC141" s="723">
        <v>0</v>
      </c>
      <c r="AD141" s="723">
        <v>0</v>
      </c>
      <c r="AE141" s="723">
        <v>0</v>
      </c>
      <c r="AF141" s="723">
        <v>0</v>
      </c>
      <c r="AG141" s="723">
        <v>0</v>
      </c>
      <c r="AH141" s="723">
        <v>0</v>
      </c>
      <c r="AI141" s="723">
        <v>0</v>
      </c>
      <c r="AJ141" s="723">
        <v>0</v>
      </c>
      <c r="AK141" s="723">
        <v>0</v>
      </c>
      <c r="AL141" s="723">
        <v>0</v>
      </c>
      <c r="AM141" s="723">
        <v>0</v>
      </c>
      <c r="AN141" s="723">
        <v>0</v>
      </c>
    </row>
    <row r="142" spans="1:40">
      <c r="A142" s="263" t="s">
        <v>261</v>
      </c>
      <c r="B142" s="248" t="s">
        <v>67</v>
      </c>
      <c r="C142" s="723">
        <v>0</v>
      </c>
      <c r="D142" s="723">
        <v>0</v>
      </c>
      <c r="E142" s="723">
        <v>0</v>
      </c>
      <c r="F142" s="723">
        <v>0</v>
      </c>
      <c r="G142" s="723">
        <v>0</v>
      </c>
      <c r="H142" s="723">
        <v>0</v>
      </c>
      <c r="I142" s="723">
        <v>0</v>
      </c>
      <c r="J142" s="723">
        <v>0</v>
      </c>
      <c r="K142" s="723">
        <v>0</v>
      </c>
      <c r="L142" s="723">
        <v>0</v>
      </c>
      <c r="M142" s="723">
        <v>0</v>
      </c>
      <c r="N142" s="723">
        <v>0</v>
      </c>
      <c r="O142" s="723">
        <v>5757</v>
      </c>
      <c r="P142" s="723">
        <v>110531</v>
      </c>
      <c r="Q142" s="724">
        <v>0</v>
      </c>
      <c r="R142" s="724">
        <v>0</v>
      </c>
      <c r="S142" s="724">
        <v>0</v>
      </c>
      <c r="T142" s="724">
        <v>0</v>
      </c>
      <c r="U142" s="724">
        <v>0</v>
      </c>
      <c r="V142" s="724">
        <v>0</v>
      </c>
      <c r="W142" s="724">
        <v>0</v>
      </c>
      <c r="X142" s="724">
        <v>0</v>
      </c>
      <c r="Y142" s="723">
        <v>6000</v>
      </c>
      <c r="Z142" s="724">
        <v>164250</v>
      </c>
      <c r="AA142" s="724">
        <v>0</v>
      </c>
      <c r="AB142" s="724">
        <v>0</v>
      </c>
      <c r="AC142" s="724">
        <v>6910</v>
      </c>
      <c r="AD142" s="724">
        <v>1312900</v>
      </c>
      <c r="AE142" s="724">
        <v>331</v>
      </c>
      <c r="AF142" s="724">
        <v>62890</v>
      </c>
      <c r="AG142" s="724">
        <v>1000</v>
      </c>
      <c r="AH142" s="724">
        <v>670441</v>
      </c>
      <c r="AI142" s="723">
        <v>1065</v>
      </c>
      <c r="AJ142" s="723">
        <v>36218</v>
      </c>
      <c r="AK142" s="723">
        <v>2458</v>
      </c>
      <c r="AL142" s="723">
        <v>682817</v>
      </c>
      <c r="AM142" s="723">
        <v>1994</v>
      </c>
      <c r="AN142" s="723">
        <v>677653</v>
      </c>
    </row>
    <row r="143" spans="1:40">
      <c r="A143" s="264" t="s">
        <v>197</v>
      </c>
      <c r="B143" s="248"/>
      <c r="C143" s="723"/>
      <c r="D143" s="723">
        <f>SUM(D141:D142)</f>
        <v>0</v>
      </c>
      <c r="E143" s="723"/>
      <c r="F143" s="723">
        <f>SUM(F141:F142)</f>
        <v>0</v>
      </c>
      <c r="G143" s="723"/>
      <c r="H143" s="723">
        <f>SUM(H141:H142)</f>
        <v>0</v>
      </c>
      <c r="I143" s="723"/>
      <c r="J143" s="723">
        <f>SUM(J141:J142)</f>
        <v>0</v>
      </c>
      <c r="K143" s="723"/>
      <c r="L143" s="723">
        <f>SUM(L141:L142)</f>
        <v>0</v>
      </c>
      <c r="M143" s="723"/>
      <c r="N143" s="723">
        <f>SUM(N141:N142)</f>
        <v>0</v>
      </c>
      <c r="O143" s="723"/>
      <c r="P143" s="723">
        <f>SUM(P141:P142)</f>
        <v>110531</v>
      </c>
      <c r="Q143" s="723"/>
      <c r="R143" s="723">
        <f>SUM(R141:R142)</f>
        <v>0</v>
      </c>
      <c r="S143" s="723"/>
      <c r="T143" s="723">
        <f>SUM(T141:T142)</f>
        <v>0</v>
      </c>
      <c r="U143" s="723"/>
      <c r="V143" s="723">
        <f>SUM(V141:V142)</f>
        <v>0</v>
      </c>
      <c r="W143" s="723"/>
      <c r="X143" s="723">
        <f>SUM(X141:X142)</f>
        <v>0</v>
      </c>
      <c r="Y143" s="723"/>
      <c r="Z143" s="723">
        <f>SUM(Z141:Z142)</f>
        <v>164250</v>
      </c>
      <c r="AA143" s="723"/>
      <c r="AB143" s="723">
        <f>SUM(AB141:AB142)</f>
        <v>0</v>
      </c>
      <c r="AC143" s="723"/>
      <c r="AD143" s="723">
        <f>SUM(AD141:AD142)</f>
        <v>1312900</v>
      </c>
      <c r="AE143" s="723"/>
      <c r="AF143" s="723">
        <f>SUM(AF141:AF142)</f>
        <v>62890</v>
      </c>
      <c r="AG143" s="723"/>
      <c r="AH143" s="723">
        <f>SUM(AH141:AH142)</f>
        <v>670441</v>
      </c>
      <c r="AI143" s="723"/>
      <c r="AJ143" s="723">
        <f>SUM(AJ141:AJ142)</f>
        <v>36218</v>
      </c>
      <c r="AK143" s="723"/>
      <c r="AL143" s="723">
        <f>SUM(AL141:AL142)</f>
        <v>682817</v>
      </c>
      <c r="AM143" s="723"/>
      <c r="AN143" s="723">
        <f>SUM(AN141:AN142)</f>
        <v>677653</v>
      </c>
    </row>
    <row r="144" spans="1:40">
      <c r="A144" s="669"/>
      <c r="B144" s="248"/>
      <c r="C144" s="723"/>
      <c r="D144" s="723"/>
      <c r="E144" s="723"/>
      <c r="F144" s="723"/>
      <c r="G144" s="723"/>
      <c r="H144" s="723"/>
      <c r="I144" s="723"/>
      <c r="J144" s="723"/>
      <c r="K144" s="724"/>
      <c r="L144" s="724"/>
      <c r="M144" s="723"/>
      <c r="N144" s="723"/>
      <c r="O144" s="723"/>
      <c r="P144" s="723"/>
      <c r="Q144" s="723"/>
      <c r="R144" s="723"/>
      <c r="S144" s="724"/>
      <c r="T144" s="724"/>
      <c r="U144" s="724"/>
      <c r="V144" s="724"/>
      <c r="W144" s="724"/>
      <c r="X144" s="724"/>
      <c r="Y144" s="724"/>
      <c r="Z144" s="724"/>
      <c r="AA144" s="724"/>
      <c r="AB144" s="724"/>
      <c r="AC144" s="724"/>
      <c r="AD144" s="724"/>
      <c r="AE144" s="724"/>
      <c r="AF144" s="724"/>
      <c r="AG144" s="724"/>
      <c r="AH144" s="724"/>
      <c r="AI144" s="723"/>
      <c r="AJ144" s="723"/>
      <c r="AK144" s="723"/>
      <c r="AL144" s="723"/>
      <c r="AM144" s="723"/>
      <c r="AN144" s="723"/>
    </row>
    <row r="145" spans="1:40">
      <c r="A145" s="261" t="s">
        <v>199</v>
      </c>
      <c r="B145" s="127" t="s">
        <v>67</v>
      </c>
      <c r="C145" s="183">
        <v>4822931</v>
      </c>
      <c r="D145" s="183">
        <v>88560999</v>
      </c>
      <c r="E145" s="183">
        <v>4814138</v>
      </c>
      <c r="F145" s="183">
        <v>95326825</v>
      </c>
      <c r="G145" s="183">
        <v>5051148</v>
      </c>
      <c r="H145" s="183">
        <v>107382344</v>
      </c>
      <c r="I145" s="194">
        <v>5533859</v>
      </c>
      <c r="J145" s="194">
        <v>107165215</v>
      </c>
      <c r="K145" s="194">
        <v>6023426</v>
      </c>
      <c r="L145" s="194">
        <v>106705667</v>
      </c>
      <c r="M145" s="183">
        <v>5924943</v>
      </c>
      <c r="N145" s="183">
        <v>124110422</v>
      </c>
      <c r="O145" s="183">
        <v>6413163</v>
      </c>
      <c r="P145" s="183">
        <v>136973045</v>
      </c>
      <c r="Q145" s="183">
        <v>6927198</v>
      </c>
      <c r="R145" s="183">
        <v>153141494</v>
      </c>
      <c r="S145" s="194">
        <v>6632911</v>
      </c>
      <c r="T145" s="194">
        <v>158377590</v>
      </c>
      <c r="U145" s="194">
        <v>6155387</v>
      </c>
      <c r="V145" s="194">
        <v>149179209</v>
      </c>
      <c r="W145" s="194">
        <v>7176351</v>
      </c>
      <c r="X145" s="194">
        <v>155144299</v>
      </c>
      <c r="Y145" s="183">
        <v>7451699</v>
      </c>
      <c r="Z145" s="194">
        <v>154217940</v>
      </c>
      <c r="AA145" s="194">
        <v>7546293.6160000004</v>
      </c>
      <c r="AB145" s="194">
        <v>153616036</v>
      </c>
      <c r="AC145" s="194">
        <v>8185664</v>
      </c>
      <c r="AD145" s="194">
        <v>188700479</v>
      </c>
      <c r="AE145" s="194">
        <v>8570782</v>
      </c>
      <c r="AF145" s="194">
        <v>199638214</v>
      </c>
      <c r="AG145" s="194">
        <v>8809769.0499999989</v>
      </c>
      <c r="AH145" s="194">
        <v>208578472</v>
      </c>
      <c r="AI145" s="183">
        <v>8303628</v>
      </c>
      <c r="AJ145" s="183">
        <v>233081734</v>
      </c>
      <c r="AK145" s="183">
        <v>8646154</v>
      </c>
      <c r="AL145" s="183">
        <v>251041857</v>
      </c>
      <c r="AM145" s="183">
        <v>9606930</v>
      </c>
      <c r="AN145" s="183">
        <v>227949656</v>
      </c>
    </row>
    <row r="146" spans="1:40">
      <c r="A146" s="124"/>
      <c r="B146" s="127"/>
      <c r="C146" s="183"/>
      <c r="D146" s="183"/>
      <c r="E146" s="183"/>
      <c r="F146" s="183"/>
      <c r="G146" s="183"/>
      <c r="H146" s="183"/>
      <c r="I146" s="194"/>
      <c r="J146" s="194"/>
      <c r="K146" s="194"/>
      <c r="L146" s="194"/>
      <c r="M146" s="183"/>
      <c r="N146" s="183"/>
      <c r="O146" s="194"/>
      <c r="P146" s="194"/>
      <c r="Q146" s="183"/>
      <c r="R146" s="183"/>
      <c r="S146" s="194"/>
      <c r="T146" s="194"/>
      <c r="U146" s="194"/>
      <c r="V146" s="194"/>
      <c r="W146" s="194"/>
      <c r="X146" s="194"/>
      <c r="Y146" s="194"/>
      <c r="Z146" s="194"/>
      <c r="AA146" s="194"/>
      <c r="AB146" s="194"/>
      <c r="AC146" s="194"/>
      <c r="AD146" s="194"/>
      <c r="AE146" s="194"/>
      <c r="AF146" s="194"/>
      <c r="AG146" s="194"/>
      <c r="AH146" s="194"/>
      <c r="AI146" s="183"/>
      <c r="AJ146" s="183"/>
      <c r="AK146" s="183"/>
      <c r="AL146" s="183"/>
      <c r="AM146" s="183"/>
      <c r="AN146" s="183"/>
    </row>
    <row r="147" spans="1:40">
      <c r="A147" s="260" t="s">
        <v>609</v>
      </c>
      <c r="B147" s="246"/>
      <c r="C147" s="724"/>
      <c r="D147" s="724"/>
      <c r="E147" s="724"/>
      <c r="F147" s="724"/>
      <c r="G147" s="724"/>
      <c r="H147" s="724"/>
      <c r="I147" s="723"/>
      <c r="J147" s="723"/>
      <c r="K147" s="724"/>
      <c r="L147" s="724"/>
      <c r="M147" s="723"/>
      <c r="N147" s="723"/>
      <c r="O147" s="724"/>
      <c r="P147" s="724"/>
      <c r="Q147" s="723"/>
      <c r="R147" s="723"/>
      <c r="S147" s="724"/>
      <c r="T147" s="724"/>
      <c r="U147" s="724"/>
      <c r="V147" s="724"/>
      <c r="W147" s="724"/>
      <c r="X147" s="724"/>
      <c r="Y147" s="724"/>
      <c r="Z147" s="724"/>
      <c r="AA147" s="724"/>
      <c r="AB147" s="724"/>
      <c r="AC147" s="724"/>
      <c r="AD147" s="724"/>
      <c r="AE147" s="724"/>
      <c r="AF147" s="724"/>
      <c r="AG147" s="724"/>
      <c r="AH147" s="724"/>
      <c r="AI147" s="724"/>
      <c r="AJ147" s="724"/>
      <c r="AK147" s="723"/>
      <c r="AL147" s="723"/>
      <c r="AM147" s="724"/>
      <c r="AN147" s="724"/>
    </row>
    <row r="148" spans="1:40">
      <c r="A148" s="263" t="s">
        <v>200</v>
      </c>
      <c r="B148" s="248" t="s">
        <v>67</v>
      </c>
      <c r="C148" s="723">
        <v>0</v>
      </c>
      <c r="D148" s="723">
        <v>0</v>
      </c>
      <c r="E148" s="723">
        <v>0</v>
      </c>
      <c r="F148" s="723">
        <v>0</v>
      </c>
      <c r="G148" s="723">
        <v>0</v>
      </c>
      <c r="H148" s="723">
        <v>0</v>
      </c>
      <c r="I148" s="723">
        <v>0</v>
      </c>
      <c r="J148" s="723">
        <v>0</v>
      </c>
      <c r="K148" s="723">
        <v>0</v>
      </c>
      <c r="L148" s="723">
        <v>0</v>
      </c>
      <c r="M148" s="723">
        <v>0</v>
      </c>
      <c r="N148" s="723">
        <v>0</v>
      </c>
      <c r="O148" s="723">
        <v>0</v>
      </c>
      <c r="P148" s="723">
        <v>0</v>
      </c>
      <c r="Q148" s="723">
        <v>0</v>
      </c>
      <c r="R148" s="723">
        <v>0</v>
      </c>
      <c r="S148" s="723">
        <v>0</v>
      </c>
      <c r="T148" s="723">
        <v>0</v>
      </c>
      <c r="U148" s="723">
        <v>0</v>
      </c>
      <c r="V148" s="723">
        <v>0</v>
      </c>
      <c r="W148" s="723">
        <v>0</v>
      </c>
      <c r="X148" s="723">
        <v>0</v>
      </c>
      <c r="Y148" s="723">
        <v>0</v>
      </c>
      <c r="Z148" s="723">
        <v>0</v>
      </c>
      <c r="AA148" s="723">
        <v>0</v>
      </c>
      <c r="AB148" s="723">
        <v>0</v>
      </c>
      <c r="AC148" s="723">
        <v>0</v>
      </c>
      <c r="AD148" s="723">
        <v>0</v>
      </c>
      <c r="AE148" s="723">
        <v>0</v>
      </c>
      <c r="AF148" s="723">
        <v>0</v>
      </c>
      <c r="AG148" s="723">
        <v>0</v>
      </c>
      <c r="AH148" s="723">
        <v>0</v>
      </c>
      <c r="AI148" s="723">
        <v>0</v>
      </c>
      <c r="AJ148" s="723">
        <v>0</v>
      </c>
      <c r="AK148" s="723">
        <v>0</v>
      </c>
      <c r="AL148" s="723">
        <v>0</v>
      </c>
      <c r="AM148" s="723">
        <v>0</v>
      </c>
      <c r="AN148" s="723">
        <v>0</v>
      </c>
    </row>
    <row r="149" spans="1:40">
      <c r="A149" s="263" t="s">
        <v>268</v>
      </c>
      <c r="B149" s="248" t="s">
        <v>67</v>
      </c>
      <c r="C149" s="724">
        <v>0</v>
      </c>
      <c r="D149" s="724">
        <v>0</v>
      </c>
      <c r="E149" s="724">
        <v>0</v>
      </c>
      <c r="F149" s="724">
        <v>0</v>
      </c>
      <c r="G149" s="724">
        <v>0</v>
      </c>
      <c r="H149" s="724">
        <v>0</v>
      </c>
      <c r="I149" s="724">
        <v>0</v>
      </c>
      <c r="J149" s="724">
        <v>0</v>
      </c>
      <c r="K149" s="724">
        <v>0</v>
      </c>
      <c r="L149" s="724">
        <v>0</v>
      </c>
      <c r="M149" s="723">
        <v>32544</v>
      </c>
      <c r="N149" s="723">
        <v>325435</v>
      </c>
      <c r="O149" s="723">
        <v>80147</v>
      </c>
      <c r="P149" s="723">
        <v>822975</v>
      </c>
      <c r="Q149" s="723">
        <v>74171</v>
      </c>
      <c r="R149" s="723">
        <v>749846</v>
      </c>
      <c r="S149" s="724">
        <v>61263</v>
      </c>
      <c r="T149" s="723">
        <v>652157</v>
      </c>
      <c r="U149" s="724">
        <v>78235</v>
      </c>
      <c r="V149" s="724">
        <v>788096</v>
      </c>
      <c r="W149" s="724">
        <v>82046</v>
      </c>
      <c r="X149" s="724">
        <v>820477</v>
      </c>
      <c r="Y149" s="723">
        <v>81479</v>
      </c>
      <c r="Z149" s="724">
        <v>814785</v>
      </c>
      <c r="AA149" s="724">
        <v>74866</v>
      </c>
      <c r="AB149" s="724">
        <v>748664</v>
      </c>
      <c r="AC149" s="724">
        <v>92427</v>
      </c>
      <c r="AD149" s="724">
        <v>924266</v>
      </c>
      <c r="AE149" s="724">
        <v>90069</v>
      </c>
      <c r="AF149" s="724">
        <v>900692</v>
      </c>
      <c r="AG149" s="724">
        <v>97686.99</v>
      </c>
      <c r="AH149" s="724">
        <v>976872</v>
      </c>
      <c r="AI149" s="723">
        <v>92375</v>
      </c>
      <c r="AJ149" s="723">
        <v>923746</v>
      </c>
      <c r="AK149" s="723">
        <v>100021</v>
      </c>
      <c r="AL149" s="723">
        <v>1000212</v>
      </c>
      <c r="AM149" s="723">
        <v>93957</v>
      </c>
      <c r="AN149" s="723">
        <v>939568</v>
      </c>
    </row>
    <row r="150" spans="1:40">
      <c r="A150" s="263" t="s">
        <v>269</v>
      </c>
      <c r="B150" s="248" t="s">
        <v>67</v>
      </c>
      <c r="C150" s="723">
        <v>404636</v>
      </c>
      <c r="D150" s="723">
        <v>1274898</v>
      </c>
      <c r="E150" s="723">
        <v>377009</v>
      </c>
      <c r="F150" s="723" t="s">
        <v>285</v>
      </c>
      <c r="G150" s="723">
        <v>371165</v>
      </c>
      <c r="H150" s="723">
        <v>2279997</v>
      </c>
      <c r="I150" s="724">
        <v>402995</v>
      </c>
      <c r="J150" s="724">
        <v>2985987</v>
      </c>
      <c r="K150" s="724">
        <v>364453</v>
      </c>
      <c r="L150" s="724">
        <v>3051841</v>
      </c>
      <c r="M150" s="723">
        <v>445874</v>
      </c>
      <c r="N150" s="723">
        <v>3662014</v>
      </c>
      <c r="O150" s="723">
        <v>781503</v>
      </c>
      <c r="P150" s="723">
        <v>6774328</v>
      </c>
      <c r="Q150" s="723">
        <v>580467</v>
      </c>
      <c r="R150" s="723">
        <v>5489268</v>
      </c>
      <c r="S150" s="724">
        <v>456896</v>
      </c>
      <c r="T150" s="723">
        <v>4332324</v>
      </c>
      <c r="U150" s="724">
        <v>490161</v>
      </c>
      <c r="V150" s="724">
        <v>4444654</v>
      </c>
      <c r="W150" s="724">
        <v>532439</v>
      </c>
      <c r="X150" s="724">
        <v>4658336</v>
      </c>
      <c r="Y150" s="723">
        <v>660373</v>
      </c>
      <c r="Z150" s="724">
        <v>6439983</v>
      </c>
      <c r="AA150" s="724">
        <v>625338</v>
      </c>
      <c r="AB150" s="724">
        <v>6306388</v>
      </c>
      <c r="AC150" s="724">
        <v>729084</v>
      </c>
      <c r="AD150" s="724">
        <v>6917165</v>
      </c>
      <c r="AE150" s="724">
        <v>519518</v>
      </c>
      <c r="AF150" s="724">
        <v>5489158</v>
      </c>
      <c r="AG150" s="724">
        <v>501907.86</v>
      </c>
      <c r="AH150" s="724">
        <v>6066213</v>
      </c>
      <c r="AI150" s="723">
        <v>464952</v>
      </c>
      <c r="AJ150" s="723">
        <v>5850341</v>
      </c>
      <c r="AK150" s="723">
        <v>553019</v>
      </c>
      <c r="AL150" s="723">
        <v>6355535</v>
      </c>
      <c r="AM150" s="723">
        <v>658555</v>
      </c>
      <c r="AN150" s="723">
        <v>7075787</v>
      </c>
    </row>
    <row r="151" spans="1:40">
      <c r="A151" s="264" t="s">
        <v>610</v>
      </c>
      <c r="B151" s="246"/>
      <c r="C151" s="724"/>
      <c r="D151" s="724">
        <f>SUM(D149:D150)</f>
        <v>1274898</v>
      </c>
      <c r="E151" s="724"/>
      <c r="F151" s="724">
        <f>SUM(F149:F150)</f>
        <v>0</v>
      </c>
      <c r="G151" s="724"/>
      <c r="H151" s="724">
        <f>SUM(H149:H150)</f>
        <v>2279997</v>
      </c>
      <c r="I151" s="724"/>
      <c r="J151" s="724">
        <f>SUM(J149:J150)</f>
        <v>2985987</v>
      </c>
      <c r="K151" s="724"/>
      <c r="L151" s="724">
        <v>3051841</v>
      </c>
      <c r="M151" s="723"/>
      <c r="N151" s="723">
        <v>3987449</v>
      </c>
      <c r="O151" s="724"/>
      <c r="P151" s="723">
        <f>SUM(P149:P150)</f>
        <v>7597303</v>
      </c>
      <c r="Q151" s="724"/>
      <c r="R151" s="724">
        <v>6239114</v>
      </c>
      <c r="S151" s="723"/>
      <c r="T151" s="723">
        <v>4984481</v>
      </c>
      <c r="U151" s="724"/>
      <c r="V151" s="724">
        <v>5232750</v>
      </c>
      <c r="W151" s="724"/>
      <c r="X151" s="724">
        <v>5478813</v>
      </c>
      <c r="Y151" s="724"/>
      <c r="Z151" s="724">
        <v>7254768</v>
      </c>
      <c r="AA151" s="724"/>
      <c r="AB151" s="724">
        <v>7055052</v>
      </c>
      <c r="AC151" s="724"/>
      <c r="AD151" s="724">
        <v>7841431</v>
      </c>
      <c r="AE151" s="725"/>
      <c r="AF151" s="724">
        <v>6389850</v>
      </c>
      <c r="AG151" s="724"/>
      <c r="AH151" s="724">
        <v>7043085</v>
      </c>
      <c r="AI151" s="724"/>
      <c r="AJ151" s="723">
        <v>6774087</v>
      </c>
      <c r="AK151" s="723"/>
      <c r="AL151" s="723">
        <f>SUM(AL148:AL150)</f>
        <v>7355747</v>
      </c>
      <c r="AM151" s="724"/>
      <c r="AN151" s="723">
        <v>8015355</v>
      </c>
    </row>
    <row r="152" spans="1:40">
      <c r="A152" s="257"/>
      <c r="B152" s="246"/>
      <c r="C152" s="724"/>
      <c r="D152" s="724"/>
      <c r="E152" s="724"/>
      <c r="F152" s="724"/>
      <c r="G152" s="724"/>
      <c r="H152" s="724"/>
      <c r="I152" s="723"/>
      <c r="J152" s="723"/>
      <c r="K152" s="724"/>
      <c r="L152" s="724"/>
      <c r="M152" s="724"/>
      <c r="N152" s="724"/>
      <c r="O152" s="724"/>
      <c r="P152" s="723"/>
      <c r="Q152" s="724"/>
      <c r="R152" s="724"/>
      <c r="S152" s="723"/>
      <c r="T152" s="723"/>
      <c r="U152" s="724"/>
      <c r="V152" s="724"/>
      <c r="W152" s="724"/>
      <c r="X152" s="724"/>
      <c r="Y152" s="724"/>
      <c r="Z152" s="724"/>
      <c r="AA152" s="724"/>
      <c r="AB152" s="724"/>
      <c r="AC152" s="724"/>
      <c r="AD152" s="724"/>
      <c r="AE152" s="724"/>
      <c r="AF152" s="724"/>
      <c r="AG152" s="724"/>
      <c r="AH152" s="724"/>
      <c r="AI152" s="724"/>
      <c r="AJ152" s="723"/>
      <c r="AK152" s="723"/>
      <c r="AL152" s="723"/>
      <c r="AM152" s="724"/>
      <c r="AN152" s="723"/>
    </row>
    <row r="153" spans="1:40">
      <c r="A153" s="261" t="s">
        <v>201</v>
      </c>
      <c r="B153" s="127" t="s">
        <v>93</v>
      </c>
      <c r="C153" s="183">
        <v>44670</v>
      </c>
      <c r="D153" s="183">
        <v>12761245</v>
      </c>
      <c r="E153" s="183">
        <v>41135</v>
      </c>
      <c r="F153" s="183">
        <v>10705718</v>
      </c>
      <c r="G153" s="183">
        <v>11160</v>
      </c>
      <c r="H153" s="183">
        <v>1971953</v>
      </c>
      <c r="I153" s="194">
        <v>12673</v>
      </c>
      <c r="J153" s="194">
        <v>2295547</v>
      </c>
      <c r="K153" s="194">
        <v>30426</v>
      </c>
      <c r="L153" s="194">
        <v>4362975</v>
      </c>
      <c r="M153" s="194">
        <v>34566</v>
      </c>
      <c r="N153" s="194">
        <v>5621356</v>
      </c>
      <c r="O153" s="183">
        <v>36919</v>
      </c>
      <c r="P153" s="183">
        <v>5491093</v>
      </c>
      <c r="Q153" s="194">
        <v>42696.709217748939</v>
      </c>
      <c r="R153" s="194">
        <v>6540741</v>
      </c>
      <c r="S153" s="194">
        <v>81832.916377602101</v>
      </c>
      <c r="T153" s="194">
        <v>12371220.769820902</v>
      </c>
      <c r="U153" s="194">
        <v>75207</v>
      </c>
      <c r="V153" s="194">
        <v>15777870</v>
      </c>
      <c r="W153" s="194">
        <v>57912</v>
      </c>
      <c r="X153" s="194">
        <v>12231206</v>
      </c>
      <c r="Y153" s="183">
        <v>42621</v>
      </c>
      <c r="Z153" s="194">
        <v>9267484</v>
      </c>
      <c r="AA153" s="194">
        <v>52707.253585500177</v>
      </c>
      <c r="AB153" s="194">
        <v>9149570.5023943</v>
      </c>
      <c r="AC153" s="194">
        <v>56893</v>
      </c>
      <c r="AD153" s="194">
        <v>13346063</v>
      </c>
      <c r="AE153" s="194">
        <v>66410.110583904723</v>
      </c>
      <c r="AF153" s="194">
        <v>14588953.379567331</v>
      </c>
      <c r="AG153" s="194">
        <v>110116.97648420157</v>
      </c>
      <c r="AH153" s="194">
        <v>24985173.98</v>
      </c>
      <c r="AI153" s="183">
        <v>154252</v>
      </c>
      <c r="AJ153" s="183">
        <v>39921693</v>
      </c>
      <c r="AK153" s="183">
        <v>102527</v>
      </c>
      <c r="AL153" s="183">
        <v>24562825</v>
      </c>
      <c r="AM153" s="183">
        <v>82590.903496241823</v>
      </c>
      <c r="AN153" s="183">
        <v>20232606</v>
      </c>
    </row>
    <row r="154" spans="1:40">
      <c r="A154" s="124"/>
      <c r="B154" s="127"/>
      <c r="C154" s="183"/>
      <c r="D154" s="183"/>
      <c r="E154" s="183"/>
      <c r="F154" s="183"/>
      <c r="G154" s="183"/>
      <c r="H154" s="183"/>
      <c r="I154" s="183"/>
      <c r="J154" s="183"/>
      <c r="K154" s="194"/>
      <c r="L154" s="194"/>
      <c r="M154" s="194"/>
      <c r="N154" s="194"/>
      <c r="O154" s="183"/>
      <c r="P154" s="183"/>
      <c r="Q154" s="194"/>
      <c r="R154" s="194"/>
      <c r="S154" s="194"/>
      <c r="T154" s="194"/>
      <c r="U154" s="194"/>
      <c r="V154" s="194"/>
      <c r="W154" s="194"/>
      <c r="X154" s="194"/>
      <c r="Y154" s="194"/>
      <c r="Z154" s="194"/>
      <c r="AA154" s="194"/>
      <c r="AB154" s="194"/>
      <c r="AC154" s="194"/>
      <c r="AD154" s="194"/>
      <c r="AE154" s="194"/>
      <c r="AF154" s="194"/>
      <c r="AG154" s="194"/>
      <c r="AH154" s="194"/>
      <c r="AI154" s="183"/>
      <c r="AJ154" s="183"/>
      <c r="AK154" s="183"/>
      <c r="AL154" s="183"/>
      <c r="AM154" s="183"/>
      <c r="AN154" s="183"/>
    </row>
    <row r="155" spans="1:40">
      <c r="A155" s="260" t="s">
        <v>203</v>
      </c>
      <c r="B155" s="248" t="s">
        <v>67</v>
      </c>
      <c r="C155" s="723">
        <v>0</v>
      </c>
      <c r="D155" s="723">
        <v>0</v>
      </c>
      <c r="E155" s="724">
        <v>0</v>
      </c>
      <c r="F155" s="724">
        <v>0</v>
      </c>
      <c r="G155" s="724">
        <v>0</v>
      </c>
      <c r="H155" s="724">
        <v>0</v>
      </c>
      <c r="I155" s="724">
        <v>0</v>
      </c>
      <c r="J155" s="724">
        <v>0</v>
      </c>
      <c r="K155" s="724">
        <v>0</v>
      </c>
      <c r="L155" s="724">
        <v>0</v>
      </c>
      <c r="M155" s="724">
        <v>2280</v>
      </c>
      <c r="N155" s="724">
        <v>145354</v>
      </c>
      <c r="O155" s="723">
        <v>115</v>
      </c>
      <c r="P155" s="723">
        <v>9430</v>
      </c>
      <c r="Q155" s="723">
        <v>376</v>
      </c>
      <c r="R155" s="723">
        <v>26836</v>
      </c>
      <c r="S155" s="724">
        <v>200</v>
      </c>
      <c r="T155" s="724">
        <v>16400</v>
      </c>
      <c r="U155" s="724">
        <v>0</v>
      </c>
      <c r="V155" s="724">
        <v>0</v>
      </c>
      <c r="W155" s="724">
        <v>0</v>
      </c>
      <c r="X155" s="724">
        <v>0</v>
      </c>
      <c r="Y155" s="724">
        <v>0</v>
      </c>
      <c r="Z155" s="724">
        <v>0</v>
      </c>
      <c r="AA155" s="724">
        <v>0</v>
      </c>
      <c r="AB155" s="724">
        <v>0</v>
      </c>
      <c r="AC155" s="724">
        <v>1881</v>
      </c>
      <c r="AD155" s="724">
        <v>150480</v>
      </c>
      <c r="AE155" s="724">
        <v>8180.2730000000001</v>
      </c>
      <c r="AF155" s="724">
        <v>654374.84</v>
      </c>
      <c r="AG155" s="724">
        <v>9914.93</v>
      </c>
      <c r="AH155" s="724">
        <v>1909370</v>
      </c>
      <c r="AI155" s="723">
        <v>12660</v>
      </c>
      <c r="AJ155" s="723">
        <v>1714507</v>
      </c>
      <c r="AK155" s="723">
        <v>13141</v>
      </c>
      <c r="AL155" s="723">
        <v>1725027</v>
      </c>
      <c r="AM155" s="723">
        <v>12154</v>
      </c>
      <c r="AN155" s="723">
        <v>1739077</v>
      </c>
    </row>
    <row r="156" spans="1:40">
      <c r="A156" s="257"/>
      <c r="B156" s="248"/>
      <c r="C156" s="723"/>
      <c r="D156" s="723"/>
      <c r="E156" s="723"/>
      <c r="F156" s="723"/>
      <c r="G156" s="723"/>
      <c r="H156" s="723"/>
      <c r="I156" s="723"/>
      <c r="J156" s="723"/>
      <c r="K156" s="724"/>
      <c r="L156" s="724"/>
      <c r="M156" s="724"/>
      <c r="N156" s="724"/>
      <c r="O156" s="723"/>
      <c r="P156" s="723"/>
      <c r="Q156" s="724"/>
      <c r="R156" s="724"/>
      <c r="S156" s="724"/>
      <c r="T156" s="724"/>
      <c r="U156" s="724"/>
      <c r="V156" s="724"/>
      <c r="W156" s="724"/>
      <c r="X156" s="724"/>
      <c r="Y156" s="724"/>
      <c r="Z156" s="724"/>
      <c r="AA156" s="724"/>
      <c r="AB156" s="724"/>
      <c r="AC156" s="724"/>
      <c r="AD156" s="724"/>
      <c r="AE156" s="724"/>
      <c r="AF156" s="724"/>
      <c r="AG156" s="724"/>
      <c r="AH156" s="724"/>
      <c r="AI156" s="723"/>
      <c r="AJ156" s="723"/>
      <c r="AK156" s="723"/>
      <c r="AL156" s="723"/>
      <c r="AM156" s="723"/>
      <c r="AN156" s="723"/>
    </row>
    <row r="157" spans="1:40">
      <c r="A157" s="261" t="s">
        <v>204</v>
      </c>
      <c r="B157" s="127" t="s">
        <v>67</v>
      </c>
      <c r="C157" s="183">
        <v>182613</v>
      </c>
      <c r="D157" s="183">
        <v>0</v>
      </c>
      <c r="E157" s="183">
        <v>132262</v>
      </c>
      <c r="F157" s="183">
        <v>0</v>
      </c>
      <c r="G157" s="183">
        <v>179241</v>
      </c>
      <c r="H157" s="183">
        <f>G157*71</f>
        <v>12726111</v>
      </c>
      <c r="I157" s="194">
        <v>169612</v>
      </c>
      <c r="J157" s="194">
        <v>12695341</v>
      </c>
      <c r="K157" s="194">
        <v>195307</v>
      </c>
      <c r="L157" s="194">
        <v>14991613</v>
      </c>
      <c r="M157" s="183">
        <v>220263</v>
      </c>
      <c r="N157" s="183">
        <v>15223112</v>
      </c>
      <c r="O157" s="183">
        <v>161560</v>
      </c>
      <c r="P157" s="183">
        <v>11691732</v>
      </c>
      <c r="Q157" s="194">
        <v>168891</v>
      </c>
      <c r="R157" s="194">
        <v>11822370</v>
      </c>
      <c r="S157" s="194">
        <v>158789</v>
      </c>
      <c r="T157" s="194">
        <v>11525240</v>
      </c>
      <c r="U157" s="194">
        <v>141057</v>
      </c>
      <c r="V157" s="194">
        <v>10043030</v>
      </c>
      <c r="W157" s="194">
        <v>112724</v>
      </c>
      <c r="X157" s="194">
        <v>8517234</v>
      </c>
      <c r="Y157" s="183">
        <v>161412</v>
      </c>
      <c r="Z157" s="194">
        <v>13029931</v>
      </c>
      <c r="AA157" s="194">
        <v>177540</v>
      </c>
      <c r="AB157" s="194">
        <v>14077712</v>
      </c>
      <c r="AC157" s="194">
        <v>191297</v>
      </c>
      <c r="AD157" s="194">
        <v>15059872</v>
      </c>
      <c r="AE157" s="194">
        <v>182838</v>
      </c>
      <c r="AF157" s="194">
        <v>14665992</v>
      </c>
      <c r="AG157" s="194">
        <v>169135.2</v>
      </c>
      <c r="AH157" s="194">
        <v>13569779</v>
      </c>
      <c r="AI157" s="183">
        <v>164320</v>
      </c>
      <c r="AJ157" s="183">
        <v>13405119</v>
      </c>
      <c r="AK157" s="183">
        <v>152369</v>
      </c>
      <c r="AL157" s="183">
        <v>13721295</v>
      </c>
      <c r="AM157" s="183">
        <v>157364</v>
      </c>
      <c r="AN157" s="183">
        <v>14985371</v>
      </c>
    </row>
    <row r="158" spans="1:40">
      <c r="A158" s="124"/>
      <c r="B158" s="127"/>
      <c r="C158" s="183"/>
      <c r="D158" s="183"/>
      <c r="E158" s="183"/>
      <c r="F158" s="183"/>
      <c r="G158" s="183"/>
      <c r="H158" s="183"/>
      <c r="I158" s="194"/>
      <c r="J158" s="194"/>
      <c r="K158" s="214"/>
      <c r="L158" s="214"/>
      <c r="M158" s="183"/>
      <c r="N158" s="183"/>
      <c r="O158" s="214"/>
      <c r="P158" s="214"/>
      <c r="Q158" s="183"/>
      <c r="R158" s="183"/>
      <c r="U158" s="214"/>
      <c r="V158" s="214"/>
      <c r="W158" s="214"/>
      <c r="X158" s="214"/>
      <c r="Y158" s="214"/>
      <c r="Z158" s="214"/>
      <c r="AA158" s="194"/>
      <c r="AB158" s="194"/>
      <c r="AC158" s="214"/>
      <c r="AD158" s="214"/>
      <c r="AE158" s="194"/>
      <c r="AF158" s="194"/>
      <c r="AG158" s="194"/>
      <c r="AH158" s="194"/>
      <c r="AI158" s="183"/>
      <c r="AJ158" s="183"/>
      <c r="AK158" s="183"/>
      <c r="AL158" s="183"/>
      <c r="AM158" s="183"/>
      <c r="AN158" s="183"/>
    </row>
    <row r="159" spans="1:40">
      <c r="A159" s="260" t="s">
        <v>611</v>
      </c>
      <c r="B159" s="246"/>
      <c r="C159" s="724"/>
      <c r="D159" s="724"/>
      <c r="E159" s="724"/>
      <c r="F159" s="724"/>
      <c r="G159" s="724"/>
      <c r="H159" s="724"/>
      <c r="I159" s="723"/>
      <c r="J159" s="723"/>
      <c r="K159" s="724"/>
      <c r="L159" s="724"/>
      <c r="M159" s="723"/>
      <c r="N159" s="723"/>
      <c r="O159" s="724"/>
      <c r="P159" s="724"/>
      <c r="Q159" s="723"/>
      <c r="R159" s="723"/>
      <c r="S159" s="724"/>
      <c r="T159" s="724"/>
      <c r="U159" s="724"/>
      <c r="V159" s="724"/>
      <c r="W159" s="724"/>
      <c r="X159" s="724"/>
      <c r="Y159" s="724"/>
      <c r="Z159" s="724"/>
      <c r="AA159" s="724"/>
      <c r="AB159" s="724"/>
      <c r="AC159" s="724"/>
      <c r="AD159" s="724"/>
      <c r="AE159" s="724"/>
      <c r="AF159" s="724"/>
      <c r="AG159" s="724"/>
      <c r="AH159" s="724"/>
      <c r="AI159" s="724"/>
      <c r="AJ159" s="724"/>
      <c r="AK159" s="723"/>
      <c r="AL159" s="723"/>
      <c r="AM159" s="724"/>
      <c r="AN159" s="724"/>
    </row>
    <row r="160" spans="1:40">
      <c r="A160" s="263" t="s">
        <v>230</v>
      </c>
      <c r="B160" s="248" t="s">
        <v>67</v>
      </c>
      <c r="C160" s="723">
        <v>8505</v>
      </c>
      <c r="D160" s="723">
        <v>1852772</v>
      </c>
      <c r="E160" s="723">
        <v>12690</v>
      </c>
      <c r="F160" s="723">
        <v>2967402</v>
      </c>
      <c r="G160" s="723">
        <v>8221</v>
      </c>
      <c r="H160" s="723">
        <v>1855601</v>
      </c>
      <c r="I160" s="724">
        <v>24471</v>
      </c>
      <c r="J160" s="724">
        <v>4397393</v>
      </c>
      <c r="K160" s="724">
        <v>32812</v>
      </c>
      <c r="L160" s="724">
        <v>5742022</v>
      </c>
      <c r="M160" s="723">
        <v>47428</v>
      </c>
      <c r="N160" s="723">
        <v>8305325</v>
      </c>
      <c r="O160" s="723">
        <v>40376</v>
      </c>
      <c r="P160" s="723">
        <v>7079333</v>
      </c>
      <c r="Q160" s="723">
        <v>42516</v>
      </c>
      <c r="R160" s="723">
        <v>8893387</v>
      </c>
      <c r="S160" s="724">
        <v>42550</v>
      </c>
      <c r="T160" s="724">
        <v>7341552</v>
      </c>
      <c r="U160" s="724">
        <v>47787</v>
      </c>
      <c r="V160" s="724">
        <v>10245802</v>
      </c>
      <c r="W160" s="724">
        <v>71875</v>
      </c>
      <c r="X160" s="724">
        <v>11561445</v>
      </c>
      <c r="Y160" s="723">
        <v>105324</v>
      </c>
      <c r="Z160" s="724">
        <v>13445325</v>
      </c>
      <c r="AA160" s="724">
        <v>113191</v>
      </c>
      <c r="AB160" s="724">
        <v>18628946</v>
      </c>
      <c r="AC160" s="724">
        <v>46566</v>
      </c>
      <c r="AD160" s="724">
        <v>8897759</v>
      </c>
      <c r="AE160" s="724">
        <v>48021</v>
      </c>
      <c r="AF160" s="724">
        <v>10886637</v>
      </c>
      <c r="AG160" s="724">
        <v>62116</v>
      </c>
      <c r="AH160" s="724">
        <v>14448602</v>
      </c>
      <c r="AI160" s="723">
        <v>68944</v>
      </c>
      <c r="AJ160" s="723" t="s">
        <v>165</v>
      </c>
      <c r="AK160" s="723">
        <v>90400</v>
      </c>
      <c r="AL160" s="723" t="s">
        <v>165</v>
      </c>
      <c r="AM160" s="723">
        <v>102573</v>
      </c>
      <c r="AN160" s="724" t="s">
        <v>165</v>
      </c>
    </row>
    <row r="161" spans="1:40">
      <c r="A161" s="263" t="s">
        <v>231</v>
      </c>
      <c r="B161" s="248" t="s">
        <v>67</v>
      </c>
      <c r="C161" s="723">
        <v>69</v>
      </c>
      <c r="D161" s="723">
        <v>4219279</v>
      </c>
      <c r="E161" s="723">
        <v>143</v>
      </c>
      <c r="F161" s="723">
        <v>4853625</v>
      </c>
      <c r="G161" s="723">
        <v>108</v>
      </c>
      <c r="H161" s="723">
        <v>4224365</v>
      </c>
      <c r="I161" s="724">
        <v>133</v>
      </c>
      <c r="J161" s="724">
        <v>5676606</v>
      </c>
      <c r="K161" s="724">
        <v>548</v>
      </c>
      <c r="L161" s="724">
        <v>13352435</v>
      </c>
      <c r="M161" s="723">
        <v>439</v>
      </c>
      <c r="N161" s="723">
        <v>16169644</v>
      </c>
      <c r="O161" s="723">
        <v>702</v>
      </c>
      <c r="P161" s="723">
        <v>22767073</v>
      </c>
      <c r="Q161" s="723">
        <v>873</v>
      </c>
      <c r="R161" s="723">
        <v>25005667</v>
      </c>
      <c r="S161" s="724">
        <v>537</v>
      </c>
      <c r="T161" s="723">
        <v>19741076</v>
      </c>
      <c r="U161" s="724">
        <v>246</v>
      </c>
      <c r="V161" s="724">
        <v>14278830</v>
      </c>
      <c r="W161" s="724">
        <v>379</v>
      </c>
      <c r="X161" s="724">
        <v>31839882</v>
      </c>
      <c r="Y161" s="723">
        <v>447</v>
      </c>
      <c r="Z161" s="724">
        <v>33018287</v>
      </c>
      <c r="AA161" s="724">
        <v>410</v>
      </c>
      <c r="AB161" s="724">
        <v>34255688</v>
      </c>
      <c r="AC161" s="724">
        <v>371</v>
      </c>
      <c r="AD161" s="724">
        <v>41864039</v>
      </c>
      <c r="AE161" s="724">
        <v>415</v>
      </c>
      <c r="AF161" s="724">
        <v>65929047</v>
      </c>
      <c r="AG161" s="724">
        <v>513.95000000000005</v>
      </c>
      <c r="AH161" s="724">
        <v>78670971</v>
      </c>
      <c r="AI161" s="723">
        <v>737.55</v>
      </c>
      <c r="AJ161" s="723" t="s">
        <v>165</v>
      </c>
      <c r="AK161" s="723">
        <v>905</v>
      </c>
      <c r="AL161" s="723" t="s">
        <v>165</v>
      </c>
      <c r="AM161" s="723">
        <v>1006</v>
      </c>
      <c r="AN161" s="724" t="s">
        <v>165</v>
      </c>
    </row>
    <row r="162" spans="1:40">
      <c r="A162" s="1507" t="s">
        <v>232</v>
      </c>
      <c r="B162" s="248" t="s">
        <v>67</v>
      </c>
      <c r="C162" s="723">
        <v>569</v>
      </c>
      <c r="D162" s="723">
        <v>9442807</v>
      </c>
      <c r="E162" s="723">
        <v>679</v>
      </c>
      <c r="F162" s="723">
        <v>6371195</v>
      </c>
      <c r="G162" s="723">
        <v>731</v>
      </c>
      <c r="H162" s="723">
        <v>4882698</v>
      </c>
      <c r="I162" s="724">
        <v>434</v>
      </c>
      <c r="J162" s="724">
        <v>2855928</v>
      </c>
      <c r="K162" s="724">
        <v>365</v>
      </c>
      <c r="L162" s="724">
        <v>2253656</v>
      </c>
      <c r="M162" s="1508">
        <v>237</v>
      </c>
      <c r="N162" s="1508">
        <v>1298492</v>
      </c>
      <c r="O162" s="723">
        <v>262</v>
      </c>
      <c r="P162" s="723">
        <v>1229162</v>
      </c>
      <c r="Q162" s="723">
        <v>273</v>
      </c>
      <c r="R162" s="723">
        <v>1286279</v>
      </c>
      <c r="S162" s="724">
        <v>208.59633027522941</v>
      </c>
      <c r="T162" s="723">
        <v>1139902</v>
      </c>
      <c r="U162" s="724">
        <v>104</v>
      </c>
      <c r="V162" s="724">
        <v>790621</v>
      </c>
      <c r="W162" s="724">
        <v>457</v>
      </c>
      <c r="X162" s="724">
        <v>3109397</v>
      </c>
      <c r="Y162" s="723">
        <v>403</v>
      </c>
      <c r="Z162" s="724">
        <v>3227809</v>
      </c>
      <c r="AA162" s="724">
        <v>549</v>
      </c>
      <c r="AB162" s="724">
        <v>3576738</v>
      </c>
      <c r="AC162" s="724">
        <v>481</v>
      </c>
      <c r="AD162" s="724">
        <v>3622811</v>
      </c>
      <c r="AE162" s="724">
        <v>596</v>
      </c>
      <c r="AF162" s="724">
        <v>4999060</v>
      </c>
      <c r="AG162" s="724">
        <v>575.62</v>
      </c>
      <c r="AH162" s="724">
        <v>4756778</v>
      </c>
      <c r="AI162" s="723">
        <v>885</v>
      </c>
      <c r="AJ162" s="723">
        <v>7930963</v>
      </c>
      <c r="AK162" s="723">
        <v>874</v>
      </c>
      <c r="AL162" s="723">
        <v>6007866</v>
      </c>
      <c r="AM162" s="723">
        <v>762.7</v>
      </c>
      <c r="AN162" s="723">
        <v>4799655</v>
      </c>
    </row>
    <row r="163" spans="1:40">
      <c r="A163" s="264" t="s">
        <v>612</v>
      </c>
      <c r="B163" s="246"/>
      <c r="C163" s="724"/>
      <c r="D163" s="724">
        <f>SUM(D160:D162)</f>
        <v>15514858</v>
      </c>
      <c r="E163" s="724"/>
      <c r="F163" s="724">
        <f>SUM(F160:F162)</f>
        <v>14192222</v>
      </c>
      <c r="G163" s="724"/>
      <c r="H163" s="724">
        <f>SUM(H160:H162)</f>
        <v>10962664</v>
      </c>
      <c r="I163" s="724"/>
      <c r="J163" s="724">
        <f>SUM(J160:J162)</f>
        <v>12929927</v>
      </c>
      <c r="K163" s="724"/>
      <c r="L163" s="724">
        <v>21348113</v>
      </c>
      <c r="M163" s="724"/>
      <c r="N163" s="724">
        <v>25773461</v>
      </c>
      <c r="O163" s="724"/>
      <c r="P163" s="723">
        <f>SUM(P160:P162)</f>
        <v>31075568</v>
      </c>
      <c r="Q163" s="723"/>
      <c r="R163" s="723">
        <v>35185333</v>
      </c>
      <c r="S163" s="724"/>
      <c r="T163" s="724">
        <v>28222530</v>
      </c>
      <c r="U163" s="724"/>
      <c r="V163" s="724">
        <v>25315253</v>
      </c>
      <c r="W163" s="724"/>
      <c r="X163" s="724">
        <v>46510724</v>
      </c>
      <c r="Y163" s="724"/>
      <c r="Z163" s="724">
        <v>49691421</v>
      </c>
      <c r="AA163" s="724"/>
      <c r="AB163" s="724">
        <v>56461372</v>
      </c>
      <c r="AC163" s="724"/>
      <c r="AD163" s="724">
        <v>54384609</v>
      </c>
      <c r="AE163" s="725"/>
      <c r="AF163" s="724">
        <v>81814744</v>
      </c>
      <c r="AG163" s="724"/>
      <c r="AH163" s="724">
        <v>97876351</v>
      </c>
      <c r="AI163" s="724"/>
      <c r="AJ163" s="723">
        <v>169908738</v>
      </c>
      <c r="AK163" s="723"/>
      <c r="AL163" s="723">
        <v>225840014</v>
      </c>
      <c r="AM163" s="724"/>
      <c r="AN163" s="723">
        <v>217287947</v>
      </c>
    </row>
    <row r="164" spans="1:40">
      <c r="A164" s="250"/>
      <c r="B164" s="246"/>
      <c r="C164" s="724"/>
      <c r="D164" s="724"/>
      <c r="E164" s="724"/>
      <c r="F164" s="724"/>
      <c r="G164" s="724"/>
      <c r="H164" s="724"/>
      <c r="I164" s="724"/>
      <c r="J164" s="724"/>
      <c r="K164" s="724"/>
      <c r="L164" s="724"/>
      <c r="M164" s="723"/>
      <c r="N164" s="723"/>
      <c r="O164" s="724"/>
      <c r="P164" s="723"/>
      <c r="Q164" s="723"/>
      <c r="R164" s="723"/>
      <c r="S164" s="724"/>
      <c r="T164" s="724"/>
      <c r="U164" s="724"/>
      <c r="V164" s="724"/>
      <c r="W164" s="724"/>
      <c r="X164" s="724"/>
      <c r="Y164" s="724"/>
      <c r="Z164" s="724"/>
      <c r="AA164" s="724"/>
      <c r="AB164" s="724"/>
      <c r="AC164" s="724"/>
      <c r="AD164" s="724"/>
      <c r="AE164" s="725"/>
      <c r="AF164" s="725"/>
      <c r="AG164" s="724"/>
      <c r="AH164" s="724"/>
      <c r="AI164" s="724"/>
      <c r="AJ164" s="723"/>
      <c r="AK164" s="723"/>
      <c r="AL164" s="723"/>
      <c r="AM164" s="724"/>
      <c r="AN164" s="723"/>
    </row>
    <row r="165" spans="1:40">
      <c r="A165" s="261" t="s">
        <v>210</v>
      </c>
      <c r="B165" s="161" t="s">
        <v>67</v>
      </c>
      <c r="C165" s="194">
        <v>0</v>
      </c>
      <c r="D165" s="194">
        <v>0</v>
      </c>
      <c r="E165" s="194">
        <v>0</v>
      </c>
      <c r="F165" s="194">
        <v>0</v>
      </c>
      <c r="G165" s="194">
        <v>0</v>
      </c>
      <c r="H165" s="194">
        <v>0</v>
      </c>
      <c r="I165" s="194">
        <v>0</v>
      </c>
      <c r="J165" s="194">
        <v>0</v>
      </c>
      <c r="K165" s="194">
        <v>0</v>
      </c>
      <c r="L165" s="194">
        <v>0</v>
      </c>
      <c r="M165" s="194">
        <v>0</v>
      </c>
      <c r="N165" s="194">
        <v>0</v>
      </c>
      <c r="O165" s="194">
        <v>0</v>
      </c>
      <c r="P165" s="194">
        <v>0</v>
      </c>
      <c r="Q165" s="194">
        <v>0</v>
      </c>
      <c r="R165" s="194">
        <v>0</v>
      </c>
      <c r="S165" s="194">
        <v>0</v>
      </c>
      <c r="T165" s="194">
        <v>0</v>
      </c>
      <c r="U165" s="194">
        <v>0</v>
      </c>
      <c r="V165" s="194">
        <v>0</v>
      </c>
      <c r="W165" s="194">
        <v>0</v>
      </c>
      <c r="X165" s="194">
        <v>0</v>
      </c>
      <c r="Y165" s="194">
        <v>0</v>
      </c>
      <c r="Z165" s="194">
        <v>0</v>
      </c>
      <c r="AA165" s="194">
        <v>0</v>
      </c>
      <c r="AB165" s="194">
        <v>0</v>
      </c>
      <c r="AC165" s="194">
        <v>0</v>
      </c>
      <c r="AD165" s="194">
        <v>0</v>
      </c>
      <c r="AE165" s="194">
        <v>0</v>
      </c>
      <c r="AF165" s="194">
        <v>0</v>
      </c>
      <c r="AG165" s="194">
        <v>757</v>
      </c>
      <c r="AH165" s="194">
        <v>4981932</v>
      </c>
      <c r="AI165" s="194">
        <v>4034</v>
      </c>
      <c r="AJ165" s="183">
        <v>24695581</v>
      </c>
      <c r="AK165" s="194">
        <v>5190</v>
      </c>
      <c r="AL165" s="183">
        <v>27128981</v>
      </c>
      <c r="AM165" s="183">
        <v>3332</v>
      </c>
      <c r="AN165" s="183">
        <v>20416212</v>
      </c>
    </row>
    <row r="166" spans="1:40">
      <c r="A166" s="124"/>
      <c r="B166" s="161"/>
      <c r="C166" s="194"/>
      <c r="D166" s="194"/>
      <c r="E166" s="194"/>
      <c r="F166" s="194"/>
      <c r="G166" s="194"/>
      <c r="H166" s="194"/>
      <c r="I166" s="194"/>
      <c r="J166" s="194"/>
      <c r="K166" s="194"/>
      <c r="L166" s="194"/>
      <c r="M166" s="183"/>
      <c r="N166" s="183"/>
      <c r="O166" s="194"/>
      <c r="P166" s="183"/>
      <c r="Q166" s="183"/>
      <c r="R166" s="183"/>
      <c r="S166" s="194"/>
      <c r="T166" s="194"/>
      <c r="U166" s="194"/>
      <c r="V166" s="194"/>
      <c r="W166" s="194"/>
      <c r="X166" s="194"/>
      <c r="Y166" s="194"/>
      <c r="Z166" s="194"/>
      <c r="AA166" s="194"/>
      <c r="AB166" s="194"/>
      <c r="AC166" s="194"/>
      <c r="AD166" s="194"/>
      <c r="AE166" s="194"/>
      <c r="AF166" s="194"/>
      <c r="AG166" s="194"/>
      <c r="AH166" s="194"/>
      <c r="AI166" s="194"/>
      <c r="AJ166" s="183"/>
      <c r="AK166" s="183"/>
      <c r="AL166" s="183"/>
      <c r="AM166" s="194"/>
      <c r="AN166" s="183"/>
    </row>
    <row r="167" spans="1:40">
      <c r="A167" s="260" t="s">
        <v>211</v>
      </c>
      <c r="B167" s="256" t="s">
        <v>67</v>
      </c>
      <c r="C167" s="724">
        <v>471</v>
      </c>
      <c r="D167" s="724">
        <v>7740</v>
      </c>
      <c r="E167" s="724">
        <v>552</v>
      </c>
      <c r="F167" s="724">
        <v>9034</v>
      </c>
      <c r="G167" s="724">
        <v>819</v>
      </c>
      <c r="H167" s="724">
        <v>16388</v>
      </c>
      <c r="I167" s="724">
        <v>1679</v>
      </c>
      <c r="J167" s="724">
        <v>87072</v>
      </c>
      <c r="K167" s="724">
        <v>651</v>
      </c>
      <c r="L167" s="724">
        <v>114410</v>
      </c>
      <c r="M167" s="724">
        <v>105</v>
      </c>
      <c r="N167" s="724">
        <v>18528</v>
      </c>
      <c r="O167" s="723">
        <v>507</v>
      </c>
      <c r="P167" s="723">
        <v>90227</v>
      </c>
      <c r="Q167" s="724">
        <v>225</v>
      </c>
      <c r="R167" s="724">
        <v>39943</v>
      </c>
      <c r="S167" s="723">
        <v>199</v>
      </c>
      <c r="T167" s="723">
        <v>35293</v>
      </c>
      <c r="U167" s="724">
        <v>0</v>
      </c>
      <c r="V167" s="724">
        <v>0</v>
      </c>
      <c r="W167" s="724">
        <v>0</v>
      </c>
      <c r="X167" s="724">
        <v>0</v>
      </c>
      <c r="Y167" s="724">
        <v>0</v>
      </c>
      <c r="Z167" s="724">
        <v>0</v>
      </c>
      <c r="AA167" s="724">
        <v>0</v>
      </c>
      <c r="AB167" s="724">
        <v>0</v>
      </c>
      <c r="AC167" s="724">
        <v>0</v>
      </c>
      <c r="AD167" s="724">
        <v>0</v>
      </c>
      <c r="AE167" s="724">
        <v>0</v>
      </c>
      <c r="AF167" s="724">
        <v>0</v>
      </c>
      <c r="AG167" s="724">
        <v>0</v>
      </c>
      <c r="AH167" s="724">
        <v>0</v>
      </c>
      <c r="AI167" s="724">
        <v>0</v>
      </c>
      <c r="AJ167" s="724">
        <v>0</v>
      </c>
      <c r="AK167" s="723">
        <v>0</v>
      </c>
      <c r="AL167" s="723">
        <v>0</v>
      </c>
      <c r="AM167" s="723">
        <v>0</v>
      </c>
      <c r="AN167" s="723">
        <v>0</v>
      </c>
    </row>
    <row r="168" spans="1:40">
      <c r="A168" s="247"/>
      <c r="B168" s="256"/>
      <c r="C168" s="724"/>
      <c r="D168" s="724"/>
      <c r="E168" s="724"/>
      <c r="F168" s="724"/>
      <c r="G168" s="724"/>
      <c r="H168" s="724"/>
      <c r="I168" s="724"/>
      <c r="J168" s="724"/>
      <c r="K168" s="724"/>
      <c r="L168" s="724"/>
      <c r="M168" s="724"/>
      <c r="N168" s="724"/>
      <c r="O168" s="723"/>
      <c r="P168" s="723"/>
      <c r="Q168" s="724"/>
      <c r="R168" s="724"/>
      <c r="S168" s="723"/>
      <c r="T168" s="723"/>
      <c r="U168" s="724"/>
      <c r="V168" s="724"/>
      <c r="W168" s="724"/>
      <c r="X168" s="724"/>
      <c r="Y168" s="724"/>
      <c r="Z168" s="724"/>
      <c r="AA168" s="724"/>
      <c r="AB168" s="724"/>
      <c r="AC168" s="724"/>
      <c r="AD168" s="724"/>
      <c r="AE168" s="724"/>
      <c r="AF168" s="724"/>
      <c r="AG168" s="724"/>
      <c r="AH168" s="724"/>
      <c r="AI168" s="724"/>
      <c r="AJ168" s="724"/>
      <c r="AK168" s="723"/>
      <c r="AL168" s="723"/>
      <c r="AM168" s="723"/>
      <c r="AN168" s="723"/>
    </row>
    <row r="169" spans="1:40">
      <c r="A169" s="825" t="s">
        <v>436</v>
      </c>
      <c r="B169" s="826"/>
      <c r="C169" s="827"/>
      <c r="D169" s="883">
        <f>D171-D138</f>
        <v>4213067797</v>
      </c>
      <c r="E169" s="827"/>
      <c r="F169" s="883">
        <f>F171-F138</f>
        <v>4634330630</v>
      </c>
      <c r="G169" s="827"/>
      <c r="H169" s="883">
        <f>H171-H138</f>
        <v>5070360732</v>
      </c>
      <c r="I169" s="827"/>
      <c r="J169" s="883">
        <f>J171-J138</f>
        <v>6150864548</v>
      </c>
      <c r="K169" s="827"/>
      <c r="L169" s="883">
        <f>L171-L138</f>
        <v>7262509535</v>
      </c>
      <c r="M169" s="827"/>
      <c r="N169" s="883">
        <f>N171-N138</f>
        <v>9132862579</v>
      </c>
      <c r="O169" s="828"/>
      <c r="P169" s="884">
        <f>P171-P138</f>
        <v>9512293850</v>
      </c>
      <c r="Q169" s="827"/>
      <c r="R169" s="883">
        <f>R171-R138</f>
        <v>9532859042.1067009</v>
      </c>
      <c r="S169" s="828"/>
      <c r="T169" s="884">
        <f>T171-T138</f>
        <v>9679080839</v>
      </c>
      <c r="U169" s="827"/>
      <c r="V169" s="883">
        <f>V171-V138</f>
        <v>10030807405</v>
      </c>
      <c r="W169" s="827"/>
      <c r="X169" s="883">
        <f>X171-X138</f>
        <v>10248498232</v>
      </c>
      <c r="Y169" s="827"/>
      <c r="Z169" s="883">
        <f>Z171-Z138</f>
        <v>11266827221</v>
      </c>
      <c r="AA169" s="827"/>
      <c r="AB169" s="883">
        <f>AB171-AB138</f>
        <v>11357249647</v>
      </c>
      <c r="AC169" s="827"/>
      <c r="AD169" s="883">
        <f>AD171-AD138</f>
        <v>12847962124</v>
      </c>
      <c r="AE169" s="827"/>
      <c r="AF169" s="883">
        <f>AF171-AF138</f>
        <v>12589530232.25164</v>
      </c>
      <c r="AG169" s="827"/>
      <c r="AH169" s="883">
        <f>AH171-AH138</f>
        <v>13729606113.350857</v>
      </c>
      <c r="AI169" s="827"/>
      <c r="AJ169" s="884">
        <f>AJ171-AJ138</f>
        <v>17035099375.547045</v>
      </c>
      <c r="AK169" s="828"/>
      <c r="AL169" s="884">
        <f>AL171-AL138</f>
        <v>16841863380</v>
      </c>
      <c r="AM169" s="829"/>
      <c r="AN169" s="885">
        <f>AN171-AN138</f>
        <v>17366556221</v>
      </c>
    </row>
    <row r="170" spans="1:40">
      <c r="A170" s="825"/>
      <c r="B170" s="826"/>
      <c r="C170" s="827"/>
      <c r="D170" s="883"/>
      <c r="E170" s="827"/>
      <c r="F170" s="883"/>
      <c r="G170" s="827"/>
      <c r="H170" s="883"/>
      <c r="I170" s="827"/>
      <c r="J170" s="883"/>
      <c r="K170" s="827"/>
      <c r="L170" s="883"/>
      <c r="M170" s="827"/>
      <c r="N170" s="883"/>
      <c r="O170" s="828"/>
      <c r="P170" s="884"/>
      <c r="Q170" s="827"/>
      <c r="R170" s="883"/>
      <c r="S170" s="828"/>
      <c r="T170" s="884"/>
      <c r="U170" s="827"/>
      <c r="V170" s="883"/>
      <c r="W170" s="827"/>
      <c r="X170" s="883"/>
      <c r="Y170" s="827"/>
      <c r="Z170" s="883"/>
      <c r="AA170" s="827"/>
      <c r="AB170" s="883"/>
      <c r="AC170" s="827"/>
      <c r="AD170" s="883"/>
      <c r="AE170" s="827"/>
      <c r="AF170" s="883"/>
      <c r="AG170" s="827"/>
      <c r="AH170" s="883"/>
      <c r="AI170" s="827"/>
      <c r="AJ170" s="884"/>
      <c r="AK170" s="828"/>
      <c r="AL170" s="884"/>
      <c r="AM170" s="829"/>
      <c r="AN170" s="885"/>
    </row>
    <row r="171" spans="1:40">
      <c r="A171" s="825" t="s">
        <v>437</v>
      </c>
      <c r="B171" s="826"/>
      <c r="C171" s="827"/>
      <c r="D171" s="883">
        <v>4663702326</v>
      </c>
      <c r="E171" s="827"/>
      <c r="F171" s="883">
        <v>5237863333</v>
      </c>
      <c r="G171" s="827"/>
      <c r="H171" s="883">
        <v>5687658240</v>
      </c>
      <c r="I171" s="827"/>
      <c r="J171" s="883">
        <v>6945636791</v>
      </c>
      <c r="K171" s="827"/>
      <c r="L171" s="883">
        <v>7958810799</v>
      </c>
      <c r="M171" s="827"/>
      <c r="N171" s="883">
        <v>10662926059</v>
      </c>
      <c r="O171" s="828"/>
      <c r="P171" s="884">
        <f>P13+P21+P23+P34+P36+P44+P46+P48+P59+P75+P77+P79+P95+P100+P106+P111+P115+P127+P129+P138+P142+P145+P151+P153+P155+P157+P163+P167</f>
        <v>12152934002</v>
      </c>
      <c r="Q171" s="827"/>
      <c r="R171" s="883">
        <f>12009185188.1067-464942</f>
        <v>12008720246.106701</v>
      </c>
      <c r="S171" s="828"/>
      <c r="T171" s="884">
        <v>12329885249</v>
      </c>
      <c r="U171" s="827"/>
      <c r="V171" s="883">
        <v>12623902858</v>
      </c>
      <c r="W171" s="827"/>
      <c r="X171" s="883">
        <v>13914714258</v>
      </c>
      <c r="Y171" s="827"/>
      <c r="Z171" s="883">
        <v>15336361934</v>
      </c>
      <c r="AA171" s="827"/>
      <c r="AB171" s="883">
        <v>16395083173</v>
      </c>
      <c r="AC171" s="827"/>
      <c r="AD171" s="883">
        <v>17782101893</v>
      </c>
      <c r="AE171" s="827"/>
      <c r="AF171" s="883">
        <v>16655578272.74151</v>
      </c>
      <c r="AG171" s="827"/>
      <c r="AH171" s="883">
        <v>21344976804.350857</v>
      </c>
      <c r="AI171" s="827"/>
      <c r="AJ171" s="884">
        <v>27547079093</v>
      </c>
      <c r="AK171" s="828"/>
      <c r="AL171" s="884">
        <v>26696138766</v>
      </c>
      <c r="AM171" s="829"/>
      <c r="AN171" s="885">
        <v>27857663102</v>
      </c>
    </row>
    <row r="172" spans="1:40">
      <c r="A172" s="825"/>
      <c r="B172" s="826"/>
      <c r="C172" s="827"/>
      <c r="D172" s="883"/>
      <c r="E172" s="827"/>
      <c r="F172" s="883"/>
      <c r="G172" s="827"/>
      <c r="H172" s="883"/>
      <c r="I172" s="827"/>
      <c r="J172" s="883"/>
      <c r="K172" s="827"/>
      <c r="L172" s="883"/>
      <c r="M172" s="827"/>
      <c r="N172" s="883"/>
      <c r="O172" s="828"/>
      <c r="P172" s="884"/>
      <c r="Q172" s="827"/>
      <c r="R172" s="883"/>
      <c r="S172" s="828"/>
      <c r="T172" s="884"/>
      <c r="U172" s="827"/>
      <c r="V172" s="883"/>
      <c r="W172" s="827"/>
      <c r="X172" s="883"/>
      <c r="Y172" s="827"/>
      <c r="Z172" s="883"/>
      <c r="AA172" s="827"/>
      <c r="AB172" s="883"/>
      <c r="AC172" s="827"/>
      <c r="AD172" s="883"/>
      <c r="AE172" s="827"/>
      <c r="AF172" s="883"/>
      <c r="AG172" s="827"/>
      <c r="AH172" s="883"/>
      <c r="AI172" s="827"/>
      <c r="AJ172" s="884"/>
      <c r="AK172" s="828"/>
      <c r="AL172" s="884"/>
      <c r="AM172" s="829"/>
      <c r="AN172" s="885"/>
    </row>
    <row r="173" spans="1:40">
      <c r="A173" s="254"/>
      <c r="B173" s="225"/>
      <c r="C173" s="225"/>
      <c r="D173" s="225"/>
      <c r="E173" s="194"/>
      <c r="F173" s="194"/>
      <c r="G173" s="225"/>
      <c r="H173" s="225"/>
      <c r="I173" s="225"/>
      <c r="J173" s="225"/>
      <c r="K173" s="127"/>
      <c r="L173" s="225"/>
      <c r="M173" s="225"/>
      <c r="N173" s="225"/>
      <c r="O173" s="127"/>
      <c r="P173" s="127"/>
      <c r="Q173" s="127"/>
      <c r="R173" s="127"/>
      <c r="S173" s="183"/>
      <c r="T173" s="183"/>
      <c r="U173" s="127"/>
      <c r="V173" s="127"/>
      <c r="W173" s="225"/>
      <c r="X173" s="225"/>
      <c r="Y173" s="225"/>
      <c r="Z173" s="225"/>
      <c r="AA173" s="127"/>
      <c r="AB173" s="127"/>
      <c r="AC173" s="127"/>
      <c r="AD173" s="127"/>
      <c r="AE173" s="254"/>
      <c r="AF173" s="241"/>
      <c r="AG173" s="254"/>
      <c r="AH173" s="241"/>
      <c r="AI173" s="254"/>
      <c r="AJ173" s="241"/>
      <c r="AK173" s="241"/>
      <c r="AL173" s="208"/>
      <c r="AM173" s="254"/>
      <c r="AN173" s="241"/>
    </row>
    <row r="174" spans="1:40">
      <c r="A174" s="254" t="s">
        <v>440</v>
      </c>
      <c r="B174" s="225"/>
      <c r="C174" s="225"/>
      <c r="D174" s="225"/>
      <c r="E174" s="194"/>
      <c r="F174" s="194"/>
      <c r="G174" s="225"/>
      <c r="H174" s="225"/>
      <c r="I174" s="225"/>
      <c r="J174" s="225"/>
      <c r="K174" s="127"/>
      <c r="L174" s="127"/>
      <c r="M174" s="127"/>
      <c r="N174" s="127"/>
      <c r="O174" s="212"/>
      <c r="P174" s="212"/>
      <c r="Q174" s="127"/>
      <c r="R174" s="127"/>
      <c r="S174" s="183"/>
      <c r="T174" s="183"/>
      <c r="U174" s="212"/>
      <c r="V174" s="212"/>
      <c r="W174" s="127"/>
      <c r="X174" s="127"/>
      <c r="Y174" s="127"/>
      <c r="Z174" s="127"/>
      <c r="AA174" s="225"/>
      <c r="AB174" s="225"/>
      <c r="AC174" s="127"/>
      <c r="AD174" s="127"/>
      <c r="AE174" s="254"/>
      <c r="AF174" s="254"/>
      <c r="AG174" s="254"/>
      <c r="AH174" s="254"/>
      <c r="AI174" s="254"/>
      <c r="AJ174" s="241"/>
      <c r="AK174" s="241"/>
      <c r="AL174" s="208"/>
      <c r="AM174" s="254"/>
      <c r="AN174" s="254"/>
    </row>
    <row r="175" spans="1:40">
      <c r="A175" s="242"/>
      <c r="K175" s="127"/>
      <c r="L175" s="127"/>
      <c r="M175" s="127"/>
      <c r="N175" s="127"/>
      <c r="O175" s="225"/>
      <c r="P175" s="225"/>
      <c r="Q175" s="127"/>
      <c r="R175" s="127"/>
      <c r="S175" s="194"/>
      <c r="T175" s="194"/>
      <c r="U175" s="225"/>
      <c r="V175" s="225"/>
      <c r="W175" s="127"/>
      <c r="X175" s="127"/>
      <c r="Y175" s="127"/>
      <c r="Z175" s="127"/>
      <c r="AA175" s="225"/>
      <c r="AB175" s="225"/>
      <c r="AC175" s="127"/>
      <c r="AD175" s="127"/>
      <c r="AE175" s="254"/>
      <c r="AF175" s="254"/>
      <c r="AK175" s="243"/>
      <c r="AL175" s="208"/>
      <c r="AM175" s="254"/>
      <c r="AN175" s="254"/>
    </row>
    <row r="176" spans="1:40">
      <c r="A176" s="254"/>
      <c r="B176" s="225"/>
      <c r="C176" s="225"/>
      <c r="D176" s="225"/>
      <c r="E176" s="225"/>
      <c r="F176" s="225"/>
      <c r="G176" s="225"/>
      <c r="H176" s="225"/>
      <c r="I176" s="225"/>
      <c r="J176" s="225"/>
      <c r="K176" s="127"/>
      <c r="L176" s="127"/>
      <c r="M176" s="225"/>
      <c r="N176" s="225"/>
      <c r="O176" s="127"/>
      <c r="P176" s="127"/>
      <c r="Q176" s="127"/>
      <c r="R176" s="127"/>
      <c r="S176" s="183"/>
      <c r="T176" s="183"/>
      <c r="U176" s="127"/>
      <c r="V176" s="127"/>
      <c r="W176" s="225"/>
      <c r="X176" s="225"/>
      <c r="Y176" s="225"/>
      <c r="Z176" s="225"/>
      <c r="AA176" s="127"/>
      <c r="AB176" s="127"/>
      <c r="AC176" s="127"/>
      <c r="AD176" s="127"/>
      <c r="AK176" s="243"/>
      <c r="AL176" s="208"/>
      <c r="AM176" s="254"/>
      <c r="AN176" s="254"/>
    </row>
    <row r="177" spans="1:40">
      <c r="A177" s="254"/>
      <c r="B177" s="254"/>
      <c r="I177" s="225"/>
      <c r="J177" s="225"/>
      <c r="K177" s="225"/>
      <c r="L177" s="127"/>
      <c r="M177" s="127"/>
      <c r="N177" s="127"/>
      <c r="O177" s="127"/>
      <c r="P177" s="127"/>
      <c r="Q177" s="127"/>
      <c r="R177" s="127"/>
      <c r="S177" s="194"/>
      <c r="T177" s="194"/>
      <c r="U177" s="127"/>
      <c r="V177" s="127"/>
      <c r="W177" s="127"/>
      <c r="X177" s="127"/>
      <c r="Y177" s="127"/>
      <c r="Z177" s="127"/>
      <c r="AA177" s="127"/>
      <c r="AB177" s="127"/>
      <c r="AC177" s="127"/>
      <c r="AD177" s="127"/>
      <c r="AK177" s="243"/>
      <c r="AL177" s="208"/>
      <c r="AM177" s="254"/>
      <c r="AN177" s="254"/>
    </row>
    <row r="178" spans="1:40">
      <c r="A178" s="254"/>
      <c r="B178" s="225"/>
      <c r="I178" s="225"/>
      <c r="J178" s="225"/>
      <c r="K178" s="127"/>
      <c r="L178" s="225"/>
      <c r="M178" s="127"/>
      <c r="N178" s="127"/>
      <c r="O178" s="127"/>
      <c r="P178" s="127"/>
      <c r="Q178" s="225"/>
      <c r="R178" s="225"/>
      <c r="S178" s="183"/>
      <c r="T178" s="183"/>
      <c r="U178" s="127"/>
      <c r="V178" s="127"/>
      <c r="W178" s="127"/>
      <c r="X178" s="127"/>
      <c r="Y178" s="127"/>
      <c r="Z178" s="127"/>
      <c r="AA178" s="127"/>
      <c r="AB178" s="127"/>
      <c r="AC178" s="127"/>
      <c r="AD178" s="127"/>
      <c r="AK178" s="243"/>
      <c r="AL178" s="208"/>
      <c r="AM178" s="254"/>
      <c r="AN178" s="254"/>
    </row>
    <row r="179" spans="1:40">
      <c r="A179" s="254"/>
      <c r="B179" s="225"/>
      <c r="K179" s="127"/>
      <c r="L179" s="127"/>
      <c r="M179" s="127"/>
      <c r="N179" s="127"/>
      <c r="O179" s="225"/>
      <c r="P179" s="225"/>
      <c r="Q179" s="225"/>
      <c r="R179" s="225"/>
      <c r="S179" s="183"/>
      <c r="T179" s="183"/>
      <c r="U179" s="127"/>
      <c r="V179" s="127"/>
      <c r="W179" s="127"/>
      <c r="X179" s="127"/>
      <c r="Y179" s="127"/>
      <c r="Z179" s="127"/>
      <c r="AA179" s="127"/>
      <c r="AB179" s="127"/>
      <c r="AC179" s="127"/>
      <c r="AD179" s="127"/>
      <c r="AK179" s="243"/>
      <c r="AL179" s="208"/>
    </row>
    <row r="180" spans="1:40">
      <c r="K180" s="225"/>
      <c r="L180" s="225"/>
      <c r="M180" s="127"/>
      <c r="N180" s="127"/>
      <c r="O180" s="127"/>
      <c r="P180" s="127"/>
      <c r="Q180" s="127"/>
      <c r="R180" s="127"/>
      <c r="S180" s="183"/>
      <c r="T180" s="183"/>
      <c r="U180" s="127"/>
      <c r="V180" s="127"/>
      <c r="W180" s="127"/>
      <c r="X180" s="127"/>
      <c r="Y180" s="127"/>
      <c r="Z180" s="127"/>
      <c r="AA180" s="127"/>
      <c r="AB180" s="127"/>
      <c r="AC180" s="127"/>
      <c r="AD180" s="127"/>
      <c r="AK180" s="243"/>
      <c r="AL180" s="208"/>
    </row>
    <row r="181" spans="1:40">
      <c r="K181" s="127"/>
      <c r="L181" s="225"/>
      <c r="M181" s="225"/>
      <c r="N181" s="225"/>
      <c r="O181" s="127"/>
      <c r="P181" s="127"/>
      <c r="Q181" s="127"/>
      <c r="R181" s="127"/>
      <c r="S181" s="183"/>
      <c r="T181" s="183"/>
      <c r="U181" s="127"/>
      <c r="V181" s="127"/>
      <c r="W181" s="225"/>
      <c r="X181" s="225"/>
      <c r="Y181" s="225"/>
      <c r="Z181" s="225"/>
      <c r="AA181" s="127"/>
      <c r="AB181" s="127"/>
      <c r="AC181" s="127"/>
      <c r="AD181" s="127"/>
      <c r="AK181" s="243"/>
      <c r="AL181" s="208"/>
    </row>
    <row r="182" spans="1:40">
      <c r="K182" s="127"/>
      <c r="L182" s="127"/>
      <c r="M182" s="127"/>
      <c r="N182" s="127"/>
      <c r="O182" s="225"/>
      <c r="P182" s="225"/>
      <c r="Q182" s="127"/>
      <c r="R182" s="127"/>
      <c r="S182" s="183"/>
      <c r="T182" s="183"/>
      <c r="U182" s="225"/>
      <c r="V182" s="225"/>
      <c r="W182" s="127"/>
      <c r="X182" s="127"/>
      <c r="Y182" s="127"/>
      <c r="Z182" s="127"/>
      <c r="AA182" s="127"/>
      <c r="AB182" s="127"/>
      <c r="AC182" s="225"/>
      <c r="AD182" s="225"/>
      <c r="AK182" s="243"/>
      <c r="AL182" s="208"/>
    </row>
    <row r="183" spans="1:40">
      <c r="K183" s="127"/>
      <c r="L183" s="127"/>
      <c r="M183" s="127"/>
      <c r="N183" s="127"/>
      <c r="O183" s="225"/>
      <c r="P183" s="225"/>
      <c r="Q183" s="127"/>
      <c r="R183" s="127"/>
      <c r="S183" s="194"/>
      <c r="T183" s="194"/>
      <c r="U183" s="225"/>
      <c r="V183" s="225"/>
      <c r="W183" s="127"/>
      <c r="X183" s="127"/>
      <c r="Y183" s="127"/>
      <c r="Z183" s="127"/>
      <c r="AA183" s="225"/>
      <c r="AB183" s="225"/>
      <c r="AC183" s="127"/>
      <c r="AD183" s="127"/>
      <c r="AK183" s="243"/>
      <c r="AL183" s="208"/>
    </row>
    <row r="184" spans="1:40">
      <c r="K184" s="127"/>
      <c r="L184" s="127"/>
      <c r="M184" s="127"/>
      <c r="N184" s="127"/>
      <c r="O184" s="127"/>
      <c r="P184" s="127"/>
      <c r="Q184" s="127"/>
      <c r="R184" s="127"/>
      <c r="S184" s="183"/>
      <c r="T184" s="183"/>
      <c r="U184" s="127"/>
      <c r="V184" s="127"/>
      <c r="W184" s="127"/>
      <c r="X184" s="127"/>
      <c r="Y184" s="127"/>
      <c r="Z184" s="127"/>
      <c r="AA184" s="225"/>
      <c r="AB184" s="225"/>
      <c r="AC184" s="225"/>
      <c r="AD184" s="225"/>
      <c r="AK184" s="243"/>
      <c r="AL184" s="208"/>
    </row>
    <row r="185" spans="1:40">
      <c r="K185" s="127"/>
      <c r="L185" s="127"/>
      <c r="M185" s="225"/>
      <c r="N185" s="225"/>
      <c r="O185" s="127"/>
      <c r="P185" s="127"/>
      <c r="Q185" s="225"/>
      <c r="R185" s="225"/>
      <c r="S185" s="183"/>
      <c r="T185" s="183"/>
      <c r="U185" s="127"/>
      <c r="V185" s="127"/>
      <c r="W185" s="225"/>
      <c r="X185" s="225"/>
      <c r="Y185" s="225"/>
      <c r="Z185" s="225"/>
      <c r="AA185" s="161"/>
      <c r="AB185" s="161"/>
      <c r="AC185" s="225"/>
      <c r="AD185" s="225"/>
      <c r="AK185" s="243"/>
      <c r="AL185" s="208"/>
    </row>
    <row r="186" spans="1:40">
      <c r="K186" s="127"/>
      <c r="L186" s="127"/>
      <c r="M186" s="225"/>
      <c r="N186" s="225"/>
      <c r="O186" s="127"/>
      <c r="P186" s="127"/>
      <c r="Q186" s="127"/>
      <c r="R186" s="127"/>
      <c r="S186" s="183"/>
      <c r="T186" s="183"/>
      <c r="U186" s="127"/>
      <c r="V186" s="127"/>
      <c r="W186" s="225"/>
      <c r="X186" s="225"/>
      <c r="Y186" s="225"/>
      <c r="Z186" s="225"/>
      <c r="AA186" s="161"/>
      <c r="AB186" s="161"/>
      <c r="AC186" s="225"/>
      <c r="AD186" s="225"/>
      <c r="AK186" s="243"/>
      <c r="AL186" s="208"/>
    </row>
    <row r="187" spans="1:40">
      <c r="K187" s="225"/>
      <c r="L187" s="127"/>
      <c r="M187" s="161"/>
      <c r="N187" s="161"/>
      <c r="O187" s="127"/>
      <c r="P187" s="127"/>
      <c r="Q187" s="127"/>
      <c r="R187" s="127"/>
      <c r="S187" s="194"/>
      <c r="T187" s="194"/>
      <c r="U187" s="127"/>
      <c r="V187" s="127"/>
      <c r="W187" s="161"/>
      <c r="X187" s="161"/>
      <c r="Y187" s="161"/>
      <c r="Z187" s="161"/>
      <c r="AA187" s="225"/>
      <c r="AB187" s="225"/>
      <c r="AC187" s="127"/>
      <c r="AD187" s="127"/>
      <c r="AK187" s="243"/>
      <c r="AL187" s="208"/>
    </row>
    <row r="188" spans="1:40">
      <c r="K188" s="127"/>
      <c r="L188" s="225"/>
      <c r="M188" s="161"/>
      <c r="N188" s="161"/>
      <c r="O188" s="127"/>
      <c r="P188" s="127"/>
      <c r="Q188" s="127"/>
      <c r="R188" s="127"/>
      <c r="S188" s="194"/>
      <c r="T188" s="194"/>
      <c r="U188" s="127"/>
      <c r="V188" s="127"/>
      <c r="W188" s="161"/>
      <c r="X188" s="161"/>
      <c r="Y188" s="161"/>
      <c r="Z188" s="161"/>
      <c r="AA188" s="225"/>
      <c r="AB188" s="225"/>
      <c r="AC188" s="127"/>
      <c r="AD188" s="127"/>
      <c r="AK188" s="243"/>
      <c r="AL188" s="208"/>
    </row>
    <row r="189" spans="1:40">
      <c r="K189" s="127"/>
      <c r="L189" s="127"/>
      <c r="M189" s="161"/>
      <c r="N189" s="161"/>
      <c r="O189" s="127"/>
      <c r="P189" s="127"/>
      <c r="Q189" s="225"/>
      <c r="R189" s="225"/>
      <c r="S189" s="194"/>
      <c r="T189" s="194"/>
      <c r="U189" s="127"/>
      <c r="V189" s="127"/>
      <c r="W189" s="225"/>
      <c r="X189" s="225"/>
      <c r="Y189" s="225"/>
      <c r="Z189" s="225"/>
      <c r="AA189" s="225"/>
      <c r="AB189" s="225"/>
      <c r="AC189" s="127"/>
      <c r="AD189" s="127"/>
      <c r="AK189" s="243"/>
      <c r="AL189" s="208"/>
    </row>
    <row r="190" spans="1:40">
      <c r="K190" s="127"/>
      <c r="L190" s="127"/>
      <c r="M190" s="161"/>
      <c r="N190" s="161"/>
      <c r="O190" s="225"/>
      <c r="P190" s="225"/>
      <c r="Q190" s="225"/>
      <c r="R190" s="225"/>
      <c r="S190" s="194"/>
      <c r="T190" s="194"/>
      <c r="U190" s="225"/>
      <c r="V190" s="225"/>
      <c r="W190" s="225"/>
      <c r="X190" s="225"/>
      <c r="Y190" s="225"/>
      <c r="Z190" s="225"/>
      <c r="AA190" s="225"/>
      <c r="AB190" s="225"/>
      <c r="AC190" s="127"/>
      <c r="AD190" s="127"/>
      <c r="AK190" s="243"/>
      <c r="AL190" s="208"/>
    </row>
    <row r="191" spans="1:40">
      <c r="K191" s="225"/>
      <c r="L191" s="127"/>
      <c r="M191" s="225"/>
      <c r="N191" s="225"/>
      <c r="O191" s="127"/>
      <c r="P191" s="127"/>
      <c r="Q191" s="161"/>
      <c r="R191" s="161"/>
      <c r="S191" s="194"/>
      <c r="T191" s="194"/>
      <c r="U191" s="127"/>
      <c r="V191" s="127"/>
      <c r="W191" s="225"/>
      <c r="X191" s="225"/>
      <c r="Y191" s="225"/>
      <c r="Z191" s="225"/>
      <c r="AA191" s="225"/>
      <c r="AB191" s="225"/>
      <c r="AC191" s="127"/>
      <c r="AD191" s="127"/>
      <c r="AK191" s="243"/>
      <c r="AL191" s="208"/>
    </row>
    <row r="192" spans="1:40">
      <c r="K192" s="225"/>
      <c r="L192" s="225"/>
      <c r="M192" s="225"/>
      <c r="N192" s="225"/>
      <c r="O192" s="127"/>
      <c r="P192" s="127"/>
      <c r="Q192" s="161"/>
      <c r="R192" s="161"/>
      <c r="S192" s="194"/>
      <c r="T192" s="194"/>
      <c r="U192" s="127"/>
      <c r="V192" s="127"/>
      <c r="W192" s="225"/>
      <c r="X192" s="225"/>
      <c r="Y192" s="225"/>
      <c r="Z192" s="225"/>
      <c r="AA192" s="225"/>
      <c r="AB192" s="225"/>
      <c r="AC192" s="127"/>
      <c r="AD192" s="127"/>
      <c r="AK192" s="243"/>
      <c r="AL192" s="208"/>
    </row>
    <row r="193" spans="11:38">
      <c r="K193" s="161"/>
      <c r="L193" s="225"/>
      <c r="M193" s="225"/>
      <c r="N193" s="225"/>
      <c r="O193" s="127"/>
      <c r="P193" s="127"/>
      <c r="Q193" s="161"/>
      <c r="R193" s="161"/>
      <c r="S193" s="194"/>
      <c r="T193" s="194"/>
      <c r="U193" s="127"/>
      <c r="V193" s="127"/>
      <c r="W193" s="225"/>
      <c r="X193" s="225"/>
      <c r="Y193" s="225"/>
      <c r="Z193" s="225"/>
      <c r="AA193" s="225"/>
      <c r="AB193" s="225"/>
      <c r="AC193" s="225"/>
      <c r="AD193" s="225"/>
      <c r="AK193" s="243"/>
      <c r="AL193" s="208"/>
    </row>
    <row r="194" spans="11:38">
      <c r="K194" s="161"/>
      <c r="L194" s="161"/>
      <c r="M194" s="225"/>
      <c r="N194" s="225"/>
      <c r="O194" s="225"/>
      <c r="P194" s="225"/>
      <c r="Q194" s="161"/>
      <c r="R194" s="161"/>
      <c r="S194" s="194"/>
      <c r="T194" s="194"/>
      <c r="U194" s="225"/>
      <c r="V194" s="225"/>
      <c r="W194" s="225"/>
      <c r="X194" s="225"/>
      <c r="Y194" s="225"/>
      <c r="Z194" s="225"/>
      <c r="AA194" s="225"/>
      <c r="AB194" s="225"/>
      <c r="AC194" s="127"/>
      <c r="AD194" s="127"/>
      <c r="AK194" s="243"/>
      <c r="AL194" s="208"/>
    </row>
    <row r="195" spans="11:38">
      <c r="K195" s="161"/>
      <c r="L195" s="161"/>
      <c r="M195" s="225"/>
      <c r="N195" s="225"/>
      <c r="O195" s="225"/>
      <c r="P195" s="225"/>
      <c r="Q195" s="225"/>
      <c r="R195" s="225"/>
      <c r="S195" s="194"/>
      <c r="T195" s="194"/>
      <c r="U195" s="225"/>
      <c r="V195" s="225"/>
      <c r="W195" s="225"/>
      <c r="X195" s="225"/>
      <c r="Y195" s="225"/>
      <c r="Z195" s="225"/>
      <c r="AA195" s="225"/>
      <c r="AB195" s="225"/>
      <c r="AC195" s="127"/>
      <c r="AD195" s="127"/>
      <c r="AK195" s="243"/>
      <c r="AL195" s="208"/>
    </row>
    <row r="196" spans="11:38">
      <c r="K196" s="161"/>
      <c r="L196" s="161"/>
      <c r="M196" s="225"/>
      <c r="N196" s="225"/>
      <c r="O196" s="161"/>
      <c r="P196" s="161"/>
      <c r="Q196" s="225"/>
      <c r="R196" s="225"/>
      <c r="S196" s="194"/>
      <c r="T196" s="194"/>
      <c r="U196" s="161"/>
      <c r="V196" s="161"/>
      <c r="W196" s="225"/>
      <c r="X196" s="225"/>
      <c r="Y196" s="225"/>
      <c r="Z196" s="225"/>
      <c r="AA196" s="225"/>
      <c r="AB196" s="225"/>
      <c r="AC196" s="127"/>
      <c r="AD196" s="127"/>
      <c r="AK196" s="243"/>
      <c r="AL196" s="208"/>
    </row>
    <row r="197" spans="11:38">
      <c r="K197" s="225"/>
      <c r="L197" s="161"/>
      <c r="M197" s="225"/>
      <c r="N197" s="225"/>
      <c r="O197" s="161"/>
      <c r="P197" s="161"/>
      <c r="Q197" s="225"/>
      <c r="R197" s="225"/>
      <c r="S197" s="194"/>
      <c r="T197" s="194"/>
      <c r="U197" s="161"/>
      <c r="V197" s="161"/>
      <c r="W197" s="225"/>
      <c r="X197" s="225"/>
      <c r="Y197" s="225"/>
      <c r="Z197" s="225"/>
      <c r="AA197" s="225"/>
      <c r="AB197" s="225"/>
      <c r="AC197" s="225"/>
      <c r="AD197" s="225"/>
      <c r="AK197" s="243"/>
      <c r="AL197" s="208"/>
    </row>
    <row r="198" spans="11:38">
      <c r="K198" s="225"/>
      <c r="L198" s="225"/>
      <c r="M198" s="225"/>
      <c r="N198" s="225"/>
      <c r="O198" s="161"/>
      <c r="P198" s="161"/>
      <c r="Q198" s="225"/>
      <c r="R198" s="225"/>
      <c r="S198" s="194"/>
      <c r="T198" s="194"/>
      <c r="U198" s="225"/>
      <c r="V198" s="225"/>
      <c r="W198" s="225"/>
      <c r="X198" s="225"/>
      <c r="Y198" s="225"/>
      <c r="Z198" s="225"/>
      <c r="AA198" s="225"/>
      <c r="AB198" s="225"/>
      <c r="AC198" s="225"/>
      <c r="AD198" s="225"/>
      <c r="AK198" s="243"/>
    </row>
    <row r="199" spans="11:38">
      <c r="K199" s="225"/>
      <c r="L199" s="225"/>
      <c r="M199" s="225"/>
      <c r="N199" s="225"/>
      <c r="O199" s="161"/>
      <c r="P199" s="161"/>
      <c r="Q199" s="225"/>
      <c r="R199" s="225"/>
      <c r="S199" s="194"/>
      <c r="T199" s="194"/>
      <c r="U199" s="225"/>
      <c r="V199" s="225"/>
      <c r="W199" s="225"/>
      <c r="X199" s="225"/>
      <c r="Y199" s="225"/>
      <c r="Z199" s="225"/>
      <c r="AA199" s="225"/>
      <c r="AB199" s="225"/>
      <c r="AC199" s="161"/>
      <c r="AD199" s="161"/>
      <c r="AK199" s="243"/>
    </row>
    <row r="200" spans="11:38">
      <c r="K200" s="225"/>
      <c r="L200" s="225"/>
      <c r="M200" s="225"/>
      <c r="N200" s="225"/>
      <c r="O200" s="225"/>
      <c r="P200" s="225"/>
      <c r="Q200" s="225"/>
      <c r="R200" s="225"/>
      <c r="S200" s="194"/>
      <c r="T200" s="194"/>
      <c r="U200" s="225"/>
      <c r="V200" s="225"/>
      <c r="W200" s="225"/>
      <c r="X200" s="225"/>
      <c r="Y200" s="225"/>
      <c r="Z200" s="225"/>
      <c r="AA200" s="225"/>
      <c r="AB200" s="225"/>
      <c r="AC200" s="161"/>
      <c r="AD200" s="161"/>
      <c r="AK200" s="243"/>
    </row>
    <row r="201" spans="11:38">
      <c r="K201" s="225"/>
      <c r="L201" s="225"/>
      <c r="M201" s="225"/>
      <c r="N201" s="225"/>
      <c r="O201" s="225"/>
      <c r="P201" s="225"/>
      <c r="Q201" s="225"/>
      <c r="R201" s="225"/>
      <c r="S201" s="194"/>
      <c r="T201" s="194"/>
      <c r="U201" s="225"/>
      <c r="V201" s="225"/>
      <c r="W201" s="225"/>
      <c r="X201" s="225"/>
      <c r="Y201" s="225"/>
      <c r="Z201" s="225"/>
      <c r="AA201" s="225"/>
      <c r="AB201" s="225"/>
      <c r="AC201" s="225"/>
      <c r="AD201" s="225"/>
      <c r="AK201" s="243"/>
    </row>
    <row r="202" spans="11:38">
      <c r="K202" s="225"/>
      <c r="L202" s="225"/>
      <c r="M202" s="225"/>
      <c r="N202" s="225"/>
      <c r="O202" s="225"/>
      <c r="P202" s="225"/>
      <c r="Q202" s="225"/>
      <c r="R202" s="225"/>
      <c r="S202" s="194"/>
      <c r="T202" s="194"/>
      <c r="U202" s="225"/>
      <c r="V202" s="225"/>
      <c r="W202" s="225"/>
      <c r="X202" s="225"/>
      <c r="Y202" s="225"/>
      <c r="Z202" s="225"/>
      <c r="AA202" s="225"/>
      <c r="AB202" s="225"/>
      <c r="AC202" s="225"/>
      <c r="AD202" s="225"/>
    </row>
    <row r="203" spans="11:38">
      <c r="K203" s="225"/>
      <c r="L203" s="225"/>
      <c r="M203" s="225"/>
      <c r="N203" s="225"/>
      <c r="O203" s="225"/>
      <c r="P203" s="225"/>
      <c r="Q203" s="225"/>
      <c r="R203" s="225"/>
      <c r="S203" s="194"/>
      <c r="T203" s="194"/>
      <c r="U203" s="225"/>
      <c r="V203" s="225"/>
      <c r="W203" s="225"/>
      <c r="X203" s="225"/>
      <c r="Y203" s="225"/>
      <c r="Z203" s="225"/>
      <c r="AA203" s="225"/>
      <c r="AB203" s="225"/>
      <c r="AC203" s="225"/>
      <c r="AD203" s="225"/>
    </row>
    <row r="204" spans="11:38">
      <c r="K204" s="225"/>
      <c r="L204" s="225"/>
      <c r="M204" s="225"/>
      <c r="N204" s="225"/>
      <c r="O204" s="225"/>
      <c r="P204" s="225"/>
      <c r="Q204" s="225"/>
      <c r="R204" s="225"/>
      <c r="S204" s="194"/>
      <c r="T204" s="194"/>
      <c r="U204" s="225"/>
      <c r="V204" s="225"/>
      <c r="W204" s="225"/>
      <c r="X204" s="225"/>
      <c r="Y204" s="225"/>
      <c r="AA204" s="225"/>
      <c r="AB204" s="225"/>
      <c r="AC204" s="225"/>
      <c r="AD204" s="225"/>
    </row>
    <row r="205" spans="11:38">
      <c r="K205" s="225"/>
      <c r="L205" s="225"/>
      <c r="M205" s="225"/>
      <c r="N205" s="225"/>
      <c r="O205" s="225"/>
      <c r="P205" s="225"/>
      <c r="Q205" s="225"/>
      <c r="R205" s="225"/>
      <c r="S205" s="194"/>
      <c r="T205" s="194"/>
      <c r="U205" s="225"/>
      <c r="V205" s="225"/>
      <c r="W205" s="225"/>
      <c r="X205" s="225"/>
      <c r="Y205" s="225"/>
      <c r="AA205" s="225"/>
      <c r="AB205" s="225"/>
      <c r="AC205" s="225"/>
      <c r="AD205" s="225"/>
    </row>
    <row r="206" spans="11:38">
      <c r="K206" s="225"/>
      <c r="L206" s="225"/>
      <c r="M206" s="225"/>
      <c r="N206" s="225"/>
      <c r="O206" s="225"/>
      <c r="P206" s="225"/>
      <c r="Q206" s="225"/>
      <c r="R206" s="225"/>
      <c r="S206" s="194"/>
      <c r="T206" s="194"/>
      <c r="U206" s="225"/>
      <c r="V206" s="225"/>
      <c r="W206" s="225"/>
      <c r="X206" s="225"/>
      <c r="Y206" s="225"/>
      <c r="AA206" s="225"/>
      <c r="AB206" s="225"/>
      <c r="AC206" s="225"/>
      <c r="AD206" s="225"/>
    </row>
    <row r="207" spans="11:38">
      <c r="K207" s="225"/>
      <c r="L207" s="225"/>
      <c r="M207" s="225"/>
      <c r="N207" s="225"/>
      <c r="O207" s="225"/>
      <c r="P207" s="225"/>
      <c r="Q207" s="225"/>
      <c r="R207" s="225"/>
      <c r="S207" s="194"/>
      <c r="T207" s="194"/>
      <c r="U207" s="225"/>
      <c r="V207" s="225"/>
      <c r="W207" s="225"/>
      <c r="X207" s="225"/>
      <c r="Y207" s="225"/>
      <c r="AA207" s="225"/>
      <c r="AB207" s="225"/>
      <c r="AC207" s="225"/>
      <c r="AD207" s="225"/>
    </row>
    <row r="208" spans="11:38">
      <c r="K208" s="225"/>
      <c r="L208" s="225"/>
      <c r="M208" s="225"/>
      <c r="N208" s="225"/>
      <c r="O208" s="225"/>
      <c r="P208" s="225"/>
      <c r="Q208" s="225"/>
      <c r="R208" s="225"/>
      <c r="S208" s="194"/>
      <c r="T208" s="194"/>
      <c r="U208" s="225"/>
      <c r="V208" s="225"/>
      <c r="W208" s="225"/>
      <c r="X208" s="225"/>
      <c r="Y208" s="225"/>
      <c r="AA208" s="225"/>
      <c r="AB208" s="225"/>
      <c r="AC208" s="225"/>
      <c r="AD208" s="225"/>
    </row>
    <row r="209" spans="11:40">
      <c r="K209" s="225"/>
      <c r="L209" s="225"/>
      <c r="M209" s="225"/>
      <c r="N209" s="225"/>
      <c r="O209" s="225"/>
      <c r="P209" s="225"/>
      <c r="Q209" s="225"/>
      <c r="R209" s="225"/>
      <c r="S209" s="194"/>
      <c r="T209" s="194"/>
      <c r="U209" s="225"/>
      <c r="V209" s="225"/>
      <c r="W209" s="225"/>
      <c r="X209" s="225"/>
      <c r="Y209" s="225"/>
      <c r="AA209" s="225"/>
      <c r="AB209" s="225"/>
      <c r="AC209" s="225"/>
      <c r="AD209" s="225"/>
    </row>
    <row r="210" spans="11:40">
      <c r="K210" s="225"/>
      <c r="L210" s="225"/>
      <c r="M210" s="225"/>
      <c r="N210" s="225"/>
      <c r="O210" s="225"/>
      <c r="P210" s="225"/>
      <c r="Q210" s="225"/>
      <c r="R210" s="225"/>
      <c r="S210" s="194"/>
      <c r="T210" s="194"/>
      <c r="U210" s="225"/>
      <c r="V210" s="225"/>
      <c r="W210" s="225"/>
      <c r="X210" s="225"/>
      <c r="Y210" s="225"/>
      <c r="AA210" s="225"/>
      <c r="AB210" s="225"/>
      <c r="AC210" s="225"/>
      <c r="AD210" s="225"/>
      <c r="AM210" s="254"/>
      <c r="AN210" s="254"/>
    </row>
    <row r="211" spans="11:40">
      <c r="K211" s="225"/>
      <c r="L211" s="225"/>
      <c r="M211" s="225"/>
      <c r="N211" s="225"/>
      <c r="O211" s="225"/>
      <c r="P211" s="225"/>
      <c r="Q211" s="225"/>
      <c r="R211" s="225"/>
      <c r="S211" s="194"/>
      <c r="T211" s="194"/>
      <c r="U211" s="225"/>
      <c r="V211" s="225"/>
      <c r="W211" s="225"/>
      <c r="X211" s="225"/>
      <c r="Y211" s="225"/>
      <c r="AA211" s="225"/>
      <c r="AB211" s="225"/>
      <c r="AC211" s="225"/>
      <c r="AD211" s="225"/>
      <c r="AM211" s="254"/>
      <c r="AN211" s="254"/>
    </row>
    <row r="212" spans="11:40">
      <c r="K212" s="225"/>
      <c r="L212" s="225"/>
      <c r="M212" s="225"/>
      <c r="N212" s="225"/>
      <c r="O212" s="225"/>
      <c r="P212" s="225"/>
      <c r="Q212" s="225"/>
      <c r="R212" s="225"/>
      <c r="S212" s="194"/>
      <c r="T212" s="194"/>
      <c r="U212" s="225"/>
      <c r="V212" s="225"/>
      <c r="W212" s="225"/>
      <c r="X212" s="225"/>
      <c r="Y212" s="225"/>
      <c r="AA212" s="225"/>
      <c r="AB212" s="225"/>
      <c r="AC212" s="225"/>
      <c r="AD212" s="225"/>
    </row>
    <row r="213" spans="11:40">
      <c r="K213" s="225"/>
      <c r="L213" s="225"/>
      <c r="M213" s="225"/>
      <c r="N213" s="225"/>
      <c r="O213" s="225"/>
      <c r="P213" s="225"/>
      <c r="Q213" s="225"/>
      <c r="R213" s="225"/>
      <c r="S213" s="194"/>
      <c r="T213" s="194"/>
      <c r="U213" s="225"/>
      <c r="V213" s="225"/>
      <c r="W213" s="225"/>
      <c r="X213" s="225"/>
      <c r="Y213" s="225"/>
      <c r="AA213" s="225"/>
      <c r="AB213" s="225"/>
      <c r="AC213" s="225"/>
      <c r="AD213" s="225"/>
    </row>
    <row r="214" spans="11:40">
      <c r="K214" s="225"/>
      <c r="L214" s="225"/>
      <c r="M214" s="225"/>
      <c r="N214" s="225"/>
      <c r="O214" s="225"/>
      <c r="P214" s="225"/>
      <c r="Q214" s="225"/>
      <c r="R214" s="225"/>
      <c r="S214" s="194"/>
      <c r="T214" s="194"/>
      <c r="U214" s="225"/>
      <c r="V214" s="225"/>
      <c r="W214" s="225"/>
      <c r="X214" s="225"/>
      <c r="Y214" s="225"/>
      <c r="AC214" s="225"/>
      <c r="AD214" s="225"/>
    </row>
    <row r="215" spans="11:40">
      <c r="K215" s="225"/>
      <c r="L215" s="225"/>
      <c r="M215" s="225"/>
      <c r="N215" s="225"/>
      <c r="O215" s="225"/>
      <c r="P215" s="225"/>
      <c r="Q215" s="225"/>
      <c r="R215" s="225"/>
      <c r="S215" s="194"/>
      <c r="T215" s="194"/>
      <c r="U215" s="225"/>
      <c r="V215" s="225"/>
      <c r="W215" s="225"/>
      <c r="X215" s="225"/>
      <c r="Y215" s="225"/>
      <c r="AC215" s="225"/>
      <c r="AD215" s="225"/>
    </row>
    <row r="216" spans="11:40">
      <c r="K216" s="225"/>
      <c r="L216" s="225"/>
      <c r="M216" s="225"/>
      <c r="N216" s="225"/>
      <c r="O216" s="225"/>
      <c r="P216" s="225"/>
      <c r="Q216" s="225"/>
      <c r="R216" s="225"/>
      <c r="S216" s="194"/>
      <c r="T216" s="194"/>
      <c r="U216" s="225"/>
      <c r="V216" s="225"/>
      <c r="W216" s="225"/>
      <c r="X216" s="225"/>
      <c r="Y216" s="225"/>
      <c r="AC216" s="225"/>
      <c r="AD216" s="225"/>
    </row>
    <row r="217" spans="11:40">
      <c r="K217" s="225"/>
      <c r="L217" s="225"/>
      <c r="M217" s="225"/>
      <c r="N217" s="225"/>
      <c r="O217" s="225"/>
      <c r="P217" s="225"/>
      <c r="Q217" s="225"/>
      <c r="R217" s="225"/>
      <c r="S217" s="194"/>
      <c r="T217" s="194"/>
      <c r="U217" s="225"/>
      <c r="V217" s="225"/>
      <c r="W217" s="225"/>
      <c r="X217" s="225"/>
      <c r="Y217" s="225"/>
      <c r="AC217" s="225"/>
      <c r="AD217" s="225"/>
    </row>
    <row r="218" spans="11:40">
      <c r="K218" s="225"/>
      <c r="L218" s="225"/>
      <c r="M218" s="225"/>
      <c r="N218" s="225"/>
      <c r="O218" s="225"/>
      <c r="P218" s="225"/>
      <c r="Q218" s="225"/>
      <c r="R218" s="225"/>
      <c r="S218" s="194"/>
      <c r="T218" s="194"/>
      <c r="U218" s="225"/>
      <c r="V218" s="225"/>
      <c r="W218" s="225"/>
      <c r="X218" s="225"/>
      <c r="Y218" s="225"/>
      <c r="AC218" s="225"/>
      <c r="AD218" s="225"/>
    </row>
    <row r="219" spans="11:40">
      <c r="K219" s="225"/>
      <c r="L219" s="225"/>
      <c r="M219" s="225"/>
      <c r="N219" s="225"/>
      <c r="O219" s="225"/>
      <c r="P219" s="225"/>
      <c r="Q219" s="225"/>
      <c r="R219" s="225"/>
      <c r="S219" s="194"/>
      <c r="T219" s="194"/>
      <c r="U219" s="225"/>
      <c r="V219" s="225"/>
      <c r="W219" s="225"/>
      <c r="X219" s="225"/>
      <c r="Y219" s="225"/>
    </row>
    <row r="220" spans="11:40">
      <c r="W220" s="225"/>
      <c r="X220" s="225"/>
    </row>
    <row r="221" spans="11:40">
      <c r="W221" s="225"/>
      <c r="X221" s="225"/>
    </row>
    <row r="222" spans="11:40">
      <c r="W222" s="225"/>
      <c r="X222" s="225"/>
    </row>
    <row r="223" spans="11:40">
      <c r="W223" s="225"/>
      <c r="X223" s="225"/>
    </row>
    <row r="224" spans="11:40">
      <c r="W224" s="225"/>
      <c r="X224" s="225"/>
    </row>
  </sheetData>
  <mergeCells count="19">
    <mergeCell ref="AM7:AN7"/>
    <mergeCell ref="AA7:AB7"/>
    <mergeCell ref="AC7:AD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etadata xmlns="http://www.objective.com/ecm/document/metadata/65F1F92071475276E05315230A0A9CBF" version="1.0.0">
  <systemFields>
    <field name="Objective-Id">
      <value order="0">A73959186</value>
    </field>
    <field name="Objective-Title">
      <value order="0">2023 Major Commodities Resource Data File</value>
    </field>
    <field name="Objective-Description">
      <value order="0"/>
    </field>
    <field name="Objective-CreationStamp">
      <value order="0">2024-03-15T03:56:18Z</value>
    </field>
    <field name="Objective-IsApproved">
      <value order="0">false</value>
    </field>
    <field name="Objective-IsPublished">
      <value order="0">true</value>
    </field>
    <field name="Objective-DatePublished">
      <value order="0">2024-05-08T07:06:55Z</value>
    </field>
    <field name="Objective-ModificationStamp">
      <value order="0">2024-05-08T07:06:55Z</value>
    </field>
    <field name="Objective-Owner">
      <value order="0">CHARLESWORTH, Mark</value>
    </field>
    <field name="Objective-Path">
      <value order="0">DEMIRS Global Folder:02 Corporate File Plan:Resource and Environmental Regulation Group:RER Files:Strategic Management:Planning:Statistical Digest of Mineral Production - 2023 onwards - Resource Strategy:Resources Data - Biannual Data Files</value>
    </field>
    <field name="Objective-Parent">
      <value order="0">Resources Data - Biannual Data Files</value>
    </field>
    <field name="Objective-State">
      <value order="0">Published</value>
    </field>
    <field name="Objective-VersionId">
      <value order="0">vA81401136</value>
    </field>
    <field name="Objective-Version">
      <value order="0">12.0</value>
    </field>
    <field name="Objective-VersionNumber">
      <value order="0">21</value>
    </field>
    <field name="Objective-VersionComment">
      <value order="0">final check</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Warning">
        <value order="0"/>
      </field>
      <field name="Objective-Graphic Content">
        <value order="0"/>
      </field>
    </catalogue>
  </catalogues>
</metadata>
</file>

<file path=customXml/item3.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006673.Policy.Coordination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2022-08-07T16:00:00+00:00</OurDocsDocumentDate>
    <OurDocsVersionCreatedAt xmlns="dce3ed02-b0cd-470d-9119-e5f1a2533a21">2022-08-08T09:10:34+00:00</OurDocsVersionCreatedAt>
    <OurDocsReleaseClassification xmlns="dce3ed02-b0cd-470d-9119-e5f1a2533a21">Departmental Use Only</OurDocsReleaseClassification>
    <OurDocsTitle xmlns="dce3ed02-b0cd-470d-9119-e5f1a2533a21">2021-22 Major Commodities</OurDocsTitle>
    <OurDocsLocation xmlns="dce3ed02-b0cd-470d-9119-e5f1a2533a21">Perth</OurDocsLocation>
    <OurDocsDescription xmlns="dce3ed02-b0cd-470d-9119-e5f1a2533a21">2021-22 Contains: Detailed information on the scale and scope of the WA resources industry, plus specific information of major and minor commodities.
Formerly Central/006113.Policy.Coordination/1
Formerly Central/006376.Policy.Coordination/1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F20786-DE1C-4F90-B472-5BB8FD1B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itemProps3.xml><?xml version="1.0" encoding="utf-8"?>
<ds:datastoreItem xmlns:ds="http://schemas.openxmlformats.org/officeDocument/2006/customXml" ds:itemID="{2A8B270F-3161-4B2F-B62E-21FD3FA5A6CC}">
  <ds:schemaRefs>
    <ds:schemaRef ds:uri="http://purl.org/dc/elements/1.1/"/>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09154F29-AC35-4C99-A525-BDFABF0F882F}">
  <ds:schemaRefs>
    <ds:schemaRef ds:uri="Microsoft.SharePoint.Taxonomy.ContentTypeSync"/>
  </ds:schemaRefs>
</ds:datastoreItem>
</file>

<file path=customXml/itemProps5.xml><?xml version="1.0" encoding="utf-8"?>
<ds:datastoreItem xmlns:ds="http://schemas.openxmlformats.org/officeDocument/2006/customXml" ds:itemID="{87838472-7309-4B9F-B3CC-9A0F915285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Index</vt:lpstr>
      <vt:lpstr>Sources</vt:lpstr>
      <vt:lpstr>How To Use</vt:lpstr>
      <vt:lpstr>Commodity Prices Comparison</vt:lpstr>
      <vt:lpstr>Q&amp;V 2-years</vt:lpstr>
      <vt:lpstr>Commodity Prices</vt:lpstr>
      <vt:lpstr>Q&amp;V CY 1886 to 2003</vt:lpstr>
      <vt:lpstr>Q&amp;V CY 2004 to Now</vt:lpstr>
      <vt:lpstr>Q&amp;V FY 1984-85 to 2002-03</vt:lpstr>
      <vt:lpstr>Q&amp;V FY 2003-04 to Now</vt:lpstr>
      <vt:lpstr>WA vs Australia vs the World</vt:lpstr>
      <vt:lpstr>Alumina and Bauxite - Prices</vt:lpstr>
      <vt:lpstr>Alumina and Bauxite - Q&amp;V</vt:lpstr>
      <vt:lpstr>Alumina and Bauxite - Exports</vt:lpstr>
      <vt:lpstr>Alumina and Bauxite - WA vs Aus</vt:lpstr>
      <vt:lpstr>Copper-Lead-Zinc - Prices</vt:lpstr>
      <vt:lpstr>Copper-Lead-Zinc - Q&amp;V</vt:lpstr>
      <vt:lpstr>Copper-Lead-Zinc - Exports</vt:lpstr>
      <vt:lpstr>Copper-Lead-Zinc - WA vs Aus</vt:lpstr>
      <vt:lpstr>Gold - Prices</vt:lpstr>
      <vt:lpstr>Gold - Q&amp;V</vt:lpstr>
      <vt:lpstr>Gold - Exports</vt:lpstr>
      <vt:lpstr>Gold - WA vs Aus</vt:lpstr>
      <vt:lpstr>Iron Ore - Prices</vt:lpstr>
      <vt:lpstr>Iron Ore - Q&amp;V</vt:lpstr>
      <vt:lpstr>Iron Ore - Exports</vt:lpstr>
      <vt:lpstr>Iron Ore - WA vs Aus</vt:lpstr>
      <vt:lpstr>Lithium - Prices</vt:lpstr>
      <vt:lpstr>Lithium - Q&amp;V</vt:lpstr>
      <vt:lpstr>Lithium - Exports</vt:lpstr>
      <vt:lpstr>Mineral Sands - Prices</vt:lpstr>
      <vt:lpstr>Mineral Sands - Q&amp;V</vt:lpstr>
      <vt:lpstr>Mineral Sands - Exports</vt:lpstr>
      <vt:lpstr>Mineral Sands - WA vs Aus</vt:lpstr>
      <vt:lpstr>Nickel - Prices</vt:lpstr>
      <vt:lpstr>Nickel - Q&amp;V</vt:lpstr>
      <vt:lpstr>Nickel - Exports</vt:lpstr>
      <vt:lpstr>Nickel - WA vs Aus</vt:lpstr>
      <vt:lpstr>Other Minerals - Q&amp;V</vt:lpstr>
      <vt:lpstr>Petroleum - Oil - Prices</vt:lpstr>
      <vt:lpstr>Petroleum - LNG - Prices</vt:lpstr>
      <vt:lpstr>Petroleum - Dom. Gas - Prices</vt:lpstr>
      <vt:lpstr>Petroleum - Q&amp;V 1</vt:lpstr>
      <vt:lpstr>Petroleum - Q&amp;V 2</vt:lpstr>
      <vt:lpstr>Petroleum - Exports</vt:lpstr>
      <vt:lpstr>Petroleum - WA vs Aus 1</vt:lpstr>
      <vt:lpstr>Petroleum - WA vs Aus 2</vt:lpstr>
      <vt:lpstr>Uranium - Prices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Major Commodities</dc:title>
  <dc:subject>2021-22 Contains: Detailed information on the scale and scope of the WA resources industry, plus specific information of major and minor commodities.
Formerly Central/006113.Policy.Coordination/1
Formerly Central/006376.Policy.Coordination/1</dc:subject>
  <dc:creator>Matt.WEBER</dc:creator>
  <cp:lastModifiedBy>GODSMAN, Garth</cp:lastModifiedBy>
  <cp:lastPrinted>2022-03-24T01:04:39Z</cp:lastPrinted>
  <dcterms:created xsi:type="dcterms:W3CDTF">2016-01-18T06:04:17Z</dcterms:created>
  <dcterms:modified xsi:type="dcterms:W3CDTF">2024-05-14T03:16:51Z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y fmtid="{D5CDD505-2E9C-101B-9397-08002B2CF9AE}" pid="5" name="Objective-Id">
    <vt:lpwstr>A73959186</vt:lpwstr>
  </property>
  <property fmtid="{D5CDD505-2E9C-101B-9397-08002B2CF9AE}" pid="6" name="Objective-Title">
    <vt:lpwstr>2023 Major Commodities Resource Data File</vt:lpwstr>
  </property>
  <property fmtid="{D5CDD505-2E9C-101B-9397-08002B2CF9AE}" pid="7" name="Objective-Description">
    <vt:lpwstr/>
  </property>
  <property fmtid="{D5CDD505-2E9C-101B-9397-08002B2CF9AE}" pid="8" name="Objective-CreationStamp">
    <vt:filetime>2024-03-15T03:56:18Z</vt:filetime>
  </property>
  <property fmtid="{D5CDD505-2E9C-101B-9397-08002B2CF9AE}" pid="9" name="Objective-IsApproved">
    <vt:bool>false</vt:bool>
  </property>
  <property fmtid="{D5CDD505-2E9C-101B-9397-08002B2CF9AE}" pid="10" name="Objective-IsPublished">
    <vt:bool>true</vt:bool>
  </property>
  <property fmtid="{D5CDD505-2E9C-101B-9397-08002B2CF9AE}" pid="11" name="Objective-DatePublished">
    <vt:filetime>2024-05-08T07:06:55Z</vt:filetime>
  </property>
  <property fmtid="{D5CDD505-2E9C-101B-9397-08002B2CF9AE}" pid="12" name="Objective-ModificationStamp">
    <vt:filetime>2024-05-08T07:06:55Z</vt:filetime>
  </property>
  <property fmtid="{D5CDD505-2E9C-101B-9397-08002B2CF9AE}" pid="13" name="Objective-Owner">
    <vt:lpwstr>CHARLESWORTH, Mark</vt:lpwstr>
  </property>
  <property fmtid="{D5CDD505-2E9C-101B-9397-08002B2CF9AE}" pid="14" name="Objective-Path">
    <vt:lpwstr>DEMIRS Global Folder:02 Corporate File Plan:Resource and Environmental Regulation Group:RER Files:Strategic Management:Planning:Statistical Digest of Mineral Production - 2023 onwards - Resource Strategy:Resources Data - Biannual Data Files</vt:lpwstr>
  </property>
  <property fmtid="{D5CDD505-2E9C-101B-9397-08002B2CF9AE}" pid="15" name="Objective-Parent">
    <vt:lpwstr>Resources Data - Biannual Data Files</vt:lpwstr>
  </property>
  <property fmtid="{D5CDD505-2E9C-101B-9397-08002B2CF9AE}" pid="16" name="Objective-State">
    <vt:lpwstr>Published</vt:lpwstr>
  </property>
  <property fmtid="{D5CDD505-2E9C-101B-9397-08002B2CF9AE}" pid="17" name="Objective-VersionId">
    <vt:lpwstr>vA81401136</vt:lpwstr>
  </property>
  <property fmtid="{D5CDD505-2E9C-101B-9397-08002B2CF9AE}" pid="18" name="Objective-Version">
    <vt:lpwstr>12.0</vt:lpwstr>
  </property>
  <property fmtid="{D5CDD505-2E9C-101B-9397-08002B2CF9AE}" pid="19" name="Objective-VersionNumber">
    <vt:r8>21</vt:r8>
  </property>
  <property fmtid="{D5CDD505-2E9C-101B-9397-08002B2CF9AE}" pid="20" name="Objective-VersionComment">
    <vt:lpwstr>final check</vt:lpwstr>
  </property>
  <property fmtid="{D5CDD505-2E9C-101B-9397-08002B2CF9AE}" pid="21" name="Objective-FileNumber">
    <vt:lpwstr>DMS2324/2022</vt:lpwstr>
  </property>
  <property fmtid="{D5CDD505-2E9C-101B-9397-08002B2CF9AE}" pid="22" name="Objective-Classification">
    <vt:lpwstr>OFFICIAL</vt:lpwstr>
  </property>
  <property fmtid="{D5CDD505-2E9C-101B-9397-08002B2CF9AE}" pid="23" name="Objective-Caveats">
    <vt:lpwstr/>
  </property>
  <property fmtid="{D5CDD505-2E9C-101B-9397-08002B2CF9AE}" pid="24" name="Objective-Divisional Document Types">
    <vt:lpwstr/>
  </property>
  <property fmtid="{D5CDD505-2E9C-101B-9397-08002B2CF9AE}" pid="25" name="Objective-Author">
    <vt:lpwstr/>
  </property>
  <property fmtid="{D5CDD505-2E9C-101B-9397-08002B2CF9AE}" pid="26" name="Objective-Date of Document">
    <vt:lpwstr/>
  </property>
  <property fmtid="{D5CDD505-2E9C-101B-9397-08002B2CF9AE}" pid="27" name="Objective-Ex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Internal Reference">
    <vt:lpwstr/>
  </property>
  <property fmtid="{D5CDD505-2E9C-101B-9397-08002B2CF9AE}" pid="34" name="Objective-Additional File Numbers">
    <vt:lpwstr/>
  </property>
  <property fmtid="{D5CDD505-2E9C-101B-9397-08002B2CF9AE}" pid="35" name="Objective-Record Number">
    <vt:lpwstr/>
  </property>
  <property fmtid="{D5CDD505-2E9C-101B-9397-08002B2CF9AE}" pid="36" name="Objective-Warning">
    <vt:lpwstr/>
  </property>
  <property fmtid="{D5CDD505-2E9C-101B-9397-08002B2CF9AE}" pid="37" name="Objective-Graphic Content">
    <vt:lpwstr/>
  </property>
</Properties>
</file>